
<file path=[Content_Types].xml><?xml version="1.0" encoding="utf-8"?>
<Types xmlns="http://schemas.openxmlformats.org/package/2006/content-types">
  <Default Extension="png" ContentType="image/png"/>
  <Default Extension="svg" ContentType="image/sv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workbookPr defaultThemeVersion="166925"/>
  <workbookProtection/>
  <bookViews>
    <workbookView xWindow="0" yWindow="0" windowWidth="14370" windowHeight="9585" tabRatio="500"/>
  </bookViews>
  <sheets>
    <sheet name="Data" sheetId="2" r:id="rId1"/>
    <sheet name="Disclaimer" sheetId="3" r:id="rId2"/>
  </sheets>
  <calcPr calcId="0"/>
</workbook>
</file>

<file path=xl/sharedStrings.xml><?xml version="1.0" encoding="utf-8"?>
<sst xmlns="http://schemas.openxmlformats.org/spreadsheetml/2006/main" count="38974" uniqueCount="38974">
  <si>
    <t>Deal ID</t>
  </si>
  <si>
    <t>Companies</t>
  </si>
  <si>
    <t>Pending Patent Documents</t>
  </si>
  <si>
    <t>Active Patent Documents</t>
  </si>
  <si>
    <t>Total Patent Families</t>
  </si>
  <si>
    <t>Total Patent Documents</t>
  </si>
  <si>
    <t>VC Round Up/Down/Flat</t>
  </si>
  <si>
    <t>Price per Share</t>
  </si>
  <si>
    <t>% Acquired</t>
  </si>
  <si>
    <t>Post Valuation Status</t>
  </si>
  <si>
    <t>Announced Date</t>
  </si>
  <si>
    <t>Series</t>
  </si>
  <si>
    <t>Deal Type 3</t>
  </si>
  <si>
    <t>Deal Type 2</t>
  </si>
  <si>
    <t>USD Amount</t>
  </si>
  <si>
    <t>Board Voting Rights</t>
  </si>
  <si>
    <t>General Voting Rights</t>
  </si>
  <si>
    <t>Participating vs Non-participating</t>
  </si>
  <si>
    <t>Emerging Spaces</t>
  </si>
  <si>
    <t>All Industries</t>
  </si>
  <si>
    <t>Primary Industry Group</t>
  </si>
  <si>
    <t>Primary Industry Sector</t>
  </si>
  <si>
    <t>Description</t>
  </si>
  <si>
    <t>Investors</t>
  </si>
  <si>
    <t>VC Round</t>
  </si>
  <si>
    <t>Deal Size</t>
  </si>
  <si>
    <t>Post Valuation</t>
  </si>
  <si>
    <t>Deal Type</t>
  </si>
  <si>
    <t>Keywords</t>
  </si>
  <si>
    <t>Deal Date</t>
  </si>
  <si>
    <t>Primary Industry Code</t>
  </si>
  <si>
    <t>Verticals</t>
  </si>
  <si>
    <t>HQ Location</t>
  </si>
  <si>
    <t>View Company Online</t>
  </si>
  <si>
    <t>272893-60T</t>
  </si>
  <si>
    <t>Wavo (Financial Software)</t>
  </si>
  <si>
    <t/>
  </si>
  <si>
    <t>Financial Software*, Other Financial Services</t>
  </si>
  <si>
    <t>Software</t>
  </si>
  <si>
    <t>Information Technology</t>
  </si>
  <si>
    <t>Developer of a financial platform designed to offer early payments to second-hand market sellers. The company's platform allows sellers to get instant payment advances and assists them with storage, sales, and shipping, enabling firms to get access to capital logistics that are required for their businesses.</t>
  </si>
  <si>
    <t>Clint Capital, HUB612, Kima Ventures, Tony Parker(Tony Parker)</t>
  </si>
  <si>
    <t>1st Round</t>
  </si>
  <si>
    <t>Early Stage VC</t>
  </si>
  <si>
    <t>capital needs, commercial finance, financial transaction, instant payment, non-dilutive finance, payments processing, transaction settlement</t>
  </si>
  <si>
    <t>Financial Software</t>
  </si>
  <si>
    <t>Artificial Intelligence &amp; Machine Learning, FinTech, SaaS</t>
  </si>
  <si>
    <t>Lyon, France</t>
  </si>
  <si>
    <t>285153-67T</t>
  </si>
  <si>
    <t>Ziwig</t>
  </si>
  <si>
    <t>Biotechnology, Discovery Tools (Healthcare)*, Drug Discovery, Other Healthcare Technology Systems</t>
  </si>
  <si>
    <t>Pharmaceuticals and Biotechnology</t>
  </si>
  <si>
    <t>Healthcare</t>
  </si>
  <si>
    <t>Operator of a diagnostics platform intended to detect the biological modifications responsible for the onset of diseases and their evolution throughout the life of patients. The company's platform uses salivary RNA and artificial intelligence to identify new biomarkers in saliva and diagnose several diseases, including endometriosis, cancer, and cardiovascular disease, enabling patients and healthcare providers to access an accurate, affordable, and accessible way to diagnose diseases.</t>
  </si>
  <si>
    <t>TenNine VC</t>
  </si>
  <si>
    <t>3rd Round</t>
  </si>
  <si>
    <t>Later Stage VC</t>
  </si>
  <si>
    <t>diagnostic platform, endometriosis treatment, healthcare platform, healthcare technology, occupational health, pre-diagnosis solution, saliva test</t>
  </si>
  <si>
    <t>Discovery Tools (Healthcare)</t>
  </si>
  <si>
    <t>Artificial Intelligence &amp; Machine Learning, Life Sciences</t>
  </si>
  <si>
    <t>285101-92T</t>
  </si>
  <si>
    <t>Digifood</t>
  </si>
  <si>
    <t>Application Software, Other Restaurants, Hotels and Leisure*</t>
  </si>
  <si>
    <t>Restaurants, Hotels and Leisure</t>
  </si>
  <si>
    <t>Consumer Products and Services (B2C)</t>
  </si>
  <si>
    <t>Developer of food ordering mobile application designed to assist users in ordering their snacks online. The company allows to assists users in avoiding the hassle of standing in a queue in food stalls, along with the facility of online payment for the ordered food and beverages while the match is running, enabling users to buy something to eat without the risk of missing the action of the match.</t>
  </si>
  <si>
    <t>Everfield</t>
  </si>
  <si>
    <t>digital food menu, digital food ordering, food delivery application, food ordering platform, mobile application, online food buy, online food ordering</t>
  </si>
  <si>
    <t>Other Restaurants, Hotels and Leisure</t>
  </si>
  <si>
    <t>FoodTech, Mobile, TMT</t>
  </si>
  <si>
    <t>Vanves, France</t>
  </si>
  <si>
    <t>285052-87T</t>
  </si>
  <si>
    <t>Smile Wanted Group</t>
  </si>
  <si>
    <t>Internet Software, Media and Information Services (B2B)*, Other Commercial Services, Publishing</t>
  </si>
  <si>
    <t>Commercial Services</t>
  </si>
  <si>
    <t>Business Products and Services (B2B)</t>
  </si>
  <si>
    <t>Operator of a digital advertising marketplace intended to connect content publishers and advertisers. The company's technology is based on both behavioral browsing analysis and a real-time bidding algorithm which only selects spaces with high-added value to offer a new generation cookieless supply-side platform (SSP), providing brands with KPIs for awareness consideration and conversion campaigns.</t>
  </si>
  <si>
    <t>Bpifrance(Ménelé Chesnot), Elevation Capital Partners(Benjamin Cohen)</t>
  </si>
  <si>
    <t>brand design, campaign support, campaign work, conversion data, digital advertising data, domain market, video campaign, websites-publishing</t>
  </si>
  <si>
    <t>Media and Information Services (B2B)</t>
  </si>
  <si>
    <t>AdTech, Marketing Tech</t>
  </si>
  <si>
    <t>Paris, France</t>
  </si>
  <si>
    <t>285010-48T</t>
  </si>
  <si>
    <t>ekstere</t>
  </si>
  <si>
    <t>Automotive*, Internet Retail, Specialty Retail</t>
  </si>
  <si>
    <t>Transportation</t>
  </si>
  <si>
    <t>Operator of an online marketplace intended to sell pre-owned electric bicycles. The company's platform offers a curated selection of reconditioned e-bikes with certification and pricing that focus on sustainability and transparency, enabling consumers to purchase reliable electric bicycles at a fair price, and promoting the adoption of eco-friendly transportation.</t>
  </si>
  <si>
    <t>Seventure Partners</t>
  </si>
  <si>
    <t>eco-friendly products online, electric bicycle, market place, online marketplace, quality certification, transportation industry</t>
  </si>
  <si>
    <t>Automotive</t>
  </si>
  <si>
    <t>E-Commerce</t>
  </si>
  <si>
    <t>Vélizy-Villacoublay, France</t>
  </si>
  <si>
    <t>284916-61T</t>
  </si>
  <si>
    <t>Germitec</t>
  </si>
  <si>
    <t>Series B</t>
  </si>
  <si>
    <t>Decision/Risk Analysis, Monitoring Equipment*, Other Devices and Supplies</t>
  </si>
  <si>
    <t>Healthcare Devices and Supplies</t>
  </si>
  <si>
    <t>Manufacturer of disinfection systems intended to develop hospital hygiene systems that radically simplify the lives of healthcare professionals in terms of safety, time and responsibility. The company specializes in ultraviolet light high-level disinfection (UV-C HLD) for reprocessing non-lumen medical devices, enabling medical staff to change clinical practice in reducing cross-infection risk.</t>
  </si>
  <si>
    <t>Eurazeo (PAR: RF)(Arnaud Vincent)</t>
  </si>
  <si>
    <t>disinfectants care, disinfection product, disinfection system, hygiene equipment, hygiene system, infection control, ultrasound probes</t>
  </si>
  <si>
    <t>Monitoring Equipment</t>
  </si>
  <si>
    <t>HealthTech</t>
  </si>
  <si>
    <t>Bordeaux, France</t>
  </si>
  <si>
    <t>279892-63T</t>
  </si>
  <si>
    <t>ToumAI Analytics</t>
  </si>
  <si>
    <t>Business/Productivity Software*</t>
  </si>
  <si>
    <t>Developer of Artificial Intelligence multilingual voice technology designed to transform customer services. The company's platform allows businesses to make data-driven decisions and improve their customer service performance and impact and helps in navigating customer feedback data to move faster, enabling clients to ensure efficient, inclusive services for every customer, regardless of language or ability.</t>
  </si>
  <si>
    <t>Bpifrance, Bruno Akpaka(Bruno Akpaka), Digital Africa, Fuze (Africa), GO Ventures, Launch Africa Ventures, Madica, Orange Ventures</t>
  </si>
  <si>
    <t>2nd Round</t>
  </si>
  <si>
    <t>customer relationship management, multichannel analytics, relationship management, voice analytics, voice analytics tool, voice technology</t>
  </si>
  <si>
    <t>Business/Productivity Software</t>
  </si>
  <si>
    <t>Artificial Intelligence &amp; Machine Learning, SaaS</t>
  </si>
  <si>
    <t>Cannes, France</t>
  </si>
  <si>
    <t>284538-79T</t>
  </si>
  <si>
    <t>Anybuddy</t>
  </si>
  <si>
    <t>Application Software, Information Services (B2C), Other Restaurants, Hotels and Leisure*</t>
  </si>
  <si>
    <t>Developer of a sports application intended to find players and pitches for football or tennis matches. The company's platform facilitates access to clubs, reserve and payment options, and booking without license and subscription at the best prices, enabling users to access various tennis courts and multiple play surfaces and pay reservations directly on the application.</t>
  </si>
  <si>
    <t>badminton court, mobile application, recreational games, sports app, sports data, sports marketplace, tennis app, tennis courts</t>
  </si>
  <si>
    <t>Mobile</t>
  </si>
  <si>
    <t>La Madelaine, France</t>
  </si>
  <si>
    <t>284527-18T</t>
  </si>
  <si>
    <t>The QA Company</t>
  </si>
  <si>
    <t>Series A</t>
  </si>
  <si>
    <t>Automation/Workflow Software, Business/Productivity Software*</t>
  </si>
  <si>
    <t>Developer of a question-and-answer platform intended to help organizations and teams access internal information efficiently. The company's platform offers a comprehensive suite of technology across various industries, including HR management, project management, legal research, website assistance, technical documentation and training and onboarding, enabling businesses to create AI chat assistants on their documents, and websites.</t>
  </si>
  <si>
    <t>Crédit Agricole Loire Haute-Loire (PAR: CRLO), Saint-Etienne Business Angels 42, UI Investissement</t>
  </si>
  <si>
    <t>ai bot, chat bots, document backup, legal research, project management, question answer platform, website tools</t>
  </si>
  <si>
    <t>Saint-Etienne, France</t>
  </si>
  <si>
    <t>284383-63T</t>
  </si>
  <si>
    <t>aleph-networks</t>
  </si>
  <si>
    <t>IT Consulting and Outsourcing, Network Management Software*</t>
  </si>
  <si>
    <t>Operator of cyber security and strategic intelligence software technology development and publishing company intended to ensure the protection of tangible and intangible assets. The company's technology processes sensitive and strategic data to monitor and analyze layers of the web to detect exposures or leaks of strategic and confidential data and sends an alert with remedy recommendations, enabling individuals, companies, and government departments to generate interest and gain support from key stakeholders within the market and business environment.</t>
  </si>
  <si>
    <t>Accurafy4, AG2R La Mondiale</t>
  </si>
  <si>
    <t>cyber security firm, cyber security service, data privacy, data protection, strategic intelligence, strategic intelligence research</t>
  </si>
  <si>
    <t>Network Management Software</t>
  </si>
  <si>
    <t>Cybersecurity, SaaS</t>
  </si>
  <si>
    <t>Villefranche-sur-Saône, France</t>
  </si>
  <si>
    <t>284336-56T</t>
  </si>
  <si>
    <t>Reev (Therapeutic Devices)</t>
  </si>
  <si>
    <t>Other Devices and Supplies, Therapeutic Devices*</t>
  </si>
  <si>
    <t>Developer of a robotic orthosis device designed to diminish muscle fatigue, facilitate daily trips and improve life quality. The company's device is lightweight and personalized for the patients which helps gain muscle strength by performing resistive exercises, enabling patients to walk longer, stand up, sit down and take stairs with ease.</t>
  </si>
  <si>
    <t>Herve Silbert(Herve Silbert), IRDI Capital Investissement, Newfund Management(Anne-Sophie Saint-Martin), Polytechnique Ventures, Raphael Varane(Raphael Varane), Scala Patrimoine, Techstars</t>
  </si>
  <si>
    <t>healthcare service, muscle strengthening tools, neuromuscular disease, walking assistance system, walking devices, wearable robotics</t>
  </si>
  <si>
    <t>Therapeutic Devices</t>
  </si>
  <si>
    <t>Toulouse, France</t>
  </si>
  <si>
    <t>284320-99T</t>
  </si>
  <si>
    <t>Histovery</t>
  </si>
  <si>
    <t>Business/Productivity Software, Media and Information Services (B2B)*, Multimedia and Design Software</t>
  </si>
  <si>
    <t>Developer of a cultural visit management platform designed for promoting museums and monuments. The company's platform provides cultural sites with the help of an interactive 3D experience to enhance its visits through scientific reconstructions, enabling clients to help the general public rediscover their cultural heritage.</t>
  </si>
  <si>
    <t>Bpifrance, Mi3 Venture Partners</t>
  </si>
  <si>
    <t>augmented reality video, cultural site, historic monuments, historical site, museum art, museum management, visit management</t>
  </si>
  <si>
    <t>Augmented Reality, Mobile, SaaS</t>
  </si>
  <si>
    <t>284114-35T</t>
  </si>
  <si>
    <t>Sirius NeoSight</t>
  </si>
  <si>
    <t>Biotechnology*</t>
  </si>
  <si>
    <t>Developer of a healthcare technology software intended to serve its clients in the healthcare sector. The company's patented technology software offers the measurement fluidity of membranes applied to the field of oncology, and in particular, the detection and purification of Circulating Tumor Cells applied to personalized medicine, enabling doctors in the detector subclinical neo-cancers.</t>
  </si>
  <si>
    <t>Angels Santé, Better Angle, Business Angels, Crédit Agricole Création, Demeter Partners, Evolem, GO Capital (France), OCTALFA</t>
  </si>
  <si>
    <t>cancer treatment, cytometry analysis, healthcare software, metastatic cancer, organic molecules, therapeutic gene</t>
  </si>
  <si>
    <t>Biotechnology</t>
  </si>
  <si>
    <t>Life Sciences</t>
  </si>
  <si>
    <t>Tassin-la-Demi-Lune, France</t>
  </si>
  <si>
    <t>284092-03T</t>
  </si>
  <si>
    <t>Stockly</t>
  </si>
  <si>
    <t>Business/Productivity Software, Communication Software, Media and Information Services (B2B)*</t>
  </si>
  <si>
    <t>Developer of a communication platform designed to connect e-commerce websites with a global inventory. The company's platform facilitates real-time restocking of inventory to detect missing variants and out-of-stock, and fills the gaps in real-time with brands' or other official retailers' inventories, enabling e-retailers to make additional sales at no cost.</t>
  </si>
  <si>
    <t>83North, Anyma, Daphni, Eurazeo (PAR: RF), Square Capital.</t>
  </si>
  <si>
    <t>5th Round</t>
  </si>
  <si>
    <t>customer relationship management, ecommerce platform, global network, inventory stock, online shop, order management</t>
  </si>
  <si>
    <t>SaaS, Supply Chain Tech</t>
  </si>
  <si>
    <t>Vitry-sur-Seine, France</t>
  </si>
  <si>
    <t>275400-28T</t>
  </si>
  <si>
    <t>CROWN</t>
  </si>
  <si>
    <t>Business/Productivity Software*, Legal Services (B2B)</t>
  </si>
  <si>
    <t>Developer of an online eAuction platform designed to enable real-time competitive bidding in procurement. The company's platform offers time-efficient, location-neutral bidding, total-value consideration, and commitment guarantees, enabling procurement teams to achieve cost savings while ensuring efficient negotiations.</t>
  </si>
  <si>
    <t>another.vc, Apok Invest, BackBone Ventures, Bpifrance, Christophe VIllain, HEARTFELT Capital, Kima Ventures, Marcell Vollmer(Marcell Vollmer), Mario Götze(Mario Götze), Prequel Ventures (Berlin), ZAS Ventures</t>
  </si>
  <si>
    <t>bidding site, competitive bidding, market value, online auction, online bidding, procurement platform</t>
  </si>
  <si>
    <t>SaaS</t>
  </si>
  <si>
    <t>283988-80T</t>
  </si>
  <si>
    <t>Lyv</t>
  </si>
  <si>
    <t>Other Healthcare Services, Other Healthcare Technology Systems*</t>
  </si>
  <si>
    <t>Healthcare Technology Systems</t>
  </si>
  <si>
    <t>Operator of a digital health therapy intended to treat long-term endometriosis effects. The company's therapy helps to reduce the symptoms of endometriosis, a gynecological, chronic, and inflammatory disease, that potentially creates very intense pelvic pain with all kinds of disorders associated with menstruation, enabling women to ease symptoms and relieve pain so that the condition does not interfere in daily life.</t>
  </si>
  <si>
    <t>Inco Ventures, Investir &amp;+, Mutuelle Générale de l'Education Nationale, XAnge</t>
  </si>
  <si>
    <t>digital healthcare, endometriosis diagnostics, endometriosis treatment, health application, health therapy, menstruation treatment</t>
  </si>
  <si>
    <t>Other Healthcare Technology Systems</t>
  </si>
  <si>
    <t>Digital Health, FemTech, HealthTech, Mobile</t>
  </si>
  <si>
    <t>Nantes, France</t>
  </si>
  <si>
    <t>284077-81T</t>
  </si>
  <si>
    <t>NETRI</t>
  </si>
  <si>
    <t>Other Healthcare Technology Systems*</t>
  </si>
  <si>
    <t>Developer of innovative biological research tools designed to simulate human biology for drug testing. The company's tools combine human neural stem cells, organs-on-chip technology, and AI-driven algorithms to reproduce neural data, enabling researchers to assess drug efficacy, and toxicity, and diagnose diseases by analyzing digital signatures, offering customizable models for various industries such as food safety, pain management, dermatology, and neurodegenerative disorders.</t>
  </si>
  <si>
    <t>Clery, Polygone International, Treviso Capital (TSX: TRV.P)</t>
  </si>
  <si>
    <t>4th Round</t>
  </si>
  <si>
    <t>biotechnology research, biotechnology research company, high throughput, microfluidics devices, microfluidics platform, neural networks, neural networks design</t>
  </si>
  <si>
    <t>278487-82T</t>
  </si>
  <si>
    <t>Neuralk-AI</t>
  </si>
  <si>
    <t>Generative AI</t>
  </si>
  <si>
    <t>Business/Productivity Software*, IT Consulting and Outsourcing, Media and Information Services (B2B)</t>
  </si>
  <si>
    <t>Developer of custom artificial intelligence models designed to address specific business challenges. The company specializes in generative AI models, which can be fine-tuned to integrate with existing business systems and data, enabling companies to automate tasks, improve decision-making, and gain new information from their data.</t>
  </si>
  <si>
    <t>Charles Gorintin(Charles Gorintin), Fly Ventures(Marie Brayer), Jean-Louis Quéguiner(Jean-Louis Quéguiner), Julien Launay(Julien Launay), Nagi Letaifa(Nagi Letaifa), Philippe Corrot(Philippe Corrot), Saturnin Pugnet(Saturnin Pugnet), StemAI, Thomas Wolf(Thomas Wolf), Vincent Luciani(Vincent Luciani), Xavier Perret(Xavier Perret)</t>
  </si>
  <si>
    <t>artificial intelligence model, automate tasks, data driven decision, data insights, decision making, generative ai model</t>
  </si>
  <si>
    <t>284424-31T</t>
  </si>
  <si>
    <t>Amaya (Business/Productivity Software)</t>
  </si>
  <si>
    <t>Business/Productivity Software*, Media and Information Services (B2B), Other Agriculture</t>
  </si>
  <si>
    <t>Developer of an all-in-one agricultural application designed to support agricultural production. The company's platform offers data centralization, simplified management, easier communication, and an ergonomic and practical format, enabling farmers to optimize their agricultural operations, improve their productivity, and reduce their environmental impact.</t>
  </si>
  <si>
    <t>Fuze (Africa)</t>
  </si>
  <si>
    <t>agricultural application, agricultural operations, agricultural production, artificial intelligence, data centralization, environmental impact</t>
  </si>
  <si>
    <t>AgTech, Artificial Intelligence &amp; Machine Learning</t>
  </si>
  <si>
    <t>Bezannes, France</t>
  </si>
  <si>
    <t>284791-60T</t>
  </si>
  <si>
    <t>Cryptio</t>
  </si>
  <si>
    <t>Accounting, Audit and Tax Services (B2B), Business/Productivity Software, Financial Software*</t>
  </si>
  <si>
    <t>Developer of bookkeeping software designed for transforming digital asset data. The company's software offers automated accounting services for digital assets that can be plugged directly into existing practices and systems, links existing accounting, and synchronizes unlimited blockchain transactions, wallets, exchanges, and custodians, enabling clients to manage, report, and monitor day-to-day accounting transactions.</t>
  </si>
  <si>
    <t>Cathay Innovation</t>
  </si>
  <si>
    <t>asset management and tax, bookkeeping management, bookkeeping platform, bookkeeping service, digital asset, enterprise resource planning, financial management system</t>
  </si>
  <si>
    <t>FinTech</t>
  </si>
  <si>
    <t>284180-59T</t>
  </si>
  <si>
    <t>Embrace</t>
  </si>
  <si>
    <t>Other Commercial Products*, Other Commercial Services, Other Consumer Non-Durables, Other Services (B2C Non-Financial)</t>
  </si>
  <si>
    <t>Commercial Products</t>
  </si>
  <si>
    <t>The company is currently operating in Stealth mode.</t>
  </si>
  <si>
    <t>Kima Ventures</t>
  </si>
  <si>
    <t>stealth business, stealth company, stealth firm, stealth industry, stealth products, stealth services</t>
  </si>
  <si>
    <t>Other Commercial Products</t>
  </si>
  <si>
    <t>284246-38T</t>
  </si>
  <si>
    <t>EndoGene.Bio</t>
  </si>
  <si>
    <t>Developer of a biotechnology platform intended to use precision medicine to transform how endometriosis is diagnosed and treated. The company's platform helps to accelerate the diagnosis of endometriosis from months to weeks through a non-invasive endometriosis diagnostic test for improved diagnostics, patient stratification, and drug development using menstrual blood, enabling medical professionals to easily prepare tests based on proprietary epigenetic biomarkers in menstrual blood.</t>
  </si>
  <si>
    <t>Frontline Ventures</t>
  </si>
  <si>
    <t>biotechnology company, biotechnology genome, endometriosis diagnostics, endometriosis test, endometriosis treatment, epigenetic biomarker</t>
  </si>
  <si>
    <t>FemTech, Life Sciences</t>
  </si>
  <si>
    <t>284183-47T</t>
  </si>
  <si>
    <t>EXXA</t>
  </si>
  <si>
    <t>IT Consulting and Outsourcing*, Other Commercial Services</t>
  </si>
  <si>
    <t>IT Services</t>
  </si>
  <si>
    <t>Developer of a batch inference API intended to provide cost-efficient processing for open-source models. The company's platform offers quality output, rapid processing times for various tasks such as document classification, data extraction, and translation, enabling businesses to optimize their operations while reducing costs and improving efficiency in handling large volumes of data.</t>
  </si>
  <si>
    <t>api integration, cloud computing, data extraction, data processing, document classification, performance optimization, translation services</t>
  </si>
  <si>
    <t>IT Consulting and Outsourcing</t>
  </si>
  <si>
    <t>285188-14T</t>
  </si>
  <si>
    <t>Harmattan AI</t>
  </si>
  <si>
    <t>Aerospace and Defense*, Electrical Equipment</t>
  </si>
  <si>
    <t>Developer of autonomous and scalable defense systems designed to elevate consumer electronics to military-grade performance through software. The company offers attributable, and easily upgradable systems, enabling modern defense forces to maintain flexibility and rapid response in an increasingly complex battlefield environment.</t>
  </si>
  <si>
    <t>Atlantic Labs</t>
  </si>
  <si>
    <t>autonomous defense systems, consumer electronics, defence product, defence technology, defense innovation, military-grade software</t>
  </si>
  <si>
    <t>Aerospace and Defense</t>
  </si>
  <si>
    <t>Artificial Intelligence &amp; Machine Learning, Industrials</t>
  </si>
  <si>
    <t>284193-82T</t>
  </si>
  <si>
    <t>Kandi.Jobs</t>
  </si>
  <si>
    <t>Business/Productivity Software*, Human Capital Services, Information Services (B2C), Other Services (B2C Non-Financial)</t>
  </si>
  <si>
    <t>Developer of AI-driven technology designed to streamline the process of sending unsolicited applications for internships, work-study programs, and jobs. The company leverages algorithms to automate the creation of personalized and targeted applications at scale, enabling job seekers to reach a wide range of employers, and enhancing their chances of securing opportunities that significantly contribute to career growth.</t>
  </si>
  <si>
    <t>ai recruitment, application optimization, career advancement, job matching, recruitment technology, talent acquisition, workforce automation</t>
  </si>
  <si>
    <t>HR Tech</t>
  </si>
  <si>
    <t>284020-75T</t>
  </si>
  <si>
    <t>Lasqo</t>
  </si>
  <si>
    <t>Business/Productivity Software*, Media and Information Services (B2B), Software Development Applications</t>
  </si>
  <si>
    <t>Developer of on-brand visual assets creation platform designed to streamline brand asset creation. The company's platform enables businesses to generate on-brand visual content quickly, train custom AI models, and design processes by allowing teams to directly access brand models from their workflows, enabling clients to enhance creative operations and increase production efficiency.</t>
  </si>
  <si>
    <t>ai operations, ai solution, brand assets, brand assets design, brand design, design solution, marketing toolset, visual content</t>
  </si>
  <si>
    <t>Artificial Intelligence &amp; Machine Learning, Marketing Tech, SaaS</t>
  </si>
  <si>
    <t>284191-39T</t>
  </si>
  <si>
    <t>Livana Connect</t>
  </si>
  <si>
    <t>Provider of healthcare support based in Charleville-Mezieres, France. The company supports people with Alzheimer's disease with conversational AI designed to improve autonomy and support their caregivers on a daily basis, enabling patients to create a human and emotional connection for comfort and peace of mind.</t>
  </si>
  <si>
    <t>alzheimer's care, alzheimer's diagnostics, caregivers community, emotional support, healthcare service firm, healthcare support</t>
  </si>
  <si>
    <t>Artificial Intelligence &amp; Machine Learning, HealthTech</t>
  </si>
  <si>
    <t>Charleville-Mezieres, France</t>
  </si>
  <si>
    <t>284008-15T</t>
  </si>
  <si>
    <t>Medusa Motorcycles</t>
  </si>
  <si>
    <t>Automotive*, Other Services (B2C Non-Financial)</t>
  </si>
  <si>
    <t>Manufacturer of custom motorcycles intended to blend traditional craftsmanship with modern engineering. The company offers features such as bespoke bike designs, extensive customization options, and a focus on unique aesthetics, enabling motorcycle enthusiasts to own personalized vehicles that reflect their styles while promoting a culture of artisanal craftsmanship in the automotive sector.</t>
  </si>
  <si>
    <t>ILP Group</t>
  </si>
  <si>
    <t>bikes manufacturer, electric bikes, electric bikes maker, electric bikes seller, electric motorcycle, vehicle supplier</t>
  </si>
  <si>
    <t>Manufacturing, Mobility Tech</t>
  </si>
  <si>
    <t>Nancy, France</t>
  </si>
  <si>
    <t>284200-03T</t>
  </si>
  <si>
    <t>Nebesta</t>
  </si>
  <si>
    <t>Developer of an artificial intelligence-powered platform designed to streamline and automate customer service operations. The company offers no-code integrations, real-time analytics, and artificial intelligence-driven agents, enabling businesses to enhance customer support, improve agent productivity, and reduce operational costs.</t>
  </si>
  <si>
    <t>ai analytics, ai analytics platform, ai customer support, crm integration, customer service automation, customer support automation, optimization tool, performance monitoring platform, support automation</t>
  </si>
  <si>
    <t>Artificial Intelligence &amp; Machine Learning</t>
  </si>
  <si>
    <t>284790-61T</t>
  </si>
  <si>
    <t>Ochy</t>
  </si>
  <si>
    <t>Application Software, Information Services (B2C)*</t>
  </si>
  <si>
    <t>Media</t>
  </si>
  <si>
    <t>Developer of a fitness-focused mobile application designed to help runners to run efficiently. The company's platform uses video and artificial intelligence to help runners understand how they run, what to improve, and how to prevent injuries and improve performance, enabling runners to analyze their running technique via video by identifying their weak points and providing a personalized reinforcement plan.</t>
  </si>
  <si>
    <t>EnjoyVenture</t>
  </si>
  <si>
    <t>ai technology, autonomous machine, autonomous vehicle, fitness application, fitness platform, mobile application, running analysis, running technique</t>
  </si>
  <si>
    <t>Information Services (B2C)</t>
  </si>
  <si>
    <t>Artificial Intelligence &amp; Machine Learning, LOHAS &amp; Wellness, Mobile</t>
  </si>
  <si>
    <t>Saint-Jacques-de-la-Lande, France</t>
  </si>
  <si>
    <t>284226-85T</t>
  </si>
  <si>
    <t>Partsorder</t>
  </si>
  <si>
    <t>Other Commercial Products, Other Consumer Durables, Specialty Retail*</t>
  </si>
  <si>
    <t>Retail</t>
  </si>
  <si>
    <t>Developer of a parts ordering application designed to streamline ordering processes. The company is currently operating in stealth mode.</t>
  </si>
  <si>
    <t>inventory optimization, spare parts product, spare parts supply, stealth company, stealth firm, stealth product</t>
  </si>
  <si>
    <t>Specialty Retail</t>
  </si>
  <si>
    <t>284227-12T</t>
  </si>
  <si>
    <t>Rawmobile</t>
  </si>
  <si>
    <t>Other Commercial Products*, Other Commercial Services, Other Consumer Durables, Other Services (B2C Non-Financial)</t>
  </si>
  <si>
    <t>The company is currently operating in stealth mode.</t>
  </si>
  <si>
    <t>284034-52T</t>
  </si>
  <si>
    <t>Sandra AI</t>
  </si>
  <si>
    <t>Developer of an artificial intelligence-powered call management platform designed to optimize dealership operations. The company platform offers artificial intelligence receptionists and sales assistants with round-the-clock availability, DMS and CRM integration, and multilingual support, enabling automotive dealerships to enhance customer satisfaction, improve efficiency, and increase revenue.</t>
  </si>
  <si>
    <t>ai platform, ai receptionist, artificial intelligence, automated service, customer interaction, customer service, receptionist services</t>
  </si>
  <si>
    <t>284189-95T</t>
  </si>
  <si>
    <t>Turbo Cereal</t>
  </si>
  <si>
    <t>Financial Software*, Other Agriculture, Other Financial Services</t>
  </si>
  <si>
    <t>Developer of a collaborative cereal production investment platform intended to connect consumers, investors, and farmers to promote sustainable agriculture practices and secure financial returns. The company's platform offers investment opportunities in cereal production alongside agronomic support for farmers, enabling clients to provide blockchain technology services for agriculture.</t>
  </si>
  <si>
    <t>Sandton Capital Partners</t>
  </si>
  <si>
    <t>agricultural financing, agricultural investment, agricultural investment fund, agricultural investment platform, esg investment, green investment</t>
  </si>
  <si>
    <t>AgTech, Cryptocurrency/Blockchain, FinTech, SaaS</t>
  </si>
  <si>
    <t>283783-87T</t>
  </si>
  <si>
    <t>Revolte</t>
  </si>
  <si>
    <t>Automotive*, Education and Training Services (B2B), Educational and Training Services (B2C), Other Services (B2C Non-Financial)</t>
  </si>
  <si>
    <t>Provider of repair and maintenance of electric car services intended to extend the life of vehicles, particularly batteries. The company offers services such as battery repair, electronic component replacement, and general vehicle maintenance for a range of brands, and provides training for automotive professionals, enabling customers to maintain electric cars.</t>
  </si>
  <si>
    <t>Bpi, Inter Mutuelles Assistance, Mutuelle Assurance Commerçants et Industriels France(Julien Hue)</t>
  </si>
  <si>
    <t>battery repair system, car maintenance, car repair, electric vehicle repair, electric vehicle service, vehicle maintenance</t>
  </si>
  <si>
    <t>258420-70T</t>
  </si>
  <si>
    <t>Alice &amp; Bob</t>
  </si>
  <si>
    <t>Quantum Computing</t>
  </si>
  <si>
    <t>Computers, Parts and Peripherals*</t>
  </si>
  <si>
    <t>Computer Hardware</t>
  </si>
  <si>
    <t>Developer of error-free quantum computers designed to help industries and researchers solve quantum problems. The company's computer has self-correcting superconducting quantum bits that enable fault-tolerant quantum computing and can run any quantum algorithm, enabling researchers to quantum algorithms and solve various complex problems.</t>
  </si>
  <si>
    <t>AXA Venture Partners(François Robinet), Bpifrance(François Charbonnier), Breega(Maximilien Bacot), Elaia Partners(Anne-Sophie Carrese), European Innovation Council Fund, Future French Champions(Antoine Emmanuelli), Qatar Investment Authority, Sopra Steria Group (PAR: SOP), Supernova Invest(Etienne Moreau)</t>
  </si>
  <si>
    <t>6th Round</t>
  </si>
  <si>
    <t>cloud computing, complex problems, computer science, quantum algorithm, quantum computer, quantum research</t>
  </si>
  <si>
    <t>Computers, Parts and Peripherals</t>
  </si>
  <si>
    <t>241128-19T</t>
  </si>
  <si>
    <t>Swan (Financial Software)</t>
  </si>
  <si>
    <t>Up Round</t>
  </si>
  <si>
    <t>Estimated</t>
  </si>
  <si>
    <t>Developer of an embedded finance platform designed to offer integration of banking services. The company's platform offers a complete toolkit to offer banking services like issuing wallets, cards, and international bank account numbers with a simple API using a few lines of code, enabling businesses to provide banking services and other organizations to build custom tools for their finance teams.</t>
  </si>
  <si>
    <t>Accel(Luca Bocchio), Bpifrance, Creandum, Eight Roads, Hexa, Lakestar(Georgia Watson)</t>
  </si>
  <si>
    <t>api access, api toolkit, bank service provider, banking api tool, embedded finance, enterprise architecture, financial api, financial platform api, financial service infrastructure, financial services infrastructure, issuing wallets</t>
  </si>
  <si>
    <t>FinTech, SaaS</t>
  </si>
  <si>
    <t>Montreuil, France</t>
  </si>
  <si>
    <t>283673-44T</t>
  </si>
  <si>
    <t>Zaion</t>
  </si>
  <si>
    <t>Business/Productivity Software, Communication Software*</t>
  </si>
  <si>
    <t>Developer of an AI-powered conversational platform designed to optimize customer relations. The company's platform automates conversations with intelligence and offers voice customer relationship processing using remote advisors to process requests, enabling businesses to build personalized relationships and get instantaneous responses with improved customer satisfaction and reduced operational costs.</t>
  </si>
  <si>
    <t>115K(Benoît Descoqs)</t>
  </si>
  <si>
    <t>chat tool, chatbot platform, communication integrator, conversational ai, customer relationship management, customer satisfaction tools, messaging bot, natural language technology</t>
  </si>
  <si>
    <t>Communication Software</t>
  </si>
  <si>
    <t>283523-23T</t>
  </si>
  <si>
    <t>Clovis</t>
  </si>
  <si>
    <t>Business/Productivity Software*, Communication Software</t>
  </si>
  <si>
    <t>Developer of a project management tool designed to help construction and real estate professionals to communicate with each other. The company's platform offers an exchange gateway between teams and arranges information flow from the beginning of projects along without the heavy processing of documents and contracts, enabling construction professionals to secure and classify information flow smoothly.</t>
  </si>
  <si>
    <t>Tomcat Capital, welovefounders</t>
  </si>
  <si>
    <t>document-processing system, project collaboration, project collaboration services, project management, project management system, team communication</t>
  </si>
  <si>
    <t>Construction Technology, Real Estate Technology</t>
  </si>
  <si>
    <t>Clichy, France</t>
  </si>
  <si>
    <t>283391-65T</t>
  </si>
  <si>
    <t>Le Fourgon</t>
  </si>
  <si>
    <t>Application Software, Business/Productivity Software*, Other Services (B2C Non-Financial)</t>
  </si>
  <si>
    <t>Provider of delivery services intended to deliver drinks of various types to the homes of consumers. The company distributes a range of milk, water, beers, wine, fruit juice, and sodas in its recyclable bins and then drops off the new order and collects the empty crates and bottles at the time of the next order, enabling consumers to get their drinks delivered quickly and also contribute to an ecologically sustainable delivery system.</t>
  </si>
  <si>
    <t>Bred, Future Positive Capital, Id4 Ventures, La Poste Groupe, Noshaq, Teampact Ventures</t>
  </si>
  <si>
    <t>delivery service, drinks delivery, home delivery, home delivery service, juice delivery, last mile delivery, milk delivery, recycling service</t>
  </si>
  <si>
    <t>CleanTech, LOHAS &amp; Wellness, Manufacturing, Mobile</t>
  </si>
  <si>
    <t>Wambrechies, France</t>
  </si>
  <si>
    <t>283393-27T</t>
  </si>
  <si>
    <t>Naboo</t>
  </si>
  <si>
    <t>Business/Productivity Software, Human Capital Services*, Media and Information Services (B2B), Other Restaurants, Hotels and Leisure</t>
  </si>
  <si>
    <t>Operator of a venue reservation platform intended to help organizations to replace the traditional corporate working culture. The company's platform offers a mini-social network that helps organizations manage all aspects of the reservation, synchronize the availabilities of the employees concerned and organize the stay with related services, enabling organizations to give more freedom and flexibility to employees, while preserving the collective and the corporate culture.</t>
  </si>
  <si>
    <t>ISAI, Notion Capital(Itxaso del Palacio), Ternel</t>
  </si>
  <si>
    <t>corporate travel, employee healthcare, remote working solutions, reservation management, team building, venue reservation, venue reservation platform</t>
  </si>
  <si>
    <t>Human Capital Services</t>
  </si>
  <si>
    <t>283467-79T</t>
  </si>
  <si>
    <t>Wallace Technologies</t>
  </si>
  <si>
    <t>Other Equipment*</t>
  </si>
  <si>
    <t>Energy Equipment</t>
  </si>
  <si>
    <t>Energy</t>
  </si>
  <si>
    <t>Developer of heat exchangers designed to optimize energy efficiency. The company offers a plug-and-play, lithium-free, recyclable, and reusable energy storage equipment compatible with any electrical installation that guarantees a completely autonomous electricity supply within an integrated optimized life cycle, enabling clients to increase the size of their renewable energy projects, maximize profits, minimize energy costs, and increase storage efficiency.</t>
  </si>
  <si>
    <t>Bpifrance, Saint-Etienne Business Angels 42</t>
  </si>
  <si>
    <t>alternative energy storage, carnot battery, electricity converter, electricity supply, energy costs saving, energy efficiency, energy efficiency optimization, heat exchanger, renewable energy producer, reusable energy</t>
  </si>
  <si>
    <t>Other Equipment</t>
  </si>
  <si>
    <t>CleanTech</t>
  </si>
  <si>
    <t>Clermont-Ferrand, France</t>
  </si>
  <si>
    <t>283255-57T</t>
  </si>
  <si>
    <t>Keey Aerogel</t>
  </si>
  <si>
    <t>Building Products, Other Commercial Products, Other Materials*</t>
  </si>
  <si>
    <t>Other Materials</t>
  </si>
  <si>
    <t>Materials and Resources</t>
  </si>
  <si>
    <t>Provider of silica aerogels intended to produce aerogel materials. The company offers high-value valorization of silica-containing construction and demolition waste for energy-efficient buildings construction and refurbishment as well as for other industrial applications, enabling organizations to get a new nanoporous material that provides thermal insulation in ambient conditions.</t>
  </si>
  <si>
    <t>Bpifrance, Capital Grand Est, NCI France, Wind Capital</t>
  </si>
  <si>
    <t>aerogel material, aerogel production, nanoporous modification technology, nanoporous silica, nanoporous technology, silica aerogel</t>
  </si>
  <si>
    <t>France</t>
  </si>
  <si>
    <t>283138-39T</t>
  </si>
  <si>
    <t>Hexana</t>
  </si>
  <si>
    <t>Small Modular Reactors</t>
  </si>
  <si>
    <t>Energy Production*</t>
  </si>
  <si>
    <t>Exploration, Production and Refining</t>
  </si>
  <si>
    <t>Operator of small modular reactors intended to reduce the volume of nuclear waste. The company offers a sodium-cooled fast neutron reactor, integrated with a high-temperature storage device, enabling the energy industry to have flexible electricity production on demand and provide process heat directly.</t>
  </si>
  <si>
    <t>Blast.Club(Anthony Bourbon), CEA Investissement, Eren Industries, Région Sud Investissement(Pierre Joubert)</t>
  </si>
  <si>
    <t>energy industry, nuclear energy, nuclear energy plant, nuclear reactor, nuclear reactor equipment, nuclear waste</t>
  </si>
  <si>
    <t>Energy Production</t>
  </si>
  <si>
    <t>Aix-en-Provence, France</t>
  </si>
  <si>
    <t>282839-50T</t>
  </si>
  <si>
    <t>BCHEF</t>
  </si>
  <si>
    <t>Food Products, Other Restaurants, Hotels and Leisure, Restaurants and Bars*</t>
  </si>
  <si>
    <t>Operator of a French fast-food restaurant chain intended to provide high-quality and affordable burgers and pastries. The company's platform offers a variety of food options including burgers, bagels, salads, pastries and beverages, enabling customers to enjoy a delicious and convenient meal.</t>
  </si>
  <si>
    <t>Alexis Bourdon(Alexis Bourdon), Elevation Capital (Canada), FoodXpert, Inter Invest</t>
  </si>
  <si>
    <t>american pastry, bagels shops, burgers food, coffee shop, fast food restaurant, fast food shop</t>
  </si>
  <si>
    <t>Restaurants and Bars</t>
  </si>
  <si>
    <t>Courbevoie, France</t>
  </si>
  <si>
    <t>282721-51T</t>
  </si>
  <si>
    <t>4elements</t>
  </si>
  <si>
    <t>Consulting Services (B2B), Education and Training Services (B2B), Private Equity*</t>
  </si>
  <si>
    <t>Capital Markets/Institutions</t>
  </si>
  <si>
    <t>Financial Services</t>
  </si>
  <si>
    <t>Provider of venture building and investment services intended to foster entrepreneurship and drive the transition towards a resilient and sustainable world. The company offers financial backing, resources, and connections with experienced entrepreneurs and investors, enabling impact-driven companies to scale their tech-based initiatives and accelerate the shift to a more sustainable future.</t>
  </si>
  <si>
    <t>European Investment Bank (Luxembourg)</t>
  </si>
  <si>
    <t>financial backing, financial backing service, investment services company, private equity company, venture builder company, venture building, venture building platform, venture capital firm, venture studio, venture studio company, venture studio management</t>
  </si>
  <si>
    <t>Private Equity</t>
  </si>
  <si>
    <t>Le Bourget-Du-Lac, France</t>
  </si>
  <si>
    <t>282703-69T</t>
  </si>
  <si>
    <t>Aisprid</t>
  </si>
  <si>
    <t>Other Agriculture, Other Hardware*</t>
  </si>
  <si>
    <t>Manufacturer of autonomous robots intended to promote local fruits and vegetable production. The company specializes in drones and other electronic equipment that offer a new dimension to horticulture for harvesting and soft picking of fragile fruits and veggies like strawberries and tomatoes, enabling farm owners to tackle labor shortages.</t>
  </si>
  <si>
    <t>Bpifrance(Clémentine Cazenave), Demeter Partners, GO Capital (France), Innovacom (Paris), UI Investissement</t>
  </si>
  <si>
    <t>agricultural robotics, autonomous agriculture, autonomous drones systems, autonomous machine, farming robot, farming technology tools, intelligent robotics, precision ag, precision agriculture, robotics farming</t>
  </si>
  <si>
    <t>Other Hardware</t>
  </si>
  <si>
    <t>AgTech, Artificial Intelligence &amp; Machine Learning, Manufacturing, Robotics and Drones, Supply Chain Tech</t>
  </si>
  <si>
    <t>Saint-Malo, France</t>
  </si>
  <si>
    <t>285201-64T</t>
  </si>
  <si>
    <t>TERRA Distillerie</t>
  </si>
  <si>
    <t>Beverages*</t>
  </si>
  <si>
    <t>Consumer Non-Durables</t>
  </si>
  <si>
    <t>Manufacturer of a vodka liquor based in Fléchin, France. The company is currently operating in Stealth mode.</t>
  </si>
  <si>
    <t>IRD Invest(Laurent Thorez)</t>
  </si>
  <si>
    <t>beverages wine, liquor manufacturer, stealth entity, stealth product, stealth services, vodka drink</t>
  </si>
  <si>
    <t>Beverages</t>
  </si>
  <si>
    <t>Fléchin, France</t>
  </si>
  <si>
    <t>282816-55T</t>
  </si>
  <si>
    <t>XXII</t>
  </si>
  <si>
    <t>Developer of a video analysis platform designed for deploying and configuring algorithms for video stream analysis. The company's platform measures the benefits of video analysis and allows clients to create new tools and new uses of their algorithms, helping clients improve operational performance with their real-time video analysis platform.</t>
  </si>
  <si>
    <t>Sopra Steria Group (PAR: SOP)</t>
  </si>
  <si>
    <t>abi custom application, analytics platform, computer vision, site optimization, smart infrastructure, video analysis software, video stream analysis, video surveillance</t>
  </si>
  <si>
    <t>Puteaux, France</t>
  </si>
  <si>
    <t>282644-11T</t>
  </si>
  <si>
    <t>Karmen</t>
  </si>
  <si>
    <t>Financial Software, Other Financial Services, Specialized Finance*</t>
  </si>
  <si>
    <t>Other Financial Services</t>
  </si>
  <si>
    <t>Developer of a financial platform intended to help accelerate the growth of companies. The company's platform offers short-term loans for growth projects, inventory, marketing budget, and supplier payments, all in just a few clicks into the bank account, enabling enterprises to sustain and scale their businesses.</t>
  </si>
  <si>
    <t>Seventure Partners, Takara Capital</t>
  </si>
  <si>
    <t>business financing, commercial finance, growth capital, inventory financing, short term loan, working capital loan</t>
  </si>
  <si>
    <t>Specialized Finance</t>
  </si>
  <si>
    <t>Vincennes, France</t>
  </si>
  <si>
    <t>278762-41T</t>
  </si>
  <si>
    <t>Hyperline (Financial Software)</t>
  </si>
  <si>
    <t>Application Software, Business/Productivity Software, Financial Software*, Other Financial Services</t>
  </si>
  <si>
    <t>Developer of an end-to-end billing platform intended to manage all financial operations. The company's platform provides a simple way to make software-as-a-service payments, with no code pricing iterations and their application programming interface handles all the events, computes customers' billing accurately and allows to simulate changes impact based on historical data, enabling businesses to make payments easily and effectively and focus on their core activities.</t>
  </si>
  <si>
    <t>Adelie, Index Ventures</t>
  </si>
  <si>
    <t>accounting software, automated billing software, b2b payment, billing software, financial operation, financial operation management, financial payment, revenue management system</t>
  </si>
  <si>
    <t>B2B Payments, FinTech, SaaS</t>
  </si>
  <si>
    <t>282473-92T</t>
  </si>
  <si>
    <t>Mob-Energy</t>
  </si>
  <si>
    <t>Electric Vehicle Charging Infrastructure</t>
  </si>
  <si>
    <t>Alternative Energy Equipment, Other Utilities*</t>
  </si>
  <si>
    <t>Utilities</t>
  </si>
  <si>
    <t>Developer of electric vehicle charging technology designed for electric vehicle systems. The company's technology incorporates second-life batteries that are installed in a car park and the robot stores energy and moves autonomously to vehicles that have ordered a refill, enabling clients to charge their parked cars easily.</t>
  </si>
  <si>
    <t>Tikehau Capital (PAR: TKO)</t>
  </si>
  <si>
    <t>charging solutions, climate tech company, electric power, electric vehicle, electric vehicles- utility, ev charging, vehicle charging device, vehicle charging systems</t>
  </si>
  <si>
    <t>Other Utilities</t>
  </si>
  <si>
    <t>CleanTech, Climate Tech, Robotics and Drones</t>
  </si>
  <si>
    <t>Venissieux, France</t>
  </si>
  <si>
    <t>282186-28T</t>
  </si>
  <si>
    <t>Maki (Business/Productivity Software)</t>
  </si>
  <si>
    <t>Business/Productivity Software*, Human Capital Services</t>
  </si>
  <si>
    <t>Developer of a skills assessment platform designed to reduce time-to-hire. The company's tool offers to create, design, and customize assessments with a fully branded experience for applicants, relevant skills for successful hires, a friendly interface with free text, document upload, or video interactions to review results and compare their performance, enabling recruiters to interact and hire the ideal candidate.</t>
  </si>
  <si>
    <t>Blossom Capital(Ophelia Brown), DST Global, Frst Capital, Global Family Capital, Picus Capital</t>
  </si>
  <si>
    <t>candidate assessment, enterprise resource planning, hire talent software, hiring platform, human capital management, recruitment application, recruitment application software</t>
  </si>
  <si>
    <t>HR Tech, SaaS</t>
  </si>
  <si>
    <t>282253-69T</t>
  </si>
  <si>
    <t>Shippeo</t>
  </si>
  <si>
    <t>Series C1</t>
  </si>
  <si>
    <t>Business/Productivity Software*, Logistics</t>
  </si>
  <si>
    <t>Developer of a supply chain platform designed for real-time and multimodal transportation visibility. The company's platform integrates with transportation management systems, telematics products, and electronic logging device technology among other data sources to give real-time location data, delivery tracking, and a proprietary algorithm to calculate a shipment's estimated time of arrival, enabling companies to lower the transportation costs, increase customer satisfaction, and achieve more sustainable operations.</t>
  </si>
  <si>
    <t>Battery Ventures(Michael Brown), Bpifrance(Clémentine Cazenave), LFX Venture Partners, NGP Capital(Bo Ilsøe), Partech(Philippe Collombel), Shift4Good, Woven Capital, Yamaha Motor Ventures &amp; Laboratory Silicon Valley</t>
  </si>
  <si>
    <t>7th Round</t>
  </si>
  <si>
    <t>ecommerce personalization, fleet monitoring, fleet tracking, freight tracking, industrial data analytics, mobility tech, real time tracking, supply chain monitoring, supply chain platform, supply chain tech, tracking service, vertical application</t>
  </si>
  <si>
    <t>Advanced Manufacturing, Artificial Intelligence &amp; Machine Learning, Big Data, Mobility Tech, SaaS, Supply Chain Tech</t>
  </si>
  <si>
    <t>282075-76T</t>
  </si>
  <si>
    <t>Bioptimus</t>
  </si>
  <si>
    <t>Developer of a universal artificial intelligence foundation model designed to drive scientific research and biotechnological innovation. The company's model connects the different scales of biology with generative AI, from molecules to cells, tissues, and whole organisms and transforms multiscale data into actionable representations, enabling businesses to transform multiscale data into actionable representations to fuel breakthrough discoveries.</t>
  </si>
  <si>
    <t>Andera Partners, Boom Capital Ventures, Bpifrance(Clémentine Cazenave), Cathay Innovation, Emmanuel Cassimatis(Emmanuel Cassimatis), Hitachi Ventures, Pomifer Capital, Sofinnova Partners(Edward Kliphuis), Sunrise Capital, Thomas Wolf</t>
  </si>
  <si>
    <t>artificial intelligence, biology platform, biology research, biology tools, cell system, foundation model, generative ai, tissue cure</t>
  </si>
  <si>
    <t>282076-48T</t>
  </si>
  <si>
    <t>Leakmited</t>
  </si>
  <si>
    <t>Business/Productivity Software*, Environmental Services (B2B), Media and Information Services (B2B), Other Commercial Services</t>
  </si>
  <si>
    <t>Developer of leak detector technology intended to locate water leaking pipes using satellite images and artificial intelligence. The company's technology offers collection of the client's geographical information system, processing of the data using satellite imagery and artificial intelligence algorithms, and providing locations of breakdowns and leakages, enabling clients to reduce non-revenue water by finding leaks and by predicting risky pipes.</t>
  </si>
  <si>
    <t>Banque des Territoires, Starquest Capital(Quentin Simon)</t>
  </si>
  <si>
    <t>ai automation platform, satellite communication, satellite imagery, water infrastructure, water infrastructure management, water leak detection, water leak locator</t>
  </si>
  <si>
    <t>Artificial Intelligence &amp; Machine Learning, CleanTech, SaaS</t>
  </si>
  <si>
    <t>282072-70T</t>
  </si>
  <si>
    <t>Robeauté</t>
  </si>
  <si>
    <t>Other Healthcare Technology Systems, Surgical Devices*</t>
  </si>
  <si>
    <t>Developer of a sub-millimetric medical device designed to diagnose and treat neuropathologies. The company's device is a nanobot that is smaller than a human cell that can enter the brain, navigate through tissues and cells and reach the targeted area without causing trauma, while the nanoelectronics included in the device lets it send critical information back to neuroscientists, enabling neurologists to get a device that can reach the human brain to treat neurological diseases and brain tumors.</t>
  </si>
  <si>
    <t>APEX Ventures(Diana Rottger), Brainlab, Cherry Ventures(Filip Dames), Kindred Ventures, Phoenix Court, Plural Platform, Springboard Health Angels, Think.Health</t>
  </si>
  <si>
    <t>blood brain barrier, human brain, medical device, medical device firm, micro robots, neurosurgical device, robotics therapy</t>
  </si>
  <si>
    <t>Surgical Devices</t>
  </si>
  <si>
    <t>Artificial Intelligence &amp; Machine Learning, Nanotechnology</t>
  </si>
  <si>
    <t>281726-11T</t>
  </si>
  <si>
    <t>Coave Therapeutics</t>
  </si>
  <si>
    <t>Biotechnology, Drug Delivery, Drug Discovery*</t>
  </si>
  <si>
    <t>Developer of genetic medicine technologies intended to address neurodegenerative diseases through targeted therapies. The company's platform is useful for delivering low doses of therapeutic genes like GBA1 and TFEB directly to the central nervous system, enhancing autophagy and lysosomal function, enabling researchers and healthcare providers to develop effective treatments for conditions such as ALS and other related disorders while improving patient outcomes and quality of life.</t>
  </si>
  <si>
    <t>Bpifrance(Jean-Francois Morin), Fund+, Kurma Partners(Thierry Laugel), Novo Holdings(Emmanuelle Coutanceau), Omnes Capital, Seroba Life Sciences(Bruno Montanari), The Invus Group, Turenne Groupe, UI Investissement</t>
  </si>
  <si>
    <t>adeno associated virus, biotechnology company, eye ailments, gene delivery, gene therapy, retina disease treatment, retinal therapy</t>
  </si>
  <si>
    <t>Drug Discovery</t>
  </si>
  <si>
    <t>281709-01T</t>
  </si>
  <si>
    <t>Curlim</t>
  </si>
  <si>
    <t>Drug Discovery*</t>
  </si>
  <si>
    <t>Operator of a drug technology company intended to treat peripheral neuropathies. The company's technology uses cellulose nanocrystals for enhanced penetration of curcumin into cells, the solubilization and protection of curcumin by beta-cyclodextrin, and a significant increase in curcumin's bloodstream lifespan, enabling clients to reduce the risk of peripheral neuropathies.</t>
  </si>
  <si>
    <t>Nouvelle Aquitaine Co-Investissement</t>
  </si>
  <si>
    <t>drug development, drug technology, nano technological, neuropathy cure, neuropathy therapy, neuropathy treatment</t>
  </si>
  <si>
    <t>Nanotechnology</t>
  </si>
  <si>
    <t>Limoges, France</t>
  </si>
  <si>
    <t>283225-78T</t>
  </si>
  <si>
    <t>TeO (Business/Productivity Software)</t>
  </si>
  <si>
    <t>Developer of a management software designed to streamline organizational activities such as appointments, invoicing, and data analysis. The company offers a configurable platform with tools for project management, HR tracking, and communication, enabling clients to improve efficiency and collaboration.</t>
  </si>
  <si>
    <t>Ring Capital(Pierre-Alexis de Vauplane)</t>
  </si>
  <si>
    <t>crm system, customer management service, data analysis tool, invoicing process, management software, skill assessment tools, task management system</t>
  </si>
  <si>
    <t>Maisons-Laffitte, France</t>
  </si>
  <si>
    <t>284293-27T</t>
  </si>
  <si>
    <t>Craft.AI</t>
  </si>
  <si>
    <t>Actual</t>
  </si>
  <si>
    <t>Business/Productivity Software*, Media and Information Services (B2B)</t>
  </si>
  <si>
    <t>Developer of an artificial intelligence platform intended to offer a personalized experience to each user and automate complex tasks. The company's platform is powered by a visual editor and a simple application program interface, enabling clients to easily design and integrate contextualized and personalized automation within their applications.</t>
  </si>
  <si>
    <t>Bpifrance(Clémentine Cazenave), Talis Equity</t>
  </si>
  <si>
    <t>ai cores, analytics platform, artificial intelligence platform, data analytics, deep learning platform, generative ai, generative ai platform, machine learning platform, mlops platform</t>
  </si>
  <si>
    <t>Artificial Intelligence &amp; Machine Learning, Big Data, SaaS</t>
  </si>
  <si>
    <t>281391-04T</t>
  </si>
  <si>
    <t>BforeAI</t>
  </si>
  <si>
    <t>Network Management Software*</t>
  </si>
  <si>
    <t>Developer of a predictive cybersecurity platform designed for preemptive threat detection and prevention. The company's platform uses AI-powered analytics to autonomously predict, block, and preempt malicious campaigns, detect unusual behavior patterns, and identify spoofed domains, enabling businesses to stay ahead of threats, protect their brand, and minimize the risk of cyber attacks.</t>
  </si>
  <si>
    <t>Addendum Capital, Karista (Paris), SYN Ventures(Jay Leek), Titanium Ventures(Marcus Bartram)</t>
  </si>
  <si>
    <t>cyber crime software, cyber security application, cybersecurity platform, data security, digital risk protection, malicious attacks, predictive security, threat intelligence</t>
  </si>
  <si>
    <t>Artificial Intelligence &amp; Machine Learning, Cybersecurity</t>
  </si>
  <si>
    <t>281717-47T</t>
  </si>
  <si>
    <t>Alteia</t>
  </si>
  <si>
    <t>Developer of a visual intelligence platform designed to provide enterprise artificial intelligence applications. The company's platform provides a comprehensive software environment rendering instant access to unified, contextualized data and high-value artificial intelligence applications, enabling companies to make better business decisions for a more sustainable future.</t>
  </si>
  <si>
    <t>Ankaa Ventures</t>
  </si>
  <si>
    <t>ai cores, analytics platform, computer vision, contextualized data, enterprise system, flexible architecture, visual intelligence platform, visual intelligence software</t>
  </si>
  <si>
    <t>Labege, France</t>
  </si>
  <si>
    <t>282627-37T</t>
  </si>
  <si>
    <t>Asap.work</t>
  </si>
  <si>
    <t>Application Software, Human Capital Services*</t>
  </si>
  <si>
    <t>Operator of a staffing agency intended for recruiting temporary profiles in the construction industry. The company's agency helps construction professionals register themselves in order to find new assignments and also offers personalized support to find assignments that match users' criteria, enabling clients to connect construction companies with qualified temporary profiles.</t>
  </si>
  <si>
    <t>Singular.</t>
  </si>
  <si>
    <t>hire service provider, recruitment process management, recruitment processing platform, staffing agency, staffing agency operator, staffing agency platform, staffing agency software</t>
  </si>
  <si>
    <t>Industrials</t>
  </si>
  <si>
    <t>282458-17T</t>
  </si>
  <si>
    <t>Cometh (Entertainment Software)</t>
  </si>
  <si>
    <t>Decentralized Finance, Blockchain Gaming, NFTs</t>
  </si>
  <si>
    <t>Entertainment Software*</t>
  </si>
  <si>
    <t>Developer of a blockchain game designed to focus on developing a decentralized finance (Defi) backed spaceship game. The company's game allows users to explore the galaxy and collect spaceship non-fungible tokens (NFTs) and other valuable assets that can be later traded by users, enabling players to collect unique game items and gain financially through asset transactions.</t>
  </si>
  <si>
    <t>Daedalus Angels, Delta Blockchain Fund</t>
  </si>
  <si>
    <t>blockchain games, blockchain games earning, blockchain gaming, gaming content, gaming publisher, gaming studio, metaverse and gaming</t>
  </si>
  <si>
    <t>Entertainment Software</t>
  </si>
  <si>
    <t>Cryptocurrency/Blockchain, Gaming</t>
  </si>
  <si>
    <t>282487-06T</t>
  </si>
  <si>
    <t>Copains (Food Products)</t>
  </si>
  <si>
    <t>Food Products*, Restaurants and Bars</t>
  </si>
  <si>
    <t>Producer of gourmet bakery and pastry items intended to offer a Mediterranean-inspired approach to healthy eating. The company provides quality cuisine, eco-responsible practices, and innovative points of sale, enabling health-conscious individuals to enjoy a long-term relationship with delicious, sustainable food.</t>
  </si>
  <si>
    <t>Odyssee Venture</t>
  </si>
  <si>
    <t>bakery and pastry, bakery items, bakery outlet, bread pans, coffee shop, pancake house, pastrie producer, pastry food, roasted coffee product</t>
  </si>
  <si>
    <t>Food Products</t>
  </si>
  <si>
    <t>282526-21T</t>
  </si>
  <si>
    <t>Ecklo</t>
  </si>
  <si>
    <t>Sustainable Packaging</t>
  </si>
  <si>
    <t>Environmental Services (B2B)*, Logistics</t>
  </si>
  <si>
    <t>Manufacturer of pallet covers intended to reduce environmental impact in logistics. The company specializes in reusable, repairable covers, and height adaptability. and quick installation, enabling businesses to decrease carbon dioxide emissions and waste while optimizing operational efficiency.</t>
  </si>
  <si>
    <t>Marco &amp; Co, Sharpstone Capital</t>
  </si>
  <si>
    <t>compact design, easy installation, logistics efficiency, recycled material, sustainable packaging, waste reduction</t>
  </si>
  <si>
    <t>Environmental Services (B2B)</t>
  </si>
  <si>
    <t>Manufacturing</t>
  </si>
  <si>
    <t>Cergy, France</t>
  </si>
  <si>
    <t>282221-02T</t>
  </si>
  <si>
    <t>EKTAH</t>
  </si>
  <si>
    <t>Biotechnology*, Other Healthcare Technology Systems</t>
  </si>
  <si>
    <t>Operator of a biotechnology company intended to develop therapeutic solutions to reduce body weight. The company's platform identifies and develops novel molecules that target specific biological pathways involved in weight regulation, enabling people to access innovative treatments for obesity.</t>
  </si>
  <si>
    <t>UI Investissement</t>
  </si>
  <si>
    <t>biotech company, obesity treatment, pharmaceutical research, weight loss, weight loss tools, weight management</t>
  </si>
  <si>
    <t>HealthTech, Life Sciences, LOHAS &amp; Wellness</t>
  </si>
  <si>
    <t>Dijon, France</t>
  </si>
  <si>
    <t>283710-52T</t>
  </si>
  <si>
    <t>Fungu'It</t>
  </si>
  <si>
    <t>Food Products*, Other Consumer Non-Durables</t>
  </si>
  <si>
    <t>Producer of sustainable food ingredients intended to offer a range of clean food sources. The company offers a range of clean and healthy ingredients derived from solid fermentation of agricultural by-products and filamentous, enabling consumers with a natural and complete source of plant protein, making it accessible to all.</t>
  </si>
  <si>
    <t>agricultural products, fermentation method, filamentous fungi, food ingredients, food system, plant protein</t>
  </si>
  <si>
    <t>282480-49T</t>
  </si>
  <si>
    <t>Galam Robotics</t>
  </si>
  <si>
    <t>Other Hardware*</t>
  </si>
  <si>
    <t>Developer of modular robotics technology designed to transform trades and urban logistics. The company's technology increases the productivity and compactness of stores or logistics hubs and transforms storage into constrained spaces, enabling clients to optimize storage capacity while maximizing their input and output flows.</t>
  </si>
  <si>
    <t>Supernova Invest</t>
  </si>
  <si>
    <t>automation industry, logistics hub, modular robotic systems, modular robotics, modular storage, robotic technology, urban logistics</t>
  </si>
  <si>
    <t>Robotics and Drones</t>
  </si>
  <si>
    <t>281322-73T</t>
  </si>
  <si>
    <t>Gen-Hy</t>
  </si>
  <si>
    <t>Hydrogen Energy</t>
  </si>
  <si>
    <t>Alternative Energy Equipment*</t>
  </si>
  <si>
    <t>Manufacturer of energy production systems intended to produce efficient hydrogen solutions. The company's systems cover the entire hydrogen value chain, from hydrogen production using decarbonated energy, to its end use in green mobility and energy supply, by optimizing renewable energy storage, enabling clients to avail safe, efficient, and cost-effective technology for on-site hydrogen production.</t>
  </si>
  <si>
    <t>Saint-Gobain NOVA</t>
  </si>
  <si>
    <t>clean mobility, energy production device, energy production unit, hydrogen energy, renewable energy, renewable energy farming</t>
  </si>
  <si>
    <t>Alternative Energy Equipment</t>
  </si>
  <si>
    <t>CleanTech, Manufacturing</t>
  </si>
  <si>
    <t>Orly, France</t>
  </si>
  <si>
    <t>283390-48T</t>
  </si>
  <si>
    <t>Globeholder AI</t>
  </si>
  <si>
    <t>Operator of a geospatial foundation model technology intended to encode complex geographical data into high-dimensional embeddings. The company offers architecture that captures fractal geometry through learnable coordinate projections and omni-scale spatial attention mechanisms, enabling clients to enhance decision-making and operations with sophisticated analysis.</t>
  </si>
  <si>
    <t>Space Capital</t>
  </si>
  <si>
    <t>artificial intelligence technology, coordinate tracker, geospatial analytics, geospatial technology, geospatial technology service, spatial analysis</t>
  </si>
  <si>
    <t>285358-06T</t>
  </si>
  <si>
    <t>Helios (Paris)</t>
  </si>
  <si>
    <t>Regenerative Agriculture</t>
  </si>
  <si>
    <t>Consumer Finance, Financial Software*</t>
  </si>
  <si>
    <t>Operator of a financial services platform intended to offer alternative and sustainable banking options. The company's platform offers a transparent banking model as well as finances projects that make a concrete contribution to ecological transition such as local production, plastic recycling, renewable energies, regenerative agriculture, circular economy, low-carbon transport, and more, enabling clients with a current account that allows sustainably managing money.</t>
  </si>
  <si>
    <t>OneRagtime</t>
  </si>
  <si>
    <t>banking services, climate finance, credit and banking, digital banking, financial services company, fintech technology, payment wallet, sustainable banking services</t>
  </si>
  <si>
    <t>FinTech, Mobile, SaaS</t>
  </si>
  <si>
    <t>283714-84T</t>
  </si>
  <si>
    <t>INCeres (Aix-en-Provence)</t>
  </si>
  <si>
    <t>Biotechnology, Other Agriculture*</t>
  </si>
  <si>
    <t>Agriculture</t>
  </si>
  <si>
    <t>Developer of agricultural bio solutions designed to develop natural alternatives for sustainable agriculture. The company engages in research and development of innovative biological solutions, offering services dedicated to bringing these solutions to market, enabling farmers and agricultural industries to reduce chemical inputs while ensuring effective pest management and ecosystem preservation.</t>
  </si>
  <si>
    <t>Made For All</t>
  </si>
  <si>
    <t>agricultural chemicals, agricultural research, agricultural sector, biological solutions, farmers care, sustainable agriculture</t>
  </si>
  <si>
    <t>Other Agriculture</t>
  </si>
  <si>
    <t>Arbois, France</t>
  </si>
  <si>
    <t>282238-21T</t>
  </si>
  <si>
    <t>Lithosquare</t>
  </si>
  <si>
    <t>OVNI Capital</t>
  </si>
  <si>
    <t>283584-43T</t>
  </si>
  <si>
    <t>Metreecs</t>
  </si>
  <si>
    <t>Business/Productivity Software*, Other Commercial Services</t>
  </si>
  <si>
    <t>Developer of an artificial intelligence-powered inventory management platform designed to optimize stock levels and improve retail efficiency. The company platform offers automated forecasting, real-time rebalancing, and predictive analytics, enabling retailers to minimize overstock, prevent stockouts, and maximize sales performance.</t>
  </si>
  <si>
    <t>Kima Ventures, Monte Carlo Capital</t>
  </si>
  <si>
    <t>automated forecasting, cost saving, demand forecasting, inventory optimization, machine learning, software development</t>
  </si>
  <si>
    <t>Artificial Intelligence &amp; Machine Learning, LOHAS &amp; Wellness</t>
  </si>
  <si>
    <t>Tigery, France</t>
  </si>
  <si>
    <t>281702-98T</t>
  </si>
  <si>
    <t>Nature et Résidence Loisirs Group</t>
  </si>
  <si>
    <t>Hotels and Resorts*</t>
  </si>
  <si>
    <t>Provider of outdoor hospitality services intended to offer staying and adventurous experience. The company offers various destinations, campsites with exemplary rental management, lodge tents, online booking technology, and cleanliness and quality of service, enabling customers to enjoy a high-quality vacation experience.</t>
  </si>
  <si>
    <t>Sodero</t>
  </si>
  <si>
    <t>camping experience, online booking system, outdoor adventures, outdoor hospitality, rental management, rental stay platform, sustainable hospitality</t>
  </si>
  <si>
    <t>Hotels and Resorts</t>
  </si>
  <si>
    <t>Restaurant Technology</t>
  </si>
  <si>
    <t>Anglet, France</t>
  </si>
  <si>
    <t>281585-26T</t>
  </si>
  <si>
    <t>Terratis</t>
  </si>
  <si>
    <t>Other Services (B2C Non-Financial)*</t>
  </si>
  <si>
    <t>Services (Non-Financial)</t>
  </si>
  <si>
    <t>Operator of a prevention platform intended to reduce harmful insect populations using the Sterile Insect Technique. The company offers sterilized male insects, regular releases, and a chemical-free method, enabling public health authorities and agricultural sectors to manage pest populations in an environmentally sustainable manner.</t>
  </si>
  <si>
    <t>agricultural pest control, agricultural pesticides, biological control, insects care, mosquito control, pest control, sustainable pest</t>
  </si>
  <si>
    <t>Other Services (B2C Non-Financial)</t>
  </si>
  <si>
    <t>Montpellier, France</t>
  </si>
  <si>
    <t>282942-91T</t>
  </si>
  <si>
    <t>Whoz</t>
  </si>
  <si>
    <t>Business/Productivity Software*, Human Capital Services, Other Commercial Services</t>
  </si>
  <si>
    <t>Developer of staffing and talent management software designed to serve professional services companies, IT services companies, consulting and auditing firms, as well as IT departments for large companies. The company's software specializes in human resource management, sales management, and data predictive analysis, enabling companies to optimize and digitalize all the stages of the staffing cycle.</t>
  </si>
  <si>
    <t>ISAI</t>
  </si>
  <si>
    <t>data predictive analysis, demand management, enterprise resource planning, human capital management, management consuting, professional services, resource management tool, talent engagement</t>
  </si>
  <si>
    <t>284767-84T</t>
  </si>
  <si>
    <t>Hemerion</t>
  </si>
  <si>
    <t>Biotechnology*, Drug Discovery</t>
  </si>
  <si>
    <t>Operator of a biotechnology platform intended for cancer treatment. The company's platform develops therapeutic services at the crossroads of surgery and photonics with treatment based on a photosensitizing drug to help the healthcare industry with a drug-device combination therapy that selectively destroys cancer cells in areas inaccessible to classic surgery without harming healthy tissues, enabling healthcare professionals to address brain cancer and help patients in their fight against glioblastoma.</t>
  </si>
  <si>
    <t>Fira Group, Nord France Amorçage</t>
  </si>
  <si>
    <t>biotech company, biotechnology based, brain cancer drug, brain cancer treatment, chemistry, small molecule, therapeutics drugs, therapeutics treating</t>
  </si>
  <si>
    <t>Life Sciences, Oncology</t>
  </si>
  <si>
    <t>Villeneuve-d'Ascq, France</t>
  </si>
  <si>
    <t>280655-47T</t>
  </si>
  <si>
    <t>Formance</t>
  </si>
  <si>
    <t>Database Software, Financial Software*</t>
  </si>
  <si>
    <t>Developer of an open-source financial ledger designed to allow clients to build and scale money flows. The company's platform allows it to track funds movements between buyers and sellers, build currency, engage players in meta-game, and reconcile payments between multiple providers, enabling developers to build complex money flows while saving engineering time and reducing risk.</t>
  </si>
  <si>
    <t>Aaron Epstein(Aaron Epstein), Ashish Aggarwal(Ashish Aggarwal), Axeleo Capital, Dalton Caldwell(Dalton Caldwell), Hoxton Ventures, Hélène Falchier(Hélène Falchier), Mathieu Viallard(Mathieu Viallard), PayPal Ventures, Payton Dobbs(Payton Dobbs), Portage, Robert Kniaz(Robert Kniaz), Sagard, Victoire Lavigne(Victoire Lavigne), Y Combinator</t>
  </si>
  <si>
    <t>account statements, compliance reporting, developer tools, enterprise resource planning, financial management system, fintech application, ledger software, open source tool</t>
  </si>
  <si>
    <t>277071-58T</t>
  </si>
  <si>
    <t>Usual Labs</t>
  </si>
  <si>
    <t>Decentralized Finance, DAOs</t>
  </si>
  <si>
    <t>Other Financial Services*</t>
  </si>
  <si>
    <t>Developer of a decentralized stablecoin infrastructure designed to distribute ownership and enhance transparency in fiat-backed stablecoin issuance. The company offers fiat-backed stablecoins, including usd0 and usd0++, which integrate real-world assets like us treasury bills for secure, bankless accounts, enabling users to hold and earn yields on stablecoins with composability and permissionless access within the defi ecosystem.</t>
  </si>
  <si>
    <t>Amber Group, AVID3, Coinbase Ventures, Comfy Capital, Echo (Investor), Fasanara Capital, FunFair Ventures, Galaxy Ventures, GSR Ventures, Guy Young(Guy Young), Hypersphere Ventures, IOSG Ventures, Jed Breed, JPEG TradingTrading, Kraken Ventures, Krypital Group, LeadBlock Partners, OKX Ventures, Ondo, Phaedrus (United States), Psalion, Symbolic Capital, White Loop Capital, Wintermute, YZi Labs</t>
  </si>
  <si>
    <t>crypto infrastructure, dao tools, decentralized finance, financial freedom, protocol design, stablecoin system</t>
  </si>
  <si>
    <t>Cryptocurrency/Blockchain</t>
  </si>
  <si>
    <t>245856-43T</t>
  </si>
  <si>
    <t>Feels</t>
  </si>
  <si>
    <t>Flat Round</t>
  </si>
  <si>
    <t>Social Content, Social/Platform Software*</t>
  </si>
  <si>
    <t>Developer of a dating application designed to connect people online. The company's application finds out who likes the user nearby and connects the user with them without any swipe or dislike button, enabling clients to explore relaxed relationships without rules or labels, societal pressure, paternalistic injunctions, or traditional norms.</t>
  </si>
  <si>
    <t>HSD Capital</t>
  </si>
  <si>
    <t>dating portal, mobile app, online dating, people network, relationship builder, social network</t>
  </si>
  <si>
    <t>Social/Platform Software</t>
  </si>
  <si>
    <t>Auxerre, France</t>
  </si>
  <si>
    <t>280381-33T</t>
  </si>
  <si>
    <t>Matchers</t>
  </si>
  <si>
    <t>Education and Training Services (B2B)*, Educational Software</t>
  </si>
  <si>
    <t>Provider of integrated practical training services designed to support small to medium-sized companies in developing their teams' skills. The company's platform identifies available funding, matches businesses with industry experts, and creates tailor-made training programs, allowing businesses to enhance employee capabilities across various domains such as digital marketing, management, and human resources, ultimately boosting organizational performance and growth.</t>
  </si>
  <si>
    <t>IRDI Capital Investissement, Sofilaro</t>
  </si>
  <si>
    <t>administrative processes, business service company, consulting tools, operational project, operational training, training services</t>
  </si>
  <si>
    <t>Education and Training Services (B2B)</t>
  </si>
  <si>
    <t>Castelnau-le-Lez, France</t>
  </si>
  <si>
    <t>280553-59T</t>
  </si>
  <si>
    <t>Solar Cloth System</t>
  </si>
  <si>
    <t>Designer and manufacturer of photovoltaic fabrics designed to put an end to pollution and obsolescence. The company's products are made of thin CIGS photovoltaic film with a flexible, rollable, and foldable textile base unlike glass panels, enabling customers to reduce the consumption of electricity and choose an eco-friendly alternative.</t>
  </si>
  <si>
    <t>Rothschild &amp; Co</t>
  </si>
  <si>
    <t>intermittent renewable energy, photovoltaic film, photovoltaic panels, photovoltaic solar, solar equipment, solar panels, solar photovoltaic</t>
  </si>
  <si>
    <t>CleanTech, Climate Tech, LOHAS &amp; Wellness, Manufacturing</t>
  </si>
  <si>
    <t>Mandelieu-la-Napoule, France</t>
  </si>
  <si>
    <t>283618-18T</t>
  </si>
  <si>
    <t>Vibly</t>
  </si>
  <si>
    <t>Other Services (B2C Non-Financial), Social/Platform Software*</t>
  </si>
  <si>
    <t>Developer of a social application designed to address a dual problem on campuses. The company offers information about students and simplifies the daily life of student associations and connections with companies for them to directly reach the students through the platform, reduction of management errors for associations, limit cash flow losses and event management services, enabling clients to effectively promote their activities to students through news feeds, calendars, and messaging with notification sending.</t>
  </si>
  <si>
    <t>Bpifrance, CIC Lyonnaise de Banque, Pascal Hostachy(Pascal Hostachy)</t>
  </si>
  <si>
    <t>association management, event management service, social application, student association, student connection, student information</t>
  </si>
  <si>
    <t>Devecey, France</t>
  </si>
  <si>
    <t>280125-46T</t>
  </si>
  <si>
    <t>RMAN SYNC</t>
  </si>
  <si>
    <t>Developer of supplier relationship software designed to offer business management systems to retailers and distributors. The company aims to facilitate the sharing of information between companies, suppliers and customers to optimize purchasing strategies and thus helps to create the link between the purchasing department and the supply chain, enabling users to better manage their activities both at the strategic and operational level.</t>
  </si>
  <si>
    <t>Caisse d'Epargne, Normandie Participations</t>
  </si>
  <si>
    <t>collaboration system, demand forecasting, digital strategy guide, purchasing strategy, supply chain analysis, value chain advisory, value chain planning</t>
  </si>
  <si>
    <t>Bretteville-sur-Odon, France</t>
  </si>
  <si>
    <t>280315-54T</t>
  </si>
  <si>
    <t>SkyVisor</t>
  </si>
  <si>
    <t>Alternative Energy Equipment, Business/Productivity Software, Other Commercial Services, Other Hardware*</t>
  </si>
  <si>
    <t>Developer of drone inspection tools designed to facilitate renewable energy asset managers to fully capitalize on their assets. The company's solutions include a web interface, accessible on mobile or desktop, inspects the infrastructure, offers collected data on a web app where collected data is automatically pre-processed, offers an automatic image acquisition system and an intelligent defaults recognition engine and more, enabling clients to reduce production downtime and the risk of accidents related to work at height, also improving the efficiency and quality of monitoring of maintenance operations.</t>
  </si>
  <si>
    <t>Bpifrance, d'lle de France, Tomcat Invest</t>
  </si>
  <si>
    <t>drone inspection platform, drone inspection system, drone inspection tool, image acquisition system, monitoring system, monitoring system platform, renewable energy asset, renewable energy asset management</t>
  </si>
  <si>
    <t>Artificial Intelligence &amp; Machine Learning, CleanTech, Robotics and Drones</t>
  </si>
  <si>
    <t>280449-28T</t>
  </si>
  <si>
    <t>MoEa</t>
  </si>
  <si>
    <t>Footwear*</t>
  </si>
  <si>
    <t>Apparel and Accessories</t>
  </si>
  <si>
    <t>Retailer of sustainable footwear and accessories designed for men, women, and kids. The company's platform uses bio-based, animal-free, and recycled materials, with fibers sourced from fruit and plant waste to create low-carbon, vegan sneakers, enabling consumers to purchase these high-quality products at reduced prices, promoting eco-friendly fashion while minimizing the environmental impact of traditional production methods.</t>
  </si>
  <si>
    <t>GO Capital (France)</t>
  </si>
  <si>
    <t>biobased material, green fashion, recycled material, sustainable manufacturing, sustainable retail, vegan sneakers</t>
  </si>
  <si>
    <t>Footwear</t>
  </si>
  <si>
    <t>E-Commerce, Manufacturing</t>
  </si>
  <si>
    <t>274169-17T</t>
  </si>
  <si>
    <t>BiblioOnDemand</t>
  </si>
  <si>
    <t>Movies, Music and Entertainment*, Specialty Retail</t>
  </si>
  <si>
    <t>Operator of a digital library platform intended to offer a wide range of ebooks and audiobooks. The company's platform caters to universities, public libraries, and documentation centers offering podcasts, and other digital content to provide a rich catalog of titles with flexible lending conditions, enabling students to access valuable learning and reading resources.</t>
  </si>
  <si>
    <t>Finovam Gestion, IRD Invest</t>
  </si>
  <si>
    <t>audiobooks retail, books lending, digital library, digital reading platform, documentation center, ebooks platform</t>
  </si>
  <si>
    <t>Movies, Music and Entertainment</t>
  </si>
  <si>
    <t>Lille, France</t>
  </si>
  <si>
    <t>279892-36T</t>
  </si>
  <si>
    <t>Bsport</t>
  </si>
  <si>
    <t>Application Software, Automation/Workflow Software, Business/Productivity Software*</t>
  </si>
  <si>
    <t>Developer of a management and marketing platform designed to help studios and fitness boutiques. The company's platform focuses on automated marketing, resource management, digitizing activity, payments, and subscriptions, enabling clients to manage their activities while creating new revenue streams.</t>
  </si>
  <si>
    <t>Base10 Partners(Thomas Nahigian), Octopus Ventures(Uthish Ranjan), Seed4Soft, Seventure Partners(Bruno Rivet), Stanford University</t>
  </si>
  <si>
    <t>appointment management, club management software, fitness software platform, fitness studio management, invoicing automation, marketing platform, on demand assistance, teacher management</t>
  </si>
  <si>
    <t>Marketing Tech, Mobile, SaaS</t>
  </si>
  <si>
    <t>216330-31T</t>
  </si>
  <si>
    <t>Hera-MI</t>
  </si>
  <si>
    <t>Diagnostic Equipment*, Other Healthcare Technology Systems</t>
  </si>
  <si>
    <t>Developer of a patient care system designed to detect breast cancer for radiological cancer diagnosis. The company's system is a patented two and three-dimensional mammography decision support software for breast cancer screening that automatically detects and removes all physiological elements of the breast vessels, connective tissue, mammary gland, muscles, and fat and replaces them with artificial fat, enabling physicians to enhance diagnosis quality and accuracy while reducing radiologists' interpretation time.</t>
  </si>
  <si>
    <t>Imagierie Medicale Bordeaux Nord, Irus investments, WiSeed</t>
  </si>
  <si>
    <t>breast cancer imaging, diagnosis-related group, e-health systems, mammography company, mammography system, patient-care system, radiological detection, radiological scanner</t>
  </si>
  <si>
    <t>Diagnostic Equipment</t>
  </si>
  <si>
    <t>Artificial Intelligence &amp; Machine Learning, HealthTech, Life Sciences, Oncology</t>
  </si>
  <si>
    <t>Saint-Herblain, France</t>
  </si>
  <si>
    <t>280407-70T</t>
  </si>
  <si>
    <t>Bioceanor</t>
  </si>
  <si>
    <t>Business/Productivity Software, Electronic Equipment and Instruments*, Environmental Services (B2B)</t>
  </si>
  <si>
    <t>Developer of an artificial intelligence device designed to monitor and control the quality of environmental water. The company's product has features including real-time data analysis, mail and text message alerts which are easy to use, configurable, connectivity and autonomous, enabling aquaculture, rivers, lakes and beach owners and caretakers to understand the impact of activities on the ecosystem.</t>
  </si>
  <si>
    <t>ai automation platform, ai cores, analytics platform, artificial intelligence based, artificial intelligence developer, environment monitoring system, industrial iot, predictive monitoring, water monitoring data, water monitoring product, water monitoring system</t>
  </si>
  <si>
    <t>Electronic Equipment and Instruments</t>
  </si>
  <si>
    <t>Advanced Manufacturing, Artificial Intelligence &amp; Machine Learning, Big Data, CleanTech, Climate Tech, Internet of Things</t>
  </si>
  <si>
    <t>Valbonne, France</t>
  </si>
  <si>
    <t>283426-66T</t>
  </si>
  <si>
    <t>Dare Done</t>
  </si>
  <si>
    <t>IT Consulting and Outsourcing*</t>
  </si>
  <si>
    <t>Provider of strategy and business transformation consulting services intended to help companies meet their challenges, accelerate growth, and achieve objectives. The company's platform offers support combining strategy and implementation, predictive analysis, long-term development planning, and growth solutions, enabling businesses to optimize their processes, anticipate market changes, and achieve sustainable, profitable success while staying true to their vision and values.</t>
  </si>
  <si>
    <t>HAND PARTNERS(Stanislas Canova)</t>
  </si>
  <si>
    <t>business consulting, business transformation, change management, leadership support, management consulting, strategic planning, strategy development</t>
  </si>
  <si>
    <t>Bourgoin Jallieu, France</t>
  </si>
  <si>
    <t>279848-17T</t>
  </si>
  <si>
    <t>Dfns</t>
  </si>
  <si>
    <t>Developer of a wallets-as-a-service (WaaS) platform designed to provide digital asset security. The company's platform offers a decentralized custody network as a service that secures future-ready technology to help financial institutions transition to digital assets and create, embed, and manage programmable wallets at scale, secured by cryptography, enabling businesses to make crypto transactions easier, faster more affordable, and compliant with existing regulations.</t>
  </si>
  <si>
    <t>Bpifrance(Clémentine Cazenave), Further Ventures, Hashed, Motier Ventures, Motive Partners, Semantic Ventures, SIG (Susquehanna International Group), Techstars, White Star Capital, Wintermute</t>
  </si>
  <si>
    <t>blockchain infrastructure, blockchain security, cloud-based platform, cryptocurrency security, custodial wallets, data security, digital asset, digital asset security, multi-party computation, non-custodial wallets</t>
  </si>
  <si>
    <t>CloudTech &amp; DevOps, Cryptocurrency/Blockchain, Cybersecurity, FinTech, SaaS</t>
  </si>
  <si>
    <t>279847-99T</t>
  </si>
  <si>
    <t>Halias</t>
  </si>
  <si>
    <t>Computers, Parts and Peripherals, Electronic Equipment and Instruments, Internet Software, Software Development Applications*</t>
  </si>
  <si>
    <t>Developer of software components designed for environmental and asset monitoring. The company's components specialize in data collection and analysis, performance monitoring, real-time measurements, oil slicks detection and tracking, and water consumption management, enabling industrial and environmental companies to detect water leakages, generate digital models, and manage projects.</t>
  </si>
  <si>
    <t>Bpi, CoopVenture, Credit Cooperatif, Rhône Dauphiné Développement</t>
  </si>
  <si>
    <t>data analytics, environmental monitoring, industrial data, performance monitoring, software components, software technology, water management data</t>
  </si>
  <si>
    <t>Software Development Applications</t>
  </si>
  <si>
    <t>Oil &amp; Gas</t>
  </si>
  <si>
    <t>Meylan, France</t>
  </si>
  <si>
    <t>279777-70T</t>
  </si>
  <si>
    <t>Yampa</t>
  </si>
  <si>
    <t>Developer of an artificial intelligence platform designed to revolutionize customer care. The company's platform specializes in automating customer relations, eliminating backlogs, implementing process changes without downtime, managing end-to-end processes, and tailoring interactions by leveraging autonomous artificial intelligence agents, enabling businesses to reduce costs, enhance service quality, and meet customer needs.</t>
  </si>
  <si>
    <t>Arthur Waller(Arthur Waller), Guillaume Desloges, Partech</t>
  </si>
  <si>
    <t>autonomous agent, customer care, customer interaction, customer support operations, optimization platform, process automation</t>
  </si>
  <si>
    <t>279835-93T</t>
  </si>
  <si>
    <t>Bitstack</t>
  </si>
  <si>
    <t>Brokerage, Financial Software*, Other Financial Services</t>
  </si>
  <si>
    <t>Developer of a mass-market crypto wallet designed to save and invest in Bitcoin on autopilot. The company's platform allows users to buy, sell, earn and spend bitcoin round up their purchases and invest the spare change in bitcoin, enabling investors to achieve their financial goals and save effortlessly in bitcoin.</t>
  </si>
  <si>
    <t>Founders Future, Plug and Play Tech Center, Serena (Paris), Station F, Stillmark(Alyse Killeen), Y Combinator</t>
  </si>
  <si>
    <t>bitcoin investment, bitcoin trading, crypto wallets, cryptocurrency investing app, cryptocurrency investment, cryptocurrency wallets, payment application, permissionless protocol</t>
  </si>
  <si>
    <t>Cryptocurrency/Blockchain, FinTech</t>
  </si>
  <si>
    <t>Meyreuil, France</t>
  </si>
  <si>
    <t>279645-13T</t>
  </si>
  <si>
    <t>DeepLife</t>
  </si>
  <si>
    <t>Biotechnology, Business/Productivity Software, Discovery Tools (Healthcare)*</t>
  </si>
  <si>
    <t>Developer of a deep learning-powered platform designed to accelerate cell engineering and target identification in biotech and pharmaceutical research. The company offers a software as a services platform that integrates multi-omics sequencing data, cell atlases, and proprietary deep learning tools, enabling researchers to simulate cell behavior in silico, identify molecular triggers, and optimize cell engineering processes efficiently.</t>
  </si>
  <si>
    <t>Beiersdorf (ETR: BEI), Groupe Prunay, Oscar &amp; Paul, Relyens, YZR Capital</t>
  </si>
  <si>
    <t>biotech company, biotech company operator, biotech service, drug discovery system, drug discovery tech, drug discovery technology, pharmaceutical data, pharmaceutical firm</t>
  </si>
  <si>
    <t>Artificial Intelligence &amp; Machine Learning, HealthTech, Life Sciences, SaaS</t>
  </si>
  <si>
    <t>Vernon, France</t>
  </si>
  <si>
    <t>282643-12T</t>
  </si>
  <si>
    <t>Kraaft</t>
  </si>
  <si>
    <t>Business/Productivity Software, Communication Software*, Media and Information Services (B2B)</t>
  </si>
  <si>
    <t>Developer of a construction site communication application designed to help site workers send messages effectively. The company's application facilitates the dissemination and reception of messages through audio, videos and photos, following work, generating site reports and raising reservations on plans, enabling construction site professionals to deliver good quality projects on time.</t>
  </si>
  <si>
    <t>Brick &amp; Mortar Ventures, Chalfen Ventures, Dawn Capital, OSS Ventures, Stride.VC</t>
  </si>
  <si>
    <t>construction communication platform, construction reporting software, construction site solutions, messaging application software, project communication platform, project reporting application</t>
  </si>
  <si>
    <t>Mobile, SaaS</t>
  </si>
  <si>
    <t>279660-52T</t>
  </si>
  <si>
    <t>Team for the Planet</t>
  </si>
  <si>
    <t>Environmental Services (B2B)*</t>
  </si>
  <si>
    <t>Provider of environmental services intended to address greenhouse gas emissions. The company specializes in detecting high-impact innovations, recruits entrepreneurs with experience to transform these innovations into successful companies with business models, and invests money to maximize and accelerate the deployment, enabling businesses to solve climate emergencies.</t>
  </si>
  <si>
    <t>Normandie Participations</t>
  </si>
  <si>
    <t>climate change, climate emergency, environment safety, environmental impact, environmental service, greenhouse gas, greenhouse gas emissions</t>
  </si>
  <si>
    <t>CleanTech, Industrials</t>
  </si>
  <si>
    <t>279517-60T</t>
  </si>
  <si>
    <t>AQEMIA</t>
  </si>
  <si>
    <t>Generative AI, AI-powered Drug Discovery</t>
  </si>
  <si>
    <t>Developer of a drug discovery platform designed to discover new drugs for specific therapeutic targets. The company's platform combines machine learning and quantum-inspired statistical mechanics algorithms to generate lead-like molecules for a given target, enabling researchers to efficiently and accurately predict the affinity between drug candidates and therapeutic targets.</t>
  </si>
  <si>
    <t>Bpifrance(Laurent Higueret), Cathay Capital Private Equity, Cathay Innovation, Elaia Partners, Eurazeo (PAR: RF), Wendel Group (PAR: MF)(Victoire Laurenty)</t>
  </si>
  <si>
    <t>ai-powered drug discovery, computational chemistry, drug discovery company, drug molecules, generative ai, pharmaceutical r&amp;d, small molecule, therapeutic model</t>
  </si>
  <si>
    <t>Artificial Intelligence &amp; Machine Learning, HealthTech, LOHAS &amp; Wellness</t>
  </si>
  <si>
    <t>284771-62T</t>
  </si>
  <si>
    <t>Artifeel</t>
  </si>
  <si>
    <t>Application Software, Electronics (B2C), Household Appliances*</t>
  </si>
  <si>
    <t>Consumer Durables</t>
  </si>
  <si>
    <t>Manufacturer of an AI-based alarm box intended to provide the necessary security. The company product provides easy installation and setup and is wireless with simplified and all-in-one remote monitoring, enabling consumers to protect their houses from any theft.</t>
  </si>
  <si>
    <t>Alexandre Carre de Malberg(Alexandre de Malberg), Graines de Boss(Ivan Pontevès), SideAngels, WeLikeStartup(Julien Dubois)</t>
  </si>
  <si>
    <t>alarm manufacturer, alarm safety, alarm system, alarm system seller, monitoring device, security device, smart home device</t>
  </si>
  <si>
    <t>Household Appliances</t>
  </si>
  <si>
    <t>Artificial Intelligence &amp; Machine Learning, Internet of Things, Manufacturing</t>
  </si>
  <si>
    <t>272514-52T</t>
  </si>
  <si>
    <t>Biomemory</t>
  </si>
  <si>
    <t>Developer of data storage drives designed to offer bio-digital data storage for large companies and administrations. The company's drives are low-cost and have a biobased system for storing large amounts of computer data on long DNA strands than any SSD or magnetic tape that is stable at ambient temperature with no energetic input and CO2 emission, enabling researchers to get ultimate storage media durable for thousands of years.</t>
  </si>
  <si>
    <t>ADNEXUS (Paris), Blast Angels, Bpifrance(Clémentine Cazenave), Crédit Mutuel Innovation, Next Sequence Venture, Paris Business Angels, Prunay Impact, Sorbonne Venture</t>
  </si>
  <si>
    <t>biotechnology genome, biotechnology process, biotechnology research, data storage, dna sequencing, dna storage, healthcare data analytics, vertical application</t>
  </si>
  <si>
    <t>Big Data, CloudTech &amp; DevOps, Digital Health, Life Sciences</t>
  </si>
  <si>
    <t>279581-86T</t>
  </si>
  <si>
    <t>Dashbook (France)</t>
  </si>
  <si>
    <t>Publishing*</t>
  </si>
  <si>
    <t>Operator of a publishing house intended to publish books and content. The company creates books and submits them to the public, enabling authors to publish their books.</t>
  </si>
  <si>
    <t>Bpifrance(Clémentine Cazenave), Seventure Partners</t>
  </si>
  <si>
    <t>books publishing, books publishing house, content publishing, publishing company, publishing house, publishing services</t>
  </si>
  <si>
    <t>Publishing</t>
  </si>
  <si>
    <t>Comberjon, France</t>
  </si>
  <si>
    <t>279311-41T</t>
  </si>
  <si>
    <t>Wecasa</t>
  </si>
  <si>
    <t>Application Software, Other Services (B2C Non-Financial)*</t>
  </si>
  <si>
    <t>Developer of a house help and well-being services booking platform designed to provide on-demand hairdresser, beauty, massage and cleaning services. The company's platform offers a marketplace for users to search for services like salons, spas, photography, plumbing, servicing and repairs, that they wish to avail, enabling users to access reliable and affordable services and book them online.</t>
  </si>
  <si>
    <t>iXO Private Equity</t>
  </si>
  <si>
    <t>booking service, cleaning services, hairdressing service, home massage services, online home services, professional services</t>
  </si>
  <si>
    <t>279281-44T</t>
  </si>
  <si>
    <t>Biomanity</t>
  </si>
  <si>
    <t>Biotechnology*, Other Materials</t>
  </si>
  <si>
    <t>Operator of a biotechnology company intended to make absorbent polymers encapsulating fertilizers. The company offers absorbent polymers that are biobased, compostable, nontoxic, non-petrochemical, and circular by design, enabling clients to significantly reduce water consumption, fertilizers consumption chemical leaching, Greenhouse Gases (GHG) emission and improve soil biodiversity.</t>
  </si>
  <si>
    <t>Bpifrance(Clémentine Cazenave)</t>
  </si>
  <si>
    <t>absorbent polymer, agriculture biotechnology, fertilizer alternatives, land use, polymer business, polymer developer, polymer distribution, polymer industry, polymers based product</t>
  </si>
  <si>
    <t>Climate Tech, Life Sciences</t>
  </si>
  <si>
    <t>279187-39T</t>
  </si>
  <si>
    <t>Elyse Energy</t>
  </si>
  <si>
    <t>Operator of an energy industrial company intended for the production of low-carbon molecules. The company designs, develops, finances, builds and operates low-carbon molecule production plants and sustainable aviation fuel production plants, enabling industrialists, maritime operators and airlines to support energy transition and decarbonization.</t>
  </si>
  <si>
    <t>Bpifrance, Hy24, Mirova, PGGM</t>
  </si>
  <si>
    <t>electrolysis plant, e-methanol, environmental impact, fuel production, low-carbon energy, sustainable aviation fuel, sustainable solutions</t>
  </si>
  <si>
    <t>CleanTech, Climate Tech, Infrastructure</t>
  </si>
  <si>
    <t>269937-91T</t>
  </si>
  <si>
    <t>Objow</t>
  </si>
  <si>
    <t>Business/Productivity Software*, Entertainment Software, Media and Information Services (B2B)</t>
  </si>
  <si>
    <t>Developer of a gamified application designed to stimulate employee involvement in achieving their goals. The company's application centralizes employee performance data to set personalized goals, motivate, and effectively coach teams daily meanwhile converting performance points into rewards, enabling businesses to increase employee engagement and enhancement.</t>
  </si>
  <si>
    <t>Bpi, Crédit Agricole Création, Edenred Capital Partners, Holnest, HUB612</t>
  </si>
  <si>
    <t>employee engagement, gamified application, goal management platform, performance management, performance monitoring, web and mobile application</t>
  </si>
  <si>
    <t>Saint Etienne, France</t>
  </si>
  <si>
    <t>257378-95T</t>
  </si>
  <si>
    <t>Cilcare</t>
  </si>
  <si>
    <t>Biotechnology, Drug Discovery*</t>
  </si>
  <si>
    <t>Operator of a biotechnology company intended to deliver treatment of hearing disorders. The company's technology utilizes auditory sciences for the early definition, detection and treatment of synaptopathy in neurocognitive and inflammatory diseases, enabling doctors to provide effective treatments to patients suffering from ear diseases.</t>
  </si>
  <si>
    <t>ARIS Occitanie, Shionogi &amp; Co. (TKS: 4507), Sofilaro, SPRIM Global Investments, University Of Vermont Health Network</t>
  </si>
  <si>
    <t>clinical development, pharmaceutical, pharmaceutical development, pharmaceutical development services, preclinical development, research and development service</t>
  </si>
  <si>
    <t>HealthTech, Life Sciences</t>
  </si>
  <si>
    <t>279222-13T</t>
  </si>
  <si>
    <t>Otrera (Energy Production)</t>
  </si>
  <si>
    <t>Energy Production*, Other Energy</t>
  </si>
  <si>
    <t>Operator of a nuclear energy management company intended to develop innovative nuclear reactors. The company offers project management and engineering expertise to design and develop innovative, safe and sustainable nuclear reactors, enabling customers to reduce their environmental impact and meet their energy needs.</t>
  </si>
  <si>
    <t>Axe Capital (Investor), CEA Investissement, Ekium, Exergon, Fortil, Groupe ADF, Invest For The Future, REEL (Commercial Services)</t>
  </si>
  <si>
    <t>clean energy, energy development, energy production, nuclear energy, project management, sustainable energy</t>
  </si>
  <si>
    <t>Peynier, France</t>
  </si>
  <si>
    <t>279150-94T</t>
  </si>
  <si>
    <t>PESS Energy</t>
  </si>
  <si>
    <t>Alternative Energy Equipment*, Other Energy Services, Other Equipment</t>
  </si>
  <si>
    <t>Manufacturer of zero-emission generators with solar energy intended to offer clean mobile energy. The company's products include Wattman which can be recharged at any household outlet, or via solar panels, and Bobine which can supply power to all 230 Vac electrical equipment, enabling customers to get a sustainable and uninterrupted power supply.</t>
  </si>
  <si>
    <t>CAAP Creation, Rise Partners, Région Sud Investissement</t>
  </si>
  <si>
    <t>battery storage, generator company, generator device, generator supply, generator technology, grid infrastructure, zero emission generator, zero-emissions power solutions</t>
  </si>
  <si>
    <t>Marseille, France</t>
  </si>
  <si>
    <t>278978-32T</t>
  </si>
  <si>
    <t>Happydemics</t>
  </si>
  <si>
    <t>Developer of a marketing and advertising performance platform intended to support brands in understanding their consumer reactions to the content or product. The company's platform provides an audience analysis tool that helps in optimizing advertising speech and facilitates mobile activity analysis, its standardized methodology with access to benchmarks and its trusted third-party position make it the market-approved partner to compete in increasingly saturated markets, that measures the performance of media investments, enabling clients to optimize its advertising campaigns and adapt their commercial offerings.</t>
  </si>
  <si>
    <t>Adelie, Wille Finance</t>
  </si>
  <si>
    <t>advertising performance data, audience analysis tool, audience insights tools, brand development, customer experience analysis, marketing tool, media strategy</t>
  </si>
  <si>
    <t>AdTech, Marketing Tech, SaaS</t>
  </si>
  <si>
    <t>278998-12T</t>
  </si>
  <si>
    <t>Mirabelle</t>
  </si>
  <si>
    <t>Developer of financing healthy aging technology intended to offer reverse mortgage loans and life annuities. The company specializes in finance retirement projects such as renovating homes, supplementing pensions, continuing seniors to live at home, provides advice on life annuity financing to make decisions with all the information in complete security, guaranteed monthly income supplement for life to enjoy retirement, providing retirees and their families an assistance fund for the renovation of senior housing.</t>
  </si>
  <si>
    <t>Bpifrance, Inter Invest</t>
  </si>
  <si>
    <t>financial life planning, life annuity, pension savings, retirement advice, retirement programs, reverse mortgage loan</t>
  </si>
  <si>
    <t>278983-99T</t>
  </si>
  <si>
    <t>Omnidoc</t>
  </si>
  <si>
    <t>Clinics/Outpatient Services, Other Healthcare Services, Other Healthcare Technology Systems*</t>
  </si>
  <si>
    <t>Developer of a tele-expertise platform designed to facilitate phone-based medical verification for patients eligible for health insurance facilities. The company's platform allows medical institutions or private physicians to secure and value informal opinions, strengthen the links between first and second recourse, centralize and promote requests from correspondents, and discover and contact doctors and organizations, enabling clients to improve, secure, and enhance the opinions exchanged and automate administrative tasks.</t>
  </si>
  <si>
    <t>Alven Capital Partners, Kurma Partners, Newfund Management</t>
  </si>
  <si>
    <t>digital health record, health communication, health insurance, insurance facility, medical collaboration, medical collaboration platform</t>
  </si>
  <si>
    <t>Digital Health, HealthTech</t>
  </si>
  <si>
    <t>282448-63T</t>
  </si>
  <si>
    <t>Akidaia</t>
  </si>
  <si>
    <t>Electronic Components, Other Hardware*</t>
  </si>
  <si>
    <t>Developer of digital and offline security electrified system designed to manage and control access to secured areas. The company's application uses bluetooth technology to allow users to open doors, gates, and barriers from their mobile and view virtual keys and all the access to which they have rights, enabling clients to prevent complicated installations, losing time, and security breaches.</t>
  </si>
  <si>
    <t>Bouygues Développement</t>
  </si>
  <si>
    <t>autonomous security software, digital key system, electrified system, security guard system, security system, systems services</t>
  </si>
  <si>
    <t>Nice, France</t>
  </si>
  <si>
    <t>274022-29T</t>
  </si>
  <si>
    <t>Aura Aero</t>
  </si>
  <si>
    <t>Aerospace and Defense*</t>
  </si>
  <si>
    <t>Manufacturer of aircraft intended to offer eco-efficient and low-carbon vehicles. The company's aircraft offers a whole rescue parachute system, anti-crash seats, 
anti-crash fuel tanks, two-seater, and side-by-side taildragger landing gears, enabling the aeronautical industry to operate aircraft efficiently.</t>
  </si>
  <si>
    <t>EDF Group(Sylvain Vidal)</t>
  </si>
  <si>
    <t>aerobatic aircraft, air transportation, aircraft design, aircraft manufacturer, aviation industry, electric aircraft, low-carbon vehicles</t>
  </si>
  <si>
    <t>CleanTech, Climate Tech, Manufacturing</t>
  </si>
  <si>
    <t>Cugnaux, France</t>
  </si>
  <si>
    <t>280050-40T</t>
  </si>
  <si>
    <t>Biscornu</t>
  </si>
  <si>
    <t>Other Commercial Services, Restaurants and Bars*</t>
  </si>
  <si>
    <t>Operator of a gastronomy restaurant company intended for creating and selling verrines and cocktail pieces to use them with bio, seasonal, and French ingredients. The company employs people with disabilities to cook pasteurized verrines whose recipes are inspired by starred chefs and made with fresh, seasonal, organic, local, and most often downgraded products, enabling people with disabilities to get job opportunities and offer catering service based on a seasonal menu.</t>
  </si>
  <si>
    <t>catering staff, cocktails maker, gastronomy hotel, handicap workers, organic recipes, pasteurized product</t>
  </si>
  <si>
    <t>FoodTech</t>
  </si>
  <si>
    <t>Colombes, France</t>
  </si>
  <si>
    <t>280136-17T</t>
  </si>
  <si>
    <t>Byzantine (Financial Software)</t>
  </si>
  <si>
    <t>Business/Productivity Software, Financial Software*, Other Financial Services</t>
  </si>
  <si>
    <t>Developer of restaking aggregation layer designed to accelerate the web3 industry. The company offers to simplify and secure the process of restaking, which is a method for extending the security of blockchain networks to other services and creating the vault with better risk-adjusted returns and leverage it in DeFi, enabling clients to make informed decisions by providing a comprehensive view of the restaking landscape.</t>
  </si>
  <si>
    <t>Node (Gibraltar)</t>
  </si>
  <si>
    <t>crypto institutional services, defi platform, ethereum platform, liquidity token, stake services, token platform</t>
  </si>
  <si>
    <t>280081-36T</t>
  </si>
  <si>
    <t>Café</t>
  </si>
  <si>
    <t>Business/Productivity Software*, Human Capital Services, Media and Information Services (B2B)</t>
  </si>
  <si>
    <t>Developer of a hybrid work coordination platform designed to enhance team engagement and collaboration. The company's platform offers new ways to schedule real-life interactions and empowers teams to collaborate and socialize as well as allows users to coordinate their office visits with their colleagues, enabling clients to know in advance who will be on-site and how many seats will be required.</t>
  </si>
  <si>
    <t>Toubkal Partners</t>
  </si>
  <si>
    <t>hr software, hybrid work management, team collaboration, team engagement, team management, work coordination software, workplace management</t>
  </si>
  <si>
    <t>HR Tech, Mobile, SaaS</t>
  </si>
  <si>
    <t>283314-16T</t>
  </si>
  <si>
    <t>Dalma.</t>
  </si>
  <si>
    <t>Application Software, Other Insurance*</t>
  </si>
  <si>
    <t>Insurance</t>
  </si>
  <si>
    <t>Operator of an animal insurance company intended to help pet owners care for their animals with digital, user-friendly and transparent insurance. The company's platform offers transparent, subscription-based health insurance that covers pets, reimbursing costs related to illnesses, injuries and preventive care, enabling customers to get refunds easily and free unlimited access to vets advice and tips.</t>
  </si>
  <si>
    <t>Anterra Capital, Project A Ventures</t>
  </si>
  <si>
    <t>animal insurance, animal insurance agency, online insurance, pet care services, pet health insurance, pet insurance, pet insurance provider</t>
  </si>
  <si>
    <t>Other Insurance</t>
  </si>
  <si>
    <t>InsurTech, Mobile</t>
  </si>
  <si>
    <t>Fresnes, France</t>
  </si>
  <si>
    <t>279060-31T</t>
  </si>
  <si>
    <t>GAMMA Tech</t>
  </si>
  <si>
    <t>Other Chemicals and Gases, Other Materials*</t>
  </si>
  <si>
    <t>Manufacturer of glass microspheres intended to use sol-gel technology to create three-dimensional objects. The company offers a range of functionalized silica-based microspheres for paints, coatings, plastics, and energy applications, enabling businesses to weigh the construction market (road marking) and transportation applications also comply with the CSR strategies.</t>
  </si>
  <si>
    <t>EIT RawMaterials</t>
  </si>
  <si>
    <t>carbon footprint, glass beads, glass microspheres, heat reflective coating, multifunctional materials, weight reduction</t>
  </si>
  <si>
    <t>Grenoble, France</t>
  </si>
  <si>
    <t>280084-15T</t>
  </si>
  <si>
    <t>Géosmartic</t>
  </si>
  <si>
    <t>Media and Information Services (B2B), Other Commercial Services*</t>
  </si>
  <si>
    <t>Developer of interactive maps designed to enhance community visibility and services. The company specializes in HD maps, multilayer features, three-dimensional buildings, drone photography, and geolocation, enabling businesses to promote their assets, improve service management, and provide remote access for users.</t>
  </si>
  <si>
    <t>administrative services, drones photo, hiking trails, interactive map, municipal services, service management</t>
  </si>
  <si>
    <t>Other Commercial Services</t>
  </si>
  <si>
    <t>Nevers, France</t>
  </si>
  <si>
    <t>264293-83T</t>
  </si>
  <si>
    <t>Heliup</t>
  </si>
  <si>
    <t>Developer of solar photovoltaic modules designed to control energy costs. The company specializes in developing lightweight modules for the large rooftops of commercial and industrial buildings and also provides an insurable, reliable, and efficient light solar PV solution compatible with buildings, and load/structural limitations, enabling building owners to bring auto-consumption within reach.</t>
  </si>
  <si>
    <t>EIT InnoEnergy</t>
  </si>
  <si>
    <t>equipment manufacturing, intermittent renewable energy, pv modules, renewable energy, solar carport, solar energy, solar photovoltaic, solar pv, solar roof, solar shed</t>
  </si>
  <si>
    <t>CleanTech, Climate Tech</t>
  </si>
  <si>
    <t>Le Bourget-du-Lac, France</t>
  </si>
  <si>
    <t>280997-74T</t>
  </si>
  <si>
    <t>Japet</t>
  </si>
  <si>
    <t>Electronic Equipment and Instruments, Other Healthcare Technology Systems, Therapeutic Devices*</t>
  </si>
  <si>
    <t>Developer of wearable robotic exoskeletons designed for occupational and daily health. The company's exoskeletons combine medical and robotic technology for motion that helps to restore the body's balance for free movement, and provides pain relief using orthosis, enabling customers to eliminate lower pain and carry out movements easily.</t>
  </si>
  <si>
    <t>Angelor</t>
  </si>
  <si>
    <t>back pain device, back pain recovery, bionics prosthesis, exoskeleton device, lumbar support systems, medical technology</t>
  </si>
  <si>
    <t>Digital Health, HealthTech, Robotics and Drones, Wearables &amp; Quantified Self</t>
  </si>
  <si>
    <t>Loos, France</t>
  </si>
  <si>
    <t>280054-99T</t>
  </si>
  <si>
    <t>Jobs that makesense</t>
  </si>
  <si>
    <t>Human Capital Services*</t>
  </si>
  <si>
    <t>Operator of a job search platform intended to help find a job with a positive impact. The company offers a variety of employment and training opportunities in the ecological and solidarity transition and draws inspiration from impactful sectors of activity through educational content, enabling job seekers and employers to simplify their recruitment processes with access to application management tools.</t>
  </si>
  <si>
    <t>job searching, job searching services, placement agency, placement firm, recruiting agency, recruitment service</t>
  </si>
  <si>
    <t>279343-45T</t>
  </si>
  <si>
    <t>Jungle Bike</t>
  </si>
  <si>
    <t>Developer of a digital platform designed to simplify the process of booking bike repairs. The company offers a network of qualified and verified repairers, online appointment scheduling, maintenance assistance, and predictive diagnostic tools. enabling cyclists to easily find professionals for home, work, or self-repair services, providing convenient and reliable bike maintenance.</t>
  </si>
  <si>
    <t>Campus Fund</t>
  </si>
  <si>
    <t>appointment booking, bicycle maintenance, bicycle products, bicycle repair, self repair, workshops work</t>
  </si>
  <si>
    <t>280086-31T</t>
  </si>
  <si>
    <t>L'Armoire à Beauté</t>
  </si>
  <si>
    <t>Distributors/Wholesale*, Other Commercial Services</t>
  </si>
  <si>
    <t>Distributor of cosmetic products intended to provide eco-responsible and vegan items. The company specializes in offering allergen-free, organic, natural, and vegan beauty and personal care products, enabling pharmacies to deliver tailored cosmetic selections to their customers and increase sales.</t>
  </si>
  <si>
    <t>beauty contents, beauty products distribution, cosmetic products, distribution company, organic cosmetics, tailored service, vegan cosmetic product</t>
  </si>
  <si>
    <t>Distributors/Wholesale</t>
  </si>
  <si>
    <t>Beauty</t>
  </si>
  <si>
    <t>279533-62T</t>
  </si>
  <si>
    <t>Phagos</t>
  </si>
  <si>
    <t>Operator of a biotechnology research platform intended to provide customizable drugs to replace antibiotics in animal farming. The company uses a natural predator of bacteria that can constitute an efficient and sustainable alternative to antibiotics, enabling health professionals to overcome incurable and deadly infectious diseases.</t>
  </si>
  <si>
    <t>Acurio Ventures, Capagro</t>
  </si>
  <si>
    <t>animal farming, bacterial drugs, biotechnology research, customized drugs, infectious disease, pharmaceutical drugs, sustainable alternative</t>
  </si>
  <si>
    <t>279334-18T</t>
  </si>
  <si>
    <t>Plakar</t>
  </si>
  <si>
    <t>Database Software, Storage (IT)*</t>
  </si>
  <si>
    <t>Developer of a data backup tool designed to simplify data protection with a focus on efficiency and security. The company offers advanced data deduplication, compression, and encryption, enabling engineers and organizations to back up data securely and affordably, even in low-bandwidth environments, while maximizing storage efficiency.</t>
  </si>
  <si>
    <t>Irregular Expressions, Kima Ventures</t>
  </si>
  <si>
    <t>data backup, data compression, data deduplication, data encryption, data integrity, data protection</t>
  </si>
  <si>
    <t>Storage (IT)</t>
  </si>
  <si>
    <t>280076-23T</t>
  </si>
  <si>
    <t>Redvisitor</t>
  </si>
  <si>
    <t>Media and Information Services (B2B)*, Other Commercial Services</t>
  </si>
  <si>
    <t>Operator of an event agency intended to provide event management services. The company helps in networking opportunities that strengthen client relationships and align with brand messaging goals, and offers services like corporate off-sites, brand pop-ups, team-building events, VIP dinners, and cultural and sports experiences, enabling businesses to grow with personalized experience.</t>
  </si>
  <si>
    <t>Made For All(Thierry Petit)</t>
  </si>
  <si>
    <t>brand experience, client engagement, corporate events, cultural experience, event management, experiential marketing, networking events, networking opportunities</t>
  </si>
  <si>
    <t>279379-81T</t>
  </si>
  <si>
    <t>Rewake</t>
  </si>
  <si>
    <t>Distributors (Healthcare), Machinery (B2B)*, Other Commercial Services</t>
  </si>
  <si>
    <t>Manufacturer of equipment reconditioning machinery intended to help laboratories refurbish old equipment. The company offers an incubator binder, high-capacity refrigerator cabinet, agitateur multiposte thermos, enabling the clients to reduce the huge waste of research equipment and make innovation more sustainable and accessible.</t>
  </si>
  <si>
    <t>analytical equipment, laboratory equipment, laboratory instruments, reconditioning products, resale platform, research equipment</t>
  </si>
  <si>
    <t>Machinery (B2B)</t>
  </si>
  <si>
    <t>Gif sur Yvette, France</t>
  </si>
  <si>
    <t>280765-00T</t>
  </si>
  <si>
    <t>Shifter (Financial Software)</t>
  </si>
  <si>
    <t>Financial Software*, Vertical Market Software</t>
  </si>
  <si>
    <t>Developer of management software intended to streamline operations for bike and scooter repair shops. The company's platform offers inventory control, cash registration integration, workshop planning, supplier connection, and activity statistics, enabling businesses to optimize operations, reduce time spent on tasks, and improve profitability.</t>
  </si>
  <si>
    <t>Seeder Fund</t>
  </si>
  <si>
    <t>cash register software, inventory management, management software, margin control, repair shop management, stock management, supplier integration, workshop service</t>
  </si>
  <si>
    <t>280409-14T</t>
  </si>
  <si>
    <t>Topla</t>
  </si>
  <si>
    <t>Manufacturer of card and board games designed for fun and quality moments with family or friends. The company specializes in focusing on positive energy, inclusiveness, equal opportunities, education for a harmonious sexuality, access to science for all, discovery of others, and mental agility, enabling customers to change the world for the better.</t>
  </si>
  <si>
    <t>Mouvement &amp; Finance</t>
  </si>
  <si>
    <t>board games, card game, corporate social, environmental responsibility, fun games, online seller</t>
  </si>
  <si>
    <t>Morainvilliers, France</t>
  </si>
  <si>
    <t>280050-85T</t>
  </si>
  <si>
    <t>Unbottled</t>
  </si>
  <si>
    <t>Personal Products*</t>
  </si>
  <si>
    <t>Manufacturer of bathing products intended to free bathrooms from plastic and bodies from chemicals. The company offers vegan, zero-plastic, zero-chemicals, and pH-neutral shampoos, shower gels, conditioners, makeup removers, body and face scrubs, hand soaps, and more, enabling users to reduce plastic waste and a sustainable lifestyle.</t>
  </si>
  <si>
    <t>bathing product, bathing soap, face scrub, plastic free products, shampoo maker, shower gel, vegan product</t>
  </si>
  <si>
    <t>Personal Products</t>
  </si>
  <si>
    <t>CleanTech, LOHAS &amp; Wellness, Manufacturing</t>
  </si>
  <si>
    <t>Aulnay-sous-Bois, France</t>
  </si>
  <si>
    <t>279801-28T</t>
  </si>
  <si>
    <t>Zero Health</t>
  </si>
  <si>
    <t>Pharmaceuticals*</t>
  </si>
  <si>
    <t>Developer of a DIY-oriented Longevity platform intended to empower individuals to keep a check on their health on a daily basis. The company offers various health supplements such as vitamin K2, zinc, vitamin D, magnesium, green powder, and potassium iodide, enabling consumers to get personalized health plan designed to help them see fast, effective results.</t>
  </si>
  <si>
    <t>LongGame</t>
  </si>
  <si>
    <t>longevity company, longevity medicine, longevity products, longevity services, longevity supplement product, longevity supplements</t>
  </si>
  <si>
    <t>Pharmaceuticals</t>
  </si>
  <si>
    <t>E-Commerce, LOHAS &amp; Wellness</t>
  </si>
  <si>
    <t>278624-44T</t>
  </si>
  <si>
    <t>Devialet</t>
  </si>
  <si>
    <t>Electronics (B2C)*, Household Appliances</t>
  </si>
  <si>
    <t>Developer of acoustic engineering technology designed to offer various audio equipment to customers. The company's technology combines digital and analog technologies for connected speakers as well as offers a meaningful contribution to technology through the robotized production line, enabling customers to avail audio devices for an enhanced musical experience.</t>
  </si>
  <si>
    <t>Korelya Capital(Fleur Pellerin)</t>
  </si>
  <si>
    <t>8th Round</t>
  </si>
  <si>
    <t>acoustic equipment, acoustic sound, acoustic technology, audio equipment, digital sound technology, sound equipment, speakers sets</t>
  </si>
  <si>
    <t>Electronics (B2C)</t>
  </si>
  <si>
    <t>AudioTech, E-Commerce, Manufacturing, Mobile</t>
  </si>
  <si>
    <t>278767-63T</t>
  </si>
  <si>
    <t>SmartViser</t>
  </si>
  <si>
    <t>Automation/Workflow Software, Business/Productivity Software*, Internet Service Providers, Telecommunications Service Providers</t>
  </si>
  <si>
    <t>Developer of an automated test bot application designed to measure smartphone usage, operability, performance quality, and the networks to which they are connected. The company's application executes automatically predefined user actions in a precise or random order by tracking daily usages such as calls, FTP, web, SMS, multitasking, multimedia, camera capture, and similar activities of mobile phone users, enabling clients to obtain clear insights about the device performance.</t>
  </si>
  <si>
    <t>Anritsu (TKS: 6754)</t>
  </si>
  <si>
    <t>5g testing, device performance, mobile testing, network testing, performance insights, performance measurement, test automation, testing app, usage analytics</t>
  </si>
  <si>
    <t>Mobile, TMT</t>
  </si>
  <si>
    <t>Rennes, France</t>
  </si>
  <si>
    <t>278561-62T</t>
  </si>
  <si>
    <t>Kapsera</t>
  </si>
  <si>
    <t>Agricultural Chemicals*, Biotechnology, Other Agriculture</t>
  </si>
  <si>
    <t>Chemicals and Gases</t>
  </si>
  <si>
    <t>Developer of bio-sourced and biodegradable microcapsules designed to offer better agricultural services. The company's microcapsules make it possible to formulate beneficial microorganisms from plants and to release them in the field in an active form, enabling farmers to protect agriculture, soils and biodiversity and promote sustainability and productivity for agriculture.</t>
  </si>
  <si>
    <t>Banque des Territoires(François Wohrer), Demeter Partners(Cyrille Cabaret), Yield Lab(Gentiane Gorlier)</t>
  </si>
  <si>
    <t>ag biotech, agriculture science, agriculture technology, biodegradable cell, biopesticides and microbial, biostimulants and fertilizers, fertilizer product, microbiology product, plant biotech, plant biotechnology</t>
  </si>
  <si>
    <t>Agricultural Chemicals</t>
  </si>
  <si>
    <t>AgTech, LOHAS &amp; Wellness, Supply Chain Tech</t>
  </si>
  <si>
    <t>278582-59T</t>
  </si>
  <si>
    <t>Lactips</t>
  </si>
  <si>
    <t>Other Containers and Packaging*, Plastic Containers and Packaging</t>
  </si>
  <si>
    <t>Containers and Packaging</t>
  </si>
  <si>
    <t>Producer of a water-soluble and biodegradable plastic raw material intended to help people to move towards a biodegradable environment. The company's material offers enhanced dissolution in hot and cold water conditions for any usage, enabling clients to use it as a raw material for thermoforming, film, or any kind of plastic application.</t>
  </si>
  <si>
    <t>BNP Paribas Développement, Bpifrance(Chloé Schiaffino), GO Capital (France)(Jérôme Guéret), SWEN Capital Partners(Jérôme Delmas)</t>
  </si>
  <si>
    <t>biodegradable plastic, biodegradable product, eco-friendly product, food production, milk proteins, sustainable packaging, warehousing technology, water solubles, water solubles provider</t>
  </si>
  <si>
    <t>Other Containers and Packaging</t>
  </si>
  <si>
    <t>CleanTech, Climate Tech, Manufacturing, Supply Chain Tech</t>
  </si>
  <si>
    <t>Saint-Paul-en-Jarez, France</t>
  </si>
  <si>
    <t>278809-39T</t>
  </si>
  <si>
    <t>Oplit</t>
  </si>
  <si>
    <t>Developer of an integrated real-time monitoring software designed to optimize production planning. The company's software uses big data and AI to manage sales and operations by simulating and comparing production strategies, tracking progress, and collaborating on a single platform as well as providing resolutions for all departments including production, logistics, and purchasing details among others to centralize, simulate and visualize in real-time, enabling manufacturers to optimize their production strategy with key information and decisions of the industrial site.</t>
  </si>
  <si>
    <t>BACS-Innov, Evolem, Newfund Management(Patrick Malka), OSS Ventures, VI Partners(Olivier Laplace)</t>
  </si>
  <si>
    <t>artificial intelligence tool, big data platform, industrial data analytics, industrial tools, integrated monitoring system, monitoring software, production optimization, production planning, real time monitoring, vertical application</t>
  </si>
  <si>
    <t>Advanced Manufacturing, Artificial Intelligence &amp; Machine Learning, Big Data</t>
  </si>
  <si>
    <t>278290-18T</t>
  </si>
  <si>
    <t>Klart AI</t>
  </si>
  <si>
    <t>Business/Productivity Software*, IT Consulting and Outsourcing</t>
  </si>
  <si>
    <t>Developer of AI-powered assistant designed to elevate businesses' productivity and collaboration. The company offers AI solutions that have various features such as seamless integration, comprehensive database connectivity, AI-powered assistance, scalable solutions, and reporting.</t>
  </si>
  <si>
    <t>D11Z.Ventures, Startup Wise Guys</t>
  </si>
  <si>
    <t>ai development, ai technology, ai-powered email management, artificial intelligence, artificial intelligence assistant, artificial intelligence solution</t>
  </si>
  <si>
    <t>266837-23T</t>
  </si>
  <si>
    <t>Upfund</t>
  </si>
  <si>
    <t>Developer of a digital platform designed to respond to provide comprehensive data and insights for the real estate market. The company's platform offers aggregated and qualified data to fasten and simplify the daily analysis of commercial real estate, providing a comprehensive view of the market with data on transactions, pedestrian traffic, and tenants, enabling brokers, investors, and lenders to generate reports, find suitable locations, and stay informed.</t>
  </si>
  <si>
    <t>MNF Ventures</t>
  </si>
  <si>
    <t>aggregated data, analysis platform, broker tools, market analysis, real estate market, report generation</t>
  </si>
  <si>
    <t>Real Estate Technology</t>
  </si>
  <si>
    <t>278149-87T</t>
  </si>
  <si>
    <t>Metron</t>
  </si>
  <si>
    <t>Developer of a management platform designed to provide power intelligence to obtain true energy efficiency. The company's platform uses artificial intelligence to monitor, analyze, and optimize energy consumption in real time, enabling facilities managers to oversee energy use and reduce operational costs through efficiency improvements.</t>
  </si>
  <si>
    <t>BNP Paribas (PAR: BNP), GET Fund, Vertigo (France)</t>
  </si>
  <si>
    <t>9th Round</t>
  </si>
  <si>
    <t>ai-driven insights, energy auditing, energy data management, energy optimization, facility management, predictive analytics</t>
  </si>
  <si>
    <t>Artificial Intelligence &amp; Machine Learning, Big Data, CleanTech, Climate Tech</t>
  </si>
  <si>
    <t>278320-33T</t>
  </si>
  <si>
    <t>Revolt Location</t>
  </si>
  <si>
    <t>Other Commercial Services*</t>
  </si>
  <si>
    <t>Provider of equipment rental services intended for construction and events. The company specializes in renting soundproof generators, yellow or blue tariff metering cabinets and installing lighting, energy supply, and electrical distribution equipment, enabling clients to access customized devices, advice, help, and support at events and save on costs.</t>
  </si>
  <si>
    <t>Bpifrance, IRD Invest</t>
  </si>
  <si>
    <t>electrical distribution equipment, equipment rental service, industrial equipment, installation service, lighting installation, lighting systems, professional electrical equipment</t>
  </si>
  <si>
    <t>Hasnon, France</t>
  </si>
  <si>
    <t>277683-49T</t>
  </si>
  <si>
    <t>Solteo</t>
  </si>
  <si>
    <t>Developer of a project management platform designed to support photovoltaic professionals throughout the project cycle. The company's platform offers administrative, sales, and project management functionalities, enabling photovoltaic installers to streamline workflows, automate administrative tasks, and improve project tracking, ultimately helping them save time and increase efficiency.</t>
  </si>
  <si>
    <t>Axeleo Capital, Campus Fund, Kima Ventures</t>
  </si>
  <si>
    <t>administrative assistant, administrative procedures, photovoltaic platform, project administration, project management tool, sales assistant</t>
  </si>
  <si>
    <t>279747-64T</t>
  </si>
  <si>
    <t>Uptale</t>
  </si>
  <si>
    <t>Operator of a virtual reality learning platform designed to create, share and track training modules. The company's platform transforms media into learning experiences, shares live experiences on any device online or offline, offers a quality standard for security, confidentiality, and authentication, and gets a data tracking dashboard, enabling users to embark on more cognitive services and technologies in the platform.</t>
  </si>
  <si>
    <t>Arkéa Capital, GO Capital (France)</t>
  </si>
  <si>
    <t>employee engagement tool, immersive learning, learning platform developer, learning platform software, virtual reality system, virtual reality video</t>
  </si>
  <si>
    <t>EdTech, Virtual Reality</t>
  </si>
  <si>
    <t>278024-59T</t>
  </si>
  <si>
    <t>FairCraft</t>
  </si>
  <si>
    <t>Animal Textiles, Biotechnology, Other Textiles*</t>
  </si>
  <si>
    <t>Textiles</t>
  </si>
  <si>
    <t>Producer of sustainable animal leather intended to offer a slaughter-free alternative to premium leather. The company leverages cellular culture, material science, and tissue engineering techniques to develop a cell-based alternative, enabling businesses to reduce carbon dioxide emissions and offer their customers high mechanical strength and durability.</t>
  </si>
  <si>
    <t>AFI Ventures (Paris), Blue Wire Capital, Bpifrance, CapHorn Invest, DCI Capital, Entrepreneur First, Heirloom VC, Kindred Ventures(Kanyi Maqubela), Sake Bosch</t>
  </si>
  <si>
    <t>animal leather alternative, artificial leather, artificial leather product, biotechnology research, leather alternative, leather good, leather hub, sustainability ecosystem, sustainable leather</t>
  </si>
  <si>
    <t>Other Textiles</t>
  </si>
  <si>
    <t>279287-65T</t>
  </si>
  <si>
    <t>Luxurynsight</t>
  </si>
  <si>
    <t>Devceloper of data tools intended to allow luxury leaders to focus on brand strategy development. The company combines the rigor of research, the power of data, and the flexibility of digital and deploys data intelligence platforms for brands to get an automated, structured, and data-driven watch for decision-makers across departments, providing brands with price positioning and monitoring analysis on the market scope at all levels, improving profit margin and decoding competition pricing strategies.</t>
  </si>
  <si>
    <t>Elaia Partners, Serena (Paris)</t>
  </si>
  <si>
    <t>ai automation platform, artificial intelligence engine, business data analysis, data analysis, data intelligence platform, luxury goods, market data analysis, market dynamics analysis, market research firm, research data, smart data platform</t>
  </si>
  <si>
    <t>277964-65T</t>
  </si>
  <si>
    <t>Arenametrix</t>
  </si>
  <si>
    <t>Developer of an omnichannel marketing software designed to offer marketing tools to develop and engage audiences of cultural institutions, sports organizations and leisure venues. The company's platform offers targeted marketing and audience participation analysis to predict loyal customers and develop strategies to engage them through communication, enabling clients to sell tickets to programs and increase their revenue.</t>
  </si>
  <si>
    <t>Newfund Management, Reflexion Capital</t>
  </si>
  <si>
    <t>marketing analysis platform, marketing platform operator, marketing platform software, omnichannel marketing, omnichannel marketing automation, omnichannel marketing platform, vertical application</t>
  </si>
  <si>
    <t>Artificial Intelligence &amp; Machine Learning, Big Data, Marketing Tech, SaaS</t>
  </si>
  <si>
    <t>278053-84T</t>
  </si>
  <si>
    <t>Agri Lab Leverage</t>
  </si>
  <si>
    <t>Food Products*</t>
  </si>
  <si>
    <t>Manufacturer of a bio-sourced ingredient intended to transform plant co-products into antioxidant/acidifiers, dietary fibers, and secondary products. The company offers a process that eliminates waste while providing locally processed ingredients, enabling the agri-food and cosmetic industries to reduce their ecological impact and replace traditional preservatives with more sustainable alternatives.</t>
  </si>
  <si>
    <t>Angelor, Compiègne University of Technology, Femmes Business Angels, Finance &amp; Technologie, Foodara, TimeToAct Capital</t>
  </si>
  <si>
    <t>antioxidant food, circular economy, dietary fiber, healthy diet, plant products, secondary products, sustainable food supply</t>
  </si>
  <si>
    <t>Life Sciences, Manufacturing</t>
  </si>
  <si>
    <t>277889-59T</t>
  </si>
  <si>
    <t>Hoji</t>
  </si>
  <si>
    <t>Consulting Services (B2B), Environmental Services (B2B)*</t>
  </si>
  <si>
    <t>Operator of the startup studio intended to support manufacturers in the environmental transition. The company provides operational and technological support and monitors the environmental impact of companies via a committee of experts, enabling manufacturing startups to accelerate growth and reduce environmental impacts throughout the product life cycle.</t>
  </si>
  <si>
    <t>Banque des Territoires, Greenpact</t>
  </si>
  <si>
    <t>environmental impact, environmental monitoring, environmental transition, impact startup, startup studio, startup support</t>
  </si>
  <si>
    <t>277876-45T</t>
  </si>
  <si>
    <t>Lium (Aerospace and Defense)</t>
  </si>
  <si>
    <t>Aerospace and Defense*, Other Commercial Products</t>
  </si>
  <si>
    <t>Developer of a security system suite designed to protect industrial sites from security threats and incidents. The company offers real-time threat detection, incident coordination, and data collection for analysis, enabling industrial operators to improve safety and efficiency.</t>
  </si>
  <si>
    <t>Aerospace Angels, Ava capital</t>
  </si>
  <si>
    <t>aerospace components, hazard protection system, industrial security, security system, surveillance systems, threat detection, threat security</t>
  </si>
  <si>
    <t>Advanced Manufacturing</t>
  </si>
  <si>
    <t>277699-96T</t>
  </si>
  <si>
    <t>Linkup</t>
  </si>
  <si>
    <t>LLM Agents</t>
  </si>
  <si>
    <t>Developer of an artificial intelligence platform intended to construct an internet where AI and human aspirations align, creating progress that benefits all. The company specializes in digital infrastructure where AI agents can act as primary users, accessing, processing, and interacting with the web in ways that are efficient and optimized for them, providing clients with a specialized search engine that delivers content from premium sources and avoids hallucinations.</t>
  </si>
  <si>
    <t>Axeleo Capital, Financière Saint James, Kima Ventures, Motier Ventures, Oprtrs Club, Seedcamp</t>
  </si>
  <si>
    <t>ai platform, data provider, digital infrastructure, llm model, search engine, web browsing</t>
  </si>
  <si>
    <t>277823-71T</t>
  </si>
  <si>
    <t>Primaa</t>
  </si>
  <si>
    <t>Decision/Risk Analysis*</t>
  </si>
  <si>
    <t>Developer of a medical diagnostic software designed for automated and accurate histological diagnoses. The company's software is an artificial intelligence-based tool that facilitates cancer detection by digitizing the slides and collecting images in a database, enabling clients to digitally identify tissue damage and perform an increasing number of diagnoses while maintaining an unwavering level of reliability.</t>
  </si>
  <si>
    <t>Cenitz, Clery, Leia Capital</t>
  </si>
  <si>
    <t>cancer detection method, cancer detection platform, cancer detection software, healthcare technology firm, medical diagnostic software, pathology software</t>
  </si>
  <si>
    <t>Decision/Risk Analysis</t>
  </si>
  <si>
    <t>Orsay, France</t>
  </si>
  <si>
    <t>277759-81T</t>
  </si>
  <si>
    <t>ChapsVision</t>
  </si>
  <si>
    <t>Database Software*</t>
  </si>
  <si>
    <t>Developer of a data analysis platform designed to solve complex business problems through a fully integrated analytical infrastructure. The company's platform provides specific sectors with intelligence, investigation and analysis tools that combine data from different sources in a unified workspace, enabling their customers to optimize their digital transformation.</t>
  </si>
  <si>
    <t>Bpifrance, GENEO Capital Entrepreneur, Jolt Capital(Antoine Trannoy), Qualium Investissement, Tikehau Capital (PAR: TKO)</t>
  </si>
  <si>
    <t>analytical infrastructure, analytics platform, business intelligence, business intelligence platform, data analysis software, data layer, data management, data science</t>
  </si>
  <si>
    <t>Database Software</t>
  </si>
  <si>
    <t>Big Data</t>
  </si>
  <si>
    <t>Suresnes, France</t>
  </si>
  <si>
    <t>277477-03T</t>
  </si>
  <si>
    <t>Elicit Plant</t>
  </si>
  <si>
    <t>Operator of an AgTech company intended to lead the ecological transition in agriculture, addressing global challenges of climate change's impact on major crops. The company offers proprietary technology that utilizes phytosterols to enhance plant stress resistance and activate natural defenses, and extensive field trials across three continents demonstrated that are the sole option, providing farmers with consistent and substantial returns on investment.</t>
  </si>
  <si>
    <t>Bpifrance(Clémentine Cazenave), Carbyne Equity Partners(Marius Dantl), ECBF Management(Stephane Roussel), Sofinnova Partners(Michael Krel)</t>
  </si>
  <si>
    <t>ag biotech, agricultural biotechnology, agriculture technology, novel farming system, plant biotechnology, plant biotechnology research, plant research</t>
  </si>
  <si>
    <t>AgTech, CleanTech, Climate Tech</t>
  </si>
  <si>
    <t>Moulins-sur-Tardoire, France</t>
  </si>
  <si>
    <t>277518-70T</t>
  </si>
  <si>
    <t>iB2</t>
  </si>
  <si>
    <t>Environmental Services (B2B), Machinery (B2B)*, Other Commercial Services, Other Metals, Minerals and Mining</t>
  </si>
  <si>
    <t>Developer of an alumina refinery technology intended to optimize the use of low-quality bauxite. The company utilizes a technology that produces alumina from low-grade bauxite which can be used to make green cement as well as focuses on pre-treatment of waste to improve the available content and more efficient refining using less energy and resources, enabling businesses to secure bauxite from domestic deposits while saving money on raw materials, sodium hydroxide, and waste.</t>
  </si>
  <si>
    <t>Anaïs Ventures SA, Glencore (LON: GLEN)(Robin Scheiner)</t>
  </si>
  <si>
    <t>alumina refining, bauxite mining, environmental benefit, extraction system, industrial machinery, industrial machinery maker, machinery manufacturing</t>
  </si>
  <si>
    <t>LOHAS &amp; Wellness, Manufacturing</t>
  </si>
  <si>
    <t>LIsle sur la Sorgue, France</t>
  </si>
  <si>
    <t>274024-81T</t>
  </si>
  <si>
    <t>MOON (Alternative Energy Equipment)</t>
  </si>
  <si>
    <t>Alternative Energy Equipment*, Application Software, Energy Production</t>
  </si>
  <si>
    <t>Operator of a solar energy platform intended to provide access to renewable energy for underserved rural communities in sub-Saharan Africa. The company offers affordable solar home systems and connectivity solutions, including flexible payment options like pay-as-you-go and rent-to-own models, enabling households to gain reliable electricity while improving their quality of life and supporting sustainable development in regions with limited access to traditional energy sources.</t>
  </si>
  <si>
    <t>Climate Club (Paris), Delmas Investissements Et Participations, EDFI Management Company, Kima Ventures, Nouvelle Aquitaine Co-Investissement, RAISE Sherpas, Région Nouvelle-Aquitaine</t>
  </si>
  <si>
    <t>carbon footprint, clean energy, energy project, solar energy, solar installation service, solar kits</t>
  </si>
  <si>
    <t>CleanTech, Climate Tech, E-Commerce, LOHAS &amp; Wellness</t>
  </si>
  <si>
    <t>255739-15T</t>
  </si>
  <si>
    <t>NetZero</t>
  </si>
  <si>
    <t>Environmental Services (B2B)*, Other Commercial Services</t>
  </si>
  <si>
    <t>Provider of climate biochar intended to remove carbon from the atmosphere. The company's platform specializes in long-term carbon removal from the atmosphere by turning agricultural residues extracted from residual plant matter and buried in the soil, enabling farmers with higher yields and lower fertilizer use in agriculture and companies to neutralize their unavoidable emissions and co-generate renewable energy.</t>
  </si>
  <si>
    <t>Agence Francaise de Developpement, INNOVX, Stoa Infra &amp; Energy</t>
  </si>
  <si>
    <t>agriculture technology, biological carbon removal, carbon removal, carbon removal method, carbon removal technology, carbon tech, carbon technology, environmental care, rural development, sustainable agriculture</t>
  </si>
  <si>
    <t>277372-99T</t>
  </si>
  <si>
    <t>Prelude (Paris)</t>
  </si>
  <si>
    <t>Developer of an OTP &amp; SMS verification API designed for developers to cut verification costs and send verification messages at scale. The company offers a unified, easy-to-use and high deliverability OTP &amp; SMS verification API, enabling developers to convert more users for less by cutting verification costs and sending verification messages at scale without paying for spam or added mark-up.</t>
  </si>
  <si>
    <t>Seedcamp, Singular.</t>
  </si>
  <si>
    <t>access management, authentication service, authentication software, downtime analysis, fraud detection, identity &amp; access management, identity and access management, password verification, phone verification</t>
  </si>
  <si>
    <t>Cybersecurity, Mobile, SaaS</t>
  </si>
  <si>
    <t>277457-32T</t>
  </si>
  <si>
    <t>S4s Payroll Management</t>
  </si>
  <si>
    <t>Consulting Services (B2B)*, Human Capital Services</t>
  </si>
  <si>
    <t>Provider of payroll management consulting services intended to help provide secure payroll practices. The company offers compliance audits, social protection audits, monitoring, and training and also validates the payroll process technically and legally through the systematic intervention of lawyer partners, enabling companies to reduce the weight of the wage bill without affecting employment.</t>
  </si>
  <si>
    <t>Re-Sources Capital</t>
  </si>
  <si>
    <t>compliance audits, consulting service, payroll compliance, payroll consulting, payroll management, payroll training</t>
  </si>
  <si>
    <t>Consulting Services (B2B)</t>
  </si>
  <si>
    <t>277295-05T</t>
  </si>
  <si>
    <t>IADYS</t>
  </si>
  <si>
    <t>Electronic Equipment and Instruments, Environmental Services (B2B), Other Hardware*</t>
  </si>
  <si>
    <t>Developer of a robotic technology intended to collect marine litter from coastal and other waterways. The company's AI-powered robots specialized in collecting all types of hydrocarbons such as iridescence or more viscous forms of oils, diesel, kerosene, and gasoline as well as plastic, glass, metals, natural waste, and floating algae, enabling municipalities and companies to reduce and prevent marine pollution.</t>
  </si>
  <si>
    <t>Abeille Assurances, Fondo Sudamerik, Go Capital, GO Capital (France), Inco Ventures, Innovacom (Paris), Smalt Capital</t>
  </si>
  <si>
    <t>autonomous machine, intelligent robotics, marine pollution treatment, marine robotics, marine robotics vehicles, robotic solutions provider, robotic technology, waste prevention service</t>
  </si>
  <si>
    <t>Roquefort-la-Bédoule, France</t>
  </si>
  <si>
    <t>277308-91T</t>
  </si>
  <si>
    <t>Omaha</t>
  </si>
  <si>
    <t>Financial Software*</t>
  </si>
  <si>
    <t>Developer of accounting data standardization platform intended to compare and value companies. The company's platform utilizes artificial intelligence to standardize accounting data and provides analyses of the financial risks and opportunities of companies, enabling banks, analysts, and wealth managers to make faster and informed decisions.</t>
  </si>
  <si>
    <t>Axeleo Capital, Ventech (Paris)(Audrey Soussan), VIA AM</t>
  </si>
  <si>
    <t>accounting data management, company evaluation, financial risk analysis, investment support, investment tool, valuation software</t>
  </si>
  <si>
    <t>Artificial Intelligence &amp; Machine Learning, FinTech</t>
  </si>
  <si>
    <t>277311-07T</t>
  </si>
  <si>
    <t>Polar Analytics</t>
  </si>
  <si>
    <t>Automation/Workflow Software, Business/Productivity Software*, Media and Information Services (B2B)</t>
  </si>
  <si>
    <t>Developer of a SaaS-based multichannel analytics platform designed to connect marketing data, analyze them, and get actionable insights. The company's platform helps its clients integrate and centralize all of their marketing data in one click, instantly calculating and analyzing their KPI automatically monitoring their metrics, and getting smart insights, enabling businesses to streamline data engineering, data analytics, and data science.</t>
  </si>
  <si>
    <t>Chalfen Ventures, Frst Capital, Point Nine Capital</t>
  </si>
  <si>
    <t>analytics &amp; cdps, api integration system, crm, dashboard system, data analytics saas, data engineering platform, data visualization system, machine learning system, merchandising, multichannel analytics</t>
  </si>
  <si>
    <t>277298-29T</t>
  </si>
  <si>
    <t>Trace for good</t>
  </si>
  <si>
    <t>IT Consulting and Outsourcing, Media and Information Services (B2B)*</t>
  </si>
  <si>
    <t>Developer of tracking software intended to trace the origin of products. The company offers data enrichment software that allows users to save time in data exchange and documents management, enabling brands and suppliers to collaborate in real time from a single, standardized, and verified source of information.</t>
  </si>
  <si>
    <t>Ankaa Ventures, CS Ventures (US), Hi Inov(Wolfgang Krause), Seed4Soft</t>
  </si>
  <si>
    <t>csr data enrichment, csr data management, data enrichment platform, data management software, product tracking software, software developer, supply chain software, traceability platform, traceability software</t>
  </si>
  <si>
    <t>277312-33T</t>
  </si>
  <si>
    <t>AdipoPharma</t>
  </si>
  <si>
    <t>Developer of a peptide-based drug designed to offer treatment for patients suffering from type 2 diabetes. The company's drugs undergo a detailed analysis of the adipocyte's complex function, its intrinsic lipid modulating effects, and a targeted approach to treatment, enabling patients to restore healthy lipid biosynthesis in the diseased adipocyte and have a beneficial effect on insulin resistance as well as insulin sensitivity, beta-cell plaque removal, liver steatosis, and fibrosis.</t>
  </si>
  <si>
    <t>Good Growth Capital(Amy Salzhauer), Investsud, Newton BioCapital(Alain Parthoens), Okeanos (United States)(Aaron Berkey), SambrInvest</t>
  </si>
  <si>
    <t>adipocyte browning, diabetes treatment drugs, diabetes treatment therapy, insulin resistance, peptide drug discovery, peptide-based drugs</t>
  </si>
  <si>
    <t>Life Sciences, LOHAS &amp; Wellness</t>
  </si>
  <si>
    <t>Strasbourg, France</t>
  </si>
  <si>
    <t>277201-45T</t>
  </si>
  <si>
    <t>Agicap</t>
  </si>
  <si>
    <t>Series C</t>
  </si>
  <si>
    <t>Application Software, Business/Productivity Software, Financial Software*</t>
  </si>
  <si>
    <t>Developer of a cash flow management software designed to help clients focus on the present and future by helping them put cash at the heart of their decision-making. The company's software provides managers with simple and reliable services for cash flow forecasts, and visualization of incoming and outgoing payment reports, enabling clients to get dynamic cash flow forecasts and simulate the impact scenarios on cash flows.</t>
  </si>
  <si>
    <t>AXA Venture Partners</t>
  </si>
  <si>
    <t>budgeting &amp; forecasting, budgeting and forecasting, cash flow data, cash flow monitoring, cash management platform, cash monitoring, cfo stack, enterprise resource planning, financial management system, payment management platform, payment solutions, supplier payment</t>
  </si>
  <si>
    <t>217900-90T</t>
  </si>
  <si>
    <t>Souliers Martinez</t>
  </si>
  <si>
    <t>Footwear*, Specialty Retail</t>
  </si>
  <si>
    <t>Manufacturer of handmade leather footwear intended to provide comfortable shoes with bold designs. The company researches and experiments with a selection of leathers, and traditional braiding techniques typical of the region of Alicante, Spain, mixed with a resolutely Parisian design esthetic, enabling customers to have handmade and handwoven comfortable leather shoes.</t>
  </si>
  <si>
    <t>Cuir Invest(Geoffroy Rosset)</t>
  </si>
  <si>
    <t>footwear brand, footwear designer, footwear firm, footwear line, footwear maker, footwear manufacturer, footwear manufacturing, leather shoes</t>
  </si>
  <si>
    <t>276755-23T</t>
  </si>
  <si>
    <t>OuiLive</t>
  </si>
  <si>
    <t>Application Software, Entertainment Software*, Human Capital Services</t>
  </si>
  <si>
    <t>Developer of a gamification platform designed to improve employee engagement and performance. The company's application includes modular mini-games, interactive spaces, and elastic play modes and can be customized to meet the specific needs of each client, enabling businesses and organizations to improve employee engagement, communication, and productivity.</t>
  </si>
  <si>
    <t>Business Angels, The Moon Venture</t>
  </si>
  <si>
    <t>challenge app, community of users, connect players, creative content, gamification app, interactive application, live platform, mini games</t>
  </si>
  <si>
    <t>Gaming, Mobile</t>
  </si>
  <si>
    <t>276610-51T</t>
  </si>
  <si>
    <t>Liberlo</t>
  </si>
  <si>
    <t>Business/Productivity Software*, Information Services (B2C)</t>
  </si>
  <si>
    <t>Operator of a booking appointments platform intended to manage consultations. The company's platform facilitates certified professionals to make an appointment from anywhere at any time, with appointment reminders via SMS, and access to a wide range of practitioners, enabling users to connect with certified practitioners and mutuals, streamlining and securing the care pathway related to complementary medicine.</t>
  </si>
  <si>
    <t>Apicil Group</t>
  </si>
  <si>
    <t>appointment booking, appointment booking platform, appointment bookings, appointment platform, appointment services, booking platform, information and internet, resource management</t>
  </si>
  <si>
    <t>277480-27T</t>
  </si>
  <si>
    <t>OpenAirlines</t>
  </si>
  <si>
    <t>Air, Business/Productivity Software*</t>
  </si>
  <si>
    <t>Developer of airline management and consulting software intended to save fuel and money during airline flight operations. The company's software uses big data algorithms and automatically analyses a large amount of available data in-flight data recorders to assess flights' efficiency, enabling airlines to save fuel, optimize the usage of crew resources, and optimize fleet, network, and schedule.</t>
  </si>
  <si>
    <t>Eiffel Investment Group, Mirova</t>
  </si>
  <si>
    <t>air transportation service, airline operations, airline software, aviation tools, fleet management software, flight operations software, impact investing vertical, mobility data analytics, vertical application</t>
  </si>
  <si>
    <t>276515-47T</t>
  </si>
  <si>
    <t>Billy (Business/Productivity Software)</t>
  </si>
  <si>
    <t>Developer of a ticketing platform intended to offer powerful analytics and automated data export. The company's platform offers various features and benefits for event organizers, attendees, and artists to create, manage, and sell events, enabling users to search for events listed on the website and buy tickets for various events such as music concerts, sports and festivals.</t>
  </si>
  <si>
    <t>Accel, Izun Partners, Ministry of Culture, Stake Capital</t>
  </si>
  <si>
    <t>data export tools, data export-import management, event management tool, ticketing manager, ticketing reselling, ticketing sales</t>
  </si>
  <si>
    <t>271913-50T</t>
  </si>
  <si>
    <t>Alpagga</t>
  </si>
  <si>
    <t>Operator of an equipment purchase marketplace intended to simplify the purchase and sale of used professional equipment in the food industry. The company offers a marketplace to facilitate the purchase and sale of second-hand equipment by offering adapted services such as delivery management, consignment-sale storage, guaranteed equipment purchase, and generation of invoices, enabling professionals in the cooking industry to save on their purchases.</t>
  </si>
  <si>
    <t>50 Partners, Acurio Ventures, Climate Club (Paris), Delivery Hero Ventures, FJ Labs, Ring Capital(Laurent Babut), Ventech (Paris)</t>
  </si>
  <si>
    <t>b2b online market, delivery management service, marketplace tech, marketplace technology, reseller market, reusable product</t>
  </si>
  <si>
    <t>277908-40T</t>
  </si>
  <si>
    <t>AirSaas</t>
  </si>
  <si>
    <t>Developer of an online project management software platform designed to accelerate digital transformation. The company's technology platform allows CIOs to maintain control and visibility over all digital projects by consolidating business feedback from several sources in a single space, enabling clients to avoid duplication, optimize costs, avoid shadow IT, and replicate successful implementations.</t>
  </si>
  <si>
    <t>Tomcat Invest</t>
  </si>
  <si>
    <t>digital transformation hub, digital transformation solution, digital transformation tools, it collaboration, project management, project management software, project management tool</t>
  </si>
  <si>
    <t>277909-30T</t>
  </si>
  <si>
    <t>Arago (Application Software)</t>
  </si>
  <si>
    <t>Application Software*, Other Software</t>
  </si>
  <si>
    <t>Developer of a photonics processor designed to accelerate and improve the efficiency of traditional computation methods for machine learning and inference. The company's platform leverages optical cores to accelerate matrix multiplications and pointwise operations, enabling enterprises in artificial intelligence and computational industries to achieve higher performance, reduced energy consumption, and integration into existing systems.</t>
  </si>
  <si>
    <t>GenerativeIQ</t>
  </si>
  <si>
    <t>artificial intelligence, energy consumption, high performance, machine learning, optical technology, photonics processor</t>
  </si>
  <si>
    <t>Application Software</t>
  </si>
  <si>
    <t>Artificial Intelligence &amp; Machine Learning, Big Data</t>
  </si>
  <si>
    <t>Arcueil, France</t>
  </si>
  <si>
    <t>285272-11T</t>
  </si>
  <si>
    <t>Atawey</t>
  </si>
  <si>
    <t>Energy Infrastructure*</t>
  </si>
  <si>
    <t>Energy Services</t>
  </si>
  <si>
    <t>Operator of hydrogen refueling stations intended to provide turnkey power supply systems for isolated sites. The company's hydrogen refueling stations ensure that green energy is available anytime when batteries may have energy shortages and diesel generates a high carbon footprint, enabling hydrogen mobility businesses to have simple, reliable, clean, and safe hydrogen energy products and services.</t>
  </si>
  <si>
    <t>clean energy fuel, climate tech company, hydrogen dispenser, hydrogen energy product, mobility care, refueling center</t>
  </si>
  <si>
    <t>Energy Infrastructure</t>
  </si>
  <si>
    <t>CleanTech, Climate Tech, LOHAS &amp; Wellness</t>
  </si>
  <si>
    <t>Le Bourget du Lac, France</t>
  </si>
  <si>
    <t>276868-63T</t>
  </si>
  <si>
    <t>Blue Morpho</t>
  </si>
  <si>
    <t>Business/Productivity Software*, Software Development Applications</t>
  </si>
  <si>
    <t>Developer of large language models powered enterprise knowledge graph platform intended to enhance decision-making. The company's platform organizes, links, and categorizes the organization's data, leveraging large language models to curate and populate the graph and navigate the graph like hyperlinks, enabling clients to get intelligent insights with ease.</t>
  </si>
  <si>
    <t>Fly Ventures</t>
  </si>
  <si>
    <t>business intelligence, enterprise knowledge, enterprise solutions, graphql service, knowledge graphing, llm tools</t>
  </si>
  <si>
    <t>277689-61T</t>
  </si>
  <si>
    <t>Coderamp</t>
  </si>
  <si>
    <t>Business/Productivity Software, Software Development Applications*</t>
  </si>
  <si>
    <t>Developer of a devtool platform designed for providing interactive, browser-based developer environments. The company's platform offers to iterate on onboarding to maximize developer engagement and a clear view of every step in the user journey with pre-installed extensions or customizations to the editor, enabling developers to take better decisions and to better interact with tools.</t>
  </si>
  <si>
    <t>analytics cloud, code snippet, customization tool, documentation work, language model, user analytics</t>
  </si>
  <si>
    <t>Villeurbanne, France</t>
  </si>
  <si>
    <t>277691-59T</t>
  </si>
  <si>
    <t>Collectif Galien</t>
  </si>
  <si>
    <t>Other Healthcare Services, Practice Management (Healthcare)*</t>
  </si>
  <si>
    <t>Healthcare Services</t>
  </si>
  <si>
    <t>Provider of an adaptable infrastructure and medical practice services intended to operate healthcare centers easily. The company's platform helps with flexible and paid liberal practice and in collective practice, delegated management, and life balance rethought with optimized remuneration, enabling medical professionals to boost their practices and benefit from the offices.</t>
  </si>
  <si>
    <t>Founders Future, Kima Ventures, Source Ventures (Paris)</t>
  </si>
  <si>
    <t>business automation, delegated management, healthcare infrastructure, healthcare services, operations automation, practice facility</t>
  </si>
  <si>
    <t>Practice Management (Healthcare)</t>
  </si>
  <si>
    <t>Orleans, France</t>
  </si>
  <si>
    <t>277678-63T</t>
  </si>
  <si>
    <t>Entropia</t>
  </si>
  <si>
    <t>Automation/Workflow Software, Business/Productivity Software*, Database Software</t>
  </si>
  <si>
    <t>Developer of knowledge management software designed for enterprises and corporations to retrieve documentation. The company's platform leverages AI to create a knowledge base out of unstructured documents, retrieve information, and perform intern-level information processing tasks, enabling clients to scale millions of documents, all while prioritizing data privacy and security.</t>
  </si>
  <si>
    <t>Kima Ventures, Motier Ventures</t>
  </si>
  <si>
    <t>data retrieval, documentation tools, enterprise search, generative ai, knowledge management, knowledge management software, workflow automation</t>
  </si>
  <si>
    <t>Versailles, France</t>
  </si>
  <si>
    <t>277688-35T</t>
  </si>
  <si>
    <t>Guideflow</t>
  </si>
  <si>
    <t>Developer of a product demo platform designed to guide step by step to increase productivity and conversion rate. The company's platform creates sales and pre-sales demos, transforms pitches, and personalized demos, marketing, training, and enablement, helping firms to monitor impressions, completion rate, leads collected, and conversion in seconds.</t>
  </si>
  <si>
    <t>conversion rate, demo platform, marketing reach, personalized demos, product demo, product demonstrations software</t>
  </si>
  <si>
    <t>AdTech, Artificial Intelligence &amp; Machine Learning, Manufacturing, SaaS</t>
  </si>
  <si>
    <t>Neuilly, France</t>
  </si>
  <si>
    <t>277699-78T</t>
  </si>
  <si>
    <t>Kafi</t>
  </si>
  <si>
    <t>Developer of coop video games based in Paris, France. The company is currently operating in stealth mode.</t>
  </si>
  <si>
    <t>stealth company, stealth corporation, stealth enterprise, stealth firm, video game</t>
  </si>
  <si>
    <t>Gaming</t>
  </si>
  <si>
    <t>Saint- Mande, France</t>
  </si>
  <si>
    <t>277699-87T</t>
  </si>
  <si>
    <t>Linc (France)</t>
  </si>
  <si>
    <t>Developer of payroll management designed for Syntec small and medium-sized enterprises. The company offers benefits from a dedicated and responsive syntec expert to manage your payroll, enabling clients to save time, eliminate errors, and benefit from a tailor-made service.</t>
  </si>
  <si>
    <t>customized services, erp services, financial management, human resources, payroll data, payroll management, payroll services</t>
  </si>
  <si>
    <t>277700-05T</t>
  </si>
  <si>
    <t>Localista</t>
  </si>
  <si>
    <t>Developer of AI-powered marketing platform intended for business. The company platform offers feature to find out what the guests really came for, stay connected with your guests, create dedicated, branded landing pages for all your events, increases participation rates, analyze guest behaviour, improve ROI on the events, enabling clients to leverage their events to generate leads, convert sales, and engage customers.</t>
  </si>
  <si>
    <t>ai platform, analysis platform, artificial intelligence, event platform, guest engagement platform, marketing platform</t>
  </si>
  <si>
    <t>278074-54T</t>
  </si>
  <si>
    <t>Luo</t>
  </si>
  <si>
    <t>Developer of a financial platform designed to facilitate fast and secure international payments. The company offers real-time transaction rates, local customer support, and a focus on data security, enabling businesses to pay suppliers abroad with guaranteed proof of payment quickly.</t>
  </si>
  <si>
    <t>Entrepreneur First, MaC Venture Capital, Protagonist</t>
  </si>
  <si>
    <t>abroad payment, data security, instant payment, international payment, quick payment, secure payment</t>
  </si>
  <si>
    <t>284955-58T</t>
  </si>
  <si>
    <t>Mindbaz</t>
  </si>
  <si>
    <t>Business/Productivity Software*, Communication Software, Media and Information Services (B2B)</t>
  </si>
  <si>
    <t>Developer of a SaaS email routing application designed to optimize the use of customer databases for email campaigns. The company's application offers a targeting engine that helps in database importation, segmentation, personalization, and tracking of statistics and deliverability, enabling businesses across Europe to enhance their email campaign performance and improve deliverability rates.</t>
  </si>
  <si>
    <t>IRD Invest</t>
  </si>
  <si>
    <t>clients data, clients service, data center, data services, email campaign, email services, email strategy, marketing automation</t>
  </si>
  <si>
    <t>Marketing Tech, SaaS</t>
  </si>
  <si>
    <t>277668-73T</t>
  </si>
  <si>
    <t>SerenySun Energies</t>
  </si>
  <si>
    <t>Energy Infrastructure, Energy Production*, Information Services (B2C)</t>
  </si>
  <si>
    <t>Operator of renewable energy communities designed to optimize local green energy sharing. The company's platform develops and supports collective self-consumption systems, including individual and shared solar energy, ensuring businesses, municipalities, and residents can benefit from sustainable, locally produced electricity, reducing costs and environmental impact through efficient, short energy circuits.</t>
  </si>
  <si>
    <t>Andera Partners</t>
  </si>
  <si>
    <t>energy community, energy service company, green energy, renewable energy, renewable energy supply, solar energy</t>
  </si>
  <si>
    <t>276780-70T</t>
  </si>
  <si>
    <t>SquareMind</t>
  </si>
  <si>
    <t>Monitoring Equipment, Other Devices and Supplies*, Other Hardware, Other Healthcare Technology Systems</t>
  </si>
  <si>
    <t>Developer of robotic medical equipment designed to transform non-invasive healthcare. The company's equipment is equipped with third-dimension construction software for full-body mapping to detect skin cancer, enabling physicians to track the growth of moles on the body using off-the-shelf robots.</t>
  </si>
  <si>
    <t>Teampact Ventures</t>
  </si>
  <si>
    <t>artificial intelligence firm, cancer detection, cancer detection equipment, medical equipment, oncology device, oncology robots</t>
  </si>
  <si>
    <t>Other Devices and Supplies</t>
  </si>
  <si>
    <t>Artificial Intelligence &amp; Machine Learning, HealthTech, Oncology, Robotics and Drones</t>
  </si>
  <si>
    <t>284536-72T</t>
  </si>
  <si>
    <t>The Marshmallow Project</t>
  </si>
  <si>
    <t>Educational Software*</t>
  </si>
  <si>
    <t>Operator of an education technology company intended to commercialize content. The company helps to develop digital tools, such as websites, software, and mobile applications, that emphasize artificial intelligence-driven educational content, enabling children to improve their learning experience.</t>
  </si>
  <si>
    <t>Alpha Intelligence Capital, Balderton Capital, Daphni, EduCapital, General Catalyst, Kima Ventures, Motier Ventures, SISTAFUND</t>
  </si>
  <si>
    <t>artificial intelligence, digital tools, education firm, education skills, educational content, learning experience</t>
  </si>
  <si>
    <t>Educational Software</t>
  </si>
  <si>
    <t>Artificial Intelligence &amp; Machine Learning, EdTech</t>
  </si>
  <si>
    <t>279212-23T</t>
  </si>
  <si>
    <t>Elqano</t>
  </si>
  <si>
    <t>Developer of an enterprise collaboration platform intended for knowledge management. The company's platform is integrated and allows employees who have queries to connect with other employees with the help of artificial intelligence (AI), enabling companies to get their questions solved and develop an organic capitalization of knowledge within teams.</t>
  </si>
  <si>
    <t>SIDE Capital</t>
  </si>
  <si>
    <t>collaboration platform, collaboration tool, corporate intelligence, data optimization, knowledge management, natural language processing</t>
  </si>
  <si>
    <t>273317-95T</t>
  </si>
  <si>
    <t>Vaxinano</t>
  </si>
  <si>
    <t>Biotechnology, Discovery Tools (Healthcare), Drug Discovery*</t>
  </si>
  <si>
    <t>Operator of a biotechnology firm intended to specialize in the development of prophylactic and therapeutic vaccines for infectious diseases. The company provides safe-by-design nanoparticles, adhering to green chemistry principles and also assists in the development of drugs for active biomolecules, proteins and antigens, enabling medical researchers to develop new vaccines for untreated viral, bacterial, or parasitic diseases.</t>
  </si>
  <si>
    <t>Bpifrance(Clémentine Cazenave), Clubster NHL, Nord France Amorçage, TCD Capital(Nicolas Roberti de Winghe), WiSeed</t>
  </si>
  <si>
    <t>anti-parasitic vaccines, biotechnology firm, immunotherapeutic treatment, infectious disease drugs, prophylactic therapy, therapeutic vaccine developer</t>
  </si>
  <si>
    <t>Life Sciences, Nanotechnology</t>
  </si>
  <si>
    <t>275850-73T</t>
  </si>
  <si>
    <t>Beyond Aero</t>
  </si>
  <si>
    <t>Aerospace and Defense*, Air</t>
  </si>
  <si>
    <t>Manufacturer of hydrogen-electric aircraft intended to create energy-efficient business aircraft to reduce carbon footprints. The company engages in the development of zero-emission private aircraft powered by hydrogen-electric propulsion with an engine being replaced by a fuel cell and an electric motor, enabling clients with the capability of carrying passengers with less energy and less environmental damage.</t>
  </si>
  <si>
    <t>Arash Ferdowsi(Arash Ferdowsi), Bpifrance, Gaingels, Giant Ventures(Jon Dishotsky), Initialized Capital Management(Brett Gibson), Nathan Blecharczyk(Nathan Blecharczyk)</t>
  </si>
  <si>
    <t>aircraft manufacturer, eco-friendly transport, electric aircraft, electric propulsion, fuel cell technology, hydrogen propulsion</t>
  </si>
  <si>
    <t>275773-60T</t>
  </si>
  <si>
    <t>Filigran</t>
  </si>
  <si>
    <t>Developer of cyber threat intelligence platform designed to offer cybersecurity and crisis management services. The company offers an extended threat management (XTM) portfolio, providing threat intelligence, adversary simulation, and crisis response open solutions to cybersecurity and crisis management teams, enabling organizations to maintain the usage of open-source platforms.</t>
  </si>
  <si>
    <t>Accel, Insight Partners(Crissy Behrens), Moonfire</t>
  </si>
  <si>
    <t>cyber threat control, cyber threat intelligence, cyber threat software, cybersecurity protection, cybersecurity safety, cybersecurity system, security operations</t>
  </si>
  <si>
    <t>Asnières-sur-Seine, France</t>
  </si>
  <si>
    <t>275781-97T</t>
  </si>
  <si>
    <t>Hubcycle</t>
  </si>
  <si>
    <t>Provider of plant-based upcycling service intended to transform industrial waste into raw materials. The company segregates plant-based waste and selects the highly valuable side-stream to be reused and converted into new sustainable raw materials, enabling industries to contribute to the circular economy reducing the overall environmental impact of commercial processes.</t>
  </si>
  <si>
    <t>Bleu Capital, Citizen Capital, Daphni, ETF Partners, RAISE Group, SWEN Capital Partners, Techmind</t>
  </si>
  <si>
    <t>bio-engineered food, food waste technology, upcycled food, upcycled ingredients, upcycling waste, waste reduction service, waste transformation plant</t>
  </si>
  <si>
    <t>Avignon, France</t>
  </si>
  <si>
    <t>270679-78T</t>
  </si>
  <si>
    <t>Lokki</t>
  </si>
  <si>
    <t>Developer of an all-in-one equipment rental platform designed to drive equipment rental business and grow your revenue. The company's platform frees up time for rental companies and prevents them from making mistakes again while increasing their online presence and also helps to focus all leasing activity on the same tool and stop juggling paper, Excel, and other programs, enabling clients to simplify their day-to-day management of their rental.</t>
  </si>
  <si>
    <t>50 Partners, blisce/, FJ Labs, Racine2, Silence VC</t>
  </si>
  <si>
    <t>cash flow data, cash management, equipment management, equipment rental, rental books, rental leasing, rental management system</t>
  </si>
  <si>
    <t>275517-28T</t>
  </si>
  <si>
    <t>GreenGo (Restaurants, Hotels and Leisure)</t>
  </si>
  <si>
    <t>Sustainable Tourism</t>
  </si>
  <si>
    <t>Operator of an eco-friendly accommodation platform intended to provide a green alternative for travel aggregators. The company's platform selects suitable and eco-friendly accommodations for vacations while considering the type of energy and its level of consumption, enabling customers to fully enjoy their vacation while reducing their environmental impact.</t>
  </si>
  <si>
    <t>4Ventures, Fast Track Venture, Inco Ventures</t>
  </si>
  <si>
    <t>accommodation platform, eco-friendly accommodation, green travel, green travel solution, sustainable tourism, vacation planning platform</t>
  </si>
  <si>
    <t>LOHAS &amp; Wellness, Mobile</t>
  </si>
  <si>
    <t>276347-71T</t>
  </si>
  <si>
    <t>Linkbycar</t>
  </si>
  <si>
    <t>Automotive, Automotive Insurance, Business/Productivity Software*</t>
  </si>
  <si>
    <t>Developer of a connected vehicle intelligence platform designed to offer an alternative to collect, process and aggregate data from all types of vehicles. The company's platform uses an artificial intelligence-driven tool to provide a behavioral prediction of motor vehicles and the individuals who use them to ease automotive services including insurance, maintenance, servicing and development, enabling mobility service providers to discover advanced distribution channels and build customer loyalty by providing mobility services adapted to the actual use of the service.</t>
  </si>
  <si>
    <t>Ethias, LeanSquare</t>
  </si>
  <si>
    <t>automotive products, behavioural data, fleet management data, mobility services solution, mobility services technology, motor vehicle data</t>
  </si>
  <si>
    <t>Artificial Intelligence &amp; Machine Learning, InsurTech, Mobility Tech, SaaS</t>
  </si>
  <si>
    <t>275660-02T</t>
  </si>
  <si>
    <t>Fungiball</t>
  </si>
  <si>
    <t>Entertainment Software*, Movies, Music and Entertainment, Other Financial Services</t>
  </si>
  <si>
    <t>Developer of fantasy tennis platform intended to provide gameplay, fan engagement, and content consumption on a single platform. The company's platform offers to buy, trade, and collect player cards through auctions and a secondary market and also offers an engaging tennis experience, enabling users to participate in fantasy tennis games while providing professional tennis players with an additional revenue stream.</t>
  </si>
  <si>
    <t>Adrien Dassault(Adrien Dassault), Bpifrance, Markchain, Stephan Altmuller</t>
  </si>
  <si>
    <t>fantasy gaming, fantasy sports, gameplay feature, gaming platform company, tennis events, tennis platform</t>
  </si>
  <si>
    <t>Tours, France</t>
  </si>
  <si>
    <t>270010-81T</t>
  </si>
  <si>
    <t>Ramdam</t>
  </si>
  <si>
    <t>Developer of a digital assistant application designed to find car deals. The company's application offers online car searching powered by conversational artificial intelligence and a user interface with a swipe to make car searching fun and interactive, enabling dealers to advertise their inventory to their community and connect with their users who expressed an interest in their listings.</t>
  </si>
  <si>
    <t>Banque Publique d'Investissement, Data Tech Fund, HSD Capital, Paris Region Venture Fund, The Moon Venture</t>
  </si>
  <si>
    <t>ai automation platform, automotive marketplace, car deal, car search, digital application, digital assistant, online car market</t>
  </si>
  <si>
    <t>Saint-Mande, France</t>
  </si>
  <si>
    <t>275218-75T</t>
  </si>
  <si>
    <t>Detective Box</t>
  </si>
  <si>
    <t>Entertainment Software*, Recreational Goods</t>
  </si>
  <si>
    <t>Developer of a criminal investigation game platform designed to recreate the excitement of crime-solving at home. The company's platform offers subscription-based cooperative murder mystery plays where users receive boxes in months each containing elements such as police reports, exhibits, interrogations, and other clues to solve the crime, enabling gamers to recreate the excitement of crime-solving at home.</t>
  </si>
  <si>
    <t>Alexis Desplats(Alexis Desplats), Fabrice Dominguez(Fabrice Dominguez), François Carbone(François Carbone), Jacques Ittah(Jacques Ittah), Kevin Creusy(Kevin Creusy), One Green (Paris), Régis Bonnessée(Régis Bonnessée), Vanessa Proust(Vanessa Proust), Vivien Garnes(Vivien Garnes), Yann Pasquier(Yann Pasquier)</t>
  </si>
  <si>
    <t>board games, escape rooms, escape rooms games, gaming content, gaming studio, puzzles games</t>
  </si>
  <si>
    <t>E-Commerce, Gaming</t>
  </si>
  <si>
    <t>274872-07T</t>
  </si>
  <si>
    <t>Mendo</t>
  </si>
  <si>
    <t>Developer of a generative AI platform designed to help businesses. The company offers a platform integrated with a user's existing stack, including Microsoft Copilot and ChatGPT, enabling customers to provide various services including acculturation, formation and adoption &amp; change.</t>
  </si>
  <si>
    <t>Emerge (London), TomCat Ventures</t>
  </si>
  <si>
    <t>digital transformation, digital transformation platform, generative ai, generative ai company, generative ai platform, generative ai tools</t>
  </si>
  <si>
    <t>Levallois Perret, France</t>
  </si>
  <si>
    <t>274926-43T</t>
  </si>
  <si>
    <t>Otoqi</t>
  </si>
  <si>
    <t>Business/Productivity Software, Media and Information Services (B2B), Road*</t>
  </si>
  <si>
    <t>Commercial Transportation</t>
  </si>
  <si>
    <t>Developer of an automotive management platform designed to address the entire lifecycle of a vehicle. The company's platform offers vehicle delivery, concierge services for transferring vehicles quickly between sites, agencies, and partners, and fleet management, enabling dealerships to enhance their operational efficiency, improve customer satisfaction, and ultimately drive sales growth.</t>
  </si>
  <si>
    <t>Aster Capital(Fabio Lancellotti), CDP Venture Capital, Seventure Partners, Swiss Post Ventures, Verve Ventures</t>
  </si>
  <si>
    <t>automotive management, concierge service, fleet management, operational efficiency, telematics integration, vehicle transfer</t>
  </si>
  <si>
    <t>Road</t>
  </si>
  <si>
    <t>Mobility Tech</t>
  </si>
  <si>
    <t>274833-82T</t>
  </si>
  <si>
    <t>Auxo</t>
  </si>
  <si>
    <t>Automation/Workflow Software, Financial Software*</t>
  </si>
  <si>
    <t>Developer of financial data management platform intended to manage clients' sustainable transition. The company's platform automates data collection of information systems and environmental, social, and corporate governance reporting, in compliance with regulations, and also offers the sharing of data between customers, suppliers, collaborators, and investors, enabling clients to access finance easily and anticipate regulatory developments.</t>
  </si>
  <si>
    <t>Arkéa Capital, Banque des Territoires</t>
  </si>
  <si>
    <t>automation platform, data driven platform, data management platform, financial data, financial data management, regulatory compliance</t>
  </si>
  <si>
    <t>274754-26T</t>
  </si>
  <si>
    <t>Najar</t>
  </si>
  <si>
    <t>Developer of a software-as-a-service (SaaS) management platform designed to optimize and forecast team performance and operations. The company's platform offers shadow management through personalized tools, optimized inventory for valuable insights, contract monitoring for centralizing software contracts and procurement support, enabling businesses to achieve operational efficiency by aligning IT and finance interests through effective SaaS management.</t>
  </si>
  <si>
    <t>13books Capital, Portage, Source Ventures (Paris), Tomcat Invest</t>
  </si>
  <si>
    <t>forecast model, inventory management, procurement analysis, saas management platform, saas management tool, saas operations, team performance</t>
  </si>
  <si>
    <t>274681-90T</t>
  </si>
  <si>
    <t>Gladia</t>
  </si>
  <si>
    <t>Developer an audio intelligence API (Application programming interface) platform designed to extract, analyze, and understand data from sound. The company's tool offers translation, sentiment analysis, voice synthesis, voice recognition, offensive content detection, background removal, and face detection, enabling developers to embed audio-AI into their applications easily</t>
  </si>
  <si>
    <t>Athletico Ventures, Gaingels, Global Founders Capital, Illuminate Financial Management, Mana Ventures, Motier Ventures, New Wave VC, Roosh Ventures, Sequoia Capital, Soma Capital, XAnge, XTX Ventures(Gabriele Papievyte)</t>
  </si>
  <si>
    <t>ai infrastructure software, api product, artificial intelligence solution, audio data, audio intelligence, multilingual tech, speech recognition tool</t>
  </si>
  <si>
    <t>Artificial Intelligence &amp; Machine Learning, AudioTech</t>
  </si>
  <si>
    <t>Cesson-Sévigné, France</t>
  </si>
  <si>
    <t>274623-04T</t>
  </si>
  <si>
    <t>Pretto</t>
  </si>
  <si>
    <t>Financial Software*, Information Services (B2C), Other Financial Services, Real Estate Services (B2C)</t>
  </si>
  <si>
    <t>Developer of an online mortgage platform designed to simplify the process of finding a mortgage loan. The company's tool allows stimulating property loans by comparing the rates of all banks, refines credit applications, and facilitates file optimization, enabling customers to have access to transparent mortgage services and identify the tailor-made financing suitable for their project.</t>
  </si>
  <si>
    <t>Alven Capital Partners, BlackFin Capital Partners(Julien Creuze), Eurazeo (PAR: RF), Kernel Investissements, Orange Ventures, Serena (Paris)(Sébastien Le Roy)</t>
  </si>
  <si>
    <t>alternative lending, digital brokerage platform, mortgage calculator, mortgage finding service, mortgage lending, mortgage loan, real estate lending</t>
  </si>
  <si>
    <t>FinTech, Mobile, Mortgage Tech, Real Estate Technology, SaaS</t>
  </si>
  <si>
    <t>275768-65T</t>
  </si>
  <si>
    <t>Aenitis Technologies</t>
  </si>
  <si>
    <t>Other Devices and Supplies*, Other Healthcare Services</t>
  </si>
  <si>
    <t>Developer of a medical device designed to offer assistance for cell therapy preparations. The company's devices focus on cell therapy units and blood banks' challenges by developing bioprocessing medical devices dedicated to cell therapy manufacturing issues including cell sorting, cell washing, and cell isolation, enabling the healthcare industry to get acoustic preparation support for cell therapies.</t>
  </si>
  <si>
    <t>European Innovation Council Fund, Mifani-Invest(Michel Spagnol), Stamos Capital, Weaving Invest(Idir Idjerouidene)</t>
  </si>
  <si>
    <t>bioprocess product, cell isolation, cell sorting, cell therapy, genomics sequencing, lab instrument, medical device firm, medical equipment</t>
  </si>
  <si>
    <t>274614-67T</t>
  </si>
  <si>
    <t>Stoik</t>
  </si>
  <si>
    <t>Business/Productivity Software, Network Management Software*, Other Insurance</t>
  </si>
  <si>
    <t>Developer of a cyber security platform designed to provide insurance and security against cyber-attacks. The company's platform offers a subscription that combines protection that can be controlled, insured for the residual risk and ongoing monitoring, enabling businesses to get an end-to-end control of their exposure to cyber risk.</t>
  </si>
  <si>
    <t>Alven Capital Partners(Thomas Cuvelier), Andreessen Horowitz(Seema Amble), Anthemis, Cyber Integrity Capital, Munich Re Ventures, Opera Tech Ventures, Tokio Marine HCC</t>
  </si>
  <si>
    <t>commercial insurance, cyber insurance, cyber security, cyber security risk, cyberattacks prevention, cyberattacks protection platform, insurance industry, security operations</t>
  </si>
  <si>
    <t>Cybersecurity, InsurTech</t>
  </si>
  <si>
    <t>274623-58T</t>
  </si>
  <si>
    <t>A3BC Group</t>
  </si>
  <si>
    <t>Business/Productivity Software, Financial Software, Network Management Software*</t>
  </si>
  <si>
    <t>Developer of a biometric payments platform designed to give all individuals a biometric digital ID. The company's patented secured storage protocol provides a universal digital ID service for end-to-end integrated digital authentication and identification services by using fingerprint, finger vein, eyes and face recognition, enabling users to protect data and prevent financial fraud without the need for a password, pin code or credit card.</t>
  </si>
  <si>
    <t>Luminess</t>
  </si>
  <si>
    <t>biometric, biometric payment, biometric payment solutions, cybersecurity, digital identity tools, digital security, secure payment</t>
  </si>
  <si>
    <t>274346-92T</t>
  </si>
  <si>
    <t>Granular Energy</t>
  </si>
  <si>
    <t>Business/Productivity Software*, Energy Marketing, Environmental Services (B2B)</t>
  </si>
  <si>
    <t>Operator of a clean energy marketplace system intended to allow certificate management for the energy sector. The company's platform offers features that include an assessment tool, registry onboarding and aggregation, portfolio and risk management, carbon accounting, and other compliance tools, enabling businesses with services for utilities, energy consumers, and generators to manage and facilitate clean energy sourcing and generating new price signals.</t>
  </si>
  <si>
    <t>Jera (Energy Production)(Tim Romero)</t>
  </si>
  <si>
    <t>clean energy, clean energy company, electricity system, energy management, enterprise asset management, grid infrastructure, sustainable energy, sustainable energy service</t>
  </si>
  <si>
    <t>274187-08T</t>
  </si>
  <si>
    <t>Kriptown</t>
  </si>
  <si>
    <t>Financial Software, Other Financial Services*</t>
  </si>
  <si>
    <t>Operator of a digital asset platform intended for equity financing. The company's platform facilitates funding transactions through digital assets that can be held, used, or traded on a secondary market, enabling startups and SMEs to access capital efficiently and securely.</t>
  </si>
  <si>
    <t>BNP Paribas (PAR: BNP), Bpifrance</t>
  </si>
  <si>
    <t>digital asset, equity financing, financial market, fintech platform, funding solutions, secondary market, startups funding, support startups</t>
  </si>
  <si>
    <t>274380-49T</t>
  </si>
  <si>
    <t>Twise (Computers, Parts and Peripherals)</t>
  </si>
  <si>
    <t>Computers, Parts and Peripherals*, Electronic Equipment and Instruments</t>
  </si>
  <si>
    <t>Operator of a software development company intended to provide innovative and secure solutions for TV and video delivery. The company offers software development and embedded applications on electronic cards plugged into decoders and especially into conditional access modules, enabling businesses with rapid deployment of solutions for CAM manufacturing.</t>
  </si>
  <si>
    <t>Alumni Business Angels, Angel's Bay Invest, Bpifrance, Caisse d'Epargne, Provence Business Angels, Sophia Business Angels</t>
  </si>
  <si>
    <t>dongle based services, electronic cards, software development company operator, tv solutions, usb drive, video delivery</t>
  </si>
  <si>
    <t>Aubagne, France</t>
  </si>
  <si>
    <t>274334-68T</t>
  </si>
  <si>
    <t>Keysom</t>
  </si>
  <si>
    <t>Developer of a no-code architectural exploration tool designed for customizable processor designs. The company develops RISC-V-based processor architectures that are automatically built from the application source code and dynamically reconfigurable, allowing industries to design custom processors without requiring in-depth technical knowledge.</t>
  </si>
  <si>
    <t>Bpifrance(François Charbonnier), Epopée Gestion(Camille Larsabal), EuroBIM, IRDI Capital Investissement(Vincent Brousse)</t>
  </si>
  <si>
    <t>architectural tool, automation model, chip design, design automation, no-code design, no-code tools, processor architecture, processor design</t>
  </si>
  <si>
    <t>PESSAC, France</t>
  </si>
  <si>
    <t>219780-01T</t>
  </si>
  <si>
    <t>Stellar</t>
  </si>
  <si>
    <t>Internet Service Providers*, Media and Information Services (B2B), Road</t>
  </si>
  <si>
    <t>Communications and Networking</t>
  </si>
  <si>
    <t>Developer of a broadband internet technology intended to bring digital life to vehicles and passengers. The company's technology provides a full suite of products and services for the land mobility sector, capable of combining cellular, Wi-Fi and satellite networks to enable persistent in-vehicle digital services, as well as enhancing automated driving and road safety, enabling drivers to have mobility-driven, deep-tech and sustainable connectivity provider.</t>
  </si>
  <si>
    <t>Alchimia Investments(Marcello Tedeschi), Elewit(Silvia Bruno), Linden Capital, Primo Capital (Milano)(Matteo Cascinari)</t>
  </si>
  <si>
    <t>broadband access, cellular network, data intelligence service, data intelligence technology, mass transportation services, satellite constellation planning, wifi modules</t>
  </si>
  <si>
    <t>Internet Service Providers</t>
  </si>
  <si>
    <t>Infrastructure, Micro-Mobility, Mobility Tech</t>
  </si>
  <si>
    <t>279438-31T</t>
  </si>
  <si>
    <t>Syroco</t>
  </si>
  <si>
    <t>Digital Twins</t>
  </si>
  <si>
    <t>Business/Productivity Software*, Marine, Media and Information Services (B2B)</t>
  </si>
  <si>
    <t>Developer of weather routing and voyage optimization platform designed for efficiency and performance monitoring. The company's platform leverages artificial intelligence to create a digital twin that empowers core applications for optimizing operational and fuel efficiency that can be used on board and onshore to support a sustainable transition, enabling the shipping industry to achieve cost savings, improving safety, and accelerating the sustainable transformation</t>
  </si>
  <si>
    <t>Alter Equity(Marion Chanéac), Made For All, Seventure Partners(Isabelle de Cremoux)</t>
  </si>
  <si>
    <t>digital twin technology, fleet management, operational optimization, performance monitoring, voyage planning, weather routing</t>
  </si>
  <si>
    <t>Artificial Intelligence &amp; Machine Learning, Big Data, CleanTech, Industrials</t>
  </si>
  <si>
    <t>274022-47T</t>
  </si>
  <si>
    <t>727 Sailbags</t>
  </si>
  <si>
    <t>Accessories, Clothing*</t>
  </si>
  <si>
    <t>Designer of bags and accessories intended to provide aesthetic and fashionable hand-sewn quality products. The company's products are made from recycled sails such as genoas, mainsails, and spinnaker sailcloth, and offers products like men's and women's wear, bags, and other apparel, enabling buyers to have a stylish, practical, and unique creation.</t>
  </si>
  <si>
    <t>Breizh Invest PME</t>
  </si>
  <si>
    <t>accessories maker, accessories store, hand bags, recycled accessories, recycled bags, womens bags</t>
  </si>
  <si>
    <t>Clothing</t>
  </si>
  <si>
    <t>Lorient, France</t>
  </si>
  <si>
    <t>279840-34T</t>
  </si>
  <si>
    <t>Faktus</t>
  </si>
  <si>
    <t>Operator of a construction site financing platform intended to provide financial help to public projects. The company's platform specializes in assisting certain projects that are unable to access funds, with advance money to carry out a project and grow further, enabling clients to finance their invoices, buy required equipment, retention deposit, reduce delays, and avoid negative cashflows.</t>
  </si>
  <si>
    <t>Super Capital(Diane Bassery)</t>
  </si>
  <si>
    <t>bfr financing, construction financing, cost coverage, financing fund, invoice data, invoice financing</t>
  </si>
  <si>
    <t>273817-99T</t>
  </si>
  <si>
    <t>La Vie</t>
  </si>
  <si>
    <t>Producer of plant-based meat substitutes intended to promote a vegan diet. The company produces bacon from nutrients found in plants using proprietary technology to replicate the functionalities and mouthfeel of animal fat, enabling customers to enjoy food-based meat-like products sustainably.</t>
  </si>
  <si>
    <t>Arnaud Bachelier(Arnaud Bachelier), Michel Larroche(Michel Larroche), Sparkfood, Zintinus</t>
  </si>
  <si>
    <t>alt-proteins, plant-based bacon, plant-based food, plant-based meat, plant-based meat product, plant-based product, plant-based protein, vegan food</t>
  </si>
  <si>
    <t>Climate Tech, FoodTech, LOHAS &amp; Wellness</t>
  </si>
  <si>
    <t>273697-75T</t>
  </si>
  <si>
    <t>Qovoltis</t>
  </si>
  <si>
    <t>Application Software, Automotive*, Other Services (B2C Non-Financial)</t>
  </si>
  <si>
    <t>Provider of electric vehicle charging solution intended to charge with real-time power demand adaptability. The company offers installation of the delivery point, installation and connection of terminals, real-time terminal supervision, and supply of electricity at a low price, enabling customers to manage and optimize charging remotely.</t>
  </si>
  <si>
    <t>Andera Partners, Epopée Gestion, Pâris Mouratoglou(Pâris Mouratoglou)</t>
  </si>
  <si>
    <t>charging hub, charging service provider, delivery point, electric vehicle, ev charging, fast charging, power point</t>
  </si>
  <si>
    <t>CleanTech, LOHAS &amp; Wellness</t>
  </si>
  <si>
    <t>273704-14T</t>
  </si>
  <si>
    <t>Rivrs</t>
  </si>
  <si>
    <t>Other Commercial Services, Software Development Applications*</t>
  </si>
  <si>
    <t>Developer of an online video game platform intended to build UGC games and improve community engagement. The company's platform develops UGC video games, reusing market-leading game engines offering user-generated content and games for players, brands, and institutions, enabling clients to develop games as per their needs.</t>
  </si>
  <si>
    <t>Pleiade Venture(Constance Rietzler)</t>
  </si>
  <si>
    <t>community engagement, community engagement services, community engagement software, online video game, online video game platform, online video game trading</t>
  </si>
  <si>
    <t>273151-09T</t>
  </si>
  <si>
    <t>Spaictra</t>
  </si>
  <si>
    <t>Diagnostic Equipment*</t>
  </si>
  <si>
    <t>Developer of a non-targeted blood testing technology designed to detect extremely weak signals. The company aims to transform blood testing from a reactive to a proactive tool, enabling medical professionals in early disease detection and more personalized treatments.</t>
  </si>
  <si>
    <t>blood testing, disease detection, medical diagnostics, photonics sensor, photonics tools, proactive care</t>
  </si>
  <si>
    <t>273650-05T</t>
  </si>
  <si>
    <t>C&amp;DAC</t>
  </si>
  <si>
    <t>Operator of a food research company intended to help agri-food companies to develop and industrialize healthy, clean label and eco-designed products. The company's services involve the development of new culinary formulas, improving existing recipes and creating adaptable ones on an industrial scale and transposing revenue on an industrial scale, enabling agribusiness companies to offer sustainable foods through the innovation of products and processes in a key environmental context.</t>
  </si>
  <si>
    <t>Alsace Business Angels, ILP Group</t>
  </si>
  <si>
    <t>culinary service, food innovation, innovative cuisine, process innovation, recipe discovery, sustainable food, sustainable food product</t>
  </si>
  <si>
    <t>TMT</t>
  </si>
  <si>
    <t>Vandoeuvre-lès-Nancy, France</t>
  </si>
  <si>
    <t>273640-15T</t>
  </si>
  <si>
    <t>DinMo</t>
  </si>
  <si>
    <t>Developer of a data activation company designed to help mid-market companies leverage their customer data without extensive technical resources. The company offers to democratize data access and usage for all businesses and leverages a cloud data stack, enabling non-technical users to create, manage and send their customer audiences and events to all their activation platforms and deliver unified customer experiences without code.</t>
  </si>
  <si>
    <t>468 Capital(Diogo Cunha), Big Bets, Financière Saint James, Motier Ventures, Seedcamp</t>
  </si>
  <si>
    <t>customer data platform, data platform software, marketing database, marketing software company, marketing software developer, marketing software provider, saas product</t>
  </si>
  <si>
    <t>273637-63T</t>
  </si>
  <si>
    <t>Ecotropy</t>
  </si>
  <si>
    <t>Business/Productivity Software*, Media and Information Services (B2B), Other Energy Services</t>
  </si>
  <si>
    <t>Developer of an artificial intelligence-based energy management platform designed to check, analyze and optimize the operation of aquatic facilities. The company's platform collects consumption, weather and usage data and helps in analyzing them using a dynamic thermal simulation-type calculation engine to check the proper energy operation of the site and the equipment to reduce energy and water consumption, enabling clients to optimize operations, simplify monitoring and save energy.</t>
  </si>
  <si>
    <t>Fluidra (MAD: FDR)(David Herrerias)</t>
  </si>
  <si>
    <t>analysis energy performance, energy conservation, energy conservation measuring, energy management system, energy performance software, energy software solutions</t>
  </si>
  <si>
    <t>273692-08T</t>
  </si>
  <si>
    <t>ENTOINNOV</t>
  </si>
  <si>
    <t>Insect-Based Foods</t>
  </si>
  <si>
    <t>Developer of a pioneering bioprocess designed to transform organic waste into insect-based food resources. The company offers nutritious ingredients rich in proteins and vitamins, enabling both human and pet diets to support health while minimizing environmental impact.</t>
  </si>
  <si>
    <t>bioprocess system, biorefinery process, biotech work, insects protein, nutritional compound, organic waste recycling</t>
  </si>
  <si>
    <t>Vandoeuvre-lès Nancy, France</t>
  </si>
  <si>
    <t>273634-21T</t>
  </si>
  <si>
    <t>Formality</t>
  </si>
  <si>
    <t>Developer of an administrative management platform designed for financial and legal departments. The company's platform automatically feeds admin and legal calendar based on documents and local regulations of the countries where companies have subsidiaries and the documents are scanned, key data is automatically extracted, enabling firms to easily delegate their administrative tasks.</t>
  </si>
  <si>
    <t>BPI Group, Partech, Serena (Paris)(Sébastien Le Roy)</t>
  </si>
  <si>
    <t>administrative management, administrative management software, administrative management suites, contract management, contract management cloud, contract management service, contract management tool</t>
  </si>
  <si>
    <t>Artificial Intelligence &amp; Machine Learning, Legal Tech</t>
  </si>
  <si>
    <t>264523-96T</t>
  </si>
  <si>
    <t>Poolside (Software Development Applications)</t>
  </si>
  <si>
    <t>Business/Productivity Software, Media and Information Services (B2B), Software Development Applications*</t>
  </si>
  <si>
    <t>Developer of an artificial intelligence-based platform designed to write software codes. The company's platform offers foundation concepts and infrastructure that use a vast language model to generate code from natural language queries, enabling developers to instruct the tool in natural language to code applications.</t>
  </si>
  <si>
    <t>20VC, 7GC &amp; Co, Adams Street Partners, B-Engine, Bain Capital Ventures(Enrique Salem), BAM Elevate, Capital One Ventures, Citi Ventures(Matthew Carbonara), Dorsal Capital Management, DST Global, eBay Ventures, Ericsson Ventures, Felicis(Aydin Senkut), Fin Capital, HSBC Strategic Innovation Investments, In-Q-Tel, Inovia Capital, ISAI, Italian Angels for Growth, Lakestar, LG Technology Ventures(Taejoon Park), Nvidia (NAS: NVDA)(Rory Kelleher), Premji Invest, Rashmi Gopinath(Rashmi Gopinath), Redpoint Ventures(Erica Brescia), Schroders Capital, SoftBank Investment Advisers, StepStone Group (NAS: STEP)</t>
  </si>
  <si>
    <t>artificial general intelligence, artificial intelligence technology, coding design, coding toolkit, foundation model, generative ai, infrastructure platform, software development app</t>
  </si>
  <si>
    <t>273671-02T</t>
  </si>
  <si>
    <t>Sepia Infrastructure</t>
  </si>
  <si>
    <t>Energy Infrastructure*, Other Energy Services</t>
  </si>
  <si>
    <t>Developer of sustainable and low-carbon energy solutions intended for high-tech industries. The company specializes in creating industrial campuses and power solutions such as the supply of green and low-carbon energy, reuse of waste heat, soil rehabilitation, installation and pooling of activities with complementary energy profiles, enabling high-tech industries to minimize their environmental impact.</t>
  </si>
  <si>
    <t>Ankaa Ventures(Damien Pierron), ENGIE New Ventures</t>
  </si>
  <si>
    <t>industrial technology, low-carbon energy, low-carbon energy saving, soil rehabilitation, sustainable energy, sustainable energy service</t>
  </si>
  <si>
    <t>Climate Tech, Infrastructure</t>
  </si>
  <si>
    <t>275141-98T</t>
  </si>
  <si>
    <t>B2ebike</t>
  </si>
  <si>
    <t>Automotive*, Other Transportation</t>
  </si>
  <si>
    <t>Developer of a sustainable mobility tool designed for improving performance but also a real source of well-being. The company offers mobility plans to real estate developers, including hotels and peri-urban industrial sites, enabling clients to adopt electrically assisted bicycles with dedicated terminals and applications.</t>
  </si>
  <si>
    <t>bicycle rental, electric vehicle, mobility solutions, mobility tools, rental service, sustainable mobility solutions</t>
  </si>
  <si>
    <t>274242-61T</t>
  </si>
  <si>
    <t>Axel Springer Porsche, Kima Ventures, Prequel Ventures (Berlin)</t>
  </si>
  <si>
    <t>275323-69T</t>
  </si>
  <si>
    <t>DESCHAUMES</t>
  </si>
  <si>
    <t>Building Products, Home Furnishings*</t>
  </si>
  <si>
    <t>Manufacturer of wood products designed to provide furniture and fittings made from French oaks. The company offers a variety of products, including solid oak parquet, engineered parquet, wooden panels, and accessories, enabling users to have products with the smallest possible environmental footprint.</t>
  </si>
  <si>
    <t>Centre Capital Développement</t>
  </si>
  <si>
    <t>french furniture, french oak flooring, furnishing product, furniture manufacturer, furniture studio, wooden furniture</t>
  </si>
  <si>
    <t>Home Furnishings</t>
  </si>
  <si>
    <t>Saint-Pierre-les-Etieux, France</t>
  </si>
  <si>
    <t>273541-33T</t>
  </si>
  <si>
    <t>Dessia</t>
  </si>
  <si>
    <t>Developer of artificial intelligence-augmented engineering software designed to automate engineer's tasks. The company's platform solves problems based on innovative artificial intelligence from a blank sheet to the detailed design of the different components, enabling automotive and mechanical engineers to increase their profit margins and find creative approaches to engineering challenges.</t>
  </si>
  <si>
    <t>Matterwave Ventures(Robert Gallenberger), Orano(David CLAVERIE), Supernova Invest(François Breniaux)</t>
  </si>
  <si>
    <t>ai automation platform, augmented software system, bot platform, detailed design, engineering design software, engineering software, intelligent automation platform, task automation, task automation software, technical systems</t>
  </si>
  <si>
    <t>273628-54T</t>
  </si>
  <si>
    <t>French Bloom</t>
  </si>
  <si>
    <t>Producer of alcohol-free wine intended to create an alternative and inviting drink for those wanting to celebrate elegantly and differently. The company makes beverages from non-alcoholic wine, organic grapes, and natural ingredients such as lemon juice and is also low in calories and contains no added sugars, no sulfites, or preservatives, enabling consumers to enjoy organic and vegan-certified beverages and experience precious moments shared with friends and family.</t>
  </si>
  <si>
    <t>LVMH Moet Hennessy Louis Vuitton (PAR: MC)(Philippe Schaus)</t>
  </si>
  <si>
    <t>low sugar beverages, organic beverages, organic wine, sparkling wine, vegan beverages, wine plant</t>
  </si>
  <si>
    <t>273592-72T</t>
  </si>
  <si>
    <t>Kpitaine</t>
  </si>
  <si>
    <t>Business/Productivity Software, Media and Information Services (B2B)*</t>
  </si>
  <si>
    <t>Developer of a visual management platform intended to help organizations centralize their data, organize information, and improve performance indicators. The company's platform allows for customized content creation, field team engagement, and easy integration with existing data sources, offering a no-code setup that ensures accessibility, enabling employees to access, organize, and display performance indicators dynamically.</t>
  </si>
  <si>
    <t>GMZ &amp; Son's</t>
  </si>
  <si>
    <t>custom content creation, data centralization, kpi tracking, performance indicator, visual management, visual management platform</t>
  </si>
  <si>
    <t>Annecy, France</t>
  </si>
  <si>
    <t>275136-40T</t>
  </si>
  <si>
    <t>Meetwashing</t>
  </si>
  <si>
    <t>Automotive, Other Commercial Services*</t>
  </si>
  <si>
    <t>Provider of vehicle washing services intended to simplify eco-friendly washing and maintenance of vehicle fleets. The company offers waterless washing using biodegradable products, real-time fleet tracking, and a network of professional washers, enabling businesses to reduce costs, save water, and maintain their vehicle fleet sustainably.</t>
  </si>
  <si>
    <t>Sharpstone Capital</t>
  </si>
  <si>
    <t>car cleaning, car maintenance, car wash firm, car washing, cleaning solutions, ecological washing, waterless car washing</t>
  </si>
  <si>
    <t>274527-91T</t>
  </si>
  <si>
    <t>Moderato</t>
  </si>
  <si>
    <t>Manufacturer of low-alcoholic wines intended to provide fine-quality beverages. The company uses new grape varieties that do not need any treatment to offer flavored wines like rose, ripped fruit, white, sparkling wines, and sour fruit wine which are organic and contain very little alcohol, enabling customers to get a balanced drink in a variety of range.</t>
  </si>
  <si>
    <t>Andromede, Eutopia, Vivadour, Xinomavro Ventures</t>
  </si>
  <si>
    <t>alcoholic drink, beverages supply, fruit drink, fruit wine, wine drinks, wine maker, wine producer</t>
  </si>
  <si>
    <t>Bailly-en-Rivière, France</t>
  </si>
  <si>
    <t>274714-75T</t>
  </si>
  <si>
    <t>PricingHUB</t>
  </si>
  <si>
    <t>Developer of a pricing optimization platform intended to build and implement pricing strategies. The company's platform leverages artificial intelligence and machine learning to understand price elasticity at a specific moment in time within a given competitive context by consolidating all relevant data sources, enabling clients to find products at competitive prices according to their objectives and optimize their daily margins.</t>
  </si>
  <si>
    <t>Wacano</t>
  </si>
  <si>
    <t>ai cores, analytics platform, business goal, competitive prices, data sources, price elasticity, price optimization, pricing optimization platform, revenue management tool</t>
  </si>
  <si>
    <t>277868-35T</t>
  </si>
  <si>
    <t>TeepTrak</t>
  </si>
  <si>
    <t>Business/Productivity Software, Electronic Equipment and Instruments*</t>
  </si>
  <si>
    <t>Developer of performance and quality assessment systems designed to analyze the factory's daily performance. The company systems allow factories of all sizes to acquire, consolidate, visualize, and export performance information from their production, enabling clients to understand their loss of daily performance, launch improvement projects, and customize the allocation of orders.</t>
  </si>
  <si>
    <t>EDF Pulse Ventures, SHIFT Invest(Bart Budde), Sia Partners, XAnge</t>
  </si>
  <si>
    <t>industrial iot, industrial production, performance assessment, performance measurement, performance monitoring, performance tracking software, quality assessment tools</t>
  </si>
  <si>
    <t>Advanced Manufacturing, Industrials, Internet of Things</t>
  </si>
  <si>
    <t>271563-85T</t>
  </si>
  <si>
    <t>Xpln.ai</t>
  </si>
  <si>
    <t>Developer of artificial intelligence-powered measurement technologies intended to measure and optimize advertising effectiveness. The company's technology is cookieless and automatically measures dozens of signals for each advertising impression, in real-time, enabling advertisers to objectively measure and predict the quality of each advertising exposure and to optimize their campaigns accordingly.</t>
  </si>
  <si>
    <t>Made For All, Spring Invest, Ventech (Paris)</t>
  </si>
  <si>
    <t>advertising items, digital advertising, digital advertising tool, digital campaign, marketing services, measurement technology</t>
  </si>
  <si>
    <t>AdTech, Artificial Intelligence &amp; Machine Learning, Marketing Tech</t>
  </si>
  <si>
    <t>275295-25T</t>
  </si>
  <si>
    <t>Batifire</t>
  </si>
  <si>
    <t>Application Software, Other Commercial Services*</t>
  </si>
  <si>
    <t>Developer of digital application designed to enhance building security and facilitate emergency response. The company offers a user-friendly platform along with features like procedure checklists and data analysis and free access to emergency services to vital building information, enabling property managers and operators to improve response times and safety measures significantly.</t>
  </si>
  <si>
    <t>CITA Investissement</t>
  </si>
  <si>
    <t>building information, building security, emergency safety, fire safety, reliable data, rescue service</t>
  </si>
  <si>
    <t>Construction Technology, Mobile</t>
  </si>
  <si>
    <t>Mâcon, France</t>
  </si>
  <si>
    <t>273417-22T</t>
  </si>
  <si>
    <t>BlueFins</t>
  </si>
  <si>
    <t>Environmental Services (B2B)*, Other Commercial Products</t>
  </si>
  <si>
    <t>Developer of propulsion systems intended to decarbonize ocean shipping with zero-emission. The company's system uses a wave energy converting technology that is inspired by whale tail fins to generate power without the need for fuel, making it a more environmentally friendly and cost-effective alternative to traditional propulsion systems, enabling companies to improve the efficiency and sustainability of marine transportation.</t>
  </si>
  <si>
    <t>BNP Paribas Développement, GTT Strategic Ventures(Helene Loncin), UI Investissement</t>
  </si>
  <si>
    <t>emission reduction, green technology, marine transportation, ocean conservation, sustainable shipping, wave energy</t>
  </si>
  <si>
    <t>Plouzane, France</t>
  </si>
  <si>
    <t>274000-51T</t>
  </si>
  <si>
    <t>Optimum Tracker</t>
  </si>
  <si>
    <t>Provider of solar tracking systems intended to strengthen the share of solar photovoltaics in the world energy mix. The company's systems offer a range of patented horizontal single-axis trackers that suit all kinds of sites, ground, and climates that increase solar plant production, enabling clients to get economical facilities for their solar projects and increase their solar plants' profitability.</t>
  </si>
  <si>
    <t>Oraxys</t>
  </si>
  <si>
    <t>alternative energy equipment, climate tech company, photovoltaics systems, renewable energy, renewable product, solar panels, solar power plant, solar project installation</t>
  </si>
  <si>
    <t>CleanTech, Climate Tech, Industrials</t>
  </si>
  <si>
    <t>258038-29T</t>
  </si>
  <si>
    <t>VelyVelo</t>
  </si>
  <si>
    <t>Automotive, Logistics, Other Commercial Products*</t>
  </si>
  <si>
    <t>Manufacturer of an electric bicycle intended to offer sustainable mobility alternatives to delivery people. The company provides lightweight, simple, low-cost personal electric bicycles with wide tires, powerful batteries, and suspension forks, enabling customers to decarbonize last-mile delivery by availing of green mobility.</t>
  </si>
  <si>
    <t>212Founders, Beltone Venture Capital(Ali Mokhtar), CDG Invest, Mouvement &amp; Finance, NCI Gestion, Tiresias Angels</t>
  </si>
  <si>
    <t>electric bicycle, electric commuting bicycle, equipment rental service, fleet management service, green mobility, smart mobility</t>
  </si>
  <si>
    <t>268877-17T</t>
  </si>
  <si>
    <t>Etteliot</t>
  </si>
  <si>
    <t>Environmental Services (B2B), Other Consumer Durables*</t>
  </si>
  <si>
    <t>Manufacturer of autonomous and sustainable toilets intended to remove all the constraints of urine in vehicles during travel. The company uses patented technology which is the small technical urine treatment unit used for filtration, disinfection by electrolysis and evacuation by fog, enabling users to no longer store, empty, or have the odor of urine.</t>
  </si>
  <si>
    <t>ABAB (Atlantic Business Angels Booster), Bamboo business angels, Bpifrance, Credit Agricole Corporate &amp; Investment Bank, Pays de la Loire Participations</t>
  </si>
  <si>
    <t>disinfection unit, electrolysis system, sustainable toilet, toilet system, treatment unit, urine treatment</t>
  </si>
  <si>
    <t>Other Consumer Durables</t>
  </si>
  <si>
    <t>273336-85T</t>
  </si>
  <si>
    <t>Qantev</t>
  </si>
  <si>
    <t>Business/Productivity Software*, Financial Software, Other Healthcare Technology Systems</t>
  </si>
  <si>
    <t>Operator of a health claims platform intended to harness the power of artificial intelligence in insurer claims operations. The company's platform uses a proprietary algorithm to optimize how insurers configure their provider network and identify suitable players and also helps health insurers across the world to limit claims leakage at unprecedented levels, enabling businesses to get insight from historical claims data, make data-driven decisions and build an impactful business strategy.</t>
  </si>
  <si>
    <t>Blossom Capital(Ophelia Brown), Elaia Partners(Anne-Sophie Carrese), Omnes Capital(Michel de Lempdes), Raise Ventures</t>
  </si>
  <si>
    <t>abi custom application, analytics platform, artificial intelligence, claims management, computer vision, healthcare billing, healthcare coding</t>
  </si>
  <si>
    <t>266628-25T</t>
  </si>
  <si>
    <t>Micropep</t>
  </si>
  <si>
    <t>Developer of biomimetic peptides, biofertilizers, and bioherbicides intended to manage plant genetics and improve agricultural yields. The company leverages the potential of micro-peptides, biomimetic peptides, biofertilizers, and bioherbicides and harnesses their ability to influence all-natural plant phenotypes regulated by microRNAs or proteins, from germination to harvest, enabling farmers to speed up or slow down germination, increase plant's resistance to diseases or accelerate flowering.</t>
  </si>
  <si>
    <t>Bpifrance(Edouard Combette), Corteva (NYS: CTVA)(Tom Greene), Fall Line Capital(Baptiste Tellier), FMC Ventures, IRDI Capital Investissement, Sofinnova Partners(Guillaume Baxter), Sparkfood(Anouk Veber), Supernova Invest(Romain Sautrau), Z Impact Ventures(Lionel Artusio-Payot)</t>
  </si>
  <si>
    <t>ag biotech, agricultural product, agriculture technology, crop protection, fertilizer alternatives, plant biotech, plant biotechnology, plant development, plant genetics</t>
  </si>
  <si>
    <t>AgTech, Climate Tech, Life Sciences, Supply Chain Tech</t>
  </si>
  <si>
    <t>Auzeville Tolosane, France</t>
  </si>
  <si>
    <t>273101-95T</t>
  </si>
  <si>
    <t>SurgAR</t>
  </si>
  <si>
    <t>Developer of a plug-and-play augmented reality software designed for minimally invasive surgery. The company's software automatically detects tumors to be resected, and locates and highlights critical anatomical structures, enabling surgeons to do computer-aided laparoscopic surgery in a convenient manner.</t>
  </si>
  <si>
    <t>Bpifrance, Credit Agricole Lhl Capital Innovation, Elaia Partners(Céline Passedouet), Jacques Gardette(Jacques Gardette), Malakoff Humanis, MH innov', Mutuelles Impact, UI Investissement, XAnge</t>
  </si>
  <si>
    <t>augmented reality software, laparoscopic device, laparoscopic surgery, laparoscopic system, surgical assistance, surgical technology</t>
  </si>
  <si>
    <t>Augmented Reality, Life Sciences, Oncology</t>
  </si>
  <si>
    <t>272973-34T</t>
  </si>
  <si>
    <t>Dotfile</t>
  </si>
  <si>
    <t>Automation/Workflow Software, Business/Productivity Software*, Financial Software</t>
  </si>
  <si>
    <t>Developer of a business verification platform designed for compliance purposes. The company's platform offers automated AML checks, identity verification, risk assessments, and document analysis, enabling businesses to streamline compliance processes, reduce fraud, and ensure global regulatory adherence.</t>
  </si>
  <si>
    <t>Hexa, Seaya Ventures(Aristotelis Xenofontos), Serena (Paris)</t>
  </si>
  <si>
    <t>aml screening software, business verification services, case management, identity verification, onboarding service, ownership structure analysis, periodic review, queue management services, risk scoring</t>
  </si>
  <si>
    <t>273001-60T</t>
  </si>
  <si>
    <t>Inspek</t>
  </si>
  <si>
    <t>Application Specific Semiconductors*, Electronic Equipment and Instruments, Other Commercial Products</t>
  </si>
  <si>
    <t>Semiconductors</t>
  </si>
  <si>
    <t>Developer of chemical monitoring system designed to improve the performance of chemical analysis techniques while reducing production costs. The company develops next-generation chemical sensors based on integrated photonics, enabling clients to accelerate research and development for the pharmaceutical, biotechnological, and chemical industries.</t>
  </si>
  <si>
    <t>Breega(François Paulus), Quantonation(William Zeng), Wind Capital(Xavier Gury)</t>
  </si>
  <si>
    <t>biochemical tools, biomanufacturing system, bioprocess monitoring, chemical analysis, chemical analysis system, chemicals monitoring system, monitoring technology, optical analysis</t>
  </si>
  <si>
    <t>Application Specific Semiconductors</t>
  </si>
  <si>
    <t>Palaiseau, France</t>
  </si>
  <si>
    <t>272975-77T</t>
  </si>
  <si>
    <t>La Solive</t>
  </si>
  <si>
    <t>Education and Training Services (B2B)*, Environmental Services (B2B)</t>
  </si>
  <si>
    <t>Provider of practical and intensive training services intended to teach one a concrete profession of ecological transition. The company's teaching includes all the actions that reduce the energy consumption of buildings and improve comfort by people insulating their homes, replacing their windows, and installing more efficient heating glasses at their homes, enabling clients to protect the green environment which helps to maintain the ecological environment.</t>
  </si>
  <si>
    <t>Brighteye Ventures(David Guérin), Clément Delpirou(Clément Delpirou), Made For All, Partech(Alison Imbert), Thibaud Hug de Larauze(Thibaud Hug de Larauze), Vincent Bryant(Vincent Bryant)</t>
  </si>
  <si>
    <t>ecological environment, ecological transition, energy renovation, intensive training services, practical training, professional retraining, vocational training</t>
  </si>
  <si>
    <t>272960-65T</t>
  </si>
  <si>
    <t>Synovo Group</t>
  </si>
  <si>
    <t>Business/Productivity Software*, IT Consulting and Outsourcing, Logistics, Media and Information Services (B2B)</t>
  </si>
  <si>
    <t>Provider of IT management services intended to support logistics. The company offers IT tools along with a complete range of products and services hosting and outsourcing, telecom, cloud, IT hardware, security advice and software, enabling businesses to manage transportation facilities.</t>
  </si>
  <si>
    <t>Lauxera Capital Partners</t>
  </si>
  <si>
    <t>healthcare it solutions, healthcare software tools, healthcare transport, it solution service, logistics tools, medical transport, transport management, transport solutions</t>
  </si>
  <si>
    <t>272941-03T</t>
  </si>
  <si>
    <t>Vela Transport</t>
  </si>
  <si>
    <t>Environmental Services (B2B), Marine*</t>
  </si>
  <si>
    <t>Operator of a transportation company intended to drive change in the maritime transport sector. The company creates and operates cargo ships that utilize wind power for transportation, minimizing reliance on fossil fuels and reducing greenhouse gas emissions, enabling shipping and logistics sectors to adopt sustainable practices, aiming to create a collective impact for a healthier planet.</t>
  </si>
  <si>
    <t>11th Hour Racing(Jeremy Pochman), Bpifrance(Jean-Marie Fougeray), Crédit Mutuel Impact(Sabine Schimel), Normandie Littoral, Normandie Participations</t>
  </si>
  <si>
    <t>carbon emission reduction, cargo operation, energy shipping, freight solutions, sustainable shipping, transportation company</t>
  </si>
  <si>
    <t>Marine</t>
  </si>
  <si>
    <t>Bayonne, France</t>
  </si>
  <si>
    <t>272735-29T</t>
  </si>
  <si>
    <t>Jump (Financial Software)</t>
  </si>
  <si>
    <t>Developer of a financial consulting solutions platform designed to treasure employees' work. The company's platform specializes in creating quotes, commercial contracts, and invoices, monitors receipts and dunning unpaid bills manages professional expenses, handles salary payments as well and handles day-to-day monitoring of cash flows, enabling managers and freelancers to optimize their remuneration and secure personal adventure in the short term, as well as in the long term.</t>
  </si>
  <si>
    <t>Breega(Benjamin Deplus), Index Ventures, Inovexus Ventures, Mozza (France), Raise Ventures, Roosh Ventures, SideAngels</t>
  </si>
  <si>
    <t>cash flow planning, financial consultancy, financial consultation service, fintech firm, freelancers management, hr benefits administration, salary payment service</t>
  </si>
  <si>
    <t>213996-79T</t>
  </si>
  <si>
    <t>Mini Green Power</t>
  </si>
  <si>
    <t>Energy Production*, Environmental Services (B2B)</t>
  </si>
  <si>
    <t>Developer of highly automated mini power plants designed to turn green, wood, agri waste, and refuse-derived fuel into electricity and heat. The company uses local biomass waste or refuse-derived fuel to generate heat and electricity for local needs, enabling companies and communities to become energy-independent to recover or dispose of their waste and produce clean energy at a low and predictable cost.</t>
  </si>
  <si>
    <t>Euroméditerranée, Wind Capital</t>
  </si>
  <si>
    <t>biomass boilers, clean energy, clean fuel, green electricity, heating network, power plant system, renewable energy, waste recovery, waste to fuel, waste-to-energy</t>
  </si>
  <si>
    <t>Hyeres, France</t>
  </si>
  <si>
    <t>272838-79T</t>
  </si>
  <si>
    <t>Yousign</t>
  </si>
  <si>
    <t>Application Software, Business/Productivity Software*, Media and Information Services (B2B)</t>
  </si>
  <si>
    <t>Developer of an e-signature platform intended to allow the electronic signing of agreements and contracts. The company's tool offers an intuitive, secure, and personalized legally valid signing experience with compliance at its core, enabling users to sign all types of documents in a few clicks, online or face-to-face.</t>
  </si>
  <si>
    <t>Bpifrance</t>
  </si>
  <si>
    <t>digital signature platform, digital signature tools, electronic paper, electronic seals, electronic signature, process automation, saas application</t>
  </si>
  <si>
    <t>Mobile, SaaS, TMT</t>
  </si>
  <si>
    <t>Caen, France</t>
  </si>
  <si>
    <t>272600-38T</t>
  </si>
  <si>
    <t>Alan</t>
  </si>
  <si>
    <t>Series F</t>
  </si>
  <si>
    <t>Application Software, Commercial/Professional Insurance*, Life and Health Insurance</t>
  </si>
  <si>
    <t>Developer of online digital insurance platform designed to give access to a healthy and productive life, empowering the body and the mind. The company offers simple and seamless insurance coverage with reimbursements and easy claim handling and gives access to medical professionals through in-person appointments and video calls, enabling business to easily and conveniently get medical advice and manage claims and reimbursements.</t>
  </si>
  <si>
    <t>Belfius Bank(Marc Raisière), Coatue Management(Philippe Laffont), Lakestar, Ontario Teachers' Pension Plan(Ara Yeromian), Temasek Holdings</t>
  </si>
  <si>
    <t>digital health insurance, health coverage, health insurance platform, health insurance portal, insurance offering, personalized healthcare</t>
  </si>
  <si>
    <t>Commercial/Professional Insurance</t>
  </si>
  <si>
    <t>FinTech, InsurTech</t>
  </si>
  <si>
    <t>273139-93T</t>
  </si>
  <si>
    <t>Allocab</t>
  </si>
  <si>
    <t>Application Software, Automotive*, Information Services (B2C), Other Services (B2C Non-Financial)</t>
  </si>
  <si>
    <t>Operator of a private taxi platform intended to facilitate instant online booking of private drivers or moto-taxi. The company's services include the booking of certified private drivers, taxi reservations, and onboard services, enabling users to have access to seamless transport facilities around the city.</t>
  </si>
  <si>
    <t>NEoT Capital</t>
  </si>
  <si>
    <t>automotive app, motorcycle taxi, online booking, passenger care, private drivers service, ridehailing platform, taxi reservation, taxi service, transport platform</t>
  </si>
  <si>
    <t>Mobile, Mobility Tech, Ridesharing, SaaS</t>
  </si>
  <si>
    <t>273679-93T</t>
  </si>
  <si>
    <t>Advanced Life Solutions</t>
  </si>
  <si>
    <t>Series A2</t>
  </si>
  <si>
    <t>Other Devices and Supplies*, Other Healthcare Technology Systems</t>
  </si>
  <si>
    <t>Developer of medical devices designed for the preservation of organs for transplantation. The company works on all aspects of preservation, research, and development of new medical devices, consulting and engineering services for companies in the preservation sector, enabling doctors to improve human health and quality of life by optimizing the wash-out and protection of organs during transplantation between donors and recipients.</t>
  </si>
  <si>
    <t>Cantrak</t>
  </si>
  <si>
    <t>consulting services, engineering services, medical devices, organ transplantation, organs preservation, surgical device</t>
  </si>
  <si>
    <t>Chavannes Sur Reyssouze, France</t>
  </si>
  <si>
    <t>272532-43T</t>
  </si>
  <si>
    <t>Energic</t>
  </si>
  <si>
    <t>Educational and Training Services (B2C), Educational Software, Entertainment Software*</t>
  </si>
  <si>
    <t>Developer of a gamified sustainability platform designed to raise awareness and involvement in environmental activities. The company's platform offers interactive challenges with varying levels of difficulty, customized challenges based on interests, habits, and carbon footprint calculations, and educational content presented in the form of quizzes or interactive modules, enabling the general public to engage with sustainability topics interactively and educationally.</t>
  </si>
  <si>
    <t>Autonomie &amp; Solidarité</t>
  </si>
  <si>
    <t>awareness program, challenge events online, community awareness, community involvement, educational quiz, environmental education</t>
  </si>
  <si>
    <t>270584-47T</t>
  </si>
  <si>
    <t>Inbolt</t>
  </si>
  <si>
    <t>Automation/Workflow Software, Business/Productivity Software, Electronic Equipment and Instruments*</t>
  </si>
  <si>
    <t>Developer of a vision-based artificial intelligence designed to automate complex operations in unconstrained environments. The company's tool positioning system offers real-time quality control of manual operations such as torquing, drilling, or riveting, enabling operators to have a reduction in faulty operations and improve quality control.</t>
  </si>
  <si>
    <t>BNP Paribas Développement, Bpifrance, Exor (AMS: EXO), HAX, MIG Capital(Oliver Kahl), SOSV(Cyril Ebersweiler), Yann Fleureau(Yann Fleureau)</t>
  </si>
  <si>
    <t>3d vision robotics, 3d vision software, 3d vision systems, 3d vision technology, industrial robots system, industrial robots technology, micro location technology</t>
  </si>
  <si>
    <t>Advanced Manufacturing, Artificial Intelligence &amp; Machine Learning, TMT</t>
  </si>
  <si>
    <t>272672-29T</t>
  </si>
  <si>
    <t>Muance</t>
  </si>
  <si>
    <t>Modular Construction</t>
  </si>
  <si>
    <t>Construction and Engineering*</t>
  </si>
  <si>
    <t>Developer of a modular prefabrication system designed to promote sustainable construction. The company offers performance-driven, low-carbon concrete and bio-sourced insulation, enabling eco-conscious builders to adopt a circular approach in housing construction.</t>
  </si>
  <si>
    <t>Credit Agricole (PAR: ACA), Innovacom (Paris), Rise Partners (Consulting Services), Région Sud Investissement</t>
  </si>
  <si>
    <t>bio-sourced materials, construction innovation, lightweight construction materials, modular construction, prefabrication construction, sustainable building, thermal insulation</t>
  </si>
  <si>
    <t>Construction and Engineering</t>
  </si>
  <si>
    <t>Construction Technology, Industrials</t>
  </si>
  <si>
    <t>Aix En Provence, France</t>
  </si>
  <si>
    <t>272473-21T</t>
  </si>
  <si>
    <t>Zelok</t>
  </si>
  <si>
    <t>Real Estate Services (B2C)*</t>
  </si>
  <si>
    <t>Developer of a multi-service rental platform intended for real estate agents and their tenant and landlord clients. The company's platform includes automatic management of rental files and online payment of rental fees, enabling customers to have simplified communication with their landlords and tenants.</t>
  </si>
  <si>
    <t>Calao Finance, Epopée Gestion</t>
  </si>
  <si>
    <t>leasing drafting, real estate agent service, rental payment service, rental real estate, rental real estate services, tenants and landlords</t>
  </si>
  <si>
    <t>Real Estate Services (B2C)</t>
  </si>
  <si>
    <t>Les Sables d'Olonne, France</t>
  </si>
  <si>
    <t>262103-95T</t>
  </si>
  <si>
    <t>Bioteos</t>
  </si>
  <si>
    <t>Biotechnology*, Environmental Services (B2B), Other Commercial Products</t>
  </si>
  <si>
    <t>Developer of air purification technology intended to recycle carbon dioxide using microalgae. The company offers air purification products used in offices, train stations, and metro stations.</t>
  </si>
  <si>
    <t>Bpifrance, Credit Industriel et Commercial, Kaloma Capital(Mathieu Tarnus), La French Tech</t>
  </si>
  <si>
    <t>air purification, air purification device, air purification product, air purification service, air purification system, air purification technology</t>
  </si>
  <si>
    <t>Tourcoing, France</t>
  </si>
  <si>
    <t>274106-71T</t>
  </si>
  <si>
    <t>Koolboks</t>
  </si>
  <si>
    <t>Electrical Equipment*, Electronics (B2C), Household Appliances</t>
  </si>
  <si>
    <t>Developer of sustainable refrigeration technology intended to provide a reliable and alternative long-term storage technique. The company's equipment uses solar energy to power refrigerators with round-the-clock cooling without access to on-grid electricity, it also offers a vaccine fridge that uses geospatial technology to give data on temperature, battery level, and other performances on the refrigerator, enabling clients to get affordable cooling devices.</t>
  </si>
  <si>
    <t>All On, Aruwa Capital Management, KawiSafi Ventures</t>
  </si>
  <si>
    <t>built environment, heating and cooling, intermittent renewable energy, refrigeration product, refrigeration technology, solar charging, solar photovoltaic, solar refrigeration systems, sustainable energy</t>
  </si>
  <si>
    <t>Electrical Equipment</t>
  </si>
  <si>
    <t>CleanTech, Climate Tech, Internet of Things, LOHAS &amp; Wellness, Manufacturing</t>
  </si>
  <si>
    <t>272401-66T</t>
  </si>
  <si>
    <t>May.</t>
  </si>
  <si>
    <t>Developer of a parenting and pediatric care application designed to restructure assistance for pregnancy. The company's application combines customized and science-based parenting advice with on-demand support from a multi-professional team of doctors, midwives, and nurses, enabling parents to obtain accurate information and expertise on pregnancy from various articles.</t>
  </si>
  <si>
    <t>Eurazeo (PAR: RF), InnovAllianz, Made For All, Racine2, Ring Capital</t>
  </si>
  <si>
    <t>health app, parenting care, pediatric advice, pediatric care platform, pediatric care product, pregnancy articles</t>
  </si>
  <si>
    <t>E-Commerce, FemTech, Mobile</t>
  </si>
  <si>
    <t>272254-06T</t>
  </si>
  <si>
    <t>:probabl.</t>
  </si>
  <si>
    <t>Business/Productivity Software, Education and Training Services (B2B), Educational Software*</t>
  </si>
  <si>
    <t>Provider of open-source data science and machine learning solutions intended to support core developers. The company specializes in providing training and certification programs and offers comprehensive courses in data science education, enabling users to develop coding skills in an efficient and organized manner.</t>
  </si>
  <si>
    <t>Apertu Capital, Bpifrance, Costanoa Ventures, French state, Inria, Mozilla Ventures</t>
  </si>
  <si>
    <t>data science, data science education, machine learning, machine learning solutions, open source, training and education service</t>
  </si>
  <si>
    <t>Artificial Intelligence &amp; Machine Learning, Big Data, EdTech</t>
  </si>
  <si>
    <t>272430-91T</t>
  </si>
  <si>
    <t>Green Corp (Automotive)</t>
  </si>
  <si>
    <t>Alternative Energy Equipment, Automotive*</t>
  </si>
  <si>
    <t>Manufacturer of electric vehicles and their parts intended to serve the automobile sector. The company offers lithium-ion batteries, electric motor and fuel cell and their integration into vehicles which include cars, boats, buses, trucks and snow groomers as well it specializes in the supply of green energy, enabling clients with cleaner vehicle development and storage.</t>
  </si>
  <si>
    <t>Motul, Shift4Good(Sebastien Guillaud)</t>
  </si>
  <si>
    <t>electric motor, electric vehicle, ev parts manufacturer, fuel cell, green energy supplier, lithium battery, retrofitting</t>
  </si>
  <si>
    <t>266269-06T</t>
  </si>
  <si>
    <t>Nopillo</t>
  </si>
  <si>
    <t>Business/Productivity Software, Financial Software*</t>
  </si>
  <si>
    <t>Operator of a rental management platform intended to assist in the administrative management and accounting tasks of the landlords. The company's platform optimizes and automates tax returns, and return on investment such as analysis of overall performance and insurance costs among others along with offering a tax simulator, accounting software, recipe, and lease contract generator, enabling property owners to simplify administrative and accounting procedures.</t>
  </si>
  <si>
    <t>Kima Ventures, Newfund Management</t>
  </si>
  <si>
    <t>accounting support, administrative management, digital digital, property tax software, real estate, real estate software, rental management</t>
  </si>
  <si>
    <t>272128-24T</t>
  </si>
  <si>
    <t>Samp</t>
  </si>
  <si>
    <t>Business/Productivity Software, Multimedia and Design Software*</t>
  </si>
  <si>
    <t>Developer of 3D model software designed to consolidate technical information into digital twins for all stakeholders. The company's software offers artificial intelligence and three-dimensional streaming technology to create a true-to-life digital twin of industrial sites, enabling engineers and site workers to spend much less time verifying the actual as-built state of the facility with the initial computer-aided design model resulting from the design stage.</t>
  </si>
  <si>
    <t>High-Tech Gründerfonds, Kvanted Ventures, Promus Ventures(Jeremy Teboul)</t>
  </si>
  <si>
    <t>3d cad design, 3d cad model, cad model, digital twins, industrial maintenance, intelligent 3d maps, point clouds</t>
  </si>
  <si>
    <t>Multimedia and Design Software</t>
  </si>
  <si>
    <t>Advanced Manufacturing, Artificial Intelligence &amp; Machine Learning, Augmented Reality, SaaS, Virtual Reality</t>
  </si>
  <si>
    <t>242548-93T</t>
  </si>
  <si>
    <t>Financière IDAT, Super Capital</t>
  </si>
  <si>
    <t>271951-75T</t>
  </si>
  <si>
    <t>Abolis</t>
  </si>
  <si>
    <t>Biotechnology*, Pharmaceuticals</t>
  </si>
  <si>
    <t>Developer of bio-synthesis process designed to transform the micro-organisms for the production of complex molecular entities with industrial yield. The company specializes in the architecture of microorganism metabolism and all the tools necessary to implement it, with an approach that integrates downstream problems of industrialization from the first stages of development, enabling clients to design and optimize metabolic pathways transforming sugars into molecules of interest.</t>
  </si>
  <si>
    <t>BOLD (Business Opportunities for L'Oréal Development)(Samantha Etienne), Clay Capital (Singapore)(Matthieu Vermersch), DeepTech &amp; Climate Fonds(Tobias Faupel), Evonik Venture Capital(Bernhard Mohr), Icos Capital(Peter Gelderen), Liberset(Damien Bourel)</t>
  </si>
  <si>
    <t>bio synthetic, biodegradable product, biomanufacturing company, biotechnology business, biotechnology research, metabolic engineering, metabolic research, molecular biology, supply chain resilience, synthesis system</t>
  </si>
  <si>
    <t>CleanTech, HealthTech, Life Sciences</t>
  </si>
  <si>
    <t>265017-43T</t>
  </si>
  <si>
    <t>Akur8</t>
  </si>
  <si>
    <t>Financial Software*, Other Insurance</t>
  </si>
  <si>
    <t>Developer of an artificial intelligence-driven insurance pricing platform intended to provide pricing automation and optimization for carriers. The company's platform leverages machine learning and predictive analytics to inject speed and accuracy into insurers' pricing process while maintaining transparency and control over the models created, enabling actuaries to build predictive models in record time and make improved decisions quickly.</t>
  </si>
  <si>
    <t>Guidewire Software (NYS: GWRE), One Peak Partners(Humbert de Liedekerke), Partners Group (SWX: PGHN)(Pierre Curis)</t>
  </si>
  <si>
    <t>insurance pricing, insurtech firm, machine learning, predictive models, pricing software, proprietary technology</t>
  </si>
  <si>
    <t>Artificial Intelligence &amp; Machine Learning, FinTech, InsurTech, SaaS</t>
  </si>
  <si>
    <t>272256-13T</t>
  </si>
  <si>
    <t>Neotrucks</t>
  </si>
  <si>
    <t>Electrical Equipment*, Other Commercial Products</t>
  </si>
  <si>
    <t>Manufacturer of electric off-road handling equipment intended to manoeuvre containers within logistics centres. The company retrofits fleet tractors from leasing companies into electric vehicles with a robust battery pack, enabling logistics centres across France and Europe to operate sustainably and efficiently.</t>
  </si>
  <si>
    <t>Banque Populaire, Bpifrance, Credit Agricole (PAR: ACA), Lita.co, UI Investissement</t>
  </si>
  <si>
    <t>battery-powered vehicles, container handling equipment, electric equipment manufacturer, fleet management product, industrial vehicles equipment, industrial vehicles fleet, logistics operations management, sustainable logistics</t>
  </si>
  <si>
    <t>Industrials, Manufacturing</t>
  </si>
  <si>
    <t>Dagneux, France</t>
  </si>
  <si>
    <t>271940-14T</t>
  </si>
  <si>
    <t>Les Trois Tricoteurs</t>
  </si>
  <si>
    <t>Accessories, Clothing*, Specialty Retail</t>
  </si>
  <si>
    <t>Producer of custom knitwear and accessories intended to offer fashion items. The company offers personalized products, including socks, personalized products, sweaters, and hats made from natural materials like organic cotton and merino wool and cardigans, enabling customers to enjoy knitwear tailored to their individual preferences.</t>
  </si>
  <si>
    <t>Autonomie &amp; Solidarité, Segard Masurel</t>
  </si>
  <si>
    <t>knitting hats, knitwear market, organic cotton, production company, sweaters cloth, woolen wear</t>
  </si>
  <si>
    <t>LOHAS &amp; Wellness</t>
  </si>
  <si>
    <t>Roubaix, France</t>
  </si>
  <si>
    <t>271730-71T</t>
  </si>
  <si>
    <t>Neat</t>
  </si>
  <si>
    <t>Series A1</t>
  </si>
  <si>
    <t>Business/Productivity Software*, Life and Health Insurance, Other Insurance</t>
  </si>
  <si>
    <t>Developer of a customizable insurance platform designed to help businesses increase revenue by offering white-label insurance services. The company's platform integrates into digital and physical sales channels, enabling businesses to boost their income, improve customer loyalty, and offer tailored insurance products without upfront fees or technology team requirements.</t>
  </si>
  <si>
    <t>Alpha Protocol Ventures, Athletico Ventures, ETFS (France), Founders Future, Hedosophia, Mundi Ventures, NewAlpha Asset Management, Purple (Paris)</t>
  </si>
  <si>
    <t>crm, customer relationship management, customizable insurance, financial services, health insurance, insurance technology, life insurance firm, product protection, protection insurance</t>
  </si>
  <si>
    <t>FinTech, InsurTech, SaaS</t>
  </si>
  <si>
    <t>271789-57T</t>
  </si>
  <si>
    <t>Trust-Place</t>
  </si>
  <si>
    <t>Digital Identity Passports</t>
  </si>
  <si>
    <t>Business/Productivity Software*, Information Services (B2C), Media and Information Services (B2B)</t>
  </si>
  <si>
    <t>Developer of a digital identity platform designed to allow brands to create and manage digital certificates of ownership from the outset of the sale. The company's platform allows brands to authenticate their items with a digital certificate of ownership, which protects its value, shares its history, and facilitates its transmissions, enabling firms to create a link between them, their products, and their customers.</t>
  </si>
  <si>
    <t>CAAP Creation, Netangels, Reflexive Capital(Sunny Parikh), Région Sud Investissement(Pierre Joubert), Smalt Capital, WinEquity(Cécile Bassot)</t>
  </si>
  <si>
    <t>branding platform, digital certificate, digital ownership, resale market, resale marketplace, secondhand market</t>
  </si>
  <si>
    <t>271741-96T</t>
  </si>
  <si>
    <t>Bib (Business/Productivity Software)</t>
  </si>
  <si>
    <t>Developer of battery monitoring software designed to optimize batteries' performances. The company's platform offers lithium-ion battery information made with a transparent display of all the key data including battery failures forecasting and charge optimization to have insights about their capacity and value, enabling clients to optimize batteries' performances, expand their lifecycle, and reduce their environmental footprint.</t>
  </si>
  <si>
    <t>Family Ventures</t>
  </si>
  <si>
    <t>battery care, battery recycling, electric mobility solutions, environmental protection services, lithium battery, management platform, monitoring firm, tracking unit</t>
  </si>
  <si>
    <t>CleanTech, SaaS</t>
  </si>
  <si>
    <t>Issy-les-Moulineaux, France</t>
  </si>
  <si>
    <t>271700-65T</t>
  </si>
  <si>
    <t>Brightflow</t>
  </si>
  <si>
    <t>Other Commercial Products, Other Commercial Services, Other Consumer Non-Durables, Therapeutic Devices*</t>
  </si>
  <si>
    <t>Developer of an implantable cardiac medical device designed to treat heart failures. The company is currently operating in stealth mode.</t>
  </si>
  <si>
    <t>BNP Paribas Développement, GO Capital (France), Karista (Paris)(Baudouin Hue), Majycc Esante Invest, UI Investissement, Vives Fund(Philippe Durieux)</t>
  </si>
  <si>
    <t>cardiac medical devices, heart device, implantables cardiac device, medical device, medical implants, stealth operations</t>
  </si>
  <si>
    <t>271819-63T</t>
  </si>
  <si>
    <t>Chemdoc Water Technologies</t>
  </si>
  <si>
    <t>Other Commercial Products*, Other Commercial Services</t>
  </si>
  <si>
    <t>Manufacturer of water filtration systems intended to provide industrial water purification services. The company offers drinking water purification, demineralization of industrial water, water reuse systems, low energy consumption, and remote monitoring capabilities, enabling businesses and communities to achieve water sustainability goals.</t>
  </si>
  <si>
    <t>EDF Pulse Ventures, Seventure Partners(Isabelle de Cremoux)</t>
  </si>
  <si>
    <t>desalination plant, drinking water purification, industrial water purification, potable water system, reverse osmosis system, water demineralization, water filtration system, water treatment</t>
  </si>
  <si>
    <t>271643-95T</t>
  </si>
  <si>
    <t>Elum</t>
  </si>
  <si>
    <t>Alternative Energy Equipment, Electronic Equipment and Instruments*</t>
  </si>
  <si>
    <t>Developer of a predictive energy software designed to provide cost-effective monitoring and control services for hybrid energy systems. The company's software uses data science to make renewable energy affordable for everyone and democratizes the production and local storage of energy through the development of the energy OS, a platform for intelligent management of a micro-electrical network associated with a building, enabling customers to reduce the energy bill.</t>
  </si>
  <si>
    <t>Alter Equity, Cota Capital, Energize Capital (Chicago)(Eileen Waris)</t>
  </si>
  <si>
    <t>energy automation management, energy management platform, hybrid energy systems, local storage, renewables-driven services, solar power plant</t>
  </si>
  <si>
    <t>CleanTech, LOHAS &amp; Wellness, TMT</t>
  </si>
  <si>
    <t>271814-32T</t>
  </si>
  <si>
    <t>Handi Exceller</t>
  </si>
  <si>
    <t>Educational Software*, Entertainment Software</t>
  </si>
  <si>
    <t>Developer of an educational gaming platform designed to make learning more engaging and accessible through gamification. The company's tool regularly offers games, features and activities that teach braille in a fun and independent way and allows to have a personalized profile with results and progress, enabling users to adapt to different learning environments through various game modes and difficulty settings.</t>
  </si>
  <si>
    <t>Alsace Business Angels, Yeast (France)</t>
  </si>
  <si>
    <t>board games, competitive games, digital platform, educational games, educational tools, fun learning, gaming platform, progress tracking</t>
  </si>
  <si>
    <t>EdTech, Gaming, SaaS</t>
  </si>
  <si>
    <t>271550-98T</t>
  </si>
  <si>
    <t>Patrowl</t>
  </si>
  <si>
    <t>Business/Productivity Software, IT Consulting and Outsourcing, Media and Information Services (B2B), Network Management Software*</t>
  </si>
  <si>
    <t>Developer of offensive security as a service platform intended to support the management of external security posture. The company's platform offers a continuous discovery of all internet-exposed assets, identification of all weaknesses and vulnerabilities, real-time cyber threat monitoring, easy remediation from the dashboard and control of the remediation, enabling clients to raise their cybersecurity level and reduce their risks.</t>
  </si>
  <si>
    <t>Auriga Cyber Ventures, Bpifrance, Crédit Mutuel Innovation(Erwan Bernard), SWEN Capital Partners(Anatole Maizieres)</t>
  </si>
  <si>
    <t>artificial intelligence, cybersecurity tool, penetration testing, security operations, security risk assessment &amp; management, security risk assessment and management, threat intelligence, vulnerability assessment</t>
  </si>
  <si>
    <t>Neuilly-Sur-Seine, France</t>
  </si>
  <si>
    <t>275753-26T</t>
  </si>
  <si>
    <t>Corab</t>
  </si>
  <si>
    <t>Cultivation*, Other Agriculture, Other Commercial Services</t>
  </si>
  <si>
    <t>Provider of organic farming cooperative services intended to bring together the producers of organic plants and crops. The company's services offer organic farming activities such as collection, storage, and preservation of grains and cereals, enabling farmers to promote efficiency in organic farming and improve the quality of their products.</t>
  </si>
  <si>
    <t>MS Galleon</t>
  </si>
  <si>
    <t>agriculture activities, agriculture service, farming activities, grain storage, organic farming service, organic plant</t>
  </si>
  <si>
    <t>Cultivation</t>
  </si>
  <si>
    <t>Saint Jean d'Angély, France</t>
  </si>
  <si>
    <t>271527-85T</t>
  </si>
  <si>
    <t>DC Company</t>
  </si>
  <si>
    <t>Media and Information Services (B2B)*</t>
  </si>
  <si>
    <t>Provider of media services intended to reach internet users. The company brings together entrepreneurs, content creators, and talented journalists and supports them in their digital transition, allowing clients to enrich their economic model, in particular by optimizing their monetization, diversifying their income, and placing data</t>
  </si>
  <si>
    <t>Groupe La Depeche du Midi(Jean-Nicolas Baylet)</t>
  </si>
  <si>
    <t>content creator, digital transitions services, internet users, media company, media player, media services</t>
  </si>
  <si>
    <t>271511-38T</t>
  </si>
  <si>
    <t>Korint</t>
  </si>
  <si>
    <t>Automotive Insurance, Business/Productivity Software*</t>
  </si>
  <si>
    <t>Developer of an insurance marketplace platform designed to offer rapid launch of insurance products. The company's platform facilitates the creation, operation and modification of a portfolio of insurance policies, enabling customers to make insurance future-proof.</t>
  </si>
  <si>
    <t>360 Capital(Thomas Nivard), Ventech (Paris)(Jean Bourcereau)</t>
  </si>
  <si>
    <t>insurance marketplace, insurance marketplace platform, insurance policy, insurance products, insurance products and service provider, insurance products marketer</t>
  </si>
  <si>
    <t>InsurTech</t>
  </si>
  <si>
    <t>271465-48T</t>
  </si>
  <si>
    <t>Swan-H</t>
  </si>
  <si>
    <t>Commodity Chemicals, Other Chemicals and Gases*</t>
  </si>
  <si>
    <t>Developer of a green ammonia production technology designed to streamline ammonia production. The company's technology uses a patented chemical process to produce ammonia from renewable energy sources, without the need for natural gas or hydrogen, enabling clients to reduce the environmental impact of ammonia production and make it a more sustainable option for fertilizer production and energy storage.</t>
  </si>
  <si>
    <t>Bpifrance, IRDI Capital Investissement, Thermi-Lyon Group(Florent Monier)</t>
  </si>
  <si>
    <t>ammonia production, ammonia production technology, chemical manufacture, chemical process, fertilizer production, green ammonia</t>
  </si>
  <si>
    <t>Other Chemicals and Gases</t>
  </si>
  <si>
    <t>271386-73T</t>
  </si>
  <si>
    <t>Calyxia</t>
  </si>
  <si>
    <t>Multi-line Chemicals*, Other Commercial Products, Other Materials</t>
  </si>
  <si>
    <t>Manufacturer of customizable and biodegradable microcapsules intended to protect active ingredients during industrial processes. The company produces tailor-made microcapsules for application-specific industrial use cases, they contain and protect ingredients against all forms of degradation, and deliver at the optimum time and site for higher performance, enabling companies in advanced materials, sustainable agriculture, and home care industries to create newly formulated products with fewer ingredients and better performance features.</t>
  </si>
  <si>
    <t>Astanor Ventures(Hans Marteau), Bpifrance(Cindy Ung), Lombard Odier, Lombard Odier Investment Managers(Christopher Tritten)</t>
  </si>
  <si>
    <t>ag biotech, agriculture technology, biodegradable microcapsules, industrial chemicals, industrial process, microcapsule technology, microcapsules manufacturing, plant data &amp; analysis, plant data and analysis, pollution reduction, sustainable agriculture, sustainable chemicals</t>
  </si>
  <si>
    <t>Multi-line Chemicals</t>
  </si>
  <si>
    <t>Bonneuil-sur-Marne, France</t>
  </si>
  <si>
    <t>267497-11T</t>
  </si>
  <si>
    <t>Carbonx</t>
  </si>
  <si>
    <t>Carbon Offset Trading Platforms</t>
  </si>
  <si>
    <t>Operator of a climate startup intended to help companies achieve their net-zero goals by reducing the risk of sourcing permanent carbon credits. The company's platform features carbon removal projects for permanence, additionality, verifiability, and net negativity, enabling clients to achieve real net zero by procuring strictly permanent carbon removal credits while unlocking catalytic demand to stimulate the CDR sector.</t>
  </si>
  <si>
    <t>Borski Fund, ENGIE New Ventures, Innovation Industries, InnovationQuarter, Moonstone Fund, Municipality of Rotterdam, PROfounders Capital, Redstone Capital, VR Ventures</t>
  </si>
  <si>
    <t>alternative capital, capital market, carbon credit, carbon management, carbon removal, carbon tech, climate analysis, climate fintech, climate tech, voluntary carbon market infrastructure</t>
  </si>
  <si>
    <t>271186-12T</t>
  </si>
  <si>
    <t>Hepta Medical</t>
  </si>
  <si>
    <t>Biotechnology, Monitoring Equipment, Therapeutic Devices*</t>
  </si>
  <si>
    <t>Developer of a flexible microwave ablation platform intended to introduce minimally invasive nonsurgical treatment for early lung cancer. The company's technology develops an ablation catheter with integrated tissue temperature sensing to allow for real-time monitoring of tissue ablation, enabling healthcare professionals to ablate while controlling the size of the lesion, resulting in more efficient and safer outcomes for patients.</t>
  </si>
  <si>
    <t>Bpifrance(Philippe Boucheron), Clery, M&amp;L Healthcare Investments(Kum Jocelyn)</t>
  </si>
  <si>
    <t>cancer treatment tool, drugs targeting, invasive device, lung cancer treatment, lung treatment, nonsurgical device, pulmonary treatment</t>
  </si>
  <si>
    <t>274357-00T</t>
  </si>
  <si>
    <t>Staffmatch</t>
  </si>
  <si>
    <t>Application Software, Business/Productivity Software, Human Capital Services*</t>
  </si>
  <si>
    <t>Developer of a recruitment software designed to connect the unemployed to new job opportunities and help companies hire suitable candidates. The company's software offers an online employment portal that automates the recruitment process of traditional agencies, while maintaining the face-to-face component and provides opportunities to get temporary contracts in sectors like hotels, restaurants, distribution, logistics and transport for hire, enabling clients to recruit as per their vacancies and job seekers to find their ideal jobs based on their skill sets.</t>
  </si>
  <si>
    <t>digital recruitment platform, human resources tools, interim recruitment, job search portal, online staff recruitment, recruitment software, staffing agency, staffing services, temporary employment, temporary employment agency</t>
  </si>
  <si>
    <t>HR Tech, Mobile</t>
  </si>
  <si>
    <t>Levallois-Perret, France</t>
  </si>
  <si>
    <t>271270-63T</t>
  </si>
  <si>
    <t>Hemera</t>
  </si>
  <si>
    <t>Operator of coworking space and event venue platform intended for startups and companies to organize events. The company's platform offers office spaces, event venues, and domiciliation services, enabling startups and companies to easily create, develop, meet, learn, grow, and succeed in a professional and attractive working environment.</t>
  </si>
  <si>
    <t>Caisse d'Epargne, Credit Mutuel Arkea</t>
  </si>
  <si>
    <t>corporate venue, co-working service, co-working space, event venue, networking space, outdoor space</t>
  </si>
  <si>
    <t>271084-06T</t>
  </si>
  <si>
    <t>CarJager</t>
  </si>
  <si>
    <t>Automotive*, Information Services (B2C)</t>
  </si>
  <si>
    <t>Operator of a vehicle marketplace intended to facilitate the buying and selling of vintage cars. The company's platform helps in searching and selling classic, pre-war competition, young timers, and sports cars with secure purchase and sale transactions while providing expert guidance and personalized services throughout the process, enabling car collectors to get matched with sellers easily.</t>
  </si>
  <si>
    <t>CAR Avenue France(Stephane Bailly)</t>
  </si>
  <si>
    <t>car marketplace, car marketplace platform, car purchasing platform, car seller, sports car sale, vintage car, vintage car marketplace</t>
  </si>
  <si>
    <t>273089-62T</t>
  </si>
  <si>
    <t>VirtySens</t>
  </si>
  <si>
    <t>Developer of immersive multi-sensory capsules designed to treat motor, psychic and sensory disorders. The company leverages diffusion of films in high definition and in the adapted format combined with a binaural sound to stimulate sight and hearing, diffusion of micro-droplets of essential oils, synchronized with the image to activate the sense of smell and presence of hot and cold air which pair with the different scenes offered to stimulate the touch, enabling patients to immerse in settings and atmospheres that revive their memory in order to bring them to a state of relaxation and well-being.</t>
  </si>
  <si>
    <t>Autonomie &amp; Solidarité, Bpi, Finovam Gestion, France Active, Nord Actif, Nord France Amorçage, Region Investment Company, Rugby Angels network, santelys</t>
  </si>
  <si>
    <t>memory retrieval, multiple sensors, non-drug therapy, patient wellbeing, sensory devices, sensory disorder</t>
  </si>
  <si>
    <t>Virtual Reality</t>
  </si>
  <si>
    <t>Pecquencourt, France</t>
  </si>
  <si>
    <t>271963-72T</t>
  </si>
  <si>
    <t>Artquire</t>
  </si>
  <si>
    <t>Provider of an art leasing service intended to facilitate the management and trade of visual art. The company's platform allows clients to rent contemporary artworks for their homes or businesses, enabling customers to get a flexible and affordable way to decorate a space with original art and businesses to streamline its operations and improve accessibility for all participants.</t>
  </si>
  <si>
    <t>Numeri Capital</t>
  </si>
  <si>
    <t>acquisition assets, assets diversification, contemporary artwork, financial services, lease management, leasing contracts, redemption system</t>
  </si>
  <si>
    <t>278776-09T</t>
  </si>
  <si>
    <t>Back Market</t>
  </si>
  <si>
    <t>Electronics (B2C), Specialty Retail*</t>
  </si>
  <si>
    <t>Operator of an online refurbished goods marketplace intended to promote the use and sale of refurbished products. The company's platform connects consumers, startups, and small and medium enterprises with professional sellers to acquire certified and guaranteed electronic devices, enabling users to buy products at reduced prices.</t>
  </si>
  <si>
    <t>Afir, La French Tech, Made For All, Noteus Partners</t>
  </si>
  <si>
    <t>electronic marketplace, online marketplace operator, refurbished device, refurbished tech, repair devices, secondhand items, used products</t>
  </si>
  <si>
    <t>E-Commerce, TMT</t>
  </si>
  <si>
    <t>273602-53T</t>
  </si>
  <si>
    <t>CIXTEN</t>
  </si>
  <si>
    <t>Alternative Energy Equipment, Energy Production*</t>
  </si>
  <si>
    <t>Developer of a green technology designed to convert low-temperature heat into usable energy. The company generates electricity, compressed gas, and thermal upgrades depending on the user's needs, enabling businesses to utilize waste heat and recycle it into energy while reducing reliance on traditional energy sources.</t>
  </si>
  <si>
    <t>Capital Grand Est, Noria</t>
  </si>
  <si>
    <t>carbon neutrality, energy efficiency, energy storage unit, engineering services, fatal heat recovery, green technology</t>
  </si>
  <si>
    <t>Hoerdt, France</t>
  </si>
  <si>
    <t>271483-66T</t>
  </si>
  <si>
    <t>Constellation.Global</t>
  </si>
  <si>
    <t>Connectivity Products, Electrical Equipment*</t>
  </si>
  <si>
    <t>Developer of satellite technologies designed to help the telecommunication industry to improve connectivity. The company's satellites have mitigation of orbital debris generation and light pollution, have high speed, and low latency on small user terminals, and are affordable, enabling users to get sustainable, affordable broadband services anywhere on the globe.</t>
  </si>
  <si>
    <t>Audacia (PAR: ALAUD)</t>
  </si>
  <si>
    <t>broadband service, satellite manufacturer, satellite monitoring, space technology company, telecommunication platform, telecommunication satellite</t>
  </si>
  <si>
    <t>Space Technology</t>
  </si>
  <si>
    <t>Montigny-le-Bretonneux, France</t>
  </si>
  <si>
    <t>274182-22T</t>
  </si>
  <si>
    <t>Essor</t>
  </si>
  <si>
    <t>Operator of a consumer packaged goods platform intended to leverage technology, industry expertise, and strategic collaborations to ignite growth and launch brands. The company's platform helps transform challenger brands into household, omnichannel, and global brands, enabling businesses to deliver better value to customers and stakeholders.</t>
  </si>
  <si>
    <t>Arbor Ventures, BlackRock (NYS: BLK), C4 Ventures, Declaration Partners, General Catalyst, Innovius Capital, Khosla Ventures, Premji Invest (US), Secondary Capital, Target Global, The Raine Group, Vine One Ventures</t>
  </si>
  <si>
    <t>brand creation services, brand design, channel expansion, digital branding, global expansion, product development</t>
  </si>
  <si>
    <t>272104-57T</t>
  </si>
  <si>
    <t>Explorz</t>
  </si>
  <si>
    <t>Developer of application intended for game players. The company is currently operating in stealth mode.</t>
  </si>
  <si>
    <t>ISAI, Kima Ventures</t>
  </si>
  <si>
    <t>gaming application, stealth company, stealth corporation, stealth enterprise, stealth firm</t>
  </si>
  <si>
    <t>272061-37T</t>
  </si>
  <si>
    <t>Fratries</t>
  </si>
  <si>
    <t>Operator of real-estate houses intended to offer co-living spaces. The company helps to offer fully renovated houses in the city center with large common areas, own rooms, and bathroom baths with controlled and all-inclusive rent, enabling young adults with mental disabilities to hang out with each other.</t>
  </si>
  <si>
    <t>Ring Capital</t>
  </si>
  <si>
    <t>bathroom services, co-living space, real estate, real estate owned, shared house, shared spaces</t>
  </si>
  <si>
    <t>272587-78T</t>
  </si>
  <si>
    <t>Leon Flam</t>
  </si>
  <si>
    <t>Accessories*, Internet Retail</t>
  </si>
  <si>
    <t>Manufacturer of suede goods intended to provide users with leather accessories and materials. The company's platform offers a wide range of leather goods, including handbags, travel bags, and wallets, all of which are handcrafted and made with attention to detail, enabling fashion-conscious consumers to express their unique style.</t>
  </si>
  <si>
    <t>apparel and accessories, bags product, handcrafted goods, leather bags, leather goods, luxury goods, retail items</t>
  </si>
  <si>
    <t>Accessories</t>
  </si>
  <si>
    <t>272739-61T</t>
  </si>
  <si>
    <t>Loyoly</t>
  </si>
  <si>
    <t>Developer of a a SaaS marketing optimization platform designed to help brands leverage their community to turn it into a growth engine. The company's platform offers an approach to referrals by building personalized spaces for brand ambassadors to engage with brands, enabling businesses to reduce acquisition costs and build a brand-to-consumer marketing model.</t>
  </si>
  <si>
    <t>Kima Ventures, Source Ventures (Paris)</t>
  </si>
  <si>
    <t>customer engagement campaign, customer engagement platform, digital marketing stratagy, marketing optimization platform, marketing tool developer, marketing tool platform, marketing tool provider</t>
  </si>
  <si>
    <t>271551-07T</t>
  </si>
  <si>
    <t>Praxiel</t>
  </si>
  <si>
    <t>Developer of management software designed to manage the different types of sales. The company offers software packages for firms operating in books, stationery, multimedia, press, and records sectors including services such as pre-installation, installation training, and after-sales services, enabling professionals to work with comprehensive tools adapted to manage customer relations, logistics, and steering.</t>
  </si>
  <si>
    <t>International Technology Solutions</t>
  </si>
  <si>
    <t>collection management, customer relation, logistics software, sales managment, software distributor, software publisher</t>
  </si>
  <si>
    <t>272742-76T</t>
  </si>
  <si>
    <t>PyannoteAI</t>
  </si>
  <si>
    <t>Developer of a speaker diarization platform intended to enhance transcription accuracy. The company's platform utilizes artificial intelligence to process and analyze audio to partition a multi-speaker conversation into individual segments, spotting when someone is speaking, useful for removing silent sections and focusing on relevant parts of the audio and detecting and removing background noise and silences to ensure clear audio processing, enabling industries in customer support, sales, and internal communication to generate minutes, summaries and follow-up actions.</t>
  </si>
  <si>
    <t>audio processing, background noise detection, speakers diarization, speech analytics, speech enhancement, voice activity detection</t>
  </si>
  <si>
    <t>Auzeville-Tolosane, France</t>
  </si>
  <si>
    <t>272742-58T</t>
  </si>
  <si>
    <t>Revolugo</t>
  </si>
  <si>
    <t>Developer of an event management software designed to manage and track reservations. The company's platform facilitates various services related to travel and accommodation management, and real-time booking reports, enabling companies to simplify the accommodation booking experience for events.</t>
  </si>
  <si>
    <t>accommodation booking service, accommodation management software, accommodation platform, event organizer app, software developer company, travel arrangement service</t>
  </si>
  <si>
    <t>271684-99T</t>
  </si>
  <si>
    <t>Seekyo</t>
  </si>
  <si>
    <t>Biotechnology*, Discovery Tools (Healthcare), Drug Discovery</t>
  </si>
  <si>
    <t>Developer of a tumor microenvironment targeting smart chemotherapy designed to provide cancer patients with efficient treatment without adverse effects. The company's chemotherapy is designed with smart drugs that selectively target the microenvironment to safely transport powerful anti-cancer agents throughout the body, enabling cancer patients to get harmless, efficient, and selective cell treatment.</t>
  </si>
  <si>
    <t>Key Ventures</t>
  </si>
  <si>
    <t>activated therapy, cancer treatment, chemotherapy adverse effects, chemotherapy drug, chemotherapy treatment, drugs delivery system, oncology cure, therapeutic field</t>
  </si>
  <si>
    <t>Poitiers, France</t>
  </si>
  <si>
    <t>271681-57T</t>
  </si>
  <si>
    <t>StaniPharm</t>
  </si>
  <si>
    <t>Biotechnology, Drug Discovery, Other Commercial Services*</t>
  </si>
  <si>
    <t>Operator of a contract development and manufacturing organization intended to offer improved clinical performances over existing formulation. The company pioneers in supercritical carbon dioxide (CO2) technologies by operating a state-of-the-art facility and providing the life science industry with flexible development and GMP manufacturing services, enabling life science industries to efficiently move their products along the development path and get good-quality results using cost-effective supercritical fluid technologies.</t>
  </si>
  <si>
    <t>cannabinoid, contract development, crystallization services, gmp manufacturing facility, micro-encapsulation, purification system, supercritical fluid extraction</t>
  </si>
  <si>
    <t>Life Sciences, Manufacturing, Nanotechnology, TMT</t>
  </si>
  <si>
    <t>Champigneulles, France</t>
  </si>
  <si>
    <t>271641-07T</t>
  </si>
  <si>
    <t>The Forecasting Company</t>
  </si>
  <si>
    <t>Developer of enterprise-grade, plug-and-play forecasting systems intended to predict any time series. The company uses a massive training dataset of time-stamped data from many industries and domains to develop a forecasting model that can leverage user-provided input variables or curated data streams and prompt the model with relevant variables and predictive forecasts, enabling clients to build accurate and easy-to-use time series models.</t>
  </si>
  <si>
    <t>Benhamou Global Ventures, Davidovs Venture Collective, iSeed Ventures, Kima Ventures, No Label Ventures</t>
  </si>
  <si>
    <t>forecasting modeling, foundational model, planning model, time series analytics, time series forecasting, time series information, time series modeling</t>
  </si>
  <si>
    <t>265294-90T</t>
  </si>
  <si>
    <t>NomadHer</t>
  </si>
  <si>
    <t>Application Software, Information Services (B2C)*, Social/Platform Software</t>
  </si>
  <si>
    <t>Developer of a solo traveling application designed to connect solo female travelers. The company's tool offers tips from travel guides and helps to participate in online and offline events organized by the community, enabling female travelers to connect, share experiences, and have better safer solo traveling.</t>
  </si>
  <si>
    <t>CNT Tech, K-Bridge Investment, Kosnet technology Investment, NBH Capital</t>
  </si>
  <si>
    <t>itinerary planner, solo travel, solo travel platform, tourism platform, tourist places, travel application, travel buddy, travel content, travelers app</t>
  </si>
  <si>
    <t>270754-93T</t>
  </si>
  <si>
    <t>Martel (Clothing)</t>
  </si>
  <si>
    <t>Clothing*, Luxury Goods</t>
  </si>
  <si>
    <t>Operator of a custom fashion house intended to offer luxury collections to an international clientele. The company provides handcrafted boutique clothing made from leather and refined materials with manual and hyper-refined workmanship, enabling customers to get personalized fashion apparel from a private bespoke fashion studio.</t>
  </si>
  <si>
    <t>LMDV Capital(Leonardo Maria Del Vecchio)</t>
  </si>
  <si>
    <t>boutique apparel, custom fashion, fashion studio, luxury fashion boutique, luxury fashion brand, personalized fashion items</t>
  </si>
  <si>
    <t>270862-66T</t>
  </si>
  <si>
    <t>Agendize</t>
  </si>
  <si>
    <t>Developer of a customer engagement platform designed to offer conventional booking and customer relationship management. The company's platform offers an application that includes online scheduling, callbacks, live chat, dynamic forms, queuing management, and email, enabling businesses to access an integrated suite of applications that permits them to generate quality leads, improve business efficiency, maximize customer engagement, and ultimately increase revenues.</t>
  </si>
  <si>
    <t>Entrepreneur Invest(Bertrand Folliet)</t>
  </si>
  <si>
    <t>appointment booking, content conversion, customer engagement, digital transformation, online appointment, online scheduling, online scheduling tool</t>
  </si>
  <si>
    <t>Marketing Tech, TMT</t>
  </si>
  <si>
    <t>256750-84T</t>
  </si>
  <si>
    <t>Wattalps</t>
  </si>
  <si>
    <t>Electrical Equipment*</t>
  </si>
  <si>
    <t>Developer of lithium power systems designed to make batteries affordable for application. The company's systems are designed for small and medium series to offer passive safety, cooling efficiency, long life and cell protection, enabling clients to have standard and modular products so as to make their integration into vehicles or charging stations fast, efficient and cost-effective.</t>
  </si>
  <si>
    <t>Crédit Agricole Sud Rhône-Alpes (PAR: CRSU), EIT InnoEnergy, European Innovation Council Fund, Move Energy Fund Management, Ring Capital, Supernova Invest</t>
  </si>
  <si>
    <t>batteries production business, clean power production, clean power systems, cost effective battery, lithium battery seller, lithium power systems</t>
  </si>
  <si>
    <t>CleanTech, Infrastructure, LOHAS &amp; Wellness, Manufacturing</t>
  </si>
  <si>
    <t>Moirans, France</t>
  </si>
  <si>
    <t>242309-71T</t>
  </si>
  <si>
    <t>Ten Ten (Communication Software)</t>
  </si>
  <si>
    <t>Communication Software*, Other Services (B2C Non-Financial)</t>
  </si>
  <si>
    <t>Operator of a social platform intended to transform a phone into a real-time walkie-talkie for chatting with buddies. The company allows teens to send voice messages to friends even when their phone is locked, enabling users to have a chatting application.</t>
  </si>
  <si>
    <t>General Catalyst, Purple (Paris)</t>
  </si>
  <si>
    <t>chatting and messaging, chatting app, chatting platform, communication model, communication techology, social platform</t>
  </si>
  <si>
    <t>274644-10T</t>
  </si>
  <si>
    <t>Dolly</t>
  </si>
  <si>
    <t>Application Software, Entertainment Software*, Media and Information Services (B2B)</t>
  </si>
  <si>
    <t>Developer of a mobile gaming platform intended to make e-sport tournaments accessible to everyone. The company's platform offers a revenue stream for gaming studios by integrating prize competitions and skill-based rewards into their existing mobile games, enabling players to connect in fair, fun and meaningful competition.</t>
  </si>
  <si>
    <t>FJ Labs</t>
  </si>
  <si>
    <t>computer games, e-sport games, e-sport tournaments, games monetization, gaming rewards, gaming studio</t>
  </si>
  <si>
    <t>271823-77T</t>
  </si>
  <si>
    <t>Jus Mundi</t>
  </si>
  <si>
    <t>Business/Productivity Software, Legal Services (B2B)*, Media and Information Services (B2B)</t>
  </si>
  <si>
    <t>Developer of a legal technology platform designed to facilitate global justice through artificial intelligence. The company's platform provides legal intelligence, data-driven arbitration professional selection, and business development services by using artificial and collaborative intelligence to collect and structure global legal data, enabling lawyers and academics to simplify and conduct legal research specializing in international law and arbitration.</t>
  </si>
  <si>
    <t>Acton Capital, C4 Ventures, FJ Labs, True Global Ventures</t>
  </si>
  <si>
    <t>ai technology, arbitration software, business development services, commercial arbitration, international arbitration, international research, legal research, legal technology</t>
  </si>
  <si>
    <t>Legal Services (B2B)</t>
  </si>
  <si>
    <t>Artificial Intelligence &amp; Machine Learning, Legal Tech, SaaS</t>
  </si>
  <si>
    <t>271991-71T</t>
  </si>
  <si>
    <t>Nanoz</t>
  </si>
  <si>
    <t>Electronic Equipment and Instruments*, Other Hardware</t>
  </si>
  <si>
    <t>Developer of a gas sensor designed to improve the quality of air. The company's sensor uses metal oxide technology to detect levels of parts per billion (ppb) accurately and stably at a lower cost than analyzer-based detectors, enabling clients to collect data regarding personal protection, industrial processes, safety measurements, and environmental regulations.</t>
  </si>
  <si>
    <t>Boehringer Ingelheim, CEPAC Investment &amp; Development</t>
  </si>
  <si>
    <t>air quality, air quality sensor, gas detection, gas sensor chip, gas sensor developer, gas sensor technology, iot hardware, semiconductor sensor, sensor device</t>
  </si>
  <si>
    <t>Internet of Things, Manufacturing, Nanotechnology</t>
  </si>
  <si>
    <t>Rousset, France</t>
  </si>
  <si>
    <t>274340-71T</t>
  </si>
  <si>
    <t>Sinay</t>
  </si>
  <si>
    <t>Developer of a big data platform designed to study the marine environment. The company's platform combines big data knowledge and technologies in maritime sector activities with a fully integrated innovative system to provide maritime analytics, easy maritime surveys, and dashboards, enabling maritime industries with resources for dealing with growing volumes of data and complex analytics.</t>
  </si>
  <si>
    <t>Business France Tech</t>
  </si>
  <si>
    <t>abi custom application, analytics platform, big data platform provider, environmental consulting, environmental services, marine project, maritime analytics, maritime data analytics</t>
  </si>
  <si>
    <t>Artificial Intelligence &amp; Machine Learning, Industrials, SaaS</t>
  </si>
  <si>
    <t>268946-56T</t>
  </si>
  <si>
    <t>Céladon Paris</t>
  </si>
  <si>
    <t>Other Consumer Durables*</t>
  </si>
  <si>
    <t>Manufacturer of handmade ceramic tableware intended for everyday use. The company offers a range of products including plates, bowls, mugs, and serving pieces in colourful, hand-enamelled ceramics made from natural stoneware, resistant to dishwashers, ovens, and microwaves, enabling customers to enjoy durable and aesthetically pleasing table settings.</t>
  </si>
  <si>
    <t>Apok Invest</t>
  </si>
  <si>
    <t>ceramic ware, dishwasher safes, enamels pins, handcrafted products, homemade food, tableware firm</t>
  </si>
  <si>
    <t>265430-71T</t>
  </si>
  <si>
    <t>Cold Pad</t>
  </si>
  <si>
    <t>Manufacturer of permanent repair and fastening products intended to enhance the reliability of structural bonding for the offshore industry. The company's products include FPSO (Floating production storage and offloading) hull and deck repairs through cold work techniques under extreme durability even under harsh environments and provide fast and qualified installation procedures for all weather conditions, allowing customers to both maximize production uptime and better management.</t>
  </si>
  <si>
    <t>Clery, European Commission, European Innovation Council Fund, European Investment Bank (Luxembourg), LBO France, NCI Gestion</t>
  </si>
  <si>
    <t>construction product, durable product, structural bonding, structural engineering, structural engineering firm, structural engineering service</t>
  </si>
  <si>
    <t>269721-55T</t>
  </si>
  <si>
    <t>Electricité d'Azur</t>
  </si>
  <si>
    <t>Energy Infrastructure*, Energy Production, Energy Storage</t>
  </si>
  <si>
    <t>Developer of solar energy systems designed for farmers, businesses, and landowners. The company designs, finances, builds, and operates photovoltaic and electricity storage facilities, enabling clients to produce clean and sustainable energy to save on the energy expenditure of business.</t>
  </si>
  <si>
    <t>Crédit Mutuel Equity</t>
  </si>
  <si>
    <t>clean energy project, green energy storage system, photovoltaic systems, renewable energy project, solar energy storage, solar panel installation</t>
  </si>
  <si>
    <t>270389-44T</t>
  </si>
  <si>
    <t>ENAKL</t>
  </si>
  <si>
    <t>Application Software*, Automotive, Logistics</t>
  </si>
  <si>
    <t>Developer of on-demand shared transportation platform designed for residents' booking, tracking, and payment. The company's platform integrates ride-hailing technology with existing shared taxi services, enabling residents of emerging cities to access affordable, reliable, and comfortable transport options that cater to their specific needs.</t>
  </si>
  <si>
    <t>mobility program, resident benefits, shifting service, transport needs, trip app, urban mobility</t>
  </si>
  <si>
    <t>Ridesharing</t>
  </si>
  <si>
    <t>276346-27T</t>
  </si>
  <si>
    <t>GravitHy</t>
  </si>
  <si>
    <t>Environmental Services (B2B), Iron and Steel Mining*</t>
  </si>
  <si>
    <t>Metals, Minerals and Mining</t>
  </si>
  <si>
    <t>Operator of a sustainable iron and steel plant intended to reduce carbon emissions. The company specializes in producing and using green, low-carbon hydrogen to create directly reduced iron, enabling industries to produce clean hydrogen and supporting the rising demand for zero-carbon steel.</t>
  </si>
  <si>
    <t>clean hydrogen, clean technology, decarbonised energy, decarbonization strategy, energy efficient, green chemicals and materials, zero carbon emission</t>
  </si>
  <si>
    <t>Iron and Steel Mining</t>
  </si>
  <si>
    <t>179963-83T</t>
  </si>
  <si>
    <t>Hivebrite</t>
  </si>
  <si>
    <t>Business/Productivity Software*, Database Software</t>
  </si>
  <si>
    <t>Developer of a community engagement platform designed to provide tools to build, manage, and engage the community. The company's platform drives and measures engagement via an administration dashboard, powerful filters, and targeting tools, reporting and analytics features, and real-time communication applications, enabling businesses to offer brand engagement, create opportunities, and engage users wherever they are.</t>
  </si>
  <si>
    <t>Claret Capital Partners, Company Ventures, Edward Filippi(Edward Filippi), Insight Partners(Peter Sobiloff), Pierre-Edouard Harant(Pierre-Edouard Harant), Quadrille Capital</t>
  </si>
  <si>
    <t>community engagement platform, community management, corporate collaboration, customer relationship management, online community, professional network</t>
  </si>
  <si>
    <t>251666-56T</t>
  </si>
  <si>
    <t>Holosolis</t>
  </si>
  <si>
    <t>Manufacturer of photovoltaic modules intended to respond to the need for European energy sovereignty. The company provides a scalable and secure infrastructure for photovoltaic modules with a low carbon footprint and social standards, enabling businesses to meet the growing demand for renewable energy.</t>
  </si>
  <si>
    <t>CVE, EIT InnoEnergy, Photosol France, Technique Solaire, Tenergie</t>
  </si>
  <si>
    <t>commercial rooftop, energy transition, global warming, intermittent renewable energy, photovoltaic panels, power generation, pv panels, solar electric power, solar photovoltaic</t>
  </si>
  <si>
    <t>267699-43T</t>
  </si>
  <si>
    <t>Hub2</t>
  </si>
  <si>
    <t>Developer of a financial management platform designed to allow businesses to generate payment links and share them via texts and emails. The company's platform offers payment tracking, subscription management, and customer scoring, enabling businesses to reduce recurring revenue costs and increase margins.</t>
  </si>
  <si>
    <t>African Fintech Collective, Axian Investment, Bpifrance(Clémentine Cazenave), DCG (France), ENL Corporate Ventures, Enza Capital, Eric Barbier(Eric Barbier), FMO Entrepreneurial Development Bank, TLcom Capital(Olumide Ashade)</t>
  </si>
  <si>
    <t>enterprise payment, mobile money system, payment infrastructure, payment management platform, subscription management, transaction management system</t>
  </si>
  <si>
    <t>Saint-Denis, France</t>
  </si>
  <si>
    <t>272617-84T</t>
  </si>
  <si>
    <t>Hugging Face</t>
  </si>
  <si>
    <t>Artificial General Intelligence (AGI) Research</t>
  </si>
  <si>
    <t>Developer of a machine-learning community platform designed to collaborate on models, datasets, and applications. The company's platform emphasizes creating, discovering, and collaborating on machine-learning projects and offers paid computing and enterprise systems to accelerate processes with open-source development, enabling users to support and advance the field of machine learning through collaboration, tools, and services.</t>
  </si>
  <si>
    <t>Bossa Invest</t>
  </si>
  <si>
    <t>ai communication platform, ai images editing, artificial general intelligence, chatbot system, collaboration platform, community collaboration, enterprise solutions, foundation model, machine learning tooling</t>
  </si>
  <si>
    <t>269888-05T</t>
  </si>
  <si>
    <t>LinkCy</t>
  </si>
  <si>
    <t>Application Software, Financial Software*, Other Financial Services</t>
  </si>
  <si>
    <t>Developer of an embedded finance platform designed to help companies and users easily manage their digital assets. The company offers companies a complete plug-and-play white label banking solution that provides additional financial services, and customization of white label cards, accounts and neobank products, API Documentation, card program management, and more, helping users by reducing costs and complexity through legal and technical support.</t>
  </si>
  <si>
    <t>4Ventures, welovefounders</t>
  </si>
  <si>
    <t>card program management, digital asset manager, financial services app, fintech platform, fintech tools, white label</t>
  </si>
  <si>
    <t>217869-13T</t>
  </si>
  <si>
    <t>Monde Singulier</t>
  </si>
  <si>
    <t>NFTs</t>
  </si>
  <si>
    <t>Information Services (B2C)*, Internet Retail</t>
  </si>
  <si>
    <t>Operator of a digital marketplace platform intended to trade collectibles. The company offers to buy and sell exclusive collectibles from the world's leading brands and designers, enabling clients to own a piece of history through the power of non-fungible tokens (NFTs).</t>
  </si>
  <si>
    <t>Kima Ventures, Naver (KRX: 035420), OneRagtime</t>
  </si>
  <si>
    <t>digital collectibles, digital projects, ethereum energy, luxury collectibles, nft based, virtual collectibles</t>
  </si>
  <si>
    <t>269188-30T</t>
  </si>
  <si>
    <t>NovAliX</t>
  </si>
  <si>
    <t>Biotechnology, Drug Discovery*, Pharmaceuticals</t>
  </si>
  <si>
    <t>Operator of a drug-based research center intended to focus on drug discovery and pharmaceutical development. The company's center offers clients original collaborative models and extensive services within the framework of research programs dedicated to drug discovery, enabling clients to have a unique combination of screening, medicinal chemistry, and structural biology to discover effective drugs.</t>
  </si>
  <si>
    <t>Bruker (NAS: BRKR)(Falko Busse)</t>
  </si>
  <si>
    <t>biophysics research, drug discovery, drug discovery research, drug research center, drug research process, pharmaceutical, structural biology</t>
  </si>
  <si>
    <t>268691-32T</t>
  </si>
  <si>
    <t>Seerius</t>
  </si>
  <si>
    <t>Other Commercial Services, Other Financial Services, Other Services (B2C Non-Financial), Private Equity*</t>
  </si>
  <si>
    <t>Operator of a venture development and investment platform intended for providing incubation and funding programs. The company is involved in the 
 investments in the tech and platform spaces, demystifying technology and harnessing its potential for faster and sustainable growth, enabling businesses and people to get a platform to materialize their vision.</t>
  </si>
  <si>
    <t>Pentagram Ventures</t>
  </si>
  <si>
    <t>disruptive technology, incubation platform, investment platform, private equity, transformative technologies, venture capital, venture development</t>
  </si>
  <si>
    <t>268745-14T</t>
  </si>
  <si>
    <t>Slice (Application Software)</t>
  </si>
  <si>
    <t>Application Software*, Financial Software, Information Services (B2C), Other Financial Services</t>
  </si>
  <si>
    <t>Operator of a stock market analyzer intended for cryptocurrency investors. The company's platform allows one to learn and interact with professional stock mentors and understand financial markets, enabling users to examine portfolios before investing.</t>
  </si>
  <si>
    <t>Apok Invest, Campus Fund</t>
  </si>
  <si>
    <t>cryptocurrency tools, financial market, investors updates, mentor service, stock control, stock market</t>
  </si>
  <si>
    <t>269407-45T</t>
  </si>
  <si>
    <t>The Domaine des Trois Tilleuls</t>
  </si>
  <si>
    <t>Hotels and Resorts*, Other Restaurants, Hotels and Leisure, Other Services (B2C Non-Financial)</t>
  </si>
  <si>
    <t>Provider of an online travel booking platform created to empower travelers with instant booking and comprehensive choices. The company offers an e-commerce travel portal and accommodation plans, providing users with a range of booking choices for hotels, where travelers can search, plan, and book a wide range of travel services and products.</t>
  </si>
  <si>
    <t>Invest.BW</t>
  </si>
  <si>
    <t>accommodation app, accommodation info, travel booking, travel booking site, travel platform, travel publishing, travel services</t>
  </si>
  <si>
    <t>E-Commerce, Mobile, TMT</t>
  </si>
  <si>
    <t>Villers-la-Ville, France</t>
  </si>
  <si>
    <t>269214-85T</t>
  </si>
  <si>
    <t>Timeleft</t>
  </si>
  <si>
    <t>Developer of a social experience platform designed to connect people based on their values and choices. The company uses technologies and services that create lists of experiences and aggregate them on a profile page for social connection, allowing customers to meet and chat over dinner plans with new people who share common goals and the same thoughts.</t>
  </si>
  <si>
    <t>EnjoyVenture, Redstone VC, Smash Capital</t>
  </si>
  <si>
    <t>artificial intelligence based, brainstorming platform, digital application software, entertainment provider, information app, social media app</t>
  </si>
  <si>
    <t>Artificial Intelligence &amp; Machine Learning, Mobile</t>
  </si>
  <si>
    <t>273805-57T</t>
  </si>
  <si>
    <t>Intent Technologies</t>
  </si>
  <si>
    <t>Developer of a data management platform designed to offer a marketplace for habitat data. The company's platform facilitates a cloud-based system for smart buildings and an ecosystem of partners that connects real estate professionals and city governments to their service suppliers, enabling social housing operators to access building data and improve the value and efficiency of properties and cities.</t>
  </si>
  <si>
    <t>Amundi Private Equity Funds, Banque des Territoires, Nexity (PAR: NXI)</t>
  </si>
  <si>
    <t>cloud-based system, connected buildings, data consolidation, data management platform, energy efficiency information, real estate professionals, saas app, vertical application</t>
  </si>
  <si>
    <t>Big Data, Real Estate Technology, SaaS</t>
  </si>
  <si>
    <t>270108-19T</t>
  </si>
  <si>
    <t>La Bourse aux Livres</t>
  </si>
  <si>
    <t>Information Services (B2C)*, Other Services (B2C Non-Financial)</t>
  </si>
  <si>
    <t>Developer of a books reselling platform designed to allow the buying and selling of used books. The company's platform quickly scans books, gives an estimate of their value, and automatically sends earnings with every book sold to its owner, enabling customers to get access to a vast library of books and make profits selling their used books through a single platform.</t>
  </si>
  <si>
    <t>Climate Club (Paris), FJ Labs</t>
  </si>
  <si>
    <t>books app, books reselling platform, books selling platform, books storage, buying and selling, digital library, learning and education</t>
  </si>
  <si>
    <t>E-Commerce, Mobile</t>
  </si>
  <si>
    <t>257010-13T</t>
  </si>
  <si>
    <t>Nutropy</t>
  </si>
  <si>
    <t>Producer of a business-to-business plug-and-play milk replacement platform intended for large-scale dairy applications on the global cheese market. The company's platform generates milk components without animal milk by manufacturing dairy proteins equivalent to cow proteins using microbes and fermentation to manufacture cheese alternatives, enabling businesses to scale mass-market products with a significantly lower carbon dioxide and environmental footprint.</t>
  </si>
  <si>
    <t>Mudcake, Pjotr van Schothorst(Pjotr van Schothorst), San Joaquin Capital, Zero Carbon Capital</t>
  </si>
  <si>
    <t>alternative protein, alt-proteins, animal-free dairy products, cheese producer, cheese product, fermented protein, gourmet cheese, gourmet food, precision fermentation</t>
  </si>
  <si>
    <t>Climate Tech</t>
  </si>
  <si>
    <t>Evry, France</t>
  </si>
  <si>
    <t>201915-46T</t>
  </si>
  <si>
    <t>Oxilia</t>
  </si>
  <si>
    <t>Elder and Disabled Care*, Other Healthcare Services, Social/Platform Software</t>
  </si>
  <si>
    <t>Operator of a caregiver networking platform designed to facilitate and simplify home care service for people with a loss of autonomy. The company's network provides a user with access to a skilled and qualified person to assist their loved ones at home and provide caregivers for companionship, personal assistance, transport, household work, and meal preparation, enabling families to book professional caregivers in a simplified way.</t>
  </si>
  <si>
    <t>Network Finances</t>
  </si>
  <si>
    <t>caregiver information, caregiver marketplace, caregiver search, caregivers connecting platform, home care, home security, home support, personal assistance</t>
  </si>
  <si>
    <t>Elder and Disabled Care</t>
  </si>
  <si>
    <t>Digital Health, LOHAS &amp; Wellness, TMT</t>
  </si>
  <si>
    <t>Villeneuve-lès-Avignon, France</t>
  </si>
  <si>
    <t>267791-32T</t>
  </si>
  <si>
    <t>BIBBI Parfum</t>
  </si>
  <si>
    <t>Manufacture of perfume products intended to provide an artisanal scent. The company crafts perfumes that capture the essence of elegance, enabling consumers to provide a better quality product.</t>
  </si>
  <si>
    <t>Fable Investments, JamJar Investments</t>
  </si>
  <si>
    <t>fragrance product, perfume maker, perfume manufacturer, perfume product, perfume seller, personal product</t>
  </si>
  <si>
    <t>271784-80T</t>
  </si>
  <si>
    <t>Wegrow</t>
  </si>
  <si>
    <t>Developer of an AI-enabled digital marketing platform intended for teams to share and scale marketing, sales, and operational practices to drive efficiencies. The company's platform allows teams to exchange knowledge in marketing, sales, operations, and human resources to optimize their organizations' internal processes and drive innovation, enabling clients to improve collaboration, grow their brand value, and increase profitability.</t>
  </si>
  <si>
    <t>Nauta Capital(Borja Breña), Scale Investment Funds, Shapr Ventures, she1K, VU Venture Partners, Wille Finance</t>
  </si>
  <si>
    <t>customer relationship management, digital marketing, digital marketing platform, digital transformation, employee collaborative platform, process optimization, team collaboration platform, team engagement platform, team productivity management</t>
  </si>
  <si>
    <t>Artificial Intelligence &amp; Machine Learning, HR Tech, Marketing Tech, SaaS</t>
  </si>
  <si>
    <t>267876-10T</t>
  </si>
  <si>
    <t>D-ICE Engineering</t>
  </si>
  <si>
    <t>Business/Productivity Software, Marine*, Other Commercial Services, Other Energy Services</t>
  </si>
  <si>
    <t>Developer of hydrodynamics simulation technology and advanced control systems intended to improve performances, increase safety, and reduce consumption and greenhouse gas emissions. The company provides tools for wind propulsion, ship navigation systems, weather routing systems, or decision support systems, enabling clients to acquire and develop services for various sectors including marine renewable energy where its technologies make marine operations optimal and secure.</t>
  </si>
  <si>
    <t>Atlantique Vendée Innovation, Mer Invest, Pays de la Loire Participations, Sodero, SWEN Capital Partners</t>
  </si>
  <si>
    <t>control system, control system service, intermittent renewable energy, marine renewable energy, marine technology, maritime system</t>
  </si>
  <si>
    <t>Artificial Intelligence &amp; Machine Learning, CleanTech, Climate Tech</t>
  </si>
  <si>
    <t>255227-50T</t>
  </si>
  <si>
    <t>IZNES</t>
  </si>
  <si>
    <t>Developer of an international investment platform designed for subscriptions and redemptions of European funds, compatible with different distribution channels, using blockchain technology. The company's platform utilizes blockchain technology for asset managers, secured investment in UCITS units and record-keeping compatible with all distribution channels, enabling clients to simplify relationships and reduce risk as well as the costs associated with holding liabilities and holding mutual funds.</t>
  </si>
  <si>
    <t>Euroclear(Philippe Laurensy), Generali Insurance Asset Management(Rémi Cuinat), LBPAM(Pierre Ernst), Ofi Invest, Rothschild &amp; Co Asset Management Europe(Vincent Rasclard), Vatel Capital</t>
  </si>
  <si>
    <t>blockchain data, blockchain platform, investment platform, investment platform operator, investment services, mutual fund custodial</t>
  </si>
  <si>
    <t>267428-62T</t>
  </si>
  <si>
    <t>Bien'ici</t>
  </si>
  <si>
    <t>Application Software, Information Services (B2C), Real Estate Services (B2C)*</t>
  </si>
  <si>
    <t>Developer of an online real estate platform designed to help find accommodation in any location that users want. The company's platform provides a facilitated search for homes that are categorized by city, department, drawing areas on the map and by travel time or by point of interest and also helps locate shops, transport, schools, and all other points of interest around the property that interests, enabling users to gather useful statistics, detailed information, photos and discover cities and districts in detail thereby permitting them to buy to live or to invest in a new home.</t>
  </si>
  <si>
    <t>Fnaim</t>
  </si>
  <si>
    <t>accommodation information, house search, online home buy, online home sales, real estate market, real estate platform</t>
  </si>
  <si>
    <t>Real Estate Technology, SaaS</t>
  </si>
  <si>
    <t>262390-78T</t>
  </si>
  <si>
    <t>Cutting Edge (Surgical Devices)</t>
  </si>
  <si>
    <t>Other Healthcare Services, Surgical Devices*</t>
  </si>
  <si>
    <t>Manufacturer of eye surgery devices intended for the well-being of the patients. The company designs, develops, manufactures, and distributes intraocular implants and ophthalmic medical devices, and provides individual development opportunities through training and constant collaboration, enabling patients to improve their vision through the optimized operational processes provided by professional surgeons.</t>
  </si>
  <si>
    <t>IRDI Capital Investissement</t>
  </si>
  <si>
    <t>eye surgery, eye surgery equipment, eye surgery service, eyes care, patient wellness platform, surgical device</t>
  </si>
  <si>
    <t>HealthTech, Manufacturing</t>
  </si>
  <si>
    <t>218392-39T</t>
  </si>
  <si>
    <t>Daurema</t>
  </si>
  <si>
    <t>Other Containers and Packaging*</t>
  </si>
  <si>
    <t>Developer of a cellulose fiber packaging model intended to offer an alternative to plastic packaging. The company's packaging material is a natural fiber present in all plants on earth and consists of terrestrial plant biomass, enabling customers with an ecological natural vegetable fiber that is biodegradable and domestically compostable.</t>
  </si>
  <si>
    <t>biodegradable packaging, cellulose fiber, compostable packaging, natural fibers, packaging and containers, plastic alternatives</t>
  </si>
  <si>
    <t>CleanTech, Life Sciences, LOHAS &amp; Wellness</t>
  </si>
  <si>
    <t>Wattrelos, France</t>
  </si>
  <si>
    <t>267124-78T</t>
  </si>
  <si>
    <t>Ubikap</t>
  </si>
  <si>
    <t>Developer of a digital platform designed to streamline and digitize the legal secretariat of companies. The company offers tools for managing general meetings, securities movement registers, and electronic signatures, enabling legal professionals to automate administrative tasks.</t>
  </si>
  <si>
    <t>Campus Fund, Guillaume Lochard, HUB612, Insavalor, Lionel Grivel, TKT Holding</t>
  </si>
  <si>
    <t>compliance management, data encryption, legal document, legal tools, process automation, workflow optimization</t>
  </si>
  <si>
    <t>269363-98T</t>
  </si>
  <si>
    <t>Werlen Ipsum</t>
  </si>
  <si>
    <t>Media and Information Services (B2B)*, Movies, Music and Entertainment</t>
  </si>
  <si>
    <t>Operator of an animation production studio designed to empower independent artists. The company offers a collaborative environment with AI integration, enabling artists to create high-end animated content and develop international franchises (IPs) with a distinctly French style.</t>
  </si>
  <si>
    <t>Super Capital</t>
  </si>
  <si>
    <t>adult animation, animation production, animation studio, ip development, pipeline services, series production</t>
  </si>
  <si>
    <t>267506-83T</t>
  </si>
  <si>
    <t>X&amp;Immersion</t>
  </si>
  <si>
    <t>Developes of software tools designed for automating the creation of lip-synced animations. The company's software allows clients to input audio files or text, and the platform generates corresponding facial animations for 2D or 3D characters, enabling clients to reduce the time and resources required for animation tasks.</t>
  </si>
  <si>
    <t>Clint Capital</t>
  </si>
  <si>
    <t>animation tool, game development, gaming industry, machine learning development, machine learning platform, software tools</t>
  </si>
  <si>
    <t>Artificial Intelligence &amp; Machine Learning, Gaming, SaaS</t>
  </si>
  <si>
    <t>269892-01T</t>
  </si>
  <si>
    <t>European Innovation Council Fund</t>
  </si>
  <si>
    <t>272319-58T</t>
  </si>
  <si>
    <t>Pony</t>
  </si>
  <si>
    <t>Application Software, Automotive, Other Services (B2C Non-Financial)*</t>
  </si>
  <si>
    <t>Provider of micro-mobility services intended to help decentralize ownership of vehicles for urban transportation. The company's services include offering bikes and scooters for hire with find, unlock, and ride vehicles using an app, enabling vehicle owners to earn profit from every ride they make by sharing their bikes.</t>
  </si>
  <si>
    <t>ADEME Investissement(Sylvain Waserman), Blast.Club, Colam Impact, La Poste Groupe(André Bahoumina), XAnge</t>
  </si>
  <si>
    <t>bike sharing app, dockless bikes, fleet management, reliable transportation, shared mobility, urban commuters, urban transportation</t>
  </si>
  <si>
    <t>Climate Tech, Mobile, Mobility Tech, Ridesharing</t>
  </si>
  <si>
    <t>Angers, France</t>
  </si>
  <si>
    <t>273033-91T</t>
  </si>
  <si>
    <t>Dipostel</t>
  </si>
  <si>
    <t>Distributors/Wholesale*</t>
  </si>
  <si>
    <t>Distributor of industrial components designed to enhance performance in friction, transmission, and braking across various industries. The company offers innovative, environmentally friendly plastic products and a robust quality management system, including liquid and solid formulations designed to reduce wear and noise at the wheel/rail interface, enabling railway operators, train manufacturers, and heavy industry clients to enhance asset value and availability.</t>
  </si>
  <si>
    <t>Elevation Capital Partners</t>
  </si>
  <si>
    <t>friction reduction, lubrication system, noise control system, rail infrastructure, rail maintenance, surface treatment product, wear resistant parts</t>
  </si>
  <si>
    <t>Saint-Aunes, France</t>
  </si>
  <si>
    <t>266782-78T</t>
  </si>
  <si>
    <t>Enerdigit</t>
  </si>
  <si>
    <t>Application Software, Media and Information Services (B2B), Other Energy Services*</t>
  </si>
  <si>
    <t>Operator of an energy management and erasure services company intended to provide flexibility in the electricity network. The company participates in the development of energy transition and smart grids acts as an electrical demand response operator for large electricity consumers of electricity and offers industrial sites to participate in the balance of the electrical network during peak consumption, enabling clients in the energy industry to avoid blackouts brought about by spike in demand.</t>
  </si>
  <si>
    <t>Bpifrance(Aurelien Hue), Ocean Participations(Pierrick Charrot), Ring Capital(Pierre-Alexis de Vauplane)</t>
  </si>
  <si>
    <t>electricity consumption monitoring, electricity network, electricity network project, electricity system, energy management, energy transition, energy transition services, grid installation, smart grid system</t>
  </si>
  <si>
    <t>Other Energy Services</t>
  </si>
  <si>
    <t>CleanTech, Climate Tech, Industrials, Mobile</t>
  </si>
  <si>
    <t>244496-08T</t>
  </si>
  <si>
    <t>Hyprspace</t>
  </si>
  <si>
    <t>Manufacturer of rockets intended to provide a dedicated orbiting service for the micro-satellite segment. The company's offerings include the launch of microsatellites, keeping constellations in operational condition by replacing faulty satellites, participation in earth orbit clean-up programs, and integration with defense systems to guarantee the safety of the French space ecosystem, enabling private customers like telecoms, satellite data providers, and public customers like governments, laboratories, and universities to help with a responsive launch service at a competitive price.</t>
  </si>
  <si>
    <t>Deeptech Ventures, Nouvelle Aquitaine Co-Investissement</t>
  </si>
  <si>
    <t>aerospace manufacturing, aerospace services, microsatellite production, microsatellite technology, propulsion systems, satellite data technology</t>
  </si>
  <si>
    <t>Manufacturing, Space Technology</t>
  </si>
  <si>
    <t>Le Haillan, France</t>
  </si>
  <si>
    <t>267186-88T</t>
  </si>
  <si>
    <t>Place des energies</t>
  </si>
  <si>
    <t>Energy Traders and Brokers*</t>
  </si>
  <si>
    <t>Operator of a national network of energy brokers intended to facilitate group purchases of natural gas and electricity. The company offers a better approach to energy procurement, enabling both individuals and professionals to benefit from reduced energy costs and simplified purchasing processes.</t>
  </si>
  <si>
    <t>Selectra</t>
  </si>
  <si>
    <t>electricity selling, energy broker, energy optimization, energy procurement, natural gas retail, natural gas trader</t>
  </si>
  <si>
    <t>Energy Traders and Brokers</t>
  </si>
  <si>
    <t>Saultain, France</t>
  </si>
  <si>
    <t>270328-87T</t>
  </si>
  <si>
    <t>GRUPPOMIMO</t>
  </si>
  <si>
    <t>Restaurants and Bars*</t>
  </si>
  <si>
    <t>Operator of a restaurant chain intended to provide Italian cuisine. The company offers handmade pizza, pasta, and beverages, enabling people to experience the authentic taste of Italian dishes.</t>
  </si>
  <si>
    <t>Odyssee Venture(Julien Andrieux)</t>
  </si>
  <si>
    <t>cooking process, discovery &amp; review, discovery and review, fine dine, food and beverage discovery, food beverage discovery, food point, italian restaurant, italian restaurant chain, pasta chain, pizza chain, retail chain</t>
  </si>
  <si>
    <t>266669-11T</t>
  </si>
  <si>
    <t>Illumo Robotics</t>
  </si>
  <si>
    <t>Warehouse Robotics</t>
  </si>
  <si>
    <t>Business/Productivity Software, Other Hardware*</t>
  </si>
  <si>
    <t>Manufacturer of an autonomous robot designed to increase productivity and accuracy in a warehouse. The company's robot includes radio-frequency identification scanning and visual inspection to reduce returns, adapt the movement and grasp in real-time based on the environment and objects and also offers a web-based platform that has templates for each task operation, enabling e-commerce and mass retailers to increase the profitability of order preparation and logistics processes.</t>
  </si>
  <si>
    <t>Demium Capital(Jorge Dobón), Encomenda Smart Capital</t>
  </si>
  <si>
    <t>autonomous robots, industrial robots system, productivity enhancement, profitability enhancement, visual inspection, warehouse automation</t>
  </si>
  <si>
    <t>Advanced Manufacturing, Manufacturing, Robotics and Drones</t>
  </si>
  <si>
    <t>275013-82T</t>
  </si>
  <si>
    <t>Koala</t>
  </si>
  <si>
    <t>Down Round</t>
  </si>
  <si>
    <t>Other Insurance*</t>
  </si>
  <si>
    <t>Provider of disrupted flight insurance services intended to compensate travelers for delayed or canceled flights. The company monitors the journey of all its clients and triggers automatic and instant compensation for their customers in the event of flight disruptions such as cancellations, delays, and problems related to baggage delivery, enabling travelers to lessen the burden of getting paid out by streamlining the insurance claim experience.</t>
  </si>
  <si>
    <t>Precursor Ventures</t>
  </si>
  <si>
    <t>flight insurance, flight support, insurance checkup, insurance claims, travel insurance, travel insurance portal, travel insurance service</t>
  </si>
  <si>
    <t>267739-48T</t>
  </si>
  <si>
    <t>Sekai</t>
  </si>
  <si>
    <t>Developer of an engagement platform intended for anime fans. The company's platform creates applications that will help fans connect between episodes, enabling users to enjoy new ways of consuming animated content.</t>
  </si>
  <si>
    <t>A* Capital, Adrien Montfort(Adrien Montfort), Alexandre Yazdi(Alexandre Yazdi), Alexis Ohanian(Alexis Ohanian), Aurélien Cotentin(Aurélien Cotentin), Cygni Capital, Kima Ventures, Laurent Ritter(Laurent Ritter), Makers Fund, Mike Shinoda(Mike Shinoda), Motier Ventures, New Wave VC, Nicolas Julia(Nicolas Julia), Randal Muani(Randal Muani), Rudy Gobert-Bourgarel(Rudy Gobert-Bourgarel), Seven Seven Six, Skycatcher, TV Tokyo</t>
  </si>
  <si>
    <t>animated artwork, animated content, animation software, fan engagement, fan engagement app, japanese animation, user engagement tool</t>
  </si>
  <si>
    <t>274629-34T</t>
  </si>
  <si>
    <t>Flowie</t>
  </si>
  <si>
    <t>Business/Productivity Software*, Media and Information Services (B2B), Other Financial Services</t>
  </si>
  <si>
    <t>Developer of an invoicing platform intended to facilitate money movements between companies. The company's platform centralizes all accounts receivable and payable information so that clients can view essential information regarding getting paid by customers and receiving money from suppliers, enabling organizations to get a platform to handle their invoices properly.</t>
  </si>
  <si>
    <t>FJ Labs, Life Extension Ventures</t>
  </si>
  <si>
    <t>ai tools, automated platform, cash flow management, centralized control, invoice finance service, money management</t>
  </si>
  <si>
    <t>273831-67T</t>
  </si>
  <si>
    <t>ROSI</t>
  </si>
  <si>
    <t>Environmental Services (B2B)*, Other Energy Services</t>
  </si>
  <si>
    <t>Developer of photovoltaic modules recycling technology designed for recycling and revalorization of raw materials in the renewable energy industry. The company specializes in valorizing silicon contained in the industrial waste generated during the solar wafer slicing process and from the silicon fine particles that are lost from the PV-silicon production process, enabling clients to render the production of PV modules sustainable at a reduced cost.</t>
  </si>
  <si>
    <t>EIT InnoEnergy, European Innovation Council Fund</t>
  </si>
  <si>
    <t>environmental services company, intermittent renewable energy, silicon recycling, silicon waste management, silicon waste recycling, solar photovoltaic, waste recycling center, waste recycling solutions</t>
  </si>
  <si>
    <t>Seyssins, France</t>
  </si>
  <si>
    <t>224596-81T</t>
  </si>
  <si>
    <t>The Very Food</t>
  </si>
  <si>
    <t>Producer of plant-based ingredients intended to decarbonizing the agri-food sector by replacing milk and eggs used as ingredients with functional proteins of plant origin. The company specializes in ready-to-use, plant-based ingredients that serve as alternatives to egg products and dairy ingredients, catering to the growing demand for vegan food options, it also develops solutions that can be easily integrated into existing processes for food manufacturers and foodservice professionals, enabling clients to seamlessly replace eggs and dairy in various culinary applications, fostering a more sustainable and resilient food system.</t>
  </si>
  <si>
    <t>Apok Invest, Bpifrance, Frédérick Bouisset, Pascal Viguié</t>
  </si>
  <si>
    <t>alt-proteins, culinary application, dairy substitutes, egg replacement, egg substitutes, ingredients provider, plant-based food company, plant-based ingredients, plant-based protein, sustainable food, vegan food</t>
  </si>
  <si>
    <t>Climate Tech, FoodTech</t>
  </si>
  <si>
    <t>Chevilly Larue, France</t>
  </si>
  <si>
    <t>266325-94T</t>
  </si>
  <si>
    <t>Deep Mine</t>
  </si>
  <si>
    <t>Aerospace and Defense*, Business/Productivity Software</t>
  </si>
  <si>
    <t>Developer of sensors and application-specific drones designed to enhance performance and provide situational awareness in modern warfare. The company offers military-grade consumer electronics, continuous AI-driven updates, and large-scale data acquisition capabilities, enabling defense forces to operate with efficiency, speed, and adaptability in complex conflict zones.</t>
  </si>
  <si>
    <t>Atlantic Labs, Kima Ventures, W Ventures</t>
  </si>
  <si>
    <t>autonomous drones systems, computer vision, enterprise software, ml model, sensor software, warfare system</t>
  </si>
  <si>
    <t>Internet of Things, Robotics and Drones</t>
  </si>
  <si>
    <t>Marquette-lez-Lille, France</t>
  </si>
  <si>
    <t>267321-07T</t>
  </si>
  <si>
    <t>Pasqal</t>
  </si>
  <si>
    <t>High Performance Computing, Quantum Computing</t>
  </si>
  <si>
    <t>Application Specific Semiconductors, Computers, Parts and Peripherals, Other Hardware*</t>
  </si>
  <si>
    <t>Developer of full-stack quantum computing technology designed to simulate complex phenomena for scientific discovery. The company's technology is based on qubits made of neutral atoms arranged in large two-dimensional and three-dimensional arrays that can perform analog computing and address general problems such as optimization, drug discovery, and machine learning, enabling organizations to address general problems in the fields of optimization of quantum programming.</t>
  </si>
  <si>
    <t>CMA CGM(Rodolphe Saadé), Early Capital Group, Kerna Ventures</t>
  </si>
  <si>
    <t>computing technology, high performance computing, quantum algorithm, quantum programming, scientific discoveries, software stack</t>
  </si>
  <si>
    <t>Massy, France</t>
  </si>
  <si>
    <t>267479-65T</t>
  </si>
  <si>
    <t>Cashbee</t>
  </si>
  <si>
    <t>Application Software, Financial Software, Other Financial Services*</t>
  </si>
  <si>
    <t>Operator of a digital platform intended to make investments simple for savers and companies. The company's platform allows users to put their savings to work in a range of investment alternatives, from high yield savings accounts to long-term investments, via a secure, simple and mobile client experience and helps users to simulate, execute and track investments via an easy-to-use app, enabling customers to get control over their money and maximize returns.</t>
  </si>
  <si>
    <t>115K, MIF Assurances</t>
  </si>
  <si>
    <t>financial education &amp; coaching, financial platform, investment advice, investment service, savings app, savings investment, savings program</t>
  </si>
  <si>
    <t>FinTech, Impact Investing, Mobile</t>
  </si>
  <si>
    <t>266402-71T</t>
  </si>
  <si>
    <t>SymaleaN</t>
  </si>
  <si>
    <t>Developer of a lean management software designed to streamline the quality, health, safety and environmental procedures. The company's platform offers real-time feedback on field information, analysis, processing and automation of dashboards and also provides a hosted software model and license mode, enabling businesses to speed up the process of setting up QHSE systems.</t>
  </si>
  <si>
    <t>Turenne Groupe</t>
  </si>
  <si>
    <t>application performance management, digital mobile application, digital transformation, lean management software, mobile application management, performance management application</t>
  </si>
  <si>
    <t>Les Achards, France</t>
  </si>
  <si>
    <t>266194-09T</t>
  </si>
  <si>
    <t>Bridge.audio</t>
  </si>
  <si>
    <t>Business/Productivity Software*, Media and Information Services (B2B), Other Commercial Services</t>
  </si>
  <si>
    <t>Provider of music tech SaaS designed to simplify workflows, organize, share, and receive music effortlessly. The company offers solutions for reception, storage, and sharing through its workspaces, and enhances discoverability via its HUB marketplaces by revolutionizing music description and search, enabling users to maximize their visibility to entertainment professionals in cinema, series, advertising, and video games.</t>
  </si>
  <si>
    <t>Bpifrance, LeanSquare</t>
  </si>
  <si>
    <t>private workspace, productivity platform, shared workplace, shared workspace, workspace network, workspace software</t>
  </si>
  <si>
    <t>CloudTech &amp; DevOps, Mobile, SaaS</t>
  </si>
  <si>
    <t>266140-63T</t>
  </si>
  <si>
    <t>Virgin Bio Pack</t>
  </si>
  <si>
    <t>Plastic Containers and Packaging*</t>
  </si>
  <si>
    <t>Manufacturer of packaging materials intended for fresh food products. The company creates hybrid packaging by combining plastic with a cellulose base, enabling the agrifood industry to get sustainable and environmentally friendlier alternatives to plastics.</t>
  </si>
  <si>
    <t>cellulose product, containers and packaging, crates manufacturer, food product packaging, packaging carton, trays packers</t>
  </si>
  <si>
    <t>Plastic Containers and Packaging</t>
  </si>
  <si>
    <t>272333-17T</t>
  </si>
  <si>
    <t>Brenus Pharma</t>
  </si>
  <si>
    <t>Developer of anti-cancer cell-based immunotherapy designed to generate allogeneic cell vaccines for immunotherapy of solid tumors. The company's immunotherapy allows derisking strategies with multiple candidate generation, cost and time-effective scale-up, and non-competitive market entrance in combination with standards of care, strong IP worldwide spread, and a highly skilled team backed by world-renowned oncologists, enabling oncologists to induce response following education to recognize tumor-associated antigens and tumor-specific antigens expressed during treatment with chemotherapy or radiotherapy.</t>
  </si>
  <si>
    <t>Angelor, Crédit Agricole Centre France Développement, Crédit Agricole Centre Ouest, UI Investissement</t>
  </si>
  <si>
    <t>anticancer drug, cancer study, cell-based immunotherapy, immunotherapy drugs, oncology care, tumor biopsy</t>
  </si>
  <si>
    <t>Issoire, France</t>
  </si>
  <si>
    <t>267462-28T</t>
  </si>
  <si>
    <t>Cellaven</t>
  </si>
  <si>
    <t>Biotechnology, Other Devices and Supplies*, Other Healthcare Technology Systems</t>
  </si>
  <si>
    <t>Manufacturer of an automated cell culture device intended to improve the efficiency and reproducibility of cell culture research. The company's systems automate the time-consuming tasks in cell culture, such as media preparation, cell plating, and data analysis, enabling researchers to focus on experiments and get results faster.</t>
  </si>
  <si>
    <t>3A Venture, Bpifrance(Raphael Didier), Finovam Gestion(Marc Blondet), INSEAD Angels Asia</t>
  </si>
  <si>
    <t>3d cell culture, automated cell culture, cell culture research, cell culture system, cell culture therapy, laboratory automation, stem cell biology, stem cell biotechnology</t>
  </si>
  <si>
    <t>Advanced Manufacturing, Life Sciences</t>
  </si>
  <si>
    <t>266049-82T</t>
  </si>
  <si>
    <t>Goud</t>
  </si>
  <si>
    <t>Monitoring Equipment*, Other Healthcare Services</t>
  </si>
  <si>
    <t>Operator of a preventive health platform intended for executives, managers, and leaders. The company offers personalized health monitoring and support services, enabling clients to achieve better physical and mental balance, improve stress management, enhance leadership skills, and maintain long-term health and performance.</t>
  </si>
  <si>
    <t>Alexandre Launay, Bpifrance, Cedric Meunier, CIC, Crédit Atlantique de Vendée (PAR: CRAV), Emmanuel Greau, Jean-Luc Cadio, Mickael Froger</t>
  </si>
  <si>
    <t>healthcare service, leadership skills, monitoring device, preventive health, preventive health program, stress management</t>
  </si>
  <si>
    <t>265824-01T</t>
  </si>
  <si>
    <t>Kanoma</t>
  </si>
  <si>
    <t>Education and Training Services (B2B), IT Consulting and Outsourcing*</t>
  </si>
  <si>
    <t>Operator of an IT consulting firm based in Nantes, France. The company provides various services in project development from design to development, cloud computing, and setup among others, providing companies with tailor-made services according to their needs.</t>
  </si>
  <si>
    <t>agile coaching, business consulting, cloud services support, it services firm, project assistance services, salesforce training</t>
  </si>
  <si>
    <t>CloudTech &amp; DevOps</t>
  </si>
  <si>
    <t>265959-46T</t>
  </si>
  <si>
    <t>iSYBAY</t>
  </si>
  <si>
    <t>Operator of a supplier relationship management software intended to simplify purchasing activities for mid-sized businesses. The company's platform offers a Source-to-Pay system that streamlines the purchasing process, including supplier relationship management, e-procurement and invoice-to-pay functionalities, enabling customers to simplify purchasing activities for mid-sized businesses.</t>
  </si>
  <si>
    <t>Eiffel Investment Group, SWEN Capital Partners</t>
  </si>
  <si>
    <t>administrative monitoring, construction management platform, engineering operations, inventory management, procurement, purchasing process, supplier sourcing, tender automation</t>
  </si>
  <si>
    <t>266415-13T</t>
  </si>
  <si>
    <t>PerfectStay</t>
  </si>
  <si>
    <t>Media and Information Services (B2B)*, Other Restaurants, Hotels and Leisure</t>
  </si>
  <si>
    <t>Operator of a travel and tourism company intended to offer tailored travel packages on behalf of major brands. The company specializes in combining marketing intelligence and advanced web technology with a curated tour and hotel selection, enabling travel agents with the ability to offer customers exclusive travel experiences with suitable pricing.</t>
  </si>
  <si>
    <t>HBX Group International (MAD: HBX), Traveltech Lab</t>
  </si>
  <si>
    <t>digital marketing, tour operator, tour operator platform, travel distribution platform, travel platform, travel sales channel</t>
  </si>
  <si>
    <t>228606-76T</t>
  </si>
  <si>
    <t>Frst Capital, Point Nine Capital(Christoph Janz)</t>
  </si>
  <si>
    <t>265812-22T</t>
  </si>
  <si>
    <t>Yumgo</t>
  </si>
  <si>
    <t>Beverages, Food Products*</t>
  </si>
  <si>
    <t>Producer of plant-based egg substitutes intended to accelerate the transition to a sustainable diet. The company's substitutes are made from vegetable proteins and without allergens to replace eggs in sweet and savory recipes, enabling consumers to incorporate healthy eating habits without compromising on the taste.</t>
  </si>
  <si>
    <t>50 Partners, Blast.Club, Bpifrance</t>
  </si>
  <si>
    <t>alternative food, alt-proteins, egg replacement, egg substitute, plant-based egg, plant-based juice, plant-based protein, sustainable food</t>
  </si>
  <si>
    <t>267994-72T</t>
  </si>
  <si>
    <t>Alma (Financial Software)</t>
  </si>
  <si>
    <t>Developer of a digital payment platform designed to simplify the installment payment process. The company's platform helps users to pay as per their terms so that they can afford products by facilitating the payment through easy-to-pay installments, enabling businesses to increase conversion rates by offering secure e-commerce payment services.</t>
  </si>
  <si>
    <t>YADAY, Yolo Investments</t>
  </si>
  <si>
    <t>digital payment, ecommerce payment, fintech platform, installments payment, online payment, payment software</t>
  </si>
  <si>
    <t>Neuilly-sur-Seine, France</t>
  </si>
  <si>
    <t>266138-56T</t>
  </si>
  <si>
    <t>Amiral Technologies</t>
  </si>
  <si>
    <t>Provider of smart predictive management services intended to improve data processing for critical, complex, and high-value-added industrial sectors. The company's services include reducing the dependence on subject matter experts, building precise and powerful predictive models, tailoring generic models to the specificities of equipment, and continuously enhancing the model's performance with feedback from production data, enabling clients to avail the smart predictive maintenance system for operation purposes.</t>
  </si>
  <si>
    <t>industrial equipment, machine learning, predictive maintenance, predictive maintenance tools, predictive management, predictive models</t>
  </si>
  <si>
    <t>265807-18T</t>
  </si>
  <si>
    <t>Aprex Solutions</t>
  </si>
  <si>
    <t>Developer of image analysis algorithms and software designed for process and quality control, measurement, and research and development. The company has developed an ergonomic and intuitive interface with the polyvalent tools required to analyze any video of any field of study and characterize images and videos with any experience, enabling customers and businesses to get interactivity and automated analysis.</t>
  </si>
  <si>
    <t>Groupe FBO, HAND PARTNERS, Mermoz Group, Paris Business Angels, Yeast (France)</t>
  </si>
  <si>
    <t>algorithm design, artificial intelligence, computer vision, images algorithm, machine vision, manufacturing process, tracking algorithm, video analysis</t>
  </si>
  <si>
    <t>Artificial Intelligence &amp; Machine Learning, Manufacturing</t>
  </si>
  <si>
    <t>265733-02T</t>
  </si>
  <si>
    <t>Archeon Medical</t>
  </si>
  <si>
    <t>Monitoring Equipment*, Other Devices and Supplies</t>
  </si>
  <si>
    <t>Developer of artificial intelligence-based disruptive technologies designed for monitoring, diagnosis, and treatment of critically ill patients in prehospital care. The company is focused on improving ventilation quality in pre-hospital care and emergency medical services and offers practical, easy-to-use, and intuitive products for all emergency caregivers, enabling clients with real-time feedback on the quality of ventilation given to the patient.</t>
  </si>
  <si>
    <t>BNP Paribas (PAR: BNP), Bpifrance, Caisse d'Epargne</t>
  </si>
  <si>
    <t>ai technology, critical care, critical care device, health club, inpatient care, life support product, medical device, patient monitoring device, patient-care</t>
  </si>
  <si>
    <t>Artificial Intelligence &amp; Machine Learning, Digital Health</t>
  </si>
  <si>
    <t>Besancon, France</t>
  </si>
  <si>
    <t>270053-29T</t>
  </si>
  <si>
    <t>Batiment Chimie Appliquee</t>
  </si>
  <si>
    <t>Buildings and Property, Construction and Engineering*</t>
  </si>
  <si>
    <t>Operator of a construction and renovation company intended to meet various building needs. The company's platform offers project management, construction oversight, facade renovation, new extensions, and concrete work, enabling clients to efficiently manage and complete their construction projects with expert support and oversight throughout the entire process.</t>
  </si>
  <si>
    <t>Adrien Bué(Adrien Bué), BTP Capital Investissement, IRD Invest, Olivier Dobraje(Olivier Dobraje)</t>
  </si>
  <si>
    <t>civil engineering, construction development, construction services, industrial engineering, project management, structural work, thermal insulation</t>
  </si>
  <si>
    <t>Construction Technology</t>
  </si>
  <si>
    <t>Courcelles les Lens, France</t>
  </si>
  <si>
    <t>268751-08T</t>
  </si>
  <si>
    <t>BirdyFish</t>
  </si>
  <si>
    <t>Marine*</t>
  </si>
  <si>
    <t>Manufacturer of boats intended to offer racing and transportation services. The company's products are made up of J-shaped foils which allows sailing schools and sailors who want to learn about foils, to fly easily and safely, enabling users to make the possibility of flying on the water accessible.</t>
  </si>
  <si>
    <t>3 Cap Advisor SAS, Atlantique Vendée Innovation, Heritage Golf Group, HGG Partners, Maxintech, Mer Angels, Mer Invest, NSJ Capital, Ouest Angels Capital, Pays de la Loire Participations, R Marine SC, S.O.R sarl, Thediba</t>
  </si>
  <si>
    <t>boat manufacturer, boats marketplace, racing boats, sailing ship, sailor equipment, transportation assets</t>
  </si>
  <si>
    <t>266260-24T</t>
  </si>
  <si>
    <t>Certalis</t>
  </si>
  <si>
    <t>Education and Training Services (B2B)*</t>
  </si>
  <si>
    <t>Operator of a training platform intended to simplify employee safety compliance. The company offers a wide range of safety training courses such as work at height, chemical risks, and fire safety among others, enabling businesses to easily manage and implement mandatory safety education for their workforce.</t>
  </si>
  <si>
    <t>employee training, health security, risk prevention, safety compliance, training management, workplace safety</t>
  </si>
  <si>
    <t>266839-12T</t>
  </si>
  <si>
    <t>CleanMob</t>
  </si>
  <si>
    <t>Business/Productivity Software*, Environmental Services (B2B)</t>
  </si>
  <si>
    <t>Developer of an eco-driving and smartphone telematics platform designed to lower the carbon impact and promote sustainable mobility. The company's platform automatically detects journeys and estimates carbon impact as well as other externalities without manual input and offers personalized advice and rewards, enabling clients to reduce their fuel budget, maintenance, and claims costs.</t>
  </si>
  <si>
    <t>carbon footprint, carbon removal, electric vehicle fleet, sustainable mobility, sustainable mobility platform, telematics platform, telematics software</t>
  </si>
  <si>
    <t>Artificial Intelligence &amp; Machine Learning, CleanTech, LOHAS &amp; Wellness, SaaS</t>
  </si>
  <si>
    <t>Neuilly sur Seine, France</t>
  </si>
  <si>
    <t>266318-56T</t>
  </si>
  <si>
    <t>CodSpeed</t>
  </si>
  <si>
    <t>Developer of a performance testing platform designed to measure and optimize software performance in CI/CD pipelines. The company's platform provides advanced CPU instrumentation, integrates with existing tech stacks and offers detailed performance reports to maintain consistent performance standards with minimal variance in measurement, enabling development teams to avoid production issues, improve user experience and reduce infrastructure costs.</t>
  </si>
  <si>
    <t>coding analysis, coding performance optimization, performance measurement technology, performance measuring tools, performance metrics, performance tracking tools, production performance analytics</t>
  </si>
  <si>
    <t>266275-72T</t>
  </si>
  <si>
    <t>Eauzons!</t>
  </si>
  <si>
    <t>Aquaculture, Horticulture*, Other Agriculture</t>
  </si>
  <si>
    <t>Operator of an agricultural technology firm intended to run aquaponics farms. The company's agro-ecological system combines an aquaculture compartment with a plant compartment via beneficial bacteria by allowing plants to absorb the nutrients generated by the fish and vice versa, enabling farmers to grow produce free of antibiotics and synthetic pesticides and reducing water requirements.</t>
  </si>
  <si>
    <t>aquaponics system, biological crop protection, farming tech, food producer, greenhouse operator, symbiotic environment system</t>
  </si>
  <si>
    <t>Horticulture</t>
  </si>
  <si>
    <t>AgTech, Life Sciences</t>
  </si>
  <si>
    <t>Aux-Aussat, France</t>
  </si>
  <si>
    <t>271144-54T</t>
  </si>
  <si>
    <t>Greenscope</t>
  </si>
  <si>
    <t>Developer of an ESG platform designed to automate data collection surveys, analyze and manage the sustainable transition. The company's platform offers tools that simplify the process of compliance for corporates and financial institutions and supports them in defining strategy, driving change and achieving ESG objectives and simplifies ESG reporting for corporates and investors, enabling companies to comply with regulations and standards, aiming at developing their societal and environmental impact.</t>
  </si>
  <si>
    <t>Epopée Gestion, Newfund Management</t>
  </si>
  <si>
    <t>data analytics, data collection, data management, esg compliance, esg platform, reporting generation, sustainability advisory, sustainability monitor, sustainable finance</t>
  </si>
  <si>
    <t>Creyssensac et Pissot, France</t>
  </si>
  <si>
    <t>266266-63T</t>
  </si>
  <si>
    <t>Octopus (Business/Productivity Software)</t>
  </si>
  <si>
    <t>Operator of a social platform intended to enhance community engagement and business growth. The company utilizes artificial intelligence for integrating social features into websites and mobile apps, enabling businesses to increase user retention, virality, and deeper customer insights.</t>
  </si>
  <si>
    <t>community management, mobile app integration, saas tool, social platform, user engagement, user retention</t>
  </si>
  <si>
    <t>267696-91T</t>
  </si>
  <si>
    <t>Onepilot</t>
  </si>
  <si>
    <t>Developer of an outsourced customer care software designed to increase business efficiency. The company's platform provides an instant and qualified answer to the clients and offers transparent pricing, channel flexibility, integrated tools, and granular analytics, enabling clients to receive solutions for specific business questions, improve their customer experience, and increase sales.</t>
  </si>
  <si>
    <t>YADAY</t>
  </si>
  <si>
    <t>business management platform, business solutions, customer care, customer support, operational processes, support platform</t>
  </si>
  <si>
    <t>266032-90T</t>
  </si>
  <si>
    <t>Ort Solutions Premium</t>
  </si>
  <si>
    <t>Logistics, Other Commercial Services*, Other Containers and Packaging</t>
  </si>
  <si>
    <t>Operator of products packaging services platform intended to integrate technology resources into the production workshops. The company offers a range of services including desk studies, manufacturing transformation, tools correction, trading, reconditioning, and storage logistics, enabling clients across several industries to improve the management of returnable packaging, equipment, tools, and inventories across complex supply chains.</t>
  </si>
  <si>
    <t>PGS Group</t>
  </si>
  <si>
    <t>container manufacturing, logistic firm, logistics chain, packaging film, packaging platform, packaging services, storage logistics</t>
  </si>
  <si>
    <t>Wasselonne, France</t>
  </si>
  <si>
    <t>266998-15T</t>
  </si>
  <si>
    <t>Ouiplant</t>
  </si>
  <si>
    <t>Indoor Farming</t>
  </si>
  <si>
    <t>Horticulture*</t>
  </si>
  <si>
    <t>Operator of a vertical farming company intended for indoor mini-farms. The company offers microgreens, aromatic herbs, and gourmet plants grown on the site while eliminating transport, and disposable plastic packaging and optimizing production to limit waste, enabling chefs to create their signature culinary creations using indoor vegetable gardens.</t>
  </si>
  <si>
    <t>aromatics herbs, culinary dish, indoor greenhouse, microgreens veggies, plastic packaging, vegetables garden, vertical farming</t>
  </si>
  <si>
    <t>AgTech</t>
  </si>
  <si>
    <t>268247-80T</t>
  </si>
  <si>
    <t>OuiTrust</t>
  </si>
  <si>
    <t>Operator of a financial firm intended to provide cross-border financial services. The company's platform offers digital accounts and financial services that can be customized, collecting payments through multi-currency accounts, debit cards, and a global payments network, enabling companies to increase their reach and make worldwide payments.</t>
  </si>
  <si>
    <t>Stratified Capital</t>
  </si>
  <si>
    <t>financial product retail, merchant bank, payment service, payment system, retail payment service, retail payment system</t>
  </si>
  <si>
    <t>B2B Payments, FinTech, Mobile Commerce</t>
  </si>
  <si>
    <t>272650-06T</t>
  </si>
  <si>
    <t>Purple Alternative Surface</t>
  </si>
  <si>
    <t>Operator of an industrial process intended to transform non-recovered plastic waste into permeable surfaces. The company offers patented tiles for car parks and traffic lanes, enabling eco-conscious builders and developers to efficiently manage rainwater while contributing to the reduction of carbon emissions.</t>
  </si>
  <si>
    <t>Suez Environment(Jérôme Bailly)</t>
  </si>
  <si>
    <t>carbon footprint reduction, flood prevention technology, green infrastructure, groundwater remediation, plastic recycling process, plastic waste processor, rainwater management, waste management</t>
  </si>
  <si>
    <t>Belfort, France</t>
  </si>
  <si>
    <t>265903-93T</t>
  </si>
  <si>
    <t>QPerfect</t>
  </si>
  <si>
    <t>Provider of quantum computer services based in Strasbourg, France. The company provides services for boosting the performance of quantum computers and provides a digital development environment and quantum services for scalable quantum computing, enabling businesses to shift from hardware to software to make practical applications a reality.</t>
  </si>
  <si>
    <t>QAI Ventures</t>
  </si>
  <si>
    <t>business service, computer service, computing services, digital development services, it consulting service, quantum computer, quantum computing services</t>
  </si>
  <si>
    <t>266270-23T</t>
  </si>
  <si>
    <t>Shiny Lazy</t>
  </si>
  <si>
    <t>Developer of an AI software intended to automate repetitive tasks. The company offers an online extension on which the user can instruct the repetitive tasks to software, enabling companies to automate and streamline workflow.</t>
  </si>
  <si>
    <t>artificial intelligence firm, automation model, automation software tool, repetitive tasks, software provider, streamlined data</t>
  </si>
  <si>
    <t>266278-33T</t>
  </si>
  <si>
    <t>Tape</t>
  </si>
  <si>
    <t>Operator of the voice note platform based in Paris, France. This company is currently operating in Stealth mode.</t>
  </si>
  <si>
    <t>stealth business, stealth company, stealth firm, stealth operations, voice notes, voice tools</t>
  </si>
  <si>
    <t>265502-89T</t>
  </si>
  <si>
    <t>Enalees</t>
  </si>
  <si>
    <t>Other Consumer Durables*, Other Services (B2C Non-Financial)</t>
  </si>
  <si>
    <t>Developer of a biotechnology company intended to come up with a test for the detection of the microbes responsible for infectious diseases in leisure animals. The company's platform provides DNA tests for the detection of infections, these tests make it possible to identify the microbe responsible for the animal's pathology in a short time, enabling veterinary clinics to get a diagnostic test kit to diagnose infectious disease in horses and other leisure animals.</t>
  </si>
  <si>
    <t>biotechnology company, infectious disease diagnostics, infectious disease test, microbes detection, microbes detection technology, microbes monitoring</t>
  </si>
  <si>
    <t>265617-28T</t>
  </si>
  <si>
    <t>Meddenovo Drug Design</t>
  </si>
  <si>
    <t>Other Pharmaceuticals and Biotechnology*</t>
  </si>
  <si>
    <t>Developer of an advanced technology platform designed to aid drug developers in crafting innovative drug candidates. The company's platform is uniquely optimized for the design of cyclic peptides, utilizing a seamless blend of artificial intelligence and physical computational techniques, Cyclic peptides hold tremendous promise as therapeutic agents for a wide range of diseases that currently lack effective treatments and despite their potential, the development of peptide-based drugs has been hindered by the absence of specialized design tools. enabling businesses to provide improved robust technology which requires minimal expertise.</t>
  </si>
  <si>
    <t>ACT Venture Partners(Gökhan Güner)</t>
  </si>
  <si>
    <t>ai technologies, ai tools, bioactive peptides, cyclic peptides, development services, drug discovery service, molecular drug design, molecular modeling, research services, technology platform</t>
  </si>
  <si>
    <t>Other Pharmaceuticals and Biotechnology</t>
  </si>
  <si>
    <t>265293-73T</t>
  </si>
  <si>
    <t>Dust</t>
  </si>
  <si>
    <t>Generative AI, LLM Agents</t>
  </si>
  <si>
    <t>Developer of custom artificial intelligence assistant designed to connect proprietary knowledge and data. The company's system allows it to pick the large language model along with its foundation model and control data access granularly with a safe and privacy-obsessed application, empowering business teams with assistants tailored to their needs on concrete use cases.</t>
  </si>
  <si>
    <t>Connect Ventures (UK), GG1, Motier Ventures, Prototype Capital (San Francisco), Seedcamp, Sequoia Capital, XYZ Venture Capital</t>
  </si>
  <si>
    <t>ai agent, ai assistants, automated work, custom integrations, email and authoring, generative ai, integrating program management, kms, knowledge management system, large language model, large language model agent, llm agent, natural language, natural language technology</t>
  </si>
  <si>
    <t>275119-39T</t>
  </si>
  <si>
    <t>FranceVerif</t>
  </si>
  <si>
    <t>Developer of a fraud prevention tool designed to safeguard users from online scams. The company's platform performs a full website and device scan along with offering continuous detection and threat alert systems, enabling users to protect devices from malicious extensions, unwanted pop-ups, and other malware.</t>
  </si>
  <si>
    <t>French state</t>
  </si>
  <si>
    <t>cyber crime software, cyber secure tools, data protection system, fraud detection, malware protection software, online security tool</t>
  </si>
  <si>
    <t>Cybersecurity</t>
  </si>
  <si>
    <t>264949-30T</t>
  </si>
  <si>
    <t>Exo (Social/Platform Software)</t>
  </si>
  <si>
    <t>Application Software, Information Services (B2C), Social/Platform Software*</t>
  </si>
  <si>
    <t>Developer of a social platform intended to connect the community with sports halls and gyms in France. The company users earn points with each session in their gyms by doing various tasks, enabling gyms to do reward-based promotions.</t>
  </si>
  <si>
    <t>Oliver Jaubert(Oliver Jaubert), Seventure Partners, Zakaria Mansour(Zakaria Mansour)</t>
  </si>
  <si>
    <t>athletes community, gamification app, gym membership platform, marketing tool, rewards deals, seo content</t>
  </si>
  <si>
    <t>Marketing Tech</t>
  </si>
  <si>
    <t>Boulogne-Billancourt, France</t>
  </si>
  <si>
    <t>264926-44T</t>
  </si>
  <si>
    <t>Greenspot (Utilities)</t>
  </si>
  <si>
    <t>Other Energy Services, Other Utilities*</t>
  </si>
  <si>
    <t>Operator of an electric charging station company intended for sustainable development. The company offers the installation of environmentally friendly service stations with two terminals and advisory services for EV charging stations, enabling the retail sector, corporate fleets, and private individuals to access mobility through responsible, and sustainable sources.</t>
  </si>
  <si>
    <t>Epopée Gestion</t>
  </si>
  <si>
    <t>advisory services, cleaning station, electric charging station, electric vehicle, electrical terminals, hybrid vehicle, sustainable development</t>
  </si>
  <si>
    <t>CleanTech, E-Commerce, LOHAS &amp; Wellness</t>
  </si>
  <si>
    <t>264951-64T</t>
  </si>
  <si>
    <t>Olyzon</t>
  </si>
  <si>
    <t>Developer of an adTech platform intended to facilitate monetization of content on connected TV (CTV). The company's platform helps create new ad placements that are additional to existing ones and in-stream with the help of comprehensive insights about each program's audience, enabling advertisers, content owners, and distributors to enhance brand uplift, optimize user engagement, and maximize ROAS.</t>
  </si>
  <si>
    <t>Benjamin Antier(Benjamin Antier), Better Angle, Eurazeo (PAR: RF), Guillaume Grimbert(Guillaume Grimbert), Ionut Ciobotaru(Ionut Ciobotaru), Julien Hirth(Julien Hirth), Kima Ventures, Romain Job(Romain Job), Rémi Lemonnier(Rémi Lemonnier), Simon Dawlat(Simon Dawlat), Stéphane Distinguin(Stéphane Distinguin), Ventech (Paris)</t>
  </si>
  <si>
    <t>ad tech solutions, ad technology platform, adtechnology, advertising trends, ctv advertising, ctv systems</t>
  </si>
  <si>
    <t>221238-55T</t>
  </si>
  <si>
    <t>GreenEncoder</t>
  </si>
  <si>
    <t>Operator of a video marketing platform designed to reduce the environmental impact of videos by reducing their weight. The company's platform offers online tools to support digital marketing and effectively distribute videos on social networks, video platforms, and other relevant sites, enabling businesses to accelerate conversions and consumer engagement.</t>
  </si>
  <si>
    <t>Alpha Star</t>
  </si>
  <si>
    <t>business video, carbon footprint reduction, consumer engagement, low-carbon tech, sustainability solutions, video analytics, video content</t>
  </si>
  <si>
    <t>AdTech, CleanTech, Marketing Tech, SaaS</t>
  </si>
  <si>
    <t>250476-13T</t>
  </si>
  <si>
    <t>Skynopy</t>
  </si>
  <si>
    <t>Other Commercial Services, Other Communications and Networking*</t>
  </si>
  <si>
    <t>Provider of connectivity service intended for satellite operators to communicate with their satellites in Low-Earth Orbit. The company offers kits for transmitting data and a network of ground stations to ensure reliable and secure communications, helping clients to have efficient and dependable data transmission capabilities.</t>
  </si>
  <si>
    <t>Better Angle, Bpifrance, Heartcore Capital(Yohan Pereira), Kima Ventures, Thibaud Elziere(Thibaud Elziere), Yohann Leroy</t>
  </si>
  <si>
    <t>connectivity tools, network services, satellite antennas, satellite connection, satellite operation, telecommunication equipment</t>
  </si>
  <si>
    <t>Other Communications and Networking</t>
  </si>
  <si>
    <t>264877-48T</t>
  </si>
  <si>
    <t>Tengo</t>
  </si>
  <si>
    <t>Developer of a public procurement reference tool designed to identify, analyze, and respond to all public calls. The company's platform offers features such as viewing the history of a market's holders and a buyer's list of suppliers, irrelevant alerts, competition analysis, future markets analysis, following the progress of all calls for tenders studied, enabling clients to gain visibility and collaborate peacefully, to have direct access to all necessary and up-to-date documentation to respond to a public contract.</t>
  </si>
  <si>
    <t>Point Nine Capital</t>
  </si>
  <si>
    <t>public procurement, public procurement management, public procurement software, reference tools, tender notice, tender process, tender software</t>
  </si>
  <si>
    <t>258147-64T</t>
  </si>
  <si>
    <t>Yama</t>
  </si>
  <si>
    <t>Business/Productivity Software, Environmental Services (B2B)*, Other Commercial Products, Other Equipment</t>
  </si>
  <si>
    <t>Developer of a direct air capture technology designed to unequivocally demonstrate unparalleled energy efficiency. The company provides ultra-scalable direct air capture using a novel hybrid electrochemical process, bypassing the current limits in electricity, land, water and manufacturing, enabling clients to be provided with energy-efficient technology at affordable pricing.</t>
  </si>
  <si>
    <t>Kibo Invest, Plug and Play Tech Center, SIG (Susquehanna International Group), The Grantham Foundation, Voyagers.io</t>
  </si>
  <si>
    <t>carbon credit, carbon removal, dac technology, electrochemical process, energy efficient technology, technology product</t>
  </si>
  <si>
    <t>273714-31T</t>
  </si>
  <si>
    <t>Earthwake</t>
  </si>
  <si>
    <t>Alternative Energy Equipment*, Environmental Services (B2B)</t>
  </si>
  <si>
    <t>Manufacturer of pyrolysis technology-based machine intended to turn plastic waste into a source of energy. The company's chrysalis technology can convert plastic waste into a valuable source of energy and raw materials prevent plastic waste from reaching oceans and empower the populations that are weakened by this pollution, enabling vulnerable communities to get clean water and a source of income and the job of plastic recycling.</t>
  </si>
  <si>
    <t>Taranis Investment</t>
  </si>
  <si>
    <t>plastic pollution solutions, plastic waste management, plastic waste recycle, plastic waste reduction, plastic waste services, pyrolysis machine, pyrolysis technologies, pyrolysis technology</t>
  </si>
  <si>
    <t>283278-52T</t>
  </si>
  <si>
    <t>Inits (Healthcare Services)</t>
  </si>
  <si>
    <t>Accounting, Audit and Tax Services (B2B), Other Commercial Services, Other Healthcare Services*</t>
  </si>
  <si>
    <t>Provider of pharmaceutical audit consultancy services intended to serve the healthcare and pharmaceutical industry. The company offers services like pharmaceutical support, project management, vendor management, quality management systems, qualification and validation, and more.</t>
  </si>
  <si>
    <t>biotech consulting, pharmaceutical audit, pharmaceutical development, pharmaceutical development company, pharmaceutical service, pharmaceutical service provider</t>
  </si>
  <si>
    <t>Other Healthcare Services</t>
  </si>
  <si>
    <t>264731-05T</t>
  </si>
  <si>
    <t>ORAMA-System</t>
  </si>
  <si>
    <t>Other Commercial Products*</t>
  </si>
  <si>
    <t>Manufacturer of long-range wireless communication network devices intended to connect sensor networks to business applications. The company's products create a mesh network where the connected objects themselves form and maintain the network with a very low local and energy footprint without the need for additional antennas or repeaters, enabling businesses to improve connectivity between different devices.</t>
  </si>
  <si>
    <t>4mod Technology</t>
  </si>
  <si>
    <t>iot device, iot network, reduce environmental impact, software stack, telecommunication network, wireless sensor network</t>
  </si>
  <si>
    <t>Internet of Things, Manufacturing</t>
  </si>
  <si>
    <t>264565-18T</t>
  </si>
  <si>
    <t>Osmos X</t>
  </si>
  <si>
    <t>Satellite Servicing</t>
  </si>
  <si>
    <t>Other Commercial Services, Other Transportation*</t>
  </si>
  <si>
    <t>Operator of an industrial company intended to develop a proposal of technological value in the field of space logistics. The company designs and manufactures high-speed space vehicles for orbital services and space cleaning, enabling businesses to reduce the travel time to mars by a month.</t>
  </si>
  <si>
    <t>Audacia (PAR: ALAUD), Expansion Ventures, Rymdkapital</t>
  </si>
  <si>
    <t>launch pads, mission control, orbital services, space capsules, space logistics, space propulsion, space shuttles, space vehicles</t>
  </si>
  <si>
    <t>Other Transportation</t>
  </si>
  <si>
    <t>276390-10T</t>
  </si>
  <si>
    <t>Cintoo</t>
  </si>
  <si>
    <t>Business/Productivity Software, Database Software*, Multimedia and Design Software</t>
  </si>
  <si>
    <t>Developer of a cloud management platform designed to bridge the gap between reality capture and digital twins. The company's platform has developed a point cloud-to-surface technology that translates data from terrestrial laser scanners into a new generation of real data that is versatile, collaborative, and distributed, enabling companies within the construction industry to be more efficient in the planning, and management of buildings and infrastructure.</t>
  </si>
  <si>
    <t>AMAVI Capital, Armilar Venture Partners, Partech(Omri Benayoun)</t>
  </si>
  <si>
    <t>3d model tools, building information modelling, cloud management, collaboration platform, collaborative workflow, data capture, data management, procurement and sourcing, supply chain management</t>
  </si>
  <si>
    <t>Industrials, SaaS</t>
  </si>
  <si>
    <t>Biot Sophia Antipolis, France</t>
  </si>
  <si>
    <t>248151-16T</t>
  </si>
  <si>
    <t>Hero (Paris)</t>
  </si>
  <si>
    <t>Operator of a financial platform intended to resolve working capital crunch. The company's tool provides credit options and brings banking, payments, and credit services under one roof, enabling businesses to improve their growth, operational efficiency, and financial flexibility.</t>
  </si>
  <si>
    <t>SquareOne Capital, SquareOne Venture Capital, Valar Ventures, YADAY</t>
  </si>
  <si>
    <t>buy now pay later, cash flow management, credit optimization, credit services operator, digital credit system, financial platform service, financial service, working capital credit</t>
  </si>
  <si>
    <t>264820-87T</t>
  </si>
  <si>
    <t>Inside Therapeutics</t>
  </si>
  <si>
    <t>Business/Productivity Software, Drug Discovery, Other Commercial Products*, Other Healthcare Technology Systems</t>
  </si>
  <si>
    <t>Operator of a deep tech company intended to provide scientists with the right tools to help them easily test and scale up their production of liposomes, lipid nanoparticles, and polymer nano-drugs. The company specializes in lipid nanoparticle synthesis with microfluidics and is developing a microfluidic-based nanoparticle synthesis platform, enabling healthcare industry to ensure seamless scalability all along the nanoparticle-based drug development process.</t>
  </si>
  <si>
    <t>Microfluidics Innovation Center(Guilhem Casquillas), Newfund Management(Anne-Sophie Saint-Martin), SkalePark(Yvan Cantou)</t>
  </si>
  <si>
    <t>liposomes production tool, liposomes technologies, lnp project, nanoparticle synthesis, polymeric nanoparticles, polymeric nanoparticles devices</t>
  </si>
  <si>
    <t>LOHAS &amp; Wellness, Manufacturing, Nanotechnology, SaaS</t>
  </si>
  <si>
    <t>Angoulême, France</t>
  </si>
  <si>
    <t>264884-95T</t>
  </si>
  <si>
    <t>OSS Ventures</t>
  </si>
  <si>
    <t>Consulting Services (B2B), Private Equity*</t>
  </si>
  <si>
    <t>Operator of a startup studio intended to accelerate the creation and growth of industrial technology startups. The company's platform provides startups with access to dedicated resources, and experts in product, growth, design, tech, HR, and fundraising along with assets and a tried-and-tested framework, enabling startups to adopt new technologies and improve their operations.</t>
  </si>
  <si>
    <t>Bpifrance, Max Pog, Peugeot Invest (PAR: PEUG), Tikehau Capital (PAR: TKO)</t>
  </si>
  <si>
    <t>early stage funding, private equity investment, product management, startup investor, venture capital, venture studio</t>
  </si>
  <si>
    <t>Île-de-France, France</t>
  </si>
  <si>
    <t>266014-45T</t>
  </si>
  <si>
    <t>Overseed</t>
  </si>
  <si>
    <t>Biotechnology, Drug Discovery, Other Pharmaceuticals and Biotechnology*</t>
  </si>
  <si>
    <t>Operator of a biotech startup intended to develop production and research on cannabinoids for medical applications. The company produces dried flowers, full-spectrum extracts, and purified pharmaceutical-grade active ingredients for laboratories, also offers research and development services on the production, stabilization, and characterization of pharmaceutical-grade cannabinoids, for industrial purposes, enabling the health industry to get access to medical cannabis for pharmaceutical purposes.</t>
  </si>
  <si>
    <t>Blast.Club(Anthony Bourbon), Region Centre Val de Loire, UI Investissement</t>
  </si>
  <si>
    <t>cannabinoid medicine, cannabis extract product, cannabis production services, medical cannabinoid, medical cannabis, medicine producer</t>
  </si>
  <si>
    <t>Cannabis, Life Sciences</t>
  </si>
  <si>
    <t>264373-30T</t>
  </si>
  <si>
    <t>Welcome to the Jungle</t>
  </si>
  <si>
    <t>Human Capital Services*, Media and Information Services (B2B), Social/Platform Software</t>
  </si>
  <si>
    <t>Developer of an online job platform intended to assist through the process of employment. The company's platform has an inbuilt resume screening software that chooses candidates with matching professional skills as well as tracks applications and facilitates onboarding, enabling employers of newly built startups to find and hire skilled and unskilled unemployed workers.</t>
  </si>
  <si>
    <t>Valar Ventures</t>
  </si>
  <si>
    <t>employment search, enterprise resource planning, erp, hiring platform, human capital management, jobs finder, jobs search, recruitment application, recruitment platform</t>
  </si>
  <si>
    <t>264214-63T</t>
  </si>
  <si>
    <t>CAATS</t>
  </si>
  <si>
    <t>Food Products, Other Consumer Non-Durables*</t>
  </si>
  <si>
    <t>Operator of a cat food brand intended to offer high-quality nutrition for cats. The company offers cat food made with human-grade ingredients, including kibble and pâtés, formulated based on a personalized profile for each cat, enabling customers to ensure their feline companions receive the proper nutrition to thrive.</t>
  </si>
  <si>
    <t>Otium Capital</t>
  </si>
  <si>
    <t>animal food, animal foodstock, cat food, cat food brand, cat food product, cat food recipes, food products</t>
  </si>
  <si>
    <t>Other Consumer Non-Durables</t>
  </si>
  <si>
    <t>265714-12T</t>
  </si>
  <si>
    <t>Webedia</t>
  </si>
  <si>
    <t>Operator of a media and technology company intended to provide digital media services. The company has built a global network of talents, media brands, events and services within the entertainment and recreation industries, enabling clients through the process of defining and achieving their digital marketing strategies and providing services to their advertising, content marketing and e-commerce needs.</t>
  </si>
  <si>
    <t>Aglaé Ventures</t>
  </si>
  <si>
    <t>content marketing, digital media, media brand service, technology service platform, website editing, website publishing</t>
  </si>
  <si>
    <t>264254-50T</t>
  </si>
  <si>
    <t>Wineriz</t>
  </si>
  <si>
    <t>Developer of an inventory management platform designed to continuously build easy-to-use all-in-one software for all wine and spirits professionals. The company's platform allows to offer products to several catering professionals, automatic remuneration by bank transfer, sales optimization, access to the largest offer of products at competitive prices, order automation and dashboard centralization of orders and invoices to analyze raw material purchasing ratios, helping businesses manage the sale of their inventory independently.</t>
  </si>
  <si>
    <t>Emmanuel Arnaud(Emmanuel Arnaud), Evolem, Nathanael Berbessou(Nathanael Berbessou), SideAngels(Renaud Guillerm)</t>
  </si>
  <si>
    <t>catering product, farming platform, food marketplace platform, inventory management, inventory management company, inventory management program, inventory management technology, inventory management tool, it industry, it platform</t>
  </si>
  <si>
    <t>264023-20T</t>
  </si>
  <si>
    <t>ePressPack</t>
  </si>
  <si>
    <t>Developer of a digital newsroom and public relations software designed to offer technology dedicated to the reputation and influence of brands and companies. The company's software provides a tailor-made digital showcase that creates, manages, and distributes editorial content with added value, enabling businesses to get design, simplicity, and efficient multi-channel, multi-lingual, and responsive exchanges with their audience.</t>
  </si>
  <si>
    <t>Entrepreneur Invest(Julie Gruner)</t>
  </si>
  <si>
    <t>content management solutions, digital news, marketing automation, marketing automation service, media services, newsroom technology, public relation service, public relations firm, public relations software</t>
  </si>
  <si>
    <t>267323-68T</t>
  </si>
  <si>
    <t>Qubit Pharmaceuticals</t>
  </si>
  <si>
    <t>Discovery Tools (Healthcare), Drug Discovery, Pharmaceuticals*</t>
  </si>
  <si>
    <t>Developer of a drug discovery simulation platform designed to reduce the cost and length of preclinical drug development. The company's platform uses proprietary force field models and molecular dynamics calculations and performs virtual screening, and visualization, to find valuable candidates, enabling biopharmaceutical companies to get support in their research and development by accelerating drug discovery with quantum physics.</t>
  </si>
  <si>
    <t>drug development system, drug development tool, drug discovery platform, drug discovery software, drug discovery technology, enterprise resource planning, erp, hpc software, machine learning solutions, quantum computing application</t>
  </si>
  <si>
    <t>Artificial Intelligence &amp; Machine Learning, Life Sciences, SaaS</t>
  </si>
  <si>
    <t>279864-46T</t>
  </si>
  <si>
    <t>Baker Staff</t>
  </si>
  <si>
    <t>Developer of a chef hiring platform designed to address the recruitment difficulties faced by bakeries. The company's platform features the ability to connect experienced independent bakers with establishments looking for additional staff, enabling bakers to practice their profession and earn and bakeries to have access to qualified staff.</t>
  </si>
  <si>
    <t>bakery platform, chef hiring, hiring platform, professionals procurement services, recruiting professional, recruitment site, staffing services</t>
  </si>
  <si>
    <t>Saint Denis, France</t>
  </si>
  <si>
    <t>271894-78T</t>
  </si>
  <si>
    <t>Miles Republic</t>
  </si>
  <si>
    <t>Operator of a sports platform intended to support running race events. The company offers help in different road race events such as marathons, ultra running, long and short trails, and hiking, helping runners to organize sports.</t>
  </si>
  <si>
    <t>Athena Holding, Bizz Factory, Kaloma Capital</t>
  </si>
  <si>
    <t>marathon events, racetrack operator, road racing management, running event organizer, sports event management, sports services</t>
  </si>
  <si>
    <t>259281-19T</t>
  </si>
  <si>
    <t>Ray Studios</t>
  </si>
  <si>
    <t>Provider of dermatological services intended to remove permanent tattoos. The company's services use art lasers that remove tattoos in a few sessions without damaging the skin, enabling customers to easily get rid of their tattoos while protecting their skin.</t>
  </si>
  <si>
    <t>AirAngels, Banque Populaire Lorraine Champagne, Bpifrance, Nickleby Capital</t>
  </si>
  <si>
    <t>laser technology, laser therapy, medical, skin laser, skin repair, tattoos care, tattoos eraser</t>
  </si>
  <si>
    <t>262723-24T</t>
  </si>
  <si>
    <t>Epsilon Composite</t>
  </si>
  <si>
    <t>Industrial Supplies and Parts*</t>
  </si>
  <si>
    <t>Designer and manufacturer of carbon composite intended for tailor-made demanding applications. The company offers innovative products for demanding professional applications, based on exclusive composite know-how in industrial processes such as pultrusion, filament winding, composite machining, bonding, non-destructive testing and various complementary composite technologies, enabling industrial clients to improve their performance even in hostile conditions.</t>
  </si>
  <si>
    <t>Mitsubishi (TKS: 8058)</t>
  </si>
  <si>
    <t>carbon composite, carbon composite developer, carbon composite manufacturers, composites machining, pultrusion product</t>
  </si>
  <si>
    <t>Industrial Supplies and Parts</t>
  </si>
  <si>
    <t>Advanced Manufacturing, Manufacturing</t>
  </si>
  <si>
    <t>Gaillan en Médoc, France</t>
  </si>
  <si>
    <t>265428-10T</t>
  </si>
  <si>
    <t>Jerome Dreyfuss</t>
  </si>
  <si>
    <t>Accessories*, Footwear, Internet Retail</t>
  </si>
  <si>
    <t>Operator of a designer bags and accessories brand intended to eliminate the ecological damage that has been caused by the fashion industry. The company's accessories are handcrafted using traditional tanning techniques and include bags, purses, and shoes, providing customers with chic, and sustainable accessories and footwear.</t>
  </si>
  <si>
    <t>CapInvest(Thomas Riccobono)</t>
  </si>
  <si>
    <t>accessories retailer, bags for women, bags retailer, handcrafted bags, leather accessories, leather bags manufacturer, leather shoes, retail accessories</t>
  </si>
  <si>
    <t>266144-14T</t>
  </si>
  <si>
    <t>JUST (Business/Productivity Software)</t>
  </si>
  <si>
    <t>Application Software, Business/Productivity Software*</t>
  </si>
  <si>
    <t>Operator of a shopping marketplace intended to make the checkout process convenient. The company's platform improves conversion rates by reducing the number of steps consumers take during checkout, enabling businesses to assist with customer and revenue conversion and boost sales as well as improve customer experiences.</t>
  </si>
  <si>
    <t>Backed VC, Daphni, Dastore, FJ Labs, Kima Ventures, Otium Capital</t>
  </si>
  <si>
    <t>conversion rate optimization, online shopping experience, revenue growth management, shopping experience improvement, shopping marketplace, social shopping</t>
  </si>
  <si>
    <t>262832-14T</t>
  </si>
  <si>
    <t>Onafis</t>
  </si>
  <si>
    <t>Business/Productivity Software*, Media and Information Services (B2B), Other Consumer Non-Durables</t>
  </si>
  <si>
    <t>Developer of a wine tracking digital software designed for wine tracking and traceability from harvest to bottling. The company's software offers dissolved gas intake monitoring, cellar mapping, piloting software, and real-time monitoring of winemaking, enabling brewers to save time, and precision and improve the quality of their wines, beers, and spirits.</t>
  </si>
  <si>
    <t>Bamboo business angels, Bpifrance, Clery, Crédit Agricole Atlantique Vendée, Demeter Partners, Holnest, Pays de la Loire Développement, Xinomavro Ventures</t>
  </si>
  <si>
    <t>beverages site, business software, digital marketing, fermentation system, intelligent device, intelligent sensors, intelligent sensors &amp; devices, intelligent sensors and devices, wine brewery, wine testing, wine tracking</t>
  </si>
  <si>
    <t>AgTech, Artificial Intelligence &amp; Machine Learning, Supply Chain Tech</t>
  </si>
  <si>
    <t>Saint herblain, France</t>
  </si>
  <si>
    <t>274604-05T</t>
  </si>
  <si>
    <t>Spiko</t>
  </si>
  <si>
    <t>Developer of open capital markets platforms designed to provide market participants with access to capital markets data and analytics. The company's platform provides a comprehensive suite of tools and resources for market participants, including access to real-time and historical data, market research, and analytical tools, enabling the global financial industry to make more informed investment decisions.</t>
  </si>
  <si>
    <t>Adrien Montfort(Adrien Montfort), Blockwall Management, Bpifrance, Financière Saint James, Frst Capital, Frédéric Montagnon(Frédéric Montagnon), Jean-Charles Samuelian-Werve(Jean-Charles Samuelian-Werve), Kima Ventures, Nicolas Bacca(Nicolas Bacca), Valentine Baudouin(Valentine Baudouin)</t>
  </si>
  <si>
    <t>analytical toolset, capital market, capital market platform, data &amp; analytics, data and analytics, market analytics, market data, real time data</t>
  </si>
  <si>
    <t>254392-75T</t>
  </si>
  <si>
    <t>Mistral AI_</t>
  </si>
  <si>
    <t>Generative AI, Artificial General Intelligence (AGI) Research</t>
  </si>
  <si>
    <t>Developer of open-source artificial intelligence models designed to create a safe artificial general intelligence that benefits all users. The company offers customizable and compute-efficient large language models leveraging a community-driven development format, enabling customers to leverage the power of artificial intelligence without having to build and maintain their models.</t>
  </si>
  <si>
    <t>Andreessen Horowitz(Jeff Silverstein), Belfius Investment Partners, Bertelsmann Investments, BNP Paribas (PAR: BNP), Bpifrance, Calm Ventures, Cisco Investments, Cisco Systems (NAS: CSCO), DST Global, Eurazeo (PAR: RF), General Catalyst(Jeannette Fürstenberg), Hanwha Asset Management (USA), Headline, IBM Ventures, Integra Groupe, International Business Machines (NYS: IBM), Korelya Capital, La French Tech, Latitude Ventures (New York), Lightspeed Venture Partners, Millennium New Horizons, Novum Capital Partners, Nvidia (NAS: NVDA)(Rory Kelleher), Paul Copplestone(Paul Copplestone), Redalpine, Salesforce (NYS: CRM), Salesforce Ventures, Samsung Electronics (KRX: 005930), Sanabil Investments, ServiceNow (NYS: NOW), SV Angel</t>
  </si>
  <si>
    <t>artificial general intelligence, artificial intelligence model, foundation model, generative ai, language model, openai services, private data cloud, software development firm</t>
  </si>
  <si>
    <t>262515-07T</t>
  </si>
  <si>
    <t>YesWeHack</t>
  </si>
  <si>
    <t>Business/Productivity Software, IT Consulting and Outsourcing, Network Management Software*</t>
  </si>
  <si>
    <t>Developer of a cybersecurity platform designed to improve online operational security. The company's platform employs ethical hackers to test for vulnerabilities and rewards them for each bug discovered and finding faults in network security and rectifying them, enabling companies to develop appropriate security measures for network breaches and enhancing security, and avoiding exploitation.</t>
  </si>
  <si>
    <t>Adelie, Bpifrance, Caisse des Depots Group, Eiffel Investment Group, Open CNP, Seventure Partners, Wendel Group (PAR: MF)(Renaud Deraison)</t>
  </si>
  <si>
    <t>bugs bounty, bugs detection, cybersecurity system, ethical hacking service, managed security services, network security tool, operational security, security breach, security operations</t>
  </si>
  <si>
    <t>225049-24T</t>
  </si>
  <si>
    <t>Zeliq</t>
  </si>
  <si>
    <t>Operator of a sales acceleration platform intended to help enterprises power up conversations and pipelines. The company's platform uses artificial intelligence to offer features like CRM integration, multiple calls, lead generation and time optimization, enabling teams to carry out multichannel prospecting like LinkedIn, emails, calls, all with a gamification system to encourage them.</t>
  </si>
  <si>
    <t>Exor (AMS: EXO), Resonance VC</t>
  </si>
  <si>
    <t>sales acceleration platform, sales platform, sales platform developer, sales platform operator, sales platform software, sales toolkit</t>
  </si>
  <si>
    <t>261251-83T</t>
  </si>
  <si>
    <t>Dealt</t>
  </si>
  <si>
    <t>Business/Productivity Software, Other Commercial Services*</t>
  </si>
  <si>
    <t>Operator of a service company designed to transform retail and e-commerce customer experience. The company's application builds, implements, and manages the business's white-label service offers, enabling the enterprises to better support their customers and stand out from the competition.</t>
  </si>
  <si>
    <t>GO Capital (France), Holnest, La Poste Groupe(Jessica Guerin), One Green (Paris), XAnge</t>
  </si>
  <si>
    <t>client support, customer engagement, customer experience optimization, online-to-offline, service management, service platform operator, white label service</t>
  </si>
  <si>
    <t>250467-40T</t>
  </si>
  <si>
    <t>Kelvin (Business/Productivity Software)</t>
  </si>
  <si>
    <t>Business/Productivity Software*, Real Estate Services (B2C)</t>
  </si>
  <si>
    <t>Operator of a real estate valuation platform intended to quantify the energy renovation potential of a property. The company's platform helps to benefit from a competitive advantage in mandate negotiation, increase the number of visits to properties, and reassure buyers with a costed, clear, and detailed work plan, enabling real estate agents to improve conversion between the valuation of a property and its sale.</t>
  </si>
  <si>
    <t>Kima Ventures, MakeSense, Motier Ventures, Racine2, RAISE Group, Seedcamp, Serena (Paris)</t>
  </si>
  <si>
    <t>real estate monitoring, real estate platform, real estate valuation, renovation guide, renovation home, renovation platform, valuation platform</t>
  </si>
  <si>
    <t>267359-32T</t>
  </si>
  <si>
    <t>Stirweld</t>
  </si>
  <si>
    <t>Developer of welding technologies designed for industrial sectors. The company offers industrial friction welding machines, clamping systems, prototyping, training, and expert advice, enabling the automotive, space, aerospace, and metalworking industries to use friction stir welding on all computer numerical control machine tools.</t>
  </si>
  <si>
    <t>Epopée Gestion(Camille Larsabal), UI Investissement(Stephane Lefevre-Sauli)</t>
  </si>
  <si>
    <t>aluminum welding, industrial market, machine tools, steel structures, steel welding, welding technology, welding unit</t>
  </si>
  <si>
    <t>Infrastructure</t>
  </si>
  <si>
    <t>261799-39T</t>
  </si>
  <si>
    <t>Evoriel(Karine Olivier)</t>
  </si>
  <si>
    <t>260558-56T</t>
  </si>
  <si>
    <t>Kolus</t>
  </si>
  <si>
    <t>Developer of a video assistance platform designed for after-sales service. The company's platform offers an intuitive interface, remote support, data centralization, performance tracking, and centralized monitoring for optimal management, enabling businesses to improve customer experience and better collaboration between teams.</t>
  </si>
  <si>
    <t>Evolem, Holnest</t>
  </si>
  <si>
    <t>after-sales-service, centralized monitoring, data centralization, intuitive interface, performance tracking, remote support, video assistance platform</t>
  </si>
  <si>
    <t>261352-00T</t>
  </si>
  <si>
    <t>Continuity (Financial Software)</t>
  </si>
  <si>
    <t>Business/Productivity Software, Financial Software*, Other Insurance</t>
  </si>
  <si>
    <t>Developer of SaaS platform designed to detect insurance contracts that are either outdated or invalid. The company's platform combines artificial intelligence and open data to analyze data, consistently, at scale and provide a full view of each SME, enabling insurers to guarantee that each company is properly covered at each step of its existence.</t>
  </si>
  <si>
    <t>115K, Bpifrance, Elaia Partners</t>
  </si>
  <si>
    <t>alternative lending, analytics platform, artificial intelligence based, business intelligence platform, credit score, data analysing software, insurance contract, portfolio strategy and management, saas platform company, underwriting, underwriting model, underwriting support</t>
  </si>
  <si>
    <t>266023-27T</t>
  </si>
  <si>
    <t>FeetMe</t>
  </si>
  <si>
    <t>Monitoring Equipment*, Other Healthcare Technology Systems</t>
  </si>
  <si>
    <t>Developer of foot wearables products designed to analyze patients' mobility capacity. The company's products power smart medical wearables based on connected insoles that allow gait and posture analysis in real-time and real-life conditions by combining pressure sensors, motion and learning algorithms, enabling doctors to improve patient outcomes in functional care, track disease evolution and optimize medication utilization.</t>
  </si>
  <si>
    <t>HAX, SOSV(Cyril Ebersweiler)</t>
  </si>
  <si>
    <t>connected devices, digital biomarkers, digital health services, foot care, mobility and orthopedic, motion sensor, orthopedic, rehabilitation device, rehabilitation services, remote patient monitoring</t>
  </si>
  <si>
    <t>Mobile, Wearables &amp; Quantified Self</t>
  </si>
  <si>
    <t>264376-18T</t>
  </si>
  <si>
    <t>Materrup</t>
  </si>
  <si>
    <t>Construction and Engineering, Raw Materials (Non-Wood)*</t>
  </si>
  <si>
    <t>Construction (Non-Wood)</t>
  </si>
  <si>
    <t>Operator of an industrial start-up intended to reduce the carbon footprint of the construction sector. The company uses a rupture technology that converts excavated earth and clay into low-carbon concrete for construction and urban planning, enabling on-site developers to decarbonize construction and establish a sustainable city.</t>
  </si>
  <si>
    <t>AQUITI Gestion, Argiduna Capital(Thierry Letailleur), Eurazeo (PAR: RF), European Innovation Council Fund, IRDI Capital Investissement, UI Investissement</t>
  </si>
  <si>
    <t>built environment, construction supplier, ecological construction, green construction, sustainable construction industry, sustainable construction methods, sustainable construction product, sustainable construction services</t>
  </si>
  <si>
    <t>Raw Materials (Non-Wood)</t>
  </si>
  <si>
    <t>CleanTech, Climate Tech, Construction Technology, E-Commerce</t>
  </si>
  <si>
    <t>Saint-Geours-de-Maremne, France</t>
  </si>
  <si>
    <t>261412-93T</t>
  </si>
  <si>
    <t>Midipile</t>
  </si>
  <si>
    <t>Road*</t>
  </si>
  <si>
    <t>Developer of small utility vehicle designed to have a carbon-free alternative to heavy and bulky mobility options. The company's vehicle provides several features such as high capacity, endurance, reduced environmental footprint, and less energy intensity, which can be used for transportation, delivery, or any other specific activities, enabling clients to avail easily repairable and inexpensive vehicles.</t>
  </si>
  <si>
    <t>Arts et Métiers Business Angels, Chaudronnerie Lespinasse, Team for the Planet, WeLikeStartup</t>
  </si>
  <si>
    <t>electric vehicle, fleet management, mobility services, mobility vehicles provider, utility vehicles provider, vehicle developer</t>
  </si>
  <si>
    <t>Hiersac, France</t>
  </si>
  <si>
    <t>261417-34T</t>
  </si>
  <si>
    <t>vorteX-io</t>
  </si>
  <si>
    <t>Developer of a flood warning and forecasting system designed to monitor watercourses and prevent the risk of flood. The company's system offers hydrology monitoring services with compact space-based altimeters intended to accurately measure the height of the sea surface, enabling users to get a continuous, real-time measurement of several hydrological parameters with an accuracy of the order of a centimeter.</t>
  </si>
  <si>
    <t>AFI Ventures (Paris)(Charles Fourault), Banque des Territoires(François Wohrer), MAIF Impact(Simona Chiavassa), SpaceFounders</t>
  </si>
  <si>
    <t>disaster management, flood prevention, flood risk management, forecasting system, monitoring system, remote sensing, water management</t>
  </si>
  <si>
    <t>261251-47T</t>
  </si>
  <si>
    <t>Deemea</t>
  </si>
  <si>
    <t>Developer of a digital medical assistance platform designed for clinical research and analysis of real-life data. The company's platform uses artificial intelligence to identify appropriate databases, accelerate contractual and regulatory processes, simplify external model validation, valorize real-world data and clinical studies, optimize responses to internal and external requests, and more, enabling clients to accelerate the development and deployment of innovative projects using AI tools specific to medical data valorization.</t>
  </si>
  <si>
    <t>Karista (Paris), YZR Capital</t>
  </si>
  <si>
    <t>ai tools, biotechnology research, clinical research data, clinical research management, digital health, digital medical assistant, health data platform, medical assistance platform</t>
  </si>
  <si>
    <t>Artificial Intelligence &amp; Machine Learning, Digital Health, HealthTech</t>
  </si>
  <si>
    <t>254023-03T</t>
  </si>
  <si>
    <t>Fullwhere</t>
  </si>
  <si>
    <t>Developer of a consumer response application designed to capture online customer feedback. The company's software helps businesses collect, centralize, analyze, distribute and automate opinions on all public or private platforms and existing channels, enabling clients to manage their online reputation, improve findability on search engines and achieve a customer-centric approach to their business.</t>
  </si>
  <si>
    <t>Aonia Ventures, Kima Ventures, Sphere Ventures, ZEBOX</t>
  </si>
  <si>
    <t>consumer response, customer feedback analysis, customer insights, feedback application, feedback management, response application</t>
  </si>
  <si>
    <t>274438-72T</t>
  </si>
  <si>
    <t>Opensee</t>
  </si>
  <si>
    <t>Operator of a fintech company intended to offer self-service analytics to financial institutions. The company helps respond better to regulatory and business requirements and turn their big data challenges into a competitive advantage, enabling financial institutions to manage their data efficiently and perform numerous extraction, aggregation, simulations, and analysis.</t>
  </si>
  <si>
    <t>big data analytics, data infrastructure, data management, financial analysis services, fintech services, regulatory requirements</t>
  </si>
  <si>
    <t>Big Data, FinTech</t>
  </si>
  <si>
    <t>264595-06T</t>
  </si>
  <si>
    <t>Pinpo.ai</t>
  </si>
  <si>
    <t>Operator of a proptech company intended to drive company sales channel. The company's platform generates automated SMS and messages using artificial intelligence to customers to generate leads, enabling businesses to increase their conversion rates and boost productivity.</t>
  </si>
  <si>
    <t>Open CNP</t>
  </si>
  <si>
    <t>ai tools, ai tools platform, automated platform, conversations platform, led engagement platform, online platform</t>
  </si>
  <si>
    <t>Artificial Intelligence &amp; Machine Learning, TMT</t>
  </si>
  <si>
    <t>226899-73T</t>
  </si>
  <si>
    <t>Descartes &amp; Mauss</t>
  </si>
  <si>
    <t>Operator of an artificial intelligence-based platform intended to build future-proof long-term strategies. The company specializes in systemic modeling capabilities to model the future and also develop a digital twin of what business and market will look like tomorrow so they can develop future-proof strategic roadmaps, enabling clients to take better decisions.</t>
  </si>
  <si>
    <t>Elaia Partners(Alexis Frentz), One Green (Paris), Pentagram Ventures, Polytechnique Ventures(Cecile Tharaud)</t>
  </si>
  <si>
    <t>data sources, decision making ai, decision making app, decision making tools, modeling tools, strategic decisions</t>
  </si>
  <si>
    <t>212295-16T</t>
  </si>
  <si>
    <t>Sopht</t>
  </si>
  <si>
    <t>Environmental Services (B2B), IT Consulting and Outsourcing*</t>
  </si>
  <si>
    <t>Developer of a sustainability-integrated platform intended to decarbonize technological organizations. The company's platform uses technology to reconcile ecological progress with budgetary performance and digital transformation to environmental impact, enabling organizations to dynamically drive their environmental footprint.</t>
  </si>
  <si>
    <t>Axeleo Capital, Climate Club (Paris), Evolem, Plug and Play Tech Center, Ring Capital, Ternel, Wind Capital</t>
  </si>
  <si>
    <t>carbon accounting, carbon analytics, carbon management, carbon tech, carbon technology, decarbonization system, environmental services, environmental solutions, saas solution, sustainable environment</t>
  </si>
  <si>
    <t>CleanTech, Climate Tech, Life Sciences, SaaS</t>
  </si>
  <si>
    <t>260953-66T</t>
  </si>
  <si>
    <t>Finovox</t>
  </si>
  <si>
    <t>Developer of false document detection software designed for detecting fraud. The company's platform creates document falsification detection that applies to all documents, regardless of their type or language as well as provides results in less time, enabling clients to take corrective action relating to fraud and eliminate falsified elements.</t>
  </si>
  <si>
    <t>Blast.Club, Inter Mutuelles Assistance, VAeX Capital Partners</t>
  </si>
  <si>
    <t>document analysis, document tracking, fraud prevention, fraud risk, identity &amp; access management, identity and access management, investigate service, litigation management, security analysis</t>
  </si>
  <si>
    <t>260944-48T</t>
  </si>
  <si>
    <t>Imagino</t>
  </si>
  <si>
    <t>Developer of a customer data management platform designed to connect, unify, and activate consumer data. The company's platform allows companies to automate mapping from multiple sources and offers data profiling, catalogs, customer detail, and personalized targeting while ensuring GDPR compliance, helping clients track and offer customized services to customers.</t>
  </si>
  <si>
    <t>Cathay Innovation(Bruno Delahaye), HenQ(Jan Andriessen)</t>
  </si>
  <si>
    <t>consumer data, customer insights, customer tracking, data management platform, data mining, personalized ads</t>
  </si>
  <si>
    <t>Big Data, Marketing Tech</t>
  </si>
  <si>
    <t>Cachan, France</t>
  </si>
  <si>
    <t>280155-61T</t>
  </si>
  <si>
    <t>Neosilver</t>
  </si>
  <si>
    <t>Elder and Disabled Care, Other Services (B2C Non-Financial)*, Social/Platform Software</t>
  </si>
  <si>
    <t>Operator of a collective prevention and fitness platform intended to connect seniors and providers of cultural activities. The company's platform provides workshops or group classes to promote exchanges and social bonds through recreational activities tailored in terms of prices such as yoga, pilates, meditation, and other cultural and artistic activities in different locations, enabling seniors to book an activity at any time of the day with passionated and low-cost animators.</t>
  </si>
  <si>
    <t>Banque des Territoires, Mirova</t>
  </si>
  <si>
    <t>cultural activities, cultural community, recreational activities, senior citizen care, senior citizen services, senior citizen welfare</t>
  </si>
  <si>
    <t>265824-73T</t>
  </si>
  <si>
    <t>Otami</t>
  </si>
  <si>
    <t>Developer of a management software designed to simplify tasks for bakeries, pastry shops, and restaurants. The company's software automates purchase orders, tracks pricing fluctuations, and simplifies cost calculations, allowing businesses to save time and reduce manual data entry.</t>
  </si>
  <si>
    <t>The Moon Venture</t>
  </si>
  <si>
    <t>business tools, cost calculation, data entry, management software, price tracking, task simplification software, tasks automation</t>
  </si>
  <si>
    <t>Restaurant Technology, SaaS</t>
  </si>
  <si>
    <t>Pau, France</t>
  </si>
  <si>
    <t>260948-17T</t>
  </si>
  <si>
    <t>TurnK</t>
  </si>
  <si>
    <t>Provider of integration services intended to provide software and applications without coding. The company provides no-code services such as web development, customer relationship management, automated marketing strategy, application builder, and many more, enabling businesses to improve productivity.</t>
  </si>
  <si>
    <t>Francis Nappez(Francis Nappez), GSO Innovation, IRDI Capital Investissement</t>
  </si>
  <si>
    <t>app development services, digital strategy service, integration services, marketing strategy service, marketing tool, software integration, web development services</t>
  </si>
  <si>
    <t>261228-25T</t>
  </si>
  <si>
    <t>Viti-Tunnel</t>
  </si>
  <si>
    <t>Machinery (B2B), Other Agriculture, Other Commercial Products*</t>
  </si>
  <si>
    <t>Developer of agricultural technologies intended to protect crops. The company develops motorized retractable tarpaulin devices that act as an automated umbrella that opens to protect the rows in case of rain, hail, and very low temperatures, enabling farmers to prevent plant diseases in the vineyard and reduce the use of pesticides.</t>
  </si>
  <si>
    <t>Demeter Partners(Stéphanie Hillard)</t>
  </si>
  <si>
    <t>agricultural technology, crop protection, phytosanitary product, sustainable farming, vineyard equipment, weather damage repair</t>
  </si>
  <si>
    <t>262109-26T</t>
  </si>
  <si>
    <t>Alti-Loc Echafaudages</t>
  </si>
  <si>
    <t>Other Commercial Products, Other Commercial Services*</t>
  </si>
  <si>
    <t>Provider of scaffolding rental and installation services intended to serve professionals and individuals. The company offers a range of scaffolding equipment for sale and rental, specializing in safe and secure scaffolding services for construction projects, including asbestos removal, and industrial, and naval projects, enabling businesses to save cost and time.</t>
  </si>
  <si>
    <t>construction site service, lifting equipment, sales and rental services, scaffolding equipment, scaffolding installation, scaffolding rental</t>
  </si>
  <si>
    <t>Vitre, France</t>
  </si>
  <si>
    <t>267986-80T</t>
  </si>
  <si>
    <t>Antoli</t>
  </si>
  <si>
    <t>Provider of digital and offset printing services intended to offer an environment-friendly alternative. The company specializes in packaging and printing services, including customized packaging, shipping, cardboard marking, and much more, enabling clients to gain access to eco-friendly printing services at affordable prices, reduced manufacturing times, and carbon footprint.</t>
  </si>
  <si>
    <t>Generis Capital Partners</t>
  </si>
  <si>
    <t>customized packaging, eco-design services, eco-friendly printing services, environment friendly, integrated delivery platform, packaging service provider, packaging services, printing service, printing service company</t>
  </si>
  <si>
    <t>Carcassonne, France</t>
  </si>
  <si>
    <t>264798-46T</t>
  </si>
  <si>
    <t>Appy (Commercial Products)</t>
  </si>
  <si>
    <t>stealth business, stealth company, stealth firm, stealth operations, stealth products, stealth services</t>
  </si>
  <si>
    <t>264567-97T</t>
  </si>
  <si>
    <t>Five Lives</t>
  </si>
  <si>
    <t>Developer of a brain health platform designed for an improved and earlier detection of dementia. The company offers an engaging and accessible digital tool for tracking and improving cognitive health to reduce the risk of cognitive decline through an improved lifestyle, enabling users to live longer, healthier, and happier lives by extending quality of life.</t>
  </si>
  <si>
    <t>Snaw Ventures</t>
  </si>
  <si>
    <t>brain health, brain health monitoring, brain healthcare, dementia app, dementia detection, digital therapeutics, digital treatment, neurological health</t>
  </si>
  <si>
    <t>266833-99T</t>
  </si>
  <si>
    <t>Gama</t>
  </si>
  <si>
    <t>Developer of solar sails designed to provide free and infinite propulsion. The company collaborates closely and is partly funded by the CNES, the French Space Agency and the DLR, the German Space Agency and its solar sails are the only low-cost solution to stay in unstable orbits, or move out of near-earth orbit and explore the solar system, opening new possibilities and dramatically reducing mission costs, enabling space researchers to explore distant parts of space.</t>
  </si>
  <si>
    <t>EWOR, Id4 Ventures</t>
  </si>
  <si>
    <t>interplanetary transportation, mission system, solar sails, space exploration, space research, space transportation</t>
  </si>
  <si>
    <t>CleanTech, Space Technology</t>
  </si>
  <si>
    <t>Ivry-sur-Seine, France</t>
  </si>
  <si>
    <t>265878-64T</t>
  </si>
  <si>
    <t>Good Motors Agency</t>
  </si>
  <si>
    <t>Automotive, Other Services (B2C Non-Financial)*</t>
  </si>
  <si>
    <t>Operator of a rental platform intended to provide bikes on rent. The company provides self-service motorcycles near train stations and airports in the regions of France as a mode of sightseeing transportation, enabling tourists and bikers to travel around the city.</t>
  </si>
  <si>
    <t>Caisse d'Epargne, Normandie Business Angels, Normandie Participations</t>
  </si>
  <si>
    <t>bikers platform, motorcycle service, rental platform, rental system, sightseeing service, transportation industry</t>
  </si>
  <si>
    <t>Trouville-sur-mer, France</t>
  </si>
  <si>
    <t>264940-30T</t>
  </si>
  <si>
    <t>Le Crayon</t>
  </si>
  <si>
    <t>Information Services (B2C)*</t>
  </si>
  <si>
    <t>Developer of video media broadcast on social networks intended to bring together French society. The company's platform features interviews with committed personalities from different worlds on contemporary social issues, enabling young French citizens to form their own opinions.</t>
  </si>
  <si>
    <t>Le Fonds du Bien Commun</t>
  </si>
  <si>
    <t>community management, community management system, media broadcast, opinions tools, social issues, video broadcast, video media</t>
  </si>
  <si>
    <t>264622-15T</t>
  </si>
  <si>
    <t>Les Bienfaiteurs</t>
  </si>
  <si>
    <t>Accessories, Clothing, Internet Retail*</t>
  </si>
  <si>
    <t>Operator of an online retail store intended to bring together multiple brands. The company through its platform sells products such as clothes, shoes, jewel accessories, bags and more, allowing people to buy several products under a single store.</t>
  </si>
  <si>
    <t>accessories stores, bags sealers, clothes online, ecommerce, online retail store, online retail store services</t>
  </si>
  <si>
    <t>Internet Retail</t>
  </si>
  <si>
    <t>264621-34T</t>
  </si>
  <si>
    <t>Neo</t>
  </si>
  <si>
    <t>Operator of a communication media company intended to provide online audio and video media content. The company's expertise in social media storytelling at the service of brands in search of a more authentic, rooted voice close to the French, providing users with online content and a medium for joy and motivation.</t>
  </si>
  <si>
    <t>communication media service, communication strategy, media service, social content, social network, social software, video platform</t>
  </si>
  <si>
    <t>264825-64T</t>
  </si>
  <si>
    <t>Pharaday</t>
  </si>
  <si>
    <t>Logistics*</t>
  </si>
  <si>
    <t>Operator of a artificial intelligence powered platform intended to revolutionize the shipping and commodities industries. The company centralizes data from diverse sources, enabling advanced predictive analytics, providing natural language processing and computer vision capabilities, helping shipowners make data-driven decisions with increased transparency.</t>
  </si>
  <si>
    <t>data centralization, logistics ship, natural language processing, predictive analytics, shipping industry, supply chain optimization</t>
  </si>
  <si>
    <t>Logistics</t>
  </si>
  <si>
    <t>264474-82T</t>
  </si>
  <si>
    <t>Qivia</t>
  </si>
  <si>
    <t>Business/Productivity Software, Other Financial Services*</t>
  </si>
  <si>
    <t>Developer of fuel card service platform intended to simplify the management of fleets. The company offers a platform and different services such as transaction monitoring, which also helps to control spending habits, and allows to incur expenses related to using a company vehicle, enabling employees to fill with gas at the nearest or cheapest gas station.</t>
  </si>
  <si>
    <t>energy prices, fleet fuel, fleet management, fuel card, fuel card services, gas filling</t>
  </si>
  <si>
    <t>264823-75T</t>
  </si>
  <si>
    <t>Reel (Business/Productivity Software)</t>
  </si>
  <si>
    <t>Developer of an intelligence platform designed for optimal negotiation. The company provides transparent access to fair buying conditions to gain a strategic edge in every deal while building and maintaining trusted supplier relationships, enabling companies to optimize spending with live market data.</t>
  </si>
  <si>
    <t>b2b commerce, forecasting data, live marketing, market data, procurement costs, vendor management</t>
  </si>
  <si>
    <t>269369-92T</t>
  </si>
  <si>
    <t>SpaceLocker</t>
  </si>
  <si>
    <t>Aerospace and Defense*, Business/Productivity Software, Other Commercial Products, Other Commercial Services</t>
  </si>
  <si>
    <t>Provider of shared space mission services intended to send instruments for missions in space easily, quickly, and in a sustainable way. The company offers payload selection assistance, satellite hosting, flexible payload integration, a wide range of host vehicles, and in-orbit services, enabling organizations to focus on their research all while simplifying and lowering launch costs and increasing access to space while reducing costs and environmental impact.</t>
  </si>
  <si>
    <t>Campus Fund, Ocseed, Super Capital</t>
  </si>
  <si>
    <t>data acquisition, military surveillance, payload system, project deployment, satellite payloads, space data, space manufacturing, space missions</t>
  </si>
  <si>
    <t>262122-40T</t>
  </si>
  <si>
    <t>Tango (Application Software)</t>
  </si>
  <si>
    <t>Application Software*, Elder and Disabled Care</t>
  </si>
  <si>
    <t>Operator of a community service platform intended to provide personalized care to elders. The company's platform provides various services personal assistance, cooking meals, and simply being there for a warm conversation among others, enabling the elderly to have a companion for their daily challenges.</t>
  </si>
  <si>
    <t>Antler</t>
  </si>
  <si>
    <t>companion program, elderly care app, family services, housekeeping services, personalized care, psychological help</t>
  </si>
  <si>
    <t>262789-93T</t>
  </si>
  <si>
    <t>WeDressFair</t>
  </si>
  <si>
    <t>Internet Retail*</t>
  </si>
  <si>
    <t>Operator of an e-commerce platform intended to democratize access to ethical clothing. The company's platform offers jeans, tops, tees, shoes, underwear, dresses, and shorts, enabling men and women to get clothing conveniently.</t>
  </si>
  <si>
    <t>Sphere Ventures</t>
  </si>
  <si>
    <t>clothing company, clothing line, ecommerce platform, fashion portal, retail apparel, women clothing line</t>
  </si>
  <si>
    <t>E-Commerce, SaaS</t>
  </si>
  <si>
    <t>264249-10T</t>
  </si>
  <si>
    <t>Recyc'Elit</t>
  </si>
  <si>
    <t>Environmental Services (B2B), Other Commercial Services*</t>
  </si>
  <si>
    <t>Developer of a recycling technology designed to solve difficult polyester-based textile recycling issues. The company's technology allows breaking down polyesters to their original building blocks with moderate energy consumption, enabling plastic manufacturers to rebuild the plastic without purchasing petroleum-sourced raw materials.</t>
  </si>
  <si>
    <t>Decathlon France</t>
  </si>
  <si>
    <t>carbon footprint reduction, molecular recycling, patent-pending system, pet recycling, raw materials, recycling polymer, textile recycling</t>
  </si>
  <si>
    <t>CleanTech, Climate Tech, LOHAS &amp; Wellness, Oil &amp; Gas</t>
  </si>
  <si>
    <t>Vénissieux, France</t>
  </si>
  <si>
    <t>263895-40T</t>
  </si>
  <si>
    <t>Trendex</t>
  </si>
  <si>
    <t>Application Software, Entertainment Software, Financial Software*</t>
  </si>
  <si>
    <t>Developer of a financial application designed to help users buy, sell, and play with their favorite athletes and artists. The company's application helps to buy tokens, real talent shares linked to the sports and audience performance of the champions, build a team with tokens, and participate in competitions based on individual talent performance, enabling users to share the success of their favorite talents by buying tokens linked to their performance.</t>
  </si>
  <si>
    <t>Karim Benzema(Karim Benzema)</t>
  </si>
  <si>
    <t>audience engagement, financial application, financial application software, sports tournament, tokens management system, tokens platform</t>
  </si>
  <si>
    <t>Cryptocurrency/Blockchain, FinTech, Mobile</t>
  </si>
  <si>
    <t>Ajaccio, France</t>
  </si>
  <si>
    <t>260530-21T</t>
  </si>
  <si>
    <t>StarkAge Therapeutics</t>
  </si>
  <si>
    <t>Developer a biotechnology platform intended to improve the quality of life of patients. The company's platform specializes in developing an alternate method for the depletion of senescent cells in age-related pathologies using immunotherapy with cancer therapy and senescence, enabling patients to have proper health and treatment.</t>
  </si>
  <si>
    <t>biotechnology platform, biotechnology platform technology, biotechnology research, biotechnology research platform, cancer drug therapy, cancer treatment, immunotherapy drugs, immunotherapy platform</t>
  </si>
  <si>
    <t>HealthTech, Life Sciences, Oncology</t>
  </si>
  <si>
    <t>257899-42T</t>
  </si>
  <si>
    <t>Belledonne Paris</t>
  </si>
  <si>
    <t>Operator of a footwear brand intended to sell sneakers for everyday wear The company offers a variety of sneaker styles, all crafted from selected raw materials, providing customers with stylish and comfortable shoes.</t>
  </si>
  <si>
    <t>Arnaud Régent(Arnaud Régent), Bpifrance, Cuir Invest, Michael Dayan(Michael Dayan), Olivier Hergault(Olivier Hergault), Sebastien Borget(Sebastien Borget)</t>
  </si>
  <si>
    <t>custom shoes, leather shoes, online store, retail shopping, sneakers maker, sneakers shoes</t>
  </si>
  <si>
    <t>280074-07T</t>
  </si>
  <si>
    <t>Jeen (Clinics/Outpatient Services)</t>
  </si>
  <si>
    <t>Clinics/Outpatient Services*, Other Healthcare Services</t>
  </si>
  <si>
    <t>Operator of an online health tech platform designed for women's healthcare needs. The company offers a range of services including gynecological care, pregnancy care, mental health support, and physical therapy with a team of practitioners that includes gynecologists, midwives, osteopaths, naturopaths, hypnotherapists, chiropractors, psychologists, doulas and massage therapists, enabling clients have a holistic approach towards their health and wellness.</t>
  </si>
  <si>
    <t>gynecological care, hypnotherapy service, mental health, online platform, physical therapy, psychologists and therapists, women health</t>
  </si>
  <si>
    <t>Clinics/Outpatient Services</t>
  </si>
  <si>
    <t>FemTech, LOHAS &amp; Wellness</t>
  </si>
  <si>
    <t>260369-56T</t>
  </si>
  <si>
    <t>NcodiN</t>
  </si>
  <si>
    <t>Application Specific Semiconductors*</t>
  </si>
  <si>
    <t>Developer of an optical interposer designed for energy-efficient die-to-die interconnects using light as the vehicle of information. The company developed an optical interposer based on proprietary and revolutionary technology, helping clients in unblocking the full scalability of multi-chipsets-based hpc processors.</t>
  </si>
  <si>
    <t>3LB Seed Capital, Earlybird Venture Capital(Frédéric du Bois-Reymond), Elaia Partners(Clement Vanden Driessche), OVNI Capital</t>
  </si>
  <si>
    <t>nanophotonic devices, nanophotonic technology, nanophotonics product, optical data transmission, optical power, optical solutions</t>
  </si>
  <si>
    <t>244338-13T</t>
  </si>
  <si>
    <t>OpsMill</t>
  </si>
  <si>
    <t>Business/Productivity Software*, Database Software, Systems and Information Management</t>
  </si>
  <si>
    <t>Developer of a data management platform designed to help IT operations teams. The company's platform is based on a distinctive approach that combines the features of version control and a network source of truth into a schema-driven database, enabling clients to automate their infrastructure management tasks more efficiently and effectively.</t>
  </si>
  <si>
    <t>Kima Ventures, OVNI Capital, Partech, Serena (Paris)</t>
  </si>
  <si>
    <t>automation platform developer, automation platform service, infrastructure automation, infrastructure automation platform, innovative infrastructure, software development</t>
  </si>
  <si>
    <t>260370-82T</t>
  </si>
  <si>
    <t>Supervizor</t>
  </si>
  <si>
    <t>Accounting, Audit and Tax Services (B2B), Automation/Workflow Software, Business/Productivity Software, Financial Software*</t>
  </si>
  <si>
    <t>Developer of a plug-and-play software platform designed to help internal audit teams automatically detect accounting errors and frauds. The company's software automates the identification of inevitable accounting and operational errors, fraud, and overpayments from suppliers, daily, enabling companies of any size to control automatically their operational data, without any setup.</t>
  </si>
  <si>
    <t>Adelie, La Maison Partners, NewAlpha Asset Management, Orange Ventures(Clement Combal), Wille Finance</t>
  </si>
  <si>
    <t>accounting errors, accounting technology, audit software, audit tools, automated accounting, data analysis</t>
  </si>
  <si>
    <t>245867-14T</t>
  </si>
  <si>
    <t>Vizcab</t>
  </si>
  <si>
    <t>Business/Productivity Software*, Multimedia and Design Software</t>
  </si>
  <si>
    <t>Developer of a SaaS-based data-driven platform designed to design low-carbon buildings. The company's platform provides importing of the 3D models from digital mock-ups, creating a database of architectural and technical alternatives, exploring design alternatives using data visualization techniques, and catalyzing discussion and decision-making, enabling designers and builders to use tools and methods for building a platform.</t>
  </si>
  <si>
    <t>Altur Investissement, Banque des Territoires, Brick &amp; Mortar Ventures, CEMEX Ventures(Gonzalo Galindo), Global Brain(Hideyuki Tanaka), Kompas VC(Andreas Winter-Extra), noa (London), Rise PropTech(Jerome Constant)</t>
  </si>
  <si>
    <t>3d model, 3d modeling tools, analytics platform, architectural design, building design, built environment, business intelligence platform, data driven tools, environment friendly, green construction</t>
  </si>
  <si>
    <t>Climate Tech, SaaS</t>
  </si>
  <si>
    <t>260415-19T</t>
  </si>
  <si>
    <t>UBLO (Machinery (B2B))</t>
  </si>
  <si>
    <t>Machinery (B2B)*, Other Commercial Products</t>
  </si>
  <si>
    <t>Manufacturer of machines intended to produce of high-speed plastic bottles, integrated into the filling line from a roll of plastic film. The company's machines uses technology that offers solutions for packaging bottles, jars, cups of different varieties and shapes, enabling its clients to have machines for packaging bottles.</t>
  </si>
  <si>
    <t>Crédit Agricole Atlantique Vendée, Pays de la Loire Participations, Sodero</t>
  </si>
  <si>
    <t>packaging machinery, packaging machines provider, packaging technology, packaging technology company, packaging technology products, packaging technology service</t>
  </si>
  <si>
    <t>La Regrippière, France</t>
  </si>
  <si>
    <t>272174-32T</t>
  </si>
  <si>
    <t>CircularPlace</t>
  </si>
  <si>
    <t>Business/Productivity Software*, Media and Information Services (B2B), Other Information Technology</t>
  </si>
  <si>
    <t>Developer of a business-to-business SaaS platform, intended to monetize underutilized assets to reduce carbon emissions. The company facilitates internal inventory sharing, private sales, and donations to charities, offering tax benefits, while measuring the carbon emission reductions, enabling businesses to manage, enhance, and reuse all types of equipment, through a multistep process, pooling and exchanging resources internally.</t>
  </si>
  <si>
    <t>Aticco Ventures, Leadership Growth Holding, LGH Investments, Nuard Ventures</t>
  </si>
  <si>
    <t>b2b saas, charity donation, employee engagement platform, environmental services, equipment resale, furniture resale, goods resale, inventory management technology, tax benefits</t>
  </si>
  <si>
    <t>259980-49T</t>
  </si>
  <si>
    <t>En Carta Diagnostics</t>
  </si>
  <si>
    <t>Biotechnology, Diagnostic Equipment*, Other Healthcare Technology Systems</t>
  </si>
  <si>
    <t>Developer of a biotechnology platform designed for molecular diagnostics through synthetic biology. The company's platform offers ready-to-use tests against validated targets, as well as in-house development of new tools against virtually any DNA or RNA target using its patented technologies, helping healthcare professionals to easily detect and identify infections.</t>
  </si>
  <si>
    <t>CentraleSupélec, CVS Health (NYS: CVS)(Jean-Pierre Millon)</t>
  </si>
  <si>
    <t>biotechnology platform, cell-free synthesis, diagnostic solution provider, infection detection system, molecular diagnostics platform, molecular testing, synthetic biology</t>
  </si>
  <si>
    <t>Malakoff, France</t>
  </si>
  <si>
    <t>212987-44T</t>
  </si>
  <si>
    <t>Kotzilla</t>
  </si>
  <si>
    <t>Software Development Applications*</t>
  </si>
  <si>
    <t>Developer of architecture technologies designed to build scalable and efficient mobile applications. The company's software provides tools and expertise essential for stable, scalable, and easy-to-maintain application development, enabling developers to improve productivity and maintenance for Android applications.</t>
  </si>
  <si>
    <t>Evolem, Serena (Paris)</t>
  </si>
  <si>
    <t>android mobile application, application debugging, application development, deeptech software, mobile architecture, multiplatform technology, traceability platform</t>
  </si>
  <si>
    <t>Artificial Intelligence &amp; Machine Learning, CloudTech &amp; DevOps, Mobile, SaaS</t>
  </si>
  <si>
    <t>265563-91T</t>
  </si>
  <si>
    <t>Biodol Therapeutics</t>
  </si>
  <si>
    <t>Operator of a biotech company intended to develop an innovative treatment for chronic pain. The company develops FLT3 inhibitors that inhibit the binding of the ligand and consist of tyrosine kinase as a key player in triggering and maintaining chronic neuropathic pain, enabling healthcare providers to reduce allodynia, pain hypersensitivity, and spontaneous pain without affecting the normal nervous system.</t>
  </si>
  <si>
    <t>chemistry, chronic pain medication, chronic pain therapeutic, chronic pain therapy, chronic pain treatment, healthcare operator, healthcare therapy, hypersensitivity treatment, neuropathic pain, small molecule</t>
  </si>
  <si>
    <t>164434-51T</t>
  </si>
  <si>
    <t>CorWave</t>
  </si>
  <si>
    <t>Surgical Devices*</t>
  </si>
  <si>
    <t>Developer of innovative implanted cardiac support devices designed to help patients suffering from heart failure and offer them an active life. The company's devices consist of an implantable heart pump based on wave membrane pumping technology, enabling patients to lessen their suffering from complications and reduce the pain and burden from invasive surgery.</t>
  </si>
  <si>
    <t>Agnelli Family, Bpifrance(Magali Joessel), European Innovation Council Fund, Exor (AMS: EXO), Ginko Ventures, Novo Holdings(Emmanuelle Coutanceau), Vlerick Group</t>
  </si>
  <si>
    <t>blood pump technology, cardiac assisting, cardiac support device, cardiovascular, heart failure therapy, medical equipment, tubular membrane filter, ventricular assisting device</t>
  </si>
  <si>
    <t>259907-14T</t>
  </si>
  <si>
    <t>CryoCollect</t>
  </si>
  <si>
    <t>Other Energy Services*</t>
  </si>
  <si>
    <t>Operator of an engineering company intended for gas-handling technologies. The company offers the capture, purification, and liquefaction of carbon dioxide contained in exhaust gases from anaerobic digestion, enabling clients to achieve energy efficiency and establish a sustainable ecosystem.</t>
  </si>
  <si>
    <t>ENGIE New Ventures, GTT Strategic Ventures</t>
  </si>
  <si>
    <t>anaerobic digestion, energy efficiency, engineering company, gas handles equipment, purification plant, sustainable ecosystem</t>
  </si>
  <si>
    <t>CleanTech, Oil &amp; Gas</t>
  </si>
  <si>
    <t>259798-06T</t>
  </si>
  <si>
    <t>Resilience (Clinics/Outpatient Services)</t>
  </si>
  <si>
    <t>Clinics/Outpatient Services*</t>
  </si>
  <si>
    <t>Developer of a tech platform intended to help cancer treatment institutes as well as cancer patients at every step of the treatment journey. The company develops tools and applications in order to decide on a treatment and to better understand the disease and its evolution, helping oncologists with decision support and patients to improve their quality of life.</t>
  </si>
  <si>
    <t>Cathay Innovation, Picus Capital, Red River West, Seaya Ventures, Singular.</t>
  </si>
  <si>
    <t>abi custom application, analytics platform, cancer care, cancer care app, cancer treatment, digital oncology, healthcare firm, software development, specialty telemedicine, telehealth</t>
  </si>
  <si>
    <t>HealthTech, Oncology, SaaS</t>
  </si>
  <si>
    <t>265006-45T</t>
  </si>
  <si>
    <t>UroMems</t>
  </si>
  <si>
    <t>Biotechnology, Therapeutic Devices*</t>
  </si>
  <si>
    <t>Developer of an implantable medical device designed to focus on designing, developing, and commercializing active implantable medical devices. The company's device improves current surgical treatments for as many patients as possible, particularly by reducing associated side effects, enabling patients to find the right treatment as soon as possible.</t>
  </si>
  <si>
    <t>b2venture, Bpifrance(Philippe Boucheron), Crédit Mutuel Innovation(Jerome Feraud), European Innovation Council Fund, Financiere Arbevel(Louis Geslin), HIL-INVENT(Friedrich Hillebrand), Supernova Invest(Celia Hart), Wellington Partners(Johannes Fischer)</t>
  </si>
  <si>
    <t>biotechnology device, implantables device, medical device implants, medical device research, medical device tools, surgical implants, urinary incontinence</t>
  </si>
  <si>
    <t>Eybens, France</t>
  </si>
  <si>
    <t>191317-87T</t>
  </si>
  <si>
    <t>Eyco</t>
  </si>
  <si>
    <t>Manufacturer of industrial machinery intended to operate processes with limited impact on the environment. The company operates in the high-tech ecosystem of electronics and produces hardware elements for digital applications, along with ensuring mass production as per requirements, enabling clients with secure digital applications with creating less impact on the environment.</t>
  </si>
  <si>
    <t>Bpifrance, CAAP Creation, Région Sud Investissement</t>
  </si>
  <si>
    <t>electronic hardware, electronic hardware manufacturer, industrial machinery, machinery manufacturing, machinery manufacturing company, manufacturing unit</t>
  </si>
  <si>
    <t>Trets, France</t>
  </si>
  <si>
    <t>252368-11T</t>
  </si>
  <si>
    <t>Energo</t>
  </si>
  <si>
    <t>Energy Production, Other Energy Services*, Other Equipment, Specialty Chemicals</t>
  </si>
  <si>
    <t>Developer of catalytic methanation reactors intended to offer advantages over competing for methanation processes. The company's product is capable of chemically converting molecular reactants in gaseous form into molecular products in gaseous or liquid form using a dielectric barrier discharge, distributed to industries working in the biogas and pyrogasification sector, enabling industries to avail catalytic reactors and speed up their further process.</t>
  </si>
  <si>
    <t>Crédit Mutuel Impact(Sabine Schimel), GTT Strategic Ventures, Nord France Amorçage, Paris Sciences ET Lettres (PSL)</t>
  </si>
  <si>
    <t>biogas energy, carbon tech, carbon technology, carbon utilization, clean conventional fuel, clean fuel, energy produce, power generation, pyro gasification, renewable energy</t>
  </si>
  <si>
    <t>278214-40T</t>
  </si>
  <si>
    <t>Kinetix</t>
  </si>
  <si>
    <t>Entertainment Software, Multimedia and Design Software*</t>
  </si>
  <si>
    <t>Developer of an emote generation platform designed for three-dimensional content creation. The company's web platform is powered by artificial intelligence and provides a user-generated emote feature to generate custom emotes from a video and play them in the game, enabling gamers to create and play animation in video games.</t>
  </si>
  <si>
    <t>Gaingels</t>
  </si>
  <si>
    <t>3d content creation, animation content, animation creator, computer vision, content creation firm, content creation tools, deep learning platform, game developer tools, gaming development, generative ai</t>
  </si>
  <si>
    <t>259483-06T</t>
  </si>
  <si>
    <t>Cross The Ages</t>
  </si>
  <si>
    <t>Entertainment Software*, Financial Software</t>
  </si>
  <si>
    <t>Developer of a gaming platform designed for access to a smartphone or desktop to enter the universe to start collecting digital cards. The company offers tokens with a tradeable blockchain-based value which will appreciate as the game develops, enabling players to develop a series of games where users contribute to the evolution of the storyline.</t>
  </si>
  <si>
    <t>Animoca Brands, Nicolas Jeuffrain, Sebastian Borget(Sebastian Borget), The Sand Box(Sebastien Borget)</t>
  </si>
  <si>
    <t>blockchain platform, digital card, game development, gaming content, gaming platform, non-fungible token, virtual world</t>
  </si>
  <si>
    <t>259411-96T</t>
  </si>
  <si>
    <t>Dipeeo</t>
  </si>
  <si>
    <t>Business/Productivity Software, Legal Services (B2B)*</t>
  </si>
  <si>
    <t>Developer of a SaaS platform designed to automate and simplify compliance. The company's platform outsources the data protection officer function and provides personalized support from specialized lawyers, enabling businesses to be general data protection regulation compliant.</t>
  </si>
  <si>
    <t>Ankaa Ventures, BNP Paribas Développement, Hi Inov, Soul Invest</t>
  </si>
  <si>
    <t>advice service, compliance system, data protection officer, general data protection regulation, lawyer search, saas platform</t>
  </si>
  <si>
    <t>Legal Tech, SaaS</t>
  </si>
  <si>
    <t>259509-88T</t>
  </si>
  <si>
    <t>SCOP3</t>
  </si>
  <si>
    <t>Media and Information Services (B2B)*, Other Commercial Products, Other Commercial Services</t>
  </si>
  <si>
    <t>Developer a digital service platform intended to dispose of unused and stored equipment. The company's platform allows second-hand buying and selling of office equipment by connecting companies that have decided not to buy new equipment with those that no longer want to throw away old equipment, enabling companies to reduce their carbon footprint and associations to benefit from equipment donations.</t>
  </si>
  <si>
    <t>ARIS Occitanie(Romain Fonade), IRDI Capital Investissement(Julien Sainte-Catherine), NGB Invest, Nicollin Group, Sofilaro(Lucie Ayala)</t>
  </si>
  <si>
    <t>equipment storage, secondhand goods marketplace, secondhand marketplace, secondhand platform, secondhand product selling platform, secondhand purchasing</t>
  </si>
  <si>
    <t>CleanTech, E-Commerce, LOHAS &amp; Wellness, SaaS</t>
  </si>
  <si>
    <t>Pérols, France</t>
  </si>
  <si>
    <t>193096-72T</t>
  </si>
  <si>
    <t>Hylé</t>
  </si>
  <si>
    <t>Business/Productivity Software, Financial Software, Other Financial Services*</t>
  </si>
  <si>
    <t>Operator of a blockchain platform intended for building provable applications for users. The company's platform offers services that include storing your data securely in your backend, separating execution, settlement, and storage to give you maximal flexibility and a verifiable source of truth for the end user, enabling clients with faster transactions and greater privacy.</t>
  </si>
  <si>
    <t>Batu X(Batu X), Cherry Crypto, David Robinson(David Robinson), Fabric Ventures, Framework Ventures, Frst Capital, Heartcore Capital, Nicolas Bacca(Nicolas Bacca), Richard Yuengling Jr.(Richard Yuengling), StarkWare, Uma Roy(Uma Roy), Velocity Capital</t>
  </si>
  <si>
    <t>blockchain based software, blockchain model, blockchain platform, data management sysem, digital community, digital transaction platform, finance technology</t>
  </si>
  <si>
    <t>Cryptocurrency/Blockchain, FinTech, SaaS</t>
  </si>
  <si>
    <t>Aulnay-sous-bois, France</t>
  </si>
  <si>
    <t>242821-27T</t>
  </si>
  <si>
    <t>Oligofeed</t>
  </si>
  <si>
    <t>Horticulture, Other Commercial Products*</t>
  </si>
  <si>
    <t>Developer of food supplements intended to improve the health and productivity of bees and to halt the decline. The company's platform includes a patented food supplement that is added to bee pollen, providing bees with essential nutrients that they may not be getting from their natural diet and supplement has been shown to reduce bee mortality and increase honey production, enabling beekeepers to reduce bee mortality and improves the production of the hives.</t>
  </si>
  <si>
    <t>CCI Capital Croissance, Etablissements Peugeot Freres, Frederick Robertson(Frederick Robertson), Frédéric Banzet(Frédéric Banzet), Jadeplat, Yield Lab</t>
  </si>
  <si>
    <t>animal food care, bee care, biodiversity conservation, food supply, immune system, immunity booster, insects care, micro-nutritional supplements</t>
  </si>
  <si>
    <t>264222-37T</t>
  </si>
  <si>
    <t>THERASONIC</t>
  </si>
  <si>
    <t>Manufacturer of medical equipment intended to transform the treatment of neurological diseases. The company specializes in developing ultrasound technology that facilitates non-invasive drug delivery to the brain, enabling healthcare professionals to treat patients.</t>
  </si>
  <si>
    <t>CEA Investissement(Laurence Petit), Gustave Roussy Transfert(Christophe Javaud), M2Care(Florence Thueux)</t>
  </si>
  <si>
    <t>brain cancer, brain disease, drug delivery, medical equipment, medtech company, neurological disease</t>
  </si>
  <si>
    <t>259328-08T</t>
  </si>
  <si>
    <t>Zest (Business/Productivity Software)</t>
  </si>
  <si>
    <t>Application Software, Business/Productivity Software*, Human Capital Services, Media and Information Services (B2B)</t>
  </si>
  <si>
    <t>Developer of an employee engagement and evaluation software designed to follow employees' pulse and get ongoing anonymous feedback. The company's employee engagement mobile application facilitates employees to share their daily moods in real-time, difficulties or successes, and evaluate peers and managers as well as create teams for collaboration to improve projects, enabling organizations to measure and monitor engagement, understand in-depth people sentiments, and take action effortlessly.</t>
  </si>
  <si>
    <t>Alain Dehaze(Alain Dehaze), GO Capital (France), Reflexion Capital</t>
  </si>
  <si>
    <t>anonymous feedback, digital employee management, employee engagement application, employee engagement platform, employee evaluation, management technology, performance evaluation</t>
  </si>
  <si>
    <t>259222-33T</t>
  </si>
  <si>
    <t>Infinite Orbits</t>
  </si>
  <si>
    <t>Developer of a satellite maintenance platform intended to extend the operational lifetime of in-orbit GEO telecommunication satellites. The company's platform responds to challenges by offering a range of services based on software and computer technologies and provides sensors with situational awareness of their close environment, enabling space researchers to carry out autonomous navigation in orbit and provide reliable in-orbit services to satellite operators all over the world.</t>
  </si>
  <si>
    <t>European Innovation Council Fund, IRDI Capital Investissement, Newfund Management(Salim Hassad), SpaceFounders</t>
  </si>
  <si>
    <t>navigation software, satellite development, satellite life extensions, satellite maintenance, space technology, telecommunication satellite</t>
  </si>
  <si>
    <t>Artificial Intelligence &amp; Machine Learning, Space Technology</t>
  </si>
  <si>
    <t>259223-95T</t>
  </si>
  <si>
    <t>May Health</t>
  </si>
  <si>
    <t>Clinics/Outpatient Services, Surgical Devices*</t>
  </si>
  <si>
    <t>Developer of investigative ablation technology designed to restore ovulation in women with PCOS-related infertility. The company's technology offers a procedure that is designed to assist the body to ovulate as it naturally would through a one-time intervention performed in the medical clinic, enabling patients to be treated for polycystic ovary syndrome through a simple, one-time, durable and minimally invasive treatment.</t>
  </si>
  <si>
    <t>Avestria Ventures, Bpifrance, Kidron, Sofinnova Partners(Antoine Papiernik), Trill Impact(Nina Rawal)</t>
  </si>
  <si>
    <t>female infertility, fertility treatment procedures, medical device, ovulation device, pcos treatment, polycystic ovary syndrome</t>
  </si>
  <si>
    <t>FemTech, HealthTech</t>
  </si>
  <si>
    <t>259256-53T</t>
  </si>
  <si>
    <t>Wingly</t>
  </si>
  <si>
    <t>Air, Business/Productivity Software, Information Services (B2C)*, Media and Information Services (B2B)</t>
  </si>
  <si>
    <t>Developer of an online shared flight booking platform designed to democratize private aviation. The company's platform allows private plane operators to advertise their flights by posting their flight schedule with spare seat information, including empty flights, and connecting directly with potential passengers, enabling pilots to fill vacant seats and share the cost of flights.</t>
  </si>
  <si>
    <t>Innovacom (Paris)</t>
  </si>
  <si>
    <t>aviation company, booking website, flight booking service, flight sharing, online booking, private aviation</t>
  </si>
  <si>
    <t>265399-39T</t>
  </si>
  <si>
    <t>Beam ( Business/Productivity Software)</t>
  </si>
  <si>
    <t>Developer of a career development platform designed for employee growth and skills mapping. The company's platform offers a skills intelligence and development system that analyzes people's goals and preferences and automatically offers individualized and targeted skills development at scale, enabling organizations to enhance employee engagement and performance through targeted development paths and activities.</t>
  </si>
  <si>
    <t>Loyal VC</t>
  </si>
  <si>
    <t>career planning, development planning, performance management, professional growth, skill development service, workforce development</t>
  </si>
  <si>
    <t>270493-93T</t>
  </si>
  <si>
    <t>Optee</t>
  </si>
  <si>
    <t>Business/Productivity Software, Environmental Services (B2B), Media and Information Services (B2B)*</t>
  </si>
  <si>
    <t>Developer of an energy project management platform intended to map real estate portfolios and optimize operations on a single platform. The company's platform helps to structure action plans, project coordination, funding management, performance monitoring, and analysis, enabling firms to optimize their resources efficiently and effectively.</t>
  </si>
  <si>
    <t>Blast.Club</t>
  </si>
  <si>
    <t>energy project management, energy transition, environmental consulting, fund management, performance monitoring, project management</t>
  </si>
  <si>
    <t>CleanTech, Real Estate Technology, SaaS</t>
  </si>
  <si>
    <t>266535-91T</t>
  </si>
  <si>
    <t>Soteria Lab</t>
  </si>
  <si>
    <t>Consulting Services (B2B)*, Other Commercial Services</t>
  </si>
  <si>
    <t>Operator of a cybersecurity consultancy firm intended to protect small and medium-sized businesses. The company offers security services such as consulting, assessments, incident response, and training, enabling clients to improve their cyber resilience and maintain control over sensitive data.</t>
  </si>
  <si>
    <t>Bpifrance, ILP Group, Yeast (France)</t>
  </si>
  <si>
    <t>consultancy firm, crisis management, digital technology, ethical hacking, incident response, security policy</t>
  </si>
  <si>
    <t>266108-59T</t>
  </si>
  <si>
    <t>Apiday</t>
  </si>
  <si>
    <t>Developer of a data collection platform designed to make sustainability easy, measurable, and affordable for companies. The company's platform offers to manage extra-financial data, get specialist advice in one click enhanced by Artificial Intelligence, and easily gather the documents needed, enabling companies to improve ESG scores or make specific improvements.</t>
  </si>
  <si>
    <t>AENU, BD Partners, Daphni, Galion.exe, Revent Capital, Speedinvest, SWEN Capital Partners</t>
  </si>
  <si>
    <t>ai automation platform, capital market, compliance tool platform, data &amp; analytics, data analytics, data and analytics, data collection platform, esg data collection, esg data management, esg data software, social governance database</t>
  </si>
  <si>
    <t>258621-85T</t>
  </si>
  <si>
    <t>Hoope (Food Products)</t>
  </si>
  <si>
    <t>Food Products*, Internet Retail</t>
  </si>
  <si>
    <t>Operator of an organic food tech platform intended to produce organic and natural food products for vegan diets. The company's products use the full nutritional potential of superfoods like spirulina in breakfast biscuits, snack biscuits, crunchy mueslis, and gourmet spreads, enabling users to have alternatives to maintain a healthy lifestyle.</t>
  </si>
  <si>
    <t>Capitole Angels, Provence Business Angels</t>
  </si>
  <si>
    <t>food products, food tech company, food tech startup, snacks firm, sugar free product, vegan diet product</t>
  </si>
  <si>
    <t>258598-90T</t>
  </si>
  <si>
    <t>inHEART</t>
  </si>
  <si>
    <t>Developer of an advanced precision medicine designed for AI-based solutions for personalized treatment, prevention, and screening for cardiac arrhythmias, heart failure, and stroke. The company's platform transforms preoperative medical images into a digital twin of the patient's heart, enabling cardiologists to plan the procedure and assist in navigating instruments in the patient's heart, substantially reducing procedure duration and failure rates.</t>
  </si>
  <si>
    <t>Astorg, Cenitz, Cleverage Venture Capital, CWR Funds, Elaia Partners(Samantha Jérusalmy), Nouvelle Aquitaine Co-Investissement, Sagana, Sofia Angels Ventures, Vesalius Biocapital Partners(Jean-Christophe Renondin), Webit Investment Network (XBUL: WIN)</t>
  </si>
  <si>
    <t>advances visualization, analysis platform, artificial intelligence, cardiac electrophysiology, cardiac imaging, cardiac imaging device, medical image analysis, medical imaging</t>
  </si>
  <si>
    <t>Pessac, France</t>
  </si>
  <si>
    <t>254994-22T</t>
  </si>
  <si>
    <t>Moovency</t>
  </si>
  <si>
    <t>Developer of movement-tracking technology designed to identify musculoskeletal disruption in humans. The company's software connects to camera feeds in work environments such as manufacturing and construction to gauge the potential physical strain on workforces, enabling employers to analyze and measure human movement.</t>
  </si>
  <si>
    <t>FORVIA (PAR: FRVIA), Tudigo</t>
  </si>
  <si>
    <t>biomechanics analysis, computer visioning, ergonomics platform, health at work, movement sensing, movement tracker, musculoskeletal disorder, occupational health</t>
  </si>
  <si>
    <t>Bedee, France</t>
  </si>
  <si>
    <t>266899-42T</t>
  </si>
  <si>
    <t>Eco In Pack</t>
  </si>
  <si>
    <t>Operator of sustainability consulting intended to reduce environmental impact in packaging and product design. The company uses recycling systems, enabling businesses to implement circular economy practices and reduce their environmental footprint through training, support, and technology systems for glass container reuse.</t>
  </si>
  <si>
    <t>environmental footprint, green technology, product design, recycling systems, reused good, sustainable system</t>
  </si>
  <si>
    <t>Cognac, France</t>
  </si>
  <si>
    <t>275021-83T</t>
  </si>
  <si>
    <t>Eligo Bioscience</t>
  </si>
  <si>
    <t>Developer of antibiotics intended to treat microbiome precision and bacteria-associated diseases. The company's antibiotics combine sequencing systems with engineered phage capsids, to develop antimicrobials that are used to eradicate resistant pathogens or virulent bacteria within the human microbiome, enabling pharmaceutical companies to make medicines from pathogen-resistant antimicrobials.</t>
  </si>
  <si>
    <t>Vives Fund</t>
  </si>
  <si>
    <t>biotherapeutics biotechnology, biotherapeutics drugs, gene editing, microbiome biotechnology, microbiome technology platform, small molecule</t>
  </si>
  <si>
    <t>258462-82T</t>
  </si>
  <si>
    <t>3deus Dynamics</t>
  </si>
  <si>
    <t>Other Commercial Products, Other Commercial Services*, Other Healthcare Services, Printing Services (B2B)</t>
  </si>
  <si>
    <t>Operator of a three-dimensional printing company intended to build various products. The company uses dynamic modeling in its product manufacturing process which makes it possible to simulate composite materials and provide functional properties to the final object, enabling customers to print anything on demand.</t>
  </si>
  <si>
    <t>Elkem (OSL: ELK), European Innovation Council Fund</t>
  </si>
  <si>
    <t>3d printing, 3d printing process, additives product, anatomical model, manufacturing product, materials science, materials science research, surgery support</t>
  </si>
  <si>
    <t>3D Printing, Advanced Manufacturing, Manufacturing</t>
  </si>
  <si>
    <t>282009-79T</t>
  </si>
  <si>
    <t>Doado</t>
  </si>
  <si>
    <t>Application Software, Other Healthcare Services*</t>
  </si>
  <si>
    <t>Developer of a mobile application designed to guide users step by step in improving their back health and preventing Musculoskeletal Disorders. The company offers personalized video programs, expert advice from physiotherapists and doctors, and AI-driven progress tracking, enabling individuals and companies to maintain an active lifestyle and reduce the risk of chronic back pain.</t>
  </si>
  <si>
    <t>Bpifrance, New Aquitaine Region</t>
  </si>
  <si>
    <t>back pain, chronic care, health application, health technology, mobile application, progress tracking</t>
  </si>
  <si>
    <t>259081-39T</t>
  </si>
  <si>
    <t>Underdog</t>
  </si>
  <si>
    <t>Household Appliances*, Specialty Retail</t>
  </si>
  <si>
    <t>Operator of a second-hand goods online platform intended to provide pre-owned home appliances with a warranty. The company offers all kinds of diagnosed, repaired, cleaned, and thoroughly tested appliances with the mission to get recycled and consume better, enabling customers to have recycled appliances checked by professionals at lower rates.</t>
  </si>
  <si>
    <t>Global Founders Capital, SISTAFUND</t>
  </si>
  <si>
    <t>consumer products, home appliances, household appliances seller, online ordering, online platform, reconditioning system, refurbished items selling, secondhand buy</t>
  </si>
  <si>
    <t>259301-44T</t>
  </si>
  <si>
    <t>Adamik</t>
  </si>
  <si>
    <t>DAOs</t>
  </si>
  <si>
    <t>Business/Productivity Software*, Financial Software</t>
  </si>
  <si>
    <t>Developer of an application programming designed for powering multichain applications. The company's platform integrates protocols and the management of on-chain operations across various networks by offering a single interface for developers that serves as the blockchain middleware for businesses, enabling industries to streamline the management of on-chain operations across diverse networks.</t>
  </si>
  <si>
    <t>blockchain model, blockchain services, dao tools, defi services, multichain application, protocol layer</t>
  </si>
  <si>
    <t>259952-86T</t>
  </si>
  <si>
    <t>ANALGESIA Institute</t>
  </si>
  <si>
    <t>Operator of a research institute intended to provide information on chronic pain. The company supports and accompanies innovation projects against pain, whether human or animal, enabling clients to decompartmentalize research and effectively bring together teams that are distant, from a scientific point of view.</t>
  </si>
  <si>
    <t>Elaia Partners</t>
  </si>
  <si>
    <t>chronic pain, pet healthcare, research firm, research institute, therapeutic strategy, translational research</t>
  </si>
  <si>
    <t>258409-36T</t>
  </si>
  <si>
    <t>Lingo (Financial Services)</t>
  </si>
  <si>
    <t>Blockchain Real Estate</t>
  </si>
  <si>
    <t>Operator of a blockchain company intended to reward its community with vacations. The company facilitates to use blockchain to acquire real estate assets around the world and then rewards its investors with vacations thanks to real estate yields, enabling customers to transform the way the world thinks about and interacts with blockchain.</t>
  </si>
  <si>
    <t>BasedVC, BlackDragon (Zagreb), Digital Consensus Fund</t>
  </si>
  <si>
    <t>blockchain company, blockchain company developer, real estate asset, travel rewards, travel rewards program, vacation rewards</t>
  </si>
  <si>
    <t>Cryptocurrency/Blockchain, Real Estate Technology</t>
  </si>
  <si>
    <t>276656-77T</t>
  </si>
  <si>
    <t>Melia</t>
  </si>
  <si>
    <t>Other Commercial Products*, Other Consumer Durables</t>
  </si>
  <si>
    <t>Manufacturer of eco-friendly heating pellets designed for sustainable energy options. The company utilizes a process to convert non-forest wood waste from local regions into high-quality pellets, offering a stable and controlled-cost alternative and ensuring a reliable heating source by producing pellets with consistent performance characteristics, such as optimal diameter, length, durability, moisture content, ash content, and calorific value, enabling consumers to access an efficient and environmentally conscious heating option.</t>
  </si>
  <si>
    <t>Climate Club (Paris)</t>
  </si>
  <si>
    <t>alternative fuel, decarbonize power, eco-friendly fuel, ecological fuel, heating pellets, renewable energy, sustainable fuel, wood pellet fuel</t>
  </si>
  <si>
    <t>259315-03T</t>
  </si>
  <si>
    <t>Merci Internet</t>
  </si>
  <si>
    <t>Entertainment Software, Movies, Music and Entertainment, Other Services (B2C Non-Financial)*</t>
  </si>
  <si>
    <t>Operator of an event studio intended for entertainment activities. The company specializes in providing various entertainment avenues such as internet games led by virtual hosts and other fun activities, enabling users with private online venues to create surprise, laughter, and excitement.</t>
  </si>
  <si>
    <t>entertainment platform, event management, fun activities, online events, personalized experience, social experience</t>
  </si>
  <si>
    <t>Augmented Reality</t>
  </si>
  <si>
    <t>259318-99T</t>
  </si>
  <si>
    <t>Meuf</t>
  </si>
  <si>
    <t>Application Software, Clothing*</t>
  </si>
  <si>
    <t>Operator of a menstrual panties and clothing brand intended to sell online. The company provides womens cloth to express themselves and offers e-commerce space to buy merchandise, enabling girls to foster an environment of freedom, security, and sorority buy wearing shirts.</t>
  </si>
  <si>
    <t>e commerce, merchandise shops, shopping platform, social media platform, women clothes, womens fashion</t>
  </si>
  <si>
    <t>253209-79T</t>
  </si>
  <si>
    <t>Morpho</t>
  </si>
  <si>
    <t>Decentralized Finance</t>
  </si>
  <si>
    <t>Developer of a decentralized lending platform designed to earn yield and reduce borrowing costs. The company's platform offers financial services and has developed a technical system based on smart contracts that helps the borrowing and lending of digital assets in a decentralized manner, enabling clients to improve their creditability while maintaining the crypto pool's flexibility.</t>
  </si>
  <si>
    <t>Andreessen Horowitz, BlockTower Capital, Brevan Howard Asset Management, Cherry Ventures, Coinbase Ventures, Fenbushi Capital, Hack VC, IOSG Ventures, Kraken Ventures, L1D, LeadBlock Partners, Mirana Ventures, Pantera Capital(Lauren Stephanian), Ribbit Capital, Robot Ventures, Rockaway Capital, RockawayX, Semantic Ventures, Steakhouse Financial, Strobe Ventures, Variant (Brooklyn), Veris Ventures</t>
  </si>
  <si>
    <t>blockchain software, blockchain software developer, blockchain software development, crypto borrowing, crypto lending, crypto yield generation, decentralized lending, decentralized lending platform, defi, lending platform software</t>
  </si>
  <si>
    <t>259934-32T</t>
  </si>
  <si>
    <t>Predilepsy</t>
  </si>
  <si>
    <t>Operator of a scientific community intended to accelerate understanding of epilepsy and improve patients' lives. The company gathers experts from various fields to collaborate on research projects to develop algorithms to detect and predict epileptic seizures, enabling scientists to significantly change the way people with epilepsy live with the disease.</t>
  </si>
  <si>
    <t>epilepsy care, epilepsy research, epilepsy therapy, epileptic seizure detection, epileptic seizures, scientific community</t>
  </si>
  <si>
    <t>259700-05T</t>
  </si>
  <si>
    <t>Routine</t>
  </si>
  <si>
    <t>Developer of a task management software designed to organize and act upon professional and personal tasks. The company's platform helps in defining routines, process schedules and allotting time slots for various tasks, enabling users to interconnect their tasks and manage their time efficiently.</t>
  </si>
  <si>
    <t>Failup Ventures, Fjor (US), Market One Capital</t>
  </si>
  <si>
    <t>scheduling platform, scheduling software, task management software, task organizer, time management, time slots management</t>
  </si>
  <si>
    <t>Saint Mande, France</t>
  </si>
  <si>
    <t>275130-01T</t>
  </si>
  <si>
    <t>STH Biotech</t>
  </si>
  <si>
    <t>Operator of a biotechnology company intended to extract cannabis-based therapeutic compounds to help fuel pharmaceutical innovation. The company's method extracts active pharmaceutical ingredients (APIs) from plants and provides a reliable plant-biotech process to produce cannabinoids at high yield &amp; low cost, enabling researchers to discover and develop new drugs that can improve healthcare outcomes for patients.</t>
  </si>
  <si>
    <t>bioproduction technology, cannabis extraction, chronic pain, mental disorder, neurodegenerative diseases, pharmaceutical ingredients, therapeutic compounds</t>
  </si>
  <si>
    <t>Évry-Courcouronnes, France</t>
  </si>
  <si>
    <t>259311-70T</t>
  </si>
  <si>
    <t>ZML</t>
  </si>
  <si>
    <t>Developer of an artificial intelligence stack designed for production. The company is currently operating in stealth mode.</t>
  </si>
  <si>
    <t>20VC, Kima Ventures</t>
  </si>
  <si>
    <t>stealth activity, stealth company, stealth company operations, stealth market, stealth product, stealth website</t>
  </si>
  <si>
    <t>258304-51T</t>
  </si>
  <si>
    <t>Chaplain</t>
  </si>
  <si>
    <t>Automotive*, Other Commercial Services</t>
  </si>
  <si>
    <t>Provider of industrial maintenance services intended for the repair of mechanical equipment. The company offers a wide range of spare parts and automotive parts including engines, steering boxes, cylinder heads, gearboxes, axles, axle noses, pumps and ventilations, welders and portable tools, enabling clients to get the maintenance services as per their needs.</t>
  </si>
  <si>
    <t>industrial equipment, industrial gearboxes, industrial maintenance facility, industrial maintenance parts, industrial maintenance service, maintenance service tools, mechanical equipment installation, mechanical equipment repair</t>
  </si>
  <si>
    <t>Quimper, France</t>
  </si>
  <si>
    <t>193316-68T</t>
  </si>
  <si>
    <t>Keenturtle</t>
  </si>
  <si>
    <t>Developer of a clinical decision platform designed to detect in real-time the risks of medication prescription errors, taking into account the specificity of each patient. The company's platform prevents hospital iatrogeny and also provides the pharmacist with personalized and contextualized decision support, enabling doctors to make the right decisions at the right time.</t>
  </si>
  <si>
    <t>Extens, Sham Innovation Santé, Turenne Groupe</t>
  </si>
  <si>
    <t>clinical decision making, clinical decision support, clinical decision tools, medication prescription service, medication tools, patient evaluation</t>
  </si>
  <si>
    <t>HealthTech, SaaS</t>
  </si>
  <si>
    <t>258090-22T</t>
  </si>
  <si>
    <t>See You Sun</t>
  </si>
  <si>
    <t>Developer of solar photovoltaic power plants designed for communities, industrial, commercial, and retail sectors. The company's platform offers features including individual and collective self-consumption, power purchase agreements (PPAs), energy storage, electric vehicle and bicycle charging stations, self-service bicycle rentals, rainwater harvesting, and storage systems, enabling markets to generate clean electricity, reduce reliance on traditional energy sources, and lower their energy costs.</t>
  </si>
  <si>
    <t>Banque des Territoires, Demeter Partners</t>
  </si>
  <si>
    <t>charging station, energy producer, renewable energy, renewable energy power, renewable energy site, self service, smart charging, solar panels</t>
  </si>
  <si>
    <t>Cesson-Sevigne, France</t>
  </si>
  <si>
    <t>258113-98T</t>
  </si>
  <si>
    <t>TransOceanic Wind Transport</t>
  </si>
  <si>
    <t>Environmental Services (B2B), Logistics*</t>
  </si>
  <si>
    <t>Provider of zero-emission cargo ships intended to decarbonize and depollute the shipping industry using wind propulsion. The company's platform features a fleet of cargo ships that will transport goods across the Atlantic Ocean, enabling the shipping industry to reduce its environmental impact.</t>
  </si>
  <si>
    <t>Bpifrance, Caisse des Dépôts et Consignations, CIC Lyonnaise de Banque, Crédit Mutuel Impact, The National Association of Residential Property Managers</t>
  </si>
  <si>
    <t>cargo services, logistics services, marine transport, maritime transport, shipping industry, transportation service</t>
  </si>
  <si>
    <t>Le Havre, France</t>
  </si>
  <si>
    <t>258115-96T</t>
  </si>
  <si>
    <t>Carbonfact</t>
  </si>
  <si>
    <t>Yes</t>
  </si>
  <si>
    <t>Non-participating</t>
  </si>
  <si>
    <t>Developer of an online listing platform intended to offer the carbon footprint database of products. The company's platform provides data about the carbon emission of fashion brands and accessories for consumers to become carbon footprint fact-checker, enabling brands in the fashion industry to upload their carbon footprint facts and publicize sustainability.</t>
  </si>
  <si>
    <t>Alven Capital Partners(Bartosz Jakubowski), Climate Capital, Headline(Jonathan Userovici), Y Combinator</t>
  </si>
  <si>
    <t>carbon accounting, carbon analytics, carbon emission control, carbon emission data, carbon emission service, carbon footprint management, carbon footprint tracker, carbon footprinting, carbon tech, carbon technology</t>
  </si>
  <si>
    <t>CleanTech, Climate Tech, SaaS</t>
  </si>
  <si>
    <t>272676-61T</t>
  </si>
  <si>
    <t>Diag n'Grow</t>
  </si>
  <si>
    <t>Developer of a valuation platform designed to simplify the management of intangible assets. The company's platform offers financial valuation for taxation, implementation of contracts, reorganizations, financing, litigation, business transfer, and financial management, allowing users with a valuation useful for patents, brands, and software.</t>
  </si>
  <si>
    <t>Scale Up Capital</t>
  </si>
  <si>
    <t>business transfer, financial management, financing model, intangible assets, litigation support, taxation tools, valuation platform</t>
  </si>
  <si>
    <t>270341-20T</t>
  </si>
  <si>
    <t>HEC Ventures, InnovAllianz, Racine2</t>
  </si>
  <si>
    <t>263885-14T</t>
  </si>
  <si>
    <t>Omi (Multimedia and Design Software)</t>
  </si>
  <si>
    <t>Media and Information Services (B2B), Multimedia and Design Software*</t>
  </si>
  <si>
    <t>Developer of an artificial intelligence-powered three-dimensional visualization designed to enhance brand perception, and optimize marketing efforts. The company's platform utilizes artificial intelligence to create lifelike models of physical products and offers a library of templates to standardize their imagery, enabling businesses to streamline visual marketing efforts, reduce costs, maintain brand consistency, and drive higher engagement and sales.</t>
  </si>
  <si>
    <t>Alexis Bonillo(Alexis Bonillo), Dawn Capital(Daniel Chaplin), Evolem, Famille C, Financière Saint James, Founders Future(Marc Menasé), Guillaume Houze(Guillaume Houze), Laurent Ritter(Laurent Ritter), Motier Ventures, Paul Robson(Paul Robson)</t>
  </si>
  <si>
    <t>3d model creation, 3d software, crm, customer relationship management, ecommerce search, marketing efficiency, marketing optimization, visual creation, visual marketing</t>
  </si>
  <si>
    <t>258156-73T</t>
  </si>
  <si>
    <t>SpinEM Robotics</t>
  </si>
  <si>
    <t>Other Hardware, Surgical Devices*</t>
  </si>
  <si>
    <t>Operator of a robotics company intended to focus on spinal surgery. The company offers unspecified robotic surgical tools for spinal procedures, enabling spinal surgeons to offer precise surgical procedures, and enabling spinal surgeons with a performance they can depend on for accurate surgical procedures.</t>
  </si>
  <si>
    <t>Spineart(Jerome Trividic)</t>
  </si>
  <si>
    <t>medical assistance, medical robots, robotics surgery, robotics surgery device, spinal surgery device, spinal surgery solutions</t>
  </si>
  <si>
    <t>Saint Martin D Heres, France</t>
  </si>
  <si>
    <t>257778-55T</t>
  </si>
  <si>
    <t>Alt-G Protein</t>
  </si>
  <si>
    <t>Operator of a biotechnology company intended to create a protein-rich ingredient from micro-algae. The company offers technology for cultivating a protein-rich ingredient using micro-algae to provide a sustainable and resilient protein source, enabling customers to develop sustainable and alternative food sources.</t>
  </si>
  <si>
    <t>Asterion</t>
  </si>
  <si>
    <t>algae protein, alternative protein sourcing, alternative proteins, biotechnology company, protein developer, protein ingredients</t>
  </si>
  <si>
    <t>245436-13T</t>
  </si>
  <si>
    <t>Cycloid</t>
  </si>
  <si>
    <t>FinOps</t>
  </si>
  <si>
    <t>Developer of a platform engineering tool designed to optimize infrastructure and software delivery while promoting digital sobriety. The company offers a ready-to-use platform that accelerates deployment timelines, alleviates the cognitive load on IT teams, and integrates FinOps and Green IT practices, enabling enterprises to enhance efficiency and sustainability in their software development processes.</t>
  </si>
  <si>
    <t>Reflexion Capital</t>
  </si>
  <si>
    <t>carbon accounting software, cloud management platform, developer tools platform, green computing, hybrid cloud management, internal developer platform, platform engineering</t>
  </si>
  <si>
    <t>CleanTech, Climate Tech, CloudTech &amp; DevOps, FinTech, Infrastructure, SaaS</t>
  </si>
  <si>
    <t>249480-64T</t>
  </si>
  <si>
    <t>Paradigme</t>
  </si>
  <si>
    <t>Sustainable Fashion</t>
  </si>
  <si>
    <t>Clothing, Specialty Retail*</t>
  </si>
  <si>
    <t>Operator of a clothing company intended for buying and selling second-hand clothing and accessories from well-known brands. The company's platform makes it easy for people to declutter their closets and give their pre-loved clothes a new lease on life, and promotes a more circular and sustainable approach to fashion, enabling users to look for both stylish and eco-friendly fashion options.</t>
  </si>
  <si>
    <t>Campus Fund, Edouard Nattée(Edouard Nattée), Fabrice Lepine(Fabrice Lepine), Frédéric Maus(Frédéric Maus), Grégoire Baudry(Grégoire Baudry), Hartwood, Illan Benhaim(Illan Benhaim), Marine de Waziers(Marine de Waziers), One Green (Paris), SRP Groupe (PAR: SRP), Vanessa Proust(Vanessa Proust)</t>
  </si>
  <si>
    <t>clothing resale, reselling clothes, sustainable fashion, used cloth reseller, used clothes shop, vintage clothing</t>
  </si>
  <si>
    <t>257758-66T</t>
  </si>
  <si>
    <t>Pixacare</t>
  </si>
  <si>
    <t>Developer of medical imaging system designed to transform the smartphone camera into a secure documentation tool. The company's medical imaging application monitors and anticipates complications of chronic and post-surgery wounds, and its software transforms any smartphone camera into a medical device and can be used by home-care staff, surgeons, and dermatologists, enabling nurses to save time for visual specialties and optimize their activities.</t>
  </si>
  <si>
    <t>50 Partners, Bpifrance(Eva Clerc), Elaia Partners(Céline Passedouet)</t>
  </si>
  <si>
    <t>medical imaging application, medical imaging data, medical imaging record, medical imaging software, medical imaging tool, medical record system</t>
  </si>
  <si>
    <t>Digital Health, HealthTech, Mobile, SaaS</t>
  </si>
  <si>
    <t>257763-52T</t>
  </si>
  <si>
    <t>United Visual Researchers</t>
  </si>
  <si>
    <t>Business/Productivity Software, Multimedia and Design Software*, Other Hardware</t>
  </si>
  <si>
    <t>Developer of visualization software built for physical-realistic simulation of appearance materials. The company reduces the need for physical prototypes and mockups in the design process and uses a scientific approach is disrupting data visualization towards Iso-photography also enables designers and engineers to perform extremely precise spectral and polarized optical, enabling customers to reduce the need for physical prototypes and mock-ups in the design process.</t>
  </si>
  <si>
    <t>GO Capital (France)(Frederic Le Brun)</t>
  </si>
  <si>
    <t>data simulation, data visualization, engineering simulation, predictive solutions development, simulation software, virtual prototyping</t>
  </si>
  <si>
    <t>257635-09T</t>
  </si>
  <si>
    <t>Addendum Capital(Enrico Raggini), Karista (Paris)(Emmanuel Daugeras), Karma Ventures(Kristjan Laanemaa), Partnership Fund for New York City(Maria Gotsch), SYN Ventures(Jay Leek)</t>
  </si>
  <si>
    <t>257698-90T</t>
  </si>
  <si>
    <t>Gleeph</t>
  </si>
  <si>
    <t>Application Software, Social Content, Social/Platform Software*</t>
  </si>
  <si>
    <t>Developer of a social media application designed to connect with like-minded readers. The company offers a mobile application to manage the virtual library, receive personalized reading suggestions, and share books with other people, enabling readers to create and manage their digital book library.</t>
  </si>
  <si>
    <t>Banque des Territoires, Bpifrance, Ministry of Culture</t>
  </si>
  <si>
    <t>digital library platform, library management solutions, readers application, reader's community, readers forum, virtual library solution</t>
  </si>
  <si>
    <t>La Rochelle, France</t>
  </si>
  <si>
    <t>257664-88T</t>
  </si>
  <si>
    <t>La Conciergerie Solidaire</t>
  </si>
  <si>
    <t>Human Capital Services, Other Commercial Services*</t>
  </si>
  <si>
    <t>Provider of concierge services intended to support integration through economic activity by hiring people excluded from employment. The company's services perform a tour of duty at the customer locations as well as various kinds of services, ranging from day-to-day assistance to employees to support for small, mid-sized, and very small enterprises, enabling clients to stay focused on their core business.</t>
  </si>
  <si>
    <t>Inco Ventures, Phitrust Partenaires</t>
  </si>
  <si>
    <t>concierge platform, concierge service, corporate concierge, customer relation, professional integration, turnkey service</t>
  </si>
  <si>
    <t>257533-84T</t>
  </si>
  <si>
    <t>RockFi</t>
  </si>
  <si>
    <t>Asset Management*</t>
  </si>
  <si>
    <t>Operator of a private wealth management firm intended to combine the best of traditional finance with that of the financial technology ecosystem. The company offers life insurance, securities accounts, private equity, and pension savings among others, enabling investors to get a tailored ecosystem of technological tools and investment options.</t>
  </si>
  <si>
    <t>Alexandre Dalyac, Antoine Freysz(Antoine Freysz), Quentin Nickmans, Varsity fund</t>
  </si>
  <si>
    <t>financial technology, investment options, life insurance, pension savings, private equity, private wealth, traditional finance, wealth management</t>
  </si>
  <si>
    <t>Asset Management</t>
  </si>
  <si>
    <t>257616-19T</t>
  </si>
  <si>
    <t>Snowleader</t>
  </si>
  <si>
    <t>Accessories, Recreational Goods*</t>
  </si>
  <si>
    <t>Operator of a retail platform intended to sell sports accessories at an affordable price. The company's platform sells sports and outdoor activity accessories, shoes, equipment, and apparel, enabling ski and mountain enthusiasts to get a variety of brands and product references with free home delivery and returns.</t>
  </si>
  <si>
    <t>Crédit Agricole des Savoie(François Larochette)</t>
  </si>
  <si>
    <t>online shopping platform, skiing product, sporting good seller, sports accessories, sports accessories online retail, sports activities, sports equipment</t>
  </si>
  <si>
    <t>Recreational Goods</t>
  </si>
  <si>
    <t>Epagny Metz-Tessy, France</t>
  </si>
  <si>
    <t>174347-38T</t>
  </si>
  <si>
    <t>Upflow.</t>
  </si>
  <si>
    <t>Developer of a financial platform designed to drive cash collection for fast-growing business-to-business tech companies. The company's platform offers a systematic follow-up on the customers' unpaid invoices, automatically sends customized emails and registered letters to unpaid accounts, updates designated team members when accounting status changes, and handles payments, enabling companies to manage their unpaid invoices.</t>
  </si>
  <si>
    <t>9Yards Capital, Didier Valet(Didier Valet), Hexa(Thibaud Elzière), Lorimer Ventures(Nicholas Wijnberg), Maximilian Tayenthal(Maximilian Tayenthal), Nathaniel Matherson(Nathaniel Matherson), Pierre-Dimitri Gore-Coty(Pierre-Dimitri Gore-Coty), Raffael Johnen(Raffael Johnen), Techmind, Y Combinator</t>
  </si>
  <si>
    <t>ap automation, ar automation, cfo stack, customer payment, enterprise resource planning, expense management, financial management system, invoice payment, online payment app, online payment tools, payment info</t>
  </si>
  <si>
    <t>273686-59T</t>
  </si>
  <si>
    <t>Ecodair</t>
  </si>
  <si>
    <t>Computers, Parts and Peripherals*, Internet Retail</t>
  </si>
  <si>
    <t>Provider of computer hardware repairing services intended to provide work for the mentally handicapped persons. The company's computer hardware repairing service is engaged in sorting, refurbishing, reconditioning and sales of computing equipment, enabling mentally handicapped persons to regain their identities by participating in and integrating a normal working environment.</t>
  </si>
  <si>
    <t>Banque des Territoires, BNP Paribas (PAR: BNP), CM-CIC Asset Management, Phitrust Partenaires</t>
  </si>
  <si>
    <t>computer hardware items, computer hardware support services, computer hardware system, computer repair company, computer repairing service provider, hardware repair</t>
  </si>
  <si>
    <t>257428-72T</t>
  </si>
  <si>
    <t>Payflows</t>
  </si>
  <si>
    <t>Automation/Workflow Software, Business/Productivity Software, Financial Software*, Other Financial Services</t>
  </si>
  <si>
    <t>Developer of a treasury management software designed to help businesses manage finances. The company's platform uses artificial intelligence to automate data gathering, reporting, benchmarking, and order execution tasks, enabling businesses to reduce costs and streamline operational cash flows.</t>
  </si>
  <si>
    <t>20VC, Balderton Capital(Rana Yared), Groupe Galeries Lafayette, Headline(Jonathan Userovici), Motier Ventures, Ribbit Capital</t>
  </si>
  <si>
    <t>account receivables management, business finances software, cfo stack, data automation tools, enterprise resource planning, erp, finance automation platform, financial management system, treasury automation, treasury management tool</t>
  </si>
  <si>
    <t>257488-57T</t>
  </si>
  <si>
    <t>Zefir</t>
  </si>
  <si>
    <t>Operator of an online real estate marketplace intended to simplify home buying and selling. The company's marketplace uses advanced valuation algorithms and automated processes to offer sellers the opportunity to receive an offer without listing or showing their homes, enabling customers to buy and sell properties in an easier way.</t>
  </si>
  <si>
    <t>Heartcore Capital, Sequoia Capital(George Robson), Stride.VC(Fred Destin), Third Kind Venture Capital, Zigg Capital</t>
  </si>
  <si>
    <t>real estate market, real estate marketplace, real estate purchasing, real estate technology, real estate transaction, residential real estate sale</t>
  </si>
  <si>
    <t>219072-79T</t>
  </si>
  <si>
    <t>Ascendance</t>
  </si>
  <si>
    <t>Aerospace and Defense, Air*</t>
  </si>
  <si>
    <t>Manufacturer of aircraft systems intended to change the way people move and live around cities. The company's system blends into existing infrastructures and regulations to ease its deployment and maximize social acceptance, enabling clients to get access to aircraft with low noise signature and low operational costs.</t>
  </si>
  <si>
    <t>ARIS Occitanie, Audacia (PAR: ALAUD), Bpifrance, Celad, Celeste Funds Management, Eurazeo (PAR: RF), Expansion Ventures, Habert Dassault Finance, IRDI Capital Investissement(Jean-Christophe Kugler), M Capital Partners, Negocia Capital(Thierry Tea), SC Mahé, Scan Global Logistics (Hvidovre), Snaw Ventures(Adrien Montfort)</t>
  </si>
  <si>
    <t>advances air mobility, aircraft center, aircraft supply, aviation flight, flight navigation, flight technology</t>
  </si>
  <si>
    <t>Air</t>
  </si>
  <si>
    <t>Climate Tech, Manufacturing, Mobility Tech</t>
  </si>
  <si>
    <t>257393-71T</t>
  </si>
  <si>
    <t>Terriflux</t>
  </si>
  <si>
    <t>Developer of an environmental resource management platform intended to manage material, energy, monetary and environmental flows. The company's platform offers modeling and simulation services for material flows to inter-municipal bodies, institutions and interprofessional associations in sectors including agriculture and forestry, enabling clients to communicate, diagnose and anticipate together in a constrained world.</t>
  </si>
  <si>
    <t>Bpifrance, CoopVenture, La Banque Postale</t>
  </si>
  <si>
    <t>material flow management, resource management platform, resource management system, simulation platform, simulation process, simulation service</t>
  </si>
  <si>
    <t>248529-88T</t>
  </si>
  <si>
    <t>Qoontoo</t>
  </si>
  <si>
    <t>Internet Service Providers*</t>
  </si>
  <si>
    <t>Operator of an internet service providing company intended to help residents enter the digital era. The company's platform offers broadband at low prices and thus allows to fight against the economic and social digital divide, enabling users to get access to wide range of channels or mobile internet plans.</t>
  </si>
  <si>
    <t>Anjou Amorcage</t>
  </si>
  <si>
    <t>connected home, internet connection, internet connection service, internet coverage, internet management, internet sevices, smart building, smart tv application, teleworking service</t>
  </si>
  <si>
    <t>274041-10T</t>
  </si>
  <si>
    <t>Merci Julie</t>
  </si>
  <si>
    <t>Other Healthcare Services*, Other Services (B2C Non-Financial)</t>
  </si>
  <si>
    <t>Operator of occupational therapy services for seniors and individuals with disabilities. The company offers personalized occupational therapy services, home assessments, strategic advice, and tele-occupational therapy, enabling seniors to maintain their quality of life and reduce the risk of falls.</t>
  </si>
  <si>
    <t>Banque des Territoires, BNP Paribas (PAR: BNP), Caisse des Dépôts et Consignations, Esfin Gestion</t>
  </si>
  <si>
    <t>elderly care, home diagnostics, reduce risk, senior care service, specialized services, therapy services</t>
  </si>
  <si>
    <t>Fontenay-Sous-Bois, France</t>
  </si>
  <si>
    <t>257150-80T</t>
  </si>
  <si>
    <t>AVID3, Bing Ventures, Breed VC, DCFGod DCFGod, Dewhales Capital, Eli Eli(Eli Eli), Flowdesk, Fourth Revolution Capital, GSR, Hypersphere Ventures, IOSG Ventures(Jocy Lin), Jordi Alexander(Jordi Alexander), Kima Ventures, Kraken Ventures(Stuti Pandey), LBank Labs, Mantle (Financial Software), Psalion, Public Works (Canada), Rand Hindi(Rand Hindi), Sebastien Couture(Sebastien Couture), Spencer Noon(Spencer Noon), StarkWare, TRGC, X Ventures (Germany)</t>
  </si>
  <si>
    <t>257253-31T</t>
  </si>
  <si>
    <t>CibleR</t>
  </si>
  <si>
    <t>Developer of a marketing platform designed to transform the shopping experience for e-commerce companies and local customers. The company's platform offers an artificial intelligence-based tool that collects past and real-time data to understand visitor expectations, and provides offers to each customer, enabling companies to target and retain audiences and increase profitability.</t>
  </si>
  <si>
    <t>Credit Agricole (PAR: ACA)(Laurent Hadjakli), La Fabrique by CA</t>
  </si>
  <si>
    <t>ai marketing, customer management, customer targeting solution, ecommerce marketing, marketing platform service, marketing tool platform</t>
  </si>
  <si>
    <t>241911-37T</t>
  </si>
  <si>
    <t>HyLight</t>
  </si>
  <si>
    <t>Aerospace and Defense, Environmental Services (B2B), Other Commercial Services*, Other Hardware</t>
  </si>
  <si>
    <t>Operator of unmanned airship systems intended to make aerial monitoring sustainable and accessible. The company helps to provide aerial data collection and analysis services for the inspection of power lines, gas pipelines, and compressor stations, diagnose areas of disease, stress, and cartography to provide detailed reports on the condition of the infrastructure, enabling clients to receive accurate results and identify weaknesses near power lines to prevent outages.</t>
  </si>
  <si>
    <t>Abhishek Tripathi(Abhishek Tripathi), Collaborative Fund, Earth Venture Capital, Kima Ventures, Marc Tarpenning(Marc Tarpenning), Mergus Ventures, Myriam Maestroni(Myriam Maestroni), Ring Capital(Gaspard Martin), Y Combinator</t>
  </si>
  <si>
    <t>aerial data, aerial data collection, aerial data collection service, aerial inspection, airships drones, analysis service, data collection, data collection system, transfer data</t>
  </si>
  <si>
    <t>Oil &amp; Gas, Robotics and Drones</t>
  </si>
  <si>
    <t>Le Plessis-Pâté, France</t>
  </si>
  <si>
    <t>257446-18T</t>
  </si>
  <si>
    <t>LinkX Robotics</t>
  </si>
  <si>
    <t>Developer of knee ligament surgery robotic technologies designed to address knee ligament injuries. The company developing innovative solutions with 3D planning and robotics technologies to address precisely knee ligament injuries, enabling clients to offer a minimally invasive surgical procedure that may improve upon traditional techniques.</t>
  </si>
  <si>
    <t>SUROSH</t>
  </si>
  <si>
    <t>injury care, knee surgery device, knee surgery robotics, ligament surgeries, surgical robotics, surgical robotics company</t>
  </si>
  <si>
    <t>Saint Martin D Hères, France</t>
  </si>
  <si>
    <t>257451-49T</t>
  </si>
  <si>
    <t>Zentact Robotics</t>
  </si>
  <si>
    <t>Developer of robotic solutions designed to improve Ear, Nose and Throat surgeries. The company offers telemanipulated robots for endoscopic ENT surgery, enabling surgeons to perform precise and complex operations in narrow areas with greater ease and control.</t>
  </si>
  <si>
    <t>ear surgery, ent surgery, nose surgery, robotic solutions, surgical robotics, throat surgery</t>
  </si>
  <si>
    <t>Saint-Martin-d'Hères, France</t>
  </si>
  <si>
    <t>256637-35T</t>
  </si>
  <si>
    <t>Comet Software</t>
  </si>
  <si>
    <t>Operator of a business software publishing company intended to offer autonomy and independence to companies. The company offers software focused on niche markets, enabling customers to benefit from a decentralized model with perpetual ownership, while still offering support in development.</t>
  </si>
  <si>
    <t>business software company, business software developer, software development company, software development firm, software publishing company, software publishing service</t>
  </si>
  <si>
    <t>265528-27T</t>
  </si>
  <si>
    <t>SkillMapper</t>
  </si>
  <si>
    <t>Education and Training Services (B2B)*, Educational and Training Services (B2C)</t>
  </si>
  <si>
    <t>Operator of a global learning hub intended to empower young professionals. The company leverages proprietary artificial intelligence to guide toward finding online education sources while streamlining the job-hunting process, enabling customers to build a global learning community that facilitates future-proof upskilling.</t>
  </si>
  <si>
    <t>ai copilot, global learning, global learning community, knowledge extraction, learning community, learning community platform, learning hub</t>
  </si>
  <si>
    <t>256763-80T</t>
  </si>
  <si>
    <t>Orixha</t>
  </si>
  <si>
    <t>Developer of a fluid ventilation device designed to offer cooling after cardiac arrest. The company's device transforms the patient's lungs into an extremely efficient heat exchange chamber with the blood, enabling doctors to protect vital organs from the sequelae caused by reperfusion.</t>
  </si>
  <si>
    <t>Bpifrance, European Innovation Council Fund</t>
  </si>
  <si>
    <t>critical care, inpatient care, medical device, medical device company, medical device design, medical device development, medical device industry, ventilation device</t>
  </si>
  <si>
    <t>Maisons-Alfort, France</t>
  </si>
  <si>
    <t>266231-08T</t>
  </si>
  <si>
    <t>PioniQ</t>
  </si>
  <si>
    <t>Energy Storage*, Other Commercial Products</t>
  </si>
  <si>
    <t>Developer of a sustainable energy storage device designed from quantum modeling of materials. The company is currently operating in stealth mode.</t>
  </si>
  <si>
    <t>Quantonation(Christophe Jurczak)</t>
  </si>
  <si>
    <t>energy storage, quantum materials, research services, stealth business, stealth company, stealth entity</t>
  </si>
  <si>
    <t>Energy Storage</t>
  </si>
  <si>
    <t>256495-15T</t>
  </si>
  <si>
    <t>Weenat</t>
  </si>
  <si>
    <t>Application Software, Electronic Equipment and Instruments*, Other Agriculture</t>
  </si>
  <si>
    <t>Developer of an agriculture platform designed to connect plots and create a network of precision agronomy. The company's device via integration with the platform offers weather analysis and crop protection and is connected to meteorological sensors, to provide real-time data and decision support systems, enabling farmers to optimize their resources, by bringing them localized information.</t>
  </si>
  <si>
    <t>ECBF Management(Stephane Roussel), IDIA Capital Investissement, Liberset, Pymwymic</t>
  </si>
  <si>
    <t>agriculture platform, agronomy information, climate forecast, farm management software, irrigation application, meteo climatic services, plant protection, precision ag, precision agriculture</t>
  </si>
  <si>
    <t>AgTech, Supply Chain Tech</t>
  </si>
  <si>
    <t>256446-46T</t>
  </si>
  <si>
    <t>BoydSense</t>
  </si>
  <si>
    <t>Monitoring Equipment*</t>
  </si>
  <si>
    <t>Developer of a medical device designed to simplify the monitoring, screening, and risk stratification of chronic conditions through an exhaled breath. The company's system is breath-based metabolomics focuses on the capture, identification, and quantification of volatile organic compound (VOC) biomarker patterns in human breath, enabling medical professionals to diagnose and monitor chronic diseases.</t>
  </si>
  <si>
    <t>Alpha MOS (PAR: ALNEO), Ambrosia Investments, BioSerenity, European Innovation Council Fund, Jolt Capital(Laurent Samama), Serpentine Ventures(Craig Cooper), Sweet Ventures</t>
  </si>
  <si>
    <t>breath analysis, chronic conditions treatment, detection system, diabetes monitoring device, health information, health monitoring device</t>
  </si>
  <si>
    <t>Artificial Intelligence &amp; Machine Learning, Digital Health, HealthTech, Nanotechnology, TMT</t>
  </si>
  <si>
    <t>257768-74T</t>
  </si>
  <si>
    <t>Seederal</t>
  </si>
  <si>
    <t>Machinery (B2B)*</t>
  </si>
  <si>
    <t>Manufacturer of agriculture, construction, and mining machinery intended for the innovative medium-power electric tractor. The company aims to divide the environmental impact of the agricultural tractor, while reducing the cost of ownership for the farmer, designing a tractor capable of delivering the horsepower with the autonomy that would be allowed by liters of fuel on a traditional tractor, enabling farmers to buy electric tractor at the service of agriculture.</t>
  </si>
  <si>
    <t>Ankaa Ventures, CA Morbihan Expansion, Epopée Gestion, Kima Ventures, Supernova Invest, UI Investissement, Unilis Agtech</t>
  </si>
  <si>
    <t>agricultural tractors, construction machines, electric tractors, mining machinery, mining machinery manufacturing, mining machinery supplier, mining tools, precision ag, precision agriculture, robotics &amp; smart field equipment, robotics and smart field equipment, tractors manufacturer</t>
  </si>
  <si>
    <t>Brest, France</t>
  </si>
  <si>
    <t>256173-85T</t>
  </si>
  <si>
    <t>Pigment (Business/Productivity Software)</t>
  </si>
  <si>
    <t>Series D</t>
  </si>
  <si>
    <t>Developer of a business planning platform intended to build and adapt strategic plans. The company's platform consumes data from many sources in real-time and presents it in an intuitive, full-spectrum view of the company that helps users play with multiple future scenarios through charts, simulations, and continuous modeling, enabling companies to scale their operations through data-driven methods.</t>
  </si>
  <si>
    <t>Felix Capital, Greenoaks Capital Partners, ICONIQ Growth(Matthew Jacobson), IVP(Ajay Vashee), Meritech Capital Partners, Sandberg Bernthal Venture Partners</t>
  </si>
  <si>
    <t>ai automation platform, analytics platform, budget management, business intelligence platform, business planning, inventory tracking, sales forecasting, strategic planning</t>
  </si>
  <si>
    <t>Artificial Intelligence &amp; Machine Learning, Big Data, SaaS, Supply Chain Tech</t>
  </si>
  <si>
    <t>256029-85T</t>
  </si>
  <si>
    <t>Antidot</t>
  </si>
  <si>
    <t>Developer of a content delivery platform designed to solve the challenge of efficient knowledge spreading. The company's platform offers information access services that include search engines, capture systems, data structuring and enrichment, information navigation tools, collaboration tools, and monitoring tools for major portals and enterprises, enabling organizations and individuals to multiply the value of content by delivering dynamic information in a personalized and contextualized form.</t>
  </si>
  <si>
    <t>Crédit Mutuel Innovation(Maxence Valero), Kennet Partners(Hillel Zidel), Ventech (Paris)(Claire Houry)</t>
  </si>
  <si>
    <t>content delivery, data collaboration tool, data monitoring tools, enterprise search, enterprise search service, information access service, search technology</t>
  </si>
  <si>
    <t>256044-61T</t>
  </si>
  <si>
    <t>Iceberg Data Lab</t>
  </si>
  <si>
    <t>Business/Productivity Software, Environmental Services (B2B)*, Financial Software</t>
  </si>
  <si>
    <t>Operator of a financial technology company intended to provide environmental data to financial institutions. The company develops assessment tools and methodologies to calculate the various environmental impacts of issuers and assets throughout the value chain from supply chain to end-use, enabling financial institutions to assess the impact of their portfolios on the environment.</t>
  </si>
  <si>
    <t>AXA Investment Managers, Beringea(Piotr Bukanski), Ternel</t>
  </si>
  <si>
    <t>ai cores, analytics platform, business intelligence platform, climate risk services, data company, data solutions, environmental analytics, environmental data, environmental impact, esg data, financial service infrastructure, financial services infrastructure, investment entity</t>
  </si>
  <si>
    <t>256070-44T</t>
  </si>
  <si>
    <t>Kor</t>
  </si>
  <si>
    <t>Clinics/Outpatient Services*, Other Healthcare Technology Systems</t>
  </si>
  <si>
    <t>Operator of a proactive care platform intended to provide access to health checkups for employees. The company's platform offers intuitive dashboards, check-ups, and care programs as well as collaborates with HR and occupational teams to identify the root cause of everyday symptoms and guide toward optimal health, enabling clients to boost employee performance and reduce absenteeism, throughout the year.</t>
  </si>
  <si>
    <t>Evolem, RAISE Group, Ventech (Paris)(Yakun Wang)</t>
  </si>
  <si>
    <t>health benefits, health care firm, health checkup, healthcare personnel, preventive care, proactive care</t>
  </si>
  <si>
    <t>256001-68T</t>
  </si>
  <si>
    <t>Provectio</t>
  </si>
  <si>
    <t>Developer of a computer maintenance platform designed to provide fundamental information technology services for security, data management, and electronic messaging. The company's platform offers cloud computing, network security, information technology management, and information technology infrastructure maintenance services, enabling organizations to improve their day-to-day work and boost up their business by using the company's reports, progress plans, and managed services.</t>
  </si>
  <si>
    <t>cloud computing, computer maintenance, cyber security, data computing, data management, information technology</t>
  </si>
  <si>
    <t>CloudTech &amp; DevOps, SaaS, TMT</t>
  </si>
  <si>
    <t>245415-88T</t>
  </si>
  <si>
    <t>257243-68T</t>
  </si>
  <si>
    <t>Bonfire Apps</t>
  </si>
  <si>
    <t>Entertainment Software, Social/Platform Software*</t>
  </si>
  <si>
    <t>Developer of mobile application intended to improve socializing. The company offers applications that help in social interaction and bond-building with other people, enabling customers to build long-lasting social relationships.</t>
  </si>
  <si>
    <t>application developer, mobile application, mobile game, social network, social relationship management, socializing app</t>
  </si>
  <si>
    <t>257305-15T</t>
  </si>
  <si>
    <t>Brasserie Du Bouffay</t>
  </si>
  <si>
    <t>Manufacturer of craft beers based in Carquefou, France. The company offers a variety of craft beers in kegs and bottles, including classic and unique varieties, and also provides event rentals of beer dispensers, bar services for cultural and sporting events, and distribution to bars, cafes, hotels, restaurants, and specialty stores, enabling business to get access to quality beer at an affordable price.</t>
  </si>
  <si>
    <t>Sodero(Geoffrey Nguyen)</t>
  </si>
  <si>
    <t>bar service, beer dispenser, beer distributor, beer manufacturer, beer supplier, beverage distributor, craft beer, craft beer maker</t>
  </si>
  <si>
    <t>Carquefou, France</t>
  </si>
  <si>
    <t>256843-00T</t>
  </si>
  <si>
    <t>Imane Ayissi</t>
  </si>
  <si>
    <t>Accessories*, Clothing, Luxury Goods</t>
  </si>
  <si>
    <t>Operator of a couture house intended to offer African culture-infused couture clothing. The company offers ready-to-wear and customized dresses, along with wedding dresses and accessories, enabling customers to get desired outfits.</t>
  </si>
  <si>
    <t>Fivenso</t>
  </si>
  <si>
    <t>apparel sewing, clothes seller, clothing firm, designing company, dresses maker, fashion firm</t>
  </si>
  <si>
    <t>257314-87T</t>
  </si>
  <si>
    <t>Itecom</t>
  </si>
  <si>
    <t>Provider of design and implementation services intended to help companies in the water and industry sector. The company offers comprehensive services including design, technical studies, implementation, and installation from start-up to completion, providing clients with tailored needs for each project.</t>
  </si>
  <si>
    <t>energy equipment, industrial computing, installation services, machinary manufacturer, monitoring equipment maker, water treatment system</t>
  </si>
  <si>
    <t>Artificial Intelligence &amp; Machine Learning, CloudTech &amp; DevOps, Construction Technology, Industrials, Manufacturing, SaaS</t>
  </si>
  <si>
    <t>257632-93T</t>
  </si>
  <si>
    <t>Fujitsu Ventures(Hideaki Yajima)</t>
  </si>
  <si>
    <t>256775-41T</t>
  </si>
  <si>
    <t>Namma (Electronic Equipment and Instruments)</t>
  </si>
  <si>
    <t>Electronic Equipment and Instruments*</t>
  </si>
  <si>
    <t>Manufacturer of multifunction 3D printers intended for industrial usage. The company offers on-demand prototypes, tools, serial parts, filaments, and related software among others, enabling users to get customized machinery according to their need</t>
  </si>
  <si>
    <t>3d modeling, cnc parts, fabrication machinery, fdm printer, industrial model, stereolithography printer</t>
  </si>
  <si>
    <t>3D Printing, Manufacturing</t>
  </si>
  <si>
    <t>Gironde, France</t>
  </si>
  <si>
    <t>257009-77T</t>
  </si>
  <si>
    <t>Solarock</t>
  </si>
  <si>
    <t>Operator of a solar energy installation company intended to simplify solar energy use for homeowners. The company offers a turnkey solar energy services, enabling customers to become producers of their own clean energy and reduce their electricity bills.</t>
  </si>
  <si>
    <t>Kima Ventures, Mission One Capital, noa (London), Ring Capital</t>
  </si>
  <si>
    <t>energy installation, energy installation service, solar energy cell, solar energy company, solar energy installation, solar energy supply</t>
  </si>
  <si>
    <t>Les Lilas, France</t>
  </si>
  <si>
    <t>257314-24T</t>
  </si>
  <si>
    <t>Technopoudre</t>
  </si>
  <si>
    <t>Manufacturer of powder grinding machines intended for construction, food and the pharmaceutical industry. The company offers products such as grinders, clutters and many more and also provides services such as minerals, chemistry, pharmacy, and the food industry to safety standards for personnel protection and dust emissions, enabling businesses to have the machine that as safety standards for personnel protection and dust emissions.</t>
  </si>
  <si>
    <t>Sodero(Nora Asri)</t>
  </si>
  <si>
    <t>grinding machine, industrial installations, machine manufacturer, personal protection, safety standards, testing device</t>
  </si>
  <si>
    <t>Ancenis, France</t>
  </si>
  <si>
    <t>256387-33T</t>
  </si>
  <si>
    <t>Unsolved Enigmas</t>
  </si>
  <si>
    <t>Information Services (B2C), Recreational Goods*</t>
  </si>
  <si>
    <t>Provider of treasure-hunting games and puzzles intended to transmit the passion for grownups on a global scale. The company provides an immersive experience that challenges your intellect and ignites a sense of adventure, enabling people to undertake adventurous quests across continents.</t>
  </si>
  <si>
    <t>adventure games, board games, community area, mystery games, puzzles games, treasure hunt</t>
  </si>
  <si>
    <t>255580-12T</t>
  </si>
  <si>
    <t>Self &amp; Innov</t>
  </si>
  <si>
    <t>Developer of an online tax aid platform designed to serve startups and small and medium enterprises. The company's platform features research tax credit, innovation tax credit, young innovative status, and subsidies for self-diagnosing free of charge, recovering, and securing with the support of experts, enabling innovative companies to obtain tax credits.</t>
  </si>
  <si>
    <t>Grand Sud Ouest Capital</t>
  </si>
  <si>
    <t>consulting firm, financing services, research tax credit, software publishing consultant, tax credit firm, tax return management</t>
  </si>
  <si>
    <t>255463-84T</t>
  </si>
  <si>
    <t>Surge (Decision/Risk Analysis)</t>
  </si>
  <si>
    <t>Developer of an immune profiling platform intended to enable precision medicine before surgery. The company's platform utilizes an immunological model using a proprietary machine-learning algorithm to combine single-cell assessment of the immune system before surgery with clinical data available through electronic health records to predict post-operative infections with higher accuracy, enabling surgeons to predict the patient's readiness and risk for surgical complications.</t>
  </si>
  <si>
    <t>50 Partners, Boutique Venture Partners(Rami El Assal), Bpifrance, Eurazeo (PAR: RF)(Maxime Huerre), HCVC, Kima Ventures, MH innov', Teampact Ventures</t>
  </si>
  <si>
    <t>healthcare data analytics, immune profiling, infection analysis, infection risk, medical risk assessment, patient risk analysis, post operative assessment, post surgery recovery, surgical imaging and navigation, vertical application</t>
  </si>
  <si>
    <t>Artificial Intelligence &amp; Machine Learning, Big Data, HealthTech</t>
  </si>
  <si>
    <t>Illkirch-Graffenstaden, France</t>
  </si>
  <si>
    <t>255260-35T</t>
  </si>
  <si>
    <t>900.care</t>
  </si>
  <si>
    <t>Other Consumer Non-Durables, Personal Products*</t>
  </si>
  <si>
    <t>Manufacturer of refillable bathroom products intended to make lesser use and zero-waste of plastic. The company specializes in dissolving shower gel, chewable toothpaste, and foaming hand gel to become eco-friendly, enabling customers to have products that are good for themselves and the planet.</t>
  </si>
  <si>
    <t>Founders Future, Lombard Odier, SWEN Blue Ocean Partners, White Star Capital(Matthieu Lattes)</t>
  </si>
  <si>
    <t>bathroom accessories, bathroom products, bathroom set, recyclable scrap, reusable plastic, reused product</t>
  </si>
  <si>
    <t>253335-79T</t>
  </si>
  <si>
    <t>Alpinov X</t>
  </si>
  <si>
    <t>Developer of cold production system designed for the production and distribution of artificial snow. The company's system specializes in producing artificial snow with high efficiency, low carbon dioxide footprint, and low weather dependence, enabling ski resort operators to operate their activities without taking into account weather incidences and to achieve them with reasonable costs.</t>
  </si>
  <si>
    <t>Crédit Mutuel Impact, EIT InnoEnergy</t>
  </si>
  <si>
    <t>artificial snow, built environment, cooling network, energy efficiency, heating and cooling, industrial refrigeration, snow making equipment, snow making system</t>
  </si>
  <si>
    <t>Veurey-Voroize, France</t>
  </si>
  <si>
    <t>255452-14T</t>
  </si>
  <si>
    <t>Libu</t>
  </si>
  <si>
    <t>Manufacturer of light panels intended to offer cost-saving products. The company's product specializes in biomimetic lighting, which reproduces natural sunlight, it intends to broaden its range of products to extend its use, enabling clients to save on energy and use environment-friendly products.</t>
  </si>
  <si>
    <t>3A Venture, ADI Nouvelle-Aquitaine, Adour Business Angels, Arts et Métiers Business Angels, INSEAD Business Angels, Synergence</t>
  </si>
  <si>
    <t>cost saving, energy saving, led lights, led manufacturer, light panel, manufacturing unit</t>
  </si>
  <si>
    <t>249701-32T</t>
  </si>
  <si>
    <t>RebrAIn</t>
  </si>
  <si>
    <t>Enterprise Systems (Healthcare)*</t>
  </si>
  <si>
    <t>Developer of a precise targeting technology intended for helping with surgical treatments of neurodegenerative diseases. The company offers a technology that helps in identifying brain regions to operate on patients with Parkinson's disease and essential tremors using artificial intelligence algorithms and a collaborative registry of health data, enabling neurosurgeons to treat Parkinson's disease by deep brain stimulation (DBS).</t>
  </si>
  <si>
    <t>Karista (Paris), Nouvelle Aquitaine Co-Investissement(Jean-Pierre Renaudin)</t>
  </si>
  <si>
    <t>algorithm tools, artificial intelligence, deep brain stimulation, neurodegenerative care, neurodegenerative diseases, neurodegenerative diseases drugs, neurodegenerative treatment, targeting technology, targeting technology software, traumatic injury</t>
  </si>
  <si>
    <t>Enterprise Systems (Healthcare)</t>
  </si>
  <si>
    <t>255247-21T</t>
  </si>
  <si>
    <t>Firecell</t>
  </si>
  <si>
    <t>Telecommunications Service Providers*</t>
  </si>
  <si>
    <t>Developer of open source 4G and 5G platforms designed to provide private networks to enterprises. The company provides 4G and 5G core networks and an open-RAN compatible radio access network (RAN) software suite, enabling enterprises to get affordable, reliable, and flexible networks.</t>
  </si>
  <si>
    <t>Bouygues Telecom Initiatives(Edward Bouygues), Bpifrance(Gwenael Hamon), Gateway Ventures, Matterwave Ventures(Silviu Apostu), Ventech (Paris)(Jean Bourcereau)</t>
  </si>
  <si>
    <t>5g networking technology, indoor tracking, open source network, open source provider, private network, radio access network, video surveillance</t>
  </si>
  <si>
    <t>Telecommunications Service Providers</t>
  </si>
  <si>
    <t>255237-94T</t>
  </si>
  <si>
    <t>Nestor (Business/Productivity Software)</t>
  </si>
  <si>
    <t>Developer of a data collection and electronic signature platform intended to streamline data collection processes and improve customer engagement. The company's platform offers features like conversational interfaces, campaign management tools, digital signature workflows, and centralized systems for data gathering, and electronic signature, enabling businesses to optimize operational efficiency and user experience.</t>
  </si>
  <si>
    <t>Autonomie &amp; Solidarité, Finovam Gestion, IRD Invest, Nord France Amorçage, Pascal Colin(Pascal Colin)</t>
  </si>
  <si>
    <t>customer engagement, data collection, data protection platform, document storage platform, electronic signature, signature management</t>
  </si>
  <si>
    <t>Big Data, SaaS</t>
  </si>
  <si>
    <t>261067-42T</t>
  </si>
  <si>
    <t>QiOVA</t>
  </si>
  <si>
    <t>Developer of high-throughput laser processing technology designed for industrial applications. The company's platform provides a patented digital beam shaping technology, which combines speed processing capabilities with operational flexibility, with applications in surface texturing for aeronautics and solar industries, or speed micro-holes drilling for pharmaceutical or biomedical devices, enabling manufacturers to perform micromachining with high precision.</t>
  </si>
  <si>
    <t>ARAC IlI, Crédit Agricole Loire Haute-Loire (PAR: CRLO), Neyret Textile Identification Company, UI Investissement</t>
  </si>
  <si>
    <t>beam shaping, industrial applications, laser marking systems, laser processing tools, laser technology systems, micromachining system</t>
  </si>
  <si>
    <t>Andrézieux-Bouthéon, France</t>
  </si>
  <si>
    <t>255543-40T</t>
  </si>
  <si>
    <t>Exoès</t>
  </si>
  <si>
    <t>Developer of thermal management systems designed to improve the performance of thermal systems through engineering and data. The company designs, prototypes and tests exhaust heat recovery systems and their control that recover and convert exhaust gas losses into useful energy for all vehicle types like automobiles, heavyweights and buses, enabling companies to reduce fuel consumption and carbon dioxide (CO2) emissions by a significant amount.</t>
  </si>
  <si>
    <t>Bpifrance(Vincent Roque), Meridiam(Eric Rey)</t>
  </si>
  <si>
    <t>electricity generation, fuel consumption reduction, heat conversion, heat recovery system, sustainable fuel, waste heat recovery</t>
  </si>
  <si>
    <t>CleanTech, Manufacturing, Mobility Tech, Oil &amp; Gas, TMT</t>
  </si>
  <si>
    <t>Gradignan, France</t>
  </si>
  <si>
    <t>246967-12T</t>
  </si>
  <si>
    <t>Klark</t>
  </si>
  <si>
    <t>Developer of generative artificial intelligence-based customer service designed for effective customer care contact management. The company's platform streamlines operations, automates routine tasks, and delivers personalized experiences, that allow businesses to provide customer service at scale, enabling companies to enhance customer satisfaction, drive growth, and stay ahead in a rapidly evolving market.</t>
  </si>
  <si>
    <t>Emmanuel Grenier(Emmanuel Grenier), Kima Ventures, Laurent Delaporte(Laurent Delaporte), Source Ventures, Source Ventures (Paris), Super Capital, Thibaud Hug de Larauze(Thibaud Hug de Larauze), Thomas France(Thomas France)</t>
  </si>
  <si>
    <t>business automation tools, contact management, customer care portal, customer centric, customer service ai, task automation</t>
  </si>
  <si>
    <t>266333-05T</t>
  </si>
  <si>
    <t>Laboratoire Dielen</t>
  </si>
  <si>
    <t>Biotechnology, Other Consumer Non-Durables, Other Pharmaceuticals and Biotechnology*</t>
  </si>
  <si>
    <t>Operator of a biotechnology company intended to develop and market natural health products recognized by pharmacists and doctors. The company offers food supplements products related to ostéocalm gel, dietary supplements, curcuméga digestion, collagen for skin health and beauty, and mémozan, providing people with a source of nutrients and potential active ingredients for nutritional balance.</t>
  </si>
  <si>
    <t>biotechnology agency, collagen products, dietary supplements, food supplements, natural health product, skin health</t>
  </si>
  <si>
    <t>Cherbourg-en-Cotentin, France</t>
  </si>
  <si>
    <t>255110-95T</t>
  </si>
  <si>
    <t>Inalve</t>
  </si>
  <si>
    <t>Aquaculture*, Food Products</t>
  </si>
  <si>
    <t>Operator of microalgae industry designed to contribute to a more sustainable, inclusive, and prosperous future. The company offers services that aim to build a high-performance microalgae industry, an innovative proprietary process for the cultivation of microalgae that allows more efficient use of natural resources and results in a harvested biomass with unique properties, enabling agriculturists to cultivate microalgae and provide an alternative source of nutrition while preserving the environment.</t>
  </si>
  <si>
    <t>Bpifrance(Emmanuel Audouard), Seventure Partners(Isabelle de Cremoux)</t>
  </si>
  <si>
    <t>ag biotech, agriculture technology, animal biotech, animal biotechnology, aquaculture development, aquaculture larvae, aquaculture supply, bioremediation solutions, cosmetics ingredients, food industry, hatchery feed, microalgae cultivation, microalgae product, microalgal biomass, nutraceutical ingredients</t>
  </si>
  <si>
    <t>Aquaculture</t>
  </si>
  <si>
    <t>AgTech, Climate Tech, Supply Chain Tech, TMT</t>
  </si>
  <si>
    <t>254404-27T</t>
  </si>
  <si>
    <t>Gamestream (Entertainment Software)</t>
  </si>
  <si>
    <t>Cloud Gaming</t>
  </si>
  <si>
    <t>Developer of a video game streaming platform intended to permit players to access their favorite games. The company's white-label cloud gaming method brings next-generation gaming directly to their consumers, enabling the players to access games regardless of the device they're playing on and wherever they are.</t>
  </si>
  <si>
    <t>Audacia (PAR: ALAUD)(Thomas Schmitz), Bpifrance(Guillaume Sever)</t>
  </si>
  <si>
    <t>cloud gaming, cloud gaming platform, game developer tools, games catalogue, gaming development, streaming technology, video game platform, video games firm</t>
  </si>
  <si>
    <t>206511-94T</t>
  </si>
  <si>
    <t>Getinside</t>
  </si>
  <si>
    <t>Operator of a retail media platform intended to deliver advertising experiences to e-merchant customers. The company's platform offers features like reach rate, opening rate, engagement rate and standardized formats to create campaigns, enabling advertisers and e-merchants to reach and collaborate.</t>
  </si>
  <si>
    <t>Daniel Broche(Daniel Broche), De Boulanger(De Boulanger), Founders Future, Franck Silva(Franck Silva), Frédéric Montagnon(Frédéric Montagnon), Gilles Moncaubeig(Gilles Moncaubeig), Julien Romanetto(Julien Romanetto), Pinterest (NYS: PINS), Séverine Grégoire(Séverine Grégoire)</t>
  </si>
  <si>
    <t>advertising delivery, advertising medium, advertising platform, merchant services, retail media network, retail media platform</t>
  </si>
  <si>
    <t>AdTech</t>
  </si>
  <si>
    <t>264578-05T</t>
  </si>
  <si>
    <t>Maman Vogue</t>
  </si>
  <si>
    <t>Information Services (B2C), Publishing*</t>
  </si>
  <si>
    <t>Publisher of web magazine intended to educate mothers. The company publishes content for mothers and future mothers from pregnancy monitoring to educational advice, tips, recommendations, and testimonials for peaceful motherhood, enabling customers to boost their knowledge.</t>
  </si>
  <si>
    <t>content publisher, educational advice, informational website, motherhood information, publisher firm, web magazine</t>
  </si>
  <si>
    <t>254270-62T</t>
  </si>
  <si>
    <t>Kolet</t>
  </si>
  <si>
    <t>Application Software, Internet Service Providers*, Wireless Communications Equipment</t>
  </si>
  <si>
    <t>Developer and distributor of embedded SIM cards designed to facilitate global connectivity for all. The company's cards are integrated through scanning via a QR code in a mobile application and offer a wide range of top-up plans to provide internet connection across Europe, enabling travelers to have easier access to the internet.</t>
  </si>
  <si>
    <t>9900 Capital, Daphni</t>
  </si>
  <si>
    <t>internet connect, internet connectivity, sim card product, sim card seller, sim card services, telecommunication sector, telecommunication service</t>
  </si>
  <si>
    <t>254439-82T</t>
  </si>
  <si>
    <t>Les Alchimistes</t>
  </si>
  <si>
    <t>Provider of waste recycling services intended to offer natural compost materials. The company's services include collecting waste products like peelings, eggshells, coffee grounds, and other organic waste which are then treated through electromechanical composters, enabling crop growers and market gardeners to have eco-friendly and biodegradable fertilizers.</t>
  </si>
  <si>
    <t>Andera Partners(Guy Auger), Made For All, Terra Nea</t>
  </si>
  <si>
    <t>ag biotech, agriculture technology, compost service, fertilizer alternatives, land use, organic products, organic recycling, plant biotech, plant biotechnology, waste recycler, waste recycling</t>
  </si>
  <si>
    <t>280806-40T</t>
  </si>
  <si>
    <t>Meditect</t>
  </si>
  <si>
    <t>Developer of a connected healthcare ecosystem designed to enhance access to quality medicines in French-speaking sub-Saharan Africa. The company platform offers pharmacy management software, a drug traceability repository, a patient application, and community outreach initiatives, enabling healthcare professionals to improve efficiency, ensure medicine safety, and expand access to healthcare in underserved regions.</t>
  </si>
  <si>
    <t>Beenok, Jambaar Capital, Launch Africa Ventures, Proparco, The Dakar Network Angels</t>
  </si>
  <si>
    <t>drug distribution, drugs traceability, health care system, local pharmacy, medical information, pharmacy drugs, pharmacy sector</t>
  </si>
  <si>
    <t>Artificial Intelligence &amp; Machine Learning, Cryptocurrency/Blockchain, HealthTech</t>
  </si>
  <si>
    <t>254177-56T</t>
  </si>
  <si>
    <t>Anozr Way</t>
  </si>
  <si>
    <t>Developer of cybersecurity software designed to protect businesses from cyber attacks exploiting human vulnerabilities. The company's open-source intelligence technology continuously monitors for attack scenarios such as phishing, ransomware, identity theft, and data leakage, enabling users to protect their professional and personal digital lives against the most frequent cyber risks.</t>
  </si>
  <si>
    <t>BNP Paribas Développement, Clearwater Corporate Finance, Hi Inov, UI Investissement</t>
  </si>
  <si>
    <t>cyber attack prevention, cybersecurity services, cybersecurity software, data leak protection, hacking protection, identity theft protection, phishing protection, security operations</t>
  </si>
  <si>
    <t>254087-11T</t>
  </si>
  <si>
    <t>Nijta</t>
  </si>
  <si>
    <t>Developer of speech anonymization software designed for contact centers. The company's platform features such as AI voice anonymization, domain-based content anonymization to optimize production-grade AI models and provide a GDPR-compliant way to store and process vast quantities of voice data, enabling businesses to generate audio usable for voice analytics, transcription and training state-of-the-art AI models.</t>
  </si>
  <si>
    <t>Elaia Partners, Finovam Gestion</t>
  </si>
  <si>
    <t>digital sovereignty, natural language technology, speech recognition system, speech recognition technology, voice analytics platform, voice analytics solution, voice analytics tool</t>
  </si>
  <si>
    <t>253996-03T</t>
  </si>
  <si>
    <t>Hawkcell</t>
  </si>
  <si>
    <t>Media and Information Services (B2B), Other Commercial Services*, Other Healthcare Services, Other Healthcare Technology Systems</t>
  </si>
  <si>
    <t>Provider of advanced magnetic resonance imaging (MRI) services tailored for animal diagnostics and preclinical research. The company uses a non-ionizing three-dimensional (3D) medical imaging approach that employs specialized MRI sensors designed for diverse animal morphologies, offering veterinary clinics and research labs sustainable systems that transform human MRI technology into a dedicated imaging-resource enhanced by artificial intelligence (AI) algorithms, enabling veterinary clinics and preclinical research labs to get precise and insightful animal healthcare and scientific exploration services.</t>
  </si>
  <si>
    <t>MIG AG(Andreas Kastenbauer)</t>
  </si>
  <si>
    <t>animal diagnostics, animal wellness, clinical diagnostics, diagnostic tools, pharmaceutical and drugs, preclinical studies, preclinical trials, veterinary medicine, veterinary practice</t>
  </si>
  <si>
    <t>253995-40T</t>
  </si>
  <si>
    <t>Sublime Energie</t>
  </si>
  <si>
    <t>Alternative Energy Equipment*, Other Energy Services</t>
  </si>
  <si>
    <t>Developer of a biogas liquefaction technology designed to provide alternatives to fossil fuels. The company's technology leverages proprietary technology coupled with a refrigeration recycling system to facilitate biogas collection, transport, purification and conditioning, enabling clients to improve agricultural resilience and energy sovereignty.</t>
  </si>
  <si>
    <t>Crédit Mutuel Impact, Fonds Revolution Environnementale et Solidaire, PSL-Pepite</t>
  </si>
  <si>
    <t>biogas solutions, clean fuel, climate change, energy technology, environmental services, renewable energy, renewable power</t>
  </si>
  <si>
    <t>253787-50T</t>
  </si>
  <si>
    <t>Zama</t>
  </si>
  <si>
    <t>Network Management Software*, Systems and Information Management</t>
  </si>
  <si>
    <t>Developer of an open-source framework designed to help companies protect their users' privacy. The company's framework offers fast and accurate inference over encrypted data, with minimal performance overhead, and works with any neural network without the need for retraining, enabling clients to run inference on encrypted user data.</t>
  </si>
  <si>
    <t>Anatoly Yakovenko(Anatoly Yakovenko), Blockchange Ventures, Gavin Wood(Gavin Wood), Juan Batiz-Benet(Juan Batiz-Benet), Julien Bouteloup(Julien Bouteloup), Metaplanet Holdings, Multicoin Capital(Kyle Samani), Portal Ventures, Protocol Labs, Stake Capital, Tarun Chitra(Tarun Chitra), VSquared Ventures</t>
  </si>
  <si>
    <t>crypto security, data breach software, encryption system, homomorphic data encryption, homomorphic encryption, privacy tools</t>
  </si>
  <si>
    <t>Artificial Intelligence &amp; Machine Learning, CloudTech &amp; DevOps, Cryptocurrency/Blockchain, Cybersecurity, SaaS</t>
  </si>
  <si>
    <t>254980-54T</t>
  </si>
  <si>
    <t>Greenly</t>
  </si>
  <si>
    <t>Business/Productivity Software*, Environmental Services (B2B), Media and Information Services (B2B)</t>
  </si>
  <si>
    <t>Developer of a carbon tracking technology designed to allow to track their carbon footprints. The company's technology automates the analysis of data collection by integrating with accounting and billing data of various software solutions which helps to calculate the emission scopes in real-time and generate carbon reports, enabling companies to measure, monitor, reduce, and offset carbon footprint in line with international carbon accounting standards.</t>
  </si>
  <si>
    <t>Benhamou Global Ventures, Brian Halligan, Energy Impact Partners, Fidelity International Strategic Ventures(Erik Mostenicky), Hewlett Packard Enterprise (NYS: HPE)(Fidelma Russo), HSBC Holdings (LON: HSBA), Move Capital, XAnge</t>
  </si>
  <si>
    <t>carbon accounting, carbon analytics, carbon footprint reduction, carbon technology, cloud data, data analysis, data collection, sustainability software</t>
  </si>
  <si>
    <t>253807-75T</t>
  </si>
  <si>
    <t>La Fourche</t>
  </si>
  <si>
    <t>Application Software, Internet Retail*</t>
  </si>
  <si>
    <t>Operator of an online organic grocery platform intended for sustainable shopping. The company's platform offers a wide range of organic products, including food, beverages, and household items, with a focus on reducing waste and promoting eco-friendly practices, enabling consumers to choose from a wide variety of grocery items at wholesale prices.</t>
  </si>
  <si>
    <t>Anterra Capital, Aurae Impact(Bertrand de Talhouët), Eight Roads(Michael Treskow)</t>
  </si>
  <si>
    <t>food ecommerce, green product branding, online grocer, online grocery platform, online store offering, online supermarket, organic healthy products</t>
  </si>
  <si>
    <t>Mitry-Mory, France</t>
  </si>
  <si>
    <t>207709-84T</t>
  </si>
  <si>
    <t>Agnostic</t>
  </si>
  <si>
    <t>Developer of a blockchain platform designed to remove layers of complexity and bring smart contract data to the edge. The company's platform is an app development and analytics technology that helps businesses bring the proper blockchain data to their customers, DevOps, and executives at scale, enabling businesses to query anything on EVM-compatible blockchain.</t>
  </si>
  <si>
    <t>Atka, BlueYard Capital, Dominance Ventures, Kima Ventures, Stake Capital, TRGC</t>
  </si>
  <si>
    <t>analytics technology, blockchain data, blockchain platform, blockchain platform software, blockchain setup, dao data, dao tools, software development</t>
  </si>
  <si>
    <t>Cryptocurrency/Blockchain, SaaS</t>
  </si>
  <si>
    <t>253547-56T</t>
  </si>
  <si>
    <t>Bene Bono</t>
  </si>
  <si>
    <t>Food Products, Logistics, Other Services (B2C Non-Financial)*</t>
  </si>
  <si>
    <t>Provider of fruit and vegetable delivery services intended to help farmers sell the produce that is refused by traditional distribution channels. The company offers a subscription of baskets of organic fruit and vegetables purchased directly from farmers that are cheaper, enabling farmers to sell their rejected produce in exchange for money, consumers with access to cheap organic produce, and reducing the overall wastage of food.</t>
  </si>
  <si>
    <t>2050 (VC), AXA Venture Partners, Project A Ventures, Stride.VC</t>
  </si>
  <si>
    <t>distribution company, food ecommerce, food wastage reduction, freight technology, fruit delivery service, grocery products distributor, online grocer, trucking logistics, vegetable delivery platform, vegetable delivery service</t>
  </si>
  <si>
    <t>E-Commerce, FoodTech, Supply Chain Tech</t>
  </si>
  <si>
    <t>253603-81T</t>
  </si>
  <si>
    <t>Passpassion</t>
  </si>
  <si>
    <t>Educational and Training Services (B2C)*, Information Services (B2C)</t>
  </si>
  <si>
    <t>Operator of an internship providing company that connects people with artisans for workshop discovery. The company's platform offers workshop discovery experiences in a variety of artisanal crafts like pottery, painting, baking, beekeeping, basket making and winemaking, enabling people to discover craft trades, in a cultural or leisure spirit.</t>
  </si>
  <si>
    <t>Bpifrance, Crédit Agricole Franche-Comté</t>
  </si>
  <si>
    <t>craft training, internship program, music training, pottery classes, training courses platform, workshops classes</t>
  </si>
  <si>
    <t>Educational and Training Services (B2C)</t>
  </si>
  <si>
    <t>255203-92T</t>
  </si>
  <si>
    <t>W Platform</t>
  </si>
  <si>
    <t>Provider of environmental services intended for the wine, brewing, agricultural, and industrial sectors. The company's services help promote respect for the environment and implementation of circular economies, as well as embrace new digital technologies to optimize productivity, enabling clients to capture, analyze, and valorize their carbon dioxide emissions and all effluent in a circular economy logic.</t>
  </si>
  <si>
    <t>Bpifrance, Demeter Partners(Amaury Kalt), Innovin</t>
  </si>
  <si>
    <t>carbon dioxide emission, carbon footprint, circular economy model, co2 emission, environmental services, viticulture services</t>
  </si>
  <si>
    <t>246989-89T</t>
  </si>
  <si>
    <t>XPerience.Immo</t>
  </si>
  <si>
    <t>Business/Productivity Software, Media and Information Services (B2B)*, Other Commercial Services</t>
  </si>
  <si>
    <t>Developer of a commercial and financial management platform intended for real estate developers. The company offers a simple, intuitive and open SaaS application that creates reports, monitor budget and commitments and manage activity using key performance indicators along with managing complete marketing cycle, enabling clients to save precious time and increase their margins.</t>
  </si>
  <si>
    <t>BNP Paribas (PAR: BNP), Bpifrance, EP (Digital Platform), Holnest</t>
  </si>
  <si>
    <t>administrative management, commercial management, financial management, project management, real estate developer, real estate promotion</t>
  </si>
  <si>
    <t>Marketing Tech, Real Estate Technology, SaaS</t>
  </si>
  <si>
    <t>Talence, France</t>
  </si>
  <si>
    <t>250945-39T</t>
  </si>
  <si>
    <t>Diabeloop</t>
  </si>
  <si>
    <t>Monitoring Equipment*, Other Devices and Supplies, Other Healthcare Technology Systems, Therapeutic Devices</t>
  </si>
  <si>
    <t>Developer of an AI-based blood sugar monitoring device designed to improve diabetes treatment. The company's device automatically delivers the appropriate dose of insulin to patients and has a sensor that measures patients' glucose levels, a pump that delivers insulin, and a smartphone application with an embedded algorithm and patient interface that links the sensor and the pump, enabling patients to have lightened mental load and live their life without interruptions.</t>
  </si>
  <si>
    <t>Adagia Partners, Cemag Invest, Centre for Studies and Research for Diabetes Treatment Intensification, Innovacom (Paris), Kreaxi, LBO France, Odyssee Venture, Promontoires, Supernova Invest(Celia Hart), Terumo (TKS: 4543), UI Investissement(Francois Miceli)</t>
  </si>
  <si>
    <t>algorithm engine, artificial intelligence engine, automation tools, diabetes, diabetes management, diabetes treatment, digital therapeutics, digital treatment, glucose sensor, insulin pump therapy, therapeutic support</t>
  </si>
  <si>
    <t>253476-28T</t>
  </si>
  <si>
    <t>FoodFlow</t>
  </si>
  <si>
    <t>Series 1</t>
  </si>
  <si>
    <t>Operator of a general distribution platform intended for catering professionals. The company aims to modernize food distribution by cutting out intermediaries, enabling restaurateurs to manage their orders in an optimized way.</t>
  </si>
  <si>
    <t>Jeriko, Jérémy Gotteland(Jérémy Gotteland), Nicolas Schweitzer(Nicolas Schweitzer), Techmind(Olivier Tilloy)</t>
  </si>
  <si>
    <t>food distribution, food distribution firm, food distribution service, food supply, food supply chain, food supply service</t>
  </si>
  <si>
    <t>272626-66T</t>
  </si>
  <si>
    <t>Skinosive</t>
  </si>
  <si>
    <t>Other Healthcare, Other Healthcare Services, Personal Products*</t>
  </si>
  <si>
    <t>Developer of a science-driven dermo-cosmetics biotechnology company designed for skin photoprotection. The company offers bio-adhesion technology that filters and provides extended sun protection while being well-tolerated and eco-friendly, enabling lasting sun protection and preventing Ultraviolet (UV) filters from being absorbed through the skin and the bloodstream.</t>
  </si>
  <si>
    <t>Truffle Capital(Antoine Pau)</t>
  </si>
  <si>
    <t>bio adhesives, derma cosmetic product, derma cosmetics skincare, dermatology care, environmentally-friendly, skincare company, skincare tech, sun protection product, uv filter</t>
  </si>
  <si>
    <t>Beauty, HealthTech, Nanotechnology</t>
  </si>
  <si>
    <t>282653-65T</t>
  </si>
  <si>
    <t>Valoregen</t>
  </si>
  <si>
    <t>Operator of a waste management company intended for environmental restoration, recovery, and plastic recycling. The company combines multiple technological approaches to efficiently recycle soft plastics, particularly polyethylene films, enabling industries to adopt more sustainable practices, comply with regulations, and reduce environmental impact.</t>
  </si>
  <si>
    <t>Amundi (PAR: AMUN), Crédit Agricole Aquitaine Expansion, GSO Innovation, Jean-Christophe Kugler(Jean-Christophe Kugler)</t>
  </si>
  <si>
    <t>circular economy, plastics recycling, pollution reduction, resource recovery services, waste management, waste recycling</t>
  </si>
  <si>
    <t>Damazan, France</t>
  </si>
  <si>
    <t>268995-43T</t>
  </si>
  <si>
    <t>Checkmyguest</t>
  </si>
  <si>
    <t>Other Commercial Services, Real Estate Services (B2C)*</t>
  </si>
  <si>
    <t>Developer of a rental management platform designed to manage short-term rentals or mobility leases. The company specializes in transforming commercial premises into seasonal rental accommodation, enabling clients to generate optimum profitability and manage the entire rental process for a property, from the study phase to its full operation.</t>
  </si>
  <si>
    <t>SwissLife Banque Privée</t>
  </si>
  <si>
    <t>real estate services, real estate services and management, real estate services platform, rental management, rental management service, space optimization</t>
  </si>
  <si>
    <t>254427-94T</t>
  </si>
  <si>
    <t>Cryptonovae</t>
  </si>
  <si>
    <t>Operator of a cryptocurrency trading platform intended to help users to manage digital assets across multiple exchanges. The company's platform offers charting capabilities, trade management, and a sophisticated trading experience through advanced features packed in an intuitive interface, enabling traders to avail a hassle-free crypto trading experience.</t>
  </si>
  <si>
    <t>DuckDAO</t>
  </si>
  <si>
    <t>blockchain technology, crypto tokens, crypto trading, crypto trading services, cryptocurrency trading, cryptocurrency trading platform, trading ecosystem, trading exchange</t>
  </si>
  <si>
    <t>La Baule, France</t>
  </si>
  <si>
    <t>254375-11T</t>
  </si>
  <si>
    <t>Drinkee</t>
  </si>
  <si>
    <t>Developer of an automated bartending machine intended to enhance the festivalgoer experience and increase beverage sales by streamlining traffic at the bar. The company's self-service bar system helps organizers to organize events more efficiently, enabling clients to improve the festival-goer experience and increase drink sales</t>
  </si>
  <si>
    <t>beer sale, cashless payment, drinks machine, drinks maker, drinks mixing, event services, organizer tools</t>
  </si>
  <si>
    <t>270452-53T</t>
  </si>
  <si>
    <t>Lazare Studio</t>
  </si>
  <si>
    <t>Accessories*, Luxury Goods, Specialty Retail</t>
  </si>
  <si>
    <t>Manufacturer of eyewears based in Lyon, France. The company creates classic eyewear that are conscientiously handcrafted in france out of japan's sourced components, providing users with classical eyewear to suit thier fashion style.</t>
  </si>
  <si>
    <t>OBRATORI</t>
  </si>
  <si>
    <t>eyewear firm, eyewear frames, eyewear maker, eyewear sales, fashion style, sunglass seller, sunglasses retail</t>
  </si>
  <si>
    <t>255795-31T</t>
  </si>
  <si>
    <t>Pangolin</t>
  </si>
  <si>
    <t>Developer of an online decentralized crypto exchange platform designed for trading avalanche and Ethereum-based assets. The company's online platform allows users to swap and trade, liquidate, and stake crypto assets and offers advanced tooling, deep liquidity, and onboarding, enabling individuals to access easy and efficient trading of digital assets across multiple blockchains.</t>
  </si>
  <si>
    <t>High Naut Capital</t>
  </si>
  <si>
    <t>crypto platform, decentralized crypto exchange, decentralized exchange, deep liquidity, defi platform, defi project, online crypto exchange</t>
  </si>
  <si>
    <t>249047-56T</t>
  </si>
  <si>
    <t>PhotoRoom</t>
  </si>
  <si>
    <t>Application Software, Multimedia and Design Software*</t>
  </si>
  <si>
    <t>Developer of a photo editing platform designed to provide studio-quality product pictures. The company's platform uses deep learning to translate pixels into objects, remove background, change the background and showcase products in one click, enabling entrepreneurs and small businesses to compose images quickly and affordably.</t>
  </si>
  <si>
    <t>Adjacent (New York), Aglaé Ventures, Balderton Capital(Bernard Liautaud), FJ Labs, Kima Ventures, Meta Platforms (NAS: META), Y Combinator, Yann LeCun(Yann LeCun), Zehan Wang(Zehan Wang)</t>
  </si>
  <si>
    <t>ai photo editor, analytics platform, collaborative tool, computer vision, deep learning, email and authoring, generative ai, kms, knowledge management system, photo editing app, photo editing application, photo editing platform, photo editing software, unstructured data analytics</t>
  </si>
  <si>
    <t>Artificial Intelligence &amp; Machine Learning, Big Data, Mobile, SaaS</t>
  </si>
  <si>
    <t>254755-90T</t>
  </si>
  <si>
    <t>Scovery</t>
  </si>
  <si>
    <t>Business/Productivity Software, Financial Software, Media and Information Services (B2B)*</t>
  </si>
  <si>
    <t>Operator of the cybersecurity platform intended to provide risk assessments for companies. The company offers cyber score management, and industry benchmarking services and also provides cyber scoring software, enabling users to provide continuous, objective, and reliable cybersecurity assessments.</t>
  </si>
  <si>
    <t>cybersecurity assessment, cybersecurity tool, industry benchmarking, portfolio tracker, risk assessment tool, risk management</t>
  </si>
  <si>
    <t>258459-13T</t>
  </si>
  <si>
    <t>sirea group</t>
  </si>
  <si>
    <t>Alternative Energy Equipment*, Business/Productivity Software, Electrical Equipment</t>
  </si>
  <si>
    <t>Manufacturer of energy management and industrial automation systems intended to measure and optimize energy consumption. The company's products include energy cabinets, smart managers, and autonomous systems, and offers tailor-made and personalized smart energy management automatons for energy storage on batteries, electric vehicles, air conditioning, and photovoltaic self-consumption, enabling companies to deliver better performance with safety and reliability through energy management.</t>
  </si>
  <si>
    <t>Multicroissance</t>
  </si>
  <si>
    <t>automation model, energy efficient, energy management, energy monitoring, industrial automation, industrial electricity, renewable energy, semiconductor market</t>
  </si>
  <si>
    <t>Advanced Manufacturing, CleanTech, Internet of Things, Manufacturing</t>
  </si>
  <si>
    <t>Castres, France</t>
  </si>
  <si>
    <t>255124-18T</t>
  </si>
  <si>
    <t>Sweep (Environmental Services)</t>
  </si>
  <si>
    <t>Developer of sustainability data management platform designed for companies and financial organizations. The AI-powered platform streamlines the collection of extra-financial data across organizations and their value chains, enabling users to manage their carbon footprint, ESG performance, and disclosure requirements.</t>
  </si>
  <si>
    <t>Build Collective</t>
  </si>
  <si>
    <t>analytics platform, business intelligence platform, carbon accounting, carbon analytics, carbon reduction, carbon reduction system, carbon tech, carbon technology, compliance and standards, environmental services, environmental services software, esg data platform, sustainability software</t>
  </si>
  <si>
    <t>CleanTech, Climate Tech, FinTech, LOHAS &amp; Wellness</t>
  </si>
  <si>
    <t>261132-85T</t>
  </si>
  <si>
    <t>52 Hertz</t>
  </si>
  <si>
    <t>Other Communications and Networking, Wireless Communications Equipment*</t>
  </si>
  <si>
    <t>Developer of an integrated underwater communications device, based out of France. The company builds a device to be used while scuba diving, enabling the safety of the activity, by using a speech improvement algorithm.</t>
  </si>
  <si>
    <t>Finistere Angels, UI Investissement</t>
  </si>
  <si>
    <t>communication device, communication system, communication technology, speech processing, speech processing algorithm developer</t>
  </si>
  <si>
    <t>Wireless Communications Equipment</t>
  </si>
  <si>
    <t>253210-96T</t>
  </si>
  <si>
    <t>Accel, Moonfire, Motier Ventures</t>
  </si>
  <si>
    <t>268430-77T</t>
  </si>
  <si>
    <t>Frive</t>
  </si>
  <si>
    <t>Application Software*, Information Services (B2C), Leisure Facilities</t>
  </si>
  <si>
    <t>Developer of a training application designed for personalized activity plans. The company's platform analyzes sports activities, sets goals, and tracks abilities with a ranking system, enabling cyclists with customized plans to extend performance and progress.</t>
  </si>
  <si>
    <t>cycle training, cyclists platform, exercise app, sports application, training application, training platform</t>
  </si>
  <si>
    <t>253226-62T</t>
  </si>
  <si>
    <t>Vibe.co</t>
  </si>
  <si>
    <t>Developer of a programmatic advertising platform designed to detect and target audiences based on keywords. The company's platform identifies sections to improve customer attention and creates strategies and campaigns to reach more audiences through keyword searching, enabling web agencies and advertisers to retarget their users and capture their intent to boost sales.</t>
  </si>
  <si>
    <t>Alain Roubach(Alain Roubach), Benjamin Antier(Benjamin Antier), Cyril Vermeulen(Cyril Vermeulen), Elaia Partners, Laurent Asscher(Laurent Asscher), Motier Ventures, Sequoia Biotech Consulting, Singular., Very Group</t>
  </si>
  <si>
    <t>consumer advertisement, crm, customer relationship management, keyword search, keyword search advertising, marketing campaign, marketing campaign management, marketing technology, vertical media</t>
  </si>
  <si>
    <t>AdTech, Marketing Tech, SaaS, TMT</t>
  </si>
  <si>
    <t>Chicago, France</t>
  </si>
  <si>
    <t>205643-62T</t>
  </si>
  <si>
    <t>Wise-Integration</t>
  </si>
  <si>
    <t>Developer of generative adversarial network integrated circuits and digital control specializing in power electronics based on gallium nitride technology designed to miniaturize power supplies and improve energy efficiency. The company's product can be used in chargers, power supplies for e-mobility, industrial applications, personal computer chargers, and data centers as well as offers efficiency and high-power-density alternating current and direct current converters and reliability for better usage, enabling clients to optimize system integration with reduced cost and size.</t>
  </si>
  <si>
    <t>Angelor, Angels for Greentech, Applied Ventures(Anand Kamannavar), BNP Paribas Développement(Nicolas Tymen), Creazur France, Crédit Agricole Sud Rhône-Alpes (PAR: CRSU), imec.xpand(Cyril Vancura), Région Sud Investissement(Pierre Joubert), Supernova Invest(Damien Bretegnier)</t>
  </si>
  <si>
    <t>energy efficiency device, integrated circuit equipment, integrated circuit product, power electronic, power supply devices, power supply unit</t>
  </si>
  <si>
    <t>252431-47T</t>
  </si>
  <si>
    <t>AZmed</t>
  </si>
  <si>
    <t>Decision/Risk Analysis, Diagnostic Equipment*</t>
  </si>
  <si>
    <t>Developer of a computer-aided diagnosis tool designed to facilitate physicians' workflow. The company's tool leverages artificial intelligence to detect all types of bone lesions on standard radiographs and spot any abnormality such as a fracture on any X-rays, enabling radiologists to reduce errors save time, and focus on value-added tasks.</t>
  </si>
  <si>
    <t>Maison Worms, Teampact Ventures, Techstars</t>
  </si>
  <si>
    <t>artificial intelligence, diagnostic tools, fracturing detection, healthcare firm, medical equipment, medical imaging, medical imaging software, medical imaging technology, radiology software</t>
  </si>
  <si>
    <t>268677-73T</t>
  </si>
  <si>
    <t>PandaScore</t>
  </si>
  <si>
    <t>Developer of e-sports data platform designed to offer e-sports statistics in real-time. The company's platform offers an application programming interface (API) and uses AI to offer thousands of data points collected every millisecond by analyzing video streams of games and e-sports via other streaming platforms, enabling customers to procure data about live tournaments, teams, players and scores conveniently.</t>
  </si>
  <si>
    <t>Kaloma Capital</t>
  </si>
  <si>
    <t>ai automation platform, esports, esports data, esports data analysis, esports information, esports statistics, gaming access, sports data, sports data management, sports information</t>
  </si>
  <si>
    <t>Esports, Gaming, TMT</t>
  </si>
  <si>
    <t>267243-40T</t>
  </si>
  <si>
    <t>PulseSight Therapeutics</t>
  </si>
  <si>
    <t>Developer of therapeutic proteins designed to treat severe retinal diseases. The company's proteins treat both short and long-term conditions like chronic non-infectious uveitis, degenerative diseases, retinal vascular diseases, and macular edema, as well as enhance compliance, ocular bioavailability, and tolerability, enabling physicians and ophthalmologists to improve quality of life and preserve vision for patients.</t>
  </si>
  <si>
    <t>Korea Investment Partners(Joon Hyun), ND Capital(Kostas Kaloulis), Pureos Bioventures(Dominik Escher), SPRIM Global Investments</t>
  </si>
  <si>
    <t>eye disease drugs, gene therapy, ophthalmology care, retinal treatment, targeted therapy, therapeutic protein</t>
  </si>
  <si>
    <t>252991-81T</t>
  </si>
  <si>
    <t>BoondManager</t>
  </si>
  <si>
    <t>Developer of an enterprise software platform designed to help clients detect business opportunities and also monitor their projects. The company's platform offers features like recruitment management, customer relationship management, project management, time tracking and billing, enabling clients to effectively manage their human resource and sales activity.</t>
  </si>
  <si>
    <t>Expedition Growth Capital(Oliver Thomas)</t>
  </si>
  <si>
    <t>enterprise resource planning, enterprise software developer, enterprise software package, enterprise software platform, enterprise software suite, enterprise software support, enterprise software system, it solutions</t>
  </si>
  <si>
    <t>251103-52T</t>
  </si>
  <si>
    <t>C12</t>
  </si>
  <si>
    <t>Business/Productivity Software, Computers, Parts and Peripherals*, Electronic Equipment and Instruments</t>
  </si>
  <si>
    <t>Developer of quantum processors designed to speed up complex computing tasks. The company builds quantum computers as well as develops and accelerates experiments exploring information processing systems, enabling industrial clients to avail intermediate-scale quantum applications for their operations.</t>
  </si>
  <si>
    <t>360 Capital(Nader Sabbaghian), Aglaé Ventures, BNP Paribas Développement, Bpifrance, European Innovation Council Fund(Svetoslava Georgivea), Moondust Ventures, Varsity VC(Didier Valet), Verve Ventures</t>
  </si>
  <si>
    <t>ai cores, computer hardware, electronics technology, nanofabrication system, nanomaterials development, quantum computing, quantum research, quantum software</t>
  </si>
  <si>
    <t>252999-46T</t>
  </si>
  <si>
    <t>PlayMakers (Entertainment Software)</t>
  </si>
  <si>
    <t>Developer of a game development software intended for user-generated content in gaming. The company provides the technical tools and game design knowledge to build and scale games through user-generated content at the core of the experience, enabling game creators to leverage their audiences' skills and passion to elevate games to their full potential.</t>
  </si>
  <si>
    <t>Hugues Ouvard(Hugues Ouvard), RockawayX, Sebastien Borget(Sebastien Borget), V3ntures, Vincent Keating(Vincent Keating)</t>
  </si>
  <si>
    <t>content creation, game design, game development, gamers software, games services, gaming designer, ugc platform, user generated content</t>
  </si>
  <si>
    <t>204840-73T</t>
  </si>
  <si>
    <t>Upcyclea</t>
  </si>
  <si>
    <t>Business/Productivity Software, Environmental Services (B2B)*</t>
  </si>
  <si>
    <t>Developer of a circular resource management system intended for decarbonization and waste management. The company collects and centralizes data on building materials for the circular management of assets, and provides AI-powered software, enabling firms with an intelligent tool allowing the progressive elimination of waste and the reuse of resources.</t>
  </si>
  <si>
    <t>Circular Capital, Femmes Business Angels, Link Tribe Capital, Myrtus Venture</t>
  </si>
  <si>
    <t>circular economy, decarbonization data, digital tools, environment data, waste management, zero waste</t>
  </si>
  <si>
    <t>244446-22T</t>
  </si>
  <si>
    <t>Andreessen Horowitz, BNP Paribas (PAR: BNP), Bpifrance, CMA CGM, Conviction Partners, Databricks, Databricks Ventures, Edgewood Ventures, Elad Gil(Elad Gil), Emerson Collective, Eric Schmidt(Eric Schmidt), Factorial Funds, General Catalyst, La Famiglia, Lightspeed Venture Partners, Microsoft (NAS: MSFT), Millennium New Horizons, Motier Ventures, New Wave VC, Nvidia (NAS: NVDA), Salesforce (NYS: CRM), Salesforce Ventures(Nowi Kallen), Snowflake Ventures(Sridhar Ramaswamy), Sofina (BRU: SOF), SV Angel</t>
  </si>
  <si>
    <t>257035-87T</t>
  </si>
  <si>
    <t>Veesual</t>
  </si>
  <si>
    <t>Developer of an image personalization platform designed to enrich customer journeys with augmented shopping experiences. The company's platform works with fashion brands and luxury Maison and personalizes each piece of content displayed to an audience and a specific target, enabling shopping brands and advertisers to improve sales by using content personalization.</t>
  </si>
  <si>
    <t>AXA Venture Partners, Techstars</t>
  </si>
  <si>
    <t>augmented reality tech, augmented shopping, brand design, ecommerce search, garments products, generative ai, shopping experience technology, virtual try-on</t>
  </si>
  <si>
    <t>AdTech, Artificial Intelligence &amp; Machine Learning, Augmented Reality, Mobile</t>
  </si>
  <si>
    <t>223039-63T</t>
  </si>
  <si>
    <t>Agriodor</t>
  </si>
  <si>
    <t>Agricultural Chemicals*</t>
  </si>
  <si>
    <t>Developer of biocontrol tools designed to replace insecticides with attractants based on Kairomones. The company's tools are based on chemical mediators that are developed by scents and trapping methods to protect crops and yield against pests like bean weeds, enabling farmers to get effective responses to fight against pests in the field and improve yields.</t>
  </si>
  <si>
    <t>BNP Paribas Développement, Capagro, CapHorn Invest, SWEN Capital Partners, UI Investissement</t>
  </si>
  <si>
    <t>ag biotech, agriculture technology, agritech company, agritech startup, biocontrol developer, insecticides manufacturer, insecticides product, pest control product, pest control tools, plant biotech, plant biotechnology</t>
  </si>
  <si>
    <t>AgTech, Life Sciences, Manufacturing</t>
  </si>
  <si>
    <t>252816-67T</t>
  </si>
  <si>
    <t>BeatHealth</t>
  </si>
  <si>
    <t>Application Software, Entertainment Software, Other Healthcare Technology Systems*</t>
  </si>
  <si>
    <t>Developer of mobile applications designed to assess and train rhythmic abilities for individuals and professionals seeking to improve their health. The company's application utilizes rhythm-based games, exercises and personalized feedback to track progress and measure performance, enabling users to develop their timing, coordination and musicality in a fun and interactive way.</t>
  </si>
  <si>
    <t>Bpifrance, NaturalPad, Ocseed, The SATT AxLR</t>
  </si>
  <si>
    <t>fitness app, health and wellness, health tools, health training, music health, rhythm games, video games, walking app</t>
  </si>
  <si>
    <t>Digital Health, HealthTech, LOHAS &amp; Wellness, Mobile</t>
  </si>
  <si>
    <t>252753-04T</t>
  </si>
  <si>
    <t>Aerix Systems</t>
  </si>
  <si>
    <t>Manaufacturer of propulsion-adapted drones intended to push back the limits of flying machines through flight performances. The company's drones help to find omnidirectional movements, erratic trajectories, a high speed of displacement, a resistance to bad weather while providing better safety, enabling civil, military and naval sectors to carry out passive and active missions in complex environments such as in the mountains or at sea.</t>
  </si>
  <si>
    <t>Bordeaux Technowest, CentraleSupélec, Techno'Start</t>
  </si>
  <si>
    <t>aerial service, aerial work, drone technology, drones data, flying camera drones, propulsion systems</t>
  </si>
  <si>
    <t>Merignac, France</t>
  </si>
  <si>
    <t>253404-73T</t>
  </si>
  <si>
    <t>Stilla Technologies</t>
  </si>
  <si>
    <t>Decision/Risk Analysis, Discovery Tools (Healthcare)*</t>
  </si>
  <si>
    <t>Developer of a genetic testing platform designed to discover the simplicity of polymerase chain reaction. The company's platform is compatible with multiple chemistries and equipped with multiplex capabilities by providing biologists with tools for high-resolution genetic analysis, enabling researchers to simplify image analysis and data exploration with intuitive visuals.</t>
  </si>
  <si>
    <t>BNP Paribas Développement, Idinvest Partners, Illumina Ventures, Kurma Partners(Philippe Peltier), LBO France, Paris-Saclay Seed Fund, TusHoldings, Zhongyuan Yuzi Investment(Liu Sisi)</t>
  </si>
  <si>
    <t>biotechnology company, digital pcr, genetic analysis system, genetic testing device, images analysis system, liquid biopsy</t>
  </si>
  <si>
    <t>Villejuif, France</t>
  </si>
  <si>
    <t>200942-74T</t>
  </si>
  <si>
    <t>Claritiv</t>
  </si>
  <si>
    <t>Developer of a sales assistance platform designed to streamline customer operations and aid in closing deals. The company's software empowers integration with multiple customer data sources and tools and centralizes feedback, calls, claims, and requests to turn them into structured data, then pushes them to the chosen system, enabling businesses to boost their customer support and customer experience.</t>
  </si>
  <si>
    <t>Daffourd Invest, Unico Partners</t>
  </si>
  <si>
    <t>customer experience analytics, customer retention tools, customer support tool, generative ai, optimization platform, sales assistant, vertical application, voice assistant tools</t>
  </si>
  <si>
    <t>Artificial Intelligence &amp; Machine Learning, Big Data, Marketing Tech</t>
  </si>
  <si>
    <t>Evry-Courcouronnes, France</t>
  </si>
  <si>
    <t>273318-31T</t>
  </si>
  <si>
    <t>Goodcity</t>
  </si>
  <si>
    <t>Developer of a platform designed to simplify investments in commercial real estate. The company offers advanced AI technology to identify high-potential properties, the income from the rental of the property is paid into account every month, and also resell investment shares, enabling individual investors to achieve solid returns while supporting local economies.</t>
  </si>
  <si>
    <t>Unicraft VC</t>
  </si>
  <si>
    <t>income generation, investment platform, passive income, property management, real estate finance, real estate investment, rental income</t>
  </si>
  <si>
    <t>Artificial Intelligence &amp; Machine Learning, FinTech, Real Estate Technology</t>
  </si>
  <si>
    <t>252435-97T</t>
  </si>
  <si>
    <t>Bpifrance(Laurent Higueret), Cathay Innovation, Frst Capital, Headline, Hummingbird (Covina), NJF Capital, Owkin(Alban de La Sablière), Sofinnova Partners(Edward Kliphuis), Top Harvest Capital, Xavier Niel(Xavier Niel)</t>
  </si>
  <si>
    <t>268429-42T</t>
  </si>
  <si>
    <t>Day One (Education and Training Services)</t>
  </si>
  <si>
    <t>Business/Productivity Software, Education and Training Services (B2B)*, Media and Information Services (B2B)</t>
  </si>
  <si>
    <t>Developer an employee engagement platform designed to enable a sustainable and united society through the meeting between associations, people, and organizations. The company's platform offers programs to support the client's employees and collaboration throughout their careers, enabling companies to strengthen their employee base.</t>
  </si>
  <si>
    <t>employee engagement, employee engagement hub, engagement platform, engagement platform software, solidarity events, team building</t>
  </si>
  <si>
    <t>EdTech, SaaS</t>
  </si>
  <si>
    <t>252331-93T</t>
  </si>
  <si>
    <t>TRYON Environnement</t>
  </si>
  <si>
    <t>Developer of a food waste management system designed to recycle biowaste into organic forms of energy. The company's system comprises several modular marine containers that are assembled and stacked where the waste streams are captured over time, enabling clients to generate renewable energy, clean water, and agronomic resources via anaerobic digestion.</t>
  </si>
  <si>
    <t>EREN Groupe</t>
  </si>
  <si>
    <t>ag biotech, agriculture technology, anaerobic digestion, biomaterials, biowaste transformation, biowaste treatment, clean fuel, food waste management, renewable energy, waste to fuel, waste transformation technology, waste-to-energy</t>
  </si>
  <si>
    <t>249187-24T</t>
  </si>
  <si>
    <t>Agriloops</t>
  </si>
  <si>
    <t>Developer of aquaponic systems designed to reinvent aquaculture to produce eco-responsible and healthy food products. The company develops innovative aquaponic production units in salt water to facilitate sustainable agricultural production and produce marine aquaculture species, such as prawns and vegetables that have more flavor, enabling farmers to produce natural and fresh shrimp and vegetables.</t>
  </si>
  <si>
    <t>BNP Paribas Développement, Good Only Ventures, SPV Aqua Invest, Transitions First, UI Investissement</t>
  </si>
  <si>
    <t>agricultural product, agricultural production, alt-proteins, animal agriculture, aquaculture, aquaponic system, aquaponic systems, aquaponics farming, cultivated protein, sustainable agriculture</t>
  </si>
  <si>
    <t>AgTech, FoodTech, Supply Chain Tech</t>
  </si>
  <si>
    <t>255365-38T</t>
  </si>
  <si>
    <t>Separative</t>
  </si>
  <si>
    <t>Biotechnology, Other Devices and Supplies*, Other Healthcare Services, Other Healthcare Technology Systems</t>
  </si>
  <si>
    <t>Developer of molecule separation technology created to help companies in purifying molecules. The company's technology makes purification processes faster and more efficient using its devices and columns, enabling the healthcare and pharmaceutical industry to separate the full range of known chemical effects, instead of just relying on the heat.</t>
  </si>
  <si>
    <t>chromatography services, molecule purification, molecule study, pharmaceutical, pharmaceutical research service, pharmaceutical research tool</t>
  </si>
  <si>
    <t>Saint Fons, France</t>
  </si>
  <si>
    <t>203331-43T</t>
  </si>
  <si>
    <t>Wing (Business/Productivity Software)</t>
  </si>
  <si>
    <t>Developer of a SaaS-based e-commerce platform designed to simplify and optimize logistics. The company's platform provides omnichannel logistics and manages all eCommerce shipments with automatic synchronization of orders, collecting postage, return labels, package tracking, and complaints., enabling businesses to access a single point of contact for all their logistics needs.</t>
  </si>
  <si>
    <t>CMA CGM</t>
  </si>
  <si>
    <t>automatic synchronization, commerce site, ecommerce shipment, last mile delivery, last mile logistics, logistics platform, packaging and logistics service, shipment management</t>
  </si>
  <si>
    <t>252012-43T</t>
  </si>
  <si>
    <t>Companion Spine</t>
  </si>
  <si>
    <t>Therapeutic Devices*</t>
  </si>
  <si>
    <t>Operator of a spine care company intended to provide diagnostic and medical implant products. The company offers immediate and precise identification of the disease state and root causes, enabling patients to treat the pain while preserving full spine mobility.</t>
  </si>
  <si>
    <t>back pain, spinal implant, spinal stenosis, spinal stenosis care, spinal stenosis treatment, spine care product, spine surgeons</t>
  </si>
  <si>
    <t>215647-21T</t>
  </si>
  <si>
    <t>Ener-Pacte</t>
  </si>
  <si>
    <t>Business/Productivity Software*, Other Energy Services</t>
  </si>
  <si>
    <t>Developer of photovoltaic power devices designed to secure the future profitability of photovoltaic power plants. The company's services include providing complete, simple, and pragmatic support to owners of non-professional photovoltaic plants, enabling customers to financially optimize the photovoltaic projects and completely secure their existing income.</t>
  </si>
  <si>
    <t>BCM Energy, Greenpact, Serendipity Investment</t>
  </si>
  <si>
    <t>consulting services, intermittent renewable energy, photovoltaic plant, photovoltaic power, photovoltaic power plant, photovoltaic solar power, photovoltaic solar system, solar photovoltaic</t>
  </si>
  <si>
    <t>252991-99T</t>
  </si>
  <si>
    <t>Unseenlabs</t>
  </si>
  <si>
    <t>Small Satellites, Space Situational Awareness</t>
  </si>
  <si>
    <t>Aerospace and Defense*, Media and Information Services (B2B)</t>
  </si>
  <si>
    <t>Operator of maritime surveillance systems intended to monitor oceans from space to track down rogue vessels regardless of their position. The company involves deploying satellites into space that detect and geolocate signals and electromagnetic waves transmitted by ships, even when they cut off their automatic identification system beacon, enabling clients to locate all boats, and non-cooperative entities in sailing the seas for conducting illegal operations such as illegal fishing, degassing or maritime piracy.</t>
  </si>
  <si>
    <t>360 Capital, Bpifrance(Nicolas Berdou), ISALT- Strategic Long Term Equity Investments(Laurent Piccoli), Omnes Capital, S2G Investments, Supernova Invest(Etienne Moreau), UI Investissement(Laurent Portz), Unexo(Jérémy Durand)</t>
  </si>
  <si>
    <t>satellite observation, satellite surveillance, small satellite, space surveillance, surveillance services, surveillance systems</t>
  </si>
  <si>
    <t>Robotics and Drones, Space Technology</t>
  </si>
  <si>
    <t>267166-27T</t>
  </si>
  <si>
    <t>Nexdot</t>
  </si>
  <si>
    <t>Computers, Parts and Peripherals, General Purpose Semiconductors*, Other Commercial Products, Other Commercial Services</t>
  </si>
  <si>
    <t>Operator of quantum encapsulation technology firm intended to encapsulate quantum plates into quantum pearls. The company engages in the research and development of quantum pearl encapsulation methods that are used without major modification of existing production processes in compliance with restriction of hazardous substances directives, enabling clients to quantum plates in the areas of production of screens, lighting, infrared detection, energy production, and storage.</t>
  </si>
  <si>
    <t>encapsulation technology, infrared detection, quantum dot technology, quantum dots, quantum dots synthesis, uv protection</t>
  </si>
  <si>
    <t>General Purpose Semiconductors</t>
  </si>
  <si>
    <t>Manufacturing, Nanotechnology</t>
  </si>
  <si>
    <t>Romainville, France</t>
  </si>
  <si>
    <t>251509-33T</t>
  </si>
  <si>
    <t>Pennylane</t>
  </si>
  <si>
    <t>Accounting, Audit and Tax Services (B2B), Financial Software*, Media and Information Services (B2B)</t>
  </si>
  <si>
    <t>Developer of digital accounting platform designed to bring all financial and accounting data together in one place. The company's platform combines people and technology to help SME managers in their administrative management such as invoicing and collection, supplier payments, accounting and management of cash and activity, enabling startups with efficient accounting and management results.</t>
  </si>
  <si>
    <t>Discovery Ventures (Berlin), DST Global(Thomas Stafford), Sequoia Capital(Luciana Lixandru)</t>
  </si>
  <si>
    <t>accounting and tax, accounting data, accounting firm, accounting platform, accounting service, cfo stack, enterprise resource planning, erp, financial management system, tax service</t>
  </si>
  <si>
    <t>Cherbourg, France</t>
  </si>
  <si>
    <t>235180-45T</t>
  </si>
  <si>
    <t>Pixee Medical</t>
  </si>
  <si>
    <t>Other Healthcare Technology Systems, Surgical Devices*, Therapeutic Devices</t>
  </si>
  <si>
    <t>Operator of a medical technology company intended to develop computer-assisted surgical keys using advanced computer vision and artificial intelligence technologies. The company develops surgical navigation solutions using an innovative tracking tool to locate objects in a three-dimensional space with millimeter precision, enabling doctors to perform orthopedic surgery, while remaining affordable amid the challenging health system environment.</t>
  </si>
  <si>
    <t>Angelor, Bpifrance(Jean-Francois Morin), Innovacom (Paris), Relyens, UI Investissement(Guillaume Blanchet)</t>
  </si>
  <si>
    <t>3d imagery device, healthcare device, knee surgery, orthopaedics, orthopedic care, orthopedic navigation system, orthopedic surgery, surgical imaging and navigation</t>
  </si>
  <si>
    <t>Artificial Intelligence &amp; Machine Learning, Augmented Reality</t>
  </si>
  <si>
    <t>169698-34T</t>
  </si>
  <si>
    <t>Jow</t>
  </si>
  <si>
    <t>Application Software, Information Services (B2C), Specialty Retail*</t>
  </si>
  <si>
    <t>Operator of a shopping platform intended to automate the grocery shopping process. The company's platform creates a customized menu with recipes based on the user's food preferences and fills the cart with ingredients needed to cook those recipes, enabling consumers to shop for groceries in a convenient and hassle-free manner.</t>
  </si>
  <si>
    <t>DST Global, Eurazeo (PAR: RF)(Antoine Zins), Headline(Christian Leybold), Northzone Ventures, Stride.VC, Techmind</t>
  </si>
  <si>
    <t>ecommerce platform, food ecommerce, grocery shopping app, grocery shopping platform, online grocer, online grocery portal, online grocery shop, online shopping app, shopping platform</t>
  </si>
  <si>
    <t>E-Commerce, FoodTech</t>
  </si>
  <si>
    <t>251516-71T</t>
  </si>
  <si>
    <t>Sensinov</t>
  </si>
  <si>
    <t>Developer of a building management platform designed to control a heterogeneous building stock remotely. The company's platform operates and monitors the equipment of a building, a building stock, or a city, regardless of its brand and supplier controls as well as automates building assets, enabling building managers to automate your real estate portfolio.</t>
  </si>
  <si>
    <t>Kima Ventures, Varsity VC</t>
  </si>
  <si>
    <t>building management software, building operating system, building operation management, building system control, real estate model, smart building</t>
  </si>
  <si>
    <t>Construction Technology, Real Estate Technology, SaaS</t>
  </si>
  <si>
    <t>Labège, France</t>
  </si>
  <si>
    <t>251317-00T</t>
  </si>
  <si>
    <t>Édifice</t>
  </si>
  <si>
    <t>Educational and Training Services (B2C), Educational Software*, Software Development Applications</t>
  </si>
  <si>
    <t>Developer of educational tools designed to connect the education community. The company's platform utilizes intuitive and customizable applications to help students become enlightened citizens, enabling students to enjoy learning and prepare for the careers of tomorrow.</t>
  </si>
  <si>
    <t>Bpifrance(Axel Piriou), Generis Capital Partners(Thibaut de Roux), Impact Partners (Paris)(Thomas Delalande)</t>
  </si>
  <si>
    <t>administration program, digital education, digital education platform, educational service platform, personality development, school technology</t>
  </si>
  <si>
    <t>EdTech</t>
  </si>
  <si>
    <t>265976-11T</t>
  </si>
  <si>
    <t>SoleCooler</t>
  </si>
  <si>
    <t>Footwear*, Other Commercial Products, Other Consumer Durables</t>
  </si>
  <si>
    <t>Designer of heated and cooling insoles intended for professional or amateur athletes, workers in refrigerated warehouses, construction, and public works. The company product recovers the mechanical energy of the steps and transforms it directly into heat on one side and cold on the other side.</t>
  </si>
  <si>
    <t>SFINE</t>
  </si>
  <si>
    <t>insoles, insoles design, insoles developer, insoles footwear, insoles products, insoles technology, soles maker</t>
  </si>
  <si>
    <t>Perpignan, France</t>
  </si>
  <si>
    <t>269706-52T</t>
  </si>
  <si>
    <t>Corma (Business/Productivity Software)</t>
  </si>
  <si>
    <t>Developer of a license management platform designed to centralize all applications and automate access reviews and provisioning. The company's software allows users to map software ecosystems, secure SaaS tools through central contract lifecycle management, and automate access control policies and provisioning in identity and access management, enabling clients to conduct granular reviews of user access and request logs, reducing the average project cost.</t>
  </si>
  <si>
    <t>Campus Fund, Plug and Play Tech Center</t>
  </si>
  <si>
    <t>access management, automated provisioning, cost optimisation, digital transformation, identity software, license management, review data</t>
  </si>
  <si>
    <t>251177-77T</t>
  </si>
  <si>
    <t>Better Angle, CapHorn Invest, ISAI, Kima Ventures, Ternel</t>
  </si>
  <si>
    <t>257073-31T</t>
  </si>
  <si>
    <t>Touch Sensity</t>
  </si>
  <si>
    <t>Developer of a sensitivity technology designed to make objects and materials sensitive to physical interactions. The company's technology can adapt to any size, shape, surface topology, and resolution and is sensorless, non-invasive, and captures complete surfaces, enabling clients to obtain all the data resulting from pressure, extension, and deformation to associate them with their environment.</t>
  </si>
  <si>
    <t>LIFTT</t>
  </si>
  <si>
    <t>health monitoring tech, mechanical technology, sensing equipment, sensing system, sensing system platform, sensing technology</t>
  </si>
  <si>
    <t>251112-97T</t>
  </si>
  <si>
    <t>Climbing District</t>
  </si>
  <si>
    <t>Educational and Training Services (B2C), Leisure Facilities*, Other Services (B2C Non-Financial)</t>
  </si>
  <si>
    <t>Operator of a climbing gym company intended to offer urban climbing in cool, arty, and clean spaces. The company offers rooms to train, chill and work and offers personalized training sessions, courses, and lessons to people who are passionate about climbing, enabling users to have a memorable climbing experience.</t>
  </si>
  <si>
    <t>123 Investment Managers, Pleiade Venture</t>
  </si>
  <si>
    <t>climbing center, climbing gym, gym company, rock climbing, sports market, sports training</t>
  </si>
  <si>
    <t>Leisure Facilities</t>
  </si>
  <si>
    <t>EdTech, LOHAS &amp; Wellness</t>
  </si>
  <si>
    <t>256719-25T</t>
  </si>
  <si>
    <t>Tenacy</t>
  </si>
  <si>
    <t>Developer of a cloud-based risk assessment and management software designed to manage cybersecurity processes in any organizational context, measure performance and report security services. The company's software offers a collaborative platform to assess and define risks, manage incidents and deviations, create dashboards and benchmark data and provide decision support, enabling companies to protect and boost their business by integrating precise and tailor-made cybersecurity governance.</t>
  </si>
  <si>
    <t>computer security, cybersecurity compliance services, cybersecurity consulting firm, cybersecurity management, cybersecurity management software, cybersecurity safety, cybersecurity system, network detection &amp; response, network detection and response, risk assessment system</t>
  </si>
  <si>
    <t>251972-11T</t>
  </si>
  <si>
    <t>Airthium</t>
  </si>
  <si>
    <t>Energy Storage, Other Equipment*</t>
  </si>
  <si>
    <t>Manufacturer of heat engines designed to make solar and wind energy cheaper than fossil fuels. The company's heat engines transform electricity into heat and vice versa, enabling users to access multi-purpose applications as a cheaper alternative to the use of natural gas in industrial heating and has to potential to remove carbon dioxide emissions.</t>
  </si>
  <si>
    <t>Daphni, EREN Groupe, Polytechnique Ventures</t>
  </si>
  <si>
    <t>energy storage, energy storage device, energy storage technology, gas heating, grid infrastructure, heat pump manufacturer, industrial heat, low-carbon manufacturing and industrial process, non-battery storage, thermodynamic energy</t>
  </si>
  <si>
    <t>Villebon-sur-Yvette, France</t>
  </si>
  <si>
    <t>253225-90T</t>
  </si>
  <si>
    <t>Albums</t>
  </si>
  <si>
    <t>Developer of a mobile media application designed to share photos and video albums. The company's application gives collaborative access along with posting photos and videos inside the album to post their own photos and videos, see other members of that album and interact with them, enabling users to share their content in a hassle-free manner.</t>
  </si>
  <si>
    <t>LeanSquare</t>
  </si>
  <si>
    <t>albums creation, photo sharing app, photo sharing application, photo sharing platform, share content online, sharing platform technology</t>
  </si>
  <si>
    <t>Aubervilliers, France</t>
  </si>
  <si>
    <t>251465-32T</t>
  </si>
  <si>
    <t>Amphitrite</t>
  </si>
  <si>
    <t>Ocean Data Collection</t>
  </si>
  <si>
    <t>Developer of ocean data intelligence designed to provide reliable marine data tailored to specific needs. The company's technology uses multiple satellite and in-situ data, using artificial intelligence to provide reliable and precise ocean data, enabling shippers to get assistance while they travel in the sea.</t>
  </si>
  <si>
    <t>Atlantic Labs, Bpifrance, SpaceFounders</t>
  </si>
  <si>
    <t>ai automation platform, green shipping, maritime services, ocean data, ocean data insights, satellite data, satellite observation</t>
  </si>
  <si>
    <t>252568-36T</t>
  </si>
  <si>
    <t>WeLikeStartup</t>
  </si>
  <si>
    <t>251554-42T</t>
  </si>
  <si>
    <t>Azade</t>
  </si>
  <si>
    <t>Supplier of dry groceries and drinks intended to offer organic and fair trade products. The company offers products like traditional beers, succulent artisanal kombuchas, fruit juices, exquisite wines, quality oils, and many others, enabling consumers to receive local organic goods.</t>
  </si>
  <si>
    <t>Autonomie &amp; Solidarité, Finorpa, IRD Invest</t>
  </si>
  <si>
    <t>food items, food supply, groceries online, organic products, traditional beer, wholesaler firm, wines and liquor</t>
  </si>
  <si>
    <t>Nieppe, France</t>
  </si>
  <si>
    <t>258208-03T</t>
  </si>
  <si>
    <t>CetteFamille</t>
  </si>
  <si>
    <t>Elder and Disabled Care*, Information Services (B2C)</t>
  </si>
  <si>
    <t>Developer of a family care platform designed to discover shared housing between elderly people. The company's platform allows seniors and families to contact and get a follow-up service to carry out all the administrative procedures, enabling retired people to connect with suitable families to meet their needs.</t>
  </si>
  <si>
    <t>Charente-Périgord Expansion</t>
  </si>
  <si>
    <t>hosting services, retired care, retired care services, retired individuals living, retired persons, retirement home</t>
  </si>
  <si>
    <t>Digital Health, HealthTech, LOHAS &amp; Wellness</t>
  </si>
  <si>
    <t>Argentan, France</t>
  </si>
  <si>
    <t>253267-30T</t>
  </si>
  <si>
    <t>CrossKnowledge</t>
  </si>
  <si>
    <t>Education and Training Services (B2B)*, Educational and Training Services (B2C), Educational Software</t>
  </si>
  <si>
    <t>Provider of e-learning services intended to develop career-related skills. The company develops multilingual training programs and offers learner marketing, project management, information technology services, course designs, and integrated distance learning and training formats including blended, social, mobile, and mentored learning, enabling employees to develop relevant human and leadership skills.</t>
  </si>
  <si>
    <t>French Partners</t>
  </si>
  <si>
    <t>career development course, digital learning, distance learning, e learning services, leadership development, leadership skills training, training program</t>
  </si>
  <si>
    <t>Artificial Intelligence &amp; Machine Learning, EdTech, TMT</t>
  </si>
  <si>
    <t>Rueil-Malmaison, France</t>
  </si>
  <si>
    <t>273124-72T</t>
  </si>
  <si>
    <t>Dotmap</t>
  </si>
  <si>
    <t>Other Commercial Services, Other Services (B2C Non-Financial)*</t>
  </si>
  <si>
    <t>Operator of an event management platform intended to create entertainment and interactive adventures. The company's platform offers moments of entertainment, sharing, and cohesion during fun, cultural, or promotional activities, providing users with internal or external event communication of companies.</t>
  </si>
  <si>
    <t>Autonomie &amp; Solidarité(Helen Ostrowski)</t>
  </si>
  <si>
    <t>employee wellbeing, engagement activity, events support, seminars and events, team building, team cohesion</t>
  </si>
  <si>
    <t>251311-78T</t>
  </si>
  <si>
    <t>Ecair</t>
  </si>
  <si>
    <t>Developer of a project tracking platform designed to track the renovation of sites. The company offers centralized file management, and transparent real-time tracking among others, providing organizations with an instant simulator for major renovations.</t>
  </si>
  <si>
    <t>Kima Ventures, Silence VC, Voyagers.io</t>
  </si>
  <si>
    <t>administrative services, built environment, cash flow management, construction financing, green technology services, heating and cooling, site inspections, sustainable energy</t>
  </si>
  <si>
    <t>253186-12T</t>
  </si>
  <si>
    <t>Elixir Aircraft</t>
  </si>
  <si>
    <t>Manufacturer of passenger planes designed to make private flights and flying lessons safer. The company specializes in two-seater aircraft that offer anti-deflagration fuel tanks, box-type structures, and an attached parachute as standard equipment along with a durable airframe design, enabling fliers to have a safe flying experience as per their preference.</t>
  </si>
  <si>
    <t>Atech.Com ( Atlantique Technologiecommunication ), Aubépar Industries SE, Bpifrance, BRG SUD-Ouest Investissement, Galia Gestion, Innovacom (Paris), Nouvelle Aquitaine Co-Investissement, Prony Finance</t>
  </si>
  <si>
    <t>advances air mobility, aircraft hardware, aircraft producer, aviation company, aviation tech, private plane, standards equipment</t>
  </si>
  <si>
    <t>Industrials, Manufacturing, Mobility Tech, Robotics and Drones</t>
  </si>
  <si>
    <t>258158-44T</t>
  </si>
  <si>
    <t>GeoLinks (Business/Productivity Software)</t>
  </si>
  <si>
    <t>Operator of a geophysical monitoring company intended to develop cost-effective systems. The company uses cost-effective technology based on the study of surface waves reconstructed from the ambient noise, this technology does not require to mobilization of expensive seismic sources, enabling customers to map fluid flow in the subsurface.</t>
  </si>
  <si>
    <t>EIT InnoEnergy(Karine Vernier)</t>
  </si>
  <si>
    <t>geophysical consulting, geophysical data, geophysical equipment, geophysical service, geophysical survey, monitoring process</t>
  </si>
  <si>
    <t>250874-83T</t>
  </si>
  <si>
    <t>Greenerwave</t>
  </si>
  <si>
    <t>Business/Productivity Software, Connectivity Products*, Telecommunications Service Providers</t>
  </si>
  <si>
    <t>Developer of a connectivity technology designed to overcome connectivity and mobility challenges. The company's technology consists in electronically reconfigurable surfaces that act as electromagnetic mirrors, enabling clients to design high-performance and cost-effective applications.</t>
  </si>
  <si>
    <t>BNP Paribas Développement, Bpifrance(Muriel Prudent), Defense Innovation Fund, OPmobility (PAR: OPM), Reorganized, Safran Corporate Ventures(Sébastien Weber)</t>
  </si>
  <si>
    <t>4d imaging radar, connectivity technology, electromagnetic waves, energy consumption, wifi technology, wireless service, wireless technology</t>
  </si>
  <si>
    <t>Connectivity Products</t>
  </si>
  <si>
    <t>270092-44T</t>
  </si>
  <si>
    <t>Le Fournil Bio</t>
  </si>
  <si>
    <t>Provider of organic baked goods intended for health-conscious consumers. The company offers a range of bread products using local ingredients and sustainable practices while ensuring freshness and nutritional value, enabling consumers to enjoy delicious and nutritious bread while supporting sustainable agriculture and reducing their environmental impact.</t>
  </si>
  <si>
    <t>baked products, bakery firm, bread maker, gluten-free food, locally grown produce, organic products, sustainable packaging</t>
  </si>
  <si>
    <t>252580-33T</t>
  </si>
  <si>
    <t>Neo by Nature</t>
  </si>
  <si>
    <t>Personal Products*, Specialty Retail</t>
  </si>
  <si>
    <t>Operator of a cosmetics company intended to offer natural shower gels. The company's products include a variety of bath products, shower gels, and loofah sponges, enabling customers to get quality products.</t>
  </si>
  <si>
    <t>bath products, bath products manufacturer, cosmetics company, natural cosmetics, shower gel, shower gel products</t>
  </si>
  <si>
    <t>Beauty, E-Commerce, LOHAS &amp; Wellness</t>
  </si>
  <si>
    <t>251871-04T</t>
  </si>
  <si>
    <t>Paramedic (Business/Productivity Software)</t>
  </si>
  <si>
    <t>Business/Productivity Software*, Managed Care, Other Healthcare Services, Road</t>
  </si>
  <si>
    <t>Developer of a medical transport management platform designed to streamline and optimize healthcare transport processes. The company's platform offers features like administration services from patient care to billing, real-time tracking and centralized request management for bespoke patient care, quicker booking, increased rides and improved cost control, enabling healthcare facilities and transporters to enhance efficiency and improve patient care without commitment or hidden costs.</t>
  </si>
  <si>
    <t>AfriMobility</t>
  </si>
  <si>
    <t>healthcare facility, healthcare firm, medical transport, medical transportation service, patient caregiver, request management platform, transport management, vehicles agent</t>
  </si>
  <si>
    <t>252449-02T</t>
  </si>
  <si>
    <t>Safehear</t>
  </si>
  <si>
    <t>Electronics (B2C)*, Other Consumer Durables</t>
  </si>
  <si>
    <t>Developer of an earplug technology designed to protect the users' ears. The company's technology allows to communicate with interlocutors fluidly without sound or image lag, the connection between devices is done automatically, without manipulation, and in a reliable way, recognizing the voice of its user, enabling consumers to communicate with others within a radius of few meters and protect their ears.</t>
  </si>
  <si>
    <t>ear protection, earplugs manufacturer, earplugs products, earplugs technology, hearing protection, hearing protection device, hearing protection technology, hearing technology, in-ear headphones, noise reduction</t>
  </si>
  <si>
    <t>253125-46T</t>
  </si>
  <si>
    <t>Zealy</t>
  </si>
  <si>
    <t>DAOs, NFTs</t>
  </si>
  <si>
    <t>Social/Platform Software*</t>
  </si>
  <si>
    <t>Developer of an online platform designed to drive growth and engagement of web3 communities. The company's platform has use cases like DAO onboarding, whitelisting for token sales, community engagement, enabling members and users to learn from others, share work, extend the toolset, understand, activate, and grow your web3 community.</t>
  </si>
  <si>
    <t>Blockwall Management</t>
  </si>
  <si>
    <t>blockchain community, blockchain services, blockchain technology, cryptocurrency access, defi platform, gaming community, gaming experience, gaming social, metaverse nft, web3 community, web3 gaming</t>
  </si>
  <si>
    <t>Orléans, France</t>
  </si>
  <si>
    <t>249930-82T</t>
  </si>
  <si>
    <t>Alpha Chitin</t>
  </si>
  <si>
    <t>Operator of a biotechnology chemistry company intended to manufacture chitin-chitosans. The company uses vertically integrated processes including the production of bioresource and in-house extraction and purification of the products, enabling industries to enhance their research.</t>
  </si>
  <si>
    <t>biotechnology based, biotechnology company, chemistry company, chitin manufacturer, deeptech company, oligosaccharides</t>
  </si>
  <si>
    <t>Lacq, France</t>
  </si>
  <si>
    <t>256280-86T</t>
  </si>
  <si>
    <t>Dalia Group</t>
  </si>
  <si>
    <t>Operator of a restaurant chain intended to provide dining experiences. The company specializes in Mediterranean cuisine inspired by oriental and Levantine traditions and offers the facility of advance booking, enabling customers to gain access to value-added hospitality services and eateries.</t>
  </si>
  <si>
    <t>4Ventures, Pleiade Venture</t>
  </si>
  <si>
    <t>eatery operator, food company, mediterranean cuisine, middle eastern food, restaurant chain, restaurant cuisine</t>
  </si>
  <si>
    <t>264171-61T</t>
  </si>
  <si>
    <t>Panopli</t>
  </si>
  <si>
    <t>Clothing, Internet Retail*, Other Commercial Services</t>
  </si>
  <si>
    <t>Operator of an online personalized gifts marketplace intended to offer artistic clothes and decorative items as gifts. The company's platform provides gifting resolution like art pieces online, including t-shirts, sweaters, shorts, art posters, and drawings, and then directly ships the gift to the dedicated person, enabling people to browse, find, and purchase artistic goods at an affordable price with no hassle of giving gifts by themselves.</t>
  </si>
  <si>
    <t>Bpifrance, The Moon Venture</t>
  </si>
  <si>
    <t>artists marketplace, corporate gifts, gift delivery, inventory management, online gifting, personalized gifts, shipment tracking</t>
  </si>
  <si>
    <t>250579-18T</t>
  </si>
  <si>
    <t>8sec</t>
  </si>
  <si>
    <t>Operator of a game studio intended to develop engaging casual games. The company specializes in developing online and mobile games based on the trivia genre that is free to download and play, enabling individuals with an interactive gaming experience.</t>
  </si>
  <si>
    <t>Kwalee</t>
  </si>
  <si>
    <t>game developer, game studio, gaming content, mobile gaming, video games, visual games</t>
  </si>
  <si>
    <t>Gaming, Mobile, TMT</t>
  </si>
  <si>
    <t>255367-81T</t>
  </si>
  <si>
    <t>Smart Immune</t>
  </si>
  <si>
    <t>Operator of a thymus-empowered T-cell therapy platform intended to fully and rapidly re-arm the immune system against cancers and infections. The company's first cell therapy program is based on T cell progenitors' curative power to enable a short, polyclonal, and safe post-transplantation immune recovery and will be completed by integrative developments from targeted conditioning to gene therapy, enabling next-generation allogeneic T-cell therapies for all patients with life-threatening disorders, particularly in the field of hematological malignancies and primary immune deficiencies.</t>
  </si>
  <si>
    <t>autoimmune disorder, cell therapy, gene therapy, hematopoietic stem cell reconstitution, hiv, immune cells, leukemia and cancer, leukemia treatment, nk cell, oncology, stem cell medicine, stem cell regeneration, t-cell</t>
  </si>
  <si>
    <t>250412-77T</t>
  </si>
  <si>
    <t>ACWA Robotics</t>
  </si>
  <si>
    <t>Developer of autonomous amphibious devices designed to improve the management of clean water infrastructures worldwide. The company's products provide a precise mapping of the water pipes in rural as well as urban areas, enabling clients to determine the conditions of those pipes to plan for improvement works leak prevention.</t>
  </si>
  <si>
    <t>Banque des Territoires, CAAP Creation, Calao Finance, FMG Circular Invest AB, Région Sud Investissement, UI Investissement</t>
  </si>
  <si>
    <t>drinking water network, robotic device developer, underwater device, underwater robotic device, water infrastructure planning, water management device</t>
  </si>
  <si>
    <t>Advanced Manufacturing, CleanTech, Robotics and Drones</t>
  </si>
  <si>
    <t>Bastia, France</t>
  </si>
  <si>
    <t>251245-27T</t>
  </si>
  <si>
    <t>Agrilife Studio</t>
  </si>
  <si>
    <t>Consulting Services (B2B)*, Media and Information Services (B2B), Other Agriculture</t>
  </si>
  <si>
    <t>Operator of an agri-tech-based startup studio intended for farmers to improve the efficiency and productivity of agriculture. The company provides a suite of tools and resources for farmers, including data analytics, precision agriculture tools, and market access, enabling farmers to make better decisions about their crops and livestock and to connect with buyers more easily.</t>
  </si>
  <si>
    <t>Bpifrance(Pierre Gillet), Credit Mutuel Arkea(Hélène Bernicot), Crédit Mutuel Alliance Fédérale, Crédit Mutuel Impact(Sabine Schimel)</t>
  </si>
  <si>
    <t>agriculture business, agritech company, farmers help, farmers market, foodtech ecosystem, startup studio, sustainable food, sustainable materials</t>
  </si>
  <si>
    <t>232768-63T</t>
  </si>
  <si>
    <t>ABN AMRO Ventures, Bpifrance, Definitive Capital, Hashed, Horseshoe Capital Partners, Motier Ventures, Motive Partners, Semantic Ventures, Sparkle Ventures, Station F, Susquehanna Private Equity Investments, Techstars, ThinkingCap.vc, Wintermute, WSC DA</t>
  </si>
  <si>
    <t>250697-35T</t>
  </si>
  <si>
    <t>Foodpilot</t>
  </si>
  <si>
    <t>Operator of a digital platform intended for food companies to collect and analyze data on their environmental impact. The company's platform provides a single source of truth for data on the entire value chain, from farm to fork, enabling food companies to make more informed decisions about their sustainability practices.</t>
  </si>
  <si>
    <t>BRED Banque Populaire, IRDI Capital Investissement</t>
  </si>
  <si>
    <t>agricultural data, environmental impact study, farm management system, food transition, real time data, sustainability analysis</t>
  </si>
  <si>
    <t>Big Data, CleanTech</t>
  </si>
  <si>
    <t>263304-55T</t>
  </si>
  <si>
    <t>Life Plus</t>
  </si>
  <si>
    <t>Elder and Disabled Care*, Electronics (B2C), Monitoring Equipment</t>
  </si>
  <si>
    <t>Developer of frailty prevention software designed to provide medical assistance and telemonitoring solutions for old people. The company's software offers a comprehensive, non-stigmatizing fragility prevention system that permits seniors and family members to prevent frailty and also provides a smartwatch that monitors the activity and physiological parameters and in case of any problem transmits alerts to the caregivers without using the internet, enabling users to track the health of the elderly members in the family or the care centres for scalable and customizable assistance.</t>
  </si>
  <si>
    <t>Banque des Territoires(Olivier Sichel), Tsinor Venture Studio</t>
  </si>
  <si>
    <t>connected healthcare, connected service, elderly care, health tracking device, medical telemonitoring platform, monitoring device, monitoring equipment, telemonitoring solutions, wellness tools</t>
  </si>
  <si>
    <t>Artificial Intelligence &amp; Machine Learning, HealthTech, Mobile, Wearables &amp; Quantified Self</t>
  </si>
  <si>
    <t>250418-44T</t>
  </si>
  <si>
    <t>Nexess</t>
  </si>
  <si>
    <t>Business/Productivity Software, IT Consulting and Outsourcing, Other Hardware*</t>
  </si>
  <si>
    <t>Developer of radio frequency identification (RFID) and connected products designed to support major digital transformation projects. The company's products leverage technology to provide services like traceability, identification, IoT applications, assistance management, RFID chip installations, audit consulting, and inventory management, enabling clients to increase their performance in terms of productivity, quality, and security.</t>
  </si>
  <si>
    <t>Innovacom (Paris), Région Sud Investissement, Seventure Partners</t>
  </si>
  <si>
    <t>asset tracking system, connected infrastructure, connected objects, digital transformation, industrial iot, inventory tracking, rfid technology, stock optimization, tools management</t>
  </si>
  <si>
    <t>Advanced Manufacturing, Internet of Things</t>
  </si>
  <si>
    <t>250350-22T</t>
  </si>
  <si>
    <t>Allaw</t>
  </si>
  <si>
    <t>Developer of a legal technology platform designed to facilitate access to legal professionals. The company's platform offers a streamlined onboarding process for experts, enhances client relationships through appointment management, agenda synchronization, and document security, and guides individuals to the right expert, enabling professionals a seamless connection to make appointments, and monitor and manage their clients, all from a single platform.</t>
  </si>
  <si>
    <t>Nantes Investment fund Delambre</t>
  </si>
  <si>
    <t>client relationship, consultation firm, document security, legal procedure, legal professionals, legal services</t>
  </si>
  <si>
    <t>250470-01T</t>
  </si>
  <si>
    <t>Batconnect</t>
  </si>
  <si>
    <t>Business/Productivity Software, Electrical Equipment*</t>
  </si>
  <si>
    <t>Developer of lithium-ion-connected batteries designed to replace the lead batteries of light vehicles. The company's batteries are connected to lithium-ion battery packs which will help to optimize the life of the battery, limit its maintenance, and accelerate the recharge time based on the remote monitoring of the battery packs that use artificial intelligence algorithms and process the enormous flow of data in real-time, enabling clients to reduce the cost of ownership and the carbon footprint of batteries.</t>
  </si>
  <si>
    <t>Club Holnest, Ocseed</t>
  </si>
  <si>
    <t>ai automation platform, battery designer, battery energy, e-mobility product, hardware components, lithium battery, robust technology</t>
  </si>
  <si>
    <t>265467-97T</t>
  </si>
  <si>
    <t>Nefture</t>
  </si>
  <si>
    <t>Media and Information Services (B2B), Network Management Software*</t>
  </si>
  <si>
    <t>Developer of a web3 security layer designed to protect from exploits, crypto-threats, hacks, scams, and financial risks. The company offers real-time vulnerability detection, transaction monitoring, risk management tools, and API integration, enabling Defi asset managers to minimize risk and protect assets in the dynamic ecosystem.</t>
  </si>
  <si>
    <t>Taisu Ventures</t>
  </si>
  <si>
    <t>anti fraud, blockchain security, crypto assets, cybersecurity consulting, defi nfts, financial risk, risk management, web3 security</t>
  </si>
  <si>
    <t>Cryptocurrency/Blockchain, Cybersecurity, Mobile</t>
  </si>
  <si>
    <t>267042-61T</t>
  </si>
  <si>
    <t>Chiche</t>
  </si>
  <si>
    <t>Operator of a snack brand intended to promote healthy and sustainable eating. The company offers legume-based snacks made from grown ingredients, enabling consumers to eat nutritious alternatives to traditional appetizers.</t>
  </si>
  <si>
    <t>Demeter Partners</t>
  </si>
  <si>
    <t>gluten-free food, healthy food, legumes seeds, nutritious food, roasted snacks, snack brand, sustainable eating</t>
  </si>
  <si>
    <t>Belleville-en-Beaujolais, France</t>
  </si>
  <si>
    <t>250184-17T</t>
  </si>
  <si>
    <t>Minitrucks Robotics</t>
  </si>
  <si>
    <t>Machinery (B2B)*, Other Business Products and Services, Other Commercial Products</t>
  </si>
  <si>
    <t>Operator of automation machinery manufacturing, located in Vénissieux, France. The company is currently operating in stealth mode.</t>
  </si>
  <si>
    <t>automation machinery, automation machinery manufacturer, automation machinery manufacturing, automation machinery product, automation machinery provider, automation machinery services, stealth modes</t>
  </si>
  <si>
    <t>251270-92T</t>
  </si>
  <si>
    <t>Pandobac</t>
  </si>
  <si>
    <t>Environmental Services (B2B), Other Containers and Packaging*</t>
  </si>
  <si>
    <t>Provider of zero-waste packaging services intended to replace disposable packaging with reusable crates. The company's services offers reusable crates as an alternative to disposable packaging such as cardboard boxes, wood crates and polystyrene, also its services include the rental, washing and tracking of the crates which can be reused to easily replace disposable goods transport packaging with reusable containers, enabling clients to dispose of their food packaging without generating waste.</t>
  </si>
  <si>
    <t>BNP Paribas Développement, Cenitz</t>
  </si>
  <si>
    <t>food production, packaging systems, packaging waste recycling, reusable container, reusable crates, sustainable packaging, waste management system, zero waste packaging</t>
  </si>
  <si>
    <t>CleanTech, Climate Tech, Mobile</t>
  </si>
  <si>
    <t>Rungis, France</t>
  </si>
  <si>
    <t>250122-07T</t>
  </si>
  <si>
    <t>Prolong</t>
  </si>
  <si>
    <t>Developer of a care and repair management platform designed to extend the lifespan of products, aiming to revolutionize the way brands approach. The company's platform allows brands to seamlessly integrate their product lifecycles, promoting sustainable consumption and reducing waste, enabling businesses to contribute to a circular economy and responsible consumption practices.</t>
  </si>
  <si>
    <t>AFI Ventures, Ventech (Paris)</t>
  </si>
  <si>
    <t>business launch, career tools, customer satisfaction, customer service, network building, operations adviser, repair solution, scaling service, sustainable project</t>
  </si>
  <si>
    <t>Nanterre, France</t>
  </si>
  <si>
    <t>250000-75T</t>
  </si>
  <si>
    <t>Aldoria</t>
  </si>
  <si>
    <t>Space Situational Awareness</t>
  </si>
  <si>
    <t>Provider of space situational awareness services intended to tackle the challenges related to space sustainability induced by the exponential increase of space debris and space traffic. The company's services include the detection of artificial satellites and space debris, their tracking, cataloging, and prediction of the collision risk, enabling users to get a new-generation space situational awareness platform along with space sustainability reports.</t>
  </si>
  <si>
    <t>Audacia (PAR: ALAUD), Bpifrance, European Innovation Council Fund(Svetoslava Georgivea), Expansion Ventures, SpaceFounders, Starquest Capital(Arnaud Delattre), Wind Capital</t>
  </si>
  <si>
    <t>aviation &amp; aerospace, space debris, space situational awareness, space surveillance, space technology, space traffic management</t>
  </si>
  <si>
    <t>250095-97T</t>
  </si>
  <si>
    <t>BeeDeez</t>
  </si>
  <si>
    <t>Education and Training Services (B2B), Educational Software*</t>
  </si>
  <si>
    <t>Developer of a social learning platform designed to offer professional intuitive learning for businesses. The company's platform facilitates an open web platform to create its content and distribute it to anyone in the community, enabling clients to boost and optimize professional training even in time and mobility constraints.</t>
  </si>
  <si>
    <t>Arkéa Capital, SWEN Capital Partners, Wille Finance</t>
  </si>
  <si>
    <t>digital learning, on-the-job learning, peer learning, professional training platform, professional training software, training application</t>
  </si>
  <si>
    <t>EdTech, Mobile, SaaS, TMT</t>
  </si>
  <si>
    <t>171218-35T</t>
  </si>
  <si>
    <t>SmartPixels</t>
  </si>
  <si>
    <t>Developer of 3D product visualization platform designed to configure all elements of a product. The company's platform helps to configure and visualize products in real-time, including features like fit, color, and material, enabling e-commerce businesses to provide a better visual user experience for their customers, which can lead to increased sales and decreased returns.</t>
  </si>
  <si>
    <t>Finorpa, Sparkling Partners(Martin Toulemonde), Wille Finance</t>
  </si>
  <si>
    <t>3d customization, 3d product configurator, connected buildings, ecommerce search, interactive experience, manage content, product configuration, product customization, smart retail</t>
  </si>
  <si>
    <t>Augmented Reality, E-Commerce, Internet of Things</t>
  </si>
  <si>
    <t>277754-05T</t>
  </si>
  <si>
    <t>Snowball</t>
  </si>
  <si>
    <t>Financial Software, Information Services (B2C)*</t>
  </si>
  <si>
    <t>Operator of a financial newsletter platform intended to help people make better financial decisions. The company's platform provides personalized financial advice, investment research, and educational resources as well as offers investment research on a variety of assets, including stocks, bonds, and ETFs, enabling individuals to reach their financial goals.</t>
  </si>
  <si>
    <t>Source Ventures (Paris)</t>
  </si>
  <si>
    <t>financial advice, financial investment, financial software, information services, news information, newsletter platform</t>
  </si>
  <si>
    <t>202139-56T</t>
  </si>
  <si>
    <t>Ask for the Moon</t>
  </si>
  <si>
    <t>Automation/Workflow Software, Business/Productivity Software*, Media and Information Services (B2B), Social/Platform Software</t>
  </si>
  <si>
    <t>Developer of a knowledge management platform intended to spread and secure know-how across smart intelligence companies. The company's platform offers operational services that save time daily and secure know-how over the long term and is built upon principles of asking questions and connecting people with knowledge, enabling companies to share and secure know-how live while working.</t>
  </si>
  <si>
    <t>Aonia Ventures, Matterwave Ventures, Sharpstone Capital, UI Investissement</t>
  </si>
  <si>
    <t>connecting people, knowledge management app, knowledge management tool, management advice, management platform, performance improvement</t>
  </si>
  <si>
    <t>SaaS, TMT</t>
  </si>
  <si>
    <t>249779-62T</t>
  </si>
  <si>
    <t>Asystom</t>
  </si>
  <si>
    <t>Developer of predictive maintenance system designed for equipment control and fault prevention. The company provides turnkey stand-alone predictive maintenance tools for industrial equipment that monitor all components of the system of different ages and designs, without installation constraints, enabling industries to analyze, detect, diagnose, predict, and avoid machine failures.</t>
  </si>
  <si>
    <t>WIKA Alexander Wiegand(Thomas Hasenöhrl)</t>
  </si>
  <si>
    <t>data transmission, edge computing, embedded intelligence, industrial engines, industrial equipment, multi sensor device, predictive maintenance, real time monitoring</t>
  </si>
  <si>
    <t>Castelnaudary, France</t>
  </si>
  <si>
    <t>249733-63T</t>
  </si>
  <si>
    <t>Flowdesk</t>
  </si>
  <si>
    <t>Developer of compliant trading and liquidity infrastructure platform designed to trade efficiently with transparency and control. The company's platform offers a comprehensive infrastructure that connects blockchains, custodians, and service providers with deep liquidity, and real-time analytics to improve trust in crypto financial services, enabling token issuers, exchanges, and institutions to manage their finances with open-source, non-custodial technologies while leading in compliance and service.</t>
  </si>
  <si>
    <t>Bpifrance, Cathay Innovation(Jacobo Abitbol), Delphi Ventures, Eurazeo (PAR: RF)(Thomas Turelier), HV Capital, ISAI, Ripple, Speedinvest, The Cathay Funds</t>
  </si>
  <si>
    <t>bitcoin trade, brokerage advice, crypto institutional services, cryptocurrency trading, digital asset trading, trading tool</t>
  </si>
  <si>
    <t>249867-64T</t>
  </si>
  <si>
    <t>Kiln (Paris)</t>
  </si>
  <si>
    <t>Developer of staking as a service platform designed to accelerate the web3 industry. The company's platform utilizes an application program interface to deploy, manage, and monitor blockchain validators programmatically to make blockchain accessible, enabling clients to deploy and administer blockchains easily, quickly, and securely on any type of infrastructure.</t>
  </si>
  <si>
    <t>1kx(Christopher Heymann), Crypto.com(Eric Anziani), Illuminate Financial Management(Charlton Hook), IOSG Ventures, Kraken Ventures(Laurens De Poorter), KXVC, LBank Labs, LeadBlock Partners, Wintermute Ventures</t>
  </si>
  <si>
    <t>crypto institutional services, enterprise-grade, ethereum platform, recruiting tool, staffing firm, stake services, web3 design</t>
  </si>
  <si>
    <t>Cryptocurrency/Blockchain, FinTech, TMT</t>
  </si>
  <si>
    <t>249684-22T</t>
  </si>
  <si>
    <t>Temo</t>
  </si>
  <si>
    <t>Marine, Other Consumer Non-Durables*</t>
  </si>
  <si>
    <t>Manufacturer of electric motors intended to provide the lightest outboard electric propulsion system. The company provides products that are portable and easy to install in multiple models which include dinghies, sailing, and rowing boats, enabling users to improve their sailing experience.</t>
  </si>
  <si>
    <t>At One Ventures, Bpifrance, OneVentures Group</t>
  </si>
  <si>
    <t>electric boats motor, electric motor, electric propulsion systems, propulsion systems machine, rowing boats, sailing boat transportation</t>
  </si>
  <si>
    <t>251512-21T</t>
  </si>
  <si>
    <t>Cible Skin</t>
  </si>
  <si>
    <t>Manufacturer and supplier of cosmetic products intended to preserve the health and beauty of all skin. The company's product offerings include serums. face masks, lotions, and facial treatments with personalized guidance throughout the protocol, enabling clients to achieve the desired results.</t>
  </si>
  <si>
    <t>Verlinvest(Cecile Chevallier)</t>
  </si>
  <si>
    <t>beauty products, beauty products company, beauty products producer, cosmetic products, cosmetic products manufacturer, cosmetic products supplier, lotion product</t>
  </si>
  <si>
    <t>249676-93T</t>
  </si>
  <si>
    <t>Kinvent</t>
  </si>
  <si>
    <t>Electronic Equipment and Instruments, Monitoring Equipment*, Other Consumer Durables</t>
  </si>
  <si>
    <t>Developer of physical therapy devices intended to monitor athletic movements, and enhance physical rehabilitation and sports biomechanics. The company develops a sensor-based device that uses IoT technology to offer an integrated system of connected devices accessible through a single application that tracks force, balance, and human movement and simplifies evidence-based reporting, enabling athletes and sports persons to optimize their practices.</t>
  </si>
  <si>
    <t>Eurazeo (PAR: RF), Raphael Varane(Raphael Varane), Sofilaro, UNI.FUND</t>
  </si>
  <si>
    <t>athletes product, athletics accessories, athletics training, connected healthcare, connected service, fitness service, personalized care, rehabilitation app, rehabilitation device, remote monitoring, sporting goods provider, wellness services</t>
  </si>
  <si>
    <t>Internet of Things, LOHAS &amp; Wellness, Manufacturing, Wearables &amp; Quantified Self</t>
  </si>
  <si>
    <t>249489-73T</t>
  </si>
  <si>
    <t>Alogia Group</t>
  </si>
  <si>
    <t>Elder and Disabled Care*</t>
  </si>
  <si>
    <t>Operator of a health prevention platform intended for senior living communities. The company utilizes AI and advanced algorithms to remotely assess seniors' well-being and predict potential health risks, enabling healthcare professionals and caregivers to proactively intervene and provide preventive support, promoting healthy aging and independence for seniors in various settings.</t>
  </si>
  <si>
    <t>AQUITI Gestion, Banque des Territoires, Crédit Agricole Aquitaine Expansion, GSO Innovation, Nouvelle Aquitaine Co-Investissement</t>
  </si>
  <si>
    <t>caregivers community, caregivers support, elder care, healthcare professionals, seniors care, support groups</t>
  </si>
  <si>
    <t>260452-45T</t>
  </si>
  <si>
    <t>Linkaband</t>
  </si>
  <si>
    <t>Developer of an online booking platform designed to hire musicians and disc jockeys in the French region. The company's platform provides a catalog for musicians and disc jockeys to choose from, without any cancellation payments and installment facility, enabling the event organizers to avail the facilities to book musicians hassle free and the artist get the platform to brand themselves.</t>
  </si>
  <si>
    <t>Marie Sermadiras, Noshaq</t>
  </si>
  <si>
    <t>artists booking, event booking, event management, event organizing, events industry, online booking platform</t>
  </si>
  <si>
    <t>266785-48T</t>
  </si>
  <si>
    <t>Scalingo</t>
  </si>
  <si>
    <t>Business/Productivity Software*, Systems and Information Management</t>
  </si>
  <si>
    <t>Developer of cloud hosting technology intended to manage the entire application lifecycles. The company's technology eliminates the trouble of handling servers, application stacks, software dependencies, and databases, provides a hosting system for all web and Internet of Things projects, as well as oversees the applications without the direct involvement of administrators, enabling clients to save time, develop applications and deploy it without handling any server configurations.</t>
  </si>
  <si>
    <t>BNP Paribas (PAR: BNP), Bpifrance, Caisse d'Epargne, Financiere Cajuba(Michel Hussherr), NEO FOUNDERS(Vanessa Proust), SideAngels(Renaud Guillerm)</t>
  </si>
  <si>
    <t>administration tools, cloud computing system, hosting networking platform, server data, sovereign cloud, web project</t>
  </si>
  <si>
    <t>Internet of Things, SaaS</t>
  </si>
  <si>
    <t>248146-30T</t>
  </si>
  <si>
    <t>Electra (Utilities)</t>
  </si>
  <si>
    <t>Other Utilities*</t>
  </si>
  <si>
    <t>Operator of charging stations intended to support the charging process of electric vehicles. The company sets up charging points for electric vehicles and provides an application where car owners can reserve a charging station and view the estimated charging time for the vehicle from the dedicated information dashboard, enabling electric car owners to help charge their vehicles quickly and reduce carbon emissions and pollution.</t>
  </si>
  <si>
    <t>574 Invest, Bpifrance, Credit Agricole Entreprises (PAR: CRBP), Crédit Agricole du Nord Est, Eiffel Investment Group, Eurazeo (PAR: RF), PGGM, Rive Private Investment, Serena (Paris)(Xavier Lorphelin), Ternel</t>
  </si>
  <si>
    <t>charging station, electric mobility system, electric vehicle, electric vehicle charging, environment friendly, ev charging, fast charging battery, vehicle charging station</t>
  </si>
  <si>
    <t>CleanTech, Climate Tech, LOHAS &amp; Wellness, Mobile</t>
  </si>
  <si>
    <t>249420-25T</t>
  </si>
  <si>
    <t>Vulkam</t>
  </si>
  <si>
    <t>Industrial Supplies and Parts*, Other Metals, Minerals and Mining</t>
  </si>
  <si>
    <t>Manufacturer of amorphous metals designed to offer strong, complex, and functional biocompatible metal products. The company's metals use biocompatible amorphous metal alloys to manufacture micromechanical parts and these parts are twice as small with resistance equal to that of industry reference, enabling clients to get a range of metals with unchallenged properties that will set a future standard in metallurgy and metal processing.</t>
  </si>
  <si>
    <t>Bpifrance, French Government, Saint-Gobain NOVA, SEB Alliance, UI Investissement</t>
  </si>
  <si>
    <t>alloy manufacturer, amorphous metal, amorphous metal manufacturer, biomechanical device, metal design, metallurgy work, metals processing</t>
  </si>
  <si>
    <t>Gieres, France</t>
  </si>
  <si>
    <t>249347-53T</t>
  </si>
  <si>
    <t>Battri</t>
  </si>
  <si>
    <t>Lithium Ion Battery Recycling</t>
  </si>
  <si>
    <t>Energy Infrastructure, Energy Storage, Environmental Services (B2B), Other Commercial Services*</t>
  </si>
  <si>
    <t>Operator of a lithium-ion battery recycling platform intended to recover valuable resources and create a sustainable battery ecosystem. The company's platform offers on-demand lithium-ion battery collection, ensuring responsible recycling through its advanced facility, producing high-purity black mass sought after by battery manufacturers, enabling customers to minimize environmental impact and comply with regulations.</t>
  </si>
  <si>
    <t>Societe Metallurgique d'Imiter (CAS: SMI)</t>
  </si>
  <si>
    <t>battery recycling facility, battery recycling services, lithium battery recycling, lithium energy, lithium ions, storage system</t>
  </si>
  <si>
    <t>269372-71T</t>
  </si>
  <si>
    <t>Captain Data</t>
  </si>
  <si>
    <t>Developer of a data extraction and automation platform designed to seamlessly integrate everything within the workspace. The company's platform specializes in automating lead generation workflows at scale and manages sales and marketing workflows by extracting, enriching, and automating data, enabling clients to access helpful data from anywhere and anytime.</t>
  </si>
  <si>
    <t>automation data, automation platform, data extraction, data infrastructure, data pipelines, integrate data, lead generation, marketing workflow</t>
  </si>
  <si>
    <t>249876-37T</t>
  </si>
  <si>
    <t>Latitude</t>
  </si>
  <si>
    <t>Commercial Space Launch, Small Satellites</t>
  </si>
  <si>
    <t>Provider of space launch services intended to push the boundaries of space technologies. The company offers offer a six-month turnaround from contract signing to launch and uses tailor-made products and technologies such as nano-launchers that can integrate shoe-box-sized satellites without having to share space with other payloads, enabling scientific researchers to deploy their technology faster and more effectively.</t>
  </si>
  <si>
    <t>Audacia (PAR: ALAUD), Blast.Club, Bpifrance, Crédit Mutuel Innovation, Expansion Ventures, Kima Ventures</t>
  </si>
  <si>
    <t>payload delivery, rapid deployment, satellite launch, small satellite integration, space launch services, space missions</t>
  </si>
  <si>
    <t>Reims, France</t>
  </si>
  <si>
    <t>276438-16T</t>
  </si>
  <si>
    <t>Debongout</t>
  </si>
  <si>
    <t>Home Furnishings*</t>
  </si>
  <si>
    <t>Retailer of home improvement products designed to combine the flea markets with collections of decorative objects for interior decoration. The company offers vintage collection furniture like dressing tables, chairs, tables, stools, cushions, mirrors, crockery sets, lamps, and wall art while supporting sustainable shopping practices, enabling users to find antique and handcrafted pieces to bring in the aesthetic vibes in their houses.</t>
  </si>
  <si>
    <t>Tudigo</t>
  </si>
  <si>
    <t>decoration site, interior decoration, vintage collection, vintage furniture, vintage furniture online, vintage furniture seller, vintage product</t>
  </si>
  <si>
    <t>249143-05T</t>
  </si>
  <si>
    <t>Encomenda Smart Capital(Carlos Blanco)</t>
  </si>
  <si>
    <t>249094-90T</t>
  </si>
  <si>
    <t>Malt</t>
  </si>
  <si>
    <t>Business/Productivity Software, Human Capital Services*, Media and Information Services (B2B)</t>
  </si>
  <si>
    <t>Operator of an online talent search platform intended to facilitate freelance recruitment. The company's platform features freelancers and companies with a wide range of projects and offers an international environment, flexible working and annual off-sites, enabling businesses to connect with freelancers and get their projects completed.</t>
  </si>
  <si>
    <t>enterprise resource planning, freelancers hiring, freelancers jobs, human capital management, jobs hiring, online freelancing, project management, talent acquisition</t>
  </si>
  <si>
    <t>HR Tech, TMT</t>
  </si>
  <si>
    <t>249071-77T</t>
  </si>
  <si>
    <t>Scalinx</t>
  </si>
  <si>
    <t>General Purpose Semiconductors, Other Communications and Networking, Wireless Communications Equipment*</t>
  </si>
  <si>
    <t>Developer of a semiconductor technology designed for wideband and low-power signal conversion in applications. The company offers signal conversion in applications such as wired and wireless communications, test and measurement equipment, and radar, among others, enabling clients to reduce costs and shorten the development time for signal conversion technologies.</t>
  </si>
  <si>
    <t>Bpifrance, GO Capital (France), Thales Group (PAR: HO)</t>
  </si>
  <si>
    <t>data conversion platform, data conversion services, digital circuitry, semiconductor products, semiconductor technology, semiconductor tools</t>
  </si>
  <si>
    <t>284766-76T</t>
  </si>
  <si>
    <t>GEOLITH</t>
  </si>
  <si>
    <t>Provider of brine treatment process knowledge intended to double lithium production. The company offers processes and technology that increase extraction yields and reduce environmental impact, enabling lithium producers to extract magnesium and calcium from the brine without loss of lithium.</t>
  </si>
  <si>
    <t>Alfardan Group</t>
  </si>
  <si>
    <t>brine produce system, brine treatment, brine treatment process, lithium extraction technology, lithium metal extraction, lithium resource exploration</t>
  </si>
  <si>
    <t>252420-76T</t>
  </si>
  <si>
    <t>Planity</t>
  </si>
  <si>
    <t>Operator of an online appointment booking platform intended for beauty and wellness services. The company's platform allows users to book appointments with hairdressers, barbers, and beauty salons at any time, offering a user-friendly interface, real-time availability, and automated reminders, enabling customers to easily schedule and manage their beauty and wellness appointments.</t>
  </si>
  <si>
    <t>Bpifrance, Crédit Mutuel Innovation, Evli Growth Partners, InfraVia Capital Partners, Revaia</t>
  </si>
  <si>
    <t>appointment booking, automated reminder, beauty appointments, beauty services, online appointment platform, salon appointment booking, wellness services</t>
  </si>
  <si>
    <t>Industrials, TMT</t>
  </si>
  <si>
    <t>245039-95T</t>
  </si>
  <si>
    <t>Groover</t>
  </si>
  <si>
    <t>Developer of a music promotion platform intended to reinvent promotion and discovery of music for independent artists. The company's platform facilitates artists to easily and directly send their music to media, radios, playlists and labels in an affordable way while being assured of receiving quality feedback as well as concrete sharing proposals regarding music curators, enabling musicians to get honest feedback and gather coverage based on their performance.</t>
  </si>
  <si>
    <t>Bpifrance, Frenchfounders, Mozza (France), OneRagtime(Stéphanie Hospital), Partech, Techmind, Trind Ventures, Verve Ventures</t>
  </si>
  <si>
    <t>crm, customer relationship management, digital commerce, independent artists, media tool, music discovery platform, music feedback, promotion platform, web music platform</t>
  </si>
  <si>
    <t>AudioTech</t>
  </si>
  <si>
    <t>Vauville, France</t>
  </si>
  <si>
    <t>264443-86T</t>
  </si>
  <si>
    <t>Acequia Capital</t>
  </si>
  <si>
    <t>272750-05T</t>
  </si>
  <si>
    <t>Listn (Media and Information Services (B2B))</t>
  </si>
  <si>
    <t>Developer of a music promotion platform intended to connect creators with impactful curators from around the world. The company's platform connects blogs, radio, media, artists, DJs and social influencers with each other, enabling creators to receive pre-curated music that's automatically tailored to their brand and editorial requirements.</t>
  </si>
  <si>
    <t>Accurafy4(Candice Baudet)</t>
  </si>
  <si>
    <t>digital marketing, engage audience, music creation, music media, music platform, music promotion, social influencer</t>
  </si>
  <si>
    <t>248813-47T</t>
  </si>
  <si>
    <t>Nabla</t>
  </si>
  <si>
    <t>Developer of an artificial intelligence-based machine learning-powered care platform designed to identify personalized actionable trends to improve health. The company's platform allows users to chat with practitioners, offer community content, help centralize medical data, and message health professionals, it generates clinical notes in seconds from any encounter across all specialties, reducing practitioners' stress and improving patient care, enabling healthcare firms to build engaging relationships with their patients and improve their health outcomes.</t>
  </si>
  <si>
    <t>Anthony Fadell(Anthony Fadell), Build Collective, Cathay Innovation(Jacobo Abitbol), Firstminute Capital, Groupe Artemis, Rachel Delacour(Rachel Delacour), Rodolphe Saadé(Rodolphe Saadé), Xavier Niel(Xavier Niel), ZEBOX</t>
  </si>
  <si>
    <t>clinical documentation, clinical notes, enterprise resource planning, erp, generative ai, healthcare practice, in-person consultation, natural language processing, patient engagement, patient-care outcome, personalized health services, telemedicine enablement</t>
  </si>
  <si>
    <t>248725-45T</t>
  </si>
  <si>
    <t>Angelor, Bpi, Caisse d'Epargne, Kreaxi, Société Générale de Promotion &amp; de Financement Immobiliers, Veymont Participations</t>
  </si>
  <si>
    <t>249207-85T</t>
  </si>
  <si>
    <t>Doctibike</t>
  </si>
  <si>
    <t>Automotive*</t>
  </si>
  <si>
    <t>Manufacturer of electric bicycle batteries intended to facilitate sustainable mobility through its activity organized around the battery. The company specializes in the management of e-bike batteries and also offers services like battery kit assemblage under specifications for new projects, battery diagnostic, and reconditioning for a wide range of brands, enabling users to be provided with a wide choice of batteries from different brands and spare parts for replacement purposes.</t>
  </si>
  <si>
    <t>Demeter Partners, UI Investissement</t>
  </si>
  <si>
    <t>battery diagnostic, e-bike battery, micromobility, motorbike company, scooter parts, sustainable mobility, vehicle chargers, vehicle supplier</t>
  </si>
  <si>
    <t>246367-63T</t>
  </si>
  <si>
    <t>WinShot</t>
  </si>
  <si>
    <t>Developer of an operations management application designed to optimize retail execution in one place. The company's platform stores frontline team data that drives operational execution, and keeps frontline teams connected to colleagues and managers, enabling businesses to boost retail performance.</t>
  </si>
  <si>
    <t>216 Capital Ventures(Dhekra Khelifi), Kalon Venture Partners, Saad Mohamed(Saad Mohamed)</t>
  </si>
  <si>
    <t>enterprise social network, in-store analytics, operational execution, operations management platform, retail analytics, retail execution, retail merchandising</t>
  </si>
  <si>
    <t>276684-31T</t>
  </si>
  <si>
    <t>Zilo Énergie</t>
  </si>
  <si>
    <t>Provider of an all-inclusive solar energy service designed to make the transition to solar energy easy and affordable. The company offers flexible subscription-based plans, maintenance, insurance, and quality installations, enabling homeowners to switch to solar without upfront costs while ensuring savings and energy independence.</t>
  </si>
  <si>
    <t>installation service, solar firm, solar investment, solar panels, subscription system, sun energy</t>
  </si>
  <si>
    <t>Thomery, France</t>
  </si>
  <si>
    <t>248655-25T</t>
  </si>
  <si>
    <t>ENYO Pharma</t>
  </si>
  <si>
    <t>Operator of a clinical-stage biotechnology company intended to develop drug candidates by mimicking virus strategies to modulate host cellular functions. The company provides small molecule therapeutics based on fibrinolytic and anti-inflammatory properties, in various areas with unmet medical needs as well as offers a drug discovery engine, enabling healthcare professionals to avail therapeutics to treat rare kidney disease Alport syndrome, and chronic liver diseases.</t>
  </si>
  <si>
    <t>Andera Partners, Bpifrance(Laurent Arthaud), Large Ventures, Morningside Group(Jason Dinges), OrbiMed(Iain Dukes)</t>
  </si>
  <si>
    <t>biotechnology research, cellular functions, drug discovery engine, kidney disease drugs, kidney disease treatment, medical needs assessment, small molecule, small molecule therapeutics, viral infection</t>
  </si>
  <si>
    <t>258562-63T</t>
  </si>
  <si>
    <t>Qodek</t>
  </si>
  <si>
    <t>Developer of a marketing automation platform designed to transform customer relationship management and contact outreach processes. The company's platform provides custom integrations to streamline operations, extract relevant data and insights, simplify marketing processes, and offer services ranging from web scraping to CRM enhancement and account mapping, enabling clients to optimize workflow, save time, and increase efficiency.</t>
  </si>
  <si>
    <t>ING Ventures, Orange (Telecommunications Service Providers) (PAR: ORA), RD2 Ventures</t>
  </si>
  <si>
    <t>crm automation, crm software, customer relationship tool, marketing integrations, marketing products, marketing toolset</t>
  </si>
  <si>
    <t>280729-36T</t>
  </si>
  <si>
    <t>Abrico</t>
  </si>
  <si>
    <t>Operator of finance-related services intended for businesses. The company offers funding, support, digital solutions, and customer service through online chat, phone, and e-mail for energy renovation projects without any commitment, enabling clients to grow their firms.</t>
  </si>
  <si>
    <t>finance service, financial service, funding service, online chat, project funding, support service</t>
  </si>
  <si>
    <t>266531-86T</t>
  </si>
  <si>
    <t>Addeus</t>
  </si>
  <si>
    <t>Developer of an AI chatbot application designed to automate business communication. The company automatically generates personalized and relevant content for the target audience and offers various services like online advertising, and marketing automation among others, enabling companies to streamline their workflow and generate more revenue.</t>
  </si>
  <si>
    <t>automatic content generation, automation tools, business communication, chatbot system, customer engagement tool, digital communication tool, marketing automation, online marketing software</t>
  </si>
  <si>
    <t>AdTech, Artificial Intelligence &amp; Machine Learning, Marketing Tech, SaaS</t>
  </si>
  <si>
    <t>Saint Pierre le Chatel, France</t>
  </si>
  <si>
    <t>256828-60T</t>
  </si>
  <si>
    <t>Addidream</t>
  </si>
  <si>
    <t>Manufacturer of medical products catering to health sector industrialists. The company offers metal surgical tools, ancillary equipment, anatomical models, biocompatible materials, and surgical tools and its services include fast prototyping, computer-aided design, 3D printing, and after-printing treatments, enabling surgeons to strengthen their skills in different areas of surgery.</t>
  </si>
  <si>
    <t>3d printing, anatomical model, ancillary equipment, health sector, medical products, medical products manufacturer</t>
  </si>
  <si>
    <t>Life Sciences, LOHAS &amp; Wellness, Manufacturing</t>
  </si>
  <si>
    <t>249482-98T</t>
  </si>
  <si>
    <t>Apnée Paris</t>
  </si>
  <si>
    <t>Internet Retail, Personal Products*</t>
  </si>
  <si>
    <t>Developer of dietary supplements intended to enhance skin health and overall wellness. The company's platform offers a range of collagen-based products that are clinically proven, easily assimilable, and available in various flavours, enabling individuals seeking improved skin vitality and hydration to integrate these supplements into their daily routines effectively.</t>
  </si>
  <si>
    <t>One Green (Paris)</t>
  </si>
  <si>
    <t>collagen drinks, collagen skincare, dietary supplements, food supplements, hair loss therapy, nutricosmetics product, skincare product</t>
  </si>
  <si>
    <t>272137-24T</t>
  </si>
  <si>
    <t>Arago Computing</t>
  </si>
  <si>
    <t>Developer of photon-based processors designed for artificial intelligence (AI) training. The company is currently operating in stealth mode.</t>
  </si>
  <si>
    <t>Kima Ventures, Sharpstone Capital</t>
  </si>
  <si>
    <t>computer processor, optical processor, photonics sensor, stealth co, stealth entity, stealth firm</t>
  </si>
  <si>
    <t>276170-32T</t>
  </si>
  <si>
    <t>Bioc3</t>
  </si>
  <si>
    <t>Biotechnology*, Other Chemicals and Gases</t>
  </si>
  <si>
    <t>Developer of microbial synthesis technique designed to synthesize dihydroxyacetone phosphate. The company's technology uses modified Escherichia Coli bacterium, providing the pharmaceutical industry, agri-food industry, and construction industry with a high volume of dihydroxyacetone phosphate.</t>
  </si>
  <si>
    <t>biochemical and biotechnology, biotech products, carbohydrate chemistry, dihydroxyacetone phosphate, enzymes product, microbial synthesis</t>
  </si>
  <si>
    <t>281431-63T</t>
  </si>
  <si>
    <t>BrainEver</t>
  </si>
  <si>
    <t>Operator of a medical research agency intended to develop drugs for the treatment of neurodegenerative disorders. The company's services specialize in the research and development of novel therapeutics using specific proprietary proteins to treat Parkinson's, amyotrophic lateral sclerosis, and Huntington's diseases, enabling healthcare practitioners to avail of drugs while providing the required treatment efficiently.</t>
  </si>
  <si>
    <t>Entropia Capital</t>
  </si>
  <si>
    <t>als treatment, amyotrophic lateral sclerosis, biopharmaceutical therapeutics, drug research center, drug research process, huntington's disease treatment, medical research agency, neurodegenerative diseases, neurodegenerative disorder, novel therapeutics, novel therapies</t>
  </si>
  <si>
    <t>281962-99T</t>
  </si>
  <si>
    <t>Business Tax</t>
  </si>
  <si>
    <t>Developer of a digital tax automation software intended to streamline tax compliance and reporting processes. The company's platform simplifies complex tax calculations, automates filing, and provides real-time insights into tax liabilities, enabling businesses of all sizes to improve efficiency, reduce errors, and ensure compliance with tax regulations across various jurisdictions.</t>
  </si>
  <si>
    <t>tax automation, tax automation software, tax calculation, tax compliance, tax regulation, tax reporting</t>
  </si>
  <si>
    <t>250471-54T</t>
  </si>
  <si>
    <t>Clone (Application Software)</t>
  </si>
  <si>
    <t>Application Software*</t>
  </si>
  <si>
    <t>Operator of an AI-powered photo generator platform intended to elevate user's images to a new level. The company's tool transforms ordinary photos into visual creations, producing professional-quality images, and transforming them into thematic creations that capture the vibe of any moment, enabling users to give their images a personalized twist.</t>
  </si>
  <si>
    <t>Kima Ventures, Source Ventures (Paris), Sphere Ventures</t>
  </si>
  <si>
    <t>photo generation, photo tools, photorealistic imagery, photorealistic rendering, realistic photo, virtual try-on</t>
  </si>
  <si>
    <t>249576-13T</t>
  </si>
  <si>
    <t>ContentSquare</t>
  </si>
  <si>
    <t>Developer of a digital experience insights optimization platform designed to help businesses understand how users are interacting. The company's platform uses behavioral data, artificial intelligence, and big data to offer automatic recommendations and measure content performance, understand visitor intentions, and explain consumer decisions when they do or do not purchase, enabling clients to increase engagement and reduce operational costs.</t>
  </si>
  <si>
    <t>Anyma, La French Tech, Maverick Ventures</t>
  </si>
  <si>
    <t>analytics &amp; business intelligence, analytics &amp; cdps, analytics and business intelligence, analytics and cdps, analytics platform, artificial intelligence firm, behavioral insights, crm, customer experience analytics, customer relationship management, data analytics platform, digital experience, digital insights, ecommerce analytics platform, generative ai, website conversion, website optimization</t>
  </si>
  <si>
    <t>275910-22T</t>
  </si>
  <si>
    <t>CorkCycle</t>
  </si>
  <si>
    <t>Provider of an ecological initiative services intended to give new life to the cork stoppers. The company engages in transforming corks that have become waste into a resource in partnership with wine professionals and various economic players, enabling industries to enhance sustainability and attract eco-conscious consumers.</t>
  </si>
  <si>
    <t>Daffourd Invest</t>
  </si>
  <si>
    <t>cork caps, cork stoppers, eco-friendly products, renewable materials, sustainable packaging, waste reduction</t>
  </si>
  <si>
    <t>249281-47T</t>
  </si>
  <si>
    <t>DNA Script</t>
  </si>
  <si>
    <t>DNA Data Storage</t>
  </si>
  <si>
    <t>Biotechnology*, Other Devices and Supplies, Other Healthcare Technology Systems</t>
  </si>
  <si>
    <t>Developer of DNA printer technology designed to print synthetic nucleic acids for genomics and molecular biology applications. The company's technology features a novel biochemical process for nucleic acid synthesis based on the use of efficient enzymes to provide rapid production of important genomic experimental precursors, such as an oligonucleotide, enabling researchers to accelerate their experiments and development of new therapeutics.</t>
  </si>
  <si>
    <t>Hedonova</t>
  </si>
  <si>
    <t>ag biotech, agriculture technology, biotechnology research, dna data storage, dna printer, dna sequencing, dna synthesis, molecular biology, plant biotech, plant biotechnology</t>
  </si>
  <si>
    <t>279319-60T</t>
  </si>
  <si>
    <t>Duo (Online Shopping)</t>
  </si>
  <si>
    <t>Application Software*, Other Services (B2C Non-Financial)</t>
  </si>
  <si>
    <t>Developer of an e-commerce platform designed to boost direct-to-consumer brands. The company's platform leverages peer-to-peer commerce, turning customers into influencers and allowing customers to team up with others to enjoy discounts on their favorite products.</t>
  </si>
  <si>
    <t>ecommerce platform, influencer shopping, online shopping, online social shopping, shopping platform, social shopping</t>
  </si>
  <si>
    <t>274939-48T</t>
  </si>
  <si>
    <t>Eldo (Media and Information Services)</t>
  </si>
  <si>
    <t>Media and Information Services (B2B)*, Other Commercial Services, Real Estate Services (B2C)</t>
  </si>
  <si>
    <t>Provider of home improvement services intended to develop business by optimizing each stage of the sales cycle. The company offers communication and business management tools and digitalized commercial management, enabling professionals and brands to connect, share knowledge, and improve their online presence.</t>
  </si>
  <si>
    <t>Oak Invest</t>
  </si>
  <si>
    <t>building repair services, commercial management, construction project, construction services, home improvement service, home renovation, interior renovation</t>
  </si>
  <si>
    <t>265072-51T</t>
  </si>
  <si>
    <t>Graoucoop</t>
  </si>
  <si>
    <t>Distributors/Wholesale*, Food Products</t>
  </si>
  <si>
    <t>Operator of a cooperative supermarket intended for local and organic products. The company offers food products that are local, organic, and conventional, at a lower margin to the members than supermarkets, enabling customers to access products that suit their requirements and budget.</t>
  </si>
  <si>
    <t>Garrigue</t>
  </si>
  <si>
    <t>consumption needs, cooperative model, ethical product, organic product, supermarket unit, volunteering work</t>
  </si>
  <si>
    <t>Metz, France</t>
  </si>
  <si>
    <t>249687-55T</t>
  </si>
  <si>
    <t>Heex Technologies</t>
  </si>
  <si>
    <t>Operator of a data management platform intended to help companies save costs and improve productivity by automating data pipelines and workflows. The company's platform assists engineering teams in extracting small packages of relevant data directly at the edge or on the cloud, enabling businesses to improve productivity and optimize costs and resources.</t>
  </si>
  <si>
    <t>SHIFT Invest</t>
  </si>
  <si>
    <t>analytics platform, analytics platform software, data analysis, data curation, data management, development tool, mobility data analytics, productivity software, smart data, vertical application</t>
  </si>
  <si>
    <t>248592-61T</t>
  </si>
  <si>
    <t>Iceblock</t>
  </si>
  <si>
    <t>Asset Management*, Media and Information Services (B2B), Other Financial Services</t>
  </si>
  <si>
    <t>Provider of crypto investment products intended to seamlessly integrate cryptocurrency investments into their portfolios. The company's portfolios utilize automated investment strategies to navigate market volatility, capitalize on long-term growth opportunities, and offer a suite of portfolios for exposure to the cryptocurrency market, enabling clients to invest in the right portfolio with the right insights.</t>
  </si>
  <si>
    <t>Expara(Douglas Abrams)</t>
  </si>
  <si>
    <t>automated investment, crypto investment, cryptocurrency, digital asset investment, investment portfolio, volatility management</t>
  </si>
  <si>
    <t>281915-74T</t>
  </si>
  <si>
    <t>Iris Lab (Energy Infrastructure)</t>
  </si>
  <si>
    <t>Developer of a long-distance wireless power transmission technology designed to overcome the limitations of batteries for autonomous systems. The company's technology operates without interruption, while powering mobile robotic systems with continuous laser energy to unlock their full potential, enabling clients to give their systems the ability to achieve any kind of mission.</t>
  </si>
  <si>
    <t>Entrepreneur First</t>
  </si>
  <si>
    <t>battery producer, laser power supply, photovoltaic project, photovoltaic service, wireless power supply, wireless power systems</t>
  </si>
  <si>
    <t>Croissy-sur-Seine, France</t>
  </si>
  <si>
    <t>265883-50T</t>
  </si>
  <si>
    <t>Kakarot</t>
  </si>
  <si>
    <t>Financial Software, Other Financial Services, Software Development Applications*</t>
  </si>
  <si>
    <t>Developer of a blockchain virtual machine developed to leverage the scaling benefits of validity rollups while maintaining compatibility with the Ethereum ecosystem. The company's platform specializes in layer two scaling technology for cryptocurrency and runs an Ethereum virtual machine bytecode program that provides leveraging stark proofs for provable transactions and blocks, enabling developers to run smart contracts with transparency and security.</t>
  </si>
  <si>
    <t>Arche Capital, Velocity Capital</t>
  </si>
  <si>
    <t>blockchain services, developer security, ethereum virtual machine, machine learning data, network security, programming platform, transparency system</t>
  </si>
  <si>
    <t>249371-29T</t>
  </si>
  <si>
    <t>KIS</t>
  </si>
  <si>
    <t>Business/Productivity Software*, Consulting Services (B2B)</t>
  </si>
  <si>
    <t>Provider of business application management services intended to customize all business applications. The company offers no-code project management, HR management, automated real-time sales reports, reduced costs, and automated ordering processes, enabling clients to design business applications without writing a single line of code</t>
  </si>
  <si>
    <t>application editing, business application, business application design, business application management, data managment, project management tool</t>
  </si>
  <si>
    <t>264956-14T</t>
  </si>
  <si>
    <t>Les Cours Legendre</t>
  </si>
  <si>
    <t>Educational and Training Services (B2C)*, Educational Software</t>
  </si>
  <si>
    <t>Developer of an educational platform designed to offer courses regarding competition preparation. The company offers training classes for primary and secondary education including college and school internships related to math, science, physics and chemistry, enabling students to upskill their career path.</t>
  </si>
  <si>
    <t>courses assistance, education and training, primary education, primary education service, secondary education, secondary education service, secondary education training, tutorials service</t>
  </si>
  <si>
    <t>264292-48T</t>
  </si>
  <si>
    <t>Marolotest</t>
  </si>
  <si>
    <t>Manufacturer of specialized equipment intended for workshop applications. The company provides workshop equipment for motorcycle, marine &amp; garden markets and offers turnkey services including delivery, assembly, installation, and removal of the packaging of facilities throughout, enabling businesses with various equipment and services to choose from.</t>
  </si>
  <si>
    <t>battery cabinets, boat repair shop, garage equipment, garage equipment supply, marine equipment, power plant facility, tillage equipment, workshops equipment</t>
  </si>
  <si>
    <t>E-Commerce, Infrastructure, Manufacturing</t>
  </si>
  <si>
    <t>Cholet, France</t>
  </si>
  <si>
    <t>277808-41T</t>
  </si>
  <si>
    <t>Meet My Mama</t>
  </si>
  <si>
    <t>Educational and Training Services (B2C), Food Products*, Information Services (B2C)</t>
  </si>
  <si>
    <t>Developer of a food delivery platform designed to reveal the culinary talents of women from all types of migration. The company's platform aims to help the financial emancipation of refugee and immigrant women by allowing them to use their cooking skills, enabling migrated women to gain economic opportunities to make a living out of it.</t>
  </si>
  <si>
    <t>BNP Paribas (PAR: BNP), Fair Equity, Kimpa, Saverglass, Up Coop</t>
  </si>
  <si>
    <t>culinary menu, food catering platform, food delivery, fresh food, homemade dishes, women business</t>
  </si>
  <si>
    <t>EdTech, TMT</t>
  </si>
  <si>
    <t>279379-63T</t>
  </si>
  <si>
    <t>Neamine</t>
  </si>
  <si>
    <t>Alternative Energy Equipment*, Other Energy</t>
  </si>
  <si>
    <t>Developer of direct solar thermal power technologies intended to replace or partially substitute conventional energy sources in processes requiring high temperatures. The company develops solar concentration technology to provide systems for heat-intensive processes and also explores applications in space resource extraction, using solar energy to support processes like extracting water, oxygen and metals from lunar regolith, enabling clients to have carbon-free alternatives to improve energy efficiency in industrial applications.</t>
  </si>
  <si>
    <t>biochar production, carbon-free energy, renewable energy, solar energy, solar thermal energy, solar thermal power, space resources</t>
  </si>
  <si>
    <t>272429-83T</t>
  </si>
  <si>
    <t>Orpia Innovation</t>
  </si>
  <si>
    <t>Other Chemicals and Gases*</t>
  </si>
  <si>
    <t>Developer of bio-sourced molecules designed to provide an alternative to petrochemicals. The company offers services for the purification, synthesis, and commercialization of bioresources made from the recycling and recovery of cashew nut co-products, enabling composites, coating, detergency and cosmetic industries with innovative applications and a positive impact on society through job creation and local production.</t>
  </si>
  <si>
    <t>Arion Venture Capital</t>
  </si>
  <si>
    <t>bio-sourced materials, coating materials, cosmetics mixing, natural compounds, petrochemical assets, recycled material</t>
  </si>
  <si>
    <t>249480-82T</t>
  </si>
  <si>
    <t>Osol</t>
  </si>
  <si>
    <t>Business/Productivity Software, Electrical Equipment*, Media and Information Services (B2B)</t>
  </si>
  <si>
    <t>Manufacturer of a mobile power source device designed to bring flexibility to workspaces and users. The company's device is an all-in-one mobile energy alternative that employees can take anywhere eliminating the need for fixed sockets and power cables and offers a cloud-based monitoring platform for tracking usage, battery health, and availability, enabling corporate offices to support hybrid work environments and improve the experience of their employees.</t>
  </si>
  <si>
    <t>Maxime Paradis, One Green (Paris)</t>
  </si>
  <si>
    <t>cloud-based monitoring, energy sources product, portable battery, portable power source, power battery, remote power</t>
  </si>
  <si>
    <t>249391-00T</t>
  </si>
  <si>
    <t>PEP-Therapy</t>
  </si>
  <si>
    <t>Developer of peptides designed to offer targeted therapies for severe diseases, with an initial focus on oncology. The company's peptides are active compounds that penetrate cells and block relevant intracellular protein interactions that offer intracellular delivery of targeted therapies, enabling healthcare providers to inhibit key pathological mechanisms.</t>
  </si>
  <si>
    <t>CapHorn Invest, Key Ventures</t>
  </si>
  <si>
    <t>biologics, health therapy, oncology unit, peptides, peptides synthesis, peptides therapy, protein, therapy development, therapy treatment</t>
  </si>
  <si>
    <t>Life Sciences, LOHAS &amp; Wellness, Oncology</t>
  </si>
  <si>
    <t>Evry Cedex, France</t>
  </si>
  <si>
    <t>249097-96T</t>
  </si>
  <si>
    <t>REasy</t>
  </si>
  <si>
    <t>Business/Productivity Software, Financial Software*, Logistics, Other Financial Services</t>
  </si>
  <si>
    <t>Developer of financial transactions platform for SMEs designed for transparency, competitive rates, and instant execution to foster trust and growth. The company's platform offers online payments, simplifies international payments, and personal financial management, enabling clients to make online payments with ease, transcending borders for money transfers, and taking full control of financial records for comprehensive personal financial management.</t>
  </si>
  <si>
    <t>54 Collective, Digital Africa (Paris), Fuze (Africa)</t>
  </si>
  <si>
    <t>b2b payment, bank cards, financial management, international payment, money transfer, online payment, shipping goods, shipping platform</t>
  </si>
  <si>
    <t>FinTech, SaaS, Supply Chain Tech</t>
  </si>
  <si>
    <t>275904-28T</t>
  </si>
  <si>
    <t>Respiratory Health Institute</t>
  </si>
  <si>
    <t>Other Healthcare Services*</t>
  </si>
  <si>
    <t>Operator of a healthcare firm intended to provide awareness, prevention, and protection in respiratory and environmental health. The company offers training, communication, and innovation consulting, enabling healthcare providers and organizations to improve public health outcomes through effective strategies and informed decision-making.</t>
  </si>
  <si>
    <t>consulting healthcare, decision making data, environmental health, health awareness, public health, respiratory health</t>
  </si>
  <si>
    <t>249295-69T</t>
  </si>
  <si>
    <t>Shareable</t>
  </si>
  <si>
    <t>Business/Productivity Software*, Financial Software, Media and Information Services (B2B), Other Financial Services</t>
  </si>
  <si>
    <t>Developer of digital software intended to manage deals and operations. The company's platform allows businesses to connect to entrepreneurs and investors, manage their LPs, boost their deal flow, share sensitive data and KPIs with their stakeholders at a glance, and accelerate their due diligence operations among others, enabling businesses to centralize their legal and financial data to improve communication and collaboration.</t>
  </si>
  <si>
    <t>collaboration site, communication data, digital software, financial service infrastructure, fundraising page, legaltech company, operational guidance</t>
  </si>
  <si>
    <t>FinTech, Legal Tech, SaaS</t>
  </si>
  <si>
    <t>280419-31T</t>
  </si>
  <si>
    <t>Stracker</t>
  </si>
  <si>
    <t>Air, Business/Productivity Software, Logistics*</t>
  </si>
  <si>
    <t>Developer of an online platform designed for transparent and digital freight forwarding. The company's platform specializes in organizing the international transport of its customers from the collection of the goods to the final proof of ensured timely delivery in the necessary conditions, enabling clients to send and receive goods on time without paying commission.</t>
  </si>
  <si>
    <t>Holnest</t>
  </si>
  <si>
    <t>air freight, freight forwarding system, geolocation app, international freight transportation, logistics and transportation, online shipping platform, shipping services company, transport management platform</t>
  </si>
  <si>
    <t>Mobility Tech, SaaS, Supply Chain Tech</t>
  </si>
  <si>
    <t>249367-15T</t>
  </si>
  <si>
    <t>SUN ZU Lab</t>
  </si>
  <si>
    <t>Media and Information Services (B2B), Other Financial Services*</t>
  </si>
  <si>
    <t>Provider of liquidity analytics services intended to bring better data and transparency to the global web3 ecosystem. The company leverages its deep market microstructure expertise and cutting-edge technology to collect the most granular market data from major liquidity venues, analyze it, and deliver actionable insights and solutions through real-time dashboards and API streams, enabling token issuers and market makers to optimize their strategies, save on trading costs, and increase adoption.</t>
  </si>
  <si>
    <t>Draper Associates, Elaia Partners, FunFair Ventures, Kima Ventures</t>
  </si>
  <si>
    <t>api system, digital asset ecosystem, stock market analysis, trading strategies provider, web3 data, web3 ecosystem</t>
  </si>
  <si>
    <t>270452-71T</t>
  </si>
  <si>
    <t>The Gate</t>
  </si>
  <si>
    <t>Operator of a game development studio intended to offer virtual reality gaming experiences. The company specializes in immersive VR gaming experiences like zombie shooting, first-person-shooter (FPS), and kids-friendly games, enabling gamers to participate in e-sports by playing free-to-roam games in the virtual world.</t>
  </si>
  <si>
    <t>Blue Wire Capital</t>
  </si>
  <si>
    <t>esports gaming, fps games, free-roam gaming, immersive gaming, kid-friendly games, rpg games, virtual reality gaming, vr gaming, vr gaming platform, vr headset</t>
  </si>
  <si>
    <t>Esports, Gaming, Virtual Reality</t>
  </si>
  <si>
    <t>248646-70T</t>
  </si>
  <si>
    <t>Traefik Labs</t>
  </si>
  <si>
    <t>Developer of an open-source cloud-native infrastructure software designed to simplify the building, deployment and running of modern microservices applications. The company's platform is featured with multiple backend support including hot-reloading of configuration, circuit breakers on backends, round-robin, rebalance and load-balancers, enabling businesses to ease the deployment of their cloud applications and microservices.</t>
  </si>
  <si>
    <t>OSS Capital</t>
  </si>
  <si>
    <t>api management platform, api management services, api management tool, application deployment platform, application deployment service, cloud computing, network security, secure networking</t>
  </si>
  <si>
    <t>256483-27T</t>
  </si>
  <si>
    <t>Tranché</t>
  </si>
  <si>
    <t>Food Products, Restaurants and Bars*</t>
  </si>
  <si>
    <t>Operator of a bakery intended to offer quality baked goods. The company's products include different types of croissants, loaves and cookies, enabling consumers to get quality food products.</t>
  </si>
  <si>
    <t>Spring Invest</t>
  </si>
  <si>
    <t>baked goods, baked goods company, baked goods provider, bakery chain, bakery good, cookies maker</t>
  </si>
  <si>
    <t>282203-92T</t>
  </si>
  <si>
    <t>Trout (Network Management Software)</t>
  </si>
  <si>
    <t>Business/Productivity Software, Network Management Software*</t>
  </si>
  <si>
    <t>Developer of a security platform designed to act as a bridge between products. The company's platform helps to automate software vulnerability investigations, leverage data from across providers and technologies, query cloud, endpoint and SaaS configuration services and create compelling investigations, enabling businesses to access, analyze, transform and automate data across changing footprints.</t>
  </si>
  <si>
    <t>cybersecurity firm, data services, it consulting, it services, security database, security platform, security services</t>
  </si>
  <si>
    <t>273434-41T</t>
  </si>
  <si>
    <t>Ultrawatt</t>
  </si>
  <si>
    <t>Electric Utilities, Energy Production*</t>
  </si>
  <si>
    <t>Manufacturer of photovoltaic panels designed to convert sunlight into electricity. The company offers DIY kits, carports, and ground mount systems, enabling industrial, commercial, and residential buildings to produce renewable energy.</t>
  </si>
  <si>
    <t>carport solar system, diy kits, photovoltaic cell, renewable energy, solar energy kits, solar panels</t>
  </si>
  <si>
    <t>249292-99T</t>
  </si>
  <si>
    <t>Unico (Paris)</t>
  </si>
  <si>
    <t>Developer of logistics management software designed to optimize operational efficiency for service collectors. The company offers features such as real-time tracking, performance metrics, and user-friendly interfaces, enabling businesses to streamline their logistics processes, enhance customer satisfaction, and effectively measure their operational impact while accommodating various industries seeking improved service delivery and resource management.</t>
  </si>
  <si>
    <t>Club Holnest, One Green (Paris)</t>
  </si>
  <si>
    <t>environmental footprint, local economy, sustainable system, waste management firm, waste management service, waste management system</t>
  </si>
  <si>
    <t>CleanTech, LOHAS &amp; Wellness, SaaS</t>
  </si>
  <si>
    <t>250618-96T</t>
  </si>
  <si>
    <t>Vianova</t>
  </si>
  <si>
    <t>Business/Productivity Software, Information Services (B2C), Media and Information Services (B2B)*</t>
  </si>
  <si>
    <t>Developer of collaborative big data platform designed for mobility innovation. The company's tool helps organizations to effectively collaborate, use, and build solutions that turn complex data into intelligence for solving the most pressing transportation challenges, it supports organizations in writing the next chapter of transport history, from managing shared mobility to taming the chaos at the curb from creating safer roads to shifting travelers to more sustainable modes, enabling clients to make more informed urban planning and transportation policy decisions.</t>
  </si>
  <si>
    <t>Move Energy Fund Management</t>
  </si>
  <si>
    <t>data driven, information services, information technology, location intelligence, mobility data analytics, mobility intelligence, mobility management, mobility software, mobility software development, supply chain management, supply chain planning, vertical application</t>
  </si>
  <si>
    <t>235231-75T</t>
  </si>
  <si>
    <t>Abelio</t>
  </si>
  <si>
    <t>Business/Productivity Software, Electronic Equipment and Instruments, Other Agriculture*, Other Hardware</t>
  </si>
  <si>
    <t>Operator of a digital agricultural alternative intended for daily crop management. The company's various agricultural decision support tools allow you to improve yields, maximize profitability, and optimize the management of your farms, it offers optimization of fertilization, irrigation management, prevention of stages and diseases as well as weed detection, enabling farmers to optimize and anticipate agricultural operations, from sowing to harvest.</t>
  </si>
  <si>
    <t>Banque des Territoires(Gabriel Giabicani), Coopérative Agricole de la Plaine de l'Ariège, IRDI Capital Investissement(Alexandre Scherer)</t>
  </si>
  <si>
    <t>crop monitoring, crop monitoring drones, drones &amp; imagery analytics, drones and imagery analytics, drones builder, drones cam, drones tech, farming monitor, precision ag, precision agriculture, surveillance drones</t>
  </si>
  <si>
    <t>AgTech, Robotics and Drones</t>
  </si>
  <si>
    <t>282764-71T</t>
  </si>
  <si>
    <t>Seaturns</t>
  </si>
  <si>
    <t>Renewable Ocean Energy</t>
  </si>
  <si>
    <t>Developer of wave energy recovery devices intended to generate electricity using wave energy. The company is engaged in developing systems that generate electricity by harnessing the renewable energy of ocean waves, enabling clients to reduce the costs of energy generation from waves.</t>
  </si>
  <si>
    <t>dispatchable energy sources, hydropower, ocean energy, renewable ocean energy, wave energy, wave energy devices, wave technology</t>
  </si>
  <si>
    <t>250473-16T</t>
  </si>
  <si>
    <t>Eugene (Environmental Services (B2B))</t>
  </si>
  <si>
    <t>Provider of a digitalized waste management system designed to streamline industrial waste processes. The company offers automated invoicing and compliance management, enabling industrial businesses to efficiently manage their waste while reducing their carbon footprint and maximizing profitability.</t>
  </si>
  <si>
    <t>Better Angle, FlixFounders, Kima Ventures, OSS Ventures, Pale Blue Dot Investments AB, Pareto Holdings</t>
  </si>
  <si>
    <t>automated invoicing, carbon footprint reduction, environmental reporting, industrial waste management, waste solutions, waste tracking</t>
  </si>
  <si>
    <t>250477-66T</t>
  </si>
  <si>
    <t>Tilkal</t>
  </si>
  <si>
    <t>Developer of a supply chain traceability platform designed to enhance resilience, sustainability, and ethics in supply chains. The company's platform combines a B2B blockchain network for secure, verifiable data sharing with analytics and scoring algorithms by creating an end-to-end, real-time representation of the supply chain, enabling industries and brands across all industries to trace their products, and identify sourcing risks, prove ESG commitments, and demonstrate compliance.</t>
  </si>
  <si>
    <t>European Innovation Council Fund, Innovacom (Paris)</t>
  </si>
  <si>
    <t>blockchain, digital product passport, food production, food waste &amp; traceability, food waste and traceability, machine learning, product transparency, saas platform, traceability and transparency, traceability platform</t>
  </si>
  <si>
    <t>247530-61T</t>
  </si>
  <si>
    <t>BCV</t>
  </si>
  <si>
    <t>Developer of an actually mechatronic guide wire intended to improve endovascular navigation. The company's device uses shape memory alloy actuators to create multi-distal active parts to facilitate the navigation through vascular tortuosities, enabling practitioners to gain direct access to cerebral vessels during mechanical thrombectomy for stroke treatment.</t>
  </si>
  <si>
    <t>Forepont Capital Partners, Medco Group, NeuroTechnology Investors</t>
  </si>
  <si>
    <t>catheter device, endovascular surgery, endovascular surgery device, healthcare data analytics, thrombectomy technology, vertical application</t>
  </si>
  <si>
    <t>Artificial Intelligence &amp; Machine Learning, Big Data, HealthTech, Robotics and Drones</t>
  </si>
  <si>
    <t>241792-57T</t>
  </si>
  <si>
    <t>Luniwave</t>
  </si>
  <si>
    <t>Business/Productivity Software, Electrical Equipment*, Environmental Services (B2B)</t>
  </si>
  <si>
    <t>Manufacturer of water consumption-reducing equipment intended for the hotel industry. The company's product offers a selection of a consumption target according to personal commitment reducing shower water consumption, enabling hotels to give their guests an eco-responsible experience.</t>
  </si>
  <si>
    <t>Sphere Ventures, Super Capital</t>
  </si>
  <si>
    <t>bathroom equipment, water consumption data, water consumption monitoring, water consumption tracker, water heating, water heating system</t>
  </si>
  <si>
    <t>Manufacturing, Mobile</t>
  </si>
  <si>
    <t>252227-17T</t>
  </si>
  <si>
    <t>Kamaé</t>
  </si>
  <si>
    <t>Business/Productivity Software, Media and Information Services (B2B), Network Management Software*</t>
  </si>
  <si>
    <t>Developer of a cyber awareness platform designed to protect data and activities. The company's platform helps in the optimization of onboarding and authentication of employees and also develops a security culture in the office, enabling clients to get rid of cyber attacks.</t>
  </si>
  <si>
    <t>Auriga Cyber Ventures, Super Capital</t>
  </si>
  <si>
    <t>cyber attack management, cyber attack security, cyber awareness, cyber awareness training, cyber risk awareness, data compliance, data privacy, data privacy &amp; compliance, data privacy and compliance, data security, network security</t>
  </si>
  <si>
    <t>249902-11T</t>
  </si>
  <si>
    <t>Axomove</t>
  </si>
  <si>
    <t>Developer of an e-health application designed to improve patient compliance to achieve their exercises at home and in session. The company's platform offers video teleconsultation with a remote camera and also helps in movement expertise to prevent Musculoskeletal Disorders (MSDs) at work, enabling healthcare professionals to create personalized programs of rehabilitation exercises.</t>
  </si>
  <si>
    <t>Faraday Venture Partners</t>
  </si>
  <si>
    <t>digital clinic, digital rehabilitation, digital rehabilitation services, healthcare agency, physical healthcare service, rehabilitation work</t>
  </si>
  <si>
    <t>257395-87T</t>
  </si>
  <si>
    <t>Noota</t>
  </si>
  <si>
    <t>Application Software, Automation/Workflow Software, Business/Productivity Software*, Media and Information Services (B2B)</t>
  </si>
  <si>
    <t>Developer of a meeting recorder and notes generator tool designed for professionals to improve their meeting productivity. The company's tool leverages artificial intelligence (AI) to offer features such as real-time transcription, analysis of interviews and meetings, comprehensive tracking of every candidate interaction and customized insights and guidance, enabling professionals to capture key meeting details, stay focused and make improved decisions.</t>
  </si>
  <si>
    <t>conversation intelligence, data driven insights, meeting assistant software, meeting recorder, recording tool, sentiment analysis system</t>
  </si>
  <si>
    <t>252620-74T</t>
  </si>
  <si>
    <t>Avatar Medical</t>
  </si>
  <si>
    <t>VR Health</t>
  </si>
  <si>
    <t>Developer of a virtual reality medical platform designed to create patient avatars to help surgeons visualize medical images. The company's platform generates 3D patient representations based on medical images in an interactive virtual reality context and offers an accurate and instantaneous means for clinicians to understand their patient's medical images, enabling surgeons to get access to the valuable clinical information contained in medical images.</t>
  </si>
  <si>
    <t>Acorn Pacific Ventures, Cenitz, CoreNest, GO Capital (France)(Frederic Le Brun), Plug and Play Tech Center, Rives Croissance(Bruno Warnet)</t>
  </si>
  <si>
    <t>3d patient digitization, images visualization, medical image, medical image analysis, medical platform, medical virtual reality, surgery preparation, surgery preparation tools, surgical imaging and navigation, virtual reality, virtual reality medical, vr healthcare, vr medical services</t>
  </si>
  <si>
    <t>HealthTech, Virtual Reality</t>
  </si>
  <si>
    <t>248151-52T</t>
  </si>
  <si>
    <t>Kosmik</t>
  </si>
  <si>
    <t>Application Software, Business/Productivity Software, Multimedia and Design Software*</t>
  </si>
  <si>
    <t>Developer of a visual knowledge management application designed for visual thinking. The company's application leverages the ease of use of a spatial canvas and combines it with the power of a peer-to-peer database to make new workflows possible, enabling designers and other creative professionals to build a collection of visual assets, write blog posts, or manage a complex project.</t>
  </si>
  <si>
    <t>Alven Capital Partners, Amjad Masad(Amjad Masad), Andrew Sutherland(Andrew Sutherland), Betaworks, Creandum(Hanel Baveja), Kima Ventures</t>
  </si>
  <si>
    <t>collaboration software, content organization platform, design software, object oriented programming, online task management, research management, user experience, visual tool</t>
  </si>
  <si>
    <t>CloudTech &amp; DevOps, SaaS</t>
  </si>
  <si>
    <t>248304-70T</t>
  </si>
  <si>
    <t>Windcoop</t>
  </si>
  <si>
    <t>Operator of container ships intended to improve maritime transport through wind power. The company's ships operate under sail propelled mainly by wind energy and also developed a low-carbon transport that offers transportation containers, enabling individuals, businesses, and communities to accelerate the transition to maritime transport.</t>
  </si>
  <si>
    <t>Arkéa Capital, Inddigo</t>
  </si>
  <si>
    <t>container shipping services, container ships operator, freight shipping, green logistics, maritime transport, ocean freight, sustainable shipping</t>
  </si>
  <si>
    <t>CleanTech, Mobility Tech</t>
  </si>
  <si>
    <t>248668-21T</t>
  </si>
  <si>
    <t>Cikaba</t>
  </si>
  <si>
    <t>Developer of quality, health, safety, and environment (QHSE) software designed to make work safer, to save lives and destinies. The company's platform makes it easy to distribute safety instructions to all audiences with didactic and easily accessible training content, it ensures the anchoring of the instructions using knowledge tests, enabling businesses to optimize the prevention of occupational risks.</t>
  </si>
  <si>
    <t>SCR Metropoles Innovations</t>
  </si>
  <si>
    <t>data prevention software, induction system, occupational risk, occupational risk prevention, risk prevention app, safety instruction</t>
  </si>
  <si>
    <t>Clermont Ferrand, France</t>
  </si>
  <si>
    <t>250650-73T</t>
  </si>
  <si>
    <t>Quai des Notaires</t>
  </si>
  <si>
    <t>Operator of a document management platform designed to control file creation, processing, and signing of the notarial act. The company's platform offers features such as creating a file, choosing a notary, uploading documents, and tracking the progress of a file, enabling clients to manage their notary files online, streamlining the process, and saving time.</t>
  </si>
  <si>
    <t>Caisse Regionale Credit Agricole Mutuel d'Ille et Vilaine (PAR: CIV), Crédit Agricole Pyrénées Gascogne, UI Investissement</t>
  </si>
  <si>
    <t>document notarization, legal document, legal services, notary services, real estate agent, remote signature</t>
  </si>
  <si>
    <t>Legal Tech, Mobile</t>
  </si>
  <si>
    <t>Autun, France</t>
  </si>
  <si>
    <t>248105-44T</t>
  </si>
  <si>
    <t>Selvitys</t>
  </si>
  <si>
    <t>Developer of a survey creation platform intended to create, distribute, and analyze online surveys. The company's platform specializes in creating surveys and personalizing questionnaires by adding logos and modifying the graphic charter, distributing and participating in surveys, enabling clients to collect responses, filter out inconsistent responses and analyze results in real time.</t>
  </si>
  <si>
    <t>Campus Fund, Finovam Gestion, Nord France Amorçage</t>
  </si>
  <si>
    <t>automated reporting, market research, market research survey, marketing survey, online survey, personalized questionnaires</t>
  </si>
  <si>
    <t>164281-69T</t>
  </si>
  <si>
    <t>Netris Pharma</t>
  </si>
  <si>
    <t>Operator of a biopharmaceutical company intended to drive superior clinical benefits for patients in the treatment of cancer. The company's therapies work by targeting the dependence receptors to effectively restore the dependence receptor apoptosis signaling pathway in the absence of the required stimulus, enabling physicians and doctors to effectively cure cancers.</t>
  </si>
  <si>
    <t>European Innovation Council Fund, Wille Finance</t>
  </si>
  <si>
    <t>antibody, biologics, cancer therapy, cancer treatment, oncology cure, oncology drug, resistance to treatment, therapeutic drug, therapeutic molecules, therapy research</t>
  </si>
  <si>
    <t>245010-61T</t>
  </si>
  <si>
    <t>Sakowin Green Energy</t>
  </si>
  <si>
    <t>Alternative Energy Equipment*, Energy Production</t>
  </si>
  <si>
    <t>Developer of eco-conscious deep tech-producing equipment intended to decarbonize methane on-site and on-demand using existing gas infrastructures. The company's technology produces decarbonized hydrogen and solid carbon through methane plasmolysis by using less electricity than electrolysis to produce the hydrogen at a much lower cost, enabling firms to be active in the energy transition to integrate products into their current infrastructure.</t>
  </si>
  <si>
    <t>clean fuel, decarbonised energy, hydrogen gas production, hydrogen generation product, microwave plasma technology, power generation, renewable energy, zero emission, zero emission equipment</t>
  </si>
  <si>
    <t>CleanTech, Climate Tech, LOHAS &amp; Wellness, Manufacturing, Oil &amp; Gas</t>
  </si>
  <si>
    <t>248398-30T</t>
  </si>
  <si>
    <t>Singulier</t>
  </si>
  <si>
    <t>Consulting Services (B2B)*, Media and Information Services (B2B)</t>
  </si>
  <si>
    <t>Provider of strategy consulting services intended to help in conducting digital operations throughout the investment cycle. The company offers data analysis and a proprietary framework to provide a clear assessment of the strategic value, digital maturity, and realistic development plan of any asset and portfolio, helping investors in growth through extensive digital, data, technology, and creative expertise.</t>
  </si>
  <si>
    <t>Founders Future(Marc Menasé), Groupe MACSF</t>
  </si>
  <si>
    <t>consultancy services, customer experience, digital business, digital strategy, digital transformation, due diligence audit, process automation</t>
  </si>
  <si>
    <t>248184-55T</t>
  </si>
  <si>
    <t>Velco</t>
  </si>
  <si>
    <t>Application Software, Business/Productivity Software, Electronic Equipment and Instruments*, Media and Information Services (B2B), Other Hardware</t>
  </si>
  <si>
    <t>Developer of a connected e-bike platform designed to provide a riding experience for cyclists. The company's platform includes features such as GPS tracking, anti-theft protection, and geofencing, enabling e-bike brands and fleet managers to improve the security, performance, and maintenance of their e-bikes.</t>
  </si>
  <si>
    <t>Caisse des Depots Group(Philippe Jusserand), GO Capital (France)(Herve Bachelot Lallier), Inventures Investment Partners(Sarah Kawa), YADAY</t>
  </si>
  <si>
    <t>bikes tracker, e-bike motor, electronics board, fleet connectivity, fleet management, freight technology, tracking technology</t>
  </si>
  <si>
    <t>Mobile, Supply Chain Tech</t>
  </si>
  <si>
    <t>247891-06T</t>
  </si>
  <si>
    <t>Unlimitd</t>
  </si>
  <si>
    <t>Financial Software, Other Financial Services*, Specialized Finance</t>
  </si>
  <si>
    <t>Developer of a financial platform designed to finance companies based on their future turnover. The company's platform transforms recurring revenue streams into upfront capital for growth without debt or dilution, enabling companies to facilitate the financing of their growth.</t>
  </si>
  <si>
    <t>Absolute Capital Partners(Rudy Boukhris)</t>
  </si>
  <si>
    <t>commercial finance, customer relationship management, digital commerce, finance company services, financial service, financing model, non-dilutive finance, revenue based financing</t>
  </si>
  <si>
    <t>250372-63T</t>
  </si>
  <si>
    <t>250650-37T</t>
  </si>
  <si>
    <t>AMAVI Capital, Armilar Venture Partners, Région Sud Investissement, UI Investissement</t>
  </si>
  <si>
    <t>247686-58T</t>
  </si>
  <si>
    <t>H2Gremm</t>
  </si>
  <si>
    <t>Developer of storage microstations designed for the production, compression, and distribution of ultrapure hydrogen. The company offers modular and adaptable hydrogen-based services for mobility, energy storage, and building applications to provide low-carbon energy autonomy systems for buildings and light mobility and reduce reliance on external sources, promoting energy independence and resilience, enabling individuals, communities, and businesses to achieve energy self-consumption and contribute to a sustainable future.</t>
  </si>
  <si>
    <t>Alain Glon Holding, Codols Finances, Unexo</t>
  </si>
  <si>
    <t>clean fuel, energy integration, energy storage, green hydrogen, local production, renewable energy integration, sustainable energy</t>
  </si>
  <si>
    <t>Edern, France</t>
  </si>
  <si>
    <t>247643-92T</t>
  </si>
  <si>
    <t>Kapptivate</t>
  </si>
  <si>
    <t>Business/Productivity Software*, IT Consulting and Outsourcing, Other Communications and Networking</t>
  </si>
  <si>
    <t>Developer of unstructured supplementary service data and short message servicing tools designed to test, monitor, and analyze their functioning. The company's tools offer the ability to assess and measure the quality of experience of crucial services involving technologies, enabling telephone operators and banks to validate the operation of their mobile services.</t>
  </si>
  <si>
    <t>Club Holnest, Elevation Capital Partners, GSO Innovation, Holnest</t>
  </si>
  <si>
    <t>automated testing, digital services, sms hosting, sms servicing tools, user friendly, ussd technology analysis</t>
  </si>
  <si>
    <t>247545-01T</t>
  </si>
  <si>
    <t>Bellevilles</t>
  </si>
  <si>
    <t>Media and Information Services (B2B), Other Commercial Services, Real Estate Services (B2C)*</t>
  </si>
  <si>
    <t>Operator of a real estate company intended to serve projects with a strong social impact. The company engages in the revitalization of key territories and assets such as medium-sized towns, villages, suburbs, and peri-urban areas through the acquisition, programming, and rehabilitation of housing, businesses, third places, and activity spaces, enabling traders, entrepreneurs, associations, craftsmen and people to find real estate as per their need.</t>
  </si>
  <si>
    <t>Abeille Impact Investing France, Banque des Territoires, Impakt EU, MAIF Impact, Olivier Legrain(Olivier Legrain)</t>
  </si>
  <si>
    <t>housing need, housing portal, premises liability, real estate company, real estate product, rehabilitation care</t>
  </si>
  <si>
    <t>247501-72T</t>
  </si>
  <si>
    <t>Pivot (Business/Productivity Software)</t>
  </si>
  <si>
    <t>Developer of consumer-grade procurement software intended to help companies keep their spending under control while enhancing their teams. The company's software allows implementation without an integrator, fostering employee adoption and avoiding training for finance, legal, compliance, and security teams, enabling clients to reduce manual work and endless email threads.</t>
  </si>
  <si>
    <t>Alpha Protocol Ventures, Anamcara Capital, Emblem (Paris), Emblem Cannabis, Hedosophia, Oliver Samwer(Oliver Samwer), Visionaries Club</t>
  </si>
  <si>
    <t>e-procurement software, indirect procurement, procurement automation, procurement software, procurement technology, spend management software</t>
  </si>
  <si>
    <t>252228-43T</t>
  </si>
  <si>
    <t>ArkRep</t>
  </si>
  <si>
    <t>Operator of a gaming studio based in Paris, France. The company's studio offers computer and multiplayer games, enabling users to play video games.</t>
  </si>
  <si>
    <t>computer games, gaming platform, gaming studio, gaming tech, online games, video games</t>
  </si>
  <si>
    <t>247465-27T</t>
  </si>
  <si>
    <t>I-Virtual</t>
  </si>
  <si>
    <t>Developer of a vital sign monitoring product designed for measuring cardiac activity for everyday health and well-being. The company's products offer non-contact, real-time measurements without specific material of heart rate, enabling patients to access physiological measurement methodologies that integrate into everyday life.</t>
  </si>
  <si>
    <t>Elaia Partners(Céline Passedouet), Malakoff Humanis(Gauthier Lalande), UI Investissement(Pauline de Breteuil)</t>
  </si>
  <si>
    <t>algorithm-based diagnostics, cardiac activity, cognitive stimulation, heart rate monitor, patient monitoring, remote patient monitoring, software development</t>
  </si>
  <si>
    <t>Digital Health, Life Sciences</t>
  </si>
  <si>
    <t>249703-03T</t>
  </si>
  <si>
    <t>IzyCardio</t>
  </si>
  <si>
    <t>Operator of a telemedicine platform intended to offer care-related advice and consultation from cardiologists in real time. The company's platform develops and validates a care path enhanced by digital tools and teleconsultation and evaluates cardiac risk quickly, enabling medical practitioners to get an easy scope of medical conditions to assess and patients to save time and identify correct preventative care.</t>
  </si>
  <si>
    <t>Banque des Territoires(Olivier Sichel), Citizen Capital(Laurence Mehaignerie)</t>
  </si>
  <si>
    <t>cardiology care, cardiology clinic, cardiology consultation, teleconsultation, teleconsultation services, telemedicine firm</t>
  </si>
  <si>
    <t>247449-88T</t>
  </si>
  <si>
    <t>Trame (Other Services)</t>
  </si>
  <si>
    <t>Information Services (B2C), Other Services (B2C Non-Financial)*, Specialty Retail</t>
  </si>
  <si>
    <t>Operator of a collaborative studio intended to provide a gallery at the intersection of art, design, technology, and craft. The company engages in co-creation and uniting diverse, contemporary voices with traditional craft and cutting-edge, digital technologies, enabling artists to discover and collect limited-edition designs and art</t>
  </si>
  <si>
    <t>1kx, Color (Portland), Crypto Packaged Goods, NxGen Ventures, Seed Club Ventures</t>
  </si>
  <si>
    <t>art work, contemporary design, digital technology, gallery &amp; art dealer, studio space, traditional craft, traditional craftsmanship</t>
  </si>
  <si>
    <t>247217-05T</t>
  </si>
  <si>
    <t>Kleep</t>
  </si>
  <si>
    <t>Developer of an AI-based platform designed to cater to the fashion industry. The company's platform analyses its customers' body shapes and recommends the right size for any of its products, and develops tools to help fashion retailers improve their shopping experience, enabling online retailers to cater to their customers conveniently.</t>
  </si>
  <si>
    <t>David Dayan</t>
  </si>
  <si>
    <t>ecommerce platform, ecommerce shopping, fashion ecommerce, fashion industry, fashion industry solution, fashion retailer</t>
  </si>
  <si>
    <t>Artificial Intelligence &amp; Machine Learning, E-Commerce</t>
  </si>
  <si>
    <t>247830-04T</t>
  </si>
  <si>
    <t>Sweetch Energy</t>
  </si>
  <si>
    <t>Developer of a power harvesting technology intended to exploit the difference in water salinity to generate electricity. The company's technology produces electricity from saline gradients using a filtration system, enabling consumers to have access to cheap electricity sources economically.</t>
  </si>
  <si>
    <t>Axeleo Capital, Crédit Mutuel Impact(Sabine Schimel)</t>
  </si>
  <si>
    <t>dispatchable energy sources, electricity generation plant, electricity generator, electricity project, energy plant asset, nanotechnology system, power generation, renewable energy</t>
  </si>
  <si>
    <t>Saint-Grégoire, France</t>
  </si>
  <si>
    <t>247115-89T</t>
  </si>
  <si>
    <t>Actility</t>
  </si>
  <si>
    <t>Business/Productivity Software, Connectivity Products*, Other Communications and Networking, Wireless Communications Equipment</t>
  </si>
  <si>
    <t>Operator of network services and information systems intended to serve the Internet of Things market. The company's platform connects sensors gathering data to cloud applications on any scale, from global or national networks to secure on-campus enterprise alternatives, managing devices, data flows and monetization, enabling developers and device makers to connect partners and prepare their LPWA products for the market.</t>
  </si>
  <si>
    <t>Bosch Ventures, Bpifrance(Edouard Combette), Cisco Investments(Kaustubh Das), Eurazeo (PAR: RF)(Matthieu Bonamy), Orange Ventures, Swisscom (SWX: SCMN)</t>
  </si>
  <si>
    <t>industrial iot, information systems, infrastructure components, iot networking, network protocol, network services platform, sensor device, wireless network</t>
  </si>
  <si>
    <t>247104-46T</t>
  </si>
  <si>
    <t>Neolithe</t>
  </si>
  <si>
    <t>Construction and Engineering*, Environmental Services (B2B)</t>
  </si>
  <si>
    <t>Developer of a fossilization technology designed to transform non-recycled, non-inert and non-hazardous waste that can be reused in the construction sector. The company offers a service for reclaiming the waste material produced either by recycling raw materials extracted which enables more precise sorting of small-sized waste, or by the transformation of waste into aggregate, enabling construction companies to utilize mineral granulates based on the fossilization of waste and reduce waste traditional construction-associated carbon dioxide emissions.</t>
  </si>
  <si>
    <t>Crédit Mutuel Impact, Otium Capital, RGREEN INVEST, Tivoli Capital, Transitions First, Wind Capital</t>
  </si>
  <si>
    <t>construction sector, construction services, green construction, household waste recycling, landfill alternatives, non-recyclable waste treatment, waste management, waste transformation</t>
  </si>
  <si>
    <t>Chalonnes sur loire, France</t>
  </si>
  <si>
    <t>182746-09T</t>
  </si>
  <si>
    <t>Kreaxi(Pierre-Antoine Cognard)</t>
  </si>
  <si>
    <t>186334-03T</t>
  </si>
  <si>
    <t>ShareMat</t>
  </si>
  <si>
    <t>Application Software, Business/Productivity Software*, Logistics</t>
  </si>
  <si>
    <t>Operator of a fleet management platform intended to offer real-time usage data for an all-brand fleet that is displayed on the same screen. The company's platform manages the fleet via the internet or mobile application and provides a rental peer-to-peer platform and also dedicated service to help optimize the fleet, enabling clients to access a new way to work with construction equipment and increase profitability and productivity.</t>
  </si>
  <si>
    <t>BIA Group, GO Capital (France), Kiloutou</t>
  </si>
  <si>
    <t>circular economy, collaborative economy, construction equipment, construction equipment fleet, fleet management, fleet management software, fleet optimization, machinery management, maintenance management, p2p platform, site management</t>
  </si>
  <si>
    <t>247427-74T</t>
  </si>
  <si>
    <t>Tri'n'Collect</t>
  </si>
  <si>
    <t>Construction and Engineering, Consulting Services (B2B), Environmental Services (B2B)*</t>
  </si>
  <si>
    <t>Provider of on-site waste management services intended to preserve the planet's natural resources. The company offers an innovative technique for sorting waste at the source, supports preventing construction waste and recycling it in a circular economy loop, and also offers training and awareness of craftsmen in good sorting actions, provision of sorting stations, regular collection on-site and local recycling in the appropriate channels, enabling project owners to recover most of the waste from the site for cleaner and more sustainable constructions.</t>
  </si>
  <si>
    <t>Banque des Territoires, Colam Impact</t>
  </si>
  <si>
    <t>circular economy, construction waste recycling, recycling analytics, recycling company, recycling training, waste collection, waste recycling</t>
  </si>
  <si>
    <t>247427-29T</t>
  </si>
  <si>
    <t>Huvy</t>
  </si>
  <si>
    <t>Decision/Risk Analysis*, Discovery Tools (Healthcare), Other Healthcare Technology Systems</t>
  </si>
  <si>
    <t>Developer of a skin melanoma detection application technology to identify a cancer risk. The company's technology facilitates dermatological screening allowing populations in the least medicalized areas to access an initial diagnostic orientation, enabling patients to be taken care of in the event of suspicion of cancer and protect and improve the well-being of individuals worldwide, ultimately contributing to better outcomes and healthier communities.</t>
  </si>
  <si>
    <t>cancer risk management, dermatological care services, dermatological screening, melanoma detection, skin cancer detection, skin cancer screening</t>
  </si>
  <si>
    <t>Artificial Intelligence &amp; Machine Learning, Life Sciences, Mobile, Oncology</t>
  </si>
  <si>
    <t>Vaux-Sur-Mer, France</t>
  </si>
  <si>
    <t>247015-09T</t>
  </si>
  <si>
    <t>ProvenRun</t>
  </si>
  <si>
    <t>IoT Security</t>
  </si>
  <si>
    <t>IT Consulting and Outsourcing*, Network Management Software</t>
  </si>
  <si>
    <t>Provider of cybersecurity services intended to help clients embed security within their infrastructure of connected devices wherever required, at the chip, device, edge, or cloud levels. The company helps its customers resolve the security challenges linked to the large-scale deployment of connected devices and the Internet of Things by providing software systems, enabling businesses to improve the level of security of connected systems to protect them against remote cyberattacks.</t>
  </si>
  <si>
    <t>Bpifrance, Tikehau Capital (PAR: TKO)</t>
  </si>
  <si>
    <t>cybersecurity consultancy, cybersecurity firm, cybersecurity service provider, cybersecurity services, cybersecurity services company, cybersecurity services firm, endpoint security, iot security, iot/ot security, ot security</t>
  </si>
  <si>
    <t>Cybersecurity, Internet of Things</t>
  </si>
  <si>
    <t>246911-86T</t>
  </si>
  <si>
    <t>Discurv</t>
  </si>
  <si>
    <t>Consulting Services (B2B), Media and Information Services (B2B)*</t>
  </si>
  <si>
    <t>Operator of a market research platform intended to leverage technology to expedite the research process. The company's services offer questionnaire framework advice, survey dissemination, and detailed analysis services, enabling clients to gather customer satisfaction metrics, assess new products, and optimize advertising campaigns, all through an efficient process.</t>
  </si>
  <si>
    <t>Crédit Agricole Aquitaine Expansion, GSO Innovation</t>
  </si>
  <si>
    <t>market analysis, market research, market research analysis, market research firm, market research service, market research survey</t>
  </si>
  <si>
    <t>246918-25T</t>
  </si>
  <si>
    <t>Bpifrance(Benoit Barteau), Khosla Ventures(Samir Kaul), Sanofi Ventures(Laia Crespo-Martin), Seventure Partners</t>
  </si>
  <si>
    <t>224625-79T</t>
  </si>
  <si>
    <t>MindDay</t>
  </si>
  <si>
    <t>Developer of a healthcare application designed to take care of the well-being and mental health of employees. The company's platform connects employees with mental healthcare specialists to assist employees in identifying areas of progress or blocking situations and ultimately, enhance their mental health conditions, enabling employees in the workplace to take care of themselves, deal with everyday problems, progress, and live a fulfilling life.</t>
  </si>
  <si>
    <t>Pareto Holdings, QCM Holdings, Siparex Group</t>
  </si>
  <si>
    <t>healthcare technology system, mental healthcare, mental healthcare monitoring, mental healthcare service, mental healthcare technology, mental wellbeing technology, mental wellness, mental wellness company</t>
  </si>
  <si>
    <t>HealthTech, LOHAS &amp; Wellness, Mobile</t>
  </si>
  <si>
    <t>246517-57T</t>
  </si>
  <si>
    <t>NOLEJ</t>
  </si>
  <si>
    <t>Business/Productivity Software, Educational Software*, Media and Information Services (B2B)</t>
  </si>
  <si>
    <t>Developer of an educational platform designed to create interactive courseware and assessment at scale. The company's platform turns static learning material such as video, audio, and text content into micro-learning interactives such as quizzes, games, and flashcards, enabling designers and teachers to rapidly generate interactive eLearning material.</t>
  </si>
  <si>
    <t>EduCapital, Finorpa, Finovam Gestion, Gama Capital, Neer Venture Partners, SQUARE Knowledge Ventures</t>
  </si>
  <si>
    <t>cognitive learning skills, educational materials, elearning/training materials, learning model, learning software, virtual assistance</t>
  </si>
  <si>
    <t>Artificial Intelligence &amp; Machine Learning, EdTech, SaaS</t>
  </si>
  <si>
    <t>Maubeuge, France</t>
  </si>
  <si>
    <t>247110-58T</t>
  </si>
  <si>
    <t>Tomorro</t>
  </si>
  <si>
    <t>Business/Productivity Software*, Legal Services (B2B), Media and Information Services (B2B)</t>
  </si>
  <si>
    <t>Developer of a legal contract management platform designed to help reduce the time spent on agreement management and give control and visibility over legal and financial risks. The company's platform centralizes all contracts on a secure network to improve follow-up with automatic tracking and reminders, helping firms manage the whole contract lifecycle efficiently and streamline the process.</t>
  </si>
  <si>
    <t>Financière Saint James, HenQ, Motier Ventures, Mozza (France), Resonance VC</t>
  </si>
  <si>
    <t>access management, ai assistant, contact management, contract management system, legal contracting services, legal contracts technology</t>
  </si>
  <si>
    <t>Artificial Intelligence &amp; Machine Learning, FinTech, Legal Tech, SaaS</t>
  </si>
  <si>
    <t>246926-08T</t>
  </si>
  <si>
    <t>Drone Geofencing</t>
  </si>
  <si>
    <t>Aerospace and Defense, Business/Productivity Software*, Media and Information Services (B2B)</t>
  </si>
  <si>
    <t>Developer of a geofencing platform intended to manage and monitor drone activity safely. The company's platform allows one to define authorized flight zones, track drone movements in real-time, and receive alerts for unauthorized or suspicious activity, enabling defense, civil security, and industries to comply with drone regulations, protect sensitive infrastructure, and ensure people's and property's safety.</t>
  </si>
  <si>
    <t>Defense Angels, Les Business Angels des Grandes Écoles, Lundi Matin, Melies Business Angels, Provence Business Angels</t>
  </si>
  <si>
    <t>compliance enforcement, flight path, geospatial mapping, infrastructure protection, real time tracking, regulatory compliance</t>
  </si>
  <si>
    <t>Artificial Intelligence &amp; Machine Learning, Big Data, Internet of Things, Robotics and Drones</t>
  </si>
  <si>
    <t>Nimes, France</t>
  </si>
  <si>
    <t>273321-01T</t>
  </si>
  <si>
    <t>Adaptiv</t>
  </si>
  <si>
    <t>Educational and Training Services (B2C), Educational Software*, Information Services (B2C)</t>
  </si>
  <si>
    <t>Developer of a career intelligence platform designed to track new jobs and skills. The company's platform offers to upskill and acquire relevant knowledge for the work to continue learning, career mentoring and upskilling opportunities using skill metrics, psychometrics and big data, that help to make the right career moves, enabling students and young professionals to choose career goals, and work towards achieving their dreams.</t>
  </si>
  <si>
    <t>career intelligence, career mentoring, career mentoring service, career mentoring software, educational courses, educational programs, learning system, upskilling courses, upskilling platform, upskilling service</t>
  </si>
  <si>
    <t>Artificial Intelligence &amp; Machine Learning, Big Data, EdTech, SaaS, TMT</t>
  </si>
  <si>
    <t>253292-14T</t>
  </si>
  <si>
    <t>Carton Vert</t>
  </si>
  <si>
    <t>Distributors/Wholesale*, Other Containers and Packaging, Paper Containers and Packaging</t>
  </si>
  <si>
    <t>Operator of a carton packaging company intended to prolong the life cycle of cardboard and reduce waste. The company offers used and new reusable cardboard boxes and packaging materials sourced from industrial companies, enabling clients and sellers to sustainably source packing materials and clear their ideal raw material.</t>
  </si>
  <si>
    <t>Alterval, Caisse des Dépôts et Consignations, Fininco, L'Occitane International, OBRATORI</t>
  </si>
  <si>
    <t>carbon footprint, cardboard packs, carton packaging, circular economy, sustainable development, waste reduction, zero waste</t>
  </si>
  <si>
    <t>247504-96T</t>
  </si>
  <si>
    <t>Cetal</t>
  </si>
  <si>
    <t>Other Consumer Durables*, Other Consumer Products and Services</t>
  </si>
  <si>
    <t>Manufacturer of custom-made entryways and barriers designed to meet specific client requirements. The company offers custom-made aluminium gates, fences, privacy screens, and guardrails with diverse customization options, quality materials, and knowledgeable support throughout the design process, providing residential and commercial clients with tailored solutions that enhance security and aesthetic appeal.</t>
  </si>
  <si>
    <t>aluminium gates, barriers manufacturer, entrance doors, entrance security, fence panels, guardrail fabrication, safety barrier, security entrance</t>
  </si>
  <si>
    <t>Bois-de-Haye, France</t>
  </si>
  <si>
    <t>247040-83T</t>
  </si>
  <si>
    <t>Chauffamat</t>
  </si>
  <si>
    <t>Operator of a professional trading company intended to provide advice and after-sales service for the equipment it distributes. The company specializes in heating equipment and accessories, plumbing and taps, ventilation, and air conditioning installers and operators, providing customers with a technician service that will guarantee satisfaction.</t>
  </si>
  <si>
    <t>air condition service, heating methods, plumbing facility, professional services, services company, technicians service</t>
  </si>
  <si>
    <t>247755-52T</t>
  </si>
  <si>
    <t>Citéliv</t>
  </si>
  <si>
    <t>Logistics*, Other Commercial Services</t>
  </si>
  <si>
    <t>Provider of urban delivery services intended to offer sustainable and efficient deliveries. The company offers a wide range of services including courier delivery with live tracking for food, e-commerce, artisan, business, and home delivery, allowing carriers, wholesalers, and merchants a real alternative to traditional deliveries with zero CO2 emissions vehicles.</t>
  </si>
  <si>
    <t>Autonomie &amp; Solidarité, IRD Invest</t>
  </si>
  <si>
    <t>courier delivery, ecological transportation, electric truck, live tracking, sustainable delivery, zero emission</t>
  </si>
  <si>
    <t>251234-56T</t>
  </si>
  <si>
    <t>Tomcat Capital, Tudigo</t>
  </si>
  <si>
    <t>227242-00T</t>
  </si>
  <si>
    <t>Club Legacyz</t>
  </si>
  <si>
    <t>Internet Retail, Other Consumer Durables*</t>
  </si>
  <si>
    <t>Provider of limited-edition sports collectibles designed for fans to connect with their favorite athletes. The company partners with athletes to create collectibles such as totems, collectible posters, and icons, enabling fans to own a piece of their fandom while celebrating the achievements of the athletes.</t>
  </si>
  <si>
    <t>Aonia Ventures</t>
  </si>
  <si>
    <t>collectibles card, licensed collectibles, limited edition print, poster print, poster printing, sports collectibles</t>
  </si>
  <si>
    <t>247504-60T</t>
  </si>
  <si>
    <t>Dronavia</t>
  </si>
  <si>
    <t>Aerospace and Defense, Electrical Equipment, Other Hardware*, Recreational Goods</t>
  </si>
  <si>
    <t>Manufacturer of accessories and security systems for drones intended to make the drone more reliable and autonomous. The company provides parachutes, flight termination systems, and remote identification devices that quickly adapt systems to new machines available on the market with extensive integration and compatibility with the characteristics of the drones concerned, enabling clients to have drones certified with no risky adaptation.</t>
  </si>
  <si>
    <t>ILP Group, Ineo Capital</t>
  </si>
  <si>
    <t>adapters system, aviation tools, drones data, parachute manufacturer, security model, security system firm</t>
  </si>
  <si>
    <t>Manufacturing, Robotics and Drones</t>
  </si>
  <si>
    <t>Remiremont, France</t>
  </si>
  <si>
    <t>247020-04T</t>
  </si>
  <si>
    <t>Fauve Craft Bière</t>
  </si>
  <si>
    <t>Beverages*, Restaurants and Bars</t>
  </si>
  <si>
    <t>Operator of a brewpub and producer and seller of craft beer headquartered in Paris, France. The company manufactures fruit beer, density beer, and more, and owns a restaurant where it serves food and craft beers, allowing customers to the site and freshly served beverages.</t>
  </si>
  <si>
    <t>VAeX Capital Partners</t>
  </si>
  <si>
    <t>beer manufacturer, beer mug, brewpub restaurant, craft beer, craft beer manufacturer, wheat beer</t>
  </si>
  <si>
    <t>247010-86T</t>
  </si>
  <si>
    <t>Feedier</t>
  </si>
  <si>
    <t>Operator of a feedback analytics management platform intended to help companies get insight in real-time. The company's platform helps collect data from various sources, and analyze and capture actionable insights by leveraging a built-in reward management and engagement program, enabling businesses to understand customer behavior and grow business.</t>
  </si>
  <si>
    <t>actionable insights, customer experience, feedback analysis, feedback poll, survey app, survey platform</t>
  </si>
  <si>
    <t>246968-83T</t>
  </si>
  <si>
    <t>Heal.dev</t>
  </si>
  <si>
    <t>Developer of a testing automation tool designed to write tests for web applications. The company's platform uses artificial intelligence models to locate elements in a web application which makes it stable than traditional testing methods to help with debugging and root cause analysis, enabling developers to write reliable and maintainable tests.</t>
  </si>
  <si>
    <t>Kima Ventures, Mango Capital, Motier Ventures</t>
  </si>
  <si>
    <t>artificial intelligence model, generative ai, natural language algorithm, software testing company, testing tool, website testing, workflow automation</t>
  </si>
  <si>
    <t>247506-22T</t>
  </si>
  <si>
    <t>Hopserve</t>
  </si>
  <si>
    <t>Developer of a cloud software designed to govern infrastructure from code to cloud. The company's platform offers interactive previews and visual feedback tools, helping product managers, designers, and engineers to ship better iterations together.</t>
  </si>
  <si>
    <t>cloud coding, cloud infrastructure, cloud software, interactive sessions, software development app, visual feedback</t>
  </si>
  <si>
    <t>Neuilly-sur-seine, France</t>
  </si>
  <si>
    <t>248025-61T</t>
  </si>
  <si>
    <t>JE2D</t>
  </si>
  <si>
    <t>Operator of an energy consulting firm intended to help organizations reduce energy consumption. The company's platform helps in optimization of energy bills, renewable energy production projects, data analysis of energy consumption and readings of site data, enabling organizations to reduce their energy bills and environmental impact.</t>
  </si>
  <si>
    <t>energy consulting, environmental data, environmental data analysis, environmental issues, renewable energy data, renewable energy supply</t>
  </si>
  <si>
    <t>Boves, France</t>
  </si>
  <si>
    <t>248094-10T</t>
  </si>
  <si>
    <t>Payback (Financial Services)</t>
  </si>
  <si>
    <t>Developer of smart benefits services designed to boost the purchasing power of employees. The company offers reimbursement tracking in real-time,
manage all benefits and balances in the app and leverages open banking technology, enabling employees to be automatically reimbursed for their daily expenses.</t>
  </si>
  <si>
    <t>Enzo Ventures</t>
  </si>
  <si>
    <t>benefits portal, daily expense tracker, employee benefit program, expense reimbursement, open banking technology, reimbursement system</t>
  </si>
  <si>
    <t>Boulogne-sur-Mer, France</t>
  </si>
  <si>
    <t>228492-82T</t>
  </si>
  <si>
    <t>Quaterra</t>
  </si>
  <si>
    <t>Cultivation, Other Agriculture*</t>
  </si>
  <si>
    <t>Operator of an agri-food company intended to develop and support a group of agricultural farms and factories over the long term. The company provides its production companies with commercial contracts in value-added distribution channels, enabling farmers to promote organic products and earn more revenue.</t>
  </si>
  <si>
    <t>Epopée Gestion, Quadia</t>
  </si>
  <si>
    <t>agriculture food, agri-food industry, farming food, food transition, organic farming, organic items</t>
  </si>
  <si>
    <t>250468-48T</t>
  </si>
  <si>
    <t>SocialDirect</t>
  </si>
  <si>
    <t>Developer of a social support platform designed to make an appointment with qualified social workers. The company's platform allows employees to choose their mode of consultation is face-to-face, video, or on the telephone as well as the time of appointment in several areas such as finance, family, health, accommodation, and many more, enabling clients to improve employee well-being and reduce company costs associated with social issues.</t>
  </si>
  <si>
    <t>The Moon Venture(Sebastien Fertier)</t>
  </si>
  <si>
    <t>employee portal, employee support, social innovation, social services, social support service, video consulting</t>
  </si>
  <si>
    <t>Vannes, France</t>
  </si>
  <si>
    <t>246989-98T</t>
  </si>
  <si>
    <t>Spart (Business/Productivity Software)</t>
  </si>
  <si>
    <t>Developer of a corporate well-being platform intended to create a fun, tailor-made experience for companies based on healthier living, physical activity and employee engagement. The company's platform offers an application aimed at promoting health, well-being and cohesion within professional environments, enabling employees to feel good about themselves and do well in their business.</t>
  </si>
  <si>
    <t>Bpifrance, Finorpa</t>
  </si>
  <si>
    <t>corporate wellbeing platform, corporate wellbeing service, wellbeing application, wellbeing planning, wellbeing platform, wellbeing strategy</t>
  </si>
  <si>
    <t>HealthTech, LOHAS &amp; Wellness, Marketing Tech, Mobile</t>
  </si>
  <si>
    <t>249442-21T</t>
  </si>
  <si>
    <t>Auriga Cyber Ventures(William Lecat), Axeleo Capital(Mathieu Viallard), Crédit Agricole Création(Jordan Rivieri), Kreaxi(Pierre-Antoine Cognard), TeamWork Management(Julien Moretti)</t>
  </si>
  <si>
    <t>247826-80T</t>
  </si>
  <si>
    <t>Viqthor</t>
  </si>
  <si>
    <t>Electrical Equipment, Electronic Equipment and Instruments, Other Equipment*</t>
  </si>
  <si>
    <t>Manufacturer of energy-efficient products intended to reduce cryostat passive heat load with optical fibers instead of coaxial or ribbon cables. The company uses microwave error correction to cancel noise and also improve qubits readout fidelity and perform real-time embedded calibration, enabling customers to optimize quantum availability and track system evolution.</t>
  </si>
  <si>
    <t>Apok Invest, Better Angle, Bpifrance, iXCore, Kima Ventures, Ludovic Perret</t>
  </si>
  <si>
    <t>electronics manufacturing, energy efficient products, microwave fiber, quantum processor, signal processing, signal processing system</t>
  </si>
  <si>
    <t>Saint-Germain-en-Laye, France</t>
  </si>
  <si>
    <t>247185-46T</t>
  </si>
  <si>
    <t>Wingmate (Social/Platform Software)</t>
  </si>
  <si>
    <t>Developer of an artificial intelligence-powered dating application based in Paris, France. The company is currently operating in stealth mode.</t>
  </si>
  <si>
    <t>dating app, dating option, dating platform, stealth company, stealth firm, stealth operations</t>
  </si>
  <si>
    <t>246741-49T</t>
  </si>
  <si>
    <t>Wobee</t>
  </si>
  <si>
    <t>Business/Productivity Software, Human Capital Services*</t>
  </si>
  <si>
    <t>Operator of a SaaS-based HR platform intended to transform the employee experience. The company's platform offers a variety of features including HR dashboards, white mark, multi-sites, tools integration, and ticketing service, enabling businesses to carry out pre-boarding, onboarding, and offboarding tasks effectively.</t>
  </si>
  <si>
    <t>JPA Invest, Sirom Capital</t>
  </si>
  <si>
    <t>digital platform, employee experience, hr platform, human resources, intranet service, onboarding tools, software as a services</t>
  </si>
  <si>
    <t>279676-45T</t>
  </si>
  <si>
    <t>Lao Care</t>
  </si>
  <si>
    <t>Manufacturer of hair care products intended to protect and regenerate the hair fiber. The company offers products like shampoos, face masks and creams, conditioners, and other cosmetic products, enabling customers to take care of their skin and hair.</t>
  </si>
  <si>
    <t>Bpifrance, Robertet (PAR: RBT)</t>
  </si>
  <si>
    <t>conditioner products, cosmetics seller, hair care items, scalp care, shampoo maker, shampoo product</t>
  </si>
  <si>
    <t>Brumath, France</t>
  </si>
  <si>
    <t>246626-29T</t>
  </si>
  <si>
    <t>Mylight150</t>
  </si>
  <si>
    <t>Manufacturer of solar self-consumption systems intended to provide energy management facilities. The company's systems optimize the consumption of self-generated electricity by PV panels to update substantial savings for the residential and tertiary sectors, enabling users to maximize their local PV energy consumption and reduce electricity costs.</t>
  </si>
  <si>
    <t>Andera Partners, Azora Capital, Eiffel Investment Group, Elevation Capital Partners</t>
  </si>
  <si>
    <t>climate tech company, energy management, heating management system, intermittent renewable energy, photovoltaic field, renewable energy solutions, solar photovoltaic, solar self-consumption</t>
  </si>
  <si>
    <t>Jonage, France</t>
  </si>
  <si>
    <t>225879-31T</t>
  </si>
  <si>
    <t>Adionics</t>
  </si>
  <si>
    <t>Lithium Extraction Technology</t>
  </si>
  <si>
    <t>Environmental Services (B2B)*, Other Business Products and Services</t>
  </si>
  <si>
    <t>Developer of a saline water treatment technology intended to remove salts selectively out of the brine, seawater, or other salty waters. The company's technology permits industries to extract selectively lithium salts and other salts from water by a liquid-liquid route with solvent stripping by the simple use of hot water without adding chemicals in the extraction or stripping phases, enabling clients to extract lithium and other valuable minerals through an efficient and economical process with a very low environmental impact.</t>
  </si>
  <si>
    <t>Bpifrance(Samia Belabed), Celeste Management(Dimitri Boulanger), Ovive(Amaury Bierent), Sociedad Quimica y Minera (SGO: SQM-B)(Carloz Diaz), Supernova Invest(Marine Glon)</t>
  </si>
  <si>
    <t>battery recycling process, electric vehicle, environmental services firm, lithium extraction, lithium production, salt extraction, water desalination, water treatment firm</t>
  </si>
  <si>
    <t>CleanTech, Climate Tech, Infrastructure, Supply Chain Tech</t>
  </si>
  <si>
    <t>246867-31T</t>
  </si>
  <si>
    <t>Wakeo</t>
  </si>
  <si>
    <t>Developer of a supply chain management platform intended to bring real-time visibility to transport flows. The company's platform helps users to track &amp; trace shipments along the entire supply chain, receive predictive insights on delays, and view performance, enabling shippers and forwarders to improve customer experience, anticipate delays, and objectify performance.</t>
  </si>
  <si>
    <t>360 Capital, 50 Partners, Promus Ventures, Statkraft Ventures(Stefan Hülsen), Techstars, WaVe-X</t>
  </si>
  <si>
    <t>freight forwarding software, freight management platform, global transportation, logistic platform, supply chain management, transport software</t>
  </si>
  <si>
    <t>Industrials, SaaS, Supply Chain Tech</t>
  </si>
  <si>
    <t>246440-89T</t>
  </si>
  <si>
    <t>Almé</t>
  </si>
  <si>
    <t>Accessories, Clothing*, Information Services (B2C), Internet Retail</t>
  </si>
  <si>
    <t>Designer of fashion brand products intended to offer timeless style pieces that are resolutely fashionable. The company's products flatter a variety of body types, with sizes utilizing a pre-order-based production model to minimize excess inventory and promote conscious consumption., enabling customers to enjoy fashionable collections imbued with aesthetics and comfort, both refined and relaxed.</t>
  </si>
  <si>
    <t>ecommerce service, fashion brand products, fashionable clothes, fashionable dresses, fashionable wear, internet retail service</t>
  </si>
  <si>
    <t>E-Commerce, Mobile, Mobile Commerce</t>
  </si>
  <si>
    <t>233252-47T</t>
  </si>
  <si>
    <t>Antabio</t>
  </si>
  <si>
    <t>Operator of a privately-held clinical-stage biopharmaceutical company intended for novel and differentiated antibacterial treatments of drug-resistant infections. The company's focus is on critical priority pathogens, with a particular focus on life-threatening respiratory infections, including carbapenem-resistant nosocomial pneumonia and chronic pulmonary diseases, enabling health professionals to get access to medicinal products that help in curing drug-resistant diseases.</t>
  </si>
  <si>
    <t>AMR Action Fund(Carly Levine), BNP Paribas Développement, European Innovation Council Fund, IRDI Capital Investissement(Jean-Michel Petit), Relyens, Turenne Groupe(Claire Poulard)</t>
  </si>
  <si>
    <t>antiinfective product, antimicrobial resistance, antimicrobial resistance treatment, chemotherapy care, drug development, pseudomonas aeruginosa, pulmonary disease, small molecule</t>
  </si>
  <si>
    <t>HealthTech, Life Sciences, LOHAS &amp; Wellness, Oncology</t>
  </si>
  <si>
    <t>246522-07T</t>
  </si>
  <si>
    <t>Braincube (Business/Productivity Software)</t>
  </si>
  <si>
    <t>Business/Productivity Software*, Electronic Equipment and Instruments, Media and Information Services (B2B)</t>
  </si>
  <si>
    <t>Developer of industrial internet of things platform designed to provide business apps for manufacturers. The company's platform provides a compilation of complex data generated by production machines, and coherent aggregation of the data in secure databases with predictive algorithm optimization, enabling factories and production teams to service sufficient equipment control to manage and optimize their productivity.</t>
  </si>
  <si>
    <t>Bpifrance, Scottish Equity Partners</t>
  </si>
  <si>
    <t>data access service, data storage, data transformation services, embedded ai, enterprise asset management, enterprise resource planning, iiot platform, industrial data analytics, industrial iot, iot platform, performance management, productivity enhancement, vertical application</t>
  </si>
  <si>
    <t>Artificial Intelligence &amp; Machine Learning, Big Data, Internet of Things, SaaS, TMT</t>
  </si>
  <si>
    <t>246414-43T</t>
  </si>
  <si>
    <t>Circul'Egg</t>
  </si>
  <si>
    <t>Pollination Tech</t>
  </si>
  <si>
    <t>Other Consumer Durables*, Other Consumer Non-Durables, Personal Products</t>
  </si>
  <si>
    <t>Manufacturer of egg-derived products intended for animal feed, nutraceuticals food supplements, and cosmetics. The company offers to transform and enhance eggshells by preparing a wide range of products based on eggshells and egg membranes which are natural and biobased, vegetarian, and eco-designed, from the circular economy, helping pet food, nutraceutical segments with products rich in minerals and biomolecules of interest.</t>
  </si>
  <si>
    <t>Asterion, Femmes Business Angels</t>
  </si>
  <si>
    <t>animal food, egg food, egg product, food science, limestone quarry, pollination tech, pollination technology</t>
  </si>
  <si>
    <t>246613-96T</t>
  </si>
  <si>
    <t>Cynoia</t>
  </si>
  <si>
    <t>Developer of a software-as-a-service platform designed for companies to unite, optimize, and scale their business operations. The company's platform plans, creates, monitors, connects, and tracks projects, chats, docs, emails, and calendars in one place and offers a hub for instant communication, enabling businesses to increase team productivity, reduce costs, and improve employee satisfaction.</t>
  </si>
  <si>
    <t>216 Capital Ventures, Bpifrance, Fuze (Africa), United Gulf Financial Services(Mohamed Frad)</t>
  </si>
  <si>
    <t>business process automation, saas platform, seamless communication, task management, unified communications, user friendly interface, workflow management</t>
  </si>
  <si>
    <t>250398-82T</t>
  </si>
  <si>
    <t>Fineheart</t>
  </si>
  <si>
    <t>Developer of implantable cardiac devices designed to treat cardiovascular diseases. The company's device is a novel, wirelessly powered, fully implantable mechanical circulatory support device that can optimize cardiac output while preserving the heart's innate contractility, enabling patients to restore normal cardiac output and allow heart failure patients to return to a normal quality of life.</t>
  </si>
  <si>
    <t>cardiac output, cardiovascular, cardiovascular device, circulatory support device, heart disease therapy, implantables device, output management system</t>
  </si>
  <si>
    <t>246417-49T</t>
  </si>
  <si>
    <t>WeeFin</t>
  </si>
  <si>
    <t>Consulting Services (B2B), Database Software, Financial Software*, Other Financial Services</t>
  </si>
  <si>
    <t>Operator of an ESG data management platform intended to streamline sustainability reporting and compliance for financial institutions. The company offers features such as centralized data integration, customizable ESG metrics and reporting tools, real-time tracking of regulatory compliance, and automated calculations for various sustainability indicators, enabling asset managers and financial organizations to enhance their operational efficiency, improve transparency in their sustainability practices, and effectively communicate their ESG performance to stakeholders.</t>
  </si>
  <si>
    <t>Asterion, Investir &amp;+(Vincent Fauvet), IRIS (Private Equity)(Gil Doukhan), Ring Capital(Daphne Gurs)</t>
  </si>
  <si>
    <t>consulting service company, enterprise resource planning, esg data, esg model, financial consultancy, financial consulting, financial consulting firm, startup consultancy</t>
  </si>
  <si>
    <t>206456-23T</t>
  </si>
  <si>
    <t>Bpifrance(Laurent Higueret), Elaia Partners(Sofia Dahoune), Eurazeo (PAR: RF)(Antoine Zins), Idinvest Partners, Wendel Group (PAR: MF)(Victoire Laurenty)</t>
  </si>
  <si>
    <t>255317-59T</t>
  </si>
  <si>
    <t>KaryonFood</t>
  </si>
  <si>
    <t>Business/Productivity Software, Database Software*</t>
  </si>
  <si>
    <t>Developer of data management platform intended for controlled growth and enhanced field efficiency. The company's platform offers simple, concrete and dynamic dashboards as well as represents a time-saver, enabling clients to retrace the history of products and communicate it to customers.</t>
  </si>
  <si>
    <t>Finovam Gestion, Tudigo</t>
  </si>
  <si>
    <t>analytics platform, business decision support, data management, food data, inventory management, workflow optimization</t>
  </si>
  <si>
    <t>246334-51T</t>
  </si>
  <si>
    <t>Waltio</t>
  </si>
  <si>
    <t>Developer of crypto-tax management platform designed to increase cryptocurrency adoption by making crypto-tax management painless and fun for private and corporate investors. The company's platform offers features for tracking crypto portfolios, calculating and declaring their capital gains, thereby helping crypto-owners with their tax and accounting with smart tools.</t>
  </si>
  <si>
    <t>Clément Coeurdeuil(Clément Coeurdeuil), Joan Burkovic(Joan Burkovic), Julien Bouteloup(Julien Bouteloup), Owen Simonin(Owen Simonin)</t>
  </si>
  <si>
    <t>crypto tax reporting, cryptocurrency, decentralized finance, portfolio monitoring, tax management, tax management service, tax reporting</t>
  </si>
  <si>
    <t>251174-08T</t>
  </si>
  <si>
    <t>Chez Jeannette</t>
  </si>
  <si>
    <t>Elder and Disabled Care*, Other Services (B2C Non-Financial)</t>
  </si>
  <si>
    <t>Provider of help and support services intended to provide seniors with a community-centered living environment. The company offers household services, autonomy assistance services, medical appointments, accompaniment services, cultural outings, physical activities, learning courses, and festive events, enabling elderly people to remain involved in their daily lives for as long as possible and forge links by allowing them to approach the new phase of their life, surrounded and accompanied.</t>
  </si>
  <si>
    <t>Cedre</t>
  </si>
  <si>
    <t>assistance services, elderly help, help service, household service, seniors care services, support services</t>
  </si>
  <si>
    <t>246348-19T</t>
  </si>
  <si>
    <t>Karos</t>
  </si>
  <si>
    <t>Application Software, Automotive*, Other Services (B2C Non-Financial), Road</t>
  </si>
  <si>
    <t>Operator of a carpooling platform designed to connect travelers with carpooling cabs around them. The company's platform is based on a mobile application that allows users to connect, schedule, modify and manage carpooling trips, enabling users to reach their destination faster and save fuel and money.</t>
  </si>
  <si>
    <t>Aster Capital(Jean-Marc Bally), Citizen Capital, Eiffel Investment Group, European Innovation Council Fund, Guibor, Les Business Angels des Grandes Écoles, Mutuelle Assurance Commerçants et Industriels France(Erwann Berthélemé), Ring Capital(Marie-Capucine Lemetais)</t>
  </si>
  <si>
    <t>carpool app, carpooling service, ridehailing platform, rides hailing, rides pooling, shared vehicle</t>
  </si>
  <si>
    <t>Artificial Intelligence &amp; Machine Learning, Mobile, Mobility Tech, Ridesharing</t>
  </si>
  <si>
    <t>246103-93T</t>
  </si>
  <si>
    <t>Obat</t>
  </si>
  <si>
    <t>Business/Productivity Software*, Financial Software, Other Financial Services</t>
  </si>
  <si>
    <t>Developer of invoicing and payment software intended to serve small and medium enterprises in the construction industry. The company's platform specializes in estimation, project management, site monitoring and building craftsmen invoices, thereby helping clients to focus on their operational business and maximize their value proposition.</t>
  </si>
  <si>
    <t>Courtin Investment, Crédit Mutuel Innovation, Evolem, Holnest, Kima Ventures(Jean De La Rochebrochard), NCI Gestion, NewAlpha Asset Management, Truffle Capital</t>
  </si>
  <si>
    <t>enterprise resource planning, invoicing data, invoicing task, invoicing tools, payment service, payment services platform, project management, project management tool</t>
  </si>
  <si>
    <t>227845-00T</t>
  </si>
  <si>
    <t>Callyope</t>
  </si>
  <si>
    <t>Operator of a speech-based technology platform intended to monitor brain functionality. The company's platform specializes in offering natural language processing and signal processing techniques to examine the acoustic and content of patients' productions, enabling patients to improve their quality of life and decrease re-hospitalization rates.</t>
  </si>
  <si>
    <t>360 Capital, Adrien Montfort, Bpifrance, L'encephale, No Label Ventures, Snaw Ventures, Thomas Clozel(Thomas Clozel)</t>
  </si>
  <si>
    <t>brain disease treatment, healthcare services, mental health care, natural language processing, speech based technology, voice-based technology</t>
  </si>
  <si>
    <t>245985-49T</t>
  </si>
  <si>
    <t>Kikleo</t>
  </si>
  <si>
    <t>Business/Productivity Software, Other Restaurants, Hotels and Leisure*</t>
  </si>
  <si>
    <t>Developer of a food management platform intended to reduce waste in restaurants. The company's platform offers fine and detailed analysis using innovative artificial intelligence tools which helps to analyze losses in detail, enabling restaurant owners to reduce food waste and increase the performance of their restaurants.</t>
  </si>
  <si>
    <t>Good Only Ventures</t>
  </si>
  <si>
    <t>food management solutions, greenhouse gas emissions, hotels resorts, reduce food waste, restaurant analysis, sustainable use</t>
  </si>
  <si>
    <t>Artificial Intelligence &amp; Machine Learning, Climate Tech, FoodTech, Restaurant Technology, SaaS</t>
  </si>
  <si>
    <t>246072-16T</t>
  </si>
  <si>
    <t>Wealthcome</t>
  </si>
  <si>
    <t>Developer of a wealth management application designed to manage assets. The company offers a platform that centralizes assets, tracks expenses, and analyzes costs, investments, and real estate, enabling clients to take back control of their assets.</t>
  </si>
  <si>
    <t>Alexandre Lacharme(Alexandre Lacharme), Antoine Darcet(Antoine Darcet), Morgan Emmery(Morgan Emmery), Olivier Agnola(Olivier Agnola), Techno'Start</t>
  </si>
  <si>
    <t>financial aggregator, fintech api, investment model, manage assets, management application, wealth management</t>
  </si>
  <si>
    <t>Canéjan, France</t>
  </si>
  <si>
    <t>245850-85T</t>
  </si>
  <si>
    <t>Indy</t>
  </si>
  <si>
    <t>Accounting, Audit and Tax Services (B2B), Automation/Workflow Software, Financial Software*, Other Financial Services</t>
  </si>
  <si>
    <t>Developer of an accounting automation technology designed to integrate accounting and tax with professional bank accounts. The company's technology synchronizes with banks to recover all banking transactions and relies on machine learning to categorize expenses and automate tax restatements, enabling freelancers, doctors, lawyers, and architects to generate accounting without any manual input and file tax returns without any delay.</t>
  </si>
  <si>
    <t>BlackFin Capital Partners, iXO Private Equity, La Maison Partners</t>
  </si>
  <si>
    <t>accounting software, bookkeeping software, financial management system, financial technology, task automation, workflow management</t>
  </si>
  <si>
    <t>245875-87T</t>
  </si>
  <si>
    <t>RED Horticulture</t>
  </si>
  <si>
    <t>Electrical Equipment*, Other Agriculture</t>
  </si>
  <si>
    <t>Manufacturer of lighting products designed for optimizing plant growth and associated energy consumption. The company designs intelligent LED lighting technology for optimizing plant growth and reducing energy consumption in production greenhouses and laboratories, enabling farmers to optimize energy consumption while making light a genuine tool for crop management.</t>
  </si>
  <si>
    <t>BNP Paribas Corporate and Institutional Banking, Bpi, CIC, Crédit Agricole Centre France Développement, Demeter Partners, ECBF Management(Stephane Roussel), Société Générale de Promotion &amp; de Financement Immobiliers, Unigrains</t>
  </si>
  <si>
    <t>agriculture lighting, greenhouse farming, indoor farming, indoor farming components, led for plant, photobiology research, photobiology services, sustainable agriculture, sustainable agriculture practices, vertical farming</t>
  </si>
  <si>
    <t>AgTech, Climate Tech, Manufacturing</t>
  </si>
  <si>
    <t>245779-66T</t>
  </si>
  <si>
    <t>Malou</t>
  </si>
  <si>
    <t>Developer of a marketing and advertising application designed to help restaurants attract customers. The company's application offers a central tool to manage customer engagement by leveraging SEO technology by identifying strategic keywords, enabling restaurants to be visible and attractive wherever their customers make a choice.</t>
  </si>
  <si>
    <t>Bertrand Jelensperger(Bertrand Jelensperger), Bleu Capital, HenQ(Mick Mackaay), Jean-Michel Texier</t>
  </si>
  <si>
    <t>customer relationship management, digital marketing, food marketing, restaurant &amp; retail tech, restaurant and retail technology, restaurant marketing, sales &amp; operations tech, sales and operations technology, search engine optimization</t>
  </si>
  <si>
    <t>Charenton-le-Pont, France</t>
  </si>
  <si>
    <t>245781-28T</t>
  </si>
  <si>
    <t>Newheat</t>
  </si>
  <si>
    <t>Developer of solar heat plant technology designed to produce energy through solar thermal equipment. The company's solar plant infrastructure is designed, financed, built, and operates its own heat generation plants that reduce energy bills and reliance on fossil fuel energy, providing industries with solar plants to meet their requirements, are reliable, and fit the purpose of their business.</t>
  </si>
  <si>
    <t>Bpifrance, ETCHART Group, Holdheat, Noria, SWEN Capital Partners</t>
  </si>
  <si>
    <t>climate tech company, intermittent renewable energy, renewable system, renewable technology, solar energy plant, solar energy production, solar heat, solar thermal, sustainable energy, thermal equipment</t>
  </si>
  <si>
    <t>CleanTech, Climate Tech, Industrials, LOHAS &amp; Wellness</t>
  </si>
  <si>
    <t>219913-75T</t>
  </si>
  <si>
    <t>Amo (Social/Platform Software)</t>
  </si>
  <si>
    <t>Developer of a social networking platform designed to connect friends. The company's platform lets users chat in an interactive way using custom stickers, GIFs, and other attractive content, enabling users to connect and enjoy their online conversions.</t>
  </si>
  <si>
    <t>20VC, CASSIUS, Coatue Management, DST Global, New Wave VC, Origins Fund, Source Ventures (Paris), Uncommon Projects</t>
  </si>
  <si>
    <t>communication service, networking application, social app, social connection, social network app, social networking, social platform</t>
  </si>
  <si>
    <t>245612-71T</t>
  </si>
  <si>
    <t>Innerskin</t>
  </si>
  <si>
    <t>Provider of medical skincare products and treatments intended to help patients improve their skin health and appearance. The company offers a variety of treatments including laser hair removal, wrinkle reduction and skin tightening, enabling people to access personalized care performed by experienced doctors.</t>
  </si>
  <si>
    <t>Capital First Partners, Carle, Label Capital(Gaspard Sarnez)</t>
  </si>
  <si>
    <t>medical skincare, medical skincare treatment, skincare product, skincare product provider, skincare product seller, skincare product supplier, skincare products, skincare treatment, skincare treatment product, skincare treatment services</t>
  </si>
  <si>
    <t>Le Kremlin-Bicêtre, France</t>
  </si>
  <si>
    <t>220442-59T</t>
  </si>
  <si>
    <t>Inveready Asset Management</t>
  </si>
  <si>
    <t>208060-57T</t>
  </si>
  <si>
    <t>TLS Geothermics</t>
  </si>
  <si>
    <t>Geothermal Power</t>
  </si>
  <si>
    <t>Energy Infrastructure*, Energy Production</t>
  </si>
  <si>
    <t>Developer of deep geothermal projects designed for climate protection, environmental stewardship and community well-being. The company develops sustainable and resilient green energy projects to support the clean energy transition, enabling energy production companies to lean towards clean energy production.</t>
  </si>
  <si>
    <t>ADEME Investissement, Noria</t>
  </si>
  <si>
    <t>dispatchable energy sources, geothermal, geothermal energy, geothermal plant, geothermal power, geothermal project, geothermal project site, geothermal system</t>
  </si>
  <si>
    <t>252230-68T</t>
  </si>
  <si>
    <t>DIDASK</t>
  </si>
  <si>
    <t>Education and Training Services (B2B), Educational and Training Services (B2C), Educational Software*</t>
  </si>
  <si>
    <t>Developer of a cognitive science-based eLearning platform designed to offer adaptive learning. The company's platform offers soft skills e-learning modules that can be integrated into LMSs that create concrete simulation training, enabling organizations to generate suitable training frameworks on existing learning management systems.</t>
  </si>
  <si>
    <t>edtech company, edtech firm, edtech media, edtech platform, learning management system, lms system, personalized learning technology, personalized learning tool</t>
  </si>
  <si>
    <t>Artificial Intelligence &amp; Machine Learning, EdTech, Robotics and Drones</t>
  </si>
  <si>
    <t>Bagnolet, France</t>
  </si>
  <si>
    <t>245403-28T</t>
  </si>
  <si>
    <t>EODev</t>
  </si>
  <si>
    <t>Developer of a hydrogen generation technology designed to accelerate the energy transition. The company's technology offers a variety of products and services including the energy designer, hydrogen generator, navigation range extender, and other renewable hydrogen products, enabling energy sectors to get access to clean, accessible, and sustainable energy as an alternative to fossil fuels.</t>
  </si>
  <si>
    <t>CapHorn Invest, PULSE - CMA CGM Energy Fund, Siparex Group, Supernova Invest, TiLT Capital Partners</t>
  </si>
  <si>
    <t>clean fuel, energy equipment, hydrogen, hydrogen fuel, hydrogen generation equipment, hydrogen generation process, hydrogen generation system, hydrogen generation technology, hydrogen generators manufacturer, hydrogen power, hydrogen system, renewable energy</t>
  </si>
  <si>
    <t>245468-71T</t>
  </si>
  <si>
    <t>Bizz Factory, Fininco, Happy Feet Ventures, Id4 Ventures(Herve Cuviliez), Kaloma Capital, La Poste Groupe(Jessica Haue), Teampact Ventures, XAnge</t>
  </si>
  <si>
    <t>245560-15T</t>
  </si>
  <si>
    <t>Losonnante</t>
  </si>
  <si>
    <t>Electronic Equipment and Instruments, Other Commercial Products*</t>
  </si>
  <si>
    <t>Developer of a bone conduction audio terminal designed to engage listeners in an immersive, tactile auditory experience. The company offers a silent, waterproof, and screen-free alternative that enhances attention, memory, and concentration, providing a new way of perceiving sound through body interaction, ideal for cultural mediation and enhancing visitor experiences, enabling museums, festivals, tourism, urban planning, and territories to promote heritage and landscapes without generating sound conflicts.</t>
  </si>
  <si>
    <t>Bpifrance, Grenoble Angels, Les Business Angels des Grandes Écoles, Savoie Mont Blanc Angels</t>
  </si>
  <si>
    <t>audio equipment, auditory experience, bone conduction, cultural mediation, hearing product, sound diffusion</t>
  </si>
  <si>
    <t>264575-71T</t>
  </si>
  <si>
    <t>Poulpi</t>
  </si>
  <si>
    <t>Educational and Training Services (B2C)*, Other Services (B2C Non-Financial)</t>
  </si>
  <si>
    <t>Provider of child day care services based in Clichy, France. The company improves the quality of life of children by rebalancing their overall development for better inclusion at school and in society, enabling children with neurodevelopmental disorders to get a chance of school inclusion.</t>
  </si>
  <si>
    <t>Banque des Territoires, Le Fonds du Bien Commun</t>
  </si>
  <si>
    <t>child care, child education, children learning, day care, neurodevelopmental disorders, school education</t>
  </si>
  <si>
    <t>Impact Investing</t>
  </si>
  <si>
    <t>220537-99T</t>
  </si>
  <si>
    <t>Bill &amp; Melinda Gates Foundation, OCA Ventures</t>
  </si>
  <si>
    <t>246746-89T</t>
  </si>
  <si>
    <t>Veragrow</t>
  </si>
  <si>
    <t>Agricultural Chemicals*, Biotechnology, Environmental Services (B2B)</t>
  </si>
  <si>
    <t>Operator of a biotechnology company intended to recover organic waste from agriculture, livestock, or the food industry. The company offers alternative and effective biological keys to chemical fertilizers that respect the fauna and flora with revitalizing properties for the soil, enabling clients to increase yields in organic farming.</t>
  </si>
  <si>
    <t>Altarence, Beauvais Technova, Bpifrance, Credit Agricole Innove, Intellagri Capital, Lhotellier Ikos, Paris Business Angels(Patrick Mole)</t>
  </si>
  <si>
    <t>biotechnology company, biotechnology company operator, chemical fertilizers, fertilizer alternatives, land use, organic waste, organic waste material, organic waste treatment</t>
  </si>
  <si>
    <t>CleanTech, Climate Tech, Life Sciences</t>
  </si>
  <si>
    <t>Rouen, France</t>
  </si>
  <si>
    <t>266663-35T</t>
  </si>
  <si>
    <t>Benevolt</t>
  </si>
  <si>
    <t>Business/Productivity Software, Information Services (B2C)*</t>
  </si>
  <si>
    <t>Operator of a volunteering platform intended to connect individuals and organizations seeking volunteers. The company allows users to create profiles and search for opportunities along with resources for associations to post volunteer opportunities and manage volunteer relationships, enabling users to get information about events and organizations matching their interests and skills.</t>
  </si>
  <si>
    <t>communication platform, engagement application, engagement tool, social organization, volunteering service, volunteering work</t>
  </si>
  <si>
    <t>233247-97T</t>
  </si>
  <si>
    <t>Defacto (Financial Software)</t>
  </si>
  <si>
    <t>Financial Software*, Specialized Finance</t>
  </si>
  <si>
    <t>Develoepr of invoice financing platform designed to finance B2B transactions. The company's platform solves the working capital requirement, gives loans, and allows to repay when the customers pay, enabling businesses to finance any invoices offer early payment to suppliers, and automate payout and reconciliation.</t>
  </si>
  <si>
    <t>Citi Ventures, Global Founders Capital(David Sainteff), Headline(Jonathan Userovici), Motier Ventures, Northzone Ventures(Kilian Pender), Viola Credit</t>
  </si>
  <si>
    <t>commercial finance, dev tools, financing platform, fintech firm, invoice financing, loan platform, non-dilutive finance, payout automation, working capital requirement</t>
  </si>
  <si>
    <t>248975-47T</t>
  </si>
  <si>
    <t>Hiboo</t>
  </si>
  <si>
    <t>Business/Productivity Software, Electronic Equipment and Instruments*, Media and Information Services (B2B)</t>
  </si>
  <si>
    <t>Developer of IoT sensors and productivity software designed to monitor industrial assets, equipment, goods, and vehicles. The company's software measures geolocation, volume, weight, temperature, and other key European indicators, as well as its mobile application, facilitates intuitive data management and calibration of business indicators, enabling customers to improve the management of industrial physical assets.</t>
  </si>
  <si>
    <t>Citizen Capital, Citizen Capital (Arizona), Cleantech Group, Emerald Development Managers, Emerald Technology Ventures, Future Industry Ventures, ISAI, Nabtesco Technology Ventures, Redstone VC, Ring Capital, SBI Ventures Europe</t>
  </si>
  <si>
    <t>asset tracking, equipment data, equipment tracker, industrial asset monitoring, industrial equipment monitoring, iot sensors</t>
  </si>
  <si>
    <t>Advanced Manufacturing, Internet of Things, Mobile, SaaS</t>
  </si>
  <si>
    <t>247149-01T</t>
  </si>
  <si>
    <t>Lyko (Business/Productivity Software)</t>
  </si>
  <si>
    <t>Automotive, Business/Productivity Software*</t>
  </si>
  <si>
    <t>Developer of an API system designed to provide booking of mobility services. The company's platform helps to integrate the business website or mobile application with access to the distribution systems of public and private transport service providers, enabling businesses to search, contract and centralize the systems of thousands of public and private transport operators.</t>
  </si>
  <si>
    <t>AfriMobility, Bpifrance, Crédit Mutuel, Habert Dassault Finance, Spuerkeess</t>
  </si>
  <si>
    <t>api engine, api system, intermodal platform, it services firm, mobility solutions developer, mobility tech</t>
  </si>
  <si>
    <t>Mobile, Mobility Tech, SaaS</t>
  </si>
  <si>
    <t>276684-85T</t>
  </si>
  <si>
    <t>OpenClimat</t>
  </si>
  <si>
    <t>Developer of a corporate climate information platform designed to discover and analyze companies' climate action. The company provides a user-friendly interface for companies to share best practices and transparently track their carbon footprints and climate action plans, thereby enabling clients to track and compare businesses' progress toward sustainability goals.</t>
  </si>
  <si>
    <t>Climate Club (Paris), Leadership Growth Holding, Tudigo</t>
  </si>
  <si>
    <t>climate data, climate information, climate science, corporate climate action, environmental app, information platform, research service</t>
  </si>
  <si>
    <t>245277-28T</t>
  </si>
  <si>
    <t>BioSerenity</t>
  </si>
  <si>
    <t>Diagnostic Equipment, Monitoring Equipment*, Other Healthcare Technology Systems</t>
  </si>
  <si>
    <t>Developer of digitally connected devices designed to optimize the patient pathways in several chronic diseases. The company's devices are based on data retrieval and interpretation of electrophysiological signals such as electroencephalogram, electrocardiogram and polysomnography, enabling patients and physicians to remotely follow continuous electrophysiological signals in the fields of cardiology, neurology and sleep disorders.</t>
  </si>
  <si>
    <t>Jolt Capital(Jean Schmitt)</t>
  </si>
  <si>
    <t>connected healthcare, connected service, diagnostic device, eeg and ecg, electroencephalogram device, electroencephalogram monitoring, medical wearable, medical wearable device, smart wearable, wearable technology</t>
  </si>
  <si>
    <t>Digital Health, TMT, Wearables &amp; Quantified Self</t>
  </si>
  <si>
    <t>242731-45T</t>
  </si>
  <si>
    <t>Jimini</t>
  </si>
  <si>
    <t>Business/Productivity Software*, IT Consulting and Outsourcing, Legal Services (B2B)</t>
  </si>
  <si>
    <t>Developer of AI technologies designed for law firms and large companies. The company platform offers AI-Copilot that uses the power of Generative AI for its legal research, analysis, and document drafts, enabling clients unprecedented access to the law.</t>
  </si>
  <si>
    <t>Better Angle, Evolem, Galion.exe, J12 Ventures, Polytechnique Ventures(Cecile Tharaud), ZEBOX</t>
  </si>
  <si>
    <t>artificial intelligence, generative ai, information and internet, law data, legal software, legal tools, software as a services</t>
  </si>
  <si>
    <t>245266-93T</t>
  </si>
  <si>
    <t>Uzaje</t>
  </si>
  <si>
    <t>Environmental Services (B2B), Other Commercial Services*, Other Containers and Packaging</t>
  </si>
  <si>
    <t>Provider of sustainable packaging services intended to minimize carbon footprint. The company develops efficient reuse schemes and offers a sustainable alternative to single-use packaging, provides a network of cleaning centres to reduce energy and water consumption, and collects dirty packaging and delivers to clean directly at the desired location, enabling clients to have simple and concrete services to the health and ecological concerns around disposable packaging.</t>
  </si>
  <si>
    <t>Good Only Ventures, InvESS't PACA</t>
  </si>
  <si>
    <t>carbon footprint, carbon footprint offset, food production, packaging method, reusable packaging, reusable packaging product, sustainable packaging</t>
  </si>
  <si>
    <t>Neuilly-sur-Marne, France</t>
  </si>
  <si>
    <t>245251-90T</t>
  </si>
  <si>
    <t>Zadient</t>
  </si>
  <si>
    <t>General Purpose Semiconductors, Production (Semiconductors)*</t>
  </si>
  <si>
    <t>Developer of a silicon carbide designed to improve the manufacturing process of the growing power electronics industry. The company uses crystal production which improves the development of key systems for electric vehicles such as inverters and on-board chargers, enabling clients to reduce semiconductor production costs.</t>
  </si>
  <si>
    <t>Banque Populaire Rives de Paris, Blue Wonder Ventures, BNP Paribas (PAR: BNP), Bpifrance, CIC, Heraeus Group(Steffen Metzger), Innovation 2030</t>
  </si>
  <si>
    <t>semiconductor chips, semiconductor maker, semiconductor plant, semiconductor production, semiconductor technology, silicon carbide fiber</t>
  </si>
  <si>
    <t>Production (Semiconductors)</t>
  </si>
  <si>
    <t>245247-58T</t>
  </si>
  <si>
    <t>CloudFret</t>
  </si>
  <si>
    <t>Business/Productivity Software, Logistics*, Media and Information Services (B2B)</t>
  </si>
  <si>
    <t>Operator of delivery logistics and management platform designed to connect shippers to freight carriers between Europe and Africa. The company's platform leverages artificial intelligence and machine learning to search for empty truck returns heading to the same destinations allowing shippers to book their transport at a cheaper rate, enabling logistic companies to reduce their carbon footprint by maximizing the fill rate and limiting trucks' empty returns.</t>
  </si>
  <si>
    <t>AfriMobility, Azur Innovation Management, Plug and Play Tech Center, Prc Ventures</t>
  </si>
  <si>
    <t>cargo truck, freight carrier service, freight technology, freight transport, mobility data analytics, road freight, route optimization, sea freight, supply chain optimization, trucking logistics, vertical application</t>
  </si>
  <si>
    <t>Artificial Intelligence &amp; Machine Learning, Big Data, Supply Chain Tech</t>
  </si>
  <si>
    <t>245111-41T</t>
  </si>
  <si>
    <t>Biosency</t>
  </si>
  <si>
    <t>Developer of a medical device designed to monitor and prevent respiratory failures for patients. The company's device provides continuous cardio-respiratory data, which facilitates the medical prescription of respiratory assistance and home care of the patient by ensuring the measurement of their compliance, enabling patients to receive clinical managerial services for respiratory diseases.</t>
  </si>
  <si>
    <t>analytics platform, business intelligence platform, health monitor, personalized care, predictive diagnostic, remote monitoring, respiratory assistance, respiratory device, respiratory monitoring</t>
  </si>
  <si>
    <t>HealthTech, Wearables &amp; Quantified Self</t>
  </si>
  <si>
    <t>241141-42T</t>
  </si>
  <si>
    <t>DoorFeed</t>
  </si>
  <si>
    <t>Business/Productivity Software*, Financial Software, Media and Information Services (B2B)</t>
  </si>
  <si>
    <t>Developer of proprietary algorithms and analytics platforms designed to build and manage residential investment portfolios for private investors, wealth managers, and institutional investors. The company's services include deal sourcing and underwriting, asset transformation and management, and cash flow management and reporting, allowing investors to deploy capital and generate stabilized income at speed.</t>
  </si>
  <si>
    <t>Motive Partners, Seedcamp, Sprint VC, Stride.VC</t>
  </si>
  <si>
    <t>ai automation platform, artificial intelligence products, deal sourcing services, enterprise resource planning, erp, financial management system, reporting portal, residential investment, residential investment service, wealth manager</t>
  </si>
  <si>
    <t>Artificial Intelligence &amp; Machine Learning, Real Estate Technology, SaaS</t>
  </si>
  <si>
    <t>245027-26T</t>
  </si>
  <si>
    <t>Cognitive Design Systems</t>
  </si>
  <si>
    <t>Business/Productivity Software, Consulting Services (B2B), Multimedia and Design Software*</t>
  </si>
  <si>
    <t>Developer of a product design platform intended to help designers and engineers generate designs using AI. The company's platform aims to democratize design consultancy and shorten the design cycle process by optimizing design manufacturability to sketch, form plan, structure, conceptualize and making abstract dreams into reality, enabling clients to get innovative and creative products.</t>
  </si>
  <si>
    <t>DAA Capital Partners(Bertrand Mueller), Iron Hands Capital(Florent Gastaud), SpaceFounders</t>
  </si>
  <si>
    <t>ai-powered, ai-powered solutions, ai-powered system, technological solution, technological solutions, technological solutions designer</t>
  </si>
  <si>
    <t>244990-99T</t>
  </si>
  <si>
    <t>Flatsy</t>
  </si>
  <si>
    <t>Business/Productivity Software*, Media and Information Services (B2B), Real Estate Services (B2C)</t>
  </si>
  <si>
    <t>Developer of an appointment scheduling platform designed to simplify the buying, selling, and renting of property. The company's platform is a dashboard to control the progress of the visits and offers professionals the ability to entrust their visits to independent agents, enabling real estate agents to make an appointment without exchanging telephone calls and emails and monitor the visits to avoid unnecessary travel.</t>
  </si>
  <si>
    <t>Banque des Territoires(Olivier Sichel), Didier Le Menestrel(Didier Le Menestrel), NCI Gestion(Thibaut Escarras)</t>
  </si>
  <si>
    <t>appointment scheduling system, digital tools, online appointment, real estate marketing, real estate platform, rental database, rental deals, web based appointments</t>
  </si>
  <si>
    <t>248146-48T</t>
  </si>
  <si>
    <t>Praditus</t>
  </si>
  <si>
    <t>Business/Productivity Software, Educational Software*, Human Capital Services</t>
  </si>
  <si>
    <t>Developer of a talent-management platform designed to help companies and their employees to identify their talents and areas of development. The company's platform is built upon scientifically validated models in management and psychology and offers individual or group coaching, enabling clients to assist their managers in gaining awareness of their employees' strengths.</t>
  </si>
  <si>
    <t>Alclan, Antoine Houël(Antoine Houël), Philippe Plichon(Philippe Plichon), Seventure Partners</t>
  </si>
  <si>
    <t>career assessment, hr technology platform, professional training, self-discovery platform, skill assessment platform, skills development course, talent development, talent management platform</t>
  </si>
  <si>
    <t>EdTech, HR Tech, Industrials, Mobile</t>
  </si>
  <si>
    <t>245014-30T</t>
  </si>
  <si>
    <t>Upciti</t>
  </si>
  <si>
    <t>Business/Productivity Software, Electronic Equipment and Instruments*, IT Consulting and Outsourcing</t>
  </si>
  <si>
    <t>Developer of a multi-purpose sensor technology designed to provide precise and localized real-time data for cities and retailers. The company's technology characterizes and optimizes flows of goods and people for cities, territories, towns and local areas through image analysis by artificial intelligence technology, enabling local authorities to access sensor technologies to enhance the efficiency of urban systems.</t>
  </si>
  <si>
    <t>Chalfen Ventures, Demeter Partners, Innovacom (Paris), Point Nine Capital</t>
  </si>
  <si>
    <t>computer vision, intelligent sensors, iot control, sensor data, sensor technology, smart city tech, smart parking</t>
  </si>
  <si>
    <t>Artificial Intelligence &amp; Machine Learning, Internet of Things, SaaS</t>
  </si>
  <si>
    <t>244845-64T</t>
  </si>
  <si>
    <t>Numalis</t>
  </si>
  <si>
    <t>Operator of a software editor company intended to provide tools and services to make neural networks reliable and explainable. The company offers tools for validating and improving the reliability of critical calculation code and multiplying their accuracy while increasing performance, enabling clients to meet the challenges of code validation in several highly critical contexts.</t>
  </si>
  <si>
    <t>115K(Laure de Buyer), Bpifrance(Samia Belabed), DGA France, MBDA Holdings(Denis Ballet), Safran Corporate Ventures(Florent Illat)</t>
  </si>
  <si>
    <t>artificial intelligence firm, data augmentation, devops, neural networking, predictive maintenance, reliability testing, software editor</t>
  </si>
  <si>
    <t>218993-32T</t>
  </si>
  <si>
    <t>Quandela</t>
  </si>
  <si>
    <t>Electrical Equipment, Fiberoptic Equipment, Other Hardware*, Other Semiconductors</t>
  </si>
  <si>
    <t>Operator of a quantum computing platform intended to accelerate the development of quantum communication networks and optical quantum computers. The company's single-photon source device combines photonics and semiconductor quantum dots for quantum communication, computing, and sensing and permits the collection of the emitted photons with exceptional efficiency rates, enabling users with photon-based quantum computers to be achievable goals in the near term.</t>
  </si>
  <si>
    <t>Bpifrance(Adrien Muller), Crédit Mutuel Innovation(Maxence Valero), European Innovation Council Fund(Svetoslava Georgivea), Omnes Capital(Fabien Collangettes), Quantonation(Christophe Jurczak), Serena (Paris)</t>
  </si>
  <si>
    <t>photonics equipment, photonics product, photonics technology, quantum application, quantum communication, quantum computing, quantum dots</t>
  </si>
  <si>
    <t>Industrials, Nanotechnology</t>
  </si>
  <si>
    <t>244770-94T</t>
  </si>
  <si>
    <t>Flitter</t>
  </si>
  <si>
    <t>Application Software, Automotive Insurance*</t>
  </si>
  <si>
    <t>Provider of usage-based auto insurance intended to promote positive carbon impact. The company offers management of insurance contracts and reimbursements from an app-based platform and at the end of the year, it repays the remaining contributions following the reimbursement of the claims, enabling users to access a one-stop auto insurance solution.</t>
  </si>
  <si>
    <t>Adrien Montfort(Adrien Montfort), Christophe Eberlé(Christophe Eberlé), Frenchfounders, Helvetia Venture Fund(Michael Wieser), Laurent Ritter(Laurent Ritter), Purple (Paris), Stéphane Treppoz(Stéphane Treppoz)</t>
  </si>
  <si>
    <t>agent &amp; broker tech, agent and broker technology, auto insurance, automotive insurance, car insurance, distribution and intermediation, insurance app, insurance cover, insurance provider, vehicle insurance</t>
  </si>
  <si>
    <t>Automotive Insurance</t>
  </si>
  <si>
    <t>244775-62T</t>
  </si>
  <si>
    <t>Goodvest</t>
  </si>
  <si>
    <t>Developer of a fintech platform designed to democratize finances and know the exact composition of investments. The company's platform offers investment services to activate an additional level in the fight against climate change to make responsible savings and investing accessible to everyone, enabling investors and savers to manage their finances responsibly.</t>
  </si>
  <si>
    <t>AG2R La Mondiale, Arnaud Giraudon(Arnaud Giraudon), Christophe de Backer(Christophe de Backer), Polytechnique Ventures, Ring Capital</t>
  </si>
  <si>
    <t>ecological transition, financial investment advisor, fintech platform, greentech firm, insurance broker, investment advisory, investment income, life insurance, money management, retirement income, retirement savings</t>
  </si>
  <si>
    <t>244782-10T</t>
  </si>
  <si>
    <t>Hello Watt</t>
  </si>
  <si>
    <t>Developer of an energy comparison platform designed to find and compare new energy suppliers. The company's platform has a searchable database where one can find, rate, and compare local gas and electricity suppliers and receive recommendations based on individual accommodation, budget, and energy requirements, enabling customers to reduce their bills and optimize energy consumption.</t>
  </si>
  <si>
    <t>BNP Paribas (PAR: BNP), Starquest Capital</t>
  </si>
  <si>
    <t>comparison platform, energy advisor, energy comparison, energy comparison platform, energy information, energy saving platform</t>
  </si>
  <si>
    <t>CleanTech, Mobile, TMT</t>
  </si>
  <si>
    <t>247480-93T</t>
  </si>
  <si>
    <t>WeMaintain</t>
  </si>
  <si>
    <t>Series B1</t>
  </si>
  <si>
    <t>Operator of an elevator maintenance platform intended to simplify professional lift management. The company's platform provides cross-equipment data sets and real-time information to reduce costs and energy consumption and improve the performance of equipment such as lifts, escalators, fire and safety, and automatic doors, enabling owners, building managers, and occupants to maintain their elevators and reduce equipment downtime and incidents.</t>
  </si>
  <si>
    <t>Bpifrance, Eurazeo (PAR: RF)(Matthieu Bonamy), Idinvest Partners, MTR Lab(Chen Dingbang), Opera Tech Ventures, Raise Ventures, Red River West, Verve Ventures</t>
  </si>
  <si>
    <t>building operation, connected buildings, connected commercial real estate, data performance management, elevator maintenance, elevators repair, elevators servicing, hvac maintenance, lift maintenance, prescriptive maintenance</t>
  </si>
  <si>
    <t>246630-25T</t>
  </si>
  <si>
    <t>CryptoNext</t>
  </si>
  <si>
    <t>Quantum Computing, Post-Quantum Cryptography</t>
  </si>
  <si>
    <t>Business/Productivity Software*, IT Consulting and Outsourcing, Network Management Software</t>
  </si>
  <si>
    <t>Developer of quantum cryptography-based data security platform designed to make IT infrastructures resilient against quantum computers. The company provides a set of services and software products for a seamless transition to quantum-safe cryptography, and making sensitive data secure for the long term, enabling clients to protect their data from the quantum threat.</t>
  </si>
  <si>
    <t>Auriga Cyber Ventures, AXA Venture Partners, Quantonation(Olivier Tonneau)</t>
  </si>
  <si>
    <t>cryptography platform, cryptography software, cryptography technologies, cryptography technology, cybersecurity system, data protection &amp; encryption, data protection and encryption, data security, post-quantum cryptography, quantum computing, quantum cryptography, quantum research</t>
  </si>
  <si>
    <t>244622-89T</t>
  </si>
  <si>
    <t>Koyeb</t>
  </si>
  <si>
    <t>Service Mesh</t>
  </si>
  <si>
    <t>Developer of a developer-friendly serverless platform designed to deploy and run applications globally. The company's platform provides upgraded ways to run web applications, application programming interfaces and event-driven workloads across clouds with performance and a developer-oriented experience, enabling clients to get a third-generation cloud platform that leverages the power of installed infrastructure providers.</t>
  </si>
  <si>
    <t>Alexis Le-Quoc(Alexis Le-Quoc), Amirhossein Malekzadeh(Amirhossein Malekzadeh), Bertrand Diard(Bertrand Diard), Fabrice Bernhard(Fabrice Bernhard), Floriane De Maupeou(Floriane De Maupeou), Hank Vigil(Hank Vigil), ISAI, Justin Ziegler(Justin Ziegler), Marc Jalabert(Marc Jalabert), MongoDB Ventures, Philippe Besnard(Philippe Besnard), Robin Vasan(Robin Vasan), Samsung NEXT Ventures, the Raise Phiture Foundation Inc., Udi Nachmany(Udi Nachmany), Zachary Smith</t>
  </si>
  <si>
    <t>api infrastructure, continuous deployment, devops, distributed computing, dynamic scaling, edge technology, full service devops, infrastructure scaling, serverless cloud, serverless platform, service mesh, web application</t>
  </si>
  <si>
    <t>284180-95T</t>
  </si>
  <si>
    <t>C4 Ventures(Eric Boustouller)</t>
  </si>
  <si>
    <t>246553-84T</t>
  </si>
  <si>
    <t>Aupa</t>
  </si>
  <si>
    <t>Operator of a car share servicing company intended to provide affordable car services. The company offers car hiring services, enabling clients to get cars at their need without buying them.</t>
  </si>
  <si>
    <t>Herrikoa</t>
  </si>
  <si>
    <t>car hiring, car service, car service agency, car shares provider, car shares service, carsharing service</t>
  </si>
  <si>
    <t>Car-Sharing, LOHAS &amp; Wellness</t>
  </si>
  <si>
    <t>247015-45T</t>
  </si>
  <si>
    <t>auum</t>
  </si>
  <si>
    <t>Environmental Services (B2B), Other Commercial Products*</t>
  </si>
  <si>
    <t>Developer of a cup-cleaning device designed to give an alternative to disposable cups. The company's devices use a steam treatment without any chemistry for disinfection to dry and disinfect a glass along with various other services such as its care and maintenance, enabling clients to reduce the wastage of products and save money.</t>
  </si>
  <si>
    <t>Groupe SEB (PAR: SK)(Stanislas de Gramont), One Green (Paris)</t>
  </si>
  <si>
    <t>cleaning device, environmental impact, renewable product, sustainable cleaning, waste reduction, zero waste</t>
  </si>
  <si>
    <t>Chatillon, France</t>
  </si>
  <si>
    <t>246029-59T</t>
  </si>
  <si>
    <t>D-Edge</t>
  </si>
  <si>
    <t>Developer of hospitality software designed to equip a direct sales strategy. The company's software offers digital marketing expertise and provides a central reservation system, data intelligence, booking engine, connectivity hub, online reputation, search marketing, payment automation, digital media, and website creation services, enabling clients with tailor-made strategies to maximize performances.</t>
  </si>
  <si>
    <t>Binder &amp; Partners</t>
  </si>
  <si>
    <t>hospitality software, hotel management software, hotel marketing, hotel reservation system, hotel revenue management, hotel software</t>
  </si>
  <si>
    <t>245724-85T</t>
  </si>
  <si>
    <t>Dropfish</t>
  </si>
  <si>
    <t>Media and Information Services (B2B)*, Other Financial Services</t>
  </si>
  <si>
    <t>Developer of a marketing platform designed for businesses to drop personalized deals across social media. The company's services include running contests and incentivizing actions on social media and content platforms with raffles, games, and quests and increasing the performance of posts to drive more traffic, enabling brands to drive their audience towards better value events like conversions and signups.</t>
  </si>
  <si>
    <t>Sanctor Capital</t>
  </si>
  <si>
    <t>advertisement space, contested media, data sharing platform, marketing campaign, marketing strategy, personalized marketing platform, social content sharing, social media marketing</t>
  </si>
  <si>
    <t>AdTech, Cryptocurrency/Blockchain, Marketing Tech</t>
  </si>
  <si>
    <t>245066-41T</t>
  </si>
  <si>
    <t>Gara (Internet Retail)</t>
  </si>
  <si>
    <t>Operator of a gaming and comics marketplace intended to facilitate distribution everywhere on the continent. The company's platform allows to buy digital content using their mobile money, their credit card, and even with cash, without intermediaries and to support content creators and deploy content, enabling gamers to buy for the first time games and content with ease.</t>
  </si>
  <si>
    <t>Digital Africa (Paris), Fuze (Africa)</t>
  </si>
  <si>
    <t>comics marketplace, comics retailer, digital platform, gaming marketplace, gaming retail portal, mobile gaming application, online marketplace</t>
  </si>
  <si>
    <t>245054-44T</t>
  </si>
  <si>
    <t>ILEYCOM</t>
  </si>
  <si>
    <t>Information Services (B2C), Internet Retail*, Recreational Goods</t>
  </si>
  <si>
    <t>Operator of a social marketplace intended to offer products made by social entrepreneurs based in Africa. The company's marketplace has a range of products that are exclusively produced by small African entrepreneurs, artisans, and other workers, and also offers an incubation program to young social entrepreneurs, enabling African people to sell their products online in both national and international markets and develop their positive impact projects</t>
  </si>
  <si>
    <t>Bpifrance(Clémentine Cazenave), Digital Africa (Paris), Fuze (Africa), German Society for International Cooperation, Impact Partner</t>
  </si>
  <si>
    <t>incubation program, small business marketplace, social entrepreneurship, social entrepreneurship company, social marketplace, social marketplace application</t>
  </si>
  <si>
    <t>246820-51T</t>
  </si>
  <si>
    <t>PraxySante</t>
  </si>
  <si>
    <t>Enterprise Systems (Healthcare)*, Other Healthcare Technology Systems</t>
  </si>
  <si>
    <t>Developer of a healthcare application designed to improve the therapeutic monitoring of patients. The company's application uses artificial intelligence technology for medical language analysis, provides a multi-channel-web, smartphone, telephony, physical consultation, and integrated health area and medical software AI suite, enabling medical practitioners to reduce their administrative time, improve the quality of therapeutic monitoring, and accelerate the collection of data for clinical studies.</t>
  </si>
  <si>
    <t>artificial intelligence support, heathcare solution, language analysis, medical software, medical software developer, process automation</t>
  </si>
  <si>
    <t>Artificial Intelligence &amp; Machine Learning, HealthTech, Mobile, SaaS</t>
  </si>
  <si>
    <t>246163-42T</t>
  </si>
  <si>
    <t>Security Keepers</t>
  </si>
  <si>
    <t>Network Management Software*, Other Commercial Services</t>
  </si>
  <si>
    <t>Provider of cross-network security platform intended to outsource information technology and telecom management. The company specializes in the field of security and protection of network interconnections and offers a complete tool integrating software, implementation, and permanent service, enabling businesses to focus on specific aspects.</t>
  </si>
  <si>
    <t>computer networking, information technology, internet protection, security network, security service, telecom management</t>
  </si>
  <si>
    <t>250068-97T</t>
  </si>
  <si>
    <t>Vestiaire Collective</t>
  </si>
  <si>
    <t>Application Software, Information Services (B2C)*, Internet Retail</t>
  </si>
  <si>
    <t>Developer of a global resale marketplace platform designed to buy, sell, and share luxury and designer fashion. The company's platform offers a wide range of curated and verified vintage and luxury clothing, jewelry, accessories, footwear, and other products, enabling users to enjoy an exciting shopping experience.</t>
  </si>
  <si>
    <t>Eurazeo (PAR: RF)(Matthieu Baret), Guido Williams(Guido Williams)</t>
  </si>
  <si>
    <t>11th Round</t>
  </si>
  <si>
    <t>ecommerce platform, fashion resale, online shopping, pre-owned clothing, shopping portal, social shopping</t>
  </si>
  <si>
    <t>246540-43T</t>
  </si>
  <si>
    <t>Virtual Beings</t>
  </si>
  <si>
    <t>Developer of advanced behavioral engine intended to make truly immersive characters for games and the metaverse. The company's behavioral engine facilitates to use of artificial intelligence to offer people the joy of owning, interacting with, and caring for believable virtual characters, enabling customers to make virtual characters come to life.</t>
  </si>
  <si>
    <t>Akuna Capital</t>
  </si>
  <si>
    <t>ai character, ai engine, artificial character, multimedia technologies, virtual character, virtual design</t>
  </si>
  <si>
    <t>Artificial Intelligence &amp; Machine Learning, SaaS, Virtual Reality</t>
  </si>
  <si>
    <t>Angouleme, France</t>
  </si>
  <si>
    <t>266984-20T</t>
  </si>
  <si>
    <t>Cocoparks</t>
  </si>
  <si>
    <t>Business/Productivity Software, Road*</t>
  </si>
  <si>
    <t>Provider of intelligent mobility and parking management intended for optimizing urban infrastructure. The company integrates real-time data, AI-powered analytics, and seamless connectivity with existing systems with parking control, real-time on-site guidance, and analytical steering, enabling cities and businesses to enhance mobility, reduce congestion, and improve overall urban living conditions.</t>
  </si>
  <si>
    <t>Myrtus Venture</t>
  </si>
  <si>
    <t>co2 emission, data analytics, infrastructure management, parking data, proprietary technology, real time data, road management</t>
  </si>
  <si>
    <t>245431-36T</t>
  </si>
  <si>
    <t>Diamidex</t>
  </si>
  <si>
    <t>Developer of microbiological analysis devices intended to detect all targeted microorganisms in water samples. The company devices detect and quantify microorganisms of interest to enhance the accuracy of microbial contamination, enabling research labs to facilitate more rapid screening for quicker experimentation and data collection.</t>
  </si>
  <si>
    <t>PureTerra Ventures(Job Van Schelven)</t>
  </si>
  <si>
    <t>contamination detection, microbial detection, microbial screening, microbiological analysis, research tool, water quality monitoring</t>
  </si>
  <si>
    <t>245103-76T</t>
  </si>
  <si>
    <t>Womed</t>
  </si>
  <si>
    <t>Surgical Devices*, Therapeutic Devices</t>
  </si>
  <si>
    <t>Developer of medical devices designed to improve fertility and restore the uterus for pregnancy. The company's insertable device is a mechanical barrier against adhesions that protects the entire uterine cavity, after which the uterine film breaks up, dissolves, and is naturally discharged without any intervention from a healthcare professional, enabling women to reduce or prevent recurrent intrauterine adhesion formation and prevent miscarriage.</t>
  </si>
  <si>
    <t>Cantrak, IRDI Capital Investissement</t>
  </si>
  <si>
    <t>femtech company, fertility care, intrauterine device, medical device, medical implants, surgical device, women's healthcare</t>
  </si>
  <si>
    <t>FemTech</t>
  </si>
  <si>
    <t>244281-52T</t>
  </si>
  <si>
    <t>My Easy Transfer</t>
  </si>
  <si>
    <t>Developer of a money transfer platform intended to allow customers to send money when and where they want. The company's platform offers a secure money transfer service with reduced exchange fees and no additional costs while sending or receiving payments online, enabling businesses to ensure timely provision and distribution of money as per clients' choice.</t>
  </si>
  <si>
    <t>216 Capital Ventures(Dhekra Khelifi)</t>
  </si>
  <si>
    <t>bank transfer, cross-border payments, digital platform, enterprise payment, financial platform, financial services, mobile application, money transfer facility</t>
  </si>
  <si>
    <t>248393-80T</t>
  </si>
  <si>
    <t>Cocoon Space</t>
  </si>
  <si>
    <t>Buildings and Property, Media and Information Services (B2B), Other Commercial Services*</t>
  </si>
  <si>
    <t>Provider of private office rental spaces intended to make booking off-site meeting rooms easy in Paris and Lyon. The company's spaces are furnished and equipped and can be booked within minutes via a mobile application, enabling businesses, entrepreneurs, trainers, freelancers, and coaches to get autonomous space for meetings or work sessions at competitive prices.</t>
  </si>
  <si>
    <t>Crescendo Group, Newfund Management, Nexity (PAR: NXI)</t>
  </si>
  <si>
    <t>booking system, furnished rooms, meeting place, meeting rooms, meeting space rental, office rental space, workspace design, workspace model</t>
  </si>
  <si>
    <t>266119-75T</t>
  </si>
  <si>
    <t>Irregular Shapes</t>
  </si>
  <si>
    <t>Business/Productivity Software, Entertainment Software*</t>
  </si>
  <si>
    <t>Operator of a video game development studio intended to build mechanics game. The company is currently operating in stealth mode.</t>
  </si>
  <si>
    <t>game studio, stealth company, stealth market, stealth service, stealth website, video game development</t>
  </si>
  <si>
    <t>243993-07T</t>
  </si>
  <si>
    <t>AdCreative.ai</t>
  </si>
  <si>
    <t>Operator of an artificial intelligence-based advertising platform intended to generate ad creatives for clients. The company's platform offers ad creative and social media post creatives and banner generators for conversion rates, enabling clients to promote their businesses by generating more advertisements.</t>
  </si>
  <si>
    <t>Diffusion Capital Partners, Inventram(Cem Soysal)</t>
  </si>
  <si>
    <t>ad creative, advertising agency, business promotion, creative design, graphic design company, graphic design tool</t>
  </si>
  <si>
    <t>AdTech, Artificial Intelligence &amp; Machine Learning</t>
  </si>
  <si>
    <t>220626-10T</t>
  </si>
  <si>
    <t>Enterome</t>
  </si>
  <si>
    <t>Developer of pharmaceuticals and diagnostics tests designed for developing off-the-shelf, transformational cancer treatments targeting all tumor types. The company's approach generates a powerful, long-lasting immune response from the patient's own effector memory T-cells, overcoming the immune tolerance to self-antigens, integrated with research and development platform potential to deliver multiple candidates with a rapid progression, overcoming the immune tolerance to self-antigens, enabling healthcare companies to begin treatment more quickly and resulting in a higher likelihood of successful treatment.</t>
  </si>
  <si>
    <t>Leukemia &amp; Lymphoma Society, Nestlé (SWX: NESN), Primo Capital (Milano)</t>
  </si>
  <si>
    <t>adrenal cortical carcinoma, auto immune diseases, colorectal cancer, drug discovery platform, food allergies, immune cells therapy, immune modulation, immunomodulatory product, inflammatory disease, minimal residual disease</t>
  </si>
  <si>
    <t>269512-39T</t>
  </si>
  <si>
    <t>Karmine Corp</t>
  </si>
  <si>
    <t>Operator of an esports company intended to participate in video gaming competitions. The company's platform owns teams, creates content, organizes tournaments, hosts events, and sells related merchandise, enabling players to get the proper training to compete in international tier tournaments.</t>
  </si>
  <si>
    <t>Motier Ventures(Nicolas Essayan), Techmind</t>
  </si>
  <si>
    <t>competitive gaming, digital games, esports company, esports gaming organization, esports team, games operator, online games</t>
  </si>
  <si>
    <t>Esports, Gaming</t>
  </si>
  <si>
    <t>244095-58T</t>
  </si>
  <si>
    <t>Loop Dee Science</t>
  </si>
  <si>
    <t>Biotechnology, Diagnostic Equipment*</t>
  </si>
  <si>
    <t>Developer of detection kits designed to make molecular biology diagnostics accessible to people. The company uses amplification technology and the creation of tools allowing the automation of these tests and also offers genetic analysis kits allowing the detection of DNA and RNA of pathogens, enabling customers to have a technology for diagnostics in molecular biology.</t>
  </si>
  <si>
    <t>Crédit Agricole Aquitaine, GO Capital (France), Normandie Business Angels, Normandie Participations</t>
  </si>
  <si>
    <t>molecular biology diagnostics, molecular biology kits, molecular biology technology, molecular biology testing, pathogen detection device, pathogen detection mechanism, pathogen detection technology</t>
  </si>
  <si>
    <t>244027-90T</t>
  </si>
  <si>
    <t>Silbo</t>
  </si>
  <si>
    <t>Operator of a patient flow management platform intended to optimize healthcare operations. The company's platform offers support and decision-making tools for patient journeys to provide territorial management of beds, control of medical transport, and stretcher-bearers, enabling healthcare professionals to maintain management of their patients' visits through a digital platform.</t>
  </si>
  <si>
    <t>Christophe Boutin(Christophe Boutin), MBA Mutuelle, Vivalto Sante(Nicolas Bioulou)</t>
  </si>
  <si>
    <t>ambulance care, ambulance pickup, healthcare operations, hospital goods, patient flow management, patients help</t>
  </si>
  <si>
    <t>232359-67T</t>
  </si>
  <si>
    <t>Wind My Roof</t>
  </si>
  <si>
    <t>Alternative Energy Equipment*, Energy Infrastructure, Other Energy, Other Equipment</t>
  </si>
  <si>
    <t>Developer of modular roof wind turbines designed to help flat-roofed buildings exploit the potential of wind power. The company's turbines are installed on the entire edge of the roof and the wind is used to generate electricity in urban and peri-urban areas, enabling companies and communities to reduce traditional power consumption and increase their energy efficiency.</t>
  </si>
  <si>
    <t>Antoine Fuentes(Antoine Fuentes), EIT InnoEnergy, Groupe IDEC, VINCI Energies</t>
  </si>
  <si>
    <t>climate tech company, intermittent renewable energy, wind electricity, wind energy project, wind power generator, wind turbine device, wind turbine energy, wind turbine system, wind turbine tech</t>
  </si>
  <si>
    <t>250944-49T</t>
  </si>
  <si>
    <t>Croc la Vie</t>
  </si>
  <si>
    <t>Food Products, Other Commercial Services, Other Services (B2C Non-Financial)*</t>
  </si>
  <si>
    <t>Provider of tailor-made organic food catering services intended to offer healthy meals that are conceived responsibly. The company's food is cooked with ingredients from local producers around the region to ensure they are fresh and nutritious, enabling nurseries to provide children of early childhood with healthy meals.</t>
  </si>
  <si>
    <t>FDNC SFS, Finorpa</t>
  </si>
  <si>
    <t>eating habits, food catering, food delivery, food ecommerce, food products, healthy meals, meal kit, organic food</t>
  </si>
  <si>
    <t>FoodTech, LOHAS &amp; Wellness</t>
  </si>
  <si>
    <t>Templemars, France</t>
  </si>
  <si>
    <t>248143-87T</t>
  </si>
  <si>
    <t>MCE-5 Development</t>
  </si>
  <si>
    <t>Developer of a fuel-efficient gasoline engine. The company develops variable compression ratio engine blocks for car manufacturers in France.</t>
  </si>
  <si>
    <t>Genii Capital</t>
  </si>
  <si>
    <t>gasoline engine, hydrodynamic bearings, mechanical engineering</t>
  </si>
  <si>
    <t>Vaulx-en-Velin, France</t>
  </si>
  <si>
    <t>250651-36T</t>
  </si>
  <si>
    <t>Poly to poly</t>
  </si>
  <si>
    <t>Developer of a plastic recycling system designed to buy and sell recycled plastic. The company's platform analyzes and tests recycled polymers using strict safety and quality standards and supports players in the plastics industry in securing, managing, and optimizing the flow of material, enabling plastic recyclers to connect with plastic converters.</t>
  </si>
  <si>
    <t>plastic deposits, plastic industry, plastic recycling firm, plastic recycling process, plastic recycling systems, recycled resins</t>
  </si>
  <si>
    <t>243706-06T</t>
  </si>
  <si>
    <t>Wheere</t>
  </si>
  <si>
    <t>Other Communications and Networking*</t>
  </si>
  <si>
    <t>Developer of indoor and outdoor geolocation systems based in Montpellier, France. The company offers a universal service for sub-metric localization, working outdoors, indoors as well as underground wherein few antennas are installed to cover the area of localization that offers an inertial network, ultra-wideband, low range, and high accuracy GPS and GNSS, providing firefighters to locate people in high-risk situations</t>
  </si>
  <si>
    <t>Adrien Montfort(Adrien Montfort), Arnaud Frey, Blast.Club, Bpifrance, Jacques Essebag, Ocseed, Snaw Ventures, Sofilaro</t>
  </si>
  <si>
    <t>geolocation data, geolocation systems, geolocation technology, gps tracker, indoor geolocation, localization system</t>
  </si>
  <si>
    <t>247334-86T</t>
  </si>
  <si>
    <t>Aria (Financial Software)</t>
  </si>
  <si>
    <t>Developer of financial software designed to help businesses own their payment terms and grow their financial process. The company's software provides a credit infrastructure that unlocks cash on demand from corporate lenders, makes payments in a simple commodity, and matches each company's billing procedures, enabling clients to pay instantly and maintain cash flows while they grow.</t>
  </si>
  <si>
    <t>13books Capital(Michael McFadgen), Adevinta(Stefan Grabmann), Ankaa Ventures, Guillaume Princen(Guillaume Princen), Laurent Ritter(Laurent Ritter), Mark Ransford(Mark Ransford), Otium Capital, Super Capital</t>
  </si>
  <si>
    <t>commercial finance, credit infrastructure, financial services, freelancers payment service, freelancers payout platform, non-dilutive finance, online financial software, payment portal</t>
  </si>
  <si>
    <t>FinTech, Mobile</t>
  </si>
  <si>
    <t>243515-53T</t>
  </si>
  <si>
    <t>Fentech</t>
  </si>
  <si>
    <t>Developer of an artificial intelligence platform designed to provide sales forecasting. The company's platform responds to issues related to stocks and sales and offers an intuitive, reliable tool that provides different intelligent action scenarios, enabling business to make decisions and reliable forecasting.</t>
  </si>
  <si>
    <t>Bpifrance, Elaia Partners</t>
  </si>
  <si>
    <t>analytics &amp; cdps, analytics and cdps, business management, digital transformation, lean management, stock data, stock management, vertical application, web development</t>
  </si>
  <si>
    <t>244643-59T</t>
  </si>
  <si>
    <t>GenoMines</t>
  </si>
  <si>
    <t>Other Metals, Minerals and Mining*, Precious Metals and Minerals Mining</t>
  </si>
  <si>
    <t>Provider of plant-based mining services intended for sustainable mining. The company's metal hyperaccumulator plants utilize synthetic biology to enhance the natural ability of plants to absorb metals, enabling miners to increase their revenue while capturing atmospheric carbon dioxide in the process.</t>
  </si>
  <si>
    <t>Elemental Impact</t>
  </si>
  <si>
    <t>deep technology, green mining, mining and metal, mining exploration, mining site, mining trade, nickel extraction</t>
  </si>
  <si>
    <t>Other Metals, Minerals and Mining</t>
  </si>
  <si>
    <t>Le Perreux sur Marne, France</t>
  </si>
  <si>
    <t>243429-58T</t>
  </si>
  <si>
    <t>Centiloc</t>
  </si>
  <si>
    <t>Automation/Workflow Software, Business/Productivity Software, Logistics, Other Commercial Products*</t>
  </si>
  <si>
    <t>Developer of an automated inventory system designed for NFC Tags. The company's product is an automatic inventory system using NFC geolocation that is placed on the geolocation sensors which are placed directly on the top or inside of your shelves, enabling businesses to collect data and send it to a dedicated and secure server.</t>
  </si>
  <si>
    <t>Socomore</t>
  </si>
  <si>
    <t>automated inventory management, engineering service, geolocation technology, inventory system, nfc tags, wireless service</t>
  </si>
  <si>
    <t>243430-30T</t>
  </si>
  <si>
    <t>MediaClinic</t>
  </si>
  <si>
    <t>Electronic Equipment and Instruments, Other Services (B2C Non-Financial), Specialty Retail*</t>
  </si>
  <si>
    <t>Operator of local repair stores intended to offer second-hand and repair of electronic devices. The company responds to the problem of planned obsolescence of multimedia and IT products focused on the sale of refurbished devices like tablets, smartphones, and laptops, repair, IT troubleshooting, and purchase of telephone and multimedia devices, helping clients to save money, preserve the environment and extend device's lifespan.</t>
  </si>
  <si>
    <t>Marco &amp; Co</t>
  </si>
  <si>
    <t>computer repair, it devices, refurbished devices, refurbished smartphones, secondhand buy, smartphone repair</t>
  </si>
  <si>
    <t>Beaucouzé, France</t>
  </si>
  <si>
    <t>243367-66T</t>
  </si>
  <si>
    <t>Mon Petit Placement</t>
  </si>
  <si>
    <t>Developer of an online financial platform intended to improve the habits of young people in terms of savings. The company's platform provides its users with a personalized investment strategy through a simple and fun interface, enabling users to make their investment decisions and improve their savings habits.</t>
  </si>
  <si>
    <t>HUB612, La France Mutualiste</t>
  </si>
  <si>
    <t>alternative investment, financial decisions, financial education, investment platform, online investment, small investment, wealth management, wealthtech</t>
  </si>
  <si>
    <t>243417-34T</t>
  </si>
  <si>
    <t>Poppins (Healthcare Technology Systems)</t>
  </si>
  <si>
    <t>Educational Software, Other Healthcare Technology Systems*</t>
  </si>
  <si>
    <t>Developer of a learning digital therapeutic technology designed to improve cognitive function in children having learning disorders. The company's technology uses rehabilitation tool to provide interactive rhythmic games that combine concentration, motor skills, memory, and rhythm along with offering personalized activities, exercises, and interactions, enabling children suffering from dyslexia, dysphasia, and dyspraxia to improve their reading ability, and memory retention and reinforce speech therapy.</t>
  </si>
  <si>
    <t>Allianz France, BNP Paribas Développement, Eurazeo (PAR: RF), HEC Ventures, Kurma Partners, Verve Ventures</t>
  </si>
  <si>
    <t>adaptive learning, cognitive improvement, digital therapeutics, digital treatment, memory game developer, memory games, neuroscience platform, neuroscience therapy, rhythm games</t>
  </si>
  <si>
    <t>Digital Health, TMT</t>
  </si>
  <si>
    <t>243324-37T</t>
  </si>
  <si>
    <t>Albert (Paris)</t>
  </si>
  <si>
    <t>Developer of a workforce planning application designed for managers, financial controllers, transformation leaders, and business leaders. The company's platform manages business transformations by offering easy strategic planning and right-sizing capabilities through real-time collaboration, enabling organizations to import and map the workforce database.</t>
  </si>
  <si>
    <t>50 Partners, Bpifrance, Laurent Delaporte(Laurent Delaporte)</t>
  </si>
  <si>
    <t>collaborative design, financial planning solution, intelligence solution, productivity tool, skills mapping, workforce app, workforce planning</t>
  </si>
  <si>
    <t>243285-76T</t>
  </si>
  <si>
    <t>enCaps</t>
  </si>
  <si>
    <t>Developer of a universal and secure digital passport designed to prepare businesses for the upcoming European Digital Product Passport regulation. The company's platform integrates an augmented QR Code, which combines standard and proprietary codes, enabling brands and retailers to track the lifecycle of both physical and digital products from creation to end of life, offering better visibility and management of product movements and implement and manage the required traceability and documentation.</t>
  </si>
  <si>
    <t>Bpifrance, Christophe Carniel(Christophe Carniel), Pierre Ortolan(Pierre Ortolan), Regis Bonnesee(Regis Bonnesee)</t>
  </si>
  <si>
    <t>compliance tracking, digital product passport, lifecycle management, product coding, product traceability, product tracking, regulatory compliance data</t>
  </si>
  <si>
    <t>243309-07T</t>
  </si>
  <si>
    <t>Hectarea</t>
  </si>
  <si>
    <t>Other Commercial Services, Other Financial Services*</t>
  </si>
  <si>
    <t>Operator of an agricultural investment platform intended to facilitate funding for sustainable farming projects. The company offers features such as detailed project presentations, an online simulator for investment projections, and a dashboard for tracking financial returns and environmental impact, enabling individual investors to support farmers committed to eco-friendly practices while achieving stable returns on their investments in agricultural land.</t>
  </si>
  <si>
    <t>Albert d'Anthoüard(Albert d'Anthoüard), Alexis Angot(Alexis Angot), Antoine Jeanjean(Antoine Jeanjean), Cedric Bouygues(Cedric Bouygues), Clement Le Fournis(Clement Le Fournis), Fabian Langlet(Fabian Langlet), Frederic Chleffer(Frederic Chleffer), Geoffroy Vincent(Geoffroy Vincent), Guillaume Rigallaud(Guillaume Rigallaud), Jean-Sebastien Beaucamps(Jean-Sebastien Beaucamps), Leo Lemordant(Leo Lemordant), Michael David(Michael David), Pierre Maillard(Pierre Maillard), Pierre Yves Dargaud(Pierre Yves Dargaud), Pierre Zevaco(Pierre Zevaco), Pierre-Lou Dominjon(Pierre-Lou Dominjon), Samuel Nahon(Samuel Nahon), Thomas Didier(Thomas Didier), Thomas Givry(Thomas Givry)</t>
  </si>
  <si>
    <t>agricultural investment, agriculture investment, alternative investment, fintech firm, investment agent, investment model, responsible investment, sustainable finance</t>
  </si>
  <si>
    <t>Castres-gironde, France</t>
  </si>
  <si>
    <t>243443-26T</t>
  </si>
  <si>
    <t>Injectpower</t>
  </si>
  <si>
    <t>Electronic Equipment and Instruments*, Storage (IT)</t>
  </si>
  <si>
    <t>Developer of an energy storage technology and an ultra-miniature rechargeable battery designed for implantable medical devices. The company offers batteries for devices that perform continuous and autonomous monitoring of intraocular pressure for glaucoma and measure intracranial pressure and flow of intracranial fluid, enabling physicians to remotely monitor ICP and ICF flow and determine whether the shunt is obstructed.</t>
  </si>
  <si>
    <t>Bpifrance, Groupe IDEC(Patrice Lafargue)</t>
  </si>
  <si>
    <t>energy storage, energy storage design, energy storage device, energy storage firm, energy storage site, energy storage technology, energy storage unit, implantable medical devices, micro battery</t>
  </si>
  <si>
    <t>247003-75T</t>
  </si>
  <si>
    <t>Scribe (Business/Productivity Software)</t>
  </si>
  <si>
    <t>Developer of a marketing software intended to manage the team's email signatures and maintain brand consistency. The company offers modern email signature templates that can be customized to align with the brand's aesthetics add call-to-action and promotional banners to their signature, enabling clients to easily customize signature templates to promote their brand.</t>
  </si>
  <si>
    <t>Calm Company Fund</t>
  </si>
  <si>
    <t>digital signature, email signature, email signature management, marketing campaign platform, marketing channel, marketing message, signature management</t>
  </si>
  <si>
    <t>243101-80T</t>
  </si>
  <si>
    <t>Chargepoly</t>
  </si>
  <si>
    <t>Operator of electric vehicle charging stations intended to optimize the utilization rate of the infrastructure and service. The company offers technological bricks on the market, including innovations for multi-vehicle charging, depending on the needs of each fleet and calculates dynamic load planning that charges each vehicle to full power in a priority sequence, enabling clients to optimize the total cost of infrastructure for rapid return on investment.</t>
  </si>
  <si>
    <t>Fideve Groupe, Voltalia (PAR: VLTSA)</t>
  </si>
  <si>
    <t>charging station, electric fleet, electric vehicle, electric vehicle charging, energy data, ev charging, ev fast-charging station, vehicle charging</t>
  </si>
  <si>
    <t>Climate Tech, Infrastructure, Mobility Tech</t>
  </si>
  <si>
    <t>248341-78T</t>
  </si>
  <si>
    <t>Frequentiel</t>
  </si>
  <si>
    <t>Developer of a radio frequency identification (RFID) software designed to improve item traceability. The company's software utilizes vocal, barcode and wireless fidelity (WiFi) technology for production management, inventory management and transportation, enabling logistics service businesses to avail cost-effective traceability systems for their needs.</t>
  </si>
  <si>
    <t>Newfund Management</t>
  </si>
  <si>
    <t>asset tracking &amp; management, asset tracking and management, edge platform, enterprise supply chain management, identification system, inventory optimization software, iot software, production management platform, radio frequency identification, rfid chips, rfid software, rfid tags, rfid tags manufacturer, store management system, warehouse management service</t>
  </si>
  <si>
    <t>Advanced Manufacturing, Industrials, Supply Chain Tech, TMT</t>
  </si>
  <si>
    <t>Colomiers, France</t>
  </si>
  <si>
    <t>227640-97T</t>
  </si>
  <si>
    <t>INVYO</t>
  </si>
  <si>
    <t>Developer of a data management platform intended to provide business intelligence tools for private equity, venture capital, and family offices. The company's platform connects and integrates all internal and external data sources, propelling investors towards a data and tech-driven investment model to boost financial performance, enabling customers to stop wasting time searching for data on costly databases and spend more time creating value for the company.</t>
  </si>
  <si>
    <t>Accurafy4(Frédéric Caron), Inovexus Ventures(Stanislas de Villelongue), Mandalore Partners(Minh Tran), SideAngels</t>
  </si>
  <si>
    <t>artificial intelligence based, business intelligence, data analytics, data infrastructure, data integration, data pipelines, market intelligence, predictive analytics</t>
  </si>
  <si>
    <t>Artificial Intelligence &amp; Machine Learning, Big Data, FinTech</t>
  </si>
  <si>
    <t>243092-35T</t>
  </si>
  <si>
    <t>Tilak Healthcare</t>
  </si>
  <si>
    <t>Series B2</t>
  </si>
  <si>
    <t>Developer of mobile medical games designed to transform chronic disease monitoring with fun and engaging games. The company's platform offers a suite of clinically validated mobile games that help patients monitor and manage their chronic diseases in a fun and engaging way, enabling customers to improve their health outcomes and quality of life.</t>
  </si>
  <si>
    <t>Adelie, Anaxago Capital, CapHorn Invest, Elaia Partners, iBionext, Laboratoires Thea, SWEN Capital Partners, Yann Fleureau(Yann Fleureau)</t>
  </si>
  <si>
    <t>chronic disease app, chronic disease care, diagnostic therapy, digital therapeutics, digital therapeutics software, digital treatment, medical games, medical games therapy software, ophthalmology care platform, ophthalmology software</t>
  </si>
  <si>
    <t>Digital Health, Gaming, HealthTech, Mobile, TMT</t>
  </si>
  <si>
    <t>244236-70T</t>
  </si>
  <si>
    <t>MiTrust</t>
  </si>
  <si>
    <t>Application Software, Business/Productivity Software, Media and Information Services (B2B)*</t>
  </si>
  <si>
    <t>Developer of information-sharing software designed to provide personal data-sharing services. The company offers a platform to filter and share reliable personal data directly from regulated data sources like banks, telecom operators, energy suppliers, and state services to online sites, enabling customers and users to share their data securely and businesses to use this authentic data.</t>
  </si>
  <si>
    <t>Open CNP(Sarah Bouquerel)</t>
  </si>
  <si>
    <t>data sharing platform, data sharing software, data sharing tools, data usage analytics, personal data sharing, personal database, vendor compliance</t>
  </si>
  <si>
    <t>224241-31T</t>
  </si>
  <si>
    <t>echOpen</t>
  </si>
  <si>
    <t>Diagnostic Equipment*, Monitoring Equipment</t>
  </si>
  <si>
    <t>Developer of portable tri-frequency ultrasound imaging probe designed for diagnostic orientation. The company leverages the widespread availability of smartphones and tablets and offers essential capabilities, enhanced by services and artificial intelligence, enabling healthcare professionals to conduct ultrasound examinations and provide vital initial care to patients.</t>
  </si>
  <si>
    <t>Bpifrance, echOpen Invest, Financiere Tuileries Development, OxyPharma, Sensinnovat</t>
  </si>
  <si>
    <t>imaging equipment, imaging probes, medical imaging, stethoscope device, ultrasound imaging, ultrasound imaging device</t>
  </si>
  <si>
    <t>242881-12T</t>
  </si>
  <si>
    <t>Orus</t>
  </si>
  <si>
    <t>Commercial/Professional Insurance*, Financial Software</t>
  </si>
  <si>
    <t>Operator of an online insurance platform intended to offer simple, affordable, and tailored insurance to SMBs. The company's platform provides a seamless user experience to make policy modification simple with complete transparency, fraud prevention, and assistance, enabling small and medium businesses to protect premises, contents, and civil liability and focus on their operations.</t>
  </si>
  <si>
    <t>Albert Fandos(Albert Fandos), Frst Capital(Bruno Raillard), Grégoire Rastoul(Grégoire Rastoul), Notion Capital(Itxaso del Palacio), Partech(Alison Imbert), Portage(Hélène Falchier), Redstone VC, Thierry Daucourt(Thierry Daucourt), VR Ventures</t>
  </si>
  <si>
    <t>business insurance, business liability, commercial insurance, custom insurance policy, insurance platform, insurance policy online, online insurance tech, professional insurance</t>
  </si>
  <si>
    <t>242947-00T</t>
  </si>
  <si>
    <t>Stockbooking</t>
  </si>
  <si>
    <t>Business/Productivity Software*, Logistics, Media and Information Services (B2B)</t>
  </si>
  <si>
    <t>Operator of a logistics web platform intended to create a collaborative virtual warehouse and a fluid market for shared operations. The company's platform offers short- and medium-term remote storage requirements, with or without product rotation, order picking with or without associated transportation, and centralized monitoring, enabling suppliers to access their empty storage space, marketing them, and logistics services.</t>
  </si>
  <si>
    <t>centralized monitoring system, logistics chain, storage space, supply chain platform, virtual warehouse, web platform operator, web platform service</t>
  </si>
  <si>
    <t>281004-85T</t>
  </si>
  <si>
    <t>The Star</t>
  </si>
  <si>
    <t>Normandie Littoral</t>
  </si>
  <si>
    <t>stealth business, stealth company, stealth entity, stealth firm, stealth operations, stealth search, stealth website</t>
  </si>
  <si>
    <t>Port-en-Bessin-Huppain, France</t>
  </si>
  <si>
    <t>242845-30T</t>
  </si>
  <si>
    <t>Blue Equity, Béatrice Cointreau(Béatrice Cointreau), Florian Dubreuil(Florian Dubreuil), Frederic Biousse(Frederic Biousse), Groupe Galeries Lafayette, Jean Moueix(Jean Moueix), Marguerite Dassault(Marguerite Dassault)</t>
  </si>
  <si>
    <t>242794-72T</t>
  </si>
  <si>
    <t>HarfangLab</t>
  </si>
  <si>
    <t>Developer of a cloud-based threat detection and response software designed to offer real-time threat identification, threat elimination, and attack prevention. The company's software speeds up the detection, investigation, and neutralization of cyberattacks on computer terminals and servers, enabling clients to efficiently identify threats.</t>
  </si>
  <si>
    <t>Crédit Mutuel Innovation, Elaia Partners, MassMutual Ventures(Ryan Collins)</t>
  </si>
  <si>
    <t>digital investigation, endpoint detection, endpoint security, iot security, threat detection, threat detection system, threat hunting platform</t>
  </si>
  <si>
    <t>242793-91T</t>
  </si>
  <si>
    <t>Klara</t>
  </si>
  <si>
    <t>Developer of a talent management platform designed to develop employees in the companies. The company's platform offers a tool for enhancing employee skills development and deploying skill development strategies with qualified data to anticipate employees' expectations and training needs, enabling companies to enrich the employee experience, and promote, and enhance internal and external missions.</t>
  </si>
  <si>
    <t>Ankaa Ventures, SIDE Capital</t>
  </si>
  <si>
    <t>employee program, employee skills development, human resources tools, skilled employee, talent management, talent management service</t>
  </si>
  <si>
    <t>166973-32T</t>
  </si>
  <si>
    <t>AcuSurgical</t>
  </si>
  <si>
    <t>Developer of retinal microsurgery device designed to give surgeons the tools to succeed in any eye operations. The company's device is a robotic surgical assistant dedicated to the treatment of retinal diseases such as age-related macular degeneration, enabling surgeons to increase the precision of current procedures, filter tremors, and augment visualization.</t>
  </si>
  <si>
    <t>IRDI Capital Investissement, Korys Investments, Mérieux Equity Partners(Christine Demode), Supernova Invest(Pierre-Emmanuel Struyven), UI Investissement</t>
  </si>
  <si>
    <t>eye operation, medical equipment, microsurgery equipment, retinal care, retinal disease, retinal surgery, surgical device, surgical robotics</t>
  </si>
  <si>
    <t>HealthTech, Robotics and Drones</t>
  </si>
  <si>
    <t>214035-94T</t>
  </si>
  <si>
    <t>Bpifrance, Caisse d' Savings Normandy, Crédit Agricole Alpes Provence (PAR: CRAP), De Willermin, Foodara, Societe Generale Luxembourg</t>
  </si>
  <si>
    <t>242681-95T</t>
  </si>
  <si>
    <t>Mecaware</t>
  </si>
  <si>
    <t>Provider of battery recycling services intended to recover critical metals and rare earth elements. The company employs a patented process based on dynamic combinatorial chemistry to operate in a closed-loop manner while producing no effluent waste and having minimal energy requirements, enabling industries to enhance resource efficiency and reduce environmental impact.</t>
  </si>
  <si>
    <t>Crédit Agricole Création, Crédit Mutuel Innovation(Stéphane Simoncini), EIT InnoEnergy, Kreaxi(Pierre-Antoine Cognard), UI Investissement</t>
  </si>
  <si>
    <t>battery recycling, environmental impact reduction, metal extraction service, metal recovery, metal recycling company, resource management</t>
  </si>
  <si>
    <t>Bully, France</t>
  </si>
  <si>
    <t>242603-83T</t>
  </si>
  <si>
    <t>Anotherway</t>
  </si>
  <si>
    <t>Household Products*</t>
  </si>
  <si>
    <t>Provider of an eco-friendly household product intended to adopt a more ecological lifestyle in their everyday actions. The company provides a range of reusable and biodegradable products for cleaning, hygiene, and kitchen use with local manufacturing and eco-conscious materials, enabling customers to reduce waste, support local economies, and adopt environmentally responsible habits with new alternatives to single-use products.</t>
  </si>
  <si>
    <t>A Plus Finance, Banque Populaire Méditerranée, Bpifrance, France Active, InvESS't PACA</t>
  </si>
  <si>
    <t>biodegradable goods, ecology friendly, environment friendly, hygiene products, kitchen product, local manufacturing, sustainable product</t>
  </si>
  <si>
    <t>Household Products</t>
  </si>
  <si>
    <t>227257-39T</t>
  </si>
  <si>
    <t>BNP Paribas Développement, Bpifrance, EIT InnoEnergy, Groupe IDEC, Starquest Capital</t>
  </si>
  <si>
    <t>253572-76T</t>
  </si>
  <si>
    <t>MonKiloWatt</t>
  </si>
  <si>
    <t>Developer of renewable energy projects intended to provide self-sufficient low-carbon energy shelters. The company offers a photovoltaic electricity generator device that is hybridized or autonomous, transportable and deployable in less than a day and creates a convertible shelter, enabling businesses to access energy and a portable multi-purpose space.</t>
  </si>
  <si>
    <t>Antiope, CHB Invest, Formulinvest, Gmps, Solibri</t>
  </si>
  <si>
    <t>battery storage, carbon footprint analysis, carbon footprint reduction, photovoltaic generator, renewable electricity generation, renewable electricity generator</t>
  </si>
  <si>
    <t>CleanTech, Infrastructure, LOHAS &amp; Wellness</t>
  </si>
  <si>
    <t>242586-01T</t>
  </si>
  <si>
    <t>Nano Corp.</t>
  </si>
  <si>
    <t>Developer of a cybersecurity technology platform designed to create a deep, fast, and leaner protocol analysis engine. The company's platform improves cloud service providers' and telecom operators' data center visibility and monitoring capacities by developing a suite of high-performance management tools, enabling clients to get access to network monitoring tools for providing full control over all network traffic.</t>
  </si>
  <si>
    <t>CyberK1, Elaia Partners, Giesecke+Devrient Ventures(Assaf Shamia), Inovia Capital</t>
  </si>
  <si>
    <t>cybersecurity platform, data protection, data security, network detection &amp; response, network detection and response, network management, network security, threat detection, traffic analysis</t>
  </si>
  <si>
    <t>Artificial Intelligence &amp; Machine Learning, CloudTech &amp; DevOps, Cybersecurity</t>
  </si>
  <si>
    <t>242573-05T</t>
  </si>
  <si>
    <t>Scnd</t>
  </si>
  <si>
    <t>Operator of a service marketplace designed to connect vendors and customers to scale infinitely. The company's platform connects service online by connecting service receivers, providers, and administrators and offers features such as calendars and availabilities, geolocation, bookings, listings, search options, and dashboards, enabling users to manage and supervise a marketplace easily.</t>
  </si>
  <si>
    <t>42CAP(Alexander Meyer), Partech(Boris Golden)</t>
  </si>
  <si>
    <t>ecommerce personalization, e-procurement platform, marketplace search, marketplace software, online services marketplace, saas-based system, services marketplace platform</t>
  </si>
  <si>
    <t>242551-99T</t>
  </si>
  <si>
    <t>276685-57T</t>
  </si>
  <si>
    <t>241862-23T</t>
  </si>
  <si>
    <t>Chalfen Ventures, OSS Ventures, Stride.VC</t>
  </si>
  <si>
    <t>242327-62T</t>
  </si>
  <si>
    <t>Dataiads</t>
  </si>
  <si>
    <t>Developer of a cloud-based marketing software designed to help clients to build digital marketing programs in their space. The company provides an integration platform that utilizes artificial intelligence to identify their micro-segment of the user's campaign for personalized marketing and increase the performance of search, social ads or retail media campaigns by capitalizing on 1st party data, enabling brands to scale revenue and increase profits through customer acquisition and retention programs.</t>
  </si>
  <si>
    <t>Famille C Participations, Frenchfounders, Motier Ventures, Spring Invest, Vestwing</t>
  </si>
  <si>
    <t>crm, customer relationship management, ecommerce optimisation, marketing software developer, marketing software platform, marketing software services, marketing software tools, online marketing campaign, retail media campaigns</t>
  </si>
  <si>
    <t>267001-03T</t>
  </si>
  <si>
    <t>Aileen Lee(Aileen Lee), Cowboy Ventures, Jason Johnson(Jason Johnson), Myrtus Venture, Tomcat Invest</t>
  </si>
  <si>
    <t>282128-14T</t>
  </si>
  <si>
    <t>Amasisa</t>
  </si>
  <si>
    <t>Other Agriculture*</t>
  </si>
  <si>
    <t>Operator of agroecological projects designed to restore soils and biodiversity through sustainable agricultural practices. The company's platform develops agroecological, agroforestry, and forestry projects that emphasize environmental, social, and economic sustainability, while innovating to foster resilience, enhance carbon sequestration, and support the restoration of ecosystems, enabling the agricultural sector to meet contemporary food, climate, and social challenges.</t>
  </si>
  <si>
    <t>Quadia</t>
  </si>
  <si>
    <t>agricultural model, agroecological farming, biodiversity care, environmental sustainability, forestry project, permaculture design, regenerative cell, soil restoration</t>
  </si>
  <si>
    <t>AgTech, CleanTech</t>
  </si>
  <si>
    <t>251292-61T</t>
  </si>
  <si>
    <t>Appaloosa (Operating Systems Software)</t>
  </si>
  <si>
    <t>Operating Systems Software*</t>
  </si>
  <si>
    <t>Developer of mobile app and device management platform designed for managing mobile devices. The company offers distribution, management, and device management services of custom-built third-party or web apps privately for devices, enabling customers to deploy apps for both BYOD and corporate devices securely.</t>
  </si>
  <si>
    <t>device management platform, device management tool, enterprise app store, mobile application management, mobile device management, mobile security</t>
  </si>
  <si>
    <t>Operating Systems Software</t>
  </si>
  <si>
    <t>Biarritz, France</t>
  </si>
  <si>
    <t>243515-44T</t>
  </si>
  <si>
    <t>Azeoo</t>
  </si>
  <si>
    <t>Operator of a fitness management platform intended to help gym owners and trainers to develop and monetize their services. The company's platform provides nutrition tracking, fitness challenges, class planning, and intuitive gym management through sport and wellness training software, enabling clients to serve their customers anytime and anywhere.</t>
  </si>
  <si>
    <t>fitness management platform, nutrition tracking, nutritional adviser, sports software, tracking app, training software</t>
  </si>
  <si>
    <t>244191-52T</t>
  </si>
  <si>
    <t>Bastille</t>
  </si>
  <si>
    <t>Recreational Goods*</t>
  </si>
  <si>
    <t>Operator of a bicycle brand intended to offer quality cycles and bikes. The company offers a folding mechanism and comfort, enabling city dwellers to easily transport and store their bikes while enjoying the freedom of cycling.</t>
  </si>
  <si>
    <t>Eutopia</t>
  </si>
  <si>
    <t>bicycle branding, bicycle product, cycle products, cycling gear, leisure activities, transport needs</t>
  </si>
  <si>
    <t>244342-09T</t>
  </si>
  <si>
    <t>BEAVR</t>
  </si>
  <si>
    <t>Operator of a business platform intended to automate ESG compliance and its operations. The company's platform offers various services like investor reporting, preparing for certification, labeling, and CSR certifications, and offers data quality and consistency controls, enabling businesses with structured and automated data requests, integrated with its systems and communication tools.</t>
  </si>
  <si>
    <t>Aonia Ventures, Kima Ventures, Motier Ventures, Purple (Paris)</t>
  </si>
  <si>
    <t>business impact, corporate recycling, csr strategy, data collection, esg data, sustainable practices</t>
  </si>
  <si>
    <t>244657-00T</t>
  </si>
  <si>
    <t>Cook-e</t>
  </si>
  <si>
    <t>Food Service Robots &amp; Machines</t>
  </si>
  <si>
    <t>Machinery (B2B), Other Hardware*</t>
  </si>
  <si>
    <t>Operator of a robotics company intended to create a modular automated kitchen. The company's robot stores, doses, cuts, weighs, mixes, and cooks the dishes, performs heavy and repetitive tasks, reduces musculoskeletal disorders, and allows employees to focus on added-value tasks, and collaborates with the robot, providing restaurateurs with an efficient, reliable, tailor-made kitchen assistant.</t>
  </si>
  <si>
    <t>Breega, High Flyers Capital</t>
  </si>
  <si>
    <t>customized food, kitchen equipment, kitchen machine, modular kitchen, robotic kitchen, robotic platform technology</t>
  </si>
  <si>
    <t>244247-68T</t>
  </si>
  <si>
    <t>Alpha Protocol Ventures, BlackPool Finance, London Real Ventures</t>
  </si>
  <si>
    <t>244415-44T</t>
  </si>
  <si>
    <t>Daan Tech</t>
  </si>
  <si>
    <t>Electronics (B2C), Household Appliances*</t>
  </si>
  <si>
    <t>Manufacturer of dishwasher products intended to offer consumer household appliances at affordable prices. The company's product allows single persons or couples who don't have enough place can easily fit for their use at home and it reduces environmental hazards since it is made of recycled plastics, enabling customers to easily wash dishes without any stress.</t>
  </si>
  <si>
    <t>Shizen Capital</t>
  </si>
  <si>
    <t>dishwasher appliance, dishwasher cleaners, dishwasher designer, dishwasher distributor, dishwasher installation, dishwasher manufacturer</t>
  </si>
  <si>
    <t>244345-15T</t>
  </si>
  <si>
    <t>242597-17T</t>
  </si>
  <si>
    <t>Dmcc</t>
  </si>
  <si>
    <t>Developer of nutritional analysis tool designed to offer the well-being, autonomy, and health of the guests. The company helps to measure and analyze the nutrition of residents and patients on a daily basis, enabling the medical industry to gather important information aimed at preventing and combating undernutrition.</t>
  </si>
  <si>
    <t>daily nutrition, health assessment, nutrition information, nutrition management, nutritional analysis, nutritional data, nutritional needs</t>
  </si>
  <si>
    <t>214879-69T</t>
  </si>
  <si>
    <t>Easyshipping</t>
  </si>
  <si>
    <t>Application Software, Business/Productivity Software, Information Services (B2C), Logistics*</t>
  </si>
  <si>
    <t>Developer of a product delivery platform designed to provide deliveries in a simple, secure and fast way. The company's platform offers a global positioning system tracking system that provides full visibility of the delivery person at reduced costs, enabling customers to identify every movement of their delivery item.</t>
  </si>
  <si>
    <t>Normandie Business Angels, Normandie Participations(Matthieu Rabeisen)</t>
  </si>
  <si>
    <t>delivery service, gps tracking system, last mile delivery, logistics broker, logistics industry, logistics site, real time tracking, shipping process</t>
  </si>
  <si>
    <t>Mobile, SaaS, Supply Chain Tech</t>
  </si>
  <si>
    <t>242864-02T</t>
  </si>
  <si>
    <t>GEEV</t>
  </si>
  <si>
    <t>Application Software, Other Services (B2C Non-Financial), Social Content, Social/Platform Software*</t>
  </si>
  <si>
    <t>Developer of an anti-waste collaborative platform designed to donate and retrieve objects between individuals. The company's application assists in finding free objects and food items that are donated between individuals, enabling users to reduce wastage by sharing the objects that they want to get rid of.</t>
  </si>
  <si>
    <t>BNP Paribas Développement, Daphni(Pierre-Yves Meerschman), National Angel Capital Organization, Team for the Planet and Sacha Pavoine</t>
  </si>
  <si>
    <t>c2c marketplace, collaborative platform, collaborative platform operator, donating application, donating system, donation platform, donation tools</t>
  </si>
  <si>
    <t>Climate Tech, LOHAS &amp; Wellness, Mobile, SaaS, TMT</t>
  </si>
  <si>
    <t>245883-34T</t>
  </si>
  <si>
    <t>Happypal</t>
  </si>
  <si>
    <t>Operator of a management platform intended to offer employee benefits easily. The company's platform helps employers set up a personalized and ultra-modern benefits program and simplify budget management and distribution to employees, enabling businesses to get an easy interface to communicate on the initiatives and keep in touch with the teams.</t>
  </si>
  <si>
    <t>Anthemis(Marin Cauvas), EduCapital</t>
  </si>
  <si>
    <t>digital platform, employee benefit, employee benefit platform, employer branding, enterprise resource planning, human capital management, management platform, management reporting</t>
  </si>
  <si>
    <t>Saint-Mandé, France</t>
  </si>
  <si>
    <t>245902-51T</t>
  </si>
  <si>
    <t>Igyxos Biotherapeutics</t>
  </si>
  <si>
    <t>Biotechnology, Drug Discovery*, Other Healthcare Services</t>
  </si>
  <si>
    <t>Developer of pharmaceuticals and medical technologies designed to address the growing global need for improved infertility solutions for both men and women. The company specializes in identifying monoclonal antibodies that bind to and enhance the activity of gonadotropins, and hormones involved in effective reproduction, helping patients to significantly improve their activity for fertility treatments.</t>
  </si>
  <si>
    <t>Create Impact Ventures, UI Investissement(Francois Miceli)</t>
  </si>
  <si>
    <t>antibody, biologics, fertility care, fertility medication, fertility medicine, fertility treatment, human reproductive health, improve fertility, monoclonal antibody, reproductive medicine</t>
  </si>
  <si>
    <t>Nouzilly, France</t>
  </si>
  <si>
    <t>244393-21T</t>
  </si>
  <si>
    <t>Inspecto</t>
  </si>
  <si>
    <t>Operator of an analyzing platform intended to support demanding fields in the digital transformation of their quality monitoring. The company's software allows inspections, quality checking, analysis, inspection, and consolidation, enabling businesses to transform and adapt to the digital world and help them structure a reliable and secure environment.</t>
  </si>
  <si>
    <t>Advans Group</t>
  </si>
  <si>
    <t>digital solutions, inspection app, inspection data, inspection test, quality checking, quality control</t>
  </si>
  <si>
    <t>244809-37T</t>
  </si>
  <si>
    <t>Quidli</t>
  </si>
  <si>
    <t>Operator of a crypto-based micro-incentives platform intended to connect companies and workers by exchange of equity for labor. The company's platform offers to split equity using blockchain to help companies incentivize or reward any person who contributes value, enabling businesses to improve employee engagement, thus increasing the productivity and quality of work standards.</t>
  </si>
  <si>
    <t>Outlier Ventures</t>
  </si>
  <si>
    <t>blockchain fund, blockchain project, crypto platform, crypto rewards, decentralized software, equity tokenization</t>
  </si>
  <si>
    <t>244501-12T</t>
  </si>
  <si>
    <t>Blockwall Management, Financière Saint James, Frst Capital, Kima Ventures, Snaw Ventures</t>
  </si>
  <si>
    <t>208521-28T</t>
  </si>
  <si>
    <t>Standing Ovation (Food Products)</t>
  </si>
  <si>
    <t>Producer of cheese intended to develop vegan alternatives to traditional dairy products. The company uses science to create an animal-free, planet-friendly, vegan cheese that still carries the taste of the real thing and generates protein-producing microbes and feeds it with plant-based sugars in fermenters following the traditional process of cheesemaking, enabling people to get a healthier and vegan option for cheese.</t>
  </si>
  <si>
    <t>Bpifrance, Good Startup, PeakBridge</t>
  </si>
  <si>
    <t>alt-proteins, animal ag, animal agriculture, cheese food, cheese manufacturer, cheese manufacturing, dairy product, dairy products, fermented protein, food product, milk product, protein company</t>
  </si>
  <si>
    <t>215351-20T</t>
  </si>
  <si>
    <t>Epigene Labs</t>
  </si>
  <si>
    <t>Biotechnology*, Drug Discovery, Other Healthcare Technology Systems</t>
  </si>
  <si>
    <t>Developer of a biotechnology platform designed to create intelligence-augmenting services for precision oncology research and drug development. The company's platform uses algorithms, which first take into account the partner's proprietary data, and domain expertise and then feed into publicly available data which is core data and user-friendly analytics based on artificial intelligence, enabling medical researchers to have precision oncology insights and value-based rewards.</t>
  </si>
  <si>
    <t>European Innovation Council Fund, SWIMART., UI Investissement</t>
  </si>
  <si>
    <t>biopharmaceutical firm, biotechnology research, drug developer, healthcare data analytics, oncology research, precision oncology company</t>
  </si>
  <si>
    <t>Artificial Intelligence &amp; Machine Learning, Big Data, Life Sciences, Oncology</t>
  </si>
  <si>
    <t>242259-40T</t>
  </si>
  <si>
    <t>Episto</t>
  </si>
  <si>
    <t>Developer of lead generation platform designed to get genuine reviews from customers through engaging conversations. The company's platform offers hyper-targeted advertisements and conversations on messaging applications to bring clients closer to their customers and future customers by sending them questionnaires in multiple choices, open-ended, and media formats, enabling brands to target their customer base more effectively.</t>
  </si>
  <si>
    <t>GO Capital (France), Laurent Zeller, Takara Capital</t>
  </si>
  <si>
    <t>conversational data, lead generation, market research software, market study, survey questions, targeted ads</t>
  </si>
  <si>
    <t>242264-35T</t>
  </si>
  <si>
    <t>Alive Groupe</t>
  </si>
  <si>
    <t>Other Commercial Services*, Other Services (B2C Non-Financial)</t>
  </si>
  <si>
    <t>Provider of event management services intended for event organization with all required equipment. The company provides video art, sound, lighting, decoration, and electric distribution services, enabling clients to organize events at any location according to their budget, and giving them responsiveness and proximity in managing their projects.</t>
  </si>
  <si>
    <t>IDIA Capital Investissement</t>
  </si>
  <si>
    <t>audio visual equipment, equipment rental, event company, event management, event management service, events lighting, lighting equipment, sound equipment</t>
  </si>
  <si>
    <t>242225-65T</t>
  </si>
  <si>
    <t>Swish S</t>
  </si>
  <si>
    <t>Provider of electric vehicle charging management and maintenance services intended for charging station owners. The company offers design, construction, management, and maintenance of charging stations providing a turnkey approach, enabling clients to offer charging points to their employees, partners, and fleets of electric vehicles.</t>
  </si>
  <si>
    <t>RGREEN INVEST(Guillaume Ktorza)</t>
  </si>
  <si>
    <t>charging infrastructure, charging infrastructure services, charging station maintenance, charging station management, electric mobility operator, electric mobility services, electric vehicle charging, energy transition, ev charging network</t>
  </si>
  <si>
    <t>242271-19T</t>
  </si>
  <si>
    <t>Velcorex since 1828</t>
  </si>
  <si>
    <t>Other Textiles*</t>
  </si>
  <si>
    <t>Manufacturer of finishing fabrics intended to provide cotton and corduroy clothing. The company offers a variety of products, including regenerated fibers and finishing options, and prioritizes innovation and sustainability by using organically grown cotton and recycling textile waste, enabling individuals to get a variety of delicate fabric collections</t>
  </si>
  <si>
    <t>ScOp Venture Capital</t>
  </si>
  <si>
    <t>clothing goods, cotton fabrics, fabric manufacturer, manufacturing process, textile manufacturing, velvet fabrics</t>
  </si>
  <si>
    <t>Saint-Amarin, France</t>
  </si>
  <si>
    <t>242292-52T</t>
  </si>
  <si>
    <t>VIF Systems</t>
  </si>
  <si>
    <t>Electrical Equipment, Machinery (B2B)*, Other Agriculture</t>
  </si>
  <si>
    <t>Manufacturer of agricultural equipment intended for vertical agriculture in a controlled environment. The company specializes in turnkey services including hydroponic farms, vertical farms, production containers, storage cabinets, storage shelves and production farms, enabling farmers to produce food and industrial plants all year round, even on land unsuitable for agriculture.</t>
  </si>
  <si>
    <t>Limagrain</t>
  </si>
  <si>
    <t>agricultural equipment, agricultural production, hydroponic farming, indoor farming, indoor farming components, sustainable environment, vertical plant</t>
  </si>
  <si>
    <t>La Mulatière, France</t>
  </si>
  <si>
    <t>241984-90T</t>
  </si>
  <si>
    <t>Aledia</t>
  </si>
  <si>
    <t>Developer of light-emitting diode display technology designed to offer efficient, brighter, and cost-effective displays. The company's technology is based on a 3D architecture using gallium-nitride-on-silicon nanowires and uses standard silicon wafers and existing wafer-fabrication processes and tools that are used to make both mobile displays and microdisplays for augmented reality or virtual reality applications, enabling companies to use them for direct-view displays such as for smartphones, smartwatches, tablets, and laptops.</t>
  </si>
  <si>
    <t>Bpifrance(Laurent Arthaud), Braemar Energy Ventures(Donald Tappan), CEA Investissement, La French Tech Rennes St Malo, Supernova Invest</t>
  </si>
  <si>
    <t>diodes laser, display industry, display technology, led technology, led technology company, semiconductor market, silicon technology</t>
  </si>
  <si>
    <t>Industrials, Manufacturing, Virtual Reality</t>
  </si>
  <si>
    <t>Echirolles, France</t>
  </si>
  <si>
    <t>241993-27T</t>
  </si>
  <si>
    <t>OceanWings</t>
  </si>
  <si>
    <t>Business/Productivity Software, Marine*, Other Commercial Products</t>
  </si>
  <si>
    <t>Developer of wind propulsion system intended to help maritime transport. The company has designed an automated system that uses wing sail technology to reduce fuel consumption and carbon emissions of ships, enabling transporters to enhance the performance of the shipping.</t>
  </si>
  <si>
    <t>AmBank Group (KLS: 1015), Bpifrance, Colam Impact, GO Capital (France), Normandie Littoral, Normandie Participations, Ocean Zero (New York), SWEN Blue Ocean Partners(Christian Lim), SWEN Capital Partners(Christian Lim)</t>
  </si>
  <si>
    <t>carbon footprint reduction, co2 emission management, fuel saving devices, marine technology, maritime transportation, propulsion systems, shipping technology, wind propulsion technology</t>
  </si>
  <si>
    <t>242004-34T</t>
  </si>
  <si>
    <t>Urban Canopee</t>
  </si>
  <si>
    <t>Construction and Engineering*, Environmental Services (B2B), Other Commercial Products</t>
  </si>
  <si>
    <t>Developer of autonomous and connected plant canopies intended to facilitate a sustainable environment. The company specializes in the development of green canopy plants to encourage shaded areas with a low footprint to restore urban biodiversity, enabling decision-makers of the city to make urban green planning flexible.</t>
  </si>
  <si>
    <t>ARaymond</t>
  </si>
  <si>
    <t>environmental services company, green infrastructure developer, green infrastructure services, plant canopy, urban greening, water cycle management</t>
  </si>
  <si>
    <t>CleanTech, Construction Technology</t>
  </si>
  <si>
    <t>Vaires-sur-Marne, France</t>
  </si>
  <si>
    <t>225389-53T</t>
  </si>
  <si>
    <t>Atypique</t>
  </si>
  <si>
    <t>Distributors/Wholesale*, Environmental Services (B2B)</t>
  </si>
  <si>
    <t>Distributor and wholesaler of downgraded fruits and vegetables intended to reduce food waste and support French farmers. The company offers a wide range of French and organic or HVE-labeled fruits and vegetables, enabling chefs and restaurateurs to get fresh products at reasonable prices.</t>
  </si>
  <si>
    <t>Angelor, Foodara, Investir &amp;+, MakeSense</t>
  </si>
  <si>
    <t>agribusiness marketplace, agrifinance &amp; ecommerce, agrifinance and ecommerce, food ecommerce, fruit distributor, fruit wholesaler, online grocer, organic fruits, organic vegetables, vegetable distributor, vegetables dealer, vegetables wholesaler</t>
  </si>
  <si>
    <t>233485-21T</t>
  </si>
  <si>
    <t>La Taloche</t>
  </si>
  <si>
    <t>Educational and Training Services (B2C)*</t>
  </si>
  <si>
    <t>Operator of a training school intended to offer teaching on construction. The company provides technical, vocational intensive, and ultra-accelerated training, mixing digital theory and practice on campuses, and gives the keys to launching construction projects, enabling learners to create a domestic water supply and drainage network, troubleshoot a malfunction, or even assemble and connect sanitary appliances.</t>
  </si>
  <si>
    <t>Altur Investissement, Bpifrance, Christophe Courtin(Christophe Courtin), Courtin Investment, Cyril Fougères(Cyril Fougères), Gabriel-James Safar(Gabriel-James Safar), Gilles Bourcy(Gilles Bourcy), Laurent Kretz(Laurent Kretz), Philippe Mangematin(Philippe Mangematin), Vincent Macé(Vincent Macé)</t>
  </si>
  <si>
    <t>construction education, construction project, construction study, digital learning, online study, training school, training school operator</t>
  </si>
  <si>
    <t>246993-49T</t>
  </si>
  <si>
    <t>My Hospitel</t>
  </si>
  <si>
    <t>Developer of a hotel-patient management platform intended to outsource the nights of patients who do not require a medical environment to nearby hotels. The company's platform offers people undergoing treatment the comfort of a better welcome and the support of a loved one, enabling hospitals turnkey to relieve administrative staff in the management of accommodation.</t>
  </si>
  <si>
    <t>Cercle LAB, Club Holnest, Holnest</t>
  </si>
  <si>
    <t>accommodation service, healthcare space, hospital center, hotel storage, medical environment, patient management system</t>
  </si>
  <si>
    <t>257286-43T</t>
  </si>
  <si>
    <t>Qwarks</t>
  </si>
  <si>
    <t>Operator of a cryptocurrency training platform intended to help CGPs to train about cryptocurrency. The company's platform helps CGPs to integrate concerns regarding cryptocurrencies, enabling clients to get the opportunity to diversify their wealth with cryptocurrency.</t>
  </si>
  <si>
    <t>HUB612</t>
  </si>
  <si>
    <t>assets security, cryptocurrency platform, cryptocurrency trading, cryptocurrency trading app, cryptocurrency training, wealth strategy</t>
  </si>
  <si>
    <t>242057-17T</t>
  </si>
  <si>
    <t>SteerFox</t>
  </si>
  <si>
    <t>Developer of an automated advertising platform designed to offer traffic acquisition alternatives for e-commerce sites. The company's platform offers a cloud-based interface for automatically generating campaigns based on semantic analysis and product-catalog data as well as providing consolidated performance reports of the campaigns, enabling clients to reach their target audiences to optimize performances.</t>
  </si>
  <si>
    <t>Pleiade Venture</t>
  </si>
  <si>
    <t>advertising services, automated advertising, cloud-based interface, consumer data analytics, marketing campaign, marketing strategy</t>
  </si>
  <si>
    <t>AdTech, Big Data, CloudTech &amp; DevOps, Marketing Tech, SaaS</t>
  </si>
  <si>
    <t>244568-98T</t>
  </si>
  <si>
    <t>58 Facettes</t>
  </si>
  <si>
    <t>Accessories, Luxury Goods, Specialty Retail*</t>
  </si>
  <si>
    <t>Operator of an online marketplace for vintage and second-hand jewelry intended to serve customers worldwide. The company specializes in offering the authenticity of each piece of jewelry and offers services such as resizing, repair, and estimation, enabling customers to get affordable deals at a reasonable rate.</t>
  </si>
  <si>
    <t>Business Angels 35, Diagonale Capital, NEO FOUNDERS, One Green (Paris), Super Capital</t>
  </si>
  <si>
    <t>jewelry retail, jewelry sales, jewelry shopping, luxury goods, vintage jewelry, watch retail</t>
  </si>
  <si>
    <t>241817-41T</t>
  </si>
  <si>
    <t>Abcely</t>
  </si>
  <si>
    <t>Developer of medical and pharmaceutical technologies intended for the treatment of mucosal cancers. The company's new innovative medical and pharmaceutical technologies are based on a brand new concept of immunotherapy in cancerology using active therapeutic molecules involved in the identification of compounds of biological origin as potential active ingredients to the demonstration of their activity in the human clinic, enabling healthcare professionals to treat cancer more effectively.</t>
  </si>
  <si>
    <t>Angels Santé, GO Capital (France)</t>
  </si>
  <si>
    <t>cancer treatment, iga nephropathy, immunotherapy drugs, medical technology tools, mucosal care, therapeutic molecules development</t>
  </si>
  <si>
    <t>226316-89T</t>
  </si>
  <si>
    <t>Epoca (Elder and Disabled Care)</t>
  </si>
  <si>
    <t>Elder and Disabled Care*, Other Healthcare Services</t>
  </si>
  <si>
    <t>Provider of home care wellness services intended for elderly people with multiple pathologies. The company aims to help hospitals, healthcare professionals, and families offer patients a personalized and tailor-made care path for consistent care coordination and medical tele-surveillance, enabling caregivers to preserve senior patients' autonomy.</t>
  </si>
  <si>
    <t>Astorg, Elzeard, Investir &amp;+(Mari Kameyama), MakeSense, Mutuelles Impact, Orange Ventures(Mathieu de La Rochefoucauld), Ring Capital(Daphne Gurs), Siparex Group(Mari Kameyama), XAnge(Andreas Gall)</t>
  </si>
  <si>
    <t>elder care provider, rpm software, senior care, senior care provider, senior citizen care, telehealth care, telemedecine service provider, telesurveillance</t>
  </si>
  <si>
    <t>Chaumont, France</t>
  </si>
  <si>
    <t>244994-41T</t>
  </si>
  <si>
    <t>Lili.ai</t>
  </si>
  <si>
    <t>Developer of an artificial intelligence platform created for the purpose of project management on a real-time basis. The company's platform carries out automatic reporting of project monitoring meetings and anticipates future potential blockages of the project, enabling businesses to neutralize the upstream and efficiently manage the project.</t>
  </si>
  <si>
    <t>contract management software, data infrastructure, data quality tools, knowledge graphing technology, machine learning, nlp engine, nlp technology, ppm software, risk management</t>
  </si>
  <si>
    <t>Champs sur Marne, France</t>
  </si>
  <si>
    <t>241705-00T</t>
  </si>
  <si>
    <t>Atelier Materi</t>
  </si>
  <si>
    <t>Provider of French fragrance products intended to combine craftmanship with contemporary methods. The company offers perfumes that are crafted from raw materials with textured and distinctive compositions and distinct scents, enabling users to experience minimalist and contemporary olfactory signature fragrances.</t>
  </si>
  <si>
    <t>Crédit Agricole Aquitaine Expansion</t>
  </si>
  <si>
    <t>fragrance maker, french perfumes, parfum production, perfume bottles, perfume firm, perfume maker, personal care, signature fragrances</t>
  </si>
  <si>
    <t>256994-02T</t>
  </si>
  <si>
    <t>Hy24(Pierre-Etienne Franc), Mirova(Anne-Laurence Roucher)</t>
  </si>
  <si>
    <t>241687-09T</t>
  </si>
  <si>
    <t>Pitchy</t>
  </si>
  <si>
    <t>Developer of a cloud-enabled video creation software designed to help create professional interactive videos. The company's software uses graphic styles and templates to create videos by inserting texts, logos, visuals, videos, and pictures, enabling businesses to acquire new customers and increase business sales.</t>
  </si>
  <si>
    <t>Entrepreneur Invest, Isatis Capital, Seventure Partners</t>
  </si>
  <si>
    <t>computer software, customized video, email and authoring, kms, knowledge management system, personalized video, professional videos editing, video creation software, video templates</t>
  </si>
  <si>
    <t>Marketing Tech, SaaS, TMT</t>
  </si>
  <si>
    <t>242258-95T</t>
  </si>
  <si>
    <t>Qualisteo</t>
  </si>
  <si>
    <t>Business/Productivity Software, Database Software*, Electronic Equipment and Instruments, Environmental Services (B2B)</t>
  </si>
  <si>
    <t>Developer of an energy efficiency monitoring technology designed to specialize in monitoring the electrical consumption of industrial sites. The company's technology helps to audit the energy consumption of an entire building with itemization by usage, equipment, and zone as well as optimize environmental footprint and decrease electricity bills, enabling enterprises to measure and control their electricity consumption.</t>
  </si>
  <si>
    <t>Andera Partners, Enerfip, Liberset, Terra Nea</t>
  </si>
  <si>
    <t>analytics platform, building energy efficiency, built environment, business intelligence platform, consumption measurement, electronic tools, energy monitoring, energy monitoring tools, monitoring device, monitoring tools</t>
  </si>
  <si>
    <t>CleanTech, Climate Tech, Industrials, LOHAS &amp; Wellness, TMT</t>
  </si>
  <si>
    <t>241674-49T</t>
  </si>
  <si>
    <t>4.71</t>
  </si>
  <si>
    <t>Accounting, Audit and Tax Services (B2B), Automation/Workflow Software, Financial Software*</t>
  </si>
  <si>
    <t>Developer of automated accounting data generator tool designed to help accounting firms and SMEs save time. The company's production tools are used for the financial management of a company, including the management of collections, purchases, overheads, payroll and pre-accounting, enabling firms to automatically transfer their files from collection to lettering and offering tailor-made service for accountants, employees and organizations.</t>
  </si>
  <si>
    <t>Crédit Agricole Centre France Développement, UI Investissement</t>
  </si>
  <si>
    <t>account management, accounting software, accounting tools, automated accounting, automation solutions, carbon accounting software, cfo stack, data management</t>
  </si>
  <si>
    <t>241682-77T</t>
  </si>
  <si>
    <t>Retail Robotics Solutions</t>
  </si>
  <si>
    <t>Business/Productivity Software, Media and Information Services (B2B), Other Commercial Services*, Other Hardware, Software Development Applications</t>
  </si>
  <si>
    <t>Operator of a Franco-Estonian company intended to specialize in AI working solutions and software development for catering, stands among the world leaders. The company aims to revolutionize the retail industry by providing efficient and seamless payment experiences through its AI-driven solutions, enabling clients to reduce customer waiting time and get enough savings from each robot cashier.</t>
  </si>
  <si>
    <t>Ariel Investments</t>
  </si>
  <si>
    <t>ai solution, ai solutions developer, catering services, robots cashier, seamless payment, software development</t>
  </si>
  <si>
    <t>Artificial Intelligence &amp; Machine Learning, Robotics and Drones</t>
  </si>
  <si>
    <t>241645-15T</t>
  </si>
  <si>
    <t>Thinkeo</t>
  </si>
  <si>
    <t>Developer of a no-code SaaS-based platform designed to generate hyper-personalized documents. The company's platform utilizes artificial intelligence to identify and search for the relevant content, and assemble, and format the documents according to the characteristics and requirements of the file, enabling businesses to improve productivity and reduce costs.</t>
  </si>
  <si>
    <t>Apok Invest, Polymatter Ventures, SideAngels, Super Capital</t>
  </si>
  <si>
    <t>artificial intelligence, content generation, document management, improve productivity, nocode platform, reduce cost, saas product, smart content</t>
  </si>
  <si>
    <t>241579-81T</t>
  </si>
  <si>
    <t>UpSlide (Multimedia and Design Software)</t>
  </si>
  <si>
    <t>Developer of a presentation and reports creation platform designed to build brand-compliant documents. The company's platform allows the linking of tables, charts, or text, and automates summaries, sections, and appendices to structure the presentation, enabling customers to create a stacked waterfall and Marimekko charts and insert formatted and up-to-date credentials into the proposals.</t>
  </si>
  <si>
    <t>Partech(André François-Poncet)</t>
  </si>
  <si>
    <t>automation tools, content enablement, content management tool, document automation platform, document management, document workflow software, editing tool, enterprise content management, formatting tools, presentation tool, report creation, report creation tools</t>
  </si>
  <si>
    <t>241559-92T</t>
  </si>
  <si>
    <t>Angell</t>
  </si>
  <si>
    <t>Automotive*, Recreational Goods</t>
  </si>
  <si>
    <t>Manufacturer of electric bicycles intended to come up with a transformation in urban mobility experience. The company's e-bike has a rounded aluminum frame and a carbon rim, which gives it an ultra-light structure and also features an intelligent battery that is connected to an on-board computer that is directly integrated into the handlebars of the e-bike and comes up with a touch screen, in addition, to display standard information such as range, battery level for checking speed, distance traveled and air quality, enabling bikers to enjoy their ride on the electric bicycles.</t>
  </si>
  <si>
    <t>Bpifrance, CMA CGM, Jaina Capital, SEB Alliance</t>
  </si>
  <si>
    <t>e-bike developer, e-bikes manufacturer, electric bicycle product, mobility solutions, urban mobility platform, vehicle supplier</t>
  </si>
  <si>
    <t>LOHAS &amp; Wellness, Mobility Tech</t>
  </si>
  <si>
    <t>193929-67T</t>
  </si>
  <si>
    <t>Animaj</t>
  </si>
  <si>
    <t>Information Services (B2C), Movies, Music and Entertainment*, Publishing</t>
  </si>
  <si>
    <t>Operator of a media production company intended to distribute the kids' animated stories and other content. The company produces kids' entertainment content based on various universes, characters, and stories, enabling kids to get entertained, enjoy, and learn new things while watching animated content.</t>
  </si>
  <si>
    <t>Atempo Growth, Cathay Innovation, Daphni, HenQ, Kima Ventures, Left Lane Capital, Marquee Ventures, Motier Ventures, Resonance VC, Siparex Group, Techmind, XAnge</t>
  </si>
  <si>
    <t>animated content, animated film, animated stories, content consumption, entertainment facility, media company, media production, media production company, media production tool</t>
  </si>
  <si>
    <t>234179-92T</t>
  </si>
  <si>
    <t>Anka (Internet Retail)</t>
  </si>
  <si>
    <t>Business/Productivity Software, Internet Retail*</t>
  </si>
  <si>
    <t>Developer of an e-commerce platform designed to help businesses sell online. The company's platform helps to create a website with a custom domain name linked with social media marketplace channels and a single dashboard to manage orders, shipments and payments, enabling users to easily buy globally.</t>
  </si>
  <si>
    <t>Bpifrance, Digital Africa, International Finance Corporation, Proparco</t>
  </si>
  <si>
    <t>crm, customer relationship management, digital commerce, ecommerce company, ecommerce-as-a-service, marketplace development, online selling management, payment solutions, shipment app, social commerce platform</t>
  </si>
  <si>
    <t>E-Commerce, FinTech, Mobile, SaaS</t>
  </si>
  <si>
    <t>242178-13T</t>
  </si>
  <si>
    <t>Bpifrance(Samuel Waddell), GENEO Capital Entrepreneur(Delphine Jarnier), Qualium Investissement(Jacques Pancrazi), Tikehau Capital (PAR: TKO)</t>
  </si>
  <si>
    <t>241769-80T</t>
  </si>
  <si>
    <t>Via Sana</t>
  </si>
  <si>
    <t>Buildings and Property, Enterprise Systems (Healthcare), Other Healthcare Services*, Practice Management (Healthcare)</t>
  </si>
  <si>
    <t>Provider of furnished private spaces intended to support healthcare professionals. The company offers centers that have been designed for practitioners starting their activity or those seeking to break the loneliness of liberal practice by joining a community, enabling therapists to easily avail centers.</t>
  </si>
  <si>
    <t>360 Capital, Sacha Bostoni(Sacha Bostoni)</t>
  </si>
  <si>
    <t>healthcare space, housekeeping services, kitchen provider, medical space, private spaces provider, support team, therapists consultation, waiting rooms</t>
  </si>
  <si>
    <t>241734-61T</t>
  </si>
  <si>
    <t>Accenta</t>
  </si>
  <si>
    <t>Operator of a renewable energy storage platform intended to promote the decarbonization of new buildings or renovation. The company's platform combines artificial intelligence and machine learning with the inter-seasonal storage of thermal energy, to heat and cool the building with a decarbonized energy system that has a low-carbon boiler that can meet the thermal needs of the building, boosts renewable energy and recovery through storage, enabling habitats to live in a carbon-free environment by reducing energy consumption and emissions of the building and save the resources of the planet.</t>
  </si>
  <si>
    <t>Crédit Mutuel Impact(Benoit Herrmann), EREN Groupe(Pâris Mouratoglou), Made For All</t>
  </si>
  <si>
    <t>building energy efficiency, built environment, carbon free environment, decarbonized energy, energy storage platform, geoenergy product, geothermal energy, grid infrastructure, non-battery storage, zero carbon emission</t>
  </si>
  <si>
    <t>Artificial Intelligence &amp; Machine Learning, CleanTech, Climate Tech, Real Estate Technology</t>
  </si>
  <si>
    <t>241546-24T</t>
  </si>
  <si>
    <t>Resolve Stroke</t>
  </si>
  <si>
    <t>Other Devices and Supplies*</t>
  </si>
  <si>
    <t>Developer of a medical imaging technology designed to expand medical imaging and open a new area for neuro biomarkers. The company's technology widens applications for macro and microvascular imaging by improving contrast, resolution, and penetration depth of ultrasound and is also used to improve conventional ultrasound imaging that is injected into the blood flow, enabling patients to have images of micro-vessels through the human skull and in 3D in vitro.</t>
  </si>
  <si>
    <t>Bpifrance, Kima Ventures, OVNI Capital, Quantonation(Emily Meads)</t>
  </si>
  <si>
    <t>blood flow device, detection sensors, medical imaging analysis, medical imaging data, medical imaging device, medical imaging research, medical imaging system</t>
  </si>
  <si>
    <t>HealthTech, LOHAS &amp; Wellness</t>
  </si>
  <si>
    <t>241791-49T</t>
  </si>
  <si>
    <t>Ynstant</t>
  </si>
  <si>
    <t>Application Software, Automotive*, Information Services (B2C)</t>
  </si>
  <si>
    <t>Developer of a carpooling application designed to meet last-minute riding needs. The company's application provides a ride-hailing service intended to facilitate instantaneous rides for urban commuters, enabling passengers to save time and money on their daily commutes.</t>
  </si>
  <si>
    <t>Olivier Baert(Olivier Baert), Super Capital</t>
  </si>
  <si>
    <t>carpooling app, carpooling platform, carpooling service, commute app, commute service, mobility application, passenger fleet, trip planning</t>
  </si>
  <si>
    <t>Car-Sharing, Mobility Tech, Ridesharing, SaaS</t>
  </si>
  <si>
    <t>241068-16T</t>
  </si>
  <si>
    <t>Fragment (Business/Productivity Software)</t>
  </si>
  <si>
    <t>Developer of task copilot designed for operations teams to track, measure, and optimize their manual processes. The company platform offers a task management solution that helps users automate their manual processes, track their progress and identify areas for improvement, enabling operation managers to define dispatch rules and monitor every agent action and businesses of all sizes to save time, money and improve efficiency.</t>
  </si>
  <si>
    <t>business operations team, copilot software, task copilot, task management solutions, task management solutions developer, task management system</t>
  </si>
  <si>
    <t>241646-32T</t>
  </si>
  <si>
    <t>Lagoped</t>
  </si>
  <si>
    <t>Clothing*, Internet Retail</t>
  </si>
  <si>
    <t>Operator of an eco-friendly clothing brand intended to protect the mountains with eco-responsible and customizable clothing. The company's clothing is made from recycled, organic-free, and animal-free materials, enabling modern adventurers to explore the world.</t>
  </si>
  <si>
    <t>HPS Investment Partners, Vox Capital (Luxembourg)</t>
  </si>
  <si>
    <t>apparel online, clothing firm, clothing goods, organic cotton product, organic cotton yarn, retail apparel and fashion, retail apparel business</t>
  </si>
  <si>
    <t>241281-01T</t>
  </si>
  <si>
    <t>IRDI Capital Investissement, Newfund Management, Polytechnique Ventures</t>
  </si>
  <si>
    <t>226100-80T</t>
  </si>
  <si>
    <t>Verkor</t>
  </si>
  <si>
    <t>Manufacturer of battery cells intended to increase the production of low-carbon batteries to meet the growing demand for electric vehicles. The company focuses on producing low-carbon batteries with a much smaller carbon footprint than traditional batteries, which shrinks the logistics footprint including emissions, providing businesses with relatively cheap batteries and using carbon-free electricity.</t>
  </si>
  <si>
    <t>Bpifrance, Bpifrance Assurance Export, Crédit Agricole Assurances, EIT InnoEnergy(Bart de Beer), EQT Ventures(Rania Belkahia), European Investment Bank (Luxembourg), Fonds Stratégique de Participations, French Government, Macquarie Group (ASX: MQG), Meridiam, PULSE - CMA CGM Energy Fund, Renault Retail Group, SE Ventures, Sibanye-Stillwater (JSE: SSW)</t>
  </si>
  <si>
    <t>battery cells plant, battery energy, battery factory, battery manufacturer, battery material, battery storage, battery technology, electric vehicle, energy storage cell, stationary storage</t>
  </si>
  <si>
    <t>241460-20T</t>
  </si>
  <si>
    <t>Lya Protect</t>
  </si>
  <si>
    <t>Business/Productivity Software, Financial Software*, Media and Information Services (B2B)</t>
  </si>
  <si>
    <t>Developer of a brokerage platform designed to serve insurance agents and brokers with the help of digital and data technologies. The company's platform simplifies and streamlines the management of insurance and protection between the different policyholders, brokers, and insurers, enabling users to gain the opportunity to regain control of their protection and make contracts accessible.</t>
  </si>
  <si>
    <t>Kreaxi, UI Investissement</t>
  </si>
  <si>
    <t>automated information systems, customer relationship, digital platform, insurance brokers, insurance platform, multiline insurance, online insurance, saas-based tools</t>
  </si>
  <si>
    <t>InsurTech, SaaS</t>
  </si>
  <si>
    <t>244521-28T</t>
  </si>
  <si>
    <t>BabySafe Solutions</t>
  </si>
  <si>
    <t>Life and Health Insurance*</t>
  </si>
  <si>
    <t>Provider of insurance services intended for families affected by the birth of one or more children with functional, physical, and/or physiological impairments. The company has surrounded itself with a committee bringing together all the stakeholders including families, health professionals, social and paramedical actors, associations, and insurers, enabling the clients to get all the necessary support at the medical, administrative, and psychological levels.</t>
  </si>
  <si>
    <t>Karista (Paris), Sowefund</t>
  </si>
  <si>
    <t>administrative support, financial support, insurance solutions, medical aid, medical coverage, premature baby care</t>
  </si>
  <si>
    <t>Life and Health Insurance</t>
  </si>
  <si>
    <t>241041-52T</t>
  </si>
  <si>
    <t>Hyppo (Financial Software)</t>
  </si>
  <si>
    <t>Financial Software*, Real Estate Services (B2C)</t>
  </si>
  <si>
    <t>Developer of a refinancing platform intended to help homeowners unlock the value of their property. The company's platform provides homeowners with access to a variety of refinancing options, including access to cash for home improvement projects, investment in other assets, consolidated debt into a single loan, and many more, enabling homeowners to manage and develop their assets by using real estate as a financing lever.</t>
  </si>
  <si>
    <t>asset management, co-investments, property financing, real estate, real estate lending, refinancing platform</t>
  </si>
  <si>
    <t>241031-26T</t>
  </si>
  <si>
    <t>Le Petit Lunetier</t>
  </si>
  <si>
    <t>Accessories*, Specialty Retail</t>
  </si>
  <si>
    <t>Manufacturer of designer glasses intended for men and women. The company offers glasses collections in vintage and trendy designs through a direct distribution chain from factory to consumers that eliminates intermediaries and reduces the final cost, providing consumers with glasses in modern style and at an affordable price.</t>
  </si>
  <si>
    <t>Neso Brands(Bjorn Bergstrom)</t>
  </si>
  <si>
    <t>designer glass, designer sunglasses, eyewear glass, eyewear items, spectacles products, sunglasses retail</t>
  </si>
  <si>
    <t>241032-52T</t>
  </si>
  <si>
    <t>Toopi Organics</t>
  </si>
  <si>
    <t>Developer of microbiological and agricultural technology designed to transform human urine into an alternative to agricultural fertilizer. The company depollutes, recycles, transforms, enhances, and enriches human urine with microorganisms for agriculture and industrial purposes, enabling farming and the agricultural community with natural, economical, and efficient alternatives to chemical fertilizers.</t>
  </si>
  <si>
    <t>ADEME, BNP Paribas Développement, Bpifrance, Clay Capital (Singapore)(Marie-Anne Dupin-Vermersch), Edaphon, IRDI Capital Investissement, Johes, La French Tech, MAIF Impact, MakeSense, Noshaq</t>
  </si>
  <si>
    <t>ag biotech, agricultural innovation, agriculture technology, biostimulant product, biotech firm, biotechnology platform, fertilizer alternatives, fertilizer product, plant biotech, plant biotechnology</t>
  </si>
  <si>
    <t>Loupiac de la Réole, France</t>
  </si>
  <si>
    <t>241090-30T</t>
  </si>
  <si>
    <t>UPMEM</t>
  </si>
  <si>
    <t>Application Specific Semiconductors, Computers, Parts and Peripherals*, Other Hardware</t>
  </si>
  <si>
    <t>Developer of a fabless semiconductor company designed to improve the performance of data-intensive algorithms. The company's platform designs and sells an ultra-efficient processing accelerator for analytics and artificial intelligence applications in the data center and edge, Its unique processing-in-memory solution attracts top-tier global application owners and cloud players, enabling clients to compute tasks while reducing off-chip data movements through opening the path for reducing data center's energy consumption as well as its hardware footprint.</t>
  </si>
  <si>
    <t>Advans Group, C4 Ventures, European Innovation Council Fund(Svetoslava Georgivea), Partech(Reza Malekzadeh), Powerchip Semiconductor (TAI: 6770), Western Digital Capital</t>
  </si>
  <si>
    <t>big data application, data center, data infrastructure, dram memory, in-memory computing, memory chips, microprocessor chips, microprocessor designer, processor design, semiconductor chips, semiconductor company</t>
  </si>
  <si>
    <t>Artificial Intelligence &amp; Machine Learning, Big Data, TMT</t>
  </si>
  <si>
    <t>271890-73T</t>
  </si>
  <si>
    <t>Willy Anti-Gaspi</t>
  </si>
  <si>
    <t>Food Products, Internet Retail*</t>
  </si>
  <si>
    <t>Operator of an anti-waste shopping platform intended to offer organic and french products to save from waste. The company offers products directly from brands that are not going to be consumed for the wrong reasons and products for shopping without compromising on quality, enabling consumers to make real savings and regain purchasing power.</t>
  </si>
  <si>
    <t>Frédéric Trinel, Kima Ventures, Sarah Chouraqui</t>
  </si>
  <si>
    <t>anti-waste, food production, food waste &amp; traceability, food waste and traceability, organic food items, organic food product, organic product platform, organic product retail, organic shopping, organic shopping site</t>
  </si>
  <si>
    <t>Climate Tech, E-Commerce, FoodTech</t>
  </si>
  <si>
    <t>232202-08T</t>
  </si>
  <si>
    <t>Beev</t>
  </si>
  <si>
    <t>Automotive*, Environmental Services (B2B), Road</t>
  </si>
  <si>
    <t>Operator of an online automotive platform designed to facilitate the decarbonization of mobility for businesses and households The company's platform offers steps from the purchase of a vehicle to the installation of the terminals and offers features like an online signature, price transparency, and flexible payments, enabling customers to save time and money and acquire an electric vehicle and a charging station at home, in business or all types of places open to the public.</t>
  </si>
  <si>
    <t>Founders Future(Thomas Bajas), France Active Ile De France, Inovexus Ventures, Karista (Paris)(Benjamin Zerbib), Paris Region Venture Fund, SIDE Capital, Super Capital, Via ID</t>
  </si>
  <si>
    <t>car sale dealer, car sale service, electric car suggestion, electric mobility, electric vehicle car, electric vehicle product, price transparency tools</t>
  </si>
  <si>
    <t>183872-26T</t>
  </si>
  <si>
    <t>Adrien Miniatti(Adrien Miniatti), Alexandre Yazdi(Alexandre Yazdi), Blaise Matuidi(Blaise Matuidi), Creator Ventures, Diaspora Ventures, Eric Besson(Eric Besson), HSD Capital, Jean-Baptiste Hironde, Kima Ventures, Secocha Ventures, Yannick Hascoet</t>
  </si>
  <si>
    <t>241633-63T</t>
  </si>
  <si>
    <t>Predisurge</t>
  </si>
  <si>
    <t>Developer of decision-making tools designed to offer secured cardiovascular interventions. The company's platform offers to design and implant cardiovascular medical devices and the creation of patient-specific digital twins, numerical models simulating arteries and valves' biomechanical behavior. enabling physicians to care for patients more personalized and secure by providing the right data at each procedural stage, from preoperative planning to follow-up, based on our numerical simulation technology.</t>
  </si>
  <si>
    <t>Credit Agricole Lhl Capital Innovation, European Innovation Council Fund, LIFTT(Francesca Mongardi), Saint Victor Capital, UI Investissement</t>
  </si>
  <si>
    <t>biomechanical device, cardiac and heart, cardiovascular intervention, cardiovascular intervention product, cardiovascular medicine, decision making data, decision making tools</t>
  </si>
  <si>
    <t>Saint-Étienne, France</t>
  </si>
  <si>
    <t>241790-41T</t>
  </si>
  <si>
    <t>TRYGR.</t>
  </si>
  <si>
    <t>Developer of a brand promotion platform designed to monetize e-commerce websites. The company's platform gives a full view of the shoppers' data to boost a brand or product by targeting the corresponding buyer segments through direct marketing or audience extension campaigns, enabling companies to build their sponsor product offers to promote their brand partners.</t>
  </si>
  <si>
    <t>audience extensions platform, brand advertisers, brand marketing, brand promotion, direct marketing tool, monetize data</t>
  </si>
  <si>
    <t>242880-85T</t>
  </si>
  <si>
    <t>MerciYanis</t>
  </si>
  <si>
    <t>Developer of a facility management tool intended for business to manage their workplace. The company's sensors that are installed in the workplace allow employees to report problems through hand gestures, QR codes, and IoTs, enabling the business to take control to reduce incidents on the premises and optimize the employee experience.</t>
  </si>
  <si>
    <t>50 Partners, IRDI Capital Investissement, VT Carbon Partners, WinEquity</t>
  </si>
  <si>
    <t>facility management, general services, incident management, incident management tool, saas platform, work environment</t>
  </si>
  <si>
    <t>208776-16T</t>
  </si>
  <si>
    <t>Metronome (Business/Productivity Software)</t>
  </si>
  <si>
    <t>Operator of a business process management platform designed to organize work into repeatable and scalable patterns. The company's platform offers complete visibility of what is happening in the organization, controls the degree of process flexibility, and ensures that the team adheres to its internal best practices, enabling companies to be productive and fostering practices of running supply chains and operations.</t>
  </si>
  <si>
    <t>Ada Ventures, January Ventures</t>
  </si>
  <si>
    <t>artificial intelligence automation, bpm software, business management, business process automation, business process management platform, digital management tool, orchestration platform, process management tool</t>
  </si>
  <si>
    <t>Artificial Intelligence &amp; Machine Learning, SaaS, Supply Chain Tech</t>
  </si>
  <si>
    <t>246023-47T</t>
  </si>
  <si>
    <t>Smart Macadam</t>
  </si>
  <si>
    <t>Developer of digital technologies designed to facilitate the daily life of people suffering from the loss of autonomy. The company focuses on co-designs, experiments, and research and publishes digital devices, apps, and websites, enabling the disabled, the elderly, and people with reduced mobility to improve their daily lives.</t>
  </si>
  <si>
    <t>Atlantique Vendée Innovation, Boca Investissements</t>
  </si>
  <si>
    <t>automation application, elderly tech, healthcare industry, smart application, smart device, sustainable automation</t>
  </si>
  <si>
    <t>Digital Health</t>
  </si>
  <si>
    <t>235894-78T</t>
  </si>
  <si>
    <t>La Tournée</t>
  </si>
  <si>
    <t>Other Services (B2C Non-Financial), Specialty Retail*</t>
  </si>
  <si>
    <t>Operator on an e-commerce platform intended to offer drinks in returnable glass bottles. The company delivers a wide variety of drinks including dairy products, soda, beer, juice, wines, water, and more in glass bottles that can be returned for reuse by the customers, allowing customers to protect the environment from plastic pollution while saving money.</t>
  </si>
  <si>
    <t>Frst Capital, SWEN Capital Partners</t>
  </si>
  <si>
    <t>drinks bottles, drinks supplier, reusable bottles manufacturer, reusable bottles provider, sustainable drinks, sustainable ecommerce</t>
  </si>
  <si>
    <t>235293-22T</t>
  </si>
  <si>
    <t>Peoplespheres</t>
  </si>
  <si>
    <t>Developer of a human resource (HR) platform designed to connect HR and employees. The company's platform offers various features such as human resource management, administrative and human resource processes automation, and situation analysis, enabling HR managers to save time and make decisions in employee management.</t>
  </si>
  <si>
    <t>Aelis Innovation, IRDI Capital Investissement, Omnes Capital, Seventure Partners, Sofilaro, UL Invest</t>
  </si>
  <si>
    <t>employee engagement, employee experience platform, employee management, hr data, hr solutions, hr tools</t>
  </si>
  <si>
    <t>272431-99T</t>
  </si>
  <si>
    <t>AMINVEST(Amaury Mulliez)</t>
  </si>
  <si>
    <t>241600-51T</t>
  </si>
  <si>
    <t>Circle Sportswear</t>
  </si>
  <si>
    <t>Operator of a clothing platform intended to offer sportswear from recycled material. The company's platform offers various types of clothes like t-shirts, pants, shorts, leggings, and many more that are made from Tencel which is non-toxic and ecological, enabling customers to get comfortable activewear at an affordable price while helping the environment.</t>
  </si>
  <si>
    <t>Alter Equity</t>
  </si>
  <si>
    <t>clothing brand, comfortable activewear, recycled clothing, recycled material, sportswear items, sportswear producer</t>
  </si>
  <si>
    <t>253152-37T</t>
  </si>
  <si>
    <t>Hedonist labs</t>
  </si>
  <si>
    <t>Provider of innovative food supplements intended to improve the daily lives of young professionals. The company's supplements help combat the effects of a hangover and promote the elimination of toxins generated by the absorption of alcohol, enabling users to get a dietary supplement as an alternative to self-medication to help manage veisalgia.</t>
  </si>
  <si>
    <t>allergens free product, antioxidant supplements, food supplements, hydration supplements, nutraceuticals products, plant extracts products</t>
  </si>
  <si>
    <t>241870-24T</t>
  </si>
  <si>
    <t>Hoplunch</t>
  </si>
  <si>
    <t>Operator of an online food delivery platform designed to bring food from neighborhood restaurants directly to users. The company's platform lists local restaurants and menu lists on an app for users to order, enabling employees of the same company to order in different establishments and to have lunch together.</t>
  </si>
  <si>
    <t>Alsace Business Angels, Key Ventures</t>
  </si>
  <si>
    <t>food delivery service, food ecommerce, food ordering app, online food, online food delivery, online food ordering, online food ordering app, restaurant marketplace</t>
  </si>
  <si>
    <t>FoodTech, Mobile</t>
  </si>
  <si>
    <t>Oberhausbergen, France</t>
  </si>
  <si>
    <t>241973-74T</t>
  </si>
  <si>
    <t>IDECSI</t>
  </si>
  <si>
    <t>Developer of a threat detection platform designed to improve weak signals and internal risks in daily operations. The company's platform reduces false positives with a real-time alerting system by tracking, cataloging, and identifying malicious behavior in business activities, enabling firms to monitor and control their data security.</t>
  </si>
  <si>
    <t>Mosaic Ventures</t>
  </si>
  <si>
    <t>application security, cloud security service, cloud security tool, data access governance, detection technology, digital security platform, email security system, web application protection</t>
  </si>
  <si>
    <t>186365-44T</t>
  </si>
  <si>
    <t>Kajou</t>
  </si>
  <si>
    <t>Information Services (B2C), Storage (IT)*</t>
  </si>
  <si>
    <t>Manufacturer of memory cards intended to provide digital content to populations with little or no internet connection. The company manufactures memory cards that can store multimedia files and give access to thousands of preloaded content including education, health, agriculture, and entrepreneurship without requiring any internet connection, enabling users to easily share their content with others.</t>
  </si>
  <si>
    <t>Blue Parasol Investments, Colam Impact, Hippolyte Capital, Phitrust Partenaires, Schneider Electric (Electrical Equipment) (PAR: SU)</t>
  </si>
  <si>
    <t>data protection, data sharing, file sharing, information sharing, media content, storage accessories</t>
  </si>
  <si>
    <t>241135-75T</t>
  </si>
  <si>
    <t>Modjo</t>
  </si>
  <si>
    <t>Developer of cloud-based performance and conversational software designed to optimize sales team performance. The company's software tool captures and analyzes every customer interaction and delivers insights at scale, enabling revenue teams to make decisions based on data instead of opinions and convert opportunities with conversational analytics.</t>
  </si>
  <si>
    <t>Burda Principal Investments</t>
  </si>
  <si>
    <t>business productivity, conversation analytics software, conversation intelligence platform, conversation software, conversational analytics services, crm, customer relationship management, team performance</t>
  </si>
  <si>
    <t>233286-67T</t>
  </si>
  <si>
    <t>Qobra</t>
  </si>
  <si>
    <t>Developer a sales compensation platform designed to automate the calculation, sharing, and validation of variables for salespeople. The company's software helps sync commission data in real time, manage disputes, and control approval workflows, enabling sales teams to predict future revenue based on a compensation plan.</t>
  </si>
  <si>
    <t>Breega, Singular., The User Syndicate</t>
  </si>
  <si>
    <t>sales compensation, sales compensation management, sales force automation, sales force management, sales force planning, sales incentive</t>
  </si>
  <si>
    <t>241738-66T</t>
  </si>
  <si>
    <t>Starton</t>
  </si>
  <si>
    <t>Developer of an application programming interface designed to connect any application to blockchain technology. The company's platform offers blockchain mass adoption by making the technology simple and also offers tools to empower developers to build blockchain-based applications at scale, enabling developers to make blockchain technology more accessible.</t>
  </si>
  <si>
    <t>Cathay Innovation, Purple (Paris)</t>
  </si>
  <si>
    <t>blockchain api, blockchain framework, blockchain integration, crypto assets, defi application, distributed network, smart contracts, transaction system</t>
  </si>
  <si>
    <t>234966-43T</t>
  </si>
  <si>
    <t>Stimunity</t>
  </si>
  <si>
    <t>Operator of a biotechnology company intended to develop STING agonists in cancer. The company's technology provides a biological approach that encapsulates endogenous STING-activating molecules in a virus-like particle, offering medical practitioners a drug that activates the innate immune system and enhances T-cell response against tumor cells with low immunogenicity.</t>
  </si>
  <si>
    <t>Portage Biotech (NAS: PRTG)</t>
  </si>
  <si>
    <t>cancer immunotherapy, cancer immunotherapy company, cancer immunotherapy product, immune system stimulation, immuno-oncology therapy</t>
  </si>
  <si>
    <t>241977-88T</t>
  </si>
  <si>
    <t>Upstream Labs</t>
  </si>
  <si>
    <t>Developer of a messaging application designed to facilitate team communication. The company's application simplifies organizing team conversations, offers team context, and manages thread summaries and due dates, enabling teams to stay connected and make decisions effectively.</t>
  </si>
  <si>
    <t>Connect Ventures (UK), Kima Ventures</t>
  </si>
  <si>
    <t>communication platform, conversation platform, inbox management, structured communications, team collaboration tool, team communication</t>
  </si>
  <si>
    <t>244430-65T</t>
  </si>
  <si>
    <t>Groupe EverWatt</t>
  </si>
  <si>
    <t>Operator of a decentralized renewable energy company intended to provide energy transition and decarbonization of territories. The company provides strategic advice, design, and engineering studies, supervises the completion and implementation of projects, and ensures operation and maintenance to accelerate the energy transition of territories, enabling communities, businesses, and individuals to reduce energy consumption and support carbon neutrality.</t>
  </si>
  <si>
    <t>TempoCap, Transition Evergreen</t>
  </si>
  <si>
    <t>carbon emission, carbon neutrality, energy development, energy storage, energy transition, green hydrogen, intermittent renewable energy, renewable energy, solar photovoltaic</t>
  </si>
  <si>
    <t>235009-09T</t>
  </si>
  <si>
    <t>Teale</t>
  </si>
  <si>
    <t>Other Healthcare Services*, Other Healthcare Technology Systems</t>
  </si>
  <si>
    <t>Operator of a mental health platform intended to help people take care of subconscious well-being. The company provides individual support by conducting collective workshops in the workspace based on the identified needs, for a more impactful mental health initiative, enabling employees to map and follow their state of psychic strength and get a personalized digital program based on their needs.</t>
  </si>
  <si>
    <t>Alter Equity(Fanny Picard), Bpifrance(Véronique Jacq), Evolem, ISAI</t>
  </si>
  <si>
    <t>behavioral health, health management, mental care software, mental development, mental fitness, mental health app, mental health company, telatherapy, telehealth</t>
  </si>
  <si>
    <t>Digital Health, HealthTech, HR Tech</t>
  </si>
  <si>
    <t>234905-23T</t>
  </si>
  <si>
    <t>Dattak</t>
  </si>
  <si>
    <t>Commercial/Professional Insurance*</t>
  </si>
  <si>
    <t>Provider of cyber insurance services intended to help insurance brokers provide the best resolutions to clients. The company offers cyber insurance resolutions for veterinary specialists emergency services and small and medium-sized enterprises by integrating cybersecurity technologies, enabling businesses to reduce risk.</t>
  </si>
  <si>
    <t>Bpifrance, Breega, Siparex Group</t>
  </si>
  <si>
    <t>commercial insurance, coverage option, cyber insurance, cyber security, insurance broker, managed security services, network security, risk assessment, security operations</t>
  </si>
  <si>
    <t>234942-67T</t>
  </si>
  <si>
    <t>Diagrams Technologies</t>
  </si>
  <si>
    <t>Developer of a predictive maintenance platform designed to optimize industrial performances through data analysis. The company's platform leverages existing data from machines and supervision systems through its artificial intelligence-based technology to build predictive models and deliver insights to maintenance teams, enabling clients to prevent equipment failures, avoid production downtime, and avail maintenance strategies.</t>
  </si>
  <si>
    <t>Groupe Ponticelli Frères</t>
  </si>
  <si>
    <t>data analysis engine, data analysis firm, industrial data, industrial engineering, predictive analysis, predictive maintenance</t>
  </si>
  <si>
    <t>234975-52T</t>
  </si>
  <si>
    <t>Les Halles de la Transition</t>
  </si>
  <si>
    <t>Environmental Services (B2B)*, Social Content</t>
  </si>
  <si>
    <t>Operator of an environmental and social issues platform intended to learn about, connect with, and take action on sustainability issues. The company offers a variety of events, workshops, and training, as well as a marketplace for sustainable products and services, enabling individuals and organizations to make more sustainable choices and contribute to the transition to a more sustainable future.</t>
  </si>
  <si>
    <t>IéS - Initiatives pour une Économie Solidaire</t>
  </si>
  <si>
    <t>educational workshop, environmental issues, sustainability issues, sustainability platform, sustainable product, sustainable services</t>
  </si>
  <si>
    <t>242313-58T</t>
  </si>
  <si>
    <t>Innovorder</t>
  </si>
  <si>
    <t>Developer of restaurant management software designed to help fast-food chains in their digital transformation. The company's comprehensive SaaS software suite enables the deployment of new order channels, the management of both restaurant networks and single points of sale, the acceleration of order and kitchen preparation while optimizing production management, sales monitoring, and customer loyalty, enabling restaurants to increase turnover, improve internal processes, and deliver enhanced service to the customer.</t>
  </si>
  <si>
    <t>bill management, cash register, collective catering, online ordering, restaurant management software, saas software</t>
  </si>
  <si>
    <t>FoodTech, Restaurant Technology, SaaS</t>
  </si>
  <si>
    <t>225329-77T</t>
  </si>
  <si>
    <t>Adeiz</t>
  </si>
  <si>
    <t>Developer of a unified commerce platform designed to improve customer experience. The company's platform offers a variety of features such as a unified customer database, real-time inventory management, and omnichannel order management, enabling businesses to provide a seamless shopping experience across all online and offline channels.</t>
  </si>
  <si>
    <t>Finovam Gestion, IRD Invest, Nord Création</t>
  </si>
  <si>
    <t>ecommerce saas, inventory management system, logistics cloud services, multi cloud services, smartphone application, unified commerce</t>
  </si>
  <si>
    <t>234289-90T</t>
  </si>
  <si>
    <t>SpotLight (Other Commercial Products)</t>
  </si>
  <si>
    <t>Business/Productivity Software, Other Commercial Products*</t>
  </si>
  <si>
    <t>Developer of monitoring technology designed to detect dynamic subsurface seismic changes. The company's technology utilizes a lightweight single source and receiver that offers 4-D seismic monitoring, enabling petroleum businesses to reduce the cost of effective real-time monitoring.</t>
  </si>
  <si>
    <t>AFI Ventures (Paris), Emerald Technology Ventures, Industrya, Nabtesco Technology Ventures(Hiroshi Nerima), Phaze Ventures(Abdullah Al-Shaksy), Ventech (Paris)</t>
  </si>
  <si>
    <t>4d monitoring, insurance system, monitoring technology, seismic monitoring, seismic testing, subsurface monitoring</t>
  </si>
  <si>
    <t>Advanced Manufacturing, Oil &amp; Gas</t>
  </si>
  <si>
    <t>232453-90T</t>
  </si>
  <si>
    <t>MS-Innov</t>
  </si>
  <si>
    <t>Developer of cobotic and software design technology designed to provide a concrete response to the challenges of modernization and adaptability of industrialists. The company offers mechanical and mechatronic engineering technology and services such as 2D, 3D mechanical and mechanically welded assembly plans, welding jigs, realistic rendering, 3D printing, and more, in areas such as automotive, motor racing, port tractors, home appliances, providing manufacturers the opportunity to combine agility and performance with technological solutions that ensure their place for humans.</t>
  </si>
  <si>
    <t>Caisse des Dépôts et Consignations, Crédit Agricole Franche-Comté, UI Investissement</t>
  </si>
  <si>
    <t>3d printing hub, cobotic product, cobotic technology, cobotics consulting, software design, welding jigs</t>
  </si>
  <si>
    <t>226990-81T</t>
  </si>
  <si>
    <t>Motier Ventures</t>
  </si>
  <si>
    <t>239422-24T</t>
  </si>
  <si>
    <t>Corteria Pharmaceuticals</t>
  </si>
  <si>
    <t>Operator of a biotechnology company intended to provide treatment for heart failure subpopulations to patients. The company develops drugs for indications of unmet medical needs such as heart failure, sarcopenia and obesity, enabling medical professionals to easily understand the disease biology in patients.</t>
  </si>
  <si>
    <t>Fountain Healthcare Partners(Aidan King), Invivo Partners(Luís Pareras), Jeito(Rafaele Tordjman), Kurma Partners(Peter Neubeck), Omnes Capital, OrbiMed(Erez Chimovits), V-Bio Ventures(Ward Capoen)</t>
  </si>
  <si>
    <t>biotechnology company, biotechnology company operator, cardiovascular disease treatment, cardiovascular drug development, chemistry, heart failure therapy, heart failure treatment, small molecule</t>
  </si>
  <si>
    <t>243640-36T</t>
  </si>
  <si>
    <t>Vesto.</t>
  </si>
  <si>
    <t>Household Appliances, Other Commercial Services*</t>
  </si>
  <si>
    <t>Provider of refurbished kitchen appliances intended for professional kitchens. The company provides refurbished and reconditioned kitchen appliances from dishwashers to ovens that are fully tested and cleaned, enabling catering professionals to practice sustainable and profitable cooking.</t>
  </si>
  <si>
    <t>Banque des Territoires, Business Angels, Cameleon Invest, MakeSense</t>
  </si>
  <si>
    <t>food industry, kitchen appliances, kitchen appliances provider, kitchen appliances retail, reconditioning appliance, refurbished product</t>
  </si>
  <si>
    <t>E-Commerce, Restaurant Technology</t>
  </si>
  <si>
    <t>Saint-Maur des Fossés, France</t>
  </si>
  <si>
    <t>228321-37T</t>
  </si>
  <si>
    <t>Advanced Micro Devices (NAS: AMD), AIspace Ventures, Alphabet (NAS: GOOGL), Amazon.com (NAS: AMZN), AMD Ventures, Firestreak Ventures, GV, IBM Global Finance, IBM Ventures(Thomas Whiteaker), Intel (NAS: INTC), International Business Machines (NYS: IBM), MarketX, Mozilla Ventures, Nvidia (NAS: NVDA), NVIDIA GPU Ventures, Premji Invest (US), Qualcomm Ventures, Salesforce Ventures(Robert Keith), Sound Ventures</t>
  </si>
  <si>
    <t>240901-30T</t>
  </si>
  <si>
    <t>kheoos</t>
  </si>
  <si>
    <t>Developer of a business-to-business community platform designed to help manufacturers, distributors, brokers, and industrialists to manage industrial maintenance parts. The company's platform uses artificial intelligence-based algorithms that automate and keep catalog information with descriptions, photos, and datasheets to review market prices and estimate demand, enabling sellers to set the value of dormant parts so that buyers can acquire rare parts at reasonable prices.</t>
  </si>
  <si>
    <t>Industrya(Thibaud Le Séguillon), Iron Hands Capital(Vivien Sayve)</t>
  </si>
  <si>
    <t>ai automation platform, b2b community portal, industrial maintenance parts, inventory forecasting, inventory management system, online marketplace, spare-parts management</t>
  </si>
  <si>
    <t>Voiron, France</t>
  </si>
  <si>
    <t>283191-31T</t>
  </si>
  <si>
    <t>Clone (Restaurants, Hotels and Leisure)</t>
  </si>
  <si>
    <t>Ghost Kitchens</t>
  </si>
  <si>
    <t>Media and Information Services (B2B), Other Commercial Services, Other Restaurants, Hotels and Leisure*</t>
  </si>
  <si>
    <t>Operator of a food tech company intended to help restaurants generate additional profit through an asset-light business model and technology. The company's platform increases the visibility and orders of the restaurants through understanding and mastering delivery platform and social media algorithms, giving its partner restaurants a head start in the food delivery business by providing them with turnkey software service to operate optimally, providing food startups with a quick setup, an easy-to-operate model for fast return on investment.</t>
  </si>
  <si>
    <t>Kharis Capital</t>
  </si>
  <si>
    <t>brand marketing, cloud kitchen operator, cloud kitchen services, food brand, food delivery, ghost kitchen, kitchen facility, kitchen platform, virtual restaurant</t>
  </si>
  <si>
    <t>FoodTech, Restaurant Technology</t>
  </si>
  <si>
    <t>276686-02T</t>
  </si>
  <si>
    <t>Tilt ( Energy)</t>
  </si>
  <si>
    <t>Business/Productivity Software, Other Energy Services*</t>
  </si>
  <si>
    <t>Developer of renewable energy platform intended to help consumers reduce their electricity consumption during peak hours. The company specializes in providing a platform that empowers the widespread adoption of renewable energies, enabling individuals to contribute to the electrical grid's resilience and take charge of their energy consumption.</t>
  </si>
  <si>
    <t>electricity consumption, electricity supply, energy management, energy transition, home energy management, low-carbon emission, renewable integration</t>
  </si>
  <si>
    <t>Artificial Intelligence &amp; Machine Learning, CleanTech</t>
  </si>
  <si>
    <t>204526-36T</t>
  </si>
  <si>
    <t>Julaya</t>
  </si>
  <si>
    <t>Developer of a B2B financial software designed to provide a money transfer facility. The company's software assists in paying utility bills, reloading credit cards, and transferring money to friends and families as well as searching for kiosks nearby and making a deposit or withdrawal, providing businesses with access to new digital payment rails, bulk mobile money transfers, prepaid corporate cards, cash collection for fast-moving consumer goods and retailers, as well as credit facilities.</t>
  </si>
  <si>
    <t>50 Partners, Edouard Mendy(Edouard Mendy), EQ2 Ventures, Jedar Capital, Mohamed Dibi(Mohamed Dibi), Orange Ventures, Saviu Ventures, Speedinvest, UNIQA Ventures, Unpopular Ventures, Verod-Kepple Africa Ventures</t>
  </si>
  <si>
    <t>ecommerce payment, financial transaction, mobile banking, money transfer application, money transfer systems, payment tools, transaction processing</t>
  </si>
  <si>
    <t>224677-72T</t>
  </si>
  <si>
    <t>Boilr</t>
  </si>
  <si>
    <t>Entertainment Software*, IT Consulting and Outsourcing, Other Commercial Services</t>
  </si>
  <si>
    <t>Developer of a gaming outsourcing platform intended to help clients find the partner that suits them best among thousands of service providers and games studios. The company ensures the quality of game studios, facilitates acquisition for service providers, verifies capacity, and enables collaboration, helping firms to create healthy business relationships through automatic and continuous updates.</t>
  </si>
  <si>
    <t>Antler, Purple (Paris)</t>
  </si>
  <si>
    <t>game development, game development agency, gaming talent, outsourcing platform, ui/ux design, video game service</t>
  </si>
  <si>
    <t>Etrepilly, France</t>
  </si>
  <si>
    <t>247958-02T</t>
  </si>
  <si>
    <t>Colonies</t>
  </si>
  <si>
    <t>Information Services (B2C), Real Estate Services (B2C)*</t>
  </si>
  <si>
    <t>Operator of an online co-living platform intended to manage and connect with quality homes located in large cities. The company's platform connects users with fully furnished and equipped studio apartments with all basic amenities and an online support community for mid and long-term rentals, enabling individuals to search, discover, and book housing properties and move in with ease and enjoy a hassle-free living experience in multiple cities.</t>
  </si>
  <si>
    <t>Allianz Group (ETR: ALV), Crédit Mutuel Impact, Eurazeo (PAR: RF), Idinvest Partners, SLC Ventures</t>
  </si>
  <si>
    <t>coliving space finder, coliving spaces, housing property rental, housing rental, housing solutions, online home search, smart living</t>
  </si>
  <si>
    <t>277378-48T</t>
  </si>
  <si>
    <t>Money Walkie</t>
  </si>
  <si>
    <t>Electronics (B2C), Financial Software*, Other Financial Services</t>
  </si>
  <si>
    <t>Developer of a contactless wallet application and product designed to provide a new way to entrust children with money and gradually give them autonomy. The company's product allows children to make small purchases within the limit that parents set for them and is linked to an application that the parent can use to fill the wallet and in which every expense is notified instantly, enabling children to acquire autonomy smoothly and to develop good reflexes of consumption.</t>
  </si>
  <si>
    <t>Banque Populaire Grand Ouest, Groupe BPCE, M6 investment</t>
  </si>
  <si>
    <t>consumer payment, contactless payment, contactless transaction, debit, debit &amp; p2p, financial transaction app, financial transfer, financial wallets, money transfer, p2p</t>
  </si>
  <si>
    <t>233209-81T</t>
  </si>
  <si>
    <t>Motier Ventures, Purple (Paris), Seven Seven Six, TV Tokyo</t>
  </si>
  <si>
    <t>189186-22T</t>
  </si>
  <si>
    <t>Wild Code School</t>
  </si>
  <si>
    <t>Operator of a computer programming school intended to provide training programs to learn in-demand coding skills. The company's school offers training in programming languages with support for digital entrepreneurship and courses in web development, application development, data analysis, and product management, enabling students to effectively learn web applications, product backlogs, wireframes, and mock-ups easily.</t>
  </si>
  <si>
    <t>EuraTechnologies</t>
  </si>
  <si>
    <t>coding school, computer programming education, computer programming training, digital education, java coding, jobs aids training, web developer, web developer training</t>
  </si>
  <si>
    <t>La Loupe, France</t>
  </si>
  <si>
    <t>242352-82T</t>
  </si>
  <si>
    <t>SWAP (Food Products)</t>
  </si>
  <si>
    <t>Food Products*, Other Commercial Products</t>
  </si>
  <si>
    <t>Developer of a plant-based food technology designed to reduce meat consumption. The company's technology offers plant-based whole-cuts that contain plant proteins and clean-label meat replacements from plants, enabling consumers to have alternatives that mimic the taste, texture, and smell of meat.</t>
  </si>
  <si>
    <t>Astanor Ventures(Matthew Sade), Bpifrance(Jean-Philippe Richard), French Partners, Kima Ventures, Newfund Management, Redalpine</t>
  </si>
  <si>
    <t>alt-proteins, food tech research, plant meat, plant meat producer, plant-based protein, vegan meat products, vegan products, vegan protein, vegan vitamins</t>
  </si>
  <si>
    <t>228578-14T</t>
  </si>
  <si>
    <t>Aviwell</t>
  </si>
  <si>
    <t>AI in Foodtech</t>
  </si>
  <si>
    <t>Animal Husbandry, Biotechnology, Information Services (B2C), Media and Information Services (B2B)*</t>
  </si>
  <si>
    <t>Operator of a sustainable microbiota-based Artificial Intelligence/Machine Learning (AI/ML) discovery platform intended to operate at the convergence of digital and life sciences. The company develops natural and sustainable food products at the intersection of life and data sciences - to identify insights into animal health, growth, and performance, enabling the agri-food industry to sustainably feed the growing population.</t>
  </si>
  <si>
    <t>Elaia Partners(Florian Denis), European Innovation Council Fund, MFS Investment Management(Barnaby Wiener)</t>
  </si>
  <si>
    <t>ai automation platform, climate neutrality, deep technology, foodtech ai, healthcare data analytics, life science, microbiome discovery platform, microbiota analysis, microbiota test, microbiota therapy, vertical application</t>
  </si>
  <si>
    <t>Artificial Intelligence &amp; Machine Learning, Big Data, CleanTech, Life Sciences, LOHAS &amp; Wellness</t>
  </si>
  <si>
    <t>233856-91T</t>
  </si>
  <si>
    <t>Brique House</t>
  </si>
  <si>
    <t>Operator of an alcohol brewery intended to create craft beers with unique descriptions. The company's products are made from barley, malt, yeast and oats and offer multiple flavors, enabling customers to choose from various beers.</t>
  </si>
  <si>
    <t>Aquasourca, Cameleon Invest, Convivialité Ventures</t>
  </si>
  <si>
    <t>beverage product, brewed beer, craft brewery, draught beer, lager beer, liquor maker, stout beer, taproom and brewery, taproom operator</t>
  </si>
  <si>
    <t>233160-49T</t>
  </si>
  <si>
    <t>Cala (Restaurants and Bars )</t>
  </si>
  <si>
    <t>Application Software, Food Products, Other Restaurants, Hotels and Leisure, Restaurants and Bars*</t>
  </si>
  <si>
    <t>Operator of fast-food kitchens intended to offer customized pasta. The company offers various kinds of pasta with homemade sauces that are cooked and prepared by robots, enabling customers to enjoy food at an affordable price.</t>
  </si>
  <si>
    <t>eSeed.vc, Giant Step Capital, Mana Ventures, Manta Ray Ventures, Wejchert Capital</t>
  </si>
  <si>
    <t>fast food, fast food cafe, fast food chain, fast food kitchen, food technology, pasta dish, pasta food, pasta restaurant, restaurant operator</t>
  </si>
  <si>
    <t>E-Commerce, Mobile, Restaurant Technology, Robotics and Drones</t>
  </si>
  <si>
    <t>233178-94T</t>
  </si>
  <si>
    <t>Carbone Farmers</t>
  </si>
  <si>
    <t>Cultivation, Environmental Services (B2B)*, Other Agriculture</t>
  </si>
  <si>
    <t>Developer of a carbon offset platform intended to reduce the emissions and earn carbon credits. The company's platform provides the accessibilty to resources and expertise to help them implement sustainable practices, track their progress, and sell their carbon credits, enabling farmers to participate in the carbon market and earn income while also helping to mitigate climate change.</t>
  </si>
  <si>
    <t>agribusiness marketplace, agricultural transition, agriculture platform, agriculture platform developer, agrifinance &amp; ecommerce, agrifinance and ecommerce, agri-food industry, agri-food industry products, carbon finance, environmental services, voluntary carbon market infrastructure</t>
  </si>
  <si>
    <t>251297-65T</t>
  </si>
  <si>
    <t>Eléas</t>
  </si>
  <si>
    <t>Business/Productivity Software, Consulting Services (B2B)*, Education and Training Services (B2B)</t>
  </si>
  <si>
    <t>Provider of consulting and training services intended to promote diversity and inclusion in the workplace. The company offers a variety of services, including diagnostics, training, and coaching related to the quality of work-life and psychosocial risk prevention, enabling companies to smoothen digital transformations and implement managerial strategies to facilitate the commitment, and well-being of employees and new modes of cooperation to prevent incivility at work.</t>
  </si>
  <si>
    <t>consulting firm, consulting services, digital transformations, diversity and inclusion, employee coaching, managerial strategy</t>
  </si>
  <si>
    <t>Sèvres, France</t>
  </si>
  <si>
    <t>245396-62T</t>
  </si>
  <si>
    <t>Flagcat</t>
  </si>
  <si>
    <t>Entertainment Software, Movies, Music and Entertainment*</t>
  </si>
  <si>
    <t>Operator of webtoons production agency intended to produce original series. The company draws its origins directly from traditional manga, with comparable art styles, themes and storylines revolutionizing content production workflows with technology and artificial intelligence, enabling users with original animated web series.</t>
  </si>
  <si>
    <t>Irwan Bello(Irwan Bello), Julien Chaumont, Kima Ventures, Motier Ventures, Otium Capital, Purple (Paris), Resonance VC, Seedcamp, Super Capital, Vincent Nallatamby(Vincent Nallatamby)</t>
  </si>
  <si>
    <t>ai tools, animation industry, artificial intelligence, content production, graphic designer, webtoon studio</t>
  </si>
  <si>
    <t>264547-54T</t>
  </si>
  <si>
    <t>Fulllife</t>
  </si>
  <si>
    <t>Operator of a games-wear apparel company intended to promote the gaming culture. The company's range of apparel includes t-shirts, hoodies, sweatshirts, pants, shorts, underwear, socks and other accessories, enabling video game players to live their passion fully.</t>
  </si>
  <si>
    <t>apparel &amp; fashion, apparel online, clothing brand, games items, gaming apparel, gaming clothes</t>
  </si>
  <si>
    <t>254801-89T</t>
  </si>
  <si>
    <t>251299-09T</t>
  </si>
  <si>
    <t>Kanta</t>
  </si>
  <si>
    <t>Accounting, Audit and Tax Services (B2B), Business/Productivity Software*, Financial Software</t>
  </si>
  <si>
    <t>Developer of accounting audit management platform designed to help control and simplify ethical obligations. The company's platform helps to determine and calculate the level of risk and vigilance, manages business relationships and accepts assignments, notifies employees in case of uncertainty, imports customer portfolio, centralizes the official documents as well as provides reports and dashboards, enabling small and medium-sized accounting firms to interpret due diligence obligation of chartered accountants.</t>
  </si>
  <si>
    <t>accounting data, accounting platform, audit management, auditing service, auditing tools, financial audit software</t>
  </si>
  <si>
    <t>Hérouville-Saint-Clair, France</t>
  </si>
  <si>
    <t>241358-95T</t>
  </si>
  <si>
    <t>Groupe PG</t>
  </si>
  <si>
    <t>Provider of precision industrialization services intended to enhance the efficiency of industrial clients. The company offers CNC machining, precision sheet metal fabrication, laser cutting, and assembly services, enabling manufacturing companies to improve their flaws and enhance production.</t>
  </si>
  <si>
    <t>BNP Paribas Développement, Normandie Participations, Siparex Group, Unexo</t>
  </si>
  <si>
    <t>cnc production, cnc turning, industrial automation, laser cutting, laser work, precision manufacturing, wire cutting</t>
  </si>
  <si>
    <t>Rouxmesnil-Bouteilles, France</t>
  </si>
  <si>
    <t>234868-42T</t>
  </si>
  <si>
    <t>SpikImm</t>
  </si>
  <si>
    <t>Developer of human monoclonal antibodies intended to target viruses, including BK Virus, providing broad and lasting protection for transplant patients. The company offers mAbs that improve transplant outcomes, patients' prognosis, and quality of life, enabling transplant recipients to experience enhanced protection and better overall health.</t>
  </si>
  <si>
    <t>antibodies producer, biologics, infection prevention, infectious disease, infectious disease antibodies, kidney transplant, monoclonal antibody, monoclonal drugs, prophylaxis, viral infection</t>
  </si>
  <si>
    <t>211672-90T</t>
  </si>
  <si>
    <t>Symbio (Alternative Energy Equipment)</t>
  </si>
  <si>
    <t>Manufacturer of fuel cell systems designed to produce and market hydrogen alternatives for light to heavy vehicles. The company's products include pre-validated and pre-integrated hydrogen systems that meet all the power and sustainability needs for zero-emission mobility, enabling companies to create combined electricity and hydrogen-based land and sea vehicles.</t>
  </si>
  <si>
    <t>Stellantis (MIL: STLAM)(Carlos Tavares)</t>
  </si>
  <si>
    <t>clean fuel, climate tech company, fuel cell systems, hydrogen, hydrogen power, mobility solutions, system integration, zero emission power, zero-emissions power</t>
  </si>
  <si>
    <t>Saint-Fons, France</t>
  </si>
  <si>
    <t>247649-59T</t>
  </si>
  <si>
    <t>Ixcys</t>
  </si>
  <si>
    <t>IT Consulting and Outsourcing*, Media and Information Services (B2B)</t>
  </si>
  <si>
    <t>Provider of personalized multichannel services intended to help clients digitize their businesses. The company's services specialize in the research and implementation of multichannel resolutions including business software, ERP, mobile applications, and CMS websites along with consultancy, enabling firms to meet their needs in digital marketing and information technology developments.</t>
  </si>
  <si>
    <t>AUBE Management, Crédit Agricole Aquitaine Expansion, Région Sud Investissement</t>
  </si>
  <si>
    <t>digital application, digital marketing, management system, personalized application, project management, strategic communication</t>
  </si>
  <si>
    <t>245011-87T</t>
  </si>
  <si>
    <t>Scipio Bioscience</t>
  </si>
  <si>
    <t>Operator of a biotechnology company designed to offer single-cell analysis sample preparation. The company offers a novel sample preparation product
in the form of benchtop kits, for use in sequencing applications in clinical and basic research, in particular, transcriptomics, enabling research laboratories to achieve single-cell barcoding in a test tube format.</t>
  </si>
  <si>
    <t>biotechnology process, biotechnology service, data interpretation, hydrogel technology, research laboratory, sample preparation</t>
  </si>
  <si>
    <t>232550-20T</t>
  </si>
  <si>
    <t>HSL Technologies</t>
  </si>
  <si>
    <t>Hydrogen Storage</t>
  </si>
  <si>
    <t>Energy Storage, Environmental Services (B2B)*, Other Commercial Services</t>
  </si>
  <si>
    <t>Designer of a hydrogen-based liquid carrier intended to facilitate hydrogen transportation by charging and releasing it in a fluid carrier. The company's product offers hydrogen-based liquid fuel which is stable, non-toxic, non-explosive, generates no emissions, and can be stored, enabling users to use it with a fuel cell that produces electricity for various applications such as cars, generating sets, and portable devices.</t>
  </si>
  <si>
    <t>Exolum Group, UI Investissement, Vopak Ventures</t>
  </si>
  <si>
    <t>clean fuel, electricity generation, energy storage solutions, green technology, hydrogen carrier, hydrogen fuel storage, hydrogen storage, hydrogen transportation, liquid carrier, low-carbon economy</t>
  </si>
  <si>
    <t>243115-57T</t>
  </si>
  <si>
    <t>Spark Cleantech</t>
  </si>
  <si>
    <t>Energy Production*, Other Energy Services</t>
  </si>
  <si>
    <t>Developer of a plasma technology designed to turn greenhouse gases into hydrogen fuel. The company's technology follows a process called plasmolysis that uses cold pulsed plasma discharges to convert methane or carbon dioxide and methane mixtures into value-added products such as hydrogen, solid carbon, and carbon monoxide, its process offers competitive hydrogen, produced directly on the consumption site, as a substitute for fossil gas to decarbonize industrial heat, enabling the transport industry to have carbon-neutral hydrogen fuel.</t>
  </si>
  <si>
    <t>Asterion, Bpifrance, Wind Capital</t>
  </si>
  <si>
    <t>carbon neutral fuel, clean fuel, greenhouse gas, hydrogen, hydrogen fuel, non-thermal plasma, plasma technology, solid carbon</t>
  </si>
  <si>
    <t>Gif-sur-Yvette, France</t>
  </si>
  <si>
    <t>239442-22T</t>
  </si>
  <si>
    <t>Gradient Denervation Technologies</t>
  </si>
  <si>
    <t>Other Devices and Supplies*, Therapeutic Devices</t>
  </si>
  <si>
    <t>Developer of a novel endovascular, catheter-based technology intended to perform pulmonary artery denervation with heart failure and associated pulmonary hypertension. The company's technology offers a device-based minimally invasive tool for the treatment of pulmonary hypertension, enabling the healthcare industry to get access to a device that gives homogenous and durable results.</t>
  </si>
  <si>
    <t>Asabys Partners(Sylvain Sachot), Sofinnova Partners(Manohar Iyer), Thuja Capital Management(Evan Castiglia)</t>
  </si>
  <si>
    <t>endovascular device, healthcare industry, hypertension care, hypertension device, hypertension therapy, pulmonary hypertension treatment</t>
  </si>
  <si>
    <t>234493-12T</t>
  </si>
  <si>
    <t>Yescapa</t>
  </si>
  <si>
    <t>Auto Commerce</t>
  </si>
  <si>
    <t>Developer of a car rental platform designed to help users rent a car as per their requirements. The company's platform offers a varied and complete range of low-profile, integral, over-cab, fitted vans, campervans, and conversion vans, enabling users to browse, find and book cars in a simple and safe manner.</t>
  </si>
  <si>
    <t>iXO Private Equity, No Such Ventures, Ternel, Wind Capital</t>
  </si>
  <si>
    <t>auto commerce, automotive rental, bikes rent, car rental platform, conversion vans, furnished vans, motorhomes rental</t>
  </si>
  <si>
    <t>Mobile, Mobility Tech, TMT</t>
  </si>
  <si>
    <t>232441-12T</t>
  </si>
  <si>
    <t>Dioxycle</t>
  </si>
  <si>
    <t>Developer of carbon dioxide conversion technology designed to capture and convert carbon dioxide into valuable chemical products. The company's technology develops electricity-driven pathways to treat carbon dioxide as a resource to generate everyday products and at the same time displaces the use of fossil feedstocks such as carbon monoxide, methane, and hydrocarbons through electrolysis, enabling clients to access services for industrial carbon dioxide emissions.</t>
  </si>
  <si>
    <t>Breakthrough Energy(Carmichael Roberts), Collaborative Fund, Gigascale Capital, Lowercarbon Capital(Clea Kolster), Nouvelle Aquitaine Co-Investissement</t>
  </si>
  <si>
    <t>carbon dioxide conversion, carbon dioxide processing, carbon dioxide recycling, carbon technology, carbon utilization, decarbonization company, electrolyzers device, electrolyzers technology</t>
  </si>
  <si>
    <t>244995-04T</t>
  </si>
  <si>
    <t>Limatech</t>
  </si>
  <si>
    <t>Aerospace and Defense, Electrical Equipment*</t>
  </si>
  <si>
    <t>Manufacturer of lithium batteries intended for thermal engines used in the aviation industry. The company's batteries are used for the startup of piston engines and turbine engines and use proprietary technology to ensure the safety, reliability, and long life of the battery, enabling aeronautics and defense industries to have access to energy storage devices that have availability than batteries based on old lead and nickel-cadmium technologies.</t>
  </si>
  <si>
    <t>aviation battery, battery life, engine battery, light weight battery, lithium battery, lithium battery product, lithium technologies</t>
  </si>
  <si>
    <t>232351-84T</t>
  </si>
  <si>
    <t>Red Luxury Group</t>
  </si>
  <si>
    <t>Accessories*, Luxury Goods</t>
  </si>
  <si>
    <t>Operator of an online retail platform intended to sell fashion jewelry and watches. The company's platform offers a range of aesthetic watches and other jewelry items for both men and women, enabling consumers to purchase accessories and products online and get them delivered to their doorstep.</t>
  </si>
  <si>
    <t>EWO Capital</t>
  </si>
  <si>
    <t>jewelry retailer, luxury jewelry accessories, luxury watches, luxury watches marketplace, online retail, online shopping</t>
  </si>
  <si>
    <t>232338-34T</t>
  </si>
  <si>
    <t>Bluedigo</t>
  </si>
  <si>
    <t>Media and Information Services (B2B)*, Office Services (B2B)</t>
  </si>
  <si>
    <t>Operator of a refurbished furniture platform intended to simplify and centralize the supply of second-hand office furniture. The company's platform manages the entire relationship with the client, from the layout proposal to delivery with the help of follow-up and personalization services, enabling merchants to create a design and eco-responsible workspace for their teams.</t>
  </si>
  <si>
    <t>Manutan International</t>
  </si>
  <si>
    <t>meeting tables, personalization services, refurbished furniture selling platform, removable partitions, storage furniture, turnkey solution provider</t>
  </si>
  <si>
    <t>232298-56T</t>
  </si>
  <si>
    <t>BuyCo</t>
  </si>
  <si>
    <t>Developer of global transportation management software designed to simplify, secure and speed up shipping operations. The company's platform easily and efficiently manages its customers' shipment information from looking up current sailing schedules and tracking shipment status updates to keeping its clients informed while offering collaborative tools that revolutionize freight forwarding by leveraging its partnership network and technology to enhance operational efficiency and facilitate business, enabling logistics professionals to increase delivery reliability, lower transportation costs and streamline operations.</t>
  </si>
  <si>
    <t>Banque Populaire du Sud(Benoit Viguier), GO Capital (France)(Clémentine Breysse)</t>
  </si>
  <si>
    <t>collaborative platform, container management, freight company, freight forwarding, shipment service, shipping operation service, transportation management software</t>
  </si>
  <si>
    <t>232437-70T</t>
  </si>
  <si>
    <t>Axeleo Capital, Bpifrance, CMA CGM, Credit Agricole Entreprises (PAR: CRBP), EIT InnoEnergy, Santander Asset Management, Skyrr, Thierry Fahmy(Thierry Fahmy), UI Investissement</t>
  </si>
  <si>
    <t>232242-13T</t>
  </si>
  <si>
    <t>Courbet</t>
  </si>
  <si>
    <t>Accessories, Luxury Goods*</t>
  </si>
  <si>
    <t>Operator of a jewelry shop intended to offer an ecological and ethical alternative to traditional jewelry. The company offers a collection of wedding and engagement rings, bracelets, earrings, necklaces, and synthetic diamonds, enabling customers to buy quality jewelry that is also recycled and organic and in turn, helps to preserve the environment.</t>
  </si>
  <si>
    <t>Chanel</t>
  </si>
  <si>
    <t>ethical jewelry, jewelry manufacturer, jewelry shop operator, recycled diamond, recycled gold, synthetic diamond</t>
  </si>
  <si>
    <t>Luxury Goods</t>
  </si>
  <si>
    <t>Beauty, E-Commerce</t>
  </si>
  <si>
    <t>243756-91T</t>
  </si>
  <si>
    <t>Veesion</t>
  </si>
  <si>
    <t>Business/Productivity Software, Electronic Equipment and Instruments*, Security Services (B2B)</t>
  </si>
  <si>
    <t>Developer of a fraud detection platform designed to facilitate the detection of gestures associated with shoplifting. The company's platform utilizes artificial intelligence and deep learning algorithms that continuously analyze the content of security cameras and can be integrated with existing surveillance systems that are capable of monitoring security tracking dashboards to have a detailed overview of shoplifting in respective stores, enabling shop owners to receive alerts on different devices and optimize their security staff allocation process.</t>
  </si>
  <si>
    <t>Kinled Holding, Verve Ventures</t>
  </si>
  <si>
    <t>anti-theft device, fraud detection, machine learning, shoplifting prevention, theft detection, vertical application, video surveillance</t>
  </si>
  <si>
    <t>Artificial Intelligence &amp; Machine Learning, Big Data, Industrials, Manufacturing, TMT</t>
  </si>
  <si>
    <t>232485-94T</t>
  </si>
  <si>
    <t>Depur Experiences</t>
  </si>
  <si>
    <t>Operator of a consulting firm intended to offer services in the food and beverages industry. The company specializes in providing support and managing innovative food, beverage, and entertainment transformation projects, enabling businesses to generate strong and sustainable performances based on the experience of the end customers.</t>
  </si>
  <si>
    <t>Bouygues Immobilier, Bpifrance, Mercialys (PAR: MERY)</t>
  </si>
  <si>
    <t>business consulting, consulting firm, customer experience, food experiences, hospitality industry, project manager</t>
  </si>
  <si>
    <t>228766-51T</t>
  </si>
  <si>
    <t>IMPACT Plus</t>
  </si>
  <si>
    <t>Provider of environmental services intended to measure and reduce the environmental impact of digital advertising. The company offers services including measurement of the advertising campaign's carbon footprint and provides analysis, insights, and recommendations to reduce the media plan's carbon emissions, thereby allowing brands, agencies, and advertising companies to become aware of their carbon impacts and take effective actions to reduce them.</t>
  </si>
  <si>
    <t>Elevation Capital Partners(Antoine Marvier)</t>
  </si>
  <si>
    <t>carbon impact, environmental service business, environmental service industry, environmental service provider, environmental services, environmental services company, environmental services firm</t>
  </si>
  <si>
    <t>250310-98T</t>
  </si>
  <si>
    <t>Nos Grandes Forêts</t>
  </si>
  <si>
    <t>Reforestation</t>
  </si>
  <si>
    <t>Operator of an environmental conservation platform intended to contribute to forest conservation and restoration efforts. The company's platform offers a variety of features such as tree planting initiatives, forest management services, and educational programs, enabling businesses to demonstrate their environmental commitment and individuals to make a positive impact on the planet.</t>
  </si>
  <si>
    <t>Balthazar Capital Partners, Inwest Group</t>
  </si>
  <si>
    <t>biodiversity care, carbon compensation, corporate social responsibility, digital carbon footprint, environmental impact, forest management company</t>
  </si>
  <si>
    <t>226597-87T</t>
  </si>
  <si>
    <t>Niryo</t>
  </si>
  <si>
    <t>Manufacturer of educational robots intended to help in prototype industrial case studying. The company's robots are open-source six-axis collaborative tools that are used for learning robotics and computer programming, enabling educational institutions to teach higher education and give professional training.</t>
  </si>
  <si>
    <t>Bpifrance(Marion Aubry), Finorpa, GO Capital (France), Innovacom (Paris)(Alban Nenert), IRD Invest, Nord France Amorçage</t>
  </si>
  <si>
    <t>collaborative robots, computer programming, edge computing, edge computing services, robotics developer, robotics machinery</t>
  </si>
  <si>
    <t>Advanced Manufacturing, Industrials, Robotics and Drones, TMT</t>
  </si>
  <si>
    <t>241858-81T</t>
  </si>
  <si>
    <t>Adok</t>
  </si>
  <si>
    <t>Business/Productivity Software, Computers, Parts and Peripherals*</t>
  </si>
  <si>
    <t>Developer of a projector technology designed to organize productive meetings. The company's technology utilizes a smart projector that provides natural interactions, like a tactile interface and voice commands, and can turn office walls and desks into whiteboards, enabling clients to enhance their conference ambiance.</t>
  </si>
  <si>
    <t>NFactory (Accelerator)</t>
  </si>
  <si>
    <t>conference application, conference technology, electronics manufacturing, electronics manufacturing services, electronics manufacturing solutions, meeting app, meeting organiser, projectors technology</t>
  </si>
  <si>
    <t>228445-75T</t>
  </si>
  <si>
    <t>enwires</t>
  </si>
  <si>
    <t>Manufacturer of silicon nanowire-based anode and composite materials intended for electric vehicles and energy storage systems. The company's products include lithium-ion batteries, silicon nano-wired materials for battery electrodes, synthesis materials, and silicon cathode material which raises the energy density of battery cells, enabling the automobile industry to increase electric vehicles' driving range and cut charging time.</t>
  </si>
  <si>
    <t>Lotte Ventures</t>
  </si>
  <si>
    <t>cathode product, composites processing, energy density, nanotechnology research, nanowire composition, nanowire technology, silicon device, synthesis product</t>
  </si>
  <si>
    <t>239497-03T</t>
  </si>
  <si>
    <t>Archetype</t>
  </si>
  <si>
    <t>Business/Productivity Software*, Other IT Services</t>
  </si>
  <si>
    <t>Operator of an AI communication platform intended to disseminate knowledge and facilitate learning to users. The company's tool specializes in providing an empathic AI technology to revolutionize the integration of text, voice, and non-verbal communication, enabling companies to revolutionize training delivery and business solutions.</t>
  </si>
  <si>
    <t>Strange Ventures</t>
  </si>
  <si>
    <t>ai character, artificial intelligence, business model, communication platform, imaging technology, information exchange, learning channel</t>
  </si>
  <si>
    <t>Italy, France</t>
  </si>
  <si>
    <t>218190-88T</t>
  </si>
  <si>
    <t>Hapni</t>
  </si>
  <si>
    <t>Developer of an online screening platform designed to prevent, diagnose and treat underdiagnosed diseases such as sleep apnea. The company's platform specializes in gathering data on people suffering from sleep apnea and offers sensors and a questionnaire, developed with partner doctors for online screening, enabling clients to determine the intensity of the symptoms and get the collected data analyzed by sleep doctors.</t>
  </si>
  <si>
    <t>diagnostic platform, medical questionnaire, medical sensor, patient data analysis, screening platform developer, sleep apnea treatment, sleep disorder testing</t>
  </si>
  <si>
    <t>167643-46T</t>
  </si>
  <si>
    <t>EG 427</t>
  </si>
  <si>
    <t>Developer of a pinpoint gene therapy intended to cure spinal cord injury-related disorders. The company develops HSV-1-based vectors by exploiting the natural properties of Herpes Simplex Virus 1 (HSV-1) and its ability to establish lifelong latency in peripheral neurons to ensure highly specific and durable expression of transgenes to treat patients with severe, chronic and localized diseases, enabling physicians to cure neurogenic bladder disorders post a spinal cord injury.</t>
  </si>
  <si>
    <t>Cohesion Bureau(Chris Maggos), David Lamond(David Lamond)</t>
  </si>
  <si>
    <t>gene delivery, gene therapy, gene therapy discovery, gene therapy testing, gene therapy treatment, gene therapy vectors, hsv products, nervous system treatment, spinal cord injury treatment</t>
  </si>
  <si>
    <t>204963-94T</t>
  </si>
  <si>
    <t>Meria (Financial Services)</t>
  </si>
  <si>
    <t>Financial Software, Other Capital Markets/Institutions, Other Financial Services*, Social/Platform Software</t>
  </si>
  <si>
    <t>Operator of an online platform for cryptocurrency mining developed in the blockchain space. The company's platform specializes in crypto staking, lending, master nodes, minors, and cloud mining, enabling users to generate cryptocurrency while validating transactions from a blockchain network.</t>
  </si>
  <si>
    <t>Kima Ventures, Morningstar Ventures</t>
  </si>
  <si>
    <t>blockchain network, blockchain space, cryptocurrency mining, lending platform, network node, stake platform, token lending</t>
  </si>
  <si>
    <t>228192-58T</t>
  </si>
  <si>
    <t>Stokelp</t>
  </si>
  <si>
    <t>Business/Productivity Software*, Environmental Services (B2B), Other Agriculture</t>
  </si>
  <si>
    <t>Developer of overstock recovery marketplace platform designed for food manufacturers. The company platform is dedicated to the recovery of untapped raw materials from the food industry which reduce food waste by creating a community of manufacturers wishing to optimize their management of raw material stocks, enabling farmers an alternative to overstocks of raw materials.</t>
  </si>
  <si>
    <t>AFI Ventures (Paris), Aonia Ventures, Bpifrance, OneRagtime, Prediction Capital, Rothschild &amp; Co</t>
  </si>
  <si>
    <t>agribusiness marketplace, agrifinance &amp; ecommerce, agrifinance and ecommerce, agri-food chain, agri-food tech, agri-food trade, drying product, food ecommerce, food raw material, frozen raw material, online grocer, raw materials</t>
  </si>
  <si>
    <t>AgTech, E-Commerce, FoodTech</t>
  </si>
  <si>
    <t>228084-13T</t>
  </si>
  <si>
    <t>73 Strings</t>
  </si>
  <si>
    <t>Developer of a portfolio monitoring and valuation software platform intended to transform complex data into precise and actionable insights. The company's software allows the automation of portfolio monitoring workflows through AI-enabled unstructured data extraction and customizable analytics and allows them to efficiently manage ongoing portfolio valuations on the platform, enabling private equity, private credit, growth investors, and valuation consultants to consolidate both structured and unstructured data, streamlining data management and back office processes with real-time values and actionable insights at a click.</t>
  </si>
  <si>
    <t>Blackstone (NYS: BX), Broadhaven Capital Partners, Fidelity International Strategic Ventures(Joshua Lloyd-Lyons), Le Village by CA</t>
  </si>
  <si>
    <t>actionable insights, alternative investment, financial database, financial service infrastructure, portfolio monitoring, portfolio valuation services</t>
  </si>
  <si>
    <t>Big Data, FinTech, SaaS</t>
  </si>
  <si>
    <t>239539-24T</t>
  </si>
  <si>
    <t>Archipel Ventures, Epopée Gestion(Vladimir Bolze), Newfund Management</t>
  </si>
  <si>
    <t>234797-86T</t>
  </si>
  <si>
    <t>Jaylo</t>
  </si>
  <si>
    <t>Air, Logistics*, Marine, Road</t>
  </si>
  <si>
    <t>Provider of transport and logistics services intended to guarantee optimum transport conditions. The company offers road, marine, and air transport with logistics and storage as well as specialized consulting and customer services, helping businesses with reliable and flexible transport services.</t>
  </si>
  <si>
    <t>custom warehouse, freight technology, logistics &amp; warehousing, maritime transport, project cargo, road transportation, transport and logistics service</t>
  </si>
  <si>
    <t>Mobility Tech, Supply Chain Tech</t>
  </si>
  <si>
    <t>Tudela, France</t>
  </si>
  <si>
    <t>228288-07T</t>
  </si>
  <si>
    <t>Ouidrop</t>
  </si>
  <si>
    <t>Developer of a robot-powered parcel collection system intended to provide public storage for customers and deliverers. The company's platform uses a network of automated parcel lockers throughout the city to allow customers to collect their online orders, enabling retailers to offer a convenient and contactless pickup option for their customers, while also optimizing their space and reducing their operating costs.</t>
  </si>
  <si>
    <t>Better Angle, Spring Invest, V2LC</t>
  </si>
  <si>
    <t>automated storage, collection system, machinery manufacturing, parcel collection, parcel storage, smart storage</t>
  </si>
  <si>
    <t>Manufacturing, Micro-Mobility, Robotics and Drones</t>
  </si>
  <si>
    <t>234100-45T</t>
  </si>
  <si>
    <t>Datacadabra</t>
  </si>
  <si>
    <t>Developer of a data science system intended to assist the entire chain of customer data exploitation. The company's system helps data scientists to save time on the most common analysis of their business while assuring the required level of performance and helps marketing experts to gain autonomy on customer knowledge, while remaining very easy to use for profiles with no knowledge of statistics, enabling clients to increase their business performance.</t>
  </si>
  <si>
    <t>Finorpa, IRD Invest</t>
  </si>
  <si>
    <t>analytics &amp; business intelligence, analytics and business intelligence, analytics platform, consulting agency, data analysis, data analytics software, data marketing, data preparation, data science solutions</t>
  </si>
  <si>
    <t>Villeneuve d'Ascq, France</t>
  </si>
  <si>
    <t>273829-15T</t>
  </si>
  <si>
    <t>Osivax</t>
  </si>
  <si>
    <t>Developer of a universal vaccine designed to prevent globally impactful infectious diseases. The company leverages its technology and acts as a universal vaccine against all existing and emerging coronavirus infections to prevent globally impactful contagious diseases, enabling medical practitioners to treat patients with cancer influenza, malaria, and other infectious diseases effectively.</t>
  </si>
  <si>
    <t>European Innovation Council Fund, Le territoire en Wallonie</t>
  </si>
  <si>
    <t>cancer immunotherapy, covid-19 vaccines, hpv vaccines, immunology, infectious disease, influenza vaccination, vaccine development platform</t>
  </si>
  <si>
    <t>HealthTech, Oncology</t>
  </si>
  <si>
    <t>227873-98T</t>
  </si>
  <si>
    <t>GreenBig</t>
  </si>
  <si>
    <t>Developer of plastic bottle recycling machines designed to provide innovative plastic bottle collection assistance. The company's platform is responsible for recycling plastic bottles and grinding them with its installed artificial intelligence system that assists the machine to recognize the plastic bottle and its color by the bar code, enabling businesses to have assistance in the treatment and disposal of non-hazardous waste to get the recycling process done efficiently.</t>
  </si>
  <si>
    <t>Crédit Agricole Normandie, Eiffel Investment Group(Romain Ohayon)</t>
  </si>
  <si>
    <t>bottles collector, bottles recycling, circular economy, data module, plastic recycler, plastic waste, recycled good, recycling polymer, software &amp; system development</t>
  </si>
  <si>
    <t>Artificial Intelligence &amp; Machine Learning, Climate Tech, LOHAS &amp; Wellness, Manufacturing</t>
  </si>
  <si>
    <t>219866-41T</t>
  </si>
  <si>
    <t>HAX, SOSV(Duncan Turner)</t>
  </si>
  <si>
    <t>234798-31T</t>
  </si>
  <si>
    <t>Super Capital, Tomcat Invest</t>
  </si>
  <si>
    <t>266736-16T</t>
  </si>
  <si>
    <t>Fonto De Vivo</t>
  </si>
  <si>
    <t>Environmental Services (B2B)*, Other Commercial Products, Other Consumer Durables</t>
  </si>
  <si>
    <t>Designer of a water purifier filter designed to eliminate water contamination. The company's product can be used to purify surface water from biological contamination by simple manual pumping, enabling customers to get sustainable, economical, and programmed obsolescence-free water purification systems to meet the social and ecological challenges of humanity.</t>
  </si>
  <si>
    <t>Credit Agricole (PAR: ACA), KF Unternehmensgruppe</t>
  </si>
  <si>
    <t>basic needs, drinking water, purifier filters, surface water, ultra filtration, water contamination detection</t>
  </si>
  <si>
    <t>227658-70T</t>
  </si>
  <si>
    <t>Yield Lab(Gentiane Gorlier)</t>
  </si>
  <si>
    <t>227693-26T</t>
  </si>
  <si>
    <t>DataGalaxy</t>
  </si>
  <si>
    <t>Developer of an agile data-mapping platform designed to provide enterprise data management and access. The company's platform provides rapid deployment of software to back regulatory compliance and facilitates the implementation of a data catalog to optimize the performance of data teams, enabling organizations to share a common understanding of business processes and create value with the data.</t>
  </si>
  <si>
    <t>AV8 Ventures(Baris Aksoy), Evolem, Newfund Management, Orange Ventures</t>
  </si>
  <si>
    <t>analytics platform, data collaboration, data infrastructure, data management, data mapping, data quality tools, data science platform, metadata management</t>
  </si>
  <si>
    <t>227580-58T</t>
  </si>
  <si>
    <t>One Lease</t>
  </si>
  <si>
    <t>Provider of car-rental services intended for mid-market and small and medium-sized companies across France. The company offers order and delivery tracking, maintenance history, claim declaration, fuel consumption, and documents, enabling clients with tailor-made applications.</t>
  </si>
  <si>
    <t>Bee Family Office(Xavier Tassel), Ciclad(Didier Genoud)</t>
  </si>
  <si>
    <t>automobile rental, automobile rental agency, automobile rental service, car leasing company, car rental, car rental company, vehicle rental management</t>
  </si>
  <si>
    <t>227820-61T</t>
  </si>
  <si>
    <t>GenSensor</t>
  </si>
  <si>
    <t>Developer a genomic-based monitoring system to optimize in-line bioproduction. The company specializes in offering a robotic device with advanced analytics software to monitor, characterize and optimize the bioproduction of advanced therapy medicinal products and vaccines, enabling the healthcare sector to maximize the use of innovative drugs and reduce their manufacturing costs for the benefit of patients.</t>
  </si>
  <si>
    <t>Bpifrance, GO Capital (France)(Alexandre Boulay), Sodero(Valérie Allain-Dupre)</t>
  </si>
  <si>
    <t>analytics software, biological data analysis, biomedicine platform, genomic data, healthcare services, monitoring system</t>
  </si>
  <si>
    <t>HealthTech, Life Sciences, Robotics and Drones</t>
  </si>
  <si>
    <t>227490-67T</t>
  </si>
  <si>
    <t>Mipise</t>
  </si>
  <si>
    <t>Financial Software*, Other Commercial Services</t>
  </si>
  <si>
    <t>Developer of a financial technology platform designed to digitize asset management activities (private equity and real estate) and the collaborative economy. The company specializes in the development of white-label solutions, technological tools, and financial and banking expertise, enabling customers to increase efficiency, and productivity and respond to new customer uses.</t>
  </si>
  <si>
    <t>Enthéos, Mandalore Partners, Vatel Capital</t>
  </si>
  <si>
    <t>asset management compliance, crm, crowdfunding platform service, crowdsourcing platform company, customer relationship management, digital commerce, enterprise architecture, financial digitizing platform, financial platform software, financial service infrastructure, financial services infrastructure, financial technology solutions, responsible finance, subscription platform</t>
  </si>
  <si>
    <t>FinTech, Real Estate Technology</t>
  </si>
  <si>
    <t>227543-68T</t>
  </si>
  <si>
    <t>Paltech</t>
  </si>
  <si>
    <t>Drug Delivery*, Drug Discovery, Other Devices and Supplies</t>
  </si>
  <si>
    <t>Developer of a laparoscopically implantable medical device designed to serve diabetes patients. The company's device utilizes a patient molecular expression pattern that targets the precise receptor on the right organ, enabling users to apply early treatment to avoid complications related to type-two diabetes.</t>
  </si>
  <si>
    <t>Impact Venture Partners(Pascal Ansart)</t>
  </si>
  <si>
    <t>medical device, medical device dealer, precision medicine approach, therapeutic device, type 2 diabetes prediction, type 2 diabetes treatment</t>
  </si>
  <si>
    <t>Drug Delivery</t>
  </si>
  <si>
    <t>227448-19T</t>
  </si>
  <si>
    <t>TOLV</t>
  </si>
  <si>
    <t>Automotive*, Electronic Equipment and Instruments</t>
  </si>
  <si>
    <t>Manufacturer of vehicle conversion kits intended to make mobility cleaner and more accessible. The company's conversion kits turn petrol and diesel vehicles into electric vehicles, reducing carbon dioxide emissions from the production of a new electric car, enabling clients to accelerate the transition to clean energy and mitigate climate change.</t>
  </si>
  <si>
    <t>EIT KIC Urban Mobility, Lyxor Asset Management, Rhône Dauphiné Développement, Shift4Good, Solidarity</t>
  </si>
  <si>
    <t>electric vehicle charging, electric vehicle fleet, electric vehicle systems, mobility operations, vehicle conversion, vehicle modification</t>
  </si>
  <si>
    <t>Famars, France</t>
  </si>
  <si>
    <t>203173-48T</t>
  </si>
  <si>
    <t>Juno (Business /Productivity Software)</t>
  </si>
  <si>
    <t>Business/Productivity Software*, Media and Information Services (B2B), Operating Systems Software</t>
  </si>
  <si>
    <t>Developer of SaaS software intended to reconnect operators to an efficient system at scale. The company's software allows continuous improvement and field data to manage and work on production performance, quality, and traceability problems and optimally respond to the challenges related to digital transformation, enabling operational players to have a single interface for system management and communication.</t>
  </si>
  <si>
    <t>Benjamin Gauchenot(Benjamin Gauchenot), Bpifrance(Jeanne Bouresche), K. Ventures, OSS Ventures(Renan Devillieres), Ternel</t>
  </si>
  <si>
    <t>operational excellence, operational systems, operational systems support, operational tools, productivity data, software industry</t>
  </si>
  <si>
    <t>227354-14T</t>
  </si>
  <si>
    <t>Keewe</t>
  </si>
  <si>
    <t>Environmental Services (B2B), Financial Software*, Other Commercial Banks</t>
  </si>
  <si>
    <t>Developer of payment complaint platform designed to manage international operations. The company's platform offers the tools to measure, reduce, and offset greenhouse gas emissions through their day-to-day banking operations, enabling small and medium enterprises to commit to the ecological transition.</t>
  </si>
  <si>
    <t>Blast.Club(Anthony Bourbon), Dovesco</t>
  </si>
  <si>
    <t>carbon accounting, carbon analytics, carbon monitoring, carbon tech, carbon technology, emission monitoring, greenhouse gas analysis, sustainable banking, sustainable finance</t>
  </si>
  <si>
    <t>CleanTech, Climate Tech, FinTech</t>
  </si>
  <si>
    <t>234747-64T</t>
  </si>
  <si>
    <t>Sedis</t>
  </si>
  <si>
    <t>Manufacturer of chain catering to food, urban, heavy industry and energy industries. The company specializes in the production of transmission, agricultural, lifting, adapted and conveyor chains along with wheels and sprockets for industrial applications.</t>
  </si>
  <si>
    <t>AMAVI Capital</t>
  </si>
  <si>
    <t>chain manufacturer, chain product, conveyor chain, industrial chain, industrial steel, lifting chain, rollers chain, transmission chain</t>
  </si>
  <si>
    <t>Troyes, France</t>
  </si>
  <si>
    <t>188994-52T</t>
  </si>
  <si>
    <t>227643-76T</t>
  </si>
  <si>
    <t>ABC Transfer</t>
  </si>
  <si>
    <t>Biotechnology, Discovery Tools (Healthcare)*, Pharmaceuticals</t>
  </si>
  <si>
    <t>Manufacturer of secure transfer systems designed for sterile drug manufacturing and bioprocessing. The company's systems incorporate alpha doors, beta containers, single-use bags, and other components, all based on patented designs, enabling the pharmaceutical industry to improve sterility assurance, operator safety, and overall efficiency during drug manufacturing.</t>
  </si>
  <si>
    <t>bio processing, cell therapy drugs, drug manufacture tools, nanopowders technology, pharmaceuticals firm, transfer systems service</t>
  </si>
  <si>
    <t>Chambray-les-tours, France</t>
  </si>
  <si>
    <t>232466-41T</t>
  </si>
  <si>
    <t>aKen Medical</t>
  </si>
  <si>
    <t>Other Healthcare Technology Systems, Therapeutic Devices*</t>
  </si>
  <si>
    <t>Developer of personalized and adaptive radiotherapy platform intended to improve the effectiveness of alpha therapy and reduce its side effects. The company's platform uses imaging and machine learning to create individualized treatment plans that are more precise and targeted, enabling healthcare delivery of higher doses of radiation to tumors while minimizing damage to surrounding healthy tissue.</t>
  </si>
  <si>
    <t>biotechnology research, cancer treatment, hospital &amp; health care, medical devices, radiotherapy device, targeted therapy</t>
  </si>
  <si>
    <t>Artificial Intelligence &amp; Machine Learning, Life Sciences, Oncology</t>
  </si>
  <si>
    <t>228304-63T</t>
  </si>
  <si>
    <t>BlackFin Capital Partners(Julien Creuze), FinTLV Ventures(Mark Chess), Guidewire Software (NYS: GWRE)</t>
  </si>
  <si>
    <t>232464-52T</t>
  </si>
  <si>
    <t>Art2M</t>
  </si>
  <si>
    <t>Operatort of art and connected objects marketplace intended to connect collectors and investors. The company's marketplace identifies and designs prototypes and connected objects via a network of multiple labs, enabling investors passionate about digital art to get in touch with innovative artists who produce connected objects.</t>
  </si>
  <si>
    <t>Mandalore Partners</t>
  </si>
  <si>
    <t>art selling portal, artist network, digital art, digital art platform, digital art showcase, digital art work, digital artwork, dissemination services, media outlet, retail art supplies</t>
  </si>
  <si>
    <t>232226-74T</t>
  </si>
  <si>
    <t>beweelsociety</t>
  </si>
  <si>
    <t>Other Commercial Services, Recreational Goods*</t>
  </si>
  <si>
    <t>Provider of digital electric bikes and cargo bikes marketing service aiming to inspire and facilitate the daily practice of cycling. The company offers a digital ecosystem that includes financing, insurance, maintenance, and anti-theft services for bikes, enabling professionals or cycling enthusiasts to take part in the active mobility revolution.</t>
  </si>
  <si>
    <t>Stellantis (MIL: STLAM)</t>
  </si>
  <si>
    <t>bikes marketplace, cycling community, cycling service, digital ecosystem, electric bikes, sustainable mobility</t>
  </si>
  <si>
    <t>235215-55T</t>
  </si>
  <si>
    <t>Caeli Energie</t>
  </si>
  <si>
    <t>Manufacturer of residential cooling equipment intended to serve as energy efficiency and low carbon footprint air conditioning alternatives. The company's product has no compressors, keeps noise to a minimum, is easy to install, compatible with a downtown installation or in condominiums, energy efficient, and does not use harmful refrigerants, enabling customers to have access to sustainable and local alternatives to conventional air conditioners.</t>
  </si>
  <si>
    <t>Asterion, Bpifrance, Rise PropTech, Starquest Capital, Wind Capital</t>
  </si>
  <si>
    <t>adiabatic cooling, adiabatic cooling system, air conditioner, building energy efficiency, energy efficiency, low-carbon footprint</t>
  </si>
  <si>
    <t>225787-06T</t>
  </si>
  <si>
    <t>Djust</t>
  </si>
  <si>
    <t>Developer of a cloud-based B2B platform designed to help businesses launch their e-commerce and e-procurement platforms. The company's platform offers box digital showrooms, an e-commerce marketplace and CRM in one integrated product, enabling clients to set up and launch their online businesses.</t>
  </si>
  <si>
    <t>Elaia Partners(Xavier Lazarus), New Enterprise Associates(Philip Chopin)</t>
  </si>
  <si>
    <t>b2b platform, cloud commerce, cloud data, digital showroom, ecommerce marketplace, online business, online business launch</t>
  </si>
  <si>
    <t>228558-79T</t>
  </si>
  <si>
    <t>Floating Genes</t>
  </si>
  <si>
    <t>Developer of liquid biopsy-based Vitro diagnosis tests and tools aimed at improving early cancer diagnosis and detection. The company uses sensitive NGS-based targeted sequencing technology to develop diagnostic tools for use in liquid biopsies, enabling doctors to detect rare mutations and a few molecules of rare circulating tumor DNA with a low sequencing depth.</t>
  </si>
  <si>
    <t>cancer detection, cancer diagnostics, dna sequencing, dna sequencing system, liquid biopsy, liquid biopsy company, liquid biopsy technology</t>
  </si>
  <si>
    <t>227800-18T</t>
  </si>
  <si>
    <t>Guided Energy</t>
  </si>
  <si>
    <t>Business/Productivity Software, Environmental Services (B2B), Road*</t>
  </si>
  <si>
    <t>Developer of a smart energy platform intended for autopiloting the charging of electric vehicles. The company's platform utilizes machine learning to develop optimal charging sequences, and job allocations that can directly control the power output of chargers, enabling fleet managers to schedule charging sessions, monitor progress, and receive alerts for issues such as charging disruptions.</t>
  </si>
  <si>
    <t>Dynamo Ventures(Santosh Sankar), Michael Rolle(Michael Rolle), Nico Rosberg(Nico Rosberg), No Label Ventures, Sequoia Capital</t>
  </si>
  <si>
    <t>connectivity &amp; data management, enterprise asset management, enterprise resource planning, erp, expense management, fleet connectivity, fleet management, information and internet, invoice tools, monitor progress, schedule app, workflow tool</t>
  </si>
  <si>
    <t>Artificial Intelligence &amp; Machine Learning, Big Data, CleanTech, Climate Tech, LOHAS &amp; Wellness, Mobility Tech, SaaS</t>
  </si>
  <si>
    <t>244021-42T</t>
  </si>
  <si>
    <t>HeartFocus</t>
  </si>
  <si>
    <t>Developer of an artificial intelligence software designed to help healthcare professionals perform cardiac ultrasounds. The company's software offers artificial intelligence algorithm agnostic to ultrasound manufacturers regardless of sonography experience, enabling healthcare professionals to perform cardiac ultrasounds with real-time guidance, quality assessment and automatic analysis.</t>
  </si>
  <si>
    <t>BNP Paribas Développement, Epopée Gestion, Nouvelle Aquitaine Co-Investissement</t>
  </si>
  <si>
    <t>cardiac care technology, cardiac ultrasound, cardiac ultrasound analysis, heart health tracking, ultrasound scanning, ultrasound testing</t>
  </si>
  <si>
    <t>232755-22T</t>
  </si>
  <si>
    <t>Idelia Sante</t>
  </si>
  <si>
    <t>Provider of continuing professional development training intended to help healthcare professionals through online training courses. The company's platform offers a variety of features, including interactive and engaging training content, an easy-to-use interface, a wide range of topics and experienced and qualified trainers, enabling healthcare professionals to stay up-to-date on the latest medical knowledge.</t>
  </si>
  <si>
    <t>Smalt Capital</t>
  </si>
  <si>
    <t>cpd training, cpd training courses, healthcare training, medical education, nurse training, professional development courses</t>
  </si>
  <si>
    <t>227758-87T</t>
  </si>
  <si>
    <t>Jurnee</t>
  </si>
  <si>
    <t>Developer of an enterprise platform designed to book and plan your team events. The company's platform allows users to book exciting team experiences both virtual and in-person, enabling organizations to find new ways to safely connect with their remote teams.</t>
  </si>
  <si>
    <t>Angular Ventures</t>
  </si>
  <si>
    <t>business event platform, enterprise platform, enterprise platform developer, event planner, event planner platform, hybrid working, remote working, team events, team experience, team outings</t>
  </si>
  <si>
    <t>232494-85T</t>
  </si>
  <si>
    <t>Kidibam</t>
  </si>
  <si>
    <t>Media and Information Services (B2B), Other Services (B2C Non-Financial), Specialty Retail*</t>
  </si>
  <si>
    <t>Developer of an online platform designed to offer buying and selling of toys. The company's platform collects used toys from renowned brands modifies them and resells them on the platform, enabling customers to buy the toys at low prices and to sell their children's toys.</t>
  </si>
  <si>
    <t>Arion Venture Capital, Snaw Ventures</t>
  </si>
  <si>
    <t>baby equipment, baby equipment platform, baby equipment supplier, children's toys, toys business, toys platform</t>
  </si>
  <si>
    <t>227652-40T</t>
  </si>
  <si>
    <t>227810-44T</t>
  </si>
  <si>
    <t>Mizou</t>
  </si>
  <si>
    <t>Developer of an AI-powered educational platform designed to revolutionize education by empowering teachers with AI tools and personalizing the learning journey for each student. The company's platform makes education interactive, efficient, and accessible, enabling students to gain insights from thought leaders in the field and learn about real-world examples of AI implementation in classrooms around the globe.</t>
  </si>
  <si>
    <t>No Label Ventures</t>
  </si>
  <si>
    <t>ai platform, education technology, educational platform, interactive education, learning tool, personalized learning</t>
  </si>
  <si>
    <t>Asnieres-sur-Seine, France</t>
  </si>
  <si>
    <t>227408-86T</t>
  </si>
  <si>
    <t>NoWW</t>
  </si>
  <si>
    <t>Business/Productivity Software, Environmental Services (B2B), Other Containers and Packaging*</t>
  </si>
  <si>
    <t>Developer of reusable food containers and a waste reduction platform designed to modernize the deposit return with reusable packaging. The company designs and operates a tailor-made deposit return system aiming toward zero packaging waste and provides reusable food containers and cleaning alternatives, helping restaurants and retail players with effective reusable packaging available to reduce plastic waste.</t>
  </si>
  <si>
    <t>Angelor, Foodara, MLM Investments</t>
  </si>
  <si>
    <t>cleaning solutions, plastic waste reduction, reusable food containers, reusable packaging, waste reduction, zero packaging waste</t>
  </si>
  <si>
    <t>228569-50T</t>
  </si>
  <si>
    <t>Palisade</t>
  </si>
  <si>
    <t>Financial Software, Network Management Software*</t>
  </si>
  <si>
    <t>Developer of a digital asset custody platform designed to transform security, protect, and govern assets. The company's platform offers features like wallet provisioning, counter-party risk mitigation, AML screening, token issuance, and exchange integration, enabling clients to safely and securely hold, manage, and interact with their assets.</t>
  </si>
  <si>
    <t>Fly Ventures, Portage, Ripple</t>
  </si>
  <si>
    <t>blockchain project, blockchain services, digital asset, digital asset data, digital asset news, transform security</t>
  </si>
  <si>
    <t>227655-64T</t>
  </si>
  <si>
    <t>Pledger (Financial Software)</t>
  </si>
  <si>
    <t>Developer of a credit-guaranteed platform designed to make loans more accessible. The company's platform integrated into the information systems of financial institutions allows the borrower to deposit their savings as collateral where savings will not be touched unless the borrower defaults, enabling borrowers to get loans at competitive rates and with reduced granting criteria.</t>
  </si>
  <si>
    <t>Mandalore Partners(Minh Tran)</t>
  </si>
  <si>
    <t>credit facility, credit guarantee facility, credit guarantee services, credit loan asset, credit loan service, democratize finance, financial service infrastructure, financial services infrastructure, traditional loans</t>
  </si>
  <si>
    <t>232721-83T</t>
  </si>
  <si>
    <t>Villages Clubs du Soleil</t>
  </si>
  <si>
    <t>Information Services (B2C), Other Restaurants, Hotels and Leisure*</t>
  </si>
  <si>
    <t>Provider of travel and tourism management services intended to satisfy holiday desires. The company offers a variety of educational activities, responsible practices, and opportunities for individuals to fulfill their traveling potential according to their itinerary, helping travel enthusiasts plan and enjoy the holidays.</t>
  </si>
  <si>
    <t>stay hotel, travel agency, travel and tourism, travel arrangements, vacation home, vacation planning assistance</t>
  </si>
  <si>
    <t>248746-42T</t>
  </si>
  <si>
    <t>Arkeon Energy Systems</t>
  </si>
  <si>
    <t>Manufacturer of emission-free high-power heat pumps intended to represent a very low-carbon, autonomous alternative to boilers. The company offers an innovative system and services that reduce the environmental impact of heat and cold production and distribution units, enabling customers to reduce the cost of heating buildings.</t>
  </si>
  <si>
    <t>Crédit Agricole Franche-Comté, Team for the Planet</t>
  </si>
  <si>
    <t>alternative heating method, built environment, distribution unit, heat pump, heating building, industrial machinery</t>
  </si>
  <si>
    <t>227380-24T</t>
  </si>
  <si>
    <t>Bloom Lasers</t>
  </si>
  <si>
    <t>Other Commercial Products*, Other Hardware</t>
  </si>
  <si>
    <t>Manufacturer of high-power, agile, visible, and UV fiber laser devices designed for high-precision micromachining applications. The company's lasers are based on mature and field-proven fiber technology that guarantees beam quality and stability, providing clients with laser technology that is scalable, easy to use and maintain, and has a low cost of ownership.</t>
  </si>
  <si>
    <t>Foreis, Guillaume Lerouge(Guillaume Lerouge), IRDI Capital Investissement(Vincent Brousse), Nouvelle Aquitaine Co-Investissement(Alain Rousset), SkalePark</t>
  </si>
  <si>
    <t>laser manufacturing, laser product manufacturer, laser tools, nanosecond laser, photonics sensing technology, predictive maintenance</t>
  </si>
  <si>
    <t>215338-06T</t>
  </si>
  <si>
    <t>Andréa Bensaid(Andréa Bensaid), Chantal Baudron(Chantal Baudron), Christophe Verley(Christophe Verley), Club Holnest, Gary Anssens(Gary Anssens), GO Capital (France), Holnest, Ilan Benhaim(Ilan Benhaim), Jérémy Pouyer(Jérémy Pouyer), Link Tribe Capital, Matthieu Pihery(Matthieu Pihery), Nicolas Paepegay(Nicolas Paepegay), One Green (Paris), Patricia Tranvouëz(Patricia Tranvouëz), Pierre-Noel Luiggi(Pierre-Noel Luiggi), Rachel Marouani(Rachel Marouani), Richard Courtois(Richard Courtois), Thierry Lernon(Thierry Lernon), Vincent Nida(Vincent Nida)</t>
  </si>
  <si>
    <t>108480-88T</t>
  </si>
  <si>
    <t>Exeliom Biosciences</t>
  </si>
  <si>
    <t>Developer of immunotherapies designed to help harness the therapeutic potential of gut microbiota. The company develops single bacterial strain drug candidates to deliver microbiome-based immunotherapy for treating inflammatory bowel diseases and cancer, starting with Crohn's Disease as a first indication, enabling patients to lead longer and healthier lives by accessing their medicines derived from microbiota.</t>
  </si>
  <si>
    <t>Auriga Partners (Paris), Biocodex, Capital Grand Est, CE-Ventures(Tushar Singhvi), Elaia Partners, Forepont Capital Partners, INRAE (France), Paris Biotech Sante, Sofimac Innovation, Sofimac Investment Managers, UI Investissement(Francois Miceli), Wilco(Paris)</t>
  </si>
  <si>
    <t>bacteriotherapy, cancer immunotherapy, commensal bacteria, emerging therapy, gut microbiota, gut microbiota derivatives, therapeutic services, therapeutic services provider</t>
  </si>
  <si>
    <t>227220-94T</t>
  </si>
  <si>
    <t>Pollen Robotics</t>
  </si>
  <si>
    <t>Humanoid Robotics</t>
  </si>
  <si>
    <t>Developer of robots intended to serve the healthcare, retail, and education industries. The company's robots specialize in humanoid services that are customizable and provide access to common connectivity through an advanced robotic arm for object manipulation by utilizing technology and antennas to convey emotions, enabling scientists, artists and innovators to explore usages and make the robotic revolution an available opportunity for everyone.</t>
  </si>
  <si>
    <t>artificial intelligence technology, autonomous machine, humanoid robots, industrial data analytics, intelligent robotics, product design, robotic technology, robotics r&amp;d, robots systems, service application, vertical application</t>
  </si>
  <si>
    <t>Artificial Intelligence &amp; Machine Learning, Big Data, Robotics and Drones, SaaS</t>
  </si>
  <si>
    <t>233251-66T</t>
  </si>
  <si>
    <t>Scintil Photonics</t>
  </si>
  <si>
    <t>Silicon Photonics</t>
  </si>
  <si>
    <t>Application Specific Semiconductors, General Purpose Semiconductors*</t>
  </si>
  <si>
    <t>Developer of silicon photonic integrated circuits designed to enhance traditional high-speed optical communications and chip interconnections. The company's silicon photonic integrated circuit (IC) product is a single-chip solution where optical amplifiers and lasers are monolithically integrated on the backside of advanced silicon photonic circuits comprising silicon modulators and germanium photodetectors, enabling industries to improve performances and reliability, significantly reduces implementation costs.</t>
  </si>
  <si>
    <t>chips interconnection, integrated circuit, optical amplifier, optical communication, photonic integrated circuits, silicon photonics, silicon photonics chips</t>
  </si>
  <si>
    <t>227992-15T</t>
  </si>
  <si>
    <t>Sonio (Paris)</t>
  </si>
  <si>
    <t>Developer of an artificial intelligence-based fetal ultrasound software intended to analyze and diagnose congenital malformations. The company's software combines the patient's medical history, genetic and biological data, and ultrasound semiology to assist physicians on the path to the right diagnosis and assists sonographers during prenatal screening scans, enabling healthcare practitioners to receive crucial support in conducting fetal ultrasound and mothers to take care of themselves and their children.</t>
  </si>
  <si>
    <t>Alain Decombe(Alain Decombe), Bpifrance, Cross Border Impact Ventures(Megan Dover), Dominique Gaillard(Dominique Gaillard), EASME - EU Executive Agency for SMEs, Elaia Partners, European Innovation Council Fund, OneRagtime, Yann Fleureau(Yann Fleureau)</t>
  </si>
  <si>
    <t>artificial intelligence, biological data management, clinical decision support, congenital malformations, enterprise resource planning, erp, fetal ultrasound, sonography device, ultrasound study</t>
  </si>
  <si>
    <t>Artificial Intelligence &amp; Machine Learning, HealthTech, SaaS</t>
  </si>
  <si>
    <t>Saint-Jacques, France</t>
  </si>
  <si>
    <t>228664-00T</t>
  </si>
  <si>
    <t>Uvoji</t>
  </si>
  <si>
    <t>Developer of ultraviolet-c light-emitting diode water treatment system designed to provide safe drinking water. The company's system helps to meet the challenges of access to drinking water and provides technological services like reuse systems, point-of-use greywater reuse systems, and urgent needs of point-of-use water treatment, enabling users to get purified water free from bacteria, viruses, parasites, and spores.</t>
  </si>
  <si>
    <t>Jala Holding</t>
  </si>
  <si>
    <t>surface disinfection, surface disinfection device, textile disinfection, uv led, wastewater conversion, wastewater discharges, water purification, water purifier</t>
  </si>
  <si>
    <t>219816-10T</t>
  </si>
  <si>
    <t>X-PRESSURE</t>
  </si>
  <si>
    <t>Decision/Risk Analysis, Diagnostic Equipment*, Monitoring Equipment</t>
  </si>
  <si>
    <t>Developer of a medical device designed to measure cerebrospinal fluid pressure. The company's device is equipment to diagnose brain diseases and offers measurement and analysis of CSF pressure at the bedside, enabling doctors to measure the pressure more accurately and efficiently and make a diagnosis.</t>
  </si>
  <si>
    <t>Bpifrance, IRDI Capital Investissement, M Capital Partners</t>
  </si>
  <si>
    <t>artificial intelligence, deeptech, medical device, medical device innovation, medical device material, medical device providers, medical software, medtech</t>
  </si>
  <si>
    <t>232196-14T</t>
  </si>
  <si>
    <t>251588-08T</t>
  </si>
  <si>
    <t>Etymology</t>
  </si>
  <si>
    <t>Developer of digital payment software designed for online merchants. The company's platform helps merchants' customers to pay through Bank Accounts, cards, MFS, e-wallets, and any other payment mode authorized by the Bank, enabling merchants to receive payments with ease.</t>
  </si>
  <si>
    <t>SBK Tech</t>
  </si>
  <si>
    <t>digital payment, e-wallet payment, merchant payment, merchant solutions, online payment, payment solutions</t>
  </si>
  <si>
    <t>Aix-En-Provence, France</t>
  </si>
  <si>
    <t>212630-59T</t>
  </si>
  <si>
    <t>Qarnot</t>
  </si>
  <si>
    <t>High Performance Computing</t>
  </si>
  <si>
    <t>Electronics (B2C)*, Environmental Services (B2B), Other Commercial Services</t>
  </si>
  <si>
    <t>Developer of a computing heater intended to offer high-performance computers using an embedded heat source. The company's heater offers a fusion of an electrical heater and a quality performance computing server that produces heat by computation, enabling users to control the temperature with the embedded thermostat or smartphone.</t>
  </si>
  <si>
    <t>ADEME Investissement, Banque des Territoires, Colam Impact, Demeter Partners, European Innovation Council Fund, Societe Generale Ventures</t>
  </si>
  <si>
    <t>built environment, cloud computing, electrical heater, electrical water heater, high performance computing, thermostats system</t>
  </si>
  <si>
    <t>Climate Tech, TMT</t>
  </si>
  <si>
    <t>227243-98T</t>
  </si>
  <si>
    <t>The Arcane</t>
  </si>
  <si>
    <t>Consulting Services (B2B)*</t>
  </si>
  <si>
    <t>Provider of influence and governance consulting services intended to help decision-makers better understand and interact. The company's services include prospective advice, influence counseling, and transformational advice, enabling businesses to build positive performance.</t>
  </si>
  <si>
    <t>business advisory, business growth, communications agency services, consulting firm, decision making service, influencer agency, intelligence consulting, strategic planning, transformation management</t>
  </si>
  <si>
    <t>226969-48T</t>
  </si>
  <si>
    <t>FutureBrand, Good Only Ventures, Kima Ventures</t>
  </si>
  <si>
    <t>226918-45T</t>
  </si>
  <si>
    <t>Carthera</t>
  </si>
  <si>
    <t>Operator of a clinical-stage medtech company intended to develop ultrasound-based medical devices to treat brain disorders. The company's devices are intracranial ultrasound implants in combination with intravenous injection of a microbubble agent that temporarily opens the blood-brain barrier and makes way for an increased concentration of therapeutic molecules to reach the brain, enabling doctors with potential cures for debilitating neurological conditions.</t>
  </si>
  <si>
    <t>BOUSCAS, Panakes Partners(Diana Saraceni), Relyens, Saint-Genys, Supernova Invest(Celia Hart), Unorthodox Ventures</t>
  </si>
  <si>
    <t>brain therapy, brain treatment, drug delivery device, imaging equipment, imaging tool, medical device, neurosurgery device, neurosurgery product</t>
  </si>
  <si>
    <t>234146-53T</t>
  </si>
  <si>
    <t>Opeo Conseil, Tikehau Capital (PAR: TKO)</t>
  </si>
  <si>
    <t>190122-13T</t>
  </si>
  <si>
    <t>Karista (Paris), Paris Region Venture Fund</t>
  </si>
  <si>
    <t>226959-49T</t>
  </si>
  <si>
    <t>Urbyn</t>
  </si>
  <si>
    <t>Developer of an online waste management platform designed to reduce the environmental impact of businesses by accelerating their transition to the circular economy. The company's services include lowering collection costs by choosing competitive providers and helping them collect more efficiently with its dedicated technology, enabling businesses to track cost and waste in a transparent way to have affordable recycling services and pay bills online.</t>
  </si>
  <si>
    <t>recycling analytics, recycling management, recycling service, recycling service provider, recycling services, waste management, waste management platform</t>
  </si>
  <si>
    <t>226866-88T</t>
  </si>
  <si>
    <t>Vestalis</t>
  </si>
  <si>
    <t>Home Furnishings, Other Services (B2C Non-Financial)*</t>
  </si>
  <si>
    <t>Provider of a turnkey management service intended to manage long-term furnished rentals as simple as an empty rental. The company's service offers a turnkey furniture and household appliance rental service for owners and investors also maintenance and renewal of furniture, as well as delivery and installation, are included at no additional cost, enabling owners and real estate players to improve the attractiveness and profitability of their properties with ease.</t>
  </si>
  <si>
    <t>Altur Investissement, LBO France, Super Capital(Olivier Bronner)</t>
  </si>
  <si>
    <t>appliance rental service, furnishings product, furniture maintenance service, furniture rental service, furniture services, household appliances maintenance</t>
  </si>
  <si>
    <t>226927-09T</t>
  </si>
  <si>
    <t>Numa Health</t>
  </si>
  <si>
    <t>Developer of a digital health platform designed to provide tools to achieve commitment to optimize health capital and well-being. The company's platform facilitates reinterpretation of the blood test to reveal how the body works and provides health information, enabling users to measure, understand, and act on their health.</t>
  </si>
  <si>
    <t>Bpifrance, Groupe Inovie, Groupe Pasteur Mutualité, RGREEN INVEST</t>
  </si>
  <si>
    <t>bioinformatics data, digital care management, digital health, digital healthcare, digital healthcare app, health disorder, health risk management, nutritional advice, personalized health</t>
  </si>
  <si>
    <t>Digital Health, HealthTech, Mobile, TMT</t>
  </si>
  <si>
    <t>242836-93T</t>
  </si>
  <si>
    <t>Wall'Up Prefa</t>
  </si>
  <si>
    <t>Building Products*, Other Commercial Products</t>
  </si>
  <si>
    <t>Manufacturer of prefabricated building panels intended to be used in social housing. The company offers insulated hemp concrete panels on a wooden frame base with the use of production tools that provide hygrothermal and fire-resistance performance, enabling clients, architects, developers, technical service, or construction companies with an economic and technical approach.</t>
  </si>
  <si>
    <t>Altur Investissement, Schneider Electric (Electrical Equipment) (PAR: SU)</t>
  </si>
  <si>
    <t>building panels, carbon reduction, financial support, hemp product company, wood construction, wooden framework</t>
  </si>
  <si>
    <t>Building Products</t>
  </si>
  <si>
    <t>Aulnoy, France</t>
  </si>
  <si>
    <t>228801-79T</t>
  </si>
  <si>
    <t>EB Escalade</t>
  </si>
  <si>
    <t>Accessories, Footwear*, Other Commercial Products</t>
  </si>
  <si>
    <t>Manufacturer of climbing shoes and accessories intended to provide optimal climbing experience. The company offers a range of footwear and accessories adapted to the levels of the athletes, their climbing practices, and their foot morphologies, to guarantee compliance with demanding health and environmental standards, providing athletes with a better climbing and adventure experience.</t>
  </si>
  <si>
    <t>Crédit Agricole Alpes Développement</t>
  </si>
  <si>
    <t>climbing accessories, climbing equipment, climbing gym, climbing shoes, shoe store, sporting goods, training apparel</t>
  </si>
  <si>
    <t>Sassenage, France</t>
  </si>
  <si>
    <t>227021-68T</t>
  </si>
  <si>
    <t>Carbookr</t>
  </si>
  <si>
    <t>Developer of a car rental platform designed to manage business trips easily. The company's platform provides information on various car rental companies and features the ability to book and manage reservations, charge rates without surcharges, and provide delivery of valet parking at stations and airports, enabling business travelers, individuals, and others to travel and commute with ease at an affordable price.</t>
  </si>
  <si>
    <t>Mutuelle Assurance Commerçants et Industriels France(Julien Hue)</t>
  </si>
  <si>
    <t>car rental marketplace, car rental platform, intuitive interface, professional mobility, rent facility, reservation management, short term rental, travel and tourism</t>
  </si>
  <si>
    <t>Car-Sharing, Mobility Tech, SaaS, TMT</t>
  </si>
  <si>
    <t>226582-12T</t>
  </si>
  <si>
    <t>Ilasis</t>
  </si>
  <si>
    <t>Developer of femtosecond laser systems designed for eye surgeries. The company manufactures laser medical devices for ophthalmology and laser scalpels for cataract surgery based on the concept of frugal innovation, enabling ophthalmologists to get irreproachable cutting services, in less time and at a lower cost.</t>
  </si>
  <si>
    <t>IRDI Capital Investissement, Nouvelle Aquitaine Co-Investissement</t>
  </si>
  <si>
    <t>eye surgery, eye technology, healthcare equipment, healthcare supplies, laser systems technology, medical device, visiontech</t>
  </si>
  <si>
    <t>207409-33T</t>
  </si>
  <si>
    <t>Sarus (Equipment)</t>
  </si>
  <si>
    <t>Alternative Energy Equipment, Energy Storage, Other Equipment*</t>
  </si>
  <si>
    <t>Developer of a gas network system designed for maintaining high-pressure regulators for the energy transition. The company engages in linear regulators and piston expanders to work at variable pressure ratios and offers maintenance-free high-pressure regulators, enabling clients to allow operations at capacities by providing affordable and durable services.</t>
  </si>
  <si>
    <t>Finovam Gestion, GTT Strategic Ventures, IRD Invest</t>
  </si>
  <si>
    <t>energy recovery, gas network, gas system, gas system equipment, linear generator, thermodynamics innovations</t>
  </si>
  <si>
    <t>226359-28T</t>
  </si>
  <si>
    <t>Braintale</t>
  </si>
  <si>
    <t>Developer of a digital medical care platform intended for the hospital to analyze MRI reports. The company's platform gives accessible and effective diagnosis and prognosis tools for predicting the emergence of patients in coma, admitted to intensive care units after severe traumatic brain injuries, cardiac arrest, or hemorrhagic stroke, enabling physicians to easily diagnose their patients from coma.</t>
  </si>
  <si>
    <t>Capital Grand Est(Viriginie Miath), Groupe MACSF(Sebastien Couvet)</t>
  </si>
  <si>
    <t>digital medical health, digital medical tool, imaging equipment, imaging tool, medical analysis system, medical analytics, online medical advice, traumatic brain injury</t>
  </si>
  <si>
    <t>220690-27T</t>
  </si>
  <si>
    <t>Optimiz Construction</t>
  </si>
  <si>
    <t>Business/Productivity Software*, Construction and Engineering</t>
  </si>
  <si>
    <t>Developer of a construction management platform intended to provide construction alternatives for optimizing steel cuttings on site. The company's platform automatically generates optimized installation plans that are implemented naturally in the usual operation of the technical studies office without adding an intermediary or changing work tools, enabling companies to gain in performance on their reinforcement station by optimizing materials.</t>
  </si>
  <si>
    <t>AFI Ventures (Paris)(Charles Fourault), Alexandre Brochot(Alexandre Brochot), Jérôme Manuguerra(Jérôme Manuguerra), Kima Ventures, Nicolas Mondollot(Nicolas Mondollot), Pentagram Ventures, SISTAFUND(Alice Groth), Ventech (Paris)</t>
  </si>
  <si>
    <t>construction model, construction technology tools, construction work, digital application, drawing tools, installation methods, raw materials management</t>
  </si>
  <si>
    <t>226192-06T</t>
  </si>
  <si>
    <t>Blank (Business/Productivity Software)</t>
  </si>
  <si>
    <t>Developer of a financial management platform designed to manage the business from a single and complete interface. The company's platform connects all the bank accounts and centralizes finances in a single application, edits invoices and quotes, enabling banks to report each month in the right format, and scans checks directly from the application.</t>
  </si>
  <si>
    <t>Credit Agricole Entreprises (PAR: CRBP), La Fabrique by CA</t>
  </si>
  <si>
    <t>account management tool, business management app, commercial finance, digital banking, financial management system, financial management tool</t>
  </si>
  <si>
    <t>232354-09T</t>
  </si>
  <si>
    <t>Incitis</t>
  </si>
  <si>
    <t>Manufacturer of zero-emission trucks intended to improve urban delivery. The company engages in a pioneering truck that can be completely loaded/unloaded, the concept of mobility makes it possible to reduce the cycle of rounds, to improve the difficulty of the delivery person, enabling clients to make it a sustainable and environmentally friendly solution for urban delivery.</t>
  </si>
  <si>
    <t>environmental friendly, mobility operations, mobility product, motor vehicle, sustainable delivery, vehicle manufacturing</t>
  </si>
  <si>
    <t>226233-91T</t>
  </si>
  <si>
    <t>Perlib</t>
  </si>
  <si>
    <t>Financial Software, Life and Health Insurance, Multi-line Insurance*, Other Financial Services</t>
  </si>
  <si>
    <t>Developer of insurance planning platform intended to help individuals and businesses save for retirement. The company's platform offers a variety of features, including investment options, tax benefits, and flexible withdrawal options, enabling individuals and businesses to save for retirement in a way that meets their individual needs.</t>
  </si>
  <si>
    <t>Arnaud de Saint Louvent(Arnaud de Louvent), Geoffroy Bragadir(Geoffroy Bragadir)</t>
  </si>
  <si>
    <t>insurance system, investment options, life insurance, retirement plan, retirement planning, retirement saving, retirement savings plan, wealthtech</t>
  </si>
  <si>
    <t>Multi-line Insurance</t>
  </si>
  <si>
    <t>226140-40T</t>
  </si>
  <si>
    <t>Azur Confort</t>
  </si>
  <si>
    <t>Home Furnishings, Wood/Hard Products*</t>
  </si>
  <si>
    <t>Forestry</t>
  </si>
  <si>
    <t>Manufacturer of wooden furniture intended to cater to professionals, tourist accommodations, and residential facilities. The company specializes in offering office designing, engineering, production, manufacturing, and finishing workshops with tailored support, enabling businesses to create better, more inviting, and stylish spaces for customers.</t>
  </si>
  <si>
    <t>Siparex Group</t>
  </si>
  <si>
    <t>commercial products, furniture manufacturing, furniture sales, office furnishings, wood chairs, wood products manufacturer</t>
  </si>
  <si>
    <t>Wood/Hard Products</t>
  </si>
  <si>
    <t>Entre Deux Guiers, France</t>
  </si>
  <si>
    <t>226121-59T</t>
  </si>
  <si>
    <t>Isybot</t>
  </si>
  <si>
    <t>Developer of collaborative robots designed to automate strenuous tasks in industry and work safely in contact with humans. The company's robots bring competitiveness and attractiveness to manual operations deemed not to be automated like sanding and come in different operating modes as per the user's requirement, enabling operators to improve productivity and reduce painfulness and fatigue.</t>
  </si>
  <si>
    <t>Calao Finance, CEA Investissement, Karot Capital, Saint-Gobain Abrasives</t>
  </si>
  <si>
    <t>actuation technology, automation machinery, collaborative robots, robotic arm, robotics assembly, robotics assistance</t>
  </si>
  <si>
    <t>Les Ulis, France</t>
  </si>
  <si>
    <t>246243-79T</t>
  </si>
  <si>
    <t>Kernel (Human Capital Services)</t>
  </si>
  <si>
    <t>Developer of an international recruitment platform intended to grow tech teams in international ecosystems, effortlessly. The company's platform allows the organization to quickly hire dedicated tech employees in strategic countries, without legal, tax, human resource, or material constraints and without having to create a local office or subsidiary, enabling companies to recruit, manage, and equip IT talent in high-potential countries with compliance and without having to establish a local presence.</t>
  </si>
  <si>
    <t>Newfund Management(Salim Hassad), Super Capital</t>
  </si>
  <si>
    <t>data scientists, evaluation tool, it developer, it talent, onboarding and offboarding, onboarding tools, recruitment platform, recruitment tech</t>
  </si>
  <si>
    <t>226068-94T</t>
  </si>
  <si>
    <t>Revoltrain Academy</t>
  </si>
  <si>
    <t>Education and Training Services (B2B), Human Capital Services*</t>
  </si>
  <si>
    <t>Operator of a job training platform intended to provide promising jobs in record time. The company offers remote programs with the proper support from teachers for tailor-made support and guidance, enabling professionals to get freelancers jobs with the best fit of their skills and knowledge.</t>
  </si>
  <si>
    <t>Alclan, Aonia Ventures, Bpifrance, Enercon, Financière Saint James, Guibor, Kima Ventures, KISTERS, Michaël Benabou, Motier Ventures</t>
  </si>
  <si>
    <t>career service platform, education and training service, education profession, education school, education servicing, jobs training program, training session</t>
  </si>
  <si>
    <t>226057-87T</t>
  </si>
  <si>
    <t>Million Victories</t>
  </si>
  <si>
    <t>Operator of a gaming studio intended to create challenging, dynamic, and competitive games on mobile. The company develops multiplayer strategy games for users, enabling gamers to get an immersive gaming experience.</t>
  </si>
  <si>
    <t>Eurazeo (PAR: RF)(Louis Bô), Griffin Gaming Partners(Pierre Planche)</t>
  </si>
  <si>
    <t>games tour, gaming content, gaming platform, gaming studio, gaming studio operator, gaming world, online games, online play, strategy games</t>
  </si>
  <si>
    <t>Gaming, Mobile, SaaS</t>
  </si>
  <si>
    <t>225889-03T</t>
  </si>
  <si>
    <t>Fermes En Vie</t>
  </si>
  <si>
    <t>Other Agriculture, Real Estate Services (B2C)*</t>
  </si>
  <si>
    <t>Developer of a social impact investment platform intended to finance the shift to agroecology. The company's platform allows citizens to invest in land for sustainable agriculture, enabling customers to transition to being farmers easily and contribute to the agroecological transition in France.</t>
  </si>
  <si>
    <t>Bpifrance, Thierry Fahmy(Thierry Fahmy), Thierry Petit(Thierry Petit)</t>
  </si>
  <si>
    <t>agriculture finance, agriculture insurance, agrifinance &amp; ecommerce, agrifinance and ecommerce, agroecological transition, agroecology services, ecological transition, food transition, land investment, sustainable production</t>
  </si>
  <si>
    <t>225872-20T</t>
  </si>
  <si>
    <t>Santexpat.fr</t>
  </si>
  <si>
    <t>Application Software, Financial Software, Life and Health Insurance*</t>
  </si>
  <si>
    <t>Operator of an online health insurance platform intended to analyze health insurance portals to subscribe directly online with the insurers. The company's platform displays prices corresponding to the public rates of the insurers and includes all costs, does not charge any additional costs to the insured and the insurance premiums which are payable directly on the site of the selected insurer, enabling users to ensure for the health costs in an easy manner.</t>
  </si>
  <si>
    <t>BNP Paribas (PAR: BNP), Bpifrance, Malakoff Humanis, Swiss Life France</t>
  </si>
  <si>
    <t>endometriosis treatment, gynecological care, health coverage, health insurance, health insurance comparison, teleconsultation</t>
  </si>
  <si>
    <t>226155-25T</t>
  </si>
  <si>
    <t>Albert School</t>
  </si>
  <si>
    <t>Operator of a data-centric business school curriculum intended to prepare students for careers in data science and analytics. The company's services include a combination of business and data curriculum, with a focus on hands-on learning and real-world experience, enabling students to develop the skills and knowledge they need to succeed in the data-driven economy.</t>
  </si>
  <si>
    <t>business education, business school service, business school workshops, higher education school, school curriculum, school curriculum planning</t>
  </si>
  <si>
    <t>225811-72T</t>
  </si>
  <si>
    <t>Astran (Network Management Software)</t>
  </si>
  <si>
    <t>Developer of a decentralized data storage and collaboration software designed to help companies unlock cloud adoption without encryption keys. The company's software is based on threshold cryptography technology that engages in encryption and fragmentation of information and distributes data across several cloud services making it difficult for malicious entities to collect and use the data, enabling clients with an efficient solution against cyber-attacks while taking advantage of the performance of major cloud players.</t>
  </si>
  <si>
    <t>Founders Future, Galion.exe, Kemp Au Ventures, Newfund Management, SISTAFUND(Tatiana Jama)</t>
  </si>
  <si>
    <t>business continuity management, cloud data management, cloud storage, cloud storage system, confidential data protection, confidential data security, cyber security system, data security, data storage, database loss prevention, database monitoring, encrypted data storage</t>
  </si>
  <si>
    <t>CloudTech &amp; DevOps, Cybersecurity, SaaS</t>
  </si>
  <si>
    <t>225864-10T</t>
  </si>
  <si>
    <t>Loopsider</t>
  </si>
  <si>
    <t>Developer of a video media platform designed to publish content that creates conversation among millennials. The company's platform creates content and puts expertise in visual storytelling, tells and decrypts in pictures the stories that make the news, enabling brands to have a voice in the conversation and generate commitment at the lowest cost.</t>
  </si>
  <si>
    <t>CMI France(Valerie Solomon), Purple (Paris)</t>
  </si>
  <si>
    <t>branding content, digital media, media creation company, picture stories, social media, video media company, visual storytelling</t>
  </si>
  <si>
    <t>232510-69T</t>
  </si>
  <si>
    <t>Kareg</t>
  </si>
  <si>
    <t>Asset Management*, Other Financial Services</t>
  </si>
  <si>
    <t>Operator of a consulting and investment company specializing in the repositioning of assets intended to provide expertise in advice and management. The platform provides a range of features, including financial planning and control, arbitrations, procurement, and asset management, enabling companies to effectively secure real estate portfolios over the long term, through the cycles of the real estate market.</t>
  </si>
  <si>
    <t>Karot Capital(Charles-Antoine Morand)</t>
  </si>
  <si>
    <t>carbon footprint, csr management, financial intermediary, real estate management, real estate market, real estate portfolio</t>
  </si>
  <si>
    <t>225934-84T</t>
  </si>
  <si>
    <t>GuaTecs</t>
  </si>
  <si>
    <t>Manufacturer of guayule latex in the aqueous phase intended for the production of natural rubber. The company extracts natural latex and other coproducts from a plant named Guayule which can provide an alternative to reduce hevea deforestation, enabling rubber manufacturers to produce medical gloves that are non-allergenic, softer, and stronger.</t>
  </si>
  <si>
    <t>Ocseed</t>
  </si>
  <si>
    <t>guayule product, guayule-based rubber, hevea industrial standards, latex product, natural latex processing, natural rubber latex</t>
  </si>
  <si>
    <t>225718-39T</t>
  </si>
  <si>
    <t>Jay &amp; Joy</t>
  </si>
  <si>
    <t>Producer of plant-based cheese products intended to offer vegan and organic cheese. The company's products offer cheeses, yogurts, and ice creams made from cashews, almonds, sunflower seeds, rice, and hemp, enabling vegan customers to enjoy an alternative to traditional milk-based products.</t>
  </si>
  <si>
    <t>Bertrand Altmayer(Bertrand Altmayer), Bpifrance, Charles-César d'Amat(Charles-César d'Amat), Cédric Meston(Cédric Meston), Fifteen, Guillaume Dubois(Guillaume Dubois), High Flyers Capital, Jean-Baptiste Rudelle(Jean-Baptiste Rudelle), Pierre-Emmanuel Bercegeay(Pierre-Emmanuel Bercegeay)</t>
  </si>
  <si>
    <t>Restart - Later VC</t>
  </si>
  <si>
    <t>alternative vegetables, alt-proteins, food and beverage manufacturing, food products, ice cream, plant-based protein, vegan cheese products, vegan food, vegan product</t>
  </si>
  <si>
    <t>Climate Tech, E-Commerce, FoodTech, LOHAS &amp; Wellness</t>
  </si>
  <si>
    <t>250941-16T</t>
  </si>
  <si>
    <t>Myr.ai</t>
  </si>
  <si>
    <t>Developer of a workplace operating system designed to automate workplace tasks. The company's system leverages artificial intelligence and augmented reality to organize facility management task flow through a shared interface to keep track of office key dates, manage floor cleaning processes, and many more facilities, enabling businesses to keep track of their daily activities and automate repetitive tasks using a single platform.</t>
  </si>
  <si>
    <t>digitalization services, facility management, facility management platform, facility management tool, industrial iot, operations automation, operations optimization, operations streamline, task automation, task automation platform, task management system, workplace software, workspace operator</t>
  </si>
  <si>
    <t>Artificial Intelligence &amp; Machine Learning, Augmented Reality, SaaS</t>
  </si>
  <si>
    <t>225592-84T</t>
  </si>
  <si>
    <t>BeFC</t>
  </si>
  <si>
    <t>Manufacturer of biofuel cell systems designed to use biological catalysts instead of chemical and expensive noble metal catalysts. The company's cell system is paper-based and ultra-thin in design which converts natural substrates such as enzymes, carbon electrodes, and paper microfluidics into electricity, enabling users to use energy cells with water and other easily produced materials in an environmentally friendly manner.</t>
  </si>
  <si>
    <t>BNP Paribas Développement(Gregoire Duverne), Demeter Partners(Olivier Bordelanne), Otium Capital(Pierre Menard), Supernova Invest(Marine Glon)</t>
  </si>
  <si>
    <t>biofuel cell, biofuel manufacturer, biological catalyst, paper based energy, sustainable energy, sustainable energy product</t>
  </si>
  <si>
    <t>225591-67T</t>
  </si>
  <si>
    <t>ExtraStudent</t>
  </si>
  <si>
    <t>Application Software, Educational Software, Social/Platform Software*</t>
  </si>
  <si>
    <t>Developer of a social network platform designed to offer career guidance for school sharing. The company's application rates the course files by giving a free mutual aid network where one can freely share their knowledge to help each other, enabling students to get quality education.</t>
  </si>
  <si>
    <t>Adrien Montfort(Adrien Montfort), Benjamin Griveaux(Benjamin Griveaux), Carlo Purassanta(Carlo Purassanta), Michaël Benabou(Michaël Benabou), Pascal Chevalier(Pascal Chevalier), Snaw Ventures</t>
  </si>
  <si>
    <t>career guidance app, educational platform, knowledge sharing, online education, school network, social network</t>
  </si>
  <si>
    <t>EdTech, Mobile</t>
  </si>
  <si>
    <t>187491-34T</t>
  </si>
  <si>
    <t>Groupe Watt &amp; Co</t>
  </si>
  <si>
    <t>Energy Production, Environmental Services (B2B)*, Other Energy</t>
  </si>
  <si>
    <t>Developer of renewable energy projects designed to support economic development through green growth. The company prospects, to develop, finance, construct, monitor, operate, and maintain EnR projects and photovoltaic and hydroelectric power plants, enabling businesses, government, and local communities to work for a low-carbon world by producing green energy.</t>
  </si>
  <si>
    <t>Andera Partners(Guy Auger)</t>
  </si>
  <si>
    <t>green energy production, intermittent renewable energy, low-carbon technology, photovoltaic plant, photovoltaic solutions, renewable energy funds, renewable energy project, solar photovoltaic</t>
  </si>
  <si>
    <t>223899-13T</t>
  </si>
  <si>
    <t>Felix Capital(Julien Codorniou), FirstMark Capital, ICONIQ Growth(Seth Pierrepont), IVP(Ajay Vashee), Meritech Capital Partners</t>
  </si>
  <si>
    <t>283403-53T</t>
  </si>
  <si>
    <t>Shipzzer</t>
  </si>
  <si>
    <t>Developer of a terminal operating system designed to support inland service operations. The company offers automated management, real-time data, pay per use facility which helps to control their activity in real-time from a single interface and reduces their operational costs, enabling intermodal transport companies to establish quotation, follow-up on repairs and manage spare-stocks.</t>
  </si>
  <si>
    <t>Prequel Ventures (Berlin)</t>
  </si>
  <si>
    <t>digital management, information technology firm, information technology service, saas solution, saas-based, terminal operating system</t>
  </si>
  <si>
    <t>228051-82T</t>
  </si>
  <si>
    <t>Klarys</t>
  </si>
  <si>
    <t>Series AA</t>
  </si>
  <si>
    <t>Business/Productivity Software, Logistics, Media and Information Services (B2B)*</t>
  </si>
  <si>
    <t>Operator of a digital purchasing platform intended to trade seafood in real time. The company's software connects fishermen, producers, fish sellers, and wholesalers all through a single interface, tracks and confirms bulk orders, monitors delivery optimization rates, and helps to search, enabling traders to advance and streamline seafood trade and logistics management, improve product quality and significantly reduce costs for all parties involved.</t>
  </si>
  <si>
    <t>FJ Labs, Reinhart Capital</t>
  </si>
  <si>
    <t>agribusiness marketplace, agrifinance &amp; ecommerce, agrifinance and ecommerce, digital purchasing, digital purchasing platform, food ecommerce, online grocer, online seafood stores, seafood auction marketplace, seafood marketplace, seafood platform, seafood trading</t>
  </si>
  <si>
    <t>FoodTech, Supply Chain Tech</t>
  </si>
  <si>
    <t>223027-66T</t>
  </si>
  <si>
    <t>Defer</t>
  </si>
  <si>
    <t>Developer of async-based features designed to help developers in building applications. The company's platform offers multiple sources and creates actions like Slack or email alerts that can be used for things like qualifying sales leads and business forecasting, enabling businesses to develop fast, ship with confidence, and scale without limits.</t>
  </si>
  <si>
    <t>Galion.exe, Kima Ventures, Serena (Paris), Super Capital</t>
  </si>
  <si>
    <t>app analytics, application development agency, qualifying transaction, sales lead generation, software developer, software development tech</t>
  </si>
  <si>
    <t>232238-71T</t>
  </si>
  <si>
    <t>Meersens</t>
  </si>
  <si>
    <t>Database Software*, Environmental Services (B2B), Other Hardware</t>
  </si>
  <si>
    <t>Developer of an environmental intelligence platform designed to help industries reduce environmental risks. The company's platform allows combining modeling data such as air quality, pollen, noise, waves, and weather forecasts from the Internet of Things and perceptions, and turning that into action, enabling clients to assess potential risks, make informed decisions, and protect their assets.</t>
  </si>
  <si>
    <t>api data, data modulation, diagnostic platform, environmental data, environmental intelligence, internet of things</t>
  </si>
  <si>
    <t>CleanTech, Internet of Things, SaaS</t>
  </si>
  <si>
    <t>225199-99T</t>
  </si>
  <si>
    <t>Cleyrop</t>
  </si>
  <si>
    <t>Developer of a secure data hub designed to unlock data access and make its use simple and effective. The company offers a single access portal to data and a scalable application suite for ingesting, storing, processing, exploiting, and visualizing data, enabling clients to govern, catalog, orchestrate, supervise, and monitor data and their processing, in a secure and industrial environment.</t>
  </si>
  <si>
    <t>Bpifrance, Crédit Agricole Franche-Comté, Keen Venture Partners, Normandie Participations</t>
  </si>
  <si>
    <t>ai automation platform, analytics platform, data hub company, data infrastructure, data management software, data management tool, data manager, data pipelines, data platform, data software &amp; systems, data software and systems, data warehouse, industrial data analysis, location intelligence platform, visualizing data</t>
  </si>
  <si>
    <t>226391-95T</t>
  </si>
  <si>
    <t>Amenove</t>
  </si>
  <si>
    <t>Building Products, Construction and Engineering*, Other Commercial Services, Wood/Hard Products</t>
  </si>
  <si>
    <t>Provider of wooden structures, cladding and roofing services intended to give durable alternatives for new constructions or extensions. The company offers a wide range of features, including the supply and installation of industrial frameworks, implementation of traditional wooden frames, timber frame construction, cladding solutions, tile roofing, and EPDM membrane sealing, enabling clients to access the market for sustainable and quality construction.</t>
  </si>
  <si>
    <t>built environment, carpentry services, carpentry work, green construction, timber structure, waterproofing services, wooden framework, wooden roofing, wooden structure</t>
  </si>
  <si>
    <t>Rouvroy, France</t>
  </si>
  <si>
    <t>226952-11T</t>
  </si>
  <si>
    <t>Botmind</t>
  </si>
  <si>
    <t>Developer of a hybrid chatbot software designed to automate customer service by using artificial intelligence. The company's platform integrates customer service tools to automatically answer frequent and time-consuming questions from customers and brings together human agents and artificial Intelligence on the same channel to respond faster and increase customer satisfaction, while reducing the overall cost of support, enabling companies to deliver a better customer experience.</t>
  </si>
  <si>
    <t>Apok Invest, One Green (Paris)</t>
  </si>
  <si>
    <t>automated customer service, better customer experience, chat tool, customer chat software, customer chatbot, customer support</t>
  </si>
  <si>
    <t>Arbonne-La-Foret, France</t>
  </si>
  <si>
    <t>227325-61T</t>
  </si>
  <si>
    <t>Charlie (Electronic Equipment and Instruments)</t>
  </si>
  <si>
    <t>Business/Productivity Software, Electronic Equipment and Instruments*, Logistics</t>
  </si>
  <si>
    <t>Developer of a traceability system designed to track logistics. The company's system provides sensors to be positioned on the equipment and manage everything via its platform and application, enabling clients to have access to a complete real-time view of logistics activity and reduce material management costs.</t>
  </si>
  <si>
    <t>equipment management system, logistic tracker, traceability system platform, tracking application, tracking platform, tracking sensors</t>
  </si>
  <si>
    <t>Internet of Things</t>
  </si>
  <si>
    <t>285196-24T</t>
  </si>
  <si>
    <t>Cojipar Energies</t>
  </si>
  <si>
    <t>Manufacturer of electrical energy products intended to support the energy transition and enhance energy efficiency. The company operates seven sites across France and offers products that contribute to the reduction of CO2 emissions, energy cost savings, and decreased maintenance expenses for efficient systems, enabling businesses to stabilize their energy systems while maintaining uninterrupted production.</t>
  </si>
  <si>
    <t>co2 emission control, electrical energy, emission reduction, energy products, energy systems, maintenance tools</t>
  </si>
  <si>
    <t>226641-52T</t>
  </si>
  <si>
    <t>EnerBim</t>
  </si>
  <si>
    <t>Consulting Services (B2B)*, Environmental Services (B2B)</t>
  </si>
  <si>
    <t>Develoepr of digital BIM platform intended for solar energy coupled with architectural design, engineering, and construction. The company's platform builds on successful innovation and proven expertise in the construction and renovation sectors, integrating simulation engines, embedding ray-tracing methodologies, and developing online BIM applications from sketcher to digital building logbook, enabling clients to achieve digital transformation and access to BIM methodologies.</t>
  </si>
  <si>
    <t>bim methodology, bipv solar roof, energy transition, solar energy, solar thermal energy, thermal simulation</t>
  </si>
  <si>
    <t>225433-63T</t>
  </si>
  <si>
    <t>Excurio</t>
  </si>
  <si>
    <t>IT Consulting and Outsourcing, Media and Information Services (B2B), Multimedia and Design Software*</t>
  </si>
  <si>
    <t>Developer of virtual reality software designed to reinvent the customer experience by adding emotions and sensations. The company's software provides innovative alternatives for events, training, communication and visualization by designing immersive experiences, enabling businesses to reinvent their customer experience with projects tailored to their issues and targets.</t>
  </si>
  <si>
    <t>immersive experiences advertising, immersive experiences technology, immersive experiences zone, virtual reality app, virtual reality software, virtual reality technology</t>
  </si>
  <si>
    <t>Augmented Reality, Virtual Reality</t>
  </si>
  <si>
    <t>226291-24T</t>
  </si>
  <si>
    <t>Geosophy</t>
  </si>
  <si>
    <t>Internet Software*</t>
  </si>
  <si>
    <t>Developer of software tools intended to assess the geo-energy potential for sustainable heating and cooling of buildings. The company tools help in developing physics and financial models, using data science and machine learning techniques to automatize and refine feasibility studies of geo-energy installations, enabling building owners to avail value-creation for their geo-energy resources.</t>
  </si>
  <si>
    <t>Noria, UI Investissement</t>
  </si>
  <si>
    <t>built environment, dispatchable energy sources, geothermal, geothermal heat, geothermal heating, geothermal power, geothermal services, geothermal system, heating and cooling</t>
  </si>
  <si>
    <t>Internet Software</t>
  </si>
  <si>
    <t>227019-61T</t>
  </si>
  <si>
    <t>Gimmy Food</t>
  </si>
  <si>
    <t>Operator of a food-tech company intended to provide the food delivery experience to consumers. The company creates brands that provide the food delivery experience to consumers, enabling existing kitchen operators to diversify their revenue streams, and earn more from their kitchens and more.</t>
  </si>
  <si>
    <t>catering market, discovery &amp; review, discovery and review, food and beverage discovery, food beverage discovery, food delivery, food delivery service, foodtech company, kitchen operator, restaurant service system</t>
  </si>
  <si>
    <t>226996-84T</t>
  </si>
  <si>
    <t>Gleamer</t>
  </si>
  <si>
    <t>Developer of a radiology technology designed to detect and highlight bone abnormalities. The company's technology utilizes an artificial intelligence-based assistant which is easy to use, automatically detects lesions on trauma X-rays, and provides preliminary data for diagnosis on standard radiography, enabling radiologists to avoid missing tiny lesions and prioritize patients.</t>
  </si>
  <si>
    <t>Bpifrance, Crista Galli Ventures, Elaia Partners, F3A Ventures, Groupe MACSF, Heal Capital(Christian Lautner), Mutuelle Assurance Commerçants et Industriels France, Siparex Group, Supernova Invest(Remi Spagnol), UI Investissement, XAnge(Guillaume Meulle)</t>
  </si>
  <si>
    <t>abnormality detection, abnormality highlighting, ai technology, ai tools, medical imaging, medical technology, radiology image processing and ai, radiology technology</t>
  </si>
  <si>
    <t>Artificial Intelligence &amp; Machine Learning, Digital Health, HealthTech, TMT</t>
  </si>
  <si>
    <t>Saint Mandé, France</t>
  </si>
  <si>
    <t>226711-36T</t>
  </si>
  <si>
    <t>Grain De Malice</t>
  </si>
  <si>
    <t>Clothing*, Specialty Retail</t>
  </si>
  <si>
    <t>Operator of a women's clothing platform designed to be comfortable, stylish, and inclusive. The company's products are designed for all body types, offers a personalized coaching service, and is committed to ethical manufacturing practices ensuring that its clothing is produced sustainably and responsibly, enabling women to find the outfit which makes them feel confident and beautiful.</t>
  </si>
  <si>
    <t>clothing store, denim wear, ecommerce platform, personalized coaching, retail clothing, women's clothing</t>
  </si>
  <si>
    <t>Marcq-en-Barœul, France</t>
  </si>
  <si>
    <t>225126-46T</t>
  </si>
  <si>
    <t>Heetch</t>
  </si>
  <si>
    <t>Application Software, Automotive*, Media and Information Services (B2B), Other Services (B2C Non-Financial)</t>
  </si>
  <si>
    <t>Developer of a ride-sharing application designed to enjoy celebrations without worrying about transportation. The company's friendly and professional ride-hailing application matches drivers with passengers who request rides that are specifically targeted for late nights with fair mobility and low commission, enabling customers to access a more convenient and safer alternative to taxis.</t>
  </si>
  <si>
    <t>Aster Capital</t>
  </si>
  <si>
    <t>mobility tech, ridehailing platform, rides hailing, ridesharing app, ridesharing platform, taxi service, transport tech, transportation books</t>
  </si>
  <si>
    <t>Industrials, Mobile, Mobility Tech, Ridesharing, SaaS, TMT</t>
  </si>
  <si>
    <t>247241-17T</t>
  </si>
  <si>
    <t>Inex Circular</t>
  </si>
  <si>
    <t>Developer of a digital tool designed for locating waste sources and identifying potential partners. The company's platform implements synergies in the circular economy to optimize waste and raw material management, enabling waste recyclers to source their waste and find the best locations for new factories.</t>
  </si>
  <si>
    <t>SABIC Ventures</t>
  </si>
  <si>
    <t>circular economy system, raw material optimization, raw materials management, waste management firm, waste management platform, waste recycling</t>
  </si>
  <si>
    <t>Big Data, CleanTech, Industrials, Mobile, TMT</t>
  </si>
  <si>
    <t>203581-45T</t>
  </si>
  <si>
    <t>Rothschild &amp; Co Asset Management Europe(Pierre Baudard)</t>
  </si>
  <si>
    <t>228588-94T</t>
  </si>
  <si>
    <t>Noo</t>
  </si>
  <si>
    <t>Clothing*</t>
  </si>
  <si>
    <t>Operator of a lingerie brand intended to serve the women's fashion sector. The company designs collections with careful cuts and materials, combining assertive style and comfort to offer dresses, swimwear, innerwear, accessories and tops, enabling women to avail affordable and sustainable clothing.</t>
  </si>
  <si>
    <t>Connect Pro, Sopromec Participations</t>
  </si>
  <si>
    <t>clothing manufacturer, sustainable clothing, swimwear apparel, tops wear, women fashion wear, women innerwear</t>
  </si>
  <si>
    <t>227166-94T</t>
  </si>
  <si>
    <t>Kima Ventures, Seedcamp, Snaw Ventures</t>
  </si>
  <si>
    <t>227234-26T</t>
  </si>
  <si>
    <t>Quartz</t>
  </si>
  <si>
    <t>Commercial/Professional Insurance*, Other Insurance</t>
  </si>
  <si>
    <t>Operator of a business insurance management platform intended to make it easy to subscribe to and monitor individual insurance. The company's platform offers the administration of all insurance within the same space, controls insurance expenses, and understands risks and how they are protected, enabling clients to offer greater transparency and simplicity of insurance service.</t>
  </si>
  <si>
    <t>Aonia Ventures, Paris Region Venture Fund, Polymatter Ventures</t>
  </si>
  <si>
    <t>corporate insurance, individual insurance service, insurance company service, insurance management, insurance management company, insurance platform, insurance services, protection policies</t>
  </si>
  <si>
    <t>226675-36T</t>
  </si>
  <si>
    <t>Raigi</t>
  </si>
  <si>
    <t>Construction and Engineering, Industrial Supplies and Parts*, Other Commercial Products, Other Commercial Services</t>
  </si>
  <si>
    <t>Manufacturer of customized plastic products and polyurethane intended to develop systems based on raw materials derived from environmentally sustainable agrochemicals. The company specializes as a formulator of epoxy and polyurethane systems and as a molder of polyurethane parts serving electrical, electronic, automotive, construction, and medical technology industries, and developing formulations for new processes and applications, enabling clients to fulfill their needs at affordable costs.</t>
  </si>
  <si>
    <t>agrochemicals product, construction product, customized product, electrical product, epoxy formulation, green chemicals and materials, plastic manufacturer, polyurethane moulding, polyurethane system, research and development</t>
  </si>
  <si>
    <t>Climate Tech, Manufacturing</t>
  </si>
  <si>
    <t>225051-40T</t>
  </si>
  <si>
    <t>Riverse</t>
  </si>
  <si>
    <t>Developer of a B2B carbon credits certification and transaction platform designed to focus on technology-based, circular economy projects. The company's platform includes impact measurement, verification, and monetization to accelerate the transition to a circular and sustainable industry, enabling industrial decarbonization projects to earn money to scale, by building a carbon credit standard and a platform to facilitate environmental impact monitoring, reporting, and verification.</t>
  </si>
  <si>
    <t>Andreas Wiele(Andreas Wiele), Eric Berger(Eric Berger), Evolem, Speedinvest, Stephan Rohr(Stephan Rohr), Tobias Lechtenfeld(Tobias Lechtenfeld)</t>
  </si>
  <si>
    <t>carbon marketplace, carbon-negative materials, climate change, environmental tech, project certification, sustainable industry, voluntary carbon market infrastructure</t>
  </si>
  <si>
    <t>Climate Tech, LOHAS &amp; Wellness</t>
  </si>
  <si>
    <t>226740-79T</t>
  </si>
  <si>
    <t>S'Tile</t>
  </si>
  <si>
    <t>Manufacturer of solar modules and photovoltaic cells intended to provide solar power alternatives in building integration, roofs, and facades. The company's range of multi and monocrystalline modules combine aesthetics and coherence, are designed, produced, and moduled in the premise, and are sustainable for the environment, enabling clients to avail the benefits of using eco-friendly, renewable, and sustainable energy services.</t>
  </si>
  <si>
    <t>climate tech company, photovoltaic solar cell, solar energy, solar module infrastructure, solar module manufacturer, solar module provider</t>
  </si>
  <si>
    <t>CleanTech, Climate Tech, LOHAS &amp; Wellness, TMT</t>
  </si>
  <si>
    <t>200935-36T</t>
  </si>
  <si>
    <t>Courtin Investment, Takara Capital</t>
  </si>
  <si>
    <t>226962-37T</t>
  </si>
  <si>
    <t>Superwyze</t>
  </si>
  <si>
    <t>Enterprise Systems (Healthcare), Other Devices and Supplies*</t>
  </si>
  <si>
    <t>Manufacturer of monitoring devices intended to optimize the management of the equipment fleet and the patient journey. The company tool informs about temperature deviations, the location of your park, a water leak, the humidity level, the CO2 level, or even the risk of legionella or the detection of steam cleaning, helping hospitals to manage their flows of equipment, consumables, patients, water and temperatures in complete safety.</t>
  </si>
  <si>
    <t>NEO FOUNDERS, One Green (Paris), Vivacto Developpment</t>
  </si>
  <si>
    <t>energy sensor, equipment fleet management, iot data, monitoring sensors, patient monitoring, temprature monitoring</t>
  </si>
  <si>
    <t>HealthTech, Internet of Things, Manufacturing</t>
  </si>
  <si>
    <t>227239-75T</t>
  </si>
  <si>
    <t>WiseBIM</t>
  </si>
  <si>
    <t>Developer of three-dimensional digital building models intended to provide structuring elements of buildings. The company's model generates information from two-dimensional paper or digital plans, takes very little time, and with building visualization or simulation software an IFC standard file is generated, enabling clients to generate building information models by eliminating in situ measurements.</t>
  </si>
  <si>
    <t>building information model, digital building management, digital building model, digital planning, facility management, property management, simulation software</t>
  </si>
  <si>
    <t>225556-21T</t>
  </si>
  <si>
    <t>Génération Robots</t>
  </si>
  <si>
    <t>Developer of a robotic platform intended for the education and research markets. The company's platform provides a wide range of features, including simulation, programming, and collaboration, enabling users to learn about robotics and develop new robotic applications.</t>
  </si>
  <si>
    <t>AQUITI Gestion(Lydia Seraline), GT Logistics(France)</t>
  </si>
  <si>
    <t>autonomous robots, hardware product, humanoid robots, mobile robots, outdoor mobile robots, quadruped robots, robot arms</t>
  </si>
  <si>
    <t>248725-54T</t>
  </si>
  <si>
    <t>Zen Modular</t>
  </si>
  <si>
    <t>Business/Productivity Software, Environmental Services (B2B), Multimedia and Design Software*</t>
  </si>
  <si>
    <t>Developer of a digital platform designed to transform the construction industry through an object-oriented approach. The company's platform offers a catalog of modules for the repetitive elements of a building that combine exceptional value in use, affordable price, optimized ergonomics, and attractive aesthetics, enabling clients to move to more eco-responsible and economical projects.</t>
  </si>
  <si>
    <t>Kanopee, Unicraft VC</t>
  </si>
  <si>
    <t>construction data, construction space, ergonomics service, esg planing, modular construction, modular data, modular work, nature friendly product, sustainable consumption</t>
  </si>
  <si>
    <t>CleanTech, Construction Technology, SaaS</t>
  </si>
  <si>
    <t>Thiers, France</t>
  </si>
  <si>
    <t>226867-78T</t>
  </si>
  <si>
    <t>Expressive</t>
  </si>
  <si>
    <t>Electronics (B2C), Entertainment Software, Movies, Music and Entertainment, Recreational Goods*</t>
  </si>
  <si>
    <t>Manufacturer of music manipulation device designed to control electronic sounds through touch. The company's device relies on hand gestures and physical contact to manipulate sound and rhythm, managed through its companion software for additions such as plug-ins, sound presets, and other features, enabling musicians and producers to find an intuitive interface for creating music.</t>
  </si>
  <si>
    <t>Pierre Andurand(Pierre Andurand)</t>
  </si>
  <si>
    <t>music creator, music device, music devices, music software, musical instrument accessories, musicals content</t>
  </si>
  <si>
    <t>AudioTech, E-Commerce, Manufacturing</t>
  </si>
  <si>
    <t>273191-77T</t>
  </si>
  <si>
    <t>OrthographIQ</t>
  </si>
  <si>
    <t>Educational and Training Services (B2C), Educational Software*</t>
  </si>
  <si>
    <t>Developer of an online orthographic training platform designed to help people improve their spelling and grammar. The company's platform offers online training programs to help people gain confidence in their writing by having more control over their written French language skills, enabling users to get better at their own pace and improve their academic performance and job prospects.</t>
  </si>
  <si>
    <t>Compagnie d'Anjou</t>
  </si>
  <si>
    <t>academic assistance, edtech platform, french learning site, grammar skills, grammar training service, online training platform, orthographic mapping, spelling and writing, spelling guide, writing guides, writing training</t>
  </si>
  <si>
    <t>226287-73T</t>
  </si>
  <si>
    <t>Pixyl</t>
  </si>
  <si>
    <t>Developer of a neuroimaging cloud platform designed to improve patient care for radiologists. The company's platform automatically analyses MRI images and provides detailed information on grey matter, white matter and intracranial volumes, enabling doctors to make important decisions and change outcomes</t>
  </si>
  <si>
    <t>Club Holnest</t>
  </si>
  <si>
    <t>healthcare technology, mri analysis, neuroimaging biomarker, neuroimaging cloud platform, neuroimaging data analysis, neuroimaging services, neuroimaging solutions</t>
  </si>
  <si>
    <t>Artificial Intelligence &amp; Machine Learning, HealthTech, TMT</t>
  </si>
  <si>
    <t>La Tronche, France</t>
  </si>
  <si>
    <t>224843-41T</t>
  </si>
  <si>
    <t>Purecontrol</t>
  </si>
  <si>
    <t>Developer of industrial automation systems designed to offer real-time and predictive control of complex installations. The company's platform utilizes artificial intelligence algorithms to analyze the operation of equipment and predict needs as well as combines improved industrial performance with lower energy costs and improved predictive maintenance, enabling companies to enhance process reliability and optimize energy and operational efficiency while reducing the carbon footprint.</t>
  </si>
  <si>
    <t>Groupe Okwind (PAR: ALOKW)(Louis Maurice), Groupe Veolia, Noshaq, Proxiserve Holding, Unexo</t>
  </si>
  <si>
    <t>artificial intelligence, enterprise asset management, enterprise resource planning, erp, industrial automation, industrial installations, intelligent management, predictive control, predictive maintenance</t>
  </si>
  <si>
    <t>232199-11T</t>
  </si>
  <si>
    <t>StoryFox</t>
  </si>
  <si>
    <t>Developer of a video creation platform designed for all the video needs of companies and their businesses. The company's platform offers tailor-made motion design templates, accompanied filming, phone-guided shooting, and automated editing services, enabling clients to quickly and easily create videos for business needs.</t>
  </si>
  <si>
    <t>business communication, design templates, engages communication, human resources manage, recruitment program, video creation</t>
  </si>
  <si>
    <t>225020-62T</t>
  </si>
  <si>
    <t>Vizzia</t>
  </si>
  <si>
    <t>Developer of an environmental protection platform intended to protect your territory and the living environment of its inhabitants. The company offers a robust business platform adapted to autonomous cameras and support from specialized experts, helping clients protect their territory and the living environment of its inhabitants.</t>
  </si>
  <si>
    <t>Made For All, SISTAFUND</t>
  </si>
  <si>
    <t>environmental management, environmental support, image analysis system, waste disposal, waste dumping, waste management</t>
  </si>
  <si>
    <t>Ris-Orangis, France</t>
  </si>
  <si>
    <t>241487-65T</t>
  </si>
  <si>
    <t>Alven Capital Partners, Andreessen Horowitz, Munich Re Ventures, Opera Tech Ventures</t>
  </si>
  <si>
    <t>265972-24T</t>
  </si>
  <si>
    <t>AtmoTrack</t>
  </si>
  <si>
    <t>Business/Productivity Software, Electronic Equipment and Instruments*, Environmental Services (B2B), Media and Information Services (B2B)</t>
  </si>
  <si>
    <t>Developer of air quality sensors designed to offer hyperlocal and real-time air quality data. The company's product combines digital tools including a data exploitation platform and a network of sensors in a fixed or mobile position, enabling cities and businesses to help in decision-making and action plans to reduce polluting emissions and protect the health of citizens.</t>
  </si>
  <si>
    <t>air pollution sensor, air quality testing, data analysis, digital platform, monitoring sensors, online tool, sensors tech, spatio-temporal data</t>
  </si>
  <si>
    <t>AgTech, CleanTech, Climate Tech, Internet of Things, Mobile</t>
  </si>
  <si>
    <t>276687-55T</t>
  </si>
  <si>
    <t>213188-05T</t>
  </si>
  <si>
    <t>Utocat</t>
  </si>
  <si>
    <t>Financial Software*, Media and Information Services (B2B), Other Financial Services</t>
  </si>
  <si>
    <t>Developer of a blockchain-based financial software designed to facilitate investment in unlisted companies. The company's platform utilizes blockchain technology to provide its access portal to facilitate, accelerate, and simplify clients' investment operations and also provides easy-to-install tools that significantly simplify investment operations, enabling banks and insurance companies to implement blockchain technology for optimizing their financial services.</t>
  </si>
  <si>
    <t>BNP Paribas (PAR: BNP), Bpifrance, Credit Industriel et Commercial, One Green (Paris), Super Capital</t>
  </si>
  <si>
    <t>blockchain data, blockchain platform, capital market, ethereum api, investment facilitation, investment model, security management</t>
  </si>
  <si>
    <t>218395-45T</t>
  </si>
  <si>
    <t>L'enrouleur Français</t>
  </si>
  <si>
    <t>Developer of connected tools, sensors, and networks designed to specialize in installing and removing mobile and connected electric fences. The company's product features electrification of the fences and is alerted as soon as the set thresholds are reached and the controls of fences make damage prevention more effective, enabling users to reduce costs and gain efficiency by using a reliable and secure turnkey service.</t>
  </si>
  <si>
    <t>damage prevention, electric fence, electric fence install, electric sensors, fence installation, fence installation service</t>
  </si>
  <si>
    <t>Blangy Tronville, France</t>
  </si>
  <si>
    <t>225810-55T</t>
  </si>
  <si>
    <t>Lita.co</t>
  </si>
  <si>
    <t>Operator of an equity investment and crowdfunding platform intended for impact investing in sustainable projects. The company's platform allows retail and professional investors to fund start-ups and small and medium enterprises, enabling investors with an avenue to invest surplus funds and helping companies in need of funding to raise capital in a convenient and hassle-free manner.</t>
  </si>
  <si>
    <t>Mirova, PhiTrust Impact Investors, Sycomore Asset Management</t>
  </si>
  <si>
    <t>alternative capital, capital market, crowdfunding application, crowdfunding services, crowdfunding software, fundraising software, impact investing, sustainable project investment</t>
  </si>
  <si>
    <t>FinTech, TMT</t>
  </si>
  <si>
    <t>224440-30T</t>
  </si>
  <si>
    <t>VeriQloud</t>
  </si>
  <si>
    <t>Post-Quantum Cryptography</t>
  </si>
  <si>
    <t>Business/Productivity Software, Network Management Software*, Other Communications and Networking</t>
  </si>
  <si>
    <t>Developer of software application technology platform intended for quantum networks. The company focuses on building small-scale quantum communication networks and developing varied services based on optimized network architecture for specific use cases in cybersecurity based on quantum information processing, enabling clients with long-term storage security at a reasonable cost through minimum hardware requirements.</t>
  </si>
  <si>
    <t>Quantonation(Olivier Tonneau), WinEquity</t>
  </si>
  <si>
    <t>data protection &amp; encryption, data protection and encryption, data security, post-quantum cryptography, quantum application, quantum communication, quantum networking, quantum software</t>
  </si>
  <si>
    <t>220258-27T</t>
  </si>
  <si>
    <t>Choose</t>
  </si>
  <si>
    <t>Application Software, Information Services (B2C)*, Specialty Retail</t>
  </si>
  <si>
    <t>Operator of an online marketplace designed to discover and express views on fashion and lifestyle products. The company's platform offers up-to-date, designed, and trendy products and allows to rate and review different products of different brands give opinions on new product creation, and participate in a draw with the facility of winning a promotion code for new ideas, enabling users to have a better shopping experience.</t>
  </si>
  <si>
    <t>FJ Labs, Motier Ventures</t>
  </si>
  <si>
    <t>branding review, handmade lifestyle products, lifestyle goods, lifestyle products retailer, rating application, review sharing app</t>
  </si>
  <si>
    <t>224351-56T</t>
  </si>
  <si>
    <t>CyberVadis</t>
  </si>
  <si>
    <t>Automation/Workflow Software, Network Management Software*, Other Commercial Services</t>
  </si>
  <si>
    <t>Developer of a cybersecurity assessment platform intended to manage third-party risk. The company's platform automates the assessment process, providing companies with a standardized cybersecurity rating and a detailed improvement plan, enabling businesses to improve their security posture and reduce their risk of a third-party data breach.</t>
  </si>
  <si>
    <t>CVC Capital Partners (AMS: CVC), Partech, Zobito(Ulrich Beckmann)</t>
  </si>
  <si>
    <t>automated assessment, compliance standards, cybersecurity attack prevention, data breach protection, risk assessment, security operations</t>
  </si>
  <si>
    <t>224398-18T</t>
  </si>
  <si>
    <t>Mag4Health</t>
  </si>
  <si>
    <t>Developer of brain imaging systems designed to effectively detect brain defects and improve brain care. The company's device records the magnetic signature of the electrical currents generated by the neuronal activity in real-time, with accuracy, enabling doctors to improve the care of patients with epilepsy or brain tumors, and subsequently improve clinical research and treatments of other neuronal disorders.</t>
  </si>
  <si>
    <t>33 Californie, Angelor, ANR., BPI(VC), Grenoble Angels, Momentum Biotech, Monaco Molecular Roc Fund, Rhône Vallée Angels, Région Auvergne-Rhône-Alpes, Samba., Simba Santé 3</t>
  </si>
  <si>
    <t>brain imaging, brain tumor, imaging system, imaging system technology, neuronal disorder, quantum technology</t>
  </si>
  <si>
    <t>224377-03T</t>
  </si>
  <si>
    <t>SICAT</t>
  </si>
  <si>
    <t>Other Materials*</t>
  </si>
  <si>
    <t>Manufacturer of silicon carbide in powders to foam form intended to benefit in harsh operating conditions. The company manufactures pure silicon carbide and metallurgical silicon carbide for the energy, chemical, and clean-tech industries, enabling users to consider switching to β-SiC or mesoC.</t>
  </si>
  <si>
    <t>Saint-Gobain Norpro</t>
  </si>
  <si>
    <t>manufacturer firm, silicon carbide, silicon carbide ceramic, silicon carbide material, silicon carbide powder, silicon carbide product</t>
  </si>
  <si>
    <t>224320-69T</t>
  </si>
  <si>
    <t>TISSIUM</t>
  </si>
  <si>
    <t>Developer of biodegradable programmable polymer technology designed to enable tissue reconstruction and adapt for use in multiple clinical areas to address various unmet clinical needs. The company's technology uses biomorphic reconstructive polymers to create biodegradable sealants and adhesives for surgical-wound closure that are non-toxic, designed to bind strongly to tissues and deliver immediate wound closure within the dynamic environments of the body, enabling surgeons to treat patients with a polymer that can be used in the fields of tissue repair and localized drug delivery.</t>
  </si>
  <si>
    <t>Cathay Capital Private Equity, Crédit Mutuel Innovation, ISALT- Strategic Long Term Equity Investments, Mérieux Equity Partners, Sofinnova Partners(Antoine Papiernik)</t>
  </si>
  <si>
    <t>hernia repair, polymers based product, polymersome technology, surgical equipment, surgical tools, surgical wound closures, tissue reconstruction, vascular surgery device</t>
  </si>
  <si>
    <t>224171-02T</t>
  </si>
  <si>
    <t>LouerMaBorne.fr</t>
  </si>
  <si>
    <t>Provider of rental services intended to provide electric charging stations. The company offers wall box charging stations for electric or plug-in hybrid vehicles on rent with installation, including the manufacturer's warranty, as well as maintenance for the duration of the rental, enabling individuals to charge their vehicles efficiently at a low cost.</t>
  </si>
  <si>
    <t>circuit breakers, electric charging space, electric charging station, electric charging systems, electric charging unit, hybrid vehicle, junction boxes, rental services</t>
  </si>
  <si>
    <t>224950-69T</t>
  </si>
  <si>
    <t>Beem (Alternative Energy Equipment)</t>
  </si>
  <si>
    <t>Developer of solar kit designed to produce homemade green electricity. The company's solar kit is designed to integrate naturally and harmoniously into any style of living and it adapts to the home, offers real-time monitoring of production, and installs in minutes, enabling customers to take control of their electricity consumption.</t>
  </si>
  <si>
    <t>C Entrepreneurs, Cathay Capital Private Equity, Cathay Innovation</t>
  </si>
  <si>
    <t>energy regulators, green electricity, intermittent renewable energy, portable solar panels, production monitoring, solar energy, solar energy grid, solar kits, solar photovoltaic</t>
  </si>
  <si>
    <t>244151-92T</t>
  </si>
  <si>
    <t>Green Spot Technologies</t>
  </si>
  <si>
    <t>Producer of food ingredients intended to provide upcycled ingredients for nutrition. The company's fermentation platform transforms wasted fruit and vegetable by-products into low-carb flour with improved nutritional value and functionality, enabling clients to get flour that is high in protein and dietary fiber, while being low in starch, sugars, and fats.</t>
  </si>
  <si>
    <t>EIT Food(Benoit Buntinx)</t>
  </si>
  <si>
    <t>food industry, food innovation, food innovation company, greener product, nutritional powder, recycled product</t>
  </si>
  <si>
    <t>214758-37T</t>
  </si>
  <si>
    <t>Omie (Food Products)</t>
  </si>
  <si>
    <t>Food Products*, Other Agriculture</t>
  </si>
  <si>
    <t>Producer of food products designed to support sustainability and promote environmentally friendly agricultural practices. The company's products are made by sourcing ingredients from regenerative farms, ensuring traceability in production, and providing fair compensation to farmers, while reducing ecological impact and fostering biodiversity, enabling consumers to make responsible food choices that contribute to both individual health and environmental preservation.</t>
  </si>
  <si>
    <t>2050 (VC), 50 Partners Impact, Cookpad (TKS: 2193), Crédit Agricole Franche-Comté, Founders Future, Super Capital, Teampact Ventures, XAnge(Cyril Bertrand)</t>
  </si>
  <si>
    <t>clean food, conscious consumerism, ethical food, organic food product, responsible sourcing, sustainable food</t>
  </si>
  <si>
    <t>Saint-Maur-Des-Fossés, France</t>
  </si>
  <si>
    <t>223976-26T</t>
  </si>
  <si>
    <t>Moon Surgical</t>
  </si>
  <si>
    <t>Developer of surgical devices designed to facilitate access to minimally invasive surgery techniques and optimize operating room resources. The company's devices offer maintenance of the endoscope for its stabilization and automatic positioning, as well as for the retraction of the organs and the exposure to the operating field, and delivering the benefits of surgical robotics that surgeons love while preserving existing surgical workflow, technique, and instrumentation, enabling surgeons to improve the conditions and practices during surgical operations.</t>
  </si>
  <si>
    <t>Cathay Capital Private Equity, Cathay Health(Hongjie Hu), Frederic Moll(Frederic Moll), GT Healthcare Capital Partners(Alan Au), Johnson &amp; Johnson Innovation - JJDC(Tamir Meiri), Joshua Makower(Joshua Makower), MD Start(Gerard Hascoet), NVentures (Santa Clara), Richard Leparmentier(Richard Leparmentier), Sacha Loiseau(Sacha Loiseau), Siddarth Satish, Sofinnova Partners(Antoine Papiernik), Yann Fleureau(Yann Fleureau)</t>
  </si>
  <si>
    <t>digital surgery, invasive surgery, laparoscopy device, medical device, medical equipment, surgical device, surgical equipment, surgical robotics product</t>
  </si>
  <si>
    <t>220424-77T</t>
  </si>
  <si>
    <t>Datagram</t>
  </si>
  <si>
    <t>Developer of a retail analytics platform designed to boost production and digital presence. The company's platform utilizes a parallel cloud-based stack, together with machine learning technologies to extract and process raw data from across the web and turn it into valuable information such as dynamic pricing, competitive analysis and business intelligence, enabling clients to improve sales and category management, build new consumer experiences and create dynamic location-based advertising campaigns.</t>
  </si>
  <si>
    <t>Altavia Adventures</t>
  </si>
  <si>
    <t>business data analytics, marketing data analytics, performance analytics, performance analytics platform, retail analytics platform, retail analytics tool, sales data analytics</t>
  </si>
  <si>
    <t>Artificial Intelligence &amp; Machine Learning, Big Data, Marketing Tech, SaaS, TMT</t>
  </si>
  <si>
    <t>224355-07T</t>
  </si>
  <si>
    <t>Hiway (France)</t>
  </si>
  <si>
    <t>Business/Productivity Software, Financial Software, Other Commercial Services*</t>
  </si>
  <si>
    <t>Operator of a freelance support agency intended for developers and technology experts. The company offers financial, legal and administrative management services along with coaching and assignment proposals, thereby enabling business creation formalities and the financial management of the companies.</t>
  </si>
  <si>
    <t>freelance services, freelancers community, freelancers experts, freelancers income, freelancers jobs, freelancers team</t>
  </si>
  <si>
    <t>232355-71T</t>
  </si>
  <si>
    <t>Armor Group(Hubert de Boisredon), EIT InnoEnergy, Heraeus Group, Institut Photovoltaique D' Ile De France</t>
  </si>
  <si>
    <t>226295-56T</t>
  </si>
  <si>
    <t>Smartrenting</t>
  </si>
  <si>
    <t>Application Software, Media and Information Services (B2B), Real Estate Services (B2C)*</t>
  </si>
  <si>
    <t>Developer of an online renting platform designed to empower travelers by removing the housing hurdle. The company's platform along with its real estate agencies offers legal, free, and secure sub-lease remedies for efficient renting management, enabling owners and tenants to rent and lease apartments in a safe and easy way.</t>
  </si>
  <si>
    <t>Rodrigo Schulz(Rodrigo Schulz)</t>
  </si>
  <si>
    <t>apartments insurance, house rental, real estate rental, real estate rental market, rental management platform, rental platform</t>
  </si>
  <si>
    <t>164816-74T</t>
  </si>
  <si>
    <t>Iziwork</t>
  </si>
  <si>
    <t>Operator of a temporary employment platform intended to improve access and work experience for all. The company's platform offers temporary workers simple and instant access to a wide range of assignments, but also personalized support throughout the assignments which gives meaning to individual merit, enabling business clients to reduce their operating costs by recruiting competent and independent specialists for their projects.</t>
  </si>
  <si>
    <t>Bpifrance, C4 Ventures, Cathay Innovation, Financière Saint James, William Vermont(William Vermont)</t>
  </si>
  <si>
    <t>employment services, enterprise resource planning, human capital management, online jobs offer, recruitment platform service, staffing agency, temporary staffing service</t>
  </si>
  <si>
    <t>200612-08T</t>
  </si>
  <si>
    <t>VizioSense</t>
  </si>
  <si>
    <t>Developer of optical sensors designed to bring privacy-by-design computer vision sensors to life. The company provides sensors with onboard AI and computer vision for cities, buildings, and industries, enabling on-device computer vision to count and detect people or items.</t>
  </si>
  <si>
    <t>Alacrité France, Be Angels, Carlo Posing(Carlo Posing), Dennis Brenndörfer(Dennis Brenndörfer), Lionel Pelamourgues(Lionel Pelamourgues), Wesley Clover International(Michael Turner)</t>
  </si>
  <si>
    <t>computer sensors, computer vision, industrial data analytics, intelligent device, intelligent sensors, intelligent sensors &amp; devices, intelligent sensors and devices, neural networks, optical sensor, optical sensor developer, optical sensor equipment, optical sensor system, vertical application</t>
  </si>
  <si>
    <t>Artificial Intelligence &amp; Machine Learning, Big Data, Internet of Things</t>
  </si>
  <si>
    <t>228357-01T</t>
  </si>
  <si>
    <t>223587-91T</t>
  </si>
  <si>
    <t>Deltalys</t>
  </si>
  <si>
    <t>Energy Production, Oil and Gas Equipment*</t>
  </si>
  <si>
    <t>Operator of a biogas purification system intended to offer optimization of gas production. The company improves industrial installations gas production including renewable gas such as biogas, biomethane, and natural gas synthesis, assisting producers and operators of renewable gas recovery units to sustainably improve the profitability and environmental performance of their units, enabling an economy to contribute to the use of biogas while promoting local employment.</t>
  </si>
  <si>
    <t>Siparex Group, SWEN Capital Partners, TiLT Capital Partners</t>
  </si>
  <si>
    <t>biogas industry, biogas production, biogas purification, biogas purifying, clean fuel, energy services, industrial market, renewable energy, renewable gas</t>
  </si>
  <si>
    <t>Oil and Gas Equipment</t>
  </si>
  <si>
    <t>CleanTech, Climate Tech, Oil &amp; Gas, TMT</t>
  </si>
  <si>
    <t>223762-42T</t>
  </si>
  <si>
    <t>Everysens</t>
  </si>
  <si>
    <t>Developer of a supply chain optimization platform designed for asset-intensive industries to plan and track all their supply chain flows in real-time. The company's platform integrates data from third-party sensors, but also from operators and carriers to obtain all your transport information, platform utilizes this sensor data for real-time location monitoring and analytics, enabling industrial companies and freight forwarders to organize hassle-free logistics.</t>
  </si>
  <si>
    <t>Alter Equity, Nord Capital Partenaires, Rev3 Capital, Turenne Groupe</t>
  </si>
  <si>
    <t>enterprise resource planning, freight management, logistic service, logistics assistance, rail freight, transport management, transportation operator, transportation visibility</t>
  </si>
  <si>
    <t>Manufacturing, Supply Chain Tech</t>
  </si>
  <si>
    <t>223618-78T</t>
  </si>
  <si>
    <t>Green Aerolease</t>
  </si>
  <si>
    <t>Air*</t>
  </si>
  <si>
    <t>Provider of electrical aircraft renting service intended to accelerate the ecological transition of the aviation world. The company offers access to aircraft equipped with the latest certified electric propulsion technologies and new sustainable aviation technologies, enabling clients and the aviation industry with the aircraft, its charger, and scheduled maintenance and insurance.</t>
  </si>
  <si>
    <t>Banque des Territoires, Banque Populaire Grand Ouest, CIC Lyonnaise de Banque, Credit Mutuel Arkea</t>
  </si>
  <si>
    <t>aerospace center, air technology, aircraft maintenance, aircraft rent, aircraft service, airspace tools, aviation company, electrical aircraft</t>
  </si>
  <si>
    <t>Guipavas, France</t>
  </si>
  <si>
    <t>223547-59T</t>
  </si>
  <si>
    <t>Worldia</t>
  </si>
  <si>
    <t>Other Restaurants, Hotels and Leisure*</t>
  </si>
  <si>
    <t>Operator of a travel platform intended to act as a tour operator for various kinds of distributors. The company's platform suggests itineraries, adjusts the price in real-time and personalizes trips, enabling customers to access their services to reserve everything through the travel portal and plan their trip accordingly.</t>
  </si>
  <si>
    <t>Caisse des Dépôts et Consignations(Philippe Person), Cap Horn Finance, Crédit Mutuel Innovation(Guillaume Dhee), Frenchfounders, RAISE Group(Stéphane Pesqué), Red River West(Antoine Boulin)</t>
  </si>
  <si>
    <t>online travel firm, online travel network, travel agency firm, travel network, travel portal, trip planner, vacation planning</t>
  </si>
  <si>
    <t>223543-36T</t>
  </si>
  <si>
    <t>Bout' à Bout'</t>
  </si>
  <si>
    <t>Operator of a recycling platform intended for reusing glass containers. The company focuses on handling the collection, sorting, and washing of the containers by reducing carbon emissions, enabling companies to produce and consume responsibly by promoting reuse.</t>
  </si>
  <si>
    <t>Demeter Partners, Les Jardins De L'orbrie, Loire Vini Viti Distribution, Mandarine Gestion, Verallia (PAR: VRLA)</t>
  </si>
  <si>
    <t>carbon emission, glass container, recycling container, recycling tools, re-use container, waste disposal firm, waste management</t>
  </si>
  <si>
    <t>282966-85T</t>
  </si>
  <si>
    <t>Deepki</t>
  </si>
  <si>
    <t>Developer of a data intelligence platform designed to digitalize the management of large property portfolios. The company's platform helps realign stakeholders' interests to build efficient strategies to transform real estate into a positive force for the planet and improve knowledge of the assets, enabling clients to streamline the management processes for their property assets while identifying energy and cost savings.</t>
  </si>
  <si>
    <t>CBRE Group (NYS: CBRE)(Emma Buckland)</t>
  </si>
  <si>
    <t>capital market, data intelligence platform, data management software, energy intelligence platform, process streamline, property portfolio management</t>
  </si>
  <si>
    <t>Artificial Intelligence &amp; Machine Learning, Big Data, Real Estate Technology, SaaS</t>
  </si>
  <si>
    <t>252833-05T</t>
  </si>
  <si>
    <t>Tabsters</t>
  </si>
  <si>
    <t>Developer of a cloud-based tool designed for project and portfolio management. The company offers licenses that include support, and the option to have the accompanying change management and onboarding of your teams into the tool which is featured with multiple project management tools, enabling clients and companies to provide vision and decisions related to projects.</t>
  </si>
  <si>
    <t>HAND PARTNERS</t>
  </si>
  <si>
    <t>budget app, information forum, management app, monitoring program, portfolio management tool, project management app, project management data</t>
  </si>
  <si>
    <t>223424-47T</t>
  </si>
  <si>
    <t>Wethenew</t>
  </si>
  <si>
    <t>Clothing, Footwear, Specialty Retail*</t>
  </si>
  <si>
    <t>Operator of an online marketplace intended for limited-edition sneakers. The company's marketplace offers an online platform for buying and selling limited-edition sneakers along with streetwear apparel, enabling users to buy products in a few clicks and with complete safety.</t>
  </si>
  <si>
    <t>Antoine Griezmann, Athletico Ventures, C4 Ventures, Chalhoub Group, Singular.</t>
  </si>
  <si>
    <t>ecommerce platform, footwear design, limited edition footwear, online marketplace, online retail, online shoes, shoe retail store</t>
  </si>
  <si>
    <t>224597-80T</t>
  </si>
  <si>
    <t>REGEnLIFE</t>
  </si>
  <si>
    <t>Developer of a non-invasive medical device designed to alter the progression of neurodegenerative diseases. The company offers an innovative approach based on physical sciences, enabling healthcare professionals to improve the health and quality of life of individuals with Alzheimer-type dementia.</t>
  </si>
  <si>
    <t>Regenlife Invest</t>
  </si>
  <si>
    <t>alzheimer's disease, concussion treatment, healthy aging process, medical device, neurodegenerative diseases, neurostimulation, novel medical device, therapeutic device</t>
  </si>
  <si>
    <t>223425-19T</t>
  </si>
  <si>
    <t>Simango</t>
  </si>
  <si>
    <t>Education and Training Services (B2B)*, Educational Software, Other Healthcare Technology Systems</t>
  </si>
  <si>
    <t>Operator of a virtual reality health training platform intended to train hospital staff. The company's platform offers online courses and serious game training as well as fun, and personalized tools to the profile of the learner in a virtual reality format, enabling health and training institutions to provide compliant training to their staff in an efficient, cheap and flexible manner.</t>
  </si>
  <si>
    <t>Epopée Gestion, UI Investissement, Vivalto Partners</t>
  </si>
  <si>
    <t>employee training, employee training software, health training, health training platform, health training system, statistics platform, training plans, training services</t>
  </si>
  <si>
    <t>Augmented Reality, EdTech, HealthTech, Virtual Reality</t>
  </si>
  <si>
    <t>226385-65T</t>
  </si>
  <si>
    <t>Supermood</t>
  </si>
  <si>
    <t>Business/Productivity Software, Human Capital Services, Media and Information Services (B2B)*</t>
  </si>
  <si>
    <t>The company's platform collects employee feedback through micro surveys by generating short questions about the working environment of a company, enabling organizations to improve communication between managers and employees and take action to improve employee engagement and create a positive and productive work environment for their employees.</t>
  </si>
  <si>
    <t>Alven Capital Partners, Citizen Capital, EduCapital, J. Paul Consulting, News Invest, Omega Healthcare Management Services</t>
  </si>
  <si>
    <t>employee engagement service, employee engagement survey, employee feedback platform, people analytics, transformational performance</t>
  </si>
  <si>
    <t>223377-13T</t>
  </si>
  <si>
    <t>TH (Construction and Engineering)</t>
  </si>
  <si>
    <t>Building Products, Construction and Engineering*, Real Estate Services (B2C)</t>
  </si>
  <si>
    <t>Provider of housing units and construction services intended to develop low-carbon modular living spaces. The company's services include designing, fabricating and installation of equipped modular residential structures, providing clients with ready-to-live habitats which are eco-responsible housing with architectural flexibility and without risks.</t>
  </si>
  <si>
    <t>Banque des Territoires, Odyssee Venture, Saint-Gobain Sekurit France</t>
  </si>
  <si>
    <t>built environment, carbon energy, construction planning service, construction services, construction work, green construction, housing unit</t>
  </si>
  <si>
    <t>Construction Technology, Manufacturing</t>
  </si>
  <si>
    <t>Saint Felix, France</t>
  </si>
  <si>
    <t>247865-41T</t>
  </si>
  <si>
    <t>223500-52T</t>
  </si>
  <si>
    <t>Aptimiz</t>
  </si>
  <si>
    <t>Application Software, Business/Productivity Software*, Media and Information Services (B2B), Other Agriculture</t>
  </si>
  <si>
    <t>Developer of a time-optimizing application intended to track the working efficiency of farmers. The company's application measures, analyzes and optimizes working hours in agriculture by connecting mobile devices to a web interface, enabling farmers to consult and analyze their data in real-time on a web interface.</t>
  </si>
  <si>
    <t>Agri Sud-Quest Innovation, Anjou Amorcage, Asterion(Charles-Henry Choel), Bpifrance(Clémentine Cazenave), Demeter Partners(Amaury Kalt)</t>
  </si>
  <si>
    <t>farm management software, farmers advisory, farmers guide, farmers productivity increase, farmers technology, farmers tools, mobile device, precision ag, precision agriculture</t>
  </si>
  <si>
    <t>AgTech, Mobile</t>
  </si>
  <si>
    <t>225687-70T</t>
  </si>
  <si>
    <t>FoodoMarket</t>
  </si>
  <si>
    <t>Operator of a B2B online marketplace intended to optimize the management of purchases. The company's marketplace connects local producers, national distributors or wholesalers present in the main markets with restaurateurs or food service managers, enabling clients to make the buying process.</t>
  </si>
  <si>
    <t>Alven Capital Partners(Rodolphe Menegaux)</t>
  </si>
  <si>
    <t>b2b marketplace, food ecommerce, food marketplace, food marketplace platform, online grocer, online marketplace company, online marketplace firm, online marketplace platform</t>
  </si>
  <si>
    <t>Boulogne Billancourt, France</t>
  </si>
  <si>
    <t>223051-06T</t>
  </si>
  <si>
    <t>Green-Got</t>
  </si>
  <si>
    <t>Environmental Services (B2B), Financial Software, Other Financial Services*</t>
  </si>
  <si>
    <t>Operator of a green neo-bank intended to create a banking alternative accessible to everyone. The company reduces the impact of checking accounts, puts money in savings that finance the ecological transition, and preserves the ecosystems with every payment, enabling users to have a safe and secure payment application.</t>
  </si>
  <si>
    <t>Daffourd Invest, Leia Capital, Mozza (France), Pale blue dot</t>
  </si>
  <si>
    <t>credit &amp; banking, credit and banking, digital banking, ethical banking, finance bank, finance company, finance project, financing platform, savings account</t>
  </si>
  <si>
    <t>Climate Tech, FinTech, Mobile</t>
  </si>
  <si>
    <t>201681-82T</t>
  </si>
  <si>
    <t>Ecojoko</t>
  </si>
  <si>
    <t>Application Software, Electronics (B2C)*, Household Appliances, Other Energy Services</t>
  </si>
  <si>
    <t>Developer of an electric energy monitoring device designed to indicate electricity consumption in real time. The company's device is placed on the general circuit breaker that is contactless and sends its consumption measurements to the remote assistant hence, monitoring energy consumption while also providing energy consumption reports for individual appliances, enabling customers to save electricity and observe energy consumption for each gadget they use at home.</t>
  </si>
  <si>
    <t>50 Partners, VOL-V</t>
  </si>
  <si>
    <t>anti waste platform, ecological transition, electrical waste recycling, electricity monitoring device, electricity savings, energy monitoring sensors, energy saving</t>
  </si>
  <si>
    <t>223021-81T</t>
  </si>
  <si>
    <t>ICTYOS</t>
  </si>
  <si>
    <t>Animal Textiles*, Other Commercial Products</t>
  </si>
  <si>
    <t>Operator of an ecological tannery intended to produce marine leathers. The company's leathers are created by recycling fish skin that is obtained from the food industry in an ethical approach to maintain a circular and sustainable economy, enabling customers to access environment-friendly products that are made by keeping sustainability factors in mind.</t>
  </si>
  <si>
    <t>Demeter Partners, JBC2</t>
  </si>
  <si>
    <t>animal skin, leather goods, leather manufacturer, leather product producer, marine product supply, sustainable materials</t>
  </si>
  <si>
    <t>Animal Textiles</t>
  </si>
  <si>
    <t>E-Commerce, Industrials, LOHAS &amp; Wellness, Manufacturing</t>
  </si>
  <si>
    <t>184168-09T</t>
  </si>
  <si>
    <t>Siléane</t>
  </si>
  <si>
    <t>Developer of an autonomous robot intended to improve productivity within industrial, environmental, and food industry applications. The company develops robots with artificial intelligence and computer vision to handle operations for fragile, fresh, flexible, and unstable products and sorting and deconstructing nuclear waste, enabling companies to increase productivity and reduce the total labor cost.</t>
  </si>
  <si>
    <t>European Innovation Council Fund, European Investment Bank (Luxembourg), Garibaldi Participations, Siparex Group</t>
  </si>
  <si>
    <t>agile robotics, autonomous machine, autonomous robotics tools, autonomous robots, computer visions, intelligent robotics, kitchentech &amp; robotics, kitchentech and robotics, restaurant &amp; retail tech, restaurant and retail technology, robot technology, robotic machine</t>
  </si>
  <si>
    <t>Advanced Manufacturing, Artificial Intelligence &amp; Machine Learning, Industrials, Robotics and Drones, TMT</t>
  </si>
  <si>
    <t>252615-07T</t>
  </si>
  <si>
    <t>Cognitive Engines</t>
  </si>
  <si>
    <t>Business/Productivity Software, Enterprise Systems (Healthcare), Machinery (B2B)*</t>
  </si>
  <si>
    <t>Developer of a collaborative robotics integrator technology designed for the industrial and healthcare sectors. The company's technology facilitates real-time learning and adaptation in multiple domains, reduces changeover time between series, and makes it possible to involve non-digitized employees in the production process, enabling industries to focus on tasks such as quality management, flow production, or high-skill monitoring.</t>
  </si>
  <si>
    <t>artificial intelligence support, assembly line, business operations assistance, collaborative robotics, human machine interface, industrial robots, process automation, robotic technology, robotics integrator, semantic analytics</t>
  </si>
  <si>
    <t>Advanced Manufacturing, Artificial Intelligence &amp; Machine Learning, Robotics and Drones</t>
  </si>
  <si>
    <t>Cestas, France</t>
  </si>
  <si>
    <t>222926-23T</t>
  </si>
  <si>
    <t>Lynxter</t>
  </si>
  <si>
    <t>Machinery (B2B)*, Other Materials</t>
  </si>
  <si>
    <t>Manufacturer of additive manufacturing machine tools intended to provide an alternative option of manufacturing. The company provides three-dimensional (3D) printed industrial-grade manufacturing tools and services for rapid prototyping and functional fabrication of unique parts and small series such as high-range, modular manufacturing machines, enabling clients to use 3D printing as means of manufacturing.</t>
  </si>
  <si>
    <t>Caisse Regionale Credit Agricole Mutuel d'Ille et Vilaine (PAR: CIV), ETCHART Group, GE Invest, Herrikoa, IRDI Capital Investissement, Nouvelle Aquitaine Co-Investissement, Pg Developpement</t>
  </si>
  <si>
    <t>3d print tooling, 3d printing, additives manufacturing, additives tools, engineering parts, machine parts</t>
  </si>
  <si>
    <t>3D Printing, Advanced Manufacturing</t>
  </si>
  <si>
    <t>223121-89T</t>
  </si>
  <si>
    <t>Maddie</t>
  </si>
  <si>
    <t>Operator of the healthcare platform intended to help health professionals manage their practices effectively. The company offers dematerialized diaries, online appointment bookings, and a customizable and well-referenced website, enabling professionals to structure waiting lists, optimize schedules, and temporize incoming requests.</t>
  </si>
  <si>
    <t>Bpifrance, Tomcat Invest</t>
  </si>
  <si>
    <t>appointment booking, health assistant, health care technology, health professionals, healthcare management, healthcare platform</t>
  </si>
  <si>
    <t>222941-62T</t>
  </si>
  <si>
    <t>Senef</t>
  </si>
  <si>
    <t>Operator of a publishing management software intended for companies in the personal services, senior residences, cleanliness, and hotel sectors. The company's platform offers a full range of website and mobile services to meet all the needs of players operating in these segments, enabling clients to facilitate the daily lives of their businesses.</t>
  </si>
  <si>
    <t>Isatis Capital(Lucas Cornette)</t>
  </si>
  <si>
    <t>enterprise asset management, enterprise resource planning, mobile service company, mobile service platform, publishing management, software development, software development company, software development firm</t>
  </si>
  <si>
    <t>224645-77T</t>
  </si>
  <si>
    <t>Ween</t>
  </si>
  <si>
    <t>Application Software, Electronics (B2C)*</t>
  </si>
  <si>
    <t>Developer of thermostat products designed for smart homes by connecting them with smartphones. The company's products adapt to the temperature of the user's home by anticipating their arrival according to their habits and location for ideal temperature, enabling customers to have a free-standing smart thermostat that reacts in real-time to maximize energy-saving for all absences planned or unplanned, in a frictionless and userless manner.</t>
  </si>
  <si>
    <t>building energy efficiency, connected buildings, energy application, energy saving software, home energy management, smart device, smart home device, thermostats manufacturer, thermostats product, thermostats system</t>
  </si>
  <si>
    <t>Climate Tech, Mobile</t>
  </si>
  <si>
    <t>Cernay-La-Ville, France</t>
  </si>
  <si>
    <t>223027-84T</t>
  </si>
  <si>
    <t>FJ Labs, Kima Ventures, Snaw Ventures</t>
  </si>
  <si>
    <t>224631-28T</t>
  </si>
  <si>
    <t>Coinhouse</t>
  </si>
  <si>
    <t>Operator of a crypto assets investment platform intended to make digital funds accessible to everyone. The company's platform monitors the latest trends and develops reports that clarify market conditions, risks, and opportunities and provides market insights regarding different crypto-assets, enabling clients to get the opportunity to acquire and secure their digital assets as well as to subscribe to savings and investment products.</t>
  </si>
  <si>
    <t>Siparex Group, YADAY</t>
  </si>
  <si>
    <t>asset management and tax, crypto asset management, crypto assets, crypto assets advisory, crypto bank, crypto brokerage service, crypto custody services, crypto investment platform</t>
  </si>
  <si>
    <t>224618-59T</t>
  </si>
  <si>
    <t>Colette</t>
  </si>
  <si>
    <t>Provider of co-living spaces designed for students and lonely seniors. The company helps students and young workers find accommodation by living with hosts who have a room to rent, enabling homeowners to rent their vacant rooms to young people offering additional income and daily help.</t>
  </si>
  <si>
    <t>co-living rooms, co-living space, homeowners services, living space, room rental, solidarity platform</t>
  </si>
  <si>
    <t>224629-93T</t>
  </si>
  <si>
    <t>DivRiots</t>
  </si>
  <si>
    <t>Developer of code-to-design technology and system software designed to facilitate versioning and documentation. The company's technology specializes in focusing on the core objectives of solving complex technical challenges to synchronize with designers, enabling front-end teams to help further the digital transformation of their clients.</t>
  </si>
  <si>
    <t>digital transformation, front-end software, front-end tools, software development, system software developer, website tools</t>
  </si>
  <si>
    <t>223540-03T</t>
  </si>
  <si>
    <t>Edflex</t>
  </si>
  <si>
    <t>Developer of an e-learning software designed to aggregate online learning courses. The company's portal offers courses that enhance the training catalog with resources including online courses, videos, podcasts, ebooks and articles, enabling learners with certified online education to develop skill sets and knowledge.</t>
  </si>
  <si>
    <t>Arkéa Capital, EduCapital, Jean-Stephane Arcis(Jean-Stephane Arcis), Wille Finance</t>
  </si>
  <si>
    <t>digital learning, educational software company, enterprise resource planning, human capital management, online courses, online learning</t>
  </si>
  <si>
    <t>251294-23T</t>
  </si>
  <si>
    <t>eShard</t>
  </si>
  <si>
    <t>Developer of a network security testing technology designed for analyzing the security risks of devices. The company's platform is a web-based framework that analyzes in-depth cryptographic codes against side-channel and fault virus attacks and threats, enabling users to maintain a strong and adequate level of cyber security and flexibility.</t>
  </si>
  <si>
    <t>cryptography software, endpoint security, iot security, iot software, iot/ot security, mobile application security, mobile security software, ot security, risk analysis tool, security testing, security threats analysis</t>
  </si>
  <si>
    <t>Cybersecurity, SaaS, TMT</t>
  </si>
  <si>
    <t>224912-62T</t>
  </si>
  <si>
    <t>GiftShop</t>
  </si>
  <si>
    <t>Operator of a merch platform intended for local businesses like restaurants, coffee shops, and hotels. The company's platform offers a wide range of features including a design studio with templates and tools to help businesses create their custom merch, a production network with access to high-quality suppliers, and a fulfillment service that handles shipping and delivery, enabling local businesses to easily and cost-effectively create and sell their merch.</t>
  </si>
  <si>
    <t>Kima Ventures, Motier Ventures, Reshape Ventures, Tekton Ventures, True Ventures, Trust Fund</t>
  </si>
  <si>
    <t>ecmmerce platform, local business, merch product, merchandise business, merchandise goods, profitable business</t>
  </si>
  <si>
    <t>223028-47T</t>
  </si>
  <si>
    <t>Gluetrail</t>
  </si>
  <si>
    <t>Developer of an operation management platform designed to analyze business performance. The company's platform connects with the organization's business application and analyzes the performance of business processes and highlights anomalies, ensuring there are no leaks in inbound lead flow and a reduction in deal approval times or accelerating customer onboarding or activation, enabling organizations to drive improvement and plan actionable.</t>
  </si>
  <si>
    <t>business development support, digital operations, forecasting tool, operations management service, pipeline management tool, revenue intelligence platform</t>
  </si>
  <si>
    <t>223971-76T</t>
  </si>
  <si>
    <t>Le Comptoir des Experts</t>
  </si>
  <si>
    <t>Distributors/Wholesale, Other Services (B2C Non-Financial), Specialty Retail*</t>
  </si>
  <si>
    <t>Provider of industrial supplies, hardware, and tools intended for the development of both professional and personal projects. The company's inventory consists of products across various sectors hand tools, power tools, gas and welding equipment, hygiene products, adhesives, signage, and personal protective equipment workwear, providing customers with a constantly evolving range of products to meet their needs.</t>
  </si>
  <si>
    <t>hardware and tools, hardware tools experts, industrial supply, personal protective equipment, power tools supplier, tailor made solutions</t>
  </si>
  <si>
    <t>Calais, France</t>
  </si>
  <si>
    <t>223934-32T</t>
  </si>
  <si>
    <t>Raive App</t>
  </si>
  <si>
    <t>Operator of a marketing platform intended to manage ads on social media for small e-commerce businesses. The company's platform specializes in providing interest-based advertisement, web marketing analytics, and automating the images &amp; information of business products, enabling advertisers and e-commerce store owners to deliver more relevant ads to customers on networks.</t>
  </si>
  <si>
    <t>ad management, advertisement maker, business products, marketing analytics, marketing platform, marketing tool</t>
  </si>
  <si>
    <t>224631-46T</t>
  </si>
  <si>
    <t>Skello</t>
  </si>
  <si>
    <t>Application Software, Business/Productivity Software*, Human Capital Services</t>
  </si>
  <si>
    <t>Developer of a human resource management software designed to help clients effectively schedule and optimize their staff. The company's software manages schedules and communication with teams and automatically processes payroll, enabling clients to maximize the management of their staff and free up their schedules.</t>
  </si>
  <si>
    <t>human resource management, management optimization, payroll management, payroll software, schedule management, staff management tool</t>
  </si>
  <si>
    <t>251300-98T</t>
  </si>
  <si>
    <t>233261-83T</t>
  </si>
  <si>
    <t>Altaroad</t>
  </si>
  <si>
    <t>Developer of a data analytics platform designed to generate road data to make it smarter and sustainable. The company generates road data through sensors and its platform monitors traffic patterns, tracks the weight of vehicles, assesses their impact on the road, and detects dangerous driving behavior, enabling operators of roads, city traffic managers, and logisticians to perform predictive maintenance and do cost savings.</t>
  </si>
  <si>
    <t>data analytics platform, infrastructure sensors, nano sensor device, nano sensors, road data, smart mobility application, transportation data analytics</t>
  </si>
  <si>
    <t>206917-30T</t>
  </si>
  <si>
    <t>Hupso</t>
  </si>
  <si>
    <t>Operator of an online education platform intended to offer distance learning courses and certificates. The company's platform offers training courses for occupations in a wide range of sectors such as construction, management and accounting, human resources, energy renovation, education, care, and more, enabling people to target a job and accordingly educate and train themselves.</t>
  </si>
  <si>
    <t>Axel Manoukian(Axel Manoukian), Dimitri Farber(Dimitri Farber), EduCapital, Evolem, Hugo Manoukian(Hugo Manoukian), Marie Geneste(Marie Geneste), Patrick Asdaghi(Patrick Asdaghi), Romain Libeau(Romain Libeau), Romain Rafard(Romain Rafard), Titan Capital Partners</t>
  </si>
  <si>
    <t>distance education, edtech platform, job training, online education, personalized training courses, professional training</t>
  </si>
  <si>
    <t>220262-68T</t>
  </si>
  <si>
    <t>Kimialys</t>
  </si>
  <si>
    <t>Biotechnology*, Diagnostic Equipment</t>
  </si>
  <si>
    <t>Developer of an analytical device intended to offer products based on innovative surface chemistry in the field of biosensors. The company's platform provides coated gold nanoparticles and biochips, as well as contract development services, helping assay developers, point-of-care assay developers, and pharmaceutical laboratories, achieve unprecedented rapid test and in vitro analysis accuracy while reducing their cost of development and production.</t>
  </si>
  <si>
    <t>GO Capital (France)(Tristan Garde), Key Ventures, SATT Paris-Saclay</t>
  </si>
  <si>
    <t>biochip, biosensor device, biosensor device developer, biosensor technology, lateral flow assay, nanoparticles, point-of-care diagnostics assay, service, surface chemistry</t>
  </si>
  <si>
    <t>221232-52T</t>
  </si>
  <si>
    <t>Ciliatech</t>
  </si>
  <si>
    <t>Surgical Devices, Therapeutic Devices*</t>
  </si>
  <si>
    <t>Developer of an intraocular implant designed for the treatment of glaucoma. The company's implant which is a Cilio-Scleral Inter-positioning Device (CID) effectively reduces Intraocular Pressure (IOP) without penetrating the anterior chamber or creating subconjunctival filtration, enabling eye surgeons to overcome the serious complications and shortcomings of glaucoma surgical techniques.</t>
  </si>
  <si>
    <t>Bernard Chauvin(Bernard Chauvin), BNP Paribas Développement, Bpifrance, Kreaxi, UI Investissement</t>
  </si>
  <si>
    <t>filtration tubes, glaucoma care, glaucoma research, glaucoma therapy, intraocular implants, ophthalmology lab, surgeon device, surgical implants, surgical techniques</t>
  </si>
  <si>
    <t>Chavanod, France</t>
  </si>
  <si>
    <t>221171-77T</t>
  </si>
  <si>
    <t>Magroove</t>
  </si>
  <si>
    <t>Developer of a digital music distribution platform designed to help artists monetize their work. The company's platform allows the distribution of music on various music streaming platforms and provides indie artists to monetize their work, enabling artists to reach new audiences and find new listeners.</t>
  </si>
  <si>
    <t>DOMO.VC</t>
  </si>
  <si>
    <t>digital music distribution, digital music store, music distribution company, music distribution platform, music platform, online music distribution</t>
  </si>
  <si>
    <t>AudioTech, Mobile</t>
  </si>
  <si>
    <t>225818-20T</t>
  </si>
  <si>
    <t>Maloric</t>
  </si>
  <si>
    <t>Marine*, Other Commercial Products</t>
  </si>
  <si>
    <t>Manufacturer of a marine traction wing designed to propel pleasure boats using free and infinite wind energy. The company's product offers control of the automated wing, attached telescopic mast, control box, and a wing-type kitesurf, enabling ship owners to install it on any type of ship and reduce maintenance and fuel costs.</t>
  </si>
  <si>
    <t>Bpifrance, Région Nouvelle-Aquitaine</t>
  </si>
  <si>
    <t>aeronautical equipment, aeronautics parts, decarbonization tools, fishing industry, maritime equipment, navigation aids</t>
  </si>
  <si>
    <t>CleanTech, Manufacturing, Mobility Tech</t>
  </si>
  <si>
    <t>218320-39T</t>
  </si>
  <si>
    <t>221170-51T</t>
  </si>
  <si>
    <t>AQUITI Gestion, Demeter Partners, Epopée Gestion, GO Capital (France), Nouvelle Aquitaine Co-Investissement</t>
  </si>
  <si>
    <t>226292-41T</t>
  </si>
  <si>
    <t>SellingAtHome</t>
  </si>
  <si>
    <t>Developer of a SaaS-based customer relationship management platform designed to aid companies in optimizing their sales performance and improving their customer knowledge. The company's multi-user platform manages activity, salesforce, access, and stores customer data, enabling clients to modernize their activity and seamlessly integrate information systems.</t>
  </si>
  <si>
    <t>TheFactory</t>
  </si>
  <si>
    <t>crm system, customer management, customer relationship management, direct sales, directing selling company, process automation, sales force software, sales performance</t>
  </si>
  <si>
    <t>220040-38T</t>
  </si>
  <si>
    <t>Alpana Ventures(Nathalie Chemtob), Betatron Venture Group, IMC Ventures, Mer Invest, Motion Ventures, Normandie Littoral, Normandie Participations(Sandrine Petitjean), Rainmaking (London), Seabird Ventures, Seventure Partners(Isabelle de Cremoux), Shift4Good(Yann Marteil)</t>
  </si>
  <si>
    <t>221005-00T</t>
  </si>
  <si>
    <t>Abby</t>
  </si>
  <si>
    <t>Automation/Workflow Software, Business/Productivity Software, Financial Software*</t>
  </si>
  <si>
    <t>Developer of business management application software designed to help entrepreneurs get rid of administrative tasks and improve their organization. The company's platform offers an invoicing module, simplified financial management, automated declarations to state bodies, sends invoices automatically, and follows projects, enabling organizations to automate their activity of financial management.</t>
  </si>
  <si>
    <t>ILP Group, Myrtus Venture, Tomcat Invest, Yeast (France)</t>
  </si>
  <si>
    <t>account management, administrative tasks, bank synchronization, business management data, invoice management, payment management</t>
  </si>
  <si>
    <t>221458-69T</t>
  </si>
  <si>
    <t>Hosman</t>
  </si>
  <si>
    <t>Application Software, Real Estate Services (B2C)*</t>
  </si>
  <si>
    <t>Operator of an online real estate agency intended to conduct deals on property. The company's platform analyses large volumes of data, offers local expertise to make valuation estimates, and provides a database of active buyers who can access 3D virtual tours on the platform, enabling buyers and sellers to facilitate speedy deal closures with the help of relevant estate information.</t>
  </si>
  <si>
    <t>Akiles Investment Company</t>
  </si>
  <si>
    <t>3d virtual tour, online real estate, property selling, property showing, real estate firm, real estate platform, sales experience</t>
  </si>
  <si>
    <t>220988-62T</t>
  </si>
  <si>
    <t>Lumicene</t>
  </si>
  <si>
    <t>Building Products*</t>
  </si>
  <si>
    <t>Manufacturer of glass windows designed to redefine home furnishing. The company's glass products include reversible curved glass, prefabricated curved windows which are a true life space that increases the energetic performance of homes, enabling users to enhance their comfort level.</t>
  </si>
  <si>
    <t>Enthéos</t>
  </si>
  <si>
    <t>aluminium frames, comfort, glass windows, lighting management, modular construction project, reversible windows, thermal comfort</t>
  </si>
  <si>
    <t>Miribel Les Echets, France</t>
  </si>
  <si>
    <t>215126-29T</t>
  </si>
  <si>
    <t>MerciApp</t>
  </si>
  <si>
    <t>Developer of a spell-check application designed to analyze and correct documents, emails and social media posts. The company's correction engines scrutinize content by conducting a grammar and spelling check, checking semantics and context, does styling and typography check, enabling users to ensure that they make a good impression in writing.</t>
  </si>
  <si>
    <t>Didier Kuhn(Didier Kuhn), EduCapital, ISAI, Kaloma Capital</t>
  </si>
  <si>
    <t>content checking, email and authoring, grammar checker, kms, knowledge management system, spelling checker, spelling checking platform, spelling guide, typography service</t>
  </si>
  <si>
    <t>220994-47T</t>
  </si>
  <si>
    <t>Virtual Network</t>
  </si>
  <si>
    <t>248406-40T</t>
  </si>
  <si>
    <t>Peach (Information Services (B2C))</t>
  </si>
  <si>
    <t>Application Software, Information Services (B2C)*, Other Healthcare Technology Systems</t>
  </si>
  <si>
    <t>Developer of a medication management application designed for users to simplify medicine tracking. The company's application provides a variety of features including daily intake reminders, activity reminders, and real-time intervention support to simplify repeated medication routines, enabling users to stay on track with their medications, pills, and food supplements.</t>
  </si>
  <si>
    <t>Daffourd Invest, LRLux, Mifani-Invest</t>
  </si>
  <si>
    <t>assistance care, digital companion, medication alarm, medication monitoring, medication reminder, pill reminder, treatment solutions</t>
  </si>
  <si>
    <t>HealthTech, Mobile</t>
  </si>
  <si>
    <t>224442-55T</t>
  </si>
  <si>
    <t>Sekoia.io</t>
  </si>
  <si>
    <t>Developer of a unified security platform designed to protect organizations from cyber threats for extended detection and response in real time. The company's platform constantly analyzes and understands emerging threats, and defines the appropriate strategies to deal with, enabling clients to be updated to face the latest threats continually.</t>
  </si>
  <si>
    <t>Banque des Territoires(Cédric Clement), BNP Paribas Développement, Bright Pixel Capital(Fernando Martins), Omnes Capital(Fabien Collangettes), Seventure Partners</t>
  </si>
  <si>
    <t>cyber attack, cyber threat, cybersecurity platform, cybersecurity protection, edr xdr mdr siem soar, logging ingestion &amp; siem, logging ingestion and siem, malware scanner, security operations, seim, threat intelligence, virus detection</t>
  </si>
  <si>
    <t>220997-89T</t>
  </si>
  <si>
    <t>Cosmose</t>
  </si>
  <si>
    <t>Developer of a data analytics platform designed to predict the shopping behavior of consumers about offline purchases. The company's platform assists offline retailers in selling more of their products by connecting stores with online advertisements to predict where, when and who will go shopping, enabling retail businesses to track and target offline audiences through online advertisements and thereafter measure the impact of their marketing campaigns.</t>
  </si>
  <si>
    <t>NEAR Foundation(Marieke Flament)</t>
  </si>
  <si>
    <t>advertising technology, ai analytics platform, analytics platform, business intelligence platform, customer behavioral analytics, data targeting, location technology</t>
  </si>
  <si>
    <t>AdTech, Artificial Intelligence &amp; Machine Learning, Big Data, Marketing Tech, SaaS</t>
  </si>
  <si>
    <t>220982-32T</t>
  </si>
  <si>
    <t>Woodoo</t>
  </si>
  <si>
    <t>Manufacturer of carbon-efficient materials intended to make the transition to sustainable alternatives for decarbonization. The company's materials specialize in molding and shaping natural wood from regenerative forestry which can turn it into alternatives to steel, glass, leather, and plastics, without sacrificing the planet's health, enabling industries and corporations to meet their carbon neutrality commitments, converting low-grade and even diseased wood products, and turning them into high-tech materials.</t>
  </si>
  <si>
    <t>Lowercarbon Capital(Christopher Sacca), One Creation Coopérative, Purple (Paris), Purple Ventures</t>
  </si>
  <si>
    <t>built environment, carbon efficient, carbon neutrality, construction material provider, construction material supplier, decarbonization management, decarbonization strategy, green construction, material alternatives, molecular product, regenerative forestry, wood material</t>
  </si>
  <si>
    <t>CleanTech, Climate Tech, Industrials, LOHAS &amp; Wellness, Manufacturing, TMT</t>
  </si>
  <si>
    <t>220927-15T</t>
  </si>
  <si>
    <t>Kima Ventures, Market One Capital, Purple (Paris), Purple Ventures, Snaw Ventures, Speedinvest</t>
  </si>
  <si>
    <t>226655-47T</t>
  </si>
  <si>
    <t>LOSANJE</t>
  </si>
  <si>
    <t>Operator of an industrial upcycling platform intended to change surplus and second-hand stocks into new clothing and accessories. The company offers end-to-end support on all upcycling projects, whether it involves revaluing identified stocks or creating upcycled products, enabling customers to access a range of upcycled clothing and accessories and consume items ecologically with reduced carbon emissions and a decrease in water consumption.</t>
  </si>
  <si>
    <t>clothing and apparel, textile manufacturing, upcycled accessories, upcycled clothing, upcycling products manufacturer, upcycling services, upcycling solutions</t>
  </si>
  <si>
    <t>221065-21T</t>
  </si>
  <si>
    <t>Nalo</t>
  </si>
  <si>
    <t>Financial Software, Life and Health Insurance, Other Financial Services*</t>
  </si>
  <si>
    <t>Developer of a financial management platform designed to manage, secure, and boost the capital of investors. The company's platform specializes in individualized management, development projects, security, investment simulation, and permanent monitoring, providing investors with customized benefits according to their need of goals with wealth management and investment strategy.</t>
  </si>
  <si>
    <t>Apicil Group(Eric Rosenthal), Insurtech Capital, Mandalore Partners(Minh Tran)</t>
  </si>
  <si>
    <t>digital advisory, financial planning, financial platform software, life insurance, life insurance market, robo-advisors, smart investment, wealthtech</t>
  </si>
  <si>
    <t>255922-21T</t>
  </si>
  <si>
    <t>TeamPulse</t>
  </si>
  <si>
    <t>Business/Productivity Software*, Clothing</t>
  </si>
  <si>
    <t>Developer of a mobile application designed for managing amateur sports teams. The company's application helps manage different activities related to sports events, whether a team or time management and communication, enabling coaches to save time from tedious management tasks that come with creating a team.</t>
  </si>
  <si>
    <t>QPDigital</t>
  </si>
  <si>
    <t>coaches team, communication group, sports coaching, sports database, sports team, time management app</t>
  </si>
  <si>
    <t>Saint-Chamond, France</t>
  </si>
  <si>
    <t>209307-79T</t>
  </si>
  <si>
    <t>Carbon Waters</t>
  </si>
  <si>
    <t>Other Materials, Specialty Chemicals*</t>
  </si>
  <si>
    <t>Developer of graphene-based performance additives designed to improve the properties of conventional materials and provide new ones. The company develops graphene that can be produced in aqueous and organic solvents which is compatible with a wide variety of formulation matrices and is adapted for many industrial deposition processes like electroplating, spray, inkjet, and others, enabling clients to optimize product performance through specific integration of graphene dispersion.</t>
  </si>
  <si>
    <t>Altarence, Nouvelle Aquitaine Co-Investissement, Transitions First</t>
  </si>
  <si>
    <t>advanced materials company, circular approach, composites reinforcement product, graphene makers, graphene producer, nanomaterial research, nanomaterials technology</t>
  </si>
  <si>
    <t>Specialty Chemicals</t>
  </si>
  <si>
    <t>243471-61T</t>
  </si>
  <si>
    <t>ImmoSign</t>
  </si>
  <si>
    <t>Provider of contract management and digitization services catering to the real estate sector. The company specializes in leases, mandates, sales agreements, and electronic signature services, enabling builders and real estate agencies to simplify and secure your real estate contracts.</t>
  </si>
  <si>
    <t>Arche (Real Estate)</t>
  </si>
  <si>
    <t>contract digitization, contract management, contract management system, digitization service, real estate sector, sales agreement</t>
  </si>
  <si>
    <t>Bretteville-Sur-Odon, France</t>
  </si>
  <si>
    <t>219671-74T</t>
  </si>
  <si>
    <t>Mooncard</t>
  </si>
  <si>
    <t>Developer of an expense management system designed to optimize operational team efficiency while giving control to finance teams. The company's system offers secure, real-time payment cards that automate the management of expense claims and business expenses and also put the new payment technologies at the service of day-to-day management, enabling users to pay, manage and simply record the expense reports and business expenses.</t>
  </si>
  <si>
    <t>Aglaé Ventures, BlackFin Capital Partners, Orange Ventures, Partech, Portage, RAISE Group</t>
  </si>
  <si>
    <t>business payment service, enterprise payment, enterprise resource planning, expense management tool, expense payment system, payment card management, payment card system</t>
  </si>
  <si>
    <t>211088-62T</t>
  </si>
  <si>
    <t>mySofie Pay</t>
  </si>
  <si>
    <t>Clinics/Outpatient Services, Financial Software*, Other Financial Services, Other Insurance</t>
  </si>
  <si>
    <t>Developer of a mobile application designed to understand, monitor, and evaluate mutual health insurance. The company's application facilitates expenditure analysis, treatment history, and also teleconsultation, e-pharmacy, and health magazines, enabling users to get an accurate picture of the health of the whole family.</t>
  </si>
  <si>
    <t>digital care management, health insurance application, health insurance service, health plan, health reimbursement, health tech platform, health tracking, insurance platform, medical expenses tracker, medical records</t>
  </si>
  <si>
    <t>HealthTech, InsurTech, Mobile, SaaS</t>
  </si>
  <si>
    <t>220890-43T</t>
  </si>
  <si>
    <t>OSO-AI</t>
  </si>
  <si>
    <t>Developer of artificial intelligence technology intended to identify noises in the surroundings. The company is involved in developing an intelligent artificial system that identifies and understands sounds and assists people with disabilities and hearing loss to interact and converse with others and connect with the environment, enabling people with hearing disabilities to hear the sound of the environment without any disturbances and also communicate effectively.</t>
  </si>
  <si>
    <t>Cemag Invest(Catherine Dunand), Innovacom (Paris)(Vincent Deltrieu), Novinvest Partners, UI Investissement(Stephane Lefevre-Sauli)</t>
  </si>
  <si>
    <t>disability care, ear care device, healthcare hardware, hearing ailment, hearing care, hearing impair</t>
  </si>
  <si>
    <t>220846-42T</t>
  </si>
  <si>
    <t>Primo (Business/Productivity Software)</t>
  </si>
  <si>
    <t>Automation/Workflow Software, Business/Productivity Software, Network Management Software*</t>
  </si>
  <si>
    <t>Developer of a business platform designed to track a fleet of devices. The company offers to adjust settings, deploy apps and encrypt data in just a few clicks by managing all of the devices directly from the dashboard, enabling businesses to quickly recover from spills, drops, losses and thefts.</t>
  </si>
  <si>
    <t>Arthur Waller(Arthur Waller), Global Founders Capital, Headline, Ilana Elbaz(Ilana Elbaz), Josef Bovet(Josef Bovet), Mathieu Birach(Mathieu Birach), Romain Libeau(Romain Libeau), Romain Niccoli(Romain Niccoli)</t>
  </si>
  <si>
    <t>automation model, business automation service, business automation systems, business automation tools, it automation company, it automation software</t>
  </si>
  <si>
    <t>220175-65T</t>
  </si>
  <si>
    <t>Qontrol</t>
  </si>
  <si>
    <t>Developer of virtual cybersecurity assistant software intended to help SMEs and startups protect their businesses. The company's platform assists in protecting companies' sensitive data and provides a single tool to manage things, enabling businesses to let their partners know that they are in perfect cyber health.</t>
  </si>
  <si>
    <t>AG2R La Mondiale, Auriga Cyber Ventures</t>
  </si>
  <si>
    <t>business risk management, cyber security, cyber security data, data security, digital transformation, information systems, network security</t>
  </si>
  <si>
    <t>220721-23T</t>
  </si>
  <si>
    <t>Founders Future(Marc Menasé), FoundersX Ventures, Goodwater Capital, Kima Ventures, Lightning Ventures (Bitcoin), Sharpstone Capital, Soma Capital, Stillmark, Y Combinator</t>
  </si>
  <si>
    <t>220722-04T</t>
  </si>
  <si>
    <t>Inpulse</t>
  </si>
  <si>
    <t>Developer of a business forecasting and planning platform designed to manage sales forecasting with suppliers. The company's platform uses predictive technology and AI tools to anticipate sales, forecast stocks, adapt production, increase margin and reduce waste, enabling restaurants and food retailers to target custom audiences on the web.</t>
  </si>
  <si>
    <t>High Flyers Capital, TCD Capital, Trail Solutions Patrimoine</t>
  </si>
  <si>
    <t>crm, customer relationship management, forecast management, inventory management, inventory management app, inventory management tool, predictive analytics, sales forecasting tool, sales prediction, supplies forecasting, vertical application</t>
  </si>
  <si>
    <t>220277-98T</t>
  </si>
  <si>
    <t>Intence</t>
  </si>
  <si>
    <t>Leisure Facilities*, Media and Information Services (B2B)</t>
  </si>
  <si>
    <t>Developer of a new generation of mobile applications designed for tourists. The company specializes in meeting the challenges of new consumption patterns, e-ticketing, physical or dematerialized access control, real-time information, flow management, gamification, and automated memories, enabling customers to simplify the customer journey and manage a smart tourist experience.</t>
  </si>
  <si>
    <t>customer journey management, customer journey planning, flow management, it consulting, leisure destination, outdoor activities, tourism site, tourist experience</t>
  </si>
  <si>
    <t>Big Data, Mobile</t>
  </si>
  <si>
    <t>La Motte-Servolex, France</t>
  </si>
  <si>
    <t>222860-26T</t>
  </si>
  <si>
    <t>PeeK'in</t>
  </si>
  <si>
    <t>Developer of a lost property management platform designed to facilitate the recovery of forgotten items and save time for the teams who manage them. The company's application divides processing time and reduces the inventory of found items at the hotels, enabling hoteliers to make their customers happy by simplifying the return of items.</t>
  </si>
  <si>
    <t>hospitality facility, hospitality software, lost items, lost items recovery, lost items tracker, property management software</t>
  </si>
  <si>
    <t>220775-32T</t>
  </si>
  <si>
    <t>Selfee</t>
  </si>
  <si>
    <t>Electric Utilities*, Other Energy Services</t>
  </si>
  <si>
    <t>Provider of electric utility facilities intended to supply electricity to a variety of places. The company supplies the buildings of local communities in short circuits thanks to the production of energy present in their territory, enabling customers to get clean and sustainable electricity.</t>
  </si>
  <si>
    <t>Crédit Agricole Normandie, Groupe EverWatt</t>
  </si>
  <si>
    <t>electric utility, electric utility company, electric utility facilities, electric utility operator, electric utility product, electric utility supplier, electricity supplier, green electricity</t>
  </si>
  <si>
    <t>Electric Utilities</t>
  </si>
  <si>
    <t>61743-07T</t>
  </si>
  <si>
    <t>Marbella Paris</t>
  </si>
  <si>
    <t>Manufacturer of dermo-adhesive decorative products designed for personal and aesthetic purposes. The company offers decorative items that include adhesive-based designs for temporary skin applications, emphasizing artistic details and ease of use, enabling individuals and luxury markets to incorporate innovative aesthetic enhancements into fashion, makeup, and personal expression.</t>
  </si>
  <si>
    <t>Alliance Entreprendre, Cepic, Picardie Investissement, Renaud Dutreuil</t>
  </si>
  <si>
    <t>body jewelry, body tattoos, couture jewelry, fashion accessories, jewelry online, makeup and grooming, tattoos design</t>
  </si>
  <si>
    <t>223180-75T</t>
  </si>
  <si>
    <t>Pulpe De Vie</t>
  </si>
  <si>
    <t>Operator of a cosmetic brand intended to offer a range of skincare products. The company's platform offers organic cosmetics products made from organic fruit and vegetables which exclusively come from small local producers, enabling consumers to avail environmentally friendly and sensitive skin products at a low price.</t>
  </si>
  <si>
    <t>A Plus Finance(Jean-Michel Sibué), CAAP Creation(Armand Perrin), InvESS't PACA, Région Sud Investissement(Pierre Joubert), Societe en Capital Risque Provençale et Corse</t>
  </si>
  <si>
    <t>body care product, cosmetics retailer, facial care, natural skincare, organic cosmetics, personal products, skin product, skincare product</t>
  </si>
  <si>
    <t>220615-30T</t>
  </si>
  <si>
    <t>Santé Académie</t>
  </si>
  <si>
    <t>Developer of an online training platform designed to provide training to healthcare professionals. The company's platform provides a wide range of healthcare training courses, especially for new doctors, nurses, and pharmacists, enabling hospital management to learn online from anywhere and at their own pace for free of cost.</t>
  </si>
  <si>
    <t>Bpifrance(Adrien Muller), Racine2, Serena (Paris)(Eric Gossart), Sofiouest(Sonia Trocmé-Le Page), Ternel(Rodrigue Leroy)</t>
  </si>
  <si>
    <t>flexible learning, healthcare platform, healthcare professionals, healthcare training, interactive screening, medical training, online training, professional training, skills exchange</t>
  </si>
  <si>
    <t>La Chapelle Saint Luc, France</t>
  </si>
  <si>
    <t>222902-02T</t>
  </si>
  <si>
    <t>SBA Compta</t>
  </si>
  <si>
    <t>Accounting, Audit and Tax Services (B2B)*, Business/Productivity Software</t>
  </si>
  <si>
    <t>Developer of an accounting platform designed to simplify the management and accounting of businesses. The company's platform provides accounting services and effective business management tools to assist clients in continuously viewing the evolution of key performance indicators, enabling entrepreneurs to get the appropriate tools and services for business management.</t>
  </si>
  <si>
    <t>Adonis Investment, Habert Dassault Finance</t>
  </si>
  <si>
    <t>account management, accounting software, business management tool, cash management, expense reports, income statements, tax return</t>
  </si>
  <si>
    <t>Accounting, Audit and Tax Services (B2B)</t>
  </si>
  <si>
    <t>222902-65T</t>
  </si>
  <si>
    <t>Vect-Horus</t>
  </si>
  <si>
    <t>Biotechnology, Drug Delivery*, Drug Discovery</t>
  </si>
  <si>
    <t>Developer of a targeted drug delivery system intended to enhance the transport of biotherapeutics across biological barriers. The company's system is based on the specific design and optimization of molecular vectors that once conjugated to a payload delivered to target cells in the body, enabling healthcare providers to improve therapeutic or diagnostic benefits while minimizing both dose levels and off-target effects of newly developed molecules.</t>
  </si>
  <si>
    <t>CAAP Creation</t>
  </si>
  <si>
    <t>biologics, biotechnology research, business model, drug delivery system, imaging agent, medical goods, peptides, peptides vector, protein, receptor mediated transport</t>
  </si>
  <si>
    <t>278041-15T</t>
  </si>
  <si>
    <t>Worklib</t>
  </si>
  <si>
    <t>Developer of business productivity software designed for hybrid work model. The company's platform helps companies design hybrid work modes that are better for people, for business.</t>
  </si>
  <si>
    <t>Accor (PAR: AC), Alpha Star, Starteq, Sébastien Bazin</t>
  </si>
  <si>
    <t>business productivity company, business productivity service, business productivity software, business productivity software developer, business productivity software technology</t>
  </si>
  <si>
    <t>220519-18T</t>
  </si>
  <si>
    <t>Ynsect</t>
  </si>
  <si>
    <t>Agricultural Chemicals*, Other Agriculture</t>
  </si>
  <si>
    <t>Operator of insect vertical farms intended to produce premium organic alternative proteins and fertilizer from insects. The company's bio-refineries farm transforms insects into the natural diet for livestock and pet nutrition, enabling farmers and domestic animal feed markets to avail of sustainable and premium nutrition by tapping the natural goodness of insects at a large scale.</t>
  </si>
  <si>
    <t>Astanor Ventures(Eric Archambeau), BD Partners, FootPrint Coalition, Robert Downey(Robert Downey), The Nest Family Office, Upfront Ventures(Yves Sisteron), Wind Capital</t>
  </si>
  <si>
    <t>animal ag, animal agriculture, animal feed, control environment agriculture, fertilizer alternatives, insect protein, insect protein producer, insects breeding, insects farming, land use, vertical farming</t>
  </si>
  <si>
    <t>AgTech, Climate Tech, LOHAS &amp; Wellness</t>
  </si>
  <si>
    <t>223470-73T</t>
  </si>
  <si>
    <t>Mediflash</t>
  </si>
  <si>
    <t>Human Capital Services*, Other Healthcare Technology Systems</t>
  </si>
  <si>
    <t>Operator of a healthcare replacement platform intended to improve temporary employment among healthcare organizations. The company's platform offers caregivers replacement assignments that are similar to a self-employed person along with providing them with flexibility and remuneration, enabling clients to easily hire independent paramedical professionals for a short duration.</t>
  </si>
  <si>
    <t>DFF Ventures, Evolem, Firstminute Capital, VentureFriends</t>
  </si>
  <si>
    <t>caregiver hiring, employment agency, healthcare professionals, healthcare professionals portal, healthcare workforce management, paramedical employee search, paramedical replacement</t>
  </si>
  <si>
    <t>HealthTech, HR Tech</t>
  </si>
  <si>
    <t>223333-57T</t>
  </si>
  <si>
    <t>DST Global, Sequoia Capital</t>
  </si>
  <si>
    <t>250934-86T</t>
  </si>
  <si>
    <t>Glimps</t>
  </si>
  <si>
    <t>Developer of a cybersecurity software designed to automate security processes. The company's software utilizes code conceptualization technology to analyze systems and detect viruses that are immediately correlated with known appropriate families, for effective threat characterization, both open-source and proprietary, enabling businesses to reduce malware threats efficiently.</t>
  </si>
  <si>
    <t>cyber attack, cyber security, endpoint security, iot security, iot/ot security, it security testing, malware test, network security, ot security, virus detection, virus detection kit</t>
  </si>
  <si>
    <t>Artificial Intelligence &amp; Machine Learning, Cybersecurity, SaaS</t>
  </si>
  <si>
    <t>220481-92T</t>
  </si>
  <si>
    <t>Hinfact</t>
  </si>
  <si>
    <t>Aerospace and Defense, Business/Productivity Software*</t>
  </si>
  <si>
    <t>Developer of an eye-tracking technology designed to minimize pilot errors. The company's technology tracks the movement of the pilot's eye and detects if the pilot has checked all the parameters and if not, which ones have been forgotten, enabling pilots to reduce human error and faults in aviation and minimize accidents.</t>
  </si>
  <si>
    <t>Innovacom (Paris)(Alban Nenert)</t>
  </si>
  <si>
    <t>airplane parameter checking, automatic follow up, aviation parameters checking, aviation safety, computer vision, eye tracking, eye tracking system</t>
  </si>
  <si>
    <t>Artificial Intelligence &amp; Machine Learning, Mobile, SaaS</t>
  </si>
  <si>
    <t>220426-03T</t>
  </si>
  <si>
    <t>Qiara</t>
  </si>
  <si>
    <t>Application Software, Electronic Equipment and Instruments*, Electronics (B2C), Other Hardware</t>
  </si>
  <si>
    <t>Developer of a new generation connected alarm system intended to take control of the home anywhere, anytime. The company offers intelligent cameras, and movement security systems, with simple tool installation, enabling clients and users to protect their homes, private lives, and families.</t>
  </si>
  <si>
    <t>iliad (Paris), Xavier Niel(Xavier Niel)</t>
  </si>
  <si>
    <t>alarm system, home security, intelligent camera, motion detector, security camera, security installation</t>
  </si>
  <si>
    <t>220347-55T</t>
  </si>
  <si>
    <t>Thynk (Business/Productivity Software)</t>
  </si>
  <si>
    <t>Automation/Workflow Software, Business/Productivity Software*, Other Restaurants, Hotels and Leisure</t>
  </si>
  <si>
    <t>Developer of hospitality customer relationship management platform designed to simplify and automate sales and operations. The company develops a modular data-driven platform to offer a flexible customer-centric framework to streamline hotel operations, helping hoteliers optimize time to market and cost of sales.</t>
  </si>
  <si>
    <t>CNP Assurances, Fly Ventures, Itai Tsiddon(Itai Tsiddon), Singular.</t>
  </si>
  <si>
    <t>catering management, crm platform, enterprise resource planning, erp, event management, hospitality platform, hotel operations, hoteliers platform, sales management</t>
  </si>
  <si>
    <t>212048-29T</t>
  </si>
  <si>
    <t>EyeLights</t>
  </si>
  <si>
    <t>Automotive, Electronics (B2C)*</t>
  </si>
  <si>
    <t>Developer of bikers' equipment designed to provide global positioning system (GPS) navigation details. The company's equipment has a smart glasses-like device that displays important road and GPS information directly in front of the drivers' eyes into the field of view by connecting through a mobile application, enabling bike riders to avoid accidents on the roads and drive safely.</t>
  </si>
  <si>
    <t>Aster Capital, Bpifrance(Alessandro Gonella), Breega(Isabelle Gallo), European Innovation Council Fund, FK Group, Shift4Good(Matthieu de Chanville), Techstars</t>
  </si>
  <si>
    <t>biker accessories, biker safety, biker safety devices, gps helmets, gps product technology, smart helmets technology</t>
  </si>
  <si>
    <t>Augmented Reality, Mobile, Mobility Tech</t>
  </si>
  <si>
    <t>220343-23T</t>
  </si>
  <si>
    <t>Ilios International</t>
  </si>
  <si>
    <t>Business/Productivity Software*, Other Commercial Services, Other Transportation</t>
  </si>
  <si>
    <t>Developer of a digital SaaS and mobile platform intended to manage travel security for individuals and businesses. The company offers real-time risk alerts, travel monitoring, crisis management support, and local emergency response, enabling firms to access the assistance platform at any time and guarantee optimal security for their employees while traveling.</t>
  </si>
  <si>
    <t>Mapi</t>
  </si>
  <si>
    <t>digital platform, real time alerts, risk management, risk management saas, travel management, travel security</t>
  </si>
  <si>
    <t>219665-08T</t>
  </si>
  <si>
    <t>Pricemoov</t>
  </si>
  <si>
    <t>Developer of a smart price management platform designed to optimize pricing strategy. The company's platform directly plugs into information systems to collect business data, analyze different parameters, forecast demands, and calculate the optimal price accordingly, enabling businesses to set correct pricing for their customers.</t>
  </si>
  <si>
    <t>Bpifrance, ISAI</t>
  </si>
  <si>
    <t>market dynamics, price management platform, price optimization, pricing strategy, revenue management, revenue potential</t>
  </si>
  <si>
    <t>223175-26T</t>
  </si>
  <si>
    <t>Basil</t>
  </si>
  <si>
    <t>Provider of food delivery services intended to make healthy eating accessible in the workplace. The company's online platform offers services like food ordering and specializes in delivering fresh meals, cooked daily from fresh, local, seasonal products at an affordable price, enabling people to improve their eating habits during lunch breaks.</t>
  </si>
  <si>
    <t>CAAP Creation, InvESS't PACA, Région Sud Investissement</t>
  </si>
  <si>
    <t>canteen operator, food delivery, food ecommerce, meal kit, online restaurant operator, seasonal products</t>
  </si>
  <si>
    <t>E-Commerce, FoodTech, Mobile</t>
  </si>
  <si>
    <t>220118-50T</t>
  </si>
  <si>
    <t>Graneet</t>
  </si>
  <si>
    <t>Developer of a construction management platform designed to provide commercial management support for SMEs in the construction industry. The company's platform allows users to access all the key indicators of their business in real-time and boost their margin rates by automating the financial monitoring of projects and administrative monitoring of their sites, enabling clients to automate their tasks help them process business opportunities, and invoice them without errors.</t>
  </si>
  <si>
    <t>Accelio Capital, Axeleo Capital, Fundamental, Insight Partners, Jesse Tunay-Bukalo(Jesse Tunay-Bukalo), Nicolas Dessagne(Nicolas Dessagne), Phiture, Point Nine Capital, Rodolphe Ardant(Rodolphe Ardant)</t>
  </si>
  <si>
    <t>commercial management service, dashboard analytics platform, data entry system, directing payment, ergonomic solutions, financial monitoring system, kms, knowledge management system, management platform, management platform developer</t>
  </si>
  <si>
    <t>Linas, France</t>
  </si>
  <si>
    <t>220055-41T</t>
  </si>
  <si>
    <t>Brut.</t>
  </si>
  <si>
    <t>Publishing*, Social/Platform Software</t>
  </si>
  <si>
    <t>Operator of an online media publishing company intended to provide news through social streams. The company's video-news network offers short video news clips for audiences worldwide, enabling social and mobile audiences to stay updated about the events around them.</t>
  </si>
  <si>
    <t>Artemis Holdings Group, BNP Paribas Développement, CMA CGM(Rodolphe Saadé), Xavier Niel(Xavier Niel)</t>
  </si>
  <si>
    <t>content publishing platform, media company, media publishing service, news publishing company, online media, social media publishing</t>
  </si>
  <si>
    <t>223180-57T</t>
  </si>
  <si>
    <t>50inTech</t>
  </si>
  <si>
    <t>Business/Productivity Software, Human Capital Services*, Information Services (B2C), Media and Information Services (B2B)</t>
  </si>
  <si>
    <t>Operator of a collaborative career acceleration platform intended to grow business, talent, and innovation in tech. The company's gender diversity tech sourcing platform provides women job seekers to find job opportunities in the tech industry, enabling women and companies to collaborate with a community of like-minded people to boost their careers.</t>
  </si>
  <si>
    <t>AIV Capital, Alexandre Fretti(Alexandre Fretti), Altalurra Ventures, Corinne Vigreux(Corinne Vigreux), Evolem, Florian Douetteau(Florian Douetteau), Gimena Dia(Gimena Dia), Inco Ventures, Super Capital</t>
  </si>
  <si>
    <t>career information, career program, data analysis tool, internships search, job search platform, jobs finder, online jobs site, women career, women's community</t>
  </si>
  <si>
    <t>219897-46T</t>
  </si>
  <si>
    <t>Alcyconie</t>
  </si>
  <si>
    <t>Provider of a cyber crisis management and communication services intended to help organizations manage complex cyber situations. The company offers a unique cyber crisis management-as-a-service approach, covering all stages of crisis management, including crisis preparation, cyber crisis training, and simulations, cyber crisis monitoring and communication, and a crisis simulator, enabling public, private, and institutional organizations of all sizes and sectors to prepare for and manage cyber crises effectively.</t>
  </si>
  <si>
    <t>CYBER K1</t>
  </si>
  <si>
    <t>business continuity, crisis management, cyber crisis management, cyber threat, institutional support, logistics sector, risk assessment</t>
  </si>
  <si>
    <t>228285-10T</t>
  </si>
  <si>
    <t>Ankaa Ventures, Purple (Paris), Super Capital</t>
  </si>
  <si>
    <t>228047-41T</t>
  </si>
  <si>
    <t>Batis (Business/Productivity Software)</t>
  </si>
  <si>
    <t>Operator of an administrative platform intended for the automation of construction operations. The company offers a platform in SaaS mode to manage all the contracts and documents along with application approval, business directory, and financial services, helping businesses speed up the launch and management of projects.</t>
  </si>
  <si>
    <t>Apok Invest, Bpifrance, Super Capital</t>
  </si>
  <si>
    <t>administrative platform, administrative services, business management, construction operations platform, contract management tool, saas model</t>
  </si>
  <si>
    <t>Construction Technology, SaaS</t>
  </si>
  <si>
    <t>219935-98T</t>
  </si>
  <si>
    <t>eXplain</t>
  </si>
  <si>
    <t>Developer of a data processing system designed to access all the information required in a territory to succeed in the projects. The company's system collects data on a given territory with a predictive model to identify local challenges and analyze public opinion in that area, enabling corporate, civic and political clients to uncover hyper-local insights through data.</t>
  </si>
  <si>
    <t>Arjo (STO: ARJO B), Club Holnest, Holnest, Odyssee Venture(Sébastien Sassolas)</t>
  </si>
  <si>
    <t>analytics platform, business intelligence platform, campaign data, campaign technology, data analysis, data analysis software, data analysis tool, data processing platform, data processing system, data processing tool, vertical application</t>
  </si>
  <si>
    <t>206575-84T</t>
  </si>
  <si>
    <t>Hey Pongo</t>
  </si>
  <si>
    <t>Operstor of a loyalty program platform intended to engage customers and increase loyalty. The company's platform erases all the frictions in the customer journey with a touchscreen integrated into the point-of-sale helping merchants to create different types of customer engagement systems by sending automated text messages via SMS chatbot to collect more accurate customer information and offer incentives to bring back lost customers, enabling users to get real-time information they need to boost their business.</t>
  </si>
  <si>
    <t>Altavia Adventures, AngelSquare, Davidson Consulting, Evolem, Frst Capital, Super Capital, Techmind, Tomcat Invest, VCG Holding</t>
  </si>
  <si>
    <t>customer engagement service, customer information systems, customer loyalty system, information services company, loyalty and incentive, marketing platform, retail marketing</t>
  </si>
  <si>
    <t>222899-86T</t>
  </si>
  <si>
    <t>Kobi</t>
  </si>
  <si>
    <t>Operator of a loyalty platform created to reimburse sports activities through everyday purchases. The company's platform has partnerships with stores, where users make a purchase, the stores give a commission that they put into the fundraiser and can use the money in the fundraiser to reimburse their sports expenses, enabling common people to practice the sport of their choice.</t>
  </si>
  <si>
    <t>consumer payment, loyalty &amp; rewards, loyalty awards, loyalty branding, retail loyalty, retail rewards, shopping rewards, sports activities management, sports club, sports funding, sports fundraising, sports promotion</t>
  </si>
  <si>
    <t>Lens, France</t>
  </si>
  <si>
    <t>219539-62T</t>
  </si>
  <si>
    <t>Lymia</t>
  </si>
  <si>
    <t>Developer of AI-based recruiting software designed to source talent from the existing talent pool. The company's software integrates with ATS to search for ideal candidates, talent cloud, dynamic data, and instant selection, enabling recruiters to enrich their talent databases and transform them into AI-powered resources.</t>
  </si>
  <si>
    <t>ats platform, candidate database, career management, recruiting tool, recruitment technology, talent acqusition, talent management, talent sourcing platform</t>
  </si>
  <si>
    <t>Artificial Intelligence &amp; Machine Learning, HR Tech, SaaS</t>
  </si>
  <si>
    <t>232207-12T</t>
  </si>
  <si>
    <t>Mangas.io</t>
  </si>
  <si>
    <t>Application Software, Entertainment Software*, Information Services (B2C), Media and Information Services (B2B)</t>
  </si>
  <si>
    <t>Developer of a subscription-based manga reading platform based in Caen, France.</t>
  </si>
  <si>
    <t>application developer, entertainment service, information platform, reading application, reading platform, reading platform software</t>
  </si>
  <si>
    <t>219725-38T</t>
  </si>
  <si>
    <t>Snaw Ventures, Super Capital</t>
  </si>
  <si>
    <t>209804-23T</t>
  </si>
  <si>
    <t>Semana (Business/Productivity Software)</t>
  </si>
  <si>
    <t>Developer of a workforce management system intended to provide a comprehensive hybrid work solution for businesses. The company's platform facilitates the transition to hybrid work by simplifying the process, enhancing social interactions, and integrating with existing tools, enabling organizations to manage space occupancy, empower team autonomy, and optimize telework policies using actionable insights and data-driven dashboards.</t>
  </si>
  <si>
    <t>Faraday Venture Partners, One Green (Paris), Super Capital</t>
  </si>
  <si>
    <t>actionable insights, hybrid work solutions, integrated tools, social interaction, social interaction platform, workforce management system</t>
  </si>
  <si>
    <t>197295-94T</t>
  </si>
  <si>
    <t>SiPearl</t>
  </si>
  <si>
    <t>Computers, Parts and Peripherals*, Other Hardware, Other Semiconductors</t>
  </si>
  <si>
    <t>Manufacturer of microprocessors for the European exascale supercomputer designed for technological advancements. The company designs high-performance, low-power microprocessors for computing, artificial intelligence, medical research, climate change mitigation, and energy management, enabling scientific researchers with supercomputing centers and leading names from the IT, electronics, and automotive sectors with the microprocessors.</t>
  </si>
  <si>
    <t>ARM (NAS: ARM), Atos (PAR: ATO), Bpifrance(Nicolas Berdou), European Innovation Council Fund, European Investment Bank (Luxembourg)</t>
  </si>
  <si>
    <t>artificial intelligence technology, high performance computing, microprocessor design, microprocessor designer, microprocessor systems, processor design, semiconductor development, supercomputers parts</t>
  </si>
  <si>
    <t>Maisons Laffitte, France</t>
  </si>
  <si>
    <t>218060-83T</t>
  </si>
  <si>
    <t>Spyne (Business/Productivity Software)</t>
  </si>
  <si>
    <t>Developer of a business operation platform designed for growth and marketing teams. The company's platform specializes in analyzing and managing campaigns, data aggregation, stakeholder management, work validation, enrichment, insights and collaboration, and workflow management, providing clients with support to manage their business all on a single platform.</t>
  </si>
  <si>
    <t>Kima Ventures, Super Capital</t>
  </si>
  <si>
    <t>business growth, business users, campaign manager, collaboration support, manage workflow, marketing support</t>
  </si>
  <si>
    <t>232209-73T</t>
  </si>
  <si>
    <t>The Tandoor club</t>
  </si>
  <si>
    <t>Beverages, Food Products, Other Restaurants, Hotels and Leisure*</t>
  </si>
  <si>
    <t>stealth company, stealth entity, stealth firm, stealth market, stealth search, stealth startup</t>
  </si>
  <si>
    <t>215560-72T</t>
  </si>
  <si>
    <t>Courtin Investment, Dupe Ventures, Super Capital</t>
  </si>
  <si>
    <t>215520-76T</t>
  </si>
  <si>
    <t>Daphni, Dastore, Founders Future, Inovexus Ventures, Leia Capital, SISTAFUND, Snaw Ventures</t>
  </si>
  <si>
    <t>219960-82T</t>
  </si>
  <si>
    <t>Unistellar (Consumer Durables)</t>
  </si>
  <si>
    <t>Application Software, Other Consumer Durables*</t>
  </si>
  <si>
    <t>Developer of vision telescope designed to accumulate light through a series of short exposures. The company's telescope is portable, significantly powerful, and uses automated field detection technologies, enabling users to not only see information about the objects they are viewing but also permit them to activate the contextual guiding option.</t>
  </si>
  <si>
    <t>Nikon (TKS: 7731)(Yasuhiro Ohmura), Seedrs</t>
  </si>
  <si>
    <t>astronomy equipment, space exploration device, telescope, telescope accessories, telescope provider, telescope technology</t>
  </si>
  <si>
    <t>233598-97T</t>
  </si>
  <si>
    <t>Gokaden</t>
  </si>
  <si>
    <t>Developer of blockchain-powered entertainment platform designed for companies, creators and fans to co-create and co-own composable works of fiction. The company's platform helps web3 and web2 companies open their IPs for collaboration or test new ideas while simultaneously engaging a community of creators and fans, enabling fans to participate in intellectual property development and become stakeholders through micro-investments and enjoy core-community perks.</t>
  </si>
  <si>
    <t>V3ntures</t>
  </si>
  <si>
    <t>blockchain program, blockchain services, blockchain services development, ugc platform, video game app, web3 tools</t>
  </si>
  <si>
    <t>221219-20T</t>
  </si>
  <si>
    <t>PathoQuest</t>
  </si>
  <si>
    <t>Developer of a molecular diagnostics technology designed to improve pathogen detection in biological samples. The company's technology combines sample preparation technology and cloud-based bioinformatics which is applicable to several types of samples with a proprietary pathogen genome sequence database and automated analysis pipeline, enabling doctors to improve the breadth of pathogen detection.</t>
  </si>
  <si>
    <t>Norgine</t>
  </si>
  <si>
    <t>contract research organization, contract research organization operator, genome sequence, genome sequences database, germ detection, molecular diagnostics, pathogens genome, pathogens genome sequences</t>
  </si>
  <si>
    <t>Life Sciences, SaaS</t>
  </si>
  <si>
    <t>219815-56T</t>
  </si>
  <si>
    <t>Tallyos</t>
  </si>
  <si>
    <t>Developer of an Internet of Things human resource platform designed for performance optimization in various sectors. The company's platform combines a set of connected objects with web applications and connected boxes offering an affordable solution without a mobile plan along with powerful data retrieval, visualization, optimization, and decision support tools, enabling businesses to optimize productivity and automate the administrative process.</t>
  </si>
  <si>
    <t>data recovery, iot solution, operational performance, productivity optimization, route optimization, schedule management, systems engineering</t>
  </si>
  <si>
    <t>222632-02T</t>
  </si>
  <si>
    <t>Atelier Box</t>
  </si>
  <si>
    <t>Application Software*, Other Commercial Services</t>
  </si>
  <si>
    <t>Operator of personalized gift boxes platform intended to enhance corporate gifting experiences. The company's platform offers a variety of eco-friendly and customizable gift options, including themed boxes and tech accessories, enabling businesses to create memorable impressions while promoting brand identity through thoughtful, tailored gifts that resonate with recipients.</t>
  </si>
  <si>
    <t>brand identity, business supplies, corporate gifts, employee reward platform, gift boxes, personalized gifts, themed gift</t>
  </si>
  <si>
    <t>233862-85T</t>
  </si>
  <si>
    <t>Bandit (Consumer Durables)</t>
  </si>
  <si>
    <t>Operator of a pet accessory brand intended to sell accessories online. The company's brand offers a range of products including necklaces, harnesses, medals, leashes, mats, bowls, beds, bath kits, pet shelters, pet nutrition items, and other pet care items, enabling pet owners to get all pet-related products at affordable prices.</t>
  </si>
  <si>
    <t>Neftys Pharma</t>
  </si>
  <si>
    <t>cat care product, dog accessories, dog product, pet accessories marketplace, pet product portal, pet products supplier</t>
  </si>
  <si>
    <t>E-Commerce, Pet Technology</t>
  </si>
  <si>
    <t>218924-02T</t>
  </si>
  <si>
    <t>Blue Equity(Edward Harrison)</t>
  </si>
  <si>
    <t>221438-71T</t>
  </si>
  <si>
    <t>Fullsoon</t>
  </si>
  <si>
    <t>Business/Productivity Software*, Other Restaurants, Hotels and Leisure</t>
  </si>
  <si>
    <t>Developer of a real decision-making tool designed to make restaurant operators' lives easier by optimizing the management of their establishments while reducing food waste. The company's tool leverages artificial intelligence (AI) to offer point-of-sale (POS) data with additional information such as weather or traffic conditions to predict the occupancy rate, the meals ordered, and the stock of ingredients required, enabling hospitality experts to anticipate their sales, optimize the management of their stocks and accelerate the development of their establishments.</t>
  </si>
  <si>
    <t>Satgana</t>
  </si>
  <si>
    <t>decision making tools, foodtech ai, hospitality experts, pos data, prediction software, restaurant software, restaurant solutions</t>
  </si>
  <si>
    <t>Artificial Intelligence &amp; Machine Learning, FoodTech, Restaurant Technology</t>
  </si>
  <si>
    <t>223220-71T</t>
  </si>
  <si>
    <t>Le Damantin</t>
  </si>
  <si>
    <t>Hotels and Resorts*, Other Restaurants, Hotels and Leisure, Restaurants and Bars</t>
  </si>
  <si>
    <t>Operator of a hotel intended to provide hospitality services to its customers. The company offers various services ranging from luxurious suites, private swimming pools, spas, bars, and lounges, enabling people to enjoy the beauty of the historical hotel with serene beauty overlooking their hotel rooms and have a great staying experience.</t>
  </si>
  <si>
    <t>hotel lounge, hotel maintenance, hotel spa, luxurious rooms, restaurant and bar, room service</t>
  </si>
  <si>
    <t>220386-70T</t>
  </si>
  <si>
    <t>New Tales</t>
  </si>
  <si>
    <t>Entertainment Software*, Media and Information Services (B2B)</t>
  </si>
  <si>
    <t>Developer of gaming and publishing platform intended to provide the role of both a developer and publisher of games studio. The company's platform develops games with its internal studios as well as publishes games from other developers, enabling gamers with a greater experience of gaming and allowing them to focus on their games.</t>
  </si>
  <si>
    <t>BITKRAFT Ventures, Motier Ventures, Sisu Game Ventures</t>
  </si>
  <si>
    <t>computer games, digital distribution, game developer, game publisher, game studio operator, gaming platform, publishing games, publishing studio</t>
  </si>
  <si>
    <t>273865-69T</t>
  </si>
  <si>
    <t>Ravel Technologies</t>
  </si>
  <si>
    <t>Developer of machine learning platform to offer user privacy protection and regulatory immunity. The company provides a tool based on homomorphic encryption to keep personally identifiable information private from beginning to end without touching the data, enabling organizations to obtain extensive algorithmic encryption of their data that allows it to remain encrypted even after collaborating with third parties to process the data.</t>
  </si>
  <si>
    <t>OIF Ventures</t>
  </si>
  <si>
    <t>data encrypt, data protection, data security, homomorphic encryption, personally identifiable information, privacy protection, security encryption</t>
  </si>
  <si>
    <t>226386-55T</t>
  </si>
  <si>
    <t>AngelSquare</t>
  </si>
  <si>
    <t>232195-96T</t>
  </si>
  <si>
    <t>Apok Invest, Jellysmack(Nicolas Alfonsi), Rudy Gobert-Bourgarel(Rudy Gobert-Bourgarel), Super Capital</t>
  </si>
  <si>
    <t>225028-63T</t>
  </si>
  <si>
    <t>Typology</t>
  </si>
  <si>
    <t>Producer of skincare and cosmetic products intended to meet an individual's skin care needs. The company's products engage in producing a vegan and cruelty-free range of serums that contain a single raw, natural, and sometimes even edible ingredient such as avocado oil or cranberry powder to target specific skin problems, enabling individuals to prevent skin diseases.</t>
  </si>
  <si>
    <t>Alven Capital Partners, Singular.</t>
  </si>
  <si>
    <t>cosmetic producer, cosmetic product manufacturer, cosmetic skin treatment, natural cosmetics, skincare product, vegan cosmetics</t>
  </si>
  <si>
    <t>Beauty, E-Commerce, LOHAS &amp; Wellness, Manufacturing</t>
  </si>
  <si>
    <t>Saint Ouen, France</t>
  </si>
  <si>
    <t>232770-70T</t>
  </si>
  <si>
    <t>Visuary</t>
  </si>
  <si>
    <t>Multimedia and Design Software*, Real Estate Services (B2C)</t>
  </si>
  <si>
    <t>Developer of a virtual reality modeling software designed to showcase the design of properties. The company's platform allows buyers to customize their houses, and get a quote for the renovation, enabling users to have a virtual visit of the final look.</t>
  </si>
  <si>
    <t>3d configurator, modeling software, online experience, vefa sales, virtual house tour, virtual reality, virtual reality app, virtual reality system, virtual visit</t>
  </si>
  <si>
    <t>Real Estate Technology, Virtual Reality</t>
  </si>
  <si>
    <t>223670-89T</t>
  </si>
  <si>
    <t>WordSeek</t>
  </si>
  <si>
    <t>Operator of the search engine optimization platform intended to serve growth-stage companies. The company's platform automates the search engine optimization workflow by providing a series of simple tasks that assists increase market visibility, enabling businesses to increase organic traffic while saving money and time.</t>
  </si>
  <si>
    <t>automation platform, marketing platform, marketing tool, search engine optimization, seo platform, seo saas, seo services</t>
  </si>
  <si>
    <t>227541-88T</t>
  </si>
  <si>
    <t>Dougs</t>
  </si>
  <si>
    <t>Accounting, Audit and Tax Services (B2B)*, Business/Productivity Software, Financial Software, Other Financial Services</t>
  </si>
  <si>
    <t>Provider of online accounting services intended to handle financial statements and generate tax filings. The company's platform offers features such as real-time income statement screening, forecasting of charges, balance sheet and tax deductions, and many accounting functions, enabling accountants and businesses to maintain their financial data.</t>
  </si>
  <si>
    <t>Expedition Growth Capital</t>
  </si>
  <si>
    <t>account management, accounting software, business creation, cfo stack, chartered accountant, enterprise resource planning, erp, financial management system, online accounting, personnel management</t>
  </si>
  <si>
    <t>219533-41T</t>
  </si>
  <si>
    <t>KillBills</t>
  </si>
  <si>
    <t>Application Software, Financial Software*</t>
  </si>
  <si>
    <t>Developer of an integrated digital receipt software designed to track purchase receipts with daily transactions. The company's service syncs credit card purchases with banking applications and also allows users to manage their budget, enabling users to organize themselves by checking their purchases and accessing their tickets digitally, saving time and the environment.</t>
  </si>
  <si>
    <t>Edouard Nattée(Edouard Nattée), Unicraft VC</t>
  </si>
  <si>
    <t>banking application, banking application software, billing automation, billing solution, enterprise architecture, financial service infrastructure, financial services infrastructure, receipt record, receipt tracking</t>
  </si>
  <si>
    <t>219529-18T</t>
  </si>
  <si>
    <t>My Little Pressing</t>
  </si>
  <si>
    <t>Provider of dry cleaning, shoemaking, and laundry services intended to make people's lives easier. The company provides relevant home delivery laundry and other services such as down jacket cleaning, suit pressing, and shirt ironing, enabling users to keep a balance between their professional and personal lives.</t>
  </si>
  <si>
    <t>Bpifrance, Credit Agricole Corporate &amp; Investment Bank, Crédit Mutuel</t>
  </si>
  <si>
    <t>dry cleaning delivery, dry cleaning services, dry cleaning supplies, laundry delivery, laundry service company, laundry service firm</t>
  </si>
  <si>
    <t>225535-42T</t>
  </si>
  <si>
    <t>RingOver</t>
  </si>
  <si>
    <t>Business/Productivity Software*, Communication Software, Media and Information Services (B2B), Other Communications and Networking</t>
  </si>
  <si>
    <t>Developer of a cloud communication platform intended to revolutionize the business phone system and transform it into a modern and easy-to-use productivity tool. The company's platform offers communication tools or teams, as well as tools for managing inbound and outbound customer communications, a range of integrations with other cloud-based enterprise tools and also offers data and analytics, enabling businesses to transform all conversations telephone, video, SMS, chat, into a powerful lever for growth.</t>
  </si>
  <si>
    <t>Bpifrance(Caroline Lebel), Expedition Growth Capital(Oliver Thomas), Orange Ventures(Maël Rohrig)</t>
  </si>
  <si>
    <t>cloud communication, cloud communication platform, customer relationship management, phone system, simplify communication, telecom operator, telecom service</t>
  </si>
  <si>
    <t>Montrouge, France</t>
  </si>
  <si>
    <t>219543-85T</t>
  </si>
  <si>
    <t>Sorenir</t>
  </si>
  <si>
    <t>Provider of administrative assistance alternatives intended to serve financial support to families after the death of a loved one. The company offers social and assistance professionals who study the clients' files and take charge of all their procedures with capital recovery, pension claims, and contract terminations, enabling grieving families to contact a notary to organize the estate, terminate the contracts of the deceased, and seek all the capital intended for beneficiaries.</t>
  </si>
  <si>
    <t>Credit Agricole Entreprises (PAR: CRBP), Ouest Croissance Gestion</t>
  </si>
  <si>
    <t>administrative assistance, administrative services, administrative work, bereavement care, death burial, death care, financial procedures</t>
  </si>
  <si>
    <t>Melesse, France</t>
  </si>
  <si>
    <t>212198-41T</t>
  </si>
  <si>
    <t>Woodtechno</t>
  </si>
  <si>
    <t>Other Forestry*, Wood/Hard Products</t>
  </si>
  <si>
    <t>Manufacturer of wood pellets by extrusion intended to save energy for all types of wood. The company's products include all types of wood suitable for all sizes of sawmills, enabling customers to discover innovative products.</t>
  </si>
  <si>
    <t>Calhl Capital Innovation, Demeter Partners, UI Investissement</t>
  </si>
  <si>
    <t>energy saving product, processing equipment manufacturer, processing equipments, wood pellet, wood pellet mill, wood product</t>
  </si>
  <si>
    <t>Other Forestry</t>
  </si>
  <si>
    <t>Vabres, France</t>
  </si>
  <si>
    <t>249714-55T</t>
  </si>
  <si>
    <t>45-8 Energy</t>
  </si>
  <si>
    <t>Energy Exploration*, Energy Production, Other Energy Services</t>
  </si>
  <si>
    <t>Provider of energy-based services intended to specialize in the exploration of helium and the resources that can be associated with it in the subsurface. The company's services involve performing subsurface exploration to extract helium and conducting research and development projects to detect helium and its potential associated resources on the near-surface, enabling clients in the European market to gain access to an eco-friendly local helium supply chain which could therefore significantly reduce the environmental impact of such industry.</t>
  </si>
  <si>
    <t>Heling</t>
  </si>
  <si>
    <t>green chemicals and materials, helium energy, helium exploration, helium extraction, helium mining, native hydrogen, oil &amp; gas consulting</t>
  </si>
  <si>
    <t>Energy Exploration</t>
  </si>
  <si>
    <t>Climate Tech, Oil &amp; Gas</t>
  </si>
  <si>
    <t>220427-38T</t>
  </si>
  <si>
    <t>Cocoonr</t>
  </si>
  <si>
    <t>Operator of a rental property management agency designed to rent out apartments, houses, villas, and chalets. The company offers short and medium-term furnished rentals, enabling tourists and tenants to find and accommodate the best place.</t>
  </si>
  <si>
    <t>Crédit Agricole Ille et Vilaine Expansion(Arnaud Douard), Unexo(Jérémy Durand)</t>
  </si>
  <si>
    <t>furnished rental, management agency, property management, rental property, rental property management, short term rental, tourist accommodation</t>
  </si>
  <si>
    <t>219404-08T</t>
  </si>
  <si>
    <t>DataDome</t>
  </si>
  <si>
    <t>Developer of a cybersecurity management platform intended to protect websites from bot traffic. The company's platform helps to detect and mitigate content theft, account takeover, marketing fraud, and denial of service, enabling clients to get access to tools for managing their activity in real-time as well as regain control over their online content and data.</t>
  </si>
  <si>
    <t>Elephant Partners(Julie Effron), InfraVia Capital Partners(Guillaume Santamaria), ISAI(Jean-David Chamboredon)</t>
  </si>
  <si>
    <t>application security, bot detection, cybersecurity protection, fraud prevention, hacking protection, network security, online fraud protection, vertical application, web application protection</t>
  </si>
  <si>
    <t>Artificial Intelligence &amp; Machine Learning, Big Data, Cybersecurity, SaaS</t>
  </si>
  <si>
    <t>219404-17T</t>
  </si>
  <si>
    <t>Jizô AI</t>
  </si>
  <si>
    <t>Developer of a superimposed threat detection platform designed to detect network attacks and facilitate the processing of alerts in case of cyberattacks. The company's platform creates a misperception of the attack surface by creating artificial networks that divert the hackers from the real networks and deploy decoy networks to analyze and model the actions, tactics, techniques, and lateral movements of the attacker via machine learning methods, enabling clients to trap hackers who manage to break into the network.</t>
  </si>
  <si>
    <t>115K, Astorya.vc, Banque des Territoires, BNP Paribas Développement, BNP Paribas Real Estate, Caisse des Depots Group, LBPAM</t>
  </si>
  <si>
    <t>cybersecurity company, cybersecurity program, cybersecurity system, cybersecurity threat, network security, threat detection, vertical application</t>
  </si>
  <si>
    <t>Artificial Intelligence &amp; Machine Learning, Big Data, Cybersecurity</t>
  </si>
  <si>
    <t>227005-30T</t>
  </si>
  <si>
    <t>Bpifrance, One Green (Paris), Takara Capital</t>
  </si>
  <si>
    <t>174086-11T</t>
  </si>
  <si>
    <t>Ledger</t>
  </si>
  <si>
    <t>Financial Software, Network Management Software, Other Hardware*</t>
  </si>
  <si>
    <t>Developer of cryptocurrency security technology designed to facilitate authorization of digital asset transactions. The company's products use hardware wallets, server appliances, and embedded technology for connected objects that are based on a low-footprint crypto-embedded operating system built for secure elements and orchestration of code and systems, enabling financial institutions to get cybersecurity services for digital assets.</t>
  </si>
  <si>
    <t>10T Holdings(Daniel Tapiero), 2Shares, AdUX (PAR: ALDUX), Animoca Brands, Blockchain Fond, Build Collective, Cameleon Invest, CapHorn Invest, Cathay Capital Private Equity, Cathay Innovation(Jacobo Abitbol), Cité Gestion, Club Italia Investimenti 2, Color (Portland), Croc Capital, Crypto.com Capital, Crédit Agricole Centre Loire, Cygni Capital, Daffourd Invest, Digital Currency Group, Digital Finance Group, Draper Associates(Timothy Draper), Draper Dragon, EGR Partners, Fabric Ventures, Fantail Ventures, Felix Capital, Financière Agache, FirstMark Capital(Matthias Turck), Gary Vaynerchuk(Gary Vaynerchuk), Global Founders Capital, Groupe MACSF, Hard Yaka, iAngels, iAngels Technologies, Icebreaker (Mumbai), Inherent Group, Korelya Capital(Fleur Pellerin), Libertus Capital, Loire-Centre Capital, Mandalore Partners, MarcyPen Capital Partners, Maze Consulting, Molten Ventures (LON: GROW), Morgan Creek Digital Assets, Naxicap Partners, Nucleus Adventure Capital, Rosemoor Capital(Peter Chapman), Scott Galloway(Scott Galloway), Shake and Bake, Strobe Ventures, Techmind, Tekne Capital Management, Tessera Venture Partners, Timothy Draper(Timothy Draper), True Global Ventures, Uphold Ventures, Warburg Serres Investments, White Loop Capital, Wicklow Capital, Yes VC</t>
  </si>
  <si>
    <t>application security, blockchain security, crypto exchange, crypto wallets, cybersecurity assets, cybersecurity solutions, digital asset service, digital blockchain, digital wallet, web3 security</t>
  </si>
  <si>
    <t>Cryptocurrency/Blockchain, Cybersecurity, FinTech</t>
  </si>
  <si>
    <t>222894-46T</t>
  </si>
  <si>
    <t>Nimbl'Bot</t>
  </si>
  <si>
    <t>Business/Productivity Software, Electrical Equipment, Other Hardware*</t>
  </si>
  <si>
    <t>Developer of stiff robots designed to improve flexibility. The company develops innovative robotic solutions with current accuracy available on the market, without technological complexity or the addition of costly positioning correction equipment, enabling clients to robotize operations performed manually and improve performance.</t>
  </si>
  <si>
    <t>IRDI Capital Investissement, M Capital Partners, Nouvelle Aquitaine Co-Investissement, Pertinence Invest, UI Investissement</t>
  </si>
  <si>
    <t>3d printing, mechanical model, musculoskeletal care, robotics material, robotics operations, robotics vehicles, robots simulation, robots systems</t>
  </si>
  <si>
    <t>3D Printing, Robotics and Drones</t>
  </si>
  <si>
    <t>Canejan, France</t>
  </si>
  <si>
    <t>219318-94T</t>
  </si>
  <si>
    <t>Glopal</t>
  </si>
  <si>
    <t>Developer of a marketing portal designed to generate incremental sales internationally. The company's portal assists in driving multi-channel traffic, tax calculations, as well as international shipping, compliance services, and automated localization tools, enabling merchants to sell their products to global buyers in their language and brands to scale globally while protecting and enhancing their brand presence.</t>
  </si>
  <si>
    <t>Axeleo Capital, Crédit Mutuel Innovation, Dentressangle, Hi Inov, Motier Ventures, Pierre Denis(Pierre Denis), Seventure Partners</t>
  </si>
  <si>
    <t>buy selling platform, customer relationship management, digital commerce, marketing solutions, optimized process, product news, product platform, seller platform</t>
  </si>
  <si>
    <t>219399-13T</t>
  </si>
  <si>
    <t>Effy (Energy Services)</t>
  </si>
  <si>
    <t>Application Software, Information Services (B2C), Other Energy Services*</t>
  </si>
  <si>
    <t>Provider of energy renovation services intended to give a monetary value to energy savings. The company offers a platform that provides real-time diagnostic and management services for heating, insulation, and solar options, calculates energy balance, and avails qualified craftsmen for renovation work, enabling clients to improve their comfort and lower energy bills.</t>
  </si>
  <si>
    <t>Felix Capital(Frederic Court)</t>
  </si>
  <si>
    <t>energy bill management, energy efficiency, energy renovation services, energy saving house, energy saving platform, energy saving tech, energy transition agency, intermittent renewable energy, solar photovoltaic</t>
  </si>
  <si>
    <t>160441-93T</t>
  </si>
  <si>
    <t>Kayentis</t>
  </si>
  <si>
    <t>Medical Records Systems*, Practice Management (Healthcare)</t>
  </si>
  <si>
    <t>Developer of electronic clinical outcome assessment (eCOA) technology designed to offer new perspectives to speed up clinical trials. The company's technology backs electronic data capture for patients in clinical trials and offers a wide range of tools that are used together and adaptable for all clinical study needs, enabling sponsors and clinical trial operators to bring simplicity to the collection of clinical trial data for both patients and sites.</t>
  </si>
  <si>
    <t>Bpifrance(Benoit Zilber), Extens(Cedric Berger), LBO France(Franck Noiret)</t>
  </si>
  <si>
    <t>clinical data collection, clinical trial data, electronic data capture, medical data, patient engagement, risk-based monitoring</t>
  </si>
  <si>
    <t>Medical Records Systems</t>
  </si>
  <si>
    <t>219301-57T</t>
  </si>
  <si>
    <t>Insurtech Gateway, Slimmer AI, Sterling Oak Group, UNETI Ventures</t>
  </si>
  <si>
    <t>214440-94T</t>
  </si>
  <si>
    <t>Neoline</t>
  </si>
  <si>
    <t>Operator of a company building ships based on energy performance with the use of wind energy as the main propulsion for its vessels. The company's project plans to replace mechanical propulsion and complementary conventional energies with renewable energies in the long term and move towards zero-emission transport, enabling shippers with an immediately operational, sustainable, and profitable solution.</t>
  </si>
  <si>
    <t>Arcad Group, GO Capital (France)(Frédéric Le Guillou), Mer Invest, Pays de la Loire Participations</t>
  </si>
  <si>
    <t>eco-friendly product, eco-friendly transport, green transportation, green travel solution, transport maritime, wind energy</t>
  </si>
  <si>
    <t>188842-96T</t>
  </si>
  <si>
    <t>Protera</t>
  </si>
  <si>
    <t>Biotechnology, Food Products*, Other Consumer Non-Durables</t>
  </si>
  <si>
    <t>Producer of protein-based food ingredients intended to design highly functional food ingredients faster and cheaper and address ethical, environmental, and consumer health challenges with Artificial Intelligence (AI)-driven protein engineering. The company's agency streamlines protein design and development with a proprietary deep-learning algorithm, to predict high-value protein products and enzymes with unprecedented speed, enabling customers to get healthy, safe foods made from ingredients that are produced responsibly and sustainably predicting yields cost-effectively, and accelerating from discovery to market with robust IP and strategic partnerships.</t>
  </si>
  <si>
    <t>Synergetic (Italy)</t>
  </si>
  <si>
    <t>agtech, alt-proteins, biotechnology, clean labeled, computational biology, fats and oils, fermented protein, foodtech, natural product, protein design, protein engineering, protein ingredients, specialty ingredients and chemicals, synthetic biology</t>
  </si>
  <si>
    <t>221240-26T</t>
  </si>
  <si>
    <t>123 Investment Managers, BNP Paribas (PAR: BNP), Crédit Agricole des Savoie, SAS Armataffet, Sofimac Investment Managers</t>
  </si>
  <si>
    <t>214311-16T</t>
  </si>
  <si>
    <t>HelioRec</t>
  </si>
  <si>
    <t>Energy Infrastructure, Energy Production*</t>
  </si>
  <si>
    <t>Developer of floating solar technology designed to generate green electricity. The company's technology transforms unused water space into a home for clean energy generation by installing floating solar panels on unused water space, enabling users to have sustainable and cost-effective electricity production.</t>
  </si>
  <si>
    <t>Bpifrance, First Imagine! Ventures, Techstars</t>
  </si>
  <si>
    <t>energy produce, energy production, green electricity, green fuel, renewable energy, solar energy plant, solar energy supply, solar power</t>
  </si>
  <si>
    <t>280039-60T</t>
  </si>
  <si>
    <t>DMSLOG.Ai</t>
  </si>
  <si>
    <t>Business/Productivity Software*, Operating Systems Software</t>
  </si>
  <si>
    <t>Developer of a suite of AI-powered tools designed to optimize and streamline inland port operations. The company offers advanced tools like AI-driven vehicle booking systems, resource planners, and carbon monitors, enabling port operators to improve efficiency, reduce costs, and support sustainability in global supply chain management.</t>
  </si>
  <si>
    <t>ai logistics, ai optimization, carbon reduction, container solutions, logistics technology, port automation, port management, terminal software</t>
  </si>
  <si>
    <t>220280-68T</t>
  </si>
  <si>
    <t>Little Worker</t>
  </si>
  <si>
    <t>Provider of real estate project development services intended to maximize the financial, aesthetic, and sustainable potential of a property. The company's platform offers property hunting, acquisition, design, and construction services, enabling individuals and investors to navigate the entire real estate project lifecycle and achieve their desired outcomes.</t>
  </si>
  <si>
    <t>50 Partners, AQUITI Gestion, FJ Labs, Jacques Riviere(Jacques Riviere)</t>
  </si>
  <si>
    <t>architectural design, construction work, general contracting services, interior designing services, interior planner, real estate services</t>
  </si>
  <si>
    <t>221055-85T</t>
  </si>
  <si>
    <t>Voodoo</t>
  </si>
  <si>
    <t>Developer of mobile games and applications designed to entertain and empower the world. The company specializes in making and publishing mobile games that are simple and easy to play for casual players by collaborating with external studios and content creators, enabling users with hyper-casual games that entertain and connect people.</t>
  </si>
  <si>
    <t>Lowercarbon Capital, One Creation, Purple (Paris), Turenne Groupe</t>
  </si>
  <si>
    <t>casual games, gaming content, gaming developer, gaming publisher, gaming studio, internet publishing, mobile games, mobile gaming, online games, online gaming, publishing games, social quiz game</t>
  </si>
  <si>
    <t>241622-74T</t>
  </si>
  <si>
    <t>Abbelight</t>
  </si>
  <si>
    <t>Developer of a modular product technology designed to provide single-molecule localization microscopy to researchers. The company's technology offers single-molecule localization microscopy that is a combination of consumable, hardware, and software techniques to achieve reliable state-of-the-art science, enabling companies conducting research in the fields of biology, pharmacology, and environment to implement super-resolved fluorescence microscopy approaches to observe biological samples with better resolution.</t>
  </si>
  <si>
    <t>European Innovation Council Fund, Odyssee Venture</t>
  </si>
  <si>
    <t>fluorescence microscopy, microscopy solution, microscopy system, optical imaging system, optical modules technology, optical technology</t>
  </si>
  <si>
    <t>188568-73T</t>
  </si>
  <si>
    <t>Epimed, Viscogliosi Bros.(Marc Viscogliosi), Viscogliosi Brothers Watermark Holdings</t>
  </si>
  <si>
    <t>219020-23T</t>
  </si>
  <si>
    <t>Banque Populaire Méditerranée, Bpifrance, CMA CGM, Creazur France, Rothschild &amp; Co, WiSeed(Mathilde Iclanzan)</t>
  </si>
  <si>
    <t>218813-77T</t>
  </si>
  <si>
    <t>Atlantique Vendée Innovation(Véronique Hamel), Pays de la Loire Développement(Nathalie Leroux), Pays de la Loire Participations, Sodero</t>
  </si>
  <si>
    <t>244968-94T</t>
  </si>
  <si>
    <t>223877-80T</t>
  </si>
  <si>
    <t>Ecov</t>
  </si>
  <si>
    <t>Application Software, Other Transportation*</t>
  </si>
  <si>
    <t>Operator of carpool lines, new public transport concept intended to focus on peri-urban and rural areas. The company has integrated hardware and software to help drivers passing by participate and offer their empty seats to other commuters traveling to a similar place, enabling passengers to share their rides and also pay for their journey online.</t>
  </si>
  <si>
    <t>ADEME Investissement(Bastien Grandet), Banque des Territoires, BNP Paribas (PAR: BNP)(Astrid Behaghel), MAIF Impact</t>
  </si>
  <si>
    <t>carpooling app, carpooling facility, carpooling lines, carpooling network, carpooling platform, carpooling service, commuters rides, mass transit, public service provider, real time matching</t>
  </si>
  <si>
    <t>218656-00T</t>
  </si>
  <si>
    <t>Geoflex</t>
  </si>
  <si>
    <t>Electronic Equipment and Instruments*, Systems and Information Management</t>
  </si>
  <si>
    <t>Developer of satellite positioning technology designed to augment the accuracy, integrity, and continuity of global navigation. The company's technology consists of estimation, positioning, navigation, and the enrichment of weather forecasting to provide its data streams in an appropriate format, enabling clients to achieve precise positioning to power and enhance their critical business processes.</t>
  </si>
  <si>
    <t>Bouygues (PAR: EN), Demeter Partners, Stellantis (MIL: STLAM), Stellantis Ventures, Thales Group (PAR: HO)</t>
  </si>
  <si>
    <t>agriculture machinery, gps technology, location-based services, navigation satellite system, satellite positioning, satellite system engineering, weather forecasting</t>
  </si>
  <si>
    <t>Vauhallan, France</t>
  </si>
  <si>
    <t>219538-99T</t>
  </si>
  <si>
    <t>Louis</t>
  </si>
  <si>
    <t>Operator of a furnishing brand intended to design and manufacture wooden office furniture for companies. The company's furniture ranges over a wide variety of customizable desk options that adapt to office spaces, enabling employees to work in a personalized working environment.</t>
  </si>
  <si>
    <t>Super Capital, Techstars</t>
  </si>
  <si>
    <t>customizable furniture, furnishing decor, furnishing design, furniture retailer, natural materials, personalized furniture</t>
  </si>
  <si>
    <t>218645-56T</t>
  </si>
  <si>
    <t>Roundtable (Financial Software)</t>
  </si>
  <si>
    <t>Financial Software*, Other Financial Services, Social/Platform Software</t>
  </si>
  <si>
    <t>Operator of a community-led end-to-end platform intended for top-tier private investments. The company allows investors to create or join communities or funds, to co-invest in premium opportunities (start-ups, funds, real estate), seamlessly and directly, thereby enabling investors to get access to the best deals and startups to secure rounds of funding as well as to better manage their cap table.</t>
  </si>
  <si>
    <t>Christopher Zemina(Christopher Zemina), Courtin Investment, David Savasci(David Savasci), Felix Wolf(Felix Wolf), Kima Ventures, Michael Ströck(Michael Ströck), Mozza (France), One Green (Paris), Patrick Andrae(Patrick Andrae), Purple (Paris)</t>
  </si>
  <si>
    <t>alternative investment, captable management, co-investments platform, fund investment, investor platform, private investment, social platform, startup investment, wealthtech</t>
  </si>
  <si>
    <t>218652-40T</t>
  </si>
  <si>
    <t>Sifflet</t>
  </si>
  <si>
    <t>Developer of a cloud-native data monitoring platform designed to drive business with trustworthy data. The company's platform handles the complex process of connecting to different data sources seamlessly and adapts instantly to the data volumes, enabling clients to make data management more accessible.</t>
  </si>
  <si>
    <t>Bessemer Venture Partners(Alex Ferrara), EQT Ventures(Carl Svantesson), Mangrove Capital Partners(Yannick Oswald)</t>
  </si>
  <si>
    <t>business intelligence platform, data management software, data monitoring, data quality, data quality tools, data software &amp; systems, data software and systems, database platform, monitoring platform</t>
  </si>
  <si>
    <t>227628-46T</t>
  </si>
  <si>
    <t>Technima</t>
  </si>
  <si>
    <t>Other Commercial Products, Specialty Chemicals*</t>
  </si>
  <si>
    <t>Manufacturer of aerosol marking systems and paints intended to offer constant innovation and performance at the right cost. The company also specializes in forestry sprays, supplements, sprays, decorative accessories, and other tools and equipment, enabling professionals working in the industrial, construction, public works, and forestry sectors to have marking equipment of superior quality.</t>
  </si>
  <si>
    <t>AQUITI Gestion, Bpifrance, Charente-Périgord Expansion, FPCI Relance Nouvelle Aquitaine, Grand Sud Ouest Capital</t>
  </si>
  <si>
    <t>customer service, decorative paints, environmental management, innovation and performance, paints color, spray work</t>
  </si>
  <si>
    <t>Nersac, France</t>
  </si>
  <si>
    <t>218570-77T</t>
  </si>
  <si>
    <t>574 Invest, Bouygues Group and ETDE, Bpifrance, CIB Développement, Courtin Investment, Groupe Duval, Kima Ventures, Société Nationale des Chemins de fer Français, Techmind, YADAY</t>
  </si>
  <si>
    <t>218450-17T</t>
  </si>
  <si>
    <t>218477-26T</t>
  </si>
  <si>
    <t>Axioma Biologicals</t>
  </si>
  <si>
    <t>Developer of biostimulant complexes designed for the improvement of agricultural practices. The company's biostimulant complexes serve as alternatives to chemical inputs making them economically realistic and ecologically conscious, enabling farmers, plant professionals, and industrialists to naturally stimulate the physiological processes of plant and animal agricultural production.</t>
  </si>
  <si>
    <t>BNP Paribas (PAR: BNP)(Olivier Warnan), Demeter Partners, Innovin</t>
  </si>
  <si>
    <t>ag biotech, agriculture technology, biosolutions development, biosolutions distributor, biostimulant formulation, biostimulant product, ecological space, physiological process, plant biotech, plant biotechnology</t>
  </si>
  <si>
    <t>Brive la Gaillarde, France</t>
  </si>
  <si>
    <t>219554-83T</t>
  </si>
  <si>
    <t>NectarGo</t>
  </si>
  <si>
    <t>Business/Productivity Software*, Other Agriculture</t>
  </si>
  <si>
    <t>Developer of a digital platform designed to connect producers and merchants to make local products more visible to customers. The company's platform facilitates direct commercial relations between producers and traders to work together, enabling clients to deliver local and sustainable foods accessible to all.</t>
  </si>
  <si>
    <t>50 Partners, Evolem, Super Capital</t>
  </si>
  <si>
    <t>agribusiness marketplace, agrifinance &amp; ecommerce, agrifinance and ecommerce, commercial platform, commercial relations, digital platform, local product, sustainable food, sustainable food product</t>
  </si>
  <si>
    <t>AgTech, Mobile, SaaS</t>
  </si>
  <si>
    <t>218419-75T</t>
  </si>
  <si>
    <t>Zeway</t>
  </si>
  <si>
    <t>Application Software, Automotive*</t>
  </si>
  <si>
    <t>Developer of personal electric mopeds intended to help people switch to electric vehicles for mobility in urban areas. The company's mopeds offer a subscription model that facilitates access to a network of battery-swapping stations to remove the charging pain along with insurance assistance and maintenance services, enabling customers to move within Paris without causing air pollution.</t>
  </si>
  <si>
    <t>ADEME Investissement, Allianz France, Banque des Territoires, Demeter Partners, Matmut Innovation, NCI Gestion</t>
  </si>
  <si>
    <t>battery swapping station, clean mobility, climate tech company, electric mobility, electric mobility platform, electric moped, micromobility</t>
  </si>
  <si>
    <t>Climate Tech, LOHAS &amp; Wellness, Micro-Mobility, Mobility Tech</t>
  </si>
  <si>
    <t>219330-46T</t>
  </si>
  <si>
    <t>Inato</t>
  </si>
  <si>
    <t>Operator of a global clinical trial marketplace intended to unlock trial access to patients globally and make clinical research more inclusive and efficient. The company marketplace connects global pharmaceutical companies with a broader range of community research sites while ensuring reliable high performance through collaborative, evidence-based enrollment planning and ongoing support for any given study and ensuring that sites are successfully delivering trials, enabling doctors to get a tool to discover untapped research sites efficiently to select the right opportunities for them.</t>
  </si>
  <si>
    <t>Cathay Capital Private Equity, Cathay Innovation(Jean-François Cochy), La Maison Partners, Obvious Ventures(Rohan Ganesh), Top Harvest Capital(Adam Ghobarah)</t>
  </si>
  <si>
    <t>clinical research, clinical research community, clinical research technology, clinical trials, clinical trials optimization, clinical trials planning, clinical trials technology, pharmaceutical, pharmaceutical industry</t>
  </si>
  <si>
    <t>219686-86T</t>
  </si>
  <si>
    <t>Ollow</t>
  </si>
  <si>
    <t>BPO/Outsource Services*, Other Commercial Products</t>
  </si>
  <si>
    <t>Manufacturer of textile machines products intended to produce shaped textiles without tools. The company produces hollow or tubular multilayer technical textiles that can be deformed (bending, variation of sections) and its technology is suitable for the transformation of thermoplastic tapes for complex geometries, enabling clients to reduce production costs in the field of technical textiles.</t>
  </si>
  <si>
    <t>Credit Agricole (PAR: ACA), GSO Innovation, Région Nouvelle-Aquitaine, Supernova Invest</t>
  </si>
  <si>
    <t>technical textiles, technical textiles producer, textile machinery, textile machinery manufacturer, textile machines designer, textile machines manufacturing, textile machines provider</t>
  </si>
  <si>
    <t>BPO/Outsource Services</t>
  </si>
  <si>
    <t>219351-61T</t>
  </si>
  <si>
    <t>Edzo</t>
  </si>
  <si>
    <t>Business/Productivity Software*, Education and Training Services (B2B), Media and Information Services (B2B)</t>
  </si>
  <si>
    <t>Developer a conversational application designed to assist employees and managers. The company offers a set of objectives dispatched to each seller through digital, gamified, and conversational support to accomplish the objective and continuous feedback from the field to marketing and managers, enabling clients to boost operational and commercial performance.</t>
  </si>
  <si>
    <t>ESG Core Investments</t>
  </si>
  <si>
    <t>application process, conversational application, effective management, employee communication, feedback tool, relationship manager</t>
  </si>
  <si>
    <t>Louveciennes, France</t>
  </si>
  <si>
    <t>218185-66T</t>
  </si>
  <si>
    <t>Lithium de France</t>
  </si>
  <si>
    <t>Operator of geothermal heat and lithium projects platform intended to combine the harnessing of geothermal energy for sustainable heat production. The company creates a large-scale heating network and brings together specialists in subsoil, geothermal energy, and lithium refining, helping clients transition to a green and carbon-free future.</t>
  </si>
  <si>
    <t>Arverne Group (PAR: ARVEN), Equinor Ventures(Børre Stokholm), Jones Day, Norsk Hydro (OSL: NHY)</t>
  </si>
  <si>
    <t>dispatchable energy sources, geothermal energy, geothermal heating, geothermal plant, geothermal power, lithium energy, renewable sector</t>
  </si>
  <si>
    <t>Bischwiller, France</t>
  </si>
  <si>
    <t>219676-42T</t>
  </si>
  <si>
    <t>OGD2 Pharma</t>
  </si>
  <si>
    <t>Developer of innovative immunotherapies designed to target tumor-associated gangliosides. The company's drugs target the O-acetylated form of the ganglioside, enabling cancer patients to easily recover and get back to their normal lives.</t>
  </si>
  <si>
    <t>Remora Biotech</t>
  </si>
  <si>
    <t>antibody, antibody cancer therapy, biologics, cancer immunotherapy, cancer immunotherapy product, immunotherapy drugs</t>
  </si>
  <si>
    <t>218182-15T</t>
  </si>
  <si>
    <t>FAGUO</t>
  </si>
  <si>
    <t>Clothing*, Footwear, Internet Retail</t>
  </si>
  <si>
    <t>Provider of an online and retail shopping platform intended to sell shoes and accessories. The company's platform offers a wide variety of shoes, apparel, luggage, and accessories, enabling consumers to avail themselves of premium and fashionable products for adults and children.</t>
  </si>
  <si>
    <t>Banque Populaire Grand Ouest, Credit Industriel et Commercial, LCL, NextStage AM, Sodero</t>
  </si>
  <si>
    <t>accessories brand, clothing and apparel, consumer product, footwear product, online apparel, retail shopping platform</t>
  </si>
  <si>
    <t>212629-42T</t>
  </si>
  <si>
    <t>Lunii</t>
  </si>
  <si>
    <t>Application Software, Educational and Training Services (B2C), Recreational Goods*</t>
  </si>
  <si>
    <t>Developer of an interactive storytelling device designed to make storytelling fun and accessible to children all over the world. The company's device not only makes provision for the parents to record their own stories for their children but also lets the children select a hero, a place, a character, and an object through the dials, and the device crafts a story accordingly, most of which are based on different tales from various authors, enabling parents to pull their children away from screens and pave the way for them to expand their creativity and imaginative powers.</t>
  </si>
  <si>
    <t>Arjo (STO: ARJO B), BNP Paribas Développement, EduCapital, Emmanuel Mounier, Unique Heritage Media</t>
  </si>
  <si>
    <t>audio content, audiobooks retail, children books, digital content, educational content, online education</t>
  </si>
  <si>
    <t>E-Commerce, EdTech, Mobile</t>
  </si>
  <si>
    <t>197322-31T</t>
  </si>
  <si>
    <t>MentorShow</t>
  </si>
  <si>
    <t>Developer of a subscription-based online classes platform intended to provide multi-disciplinary learning courses. The company's platform offers learning courses on entrepreneurship, writing, cooking, lifestyle, and sports and provides expert tutors and video-based classes featuring celebrity class industry-leading experts, enabling users to improve and learn new skills through online learning.</t>
  </si>
  <si>
    <t>Acurio Ventures, Crédit Mutuel Equity, Crédit Mutuel Innovation(Maxence Valero), EduCapital(Marie-Christine Levet), FJ Labs, Laurent Ritter(Laurent Ritter), Left Lane Capital(Matthew Miller), Paul Lê(Paul Lê), Purple (Paris), Romain Raffard(Romain Raffard)</t>
  </si>
  <si>
    <t>edutainment platform, experts advice, online education, online education platform, online learning platform, subscription-based site</t>
  </si>
  <si>
    <t>225874-81T</t>
  </si>
  <si>
    <t>Flynt</t>
  </si>
  <si>
    <t>Provider of revenue optimization services intended for the restaurant industry. The company's tools allow restaurateurs to boost visibility and increase income on online ordering platforms, enabling restaurants to maximize production capacity at all times while optimizing their profitability.</t>
  </si>
  <si>
    <t>Pareto Holdings</t>
  </si>
  <si>
    <t>restaurant industry, revenue optimization, revenue optimization platform, revenue optimization software, revenue optimization strategy, sales channel</t>
  </si>
  <si>
    <t>217908-28T</t>
  </si>
  <si>
    <t>Iktos</t>
  </si>
  <si>
    <t>Biotechnology*, Decision/Risk Analysis, Drug Discovery, Other Healthcare Technology Systems</t>
  </si>
  <si>
    <t>Developer of a Software-as-a-Service software platform designed to offer expertise in the field of ligand-based de novo design for multi-parameter optimization. The company's platform specializes in artificial intelligence and robotic solutions applied to research in medicinal chemistry and new drug design, applied to chemical research, specifically medicinal chemistry, and new drug design developed several proprietary and innovative systems based on AI, helping researchers to identify drug candidates in their research and development program.</t>
  </si>
  <si>
    <t>Debiopharm Innovation Fund(Tanja Dowe), M Ventures(Nadiya Ishnazarova), Omnes Capital</t>
  </si>
  <si>
    <t>artificial intelligence, drug discovery, drugs design technology, generative ai, molecular drug design, molecular fingerprinting, molecular modeling, pharmaceuticals and biotechnology, virtual design technology</t>
  </si>
  <si>
    <t>Artificial Intelligence &amp; Machine Learning, Big Data, Life Sciences, SaaS</t>
  </si>
  <si>
    <t>198753-40T</t>
  </si>
  <si>
    <t>Sport Faction</t>
  </si>
  <si>
    <t>Entertainment Software, Other Commercial Services*, Publishing, Software Development Applications</t>
  </si>
  <si>
    <t>Operator of a mobile game studio intended to provide exclusive gameplay at the crossroads of fantasy sport and mobile gaming. The company offers sports-oriented games based on the capacities and statistics of professional players from real life, enabling sports fans to enjoy fantasy sports.</t>
  </si>
  <si>
    <t>Level-Up(Guillaume Lautour)</t>
  </si>
  <si>
    <t>fantasy gaming, fantasy sports, game developer, gaming content, gaming platform, mobile game studio, mobile gaming platform, sports games, video game studio</t>
  </si>
  <si>
    <t>Esports, Gaming, Mobile</t>
  </si>
  <si>
    <t>220953-43T</t>
  </si>
  <si>
    <t>Expliseat</t>
  </si>
  <si>
    <t>Manufacturer of aircraft seat products intended to offer lightweight aircraft seats. The company's products are made up of carbon fiber associated with a hinge mechanism and can carry any size of passenger item but stay unbreakable, which can be customized according to its client's need, enabling aerospace businesses to reduce fuel consumption and increase passenger intake, offering disruptive seating in aircraft.</t>
  </si>
  <si>
    <t>Bpifrance, GO Capital (France)(David Leray), GoCapital, NCI Gestion</t>
  </si>
  <si>
    <t>aircraft seat manufacturer, aircraft seating, aircraft seating designer, aircraft seating product, aircraft seating production, aircraft seating supplier</t>
  </si>
  <si>
    <t>217839-79T</t>
  </si>
  <si>
    <t>Ieva Group</t>
  </si>
  <si>
    <t>Operator of a personalized beauty tech platform intended to develop technology-embedded accessories for customers. The company's platform offers IoT-based tests to measure pollution, UV rays, and humidity among others, and allows customers to subscribe to a beauty product package, enabling customers to purchase customized products as well as receive recommendations for environmental improvement under one platform.</t>
  </si>
  <si>
    <t>Crédit Mutuel Innovation(Stéphane Simoncini), SEB Alliance(François-Xavier Meyer)</t>
  </si>
  <si>
    <t>beauty products, cosmetic goods, cosmetics company, jewelry items, personal care company, skin diagnostics</t>
  </si>
  <si>
    <t>Beauty, E-Commerce, Internet of Things, Mobile</t>
  </si>
  <si>
    <t>220042-90T</t>
  </si>
  <si>
    <t>Rgoods</t>
  </si>
  <si>
    <t>Consulting Services (B2B)*, Environmental Services (B2B), Household Products</t>
  </si>
  <si>
    <t>Producer of high-quality grain-fed products intended to raise funds for NGOs and respect the planet and its inhabitants. The company offers a robust ethics charter, creative team, powerful digital store, and fully customizable customer experience, enabling clients to diversify their fundraising and offer unique purchases and donations to their supporters and donors.</t>
  </si>
  <si>
    <t>Nouvelle Aquitaine Co-Investissement, Otium Capital, Weaving Invest</t>
  </si>
  <si>
    <t>customer experience, environmental friendly, ethical standards, herd management, social responsibility, sustainable farming</t>
  </si>
  <si>
    <t>203637-16T</t>
  </si>
  <si>
    <t>Sancare</t>
  </si>
  <si>
    <t>Decision/Risk Analysis, Enterprise Systems (Healthcare)*, Other Healthcare Technology Systems</t>
  </si>
  <si>
    <t>Developer of data analysis software designed to automate the reporting of medical procedures. The company's platform incorporates the use of machine learning to recognize the pathologies described in a patient file and to deduce the performed hospital acts, providing doctors and medical professionals with relief in terms of the tedious administrative work.</t>
  </si>
  <si>
    <t>Davidson Consulting</t>
  </si>
  <si>
    <t>health innovation service, healthcare data analytics, healthcare innovation platform, healthcare technology developer, healthcare technology provider, medical innovation, medical procedures, medical procedures packs, medical procedures services, vertical application</t>
  </si>
  <si>
    <t>217821-25T</t>
  </si>
  <si>
    <t>Spareka</t>
  </si>
  <si>
    <t>Information Services (B2C), Other Services (B2C Non-Financial), Specialty Retail*</t>
  </si>
  <si>
    <t>Provider of self-repair services for household appliances intended to make equipment last and opt for sustainable consumption. The company specializes in the online sale of spare parts and offers educational tools such as tutorials, fault diagnostics, and video repair assistance on its website and mobile application, enabling users to get free training in the repair and self-repair of household appliances.</t>
  </si>
  <si>
    <t>Banque des Territoires, Caisse des Dépôts et Consignations, Demeter Partners</t>
  </si>
  <si>
    <t>appliance repair services, device repair, household appliances spare parts, repairing service provider, spare parts provider, spare parts repair, spare parts supply</t>
  </si>
  <si>
    <t>195566-14T</t>
  </si>
  <si>
    <t>Masteos</t>
  </si>
  <si>
    <t>Information Services (B2C), Media and Information Services (B2B)*, Real Estate Services (B2C)</t>
  </si>
  <si>
    <t>Developer of a real estate management platform designed to leverage opportunities in the property market optimally. The company's platform helps users find rental investment opportunities, renovating and furnishing services for rent increases, and rent tracking services, enabling clients to invest in real estate with minimal financial effort and burden.</t>
  </si>
  <si>
    <t>Daphni, Dedicated Venture Capital, DST Global, EDF Pulse Ventures(Guillaume Lesueur), NCI Gestion, SWEN Capital Partners</t>
  </si>
  <si>
    <t>central management, real estate, real estate company, real estate services, rental investment, technical intervention, tenants relations</t>
  </si>
  <si>
    <t>172726-39T</t>
  </si>
  <si>
    <t>Matera</t>
  </si>
  <si>
    <t>Developer of a property management platform designed to take care of the administrative and accounting tasks of one's building. The company's platform automatically generates all the documents and bills according to the co-ownership of each co-owner, makes them securely available online, and offers legal and accounting support, enabling building co-owners to manage their own building without going through a professional syndicate.</t>
  </si>
  <si>
    <t>Bpifrance, Burda Principal Investments, Index Ventures(Martin Mignot), Samaipata</t>
  </si>
  <si>
    <t>building management platform, building management tool, condominiums management, condominiums service, estate financial trust, property manager, property manager tools</t>
  </si>
  <si>
    <t>Real Estate Technology, SaaS, TMT</t>
  </si>
  <si>
    <t>217751-32T</t>
  </si>
  <si>
    <t>Unipile</t>
  </si>
  <si>
    <t>Developer of multi-channel communications platform designed to help users converse directly boosting their productivity and satisfaction. The company's platform natively manages the inbox in a simple way to stop having messages waiting in the inbox, all incoming items are processed, scheduled, and archived, and integrates messaging, email, and calendar functionalities into the application to streamline workflow, enabling clients to gather all the users' messaging accounts and enhance their communication capabilities, streamline their operations, ensuring optimal efficiency and growth in an ever-evolving digital landscape.</t>
  </si>
  <si>
    <t>Sphere Ventures, The Banque de France</t>
  </si>
  <si>
    <t>api system, communication platform, communications support, integration model, messaging tools, streamlined data</t>
  </si>
  <si>
    <t>Riorges, France</t>
  </si>
  <si>
    <t>206981-20T</t>
  </si>
  <si>
    <t>InMemori</t>
  </si>
  <si>
    <t>Other Services (B2C Non-Financial), Social Content*</t>
  </si>
  <si>
    <t>Developer of an online tribute platform intended to communicate information related to the funeral of a person or to share his memories through a dedicated page. The company provides a free service that helps to share funeral information with close ones and receive condolences, memories, and pictures by email or text, enabling users to post a condolence, a memory or a photo with the deceased.</t>
  </si>
  <si>
    <t>Allianz Group (ETR: ALV), Aonia Ventures, Eurazeo (PAR: RF), HEC Ventures, SWEN Capital Partners</t>
  </si>
  <si>
    <t>condolences sharing, family services, family services company, funeral house, funeral service, memorial service, memorials page</t>
  </si>
  <si>
    <t>Social Content</t>
  </si>
  <si>
    <t>206355-43T</t>
  </si>
  <si>
    <t>Odimma Therapeutics</t>
  </si>
  <si>
    <t>Developer of immunotherapy drug designed to empower personalized immunotherapy to treat cancer. The company's immunization platform combines three specific immune players that synergize with the immune system when injected into patients to induce and amplify an immune response, enabling patients to cure tumors with fewer side effects.</t>
  </si>
  <si>
    <t>Alsace Business Angels, Angels Santé, Bpifrance, Capital Grand Est</t>
  </si>
  <si>
    <t>cancer health care, cancer oncology, cancer therapy, gene therapy product, immunology vaccines, neoantigen vaccines, personalized care</t>
  </si>
  <si>
    <t>219435-85T</t>
  </si>
  <si>
    <t>Biolog-id</t>
  </si>
  <si>
    <t>Other Devices and Supplies, Other Healthcare Technology Systems*</t>
  </si>
  <si>
    <t>Developer of healthcare management platform designed to offer management and traceability of sensitive health products. The company's platform includes developing and implementing alternatives that digitally transform routine processes into actionable data supporting operational and strategic decisions for sensitive therapeutic products such as blood products, chemotherapies and parenteral nutrition, enabling clients to have traceability and other information on its products.</t>
  </si>
  <si>
    <t>Xerys Invest</t>
  </si>
  <si>
    <t>asset tracking &amp; management, asset tracking and management, enterprise supply chain management, healthcare management system, healthcare solutions company, healthcare technology, industrial iot, plasma fractionation, rfid technology, rfid technology solutions</t>
  </si>
  <si>
    <t>Bernay, France</t>
  </si>
  <si>
    <t>219229-39T</t>
  </si>
  <si>
    <t>Hyprevention</t>
  </si>
  <si>
    <t>Operator of a medical company intended to develop implantable medical devices to address unmet clinical needs. The company's product is an implantable medical device indicated for internal fixation of the proximal femur of patients at risk of osteoporotic fracture and for impeding pathological fracture, enabling clinicians to treat osteoporotic, cancer and improving patient outcomes.</t>
  </si>
  <si>
    <t>Caisse d'Epargne, Yellowstone Holding</t>
  </si>
  <si>
    <t>fracture treatment device, medical company, medical device, patient medication, spine surgery, spine surgery device, surgical implantables, surgical implants</t>
  </si>
  <si>
    <t>218148-13T</t>
  </si>
  <si>
    <t>AlgoTx</t>
  </si>
  <si>
    <t>Operator of a biotechnology company intended to develop topical treatments for complex pain. The company directly targets the damaged nerve fibers in the skin and avoids systemic side effects of oral drugs by repurposing existing drugs towards topical pain relief programs that are concerned with the pain of chemotherapy-induced peripheral neuropathy and diabetic neuropathic pain. , enabling medical practitioners to reduce the pain caused to patients due to Chemotherapy-induced Peripheral Neuropathy.</t>
  </si>
  <si>
    <t>Bpifrance(Thibaut Roulon), Majycc Esante Invest, Omnes Capital(Guillaume Blavier), Relyens(Sabri Boudrama), Turenne Groupe(Bervin Bouani), UI Investissement(Pauline de Breteuil)</t>
  </si>
  <si>
    <t>chemotherapy adverse effects, diabetic care, neuropathic pain, neuropathy treatment, peripheral neuropathy, supportive care, therapeutic solutions</t>
  </si>
  <si>
    <t>213543-73T</t>
  </si>
  <si>
    <t>Bem.Builders</t>
  </si>
  <si>
    <t>Operator of a web3 agency designed to provide content for the metaverse. The company's platform creates architectural, artistic, and experiential bridges between brands and the metaverse virtual world, including virtual goods, avatars, smart contracts, and blockchain-based payment systems, providing clients with brand experience in the metaverse.</t>
  </si>
  <si>
    <t>Karot Capital, Keyrus (PAR: ALKEY)</t>
  </si>
  <si>
    <t>blockchain tech, brand experience platform, metaverse app, metaverse city, virtual places, web3 technologies</t>
  </si>
  <si>
    <t>Augmented Reality, Cryptocurrency/Blockchain, Virtual Reality</t>
  </si>
  <si>
    <t>218625-22T</t>
  </si>
  <si>
    <t>Bonx (Business/Productivity Software)</t>
  </si>
  <si>
    <t>Developer of ERP system designed for designed to support the growth of industrial SMEs. The company deliberately focuses on production operations following a best-of-breed logic and integrates perfectly with another cloud system while offering the latest no-code and graph technologies, enabling users to regain control over their production data with improved efficiency.</t>
  </si>
  <si>
    <t>coding technology, no code analytics, no-code technology, production data, software development, supply chain</t>
  </si>
  <si>
    <t>244246-87T</t>
  </si>
  <si>
    <t>B&amp;Y Venture Partners, Newland Syndicate</t>
  </si>
  <si>
    <t>219562-66T</t>
  </si>
  <si>
    <t>Digitrips</t>
  </si>
  <si>
    <t>Business/Productivity Software*, Information Services (B2C), Other Restaurants, Hotels and Leisure</t>
  </si>
  <si>
    <t>Operator of a tech-enabled booking platform intended to offer assistance while traveling in a more accessible, simpler, and cost-effective way. The company offers an end-to-end travel platform that helps in sourcing, standardizing, distributing, and servicing various types of travel content for travel intermediaries, helping travel enthusiasts and businesses access a web agent booking tool through an application programming interface.</t>
  </si>
  <si>
    <t>IRIS (Private Equity), Montefiore Investment</t>
  </si>
  <si>
    <t>digital platform, tech-enabled, travel agency, travel arrangements, travel technology, trip advisor</t>
  </si>
  <si>
    <t>223455-61T</t>
  </si>
  <si>
    <t>Diogenx</t>
  </si>
  <si>
    <t>Developer of therapeutic services intended to serve diabetic patients. The company provides pancreatic beta-cell modulators for the treatment of type 1 and type 2 diabetes by developing a candidate molecule that regenerates pancreatic insulin-producing cells in patients with diabetes, enabling patients to get benefits in terms of quality of life and survival.</t>
  </si>
  <si>
    <t>AdBio partners(Alain Huriez), Boehringer Ingelheim Venture Fund(Johannes Zanzinger), Eli Lilly and Company (NYS: LLY), Omnes Capital, Roche Venture Fund(David Evans), Sunstone Life Science Ventures(Claus Andersson), T1D Fund(Katie Ellias)</t>
  </si>
  <si>
    <t>autoimmune disorder, biologics, cell system, diabetic patient, peptides, protein</t>
  </si>
  <si>
    <t>272123-02T</t>
  </si>
  <si>
    <t>Klub ( Financial Software)</t>
  </si>
  <si>
    <t>217252-54T</t>
  </si>
  <si>
    <t>Feeli</t>
  </si>
  <si>
    <t>Application Software, Clinics/Outpatient Services*, Other Healthcare Technology Systems</t>
  </si>
  <si>
    <t>Developer of an online medical consultation platform intended for customers to access medical help without an appointment. The company's platform offers a diagnostic tool assisted by a dynamic questionnaire created by medical experts and doctors and instant messaging, enabling clients to receive diagnoses, medical prescriptions and online doctor-prescribed treatments within a few hours of sending a request for medical consultation.</t>
  </si>
  <si>
    <t>Made For All, SIDE Capital</t>
  </si>
  <si>
    <t>doctor consulting, medical consultation platform, medical consultation service, online consultation platform, online medical consultation, telemedicine services</t>
  </si>
  <si>
    <t>Digital Health, HealthTech, Mobile</t>
  </si>
  <si>
    <t>217903-42T</t>
  </si>
  <si>
    <t>Folk</t>
  </si>
  <si>
    <t>Developer of a next-generation customer relationship management designed to facilitate contact management. The company's software provides collaborative features with cross-channel interaction history on all team contacts, leverages the entire network in a single hub, and integrates the necessary tools, enabling clients to map each interaction and expand their network quickly.</t>
  </si>
  <si>
    <t>Kima Ventures, Material Ventures, Neo (Consulting Services (B2B)), Prototype Capital (San Francisco), Venture Forward Capital, YADAY</t>
  </si>
  <si>
    <t>artificial intelligence, collaboration tool, customer relationship management, email campaign, network activation, relationship management application</t>
  </si>
  <si>
    <t>Artificial Intelligence &amp; Machine Learning, CloudTech &amp; DevOps, Marketing Tech, Mobile, SaaS</t>
  </si>
  <si>
    <t>219535-57T</t>
  </si>
  <si>
    <t>GoMecano</t>
  </si>
  <si>
    <t>Automotive, Other Commercial Services, Other Services (B2C Non-Financial)*</t>
  </si>
  <si>
    <t>Operator of a mechanical platform intended to repair and maintain cars at home or office. The company's platform offers a web portal for interactions between traveling mechanics and customers for repairing and maintaining vehicles at competitive prices, without additional costs related to travel, enabling customers to choose the choice of mechanics based on the opinions of the community.</t>
  </si>
  <si>
    <t>Via ID</t>
  </si>
  <si>
    <t>car maintenance, car maintenance platform, car repairing, mechanics contact, mechanics portal, mobile mechanics</t>
  </si>
  <si>
    <t>217869-58T</t>
  </si>
  <si>
    <t>Grace (Commercial Insurance)</t>
  </si>
  <si>
    <t>Operator of an insurance platform designed to protect luxury goods against theft and damage. The company's platform uses technology that analyzes client statements and detects if fraud has taken place and offers compliance-free, cross-channels, and cross-geographical contracts with integration via API, enabling clients with a refund/compensation for the same.</t>
  </si>
  <si>
    <t>Firstminute Capital, Kima Ventures, Purple (Paris)</t>
  </si>
  <si>
    <t>business insurance policy, insurance cover, insurance platform, insurance platform developer, insurance platform operator, insurance platform provider, insurance platform service, insurtech platform</t>
  </si>
  <si>
    <t>219269-71T</t>
  </si>
  <si>
    <t>Le Rouge Français</t>
  </si>
  <si>
    <t>Operator of a luxury makeup brand intended to sell organic cosmetic products to customers. The company's brand offers make-up with plant pigments, certified organic, vegan, and clean beauty, enabling women to buy consumers products made with natural and original colors, respectful of the environment and health.</t>
  </si>
  <si>
    <t>BNP Paribas (PAR: BNP), CFP Energy, OBRATORI, Région Sud Investissement, WinEquity</t>
  </si>
  <si>
    <t>cosmetic goods, cosmetic makeup, cosmetic producer, luxury makeup, makeup branding, makeup product</t>
  </si>
  <si>
    <t>Clamart, France</t>
  </si>
  <si>
    <t>217868-95T</t>
  </si>
  <si>
    <t>Leanear</t>
  </si>
  <si>
    <t>Developer of a cloud-based cybersecurity platform intended to increase efficiency and system security. The company developed a cloud security system by rebuilding a concept of the perimeter at the data level, directly enforced on the client side, enabling users to bridge the technological gap to allow companies to keep control of their data in the Cloud.</t>
  </si>
  <si>
    <t>Kima Ventures, Snaw Ventures</t>
  </si>
  <si>
    <t>cloud cybersecurity, cloud security platform, cloud security software, cryptographic keys, data breach, encryption tools</t>
  </si>
  <si>
    <t>216476-83T</t>
  </si>
  <si>
    <t>LegalPlace</t>
  </si>
  <si>
    <t>Business/Productivity Software, Legal Services (B2B)*, Legal Services (B2C)</t>
  </si>
  <si>
    <t>Provider of legal services intended to create a business in a simple and fast way by modifying its statutes and drafting contracts. The company's services generate customized documents with the help of lawyers as per the current standards of law and allow to manage the company in one place to handle accounting and legal information, enabling clients to obtain legal contracts at an affordable price.</t>
  </si>
  <si>
    <t>legal agreement, legal formalities, legal services, legal services firm, online legal contracts, online legal document</t>
  </si>
  <si>
    <t>Legal Tech</t>
  </si>
  <si>
    <t>226308-70T</t>
  </si>
  <si>
    <t>Léo et Violette</t>
  </si>
  <si>
    <t>Accessories*, Footwear</t>
  </si>
  <si>
    <t>Manufacturer of leather goods intended to serve customers. The company's platform specializes in designing and distributing a wide range of handcrafted products including bags, sneakers, wallets, and other leather accessories with express delivery and free returns service, enabling customers to use elegant, timeless, and functional products at reasonable prices.</t>
  </si>
  <si>
    <t>Cuir Invest, OBRATORI</t>
  </si>
  <si>
    <t>accessories store, customer service, handmade products, leather bags, product exchange, retail apparel</t>
  </si>
  <si>
    <t>218494-54T</t>
  </si>
  <si>
    <t>Michel Klein</t>
  </si>
  <si>
    <t>Manufacturer of luxurious clothing intended to empower women to express themselves through fashion. The company offers high-quality materials prodigiously cut in silk, cashmere, or mulmul, enabling women to create an exotic look that reflects their individuality and wanderlust.</t>
  </si>
  <si>
    <t>PPE Capital</t>
  </si>
  <si>
    <t>clothing business, clothing design, clothing firm, clothing sets, exotic look, lifestyle product, luxurious clothing, quality materials, style trends</t>
  </si>
  <si>
    <t>279549-46T</t>
  </si>
  <si>
    <t>Molsid</t>
  </si>
  <si>
    <t>Biotechnology*, Other Commercial Products</t>
  </si>
  <si>
    <t>Operator of a biotechnology firm intended to develop a new generation of fluorogenic molecular probes. The company offers the broadest range of robust fluorogenic precipitation-based probes and sensitive fluorescence detection for a large panel of enzyme activities for industrial, and research and development applications, enabling clients to get reliable quantitative results directly on primary samples within a committed time.</t>
  </si>
  <si>
    <t>ORSET Group, Pulsalys</t>
  </si>
  <si>
    <t>biotech company, biotech firm, disease prevention, innovative company, molecular biology, molecular probes</t>
  </si>
  <si>
    <t>220883-14T</t>
  </si>
  <si>
    <t>Nous Anti-Gaspi</t>
  </si>
  <si>
    <t>Operator of an anti-waste grocery store chain intended to reduce wastage and help producers and manufacturers upgrade their downgraded and unsold products. The company offers products that are excluded from traditional distribution channels due to small defects such as physical defects, date contracts not respected, end of series and more, enabling customers to maximize product rescue and be eco-responsible.</t>
  </si>
  <si>
    <t>Creadev</t>
  </si>
  <si>
    <t>anti waste platform, food production, food waste &amp; traceability, food waste and traceability, food waste reduction, grocery retail, grocery store, retail store, waste reduction system</t>
  </si>
  <si>
    <t>218046-61T</t>
  </si>
  <si>
    <t>Palm.ai</t>
  </si>
  <si>
    <t>Developer of an artificial intelligence (AI) powered platform designed to improve skill and career management within organizations. The company's platform automates the extraction of skills from job descriptions, providing a real-time, comprehensive view of skill gaps by utilizing advanced algorithms, enabling firms to facilitate professional growth by assessing the risk of employee departure, offering a proactive approach to reducing turnover costs and reducing administrative burden.</t>
  </si>
  <si>
    <t>212Founders, Adrien Monfort(Adrien Monfort), Bpifrance, Eric Douilhet(Eric Douilhet), Kima Ventures, Maxime Augiat(Maxime Augiat), One Green (Paris), Sebastian Sheriff(Sebastian Sheriff), Snaw Ventures, Station F, Vanessa Proust(Vanessa Proust)</t>
  </si>
  <si>
    <t>artificial intelligence engine, career management, hr analytics, human capital system, operational needs, personalized training, skills management</t>
  </si>
  <si>
    <t>Artificial Intelligence &amp; Machine Learning, Big Data, HR Tech, SaaS</t>
  </si>
  <si>
    <t>222982-30T</t>
  </si>
  <si>
    <t>Preligens</t>
  </si>
  <si>
    <t>Developer of an artificial intelligence-driven operating system designed to enhance operational decision-making. The company uses artificial intelligence technologies to offer advanced geo-spatial monitoring solutions to provide intelligence services with breakthrough technologies, enabling intelligence agencies to facilitate rapid decision-making and anticipate potential threats.</t>
  </si>
  <si>
    <t>Wendel Group (PAR: MF)</t>
  </si>
  <si>
    <t>ai technology, data analysis, decision making ai, enterprise asset management, enterprise resource planning, erp, geospatial mapping, industrial data analytics, surveillance services, surveillance technology, vertical application</t>
  </si>
  <si>
    <t>Advanced Manufacturing, Artificial Intelligence &amp; Machine Learning, Big Data, Industrials, SaaS, TMT</t>
  </si>
  <si>
    <t>216210-07T</t>
  </si>
  <si>
    <t>SESAMm</t>
  </si>
  <si>
    <t>Developer of artificial intelligence-driven text analysis designed for ESG analytics. The company's core platform mission is to deliver insights that aid private equity firms, asset managers, consulting firms, and corporations in making sustainable and responsible investments, enabling clients to get the necessary support to manage their assets.</t>
  </si>
  <si>
    <t>AFG Partners, Cameleon Invest, CEGEE Capital, Elaia Partners(Pauline Roux), Elevator Ventures, NewAlpha Asset Management, Open CNP, Opera Tech Ventures(Thibaut Schlaeppi), Raiffeisen Bank International (WBO: RBI), The Carlyle Group (NAS: CG)(Matt Anderson), Unigestion</t>
  </si>
  <si>
    <t>ai automation platform, capital market, data analytics, esg risk monitoring, global investment, ml platform, portfolio monitoring, risk assessment</t>
  </si>
  <si>
    <t>217870-03T</t>
  </si>
  <si>
    <t>Kima Ventures, Purple (Paris)</t>
  </si>
  <si>
    <t>218136-88T</t>
  </si>
  <si>
    <t>TapBuy</t>
  </si>
  <si>
    <t>Developer of a plug-and-play checkout platform designed to optimize mobile shopping tunnel and speed up conversion rates. The company's platform focuses on improving ergonomics and speed, optimizing the information requested from consumers on e-commerce sites, enabling retailers to enjoy increased sales, customer loyalty and automatic improvements pushed seamlessly.</t>
  </si>
  <si>
    <t>Financière Saint James</t>
  </si>
  <si>
    <t>check-out services, mobile check-out, mobile commerce software, mobile sales app, mobile sales platform, saas product</t>
  </si>
  <si>
    <t>E-Commerce, Mobile, Mobile Commerce, SaaS</t>
  </si>
  <si>
    <t>245813-59T</t>
  </si>
  <si>
    <t>Tellux</t>
  </si>
  <si>
    <t>Business/Productivity Software, Environmental Services (B2B)*, Other Commercial Services</t>
  </si>
  <si>
    <t>Operator of an innovative soil analysis company intended to characterize, locate, and quantify pollution in the soils of currently or formerly industrial sites. The company offers the remediation industry to accelerate soil remediation and the recovery of excavated material with the use of real-time measurements by artificial intelligence, providing industries with the means to financially secure clean-up projects.</t>
  </si>
  <si>
    <t>ADEME, Bpifrance, CEMEX Ventures, European Union, FFWD Normandie, Region Normandie</t>
  </si>
  <si>
    <t>artificial intelligence system, chemical analysis, decision support tool, decontamination system, detection system, quality manager, soil analysis, soil health, soil testing</t>
  </si>
  <si>
    <t>AgTech, Artificial Intelligence &amp; Machine Learning, CleanTech, Industrials, SaaS</t>
  </si>
  <si>
    <t>Petit-Couronne, France</t>
  </si>
  <si>
    <t>218994-49T</t>
  </si>
  <si>
    <t>185608-81T</t>
  </si>
  <si>
    <t>Advanced BioDesign</t>
  </si>
  <si>
    <t>Developer of novel anticancer drugs designed to focus specifically on targeting ALDH (aldehyde dehydrogenase) as a therapeutic approach. The company's innovative strategy aims to overcome tumor chemoresistance and focuses on the discovery and production of recombinant molecules for myeloid leukemia, enabling institutions in the field of immunology to overcome tumor chemoresistance and to restore or activate endogenous cell death mechanisms in cancer cells.</t>
  </si>
  <si>
    <t>Xerys Invest(Olivier Ossipoff)</t>
  </si>
  <si>
    <t>anticancer drug, cancer research, immunology research, leukemia research, small molecule, therapy development</t>
  </si>
  <si>
    <t>Saint-Priest, France</t>
  </si>
  <si>
    <t>216082-63T</t>
  </si>
  <si>
    <t>Mangrove</t>
  </si>
  <si>
    <t>Developer of decentralized exchange designed to post arbitrary smart contracts as offers. The company's platform uses decentralized finance protocols as backend infrastructure for trading, enabling users to share, borrow, lend, and display in an order book, ready to be sourced when an offer is hit.</t>
  </si>
  <si>
    <t>CMT Digital, Cumberland, Greenfield Capital(Gleb Dudka), gumi Cryptos Capital(Miko Matsumura)</t>
  </si>
  <si>
    <t>decentralized exchange platform, defi platform, dex ecosystem, dex trading, money market, smart contracts</t>
  </si>
  <si>
    <t>212792-41T</t>
  </si>
  <si>
    <t>Pili</t>
  </si>
  <si>
    <t>Specialty Chemicals*</t>
  </si>
  <si>
    <t>Developer of biotech textile dyes intended to propose renewable colors. The company's organic dyes are made using microorganisms and microscopic living beings that can be cultivated to produce a wide variety of renewable materials at an industrial scale in order to replace the petrochemical versions and the vegetable ones, enabling enterprises to promote sustainable development and save costs.</t>
  </si>
  <si>
    <t>Bpifrance, Elaia Partners, Famille C, Fashion For Good, SOSV, Startup Angels Alb-Bodensee</t>
  </si>
  <si>
    <t>biobased dyes, bioproduction facility, natural pigments, organic dyes, pigments dyes, sustainable fashion</t>
  </si>
  <si>
    <t>219690-82T</t>
  </si>
  <si>
    <t>ADV Propulse</t>
  </si>
  <si>
    <t>Manufacturer of naval propulsion systems intended to provide a better navigation experience. The company's biomimetic propulsion system offers energy efficiency, improves ship maneuverability and safety, and protects the marine ecosystem by reducing the noise and acoustic signature of thrusters, enabling clients in maritime transport and military fields to move through the sea waters in innovative ways.</t>
  </si>
  <si>
    <t>Credit Agricole (PAR: ACA)</t>
  </si>
  <si>
    <t>hydrodynamic product, marine ecosystem, maritime transport, mechanical design, naval systems, safety devices</t>
  </si>
  <si>
    <t>Mérignac, France</t>
  </si>
  <si>
    <t>253426-96T</t>
  </si>
  <si>
    <t>Aurora Cold Plasma Sterilisation</t>
  </si>
  <si>
    <t>Developer of sterilizers intended for cold sterilizing fragile or complex medical devices. The company offers plasma sterilizing devices based on low-pressure air gas plasma generation, enabling patients to protect themselves from exposed non-sterilized endoscopic contamination.</t>
  </si>
  <si>
    <t>GO Capital (France)(Bruno Guicheux)</t>
  </si>
  <si>
    <t>sterilization product, sterilization system, sterilization technology development, sterilizers equipment, sterilizing device development, sterilizing technology</t>
  </si>
  <si>
    <t>219279-16T</t>
  </si>
  <si>
    <t>Evollis</t>
  </si>
  <si>
    <t>Information Services (B2C)*, Internet Retail, Other Financial Services, Other Services (B2C Non-Financial)</t>
  </si>
  <si>
    <t>Provider of equipment rental services intended to supply products over the term of the contract against a fixed monthly payment. The company's rental services include high-tech product rentals like smartphones, computers, tablets, televisions, cameras, and any associated service package via a monthly rent, enabling customers to receive a full warranty for the duration of the contract and enjoy optional insurance.</t>
  </si>
  <si>
    <t>BNP Paribas Personal Finance</t>
  </si>
  <si>
    <t>equipment assets, equipment rental platform, equipment rental service, insurance options, product purchasing, rental services</t>
  </si>
  <si>
    <t>219480-04T</t>
  </si>
  <si>
    <t>Insidevision</t>
  </si>
  <si>
    <t>Electronics (B2C)*, Other Hardware</t>
  </si>
  <si>
    <t>Developer of an electronic braille tactile tablet designed to assist blind and visually impaired people to communicate, discuss, and share. The company's product is encased in an aluminum alloy case tinted in the mass, offers part precision for a palpable finish, and has a resistant touchscreen designed in gorilla glass, enabling customers to interact through a range of tactile software and communicate in a digital environment.</t>
  </si>
  <si>
    <t>Enowe, MK Invest</t>
  </si>
  <si>
    <t>braille tactile tablets, braille text, computer hardware sales, digital aids, reading aids, tactile product</t>
  </si>
  <si>
    <t>216012-16T</t>
  </si>
  <si>
    <t>Le Philtre Organic Vodka</t>
  </si>
  <si>
    <t>Producer of organic vodka intended to offer quality ingredients. The company produces natural vodka from organic soft winter wheat and Gensac spring water in recyclable bottles, enabling its clients to have vodka without any chemical additives and added sugar.</t>
  </si>
  <si>
    <t>Gravitation(Charles Beigbeder)</t>
  </si>
  <si>
    <t>natural alcohol, organic alcohol beverage, vodka brewery, vodka manufacturer, vodka product, vodka seller</t>
  </si>
  <si>
    <t>225031-06T</t>
  </si>
  <si>
    <t>MedSmart</t>
  </si>
  <si>
    <t>Developer of digital practice management tool intended for healthcare professionals. The company has developed a mobile-based application that allows doctors to manage patients' health with features like payment management, notes, dictations, photos management, patient progress tracking, accounting, and much more, enabling healthcare professionals to simplify their administrative management.</t>
  </si>
  <si>
    <t>Astorya.vc</t>
  </si>
  <si>
    <t>administrative management software, health care platform, patient files management, patient management, payment management, practice management tool</t>
  </si>
  <si>
    <t>219102-31T</t>
  </si>
  <si>
    <t>Axoltis Pharma</t>
  </si>
  <si>
    <t>Operator of a biotechnology company intended to treat patients suffering from severe neurological disorders. The company's drugs assist neural repair in treating patients with traumatic degenerative disorders of the central nervous system faced with high unmet medical needs, enabling patients to get treatment for neurodegenerative diseases and improve functional recovery and quality of life.</t>
  </si>
  <si>
    <t>UI Investissement(Francois Miceli)</t>
  </si>
  <si>
    <t>chemistry, degenerative disorder, functional recovery, nervous system disease, neural repair, neurodegenerative diseases, neurodegenerative drugs, neurological disorder therapy, neurological disorder treatment, neurological therapy, small molecule, spinal cord injury</t>
  </si>
  <si>
    <t>215796-52T</t>
  </si>
  <si>
    <t>Ensweet</t>
  </si>
  <si>
    <t>Developer of a telemedicine platform intended to offer telerehabilitation services to patients. The company's platform contains heart rate sensors and physical activity equipment so that everyone can exercise in every possible condition, enabling patients to have accessible rehabilitation care.</t>
  </si>
  <si>
    <t>50 Partners, Angels Santé, Finovam Gestion, Groupe IRD, IRD Invest, MakeSense, Nord France Amorçage</t>
  </si>
  <si>
    <t>rehabilitation care, rehabilitation service, telemedicine platform, telemedicine service provider, telemedicine services, tele-rehabilitation service</t>
  </si>
  <si>
    <t>Digital Health, HealthTech, Life Sciences, SaaS</t>
  </si>
  <si>
    <t>234151-03T</t>
  </si>
  <si>
    <t>219557-89T</t>
  </si>
  <si>
    <t>BNP Paribas Développement</t>
  </si>
  <si>
    <t>216071-92T</t>
  </si>
  <si>
    <t>Klaxoon</t>
  </si>
  <si>
    <t>Operator of a visual collaboration platform designed to increase engagement and improve business decisions and processes. The company offers interactive sessions and a platform of diversified engagement tools accessible from the office, remotely, or in a hybrid setting, enabling employers to accelerate decisions, processes, projects, delivery, and outcomes by driving engagement and fostering collaboration internally and externally.</t>
  </si>
  <si>
    <t>Bpifrance, Eurazeo (PAR: RF), Idinvest Partners, Round2 Capital, Sofiouest, Wind Capital</t>
  </si>
  <si>
    <t>collaboration tool, collaborative app, collaborative platform, customer engagement, customer relationship platform, email and authoring, knowledge management system, project management app</t>
  </si>
  <si>
    <t>206255-53T</t>
  </si>
  <si>
    <t>Obvy</t>
  </si>
  <si>
    <t>Operator of a payments platform designed to ease all the transactions between individuals and professionals. The company's platform offers a simple, transparent, and secure payment method for buyers and sellers to conduct their business, enabling users to transact securely and avoid payment related scams.</t>
  </si>
  <si>
    <t>4Ventures(Antoine d'Ydewalle), Cyril Marchi(Cyril Marchi), Edouard Janssen(Edouard Janssen), Mike Vandenhooft(Mike Vandenhooft), Nicolas Debray(Nicolas Debray), Quentin Adam(Quentin Adam)</t>
  </si>
  <si>
    <t>bitcoin payment platform, consumer payment, debit, debit &amp; p2p, ecommerce payment, financial payment, financial payment system, financial payment tools, p2p, payment platform, payment platform technology</t>
  </si>
  <si>
    <t>B2B Payments, FinTech, Mobile</t>
  </si>
  <si>
    <t>215554-15T</t>
  </si>
  <si>
    <t>Anyos</t>
  </si>
  <si>
    <t>Provider of digital charging stations intended to deliver charging systems for electronic automobiles. The company provides charging services, charging station installation services, and maintenance of electric vehicles, enabling customers to have a complete electrical charging infrastructure service for their automobiles.</t>
  </si>
  <si>
    <t>Bpifrance, CIC, NMP Développement, Ocseed</t>
  </si>
  <si>
    <t>charging infrastructure systems, charging station installation, charging station services, electric vehicle automation, electric vehicle charging, electric vehicle service</t>
  </si>
  <si>
    <t>CleanTech, Climate Tech, Mobility Tech</t>
  </si>
  <si>
    <t>Briatexte, France</t>
  </si>
  <si>
    <t>218851-21T</t>
  </si>
  <si>
    <t>Ryax Technologies</t>
  </si>
  <si>
    <t>Business/Productivity Software, Software Development Applications*, Systems and Information Management</t>
  </si>
  <si>
    <t>Developer of an infrastructure software designed to build backends from zero to production in a few days, within a simple UI. The company's software enables fast and complex computations of live data upon hybrid infrastructures which helps to ease and optimize various application executions, enabling clients to access modern tools to create apps' backends efficiently to help projects start with no-code bricks and integrations.</t>
  </si>
  <si>
    <t>Crédit Agricole Sud Rhône-Alpes (PAR: CRSU), IT-Translation, Siren Consulting, Yatan</t>
  </si>
  <si>
    <t>ai cores, analytics platform, application layer, cloud infrastructure, data engineering platform, edge infrastructure, hybrid infrastructure monitoring, infrastructure management, infrastructure software, iot software, iot systems, resource management technology</t>
  </si>
  <si>
    <t>225644-86T</t>
  </si>
  <si>
    <t>Climb (Financial Software)</t>
  </si>
  <si>
    <t>Developer of a taxation management platform designed to manage taxes and money. The company's platform offers the user experience for investing in financial, real estate, and tax relief products and in calculating tax deductions, declaring income, and stimulating the amount of tax savings, enabling users to optimize their finances.</t>
  </si>
  <si>
    <t>Augusta (France)</t>
  </si>
  <si>
    <t>investment platform, investment tool, personal finance app, personal finance management, tax management, tax saving, taxation firm, taxation management platform</t>
  </si>
  <si>
    <t>240950-80T</t>
  </si>
  <si>
    <t>Creative Lift</t>
  </si>
  <si>
    <t>Developer of a global content KPI tool intended to pilot paid social content quality at scale and maximize ROI. The company's platform provides insights into content performance, recommendations for improvement, and a suite of tools to help teams execute those recommendations, enabling global teams to measure and improve the impact of their paid social content.</t>
  </si>
  <si>
    <t>Wind Capital</t>
  </si>
  <si>
    <t>business output, business tools, global content market, kpi tracking, performance measurement, social content</t>
  </si>
  <si>
    <t>252780-58T</t>
  </si>
  <si>
    <t>Metroscope</t>
  </si>
  <si>
    <t>Developer of industrial equipment monitoring and diagnostic software intended to understand energy losses and faults. The company's software serves specific requirements and provides all strategic information needed to understand the business performance by providing an in-depth analysis, enabling businesses to comprehend the full scale of opportunities and challenges the company is facing along the financials.</t>
  </si>
  <si>
    <t>EDF Pulse Ventures</t>
  </si>
  <si>
    <t>cooling system, diagnostics method, enterprise resource planning, erp, industrial equipment, industrial market, monitoring and control, nuclear power energy, nuclear power plant, power generation asset, power generation work</t>
  </si>
  <si>
    <t>215275-15T</t>
  </si>
  <si>
    <t>Locuta</t>
  </si>
  <si>
    <t>Developer of an artificial intelligence bot designed to provide a virtual teleconsultant to answer the phone. The company offers call bots, chatbots, and messaging bots that easily connect to telephone platforms and CRMs, enabling virtual agents to have access to answer questions or support requests and carry out operations on an order within the framework of an e-commerce customer service.</t>
  </si>
  <si>
    <t>Bpifrance, Evolem, Kima Ventures, Newfund Management, Région Nouvelle-Aquitaine</t>
  </si>
  <si>
    <t>artificial intelligence bot, bot developer, bot platform, call center service, call center tech, messaging bot, natural language technology</t>
  </si>
  <si>
    <t>215258-23T</t>
  </si>
  <si>
    <t>Orosound</t>
  </si>
  <si>
    <t>Developer of a professional audio earphones designed to create quality acoustic products that improve the daily lives of people worldwide. The company's earphone brand has noise-filtering technology that facilitates selective filtering of ambient noise, enabling office workers to filter disturbing noise while they are working.</t>
  </si>
  <si>
    <t>Agoranov, AngelSquare, BusinessAngels.fr, GO Capital (France)(Bertrand Distinguin), Paris Business Angels, Plant 4.0 Startup Incubator, Wilco(Paris)</t>
  </si>
  <si>
    <t>acoustic sound, audio earphones, edge ai solutions, noise filters, noise filters earphones, noise-cancelling technology, professional earphones</t>
  </si>
  <si>
    <t>198752-50T</t>
  </si>
  <si>
    <t>Silicon Mobility</t>
  </si>
  <si>
    <t>Developer of an automotive technology designed to power control systems for clean, safe, and smart mobility. The company's technology consists of a field-programmable control unit that removes the roadblocks for the large-scale advent of car electrification and controls electric motors, batteries, and energy management systems for hybrid and electric vehicles, enabling the automotive industry to increase energy efficiency, reduce polluting emissions and ensure passenger safety.</t>
  </si>
  <si>
    <t>Cullom Capital</t>
  </si>
  <si>
    <t>automotive control system, automotive safety, automotive semiconductor, automotive technology, battery, battery material, battery technology, electric vehicle, semiconductor architecture, semiconductor technology, smart mobility system, vehicle electronics</t>
  </si>
  <si>
    <t>CleanTech, Climate Tech, LOHAS &amp; Wellness, Mobility Tech, TMT</t>
  </si>
  <si>
    <t>215521-75T</t>
  </si>
  <si>
    <t>Ecoat</t>
  </si>
  <si>
    <t>Industrial Chemicals, Other Commercial Products*, Other Commercial Services</t>
  </si>
  <si>
    <t>Operator of a bio-based coatings platform designed to offer sustainable development for the paint and coating industry. The company's platform is bio-based alkyd emulsions, acrylics, and dispersants water paint emphasizing the sustainability of the ecosystem, enabling the paint and coating industry to adopt suitable measures.</t>
  </si>
  <si>
    <t>123imprim, Banque Populaire Méditerranée, BNP Paribas (PAR: BNP), Bpifrance, Caisse d'Epargne, Credit Cooperatif, Région Sud Investissement, Smalt Capital</t>
  </si>
  <si>
    <t>coating and ink, coating paints, organic chemistry, paints product, polymer technology, raw materials manufacturer</t>
  </si>
  <si>
    <t>CleanTech, TMT</t>
  </si>
  <si>
    <t>Grasse, France</t>
  </si>
  <si>
    <t>214956-01T</t>
  </si>
  <si>
    <t>BIBAK</t>
  </si>
  <si>
    <t>Environmental Services (B2B)*, Machinery (B2B)</t>
  </si>
  <si>
    <t>Operator of a disposable packaging deposit system and left-luggage services intended to reduce plastic waste. The company's approach provides an application that makes it feasible to borrow reusable and returnable packaging, enabling restaurants, corporate cafeterias, and mass distribution to manage their waste in an eco-friendly manner.</t>
  </si>
  <si>
    <t>Founders Future(Marc Menasé), MAIF Impact, Notus Technologies, Seed-One Ventures, SWEN Capital Partners</t>
  </si>
  <si>
    <t>organic waste, packaging solutions, returnable packaging, reusable packaging, reusable tableware, waste reduction</t>
  </si>
  <si>
    <t>214973-74T</t>
  </si>
  <si>
    <t>DNA Gensee</t>
  </si>
  <si>
    <t>Biotechnology*, Other Commercial Services</t>
  </si>
  <si>
    <t>Developer of a biotechnology platform designed to work on DNA fragments and then perform genetic analyses on various types of products. The company's platform offers identification of the plant species that are present in raw materials, ingredients, or final products, leveraging its genetic analyses, enabling users to use molecular biological facilities to provide blind analyses on processed products.</t>
  </si>
  <si>
    <t>Crédit Agricole Alpes Développement, Starquest Capital(Chloé Cohen-Aknine)</t>
  </si>
  <si>
    <t>biotechnology data, biotechnology laboratory, biotechnology platform, molecular biological technology, molecular biological testing, plant species</t>
  </si>
  <si>
    <t>214971-58T</t>
  </si>
  <si>
    <t>Genesis ()</t>
  </si>
  <si>
    <t>Business/Productivity Software*, Environmental Services (B2B), Media and Information Services (B2B), Other Agriculture</t>
  </si>
  <si>
    <t>Developer of assessment and monitoring tools designed to measure the impact of agricultural practices on soils. The company's tool helps assess and monitor soils to improve their condition, yield, and resistance to risks and validate and recognize scientific methodology that combines field samples and metadata, enabling corporates to establish a concrete, opposable, and comparable monitoring of their global action for global soil health and improve procurement policy.</t>
  </si>
  <si>
    <t>environmental services, environmental services company, environmental services firm, environmental services software, environmental services tools, soil health, soil monitoring app, soil monitoring platform, soil monitoring software</t>
  </si>
  <si>
    <t>Lisors, France</t>
  </si>
  <si>
    <t>215036-20T</t>
  </si>
  <si>
    <t>Kanopee</t>
  </si>
  <si>
    <t>Consulting Services (B2B)*, Other Financial Services</t>
  </si>
  <si>
    <t>Operator of a start-up studio intended to focus on both the construction or real estate sector and the creation of the Saas system and trusted third parties. The company's services include bringing together a community of entrepreneurs of different types such as institutional investors, entrepreneurs in the construction/real estate sector, SaaS, and a few family offices, creating and investing in early-stage start-ups and offering them individualized support, enabling clients to get system which meets their exact needs of the market, become an entrepreneur by getting help in creating an autonomous and de-risked business and getting support in the structuring of their growth and getting all the keys for efficient commercial development.</t>
  </si>
  <si>
    <t>Attestation Légale, Bpifrance, SMABTP</t>
  </si>
  <si>
    <t>business structure, commercial development, customer journey, entrepreneurship support, saas company, saas solutions</t>
  </si>
  <si>
    <t>214976-89T</t>
  </si>
  <si>
    <t>Qotto</t>
  </si>
  <si>
    <t>Alternative Energy Equipment*, Electronic Equipment and Instruments, Electronics (B2C)</t>
  </si>
  <si>
    <t>Developer of stand-alone solar kits intended to offer electricity in rural households. The company offers electric autonomy with the help of its solar panels and small solar kits which can be used to connect multiple lamps at a time and help in charging devices, enabling users with alternative sources of electricity in rural regions.</t>
  </si>
  <si>
    <t>Cordaid, FEI OGEF, IBL (Mauritius), Sowefund</t>
  </si>
  <si>
    <t>battery model, intermittent renewable energy, lamps base, natural energy, renewable energy, solar kits, solar photovoltaic, solar unit</t>
  </si>
  <si>
    <t>Neuilly Sur Seine, France</t>
  </si>
  <si>
    <t>214859-71T</t>
  </si>
  <si>
    <t>Futura Gaïa</t>
  </si>
  <si>
    <t>Cultivation, Horticulture, Other Agriculture*, Other Commercial Products</t>
  </si>
  <si>
    <t>Developer of vertical agriculture systems designed to perform farming in a controlled environment. The company offers a culture system, nutrient supply, and other software tools in order to optimize energy consumption, remove heavy pesticides, avoid food wastage, and offer food at affordable prices, enabling clients and customers to farm in a controlled environment.</t>
  </si>
  <si>
    <t>A+ Finance, Abeille Impact Investing France, Alain Raymond(Alain Raymond), Banque des Territoires, CAAP Creation, Colam Impact, Elpis Capital, InvESS't PACA, Occipac, Région Sud Investissement, Sofilaro, Sowefund, UI Investissement</t>
  </si>
  <si>
    <t>affordable prices, agriculture systems, green farming, greenhouse plantation frames, indoor farming, indoor farming components, organic farming, vertical agriculture</t>
  </si>
  <si>
    <t>AgTech, Climate Tech</t>
  </si>
  <si>
    <t>Rodilhan, France</t>
  </si>
  <si>
    <t>227183-41T</t>
  </si>
  <si>
    <t>MotionSociety</t>
  </si>
  <si>
    <t>Operator of a content development platform intended to help content creators reach their full potential and develop their brands in all social media. The company aims to bring together a diversified and strong community of creators spanning from a lot of different worlds, enabling creators to go multi-platform, unlock and grow their communities, and get the real value out of their content.</t>
  </si>
  <si>
    <t>Kima Ventures, OneRagtime</t>
  </si>
  <si>
    <t>content creator community, content development, content monetization, content planning, social media brand, social media content</t>
  </si>
  <si>
    <t>214780-24T</t>
  </si>
  <si>
    <t>Enogrid</t>
  </si>
  <si>
    <t>Business/Productivity Software, Other Commercial Services, Other Energy Services*</t>
  </si>
  <si>
    <t>Developer of energy transition tool designed to provide energy monitoring operations. The company's software helps to measure and optimize the performance of building operations, visualize energy flows, customize distribution coefficients, access transaction documents, and more, helping users monitor self-energy consumption and contribute to the energy transition.</t>
  </si>
  <si>
    <t>ENGIE Rassembleurs d'Energies, Schneider Electric (Electrical Equipment) (PAR: SU)</t>
  </si>
  <si>
    <t>consumption data, energy consumption, energy optimization, energy transition, environmental services, renewable energy</t>
  </si>
  <si>
    <t>218489-41T</t>
  </si>
  <si>
    <t>Meditatio</t>
  </si>
  <si>
    <t>Developer of a French-speaking Christian meditation app designed for spiritual growth and a deeper connection with Christianity. The company's app allows discover daily meditations and provides categorized courses that offer users a structured approach to meditation, enabling users to get peace of mind after a hectic and noisy life and assist them to develop their faith and find peace through prayer and reflection.</t>
  </si>
  <si>
    <t>meditation application, meditation tools, mind wellness, online mediation, peace program, wellness portal</t>
  </si>
  <si>
    <t>214704-37T</t>
  </si>
  <si>
    <t>Avicenna.Ai</t>
  </si>
  <si>
    <t>Developer of medical radiology software designed for the detection of acute neurovascular emergencies. The company focuses on an automatic algorithm that uses artificial intelligence and deep learning of deep neural networks to monitor intracranial hemorrhages, large vessel occlusion, and automatic estimation of ASPECT score, enabling physicians to detect brain hemorrhages and improve patient care.</t>
  </si>
  <si>
    <t>Cemag Invest, Innovacom (Paris)(Vincent Deltrieu)</t>
  </si>
  <si>
    <t>artificial intelligence system, deep learning technology, diagnostic care, disease detection, hemorrhage control, medical imaging, patient management tool, radiologists and technology, radiology image processing and ai, radiology system</t>
  </si>
  <si>
    <t>La Ciotat, France</t>
  </si>
  <si>
    <t>219230-20T</t>
  </si>
  <si>
    <t>Aster (Business/Productivity Software)</t>
  </si>
  <si>
    <t>Developer of smart-assistant software intended to help teams collaborate effectively and generate engagement. The company's software integrates into users' calendars and communication tools and helps them to plan the agenda, collect and share documents relevant to the meeting as well as create meeting minutes to be sent directly to the participants, enabling clients to make meetings efficient and less time-consuming.</t>
  </si>
  <si>
    <t>Crédit Agricole Création, GMZ &amp; Son's, OneRagtime, Rhône-Alpes Création</t>
  </si>
  <si>
    <t>collaboration platform, engagement model, meeting planner, meeting planning app, meeting planning application, smart assistant, smart assistant platform</t>
  </si>
  <si>
    <t>244991-89T</t>
  </si>
  <si>
    <t>Cascade (Cultivation)</t>
  </si>
  <si>
    <t>Cultivation*, Other Agriculture</t>
  </si>
  <si>
    <t>Developer of agricultural technology designed to help farmers better use the natural sunlight to improve crop yield and food quality. The company's technology optimizes the light to improve crop yield and creates agriculture to secure healthy food, enabling growers to have improved competitiveness.</t>
  </si>
  <si>
    <t>agricultural technology, agricultural technology company, crop yield, indoor farming, indoor growers, material performance, spectrum technology, sustainable solutions</t>
  </si>
  <si>
    <t>AgTech, LOHAS &amp; Wellness</t>
  </si>
  <si>
    <t>214633-63T</t>
  </si>
  <si>
    <t>Exotrail</t>
  </si>
  <si>
    <t>Small Satellites</t>
  </si>
  <si>
    <t>Developer of an end-to-end space mobility operator designed to serve small satellites in orbit. The company's technology facilitates constellations of small satellites to access new orbits through greater flexibility in the choice of the launcher and a significant increase in the life in operation, helping clients to move small satellites in space, optimize their deployment, increase their service performance, and reduce space pollution.</t>
  </si>
  <si>
    <t>360 Capital, Bpifrance(Joséphine Marie), Celad, Eurazeo (PAR: RF), Fonds Innovation Défense, Innovacom (Paris), IRDI Capital Investissement, iXO Private Equity, Karista (Paris), NCI Gestion</t>
  </si>
  <si>
    <t>electric propulsion aerospace, electric propulsion systems, electric propulsion technology, enterprise resource planning, orbital transfer vehicle, propulsion systems, small satellite, space company, space mobility</t>
  </si>
  <si>
    <t>SaaS, Space Technology</t>
  </si>
  <si>
    <t>214596-73T</t>
  </si>
  <si>
    <t>Autonomie &amp; Solidarité, Cameleon Invest, Investir &amp;+, Lyxor Asset Management, Solidarité Internationale pour le Développement et l'Investissement, SWEN Capital Partners</t>
  </si>
  <si>
    <t>214615-00T</t>
  </si>
  <si>
    <t>Maltivor</t>
  </si>
  <si>
    <t>Beverages*, Food Products, Specialty Retail</t>
  </si>
  <si>
    <t>Operator of a food and beverage company intended to produce and sell beer and organic beer dregs flour. The company specializes in transforming malt residue, a bio-waste rich in fiber, protein, and flavor, into brewery-spent grains, enabling customers to enjoy better taste and nutrient recipes of beer.</t>
  </si>
  <si>
    <t>agri-food sector, beer retail, beer shops, beer shops operator, brewery bar, food ecommerce, online grocer, sustainable ingredients</t>
  </si>
  <si>
    <t>Vourles, France</t>
  </si>
  <si>
    <t>214718-59T</t>
  </si>
  <si>
    <t>The Guitar Division</t>
  </si>
  <si>
    <t>Other Consumer Durables*, Recreational Goods</t>
  </si>
  <si>
    <t>Manufacturer of musical instruments intended to serve the music industry in France. The company offers various types of instruments and guitar accessories through its retail outlets and is designed through improved technology, providing musicians and users with quality products and sound systems via digital mode.</t>
  </si>
  <si>
    <t>Banque Populaire, Bpifrance, Créalia</t>
  </si>
  <si>
    <t>guitar accessories, guitar market, guitar retailer, musical instruments provider, musicals device, musicals product</t>
  </si>
  <si>
    <t>Portet sur Garonne, France</t>
  </si>
  <si>
    <t>226288-18T</t>
  </si>
  <si>
    <t>Bigblue</t>
  </si>
  <si>
    <t>Developer of supply chain software designed to delight customers with simple, trustable, and empowering logistics. The company's software partnered with warehouses and transporters to provide a delivery experience that pushes products to retail stores freeing from traditional distributors, enabling brands to manage distribution through a single interface with ease.</t>
  </si>
  <si>
    <t>La Poste Groupe, Orange Ventures(Maël Rohrig), Runa Capital, Samaipata, Siparex Group</t>
  </si>
  <si>
    <t>distribution logistics, distribution warehouse, product fulfillment, supply chain software, transportation control, transportation network, warehouse management, warehousing and fulfillment, warehousing fulfillment, warehousing technology</t>
  </si>
  <si>
    <t>214479-19T</t>
  </si>
  <si>
    <t>Chouette</t>
  </si>
  <si>
    <t>Developer of automated surveillance software intended to offer agriculture monitoring. The company's agricultural artificial intelligence and drone's autonomy help to analyze and detect the symptoms of disease, enabling clients to look after their agriculture better.</t>
  </si>
  <si>
    <t>Demeter Partners, Kubota (TKS: 6326)</t>
  </si>
  <si>
    <t>agriculture monitoring, analytics platform, automated surveillance, business intelligence platform, precision viticulture, surveillance software, viticulture assets, viticulture services</t>
  </si>
  <si>
    <t>Artificial Intelligence &amp; Machine Learning, Industrials, Robotics and Drones</t>
  </si>
  <si>
    <t>219105-01T</t>
  </si>
  <si>
    <t>Cosmo Connected</t>
  </si>
  <si>
    <t>Developer of safety helmets designed to improve the physical protection of riders. The company's helmets combine a rear light that provides visibility in all weather conditions and a curated mobile application that utilizes a geolocation system to alert and provide medical information and coordinates to the nearest rescue team in the event of an accident, enabling riders to be safe and secure on the road.</t>
  </si>
  <si>
    <t>Snaw Ventures, YADAY</t>
  </si>
  <si>
    <t>connected helmets, customized helmets, helmets manufacturer, helmets safety, road safety, safety gear, safety helmets, safety helmets provider</t>
  </si>
  <si>
    <t>214510-96T</t>
  </si>
  <si>
    <t>VUF Bikes</t>
  </si>
  <si>
    <t>Manufacturer of electric utility bikes intended to transport loads in large volumes in urban, industrial, and off-road environments. The company offers its utility bikes for professional tailor-made applications for a multitude of applications such as waste collection, maintenance of parks as well as gardens, cleaning of urban streets, and transport tools, providing customers as well as professionals with sustainable mobility options.</t>
  </si>
  <si>
    <t>Crédit Agricole Aquitaine Expansion, Femmes Business Angels, iXO Private Equity, Jean-Christophe Kugler(Jean-Christophe Kugler), Julien Chaudeurge, Timothée Malige(Timothée Malige), WeLikeStartup</t>
  </si>
  <si>
    <t>automobile manufacturer, electric scooter, mobility solutions, motor vehicle, sustainable transport, utility vehicles</t>
  </si>
  <si>
    <t>258875-47T</t>
  </si>
  <si>
    <t>Mile (Information Services)</t>
  </si>
  <si>
    <t>Developer of data management designed to combine geographical positioning with data relating to tourism. The company specializes in creating mobile applications for the well-being, fitness, health, cultural knowledge, and safety of our apps' users, enabling sight runners to discover cities worldwide by running.</t>
  </si>
  <si>
    <t>Mediapps Innovation, Obiz Groupe (PAR: ALBIZ)</t>
  </si>
  <si>
    <t>online running app, running guide, running information, running platform, sports application, travel arrangements</t>
  </si>
  <si>
    <t>200267-92T</t>
  </si>
  <si>
    <t>JIB Home</t>
  </si>
  <si>
    <t>Developer of a smart home application designed to promote the daily autonomy of people with motor disabilities at home and in residence. The company's application offers a simplified and easy-to-use interface via switches, integration of voice control, and automation to make the connected home accessible to those who need it and lets the user interact instantly with their domestic environment through a smartphone app, enabling motor disabled people to improve their living conditions.</t>
  </si>
  <si>
    <t>Apok Invest, MakeSense</t>
  </si>
  <si>
    <t>customizable tools, disability support, eye device, home devices, smart device, smart home, smart home app</t>
  </si>
  <si>
    <t>219113-83T</t>
  </si>
  <si>
    <t>Promethee</t>
  </si>
  <si>
    <t>Business/Productivity Software, Environmental Services (B2B)*, Media and Information Services (B2B)</t>
  </si>
  <si>
    <t>Developer of observation nano-satellite constellation and an image analysis platform intended to provide easily interpretable information. The company's platform facilitates observation space data for applications in agriculture, the environment, water monitoring, and smart cities through the use of nanosatellites, enabling governments and industries to provide environmental and strategic intelligence services in a sovereign approach.</t>
  </si>
  <si>
    <t>Arion Partners, Arion Venture Capital, Starburst (Accelerator/Incubator)</t>
  </si>
  <si>
    <t>crisis management, data analysis, image analytics platform, space data, space data analysis, sustainable development, sustainable world</t>
  </si>
  <si>
    <t>Aix en provence, France</t>
  </si>
  <si>
    <t>212324-05T</t>
  </si>
  <si>
    <t>VSORA</t>
  </si>
  <si>
    <t>Manufacturer of intellectual property semiconductor chips designed to accelerate the design of complex integrated circuits. The company's processing chips assist mobile and network market infrastructure through a multicore DSP architecture that eliminates the need for DSP coprocessors, enabling chipmakers to design new generations of digital communications systems like fifth-generation.</t>
  </si>
  <si>
    <t>digital communication equipment, digital communication tool, processor chips, processor design, signal processing, silicon manufacturer</t>
  </si>
  <si>
    <t>Advanced Manufacturing, Artificial Intelligence &amp; Machine Learning, Manufacturing, Robotics and Drones, TMT</t>
  </si>
  <si>
    <t>Meudon-La-Forêt, France</t>
  </si>
  <si>
    <t>250261-48T</t>
  </si>
  <si>
    <t>Eos Technologie (Aerospace and Defense)</t>
  </si>
  <si>
    <t>Aerospace and Defense*, Other Hardware</t>
  </si>
  <si>
    <t>Developer of a fixed-wing solar aeronautical product designed for intelligence, surveillance, and reconnaissance of remote areas. The company offers UAV (unmanned or uncrewed aerial vehicles) and UAS (unmanned aircraft systems) systems featuring maximum cruising speed, operating temperature, automatic take-off, complete flight programming, satellite connection, and encrypted video transmission, enabling aerospace industries to fulfill their complex missions with real-time video communication and better-quality observation at an affordable cost.</t>
  </si>
  <si>
    <t>Audacia (PAR: ALAUD), Expansion Ventures</t>
  </si>
  <si>
    <t>drone manufacturer, fixed-wing drones, hardware industry, uas drones, uav aircraft, unmanned aerial systems</t>
  </si>
  <si>
    <t>219350-98T</t>
  </si>
  <si>
    <t>Expateo</t>
  </si>
  <si>
    <t>Developer of human resource management software designed to facilitate the deployment, management, and recruitment of talent. The company's platform offers digital tools to manage a higher level of compliance as well as more efficient management of all types of global mobility, while improving HR teams and mobile talents' experience, enabling companies to improve the quality of global mobility processes.</t>
  </si>
  <si>
    <t>Gascogne Group (PAR: ALBI), Herrikoa, Nouvelle Aquitaine Co-Investissement</t>
  </si>
  <si>
    <t>employee mobility, global mobility system, hr management software, hr management tool, human resource application, international mobility, workflow tool</t>
  </si>
  <si>
    <t>Bidart, France</t>
  </si>
  <si>
    <t>226956-88T</t>
  </si>
  <si>
    <t>Fygr</t>
  </si>
  <si>
    <t>Developer of a cash flow management platform designed to provide the managers of start-ups, VSEs, and SMEs control over their cash flow. The company's platform provides a personalized view of the cash flow, eliminates expenses, builds cash flow forecast automatically, and allows to check cash levels and avoid overdrafts, enabling clients to track and forecast cash flows.</t>
  </si>
  <si>
    <t>Havenrock(Omar Barakat), One Green (Paris), Super Capital</t>
  </si>
  <si>
    <t>cash flow management, cash flow software, cash flow tools, financial platform, financial software, financial solutions</t>
  </si>
  <si>
    <t>Louviers, France</t>
  </si>
  <si>
    <t>214339-24T</t>
  </si>
  <si>
    <t>GreenWaves Technologies</t>
  </si>
  <si>
    <t>Application Specific Semiconductors, Production (Semiconductors)*</t>
  </si>
  <si>
    <t>Manufacturer of fabless semiconductors of low-power AI and DSP processors intended to revolutionize intelligent sensors, wearables, and devices. The company's products include semiconductors that provide an ultra-low-power computing service for edge devices carrying out inference from multiple, content-rich sources such as images, sounds, and motions, enabling businesses to bring down the installation and operation costs of batteries.</t>
  </si>
  <si>
    <t>Alibaba Group (HKG: 09988), Bpifrance, DGA France(Sébastien Lecornu), Innovacom (Paris)(Vincent Deltrieu), Link Venture Capital, Soitec (PAR: SOI), Thales Group (PAR: HO)(Philippe Keryer), Zepp Health (NYS: ZEPP)</t>
  </si>
  <si>
    <t>ai processor, audio processor, chipsets, fabless semiconductor, intelligent sensors, iot applications processor, iot hardware, processor design, semiconductor seller</t>
  </si>
  <si>
    <t>Artificial Intelligence &amp; Machine Learning, Manufacturing, TMT</t>
  </si>
  <si>
    <t>219891-97T</t>
  </si>
  <si>
    <t>Hemblem</t>
  </si>
  <si>
    <t>Operator of a social media influencing platform intended to increase the visibility of brands on social networks. The company offers a platform where brands can get monthly unpaid collaborations with verified influencers in exchange for experiences or products offered, enabling brands to promote and get exposure to their brands on social media on a large scale.</t>
  </si>
  <si>
    <t>brand promotion, branding collaboration, content creator, influencer marketing, influencers connect, influencers connection, social media influencer</t>
  </si>
  <si>
    <t>220266-64T</t>
  </si>
  <si>
    <t>33 Californie(Stéphane Legastelois), Joël Besse(Joël Besse), Key Ventures, Simba Santé 3</t>
  </si>
  <si>
    <t>203628-07T</t>
  </si>
  <si>
    <t>Synchronized</t>
  </si>
  <si>
    <t>Broadcasting, Radio and Television, Entertainment Software*, Multimedia and Design Software</t>
  </si>
  <si>
    <t>Developer of AI-powered in-video intelligence platform intended to automate editorial tasks to maximize the value of video catalogs. The company offers a machine-learning turnkey service for media intelligence that allows broadcasters and OTT platforms to benefit from a central hub for all in-video auto-generated time-coded metadata, objects, and assets, enabling clients to automate workflow from linear-tv to digital offers, deliver personalized end user-experiences and fast-track promotional content creation.</t>
  </si>
  <si>
    <t>ai-powered tools, broadcast media network, broadcasting system, ott services, tv broadcaster, video content, video intelligence platform</t>
  </si>
  <si>
    <t>Vincennes Cedex, France</t>
  </si>
  <si>
    <t>258226-84T</t>
  </si>
  <si>
    <t>Capital Grand Est, Good Growth Capital, Investsud, Newton BioCapital(Alain Parthoens), SambrInvest</t>
  </si>
  <si>
    <t>215344-27T</t>
  </si>
  <si>
    <t>215391-07T</t>
  </si>
  <si>
    <t>Aux Enfants Terribles</t>
  </si>
  <si>
    <t>Operator of a restaurant place intended to unify and create friendly experiences. The company provides restaurants, bars, theaters, seminars, and micro-breweries simultaneously and offers turnkey alternatives to invite employees to a friendly moment, to think, work, or simply have fun, allowing customers to come together and enjoy.</t>
  </si>
  <si>
    <t>Finorpa</t>
  </si>
  <si>
    <t>brewery bar, co-working space, co-working space company, craft brewery, meeting rooms, restaurant space</t>
  </si>
  <si>
    <t>214624-27T</t>
  </si>
  <si>
    <t>Black Tiger</t>
  </si>
  <si>
    <t>Developer of a data management platform designed to simplify and control data throughout its life cycle. The company's platform helps to collect, store, effectively use, and process all types of data from any type of source, enabling businesses to improve productivity along with technical and business user experience.</t>
  </si>
  <si>
    <t>Arcole (Asset Management)(Renaud Sueur), Finance&amp;Invest.Brussels(Christine Hick)</t>
  </si>
  <si>
    <t>ai platform, analytics platform, data center, data governance, data infrastructure, data innovation, data integration, data management, data science, data science platform, data sharing, data software &amp; systems, data software and systems, database management system</t>
  </si>
  <si>
    <t>214623-46T</t>
  </si>
  <si>
    <t>Blue Industry &amp; Science</t>
  </si>
  <si>
    <t>Oil and Gas Equipment*, Other Energy Services</t>
  </si>
  <si>
    <t>Developer of environmental monitoring field gas analyzer designed to monitor and analyze gas emissions. The company's monitoring instrument specializes in tunable lasers integrated with software to measure and analyze air quality and pollution and offers correct monitoring of multiple gases, enabling companies to monitor the air and gas quality.</t>
  </si>
  <si>
    <t>Altarence</t>
  </si>
  <si>
    <t>air monitoring, air quality monitoring, environmental monitoring, environmental technology, gas emission detectors, gas emission monitoring, pollution monitoring</t>
  </si>
  <si>
    <t>215903-80T</t>
  </si>
  <si>
    <t>Capté</t>
  </si>
  <si>
    <t>Application Software*, Other Media, Social Content</t>
  </si>
  <si>
    <t>Developer of an online content creation platform designed for enhancing video content. The company's platform offers features such as automatic transcription, translation, subtitle generation, and style customization, enabling content creators to streamline their process, increase content tenfold, and create more engaging and accessible videos.</t>
  </si>
  <si>
    <t>content creation, social media content, subtitle generator, transcribe audio file, video editing, video transcription</t>
  </si>
  <si>
    <t>Granville, France</t>
  </si>
  <si>
    <t>215641-99T</t>
  </si>
  <si>
    <t>Doinsport</t>
  </si>
  <si>
    <t>Developer of online management software designed for managers of sports complexes. The company's software offers member management, online booking application, payment services, management of sports facilities and associated prices, customer relationship management (CRM), subscription management, consulting and development services, and training and support, enabling managers of sports and leisure centers to manage all their activities and centralize all their needs in a single tool.</t>
  </si>
  <si>
    <t>business application, customer relationship management, customer service, management app, online booking application, online management software</t>
  </si>
  <si>
    <t>226804-96T</t>
  </si>
  <si>
    <t>Antoine Roland(Antoine Roland), B C N FINANCE(Charles Richardson), B Fifty-One(Christophe Baralotto), Bouygues Telecom Initiatives, C'etait Demain(Patrick Siri), Damien Roland(Damien Roland), Gamma (Venelles)(Patrick Allibert), Hervé Seux(Hervé Seux), Hola Invest(Olivier Calderon), Iswan Roland(Iswan Roland), Jala Holding(François Nicoly), Patrick Dreyfuss(Patrick Dreyfuss), Pierre-Louis Theron(Pierre-Louis Theron)</t>
  </si>
  <si>
    <t>217185-04T</t>
  </si>
  <si>
    <t>Fleeti</t>
  </si>
  <si>
    <t>Developer of an IoT-based fleet management software designed to optimize fleet operations. The company software offers features such as GPS tracking, route optimization, fuel management, maintenance management, car sharing, generalized reduction of a fleet's environmental impact, driving analysis, and implementation of a real safety policy, enabling clients with increased efficiency, safety, and sustainability of their operations.</t>
  </si>
  <si>
    <t>Crédit Agricole Pyrénées Gascogne, Janngo(Fatoumata Ba), Newfund Management(Salim Hassad), Proparco(Natascha Korvinus)</t>
  </si>
  <si>
    <t>connected service, connected vehicles, fleet management, fleet management firm, freight technology, saas management</t>
  </si>
  <si>
    <t>Internet of Things, SaaS, Supply Chain Tech</t>
  </si>
  <si>
    <t>167169-34T</t>
  </si>
  <si>
    <t>Kombo.</t>
  </si>
  <si>
    <t>Developer of a ticketing platform designed to assist and offer cheaper traveling tickets. The company's platform offers users to compare prices of all bus companies, find the cheapest ticket and buy it directly without any additional charges, enabling travelers to book and plan their travel with ease.</t>
  </si>
  <si>
    <t>Kima Ventures, Nicolas Brumelot(Nicolas Brumelot), Patrick Dalsace(Patrick Dalsace), Pierre Bonelli(Pierre Bonelli), SGH Capital, Source Ventures (Paris)</t>
  </si>
  <si>
    <t>air ticket, bus booking platform, bus ticketing platform, ticketing app, ticketing portal, train ticket app, train ticket booking</t>
  </si>
  <si>
    <t>215336-35T</t>
  </si>
  <si>
    <t>Le Comptoir Des Pharmacies</t>
  </si>
  <si>
    <t>Business/Productivity Software*, Other Pharmaceuticals and Biotechnology</t>
  </si>
  <si>
    <t>Developer of an inventory management platform designed to facilitate the management of stocks between pharmacies. The company's platform offers inventory management and restocking of the unsold pharma inventory, enabling pharmacists to avoid the waste of medicines by selling and managing their stock from a single platform.</t>
  </si>
  <si>
    <t>Courtin Investment</t>
  </si>
  <si>
    <t>inventory management app, inventory management platform, pharmacy operator, pharmacy platform, pharmacy platform operator, web platform</t>
  </si>
  <si>
    <t>215596-18T</t>
  </si>
  <si>
    <t>214538-86T</t>
  </si>
  <si>
    <t>Mium Lab</t>
  </si>
  <si>
    <t>Producer of healthy gummies intended to offer a colorful and attractive option of food supplements instead of the traditional capsules. The company's gummies are based on natural ingredients derived from plants that act positively on the body, enabling consumers to stay healthy.</t>
  </si>
  <si>
    <t>Euroainvest, M6 Investment Group, Mandi Ventures(Julio Benetti), Willarth Investments</t>
  </si>
  <si>
    <t>eating items, food product, gummies candy, healthy gummies, natural ingredients, therapeutic nutrition</t>
  </si>
  <si>
    <t>214904-35T</t>
  </si>
  <si>
    <t>Montreux Comedy</t>
  </si>
  <si>
    <t>Entertainment Software*, Movies, Music and Entertainment</t>
  </si>
  <si>
    <t>Developer of a media and stage platform designed to provide comedy and laughter shows. The company's platform provides a comedy festival bringing the prominent comedians, stars and new talents onto the platform, enabling audiences to get humor on the internet, stage, television and cinema.</t>
  </si>
  <si>
    <t>comedy series, comedy video, entertainment platform, humor comics, humor content, video industry</t>
  </si>
  <si>
    <t>215358-49T</t>
  </si>
  <si>
    <t>NaoX Technologies</t>
  </si>
  <si>
    <t>Monitoring Equipment*, Therapeutic Devices</t>
  </si>
  <si>
    <t>Developer of diagnosis equipment designed to prevent neurological disorders. The company's earphone's integrated sensors passively record the electroencephalogram in real life by detecting vibrations of the brain and aggregating data on the software dashboard for the attending physician, enabling patients to recover from mental illness.</t>
  </si>
  <si>
    <t>Arion Venture Capital, UI Investissement</t>
  </si>
  <si>
    <t>diagnostic equipment, electroencephalogram device, headphones system, mental illness, nervous system, neural sensors, neurological disorder</t>
  </si>
  <si>
    <t>214443-46T</t>
  </si>
  <si>
    <t>PayGreen</t>
  </si>
  <si>
    <t>Developer of an online payment system designed to accept remote payments by bank cards and restaurant voucher cards. The company's online payment system offers tailored business tools to accept payments on e-commerce and automatically connect the shopping cart module to the payment system and update the status of the order in the back office, enabling e-commerce businesses to optimize sales and contribute to societal and environmental causes.</t>
  </si>
  <si>
    <t>Plug and Play Tech Center</t>
  </si>
  <si>
    <t>ecommerce payment, enterprise payment, fintech platform, online payment platform, payment, payment card, payment gateway platform, payment platform, payment platform operator, pos, shopping cart payment</t>
  </si>
  <si>
    <t>251141-68T</t>
  </si>
  <si>
    <t>234875-71T</t>
  </si>
  <si>
    <t>Sesame (Financial Software)</t>
  </si>
  <si>
    <t>Developer of a corporate expense management software designed to simplify and streamline the process of managing employee expenses. The company provides a single, centralized dashboard for employees to track their expenses, submit reimbursement requests, and view their spending history, enabling employees with a more efficient and transparent way to manage their expenses.</t>
  </si>
  <si>
    <t>Inovexus Ventures</t>
  </si>
  <si>
    <t>employee benefit management, expense management, expense record, expense reimbursement, expense reports, expense tracking</t>
  </si>
  <si>
    <t>FinTech, HR Tech</t>
  </si>
  <si>
    <t>215898-31T</t>
  </si>
  <si>
    <t>Virvolt</t>
  </si>
  <si>
    <t>Automotive, Recreational Goods*</t>
  </si>
  <si>
    <t>Developer of an electric bike conversion kit designed to transform any bike into an electric bike. The company's features include bike electrification and battery reconditioning service, enabling users with durable, repairable, and pleasant rides in their daily lives.</t>
  </si>
  <si>
    <t>automotive market, cycling network, electric bikes, electric bikes maker, electric bikes service, repair workshops</t>
  </si>
  <si>
    <t>Micro-Mobility</t>
  </si>
  <si>
    <t>214283-89T</t>
  </si>
  <si>
    <t>CAAP Creation, EDP Ventures(Luis Manuel), Equinor Ventures(Børre Stokholm), European Innovation Council Fund(Hermann Hauser), Kreaxi, PLD Automobile, Région Sud Investissement</t>
  </si>
  <si>
    <t>214092-55T</t>
  </si>
  <si>
    <t>Semji</t>
  </si>
  <si>
    <t>Operator of a SaaS platform intended to improve the visibility of content on search engines. The company provides a service through which brands, companies, and high executives can monitor and control their personal or brand names on search engines using their proprietary technology, enabling clients to accelerate the optimization of their SEO content.</t>
  </si>
  <si>
    <t>Allianz France</t>
  </si>
  <si>
    <t>online reputation management, reputation management, saas platform, saas platform suites, search engine, search engine technology, visibility system</t>
  </si>
  <si>
    <t>233990-56T</t>
  </si>
  <si>
    <t>Interact Software</t>
  </si>
  <si>
    <t>Developer of end-user experience management platform designed to deliver a real-time and complete view of the performance uses and security of the information system. The company's platform offers a supervision console showing the operation, performance, and use of main applications, a view of the fleet of terminals, their configuration, the operation of applications, their uses, and optimized business support, enabling businesses to provide user support and manage their assets to boost productivity and drive engagement.</t>
  </si>
  <si>
    <t>Octopus Ventures</t>
  </si>
  <si>
    <t>digital experience management, employee experience, engagement drive, information dissemination technology, productivity boosting software, user experience management</t>
  </si>
  <si>
    <t>Wissous, France</t>
  </si>
  <si>
    <t>213833-98T</t>
  </si>
  <si>
    <t>Banque Populaire Auvergne Rhône Alpes, BNP Paribas (PAR: BNP), Bpifrance, Crédit Agricole Alpes Développement, Groupe IDEC</t>
  </si>
  <si>
    <t>213837-67T</t>
  </si>
  <si>
    <t>hemea</t>
  </si>
  <si>
    <t>Business/Productivity Software, Information Services (B2C), Real Estate Services (B2C)*</t>
  </si>
  <si>
    <t>Operator of a home renovation platform intended to provide information about the price of apartment renovation. The company's platform intermediate between individuals and renovation companies offering services for customers to submit remodeling projects online, software to contractors, and negotiation of all the services, enabling homeowners to choose qualified and suitable projects in their area and connect with an architecture professional online.</t>
  </si>
  <si>
    <t>Ben Marrel(Ben Marrel), Daphni(Pierre-Yves Meerschman), LBO France</t>
  </si>
  <si>
    <t>apartments renovation info, architects consultation, architectural, home renovation, home renovation information, home renovation platform, planning construction, renovation project</t>
  </si>
  <si>
    <t>213869-98T</t>
  </si>
  <si>
    <t>PlanetWatch</t>
  </si>
  <si>
    <t>Electronic Equipment and Instruments*, Environmental Services (B2B), Other Hardware</t>
  </si>
  <si>
    <t>Developer of air quality monitoring sensors designed to decentralize and incentivize environmental monitoring. The company leverages a new generation of fixed and mobile sensors and the direct participation of the population to rapidly deploy, on-demand and at low cost, a dense surveillance network whose data can be released in real-time, providing governments and businesses with the necessary tools and services to purify the environment.</t>
  </si>
  <si>
    <t>Algorand Foundation, Algorand Technologies, Blue Tulip Awards, Borderless Capital(David Garcia), Elves Long Term Capital</t>
  </si>
  <si>
    <t>cleantech firm, connected service, depin and hardware, ecological service, ecosystem health and monitoring, environment tools, environmental insights, environmental sensors, environmental services, environmental technology, land use, smart city, web4</t>
  </si>
  <si>
    <t>CleanTech, Climate Tech, Cryptocurrency/Blockchain, Internet of Things, LOHAS &amp; Wellness</t>
  </si>
  <si>
    <t>Saint Genis-Pouilly, France</t>
  </si>
  <si>
    <t>203625-10T</t>
  </si>
  <si>
    <t>Powidian</t>
  </si>
  <si>
    <t>Alternative Energy Equipment*, Energy Storage</t>
  </si>
  <si>
    <t>Developer of autonomous power stations designed to provide electricity. The company's power stations build solid-state hydrogen storage facilities, which can secure power from alternative energy equipment over an extended period, and also offer green energy or hybrid alternatives that improve the performance of fuel generators, enabling clients to use electricity at low cost, without pollution.</t>
  </si>
  <si>
    <t>alternative energy usage, clean fuel, energy station, fuel cell, green energy power plant, hydrogen, mobile power supply, power station</t>
  </si>
  <si>
    <t>CleanTech, Climate Tech, Infrastructure, TMT</t>
  </si>
  <si>
    <t>La Ville-aux-Dames, France</t>
  </si>
  <si>
    <t>213828-22T</t>
  </si>
  <si>
    <t>Aéroports de Paris (PAR: ADP), blisce/, Bpifrance(Joséphine Marie), Cipio Partners(Roland Dennert), EGR Partners, Kostogri, RAISE Sherpas, Revaia(Elina Berrebi), Siparex Group, XAnge(Guillaume Meulle), YADAY</t>
  </si>
  <si>
    <t>213728-86T</t>
  </si>
  <si>
    <t>ProovStation</t>
  </si>
  <si>
    <t>Business/Productivity Software*, Road</t>
  </si>
  <si>
    <t>Developer of an automated drive-through bay designed to detect and analyze vehicle damages. The company's detection system generates a photo scan of the vehicle and provides a comprehensive, geolocated, and blockchain-secured report on the car's condition, enabling users to get access to information on the car's conditions and increase the accuracy of damage recognition while reducing inspection costs.</t>
  </si>
  <si>
    <t>Credit Agricole Entreprises (PAR: CRBP), Otium Capital, Supernova Invest</t>
  </si>
  <si>
    <t>automobile inspection, car inspection, computer vision, defect detection, vehicle damage assessment, vehicle damage determination, vehicle risk management</t>
  </si>
  <si>
    <t>Advanced Manufacturing, Artificial Intelligence &amp; Machine Learning, Mobility Tech, SaaS</t>
  </si>
  <si>
    <t>213640-03T</t>
  </si>
  <si>
    <t>Bulane</t>
  </si>
  <si>
    <t>Developer of electrolyzers and generators designed for industrial applications and professionals. The company offers the design, manufacturing, and marketing of innovative and ecological electrolyzers, patented and developed in collaboration with the CNRS, enabling clients to produce flammable gas anywhere just by using oxygen and hydrogen present in the water.</t>
  </si>
  <si>
    <t>clean fuel, combustible gas, electrical calibration, electrical equipment, heat treatment, heat treatment system, hydrogen, hydrogen technology, innovative technology platform, soldering tools</t>
  </si>
  <si>
    <t>CleanTech, Climate Tech, Manufacturing, Oil &amp; Gas</t>
  </si>
  <si>
    <t>Fabregues, France</t>
  </si>
  <si>
    <t>213727-15T</t>
  </si>
  <si>
    <t>Oneleaf</t>
  </si>
  <si>
    <t>Operator of a self-hypnotize platform intended to help with depression, anxiety, smoking cessation, and weight loss. The company offers programs on wellness issues guided by experts digitally, enabling users to live a healthy life by quitting bad habits.</t>
  </si>
  <si>
    <t>Bpifrance, Frst Capital, Kima Ventures, Raise Ventures</t>
  </si>
  <si>
    <t>deep relaxation, general wellness, health coaching, healthcare planning, healthy life, hypnosis application, mental health, wellness planning, wellness program</t>
  </si>
  <si>
    <t>213679-27T</t>
  </si>
  <si>
    <t>Parcel (Restaurants, Hotels and Leisure)</t>
  </si>
  <si>
    <t>Information Services (B2C), Other Restaurants, Hotels and Leisure*, Real Estate Services (B2C)</t>
  </si>
  <si>
    <t>Operator of a tiny house renting platform intended to provide rental of eco-responsible tiny houses on the land of local producers. The company's platform provides tiny homes with a lower impact on the environment, installed on the land of farmers in multiple locations including Brittany, Burgundy, and Loire, enabling tourists to rediscover nature and enjoy gourmet French foods.</t>
  </si>
  <si>
    <t>Bpifrance(Louis Janneau), Francis Nappez(Francis Nappez), Nouvelle Aquitaine Co-Investissement(Fabrice Attané-Ferrand)</t>
  </si>
  <si>
    <t>accommodation rental, accommodations app, accommodations booking platform, house projects, house searching app, real estate platform</t>
  </si>
  <si>
    <t>213606-10T</t>
  </si>
  <si>
    <t>Cosmo Tech</t>
  </si>
  <si>
    <t>Business/Productivity Software*, Database Software, Software Development Applications</t>
  </si>
  <si>
    <t>Developer of global software designed to make optimal business decisions in the most complex environments. The company's software transforms raw data into organized knowledge and clear insights, as well as runs multiple simulations on different scenarios, enabling clients to evaluate the consequences of a decision and be able to optimize it.</t>
  </si>
  <si>
    <t>Cemag Invest, Inven Capital(Ivo Nemejc)</t>
  </si>
  <si>
    <t>decision management, decision management software, decision support software, modeling platform, predictive analytics system, software vendor</t>
  </si>
  <si>
    <t>213612-04T</t>
  </si>
  <si>
    <t>EGERIE</t>
  </si>
  <si>
    <t>Operator of cyber security software dedicated to protecting sensitive information. The company provides a global and centralized vision of cyber risk mapping and security measures, thereby enabling clients to mitigate cyber risks and protect personal data effectively.</t>
  </si>
  <si>
    <t>Banque des Territoires, Open CNP(Alexandra Pailhes), Tikehau Ace Capital(Quentin Besnard), TIN Capital(Roel Reijnen)</t>
  </si>
  <si>
    <t>cyber security, cyber security firm, cyber security operations, cyber security service, cyber security software, data security, data security service</t>
  </si>
  <si>
    <t>Toulon, France</t>
  </si>
  <si>
    <t>213613-57T</t>
  </si>
  <si>
    <t>Emagina</t>
  </si>
  <si>
    <t>Diagnostic Equipment, Monitoring Equipment*</t>
  </si>
  <si>
    <t>Developer of a medical device designed for monitoring women's health. The company's platform is developed with midwives, obstetricians, and physiotherapists specialized in the perineum and enriches the childbirth preparation program, providing women and the healthcare industry with a fun approach and easier patient follow-up by health professionals, via monitoring of objective patient data.</t>
  </si>
  <si>
    <t>Business Angels 35, Medevice Capital(Cécile Réal)</t>
  </si>
  <si>
    <t>childbirth care, clinical investigation, medical device, medical device company, medical equipment, monitoring equipment, monitoring system, women healthcare, women medical care</t>
  </si>
  <si>
    <t>213576-85T</t>
  </si>
  <si>
    <t>En Cavale</t>
  </si>
  <si>
    <t>Other Consumer Durables, Publishing*</t>
  </si>
  <si>
    <t>Operator of a game publisher house intended for children to manage their screen time. The company specializes in making investigation puzzle games that develop the imagination and the taste for adventure without any screen, enabling children to cultivate their intellectual curiosity and spend less time on mobile phones.</t>
  </si>
  <si>
    <t>Bpi, DIA, IéS - Initiatives pour une Économie Solidaire, Purple (Paris), The Social</t>
  </si>
  <si>
    <t>children activities, children games, games guides, gaming firm, puzzle game, puzzle game developer</t>
  </si>
  <si>
    <t>213586-84T</t>
  </si>
  <si>
    <t>Hype (Paris)</t>
  </si>
  <si>
    <t>Developer of hydrogen mobility platform intended to offer environment-friendly traveling options. The company's products include taxis composed of zero-emission cars that are powered by hydrogen which reduces air pollutants, enabling customers to avail a safe and clean transportation option.</t>
  </si>
  <si>
    <t>VINCI Concessions</t>
  </si>
  <si>
    <t>electric vehicle, hydrogen charging station, hydrogen fuel cell, hydrogen mobility, hydrogen mobility solutions, mobility platform, pollution free vehicle</t>
  </si>
  <si>
    <t>213507-55T</t>
  </si>
  <si>
    <t>ENGIE New Ventures(Johann Boukhors)</t>
  </si>
  <si>
    <t>215422-03T</t>
  </si>
  <si>
    <t>Agenium Group</t>
  </si>
  <si>
    <t>Developer of complex systems integrators designed to solve strategic challenges in defense, industry, and space. The company's offers are based on services from the selection to the distribution of technical and scientific software for the implementation of modeling and mobile system analysis, enabling clients to have access to the technologist to meet the business and strategic challenges of the defense, industry, and space.</t>
  </si>
  <si>
    <t>Auriga Partners (Paris), Axio Capital(Antoine Bodet), Bpifrance(Nicolas Berdou), Caisse d'Epargne Ile-de-France, Galia Gestion(Pierre Arnaud)</t>
  </si>
  <si>
    <t>arificial intelligence platform, computer vision, customized space, defence solutions, distribution data, embedded hardware, system integrator</t>
  </si>
  <si>
    <t>Bruz, France</t>
  </si>
  <si>
    <t>213488-92T</t>
  </si>
  <si>
    <t>Amalia</t>
  </si>
  <si>
    <t>Developer of sales commission software designed to accelerate and validate sales commission compensation. The company's software offers features such as personalized and real-time dashboards, commission plan designer, team and management, and customer relationship management integration, enabling users to track and plan commissions and make informed decisions.</t>
  </si>
  <si>
    <t>Id4 Ventures, InReach Ventures, Super Capital (Beijing)</t>
  </si>
  <si>
    <t>centralized communication, compensation management, compensation management software, crm integration, designer work, sales commissioning software, sales operation</t>
  </si>
  <si>
    <t>213294-34T</t>
  </si>
  <si>
    <t>Betterway</t>
  </si>
  <si>
    <t>Developer of a payment software designed to help organizations offer employee mobility expenses. The company's software offers all mobility options for daily journeys through universally accepted physical or virtual cards, enabling employees to freely choose their mode of transport for their home-work trips or professional meetings, without changing their habits.</t>
  </si>
  <si>
    <t>Edenred(Ilan Ouanounou)</t>
  </si>
  <si>
    <t>corporate mobility planning, employee mobility platform, merchant banking, mobility program, payment management, payment software platform</t>
  </si>
  <si>
    <t>213307-03T</t>
  </si>
  <si>
    <t>Lizee</t>
  </si>
  <si>
    <t>Business/Productivity Software, Logistics*</t>
  </si>
  <si>
    <t>Developer of a rental logistic platform designed to improve the environmental impact of the retail industry. The company's platform offers optimization of the e-commerce site, packing, shipping, payments for rented products, and quality checks for returned products, enabling organizations to adapt their businesses to the shift in consumer behavior with the circular rental model.</t>
  </si>
  <si>
    <t>Circular Innovation Fund, Lyra Ventures, Plug and Play Tech Center</t>
  </si>
  <si>
    <t>ecommerce-as-a-service, logistic platform, logistic services, logistics support, rental management system, rental platform, rental solutions, retail logistics</t>
  </si>
  <si>
    <t>213364-09T</t>
  </si>
  <si>
    <t>Bpifrance, Eutopia, Vivadour</t>
  </si>
  <si>
    <t>215476-84T</t>
  </si>
  <si>
    <t>October</t>
  </si>
  <si>
    <t>Operator of an online lending marketplace intended to open a new world of opportunity for investors and enterprises. The company's marketplace lets private investors finance enterprises of all sizes with fully disclosed terms and is assisted by institutional lenders who automatically complete the part not covered by individuals, enabling borrowers to access high success rates and fast processing along with a safe and simple way to invest directly into the real economy for lenders.</t>
  </si>
  <si>
    <t>Cameleon Invest, European Investment Fund, Invest-NL (Investment Company), Made For All</t>
  </si>
  <si>
    <t>alternative lending, commercial lending, crowdlending platform, lending marketplace, lending marketplace software, online crowdlending platform, online lending marketplace, online loan marketplace</t>
  </si>
  <si>
    <t>219570-22T</t>
  </si>
  <si>
    <t>Otium Capital(Pierre Menard)</t>
  </si>
  <si>
    <t>213203-44T</t>
  </si>
  <si>
    <t>Superindep.fr</t>
  </si>
  <si>
    <t>Business/Productivity Software*, Office Services (B2B), Other Financial Services</t>
  </si>
  <si>
    <t>Developer of a synchronization platform designed to offer personalized support automation and turnover declarations. The company's platform offers real-time monitoring and entry of invoices and expenses, turnover declarations are made automatically, offers customer support, and analyzes administrative accounts daily to anticipate any anomalies, enabling customers to have a platform that manages their administrative procedures.</t>
  </si>
  <si>
    <t>SIDE Capital(Renaud Guillerm)</t>
  </si>
  <si>
    <t>administrative services, business creation, invoice data, invoicing platform, invoicing process, vat accounting</t>
  </si>
  <si>
    <t>Legal Tech, Mobile, SaaS</t>
  </si>
  <si>
    <t>187175-26T</t>
  </si>
  <si>
    <t>Bpifrance(Joséphine Marie), Capgemini (PAR: CAP), Daphni, Defense Innovation Fund, Eni Next, European Innovation Council Fund, Green Sands Equity, Quantonation(Christophe Jurczak), Temasek Holdings(Maynard Kang), Wa'ed Ventures</t>
  </si>
  <si>
    <t>227777-77T</t>
  </si>
  <si>
    <t>Triiptic</t>
  </si>
  <si>
    <t>Developer of online invoicing and management software designed for self-employed and micro-entrepreneurs. The company's software offers features such as certified invoices for all, quotes to sell, payments, and unpaid bills, purchase orders and delivery notes, enabling entrepreneurs and their accountants to avoid the tedious work of collecting, entering, or pointing information.</t>
  </si>
  <si>
    <t>billing system, business management, commercial management, invoicing system, management software, online invoicing</t>
  </si>
  <si>
    <t>243058-87T</t>
  </si>
  <si>
    <t>Unsibeaupas</t>
  </si>
  <si>
    <t>Designer of footwear intended to offer customizable shoes. The company provides personalized pairs from a selection of leathers and heels that are environment-friendly, enabling customers to get a variety of fashionable footwear choices.</t>
  </si>
  <si>
    <t>Chantal Baudron, J2 Finance</t>
  </si>
  <si>
    <t>casual shoes, custom shoes, customizable shoes, designer footwear, formal footwear, handmade shoes</t>
  </si>
  <si>
    <t>Salon de Provence, France</t>
  </si>
  <si>
    <t>219879-01T</t>
  </si>
  <si>
    <t>Sedeo</t>
  </si>
  <si>
    <t>Application Software, Media and Information Services (B2B)*</t>
  </si>
  <si>
    <t>Developer of event equipment rental platform designed to streamline the process of booking equipment and supplies for events. The company's platform combines catalogs from multiple partners, providing a comprehensive view of available inventory and allowing for easy booking which can save organizers time and effort, enabling organizers to estimate the volume and handling associated with their orders</t>
  </si>
  <si>
    <t>equipment rental, event equipment rental, event management system, event organiser, event services, rental event space</t>
  </si>
  <si>
    <t>213104-26T</t>
  </si>
  <si>
    <t>Shark Robotics</t>
  </si>
  <si>
    <t>Aerospace and Defense, Other Commercial Products, Other Hardware*</t>
  </si>
  <si>
    <t>Developer of terrestrial robots designed to keep humans safe. The company's expertise in robotics and precision mechanics allows it to offer both catalog robots and tailor-made robots, enabling customers to use robots, particularly in the fields of security, defense, industry, energy, and nuclear.</t>
  </si>
  <si>
    <t>Move Capital, Ocean Participations</t>
  </si>
  <si>
    <t>electrical robots, ground engineering service, high precision engineering, precision engineering product, product engineering service, unmanned ground vehicles, unmanned systems</t>
  </si>
  <si>
    <t>183779-11T</t>
  </si>
  <si>
    <t>Garantme</t>
  </si>
  <si>
    <t>Financial Software*, Insurance Brokers, Other Financial Services, Other Insurance</t>
  </si>
  <si>
    <t>Provider of insurance brokerage services intended to give tenants access to a rental home without a guarantor while protecting owners' income. The company's services include support to international students in the constitution of their file in French as well as offering lessors a rental deposit and a simplification of legal procedures in the event of unpaid debts, enabling students to rent their property with complete peace of mind to tenants who meet the criteria of solvency.</t>
  </si>
  <si>
    <t>115K, Bonsai Partners, Bonsai Venture Capital, Bpifrance, NewAlpha Asset Management</t>
  </si>
  <si>
    <t>digital insurance services, digital renting service, insurance brokerage, insurance brokerage agency, insurance brokerage agent, insurance brokerage firm, leasing insurance, renters insurance</t>
  </si>
  <si>
    <t>FinTech, InsurTech, Real Estate Technology</t>
  </si>
  <si>
    <t>204497-38T</t>
  </si>
  <si>
    <t>Imprimerie europeenne</t>
  </si>
  <si>
    <t>Printing Services (B2B)*</t>
  </si>
  <si>
    <t>Opeartor of an online marketplace intended to provide all sorts of printing services at affordable prices to its customers. The company's marketplace offers various services such as flyers, visiting cards, letterheads, envelopes, notepads, and banners, enabling customers to choose from a wide variety of printing services with the cheapest rates in the market.</t>
  </si>
  <si>
    <t>Airtable, AQUITI Gestion</t>
  </si>
  <si>
    <t>advertising printing, banner printing service, flyers design, online printing shops, printing press, prospectus distribution, visiting card</t>
  </si>
  <si>
    <t>Printing Services (B2B)</t>
  </si>
  <si>
    <t>E-Commerce, Industrials</t>
  </si>
  <si>
    <t>Rochefort, France</t>
  </si>
  <si>
    <t>215722-90T</t>
  </si>
  <si>
    <t>Keycoopt</t>
  </si>
  <si>
    <t>Developer of a digital recruitment platform designed to optimize talent acquisition through co-optation and internal mobility. The company's platform offers an intuitive, white-label system with integration into existing HR tools, automating key recruitment processes and engaging employees in sourcing and recommending candidates, enabling organizations to streamline recruitment, reduce costs, and improve hiring efficiency.</t>
  </si>
  <si>
    <t>Nord France Amorçage</t>
  </si>
  <si>
    <t>digital platform, employee referral, employment platform, internal jobs, recruitment platform, recruitment services</t>
  </si>
  <si>
    <t>HR Tech, Industrials, SaaS</t>
  </si>
  <si>
    <t>Marcq-En-Baroeul, France</t>
  </si>
  <si>
    <t>212884-39T</t>
  </si>
  <si>
    <t>Otonomy Aviation</t>
  </si>
  <si>
    <t>Aerospace and Defense, Electronic Equipment and Instruments*, Other Hardware</t>
  </si>
  <si>
    <t>Developer of definition security cameras designed to help monitor aircraft off the ground. The company's security cameras use technology that permits all sides of coverage, ensuring precise perimetric supervision off the ground and observation in flight, enabling the aviation industry to monetize high-level contacts in closeness and at a distance intelligently.</t>
  </si>
  <si>
    <t>Expanso Capital, Ouest Croissance Gestion, UI Investissement</t>
  </si>
  <si>
    <t>aircraft monitoring, high definition camera, immersive application, iot hardware, monitoring equipment, security application, security camera, security options, security system, sensors &amp; sensor system, sensors and sensor system</t>
  </si>
  <si>
    <t>212886-01T</t>
  </si>
  <si>
    <t>ORLEN VC, Shift4Good</t>
  </si>
  <si>
    <t>247719-97T</t>
  </si>
  <si>
    <t>Bpifrance, OneRagtime</t>
  </si>
  <si>
    <t>214476-67T</t>
  </si>
  <si>
    <t>CryptoSimple</t>
  </si>
  <si>
    <t>Financial Software, Information Services (B2C), Other Financial Services*</t>
  </si>
  <si>
    <t>Developer of financial services application designed to bridge the gap between traditional and crypto investing. The company's application manages a crypto portfolio and provides investment strategies, education, and tools for success, helping users learn about cryptocurrencies as an investment opportunity and invest safely.</t>
  </si>
  <si>
    <t>Morningstar Ventures, SIG (LON: SHI), Taureon (San Francisco)</t>
  </si>
  <si>
    <t>crypto advisor, crypto assets manager, decentralized finance, digital advisory, financial services, financial services platform, investment strategy</t>
  </si>
  <si>
    <t>206404-57T</t>
  </si>
  <si>
    <t>Loutsa Torréfacteur</t>
  </si>
  <si>
    <t>Beverages*, Internet Retail</t>
  </si>
  <si>
    <t>Producer of roasted organic and specialty coffee intended to provide the experience of fresh coffee delivered directly to the home. The company's coffee factory has a coffee roaster, a shop, and a space dedicated to coffee, it works on a subscription-based model, enabling users to get the freshness of a local roast in the comfort of their homes.</t>
  </si>
  <si>
    <t>Angelor, Foodara, UI Investissement</t>
  </si>
  <si>
    <t>coffee beans, organic coffee, organic coffee product, roasted coffee beverage, roasted coffee product, specialty coffee</t>
  </si>
  <si>
    <t>262706-68T</t>
  </si>
  <si>
    <t>Reebike</t>
  </si>
  <si>
    <t>Manufacturer of a universal electric kit intended to transform normal bikes into electric vehicles. The company offers easy-to-carry electric batteries that offer renewable energy conveyances, enabling users to switch to mobility by reconditioning their bikes.</t>
  </si>
  <si>
    <t>Control SAS</t>
  </si>
  <si>
    <t>automotive industry, eco-friendly bikes, electric bikes, mobility bikes, mobility care, sustainable mobility, sustainable technology</t>
  </si>
  <si>
    <t>CleanTech, E-Commerce, Manufacturing</t>
  </si>
  <si>
    <t>216233-74T</t>
  </si>
  <si>
    <t>We Are Jolies</t>
  </si>
  <si>
    <t>Operator of an online marketplace intended to offer undergarments for women. The company offers panties of various sizes and styles that are made from Italian and Portuguese fabric to prevent chemicals from being absorbed by the skin, enabling women with comfortable and chemical-free lingerie.</t>
  </si>
  <si>
    <t>Adour Business Angels, Finaqui, Nouvelle Aquitaine Co-Investissement, SFINE</t>
  </si>
  <si>
    <t>lingerie design, lingerie sector, organic cotton clothes, women wear, women's undergarments, women's underwear</t>
  </si>
  <si>
    <t>213255-73T</t>
  </si>
  <si>
    <t>mobile.club</t>
  </si>
  <si>
    <t>Operator of an online smartphone rental platform intended to offer reconditioned smartphones. The company's services include providing refurbished smartphones at monthly rental prices covering insurance, theft, and breakage, along with an option to change the device, enabling customers to opt for a phone as per their preference at a low cost.</t>
  </si>
  <si>
    <t>Antoine Arnault(Antoine Arnault), Aonia Ventures, FJ Labs, Snaw Ventures, Xavier Niel(Xavier Niel)</t>
  </si>
  <si>
    <t>mobile rental, online platform, online rental, rental platform, rental service, rental service provider, smartphone rental</t>
  </si>
  <si>
    <t>212664-43T</t>
  </si>
  <si>
    <t>Algama</t>
  </si>
  <si>
    <t>Beverages, Food Products*, Other Consumer Non-Durables</t>
  </si>
  <si>
    <t>Producer of an antioxidant beverage intended for use in plant-based alternatives. The company's platform utilizes algae to create substitutes for animal products commonly found in food, like eggs or meat, and uses algae to create emulsifiers, which are essential ingredients in many food products, enabling food manufacturers to create plant-based products that mimic the taste and texture of traditional animal-based foods.</t>
  </si>
  <si>
    <t>CapHorn Invest, Louis Dreyfus Company Ventures, Plug and Play Tech Center, Thai Union Group (BKK: TU)(Thiraphong Chansiri)</t>
  </si>
  <si>
    <t>alt-proteins, antioxidant drinks, antioxidant food, consumer food product, drinking product, fermented protein, food producer, food service firm, microalgae nutrients, nutritional food</t>
  </si>
  <si>
    <t>216452-53T</t>
  </si>
  <si>
    <t>Brasseries à la Mode</t>
  </si>
  <si>
    <t>Operator of a French restaurant chain intended to provide simple meals in a convivial atmosphere. The company offers gourmet cuisine made up of entirely homemade local dishes, enabling customers to experience French cuisine at affordable prices.</t>
  </si>
  <si>
    <t>Augusta (France), Bpifrance</t>
  </si>
  <si>
    <t>food service, french food, french restaurant, gastronomie restauration, restaurant opeartor, specialty restaurant</t>
  </si>
  <si>
    <t>212627-44T</t>
  </si>
  <si>
    <t>Inotrem</t>
  </si>
  <si>
    <t>Developer of novel therapeutics designed to treat inflammatory diseases. The company's therapeutics focus on targeted immunotherapy for acute and chronic inflammatory syndromes and have strong expertise in the biology of the triggering receptor, enabling healthcare professionals to focus on critical care and treat patients with acute and chronic inflammatory conditions.</t>
  </si>
  <si>
    <t>Crohn's &amp; Colitis Foundation</t>
  </si>
  <si>
    <t>acute disease, antibody, biologics, biotechnology research, critical care, immunotherapy trials, inflammatory care, novel therapeutics</t>
  </si>
  <si>
    <t>212514-04T</t>
  </si>
  <si>
    <t>VLGE</t>
  </si>
  <si>
    <t>Business/Productivity Software, Media and Information Services (B2B), Multimedia and Design Software*</t>
  </si>
  <si>
    <t>Developer of a no-code world-building platform intended to merge the physical and digital worlds with the help of blockchain technology. The company's platform specializes in combining social media, gaming and e-commerce to provide a real utility of digital assets, enabling clients to connect with physical environments through their digital footprints.</t>
  </si>
  <si>
    <t>BOLD (Business Opportunities for L'Oréal Development), British Fashion Council, Momentum 6, NOIA Capital, The Venture Reality Fund, Venrex Investment Management</t>
  </si>
  <si>
    <t>computer vision, digital asset marketplace, no-code platform, no-code tools, social marketplace, virtual reality content, virtual reality space</t>
  </si>
  <si>
    <t>Artificial Intelligence &amp; Machine Learning, Mobile, Virtual Reality</t>
  </si>
  <si>
    <t>212360-86T</t>
  </si>
  <si>
    <t>Amolyt Pharma</t>
  </si>
  <si>
    <t>Drug Discovery*, Pharmaceuticals</t>
  </si>
  <si>
    <t>Operator of a clinical-stage biotechnology company intended for the treatment of endocrine and metabolic disorders. The company offers severe insulin resistance to control the symptoms of hypoparathyroidism by safely producing sustained levels of calcium in the blood, enabling healthcare professionals to combat critical and rare metabolic conditions.</t>
  </si>
  <si>
    <t>Abrdn (LON: ABDN), Andera Partners(Raphael Wisniewski), ATEM Capital, Bpifrance, Credit Agricole (PAR: ACA), CTI Life Sciences Fund, EQT Life Sciences(Felice Weegen), Intermediate Capital Group (LON: ICG)(Toby Sykes), Kurma Partners(Thierry Laugel), Mass General Brigham Ventures, Novo Holdings(Naveed Siddiqi), OrbiMed(Roy Amariglio), Pontifax Venture Capital(Iyona Rajkomar), Relyens, Sectoral Asset Management(Stefan Larson), Sofinnova Partners(Cedric Moreau), Tekla Capital Management(Loretta Tse), Turenne Groupe</t>
  </si>
  <si>
    <t>biology research, biotechnology company, biotechnology research, chemistry, clinical stage drug, diabetes treatment, endocrine therapy, hormones drugs, metabolic disease, metabolic treatment, small molecule</t>
  </si>
  <si>
    <t>212179-69T</t>
  </si>
  <si>
    <t>Volta Medical</t>
  </si>
  <si>
    <t>Developer of medical software designed to detect and prevent cardiac diseases arising from atrial fibrillation. The company's software combines artificial intelligence-based algorithms and assists in tracking dispersion-guided cardiac ablation that relies on the per-operative visual deciphering of complex intracardiac signals to provide step-by-step guidance to the cardiac proceduralist, enabling interventional cardiologists to make informed decisions during the implementation of patient-tailored medical procedures in heart surgery.</t>
  </si>
  <si>
    <t>Gilde Healthcare(Janke Dittmer), Lightstone Ventures, Vensana Capital</t>
  </si>
  <si>
    <t>atrial fibrillation detection, atrial fibrillation treatment, cardiac analysis, cardiac disease diagnostics, cardiac electrophysiology, heart surgery</t>
  </si>
  <si>
    <t>198889-39T</t>
  </si>
  <si>
    <t>Ganymed Robotics</t>
  </si>
  <si>
    <t>Developer of a therapeutic device designed to enhance surgical precision in knee replacement surgery. The company's device uses robotic technology to improve patient outcomes, surgeon experience, and overall efficiency of care delivery for its target indications, enabling orthopedic surgeons to reduce their operating time.</t>
  </si>
  <si>
    <t>BNP Paribas Développement, CapHorn Invest, Cathay Capital Private Equity, Cathay Health, Crédit Mutuel Innovation, European Innovation Council Fund, Kurma Partners(Philippe Peltier)</t>
  </si>
  <si>
    <t>knee replacement, orthopaedic device, orthopaedic product, replacement surgery, robotics r&amp;d, surgical robotics, therapeutic device</t>
  </si>
  <si>
    <t>244974-79T</t>
  </si>
  <si>
    <t>Glowee</t>
  </si>
  <si>
    <t>Developer of bioluminescence designed to change the way light is produced and consumed. The company specializes in designing and developing a bio-lighting living system that does not consume electricity and does not emit light pollution, enabling clients non-pathogenic and non-toxic bacteria, to make them more efficient in terms of light production.</t>
  </si>
  <si>
    <t>European Innovation Council Fund, Unreasonable Impact</t>
  </si>
  <si>
    <t>alternative energy company, alternative energy firm, electricity project, electricity unit, energy consuming, light company</t>
  </si>
  <si>
    <t>200018-80T</t>
  </si>
  <si>
    <t>Inorevia</t>
  </si>
  <si>
    <t>Biotechnology*, Other Devices and Supplies</t>
  </si>
  <si>
    <t>Developer of sample preparation instruments designed for next-generation bioassay and precision medicine. The company utilizes a combination of microfluidics, computer-assisted flow control, and magnetic particles to develop a technology for automating biological analysis processes to drastically reduce reagents and sample consumption, enabling clients to accelerate complex biology protocols and reduce downtimes.</t>
  </si>
  <si>
    <t>iXCore, One Green (Paris), WeLikeStartup</t>
  </si>
  <si>
    <t>bioassay system, bioassay technology, lab instrument, sample preparation equipment, sample preparation product, sample preparation system</t>
  </si>
  <si>
    <t>Bagneux, France</t>
  </si>
  <si>
    <t>215588-35T</t>
  </si>
  <si>
    <t>Seclab</t>
  </si>
  <si>
    <t>Developer of cybersecurity systems designed to lower the risk of internal or external attacks for operations technology networks. The company's systems create a physical segregation of a network by allowing the bidirectional exchange of data and at the same time providing a greater level of protection against network-layers attacks than data diodes, enabling users to get critical infrastructures to respond strictly to the demanding security challenges.</t>
  </si>
  <si>
    <t>EDF Pulse Ventures(Guillaume Lesueur)</t>
  </si>
  <si>
    <t>cyber security product, cybersecurity services, cybersecurity system, cybersecurity technology, external attack protection, infrastructure security, operations technology</t>
  </si>
  <si>
    <t>Cybersecurity, TMT</t>
  </si>
  <si>
    <t>212930-02T</t>
  </si>
  <si>
    <t>Wipoz</t>
  </si>
  <si>
    <t>Operator of a web platform intended for networking and installation management for professionals. The company's platform offers selecting the projects according to convenience, personalized dashboard, and criteria, hiring professional designers, installers, and fitters, along managing invoicing and communication tools, enabling users to increase customer satisfaction by streamlining operations.</t>
  </si>
  <si>
    <t>Inwest Group</t>
  </si>
  <si>
    <t>connection platform, construction management tool, construction workers finder, kitchen designer, kitchen fitters, networking application</t>
  </si>
  <si>
    <t>Vern-sur-seiche, France</t>
  </si>
  <si>
    <t>212212-72T</t>
  </si>
  <si>
    <t>Carrieres De La Vallee Heureuse</t>
  </si>
  <si>
    <t>Other Metals, Minerals and Mining*</t>
  </si>
  <si>
    <t>Operator of stone aggregator intended for the construction sector. The company specializes in the collection and deposit of limestone, sand, gravel, stones, gabions, scalping materials, riprap, and rockfill and also offers to cut and shaping of stone and marquise marble, helping professionals and industries to get filtered raw materials for further use.</t>
  </si>
  <si>
    <t>Crédit du Nord, Financière Pouyanne(Financière Pouyanne), Nord Capital Partenaires, Siparex Group</t>
  </si>
  <si>
    <t>construction products, metals and mining, minerals-testing, mining site, stone dust, stone masonry</t>
  </si>
  <si>
    <t>Rinxent, France</t>
  </si>
  <si>
    <t>212471-29T</t>
  </si>
  <si>
    <t>Delfox</t>
  </si>
  <si>
    <t>Developer of autonomous guidance, navigation, and control systems designed to provide real-time multi-sensor mobile mapping and monitoring services. The company's algorithms, simulators, and real-time software offer sensor data fusion for mobile mapping and autonomous systems for unmanned aerial and ground vehicular trafficking, enabling satellites, aerial landers, and rover industries to analyze their space and terrestrial activities.</t>
  </si>
  <si>
    <t>Blast (Merignac), Bpifrance, MBDA Holdings, Naval Group</t>
  </si>
  <si>
    <t>control system, guidance control, navigation control, navigation search, predictive analysis, reinforcement service</t>
  </si>
  <si>
    <t>Industrials, Mobile, Robotics and Drones, Space Technology</t>
  </si>
  <si>
    <t>212929-75T</t>
  </si>
  <si>
    <t>Gesteos</t>
  </si>
  <si>
    <t>Developer of business management software designed to serve the kitchen design market. The company's platform provides simplified project management for sellers that manage projects by keeping control over margins, coordinating projects with partners, publishing and organizing sales material in line with current legislation, and organizing network activities, among other things, enabling businesses to have multi-user access to centrally managed and up-to-date data through efficient and automatic backing up of data in a secure space.</t>
  </si>
  <si>
    <t>6TM, Inwest Group</t>
  </si>
  <si>
    <t>business management software, control tools, interior designing, kitchen design online, kitchen design service, kitchen design software, sales organizations planning</t>
  </si>
  <si>
    <t>Vern-sur-Seiche, France</t>
  </si>
  <si>
    <t>211831-39T</t>
  </si>
  <si>
    <t>Mediarithmics</t>
  </si>
  <si>
    <t>Developer of a marketing platform intended to enhance consumer engagement and drive growth by utilizing data-centric outreach strategies. The company's platform collects and integrates data from various sources and creates comprehensive profiles to measure campaign performance, and overall marketing effectiveness, enabling marketing teams to understand customer behavior, preferences, and demographics better.</t>
  </si>
  <si>
    <t>Adelie, Bleu Capital, Courtin Investment, Jaina Capital, Seventure Partners, Spring Invest, Ventech (Paris)(Claire Houry)</t>
  </si>
  <si>
    <t>analytics &amp; cdps, analytics and cdps, audience segmentation, behavioral targeting, consumer insights, crm, customer engagement, customer relationship management, performance measurement, targeted campaigns</t>
  </si>
  <si>
    <t>215730-82T</t>
  </si>
  <si>
    <t>Treefrog Therapeutics</t>
  </si>
  <si>
    <t>Developer of a proprietary technology platform designed to provide alternative access to cell therapies. The company's platform provides an end-to-end 3D scalable service that will reduce treatment costs as well as help cell therapy players secure cell production and quality, fasten clinical development, and facilitate market access, enabling patients to access safe and affordable stem cell therapy.</t>
  </si>
  <si>
    <t>AustralianSuper, BNP Paribas Développement, Nouvelle Aquitaine Co-Investissement, Resonance VC, Siparex Group</t>
  </si>
  <si>
    <t>3d cell culture, bioreactor system, cell therapy services, clinical development, stem cell, stem cell cultivation</t>
  </si>
  <si>
    <t>232251-94T</t>
  </si>
  <si>
    <t>Super Capital, Wind Capital</t>
  </si>
  <si>
    <t>226657-81T</t>
  </si>
  <si>
    <t>Amoseeds</t>
  </si>
  <si>
    <t>Operator of an organic food e-commerce platform intended to offer natural products. The company's products include capsules, food, and dietary supplements for several aspects like bodybuilding, sports, and skincare which are carefully selected by a partnership with producers, allowing customers to improve their health and well-being.</t>
  </si>
  <si>
    <t>Elevation Capital Partners, UI Investissement</t>
  </si>
  <si>
    <t>bodybuilding food, capsules supplements, dietary supplements, food ecommerce, organic food company, organic superfoods</t>
  </si>
  <si>
    <t>211910-77T</t>
  </si>
  <si>
    <t>Sensefuel</t>
  </si>
  <si>
    <t>Business/Productivity Software, Internet Software, Media and Information Services (B2B)*</t>
  </si>
  <si>
    <t>Developer of an e-commerce search engine designed to personalize the online shopping experience. The company's technology uses artificial intelligence to understand the meaning of each search query and then rank the results in a way that is most relevant to the customer's interests, enabling retailers to lower the dropout rate, increase shopper engagement and improve the conversion rate on the site.</t>
  </si>
  <si>
    <t>ecommerce engine, ecommerce management, ecommerce search engine, sales performance improvement, search engine analysis, search engine optimizer</t>
  </si>
  <si>
    <t>247631-77T</t>
  </si>
  <si>
    <t>1point6</t>
  </si>
  <si>
    <t>Developer of a financial platform intended to offer an all-in-one payment system for all marketplaces. The company's platform ensures the onboarding and validation where payments are then automatically distributed between sellers and the marketplace and provides management of refunds and disputes, financial reporting and reconciliation, and monitoring performance indicators, enabling businesses to have smooth and secure transactions and have increased efficiency and profitability.</t>
  </si>
  <si>
    <t>321founded, BNP Paribas (PAR: BNP)</t>
  </si>
  <si>
    <t>financial platform, financial reporting app, monitoring panel, payment needs, payment portal, performance indicator analysis</t>
  </si>
  <si>
    <t>248664-52T</t>
  </si>
  <si>
    <t>Aive</t>
  </si>
  <si>
    <t>Developer of an artificial intelligence-based platform designed for the post-production of audio-visual content. The company engages in large-scale video automation enhancing videos post-production, and distribution, enabling the customers to creatively collaborate with the teams from anywhere.</t>
  </si>
  <si>
    <t>Altavia Adventures, BNP Paribas Développement, HSD Capital</t>
  </si>
  <si>
    <t>advertising technology, ai video, generative ai, post production work, production automation, video automation, video creating tools, video creation company, video creation platform, video creation service, video distribution system</t>
  </si>
  <si>
    <t>AdTech, Artificial Intelligence &amp; Machine Learning, SaaS</t>
  </si>
  <si>
    <t>219569-41T</t>
  </si>
  <si>
    <t>Artis Groupe</t>
  </si>
  <si>
    <t>Provider of industrial piping services intended to support fluid transport in various industrial sectors. The company offers on-site interventions, prefabrication in the workshop, new works, and maintenance or adaptation work as well as cold cutting and blending, hydraulic and pneumatic tests, and passive protection services, enabling oil and gas manufacturers to transition and transform while meeting regulatory requirements.</t>
  </si>
  <si>
    <t>Bpifrance, Sodero(Benoit Perrin)</t>
  </si>
  <si>
    <t>cold cutting, fabrication services, fluid transport, industrial piping services, new works, onsite intervention</t>
  </si>
  <si>
    <t>Derval, France</t>
  </si>
  <si>
    <t>275958-19T</t>
  </si>
  <si>
    <t>Besta</t>
  </si>
  <si>
    <t>Developer of online learning platform designed for a simple training experience. The company's offer management tools, excel tips and tricks, strategy frameworks, product frameworks, Entrepreneurship tools, and many more, enabling customers to learn new knowledge.</t>
  </si>
  <si>
    <t>agile methodology, business program, edtech platform, education platform, online learning, online templates, training program</t>
  </si>
  <si>
    <t>249172-48T</t>
  </si>
  <si>
    <t>Bioburger</t>
  </si>
  <si>
    <t>Other Restaurants, Hotels and Leisure, Restaurants and Bars*</t>
  </si>
  <si>
    <t>Operartor of fast food restaurant chain intended to offer organic food. The company provides organic hamburgers across its restaurants which are sustainable for the ecosystem, enabling customers to get natural fast food.</t>
  </si>
  <si>
    <t>Financiere</t>
  </si>
  <si>
    <t>ecological transition, fast food, fast food chain, organic food, organic food items, veggie burger</t>
  </si>
  <si>
    <t>Life Sciences, Restaurant Technology</t>
  </si>
  <si>
    <t>245349-10T</t>
  </si>
  <si>
    <t>Chainlit</t>
  </si>
  <si>
    <t>Developer of an open-source async Python framework intended to build and monitor conversational applications. The company's platform offers streamlined processes for testing, debugging, and monitoring large language model applications, enabling companies to create GenAI products and automate their internal business processes, keeping them at the forefront of innovation.</t>
  </si>
  <si>
    <t>ai agent, framework development, generative ai, large language model agent, large language model platform, large language model tools, llm agent, llm model, python development, software devepment</t>
  </si>
  <si>
    <t>Artificial Intelligence &amp; Machine Learning, CloudTech &amp; DevOps</t>
  </si>
  <si>
    <t>226677-88T</t>
  </si>
  <si>
    <t>Clever Age</t>
  </si>
  <si>
    <t>Business/Productivity Software, IT Consulting and Outsourcing*</t>
  </si>
  <si>
    <t>Operator of a media service agency intended to cover the entire digital production chain. The company offers interactive communication, technical architecture, production infrastructure, and web hosting services, enabling small and medium-sized enterprises to get efficient digital experiences in an enhanced way.</t>
  </si>
  <si>
    <t>AgilaGrowth, Myrtus Venture</t>
  </si>
  <si>
    <t>digital experience, digital strategy agency, interactive communication, production infrastructure, service agency, technical architecture</t>
  </si>
  <si>
    <t>280866-61T</t>
  </si>
  <si>
    <t>Cubyn</t>
  </si>
  <si>
    <t>Operator of an on-demand logistics platform intended to offer fulfillment services to e-retailers. The company's platform offers the option to pick up orders on-site, package them and ship them to any destination globally with multi-channel integrations and desired delivery quality, enabling businesses to simplify goods delivery while also saving time and money.</t>
  </si>
  <si>
    <t>360 Capital, Bpifrance(Clémentine Cazenave), DN Capital, Eurazeo (PAR: RF), Partech</t>
  </si>
  <si>
    <t>delivery service, ecommerce personalization, ecommerce system, last mile delivery, logistics technology, on demand logistics, outsource fulfillment, package delivery, package shipping</t>
  </si>
  <si>
    <t>E-Commerce, Supply Chain Tech</t>
  </si>
  <si>
    <t>225356-41T</t>
  </si>
  <si>
    <t>DataCook</t>
  </si>
  <si>
    <t>Developer of an automated marketing segmentation platform intended to help businesses to understand the requirements of clients. The company's platform specializes in providing customer marketing analysis for predictive segments with continuous updates and customer relationship management connectors and campaign tools, enabling businesses to improve consumer retention and increase sales, and overall performance.</t>
  </si>
  <si>
    <t>Bpifrance, Courtin Investment, NEO FOUNDERS, SIDE Capital</t>
  </si>
  <si>
    <t>augmented marketing, business optimization, customer relationship management, marketing automation, marketing platform, marketing segmentation, segment reporting</t>
  </si>
  <si>
    <t>219588-13T</t>
  </si>
  <si>
    <t>Datakiss</t>
  </si>
  <si>
    <t>Developer of a sales force planning and management platform designed to optimize commercial sectorization and manage field sales representatives. The company offers autonomous, collaborative, and factual features, enabling sales teams to adapt to market changes efficiently, align with strategic objectives, and balance workloads for improved performance.</t>
  </si>
  <si>
    <t>collaborative management, field management, sales cycle, sales force, sales optimization, territory planning</t>
  </si>
  <si>
    <t>285274-72T</t>
  </si>
  <si>
    <t>Deblock</t>
  </si>
  <si>
    <t>Developer of non-custodial decentralized wallet designed for crypto-rich individuals. The company helps users access, store, deposit, exchange, and cash out cryptocurrencies, enabling investors to track and manage their investment holdings.</t>
  </si>
  <si>
    <t>Founders Future</t>
  </si>
  <si>
    <t>crypto investing, cryptocurrency access, decentralized network, investment model, liquidity financing, non-custodial wallets, portfolio strategy</t>
  </si>
  <si>
    <t>266534-92T</t>
  </si>
  <si>
    <t>Encheres Immo</t>
  </si>
  <si>
    <t>Developer of a real estate platform designed to allow buyers to submit their offers directly online in the form of interactive real estate auctions. The company's interactive sales platform in the form of auctions allows real estate agencies to optimize the price of a property located in a tight area or to sell properties that cannot find a buyer because the price is too high, enabling professionals to provide a hybrid model consisting of subscriptions and success commissions.</t>
  </si>
  <si>
    <t>interactive auction, real estate, real estate marketing, real estate portal, real estate professionals, real estate transaction</t>
  </si>
  <si>
    <t>242237-98T</t>
  </si>
  <si>
    <t>Evina</t>
  </si>
  <si>
    <t>Developer of SAAS cybersecurity alternatives designed to protect financial services offered by telecommunication companies such as carrier billing and mobile money. The company's platform blocks fraud in real time before any money transfers occur for mobile carriers, aggregators, and digital merchants, enabling merchant and payment gateway companies to prevent malicious applications from making unauthorized payments.</t>
  </si>
  <si>
    <t>Purple (Paris)</t>
  </si>
  <si>
    <t>cybersecurity, cybersecurity solutions, financial services, fraud prevention, identity &amp; access management, identity and access management, information technology, mobile security, productivity software, real time, telecommunications-service, traffic optimization</t>
  </si>
  <si>
    <t>246685-06T</t>
  </si>
  <si>
    <t>Foncière Chênelet</t>
  </si>
  <si>
    <t>Developer of societal projects intended to provide social-ecological housing. The company utilizes a model to construct and rehabilitate small sets of social housing offered by elected officials, enabling people on the lowest incomes to get accommodations at a low price.</t>
  </si>
  <si>
    <t>Le Barramundi, NovESS, Phitrust Partenaires</t>
  </si>
  <si>
    <t>building construction provider, rural area, social housing, social housing project, social housing services, societal project</t>
  </si>
  <si>
    <t>Landrethun-le-Nord, France</t>
  </si>
  <si>
    <t>223938-91T</t>
  </si>
  <si>
    <t>FoodTech Founders</t>
  </si>
  <si>
    <t>Education and Training Services (B2B), Other Commercial Services*</t>
  </si>
  <si>
    <t>Operator of the startup studio intended to help entrepreneurs build impactful innovations in the food industry. The company provides expertise, network, team, and execution support to startups, enabling startups to reach a series of funding as quickly as possible.</t>
  </si>
  <si>
    <t>Techmind</t>
  </si>
  <si>
    <t>food entrepreneurs, food industry service, food industry support, food startup consulting, startup studio, startup studio operator, sustainable food system</t>
  </si>
  <si>
    <t>212153-23T</t>
  </si>
  <si>
    <t>Futures Factory</t>
  </si>
  <si>
    <t>Accessories, Footwear*, Internet Retail</t>
  </si>
  <si>
    <t>Operator of a footwear marketplace intended to transform ideas into printed products. The company's marketplace offers a place to sell virtual sneakers that merge both the physical and digital platforms through augmented reality and non-fungible tokens, enabling users to collect and use sneakers in augmented reality platforms such as video games with an option to turn their virtual sneakers into tangible reality.</t>
  </si>
  <si>
    <t>MAHR Projects, Musha Ventures, Niche Capital (San Francisco)</t>
  </si>
  <si>
    <t>fashion goods, footwear designer, footwear services, printing technology, sneakers buy, sneakers marketplace</t>
  </si>
  <si>
    <t>3D Printing, Augmented Reality, Cryptocurrency/Blockchain</t>
  </si>
  <si>
    <t>276130-54T</t>
  </si>
  <si>
    <t>Hadrena</t>
  </si>
  <si>
    <t>Leisure Facilities*</t>
  </si>
  <si>
    <t>Provider of leisure services intended to make leisure activities accessible to as many people as possible. The company provides entertainment venues, family entertainment centers, action games, virtual reality, and trampolines, enabling brands with key business expertise.</t>
  </si>
  <si>
    <t>business expertise, customer experience, entertainment experience, immersive entertainment, leisure area, leisure market</t>
  </si>
  <si>
    <t>246740-86T</t>
  </si>
  <si>
    <t>Hymag'In</t>
  </si>
  <si>
    <t>Industrial Supplies and Parts, Other Commercial Services, Other Semiconductors*</t>
  </si>
  <si>
    <t>Developer of an industrial process intended to convert ferrous waste and industrial by-products into a functional material. The company develops nano and micromagnetic iron oxides and ferrites in powder form with specific properties for the hydrothermal synthesis of nano-ferrites, enabling steel manufacturers to convert to recycled ferrous waste thereby decreasing waste products into water streams and increasing profitability.</t>
  </si>
  <si>
    <t>ferrous waste, ferrous waste recycling, metal processing, oxide powder, polluted soil treatment, semiconductor tools, wastewater treatment</t>
  </si>
  <si>
    <t>Other Semiconductors</t>
  </si>
  <si>
    <t>CleanTech, Industrials, Manufacturing, Nanotechnology</t>
  </si>
  <si>
    <t>255278-26T</t>
  </si>
  <si>
    <t>227762-65T</t>
  </si>
  <si>
    <t>Interstis</t>
  </si>
  <si>
    <t>Developer of collaborative software designed to simplify teamwork and structure exchanges within organizations by relying on cloud technologies. The company's software provides an intuitive and secure digital device offers to manage projects efficiently, secure data, task management, dialogue management, and events management, and share with collaborators files, tasks, dialogues, and surveys, helping healthcare professionals with a framework for collegial practice in a remote context.</t>
  </si>
  <si>
    <t>business tools, collaborative spaces, collaborative working, digital transformation, digital transformations, networking software, project collaboration platform, project management, teamwork application</t>
  </si>
  <si>
    <t>Le Creusot, France</t>
  </si>
  <si>
    <t>285278-68T</t>
  </si>
  <si>
    <t>Kapi</t>
  </si>
  <si>
    <t>Operator of a fractional real estate investment platform developed for professional and seasoned investors. The company offers a blockchain-enabled investment platform that allows users to make residential rental investments and investments in commercial real estate, allowing individuals to access and take part in the real estate projects carried out by professionals, without budget constraints to invest.</t>
  </si>
  <si>
    <t>fractional real estate, fractional real estate investing, investment platform, real estate fintech, real estate investment, rental investment</t>
  </si>
  <si>
    <t>Cryptocurrency/Blockchain, FinTech, Real Estate Technology</t>
  </si>
  <si>
    <t>227215-09T</t>
  </si>
  <si>
    <t>KWEST</t>
  </si>
  <si>
    <t>Other Commercial Products, Other Commercial Services*, Other Consumer Durables, Other Services (B2C Non-Financial)</t>
  </si>
  <si>
    <t>stealth business, stealth company, stealth operations, stealth product, stealth services, stealth website</t>
  </si>
  <si>
    <t>248988-88T</t>
  </si>
  <si>
    <t>Lanteas</t>
  </si>
  <si>
    <t>Developer of a Customer Relationship Management (CRM) platform intended to provide open-source systems to public actors. The company specializes in the dematerialization of exchanges between users and the community through Internet portals as well as in the concepts and functionalities of CRM, enabling local and regional authorities and public establishments with comprehensive and customized packages.</t>
  </si>
  <si>
    <t>Région Sud Investissement, Sopromec Participations(Stéphane Roy)</t>
  </si>
  <si>
    <t>crm app, crm management, crm portal, crm support, crm-saas, customer relationship management</t>
  </si>
  <si>
    <t>244653-13T</t>
  </si>
  <si>
    <t>Linium Biochemicals</t>
  </si>
  <si>
    <t>Industrial Chemicals, Multi-line Chemicals*, Other Commercial Products, Specialty Chemicals</t>
  </si>
  <si>
    <t>Developer of photochemical technology designed to unlock unusual reaction pathways and break specific lignin linkages with precision. The company process allows a cascade valorization of abundant wood waste, lignin, into a new source of green and versatile aromatic chemicals, providing industries with compounds or new synthetic routes to biobased chemicals.</t>
  </si>
  <si>
    <t>The Atlas Capital</t>
  </si>
  <si>
    <t>aromatics chemicals, aromatics product, biobased product, biochemical product, chemicals components, chemicals mixing, wood waste collection</t>
  </si>
  <si>
    <t>233184-61T</t>
  </si>
  <si>
    <t>Magic Chess Online</t>
  </si>
  <si>
    <t>Application Software, Entertainment Software*</t>
  </si>
  <si>
    <t>Developer of a strategic chess game designed for entertainment. The company's game combines traditional chess rules with video game worlds offering players a variety of game modes, social features, and NFT rewards, enabling gamers to enjoy a modern chess experience.</t>
  </si>
  <si>
    <t>Jets Capital, RR2 Capital</t>
  </si>
  <si>
    <t>chess community, chess games, chess gaming, entertainment needs, entertainment play, e-sport games, gameplay design, games world</t>
  </si>
  <si>
    <t>Artificial Intelligence &amp; Machine Learning, Cryptocurrency/Blockchain, Esports, Gaming</t>
  </si>
  <si>
    <t>276154-30T</t>
  </si>
  <si>
    <t>Master Camp</t>
  </si>
  <si>
    <t>Operator of a camp experience workshop intended to provide meaningful and engaging activities for middle and high school students. The company offers a variety of themed programs, expert-led workshops, and a safe environment, enabling young learners to explore their passions and build lasting connections while enjoying their vacation.</t>
  </si>
  <si>
    <t>camp stay, educational trip, learning experience, mentorship service, outdoor activities, youth engagement</t>
  </si>
  <si>
    <t>246727-54T</t>
  </si>
  <si>
    <t>Nexqt</t>
  </si>
  <si>
    <t>Developer of an AI-powered carbon monitoring platform designed to provide real-time insights for urban decarbonization efforts. The company's platform offers detailed emissions data across various city scales, utilizes advanced geolocation and satellite imagery, enabling city stakeholders to identify carbon hotspots and prioritize impactful investment opportunities, fostering effective climate action strategies.</t>
  </si>
  <si>
    <t>Neglected Climate Opportunities, The Grantham Foundation</t>
  </si>
  <si>
    <t>carbon control, carbon energy, carbon monitoring, environmental services, environmental services firm, monitoring platform</t>
  </si>
  <si>
    <t>Artificial Intelligence &amp; Machine Learning, Climate Tech</t>
  </si>
  <si>
    <t>227999-53T</t>
  </si>
  <si>
    <t>OWN</t>
  </si>
  <si>
    <t>Network Management Software, Other Commercial Services*</t>
  </si>
  <si>
    <t>Provider of cybersecurity services intended to identify and anticipate threats. The company offers threat intelligence and identification, contextualization, and in-depth investigation of security incidents through monitoring information systems, allowing businesses to neutralize risks.</t>
  </si>
  <si>
    <t>BNP Paribas Développement, Seventure Partners</t>
  </si>
  <si>
    <t>cyber risk audit, cybersecurity services, cybersecurity system, security incident response, security operations, threat intelligence, threat monitoring</t>
  </si>
  <si>
    <t>253517-32T</t>
  </si>
  <si>
    <t>PresentID</t>
  </si>
  <si>
    <t>Developer of identity verification software designed for payment verification, digital banking, car sharing, dating apps, digital onboarding processes, and border security. The company's platform features dynamic face liveness detection, and photo ID matching providing highly secure, scalable services accessible through well-documented APIs, enabling businesses to conduct transactions with consumers confidently.</t>
  </si>
  <si>
    <t>Pioneer Investors</t>
  </si>
  <si>
    <t>face detection, face detection software, identity &amp; access management, identity administration, identity and access management, identity governance, identity governance &amp; administration, identity governance and administration, identity verification, identity verification api, identity verification tech, identity verification tool</t>
  </si>
  <si>
    <t>226964-62T</t>
  </si>
  <si>
    <t>Reglo.</t>
  </si>
  <si>
    <t>Other Consumer Non-Durables*</t>
  </si>
  <si>
    <t>Producer of insect protein-based croquettes intended to offer cats and dogs a natural diet. The company provides environmentally friendly animal proteins containing amino acids, more protein than meat or fish and are easy to digest, enabling pet owners to replace the fish and meat they give their pets with nutritional insect protein.</t>
  </si>
  <si>
    <t>animal protein products, insect protein producer, meat alternative, pet food maker, pet food proteins, pet food seller</t>
  </si>
  <si>
    <t>Versainville, France</t>
  </si>
  <si>
    <t>214017-94T</t>
  </si>
  <si>
    <t>respire</t>
  </si>
  <si>
    <t>Developer of healthy and environment-friendly deodorants and soaps intended for skin care to look beautiful. The company offers solid shampoo the surgras soap and natural sun cream spray, providing customers with all-natural beauty skin care products.</t>
  </si>
  <si>
    <t>beauty mask, healthy skin, natural deodorant, personal care, skincare products, sun cream</t>
  </si>
  <si>
    <t>219233-89T</t>
  </si>
  <si>
    <t>Skinnate</t>
  </si>
  <si>
    <t>Developer of non-invasive nerve simulation devices designed to fight against certain dermatological diseases and dietary disorders. The company offers state-of-the-art technology in terms of connected medical devices implantable by minimally invasive surgery, enabling doctors to treat inflammatory dermatological diseases and obesity among target customers.</t>
  </si>
  <si>
    <t>Truffle Capital</t>
  </si>
  <si>
    <t>bioelectronic device, dermatological disease, dietary disorder, electrostimulation device, inflammatory disease, therapeutic tools</t>
  </si>
  <si>
    <t>255691-45T</t>
  </si>
  <si>
    <t>SmartFr</t>
  </si>
  <si>
    <t>Operator of a committed cooperative and a shared enterprise intended for an innovative response to the issues of worker security. The company offers all freelancers, self-employed workers and artistic professionals a wide range of tools and administrative, legal, tax and financial services, enabling clients to develop their professional activities optimally.</t>
  </si>
  <si>
    <t>nVentures</t>
  </si>
  <si>
    <t>administrative management, business management, daily service, employment contract, professional development, project support</t>
  </si>
  <si>
    <t>241731-01T</t>
  </si>
  <si>
    <t>Ubikey</t>
  </si>
  <si>
    <t>Developer of a visual management platform designed for teams to improve company performance and promote collaboration. The company's platform includes a tactile table to collaborate in areas of creativity, project management, file sharing, and applications by combining touchscreens and interactive whiteboards with a truly multi-user software suite to reduce the barriers for effective collaboration, enabling businesses to increase their collaborative production of data and ingenuity for decision-making and data organization and provides a traceability function to capitalize on previous work.</t>
  </si>
  <si>
    <t>collaborative work, collaborative workflow, collaborative working, decision making process, lean management, project management, software development, team management</t>
  </si>
  <si>
    <t>Compiegne, France</t>
  </si>
  <si>
    <t>191444-14T</t>
  </si>
  <si>
    <t>Cairdac</t>
  </si>
  <si>
    <t>Developer of a pacing device designed to maintain cardiac rhythm. The company's implanted leadless pacemakers incorporate a self-sustaining power patented technology harvesting the heart's kinetic energy and bringing disruptive technologies to conventional leadless pacemakers, enabling patients and healthcare professionals with cost-effective alternatives that will revolutionize patients' quality of life.</t>
  </si>
  <si>
    <t>Bpifrance(Laure Schlagdenhauffen), Catp Expansion, Credit Agricole (PAR: ACA), Korys Investments(David Devigne), Mérieux Equity Partners(Yoann Bonnamour), Sham Innovation Santé, Supernova Invest(Celia Hart), Turenne Groupe</t>
  </si>
  <si>
    <t>cardiac health monitoring, cardiac rhythm, cardiac rhythm management, cardiac rhythm monitoring, cardiovascular, pacemaker device, pacemaker implants, pacemaker technology</t>
  </si>
  <si>
    <t>186824-89T</t>
  </si>
  <si>
    <t>Healshape</t>
  </si>
  <si>
    <t>Biotechnology*, Other Healthcare Services</t>
  </si>
  <si>
    <t>Operator of a regenerative medicine company intended to develop breast regeneration alternatives by 3D bioprinting. The company develops a bioprosthesis for breast reconstruction, enabling women to regain their self-confidence through natural products and get long-lasting and aesthetic results after the surgery.</t>
  </si>
  <si>
    <t>Angels Santé, Bpifrance, Crédit Agricole Création, Demeter Partners, GO Capital (France)(Alexandre Boulay), M Invest, SATT Paris-Saclay, WinEquity</t>
  </si>
  <si>
    <t>aesthetic surgery, breast implantation, breast reconstruction, breast reconstruction technique, breast surgery, regenerative medicine, tissue engineering</t>
  </si>
  <si>
    <t>FemTech, Life Sciences, LOHAS &amp; Wellness</t>
  </si>
  <si>
    <t>233132-95T</t>
  </si>
  <si>
    <t>API (Department Stores)</t>
  </si>
  <si>
    <t>Application Software, Department Stores*, General Merchandise Stores</t>
  </si>
  <si>
    <t>Operator of a self-service convenience store intended to offer everyday products at supermarket prices. The company aims to contribute to the development, autonomy and revitalization of the rural world, enabling customers to buy rural consumers to get daily products easily and at affordable prices.</t>
  </si>
  <si>
    <t>Charente-Périgord Expansion, Nouvelle Aquitaine Co-Investissement</t>
  </si>
  <si>
    <t>ecological materials, essential products, mini market, rural community, stores seller, supermarkets and retail stores</t>
  </si>
  <si>
    <t>Department Stores</t>
  </si>
  <si>
    <t>Saint-Palais-De-Negrignac, France</t>
  </si>
  <si>
    <t>248822-11T</t>
  </si>
  <si>
    <t>AP-HP</t>
  </si>
  <si>
    <t>215561-35T</t>
  </si>
  <si>
    <t>Ephemera</t>
  </si>
  <si>
    <t>Operator of the restaurant chain intended to specialize in the traditional catering business sector. The company offers a variety of cuisines and a decent ambiance that includes decoration, video projection, and many more, enabling customers to have multisensory dining experiences.</t>
  </si>
  <si>
    <t>Cameleon Invest, Eric Freshon(Eric Freshon), Julien Sylvain(Julien Sylvain), Quentin Reygrobellet(Quentin Reygrobellet), Sacha Bostoni(Sacha Bostoni), Victor Lugger(Victor Lugger)</t>
  </si>
  <si>
    <t>business sector, dining experience, dining hub, ghost kitchen, restaurant operator, restaurant outing, video projection</t>
  </si>
  <si>
    <t>242785-36T</t>
  </si>
  <si>
    <t>Circle (Business/Productivity Software)</t>
  </si>
  <si>
    <t>Developer of a global system-based cloud platform designed to offer a seamless experience for urban shared mobility operators. The company's platform offers various features such as dashcam footage, incident detection, tailor-made, mobility vehicles, easy-to-operate, electric vehicle hardware integration, and much more, enabling the mobility industry clients to deliver novel user experiences with ease.</t>
  </si>
  <si>
    <t>electric car, electric vehicle, incident detection, micro mobility, mobility platform, motor vehicle manufacturing, sustainable mobility</t>
  </si>
  <si>
    <t>CleanTech, Climate Tech, Manufacturing, Mobility Tech, SaaS</t>
  </si>
  <si>
    <t>214015-87T</t>
  </si>
  <si>
    <t>FinTLV Ventures(Mark Chess), Plug and Play Tech Center</t>
  </si>
  <si>
    <t>212139-55T</t>
  </si>
  <si>
    <t>Archie</t>
  </si>
  <si>
    <t>Operator of an apple cider vinegar brand intended to encourage the usage of traditional remedies for hair and skin. The company's brand aims to offer authentic products to give the possibility of adding mine of benefits to daily life that contribute towards detox cure, weight loss, and digestion, enabling users to take care of their skin with the help of ancestral remedies through the prism of quality.</t>
  </si>
  <si>
    <t>High Flyers Capital, Made For All, Volney Developpement</t>
  </si>
  <si>
    <t>apple cider beverages, apple cider vinegar, bacterial product, beverage maker, health drink, immunity booster</t>
  </si>
  <si>
    <t>Les Andelys, France</t>
  </si>
  <si>
    <t>210182-68T</t>
  </si>
  <si>
    <t>Cailabs</t>
  </si>
  <si>
    <t>Fiberoptic Equipment*</t>
  </si>
  <si>
    <t>Manufacturer of photonics products designed to reshape coherent light beams. The company's innovative optical ground station design, built on the expertise gained during the development of previous lines of products and a unique capability to compensate for atmospheric turbulence, will make those connections possible, reliably and affordably, enabling clients to solve critical industrial problems related to photonics.</t>
  </si>
  <si>
    <t>Bpifrance(Nicolas Berdou), Crédit Agricole Ille et Vilaine Expansion, European Innovation Council Fund, Innovacom (Paris)(Frederic Humbert), NewSpace Capital(Bogdan Gogulan), Safran Corporate Ventures(Florent Illat), Starquest Capital(Harold Dumeurger)</t>
  </si>
  <si>
    <t>free space optical, industrial laser, laser communications, optical design, optical fiber, optical shaping, photonics product, photonics solutions</t>
  </si>
  <si>
    <t>Fiberoptic Equipment</t>
  </si>
  <si>
    <t>258949-45T</t>
  </si>
  <si>
    <t>ELICIR</t>
  </si>
  <si>
    <t>Agricultural Chemicals*, Other Commercial Products</t>
  </si>
  <si>
    <t>Developer of biocontrol products designed to provide biological crop protection. The company's bio-stimulant accelerates plant growth and increases plant disease resistance, enabling farmers to promote harmonious, sustainable growth in agricultural plants and better exploitation of the environment by the rhizosphere.</t>
  </si>
  <si>
    <t>biosourced materials, crop diseases protection, crop protection, plant growth technology, plant sciences, research firm</t>
  </si>
  <si>
    <t>245129-05T</t>
  </si>
  <si>
    <t>183423-43T</t>
  </si>
  <si>
    <t>Baloise Holding (SWX: BALN), Contrarian Ventures(Tomas Kemtys), La Poste Groupe, Plug and Play Tech Center, Ponooc, RATP Capital Innovation, XAnge</t>
  </si>
  <si>
    <t>226900-72T</t>
  </si>
  <si>
    <t>Begoodz</t>
  </si>
  <si>
    <t>Provider of a kit rental service intended to provide any required items. The company offers a platform where one can rent kits for camping, karaoke, cinema, barbecue, and various activities, enabling users to spend, store, and pollute less by providing an alternative mode of consumption to purchasing.</t>
  </si>
  <si>
    <t>One Green (Paris), Vivacto Developpment</t>
  </si>
  <si>
    <t>appliance rental service, camping kits, camping tools, kits sets, renting platform, renting service, sustainable consumption</t>
  </si>
  <si>
    <t>221057-92T</t>
  </si>
  <si>
    <t>Seed4Soft, Seventure Partners(Bruno Rivet)</t>
  </si>
  <si>
    <t>211099-06T</t>
  </si>
  <si>
    <t>Dr Milou</t>
  </si>
  <si>
    <t>Operator of a digital veterinary platform intended to offer a simplified care pathway to promote and improve the experience of veterinarians. The company's platform helps in making an appointment, and offers online veterinary consultation, enabling pet parents to access quality care while staying in the comfort of their homes.</t>
  </si>
  <si>
    <t>digital veterinary platform, online consultation, pet care, pet doctor, veterinarian at home, veterinary consultation</t>
  </si>
  <si>
    <t>Pet Technology</t>
  </si>
  <si>
    <t>211177-09T</t>
  </si>
  <si>
    <t>Enosis</t>
  </si>
  <si>
    <t>Developer of a bio-methanation reactor intended to convert biogas, syngas, and CO2 into methane and provide flexible services to the electrical grid. The company's reactor comprises simple reactor architecture, biocatalyst self-regeneration, biocatalyst resilience to pollutants and on-off cycle and output gas matching gas grid specifications, enabling multiple industries to maintain services linked to its methanation reactor and selling specifically developed methanogenic. consortiums.</t>
  </si>
  <si>
    <t>Banque des Territoires(Gabriel Giabicani), EIT InnoEnergy, Industrya(Alexandre Braconnier), UI Investissement(Nicolas Penet)</t>
  </si>
  <si>
    <t>biofuels, biogas plant, biological technology, clean fuel, co2 conversion, energy converter, methane producer, waste recycling, waste transformation</t>
  </si>
  <si>
    <t>215317-27T</t>
  </si>
  <si>
    <t>Mob-ion</t>
  </si>
  <si>
    <t>Automotive*, Electrical Equipment</t>
  </si>
  <si>
    <t>Manufacturer of electric scooters and an equipment supplier designed to offer quality electric products. The company's products are electric mobility scooters, electric cars and electric batteries based on sodium-ion technology which is less polluting batteries, longer lasting and faster charging, enabling users to extend the life of the vehicle and reduce the cost of use.</t>
  </si>
  <si>
    <t>Wermuth Asset Management</t>
  </si>
  <si>
    <t>electric scooter, electric vehicle, electronic engineering, fast charging, mobility scooters, stationary storage</t>
  </si>
  <si>
    <t>210952-99T</t>
  </si>
  <si>
    <t>QuantCube Technology</t>
  </si>
  <si>
    <t>Business/Productivity Software*, Database Software, Other Financial Services</t>
  </si>
  <si>
    <t>Developer of a data analytics platform designed to provide real-time predictive analytics based on massive unstructured data to clients. The company's platform combines artificial intelligence algorithms, predictive analytics, and data science to process massive, heterogeneous, and unstructured data elements in real time, enabling clients to make accurate decisions and enhance advanced analytics capabilities.</t>
  </si>
  <si>
    <t>Five Capital(Sofyane Thabet), Moody's Investors Service (NYS: MCO), Neptune Accelerator, Tawazun Strategic Development Fund(Abdulla Al Jaabari)</t>
  </si>
  <si>
    <t>ai automation platform, analytics platform, business intelligence platform, data analytics management, data analytics software provider, data analytics technology, data warehouse, predictive analytics, vertical application</t>
  </si>
  <si>
    <t>211038-76T</t>
  </si>
  <si>
    <t>Woodland Garden</t>
  </si>
  <si>
    <t>Forestry Processing*, Other Commercial Products</t>
  </si>
  <si>
    <t>Manufacturer of wooden dispenser system intended for food safety. The company's patented eco-responsible bulk distributor facilitates food sales in specialized organic stores and allows it to be inserted directly avoiding the handling of products, plastic containers, and their maintenance and guaranteeing the consumer the origin of the product, and the brand its visibility, enabling supermarkets to have bulk food dispenser in their store.</t>
  </si>
  <si>
    <t>Coulteria, Provence Business Angels(Gilles Demigneux), Région Sud Investissement</t>
  </si>
  <si>
    <t>dispenser system, distributor network, food dispenser, food safety, food safety check, food safety testing, recycling needs</t>
  </si>
  <si>
    <t>Forestry Processing</t>
  </si>
  <si>
    <t>Beaucaire, France</t>
  </si>
  <si>
    <t>213955-48T</t>
  </si>
  <si>
    <t>Yelloh! Village</t>
  </si>
  <si>
    <t>Leisure Facilities*, Other Restaurants, Hotels and Leisure</t>
  </si>
  <si>
    <t>Operator of campsites intended to give a proper experience of camping trips. The company offers services that include rentals, special holiday trips, holiday planners, and services for seminars and events, enabling tourists and professionals to get cost-effective and all the needed facilities to enjoy their holidays.</t>
  </si>
  <si>
    <t>123 Investment Managers</t>
  </si>
  <si>
    <t>campaign trip, camping events, event planning service, holiday trip, rental deals, tourist site</t>
  </si>
  <si>
    <t>Estreboeuf, France</t>
  </si>
  <si>
    <t>232771-06T</t>
  </si>
  <si>
    <t>Akwai (Media and Information Services (B2B))</t>
  </si>
  <si>
    <t>Provider of social network-building services intended to assist businesses. The company offers services like editing and creating content for visual consistency, sponsoring publications, and progress checking, enabling businesses to communicate with their customers in a targeted way.</t>
  </si>
  <si>
    <t>broadcasting firm, content data, creating content, professional content, social media manager, video content design</t>
  </si>
  <si>
    <t>Le Mans, France</t>
  </si>
  <si>
    <t>219287-08T</t>
  </si>
  <si>
    <t>Explora Project</t>
  </si>
  <si>
    <t>Operator of an online travel agency intended to offer specialized adventure travel services to customers. The company offers ephemeral travel and expeditions on seas, oceans, and mountains, enabling travelers to explore and enjoy thrilling adventures at affordable prices.</t>
  </si>
  <si>
    <t>50 Partners, Aonia Ventures, Cameleon Invest, CapHorn Invest(Alexandre Pelletier), Crédit Agricole Alpes Développement</t>
  </si>
  <si>
    <t>expedition tour, online travel agency, tour management, tourism manager, travel agent, travel agent portal, travel platform</t>
  </si>
  <si>
    <t>210871-72T</t>
  </si>
  <si>
    <t>Pono</t>
  </si>
  <si>
    <t>Operator of a fintech platform intended to provide digital credit collateral management services. The company's SaaS platform simplifies the management of guarantees and reduces the cost of use to make them competitive and suitable tools from an operational and financial point of view, enabling lenders to optimize the cost and control the risk on their outstanding loans.</t>
  </si>
  <si>
    <t>115K, Kima Ventures, Newfund Management</t>
  </si>
  <si>
    <t>alternative lending, collateral management, commercial lending, digital credit, fintech platform, information technology, management services</t>
  </si>
  <si>
    <t>215149-87T</t>
  </si>
  <si>
    <t>Brigad</t>
  </si>
  <si>
    <t>Developer of an online recruiting marketplace designed for hospitality and healthcare businesses to match profiles of job candidates with temporary work offers. The company's marketplace helps industry professionals find available qualified profiles in the hospitality and healthcare sector on-demand as well as allows users to deal with the entire transaction process in terms of payment, insurance or contracts, enabling companies to connect with job candidates for short-term assignments.</t>
  </si>
  <si>
    <t>Balderton Capital, Raphael Labbe(Raphael Labbe), Serena (Paris), Square Capital., Wendel Group (PAR: MF)</t>
  </si>
  <si>
    <t>enterprise resource planning, erp, human capital management, jobs recruitment, online recruiting marketplace, online recruiting platform, online recruiting tool, recruiting marketplace, recruitment app</t>
  </si>
  <si>
    <t>HR Tech, Industrials, Mobile</t>
  </si>
  <si>
    <t>246798-37T</t>
  </si>
  <si>
    <t>Marge+</t>
  </si>
  <si>
    <t>Provider of purchasing services intended for optimized purchases. The company offers to negotiate with your suppliers for not paying extra, enabling bakers, restaurateurs and caterers to save on their purchases.</t>
  </si>
  <si>
    <t>Takara Capital</t>
  </si>
  <si>
    <t>purchase management service, purchase management system, purchase support, purchasing expertise, purchasing service, purchasing strategy</t>
  </si>
  <si>
    <t>210803-59T</t>
  </si>
  <si>
    <t>Bpifrance, Epopée Gestion, GLB Finance, Jeriko, Techmind, UI Investissement</t>
  </si>
  <si>
    <t>210644-29T</t>
  </si>
  <si>
    <t>Giskard</t>
  </si>
  <si>
    <t>Developer of a visual quality management platform designed to facilitate the creation of improved artificial intelligence models. The company's platform automates the testing of AI models, inspects AI models visually to find bugs and gives feedback, as well as sends actionable alerts on bad model behaviors in production, enabling data scientists, engineers, and business experts to mitigate the risks of AI incidents.</t>
  </si>
  <si>
    <t>Bessemer Venture Partners, Charles Gorintin(Charles Gorintin), Chris Schagen(Chris Schagen), Christine Balagué(Christine Balagué), Elaia Partners(Sébastien Lefebvre), Emmanuel Cassimatis(Emmanuel Cassimatis), Frederik Jacobs(Frederik Jacobs), Félix Malfait, Julien Chaumond, Nathalie Gaveau(Nathalie Gaveau), Niall Murphy(Niall Murphy), Nicolas Hernandez(Nicolas Hernandez), Oscar Salazar(Oscar Salazar), Shéhérazade de Boisséson(Shéhérazade de Boisséson), Simon Dawlat(Simon Dawlat), Sébastien Lefebvre(Sébastien Lefebvre), Victor Coisne(Victor Coisne), Vincent Huguet(Vincent Huguet)</t>
  </si>
  <si>
    <t>holistic platform, management tool, quality control tools, risk analysis, software development, testing platform</t>
  </si>
  <si>
    <t>210689-47T</t>
  </si>
  <si>
    <t>Laurion Capital Management(Emmanuel Naim), Omnes Capital(Francois-Xavier Dedde), Societe Generale Ventures(Didier Lallemand)</t>
  </si>
  <si>
    <t>279877-42T</t>
  </si>
  <si>
    <t>Sparkling Partners</t>
  </si>
  <si>
    <t>Other Capital Markets/Institutions*</t>
  </si>
  <si>
    <t>Operator of a startup studio intended to create, finance, and support innovative companies from the ground up. The company offers operational expertise, extensive networks, and financial resources, enabling entrepreneurs and startups to grow and scale, and fostering a more sustainable and inclusive economy.</t>
  </si>
  <si>
    <t>IRD.Group</t>
  </si>
  <si>
    <t>business mentorship, growth marketing, innovation hub, innovation hub operator, operational support, startup ecosystem, startup studio, sustainable growth</t>
  </si>
  <si>
    <t>Other Capital Markets/Institutions</t>
  </si>
  <si>
    <t>214961-23T</t>
  </si>
  <si>
    <t>Swile</t>
  </si>
  <si>
    <t>Provider of digital employee services intended to improve employee engagement and manage employee benefits. The company's services allow employers to streamline expense management and simplify employee benefit distribution and employees can access and manage their benefits electronically, enabling businesses to improve their overall financial well-being.</t>
  </si>
  <si>
    <t>Groupe BPCE(Yves Tyrode)</t>
  </si>
  <si>
    <t>card management, employee benefit, employee finance, expenses management, financial services, meal voucher, payment management</t>
  </si>
  <si>
    <t>Artificial Intelligence &amp; Machine Learning, FinTech, Mobile, Mobile Commerce</t>
  </si>
  <si>
    <t>212150-44T</t>
  </si>
  <si>
    <t>FJ Labs, Kima Ventures</t>
  </si>
  <si>
    <t>224639-65T</t>
  </si>
  <si>
    <t>Check &amp; Visit</t>
  </si>
  <si>
    <t>Business/Productivity Software*, Construction and Engineering, Media and Information Services (B2B), Real Estate Services (B2C)</t>
  </si>
  <si>
    <t>Developer of a real estate management platform designed to organize and carry out the inventory for owners as well as real estate professionals. The company's platform provides inventory booking, facilitates a certified checker, organizes and realizes the certified inventory with photos, and offers dedicated customer service to answer questions by email or by phone, enabling clients to data transform data into actionable insights and increase customer satisfaction and engagement.</t>
  </si>
  <si>
    <t>AMAVI Capital, Business Angels 35, CapHorn Invest, EuroBIM, Kima Ventures, Realty Corporation, UI Investissement</t>
  </si>
  <si>
    <t>buildings work, inventory management system, property management, property management software, real estate, real estate system</t>
  </si>
  <si>
    <t>210592-36T</t>
  </si>
  <si>
    <t>Courtin Investment, SIDE Capital</t>
  </si>
  <si>
    <t>209684-98T</t>
  </si>
  <si>
    <t>Le Collectionist</t>
  </si>
  <si>
    <t>Operator of a vacation rental marketplace platform designed to help people plan customized trips. The company offers a platform that gives an opportunity to homeowners to offer their properties for rent including villas, apartments and luxurious houses, enabling tourists to help discover luxury homes from a variety of houses listed.</t>
  </si>
  <si>
    <t>Augusta (France), Fabrice Grinda(Fabrice Grinda), Famille C, FJ Labs, Highland Europe(Irena Goldenberg), Lombard Odier, Nathalie Roy(Nathalie Roy), Nicolas Beraudo, OCP Group (Paris), OLMA Capital Management, Pictet, Red River West(Alban Greget), SHIFT Ventures (London), Xavier Romatet(Xavier Romatet)</t>
  </si>
  <si>
    <t>luxury properties rental, luxury rental, luxury resort, property marketplace, rental platform, trip planning platform, vacation rental</t>
  </si>
  <si>
    <t>211610-44T</t>
  </si>
  <si>
    <t>Olgram</t>
  </si>
  <si>
    <t>Biotechnology*, Drug Discovery, Pharmaceuticals</t>
  </si>
  <si>
    <t>Operator of a biotechnology company intended to fight immune deficiency post-traumatic brain injury and concussions. The company's technologies operate through two programs such as a new immunostimulatory drug from a molecule discovered in algae and a new class of anti-infectives to kill persistent bacteria, enabling the pharmaceutical developer to eliminate the origin of the recalcitrance of bacterial infectious diseases and find treatments for them.</t>
  </si>
  <si>
    <t>Incate, Ouest Valorisation</t>
  </si>
  <si>
    <t>chronic infection treatment, traumatic brain, traumatic brain injury, traumatic brain treatment</t>
  </si>
  <si>
    <t>Archamps, France</t>
  </si>
  <si>
    <t>210429-82T</t>
  </si>
  <si>
    <t>Api.video</t>
  </si>
  <si>
    <t>Operator of a cloud-based online video platform intended to share and exchange knowledge. The company's platform offers broadcasting for hosting, encoding, and on-demand and streams live video content on all screens and allows users to personalize and control their video publications to ensure distribution to the right audience, enabling organizations and developers to communicate securely using the video format.</t>
  </si>
  <si>
    <t>Blossom Capital, Charles Songhurst, Financière Saint James, MMC Ventures, Open Ocean, OpenOcean (Helsinki)</t>
  </si>
  <si>
    <t>live video, online audio, video creation, video developer, video hosting, video making platform, video media, video streaming</t>
  </si>
  <si>
    <t>Artificial Intelligence &amp; Machine Learning, CloudTech &amp; DevOps, Ephemeral Content, SaaS</t>
  </si>
  <si>
    <t>211308-94T</t>
  </si>
  <si>
    <t>Eurazeo (PAR: RF)</t>
  </si>
  <si>
    <t>251183-08T</t>
  </si>
  <si>
    <t>Mentors Fund</t>
  </si>
  <si>
    <t>200110-24T</t>
  </si>
  <si>
    <t>Miraxess</t>
  </si>
  <si>
    <t>Computers, Parts and Peripherals*, Other Hardware</t>
  </si>
  <si>
    <t>Manufacturer of a laptop extension for smartphones intended to turn smartphones into real laptops. The company offers a plug-in device that is a mobile convergence to turn mobile phones into full-fledged laptops, enabling customers to increase their productivity and comfort for work and entertainment.</t>
  </si>
  <si>
    <t>Capital Grand Est, Finovam Gestion, Ionik (Media and Information Services (B2B)) (TSX: INIK)</t>
  </si>
  <si>
    <t>mobile convergence, mobile convergence services, plug-in device, smartphone devices, smartphone devices developer, smartphone extensions, smartphone tools</t>
  </si>
  <si>
    <t>208889-20T</t>
  </si>
  <si>
    <t>I-ROX</t>
  </si>
  <si>
    <t>Machinery (B2B), Other Metals, Minerals and Mining*</t>
  </si>
  <si>
    <t>Developer of pulsed-power technology designed to help unlock more of the minerals needed for the energy transition. The company specializes in pulsed power applications that reduce the substantial time, energy usage, and carbon emissions generated from mineral exploration, enabling miners to replace several stages within the grinding process and decrease power usage to achieve their carbon reduction and neutrality targets.</t>
  </si>
  <si>
    <t>BHP Group (ASX: BHP)(Rod Mainland), Breakthrough Energy(Carmichael Roberts)</t>
  </si>
  <si>
    <t>critical mineral, electricity consumption, energy mining, green mining, metal ores mine, mineral exploration, mining process, pulsed-power technology</t>
  </si>
  <si>
    <t>CleanTech, Climate Tech, Impact Investing</t>
  </si>
  <si>
    <t>210401-47T</t>
  </si>
  <si>
    <t>Meelo (Media and Information Services (B2B))</t>
  </si>
  <si>
    <t>Financial Software, Media and Information Services (B2B)*, Other Financial Services</t>
  </si>
  <si>
    <t>Developer of financial technology software designed to make customer onboarding secure and automated. The company's platform uses artificial intelligence to check the authenticity and consistency of documents transmitted by firm's customers such as open banking, enabling clients to protect their operating accounts and secure their business.</t>
  </si>
  <si>
    <t>Bpifrance, Odyssee Venture</t>
  </si>
  <si>
    <t>crime surveillance, crime surveillance &amp; fraud detection, financial risk analysis, financial risk analysis platform, financial risk insights, fraud and compliance, fraud detection, fraud prevention, productivity and automation, regtech, risk analysis</t>
  </si>
  <si>
    <t>210439-90T</t>
  </si>
  <si>
    <t>EYESEE</t>
  </si>
  <si>
    <t>Electrical Equipment, Logistics*, Other Commercial Products</t>
  </si>
  <si>
    <t>Developer of a warehouse inventory drone designed to simplify, digitize, and create value from inventory data. The company provides tools to simplify and secure the control of stocks and locations of merchandise stored in pallet racks in warehouses and identify inventory errors before they become costly afterward problems, enabling manufacturers and logisticians to increase their operational efficiency.</t>
  </si>
  <si>
    <t>Crédit Agricole Alpes Développement, Grenoble Angels, Team Invest Innovation</t>
  </si>
  <si>
    <t>autonomous drones systems, control interface, data processing, drone technology, inventory management, logistics data, supply chain system</t>
  </si>
  <si>
    <t>219167-38T</t>
  </si>
  <si>
    <t>Kiro</t>
  </si>
  <si>
    <t>Developer of an AI-powered digital health platform intended to enhance the relevance of lab test results for healthcare professionals and patients. The company's platform offers personalized and comprehensible interpretations of medical biology reports, utilizing advanced artificial intelligence to support clinical decision-making, streamline patient engagement, and improve healthcare outcomes, enabling healthcare providers to deliver care while empowering patients with actionable insights into their health.</t>
  </si>
  <si>
    <t>Bpifrance, Kurma Partners, Propulia Capital, Sofinnova Partners(Edward Kliphuis)</t>
  </si>
  <si>
    <t>clinical biology, digital medicine, healthcare outcome analytics, lab testing service, medical diagnostics, patient centric care, patient engagement, predictive healthcare</t>
  </si>
  <si>
    <t>Artificial Intelligence &amp; Machine Learning, Big Data, Digital Health, Mobile, SaaS</t>
  </si>
  <si>
    <t>215751-16T</t>
  </si>
  <si>
    <t>Mr Suricate</t>
  </si>
  <si>
    <t>IT Consulting and Outsourcing, Software Development Applications*</t>
  </si>
  <si>
    <t>Developer of a software testing platform intended to set up, manage, and administer independently automated functional testing. The company's platform assists in detecting anomalies on e-commerce websites by reproducing customer journeys, enabling clients to identify bugs in user scenarios.</t>
  </si>
  <si>
    <t>Pays de La Loire Development</t>
  </si>
  <si>
    <t>anomalies detectors, product performance monitoring, site testing services, software testing company, software testing methods, software testing product</t>
  </si>
  <si>
    <t>210345-67T</t>
  </si>
  <si>
    <t>Cantoo Scribe</t>
  </si>
  <si>
    <t>Developer of a digital notebook designed for students with DYS disabilities. The company aims to allow students to regain their full academic autonomy, regardless of their DYS disorder through its notebook which is based on an adaptive single interface software equipped with tools dedicated to texts and vocal facilitation, enabling students to ease the process of note-taking, exercises and organization at school and home.</t>
  </si>
  <si>
    <t>Investir &amp;+</t>
  </si>
  <si>
    <t>digital notebook, digital notebook developer, disorder care, dyslexia education, dyslexia education support, dyslexia knowledge</t>
  </si>
  <si>
    <t>210147-67T</t>
  </si>
  <si>
    <t>Keenat</t>
  </si>
  <si>
    <t>Operator of environmental services and waste management firm intended to provide strategic support for economic projects. The company's firm offers tailored services for both private and public clients to raise awareness, collect, and recycle cigarette butts, surgical masks, and chewing gum, enabling businesses to implement social and environmental projects while contributing to the circular economy and fostering local employment.</t>
  </si>
  <si>
    <t>AQUITI Gestion, Asterion, Banque des Territoires, Bpifrance, ForSea Invest, France Active, Mirova, Newfund Management, Nouvelle Aquitaine Co-Investissement</t>
  </si>
  <si>
    <t>environmental services, recyclable plastic, recycling company, waste consulting, waste management company, waste management firm</t>
  </si>
  <si>
    <t>205945-75T</t>
  </si>
  <si>
    <t>210559-15T</t>
  </si>
  <si>
    <t>Sêmeia</t>
  </si>
  <si>
    <t>Developer of remote patient monitoring solution designed to support serious or chronic illnesses. The company's platform offers an automatic collection of patients' data which is used in biological analysis also has a dashboard to understand the state of health, and the care plan to be given along with the notification on high priority, helping doctors to keep a track of patient encounters difficulties in the follow-up pathway.</t>
  </si>
  <si>
    <t>Banque des Territoires, Erik Boulard(Erik Boulard), MH innov', Orange Ventures, Thierry Alliotte(Thierry Alliotte)</t>
  </si>
  <si>
    <t>biological analysis, chronic illness, crm, customer relationship management, healthtech app, healthtech application, monitoring solution, patient data, rpm software</t>
  </si>
  <si>
    <t>210087-19T</t>
  </si>
  <si>
    <t>Club Holnest, Holnest</t>
  </si>
  <si>
    <t>210182-14T</t>
  </si>
  <si>
    <t>Axonaut</t>
  </si>
  <si>
    <t>Business/Productivity Software*, Financial Software, Other Software</t>
  </si>
  <si>
    <t>Developer of business and project management software designed to serve businesses in their day-to-day operations. The company's software offers customer relationship management, creating orders with recurring subscription invoices, payments alerts, project allocation, and generation of quotes, enabling clients to centralize and manage all tasks on a single platform.</t>
  </si>
  <si>
    <t>Bpifrance, Matmut Innovation, The Moon Venture</t>
  </si>
  <si>
    <t>business expertise, crm data, enterprise resource planning, online billing system, online invoicing, productivity software, project management system</t>
  </si>
  <si>
    <t>Balma, France</t>
  </si>
  <si>
    <t>210017-62T</t>
  </si>
  <si>
    <t>Pickme</t>
  </si>
  <si>
    <t>Application Software, Logistics*, Other Services (B2C Non-Financial)</t>
  </si>
  <si>
    <t>Developer of a parcel delivery platform intended to reconcile logistical efficiency and ecology through social ties. The company's platform offers a delivery method that turns neighbors into local and social pickup points for e-commerce parcels that can be collected by the owners from them, enabling users with an efficient, and sustainable post-purchase experience and earning extra income without leaving home while creating social ties.</t>
  </si>
  <si>
    <t>Founders Future, Kima Ventures, LeFonds, OneRagtime, Plug and Play Tech Center</t>
  </si>
  <si>
    <t>collaborative delivery, delivery service, ecommerce delivery solutions, last mile delivery, parcel delivery system, parcel logistic, parcel pickup, parcel service platform</t>
  </si>
  <si>
    <t>Industrials, Mobile, Supply Chain Tech</t>
  </si>
  <si>
    <t>200608-84T</t>
  </si>
  <si>
    <t>Regen Insights</t>
  </si>
  <si>
    <t>Developer of an agricultural platform designed to accelerate the transition to sustainable agriculture. The company's platform offers carbon footprint measurement, valorizing agricultural and environmental data through a simple and intuitive tool, enabling clients to streamline operations to spend less time on administrative tasks, and more time directly serving the farmers.</t>
  </si>
  <si>
    <t>Anthemis, Banco Bilbao Vizcaya Argentaria (MAD: BBVA), L'Oreal (PAR: OR), Mirova, No Label Ventures</t>
  </si>
  <si>
    <t>agriculture finance, agriculture insurance, agrifinance &amp; ecommerce, agrifinance and ecommerce, alternative lending, carbon credit marketplace, carbon credit monetization, carbon credit project, carbon credit trading, carbon credit valuation, credit financing, marketplace lending, voluntary carbon market infrastructure</t>
  </si>
  <si>
    <t>AgTech, CleanTech, Climate Tech, LOHAS &amp; Wellness</t>
  </si>
  <si>
    <t>209905-39T</t>
  </si>
  <si>
    <t>Evaneos</t>
  </si>
  <si>
    <t>Developer of an online platform designed to make travel a source of positive impact. The company's platform directly comes in contact with chosen local experts around the world and together crafts extraordinary and one-of-a-kind trips that respect local cultures and communities, enabling travelers to not only support an alternative and ethical model for the industry but also see the cost of their trip directly benefit local economies.</t>
  </si>
  <si>
    <t>Bpifrance(Joséphine Marie), Level Equity, Partech(Bruno Crémel), Quadrille Capital, Serena (Paris)(Marc Fournier), XAnge(Nicolas Rose)</t>
  </si>
  <si>
    <t>leisure tour, leisure tourism, local travel agency, local travel agent, online travel agency, travel booking platform, travel consultant</t>
  </si>
  <si>
    <t>211440-07T</t>
  </si>
  <si>
    <t>Tydeo</t>
  </si>
  <si>
    <t>Operator of an audiovisual communication agency intended to make video accessible to all companies, associations, and communities. The company specializes in text wrapping, graphic effects, transitions, and creating corporate videos, enabling clients to make video creation easier, more agile, and less expensive.</t>
  </si>
  <si>
    <t>audio visual production, audiovisual service provider, corporate communication, corporate video, graphics effect, motion design, video creation, video edit, video training</t>
  </si>
  <si>
    <t>Saint-Renan, France</t>
  </si>
  <si>
    <t>209847-79T</t>
  </si>
  <si>
    <t>ImVitro</t>
  </si>
  <si>
    <t>Decision/Risk Analysis, Enterprise Systems (Healthcare)*</t>
  </si>
  <si>
    <t>Developer of AI-based IVF decision-making tools designed to tackle infertility. The company uses deep learning algorithms to analyze a myriad of clinical inputs to detect hidden patterns and predict the embryo with the highest chance of implantation, enabling IVF clinics to minimize the number of cycles patients have to go through to become parents and maximize their output.</t>
  </si>
  <si>
    <t>Compound (New York), Fly Ventures(Matthew Wichrowski), LDV Capital, MMC Ventures, Tiny Supercomputer Investment Company</t>
  </si>
  <si>
    <t>digital healthcare, embryo implantation, embryo selection, fertility data, healthcare services, ivf technology, ivf tools, medical data store</t>
  </si>
  <si>
    <t>Artificial Intelligence &amp; Machine Learning, FemTech, HealthTech, Life Sciences, SaaS</t>
  </si>
  <si>
    <t>208015-57T</t>
  </si>
  <si>
    <t>Leto</t>
  </si>
  <si>
    <t>Developer of enterprise software designed to offer personal data protection services intended to offer automated mapping of personal data. The company's platform offers automated deletion and modification of a user's personal data at their request and automatic synchronization of tasks from the privacy roadmap with the project management tools, enabling businesses to monitor and control risk in terms of compliance with personal data protection rules.</t>
  </si>
  <si>
    <t>50 Partners, AngelSquare, Bernard Kirsch(Bernard Kirsch), Dali Kilani(Dali Kilani), Julien Boubel(Julien Boubel), Kima Ventures(Alexis Robert), Marc Xavier(Marc Xavier), Olivier Pailhes(Olivier Pailhes), Pierre-Baptiste Bechu(Pierre-Baptiste Bechu), Polymatter Ventures</t>
  </si>
  <si>
    <t>data privacy company, data privacy platform, data privacy risk</t>
  </si>
  <si>
    <t>209756-17T</t>
  </si>
  <si>
    <t>Ligerio</t>
  </si>
  <si>
    <t>Distributors/Wholesale (B2C), Home Furnishings, Specialty Retail*</t>
  </si>
  <si>
    <t>Operator of an online marketplace intended to deliver home decoratives. The company offers specialized antique materials and decoration items for home furnishing as well as for exterior use such as tiles, marbles, gardening products, and other products that are tailor-made on order, helping customers to choose as per their needs under a single platform.</t>
  </si>
  <si>
    <t>Adhemar Autrand(Adhemar Autrand), Adrian de Felcourt(Adrian de Felcourt), Alec alec(Alec alec), Alexander Frangulian(Alexander Frangulian), Alexis de Galembert(Alexis de Galembert), Alexis Menard(Alexis Menard), Antoine de Sigy(Antoine de Sigy), Armand de Villoutreys(Armand de Villoutreys), Arthur de Soultrait(Arthur de Soultrait), Baudoin Lescuyer(Baudoin Lescuyer), Bpifrance, Catherine Leblanc(Catherine Leblanc), Cecile de Guillebon(Cecile de Guillebon), Charles-Francois Bonnet(Charles-Francois Bonnet), Christian Riedi(Christian Riedi), Clement Ouizille(Clement Ouizille), Compagnie d'Anjou, Edouard Gouin(Edouard Gouin), Edward Piffard(Edward Piffard), Emmanuel Thomassin(Emmanuel Thomassin), Etienne Mahler(Etienne Mahler), Florence Richardson(Florence Richardson), Florian Sauvin(Florian Sauvin), Folco Aloisi(Folco Aloisi), Francis Dufay(Francis Dufay), Francois Durvye(Francois Durvye), Frederick de Castro(Frederick de Castro), GO Capital (France)(Alexis Menard), Jean-Marc Drubay(Jean-Marc Drubay), Jeremy Blackwell(Jeremy Blackwell), Julien Deconinck(Julien Deconinck), Juliet of Clermont-Tonnerre(Juliet of Clermont-Tonnerre), Laurent La Bonnardiere(Laurent La Bonnardiere), Leonardo de Tilly(Leonardo de Tilly), Lionel Drouin(Lionel Drouin), Marcy de Soultrait(Marcy de Soultrait), Myrtus Venture, Nicholas of Fraguier(Nicholas of Fraguier), Nicolas Deconinck(Nicolas Deconinck), Olivier Dousset(Olivier Dousset), Pierre Dhavernas(Pierre Dhavernas), Sébastien de Lafond(Sébastien de Lafond), William of Martel(William of Martel)</t>
  </si>
  <si>
    <t>ecommerce channel, ecommerce firm, ecommerce logistics, ecommerce platform, ecommerce service, ecommerce site, speciality retail service</t>
  </si>
  <si>
    <t>Mouzay, France</t>
  </si>
  <si>
    <t>190644-76T</t>
  </si>
  <si>
    <t>Mycophyto</t>
  </si>
  <si>
    <t>Agricultural Chemicals*, Other Commercial Products, Other Pharmaceuticals and Biotechnology</t>
  </si>
  <si>
    <t>Developer of customized products and specific support services intended for the implementation of new agricultural systems. The company's plant production system identifies indigenous fungi and soil pathogens that are useful for the growth of plants and multiplies them in an inbuilt greenhouse, enabling plant researchers to grow plants, crops, and herbs by utilizing soil microorganisms without having to rely on chemical fertilizers.</t>
  </si>
  <si>
    <t>212Founders, Bpifrance(Joséphine Marie), Charente-Périgord Expansion, Creazur France, Credit Agricole (PAR: ACA), Dominique Gaillard(Dominique Gaillard), Erik Orsenna(Erik Orsenna), EY Société d'Avocats, Obsidian Family Office, Olbia Invest, Région Sud Investissement, Turenne Groupe</t>
  </si>
  <si>
    <t>ag biotech, agriculture technology, greenhouse equipment, greenhouse space, plant biotechnology, plant growing system, plant harnesses system</t>
  </si>
  <si>
    <t>211917-07T</t>
  </si>
  <si>
    <t>BodyCap</t>
  </si>
  <si>
    <t>Monitoring Equipment*, Other Devices and Supplies, Other Healthcare Technology Systems</t>
  </si>
  <si>
    <t>Developer of wireless miniaturized electronic sensors designed to measure patients' physiological variables. The company's sensors offer access to physiological data in sports and ergonomics within medical or ambulatory care structures, enabling doctors to continually monitor their patient's physiological conditions for diagnostic purposes, and monitoring.</t>
  </si>
  <si>
    <t>GO Capital (France)(Bruno Guicheux), PPRS Venture</t>
  </si>
  <si>
    <t>connected healthcare, connected service, electronic sensor, health monitoring, medical imaging technology, monitoring device, performance assessment, physiological data, recovery process, temperature control, wireless medical device</t>
  </si>
  <si>
    <t>Digital Health, HealthTech, Internet of Things, Wearables &amp; Quantified Self</t>
  </si>
  <si>
    <t>218219-77T</t>
  </si>
  <si>
    <t>Carot (Restaurants and Bars)</t>
  </si>
  <si>
    <t>Provider of a catering service intended to improve the well-being of busy workers. The company offers fresh, gourmet, and balanced catering, available directly in companies and at sports venues, through autonomous connected canteens, enabling companies and sports structures to offer a complementary service to their employees/members without any management constraints.</t>
  </si>
  <si>
    <t>Angelor, Foodara, Kreaxi, Pierre-Antoine Cognard(Pierre-Antoine Cognard), UI Investissement</t>
  </si>
  <si>
    <t>canteen vending, catering food, corporate wellness, gourmet food, healthy eating, sports nutrition, workplace dining</t>
  </si>
  <si>
    <t>209578-69T</t>
  </si>
  <si>
    <t>Arthur Waller(Arthur Waller), Gary Anssens(Gary Anssens), Guillaume Rouby(Guillaume Rouby), Kerala Ventures, Paulin Dementhon(Paulin Dementhon), Pierre-Emmanuel Bercegeay(Pierre-Emmanuel Bercegeay), Racine2, Seed4Soft, Serena (Paris)(Léa Zaslavsky), Super Capital, Wind Capital</t>
  </si>
  <si>
    <t>221332-51T</t>
  </si>
  <si>
    <t>CMA CGM, L'Oréal, Plug and Play Tech Center, Stellantis (MIL: STLAM), Stellantis Ventures</t>
  </si>
  <si>
    <t>218406-43T</t>
  </si>
  <si>
    <t>Neuronalys</t>
  </si>
  <si>
    <t>Automation/Workflow Software, Business/Productivity Software*, IT Consulting and Outsourcing</t>
  </si>
  <si>
    <t>Developer of artificial intelligence-based software designed to enhance the management and efficiency of business processes. The company's software offers automated monitoring, data analysis from diverse document types, and natural language processing for detection in real-time of all objects, humans and animals on an unlimited fleet of HD cameras, enabling industries to improve productivity, streamline operations, and effectively manage documentary resources for better decision-making and operational success.</t>
  </si>
  <si>
    <t>ai-based software, automation data, intelligent process automation, operational efficiency tools, optical recognition, robotics process automation, video protection, video surveillance</t>
  </si>
  <si>
    <t>210336-31T</t>
  </si>
  <si>
    <t>Plantik</t>
  </si>
  <si>
    <t>Developer of plant breeding technology designed to reduce the time of planting. The company's technology helps to engineer plants with precision, efficiency, and elegance and create novel, stable, and commercialized plant varieties, enabling users to accelerate the breeding process.</t>
  </si>
  <si>
    <t>Future Food Fund</t>
  </si>
  <si>
    <t>ag biotech, agriculture technology, breeding service, breeding technology, crop testing, plant breeding, plant breeding research, plant breeding technology, plant data &amp; analysis, plant data and analysis, plant engineering</t>
  </si>
  <si>
    <t>202860-19T</t>
  </si>
  <si>
    <t>RESEE</t>
  </si>
  <si>
    <t>Accessories*, Internet Retail, Luxury Goods</t>
  </si>
  <si>
    <t>Developer of an online fashion platform intended to provide customers with exclusive and vintage second-hand fashion and luxury handbags. The company offers luxury handbags that are carefully curated by the company's editorial team and personally and diligently authenticated company's luxury bag experts, enabling customers with suitable, customized and authentic bags personally picked by industry experts.</t>
  </si>
  <si>
    <t>Darren Starr(Darren Starr), Michael Dayan(Michael Dayan), Shari Glazer(Shari Glazer)</t>
  </si>
  <si>
    <t>handbags seller, luxury fashion, luxury handbags, online fashion platform, online fashion site, vintage collection, vintage fashion</t>
  </si>
  <si>
    <t>211262-32T</t>
  </si>
  <si>
    <t>Solinum</t>
  </si>
  <si>
    <t>Operator of a non-profit organization intended to combat poverty. The company's platform helps provide information about services, initiatives, and resources along with citizen accommodation provision, support, and reintegration, enabling people to access social services.</t>
  </si>
  <si>
    <t>accommodation site, combat poverty, digital guide, nonprofit organization, online platform, solidarity economy</t>
  </si>
  <si>
    <t>210269-26T</t>
  </si>
  <si>
    <t>Tribun Health</t>
  </si>
  <si>
    <t>Developer and seller of digital and AI platforms intended to accelerate and increase the precision of cancer diagnosis. The company's software provides digital microscopy-like image analysis and macroscopic imaging, enabling diagnostic laboratories, and pharmaceutical and biotech industries, to get accurate diagnostic and scientific evaluation, manage, share, and analyze patient cell and tissue images, save time, reduce burnout, and increase patient outcomes.</t>
  </si>
  <si>
    <t>Asclepios Bioresearch, Bpifrance(Jean-Briac Lesne), LBO France(Sébastien Woynar), Owkin, Tenax Therapeutics (NAS: TENX), Vivalto Sante</t>
  </si>
  <si>
    <t>ai, computational pathology, diagnostic imaging company, diagnostic imaging software, digital imaging, digital imaging system, laboratory workflow, lis, pathology service</t>
  </si>
  <si>
    <t>Artificial Intelligence &amp; Machine Learning, HealthTech, Oncology</t>
  </si>
  <si>
    <t>210142-00T</t>
  </si>
  <si>
    <t>ENGIE Rassembleurs d'Energies(Jérôme Broutin), Schneider Electric (Electrical Equipment) (PAR: SU), WeFound</t>
  </si>
  <si>
    <t>211982-77T</t>
  </si>
  <si>
    <t>Streamlane</t>
  </si>
  <si>
    <t>Government*, Network Management Software</t>
  </si>
  <si>
    <t>Other Business Products and Services</t>
  </si>
  <si>
    <t>Developer of a security checking platform intended to facilitate data exchange between transport operators and state authorities. The company helps governments around the world secure their borders against international terrorism and serious crime while offering a simple and efficient border crossing for passengers, and permanent compliance with passenger data regulations, enabling governments and businesses to keep track of processes related to legislation against terrorism and serious crimes.</t>
  </si>
  <si>
    <t>border crossings, government data, saas-based system, security checking, state compliance services, transport operation, transportation assistance</t>
  </si>
  <si>
    <t>Government</t>
  </si>
  <si>
    <t>268521-13T</t>
  </si>
  <si>
    <t>Viridian Lithium</t>
  </si>
  <si>
    <t>Developer of battery-grade lithium chemicals intended to deliver chemicals to the battery supply chain. The company provides process designs to optimize the use of all resources and offer the lowest CO2 footprints of any Battery-Grade lithium chemicals worldwide, enabling clients to accelerate the transition to electric mobility.</t>
  </si>
  <si>
    <t>battery chemicals, chemical products, chemicals supply, electric mobility, lithium chemicals, lithium product</t>
  </si>
  <si>
    <t>209427-13T</t>
  </si>
  <si>
    <t>Alexei Chemenda, Bpifrance(Joséphine Marie), Google for Startups, Karista (Paris)(Michael Thomas), Tomcat Invest</t>
  </si>
  <si>
    <t>228318-22T</t>
  </si>
  <si>
    <t>Jalon Therapeutics</t>
  </si>
  <si>
    <t>Biotechnology*, Drug Discovery, Therapeutic Devices</t>
  </si>
  <si>
    <t>Developer of a therapeutic technology designed to inactivate vital tumor signaling pathways through the disruption of protein-protein interactions. The company's technology includes the potential of non-oncogene addiction to identify new therapeutic targets and develop disruptive anticancer treatment strategies with research, enabling patients with cancer treatment and identify new therapeutic targets and develop anticancer treatment strategies.</t>
  </si>
  <si>
    <t>33 Californie, Bpifrance</t>
  </si>
  <si>
    <t>cancer treatment device, cancer treatment technology, healthcare services, oncology care, therapeutic technology, therapeutics devices, therapeutics tools</t>
  </si>
  <si>
    <t>242392-15T</t>
  </si>
  <si>
    <t>Meccellis Biotech</t>
  </si>
  <si>
    <t>Developer of biological implants designed for tissue repair. The company specializes in tissue and cell engineering and offers biological resolutions for the repair of soft tissues such as abdominal wall repair and more during surgery, enabling surgeons and patients to identify unmet clinical needs and offer an adapted solution by type of surgery.</t>
  </si>
  <si>
    <t>Nouvelle Aquitaine Co-Investissement, Ocean Participations, Synergence, Volney Development SAS</t>
  </si>
  <si>
    <t>biological enzymes, biological implants, biological implants product, biological tissue, breast reconstruction, breast surgery service, general surgery, surgery care, surgery firm</t>
  </si>
  <si>
    <t>209539-54T</t>
  </si>
  <si>
    <t>Microphyt</t>
  </si>
  <si>
    <t>Biotechnology*, Food Products, Other Commercial Products, Personal Products</t>
  </si>
  <si>
    <t>Developer of natural bioactive products intended to offer dietary supplements. The company's products are controlled and produced using an industrial-scale supply of microalgae biomass and extracts by preserving cell integrity and yielding commercial quantities of slow-growing or biofilm-forming species, enabling healthcare industries to address the needs of personal care and food products.</t>
  </si>
  <si>
    <t>BOLD (Business Opportunities for L'Oréal Development), Bpifrance(Jean-Philippe Richard), IRDI Capital Investissement, iXO Private Equity, Sofilaro, Sofinnova Partners(Michael Krel), Supernova Invest</t>
  </si>
  <si>
    <t>bio-engineered food, biomass production, functional food, microalgae biotechnology, microalgae product, microalgae production, microalgae production technology, microalgae research</t>
  </si>
  <si>
    <t>Life Sciences, TMT</t>
  </si>
  <si>
    <t>Baillargues, France</t>
  </si>
  <si>
    <t>209440-27T</t>
  </si>
  <si>
    <t>Thrasos</t>
  </si>
  <si>
    <t>Developer of food safety software designed to set food safety management ERP for food and beverage processors. The company's software is cross-functional, scientific, predictive, and accessible and provides automatic and adaptative optimizations, and predictive cleaning operations procedures based on an all-round food safety management system, enabling businesses with biosecurity management in the industry.</t>
  </si>
  <si>
    <t>Kreizig Invest, Ouest Croissance Gestion, UI Investissement</t>
  </si>
  <si>
    <t>erp management, food industry, food safety management, food technology, foodtech ai, optimization app</t>
  </si>
  <si>
    <t>Artificial Intelligence &amp; Machine Learning, FoodTech, SaaS</t>
  </si>
  <si>
    <t>Saint-malo, France</t>
  </si>
  <si>
    <t>209330-83T</t>
  </si>
  <si>
    <t>Ejara</t>
  </si>
  <si>
    <t>Developer of blockchain-based mobile investment software designed for investment products. The company's platform helps to invest in companies, trade across the world using cryptocurrencies, and helps to save and grow with interest-saving accounts, enabling traders to track their investment performance and get trade freedom.</t>
  </si>
  <si>
    <t>Adaverse(Vincent Li), Anthemis, Bpifrance, Circle Ventures, CoinShares Ventures(Meltem Demirors), Dragonfly Capital, EMURGO Ventures, Hashkey Capital, Jason Yanowitz(Jason Yanowitz), Lateral Capital Ventures, Mercy Corps, Moonstake, ResiliAnce</t>
  </si>
  <si>
    <t>crypto exchange, crypto financial services, crypto wallets, cryptocurrency tools, cryptocurrency trading, financial services, financial services software, financial services suites, financial services website</t>
  </si>
  <si>
    <t>209293-57T</t>
  </si>
  <si>
    <t>A.Capital Ventures, Alven Capital Partners, BlueYard Capital(Ciaran O'Leary), ConsenSys, Crypto.com, F-Prime Capital, GSR(Benoit Bosc), Illuminate Financial Management(Rezso Szabo), IOSG Ventures, Kraken Ventures(Laurens De Poorter), KXVC, LeadBlock Partners, Sparkle Ventures, SV Angel, Third Kind Venture Capital, Wintermute Ventures, XBTO Group</t>
  </si>
  <si>
    <t>209274-31T</t>
  </si>
  <si>
    <t>HelloAsso</t>
  </si>
  <si>
    <t>Operator of an online charity funding platform intended for the development of activities and associative projects in France. The company offers a web-based crowdfunding platform, an online payment facility to pay and receive payments, allowing all associations and charitable organizations to manage their online fundraising activities.</t>
  </si>
  <si>
    <t>Crédit Mutuel</t>
  </si>
  <si>
    <t>alternative capital, capital market, charity platform, fundraising page, fundraising tool, online charity, online charity donation, online charity platform</t>
  </si>
  <si>
    <t>209384-47T</t>
  </si>
  <si>
    <t>eazee link</t>
  </si>
  <si>
    <t>Application Software, Business/Productivity Software*, Information Services (B2C), Media and Information Services (B2B)</t>
  </si>
  <si>
    <t>Developer of an online application intended to provide a digital menu for restaurants and bars. The company specializes in providing features like online menus accessible through QR codes, the ability to update menus in real-time, and customer wishlist functions, enabling restaurants and bars to eliminate the need for physical menus, reduce printing costs, and improve customer engagement by allowing them to browse menus and even create wishlists before arriving at the establishment.</t>
  </si>
  <si>
    <t>ADER Investissements, Conseil général de meurthe-et-moselle, Emmanuel Knafou(Emmanuel Knafou), Habert Dassault Finance, Jean-Marc Bouhelier, Marc Tubiana(Marc Tubiana), Paul Hagège(Paul Hagège)</t>
  </si>
  <si>
    <t>customer relationship, digital menu, digital solutions, information tools, mobile marketing, restaurant ordering, restaurant rewards, trade marketing</t>
  </si>
  <si>
    <t>FoodTech, Marketing Tech, Mobile, Restaurant Technology, SaaS</t>
  </si>
  <si>
    <t>Phalsbourg, France</t>
  </si>
  <si>
    <t>215581-87T</t>
  </si>
  <si>
    <t>Papyhappy</t>
  </si>
  <si>
    <t>Developer of a real estate platform designed to search for housing for senior citizens. The company's platform offers nearly a lot of referenced establishments and a team of experts to visit and evaluate residences as mystery shoppers, enabling senior citizens to find safe and quality accommodations and save time and energy.</t>
  </si>
  <si>
    <t>BJ Invest</t>
  </si>
  <si>
    <t>housing platform, housing space, real estate, retirement home, senior citizen housing, senior housing, senior housing platform</t>
  </si>
  <si>
    <t>Joigny, France</t>
  </si>
  <si>
    <t>216023-14T</t>
  </si>
  <si>
    <t>AB Tasty</t>
  </si>
  <si>
    <t>Developer of a cloud-based conversion rate optimization platform designed to assist marketers in optimizing their websites and increasing conversion rates. The company's platform offers a full range of tests including A/B, split, multivariate and multipage to modify pages and create new designs as well as provides personalization and user engagement tools, enabling companies to boost online sales by allowing marketers to understand their customers and act on this insight.</t>
  </si>
  <si>
    <t>Crédit Mutuel Innovation, ISAI, Made For All, Partech(Reza Malekzadeh), Siparex Group</t>
  </si>
  <si>
    <t>conversion rate optimization, customer relationship management, ecommerce personalization, optimization platform, software development, user testing software, website optimization</t>
  </si>
  <si>
    <t>209518-21T</t>
  </si>
  <si>
    <t>Alinova</t>
  </si>
  <si>
    <t>Animal Husbandry, Other Agriculture*</t>
  </si>
  <si>
    <t>Provider of disruptive feed and premix intended to provide natural products for livestock. The company specializes in the design, manufacture and marketing of liquid and powder nutritional substances, and premixes of additives, providing agricultural cooperatives and private feed manufacturers, enabling distributors and independent breeders with safe and nature-based feed for their livestock.</t>
  </si>
  <si>
    <t>GO Capital (France)(Bertrand Distinguin)</t>
  </si>
  <si>
    <t>ag biotech, agriculture technology, animal biotech, animal biotechnology, livestock feed, livestock feed additives, livestock feed company, livestock feed manufacturer, livestock feed products</t>
  </si>
  <si>
    <t>Saint-Brandan, France</t>
  </si>
  <si>
    <t>267611-68T</t>
  </si>
  <si>
    <t>Hynamics</t>
  </si>
  <si>
    <t>Construction and Engineering, Other Energy Services*</t>
  </si>
  <si>
    <t>Producer and distributor of low carbon and renewable hydrogen solutions based in Paris, France. The company makes hydrogen carbon-free for industrial customers and public and private fleets in different target countries.</t>
  </si>
  <si>
    <t>hydrogen distribution, hydrogen power, hydrogen solutions, renewable hydrogen, renewable hydrogen energy</t>
  </si>
  <si>
    <t>206738-56T</t>
  </si>
  <si>
    <t>Scanopy</t>
  </si>
  <si>
    <t>Developer of agriculture technology products designed to develop 3D models to diagnose the state of the vines. The company specializes in precision viticulture, building sensors, data models, and end-user platforms, enabling vine growers with new tools to optimize production, anticipate maturity, improve target fieldwork, detect outbreaks of certain diseases, and reduce their environmental footprint.</t>
  </si>
  <si>
    <t>Bourgogne Franche Comte Angels, Cleantech Business Angels, French Government, Gadzarts Business Angels</t>
  </si>
  <si>
    <t>3d modeling solution, agtech company, agtech firm, agtech services, drones &amp; imagery analytics, drones and imagery analytics, industrial data analytics, precision ag, precision agriculture, precision viticulture, sustainable development, vertical application</t>
  </si>
  <si>
    <t>AgTech, Big Data, Mobile, Robotics and Drones</t>
  </si>
  <si>
    <t>Quincy, France</t>
  </si>
  <si>
    <t>209121-04T</t>
  </si>
  <si>
    <t>Apix Analytics</t>
  </si>
  <si>
    <t>Oil and Gas Equipment*, Other Hardware</t>
  </si>
  <si>
    <t>Developer of a process-monitoring technology designed to provide analysis of gas chromatography system. The company's technology produces multigas analyzer systems based on the integration of silicon of traditional analytical chains such as sampling, injection of gases and separation of complex gas mixtures to enhance specificity, detection, identification and quantification of each mixture compound, enabling clients to increase safety and quality requirements for renewable development.</t>
  </si>
  <si>
    <t>Air Liquide Venture Capital(Aurélie Schwartzmann), BNP Paribas Développement, Bpifrance(Joséphine Marie), Ecotechnologies Fund, European Innovation Council Fund, Kreaxi, Supernova Invest</t>
  </si>
  <si>
    <t>gas analysis, gas analyzer calibration, gas monitoring system, multi gas analyzer system, process monitoring system, silicon technology</t>
  </si>
  <si>
    <t>Nanotechnology, Oil &amp; Gas</t>
  </si>
  <si>
    <t>209383-57T</t>
  </si>
  <si>
    <t>Ezio</t>
  </si>
  <si>
    <t>Developer of a payment platform designed to simplify expense tracking. The company's platform manages bank accounts and cards, and offers digital receipt capture and a web dashboard for administrative control, enabling home care and all medico-social establishments with easier reconciliation of spending.</t>
  </si>
  <si>
    <t>ABAB (Atlantic Business Angels Booster), Aladom, Banque Populaire Grand Ouest, Pays de la Loire Participations</t>
  </si>
  <si>
    <t>administrative control, bank integration, expense management, financial reconciliation, financial service, payment card, payment system</t>
  </si>
  <si>
    <t>Moutiers-sur-le-Lay, France</t>
  </si>
  <si>
    <t>199397-71T</t>
  </si>
  <si>
    <t>Le Calabash</t>
  </si>
  <si>
    <t>Educational and Training Services (B2C)*, Information Services (B2C), Other Services (B2C Non-Financial)</t>
  </si>
  <si>
    <t>Operator of a culinary school intended to provide culinary education services to customers. The company has a portfolio of cooking courses and self-made gourmet recipes and hosts corporate events for corporates, providing students as well as clients with cooking expertise to help them learn new food cooking skills.</t>
  </si>
  <si>
    <t>CHMG Capital(Todd Wiebusch)</t>
  </si>
  <si>
    <t>cooking course, culinary education, culinary school, culinary school operator, education services, f&amp;b services</t>
  </si>
  <si>
    <t>Yzeures-sur-Creuse, France</t>
  </si>
  <si>
    <t>208919-89T</t>
  </si>
  <si>
    <t>Livmed's</t>
  </si>
  <si>
    <t>Application Software, Other Healthcare Services, Other Services (B2C Non-Financial)*</t>
  </si>
  <si>
    <t>Operator of a medication delivery platform intended to provide prescription or non-prescription drugs at home. The company's platform offers medicine delivery around the clock and facilitates access to healthcare and also allows having medicines delivered with or without a prescription, enabling individuals to get medicines delivered to them from their local drugstores.</t>
  </si>
  <si>
    <t>Bpifrance, Fred Destin(Fred Destin), Jacques Richier(Jacques Richier), JV Pastor Group, Laurent Caredda(Laurent Caredda), Sanofi (PAR: SAN), YADAY(Romain Afflelou)</t>
  </si>
  <si>
    <t>digital care management, digital pharmacy, drug delivery services, medication delivery, medication delivery ecosystem, medication delivery service, medication delivery system, medicine delivery, medicine delivery service, pharmacy partners</t>
  </si>
  <si>
    <t>HealthTech, Mobile, SaaS, TMT</t>
  </si>
  <si>
    <t>208970-65T</t>
  </si>
  <si>
    <t>Screeb (Business/Productivity Software)</t>
  </si>
  <si>
    <t>Developer of a continuous product discovery platform intended to provide research solutions for product-led teams. The company facilitates understanding who its users are and what they need and helps to make quick decisions to increase product adoption and user retention, enabling UX research, customer success, and marketing teams to increase their growth.</t>
  </si>
  <si>
    <t>Antoine Esnault(Antoine Esnault), Aurélien Sorbay(Aurélien Sorbay), Eduardo Ronzano(Eduardo Ronzano), Epopée Gestion(Vladimir Bolze), Franck Silva(Franck Silva), Frédéric de Gombert(Frédéric de Gombert), Gabriel Gourovitch(Gabriel Gourovitch), Julien Landure(Julien Landure), Nicolas Dupont(Nicolas Dupont), Pierre Facq(Pierre Facq), Stan Massueras(Stan Massueras), Super Capital, Sylvain Eche(Sylvain Eche), Thibaud Elziere(Thibaud Elziere)</t>
  </si>
  <si>
    <t>funnel analysis, product analysis, product analytics, product discovery, product discovery platform, product discovery software, vertical application</t>
  </si>
  <si>
    <t>196677-55T</t>
  </si>
  <si>
    <t>BOUSCAS, European Innovation Council Fund, Saint-Genys</t>
  </si>
  <si>
    <t>209285-83T</t>
  </si>
  <si>
    <t>EIT InnoEnergy, European Innovation Council Fund, Itochu (TKS: 8001)</t>
  </si>
  <si>
    <t>208861-12T</t>
  </si>
  <si>
    <t>Nona (Business/Productivity Software)</t>
  </si>
  <si>
    <t>Developer of an administrative tool designed to make kitchen menus sustainable. The company offers a collective catering management software that uses data from technical sheets classified by season, and frequency, providing users with a digital and easy-to-use tool that helps them create sustainable menus, saving them time on paperwork, budget tracking, and communication.</t>
  </si>
  <si>
    <t>Bpifrance(Joséphine Marie), d'lle de France, Foodbiome, France Active Ile De France, Investir &amp;+, Paris Initiative Enterprises</t>
  </si>
  <si>
    <t>catering management, catering management software, catering management system, kitchen management software, management software, order management, paperless portal, saas-based app, sustainable kitchen</t>
  </si>
  <si>
    <t>206327-08T</t>
  </si>
  <si>
    <t>Balderton Capital(Bernard Liautaud), FJ Labs, Meta Platforms (NAS: META)</t>
  </si>
  <si>
    <t>282245-86T</t>
  </si>
  <si>
    <t>Amundi (PAR: AMUN)(Florian Peudevin), Banque Populaire, Credit Cooperatif(Béatrice Ogé), Crédit Agricole Aquitaine Expansion, Grand Sud Ouest Capital(Romain Fourcade), Jean-Christophe Kugler(Jean-Christophe Kugler)</t>
  </si>
  <si>
    <t>208591-12T</t>
  </si>
  <si>
    <t>Virgil</t>
  </si>
  <si>
    <t>Consumer Finance*, Other Financial Services</t>
  </si>
  <si>
    <t>Provider of financial services intended to invest in properties with customers according to their needs. The company's services invest equity alongside young professionals so they can acquire their homes and start building up their net worth, enabling young professionals to get the necessary deposit to buy an apartment and homebuyers to get mortgages, become owners, and buy houses.</t>
  </si>
  <si>
    <t>Alven Capital Partners, Aquasourca, Augusta (France), Clément Alteresco, Emmanuel Amon(Emmanuel Amon), Evolem, Global Founders Capital, Phoenix Court, Victoria van Lennep(Victoria van Lennep)</t>
  </si>
  <si>
    <t>apartments loans, financial service, home buy assistance, home loan financing, housing loan provider, real estate equity</t>
  </si>
  <si>
    <t>Consumer Finance</t>
  </si>
  <si>
    <t>208656-73T</t>
  </si>
  <si>
    <t>Vote.com</t>
  </si>
  <si>
    <t>Business/Productivity Software*, Government</t>
  </si>
  <si>
    <t>Developer of a transparent digital ballot box intended for complying with the security requirements of the Council of Europe. The company specializes in sessional or scheduled vote secret ballot or show of hands proxy, weighting, multi-member voting, and double authentication, enabling users with self-service secure online voting.</t>
  </si>
  <si>
    <t>Arts et Métiers Business Angels, Bank of the Philippine Islands (PHS: BPI), Banque Populaire Aquitaine Centre Atlantique, BNP Paribas (PAR: BNP), INSEAD Business Angels, Orange Ventures</t>
  </si>
  <si>
    <t>autonomous monitoring, ballot machine, digital voting system, online voting, saas platform, voting system</t>
  </si>
  <si>
    <t>213296-95T</t>
  </si>
  <si>
    <t>Bellman</t>
  </si>
  <si>
    <t>Automation/Workflow Software, Business/Productivity Software*, Real Estate Services (B2C)</t>
  </si>
  <si>
    <t>Operator of trustee and management software intended to help with the tasks of a real estate professional. The company's software automates low-value administrative tasks and assists in daily activities such as accounting, management of building employees, recovery, etc., helping trustee and management teams save time on administrative management and automate tasks.</t>
  </si>
  <si>
    <t>Breega, Iserda(Eric Setton), Lakestar(Nicolas Brand)</t>
  </si>
  <si>
    <t>administrative management, administrative tasks, automate task, management software, property manager, rental management</t>
  </si>
  <si>
    <t>215676-55T</t>
  </si>
  <si>
    <t>Kovalee (Software Development Applications)</t>
  </si>
  <si>
    <t>Business/Productivity Software, IT Consulting and Outsourcing, Software Development Applications*</t>
  </si>
  <si>
    <t>Developer of an application publishing platform designed to allow application creators to focus on content and code. The company offers a modular and ultra-modular design, application testing, application store optimization, user acquisition, and monetization through artificial intelligence-powered prediction of customers, enabling developers with a data-backed test to adopt the strategies that suit their software and applications.</t>
  </si>
  <si>
    <t>Alan Fung(Alan Fung), Alexandre Berriche(Alexandre Berriche), Bpifrance(Joséphine Marie), Breega, IRIS (Private Equity), Iris Ventures</t>
  </si>
  <si>
    <t>ab testing, app designer, app monetization, app publisher, app publishing, mobile app creator</t>
  </si>
  <si>
    <t>216033-49T</t>
  </si>
  <si>
    <t>MagicPallet</t>
  </si>
  <si>
    <t>Business/Productivity Software, Environmental Services (B2B), Logistics*, Media and Information Services (B2B)</t>
  </si>
  <si>
    <t>Operator of a pallet exchange platform intended for carriers, producers and distributors to relocate pallets from one site to another. The company's platform aims to eradicate the ecological and economic aberration of returning pallets to its shippers and thus reduce the environmental impact of road freight transport, enabling carriers, manufacturers and distributors to avoid journeys and hence carbon emissions and pallet relocation costs while promoting the use and reuse of the pallet.</t>
  </si>
  <si>
    <t>AMBA Invest, Demeter Partners, IRDI Capital Investissement</t>
  </si>
  <si>
    <t>carbon emission removal, carrier relationships, fleet management, freight technology, pallets shipment, transport operation, transport pallets, trucking logistics</t>
  </si>
  <si>
    <t>CleanTech, Supply Chain Tech</t>
  </si>
  <si>
    <t>209144-35T</t>
  </si>
  <si>
    <t>OnlyOne</t>
  </si>
  <si>
    <t>Developer of an all-in-one financial application intended to help customers manage their money in an environment-friendly way. The company offers an application for digital account opening for payments, saving, money transfer, insurance, funding ecological projects and companies, and earning money and also offers a recyclable PVC card, helping customers to achieve their financial goals while making an environmental impact.</t>
  </si>
  <si>
    <t>Gem Global Yield</t>
  </si>
  <si>
    <t>digital account, digital bank company, digital bank service, digital banking app, digital payment, eco-friendly, financial service, personal financial management, wealthtech</t>
  </si>
  <si>
    <t>208850-59T</t>
  </si>
  <si>
    <t>Waat</t>
  </si>
  <si>
    <t>Automotive, Other Utilities*</t>
  </si>
  <si>
    <t>Developer of electric vehicle charging infrastructure, designed to facilitate the installation and maintenance of charging stations. The company's platform offers efficient installation and support services and ensures proper connectivity and functionality, enabling property managers and residents to access reliable charging options, thereby enhancing the convenience and safety of electric vehicle usage.</t>
  </si>
  <si>
    <t>RAISE Group</t>
  </si>
  <si>
    <t>battery electric vehicle, charging infrastructure, charging station, electric charging space, electric charging station, grid integration, renewable energy integration, smart charging solutions</t>
  </si>
  <si>
    <t>206285-14T</t>
  </si>
  <si>
    <t>Audion</t>
  </si>
  <si>
    <t>Developer of a proprietary platform intended to automate, customize, and measure digital audio advertising. The company's platform allows for performing real-time customized audio advertising on podcasts, enabling podcast editors to insert advertisements that are adapted to the geographic context.</t>
  </si>
  <si>
    <t>Elevation Capital (India), Elevation Capital Partners(Benjamin Cohen), Financiere Arbevel, Founders Future, YADAY</t>
  </si>
  <si>
    <t>ad technology, advertising company, audio advertisement, audio advertising, audio technology, customer relationship management, podcast advertising</t>
  </si>
  <si>
    <t>208346-86T</t>
  </si>
  <si>
    <t>Headline(Christian Leybold), Kima Ventures, Kinled Holding, Proxy Ventures, Snow Capital Management, Speedinvest, Tiny Supercomputer Investment Company, Voyagers.io</t>
  </si>
  <si>
    <t>208433-71T</t>
  </si>
  <si>
    <t>Y-Brush</t>
  </si>
  <si>
    <t>Electronics (B2C), Other Devices and Supplies*, Personal Products</t>
  </si>
  <si>
    <t>Manufacturer of electric toothbrush designed for efficient dental brushing. The company's device automatically deep cleans the teeth the way dentists recommend them to be cleaned in just a few seconds using sonic vibrating technology and cleans effectively, deeply, and gently, enabling users to take care of the teeth of their patients and residents, save time, and reduce costs.</t>
  </si>
  <si>
    <t>Benoît Petit(Benoît Petit), Bpifrance, SEB Alliance, Valérie Poinsot(Valérie Poinsot), Vivacto Developpment, Wendie Renard(Wendie Renard)</t>
  </si>
  <si>
    <t>dental technology, electric toothbrush, electric toothbrush seller, gum cleaning, medical device innovation, medical device provider, personal care products, teeth brushes, teeth cleaning</t>
  </si>
  <si>
    <t>Caluire-et-Cuire, France</t>
  </si>
  <si>
    <t>208255-42T</t>
  </si>
  <si>
    <t>Beeldi</t>
  </si>
  <si>
    <t>Developer of an asset management platform designed to simplify the technical management of the building. The company's application combines business intelligence and artificial intelligence (AI) to collect field data and consult a complete, organized, and updated mapping of assets, enabling property managers to prioritize their regulatory, renovation, and energy efficiency actions.</t>
  </si>
  <si>
    <t>Citizen Capital, Starquest Capital, Ternel</t>
  </si>
  <si>
    <t>asset management platform, construction audit, energy audit, energy building, energy diagnostics, enterprise asset management, enterprise resource planning, technical maintenance, vertical application</t>
  </si>
  <si>
    <t>244652-41T</t>
  </si>
  <si>
    <t>EnerVivo</t>
  </si>
  <si>
    <t>Energy Production, Other Commercial Services, Other Energy Services*</t>
  </si>
  <si>
    <t>Operator of an agrivoltaic projects company intended to create a local symbiosis between agroecology and renewable electricity production. The company offers free pre-study to assess the technical and economic opportunities of a project by building a shed at a lower cost, protecting the equipment, diversifying the agricultural activity, providing farmers with photovoltaic or solar sheds.</t>
  </si>
  <si>
    <t>Business Angel France, Nouvelle Aquitaine Co-Investissement, Sofilaro</t>
  </si>
  <si>
    <t>agricultural project, agriculture finance, energy solar, photovoltaic project, renewable electricity, renewable energy, solar shed</t>
  </si>
  <si>
    <t>208243-36T</t>
  </si>
  <si>
    <t>Pelico</t>
  </si>
  <si>
    <t>Developer of a data management platform designed to help achieve predictable outputs. The company's platform offers intelligent alerts and a prioritized list of recommended actions needed to carry out to improve performance, continuously monitor bottlenecks, and help resolve issues, providing operational and supply chain teams with artificial intelligence-assisted recommendations to optimize daily decision-making.</t>
  </si>
  <si>
    <t>83North, Adrien Nussenbaum(Adrien Nussenbaum), Bastian Nominacher(Bastian Nominacher), Carsten Thoma(Carsten Thoma), ISAI, La Famiglia, Serena (Paris)</t>
  </si>
  <si>
    <t>computer software, data implementation, data management, data management app, data management firm, enterprise resource planning, erp, information aggregation, information technology, operations data</t>
  </si>
  <si>
    <t>208216-81T</t>
  </si>
  <si>
    <t>CSB School</t>
  </si>
  <si>
    <t>Operator of a management school intended for cybersecurity learning. The company is focused on managerial, technical, and entrepreneurial aspects, which are designed by cybersecurity and higher education professionals for effective cybersecurity training which is required beyond a good technical mastery, many skills in fields as varied as compliance, communication, or management, enabling students to get technical as well as management learning.</t>
  </si>
  <si>
    <t>Bpifrance, Gimelec</t>
  </si>
  <si>
    <t>cybersecurity learning, digital transformation, entrepreneurial study, learning platform, managed security services, management school, network security, security operations</t>
  </si>
  <si>
    <t>Cybersecurity, EdTech</t>
  </si>
  <si>
    <t>203538-52T</t>
  </si>
  <si>
    <t>Hummink</t>
  </si>
  <si>
    <t>Developer of nano-printing technology designed to perform a direct deposition of any ink on any substrate. The company's technology uses a patented algorithm that combines a nanometric pen with an oscillating microresonator to perform a capillary deposition of various liquids, enabling clients to get tools to build large objects with the same resolution and precision on millimetric to centimetric substrates.</t>
  </si>
  <si>
    <t>Beeyond(Christophe Bureau), Bpifrance, Elaia Partners, PSL-Pepite, Sensinnovat</t>
  </si>
  <si>
    <t>additives manufacturing firm, deposition tools, flat panel display, nanoprinting technology, patented algorithm, semiconductor industry</t>
  </si>
  <si>
    <t>3D Printing, Nanotechnology</t>
  </si>
  <si>
    <t>208209-43T</t>
  </si>
  <si>
    <t>InMyBelly</t>
  </si>
  <si>
    <t>Food Products*, Other Services (B2C Non-Financial)</t>
  </si>
  <si>
    <t>Operator of a culinary-based platform intended to provide quality food. The company offers fresh dishes, prepared daily taking into account the seasonality of the ingredients, enabling clients with healthy dishes at affordable prices.</t>
  </si>
  <si>
    <t>culinary dish, culinary service, food delivery, fresh dishes, healthy food, seasonal food, seasonal ingredients</t>
  </si>
  <si>
    <t>207338-05T</t>
  </si>
  <si>
    <t>Matcha (Paris)</t>
  </si>
  <si>
    <t>Operator of a business productivity platform intended to boost sales of distributors of wines, beers, and other spirits. The company utilizes artificial intelligence to offer round-the-clock engine-based recommendations, product sheets with customer information, and a tailor-made wine list sales tool, enabling clients to grow their online sales, collect and optimize product data, build customer loyalty, and guide their customers to buy the wine suited to the occasion.</t>
  </si>
  <si>
    <t>Karot Capital</t>
  </si>
  <si>
    <t>ai based, customer relationship, data optimization, digital marketing, marketing services, online sales, spirit distributor</t>
  </si>
  <si>
    <t>Artificial Intelligence &amp; Machine Learning, Marketing Tech</t>
  </si>
  <si>
    <t>213790-33T</t>
  </si>
  <si>
    <t>Magnoric</t>
  </si>
  <si>
    <t>Manufacturer of refrigeration machines and devices intended to provide cooling by using low-temperature waste heat. The company utilizes magneto-caloric refrigeration technology and waste heat recovery to create products that exhibit reversible thermal changes due to changes in the magnetic, electric and mechanical fields, enabling consumers to access eco-friendly cooling products.</t>
  </si>
  <si>
    <t>VULKAN Group(Sven Oelert)</t>
  </si>
  <si>
    <t>built environment, cooling device manufacturer, heat pump, heating and cooling, magnetic cooling, magnetic refrigeration, refrigeration machine, refrigeration technology, waste heat power</t>
  </si>
  <si>
    <t>Duppingheim, France</t>
  </si>
  <si>
    <t>207833-23T</t>
  </si>
  <si>
    <t>Agryco</t>
  </si>
  <si>
    <t>Internet Retail, Media and Information Services (B2B), Other Agriculture, Specialty Retail*</t>
  </si>
  <si>
    <t>Operator of an agricultural marketplace intended to make the way of purchasing agricultural products cost-effectively. The company's marketplace offers secure payment options, financing plans, expert support, and a comprehensive product selection, enabling farmers and farming professionals to access products and services, ensuring improved productivity and cost savings.</t>
  </si>
  <si>
    <t>Aliment Capital, Eurazeo PME, Temasek Holdings, Treis Partners</t>
  </si>
  <si>
    <t>agribusiness marketplace, agricultural byproducts, agricultural equipment, agricultural marketplace, agricultural product, agrifinance and ecommerce, farming methods, procurement market, sustainable farming methods</t>
  </si>
  <si>
    <t>Coole, France</t>
  </si>
  <si>
    <t>211072-51T</t>
  </si>
  <si>
    <t>Newtree Impact, Noshaq</t>
  </si>
  <si>
    <t>207871-66T</t>
  </si>
  <si>
    <t>Symexo</t>
  </si>
  <si>
    <t>Provider of information technology services and consulting intended to support digital transformation. The company offers pragmatic, efficient, and innovative solutions to write and realize productive and quantitative computer scenarios through a tailor-made approach, enabling businesses to stand amid digital change.</t>
  </si>
  <si>
    <t>computer service, digital transformation agency, digital transformation services, it consultation service, it consulting company, outsourcing model, telephony tools</t>
  </si>
  <si>
    <t>208040-86T</t>
  </si>
  <si>
    <t>Faume</t>
  </si>
  <si>
    <t>Operator of a technology and logistics platform intended to engage brands and their customers in building a circular economy. The company's platform offers site design, communication, product shooting, and customer service for brands to have an operational platform integrated into existing operations, enabling clients to manage their secondhand business by gaining new customers, retaining them, and increasing the long-term income for both physical and online stores.</t>
  </si>
  <si>
    <t>Berry Services, Bpifrance(Clemence Rousselet), Club Holnest, Daphni(Charles-Henry Tranie), Holnest, Michaël Benabou(Michaël Benabou), Snaw Ventures, Stanislas de Quercize</t>
  </si>
  <si>
    <t>brand building, brand consultation, branding logistics, business management, ecommerce-as-a-service, logistics platform, scm, secondhand business, supply chain management</t>
  </si>
  <si>
    <t>Perche-en-Nocé, France</t>
  </si>
  <si>
    <t>215188-48T</t>
  </si>
  <si>
    <t>Les Causantes</t>
  </si>
  <si>
    <t>Provider of marketing consultancy services intended to access the virtuous circle of sustainable growth by reconciling branding and performance. The company provides brand campaigning, awareness, and other marketing growth strategy services, enabling businesses to increase their sales and make their products accessible to consumers.</t>
  </si>
  <si>
    <t>consultancy services, consulting firm, creative studio, growth marketing, growth marketing agency, marketing group</t>
  </si>
  <si>
    <t>216155-89T</t>
  </si>
  <si>
    <t>Libeo</t>
  </si>
  <si>
    <t>Developer of a B2B payments platform designed to centralize, monitor and pay supplier invoices for simplified cash management. The company's platform offers invoice centralization, invoice history and enhanced cash management services alongside prepared cash reports, enabling managers, financial directors and chartered accountants and businesses to automate supplier payment management in one click and without IBAN, in an efficient manner.</t>
  </si>
  <si>
    <t>10X Capital, Gaingels, Serena (Paris)</t>
  </si>
  <si>
    <t>accounts payable management platform, accounts payable system, b2b network, b2b payment, b2b payment platform, enterprise payment, enterprise resource planning, erp, financial management system, supplier invoice, supplier management software</t>
  </si>
  <si>
    <t>207817-48T</t>
  </si>
  <si>
    <t>MyTraffic</t>
  </si>
  <si>
    <t>Developer of a big data platform intended to modernize the commercial real estate sector by digitizing the process of choice of locations. The company's platform offers real-time marketing analysis and the ability to geo-target trade areas and audit real-time business locations, its technology is based on big data analytics that takes into account data on external traffic, competition, customer profiles, and the business environment and relies on data from social networks, enabling businesses and retailers to find a location in line with their business, permitting them to reveal the full potential of their stores.</t>
  </si>
  <si>
    <t>Alven Capital Partners, AXA Venture Partners(Benoit Fosseprez)</t>
  </si>
  <si>
    <t>big data platform, crm, customer relationship management, geo marketing, geomarketing platform, location search platform, mobility data analytics, saas platform, traffic data, traffic data analysis, vertical application</t>
  </si>
  <si>
    <t>Big Data, SaaS, TMT</t>
  </si>
  <si>
    <t>248680-63T</t>
  </si>
  <si>
    <t>AUSTRAL Dx</t>
  </si>
  <si>
    <t>Developer of a medical device designed to screen, diagnose, and monitor cardiac and pulmonary pathologies in acute or chronic situations. The company uses airborne ultrasound technology intended for emergency services to speed up the diagnosis of patients presenting with symptoms such as dyspnea or chest pain, enabling doctors to improve the diagnosis and the follow-up of lung and cardiac diseases.</t>
  </si>
  <si>
    <t>Audacia (PAR: ALAUD), Sorbonne Venture</t>
  </si>
  <si>
    <t>cardiac arrest detection, cardiac care, chest pain, heart care devices, pulmonary device, pulmonary hypertension</t>
  </si>
  <si>
    <t>199003-96T</t>
  </si>
  <si>
    <t>U-Space</t>
  </si>
  <si>
    <t>Manufacturer of a space system intended to offer high-performance, commercial-grade, multi-mission satellites. The company's system provides custom-built and operational nano-satellites, enabling clients to have access to space with smaller satellites that can be produced quickly and at a low cost.</t>
  </si>
  <si>
    <t>Audacia (PAR: ALAUD), BNP Paribas Développement, Bpifrance, Karot Capital</t>
  </si>
  <si>
    <t>nano satellites manufacturer, small satellite, space design, space surveillance, space systems, space systems design</t>
  </si>
  <si>
    <t>207553-78T</t>
  </si>
  <si>
    <t>Fintecture</t>
  </si>
  <si>
    <t>Developer of a scalable payment interface gateway designed to connect businesses to banks. The company's gateway allows open banking through a programming interface that manages the technical and regulatory hassle and initiates transactions and provides access to customer account data, enabling merchants to collect payments directly from their customer's bank accounts and businesses to increase their sales and cash flow by making it easier for customers to pay by bank transfer.</t>
  </si>
  <si>
    <t>Allianz Trade, Eurazeo (PAR: RF), HEC Ventures, Huey Lin(Huey Lin), Olivier Pomel(Olivier Pomel), RTP Global, Samaipata, Societe Generale Ventures, Target Global</t>
  </si>
  <si>
    <t>api gateway, banking services, ecommerce payment, enterprise payment, open banking apis, payment, payment gateway, payment gateway platform, payment gateway software, payment platform, pos</t>
  </si>
  <si>
    <t>207740-71T</t>
  </si>
  <si>
    <t>Kermap</t>
  </si>
  <si>
    <t>Climate Risk Modeling-as-a-Service, Urban Planning Tech</t>
  </si>
  <si>
    <t>Developer of geospatial analysis platform designed to assist businesses and governments in making data-driven sustainable planning decisions. The company's system uses artificial intelligence algorithms to provide urban planning alternatives through remote sensing technology for plant mapping of cities and climate modeling on a neighborhood scale and crop monitoring alternatives, enabling city planning bodies, agriculture businesses, and governments to make and implement environmental and climate transition programs.</t>
  </si>
  <si>
    <t>Earthworm Foundation, Sodero</t>
  </si>
  <si>
    <t>city planning tools, crop monitoring tools, geoinformation system, geospatial ai, geospatial data, precision ag, precision agriculture, remote sensing, urban planning</t>
  </si>
  <si>
    <t>AgTech, Artificial Intelligence &amp; Machine Learning, CleanTech, SaaS</t>
  </si>
  <si>
    <t>214693-66T</t>
  </si>
  <si>
    <t>Tulip (Paris)</t>
  </si>
  <si>
    <t>Automotive Insurance, Financial Software*</t>
  </si>
  <si>
    <t>Operator of a digital insurance platform intended to offer insurance. The company's platform offers simple and paperless insurance, enabling bike rental professionals to insure their rentals for the day, month, or year and protect rented bikes against breakage and theft.</t>
  </si>
  <si>
    <t>bikes insurance, digital insurance, insurance platform, insurance provider, rental insurance, theft protection</t>
  </si>
  <si>
    <t>207784-36T</t>
  </si>
  <si>
    <t>Lily Facilite La Vie</t>
  </si>
  <si>
    <t>Developer of a digital employee assistance platform designed for businesses to run operations efficiently. The company's platform is a software-as-a-service technology that works for the quality of life at work by reducing the impact of personal problems on the functioning of teams, enabling employees to resolve their personal problems more quickly.</t>
  </si>
  <si>
    <t>Garance Mutuelle</t>
  </si>
  <si>
    <t>assistance platform, business development, employee assistance, employee benefit, employer branding, human resources</t>
  </si>
  <si>
    <t>207732-61T</t>
  </si>
  <si>
    <t>Quotelo</t>
  </si>
  <si>
    <t>Automation/Workflow Software, Business/Productivity Software*, Other Commercial Services</t>
  </si>
  <si>
    <t>Developer of automatization system designed for hoteliers to regain hospitality commercial independence and digitize group-event-seminar reservations. The company's platform centralizes all requests and reservations for groups, events, and seminars for any type of establishment, by adding a graphical chatbot to the website of each hotel, reserves the rooms, restaurants, activities, and nights requested, enabling hotels to book seminars, meetings or even events online and improve productivity, responsiveness, image, and predictability.</t>
  </si>
  <si>
    <t>1Kubator, Algo Consulting(Tarik Fadli), Banque Populaire, Bpifrance, France Active, RDI</t>
  </si>
  <si>
    <t>automatization systems, chatbot tool, conference center, event booking, event management, hoteliers platform, seminars management</t>
  </si>
  <si>
    <t>207516-34T</t>
  </si>
  <si>
    <t>Agence des participations de l'État, Bpifrance, Bpifrance Assurance Export, Demeter Partners(Philippe Detours), European Investment Bank (Luxembourg)(Ambroise Fayolle), Groupe IDEC(Patrice Lafargue), OPmobility (PAR: OPM), Santander Corporate &amp; Investment Banking, Schneider Electric (Electrical Equipment) (PAR: SU), Sibanye-Stillwater (JSE: SSW)(Neal Froneman), Siemens (ETR: SIE), Societe Generale (PAR: GLE)</t>
  </si>
  <si>
    <t>208829-08T</t>
  </si>
  <si>
    <t>Artifakt</t>
  </si>
  <si>
    <t>Developer of cloud application tools designed to deploy, run, and manage website projects with modern cloud infrastructures and automation. The company's tools assist developers to configure environments in just a few clicks and automate platforms, enabling developers to focus on writing, testing, improving, and deploying code.</t>
  </si>
  <si>
    <t>Alexis Bonillo(Alexis Bonillo), F6S Network, Seventure Partners</t>
  </si>
  <si>
    <t>automation tools, cloud application management, cloud management system, cloud management tool, deployment tools, devops tools</t>
  </si>
  <si>
    <t>210156-13T</t>
  </si>
  <si>
    <t>Dropcontact</t>
  </si>
  <si>
    <t>Developer of an email finder platform designed to integrate contacts and find email addresses in one click. The company's platform offers email validations, deletes harmful characters, and updates customer relationship management information automatically, enabling clients to save time and boost commercial actions.</t>
  </si>
  <si>
    <t>Via.Io</t>
  </si>
  <si>
    <t>contact integration, crm data, data enrichment, duplicate detection, email finder, email search, email search engine, email validation services, marketing tool</t>
  </si>
  <si>
    <t>Aulnay-Sous-Bois, France</t>
  </si>
  <si>
    <t>208133-92T</t>
  </si>
  <si>
    <t>Food'Lab</t>
  </si>
  <si>
    <t>Business/Productivity Software*, Consulting Services (B2B), Other Commercial Services</t>
  </si>
  <si>
    <t>Developer of a professional kitchen rental platform designed to serve restaurants and caterers. The company hosts and incubates catering professionals wishing to develop their business of selling meals delivered, take away, or on-site, enabling businesses to provide ready-to-use kitchens, a wide range of services, and personalized support.</t>
  </si>
  <si>
    <t>Centre Capital Développement, Limousin Participations</t>
  </si>
  <si>
    <t>catering service, cloud kitchen company, cloud kitchen operator, dark kitchen delivery, ghost kitchen, kitchen services, ready-to-use kitchen, restaurant &amp; retail tech, restaurant and retail technology</t>
  </si>
  <si>
    <t>226297-09T</t>
  </si>
  <si>
    <t>FunCell</t>
  </si>
  <si>
    <t>Industrial Chemicals*</t>
  </si>
  <si>
    <t>Developer of biobased additives designed to increase paper performance and give it new properties. The company's products include biowet and biograft that are extracted from biomass a polymer whose role in nature is to give strength to cellulosic materials, enabling paper, carton boards, nonwoven and textiles industries to be provided with dry and wet mechanical performance and acting as a plastic replacement.</t>
  </si>
  <si>
    <t>Iron Hands Capital, OBRATORI, Plug and Play Tech Center, Trail Solutions Patrimoine</t>
  </si>
  <si>
    <t>additives supply, biopolymer product, environmental firm, environmental solutions, paper manufacturing, paper manufacturing solutions</t>
  </si>
  <si>
    <t>Industrial Chemicals</t>
  </si>
  <si>
    <t>CleanTech, Industrials, Manufacturing</t>
  </si>
  <si>
    <t>218392-30T</t>
  </si>
  <si>
    <t>GreenHeat</t>
  </si>
  <si>
    <t>Provider of renewable and green energy services intended to recover wastewater energy. The company offers turnkey services that are carbon-free and include feasibility studies and engineering design, installation, maintenance, and ongoing support, enabling clients to save energy and reduce their carbon footprint, lower energy costs, and increase operational efficiency.</t>
  </si>
  <si>
    <t>energy efficiency, engineering design, green energy services, renewable energy, renewable heat, wastewater energy</t>
  </si>
  <si>
    <t>Ennetières-en-Weppes, France</t>
  </si>
  <si>
    <t>208438-93T</t>
  </si>
  <si>
    <t>ImstarDx</t>
  </si>
  <si>
    <t>Developer of automated cell imaging analyzer systems designed to offer cellular analysis and screening services for businesses in the biotechnology sector. The company's systems offer services ranging from sample capture to quantitative results as well as a system that helps to make diagnoses at any location, enabling healthcare professionals to get automated high-throughput cellular assay analysis in the fields of genetic toxicity and environmental toxicity for compound screening and bio-monitoring.</t>
  </si>
  <si>
    <t>Namier Capital Partners</t>
  </si>
  <si>
    <t>biology laboratory, cell biology, cell imaging, cell imaging tool, cellular imaging, digital imaging system</t>
  </si>
  <si>
    <t>209307-52T</t>
  </si>
  <si>
    <t>M&amp;A Lab</t>
  </si>
  <si>
    <t>Manufacturer of cosmetic and food supplements intended to help meet the nutritional needs of the skin and body. The company combines its food supplements with cosmetic treatments to create specialized products that are natural and efficient, helping consumers strike a balance between inner and outer beauty so as to promote general well-being.</t>
  </si>
  <si>
    <t>DuF Investments</t>
  </si>
  <si>
    <t>cosmetics firm, cosmetics maker, cosmetics seller, food supplements, natural cosmetics company, natural cosmetics product</t>
  </si>
  <si>
    <t>Beauty, Manufacturing</t>
  </si>
  <si>
    <t>Neuville-sur-Oise, France</t>
  </si>
  <si>
    <t>209110-96T</t>
  </si>
  <si>
    <t>MoneyTrack</t>
  </si>
  <si>
    <t>Developer of a blockchain-based payment platform created to facilitate exchanges between financers, beneficiaries and partners. The company's platform allows setting up directed money programs with configurable characteristics, pricing and commission structure, thereby enabling end-users to gain easier market access and lower their operating expenses.</t>
  </si>
  <si>
    <t>Accurafy4</t>
  </si>
  <si>
    <t>blockchain based platform, online payment platform, online transaction platform, online transaction system, payment platform, prepaid payment solutions, prepaid payment system</t>
  </si>
  <si>
    <t>207740-26T</t>
  </si>
  <si>
    <t>Fabric Ventures, Kima Ventures, Motier Ventures, New Wave VC</t>
  </si>
  <si>
    <t>208066-06T</t>
  </si>
  <si>
    <t>Anshul Gupta(Anshul Gupta), Ashok Kakani(Ashok Kakani), Bpifrance, Clément Buyse(Clément Buyse), David Cross(David Cross), Haystack Management Company, Jonathan Benhamou(Jonathan Benhamou), Kima Ventures(Alexis Robert), Olivier Selignan(Olivier Selignan), Scott Blandford(Scott Blandford), Ty Sbano(Ty Sbano), Vikas Enti</t>
  </si>
  <si>
    <t>184127-86T</t>
  </si>
  <si>
    <t>VoltAero</t>
  </si>
  <si>
    <t>Air Taxis</t>
  </si>
  <si>
    <t>Manufacturer of electric aircraft intended to provide safe, quiet, efficient, and eco-friendly flight. The company's aircraft offers a capable and reliable general aviation platform for private owners, air taxi or charter companies, commercial flights for point-to-point regional travel, and for use in other utilities, enabling clients to enter into a new era of electric flights.</t>
  </si>
  <si>
    <t>Kawasaki Motor, Tesi Aeronautics(Luigi Punzo)</t>
  </si>
  <si>
    <t>aerospace product, eco-friendly flight, flight manufacturer, fuel optimization, green energy, hybrid model</t>
  </si>
  <si>
    <t>CleanTech, Climate Tech, Industrials, Manufacturing</t>
  </si>
  <si>
    <t>Saint Agnant, France</t>
  </si>
  <si>
    <t>208082-89T</t>
  </si>
  <si>
    <t>Volume Software</t>
  </si>
  <si>
    <t>Developer of enterprise resource planning software designed for packaging and graphic designing. The company's software covers business specifications, sales management, purchasing, production management, planning, and logistics, enabling businesses to set up an information system adapted to their business.</t>
  </si>
  <si>
    <t>enterprise resource planning, erp platform, erp software, sales management software, software editor platform, software editor tools, software gateway</t>
  </si>
  <si>
    <t>214122-52T</t>
  </si>
  <si>
    <t>Wave (Educational Software)</t>
  </si>
  <si>
    <t>Developer of coaching automated intelligence platform designed to offer a tailored coaching experience to executives and managers in startups, scale-ups, and unicorns worldwide. The company's platform uses proprietary technology, machine learning, and algorithms to deliver personalized coaching services, helping professionals to grow efficiently at work and in life at an accessible price.</t>
  </si>
  <si>
    <t>First Row Partners, New Wave VC</t>
  </si>
  <si>
    <t>coaching experience, coaching platform, coaching platform developer, consumer data analytics, professional education, professional training, training application, vertical application</t>
  </si>
  <si>
    <t>208017-82T</t>
  </si>
  <si>
    <t>WeLoop</t>
  </si>
  <si>
    <t>Developer of community-based software designed to enhance the exchange between users on their functional needs and give IT teams a global view of development priorities. The company's software uses advanced analytics to qualify and rank the feedback from users while they are using the application and establish final prioritization through a customizable process, enabling clients to measure the engagement of their users through their feedback analysis.</t>
  </si>
  <si>
    <t>change management, digital workplace, improvement process, user engagement, user engagement tool, user experience, user experience agency, workflow management</t>
  </si>
  <si>
    <t>208136-44T</t>
  </si>
  <si>
    <t>Yatoo Extreme</t>
  </si>
  <si>
    <t>Electronics (B2C), Recreational Goods*</t>
  </si>
  <si>
    <t>Manufacturer of leisure accessories intended to provide road trip equipment. The company offers various products and services that are compatible with modern vehicles, usable daily and discreetly, functional equipment, suitable for leisure, enabling customers to meet the essential requirements of outdoor life and compatible products that help the needs of users.</t>
  </si>
  <si>
    <t>accessories company, car equipment and accessories, consumer durables goods, electrical equipment, equipment and accessories, equipment supplier</t>
  </si>
  <si>
    <t>Romorantin, France</t>
  </si>
  <si>
    <t>214510-33T</t>
  </si>
  <si>
    <t>Dianosic</t>
  </si>
  <si>
    <t>Drug Delivery*</t>
  </si>
  <si>
    <t>Developer of medical devices designed to serve in the treatment of ENT conditions. The company's platform offers an alternative to daily medication by designing a unique sustained intranasal drug delivery solution for respiratory and chronic central nervous system diseases, its active resorbable intranasal scaffold device includes asymmetric balloons to treat nosebleeds and active resorbable scaffolds that treat chronic sinusitis, allergic rhinitis, and intranasal bleeding, enabling doctors to remotely follow patients out of the hospital and keep track of their health.</t>
  </si>
  <si>
    <t>Banque Populaire Rives de Paris, BioValley France, Bpifrance, Caisse d'Epargne Hauts de France, Fondation Force, Strasbourg Eurometropole, WiSeed</t>
  </si>
  <si>
    <t>allergic disease, allergic rhinitis, chronic conditions care, chronic sinusitis, cns diseases treatment, healthcare market, medical treatment, sinusitis treatment</t>
  </si>
  <si>
    <t>207209-98T</t>
  </si>
  <si>
    <t>Newboot</t>
  </si>
  <si>
    <t>Developer of a data integration technology designed to simplify installation. The company's technology monitors production systems and collects physical information and transmits it to business services in real-time, enabling enterprises and companies to connect and communicate between various devices with all cloud applications and collect the data.</t>
  </si>
  <si>
    <t>Pilot Fish II, Saint-Gobain NOVA</t>
  </si>
  <si>
    <t>cloud application, cloud integration, connectivity device, data collection, data deployment, data integration, data management, iot hardware</t>
  </si>
  <si>
    <t>Big Data, Internet of Things, SaaS</t>
  </si>
  <si>
    <t>207166-51T</t>
  </si>
  <si>
    <t>Jeudimerci</t>
  </si>
  <si>
    <t>Developer of an online platform designed to send rewards and e-gifts for customer engagement and business development. The company's platform offers online and offline marketing services for goods delivery and business development through centralized gifting outreach touches and automates the delivery of gifts to customers and employees on a timely basis, enabling businesses to send gifts and create opportunities through brand experience.</t>
  </si>
  <si>
    <t>Altavia Adventures, Bpifrance(Joséphine Marie), Crédit Agricole Alpes Développement, Scale Investment Funds, Shapr Ventures, Super Capital</t>
  </si>
  <si>
    <t>brand experience, business development, customer engagement, gift online, gift package, gifting solution</t>
  </si>
  <si>
    <t>211200-67T</t>
  </si>
  <si>
    <t>M Education</t>
  </si>
  <si>
    <t>Operator of an education technology company intended to offer simple and intuitive services to simplify the daily lives of teachers. The company develops a network of bilingual services that help to search, consult, comment on and share educational resources online, enabling educators to expand the possibilities of content and technology to support learning and personalized teaching.</t>
  </si>
  <si>
    <t>bilingual education, edtech tools, education technology firm, education technology service, educational services, kindergarten service</t>
  </si>
  <si>
    <t>201827-26T</t>
  </si>
  <si>
    <t>Lattice Medical</t>
  </si>
  <si>
    <t>Biotechnology, Drug Discovery, Other Healthcare Services, Therapeutic Devices*</t>
  </si>
  <si>
    <t>Developer of a medtech company designed to help manufacture and design soft tissue reconstruction devices for breast reconstruction. The company integrates biomaterials, tissue engineering, and 3D printing, it specializes in implants for breast reconstruction after cancer that help in personalized reconstruction with a single surgery, enabling health professionals to get access to a medical device that assists in reconstructing the lost volume of the patients after mastectomy, it also reduces surgery time, less invasiveness, and minimal pain.</t>
  </si>
  <si>
    <t>medical devicies, soft tissue implant, soft tissue repair, soft tissue replacement, soft tissue therapeutics, soft tissue treatment, surgery device, surgical implants</t>
  </si>
  <si>
    <t>FemTech, HealthTech, Life Sciences, Oncology</t>
  </si>
  <si>
    <t>213838-93T</t>
  </si>
  <si>
    <t>Borderless Capital</t>
  </si>
  <si>
    <t>202226-50T</t>
  </si>
  <si>
    <t>Leia Capital, Super Capital, Tudigo</t>
  </si>
  <si>
    <t>206831-98T</t>
  </si>
  <si>
    <t>Elaia Partners(Anne-Sophie Carrese), Omnes Capital(Michel de Lempdes), RAISE Group, Raise Ventures</t>
  </si>
  <si>
    <t>206847-46T</t>
  </si>
  <si>
    <t>Satelia</t>
  </si>
  <si>
    <t>Developer of a medical device designed for cardiac health monitoring. The company offers satellite cardio for the telemonitoring of heart failure patients and also offers an alert system, enabling the medical team to identify patients showing a possible deterioration of health and to view the history of teletransmissions.</t>
  </si>
  <si>
    <t>Impact Partners (Paris)</t>
  </si>
  <si>
    <t>cardiology app, medical device, medical device firm, personalized care, remote monitoring, telemonitoring application, telemonitoring devices, telemonitoring platform, telemonitoring system</t>
  </si>
  <si>
    <t>206806-15T</t>
  </si>
  <si>
    <t>Atempo Growth, Battery Ventures(Michael Brown), Bpifrance, ETF Partners(Remy de Tonnac), LFX Venture Partners, NGP Capital(Bo Ilsøe), Partech(Philippe Collombel), SAP.iO, Yamaha Motor Ventures &amp; Laboratory Silicon Valley</t>
  </si>
  <si>
    <t>214812-19T</t>
  </si>
  <si>
    <t>Fountain Healthcare Partners(Ena Prosser)</t>
  </si>
  <si>
    <t>206794-99T</t>
  </si>
  <si>
    <t>Jimmy</t>
  </si>
  <si>
    <t>Operator of high-temperature reactor technology intended to provide a carbon-free industrial heat supplier. The company specializes in designing and operating thermal generators that replace fossil fuels, enabling clients to get an effective and massively applicable alternative to decarbonize process heat in the short term it is cheaper than fossil fuels which improve air quality, have little visual impact, and have no sound impact.</t>
  </si>
  <si>
    <t>EREN Groupe, Eren Industries, Noria, Omnes Capital, Otium Capital, Polytechnique Ventures, Serena (Paris)</t>
  </si>
  <si>
    <t>decarbonated energy systems, ecological solutions, energy management solution, heat generator, high temperature thermal system, thermal generator</t>
  </si>
  <si>
    <t>194182-03T</t>
  </si>
  <si>
    <t>BeReal</t>
  </si>
  <si>
    <t>Developer of a photo-sharing application designed to help remain connected. The company's application sends a simultaneous notification to everyone on the list at a random time to capture and share a photo in a fixed time, enabling users with a new way to discover real friendships in their daily lives.</t>
  </si>
  <si>
    <t>Adjacent (New York), Coatue Management, DST Global</t>
  </si>
  <si>
    <t>photo sharing app, photo sharing system, photo sharing tools, social connect, social experience, social hub, social interactive</t>
  </si>
  <si>
    <t>Ephemeral Content, Mobile, SaaS</t>
  </si>
  <si>
    <t>208491-85T</t>
  </si>
  <si>
    <t>Cuvee Privee</t>
  </si>
  <si>
    <t>Beverages*, Cultivation</t>
  </si>
  <si>
    <t>Producer of wine and olive oil by adopting plots intended to create personalized products. The company produces personalized products all year round which are known in detail, enabling customers to adopt a row of vines and offer wine collaborators an adoption of plots over a year, or just a bottle of wine or olive oil personalized for an event.</t>
  </si>
  <si>
    <t>Aonia Ventures, Founders Future, Kickston, Kima Ventures</t>
  </si>
  <si>
    <t>e-commerce-strategie, food and beverage manufacturing, food and wine, wine and spirit distributor, wine house, wines and liquor, wines and spirits</t>
  </si>
  <si>
    <t>206738-02T</t>
  </si>
  <si>
    <t>Theaomai</t>
  </si>
  <si>
    <t>Business/Productivity Software, Media and Information Services (B2B)*, Movies, Music and Entertainment</t>
  </si>
  <si>
    <t>Operator of a web portal intended for direct and commission-free contact between artists, companies, producers, and thousands of programmers. The company's portal offers a presentation sheet, contact information, a search engine, videos, pictures, and a complete directory, enabling clients to connect with programmers.</t>
  </si>
  <si>
    <t>Activa Capital, Re-Sources Capital</t>
  </si>
  <si>
    <t>information platform, information tools, live performance, live shows operator, web platform, web portal</t>
  </si>
  <si>
    <t>211210-21T</t>
  </si>
  <si>
    <t>ZE Energy (Energy Production)</t>
  </si>
  <si>
    <t>Provider of renewable energy intended to decarbonize the planet. The company is involved in the business of developing, building, and operating photovoltaics and storage hybrid solar power plants and also marketing green energy, enabling consumers to get access to clean energy.</t>
  </si>
  <si>
    <t>Demeter Partners, High-Tech Gründerfonds, ZE Way Invest</t>
  </si>
  <si>
    <t>climate tech company, energy storage, intermittent renewable energy, power plant, renewable energy power, renewable energy producer, renewable energy project, renewable energy solutions, solar photovoltaic</t>
  </si>
  <si>
    <t>206625-52T</t>
  </si>
  <si>
    <t>Beebs</t>
  </si>
  <si>
    <t>Accessories, Clothing, Other Services (B2C Non-Financial)*</t>
  </si>
  <si>
    <t>Developer and operator of a social marketplace designed to help parents buy and resell their baby items. The company's platform facilitates the buying and selling of second-hand baby products, cheaply and sustainably, enabling young moms and dads to both buy and resell baby items reliably to other parents.</t>
  </si>
  <si>
    <t>Citizen Capital(Olivier Mougenot), ISAI(Jean-David Chamboredon), Mercari (TKS: 4385)(Hirohisa Tamonoki)</t>
  </si>
  <si>
    <t>baby items, kids products, social marketplace, social marketplace application, social marketplace platform, specialty retail stores</t>
  </si>
  <si>
    <t>Hem, France</t>
  </si>
  <si>
    <t>188651-98T</t>
  </si>
  <si>
    <t>Boxy (Department Stores)</t>
  </si>
  <si>
    <t>Business/Productivity Software, Department Stores*</t>
  </si>
  <si>
    <t>Developer of an autonomous convenience store technology designed to provide quick and easy access to essential daily products. The company's technology permits any retailer to augment their store experience and uses privacy-based tracking, product recognition, and transaction attribution, which offers a queue-less experience to customers, enabling retailers to maximize loss prevention, optimize stock management, and increase profitability.</t>
  </si>
  <si>
    <t>Bootstrap Europe, CapHorn Invest(Clara Audry), Phoenix Court(George Henry), Serena (Paris)(Olivier Martret)</t>
  </si>
  <si>
    <t>autonomous shopping, autonomous store, cashless shopping, quick response code, self-service store, stock management</t>
  </si>
  <si>
    <t>194597-11T</t>
  </si>
  <si>
    <t>Outsight</t>
  </si>
  <si>
    <t>Business/Productivity Software*, Other Hardware</t>
  </si>
  <si>
    <t>Developer of spatial intelligence software designed to track the motion of people and vehicles using 3D light detection and ranging data. The company's technology offers transportation hubs like airports, and train stations but also sports venues, road infrastructures, and industrial sites get access to accurate and anonymous intelligence data, enabling clients to improve operations and increase safety and security.</t>
  </si>
  <si>
    <t>Aéroports de Paris (PAR: ADP)(Edward Arkwright), BNP Paribas (PAR: BNP), Bpifrance(Adrien Muller), Demeter Partners, Energy Innovation Capital(Kevin Skillern), European Commission, FORVIA (PAR: FRVIA), FORVIA1, Safran Corporate Ventures, Société de Participation et de Gestion(Stephane Ryelandt)</t>
  </si>
  <si>
    <t>3d perception, autonomous driving, connected service, connected vehicles, global positioning system, lidar engine, lidar sensing, lidar vision systems, self driving car, situation awareness tools, spatial intelligence, spatial intelligence platform</t>
  </si>
  <si>
    <t>255885-49T</t>
  </si>
  <si>
    <t>Bpifrance(Laurent Higueret), Elaia Partners, Eurazeo (PAR: RF)(Antoine Zins)</t>
  </si>
  <si>
    <t>215736-67T</t>
  </si>
  <si>
    <t>FORVIA (PAR: FRVIA)</t>
  </si>
  <si>
    <t>206732-71T</t>
  </si>
  <si>
    <t>Dracula Technologies</t>
  </si>
  <si>
    <t>Developer of sustainable energy technology designed to focus on organic photovoltaics. The company's technology specializes in designing and developing printed Light modules that can be used in any electronic devices such as sensors, asset tracking, and smart building, to produce power to recharge themselves, enabling clients to solve the use of batteries and providing greater reliability and operational lifetime in wireless sensor networks.</t>
  </si>
  <si>
    <t>Banque des Territoires, Région Auvergne-Rhône-Alpes, Semtech (NAS: SMTC), Siparex Group</t>
  </si>
  <si>
    <t>energy harvesting, energy harvesting power systems, industrial iot, organic photovoltaic devices, organic photovoltaic technology, solar cell module, solar cell system, sustainable energy system</t>
  </si>
  <si>
    <t>CleanTech, Internet of Things</t>
  </si>
  <si>
    <t>Valence, France</t>
  </si>
  <si>
    <t>206480-35T</t>
  </si>
  <si>
    <t>AirAngels, Global Founders Capital, Headline, Mischief, Motier Ventures, Pathlight Ventures, Ribbit Capital, Ventures Together</t>
  </si>
  <si>
    <t>206699-68T</t>
  </si>
  <si>
    <t>Yes Yes</t>
  </si>
  <si>
    <t>Other Services (B2C Non-Financial)*, Specialty Retail</t>
  </si>
  <si>
    <t>Operator of a second-hand product marketplace intended for buying or selling refurbished electronics. The company provides reconditioned smartphones, tablets and gaming consoles. It offers services such as smartphone repair and maintenance, end-of-life collection, and recycling, providing consumers with a simple and economical solution to buy or sell used electronics.</t>
  </si>
  <si>
    <t>Abeille Impact Investing France, CEN Innovation, Famaë Impact, Normandie Participations</t>
  </si>
  <si>
    <t>circular economy, consumer electronics repair, phone repair, refurbished electronics marketplace, refurbished smartphones, reseller stores, sustainable technology firm, used electronic selling</t>
  </si>
  <si>
    <t>211084-84T</t>
  </si>
  <si>
    <t>Azurlight Systems</t>
  </si>
  <si>
    <t>Developer of fiber laser technology designed to provide improved stability and unprecedented levels of integration for systems applications. The company's fiber lasers emit new wavelengths for applications in the biomedical, industrial, and scientific fields and offer diffraction-limited output powers of up to 50W in the infrared range and up to 10W in the visible range, enabling clients to get quality results in industrial and scientific applications.</t>
  </si>
  <si>
    <t>Aquitaine-Creation-Innovation, IRDI Capital Investissement</t>
  </si>
  <si>
    <t>active fiber technologies, fibre laser, instrumentation system, laser doppler velocimetry, laser equipment supplier, laser platform, laser pumps, nir fiber laser</t>
  </si>
  <si>
    <t>Manufacturing, TMT</t>
  </si>
  <si>
    <t>206369-29T</t>
  </si>
  <si>
    <t>Fincome</t>
  </si>
  <si>
    <t>Developer of business intelligence and planning platform designed to provide valuable insights by connecting existing tools to automatically aggregate data. The company's platform provides digital business leaders with real-time key performance indexes and forecasts, resulting from a cross-functional approach, enabling businesses in the digital ecosystem to accelerate their growth and ensure their sustainability.</t>
  </si>
  <si>
    <t>Accel, Julian Kabab(Julian Kabab), Rodolphe Ardant(Rodolphe Ardant)</t>
  </si>
  <si>
    <t>analysis software, analytics management, kpi analysis, kpi tracking, production management, report management, reporting portal</t>
  </si>
  <si>
    <t>Champigny-sur-Marne, France</t>
  </si>
  <si>
    <t>241701-58T</t>
  </si>
  <si>
    <t>Hemarina</t>
  </si>
  <si>
    <t>Biotechnology, Laboratory Services (Healthcare)*, Other Devices and Supplies</t>
  </si>
  <si>
    <t>Operator of a biopharmaceutical laboratory intended to serve academic, clinical, and pharmaceutical companies, across Europe and the United States. The company's oxygen carriers help in organ oxygenation and minimize the risk of rejection, enabling clients to manage patients with uncontrolled hemorrhagic shock.</t>
  </si>
  <si>
    <t>Finistere Angels</t>
  </si>
  <si>
    <t>biotechnology company, health product, hemorrhagic shocks, oxygen carrier, research services, therapeutic support</t>
  </si>
  <si>
    <t>Laboratory Services (Healthcare)</t>
  </si>
  <si>
    <t>Morlaix, France</t>
  </si>
  <si>
    <t>206324-74T</t>
  </si>
  <si>
    <t>Wormsensing</t>
  </si>
  <si>
    <t>Developer of vibration sensor technology intended to reduce the cost of ownership of diagnosis or monitoring environments. The company's technology is based on a vibration detection system, capable of operating even in extreme conditions combining the field of flexible electronics with microelectronics, enabling clients to have access to vibration information and installation diagnosis.</t>
  </si>
  <si>
    <t>CEA Investissement, Innovacom (Paris)(Frederic Humbert), KBC Focus Fund(Nuno Carvalho), Turenne Groupe</t>
  </si>
  <si>
    <t>flexible electronics, piezoelectric ceramic material, sensor analytics, sensor technology, sensor technology systems, vibration analysis, vibration analysis sensor, vibration sensor</t>
  </si>
  <si>
    <t>206232-67T</t>
  </si>
  <si>
    <t>The Oasis House</t>
  </si>
  <si>
    <t>Operator of the offsite experience platform intended to design group offsites to be fun, challenging and engaging to improve team bonding. The company offers homes that are designed to conduct creative work and promote team building, learning and communication, enabling businesses to develop team bonding and increase work efficiency.</t>
  </si>
  <si>
    <t>Otium Capital(Pierre-Edouard Sterin)</t>
  </si>
  <si>
    <t>event organiser, hospitality firm, team building, team outings, team space, work space management</t>
  </si>
  <si>
    <t>208467-64T</t>
  </si>
  <si>
    <t>Plug and Play Tech Center(Alireza Masrour)</t>
  </si>
  <si>
    <t>206965-45T</t>
  </si>
  <si>
    <t>Citalid</t>
  </si>
  <si>
    <t>Developer of a cybersecurity platform designed to assess the risks of being attacked by an algorithm. The company's platform calculates the likelihood of an attack and estimates its potential financial consequences, understands the risks of cyberattacks and the possible ways to counter them, simulates an attack, and can test applications, enabling risk managers and security officers to protect companies from online attacks.</t>
  </si>
  <si>
    <t>Albingia, Axeleo Capital(Mathieu Viallard), BNP Paribas Développement, Fiblac, Financière de Blacailloux, Relyens(Dominique Godet), Seventure Partners(Ludovic Denis)</t>
  </si>
  <si>
    <t>cyber threat intelligence, cybersecurity network, fraud protection, risk management platform, risk quantification, secure web gateway, security operations</t>
  </si>
  <si>
    <t>224826-49T</t>
  </si>
  <si>
    <t>MicroPort CRM</t>
  </si>
  <si>
    <t>MicroPort Cardiac Rhythm Management Ltd is a Research &amp; Development-driven, commercial-stage medical technology company specializing in active implantable medical devices for cardiac rhythm management (CRM). It has been a pioneer dedicated to the design, development and commercialization of innovative products and solutions to better treat and manage arrhythmias and heart failure. The use of CRM devices has surged over the past few decades worldwide, primarily driven by an aging population and the introduction of advanced cardiac disease treatment and management options. Its state-of-the-art products are manufactured in Clamart, France, Saluggia, Italy, Santo Domingo, Dominican Republic, and Shanghai, China.</t>
  </si>
  <si>
    <t>CBC Group, Icbci Fund, MicroPort Scientific (HKG: 00853), Ningbo Development &amp; Investment Group, Primavera Capital Group</t>
  </si>
  <si>
    <t>cardiac resynchronization device, cardiac resynchronization devices, cardiac rhythm management, cardiovascular, defibrillators device, implantables pacemaker, rhythm management devices</t>
  </si>
  <si>
    <t>211146-40T</t>
  </si>
  <si>
    <t>Eurowatt Capital</t>
  </si>
  <si>
    <t>202004-29T</t>
  </si>
  <si>
    <t>Sabi Agri</t>
  </si>
  <si>
    <t>Manufacturer of electrical agricultural tractors intended to meet all the needs of agribusiness. The company's tractors are suitable for multiple farming projects, from viticulture to field crops including breeding, market gardening, and specialized crops, enabling farmers to incorporate agroecological farming practices.</t>
  </si>
  <si>
    <t>CITA Investissement, Crédit Agricole Centre France Développement, UI Investissement</t>
  </si>
  <si>
    <t>agricultural tractors, electric tractors, farming technology, mechatronic systems, precision agriculture, sustainable agriculture, tractors manufacturer</t>
  </si>
  <si>
    <t>AgTech, Manufacturing, Robotics and Drones</t>
  </si>
  <si>
    <t>Saint Beauzire, France</t>
  </si>
  <si>
    <t>206179-30T</t>
  </si>
  <si>
    <t>Alara Group</t>
  </si>
  <si>
    <t>Developer of medicine and radiation-related risk management technologies intended to protect against harmful ultraviolet rays. The company's technology creates predictive, patient-specific radiosensitivity tests allowing for personalized radiotherapy treatments to optimize patient care and manage risks, enabling patients and workers to get therapeutic effectiveness.</t>
  </si>
  <si>
    <t>imaging products, medical practice, radiation protection product, radiotherapy device, risk management, risk management advice</t>
  </si>
  <si>
    <t>Entzheim, France</t>
  </si>
  <si>
    <t>206425-45T</t>
  </si>
  <si>
    <t>Exorde Labs</t>
  </si>
  <si>
    <t>Developer of a decentralized indexing platform intended to empower developers to scrape misinformation and link all public data on the web. The company's platform offers transparency, openness, censorship resilience, and neutrality of data, enabling users to track the spread of information and source of information.</t>
  </si>
  <si>
    <t>DWF Labs, EVO Invest, Gydra Capital, OXO Capital Fund, Polka Bridge, Red Swiss Venture Capital, VRM Venture</t>
  </si>
  <si>
    <t>data sources, data tracking, data transparency, decentralized platform, indexing platform, web3 platform</t>
  </si>
  <si>
    <t>206106-94T</t>
  </si>
  <si>
    <t>ENGIE New Ventures, High-Tech Gründerfonds(Gernot Berger), Innovacom (Paris)(Benjamin Wainstain), Turenne Groupe</t>
  </si>
  <si>
    <t>205990-75T</t>
  </si>
  <si>
    <t>popmii</t>
  </si>
  <si>
    <t>Operator of a digital marketing platform intended to create powerful and immersive marketing campaigns. The company's platform offers an easy-to-use personalization tool that boosts communication with augmented reality, enabling retailers to capture the market and reach targeted customers.</t>
  </si>
  <si>
    <t>Bpifrance, GL Events (PAR: GLO), Happy Planet Capital, INSEAD Business Angels, Link Tribe Capital, One Green (Paris), Paris Business Angels</t>
  </si>
  <si>
    <t>advertising service, digital marketing platform, ecommerce search, marketing ideas, marketing platform software, marketing target, marketing website</t>
  </si>
  <si>
    <t>Augmented Reality, Marketing Tech, SaaS, Virtual Reality</t>
  </si>
  <si>
    <t>206144-56T</t>
  </si>
  <si>
    <t>Andera Partners(Prune Des Roches)</t>
  </si>
  <si>
    <t>205979-77T</t>
  </si>
  <si>
    <t>Tehtris</t>
  </si>
  <si>
    <t>Developer of cybersecurity software designed to provide security from malware. The company develops and markets an XDR (eXtended Detection and Response) platform capable of detecting and neutralizing digital threats like cyber spying and cyber sabotage in a real-time and automated manner, enabling clients to help protect corporate infrastructures from cyber attacks.</t>
  </si>
  <si>
    <t>AQUITI Gestion, Jolt Capital(Guillaume Girard), Nouvelle Aquitaine Co-Investissement, Open CNP, Tikehau Ace Capital(Francois Lavaste)</t>
  </si>
  <si>
    <t>cyber security technology, cyberattacks detection, endpoint detection &amp; response, endpoint detection and response, endpoint security, security cover, security monitoring software, security system, threat detection software</t>
  </si>
  <si>
    <t>206338-96T</t>
  </si>
  <si>
    <t>Cantrak, Pharmanet</t>
  </si>
  <si>
    <t>188631-28T</t>
  </si>
  <si>
    <t>Algentech</t>
  </si>
  <si>
    <t>Developer of plant gene-editing technology designed for industrial and research applications. The company's proprietary technologies form unique tools for the precise engineering of nuclear and organelle genomes, enabling agriculture organizations to avoid nuclear transgene insertion and generation of cytoplasmic male sterility lines.</t>
  </si>
  <si>
    <t>ILHE Alain</t>
  </si>
  <si>
    <t>climate tech company, gene editing technologies, gene modification, gene therapy, genetic research, nucleic acid</t>
  </si>
  <si>
    <t>205070-14T</t>
  </si>
  <si>
    <t>Coqli</t>
  </si>
  <si>
    <t>Other Containers and Packaging, Other Services (B2C Non-Financial), Paper Containers and Packaging*</t>
  </si>
  <si>
    <t>Operator of a packaging company intended to provide personalized covering technology. The company offers corrugated cardboard packaging that is completely tailored and personalized as per the user's requirements and needs, providing users with all the tools to create the packaging of their choice by themselves, while ensuring quality customer service.</t>
  </si>
  <si>
    <t>A-Venture, Bpifrance, I-NEO capital, ILP Group, Yeast (France)</t>
  </si>
  <si>
    <t>cardboard packaging, customized packaging, eco-responsible packaging, packaging business, packaging services, personalized packaging</t>
  </si>
  <si>
    <t>Paper Containers and Packaging</t>
  </si>
  <si>
    <t>Vincey, France</t>
  </si>
  <si>
    <t>211124-53T</t>
  </si>
  <si>
    <t>Le Petit Béret</t>
  </si>
  <si>
    <t>Beverages*, Specialty Retail</t>
  </si>
  <si>
    <t>Provider of non-alcoholic beverages intended to provide a variety of options for non-drinkers. The company offers a range of red and white drinks that are available in different varieties and flavors, enabling consumers to enjoy organic and alcohol-free beverages at affordable rates.</t>
  </si>
  <si>
    <t>Angels for Food, LP Innovations</t>
  </si>
  <si>
    <t>alcohol-free beverages, alcohol-free drinks, non-alcoholic beverages, non-alcoholic spirits, non-alcoholic wine, sugar free drinks, white wine</t>
  </si>
  <si>
    <t>Beziers, France</t>
  </si>
  <si>
    <t>184660-93T</t>
  </si>
  <si>
    <t>SlimPay</t>
  </si>
  <si>
    <t>Developer of a recurring payment platform intended to reinvent the subscription payment journey. The company's platform offers credit card payments and subscription payment processing services, enabling merchants to facilitate the acquisition, increase the consumer lifetime value and maximize revenue.</t>
  </si>
  <si>
    <t>Aberdeen Standard Investments, Alfvén &amp; Didrikson, BlackRock Private Equity Partners, Investment Corporation of Dubai, Neuberger Berman, Nordic Capital, Prime Ventures(Sake Bosch), South Carolina Retirement System Investment Commission</t>
  </si>
  <si>
    <t>ecommerce personalization, enterprise payment, payment gateway, payment platform, payment processing, payment solutions, pos, recurring payments, subscription payment, subscription platform</t>
  </si>
  <si>
    <t>B2B Payments, FinTech</t>
  </si>
  <si>
    <t>211295-26T</t>
  </si>
  <si>
    <t>Terakalis</t>
  </si>
  <si>
    <t>Electronic Equipment and Instruments*, Industrial Supplies and Parts, Other Commercial Services</t>
  </si>
  <si>
    <t>Developer of non-destructive testing equipment designed for the analysis and control of materials and industrial processes. The company's equipment includes generic and custom-made products and systems for analysis and control in the heart of the material inspection of internal defects and the characterization of the material's physical and chemical properties, enabling businesses to get integrated line-of-production equipment and portable alternatives for operational sites.</t>
  </si>
  <si>
    <t>Aster Capital(Fabio Lancellotti), CFEP, Galia Gestion, Supernova Invest, The Innovation Fund</t>
  </si>
  <si>
    <t>electromagnetic service, electromagnetic system, industrial machinery, mechanics parts, systems engineering, terahertz sensor</t>
  </si>
  <si>
    <t>269185-69T</t>
  </si>
  <si>
    <t>Cap'bornes</t>
  </si>
  <si>
    <t>Developer of an electric vehicle charging platform intended to offer global, simple and ecological charging facilities at home. The company's platform facilitates access to charging services for electric vehicles by offering a simple and reliable service for recharging electric cars at home, at the office and anywhere else, enabling users to make traveling in an electric vehicle a habit and no longer an ordeal.</t>
  </si>
  <si>
    <t>TimeToAct Capital</t>
  </si>
  <si>
    <t>electric vehicle charging infrastructure, electric vehicle charging network, electric vehicle charging services, electric vehicle charging solutions, electric vehicle charging systems, electric vehicle charging tools</t>
  </si>
  <si>
    <t>205780-87T</t>
  </si>
  <si>
    <t>Meilisearch</t>
  </si>
  <si>
    <t>Business/Productivity Software*, Software Development Applications, Systems and Information Management</t>
  </si>
  <si>
    <t>Developer of open-source search engine API platform designed to provide a ready-to-go alternative for everyone wanting a powerful, fast, and relevant search experience for their end-users. The company's platform is built with algorithms and natural language processing features to find the most relevant results to the queries and handle typos, synonyms, and n-grams, and is language-agnostic, enabling clients to improve their conversion and user experience.</t>
  </si>
  <si>
    <t>CRV, ESOP Trust, Felicis(Tobi Coker), Guillermo Rauch(Guillermo Rauch), Mango Capital, Phoenix Court, Seedcamp</t>
  </si>
  <si>
    <t>ai search engine, computer software developer, customizable search, ecommerce personalization, enterprise search, language processing features, natural language technology, search engine, search engine developer, search experience</t>
  </si>
  <si>
    <t>205744-96T</t>
  </si>
  <si>
    <t>Oe</t>
  </si>
  <si>
    <t>Producer of organic wines intended to promote sustainable viticulture. The company offers a curated selection of organic, vegan, and zero-pesticide wines, enabling customers to access high-quality, sustainably produced wines while supporting environmentally conscious initiatives and contributing to a more equitable wine industry.</t>
  </si>
  <si>
    <t>Demeter Partners, Francis Nappez(Francis Nappez), Frédéric Mazzella(Frédéric Mazzella), Innovin, Michel Reybier(Michel Reybier)</t>
  </si>
  <si>
    <t>alcoholic drink producer, beverage producer, beverage seller, online ordering, organic wine, wine company, wine production</t>
  </si>
  <si>
    <t>205596-01T</t>
  </si>
  <si>
    <t>Colam Impact, Fastea Capital, Pays de la Loire Participations, Saint-Gobain NOVA</t>
  </si>
  <si>
    <t>205703-02T</t>
  </si>
  <si>
    <t>Baluchon</t>
  </si>
  <si>
    <t>Food Products, Other Restaurants, Hotels and Leisure*, Restaurants and Bars</t>
  </si>
  <si>
    <t>Producer of catering services intended to deliver fresh ready meals, made from unprocessed seasonal products. The company offers fresh and local meals prepared by people facing social and professional challenges, enabling customers to support a responsible and inclusive food system.</t>
  </si>
  <si>
    <t>catering service provider, cooking platform, french cuisine restaurant, ghost kitchen, lunch counter, meals producer, ready meals, ready meals producer</t>
  </si>
  <si>
    <t>211102-93T</t>
  </si>
  <si>
    <t>V-Bio Ventures(Ward Capoen)</t>
  </si>
  <si>
    <t>211100-68T</t>
  </si>
  <si>
    <t>Comwatt</t>
  </si>
  <si>
    <t>Alternative Energy Equipment*, Application Software, Other Commercial Services, Other Services (B2C Non-Financial)</t>
  </si>
  <si>
    <t>Operator of photovoltaic equipment designed to modify energy production and energy consumption. The company's equipment manages the intermittency of renewable energies in real-time, erases peak consumption, alerts, measures, visualizes, plans controls remotely, and manages the monitoring of devices, helping individuals and businesses to reduce their electricity bills.</t>
  </si>
  <si>
    <t>Qair France International</t>
  </si>
  <si>
    <t>electricity management, electricity production, energy harness, energy saving, grid infrastructure, photovoltaic equipment</t>
  </si>
  <si>
    <t>205726-24T</t>
  </si>
  <si>
    <t>Posos</t>
  </si>
  <si>
    <t>Decision/Risk Analysis*, Other Healthcare Technology Systems</t>
  </si>
  <si>
    <t>Developer of a support tool designed for prescription management and making better decisions about patient care. The company's tool helps caregivers identify iatrogenic risks at every step of the patient journey, analyzes prescriptions in real time, identifies potential risks, and provides personalized recommendations for medication management, enabling healthcare professionals to provide safer, more effective care for their patients.</t>
  </si>
  <si>
    <t>AG2R La Mondiale, Avolta Partners, Caisse des Depots Group, CapHorn Invest, Clubster NHL, Melusine Holding, Nord France Amorçage, Sofiouest</t>
  </si>
  <si>
    <t>analysis platform, drugs information, healthcare platform, healthtech company, prescription management, prescription optimization, prescription pharmaceutical</t>
  </si>
  <si>
    <t>Amiens, France</t>
  </si>
  <si>
    <t>205700-41T</t>
  </si>
  <si>
    <t>UMI</t>
  </si>
  <si>
    <t>Developer of market test tool designed to help innovation projects succeed. The company's automated online platform gives innovative companies a short time frame and for a limited cost a clear vision of the business potential for their innovation, by collecting dozens of feedback from professionals on a global or local scale, enabling clients to get detailed insights to make better business decisions.</t>
  </si>
  <si>
    <t>Sas 3j</t>
  </si>
  <si>
    <t>innovation community, market insight analysis, market insight feedback, market insight platform, market insight tools, market testing</t>
  </si>
  <si>
    <t>204518-44T</t>
  </si>
  <si>
    <t>Bpifrance(Samuel Waddell), Tikehau Ace Capital(Quentin Besnard), Tikehau Capital (PAR: TKO)(Cécile Mayer-Levi)</t>
  </si>
  <si>
    <t>205517-53T</t>
  </si>
  <si>
    <t>CrowdSec</t>
  </si>
  <si>
    <t>Developer of an open-source cybersecurity automation platform designed for analyzing the behavior of internet protocol addresses. The company's software focuses on real-time threat detection, security automation, data breach prevention, reputation, and behavior analysis, enabling users to respond to attacks and share signals across the community.</t>
  </si>
  <si>
    <t>Breega, Supernova Invest</t>
  </si>
  <si>
    <t>automation tools, crowdsourced data, cybersecurity platform, network security, open source database, open source tool, threat intelligence</t>
  </si>
  <si>
    <t>205698-79T</t>
  </si>
  <si>
    <t>Eurekam</t>
  </si>
  <si>
    <t>Drug Discovery, Outcome Management (Healthcare)*</t>
  </si>
  <si>
    <t>Developer of artificial intelligence-based image technologies designed to offer the process of controlled drug protection. The company's technologies help to reach verified and archived preparations, avoid posterior sampling errors and double visual inspection, reduce medication errors and protect from legal risks, enabling the healthcare sector to get a response that matches the regulatory requirements.</t>
  </si>
  <si>
    <t>chemotherapy care, chemotherapy service, healthcare market, oncology test, pharmacy and medication management, video systems</t>
  </si>
  <si>
    <t>Outcome Management (Healthcare)</t>
  </si>
  <si>
    <t>Lagord, France</t>
  </si>
  <si>
    <t>205414-75T</t>
  </si>
  <si>
    <t>Gourmey</t>
  </si>
  <si>
    <t>Producer of cultivated meat intended to re-invent foie gras without force-feeding or slaughter from duck cells. The company prepares the meat in labs by placing the cells in a cultivator where they benefit from its suitable conditions of perfect temperature, basic nutrients, and the space to grow, enabling consumers to bring delicious meat that is not harmful to our health, the environment, and the animals.</t>
  </si>
  <si>
    <t>Air Street Capital(Nathan Benaich), AR Audit &amp; Research, Beyond Impact, Discovery Ventures (Berlin), Earlybird Venture Capital, Fidji Simo, Future Five, Heartcore Capital, Keen Venture Partners, Omnes Capital, Partech, Point Nine Capital, Thia Ventures</t>
  </si>
  <si>
    <t>alt-proteins, cultivated meat, cultivated meat production, cultivated protein, ethical product, food service, meat food, meat market, sustainable meat</t>
  </si>
  <si>
    <t>205421-23T</t>
  </si>
  <si>
    <t>JNPR</t>
  </si>
  <si>
    <t>Operator of a brewery intended to produce non-alcoholic spirits. The company's spirits are sugar-free, and alcohol-free and are composed of juniper berries, coriander, cardamom, and apple, enabling customers to enjoy the sophisticated experience of drinking spirits.</t>
  </si>
  <si>
    <t>Bar Capital, Cameleon Invest, Feast Ventures, Sinaxia</t>
  </si>
  <si>
    <t>flavorful drinks, mocktail drinks, natural ingredients, non-alcoholic beverages, non-alcoholic spirits, zero alcohol drinks</t>
  </si>
  <si>
    <t>Carville la Folletière, France</t>
  </si>
  <si>
    <t>205422-13T</t>
  </si>
  <si>
    <t>Skipper NDT</t>
  </si>
  <si>
    <t>Electronic Equipment and Instruments, Oil and Gas Equipment*, Other Hardware</t>
  </si>
  <si>
    <t>Developer of a contactless magnetic inspection technology designed to reduce security risks for oil and gas pipelines. The company's technology combines a high-precision magnetic inspection machine and a smart algorithm for locating and mapping buried steel pipelines, detecting risk zones, and precise detection of anomalies on buried metallic structures which is subject to an automatic data processing protocol, enabling oil and gas operators to offer an adapted response to the safety and environmental challenge arising out of non-scraping pipelines.</t>
  </si>
  <si>
    <t>NextStage AM(Aloys de Fontaines)</t>
  </si>
  <si>
    <t>gas pipeline inspection, gas pipeline installation, gas pipeline system, oil pipeline monitoring, pipeline inspection, pipeline inspection technology, predictive maintenance</t>
  </si>
  <si>
    <t>Infrastructure, Oil &amp; Gas</t>
  </si>
  <si>
    <t>PAU, France</t>
  </si>
  <si>
    <t>206833-06T</t>
  </si>
  <si>
    <t>Watt &amp; Well</t>
  </si>
  <si>
    <t>Manufacturer of electronic power equipment for intended electric mobility, energy, and aerospace industries. The company designs and builds converters in terms of reliability, efficiency, and power density by combining the know-how of new technology with the reliability of the product in harsh environments, and its product range includes high voltage power supplies, power distribution, control units, thrust vector control systems, and other DC converter, enabling the equipment industry's implementation of electric propulsion.</t>
  </si>
  <si>
    <t>BNP Paribas Développement(Luc Pascal), Bpifrance(Marc Andrieu), Siparex Group, TiLT Capital Partners(Nicolas Piau)</t>
  </si>
  <si>
    <t>directional drilling tools, electric mobility, electric motor control, electric propulsion aerospace, motor controller, power electronics, prototyping services, reversible charger</t>
  </si>
  <si>
    <t>Pertuis, France</t>
  </si>
  <si>
    <t>205590-97T</t>
  </si>
  <si>
    <t>Algo Paint</t>
  </si>
  <si>
    <t>Manufacturer of algae-based paints intended to make the air healthier. The company uses algae of plant and natural origin as its raw material for its paint, which can be used for interior as well as exterior coating and is healthy and ecological, providing an alternative to chemical paint and helping in meeting environmental standards and regulations in some countries.</t>
  </si>
  <si>
    <t>Amundi (PAR: AMUN), EDF Invest, Mer Invest</t>
  </si>
  <si>
    <t>eco-friendly product, exterior coating, organic paints, painting tools, paints distributor, paints market, raw materials</t>
  </si>
  <si>
    <t>205240-15T</t>
  </si>
  <si>
    <t>Trustpair</t>
  </si>
  <si>
    <t>Developer of a fraud prevention platform designed to protect against credit transfer fraud. The company's platform utilizes data analysis and machine learning to provide services such as payment analysis, mutualization of customer data, and connections to external databases for multi-source analysis and industrial verification, enabling corporations to identify bank account holders and identify fraud attempts.</t>
  </si>
  <si>
    <t>Axeleo Capital(Mathieu Viallard), Breega(Isabelle Gallo), Tikehau Ace Capital(Gilles Daguet), Tikehau Capital (PAR: TKO)</t>
  </si>
  <si>
    <t>credit fraud protection, data analysis, financial crime, financial fraud, fraud prevention, fraud prevention service, payment analysis, payment fraud</t>
  </si>
  <si>
    <t>Artificial Intelligence &amp; Machine Learning, Big Data, Cybersecurity, FinTech, SaaS</t>
  </si>
  <si>
    <t>207108-91T</t>
  </si>
  <si>
    <t>Alvo</t>
  </si>
  <si>
    <t>Developer of a business consulting and services platform intended for simplifying the transfer of businesses and assets. The company's platform specializes in the sale and takeover of small and midsize enterprises, start-ups and digital assets by bringing together a whole community of enthusiasts at the service of the success of companies and entrepreneurs, enabling sellers, buyers, intermediaries, advisers and financiers to simplify and speed up transactions.</t>
  </si>
  <si>
    <t>Aonia Ventures, Founders Future</t>
  </si>
  <si>
    <t>alternative capital, business consulting, business service, business transfer service, capital market, digital asset, fintech firm, funding platform</t>
  </si>
  <si>
    <t>206803-63T</t>
  </si>
  <si>
    <t>Andjaro</t>
  </si>
  <si>
    <t>Developer of staff management software intended to create a fluid, responsive and productive workforce. The company's platform helps to get comprehensive and instant visibility into the resources available in an organization to find and solicit close collaborators who correspond to the needs and reassign available staff to provide an immediate response to gaps, absences or overstaffing, enabling managers to cope up with their staffing needs based on their organization's level of activity to empower companies and employees.</t>
  </si>
  <si>
    <t>Courtin Investment, Seventure Partners</t>
  </si>
  <si>
    <t>duty planning, mobile recruitment, recruitment platform, staff software, staffing needs, staffing platform</t>
  </si>
  <si>
    <t>208882-09T</t>
  </si>
  <si>
    <t>Aniah</t>
  </si>
  <si>
    <t>Business/Productivity Software*, Other Semiconductors</t>
  </si>
  <si>
    <t>Developer of a chip verification platform intended to reduce errors during semiconductor projects. The company offers an algorithm that enables an electrically accurate, full-chip analysis at the transistor level to avoid electrical errors from occurring in the first place in the design process, enabling companies and engineers to improve vigilance during complex workflow scenarios.</t>
  </si>
  <si>
    <t>BNP Paribas Asset Management, BNP Paribas Développement, Bpifrance(Joséphine Marie), Crédit Agricole Sud Rhône-Alpes (PAR: CRSU), Supernova Invest(Damien Bretegnier)</t>
  </si>
  <si>
    <t>email and authoring, knowledge management system, semiconductor debugging, semiconductor process, semiconductor production, semiconductor solution, semiconductor test services, semiconductor tools, semiconductors chips</t>
  </si>
  <si>
    <t>215369-02T</t>
  </si>
  <si>
    <t>CAD.42</t>
  </si>
  <si>
    <t>Developer of a cloud-based real-time location system designed to provide safety management and lean construction services for the construction industry. The company's platform offers a comprehensive set of tools for real-time safety and productivity monitoring, risk prediction systems, tracking tags, and a smart security vest that acts as a real-time positioning alert system during the fieldwork stage of a construction project, enabling customers to improve safety, optimize productivity and reduce costs on construction sites.</t>
  </si>
  <si>
    <t>CapHorn Invest, Key Ventures, SFINE</t>
  </si>
  <si>
    <t>alert system app, anti-collision system, construction safety equipment, construction safety products, positioning alert system, security vests, tracking tags</t>
  </si>
  <si>
    <t>CloudTech &amp; DevOps, Construction Technology, SaaS</t>
  </si>
  <si>
    <t>209328-58T</t>
  </si>
  <si>
    <t>Deepomatic</t>
  </si>
  <si>
    <t>Developer of an automation platform designed to offer visual automation to control costs, discover opportunities, and improve the customer experience. The company's platform creates custom visual automation applications and measures business outcomes, enabling firms to help automate tasks, improving quality, visibility, and compliance across field operations.</t>
  </si>
  <si>
    <t>Alven Capital Partners(François Meteyer), EnBW New Ventures, Hi Inov, Orbia Ventures, Swisscom Ventures(Victoria Lietha)</t>
  </si>
  <si>
    <t>ai model, analytics platform, artificial intelligence engine, automation ai, automation model, compliance data, computer vision, customer experience, enterprise resource planning, erp, quality control, unstructured data analytics</t>
  </si>
  <si>
    <t>207410-41T</t>
  </si>
  <si>
    <t>Fairmat (Materials)</t>
  </si>
  <si>
    <t>Environmental Services (B2B), Other Materials*</t>
  </si>
  <si>
    <t>Developer of recycled materials designed to offer a sustainable and performing alternative to virgin material in a range of applications across sporting goods, consumer electronics, and mobility solutions. The company's materials offer improved characteristics such as a high strength-to-weight ratio, flexural strength, and tensile strength, enabling businesses from aerospace, wind energy, and other industries to benefit from weight reduction and corrosion resistance while creating a positive ecological footprint.</t>
  </si>
  <si>
    <t>Compagnie Nationale à Portefeuille, Financière Saint James, Pictet, Singular.(Raffi Kamber), Temasek Holdings, The Friedkin Group</t>
  </si>
  <si>
    <t>advanced materials, carbon fiber composites, carbon fiber materials, carbon fiber recycling, cfrp recycling, intermittent renewable energy, material recycling, recyclable materials, recycled carbon fiber, recycling polymer, wind</t>
  </si>
  <si>
    <t>247441-15T</t>
  </si>
  <si>
    <t>Fatala</t>
  </si>
  <si>
    <t>Operator of an IT consulting firm intended to support technological companies with digital transformation. The company specializes in business intelligence, data strategy, artificial intelligence development, and other services, enabling organizations to get help in the execution of artificial intelligence projects.</t>
  </si>
  <si>
    <t>artificial intelligence development, business intelligence, business intelligence system, data strategy, intelligence service, it consulting firm</t>
  </si>
  <si>
    <t>Chartres-de-Bretagne, France</t>
  </si>
  <si>
    <t>206982-28T</t>
  </si>
  <si>
    <t>Kard (Financial Software)</t>
  </si>
  <si>
    <t>Youth Banking</t>
  </si>
  <si>
    <t>Developer of a financial application designed to make payments with ease and learn money management. The company's application offers to enroll for multiple debit and credit cards, bank accounts, and reward points and helps manage teenagers' accounts, alone or with two parents, enabling teenagers to make secure transactions and earn good rewards.</t>
  </si>
  <si>
    <t>Aonia Ventures, Cenitz, YADAY</t>
  </si>
  <si>
    <t>credit &amp; banking, credit and banking, digital banking, mobile bank, money management, payment application platform, payment portal, secure transaction, youth banking</t>
  </si>
  <si>
    <t>207271-63T</t>
  </si>
  <si>
    <t>L'ART DU BONSAI</t>
  </si>
  <si>
    <t>Application Software, Horticulture*</t>
  </si>
  <si>
    <t>Supplier of bonsai trees intended for preservation of the ancient art of bonsai cultivation. The company provides collection and custom-design of bonsai pots with artificial intelligence and data forecasting of plants, enabling customers to analyze the temperature, oil nourishment, watering, and re-potting.</t>
  </si>
  <si>
    <t>FAMM Group</t>
  </si>
  <si>
    <t>bonsai pots, plant analysis, plant collection, plant diagnostics, plant maintenance, plant monitoring</t>
  </si>
  <si>
    <t>205526-71T</t>
  </si>
  <si>
    <t>M. Moustache</t>
  </si>
  <si>
    <t>Footwear*, Internet Retail</t>
  </si>
  <si>
    <t>Manufacturer of designer shoes intended to offer fashion alternatives to the young generation. The company offers shoes made from high-quality leather with various designs and types such as a range of sports shoes, sneakers, socks, and shoes for other uses, enabling young buyers to get footwear suited to the latest fashion trends and their lifestyle.</t>
  </si>
  <si>
    <t>Cuir Invest</t>
  </si>
  <si>
    <t>designer shoes, footwear industry, footwear line, footwear retail, mens footwear, online footwear store</t>
  </si>
  <si>
    <t>E-Commerce, Manufacturing, TMT</t>
  </si>
  <si>
    <t>206983-45T</t>
  </si>
  <si>
    <t>Maison Daniel</t>
  </si>
  <si>
    <t>Operator of a bakery store intended to create varied gourmet creations. The company offers a variety of cakes, pastries, bread, and sandwiches, using quality ingredients and sublimating them into the products, enabling users to have a better food experience.</t>
  </si>
  <si>
    <t>Région Sud Investissement</t>
  </si>
  <si>
    <t>artisan bakery, bakery produce, bakery snacks, pastry food, pastry product, pastry shop</t>
  </si>
  <si>
    <t>Neulliac, France</t>
  </si>
  <si>
    <t>241260-22T</t>
  </si>
  <si>
    <t>MCP</t>
  </si>
  <si>
    <t>Home Furnishings*, Other Services (B2C Non-Financial)</t>
  </si>
  <si>
    <t>Provider of custom carpentry services intended to help homeowners and businesses create functional spaces. The company specializes in the installation of windows, entrance doors, garage doors, gates, fences, and swing shutters, enabling customers to get various carpentry solutions for their needs, without having to worry about the hassle of managing the project themselves.</t>
  </si>
  <si>
    <t>carpentry company, carpentry services, carpentry services provider, entrance doors, window installation, window installation service</t>
  </si>
  <si>
    <t>Colombelles, France</t>
  </si>
  <si>
    <t>210851-02T</t>
  </si>
  <si>
    <t>OBsam</t>
  </si>
  <si>
    <t>Developer of an innovative technology designed to anticipate and reduce the impact of obsolescence throughout the entire life cycle of complex systems and equipment. The company's platform offers technological monitoring and obsolescence treatment services for all kinds of business sectors with features and customizable tools, allowing businesses to improve the availability rate of their systems and monitoring obsolescence that can be adapted to each of our clients according to their needs.</t>
  </si>
  <si>
    <t>industrial equipment, industrial supplies, monitoring equipment, monitoring platform, monitoring services, obsolescence monitoring, obsolescence treatment</t>
  </si>
  <si>
    <t>Brittany, France</t>
  </si>
  <si>
    <t>205267-51T</t>
  </si>
  <si>
    <t>OneFlash</t>
  </si>
  <si>
    <t>Business/Productivity Software, Other Commercial Products, Other Commercial Services*</t>
  </si>
  <si>
    <t>Provider of self-service charging stations and portable batteries designed to provide mobility and connectivity throughout the customer journey in a store. The company offers mobile power bank rental services and a mobile application to allow to geolocate battery stations and unlock a mobile battery, enabling users to rent the mobile power banks from stations and return them to any other stations and store owners to increase the time of presence of their customers and boost customer satisfaction.</t>
  </si>
  <si>
    <t>A-Venture, Bernard Mourad(Bernard Mourad), Julien Callède(Julien Callède), Kima Ventures</t>
  </si>
  <si>
    <t>battery power, battery station, charging station, energy storage, mobile batteries, portable battery</t>
  </si>
  <si>
    <t>205381-27T</t>
  </si>
  <si>
    <t>ParaSwap</t>
  </si>
  <si>
    <t>Developer of a decentralized finance platform intended to make the crypto market transparent for everyone. The company's tool aggregates multiple decentralized exchanges into one place so that the rates beat the market price, enabling traders to trade in cryptocurrency by solving liquidity problems for the crypto market.</t>
  </si>
  <si>
    <t>BlackDragon (Zagreb), Cabrit Capital, Cumberland, Extra Watts, Founderheads, Kronos Research, Morningstar Ventures, Ryze Labs</t>
  </si>
  <si>
    <t>crypto borrowing, crypto lending, decentralized exchange, decentralized finance trading, liquidity platform, online cryptocurrency trading</t>
  </si>
  <si>
    <t>208104-31T</t>
  </si>
  <si>
    <t>WYL Labs</t>
  </si>
  <si>
    <t>Developer of real-estate projects platform designed to provide properties according to specific needs. The company's platform analyzes the requests for the ideal property also provides an inclusive design of projects and sells these ready-to-build projects, enabling clients to receive beautiful properties at reasonable prices.</t>
  </si>
  <si>
    <t>Kima Ventures, SkalePark</t>
  </si>
  <si>
    <t>accommodation unit, architectural design, project builder, property technology, real estate boutique, turnkey projects</t>
  </si>
  <si>
    <t>206479-45T</t>
  </si>
  <si>
    <t>Benefiz</t>
  </si>
  <si>
    <t>Business/Productivity Software*, Financial Software, Human Capital Services</t>
  </si>
  <si>
    <t>Developer of employee benefits management platform designed for organizations to offer more to employees while preserving the economic balance of the company. The company's cloud-based platform allows users to track business metrics and manage the list of collaborators in real-time, enabling clients to easily manage the administration of their company and increase the satisfaction of employees.</t>
  </si>
  <si>
    <t>Edenred Capital Partners, Evolem, Financière Saint James, Finorpa, Kima Ventures, OneRagtime, Purple (Paris)</t>
  </si>
  <si>
    <t>benefits management software, employee benefit software, employee finance, employee wellbeing, enterprise resource planning, health insurance service, human capital management, social benefit</t>
  </si>
  <si>
    <t>205269-85T</t>
  </si>
  <si>
    <t>Flexikeg</t>
  </si>
  <si>
    <t>Manufacturer of recyclable barrels intended to optimize transport of liquids and beverages. The company specializes in the development of eco-responsible drums which are single-use containers that fold up to occupy very less space than traditional old drums, enabling businesses with logistical advancement to increase the revenue to operational cost ratio.</t>
  </si>
  <si>
    <t>Credit Agricole Entreprises (PAR: CRBP), GO Capital (France)(Bruno Guicheux), Normandie Business Angels, Normandie Participations</t>
  </si>
  <si>
    <t>barrels manufacturing, barrels storage, container manufacturing, logistic services, optimize transport, optimize transportation, packaging and containers, recyclable kegs, recyclable kegs provider</t>
  </si>
  <si>
    <t>Saint-Marcel, France</t>
  </si>
  <si>
    <t>205284-25T</t>
  </si>
  <si>
    <t>Hysope</t>
  </si>
  <si>
    <t>Beverages*, Other Consumer Non-Durables</t>
  </si>
  <si>
    <t>Producer of exotic and fusion beverages intended to create tonic waters and mixers for cocktails. The company produces unique cocktails and tonic waters to bring the French savoir-faire of perfumers into the soft drinks manufacturing to sublimate premium spirits, providing customers with distinctive, easy-to-carry, and ready-to-drink cocktails that can be consumed at any time and anywhere.</t>
  </si>
  <si>
    <t>Bertrand Diard(Bertrand Diard), Constantin Wolfrom(Constantin Wolfrom), Edelweiss, High Flyers Capital(Jérôme Rayet)</t>
  </si>
  <si>
    <t>beverages making, cocktails menu, fusion beverages, ginger beer, soft drinks, soft drinks manufacturing, tonic water, tonic water producer</t>
  </si>
  <si>
    <t>206659-36T</t>
  </si>
  <si>
    <t>Pragma Industries</t>
  </si>
  <si>
    <t>Alternative Energy Equipment*, Automotive</t>
  </si>
  <si>
    <t>Manufacturer of compact hydrogen fuel cells intended to democratize hydrogen as an energy vector. The company platform focuses on micro-mobility markets by delivering, embedded fuel cell systems to micro vehicle manufacturers, complete vehicles, compact green production systems, compact refilling stations tailored for urban deployment, and micro vehicles and support services, enabling companies to improve the experience of battery-powered devices.</t>
  </si>
  <si>
    <t>Drone Volt (PAR: ALDRV)</t>
  </si>
  <si>
    <t>clean fuel, fuel cell, fuel equipment, green hydrogen production, hydrogen fuel, hydrogen mobility solutions, hydrogen power, micromobility vehicles</t>
  </si>
  <si>
    <t>CleanTech, Climate Tech, Manufacturing, Mobility Tech, TMT</t>
  </si>
  <si>
    <t>216157-96T</t>
  </si>
  <si>
    <t>Privateaser</t>
  </si>
  <si>
    <t>Application Software, Media and Information Services (B2B)*, Other Restaurants, Hotels and Leisure</t>
  </si>
  <si>
    <t>Developer of an event venue booking platform designed to orchestrate the logistics between the bookers and the venue managers. The company's platform specializes in offering booking services for bars, pubs, and clubs, enabling individuals and businesses to organize group events, parties, and birthday parties.</t>
  </si>
  <si>
    <t>ISAI, Serena (Paris)(Marc Fournier)</t>
  </si>
  <si>
    <t>booking service, enterprise resource planning, group events, online reservation, online service, venue booking</t>
  </si>
  <si>
    <t>205213-42T</t>
  </si>
  <si>
    <t>Aerial Coboticus</t>
  </si>
  <si>
    <t>Electrical Equipment, Other Commercial Products*</t>
  </si>
  <si>
    <t>Manufacturer of aerial machines intended for repair of concrete in nuclear centers. The company specializes in designing industrial drones, dedicated to industrial applications such as the repair of concrete, stripping, and cleaning as well as the rapid transport of loads replacing cranes, enabling clients to simplify access while eliminating installation expenses and weight-related issues.</t>
  </si>
  <si>
    <t>Audacia (PAR: ALAUD)(Charles Beigbeder)</t>
  </si>
  <si>
    <t>aeronautics industry, aeronautics solutions, drone manufacturer, drone service, drones maker, industrial drones</t>
  </si>
  <si>
    <t>239409-64T</t>
  </si>
  <si>
    <t>Bon Dimanche</t>
  </si>
  <si>
    <t>Operator of an ice cream brand intended to offer a gourmet range of dairy products to customers. The company's brand offers a range of flavored organic ice creams and other dairy products to organic retailers, enabling consumers to have a gourmet range of organic dairy desserts at affordable prices.</t>
  </si>
  <si>
    <t>dairy desserts, dairy products, desserts product, ice cream maker, ice cream seller, organic ice cream</t>
  </si>
  <si>
    <t>Saint-Nom-la-Bretèche, France</t>
  </si>
  <si>
    <t>205052-50T</t>
  </si>
  <si>
    <t>Invers</t>
  </si>
  <si>
    <t>Other Agriculture, Other Consumer Non-Durables*</t>
  </si>
  <si>
    <t>Developer of a circular model designed to produce protein extracted from mealworms for use in animal feed markets. The company's model develops a new source of protein by breeding insects at a local level to promote the circular economy, enabling farmers, research institutes, and industrialists to develop a product that is good for animals, the environment, and the local economy.</t>
  </si>
  <si>
    <t>Citizen Capital, IDIA Capital Investissement, UI Investissement</t>
  </si>
  <si>
    <t>animal ag, animal agriculture, fish feed, food products retail, insects breeding, insects farming, insects protein, pet feed, sustainable proteins</t>
  </si>
  <si>
    <t>AgTech, Climate Tech, Supply Chain Tech</t>
  </si>
  <si>
    <t>Saint-Ignat, France</t>
  </si>
  <si>
    <t>205129-00T</t>
  </si>
  <si>
    <t>Phenix</t>
  </si>
  <si>
    <t>Operator of a waste management platform designed to reduce food waste and social and environmental impact. The company's platform provides an alternative to landfills and incineration, helps manufacturers and stores efficiently manage their stocks and thus avoid the trash bin, also donates tons of unsold products to associations, enabling clients to take an active part in the fight against waste, connect with receivers and exclusive corporate social responsibility.</t>
  </si>
  <si>
    <t>Abeille Impact Investing France, B Heroes, BNP Paribas (PAR: BNP)(Laura Wirsztel), BNP Paribas Asset Management, Bpifrance(Joséphine Marie), Danone Manifesto Ventures, ETF Partners(Fabrice Bienfait), Inco Ventures, Lombard Odier Investment Managers, LVenture Group (MIL: ZEST)</t>
  </si>
  <si>
    <t>bio-engineered food, circular economy, csr development, upcycled food, upcycling services, waste management platform, waste recycling service, waste reduction</t>
  </si>
  <si>
    <t>CleanTech, FoodTech, LOHAS &amp; Wellness</t>
  </si>
  <si>
    <t>203620-96T</t>
  </si>
  <si>
    <t>AG2R La Mondiale, IVP(Ajay Vashee), Meritech Capital Partners(Robert Ward)</t>
  </si>
  <si>
    <t>205205-86T</t>
  </si>
  <si>
    <t>Syslor</t>
  </si>
  <si>
    <t>Developer of an augmented reality platform designed to allow workers to see networks buried through the ground. The company's platform shows on-site buried networks in augmented reality to carry out certified proofing plans from a video taken on a smartphone or tablet, providing workers with a safer trench site while reducing costs for construction companies.</t>
  </si>
  <si>
    <t>Arts et Métiers Business Angels, Bpifrance, Eurovia, ILP Group</t>
  </si>
  <si>
    <t>3d systems, augmented reality platform, digital twin platform, digital twin technology, visualization data, visualization tool</t>
  </si>
  <si>
    <t>Augmented Reality, Construction Technology</t>
  </si>
  <si>
    <t>206815-69T</t>
  </si>
  <si>
    <t>YouSchool</t>
  </si>
  <si>
    <t>Educational and Training Services (B2C)*, Educational Software, Information Services (B2C)</t>
  </si>
  <si>
    <t>Operator of an online education platform intended to offer official state diplomas. The company's platform features videos, online quizzes and social networks along with a range of courses for state diplomas including pastry chef, cooking, bakery, aesthetics, cosmetics, perfumery and hairdressing training among others, enabling individuals to learn new skills.</t>
  </si>
  <si>
    <t>Atempo Growth, Brighteye Ventures, Entrepreneur Invest, Eutopia</t>
  </si>
  <si>
    <t>bakery training, chef training, education platform, online cooking school, online courses, online education platform</t>
  </si>
  <si>
    <t>204920-56T</t>
  </si>
  <si>
    <t>Wa'ed Ventures(Ziad Abdulaal)</t>
  </si>
  <si>
    <t>206335-72T</t>
  </si>
  <si>
    <t>Bonsoirs</t>
  </si>
  <si>
    <t>Home Furnishings*, Other Consumer Durables</t>
  </si>
  <si>
    <t>Provider of quality linen designed to re-enchant daily life with comfort and softness. The company aims to revive the market for bed linen and household linen by offering cozy sheets, timeless colors, high quality, and affordable prices, enabling individuals to gain access to good quality products while maintaining a positive impact on the environment.</t>
  </si>
  <si>
    <t>bed linen, bed linen products, bedding products, bedsheets, hand towels, linen product, pillow casing, pillowcases</t>
  </si>
  <si>
    <t>188785-63T</t>
  </si>
  <si>
    <t>FACIL'iti</t>
  </si>
  <si>
    <t>Operator of a digital accessibility platform intended to adapt the display of a website to meet the needs of an individual's particular condition. The company offers improved accessibility adaptations that work without refactoring the website's existing code and are available as a subscription service to all web and intranet owners and developers, enabling adults and people with disabilities to get a significantly improved and customized browsing experience.</t>
  </si>
  <si>
    <t>Bouygues Telecom Initiatives, Credit Agricole (PAR: ACA), Credit Agricole Regions Investissement, Malakoff Humanis, TF1 Groupe (PAR: TFI)</t>
  </si>
  <si>
    <t>online browsing, online photo, web browsing, web browsing tools, web services, web services management</t>
  </si>
  <si>
    <t>205044-31T</t>
  </si>
  <si>
    <t>Starbolt</t>
  </si>
  <si>
    <t>Other Transportation, Road*</t>
  </si>
  <si>
    <t>Provider of rental e-bikes intended to help companies and their employees with internal mobility. The company offers electric bikes through subscriptions that are insured against theft and dedicated to employees which are supported by the sustainable mobility package and a shared fleet offer for companies and business centers, with full support on setting up the service, site layout, equipment, and events around cycling, enabling businesses to help their employees for internal transportation within the city and save a large amount and transport cost.</t>
  </si>
  <si>
    <t>Atlantique Vendée Innovation, Pays de la Loire, Pays de la Loire Participations</t>
  </si>
  <si>
    <t>electric bicycle, electric mobility, insure bikes, mobility solutions, subscription model business, transport provider</t>
  </si>
  <si>
    <t>204896-35T</t>
  </si>
  <si>
    <t>Daphni, Edouard Nattée(Edouard Nattée), Eurazeo (PAR: RF), Philippe Englebert(Philippe Englebert), Snaw Ventures, Techstars</t>
  </si>
  <si>
    <t>204775-03T</t>
  </si>
  <si>
    <t>Regate</t>
  </si>
  <si>
    <t>Developer of a management and payment platform designed to manage and record invoices and expense reports. The company's platform allows scanning, booking, approving, and paying invoices by bank transfer while also creating and sending custom reminders according to predefined scenarios, enabling users to manage and book their invoices, expense reports, pay, and be paid.</t>
  </si>
  <si>
    <t>360 Capital, AG2R La Mondiale, EcoVadis, Financière Saint James, Valar Ventures</t>
  </si>
  <si>
    <t>account management platform, accounting operations, accounting platform, accounting software, cfo stack, enterprise resource planning, erp, financial management platform, financial management software, financial management system</t>
  </si>
  <si>
    <t>204823-72T</t>
  </si>
  <si>
    <t>Teamoty</t>
  </si>
  <si>
    <t>Developer of construction project supply chain management software designed to offer information on construction work. The company helps professionals control costs and deadline management better, improve project productivity, and reduce the environmental footprint and waste emitters, enabling construction businesses to improve performance and productivity.</t>
  </si>
  <si>
    <t>BTP Capital Investissement, LBO France(Stephanie Casciola), Noshaq, Rise PropTech</t>
  </si>
  <si>
    <t>construction management platform, construction project, construction project management, management software, project productivity, supply chain management</t>
  </si>
  <si>
    <t>CleanTech, Construction Technology, Mobile</t>
  </si>
  <si>
    <t>Morestel, France</t>
  </si>
  <si>
    <t>204557-14T</t>
  </si>
  <si>
    <t>Prophesee</t>
  </si>
  <si>
    <t>Application Specific Semiconductors, Business/Productivity Software, Electronic Equipment and Instruments*, Other Hardware</t>
  </si>
  <si>
    <t>Developer of a neuromorphic vision platform designed to improve the efficiency and intelligence of video processing. The company visually senses and processes autonomous vehicles, connected devices, and security and surveillance systems capturing hyper-fast and fleeting scene dynamics, managing extreme lighting conditions, and accessing new levels of power efficiency, enabling clients to detect and analyze high-speed transient visual events in real-time.</t>
  </si>
  <si>
    <t>360 Capital, Bosch Ventures, European Investment Bank (Luxembourg), iBionext, Intel Capital(Abdul Guefor), Prosperity7 Ventures(Dimitris Triantafyllidis), Sinovation Ventures, Xiaomi Ventures</t>
  </si>
  <si>
    <t>ai platform, analytics platform, autonomous driving, camera system, computer vision, data science platform, industrial automation, neuromorphic engineering, perception software, surveillance systems, vision systems, vision systems technology</t>
  </si>
  <si>
    <t>Advanced Manufacturing, Artificial Intelligence &amp; Machine Learning, Mobility Tech</t>
  </si>
  <si>
    <t>204621-67T</t>
  </si>
  <si>
    <t>Les Grappes</t>
  </si>
  <si>
    <t>Beverages*, Distributors/Wholesale, Specialty Retail</t>
  </si>
  <si>
    <t>Provider of wines intended to simplify access to harvested winegrowers and their products. The company allows privates and professionals to select and purchase wine directly from the producer's cellar, with a unique billing and shipping service, enabling customers to enjoy unique and authentic alcoholic beverages.</t>
  </si>
  <si>
    <t>beverage maker, beverages wine, online wine, online wine platform, wine distributor, wine seller online</t>
  </si>
  <si>
    <t>204654-97T</t>
  </si>
  <si>
    <t>Outmind</t>
  </si>
  <si>
    <t>Business/Productivity Software, Internet Software*</t>
  </si>
  <si>
    <t>Developer of a search engine designed to search quickly within all the internal tools, through an AI-powered engine. The company's engine extracts, answers, syntheses, and summaries from all documents and conversations and allows to locate the data by detecting relevant data from emails and all other sources to make work easier, improve quality, and reduce errors, enabling individuals and employees in an organization to save time and increase efficiency.</t>
  </si>
  <si>
    <t>Axel Manoukian(Axel Manoukian), CCE, Charles Beigbeder(Charles Beigbeder), Clément Bouillaud(Clément Bouillaud), Daffourd Invest, Dimitri Farber-Garcia(Dimitri Farber-Garcia), Femmes Business Angels, Guillaume Moubeche(Guillaume Moubeche), Hugo Manoukian(Hugo Manoukian), Maze X, MSM(Henry Wigan), Mustard Seed + Partners(Henry Wigan), Myrtus Venture, Polymatter Ventures, Raphaël Boukris(Raphaël Boukris), Romain Gautier(Romain Gautier), Super Capital, Titan Capital, WinEquity, X-Creation</t>
  </si>
  <si>
    <t>internal search, knowledge management, management toolsets, search tool extensions, search tool software, text search engine</t>
  </si>
  <si>
    <t>227556-91T</t>
  </si>
  <si>
    <t>Piloc</t>
  </si>
  <si>
    <t>Developer of a payment platform intended to simplify rental management for clients. The company's platform offers a wide range of features including payment management and monitoring real-time tenant payments, tracking and automation of bank reconciliations, reducing late payments and connecting payment with business applications, enabling clients to free up their management time and secure their rents.</t>
  </si>
  <si>
    <t>Investissement-Locatif, Olivier Bonnet(Olivier Bonnet), Resonance VC, Thibault Renouf(Thibault Renouf)</t>
  </si>
  <si>
    <t>payment management system, payment monitoring, payment platform app, rental database, rental management, rental management service</t>
  </si>
  <si>
    <t>202321-36T</t>
  </si>
  <si>
    <t>Poool</t>
  </si>
  <si>
    <t>Developer of an audience conversion, management and retention platform designed to turn content into business. The company's platform helps to convert audience into leads, members and subscribers, construct, launch and optimize end-to-end subscription journeys, enabling clients to ensure the development of a strong, optimized strategy that will lead to long-term business growth.</t>
  </si>
  <si>
    <t>777 Corp, Aperiam Ventures, AQUITI Gestion, GSO Innovation, Marc Ménasé(Marc Ménasé), Nouvelle Aquitaine Co-Investissement, SWEN Capital Partners, Tomcat Invest</t>
  </si>
  <si>
    <t>advertising agency, advertising firm, advertising service, audience management platform, audience management software, journalism service, marketing firm, media agency</t>
  </si>
  <si>
    <t>AdTech, Marketing Tech, TMT</t>
  </si>
  <si>
    <t>204546-43T</t>
  </si>
  <si>
    <t>Boutique Venture Partners(Rami El Assal), HCVC(Alexis Houssou), Nicolas Godin(Nicolas Godin), StartX (US)</t>
  </si>
  <si>
    <t>204530-14T</t>
  </si>
  <si>
    <t>Algoan</t>
  </si>
  <si>
    <t>Financial Software, Media and Information Services (B2B), Other Financial Services*</t>
  </si>
  <si>
    <t>Developer of a fintech platform designed to offer a complete credit-granting chain to lenders. The company's platform leverages open banking data to make better credit decisions and ensure a seamless and transparent user experience for end customers, enabling lenders to build the future of lending by using the power of open banking data.</t>
  </si>
  <si>
    <t>credit granting, data enrichment, digital technology, fintech firm, fintech platform, saas platform</t>
  </si>
  <si>
    <t>199271-44T</t>
  </si>
  <si>
    <t>Immortal Game</t>
  </si>
  <si>
    <t>Entertainment Software*, Other Financial Services</t>
  </si>
  <si>
    <t>Developer of a blockchain-based chess platform designed to create a novel play-to-earn chess game. The company offers a dual token model that keeps the rules of chess and adds optional challenges that will be enabled thanks to NFTs tied to pieces, enabling chess players and gamers to play the game and earn by buying or selling NFTs with live auctions.</t>
  </si>
  <si>
    <t>Blockwall Management, CASSIUS, Curiosity Cap, Greenfield Capital, Kevin Durant(Kevin Durant), Kima Ventures, Kraken Ventures, Moonfire, Niche Capital (San Francisco), Sparkle Ventures, Spice Capital, Stake Capital, The Chernin Group(Jesse Jacobs), Thirty Five Ventures</t>
  </si>
  <si>
    <t>blockchain games, chess games, crypto games, gaming content, gaming platform, metaverse and gaming, nft based, nft games, online games, web4</t>
  </si>
  <si>
    <t>204481-72T</t>
  </si>
  <si>
    <t>Monga</t>
  </si>
  <si>
    <t>Business/Productivity Software, Real Estate Services (B2C)*</t>
  </si>
  <si>
    <t>Developer of technical management software designed for real estate professionals and their occupants to help in handling all technical requests from maintenance to structural work. The company provides real-time and simplified management of technical matters within all classes of real estate assets, enabling users to have transparent visibility of all of its operations.</t>
  </si>
  <si>
    <t>Axeleo Capital, Pauline Duval</t>
  </si>
  <si>
    <t>contract negotiation, operational monitoring, optimal services, property maintenance, real estate professionals, technical management service</t>
  </si>
  <si>
    <t>204452-56T</t>
  </si>
  <si>
    <t>Quinten Health</t>
  </si>
  <si>
    <t>Developer of integrated care and precision medicine solutions designed for treatments and patient care using artificial intelligence and real-world data science. The company offers a wide range of services in therapeutic areas including oncology, rare diseases, endocrinology, cardiovascular, neurology, immunology, infectious diseases, gastroenterology and respiratory, enabling clients to trust artificial intelligence for precision medicine.</t>
  </si>
  <si>
    <t>Groupe MACSF, Otium Capital, Techlife Capital(Grégoire Cayatte)</t>
  </si>
  <si>
    <t>ai solution provider, clinical development stage, healthcare tech, medicine solutions, precision medical product, therapeutic medicine</t>
  </si>
  <si>
    <t>204845-68T</t>
  </si>
  <si>
    <t>Retrofleet</t>
  </si>
  <si>
    <t>Alternative Energy Equipment, Automotive*, Other Commercial Services</t>
  </si>
  <si>
    <t>Provider of mobility and network autonomy systems intended for converting fleets to electric, eco-friendly, and economical models. The company offers zero-emission vehicles and machines, recharged with solar energy, at a lower cost, and a range of retrofitted vehicles and machines, enabling customers with electric mobility (battery management, onboard computer, telemetry) and energy (charging services).</t>
  </si>
  <si>
    <t>Crédit Agricole Leasing &amp; Factoring, Fabio Ferrari(Fabio Ferrari), Innovacom (Paris)(Benjamin Wainstain), Turenne Groupe</t>
  </si>
  <si>
    <t>eco-friendly vehicles, electric vehicle, electrification systems, industrial production, lithium battery systems, solar charging, zero emission vehicle</t>
  </si>
  <si>
    <t>204413-32T</t>
  </si>
  <si>
    <t>Zeplug</t>
  </si>
  <si>
    <t>Automotive*, Other Commercial Services, Road</t>
  </si>
  <si>
    <t>Provider of electric vehicle charging services intended to offer private charging terminals. The company provides complete turnkey charging services combined with an exclusive remote consumption monitoring system at a low cost along with maintenance services, enabling companies, businesses, and condominium property owners to charge at cost-effective prices.</t>
  </si>
  <si>
    <t>Intermediate Capital Group (LON: ICG)(Guillaume d'Engremont)</t>
  </si>
  <si>
    <t>charging kits, charging services, charging terminal installation, e-charging station, electric charging unit, electric vehicle, electric vehicle charging, ev charging</t>
  </si>
  <si>
    <t>CleanTech, Climate Tech, LOHAS &amp; Wellness, Mobility Tech</t>
  </si>
  <si>
    <t>211155-40T</t>
  </si>
  <si>
    <t>Abiolab</t>
  </si>
  <si>
    <t>Laboratory Services (Healthcare)*, Other Healthcare Services</t>
  </si>
  <si>
    <t>Operator of a microbiological analysis laboratory intended to analyze agro-food and environmental products. The company's laboratory offers product analyses that include withdrawals, feed water, ground surface water and lifetime analyzes, enabling researchers to deploy a model of organization that respects environmental and social issues.</t>
  </si>
  <si>
    <t>Normec Foodcare</t>
  </si>
  <si>
    <t>agro-food analysis, feedwater analysis, microbiological analysis, microbiological analysis laboratory, microbiological analysis service, wastewater analysis</t>
  </si>
  <si>
    <t>Montbonnot-Saint-Martin, France</t>
  </si>
  <si>
    <t>204469-93T</t>
  </si>
  <si>
    <t>Barooders</t>
  </si>
  <si>
    <t>Clothing, Internet Retail, Recreational Goods*</t>
  </si>
  <si>
    <t>Operator of a sports e-commerce platform intended to make sports sustainable and affordable. The company offers refurbished bikes, hiking boots, ski helmets, snowboards, snowshoes, and other adventure sports apparel, enabling customers to buy various adventure sports goods.</t>
  </si>
  <si>
    <t>Kima Ventures, Teampact Ventures</t>
  </si>
  <si>
    <t>secondhand equipment, ski equipment, ski jackets, snowboard gear, sports apparel, sports equipment</t>
  </si>
  <si>
    <t>204347-62T</t>
  </si>
  <si>
    <t>InnovaFeed</t>
  </si>
  <si>
    <t>Aquaculture, Biotechnology*, Other Agriculture</t>
  </si>
  <si>
    <t>Provider of insect-based protein products intended to offer natural and sustainable ingredients for animal feed and plant nutrition from insect rearing. The company's products are enriched in quality insect oil, which is in lauric acid, known for its anti-microbial properties and can be used in poultry and swine feed, as an alternative to imported oils, enabling clients to use a sustainable food system and an alternate source of protein and feed fish, birds, or small mammals.</t>
  </si>
  <si>
    <t>ABC Impact, Archer Daniels Midland (NYS: ADM), Cargill, Creadev(Florent Thomann), Future French Champions, Grow Forward, IDIA Capital Investissement, Qatar Investment Authority, Temasek Holdings</t>
  </si>
  <si>
    <t>alternative protein, animal agriculture, animal nutritional food, feed ingredients, fish farm product, insect protein, insect protein producer, insect protein products, insects farming</t>
  </si>
  <si>
    <t>206497-27T</t>
  </si>
  <si>
    <t>Lancey Energy Storage</t>
  </si>
  <si>
    <t>Electronics (B2C)*, Energy Storage</t>
  </si>
  <si>
    <t>Developer of energy storage heaters designed to accelerate the energy transition. The company's heaters are equipped with an eco-friendly battery and energy management system and are easy to install, compatible with demand response policies, controlled by any smartphone, storing electricity when it's cheap and consuming it when necessary, enabling users to optimize photovoltaic self-consumption to reduce the electricity bill.</t>
  </si>
  <si>
    <t>energy storage cell, energy storage system, energy storage tech, energy storage tools, energy storage unit, intermittent renewable energy, renewable energy, solar photovoltaic</t>
  </si>
  <si>
    <t>CleanTech, Climate Tech, TMT</t>
  </si>
  <si>
    <t>205303-78T</t>
  </si>
  <si>
    <t>PEFtrust</t>
  </si>
  <si>
    <t>Developer of an environmental footprint analysis platform designed to offer a single tool to monitor the environmental performance of your fashion products. The company's tool integrates with processes to let users follow the product environment footprint scoring of products and prepare for entry into the mandatory environmental labeling, enabling marketers to measure and share the environmental performance of their products.</t>
  </si>
  <si>
    <t>Alsace Business Angels, Fonds Venture Numérique Lorrain, ILP Group, Key Ventures, Yeast (France)</t>
  </si>
  <si>
    <t>environmental assessment, footprint analysis, management interface, scoring systems, sustainability tools, tailored program</t>
  </si>
  <si>
    <t>204391-09T</t>
  </si>
  <si>
    <t>Soan</t>
  </si>
  <si>
    <t>Developer of a payment platform designed to offer financial management tools. The company's platform offers a payment system that assists with the management of finances, and payment of invoices and offers automated bill reminders, enabling businesses to have a platform for all-in-one financial management.</t>
  </si>
  <si>
    <t>Allianz Trade, Bpifrance, Myrtus Venture, Seventure Partners</t>
  </si>
  <si>
    <t>e-payment platform, financial management, invoice generation, invoice tools, payment platform, payment technology, payment verification</t>
  </si>
  <si>
    <t>204285-52T</t>
  </si>
  <si>
    <t>Demeter Partners(Olivier Bordelanne), EDF Pulse Ventures, Future Positive Capital(Sofia Hmich), GO Capital (France)(Bertrand Distinguin)</t>
  </si>
  <si>
    <t>206408-26T</t>
  </si>
  <si>
    <t>MD Start</t>
  </si>
  <si>
    <t>201805-21T</t>
  </si>
  <si>
    <t>Incepto</t>
  </si>
  <si>
    <t>Developer of an artificial intelligence (AI) based medical imaging platform designed to offer computed tomography scans, chest x-rays and detections for conditions such as fracture and bowel occlusion. The company's platform integrates various AI tools into existing healthcare systems, facilitating seamless reporting, and workflow management, enabling healthcare providers to improve efficiency and patient outcomes while addressing the challenges of resource limitations and technology integration in radiology.</t>
  </si>
  <si>
    <t>AXA Venture Partners, Bpifrance, Karista (Paris), Koa Labs, LBO France, Wille Finance</t>
  </si>
  <si>
    <t>clinical images workflow, diagnostic accuracy, image analysis system, mammogram technology, medical imaging, medical technology, precision medicine, radiology application</t>
  </si>
  <si>
    <t>204099-76T</t>
  </si>
  <si>
    <t>Gryzzly</t>
  </si>
  <si>
    <t>Developer of chatbot technology designed to automate project work. The company uses artificial intelligence to facilitate the role of each stakeholder in the project by simplifying the collection of information and the monitoring of performance to promote decision-making, enabling businesses to automate work and increase production capacity.</t>
  </si>
  <si>
    <t>Gaultier Boniface(Gaultier Boniface), HUB612, Kreaxi, UI Investissement</t>
  </si>
  <si>
    <t>automated bot, automation tasks, automation work, budget management, chatbot design, chatbot technology, productivity tool, report management</t>
  </si>
  <si>
    <t>255306-88T</t>
  </si>
  <si>
    <t>Legumi'Pulse</t>
  </si>
  <si>
    <t>Producer of flour and vegetable proteins intended to provide made from legumes from Hauts de France. The company's products are gluten-free, additives or chemicals-free, and completely traceable, enabling consumers to get natural food products.</t>
  </si>
  <si>
    <t>Finovam Gestion</t>
  </si>
  <si>
    <t>flour items, flour mill, grain mill, legumes products, plant protein, protein supplement products</t>
  </si>
  <si>
    <t>Hypercourt, France</t>
  </si>
  <si>
    <t>223740-19T</t>
  </si>
  <si>
    <t>Spectral (Business/Productivity Software)</t>
  </si>
  <si>
    <t>Business/Productivity Software*, Communication Software, Electronic Equipment and Instruments</t>
  </si>
  <si>
    <t>Developer of mixed reality software designed to enable industries to transmit and preserve skills. The company's software seamlessly integrates with a mixed-reality headset, providing access to expert assistance whenever needed, enabling technicians to interact with on-screen engineers who guide them through technical maneuvers.</t>
  </si>
  <si>
    <t>GO Capital (France)(Herve Bachelot Lallier)</t>
  </si>
  <si>
    <t>augmented reality, mixed reality, mixed reality technology, technical assistance, technicians tools, transmitter systems</t>
  </si>
  <si>
    <t>233017-84T</t>
  </si>
  <si>
    <t>204127-57T</t>
  </si>
  <si>
    <t>Reecall</t>
  </si>
  <si>
    <t>Developer of a human voice assistant designed to manage all incoming calls and build strong customer satisfaction. The company's platform qualifies, prioritizes, supports, contextualizes, and processes all incoming calls and manages contacts and their history, enabling e-commerce, real estate, bank, insurance, logistics, maintenance, mobility, and retail companies to scale their call centers.</t>
  </si>
  <si>
    <t>Evolem, Kima Ventures, Newfund Management, Secret Fund</t>
  </si>
  <si>
    <t>human emotions, human voice assistant, voice assistant, voice assistant platform, voice assistant software, voice assistant tools</t>
  </si>
  <si>
    <t>204252-58T</t>
  </si>
  <si>
    <t>SiVIEW</t>
  </si>
  <si>
    <t>Developer of a visual diagnostic device designed to offer personalized eye examination for each patient. The company's devices utilize artificial intelligence which allows quick and easy examination of the eye, which is both precise and detailed, to be performed intuitively to support diagnosis and prescription, enabling healthcare professionals to focus on the patient and optimize the overall care plan.</t>
  </si>
  <si>
    <t>LBO France(Franck Noiret)</t>
  </si>
  <si>
    <t>eye diagnostic equipment, eye examination, medical device, ophthalmology device, ophthalmology tools, vision diagnostics, visiontech</t>
  </si>
  <si>
    <t>174343-87T</t>
  </si>
  <si>
    <t>Ternoa</t>
  </si>
  <si>
    <t>Developer of a blockchain technology designed to give anyone, anywhere access to digital transmission. The company's technology offers a secured blockchain and uses decentralized storage providers to ensure the long-term integrity of the encrypted and segmented data, enabling users to secure the data contained in NFT by using multi-party cryptography.</t>
  </si>
  <si>
    <t>Arcanum Ventures, ArkStream Capital, Digital Finance Group, GD10 Capital(Deeban Ratneswaran), Illusionist Group, Jsquare, LVT Capital, Morningstar Ventures, MV Global(Kyle Chasse), Omnes Capital, SevenX Ventures, Transcend Labs, Waterdrip Capital</t>
  </si>
  <si>
    <t>application security, blockchain engine, blockchain project, blockchain services, blockchain technology, blockchain trader, data management, game developer tools, gaming development, web3 security</t>
  </si>
  <si>
    <t>205994-80T</t>
  </si>
  <si>
    <t>Fits (Information Services (B2C))</t>
  </si>
  <si>
    <t>Developer of a scalable multiplatform application designed to help users to extend the lifespan of their wardrobes. The company's application focuses on sustainability by facilitating repairs and upcycling via its mobile application offering easy and customized repairing solutions, enabling users to get responsible consumption and hence potentially creating a means to reduce textile waste in landfills and bring down carbon emission as a result of linear fashion production and consumption cycle</t>
  </si>
  <si>
    <t>Fashion Technology Accelerator, Hatcher+</t>
  </si>
  <si>
    <t>fashion tech, garments repair, multiplatform, multiplatform film, sustainability, sustainability firm</t>
  </si>
  <si>
    <t>196505-74T</t>
  </si>
  <si>
    <t>Platform.sh</t>
  </si>
  <si>
    <t>Software Development Applications*, Systems and Information Management</t>
  </si>
  <si>
    <t>Developer of a cloud hosting platform intended to simplify cloud infrastructures for its clients. The company's platform covers the needs of small self-service accounts but can scale to millions of users and power multiple, dedicated cloud regions running instances over multiple infrastructures as a service (IaaS) providers, enabling clients to develop, test, and deploy and run websites and web apps.</t>
  </si>
  <si>
    <t>Benhamou Global Ventures(Eric Buatois), Eurazeo (PAR: RF)(Nathalie Kornhoff-Brüls), Hi Inov(Pierre-Henri Dentressangle), Morgan Stanley Expansion Capital(Pete Chung), Partech(Reza Malekzadeh), Yttrium(Julian Mattes)</t>
  </si>
  <si>
    <t>cloud hosting business, cloud hosting company, cloud hosting infrastructure, cloud hosting platform, cloud hosting provider, web application</t>
  </si>
  <si>
    <t>206357-23T</t>
  </si>
  <si>
    <t>Stellia</t>
  </si>
  <si>
    <t>Developer of educational software designed to improve knowledge acquisition and access in education, continuing education, and business. The company's data science team, bolstered by partnerships with AI(artificial intelligence) research labs, has designed an AI pipeline based on the most effective Natural language processing (NLP) models, starting from customers' reliable but unstructured knowledge bases (PDF, docs, videos...), it generates personalized question answering assistants for learners and employees, providing relevant and contextual answers, without hallucinations, enabling students to learn more effectively and efficiently.</t>
  </si>
  <si>
    <t>ai cores, analytics platform, artificial intelligence technology, generative ai, generative artificial intelligence, k12 software, knowledge acquisition, knowledge graphing technology, large language model, natural language processing, semantic search, virtual tutoring</t>
  </si>
  <si>
    <t>Artificial Intelligence &amp; Machine Learning, Big Data, EdTech, SaaS</t>
  </si>
  <si>
    <t>203722-75T</t>
  </si>
  <si>
    <t>Wizaly</t>
  </si>
  <si>
    <t>Developer of an algorithmic attribution platform intended to offer advertisers a transformative advantage. The company's platform collects the data, calculates the return on investment for marketing levers, analyzes the behavior of the customers, provides operational recommendations and controls the marketing and communication systems, enabling clients to understand the impacts of their marketing channels, reduce cost by reallocating the budget and improve the return on investment on their marketing budget.</t>
  </si>
  <si>
    <t>Ankaa Ventures, Galia Gestion, Innovacom (Paris), LeFonds, Turenne Groupe</t>
  </si>
  <si>
    <t>advertisement tracking, attribution modeling, big data analytics, big data visualization, crm, customer relationship management, marketing attribution software, marketing attribution tools, vertical application</t>
  </si>
  <si>
    <t>242940-70T</t>
  </si>
  <si>
    <t>Carb0n</t>
  </si>
  <si>
    <t>Other Energy*, Real Estate Services (B2C)</t>
  </si>
  <si>
    <t>Other Energy</t>
  </si>
  <si>
    <t>Provider of a turnkey service intended for energy transition. The company offers energy, technical assessment of assets, energy transition and financial optimization strategy, enabling clients to get reduces energy bills.</t>
  </si>
  <si>
    <t>energy transition, energy transition company, energy transition services, real estate services and management, real estate services business, real estate services company</t>
  </si>
  <si>
    <t>204143-95T</t>
  </si>
  <si>
    <t>MyJugaad</t>
  </si>
  <si>
    <t>Provider of residential mobility assistance services intended to support vulnerable people. The company provides residential mobility for pension and health funds, supplements, insurance, landlords, nursing homes, and independent residences to accompany the beneficiaries or residents in all their stages of moving or empty housing following the loss of a loved one, enabling people to live in accommodation adapted to their autonomy and lifestyle choices.</t>
  </si>
  <si>
    <t>France Active, Generali Investissement A Impact</t>
  </si>
  <si>
    <t>accommodation assistance, assistance services, emotional care, human support services, mobility assistance, mobility project, mobility support, mobility support services, old age assistance, residential assistance, residential assistance platform, residential mobility</t>
  </si>
  <si>
    <t>Auray, France</t>
  </si>
  <si>
    <t>206631-64T</t>
  </si>
  <si>
    <t>PhysioAssist</t>
  </si>
  <si>
    <t>Developer of a medical device intended to treat obstructive respiratory diseases. The company's device uses patented technology to change the physical properties of mucus and mobilize secretions and transport for disposal, enabling healthcare professionals and their patients suffering from obstructive respiratory pathologies a permanent way to cure their bronchial congestion sessions.</t>
  </si>
  <si>
    <t>CAAP Creation, Mérieux Equity Partners(Valérie Calenda), Région Sud Investissement, Sham Innovation Santé</t>
  </si>
  <si>
    <t>medical care device, medical treatment, respiratory disease, respiratory management, respiratory monitoring, rheology testing</t>
  </si>
  <si>
    <t>203528-53T</t>
  </si>
  <si>
    <t>Eovolt</t>
  </si>
  <si>
    <t>Manufacturer of folding electric bikes intended to offer quality products that are sustainable over time. The company's bikes are electric, light and compact, easily transportable, and eco-responsible, enabling users to enjoy the joy of cycling effortlessly while optimizing space.</t>
  </si>
  <si>
    <t>Financiere Arbevel, RAISE Group(Serge Bedrossian)</t>
  </si>
  <si>
    <t>bikes manufacturer, electric bicycle, electric bikes, folding electric bikes, lightweight bikes, micromobility, sporting bikes, vehicle supplier</t>
  </si>
  <si>
    <t>Genas, France</t>
  </si>
  <si>
    <t>203660-02T</t>
  </si>
  <si>
    <t>SparingVision</t>
  </si>
  <si>
    <t>Developer of a medical therapy designed to treat Retinitis Pigmentosa which is part of Inherited Retinal Diseases. The company's offerings include a drug candidate to treat retinitis pigmentosa, the most frequent inherited retinal degeneration that can progress to blindness and affects many patients worldwide, enabling doctors to help patients recover from retinal diseases.</t>
  </si>
  <si>
    <t>4BIO Capital(Owen Smith), Bpifrance(Joséphine Marie), Jeito(Sabine Dandiguian), Retinal Degeneration Fund(Benjamin Yerxa), UPMC Enterprises(Jeanne Cunicelli), Ysios Capital(Karen Wagner)</t>
  </si>
  <si>
    <t>biotechnology company, gene delivery, gene therapy, gene therapy ophthalmology, ophthalmology treatment, retinal damage treatment, retinal disease treatment, retinal therapeutics, retinal therapy, retinal treatment</t>
  </si>
  <si>
    <t>206019-64T</t>
  </si>
  <si>
    <t>The Treep</t>
  </si>
  <si>
    <t>Business/Productivity Software*, Environmental Services (B2B), Other Restaurants, Hotels and Leisure</t>
  </si>
  <si>
    <t>Developer of a business trip planning platform intended to travel with minimum environmental impact. The company offers to search and book a door-to-door trip and neutralize CO2 emissions by planting trees, enabling business travel agencies to understand their routes and possible modes of transportation.</t>
  </si>
  <si>
    <t>Banque des Territoires, IMA Participations</t>
  </si>
  <si>
    <t>business trips planning, digital platform, sustainable travel, transportation goods, travel booking, trip planning</t>
  </si>
  <si>
    <t>215208-91T</t>
  </si>
  <si>
    <t>Ardamez</t>
  </si>
  <si>
    <t>Manufacturer of indoor and outdoor furniture intended to equip the finest bars and restaurants. The company provides hospitality professionals, designers and architects, enabling clients to receive furniture as per their requirements.</t>
  </si>
  <si>
    <t>Actantiel Développement, Pays de la Loire Participations</t>
  </si>
  <si>
    <t>indoor furniture, manufacturer of furniture, natural materials, online portal, outdoor furniture, quality design</t>
  </si>
  <si>
    <t>Nort-sur-Erdre, France</t>
  </si>
  <si>
    <t>195501-16T</t>
  </si>
  <si>
    <t>Didier Valet(Didier Valet), Financière Saint James, Global Founders Capital(David Sainteff), Headline(Jonathan Userovici), Motier Ventures, Northzone Ventures(Kilian Pender), Rodolphe Ardant(Rodolphe Ardant), Thibaud Elziere(Thibaud Elziere), Victoria van Lennep(Victoria van Lennep)</t>
  </si>
  <si>
    <t>203422-96T</t>
  </si>
  <si>
    <t>Gojob</t>
  </si>
  <si>
    <t>Automation/Workflow Software, Business/Productivity Software, Human Capital Services*, Information Services (B2C)</t>
  </si>
  <si>
    <t>Developer of an online job recruitment platform designed to create employment opportunities. The company's platform offers temporary assignments, trains individuals to detach workers through payment or temporary contracts and acts as an intermediary between them and companies, enabling workers and individuals to identify and find the right job placements.</t>
  </si>
  <si>
    <t>Alter Equity, Amundi (PAR: AMUN), Banque des Territoires, Breega, Impact Expansion, KOIS</t>
  </si>
  <si>
    <t>contract jobs, enterprise resource planning, human capital management, internet jobs website, jobs recruitment platform, online recruiting tool, recruitment agency, temporary jobs recruitment, temporary jobs search</t>
  </si>
  <si>
    <t>203421-79T</t>
  </si>
  <si>
    <t>Moments Lab</t>
  </si>
  <si>
    <t>Developer of a media valorization platform designed to help teams process a critical mass of media assets. The company's platform offers artificial intelligence-powered collections to ingest, store and manage archives, rushes and live streams, multimodal indexing and cloud video tools and boost the profitability of content, enabling broadcasters to generate new revenue streams for their organization without going through intermediate.</t>
  </si>
  <si>
    <t>Dominique Edelin(Dominique Edelin), Elaia Partners(Dominique Edelin), Supernova Invest(Romain Sautrau)</t>
  </si>
  <si>
    <t>analytics platform, broadcast production application, content services, kms, knowledge management system, multimedia software, unstructured data analytics, video indexing platform, video indexing technology, video indexing tools, video transcoding</t>
  </si>
  <si>
    <t>226896-31T</t>
  </si>
  <si>
    <t>Base for Music</t>
  </si>
  <si>
    <t>Developer of a music promotion platform intended to create advertising campaigns for musical artists. The company's platform centralizes various tools to generate engagement with new audiences and retain existing fans and provides daily optimization and real-time access to statistics, enabling artists to promote music and grow a community of engaged fans.</t>
  </si>
  <si>
    <t>One Green (Paris), Super Capital</t>
  </si>
  <si>
    <t>advertising campaigns, advertising company, engagement tool, marketing platform, music marketing, music promotion platform, music promotion tool, music technology</t>
  </si>
  <si>
    <t>201559-69T</t>
  </si>
  <si>
    <t>Carroucell</t>
  </si>
  <si>
    <t>Biotechnology*, Other Pharmaceuticals and Biotechnology</t>
  </si>
  <si>
    <t>Developer of microscopic matrices platform designed to facilitate the field of cell culture. The company's platform offers unique flat shape microcarriers with a glass xenofree composition for cell culture in bioreactors, enabling customers to reduce the issues regarding the performance of the biomanufacturing</t>
  </si>
  <si>
    <t>Bpifrance(Joséphine Marie), Crédit Agricole des Savoie, Novalis Biotech(Jan Van den Berghe)</t>
  </si>
  <si>
    <t>bioactive glass, biomanufacturing facilities, bioreactors technology, cell culture, stem cell research, tissue engineering</t>
  </si>
  <si>
    <t>Sainte Helene Du Lac, France</t>
  </si>
  <si>
    <t>203174-65T</t>
  </si>
  <si>
    <t>Waysia</t>
  </si>
  <si>
    <t>Application Software, Food Products, Internet Retail*</t>
  </si>
  <si>
    <t>Developer of an online food ordering and delivery platform designed to bridge the gap between French and Asian cuisine cultures. The company's platform allows customers to order authentic Asian food and household groceries delivered to their doorstep with a few clicks, enabling customers and users to get Asian cuisine ingredients at home.</t>
  </si>
  <si>
    <t>Banyan Pacific Capital (Hong Kong), Cathay Capital Private Equity, Cathay Innovation, Convivialité Ventures, Daphni, Dastore, Goodwater Capital, iFly.vc</t>
  </si>
  <si>
    <t>dtc platform, food and grocery delivery, food delivery platform, food delivery service, food ecommerce, grocery ordering app, grocery ordering platform, online food ordering application, restaurant marketplace</t>
  </si>
  <si>
    <t>206698-60T</t>
  </si>
  <si>
    <t>Wizbii</t>
  </si>
  <si>
    <t>Application Software, Human Capital Services, Information Services (B2C)*</t>
  </si>
  <si>
    <t>Developer of a professional platform designed to connect students and graduates with entrepreneurs. The company's platform facilitates collaboration and employment generation by providing access to thousands of jobs for internships, rotations, temporary positions and permanent positions, enabling young people to participate in entrepreneurial projects and also helping organizations to connect and find suitable candidates for vacant positions in their company.</t>
  </si>
  <si>
    <t>Bridge to Growth, Matmut Innovation, Oddo BHF Asset Management</t>
  </si>
  <si>
    <t>internships jobs, internships portal, jobs seeking platform, online jobs hunt, professional networking, professional platform, professional social network</t>
  </si>
  <si>
    <t>HR Tech, Industrials</t>
  </si>
  <si>
    <t>218193-58T</t>
  </si>
  <si>
    <t>Apmonia Therapeutics</t>
  </si>
  <si>
    <t>Developer of peptide-based biotechnology designed to provide therapeutic strategies for multiple types of cancer. The company focuses on creating drugs to treat glioblastoma, ovarian, colorectal, and pancreatic cancer, target the tumor microenvironment, and offers new therapeutic perspectives, particularly for the treatment of solid tumors, enabling patients to help fight cancer and helping researchers to develop personalized immunotherapy approaches combining a proprietary therapeutic peptide.</t>
  </si>
  <si>
    <t>biologics, biotechnology based, cancer treatment, cellular protein regulation, diagnostic kits, immunotherapy drugs, peptides, protein, therapeutic strategy</t>
  </si>
  <si>
    <t>275965-75T</t>
  </si>
  <si>
    <t>Dermae</t>
  </si>
  <si>
    <t>Operator of medical centers intended to provide dermatology care to people based in France. The company is currently operating in stealth mode.</t>
  </si>
  <si>
    <t>dermatology care, dermatology meds, stealth business, stealth company, stealth firm, stealth industry, stealth products, stealth services</t>
  </si>
  <si>
    <t>203569-75T</t>
  </si>
  <si>
    <t>Allisone</t>
  </si>
  <si>
    <t>Developer of an artificial intelligence-based tool designed for dental surgeons to analyze X-rays. The company's system automates administrative tasks and establishes the treatment plan, enabling dental surgeons with a second analysis of the situation and a medical diagnosis.</t>
  </si>
  <si>
    <t>C4 Ventures, Kima Ventures, Samaipata</t>
  </si>
  <si>
    <t>ai analytics, dental data, dental technology, dental x-rays, enterprise resource planning, patient focused, treatment assessment</t>
  </si>
  <si>
    <t>203639-77T</t>
  </si>
  <si>
    <t>2B Global Capital, Convivialité Ventures, Kharis Capital(Daniel Grossmann), Verlinvest</t>
  </si>
  <si>
    <t>203452-39T</t>
  </si>
  <si>
    <t>Fabrice Dominguez(Fabrice Dominguez), François Carbone(François Carbone), Régis Bonnessée(Régis Bonnessée)</t>
  </si>
  <si>
    <t>203030-11T</t>
  </si>
  <si>
    <t>Pytheas Capital</t>
  </si>
  <si>
    <t>Financial Software*, Other Financial Services, Specialized Finance</t>
  </si>
  <si>
    <t>Provider of financial advisory services focused on alternative funding. The company provides services such as payment factoring, reverse factoring, and supply chain financing through its platform, enabling principals and suppliers to monitor the billing status and assign their invoices without recourse.</t>
  </si>
  <si>
    <t>Bpifrance(Joséphine Marie), Credit Mutuel Arkea</t>
  </si>
  <si>
    <t>commercial finance, electronic invoicing platform, enterprise resource planning, erp, financial investment, financial management system, funding solutions, investment advisor, non-dilutive finance, reverse factoring, supply chain financing</t>
  </si>
  <si>
    <t>208583-11T</t>
  </si>
  <si>
    <t>Tchek</t>
  </si>
  <si>
    <t>Automotive, Business/Productivity Software*, Road</t>
  </si>
  <si>
    <t>Developer of an AI-powered vehicle inspection system designed to facilitate the diagnosis of automobiles. The company's system consists of a scanner and an intuitive digital platform that uses artificial intelligence to perform an overall analysis of the vehicle's condition that locates and lists the damage to the bodywork and also quantifies the number of repairs to be made, enabling dealerships and vehicle owners to stay notified about the condition of domestic and commercial fleets and avoid unnecessary damage costs.</t>
  </si>
  <si>
    <t>CAAP Creation(Armand Perrin), Demeter Partners, Région Sud Investissement</t>
  </si>
  <si>
    <t>automobile analysis, automobile inspection app, damage analysis, vehicle condition, vehicle diagnostics alerts, vehicle inspection</t>
  </si>
  <si>
    <t>213401-53T</t>
  </si>
  <si>
    <t>Goodwater Capital, Soma Capital</t>
  </si>
  <si>
    <t>195585-49T</t>
  </si>
  <si>
    <t>226900-90T</t>
  </si>
  <si>
    <t>1km à pied</t>
  </si>
  <si>
    <t>Business/Productivity Software*, Environmental Services (B2B), Human Capital Services</t>
  </si>
  <si>
    <t>Developer of a human resource technology intended to help companies reduce their environmental impact by improving employee mobility. The company's platform allows employers to analyze employee commuting patterns and identify opportunities to reduce the distance of employee commutes, enabling clients, large corporations, public agencies, and small businesses to develop and implement their mobility plans.</t>
  </si>
  <si>
    <t>One Green (Paris), The Moon Venture</t>
  </si>
  <si>
    <t>commuting technology, data visualization, energy saving, geographic data, intuitive platform, mobility planning, talent pool, workforce management</t>
  </si>
  <si>
    <t>Macon, France</t>
  </si>
  <si>
    <t>206189-83T</t>
  </si>
  <si>
    <t>ACD Groupe</t>
  </si>
  <si>
    <t>Developer of management and production software intended to offer chartered accountant software. The company provides complete software, for production and management, accounting and fiscal production, integrated revision, and social production services, enabling companies to real-time-sharing of the firm's files with secure, full web and mobile access for their clients and employees.</t>
  </si>
  <si>
    <t>Crédit Mutuel Equity(Thierry Aubert)</t>
  </si>
  <si>
    <t>accounting software, accounting software platform, document management, internal management, online accounting, payroll management, production software</t>
  </si>
  <si>
    <t>204420-97T</t>
  </si>
  <si>
    <t>AchatMoinsCher.com</t>
  </si>
  <si>
    <t>Operator of an online price comparison platform intended to offer multi-category products. The company's platform offers a wide range of products including home appliances, baby care products, jewelry, clothes, health care products, games and toys, and sports equipment, enabling users to shop and buy any product at the lowest price.</t>
  </si>
  <si>
    <t>AQUITI Gestion</t>
  </si>
  <si>
    <t>ecommerce saas, ecommerce store, information guide, price comparison, shopping advice, shopping guide</t>
  </si>
  <si>
    <t>Masevaux, France</t>
  </si>
  <si>
    <t>203699-62T</t>
  </si>
  <si>
    <t>Atomic (Media and Information Services)</t>
  </si>
  <si>
    <t>Developer of augmented reality platform intended to help brands better connect with their audiences. The company's platform creates captivating content tailored for social media and web applications, featuring innovative technologies like virtual try-ons and 3D viewers, enabling businesses to connect with diverse audiences while enhancing customer interaction and storytelling capabilities.</t>
  </si>
  <si>
    <t>advertising services, ar shopping, ar technology, augmented reality, brand marketing, cg animation, marketing method, visual effects</t>
  </si>
  <si>
    <t>Artificial Intelligence &amp; Machine Learning, Augmented Reality, Marketing Tech</t>
  </si>
  <si>
    <t>204471-28T</t>
  </si>
  <si>
    <t>Beaurain MS</t>
  </si>
  <si>
    <t>Distributors/Wholesale*, Machinery (B2B)</t>
  </si>
  <si>
    <t>Developer of bagging machines designed for the process and packaging of the production lines. The company creates a wide range of equipment, technical help, feeding or sorting systems for upstream products, horizontal or vertical accumulators, and boxing, enabling businesses to provide end-to-end packaging of their products.</t>
  </si>
  <si>
    <t>Groupe IRD</t>
  </si>
  <si>
    <t>container manufacturer, packaging equipment, packaging machines, packaging process, packaging product, weighing tools</t>
  </si>
  <si>
    <t>203474-80T</t>
  </si>
  <si>
    <t>Cryptr</t>
  </si>
  <si>
    <t>Passwordless Authentication</t>
  </si>
  <si>
    <t>Developer of a plug-and-play authentication platform designed to manage and deploy all their authentication strategies in one place with just a few lines of code. The company's platform synchronizes user directories between SaaS (software-as-a-service) and their customers with automated provisioning and de-provisioning, it can deploy all the authentication strategies needed for their users with a single API (Application Programming Interface) call, enabling businesses to detect and prohibit risky browsers, improve time development, and reduce maintenance of systems.</t>
  </si>
  <si>
    <t>50 Partners, Alexei Chemenda(Alexei Chemenda), Auriga Cyber Ventures, Checkout.com, Emmanuel Touboul(Emmanuel Touboul), Guillaume Lestrade(Guillaume Lestrade), Guillaume Luccisano(Guillaume Luccisano), Jean-Baptiste Aviat(Jean-Baptiste Aviat), Jonathan Bordereau(Jonathan Bordereau), Marc Sabatier(Marc Sabatier), Nicolas Dessaigne(Nicolas Dessaigne), ProcessOut(Louis-Paul Dareau), Zinal Growth(Guillaume Waser)</t>
  </si>
  <si>
    <t>access management, authentication management, authentication software, configuration tools, employee directory, identity &amp; access management, identity and access management, passwordless authentication, programming language, security management system, security system</t>
  </si>
  <si>
    <t>211182-67T</t>
  </si>
  <si>
    <t>Digeiz</t>
  </si>
  <si>
    <t>Operator of a mall analytics platform intended for retailers and shopping centers to let them make smarter decisions for their visitor flows. The company's platform uses sensors to analyze customer behavior, measure showcase effectiveness, and count visitors, enabling retailers, supermarkets, and shopping malls to understand their visitors and improve operational performance.</t>
  </si>
  <si>
    <t>TechnoFounders(Pierre Le Blainvaux)</t>
  </si>
  <si>
    <t>analytics platform developer, analytics solution, business intelligence, retail operation platform, shopping analysis, video analytics</t>
  </si>
  <si>
    <t>204745-15T</t>
  </si>
  <si>
    <t>Digitizme</t>
  </si>
  <si>
    <t>Business/Productivity Software*, Other Commercial Products</t>
  </si>
  <si>
    <t>Developer of a technology platform designed to make life easier for physical merchants. The company's platform offers a transversal and complete resolution, which allows the managers of shops and fast food restaurants, the publishers of tills, as well as the manufacturers and managers of vending machines, enabling clients to gain profitability while improving the experience of clients.</t>
  </si>
  <si>
    <t>Kreaxi(Sandra Dubos)</t>
  </si>
  <si>
    <t>digital equipment, digital sales, digital solutions, digitalization platform, digitalization system, digitalization technologies</t>
  </si>
  <si>
    <t>Advanced Manufacturing, SaaS</t>
  </si>
  <si>
    <t>205195-69T</t>
  </si>
  <si>
    <t>Dorémi</t>
  </si>
  <si>
    <t>Construction and Engineering*, Real Estate Services (B2C)</t>
  </si>
  <si>
    <t>Provider of energy renovation system intended for individual properties and houses. The company's tool provides performance renovation and complete renovation projects, enabling user energy transition, efficient renovation, and the property's value improvement.</t>
  </si>
  <si>
    <t>Edilians, France Active, Schneider Electric (Electrical Equipment) (PAR: SU)(Christophe Poline)</t>
  </si>
  <si>
    <t>energy transition, home renovation, property development, property renovation, renovation project management, renovation works</t>
  </si>
  <si>
    <t>LOHAS &amp; Wellness, Real Estate Technology</t>
  </si>
  <si>
    <t>Alixan, France</t>
  </si>
  <si>
    <t>205370-83T</t>
  </si>
  <si>
    <t>Entourage</t>
  </si>
  <si>
    <t>Provider of communications advisory services intended to protect and develop the reputation of leaders and brands. The company offers crisis communication, litigation support, corporate restructuring, and internal communication, providing business leaders with personalized, objective advice and integrated communication strategies to respond to the political, technological, economic, and societal dynamics changing the world.</t>
  </si>
  <si>
    <t>MXP Ventures(Tilo Bonow)</t>
  </si>
  <si>
    <t>communications agency, communications services, consulting firm, internal communication, public relations, public relations agency, public relations firm</t>
  </si>
  <si>
    <t>204089-32T</t>
  </si>
  <si>
    <t>Gemelli Games</t>
  </si>
  <si>
    <t>Operator of a gaming studio intended to create games in underserved genres. The company's offering incorporates elements of turn-based tactical role-playing games with a roster of multiplayer online battle arena-style heroes, with solo campaigns and multiplayer game modes, enabling gamers to go on adventures alone and partake in player versus player matches.</t>
  </si>
  <si>
    <t>Bpifrance, HSD Capital, Kima Ventures</t>
  </si>
  <si>
    <t>game developer, game site operators, games services, gaming content, gaming developer, gaming publisher, gaming studio, strategy games</t>
  </si>
  <si>
    <t>204759-55T</t>
  </si>
  <si>
    <t>Greendid</t>
  </si>
  <si>
    <t>Developer of a SaaS platform designed to facilitate the resale of purchased goods through a network of professional merchants. The company's platform integrates with e-commerce sites, allowing customers to sell their past purchases while benefiting from features like secure payment processing and free shipping labels, enabling retailers to enhance customer engagement and generate additional revenue through an efficient circular economy model.</t>
  </si>
  <si>
    <t>A-Venture</t>
  </si>
  <si>
    <t>inventory management, luxury resale, marketplace automation, payment processing, pre-owned goods, resale platform, reseller market, secondhand marketplace</t>
  </si>
  <si>
    <t>194367-25T</t>
  </si>
  <si>
    <t>Husband</t>
  </si>
  <si>
    <t>Net Venture</t>
  </si>
  <si>
    <t>stealth business, stealth businesss, stealth company, stealth entity, stealth firm, stealth platform</t>
  </si>
  <si>
    <t>204688-63T</t>
  </si>
  <si>
    <t>Capital Grand Est, The Innovation Fund</t>
  </si>
  <si>
    <t>235289-08T</t>
  </si>
  <si>
    <t>Kelbongoo</t>
  </si>
  <si>
    <t>Food Products*, Information Services (B2C), Internet Retail</t>
  </si>
  <si>
    <t>Operator of a marketplace platform intended to allow local producers to sell their products to urban customers. The company platform offers farm products from small local producers like fruits, vegetables, organic meat, cheese, drinks, rice, flour, and various other items, enabling users to avail of a sustainable model of consumption, an alternative to that of mass distribution, with prices that are both more accessible for consumers and fairer for consumers and producers.</t>
  </si>
  <si>
    <t>dairy product shopping, farm product dealer, farm product supplier, farming fresh product, fruits and vegetables, grocery supplies, local seasonal products, solidarity economy</t>
  </si>
  <si>
    <t>203480-92T</t>
  </si>
  <si>
    <t>L'Atelier de Joël Robuchon</t>
  </si>
  <si>
    <t>Operator of a restaurant chain intended to serve French tradition. The company offers a blend of French culinary traditions with global influences, featuring innovative dishes crafted with seasonal ingredients, allowing customers a memorable dining experience.</t>
  </si>
  <si>
    <t>Brkfst Club</t>
  </si>
  <si>
    <t>authentic flavors, french cuisine, restaurant chain, restaurant chain firm, restaurant operator, seasonal ingredients</t>
  </si>
  <si>
    <t>204467-41T</t>
  </si>
  <si>
    <t>La Maison Demeure</t>
  </si>
  <si>
    <t>Operator of a digital printing company intended to print on leather and other materials led by a creative studio. The company specializes in graphic research, digital printing on leather, semi-finished or finished products, screen printing, airbrush, and embossing, enabling clients with tailor-made services adapted to ambitious printing projects.</t>
  </si>
  <si>
    <t>Cuir Invest, Groupe IRD</t>
  </si>
  <si>
    <t>digital printing, printing project, printing service, printing technology, screen printing, textile printing</t>
  </si>
  <si>
    <t>218395-54T</t>
  </si>
  <si>
    <t>Looten Industries</t>
  </si>
  <si>
    <t>Distributors/Wholesale*, Industrial Supplies and Parts</t>
  </si>
  <si>
    <t>Manufacturer of industrial supplies intended to accomplish commercial offers. The company specializes in industrial supplies trading, maintenance of industrial valves, hand tools, welding, site equipment, and robotics, enabling businesses to get supplies in the fields of welding ranging from the distribution of equipment, and consumables.</t>
  </si>
  <si>
    <t>industrial supplies, industrial supplies retailer, industrial supplies trading, industrial valves maintenance, industrial valves products, power tools, protective equipment, welding robotics</t>
  </si>
  <si>
    <t>Grande-Synthe, France</t>
  </si>
  <si>
    <t>204464-44T</t>
  </si>
  <si>
    <t>228040-57T</t>
  </si>
  <si>
    <t>Praiz</t>
  </si>
  <si>
    <t>DDeveloper of a customer relationship management platform intended to extract actionable and accurate data from conversations. The company's platform uses a tailor-made Gen-AI extraction technology to summarize all meetings and automatically load all the required information into CRM, enabling companies to improve their sales performance.</t>
  </si>
  <si>
    <t>Cédric Sellin, Pareto Holdings, Sphere Ventures, Super Capital, Yves Weisselberger(Yves Weisselberger)</t>
  </si>
  <si>
    <t>crm data, customer relationship management system, customer relationship management tool, insight platform, sales ai technology, sales insights</t>
  </si>
  <si>
    <t>205136-47T</t>
  </si>
  <si>
    <t>Qilibri</t>
  </si>
  <si>
    <t>Clinics/Outpatient Services, Food Products, Other Services (B2C Non-Financial)*</t>
  </si>
  <si>
    <t>Provider of food rebalancing programs intended to eat healthier, lose weight, and feel better. The company provides customized weight loss programs that include breakfast, lunch, snacks, and dinner as well as offers the choice to opt for slimming meals from recipes developed by dieticians, enabling customers to adopt healthy habits and refrain from regaining the lost pounds.</t>
  </si>
  <si>
    <t>dietary meals, dietary monitoring, food craft, food ecommerce, healthy eating subscription, meal kit, ready-to-eat meals, wellness coaching program</t>
  </si>
  <si>
    <t>202985-02T</t>
  </si>
  <si>
    <t>Stayhome</t>
  </si>
  <si>
    <t>Opeartor of a real estate portage platform intended to offer flexible financing expertise. The company's platform provides real estate financial options without age, health, or income criteria, with or without a monthly payment to be paid to meet the financing needs of private or professional owners who are not eligible for bank financing, enabling users to get an affordable place to live in.</t>
  </si>
  <si>
    <t>PhiTrust Impact Investors</t>
  </si>
  <si>
    <t>assets optimization, property auction, property financing, property finder, property mortgage, property solution, property tools, real estate</t>
  </si>
  <si>
    <t>214608-25T</t>
  </si>
  <si>
    <t>Tilli</t>
  </si>
  <si>
    <t>Provider of touch-up service intended to offer clothes alteration at home. The company provides services including upcycling of clothes, curtain repairs, and embroidery, enabling customers to call a fashion designer home to touch up, readjust, or transform the wardrobe.</t>
  </si>
  <si>
    <t>2050 (VC), Aurélien de Meaux(Aurélien de Meaux), Christian Terrassoux(Christian Terrassoux), Elie Kouby(Elie Kouby)</t>
  </si>
  <si>
    <t>accessories maker, fashion designer, home services, retouching service, styling services, tailored clothing</t>
  </si>
  <si>
    <t>202864-06T</t>
  </si>
  <si>
    <t>Tocco</t>
  </si>
  <si>
    <t>Operator of sustainable sourcing with an innovative business-to-business marketplace intended to connect businesses with the largest global collection of alternative sustainable materials and suppliers for a cleaner future. The company's platform helps in sourcing sustainable products, automating procurement processes, and managing the carbon footprint, enabling clients to reduce sourcing costs and offer better and more affordable products.</t>
  </si>
  <si>
    <t>carbon footprint, materials company, materials consulting, materials supply industry, supplier management, supply chain, sustainable products, sustainable sourcing</t>
  </si>
  <si>
    <t>CleanTech, SaaS, Supply Chain Tech</t>
  </si>
  <si>
    <t>204150-61T</t>
  </si>
  <si>
    <t>Tracklab</t>
  </si>
  <si>
    <t>Developer of a compliance technology intended to protect consumers and the planet by building transparent and sustainable supply chains. The company's technology centralizes supplier quality assurance by allowing them to view and control their level of compliance by requirement, customer, certification, regulation, product, and supplier, enabling businesses to ensure that their suppliers respect their quality, environmental, and social commitments.</t>
  </si>
  <si>
    <t>agri-food company, agri-food sector, document collection, environmental responsibility, food information technology, food technology, supplier data, sustainable food chain</t>
  </si>
  <si>
    <t>204151-33T</t>
  </si>
  <si>
    <t>Eliott Reilhac(Eliott Reilhac), Founders Future, Franck Lhuerre(Franck Lhuerre), Kima Ventures, Lilian Thibault(Lilian Thibault), Nicolas Rieul(Nicolas Rieul)</t>
  </si>
  <si>
    <t>203680-81T</t>
  </si>
  <si>
    <t>Yomoni</t>
  </si>
  <si>
    <t>Asset Management*, Financial Software, Other Financial Services</t>
  </si>
  <si>
    <t>Developer of a fee-based automated portfolio management platform designed to assist in the wealth management of investors. The company's platform automatically manages an investor's portfolio by buying and selling stocks, bonds, and other instruments on the basis of their risk appetite and preferences, enabling investors to automate investment analysis and decision-making to save time and money.</t>
  </si>
  <si>
    <t>Amboise Partners, Credit Mutuel Arkea</t>
  </si>
  <si>
    <t>alternative investment, assets advisory, automated investment, internet banking, investment platform, robo advisor, robo advisory, robo advisory platform, wealth management platform, wealthtech</t>
  </si>
  <si>
    <t>202812-31T</t>
  </si>
  <si>
    <t>DualSun</t>
  </si>
  <si>
    <t>Developer of multi-energy solar panels designed to make build self-sufficient energy by the local production of heat and electricity. The company developed dual-intelligent solar panels that provide both electricity and hot water for all buildings, enabling consumers to save energy and make energy usage more economical.</t>
  </si>
  <si>
    <t>Noria, Siparex Group, TiLT Capital Partners</t>
  </si>
  <si>
    <t>climate tech company, hybrid solar panels, intermittent renewable energy, photovoltaic cell, photovoltaic solar, solar equipment, solar panels, solar photovoltaic</t>
  </si>
  <si>
    <t>202926-61T</t>
  </si>
  <si>
    <t>EEL Energy</t>
  </si>
  <si>
    <t>Manufacturer of tidal energy converter machine designed to offer an efficient technology for the needs of small river hydroelectricity. The company's tidal energy machine allows turbines to turn automatically in the direction of the current and generate electricity by themselves, enabling clients to reduce excess fuel consumption while operating underwater.</t>
  </si>
  <si>
    <t>Bpifrance, Frisquet SA</t>
  </si>
  <si>
    <t>dispatchable energy sources, energy converter, energy sources, hydraulic engine, hydropower, marine energies, renewable energy, tidal currents, tidal energy, tidal energy converter, tidal turbine</t>
  </si>
  <si>
    <t>CleanTech, Climate Tech, Industrials, Manufacturing, TMT</t>
  </si>
  <si>
    <t>203594-05T</t>
  </si>
  <si>
    <t>190030-51T</t>
  </si>
  <si>
    <t>Caocao</t>
  </si>
  <si>
    <t>Application Software, Automotive, Information Services (B2C)*, Other Services (B2C Non-Financial)</t>
  </si>
  <si>
    <t>Developer of a mobility platform designed to meet the expectations of the people who ride with them. The company's platform offer a range of rides aboard, features an interior separated by a transparent partition and a passenger compartment seating six people, and the atmosphere range is made up of electric, plug-in hybrid and petrol hybrid engine vehicles, enabling passengers with eco-friendly mobility, accessibility, comfort and safety.</t>
  </si>
  <si>
    <t>chauffeur service, chauffeur service platform, eco-friendly mobility, mobility platform, mobility services, passenger rides</t>
  </si>
  <si>
    <t>204068-53T</t>
  </si>
  <si>
    <t>CiviTime</t>
  </si>
  <si>
    <t>Provider of a collaborative business game intended to measure and improve the engagement of employees in a company's corporate social responsibility (CSR) strategy. The company offers services that can be customizable as per the company, providing organizations with complete visibility on the impacts linked to companies' investment decisions, enabling businesses to improve their strategy and communicate on their CSR initiatives.</t>
  </si>
  <si>
    <t>Angelor, BNP Paribas (PAR: BNP), Bpifrance, Myrtus Venture, One Green (Paris), Societe Generale (PAR: GLE), WeLikeStartup</t>
  </si>
  <si>
    <t>collaborative app, collaborative business, employee engagement, employee engagement games, employee engagement platform, investment decision</t>
  </si>
  <si>
    <t>209775-70T</t>
  </si>
  <si>
    <t>EvidenceB</t>
  </si>
  <si>
    <t>Developer of an evidence-based intelligent tutoring system (ITS) designed to merge artificial intelligence (AI) research and cognitive science (CS). The company offers an adaptive learning system in a software as a service (SaaS) mode, effectively addressing learning challenges in K12, higher education, professional training, curriculum-agnostic designs that are tailored to specific educational programs, evidence-based gameplay, and data-driven AI engine foster deep understanding of core concepts, even among low-performing students and features that aim at facilitating A/B testing and generating richer learning analytics and impact measurement, monitored through dashboards to enhance the learning experience and support research collaborations, enabling teachers to benefit from analytical dashboards that empower them to make pedagogical differentiation decisions in their classrooms.</t>
  </si>
  <si>
    <t>EduCapital, Finorpa, IRD Invest, Zanichelli Venture</t>
  </si>
  <si>
    <t>adaptive learning, artificial intelligence, cognitive science, edtech firm, educational content tool, educational modules, educational platform software, intelligent tutoring systems, its systems</t>
  </si>
  <si>
    <t>203626-36T</t>
  </si>
  <si>
    <t>Prello</t>
  </si>
  <si>
    <t>Application Software, Other Services (B2C Non-Financial), Real Estate Services (B2C)*</t>
  </si>
  <si>
    <t>Operator of a real estate agency intended to provide end-to-end services for managed second home co-ownership. The company offers a shared ownership model that allows their clients to buy second homes in co-ownership with relatives or strangers at a lower cost, providing property buyers with an investment in a valuable asset that they own.</t>
  </si>
  <si>
    <t>Axeleo Capital, SoHo Capital</t>
  </si>
  <si>
    <t>assets investment, co-ownership property, home brokerage, property management firm, real estate product, shared ownership model</t>
  </si>
  <si>
    <t>226027-00T</t>
  </si>
  <si>
    <t>203590-18T</t>
  </si>
  <si>
    <t>Kartable</t>
  </si>
  <si>
    <t>Application Software, Educational and Training Services (B2C), Educational Software*</t>
  </si>
  <si>
    <t>Developer of an educational platform designed to help students progress in their learning and make the most of their potential. The company's platform offers to teach, practice, evaluate, and access online courses in a single space, enabling users to get the required study material free of cost in a hassle-free way.</t>
  </si>
  <si>
    <t>Partech(Romain Lavault)</t>
  </si>
  <si>
    <t>educational platform, educational platform developer, educational platform operator, educational platform provider, educational platform software, e-learning platform</t>
  </si>
  <si>
    <t>195331-96T</t>
  </si>
  <si>
    <t>Anterra Capital, Frst Capital, Global Founders Capital, Julien Gigoi(Julien Gigoi), Kima Ventures, Northzone Ventures, Olivier Bonnet(Olivier Bonnet), Project A Ventures, Sam Edelson(Sam Edelson)</t>
  </si>
  <si>
    <t>215696-53T</t>
  </si>
  <si>
    <t>Faith Tribe</t>
  </si>
  <si>
    <t>Business/Productivity Software, Multimedia and Design Software, Other Consumer Products and Services, Other Financial Services*</t>
  </si>
  <si>
    <t>Operator of a collaborative open-source fashion design platform and ecosystem intended to harness the power of blockchain, web3, and NFT technologies. The company offers $FTRB token, a full-utility coin that offers its holders access to its end-to-end creative and business management, enabling designers to create, alter, mint, and distribute their own digital and physical fashion assets.</t>
  </si>
  <si>
    <t>TradeDog Venture Capital</t>
  </si>
  <si>
    <t>business management, digital fashion assets, fashion design platform, full collection, nft technologies, token based</t>
  </si>
  <si>
    <t>203614-48T</t>
  </si>
  <si>
    <t>Meiogenix</t>
  </si>
  <si>
    <t>Developer of an agriculture biotech company intended to develop disruptive new products based on chromosome editing. The company's technologies modulate the frequency of homologous recombination in eukaryotic cells to expand the natural biodiversity and develop new products through natural breeding, enabling farmers to address global climate, sustainability, and food challenges.</t>
  </si>
  <si>
    <t>Alexandria Venture Investments, Bpifrance(Joséphine Marie), Casdin Capital, Genoa Ventures(Jenny Rooke), Kurma Partners(Thierry Laugel), Sofinnova Partners(Michael Krel)</t>
  </si>
  <si>
    <t>ag biotech, agriculture technology, breeding technology, gene editing, homologous recombination, plant biotechnology, plant breeding</t>
  </si>
  <si>
    <t>203523-94T</t>
  </si>
  <si>
    <t>Digitsole</t>
  </si>
  <si>
    <t>Smart Clothing</t>
  </si>
  <si>
    <t>Application Software, Footwear*</t>
  </si>
  <si>
    <t>Developer of smart connected footwear technology designed to control body temperature and track footsteps via an application. The company's footwear products are controlled via an application to track footsteps, distance walked and calories burnt and have inbuilt interactive heated insoles that adjust the temperature of sneakers as per body heat, enabling sports enthusiasts and elderly walkers to monitor their movements and identify walking or running disorders for further treatment.</t>
  </si>
  <si>
    <t>Uniquest</t>
  </si>
  <si>
    <t>connected footwear, digital health platform, footwear care, intelligent apparel, remote patient monitoring, smart clothing, smart footwear</t>
  </si>
  <si>
    <t>Wearables &amp; Quantified Self</t>
  </si>
  <si>
    <t>201842-74T</t>
  </si>
  <si>
    <t>Cyberjobs</t>
  </si>
  <si>
    <t>Application Software, Education and Training Services (B2B), Human Capital Services, Information Services (B2C)*</t>
  </si>
  <si>
    <t>Developer of an online job portal intended for cybersecurity professionals. The company offers a description of the training courses that exist in the cyber sector, advice for finding an internship or a job in the field of information technology security as well as job dating and events in the sector, helping users find jobs in cybersecurity that suits them.</t>
  </si>
  <si>
    <t>cyber sector, cybersecurity training, job updates, jobs dating, online job portal, security analyst</t>
  </si>
  <si>
    <t>203202-55T</t>
  </si>
  <si>
    <t>Carbon Saver</t>
  </si>
  <si>
    <t>Buildings and Property, Business/Productivity Software*</t>
  </si>
  <si>
    <t>Developer of a sustainable renovation software as a service platform designed to support eco-construction projects. The company's platform offers to assess the environmental impact of an interior design project and has developed a calculation method, enabling clients to produce useful and effective eco-design tools to support throughout projects.</t>
  </si>
  <si>
    <t>Right Side Capital Management</t>
  </si>
  <si>
    <t>construction project, eco-construction services, eco-design tools, green construction, renovation planner, renovation platform, sustainable renovation</t>
  </si>
  <si>
    <t>CleanTech, Climate Tech, Real Estate Technology, SaaS</t>
  </si>
  <si>
    <t>216029-17T</t>
  </si>
  <si>
    <t>EVEXTA BIO</t>
  </si>
  <si>
    <t>Operator of a biotechnology platform intended to slow tumor proliferation in multiple cancer types, including those resistant to traditional treatments. The company offers innovative therapies that target resistant cancer cells based on targeting a protein refractory state-inducing factor responsible for the immunological disease, enabling oncologists and patients to explore more effective treatment options, improving outcomes and survival rates in challenging cancer cases.</t>
  </si>
  <si>
    <t>antibody drug conjugates therapeutics, biologics, breast cancer, cancer immunotherapy, cancer oncology, metastatic cancer, oncology treatment</t>
  </si>
  <si>
    <t>277907-95T</t>
  </si>
  <si>
    <t>FLIC-Food And Leisure Investment Company</t>
  </si>
  <si>
    <t>Holding Companies*, Other Financial Services, Other Restaurants, Hotels and Leisure</t>
  </si>
  <si>
    <t>Operator of a holding company intended to manage investments across hotels, cafes, and restaurant sectors. The company offers a diverse portfolio of holdings, enabling businesses and individuals seeking long-term capital growth to benefit from strategic investments and operational synergies.</t>
  </si>
  <si>
    <t>Amundi Private Equity Funds</t>
  </si>
  <si>
    <t>financial services, financial services sector, holding company, holding company operations, holding company operator, holding company services</t>
  </si>
  <si>
    <t>Holding Companies</t>
  </si>
  <si>
    <t>203680-09T</t>
  </si>
  <si>
    <t>XSun</t>
  </si>
  <si>
    <t>Autonomous Flight</t>
  </si>
  <si>
    <t>Manufacturer of long-range solar power drones designed to meet diverse operational needs. The company's autonomous flight drones are equipped with four solar wings and are designed to carry various payloads, including large-format cameras and light detection and ranging (LiDAR) systems for mapping and surveying to monitoring, enabling industries to optimize data collection and operational efficiency.</t>
  </si>
  <si>
    <t>European Innovation Council Fund, Friedrich &amp; Wagner Holding, Pays de la Loire Participations</t>
  </si>
  <si>
    <t>data collection, drones product, lidar system, remote sensing, solar technology product, uav drones</t>
  </si>
  <si>
    <t>Guérande, France</t>
  </si>
  <si>
    <t>204970-96T</t>
  </si>
  <si>
    <t>Acequia Capital, Samsung NEXT Ventures, Serena (Paris)(Bertrand Diard)</t>
  </si>
  <si>
    <t>204971-32T</t>
  </si>
  <si>
    <t>Lynceus</t>
  </si>
  <si>
    <t>Series 2</t>
  </si>
  <si>
    <t>Developer of a manufacturing quality prediction software designed to predict the result of quality tests for each product on the production line. The company's software provides manufacturers with quality predictions in real-time by utilizing AI-based technology to calculate the probability of products passing the quality test, enabling clients to adjust their processes before the defects materialize.</t>
  </si>
  <si>
    <t>defect detection, industrial data analytics, manufacturing quality control, manufacturing quality prediction, prediction software, quality prediction, quality prediction software, quality test platform, vertical application</t>
  </si>
  <si>
    <t>Artificial Intelligence &amp; Machine Learning, Big Data, Manufacturing</t>
  </si>
  <si>
    <t>199960-66T</t>
  </si>
  <si>
    <t>207574-57T</t>
  </si>
  <si>
    <t>Bump.sh</t>
  </si>
  <si>
    <t>Contract Management Automation</t>
  </si>
  <si>
    <t>Developer of a contract management platform designed to improve application programming interface (API) integration. The company handles documentation publication and change analysis and helps document and track APIs, enabling companies to organize their (micro)services ecosystem and keep their dev teams synchronized.</t>
  </si>
  <si>
    <t>Bpifrance(Joséphine Marie), Galion.exe</t>
  </si>
  <si>
    <t>automation management, contract management automation, contract management platform, contract management software, documentation work, workflow tool</t>
  </si>
  <si>
    <t>203587-21T</t>
  </si>
  <si>
    <t>Clever Beauty</t>
  </si>
  <si>
    <t>Manufacturer of personal care products designed to enhance natural bodily features. The company's products are made from all-natural materials and have an anti-waste plug, enabling individuals to boost their overall appearance without being subjected to harmful components.</t>
  </si>
  <si>
    <t>Femmes Business Angels, Silvr</t>
  </si>
  <si>
    <t>beauty brand, beauty kit, beauty products, cosmetic products, cosmetics goods, makeup industry, natural cosmetics</t>
  </si>
  <si>
    <t>Beauty, LOHAS &amp; Wellness, Manufacturing</t>
  </si>
  <si>
    <t>191181-97T</t>
  </si>
  <si>
    <t>Bon Vivant</t>
  </si>
  <si>
    <t>Beverages*, Biotechnology, Food Products</t>
  </si>
  <si>
    <t>Producer of milk-based proteins intended to offer real dairy products, accessible to all. The company uses precision fermentation to produce milk proteins and cultivates them in a vegetable culture medium so that they ferment, enabling consumers to obtain pure milk protein alternatives to cheese and other dairy products.</t>
  </si>
  <si>
    <t>AFI Ventures (Paris), Cell Capital, Exceptional Ventures, Founders Future, High Flyers Capital, Kima Ventures, Notus Technologies, Picus Capital, Ventech (Paris)</t>
  </si>
  <si>
    <t>alt-proteins, beverages manufacturing, biotechnology company operator, dairy product alternative, dairy product firm, fermented protein, food manufactuer, precision fermentation</t>
  </si>
  <si>
    <t>201937-24T</t>
  </si>
  <si>
    <t>Crédit Agricole Ille et Vilaine Expansion, GO Capital (France)</t>
  </si>
  <si>
    <t>249974-11T</t>
  </si>
  <si>
    <t>Consultation Mpoirier Inc, Jeanh Hong Kong Limited, La SPRL LILAS, Nutriance Hong Kong limited, Rue Des Ecoles, SRL LILAS</t>
  </si>
  <si>
    <t>201023-20T</t>
  </si>
  <si>
    <t>Mid Atlantic Bio Angels(Yaniv Sneor), Pegase Capital</t>
  </si>
  <si>
    <t>186305-23T</t>
  </si>
  <si>
    <t>e-ophtalmo</t>
  </si>
  <si>
    <t>Enterprise Systems (Healthcare), Other Healthcare Services*</t>
  </si>
  <si>
    <t>Developer of a medical platform designed to provide a high-quality telemedicine experience to patients with visual health problems. The company's platform provides a range of services including doctor and healthcare professional appointments, eye care, and ophthalmological follow-up, enabling patients to begin treatment quickly, resulting in higher rates of successful treatments.</t>
  </si>
  <si>
    <t>5M Ventures, JBC2</t>
  </si>
  <si>
    <t>online medical platform, ophthalmological care, ophthalmological diagnostic, ophthalmological services, ophthalmological technology, telemedicine network, telemedicine platform</t>
  </si>
  <si>
    <t>202350-43T</t>
  </si>
  <si>
    <t>Green Impulse</t>
  </si>
  <si>
    <t>Operator of a biotechnology company intended to develop biocontrol alternatives for agriculture and reduce the use of pesticides. The company's bio-control and bio-stimulation products serve as alternatives to conventional fungicides and fertilizers and help weaken the pathogenic fungi without killing them to make the fungi sensitive to the natural defenses of the plants, enabling clients to have access to natural products that significantly reduce the development of pathogenic fungi on plants, without risking the environment and consumer health.</t>
  </si>
  <si>
    <t>Banque des Territoires, GO Capital (France)(Frédéric Le Guillou), Pays de la Loire Développement, Sodero</t>
  </si>
  <si>
    <t>ag biotech, agricultural fungicides, agriculture technology, biocontrol solutions, crop production, fertilizer alternatives, fungi control, fungi protection, fungicides treatment, land use, plant biotech, plant biotechnology</t>
  </si>
  <si>
    <t>242239-06T</t>
  </si>
  <si>
    <t>Voggt</t>
  </si>
  <si>
    <t>Livestream Commerce</t>
  </si>
  <si>
    <t>Developer of a live video e-commerce platform designed for people to transact and socialize online with a community passionate about collectibles, sneakers and fashion. The company's platform provides an online marketplace by combining live-streaming and online retail and a community-focused approach with payment protection and careful monitoring of sellers to create a fun and safe environment without compromising on entertainment, enabling people to experience in-person shopping and window shopping at home.</t>
  </si>
  <si>
    <t>Alven Capital Partners, Faraday Partners, Purple (Paris), Sequoia Capital</t>
  </si>
  <si>
    <t>ecommerce platform, live platform, live shopping platform, live stream shopping, live streaming shopping, livestream shopping, livestream shopping platform, online purchase</t>
  </si>
  <si>
    <t>E-Commerce, Mobile, SaaS</t>
  </si>
  <si>
    <t>190370-35T</t>
  </si>
  <si>
    <t>Hackuity</t>
  </si>
  <si>
    <t>Operator of a cybersecurity firm intended to offer breakthrough technology services that rethink the way of managing IT vulnerabilities in enterprises. The company offers risk-based vulnerability management software that collects and normalizes all the vulnerability data in the enterprise, from all assessment tools, and audit results, enabling clients to fix vulnerabilities faster using tools orchestration, risk-based prioritization, and workflow automation, thus drastically reducing exposure to cyber-risks.</t>
  </si>
  <si>
    <t>Banque des Territoires, Bright Pixel Capital(Eduardo Piedade), Caisse des Depots Group(Antoine Troesch), Seventure Partners</t>
  </si>
  <si>
    <t>cybersecurity firm, cybersecurity system, regulatory compliance, security operations, security risk assessment &amp; management, security risk assessment and management, threat intelligence, vulnerability management, vulnerability management software</t>
  </si>
  <si>
    <t>203611-78T</t>
  </si>
  <si>
    <t>Magic Makers</t>
  </si>
  <si>
    <t>Educational and Training Services (B2C)*, Educational Software, Internet Retail</t>
  </si>
  <si>
    <t>Provider of computer-based educational services intended to teach coding for creating games, projects, and robots. The company's services include holiday workshops, events workshops, coding workshops, and creative programming, enabling students to learn computer coding in a feasible way with trained facilitators and advanced tools.</t>
  </si>
  <si>
    <t>Alter Equity, Econocom Group (BRU: ECONB), EduCapital</t>
  </si>
  <si>
    <t>computer coding, computer education, educational services, events sessions, programming classes, programming coding, programming courses, workshops tools</t>
  </si>
  <si>
    <t>E-Commerce, EdTech, SaaS</t>
  </si>
  <si>
    <t>223728-40T</t>
  </si>
  <si>
    <t>Moonshot Insurance</t>
  </si>
  <si>
    <t>Business/Productivity Software, Financial Software*, Insurance Brokers</t>
  </si>
  <si>
    <t>Developer of an insurance platform designed to offer contextual insurance and service products to the e-commerce industry. The company's platform focuses on keeping insurance simple, useful, and accessible to everyone by offering solutions for policy development, underwriting, risk profiling &amp; pricing, claims management, insurance-as-a-service platform and white-label integration, enabling clients to get insured hassle-free.</t>
  </si>
  <si>
    <t>Sogecap</t>
  </si>
  <si>
    <t>claims management, customization, ecommerce insurance, insurance platform, personalized insurance, travel insurance</t>
  </si>
  <si>
    <t>193301-02T</t>
  </si>
  <si>
    <t>Fairly Made</t>
  </si>
  <si>
    <t>Operator of a sustainable clothing company intended to help textile brands offer customers sustainable garments and accessories. The company specializes in product impact measurement, and sustainable manufacturing, and provides tools to empower brands and lead them to concrete committed choices, enabling clients to reduce the environmental footprint of the fashion industry and improve social conditions for workers.</t>
  </si>
  <si>
    <t>ETF Partners(Lucy Rands), LeFonds</t>
  </si>
  <si>
    <t>enterprise asset management, enterprise resource planning, erp, fashion industry, organic fabrics, recycled fabrics, sustainable accessories, sustainable garments, sustainable product</t>
  </si>
  <si>
    <t>210307-33T</t>
  </si>
  <si>
    <t>FieldBox</t>
  </si>
  <si>
    <t>TinyML</t>
  </si>
  <si>
    <t>Developer of a data management software designed to capture, monitor, analyze, and report field operations. The company's platform automates and eases the acquisition, reporting, transmission, and analysis of oil and gas field data by deploying artificial intelligence in the heart of industrial sites to continuously optimize processes and operate machines autonomously, enabling oil and gas companies to maximize asset value.</t>
  </si>
  <si>
    <t>AQUITI Gestion, Bpifrance</t>
  </si>
  <si>
    <t>data management software, distributed computing, edge analytics, field data capture, field monitoring, field operations management, operational analytics platform, petroleum engineering, process optimization</t>
  </si>
  <si>
    <t>Artificial Intelligence &amp; Machine Learning, Big Data, Oil &amp; Gas, TMT</t>
  </si>
  <si>
    <t>201618-55T</t>
  </si>
  <si>
    <t>Aera VC, Aonia Ventures, Pale blue dot, Super Capital</t>
  </si>
  <si>
    <t>201286-72T</t>
  </si>
  <si>
    <t>Abeille Impact Investing France, Angel's Bay Invest, France Active, Région Sud Investissement</t>
  </si>
  <si>
    <t>206724-16T</t>
  </si>
  <si>
    <t>Interstellar Lab</t>
  </si>
  <si>
    <t>Cultivation*, Other Agriculture, Other Commercial Products</t>
  </si>
  <si>
    <t>Manufacturer of environment-controlled pods for crop cultivation intended to manufacture and operate advanced bio-farming platforms to help customers produce clean plant-based ingredients. The company's bio-farming technology combines automated farms, AI, and bioscience with a data-driven approach and work as regenerative habitats that automatically regulate air, pressure, water, temperature and humidity to create the ideal environmental conditions for humans and plants and provide sustainable plant-based ingredient, enabling the agricultural sector to get a crop cultivation technology to grow different species of fruits, vegetables, flowers and plants in any location and any environment.</t>
  </si>
  <si>
    <t>Ankh Impact Ventures, Bradley Mullen(Bradley Mullen), Climate Capital, Stellar Ventures, Stratosphere Capital, Tim Seears(Tim Seears), Vye Ventures, Wind Capital, Zachary Gilula(Zachary Gilula)</t>
  </si>
  <si>
    <t>biodiversity care, bio-engineered food, crop cultivation, environment agriculture, farming system, futures food forming, indoor farming, molecular farming, natural ingredients, plant science, plant sciences</t>
  </si>
  <si>
    <t>AgTech, Artificial Intelligence &amp; Machine Learning, Climate Tech, LOHAS &amp; Wellness</t>
  </si>
  <si>
    <t>201456-28T</t>
  </si>
  <si>
    <t>Ishtar Games</t>
  </si>
  <si>
    <t>Developer of gaming software intended to create reality-based gaming experiences. The company's games depict a dire and depressing reality while telling a delicate and honest story, enabling the users to have a thought-provoking experience while gaming.</t>
  </si>
  <si>
    <t>game studio, gameplay design, gameplay sharing, games project, gaming software, video games maker</t>
  </si>
  <si>
    <t>201928-15T</t>
  </si>
  <si>
    <t>Le Gramme</t>
  </si>
  <si>
    <t>Operator of an online accessories platform intended to deliver customized designer jewelry. The company sells a range of men's creative and minimalistic accessories including bracelets, necklaces and rings, and uses recycled silver and gold to create unique pieces, enabling customers to buy designer jewelry and accessories.</t>
  </si>
  <si>
    <t>Bleu Capital, LeFonds, Pentagram Ventures</t>
  </si>
  <si>
    <t>accessories brand, jewelry wear, men's jewelry, minimalist design, rings and bracelets, silver rings</t>
  </si>
  <si>
    <t>270853-21T</t>
  </si>
  <si>
    <t>Le Pavé</t>
  </si>
  <si>
    <t>Building Products*, Environmental Services (B2B)</t>
  </si>
  <si>
    <t>Manufacturer of recyclable material from plastic waste intended to solve the pollution problem. The company offers a range of ecological designs in various shapes and colors, in the form of panels, driveways, walkways, and other hardscaping applications, enabling designers, architects, cooperatives, and schools to create sustainable products.</t>
  </si>
  <si>
    <t>BNP Paribas Développement, MAIF Impact</t>
  </si>
  <si>
    <t>construction materials, green materials, plastic pollution, plastic waste, recyclable materials, sustainable materials</t>
  </si>
  <si>
    <t>208019-26T</t>
  </si>
  <si>
    <t>Moneco</t>
  </si>
  <si>
    <t>Developer of a financial platform designed to facilitate transactions. The company's platform to open an account with a passport, access international payment card, and process wire transfers, enabling the African diaspora to send money at ease.</t>
  </si>
  <si>
    <t>Alan Rutledge(Alan Rutledge), Austen Allred(Austen Allred), Bpifrance, De/Ce Ventures, Digital Africa (Paris)(Ali Mnif), Fuze (Africa), Kima Ventures, Soma Ventures</t>
  </si>
  <si>
    <t>credit and banking, digital banking, financial services, money transfer service, neobank operator, wire transfers</t>
  </si>
  <si>
    <t>203105-35T</t>
  </si>
  <si>
    <t>207471-70T</t>
  </si>
  <si>
    <t>Teamstarter</t>
  </si>
  <si>
    <t>Developer of intra-company employee engagement platform designed for innovation and idea management based on crowdfunding. The company's platform specializes in intra-company participatory financing to capture and share ideas, information, and new concepts with teams, allowing client employees to create finance internal projects using a budget allocated to them by the company.</t>
  </si>
  <si>
    <t>Benoit Queyrel(Benoit Queyrel), Benoît Leclercq(Benoît Leclercq), Bertrand Leclercq(Bertrand Leclercq), Financière Vector, GO Capital (France), Matters - Product &amp; Startup Studio, Nicolas Petrovic(Nicolas Petrovic), Odyssee Venture(Sébastien Sassolas), Patrick Dixneuf(Patrick Dixneuf)</t>
  </si>
  <si>
    <t>crowdfunding space, employee engagement, employee program, enterprise resource planning, erp, human capital management, ideas management, project management, startup innovation</t>
  </si>
  <si>
    <t>202028-59T</t>
  </si>
  <si>
    <t>Unitalk.</t>
  </si>
  <si>
    <t>Entertainment Software, Financial Software, Other Financial Services, Social/Platform Software*</t>
  </si>
  <si>
    <t>Developer of social engagement platform intended to allow users to play and earn opportunities. The company's platform helps to earn money for doing everything on social networks using the community's digital assets without investment, has a rewarding wallet for notifications, and guides to choose between withdrawing cash or storing cryptocurrency, providing users with economic opportunities to get paid for completing quests, quizzes, or tasks at any time.</t>
  </si>
  <si>
    <t>Diaspora Ventures, Guillaume Gerry(Guillaume Gerry), Olive Capital, Reda Bouraoui(Reda Bouraoui), Super Capital</t>
  </si>
  <si>
    <t>crypto exchange, digital asset, loyalty program, online gaming, online money, social engagement, social media engagement</t>
  </si>
  <si>
    <t>Cryptocurrency/Blockchain, FinTech, Gaming</t>
  </si>
  <si>
    <t>203184-55T</t>
  </si>
  <si>
    <t>VA2CS</t>
  </si>
  <si>
    <t>Monitoring Equipment, Other Healthcare Technology Systems*</t>
  </si>
  <si>
    <t>Developer of healthcare monitoring system designed to help senior citizens and their families by detecting falls or loss of consciousness. The company system uses advanced artificial intelligence to alert caretakers during an emergency that quickly spot accidents via phone, computer or nurse call systems, enabling care homes and family members to get access to a suite of sensors, servers, and mobile terminals for institutional use cases.</t>
  </si>
  <si>
    <t>Majycc Esante Invest, UI Investissement</t>
  </si>
  <si>
    <t>emergency alarm, operational needs, optical sensor system, optical sensor tracking, senior citizen care, software development</t>
  </si>
  <si>
    <t>Artificial Intelligence &amp; Machine Learning, Mobile, Wearables &amp; Quantified Self</t>
  </si>
  <si>
    <t>Saint-Raphaël, France</t>
  </si>
  <si>
    <t>235143-64T</t>
  </si>
  <si>
    <t>DOQBOARD</t>
  </si>
  <si>
    <t>Other Healthcare*, Other Healthcare Services</t>
  </si>
  <si>
    <t>Other Healthcare</t>
  </si>
  <si>
    <t>Developer of a collaborative, intuitive, and secure electronic Case Report Form (eCRF) platform designed for observational research. The company's platform allows researchers, healthcare facilities, research groups, and healthcare industries to develop their knowledge by conducting studies and registries more simply and efficiently, thereby allowing practitioners to enhance efficiency, collaboration, and data security by simplifying the research process to benefit both researchers and patients.</t>
  </si>
  <si>
    <t>Seed4Soft</t>
  </si>
  <si>
    <t>clinical research, collaborative research, ecrf platform, observational research, platform as service</t>
  </si>
  <si>
    <t>Bois-Guillaume, France</t>
  </si>
  <si>
    <t>206214-22T</t>
  </si>
  <si>
    <t>Mablink</t>
  </si>
  <si>
    <t>Operator of a biotechnology company intended to develop antibody-drug-conjugates drugs to fight cancer. The company helps to design homogenous, plasma-stable conjugates with a high drug-antibody ratio while retaining original pharmacological properties, enabling healthcare professionals to provide patients with new and improved treatment options for cancer.</t>
  </si>
  <si>
    <t>Angelor, Crédit Agricole Création, Elaia Partners(Florian Denis), Fournier-Majoie Foundation(Jérôme Majoie), Korys Investments(David Devigne), OMX Ventures, Pertinence Invest, Sham Innovation Santé, Simba Santé 3, Turenne Groupe(Bervin Bouani), UI Investissement</t>
  </si>
  <si>
    <t>antibody drug conjugates, bioscience company, biotechnology based, biotechnology research, cancer drug, cytotoxic drug, drug development</t>
  </si>
  <si>
    <t>204126-13T</t>
  </si>
  <si>
    <t>Libertify</t>
  </si>
  <si>
    <t>Developer of crypto risk management platform designed to build a safer crypto economy by bringing understandable, actionable, risk-management tools to all. The company's platform protects from the risks of cryptocurrency by notifying and advising on crypto investments, enabling users to avoid emotional buy-sell decisions and cut losses early in market drawdowns.</t>
  </si>
  <si>
    <t>Kawasaki Kisen Kaisha (TKS: 9107), Kima Ventures, Laurion Capital Management(Emmanuel Naim)</t>
  </si>
  <si>
    <t>crypto compliance, crypto risk management, crypto security, cryptocurrency tools, decentralized assets, investment advice, investment risk, market insight, risk management, risk management system, saas platform</t>
  </si>
  <si>
    <t>204061-60T</t>
  </si>
  <si>
    <t>Cuure</t>
  </si>
  <si>
    <t>Application Software, Other Consumer Non-Durables*, Personal Products</t>
  </si>
  <si>
    <t>Producer of personalized supplements intended to help everyone take care of their body. The company's platform suggests a personalized selection of supplements that are made from vitamins, minerals, and plants, enabling individuals to get the right dosage adapted to their needs, at fair prices as well as helping to inculcate wellness habits into practice with the tracking application.</t>
  </si>
  <si>
    <t>Bpifrance(Joséphine Marie), Capagro(Pierre Kiener), JamJar Investments, Newfund Management, V3 Ventures (Brussels), Verlinvest</t>
  </si>
  <si>
    <t>health program, online diagnostics, personalized nutrition, personalized supplements, progress tracking, subscription-based app</t>
  </si>
  <si>
    <t>201927-07T</t>
  </si>
  <si>
    <t>202067-20T</t>
  </si>
  <si>
    <t>360 Capital, FCP Innovacion SP, Omnes Capital, S2G Investments</t>
  </si>
  <si>
    <t>242472-70T</t>
  </si>
  <si>
    <t>VertDurable</t>
  </si>
  <si>
    <t>Energy Marketing, Other Energy Services*, Other Financial Services, Real Estate Services (B2C)</t>
  </si>
  <si>
    <t>Provider of housing consulting services intended for condominium renovations with a focus on energy transition. The company specializes in providing assistance, guidance, and financial engineering services to facilitate the energy transition, offering clients specialized knowledge in financing options related to energy efficiency improvements in residential buildings.</t>
  </si>
  <si>
    <t>Timbul Venture</t>
  </si>
  <si>
    <t>energy transition, financial engineering service, financing options, housing management, project management assistance, renovation project</t>
  </si>
  <si>
    <t>CleanTech, Real Estate Technology</t>
  </si>
  <si>
    <t>Boulogne, France</t>
  </si>
  <si>
    <t>202139-11T</t>
  </si>
  <si>
    <t>Ternel</t>
  </si>
  <si>
    <t>204347-08T</t>
  </si>
  <si>
    <t>Glass Partners Solutions</t>
  </si>
  <si>
    <t>Manufacturer of industrial glasses intended to offer infrastructure and decoration for offices and buildings. The company offers glasses for photovoltaic panels, decoration, fireproofing, solar control, acoustic, security and mirrors as well as relies on an unprecedented infrastructure with proper delivery services, enabling clients to get their required glass panels for decorating their buildings.</t>
  </si>
  <si>
    <t>Arkéa Capital, Crédit Agricole Franche-Comté, iXO Private Equity, NextStage AM</t>
  </si>
  <si>
    <t>decorative glass, designer glass, glass distributor, glass manufacturer, industrial glass, last mile delivery, photovoltaic panels, solar glass</t>
  </si>
  <si>
    <t>Industrials, Manufacturing, Supply Chain Tech</t>
  </si>
  <si>
    <t>212554-90T</t>
  </si>
  <si>
    <t>Murfy</t>
  </si>
  <si>
    <t>Operator of an online repair service booking platform intended to reduce waste by extending the life of the devices. The company's platform offers professional repair and diagnostics services for electrical appliances like dishwashers, washing machines, ovens, stoves, and cooktops along with online repair and diagnostic tutorials, enabling users to give their appliances a second life rather than buying a new one.</t>
  </si>
  <si>
    <t>Alter Equity, Eutopia, Teampact Ventures</t>
  </si>
  <si>
    <t>online repair solution, predictive analytics, repair facility management, repair service company, repair service facility, repair service platform</t>
  </si>
  <si>
    <t>Big Data, E-Commerce</t>
  </si>
  <si>
    <t>Bobigny, France</t>
  </si>
  <si>
    <t>203626-27T</t>
  </si>
  <si>
    <t>WhiteLab Genomics</t>
  </si>
  <si>
    <t>Developer of a gene and cell therapy platform designed to perform exhaustive analyses and processing of scientific, technical, biological, genomic, and experimental datasets. The company's platform and proprietary database help scientists in the field of gene and cell therapies to obtain precise and exhaustive answers to key scientific and technological questions such as optimizing plasmid and vector design, designing genotoxicity assessment strategies, and enabling scientists to identify and benchmark experimental protocols and analytical workflows for in vivo and in vitro strategies.</t>
  </si>
  <si>
    <t>Debiopharm Innovation Fund(Vincent Lepreux), Omnes Capital</t>
  </si>
  <si>
    <t>ai technology, artificial intelligence platform, cell therapy, cell therapy platform, cell therapy technology, gene cell therapy, gene therapy, gene therapy platform, gene therapy treatment, genetic markers, genomic datasets, proprietary database</t>
  </si>
  <si>
    <t>216030-52T</t>
  </si>
  <si>
    <t>Beamy</t>
  </si>
  <si>
    <t>Developer of an application integration platform designed to streamline the selection, management, and cross-functional use of technology applications. The company's platform consolidates retail techs of different departments with a view of all active cloud-based applications, visual representations of implementation progress status, and contact information for each software-in-use, monitors the impact of each software against selected KPIs, enabling businesses to collect, store and operate technical applications, while eliminating the need of managing a multitude of passwords.</t>
  </si>
  <si>
    <t>LeFonds</t>
  </si>
  <si>
    <t>ai automation platform, business innovation, digital transformation, generative ai, it management, saas management, saas management platform, saas operations</t>
  </si>
  <si>
    <t>Artificial Intelligence &amp; Machine Learning, CloudTech &amp; DevOps, SaaS, TMT</t>
  </si>
  <si>
    <t>190046-26T</t>
  </si>
  <si>
    <t>Qairn</t>
  </si>
  <si>
    <t>Business/Productivity Software*, Other Healthcare Services, Other Healthcare Technology Systems</t>
  </si>
  <si>
    <t>Developer of SaaS platform intended to digitize regulatory processes. The company offers a SaaS platform that dematerializes, secures, and simplifies all mandatory procedures involving a large part of the workforce, enabling laboratories, medical devices, and biotechs to change the lives of healthcare manufacturers by reducing risk-free management and one-click management of their many mandatory procedures.</t>
  </si>
  <si>
    <t>Bpifrance, DuF Investments, SeedInvest</t>
  </si>
  <si>
    <t>digital transformation, healthcare company, healthcare manufacturer, pharmaceutical industry, regulated industry, regulatory process</t>
  </si>
  <si>
    <t>201544-75T</t>
  </si>
  <si>
    <t>Archidvisor</t>
  </si>
  <si>
    <t>Construction and Engineering, Real Estate Services (B2C)*</t>
  </si>
  <si>
    <t>Developer of a connectivity platform designed to link real estate developers and architects. The company's platform provides an architectural community with visibility, quality services, and qualified projects and works in close collaboration with the architects to develop services and tools adapted, enabling individuals and professionals to compare architects to choose the professional suited to their needs.</t>
  </si>
  <si>
    <t>apartments construction, architectural works, architecture and design, architecture modeling, architecture service, interior designer, property extensions services, renovation services</t>
  </si>
  <si>
    <t>205020-10T</t>
  </si>
  <si>
    <t>Picsellia</t>
  </si>
  <si>
    <t>Developer of a machine learning operations (MLOps) platform designed to centralize the computer vision project's lifecycle. The company's platform offers tools for data management, experiment, deployment tracking, monitoring, and pipeline orchestration with an entire AI development stack, enabling technical teams to edit their projects and presentations on a single platform without wastage of time and money.</t>
  </si>
  <si>
    <t>Acequia Capital, Axeleo Capital</t>
  </si>
  <si>
    <t>analytics platform, automated pipelines, computer vision, computer vision tools, deployment tracking, machine learning, mlops operations, subscription-based model, unstructured data analytics</t>
  </si>
  <si>
    <t>Artificial Intelligence &amp; Machine Learning, Big Data, SaaS, TMT</t>
  </si>
  <si>
    <t>200149-03T</t>
  </si>
  <si>
    <t>Shares</t>
  </si>
  <si>
    <t>Developer of an investment application designed to make investing in shares a social activity. The company's platform is a consumer mobile application and social-first platform for retail investors, designed with user experience and community in mind, giving no-minimum, no-fee access to various stocks where new investors, can network and learn from friends and experts as a community, enabling investors to discuss investments and make investment hassle-free.</t>
  </si>
  <si>
    <t>Expansion Capital, Global Founders Capital, Peter Thiel(Peter Thiel), Red Sea Ventures, Serena Williams(Serena Williams), Singular., Valar Ventures, Venus Williams(Venus Williams), YADAY</t>
  </si>
  <si>
    <t>alternative investment, investment app, investment community, investment platform, share trading platform, shares investment, social investment app</t>
  </si>
  <si>
    <t>203650-03T</t>
  </si>
  <si>
    <t>Bpifrance, Crédit Mutuel Equity, Groupe Arnault(Bernard Arnault)</t>
  </si>
  <si>
    <t>196618-33T</t>
  </si>
  <si>
    <t>CapHorn Invest(François Santi), First Bridge, Global Founders Capital, Kima Ventures, Otium Capital(Jérémie Bordier), Pareto Holdings</t>
  </si>
  <si>
    <t>202042-09T</t>
  </si>
  <si>
    <t>UBIPLUG</t>
  </si>
  <si>
    <t>Developer of medical devices designed to reduce infections in the field of hemodialysis. The company's device consists of a smart valve system based on fluid management release that enhances the healthcare of patients undergoing vascular access, enabling caregivers to connect the hemodialysis machine to the patient without any direct contact between their hands and potential zones of contamination.</t>
  </si>
  <si>
    <t>contamination prevention, hemodialysis management, hemodialysis treatment product, infection care, infection prevention, infection protection, infection reduction, smart valves, vascular access</t>
  </si>
  <si>
    <t>Saint-Contest, France</t>
  </si>
  <si>
    <t>199947-25T</t>
  </si>
  <si>
    <t>Dailyn</t>
  </si>
  <si>
    <t>Application Software, Financial Software*, Information Services (B2C), Media and Information Services (B2B)</t>
  </si>
  <si>
    <t>Developer of a mobile application designed to offer cashback at local stores. The company aims to promote local consumption by offering a secure and rewarding payment experience, enabling users and merchants to track transactions in real time, manage their discounts, and communicate with their customers using integrated marketing tools.</t>
  </si>
  <si>
    <t>Ludovic Duprez, Mulliez Family Association</t>
  </si>
  <si>
    <t>cashbacks provider, local commerce, local trade, marketplace platform, payment service, payment settlement</t>
  </si>
  <si>
    <t>199360-09T</t>
  </si>
  <si>
    <t>Authentic Material</t>
  </si>
  <si>
    <t>Manufacturer of natural material products designed for luxury brands, research laboratories and prototyping workshops. The company's products combine the chemical arts with the engineering of materials across all natural materials, enabling clients to reintegrate the materials into production chain and find new creative potential.</t>
  </si>
  <si>
    <t>Auriga Partners (Paris), Bpifrance(Joséphine Marie), Chanel, Cuir Invest, Intellagri Capital</t>
  </si>
  <si>
    <t>3d materials manufacturer, chemical materials, material processing, material research, materials company, natural materials, organic material</t>
  </si>
  <si>
    <t>199910-89T</t>
  </si>
  <si>
    <t>BeeBryte</t>
  </si>
  <si>
    <t>Business/Productivity Software, Other Energy Services*, Other Hardware</t>
  </si>
  <si>
    <t>Developer of a cloud-based energy intelligence platform designed to reduce utility bills for businesses and homeowners by up to half. The company's platform uses energy storage systems, electric equipment like water heaters and heating, ventilation, and air conditioning, and sensors that are installed in factories, commercial buildings, and homes via intelligent internet-connected devices that track and optimize energy consumption, it combined innovation, energy efficiency, and carbon footprint reduction, using AI and IoT, it enables, enabling factories and commercial buildings to check and reduce energy wastage while controlling utility charges and remote automatic and predictive control of critical thermal machines.</t>
  </si>
  <si>
    <t>Compagnie Nationale du Rhône(Frédéric Storck), EREN Groupe(Pâris Mouratoglou)</t>
  </si>
  <si>
    <t>climate tech company, cloud services, energy consumption tracker, energy intelligence platform, energy optimization platform, energy services, energy tracking platform, enterprise asset management, enterprise resource planning, erp</t>
  </si>
  <si>
    <t>Artificial Intelligence &amp; Machine Learning, Big Data, CleanTech, Climate Tech, Internet of Things, SaaS</t>
  </si>
  <si>
    <t>199898-20T</t>
  </si>
  <si>
    <t>Bizao</t>
  </si>
  <si>
    <t>Financial Software*, Information Services (B2C)</t>
  </si>
  <si>
    <t>Operator of a financial platform intended to accelerate digital payment in Africa. The company's platform allows users to accept online payments via mobile money, credit cards and electronic payment terminals, making international money transfers and accelerating payment cycles by centralizing flows between the company and local mobile operators, enabling businesses to manage financial flows with efficiency.</t>
  </si>
  <si>
    <t>Adelie, Africinvest, Seedstars Africa Ventures</t>
  </si>
  <si>
    <t>digital money, digital payment, digital transfer, enterprise payment, enterprise resource planning, erp, financial management, financial management system, financial platform, online payment tools, payment, payment platform, pos</t>
  </si>
  <si>
    <t>206591-95T</t>
  </si>
  <si>
    <t>Aonia Ventures, Eurazeo (PAR: RF), HEC Ventures, La Poste Groupe, Malakoff Humanis, Matmut Innovation, MH innov', PROfounders Capital, SWEN Capital Partners, XAnge</t>
  </si>
  <si>
    <t>232303-78T</t>
  </si>
  <si>
    <t>Qashflo</t>
  </si>
  <si>
    <t>Consulting Services (B2B), Financial Software*, Media and Information Services (B2B)</t>
  </si>
  <si>
    <t>Developer of a financing payment marketplace platform designed to reshape one-day payment systems. The company's platform integrates blockchain technology seamlessly with traditional banking systems, fostering unparalleled security and efficiency in financial transactions, empowering businesses and individuals with cost-effective cross-border payments, eliminating intermediaries, reducing transactional complexities, and providing a streamlined and transparent financial ecosystem for enterprises, and consumers worldwide.</t>
  </si>
  <si>
    <t>Bridge to Growth, Super Capital</t>
  </si>
  <si>
    <t>cross-border payments, financial technology, financing services, payment solutions, secure transaction platform, traditional banking service</t>
  </si>
  <si>
    <t>Cryptocurrency/Blockchain, E-Commerce, FinTech, SaaS, TMT</t>
  </si>
  <si>
    <t>199804-78T</t>
  </si>
  <si>
    <t>Nestlé Health Science(Hans-Juergen Woerle)</t>
  </si>
  <si>
    <t>201788-02T</t>
  </si>
  <si>
    <t>Dominique Bouvier, Franck Boget(Franck Boget), Patrice Guguin(Patrice Guguin), Philippe Degremont(Philippe Degremont), Philippe Gislette(Philippe Gislette)</t>
  </si>
  <si>
    <t>227999-35T</t>
  </si>
  <si>
    <t>Iris Galerie</t>
  </si>
  <si>
    <t>Multimedia and Design Software, Other Services (B2C Non-Financial)*</t>
  </si>
  <si>
    <t>Developer of state-of-the-art technology intended to reveal the beauty of eyes through a unique macro photography process. The company specializes in offering a variety of features including a wide range of art print formats and finishes, high-resolution iris scans, easy-to-use online ordering system, enabling customers to discover and immortalize their eyes through a wide range of formats.</t>
  </si>
  <si>
    <t>ArtNova</t>
  </si>
  <si>
    <t>art photography, photographic print, photography art, photography technology, photography tool, printing</t>
  </si>
  <si>
    <t>3D Printing, SaaS</t>
  </si>
  <si>
    <t>188718-94T</t>
  </si>
  <si>
    <t>Jubiles</t>
  </si>
  <si>
    <t>Producer of vegetable juices and lacto-fermented drinks intended to offer natural and organic healthy drinks. The company's drinks are obtained by natural fermentation of tea using kombucha strains and are not passed through any pasteurization or high-pressure stabilization treatment, enabling consumers to avail of cold-pressed, additive, and preservative-free drinks.</t>
  </si>
  <si>
    <t>Femmes Business Angels(Florence Richardson)</t>
  </si>
  <si>
    <t>beverage maker, fermented beverages, fermented product, food and beverage, healthy drinks, kombucha drinks, natural drink, organic drinks, vegetables juice</t>
  </si>
  <si>
    <t>205598-17T</t>
  </si>
  <si>
    <t>Shotgun</t>
  </si>
  <si>
    <t>Developer of an event management platform designed to browse and book tickets to nightlife events and performances. The company's platform tracks trending shows and events from social networking communities and lets users book tickets to these events through review-based recommendations, enabling users to browse, compare, and purchase tickets to cultural meets, parties, and nightlife events.</t>
  </si>
  <si>
    <t>Creator Ventures, Venrex Investment Management</t>
  </si>
  <si>
    <t>concerts ticketing, e-ticketing platform, event management portal, event ticketing, nightlife guide, party planner, predictive analytics</t>
  </si>
  <si>
    <t>196261-39T</t>
  </si>
  <si>
    <t>Arion Venture Capital, French Partners, Otium Capital</t>
  </si>
  <si>
    <t>199952-56T</t>
  </si>
  <si>
    <t>BlackRock Private Equity Partners(Nathalie Niederhaeusern), Bpifrance, Canaan Partners, Columbia Lake Partners, Eurazeo (PAR: RF)(Yann-Hervé du Rusquec), Galdana Ventures, Highland Europe(Anthony Zappalà), KKR Financial, LionTree, Maverick Ventures, Pear (California), Seed4Soft, Sixth Street Partners(Benjamin Johnston), SoftBank Investment Advisers(Michael Ronen), The Goldman Sachs Group (NYS: GS)</t>
  </si>
  <si>
    <t>201786-31T</t>
  </si>
  <si>
    <t>Plug and Play Tech Center, Polytechnique Ventures</t>
  </si>
  <si>
    <t>205533-01T</t>
  </si>
  <si>
    <t>Maison Sassy</t>
  </si>
  <si>
    <t>Operator of an artisanal cider-selling platform intended to bring together craft and creativity. The company's beverages respect tradition and the production process is derived from apple and pear extraction and is free of additives to enhance the aromas of the fruit and exude well-balanced flavors, enabling customers to enjoy gluten-free beverages at an affordable rate.</t>
  </si>
  <si>
    <t>FFWD Normandie, High Flyers Capital</t>
  </si>
  <si>
    <t>alcoholic drink, cider beverages, cider maker, cider wine, drink producer, spirits maker</t>
  </si>
  <si>
    <t>Manneville-la-Pipard, France</t>
  </si>
  <si>
    <t>219515-77T</t>
  </si>
  <si>
    <t>Qlip (Paris)</t>
  </si>
  <si>
    <t>Developer of an AI-powered video highlights generator platform designed to share video and audio recordings. The company automatically turns lengthy recordings of live streams and podcasts, into visually engaging video highlights, enabling creators to grow their audience across social platforms.</t>
  </si>
  <si>
    <t>360 Capital, Super Capital</t>
  </si>
  <si>
    <t>audio recording apps, audio recording services, highlighting tools, livestream events, social content network, social content sharing</t>
  </si>
  <si>
    <t>199470-97T</t>
  </si>
  <si>
    <t>Clos3t</t>
  </si>
  <si>
    <t>Developer of a consumer-focused wallet for digital clothes and fashion designed to build the future in the metaverse. The company specializes in helping women to express and reveal themselves by leveraging fashion and store proof of attendance protocols (POAPs), proof of authenticity, and other non-fungible tokens (NFTs) and allows crypto wallets to link with their tech, enabling users to enjoy true ownership of digital items.</t>
  </si>
  <si>
    <t>Fabric Ventures, Frst Capital</t>
  </si>
  <si>
    <t>crypto wallets, crypto wallets management, customer relationship, digital asset, digital asset token, digital fashion, fashion company, web3 fashion</t>
  </si>
  <si>
    <t>201801-52T</t>
  </si>
  <si>
    <t>habx</t>
  </si>
  <si>
    <t>Developer of a digital platform designed to enhance the design and commercialization of residential real estate. The company's platform leverages algorithms and offers project management tools, integrated dashboards, data synchronization, and integrations to facilitate apartment customization and management, enabling clients to ensure customer satisfaction and personalization.</t>
  </si>
  <si>
    <t>FCP Innovacion SP, Siparex Group, XAnge</t>
  </si>
  <si>
    <t>digital housing platform, housing platform, housing technology, real estate management, real estate platform, real estate technology</t>
  </si>
  <si>
    <t>200712-70T</t>
  </si>
  <si>
    <t>Inovadea</t>
  </si>
  <si>
    <t>Electronic Equipment and Instruments*, Other Equipment</t>
  </si>
  <si>
    <t>Developer of consumption monitoring platform designed to monitor and optimize electrical consumption for commercial buildings. The company's platform uses SaaS mode and loT integration that measure consumption but also control electrical circuits enabling clients to bring in a simple, effective, and affordable way to answer the problems of monitoring, management, and optimization of electricity consumption.</t>
  </si>
  <si>
    <t>Starquest Capital</t>
  </si>
  <si>
    <t>consumption meter, electricity consumption, electricity consumption analyzers, electricity control, electricity management platform, power management, power monitoring system</t>
  </si>
  <si>
    <t>Internet of Things, SaaS, TMT</t>
  </si>
  <si>
    <t>Aix en Provence, France</t>
  </si>
  <si>
    <t>178448-59T</t>
  </si>
  <si>
    <t>Spice Capital Partners(Maryline Kulawik)</t>
  </si>
  <si>
    <t>226301-05T</t>
  </si>
  <si>
    <t>MonSuiviDiet</t>
  </si>
  <si>
    <t>Developer of a diet-tracking platform intended to help dieticians and their patients. The company's platform offers a personalized diet plan, meal tracking, and a community forum, enabling dieticians to provide better care and patients to achieve their weight loss goals.</t>
  </si>
  <si>
    <t>diet tracking, dietician services, dieting application, nutrition app, patient-care services, weight loss</t>
  </si>
  <si>
    <t>Venelles, France</t>
  </si>
  <si>
    <t>201563-65T</t>
  </si>
  <si>
    <t>Champagne EPC</t>
  </si>
  <si>
    <t>Operator of a traditional brewery intended to produce wine and exclusive vintage champagne. The company offers vintage blanc de blancs wines from its chardonnay plots, which are low in sulfites and dosage, enabling consumers to purchase authentic alcoholic beverages at cheap prices.</t>
  </si>
  <si>
    <t>Cedric Sellin(Cedric Sellin)</t>
  </si>
  <si>
    <t>beverage seller, beverages processor, champagne maker, chardonnay vine, vintage champagne, white wine, wine maker</t>
  </si>
  <si>
    <t>Lamorlaye, France</t>
  </si>
  <si>
    <t>207171-10T</t>
  </si>
  <si>
    <t>Exacode</t>
  </si>
  <si>
    <t>Operator of highway code exam platform intended users to clear driving tests online. The company's platform helps users to create accounts online and allows users to pass the highway code close to home playing on geographical proximity, and showing flexibility in setting up exams, enabling a candidate to pass his code close to his home.</t>
  </si>
  <si>
    <t>driving test, driving test learning, educational film, exam services, exam software, highway service</t>
  </si>
  <si>
    <t>200584-90T</t>
  </si>
  <si>
    <t>Axeleo Capital, National Association of Realtors Reach, UI Investissement, Weaving Invest</t>
  </si>
  <si>
    <t>203800-51T</t>
  </si>
  <si>
    <t>Tridek-One</t>
  </si>
  <si>
    <t>Operator of a biotechnology company intended to develop products for the treatment of auto-immune diseases. The company offers a peptide that maintains a cluster of truncated molecules to the membrane for a diversity of auto-immune and inflammatory disorders, enabling medical companies to treat their patients with quality drugs and give them a better life.</t>
  </si>
  <si>
    <t>AdBio partners(Alain Huriez), Advent Life Sciences(Alain Huriez), Bioqube Ventures, Bpifrance(Benoit Barteau), Kinled Holding, Pureos Bioventures(Klaus Breiner)</t>
  </si>
  <si>
    <t>biologics, immunomodulatory drugs, immunomodulatory molecule, inflammatory disorder treatment, peptides, peptides product, peptides research, peptides therapy, protein</t>
  </si>
  <si>
    <t>233018-02T</t>
  </si>
  <si>
    <t>Estale</t>
  </si>
  <si>
    <t>Developer of a condominiums management platform intended to simplify the management. The company's platform offers professional trustees, a simple tool to manage a portfolio of condominiums, also provides services including budget management, synchronization with the bank, retrieval and automatic processing of contracts, enabling property managers to streamline their operations, and improve communication with residents, and reduce costs.</t>
  </si>
  <si>
    <t>condominiums management, database management, invoice checking, property management, real estate management tool, workflow tool developer</t>
  </si>
  <si>
    <t>211115-35T</t>
  </si>
  <si>
    <t>Odontella</t>
  </si>
  <si>
    <t>Aquaculture, Food Products*</t>
  </si>
  <si>
    <t>Producer of agri-food products intended to offer a sustainable alternative to the scarcity of natural resources. The company's products are based on microalgae which include the first marine salmon that can directly replace the consumption of wild salmon in terms of taste, appearance, and texture, enabling consumers to have nutritious seafood as a substitute for commonly available natural foodstuffs.</t>
  </si>
  <si>
    <t>Albatros (Industrial Supplies and Parts)</t>
  </si>
  <si>
    <t>algae food, alt-proteins, animal ag, animal agriculture, aquaculture, fermented protein, marine food, marine microalgae, microalgae product, plant-based seafood, seafood meals, seafood product, sustainable food, vegan food</t>
  </si>
  <si>
    <t>AgTech, Climate Tech, FoodTech, Life Sciences, Manufacturing</t>
  </si>
  <si>
    <t>206928-73T</t>
  </si>
  <si>
    <t>Evy</t>
  </si>
  <si>
    <t>Business/Productivity Software, Other Financial Services, Other Insurance*</t>
  </si>
  <si>
    <t>Provider of warranty extension services intended to provide protection plans for the businesses. The company offers an extension of warranty on a wide range of products including home appliances, sports equipment, and office supplies, enabling businesses to increase their income by offering warranty extensions on their physical products.</t>
  </si>
  <si>
    <t>Adrien Nussenbaum(Adrien Nussenbaum), Financière Saint James, Global Founders Capital, La Famiglia, Motier Ventures, Raphaël Vullierme(Raphaël Vullierme), Sequoia Capital, Snaw Ventures, Xavier Niel(Xavier Niel)</t>
  </si>
  <si>
    <t>asset protection, consumer payment, ecommerce solutions, ecommerce solutios, product protection, product protection services, super app, superapp, wallets, warranty extensions</t>
  </si>
  <si>
    <t>199374-31T</t>
  </si>
  <si>
    <t>Luna (Restaurants and Bars)</t>
  </si>
  <si>
    <t>Operator of a food and beverage company intended to distribute restaurant-quality meals that are easily accessible. The company offers cuisines from around the world, fresh food made using high-quality ingredients without using preservatives or additives, enabling consumers to enjoy healthy and delicious food at an affordable price.</t>
  </si>
  <si>
    <t>AMG Capital, Founders Future</t>
  </si>
  <si>
    <t>beverage company, cuisine food, culinary destination, discovery &amp; review, discovery and review, food and beverage discovery, food beverage discovery, restaurant chain, restaurant operator, restaurant unit</t>
  </si>
  <si>
    <t>232309-90T</t>
  </si>
  <si>
    <t>Perfmaker</t>
  </si>
  <si>
    <t>Developer of a marketing technology platform designed to understand and influence visitors' behaviour on a website. The company's platform continuously optimizes the customer experience based on the site's business objectives, from analysis to action, dynamically enriching the visitor's journey with the help of immersive and engaging experiences, enabling brands to drive and enhance visitor engagement on their website.</t>
  </si>
  <si>
    <t>business productivity, customer engagement system, lead generation, marketing advertising, marketing firm, marketing solutions, turnkey solutions platform</t>
  </si>
  <si>
    <t>228047-23T</t>
  </si>
  <si>
    <t>Rapsodie</t>
  </si>
  <si>
    <t>Develper of a fantasy record label game intended to widely promote artist discovery. The company's platform is a fantasy game where players can manage a rap label and sign the artist in the game, it allows users to challenge friends by managing their rap label in a virtual label management game made up of real artists, enabling users to discover artists based on their requirements, enabling the fans to live their favorite artist's music and allow more artists to live off their music.</t>
  </si>
  <si>
    <t>artist discovery platform, artists forum, artists labels, entertainment games, fantasy games, fantasy gaming company, gaming platform, music label, virtual manager games</t>
  </si>
  <si>
    <t>199126-18T</t>
  </si>
  <si>
    <t>Bankin'</t>
  </si>
  <si>
    <t>Developer of a mobile application designed to facilitate money management. The company's platform combines intelligent algorithms and human coaching to provide customized alternatives regarding savings, credit, and insurance, enabling customers to save and manage their money in a hassle-free manner.</t>
  </si>
  <si>
    <t>Groupe BPCE, Notus Technologies, Truffle Capital</t>
  </si>
  <si>
    <t>banking app, financial technology, financial tool, mobile banking, money management service, money saving platform, personal finance app, personal financial management, wealthtech</t>
  </si>
  <si>
    <t>199919-26T</t>
  </si>
  <si>
    <t>TROOPY</t>
  </si>
  <si>
    <t>Developer of an online platform and mobile application designed to offer electric two-wheeler rentals. The company's platform allows users to book scooters via their app to be used as a medium of transport around the city while avoiding traffic, providing customers with a new way to move around the city and free them from urban mobility constraints.</t>
  </si>
  <si>
    <t>Motul(Olivier Montange)</t>
  </si>
  <si>
    <t>booking platform, mobility booking, mobility control, rental vehicle, urban mobility, vehicle booking, vehicle booking platform</t>
  </si>
  <si>
    <t>Mobility Tech, Ridesharing</t>
  </si>
  <si>
    <t>198786-34T</t>
  </si>
  <si>
    <t>Arthur Waller(Arthur Waller), Christophe Triquet(Christophe Triquet), Emmanuel Chave(Emmanuel Chave), Foreword, Frst Capital, Jérôme Ros(Jérôme Ros), Marie Muller(Marie Muller), Partech(Alison Imbert), Pierre-Olivier Desaulle(Pierre-Olivier Desaulle), Portage, Raphaël Vullierme(Raphaël Vullierme)</t>
  </si>
  <si>
    <t>198698-23T</t>
  </si>
  <si>
    <t>Fifty</t>
  </si>
  <si>
    <t>Developer of business training software designed to assist employees with practical training instead of theoretical. The company's software helps employees move from theoretical advice like training, seminars and feedback to daily practice and also recommends personalized and measurable actions to be carried out, enabling employees to retain information from training and advance professionally.</t>
  </si>
  <si>
    <t>Acadian Ventures, Axel Manoukian(Axel Manoukian), Eurazeo (PAR: RF), Hugo Manoukian(Hugo Manoukian), S3 Partners, SFINE, Signals.VC, Tekton Ventures</t>
  </si>
  <si>
    <t>business training, education training, enterprise resource planning, erp, human capital management, jobs training, online practical training, online training, professional development program</t>
  </si>
  <si>
    <t>194808-34T</t>
  </si>
  <si>
    <t>Imparfaite.</t>
  </si>
  <si>
    <t>Specialty Retail*</t>
  </si>
  <si>
    <t>Operator of an online shopping platform designed to offer vintage clothing and accessories. The company's platform offers secondhand sourced items from network of professional sellers and boutiques in France, enabling customers to get old-school fashion apparel.</t>
  </si>
  <si>
    <t>clothing goods, ecommerce marketplace, online shopping, secondhand clothes, shopping website, vintage marketplace</t>
  </si>
  <si>
    <t>199931-23T</t>
  </si>
  <si>
    <t>Juggle</t>
  </si>
  <si>
    <t>Developer of a visualization software designed to assist multidisciplinary teams in writing postscripts. The company's software tracks the most relevant information in one click and visualizes at a glance the acquisition path, skill after skill, in the natural order of development, enabling healthcare professional to assist patients diagnosed with neurodevelopmental disorders to evaluate the projects and reports in a simple way.</t>
  </si>
  <si>
    <t>Finovam Gestion, ILP Group, Region Grand Est, Yeast (France)</t>
  </si>
  <si>
    <t>brain disorder diagnostics, children data analysis, children psychiatry, clinical decision support, neurological development, psychology tools, special education needs</t>
  </si>
  <si>
    <t>198765-28T</t>
  </si>
  <si>
    <t>Revcoo</t>
  </si>
  <si>
    <t>Developer of carbon dioxide capture equipment intended to reduce emissions without modifying production processes. The company offers cryogenic capture technology which recovers carbon dioxide directly from chimneys, enabling clients to reduce carbon emissions and environmental impact.</t>
  </si>
  <si>
    <t>AFI Ventures (Paris), Crédit Agricole Franche-Comté, Demeter Partners, HAND PARTNERS(Stanislas Canova), Kreaxi, Ventech (Paris)(Charles Fourault)</t>
  </si>
  <si>
    <t>carbon capture technology, carbon emission, carbon technology, clean technology, co2 capture, co2 capture technologies, cryogenic technology</t>
  </si>
  <si>
    <t>198693-46T</t>
  </si>
  <si>
    <t>Octopus Lab</t>
  </si>
  <si>
    <t>Operator of a forecasting platform intended to improve buildings' energy performance and indoor air quality. The company's platform features an air quality simulation system that takes into account the ventilation system, the materials used, the furniture, the outdoor pollution, and the occupancy of the premises, enabling building designers, local authorities, facility managers, ventilation and materials manufacturers, and real estate developers to anticipate and preserve the health of building occupants while reducing energy consumption.</t>
  </si>
  <si>
    <t>BTP Capital Investissement, Construction Venture, EuraTechnologies, Groupe IRD, IRD Invest, Matmut Innovation, Nord Création, Nord France Amorçage, SWEN Capital Partners</t>
  </si>
  <si>
    <t>building energy management, energy consumption, energy performance, environmental impact, indoor air quality, indoor air systems, predictive system</t>
  </si>
  <si>
    <t>La Madeleine, France</t>
  </si>
  <si>
    <t>205522-03T</t>
  </si>
  <si>
    <t>Ayolab</t>
  </si>
  <si>
    <t>Provider of data services intended to offer competitive insights. The company leverages the power of data science to build the tools brands and retailers need to understand their online presence, enabling brands to map their online availability on e-commerce marketplaces worldwide grow their sell-out revenues, improve customer experience, and boost profit margins.</t>
  </si>
  <si>
    <t>customer experience, data services, digital marketing, information services, market research, market survey</t>
  </si>
  <si>
    <t>206433-46T</t>
  </si>
  <si>
    <t>Baouw</t>
  </si>
  <si>
    <t>Producer of organic food products and accessories intended to focus on sports nutrition of the body. The company's products are made up of natural ingredients, as raw as possible, with suitable lipids and natural fruit sugar, enabling athletes to preserve their health capital through healthy, gourmet, responsible, and efficient nutrition.</t>
  </si>
  <si>
    <t>Crédit Agricole Alpes Développement, Jean-Christophe Liaubet(Jean-Christophe Liaubet), Seventure Partners</t>
  </si>
  <si>
    <t>food industry, food production, gourmet food, healthy food, natural ingredients, organic food, organic nutrition, sports nutrition</t>
  </si>
  <si>
    <t>Annecy-le-Vieux, France</t>
  </si>
  <si>
    <t>178819-66T</t>
  </si>
  <si>
    <t>Addendum Capital(Enrico Raggini), Karista (Paris)(Emmanuel Daugeras), Karma Ventures(Kristjan Laanemaa), TheVentureCity(María Téllez)</t>
  </si>
  <si>
    <t>200456-65T</t>
  </si>
  <si>
    <t>Canal Santé</t>
  </si>
  <si>
    <t>Developer of a medical e-training platform designed to train healthcare professionals. The company's platform offers nurse training, doctor's training, pharmacist training, podiatrist training, masseurs-physiotherapists training, and more, enabling medical specialists to get trained as per their time and requirements.</t>
  </si>
  <si>
    <t>Extens(Morgane Decultieux)</t>
  </si>
  <si>
    <t>e-training platform, e-training service, healthcare training, healthcare training platform, online training app, online training platform</t>
  </si>
  <si>
    <t>200158-12T</t>
  </si>
  <si>
    <t>Egle Therapeutics</t>
  </si>
  <si>
    <t>Operator of a biotechnology company intended to develop immunotherapies for oncology and autoimmune diseases. The company develops a proprietary Treg (T cells) modulating drug portfolio against a large pool of newly unveiled Treg targets as well as pioneering dis-engagement of tumor-infiltrating Tregs through a proprietary series of IL-2 variants featuring a unique antagonism mechanism of action, enabling healthcare professionals to develop therapies targeting immune suppressor regulatory Tregs for treating cancer and other diseases.</t>
  </si>
  <si>
    <t>T1D Fund</t>
  </si>
  <si>
    <t>biotech company, biotech research, cell therapy, drug discovery research, healthcare services, immune cells, immunotherapeutic drugs, immunotherapy research, oncology therapeutic, therapeutics drugs</t>
  </si>
  <si>
    <t>187634-89T</t>
  </si>
  <si>
    <t>FinX</t>
  </si>
  <si>
    <t>Environmental Services (B2B), Machinery (B2B), Marine*, Other Hardware</t>
  </si>
  <si>
    <t>Developer of nautical propulsion technology designed to exploit the full potential of hyperactive wave propulsion. The company's propellerless boat engine technology replaces the propeller of the thrusters with a compact membrane that undulates and mimics the movement of marine animals without blocking algae, plastics, and filaments, enabling boaters to save energy compared to the propeller.</t>
  </si>
  <si>
    <t>Bpifrance, Crédit Agricole Normandie, Normandie Littoral, Normandie Participations, Supernova Invest</t>
  </si>
  <si>
    <t>boats engine, electric motor, nautical equipment, nautical installation, nautical platform, nautical systems, propulsion systems</t>
  </si>
  <si>
    <t>197393-68T</t>
  </si>
  <si>
    <t>Freepry</t>
  </si>
  <si>
    <t>Business/Productivity Software, Media and Information Services (B2B)*, Other Services (B2C Non-Financial)</t>
  </si>
  <si>
    <t>Developer of a retail support platform intended to help clients democratize secondhand clothing and make fashion responsible for customers. The company's platform helps physical fashion stores to offer second-hand goods to their customers, in-person and online, thus avoiding complex sales and unpleasant surprises when purchasing, enabling clients to increase their turnover of second-hand clothes in stores.</t>
  </si>
  <si>
    <t>Baptiste Hamel, Julien Pascual, Plug and Play Tech Center, Tomcat Invest, Vincent Macé</t>
  </si>
  <si>
    <t>ecommerce-as-a-service, retail solutions, retail solutions provider, secondhand clothes, secondhand clothes marketplace, secondhand clothes resale, secondhand platform</t>
  </si>
  <si>
    <t>199297-09T</t>
  </si>
  <si>
    <t>Fundshop</t>
  </si>
  <si>
    <t>Developer of a finance web application designed to help investors construct and manage their investments online. The company's platform helps to generate an optimal asset allocation and selects funds to compose a portfolio, enabling users to choose insurance contracts on their freedom.</t>
  </si>
  <si>
    <t>finance application, finance application software, finance web application, insurance cover, investment platform, investment tool, portfolio management, wealth management, wealthtech</t>
  </si>
  <si>
    <t>200270-98T</t>
  </si>
  <si>
    <t>Garage (Commercial Services)</t>
  </si>
  <si>
    <t>Buildings and Property, Office Services (B2B), Other Commercial Services*</t>
  </si>
  <si>
    <t>Operator of a co-working space intended for the employees. The company offers meeting rooms, a creativity room, a phone box, mobile spaces in the amphitheater, and multipurpose workshops, providing clients with a place for active collaboration between the different members.</t>
  </si>
  <si>
    <t>Finorpa(Jean-Louis Guérin)</t>
  </si>
  <si>
    <t>commercial space, co-working area, employee platform, office building, office services, real estate market, restaurants bars, workshops space, workspace hub</t>
  </si>
  <si>
    <t>198687-88T</t>
  </si>
  <si>
    <t>Human Cell Design</t>
  </si>
  <si>
    <t>Biotechnology, Discovery Tools (Healthcare)*, Drug Discovery</t>
  </si>
  <si>
    <t>Operator of a cell maturation platform intended to accelerate clinically relevant scientific progress and discovery of pharmaceutical products. The company focuses on replicating functional native human cells by providing tools for humanized assay development and disease modeling, providing industrial and academic groups with physiologically relevant human cells.</t>
  </si>
  <si>
    <t>Esperante Ventures</t>
  </si>
  <si>
    <t>cell analysis, cellular treatment, clinical examination, human cell, medication assistance, physiological data, proprietary technology, scientific tools</t>
  </si>
  <si>
    <t>201206-26T</t>
  </si>
  <si>
    <t>OPTACARE</t>
  </si>
  <si>
    <t>Developer of a software platform intended to manage optimization issues of data exploitation. The company specializes in offering multiple services through its software including making appointments, planning under constraints, scheduling, forecasts, optimization of stocks and supplies, rounding vehicles, helping clients with decision-making, optimizing performance, and simplifying management.</t>
  </si>
  <si>
    <t>Extens</t>
  </si>
  <si>
    <t>appointment scheduling, data exploitation, data management, decision making software, service management, software platform</t>
  </si>
  <si>
    <t>Rosieres-Pres-Troyes, France</t>
  </si>
  <si>
    <t>200752-84T</t>
  </si>
  <si>
    <t>PrivaMap</t>
  </si>
  <si>
    <t>Developer of web application intended to guide and secure heavy goods vehicle rides in large-scale infrastructures. The company's platform offers to take an optimized route on the site and report incidents with categorization, positioning, and live communication, enabling administrators and security managers to gain operational efficiency and improve incident management.</t>
  </si>
  <si>
    <t>Finovam Gestion, ZMT Ventures</t>
  </si>
  <si>
    <t>customizable map, digital map, digital protection, incident management, industrial site, logistics site, logistics unit</t>
  </si>
  <si>
    <t>Internet of Things, Mobile, SaaS, Supply Chain Tech</t>
  </si>
  <si>
    <t>201988-45T</t>
  </si>
  <si>
    <t>Repair and Run</t>
  </si>
  <si>
    <t>Provider of bike repair services intended to connect with salaried repairers trained in the repair of electric and cargo bikes. The company's application allows to book repair services from anywhere at a convenient time, enabling users to get their bikes repaired by trained repairers.</t>
  </si>
  <si>
    <t>Fnac Darty (PAR: FNAC), Normandie Participations, Valuation Development and Marketing of Innovation</t>
  </si>
  <si>
    <t>bike repair application, bikes repair, cargo bikes repair, electric bikes repair, micromobility, repair application, repair services, vehicle supplier</t>
  </si>
  <si>
    <t>207856-81T</t>
  </si>
  <si>
    <t>Sodern</t>
  </si>
  <si>
    <t>Manufacturer and designer of space and defense technologies aimed at improving the understanding and application of applied mechanics. The company uses optronics and neutron technology to design innovative and competitive solutions, enabling stakeholders in space, defense, industry, and research industries to make the most optimized products for their respective markets.</t>
  </si>
  <si>
    <t>defense technology, defense tools, research device, space technology manufacturer, space technology platform, space technology software</t>
  </si>
  <si>
    <t>Limeil-Brevannes, France</t>
  </si>
  <si>
    <t>197392-33T</t>
  </si>
  <si>
    <t>Traace</t>
  </si>
  <si>
    <t>Developer of a carbon footprint management platform designed to help companies reduce their environmental footprint. The company's platform facilitates collaborative data collection, accurate carbon accounting and goal setting, enabling businesses to accelerate their transition to a sustainable economic model and to comply with increasing regulatory requirements.</t>
  </si>
  <si>
    <t>Arche Gruppe, Orange Ventures(Jérôme Berger), Super Capital</t>
  </si>
  <si>
    <t>carbon accounting, carbon analytics, carbon emissions management, carbon footprint, carbon technology, data collection, emission reduction, esg management, scenario modeling</t>
  </si>
  <si>
    <t>197283-34T</t>
  </si>
  <si>
    <t>Digital4Better</t>
  </si>
  <si>
    <t>Developer of a digital platform designed for large organizations with a systemic search for impacts. The company specializes in IT applications, designing dev-ops sustainable digital performance, and analyzing their IT carbon footprint and digital accessibility, enabling businesses with automated analysis and improvement of the ecological and social footprint of company's digital platforms.</t>
  </si>
  <si>
    <t>BusinessAngels.fr, GO Capital (France)(David Leray), MBA Holdings</t>
  </si>
  <si>
    <t>automated analysis, automated analysis system, digital performance, digital platform, digital technology, it application, sustainable model</t>
  </si>
  <si>
    <t>197316-46T</t>
  </si>
  <si>
    <t>574 Invest, Electrification Charpente Levage, Etraph Finance SCA, Eurazeo (PAR: RF)(Melissa Cohen), Idinvest Partners, Melezes Limited Liability Company, RATP Capital Innovation, RGREEN INVEST, Rive Private Investment, Serena (Paris)</t>
  </si>
  <si>
    <t>197416-27T</t>
  </si>
  <si>
    <t>Bpifrance(Adrien Muller), COMAT Aerospace, Crédit Mutuel Innovation(Maxence Valero), Expansion Ventures(Charles Beigbeder), Groupe ADF, Nicomatic, UI Investissement</t>
  </si>
  <si>
    <t>197353-81T</t>
  </si>
  <si>
    <t>Monabee</t>
  </si>
  <si>
    <t>Business/Productivity Software, Environmental Services (B2B), Other Commercial Services*, Other Energy Services</t>
  </si>
  <si>
    <t>Operator of a solar self-consumption company intended to support professionals and individuals towards energy autonomy. The company offers individuals and professionals photovoltaic devices for energy independence and has developed advanced management tools for solar production, enabling clients to optimize consumption and move towards autonomy.</t>
  </si>
  <si>
    <t>intermittent renewable energy, management tool, optimize workflow, solar firm, solar installer, solar photovoltaic, solar power web, solar self-consumption</t>
  </si>
  <si>
    <t>Dardilly, France</t>
  </si>
  <si>
    <t>205533-91T</t>
  </si>
  <si>
    <t>Series 3</t>
  </si>
  <si>
    <t>50 Partners, Evolem, High Flyers Capital, Super Capital</t>
  </si>
  <si>
    <t>206436-79T</t>
  </si>
  <si>
    <t>Royaltiz</t>
  </si>
  <si>
    <t>Casinos and Gaming, Entertainment Software, Financial Software*, Other Services (B2C Non-Financial)</t>
  </si>
  <si>
    <t>Developer of a betting platform intended to offer a gambling experience through a digital platform. The company's platform offers to invest in famous or promising talent and buy and sell ROY a digital token, enabling people to receive a proportion of their future revenue and social and financial circle and share the financial success of talented people.</t>
  </si>
  <si>
    <t>Alexandra Serizay(Alexandra Serizay), AngelSquare, Jacques Richier(Jacques Richier), Julien Martinez(Julien Martinez), Link Tribe Capital, Remy Boulesteix(Remy Boulesteix), Stephan Catoire(Stephan Catoire), Thomas Blondet(Thomas Blondet), Vauban Partenaires</t>
  </si>
  <si>
    <t>betting platform, betting platform developer, betting platform operator, digital platform, digital platform games, gambling, gaming content, investment platform, trading platform</t>
  </si>
  <si>
    <t>Esports, FinTech, Gaming</t>
  </si>
  <si>
    <t>197317-36T</t>
  </si>
  <si>
    <t>305 Ventures, Adrien Dassault(Adrien Dassault), B Heroes, Gary Anssens(Gary Anssens), Patrice Pastor(Patrice Pastor), Sarona Ventures, Via ID</t>
  </si>
  <si>
    <t>243470-89T</t>
  </si>
  <si>
    <t>La Boite Immo, MyLegiTech</t>
  </si>
  <si>
    <t>243278-92T</t>
  </si>
  <si>
    <t>M-Work</t>
  </si>
  <si>
    <t>Developer of workplace management platform designed to help companies organize their employees for hybrid work. The company's platform includes features such as employee scheduling, desk booking, and meeting room booking, as well as analytics tools that help companies track employee work patterns and space utilization, enabling businesses to improve employee productivity, reduce costs, and create a more sustainable workplace.</t>
  </si>
  <si>
    <t>SV Angel, Third Kind Venture Capital</t>
  </si>
  <si>
    <t>analytics system, employee scheduling, hybrid work solutions, hybrid working tools, remote work platform, remote work tools, workforce management, workforce management app</t>
  </si>
  <si>
    <t>Ile-de-France, France</t>
  </si>
  <si>
    <t>202303-27T</t>
  </si>
  <si>
    <t>Sorare</t>
  </si>
  <si>
    <t>Developer of a blockchain-based online sports platform designed to engage users in competitive gameplay. The company's platform allows users to create and manage their teams by selecting players from various football leagues, and participating in competitions for rewards such as tickets and merchandise, enabling football enthusiasts to enjoy a gamified experience while fostering community interaction and competition.</t>
  </si>
  <si>
    <t>Blake Griffin(Blake Griffin), Kylian Mbappe(Kylian Mbappe), Lionel Messi(Lionel Messi), Phoenix Court, Rudy Gobert-Bourgarel(Rudy Gobert-Bourgarel), Seven Seven Six, SV Pacific Ventures, Tifo Ventures, Zinedine Zidane(Zinedine Zidane)</t>
  </si>
  <si>
    <t>fantasy league, fantasy sports, football game, games merchandise, gaming content, gaming platform, sports contest, virtual football game</t>
  </si>
  <si>
    <t>206515-36T</t>
  </si>
  <si>
    <t>Finfrog</t>
  </si>
  <si>
    <t>Application Software, Consumer Finance*, Financial Software, Other Financial Services</t>
  </si>
  <si>
    <t>Developer of a financial platform designed to provide personal loans. The company's platform uses artificial intelligence to provide personal loans within a short time-bound period after the verification of identity and the client needs to pay back a certain amount of capital with interest every month and the goal is to recover the whole amount due in three to four months, enabling clients to get capital in a faster way.</t>
  </si>
  <si>
    <t>ISAI(Francois Collet), RAISE Group(Sophia Martin)</t>
  </si>
  <si>
    <t>alternative lending, loan provider, loans facilitation, micro lending platform, personal loan platform, personal loan service, retail lending</t>
  </si>
  <si>
    <t>Artificial Intelligence &amp; Machine Learning, FinTech, Mobile, TMT</t>
  </si>
  <si>
    <t>197049-34T</t>
  </si>
  <si>
    <t>Hasap</t>
  </si>
  <si>
    <t>Construction and Engineering*, Other Commercial Services</t>
  </si>
  <si>
    <t>Provider of construction services intended to combine technical skills and adaptability, to create large-scale, tailor-made projects. The company's services offer project layouts, interior carpentry, TCE layout, and exterior carpentry, enabling clients to have the technical and aesthetic specificities of the project.</t>
  </si>
  <si>
    <t>construction space, interior carpentry, interior designer, interior joinery, tailor made project, technical skills</t>
  </si>
  <si>
    <t>Dargoire, France</t>
  </si>
  <si>
    <t>195540-49T</t>
  </si>
  <si>
    <t>Le Drive Tout Nu</t>
  </si>
  <si>
    <t>Environmental Services (B2B), Internet Retail*</t>
  </si>
  <si>
    <t>Operator of an online shopping platform intended to offer daily shopping products packed in returnable and reusable containers. The company's platform offers a wide range of food, cosmetic, and household products packed in glass jars and canvas bags that are returned to the circuit after each order which assists to reduce the packaging waste, enabling customers to improve their shopping experience while preventing environmental pollution.</t>
  </si>
  <si>
    <t>Colam Impact, Daniel and Nina Carasso Foundation, France Active, MAIF, MAIF Impact, MakeSense, One Creation Coopérative</t>
  </si>
  <si>
    <t>disposable packaging product, food ecommerce, online food, online shopping, product packaging service, restaurant marketplace, waste management firm, waste management tool, zero-waste recycling</t>
  </si>
  <si>
    <t>CleanTech, E-Commerce, FoodTech</t>
  </si>
  <si>
    <t>196997-14T</t>
  </si>
  <si>
    <t>Fall Line Capital(Baptiste Tellier), FMC Ventures, IRDI Capital Investissement, Sofinnova Partners(Denis Lucquin), Supernova Invest(Romain Sautrau), Z Impact Ventures</t>
  </si>
  <si>
    <t>207820-00T</t>
  </si>
  <si>
    <t>SleepDoctor</t>
  </si>
  <si>
    <t>Operator of the teleconsultation and diagnosis platform intended to provide easy and efficient tools for patients and sleep specialists globally. The company's platform offers programs that specialize in sleep disorders to become a one-stop shop for such issues, helping people holistically fix their sleep-related issues, and avoid serious health problems, like stroke, heart attack, and diabetes.</t>
  </si>
  <si>
    <t>BigStory VC, TLM360 Invest, Triple S Ventures</t>
  </si>
  <si>
    <t>diagnostic platform, fitness service, sleep disorder care, sleep disorder testing, sleep specialist, teleconsultation platform</t>
  </si>
  <si>
    <t>197426-08T</t>
  </si>
  <si>
    <t>Sportall</t>
  </si>
  <si>
    <t>Application Software, Broadcasting, Radio and Television*</t>
  </si>
  <si>
    <t>Developer of a spectator sports platform designed to broadcast sporting events and video content. company's platform provides sports fans with a broad range of sports entertainment shows as well as live tournaments and competition coverage, enabling clients to extend the reach of sports fans' audience by providing a direct-to-consumer turnkey SaaS platform.</t>
  </si>
  <si>
    <t>Bpifrance, Credit Agricole Corporate &amp; Investment Bank, Trois I Investissements Industriels Internationaux</t>
  </si>
  <si>
    <t>broadcast media, live sports app, ott platform, ott streaming, sports content, sports streaming</t>
  </si>
  <si>
    <t>Broadcasting, Radio and Television</t>
  </si>
  <si>
    <t>215317-90T</t>
  </si>
  <si>
    <t>Flowlity</t>
  </si>
  <si>
    <t>Automation/Workflow Software, Business/Productivity Software*, Logistics</t>
  </si>
  <si>
    <t>Developer of supply chain management software designed to connect to customers and suppliers in a global flow network. The company's platform computes the optimal stock level and replenishment using a combination of artificial intelligence and optimization in real-time, enabling companies to visualize the order status, inventory levels, and planning.</t>
  </si>
  <si>
    <t>OSS Ventures, Plug and Play Tech Center</t>
  </si>
  <si>
    <t>industrial data analytics, inventory optimization, material replenishment, production planning, resilient planning, supply chain efficiency, supply chain network, supply management tool, vertical application</t>
  </si>
  <si>
    <t>Advanced Manufacturing, Artificial Intelligence &amp; Machine Learning, Big Data, SaaS, Supply Chain Tech</t>
  </si>
  <si>
    <t>184416-85T</t>
  </si>
  <si>
    <t>Merci Handy</t>
  </si>
  <si>
    <t>Manufacturer of skin-care products intended to offer easy-to-use, lifestyle and cosmetics products. The company's products include hand cleansing gels, face hydrating spray, toothpaste, teeth whitening products, and other similar products that are vegan and made with cruelty-free formulas, enabling customers to get all kinds of skincare products in one place</t>
  </si>
  <si>
    <t>Founders Future, Otium Capital</t>
  </si>
  <si>
    <t>clean ingredients product, cleansing gel, face mist, hygiene product, perfume oils, skincare brand, skincare product, teeth whitening</t>
  </si>
  <si>
    <t>Beauty, LOHAS &amp; Wellness</t>
  </si>
  <si>
    <t>241710-94T</t>
  </si>
  <si>
    <t>196929-01T</t>
  </si>
  <si>
    <t>WAAM</t>
  </si>
  <si>
    <t>Manufacturer of natural beauty products intended to provide care for the skin and hair. The company's products are eco-friendly and vegan and can be used alone or customized as per the requirements, enabling users to get access to quality homemade beauty products.</t>
  </si>
  <si>
    <t>Arkéa Capital, Karot Capital</t>
  </si>
  <si>
    <t>beauty product producer, customized beauty product, eco-friendly beauty products, natural beauty products, personalized beauty products, skincare product</t>
  </si>
  <si>
    <t>Savigny-sur-Orge, France</t>
  </si>
  <si>
    <t>170492-41T</t>
  </si>
  <si>
    <t>Aglaé Ventures(Léa Verdillon), Alexandre Prot(Alexandre Prot), Alexis Bonillo(Alexis Bonillo), Alexis Bonte(Alexis Bonte), Benjamin Chemla(Benjamin Chemla), Bpifrance, Coinbase Ventures, Dan Childs(Dan Childs), Delphi Ventures (California), Didier Valet(Didier Valet), Eurazeo (PAR: RF)(Thomas Turelier), Fabric Ventures, FEBE Ventures, Gautham Radhakrishnan(Gautham Radhakrishnan), Grégoire Le Jeune(Grégoire Le Jeune), HEC Ventures, Impossible Finance, ISAI, Kartik Garg(Kartik Garg), Kaushik Chakravarti(Kaushik Chakravarti), Ledger, Lemniscap, Louis Guthmann(Louis Guthmann), Marc Bhargava(Marc Bhargava), Mark Ransford(Mark Ransford), Meltem Demirors(Meltem Demirors), NGC Ventures, Nicolas Julia(Nicolas Julia), Nicolas Meiller(Nicolas Meiller), Pascal Gauthier(Pascal Gauthier), Perry Blacher(Perry Blacher), PetRock Capital, Sam Wisnia(Sam Wisnia), Sandy Peng, Sebastien Borget(Sebastien Borget), Sfermion, Speedinvest, UNIQA Ventures</t>
  </si>
  <si>
    <t>180134-56T</t>
  </si>
  <si>
    <t>Happywait</t>
  </si>
  <si>
    <t>Developer of a real estate technology designed to digitize property purchase and sales processes. The company's platform combines various tools to accelerate sales processes and simplify buyer relationship management throughout the buying process, enabling buildings to manage sales activities, measure customer satisfaction, and improve overall operational efficiency.</t>
  </si>
  <si>
    <t>Anaxago Capital, CapHorn Invest, UI Investissement</t>
  </si>
  <si>
    <t>buyer engagement, property management, property technology, real estate analytics, real estate platform, real estate trading</t>
  </si>
  <si>
    <t>Saint-Gregoire, France</t>
  </si>
  <si>
    <t>205905-43T</t>
  </si>
  <si>
    <t>Homa Games</t>
  </si>
  <si>
    <t>Entertainment Software*, Movies, Music and Entertainment, Publishing</t>
  </si>
  <si>
    <t>Developer and publisher of mobile games, with a focus on hyper-casual and idle titles designed to entertain the world. The company specializes in the publishing, user acquisition, and monetization of mobile games and offers automation and optimization services for app production and publishing, providing customers with games that offer meaningful experiences and helping mobile game developers grow their apps from scratch.</t>
  </si>
  <si>
    <t>Adjacent (New York), Bpifrance, Eurazeo (PAR: RF)(Benoist Grossmann), Fabric Ventures(Max Mersch), HEC Ventures, Northzone Ventures, Quadrille Capital(Brice Delome), Singular.</t>
  </si>
  <si>
    <t>game developing firm, game development, game publisher, gaming content, gaming developer, gaming publisher, mobile games firm, mobile games maker, mobile games operator</t>
  </si>
  <si>
    <t>196921-72T</t>
  </si>
  <si>
    <t>Siteflow</t>
  </si>
  <si>
    <t>Developer of a cloud-based field operations management software designed to meet the requirements of complex industries. The company's software allows real-time progress monitoring of interventions via electronic signatures and connects method engineers, project managers and field operators to the end customer, enabling professionals to automatically generate intervention reports, integrate the return on operating experience, analyze forms and enrich the knowledge base.</t>
  </si>
  <si>
    <t>360 Capital(Nader Sabbaghian), Bpifrance(Marion Aubry), Siparex Group(Benoit Desforges)</t>
  </si>
  <si>
    <t>cloud management, electronic signature, enterprise resource planning, field intervention management, intervention management, service management</t>
  </si>
  <si>
    <t>201027-52T</t>
  </si>
  <si>
    <t>Astanor Ventures(Laetitia De Panafieu), Big Idea Ventures, Good Startup, Groupe Bel, PeakBridge, Seventure Partners</t>
  </si>
  <si>
    <t>200577-25T</t>
  </si>
  <si>
    <t>Hunteed</t>
  </si>
  <si>
    <t>Operator of a recruitment platform intended to connect enterprises and consultants together. The company's platform allows enterprises to post their recruitment assignments and objectives and consultants to access new clients, easily supplement their income, and enhance their talent pool, enabling clients with real-time updates on recruitment progress and mission updates.</t>
  </si>
  <si>
    <t>Daphni, Isabelle Weill(Isabelle Weill)</t>
  </si>
  <si>
    <t>hiring agency, hiring process, recruitment placement, recruitment platform, recruitment site, recruitment solutions</t>
  </si>
  <si>
    <t>219661-30T</t>
  </si>
  <si>
    <t>nBold</t>
  </si>
  <si>
    <t>Developer of a sales-based SAAS platform designed to help with collaborative processes. The company's platform provides collaboration templates, team governance policies, and third-party app integrations, and helps to leverage application programming interface, enabling clients with digital workplace solutions and artificial intelligence assistant tools.</t>
  </si>
  <si>
    <t>ai automation platform, application programming, collaborative process, digital workplace solution, enterprise software tools, saas application, salesforce crm</t>
  </si>
  <si>
    <t>196804-45T</t>
  </si>
  <si>
    <t>Rediv</t>
  </si>
  <si>
    <t>Clothing, Other Services (B2C Non-Financial)*, Specialty Retail</t>
  </si>
  <si>
    <t>Operator of an e-commerce platform intended to purchase and re-sell second-hand clothing. The company's platform acts as an online marketplace for second-hand clothing for all age groups and genders, enabling users to buy and sell used clothes, renew their wardrobes, and save money.</t>
  </si>
  <si>
    <t>Colam Impact, Creas Impacto, Quadia</t>
  </si>
  <si>
    <t>online clothing, retail marketplace, secondhand clothes, used clothes exchange, used clothing market, used clothing marketplace</t>
  </si>
  <si>
    <t>Hastingues, France</t>
  </si>
  <si>
    <t>219525-13T</t>
  </si>
  <si>
    <t>Tripartie</t>
  </si>
  <si>
    <t>Application Software, Media and Information Services (B2B), Other Services (B2C Non-Financial)*</t>
  </si>
  <si>
    <t>Operator of an online third-party platform designed to safely buy goods and services directly from end-users and providers. The company's platform allows users to secure second-hand purchases and sales transactions between individuals by acting as middlepersons, enabling users to protect the execution of the transactions even in the event of a dispute.</t>
  </si>
  <si>
    <t>COREangels, Link Tribe Capital, Super Capital</t>
  </si>
  <si>
    <t>fund safeguarding, online fund transfer, online transaction, transaction services, transaction solutions, transaction system, transaction verification</t>
  </si>
  <si>
    <t>225925-66T</t>
  </si>
  <si>
    <t>196699-24T</t>
  </si>
  <si>
    <t>Bleen</t>
  </si>
  <si>
    <t>Agricultural Chemicals, Other Consumer Non-Durables, Other Services (B2C Non-Financial)*</t>
  </si>
  <si>
    <t>Provider of garden maintenance services intended to provide nutrients for the garden when needed. The company offers lawn maintenance services, products and programs, its products include lawn seeds and lawn fertilizers and bio-fertilizers, enabling customers to save time and keep lawns clean and maintained.</t>
  </si>
  <si>
    <t>Alexandre Yazdi(Alexandre Yazdi), Alexis Bonillo(Alexis Bonillo), Antoine Martin(Antoine Martin), Aude Colombier(Aude Colombier), Bertrand Picard(Bertrand Picard), Jean-Philippe Darnault(Jean-Philippe Darnault), Martin Balas(Martin Balas)</t>
  </si>
  <si>
    <t>agribusiness marketplace, garden maintenance company, garden maintenance program, garden maintenance service, gardening services, lawn maintenance products, lawn maintenance service</t>
  </si>
  <si>
    <t>Noisy le Roi, France</t>
  </si>
  <si>
    <t>196686-19T</t>
  </si>
  <si>
    <t>Intento Design</t>
  </si>
  <si>
    <t>Cognitive Computing</t>
  </si>
  <si>
    <t>Developer of cognitive software designed to solve the productivity gap inherent in analog design. The company's software offers design methodology and tools that accelerate the process by reducing lengthy simulation iterations and automating the circuit sizing, enabling electrical designers to make informed decisions on analog design, layout, placement, and routing.</t>
  </si>
  <si>
    <t>Caisse d'Epargne(Agnes Louvet), Seventure Partners(Thibault Canton)</t>
  </si>
  <si>
    <t>analog design, analog technology, cognitive computing, cognitive software, eda software, industrial automation, mixed signal circuit</t>
  </si>
  <si>
    <t>215922-25T</t>
  </si>
  <si>
    <t>Mokki (Services (B2C Non-Financial))</t>
  </si>
  <si>
    <t>Environmental Services (B2B)*, Other Services (B2C Non-Financial)</t>
  </si>
  <si>
    <t>Provider of recycling services intended to democratize responsible consumption by promoting the circular economy in the workplace. The company supports donations, recycling and resale of items and also carries out rigorous sorting, enabling users to make the circular economy a reality, by making resale, recycling and donation simple.</t>
  </si>
  <si>
    <t>Coco Meers(Coco Meers), Coeus Global, Jade Francine(Jade Francine), Michael Spies(Michael Spies), Samantha Bonning(Samantha Bonning), Second Century Ventures</t>
  </si>
  <si>
    <t>recycling service, recycling service business, recycling service firm, recycling service platform, recycling service provider, recycling services</t>
  </si>
  <si>
    <t>190354-96T</t>
  </si>
  <si>
    <t>InReach Ventures, Pierre-Antoine Dusoulier(Pierre-Antoine Dusoulier), Super Capital, Super Capital (Beijing)</t>
  </si>
  <si>
    <t>199731-25T</t>
  </si>
  <si>
    <t>Aonia Ventures, Founders Future(Sarah Corne), MAIF Impact, Starquest Capital(Chloé Cohen-Aknine)</t>
  </si>
  <si>
    <t>196588-27T</t>
  </si>
  <si>
    <t>Blacknut</t>
  </si>
  <si>
    <t>Developer of a subscription-based cloud gaming platform designed to revolutionize the distribution of video games. The company's platform uses an algorithm based on user preferences to suggest appropriate games and offers all players simple and immediate access to a large catalog of games across all terminals, enabling users to discover and play new games in real time while sharing experiences with its community.</t>
  </si>
  <si>
    <t>Square Enix Holdings (TKS: 9684)(Hideaki Uehara)</t>
  </si>
  <si>
    <t>cloud gaming, cloud gaming platform, computer games, distribution platform, entertainment software design, gaming access, mobile games, online gaming platform, subscription-based gaming, video game platform</t>
  </si>
  <si>
    <t>192737-35T</t>
  </si>
  <si>
    <t>Blueback</t>
  </si>
  <si>
    <t>Developer of a healthcare technology designed to assist physiotherapists and patients in monitoring muscle activity. The company's technology offers real-time detection and visualization of deep muscle activity of the abdominal strap, enabling clinicians to create personalized programs to support patients' rehabilitation.</t>
  </si>
  <si>
    <t>Bpifrance, Breton Business Angels, Electronique Du Mazet, Femmes Business Angels, Ouest Angels Capital</t>
  </si>
  <si>
    <t>healthcare device, healthcare equipment, healthcare technology, monitoring equipment, monitoring equipment developer, muscle activity analysis</t>
  </si>
  <si>
    <t>E-Commerce, HealthTech</t>
  </si>
  <si>
    <t>196673-50T</t>
  </si>
  <si>
    <t>DCbrain</t>
  </si>
  <si>
    <t>Operator of an AI-powered platform intended for the energy and supply chain sector. The company's platform leverages artificial intelligence to combine a visualization interface and an effective predictive analysis toolbox, enabling clients to detect anomalies, prevent incidents, and predict the future evolution of any network.</t>
  </si>
  <si>
    <t>Aster Capital(Fabio Lancellotti), Bpifrance, Breed Reply(Richard Hadden), Co-Win Ventures, EIT InnoEnergy(Karine Vernier), Statkraft Ventures(Stefan Hülsen)</t>
  </si>
  <si>
    <t>ai automation platform, anomaly detection, energy efficiency, industrial network, predictive analysis, predictive maintenance, scm, smart grid, supply chain management, supply chain planning, visualization interface</t>
  </si>
  <si>
    <t>Artificial Intelligence &amp; Machine Learning, SaaS, Supply Chain Tech, TMT</t>
  </si>
  <si>
    <t>189781-30T</t>
  </si>
  <si>
    <t>Pepette</t>
  </si>
  <si>
    <t>Producer of animal food products and recipes intended to serve cats and dogs. The company offers fresh food like chicken, and beef parameters, made by a veterinary nutritionist, providing customers with recipes as per the requirements of pets.</t>
  </si>
  <si>
    <t>Ambrosia Investments, Augustin Marmont(Augustin Marmont), Benjamin Perot(Benjamin Perot), BusinessAngels.fr, Franck Bonfils(Franck Bonfils), GO Capital (France)(Alexis Menard), Patrick Asdaghi(Patrick Asdaghi)</t>
  </si>
  <si>
    <t>animal nutrition, food industry, nutritional food, organic food, pet diet plan, pet food company</t>
  </si>
  <si>
    <t>Blois, France</t>
  </si>
  <si>
    <t>187755-40T</t>
  </si>
  <si>
    <t>PKvitality</t>
  </si>
  <si>
    <t>Electronics (B2C)*, Information Services (B2C), Monitoring Equipment</t>
  </si>
  <si>
    <t>Developer of a glucose monitoring sensor designed to simplify the process of precise and continuous monitoring of systemic glucose levels. The company's sensor is a wearable tracker that requires no calibration, shows a complete data history of blood, and sends alerts to remind users to check their glucose levels, enabling diabetic patients to self-monitor their glucose levels without the need for cumbersome and painful blood-based tests.</t>
  </si>
  <si>
    <t>Beurer, Business Angels, EIT Health, European Innovation Council Fund, Super Capital</t>
  </si>
  <si>
    <t>glucose monitoring, glucose monitoring device, glucose monitoring product, glucose monitoring smartwatch, glucose monitoring system, monitoring sensors</t>
  </si>
  <si>
    <t>196569-64T</t>
  </si>
  <si>
    <t>Applied Ventures, Bosch Ventures(Jan Westerhues), Bpifrance(Marion Aubry), Industrial Technology Investment, Innovacom (Paris)(Vincent Deltrieu), Supernova Invest(Pierre-Emmanuel Struyven)</t>
  </si>
  <si>
    <t>197403-31T</t>
  </si>
  <si>
    <t>Shippingbo</t>
  </si>
  <si>
    <t>Developer of an e-commerce logistics software designed to transform all logistical issues into competitive advantages. The company's platform provides features such as inventory management, preparation optimization, shipping management, order orchestration, centralization of orders, and setting up preparation sessions, enabling e-merchants, drop shippers, logisticians, retailers, and wholesalers to save time by centralizing all their e-commerce orders in a single interface.</t>
  </si>
  <si>
    <t>GSO Innovation, IRDI Capital Investissement</t>
  </si>
  <si>
    <t>inventory management, logistics app, logistics supply, ship management, transport management solutions, warehouse management solutions</t>
  </si>
  <si>
    <t>196467-58T</t>
  </si>
  <si>
    <t>Cosmian</t>
  </si>
  <si>
    <t>Business/Productivity Software*, Network Management Software</t>
  </si>
  <si>
    <t>Developer of a cryptography platform designed to analyze encrypted data and create a secure data economy. The company's platform leverages advanced cryptography which enables calculations to be performed on encrypted private data without actually revealing the data itself and/or the algorithms used and facilitates queries, enabling security operation centers and banks to analyze and transmit private information without revealing the underlying data.</t>
  </si>
  <si>
    <t>115K, Elaia Partners(Xavier Lazarus), Financière de Blacailloux, Guillaume Amblard(Guillaume Amblard), La Banque Postale</t>
  </si>
  <si>
    <t>confidential computing, cryptography services, cryptography software, cryptography technology, data intelligence platform, data intelligence solution, data protection &amp; encryption, data protection and encryption, data security, multi-party computation, secure enclave</t>
  </si>
  <si>
    <t>196456-42T</t>
  </si>
  <si>
    <t>Axeleo Capital, Don Hoang(Don Hoang), Frst Capital, Hoxton Ventures, Night Capital, Pierre Youenou(Pierre Youenou), Y Combinator</t>
  </si>
  <si>
    <t>265580-47T</t>
  </si>
  <si>
    <t>FJ Labs, Motive Partners, SquareOne Capital, Valar Ventures, Valentine Baudouin(Valentine Baudouin)</t>
  </si>
  <si>
    <t>196873-66T</t>
  </si>
  <si>
    <t>Volt (Specialty Retail)</t>
  </si>
  <si>
    <t>Automotive, Other Services (B2C Non-Financial), Specialty Retail*</t>
  </si>
  <si>
    <t>Operator of urban mobility electric vehicles intended to make city travel cost-effective for people. The company finds, tests, chooses, qualifies, certifies, and then imports electric mobility products and their accessories within a short time, and offers an in-house repair workshop and after-sales service, enabling customers with modes of eco-mobility to make travel comfortable for them.</t>
  </si>
  <si>
    <t>Elevation Capital Partners(Julien Hugot)</t>
  </si>
  <si>
    <t>automobile distributor, automobile spare parts, electric scooter provider, mobility and transportation, transportation vehicles, urban mobility</t>
  </si>
  <si>
    <t>E-Commerce, Mobility Tech</t>
  </si>
  <si>
    <t>196492-69T</t>
  </si>
  <si>
    <t>WuDo</t>
  </si>
  <si>
    <t>Developer of a cloud-based skills-sharing platform intended to connect businesses within territories for collective success. The company's platform offers features such as community labs, loyalty programs, skills directories, blockchain protection, face-to-face animation, legal models, and electronic signatures among others, enabling businesses to access the right skills and the right resources when they need them.</t>
  </si>
  <si>
    <t>Banque Populaire, Bpifrance, Cetim, Credit Agricole Regions Investissement, UI Investissement</t>
  </si>
  <si>
    <t>blockchain protection, business community, collaborative spaces, corporate skills, project management, skills sharing platform, skills sharing software</t>
  </si>
  <si>
    <t>Dung, France</t>
  </si>
  <si>
    <t>196147-63T</t>
  </si>
  <si>
    <t>AFI Ventures (Paris), Ataraxia, Blue Wire Capital, Bpifrance(Joséphine Marie), Entrepreneur First, Joyance Partners, Kindred Ventures, Sake Bosch, Ventech (Paris)</t>
  </si>
  <si>
    <t>196950-88T</t>
  </si>
  <si>
    <t>EcoTree</t>
  </si>
  <si>
    <t>Developer of a plantation platform designed to initiate the planting of trees and develop a benevolent ecosystem. The company's platform manages the investments made in trees and the absorbed carbon dioxide, enabling clients to make income from the farm, with substantial returns.</t>
  </si>
  <si>
    <t>Accurafy4(Frédéric Caron), Christophe Pechoux(Christophe Pechoux), Epopée Gestion, Famaë Impact(Jerome Leger), Financière Fonds Privés(Thierry de Chambure), Societe Generale (PAR: GLE)(Sandrine Bouthemy), Societe Generale Ventures</t>
  </si>
  <si>
    <t>benevolent ecosystem, climate forest, ecological investment service, ecosystem health and monitoring, forest maintenance, forest renewal, land use, plant maintenance, sustainable solutions, tree plantation services</t>
  </si>
  <si>
    <t>196416-64T</t>
  </si>
  <si>
    <t>HappyVore</t>
  </si>
  <si>
    <t>Developer of plant-based food products intended to provide healthier alternatives to traditional meat. The company offers a diverse range of vegetarian and vegan dishes, including options that mimic the taste and texture of meat, enabling health-conscious consumers to enjoy satisfying meals while reducing their environmental impact through lower carbon and water usage.</t>
  </si>
  <si>
    <t>Adrien Schompré, Bpifrance, Philippe Cantet(Philippe Cantet), The Invus Group</t>
  </si>
  <si>
    <t>food delivery, gluten-free food, healthy meat, plant-based food, plant-based protein, vegan alternatives, vegan meat producer</t>
  </si>
  <si>
    <t>212934-25T</t>
  </si>
  <si>
    <t>PureNat</t>
  </si>
  <si>
    <t>Developer of air purification systems designed to purify the air and eliminate the polluting elements present in the air. The company develops a revolutionary and ecological thread allowing the destruction of chemical pollutants, viruses, and bacteria in the buildings in real conditions, durable and adaptable to everyday objects, enabling building operators and builders from the initial audit to the final air quality verification, to guarantee healthy indoor air over the long term to preserve the health of occupants.</t>
  </si>
  <si>
    <t>Adour Business Angels, Arts Metiers Alumni, Bpifrance, Newfund Management, SkalePark</t>
  </si>
  <si>
    <t>air purification equipment, air quality cleaning, filtration tank, industrial air cleaning, odor treatment, sustainable development</t>
  </si>
  <si>
    <t>197035-93T</t>
  </si>
  <si>
    <t>Alven Capital Partners(Thomas Cuvelier), Andreessen Horowitz(Seema Amble), Anthemis, Henrique De Castro(Henrique De Castro), Julian Teicke(Julian Teicke), The Delta</t>
  </si>
  <si>
    <t>196402-06T</t>
  </si>
  <si>
    <t>Wyve</t>
  </si>
  <si>
    <t>Manufacturer of 3D-printed surfboards intended to reinvent the way products are produced and distributed. The company uses recycled and recyclable plastic waste to create tailor-made boards, providing surfers with durable, personalized, and eco-friendly accessories.</t>
  </si>
  <si>
    <t>BACS-Innov, Super Capital</t>
  </si>
  <si>
    <t>durable good, durable plastic, recyclable products, surfboard design, surfboard product, surfing board</t>
  </si>
  <si>
    <t>3D Printing, CleanTech</t>
  </si>
  <si>
    <t>214551-55T</t>
  </si>
  <si>
    <t>Wasterial</t>
  </si>
  <si>
    <t>Manufacturer of sustainable products intended to reduce environmental impact through waste recycling. The company transforms local waste into low-carbon materials, offering aesthetic and eco-friendly alternatives, enabling businesses to adopt more sustainable practices while lowering waste disposal and carbon emissions.</t>
  </si>
  <si>
    <t>Finorpa, Nord Création</t>
  </si>
  <si>
    <t>everyday objects, recycled good, recycling agency, waste management, waste management firm, waste product, waste technology</t>
  </si>
  <si>
    <t>CleanTech, E-Commerce</t>
  </si>
  <si>
    <t>196411-33T</t>
  </si>
  <si>
    <t>Intradys</t>
  </si>
  <si>
    <t>Developer of medical software technology designed to shape the future of interventional neuroradiology. The company develops algorithms that combine machine learning and mixed reality to offer a strategy to the practitioner according to multiple criteria such as age, history, and adequacy of the devices to the pathological situation while relying on the images acquired before or during the procedure, enabling neuroradiologists to make decisions during surgery in the operating room.</t>
  </si>
  <si>
    <t>healthcare communication network, healthcare technology software, medical technology software, medtech company, mixed reality applications, neuroradiology technology</t>
  </si>
  <si>
    <t>Artificial Intelligence &amp; Machine Learning, Augmented Reality, Digital Health</t>
  </si>
  <si>
    <t>206405-11T</t>
  </si>
  <si>
    <t>Klaro</t>
  </si>
  <si>
    <t>Operator of a human resources platform intended to provide financial aid. The company's platform helps in diagnosing the situation, and provides guided steps to apply for aid along with notifications for assistance, enabling employers to reduce administrative procedures.</t>
  </si>
  <si>
    <t>Asterion, Link Tribe Capital, Malakoff Humanis</t>
  </si>
  <si>
    <t>hr tech app, hr technology, human resources, saas company, saas platform, saas product, saas-based</t>
  </si>
  <si>
    <t>196222-78T</t>
  </si>
  <si>
    <t>Bpifrance, European Commission</t>
  </si>
  <si>
    <t>233018-11T</t>
  </si>
  <si>
    <t>Alexandre Ichai(Alexander Ichai), Campus Fund</t>
  </si>
  <si>
    <t>168179-68T</t>
  </si>
  <si>
    <t>Iome Bio</t>
  </si>
  <si>
    <t>Developer of microbiome-based mechanisms intended to develop drugs for immuno-oncology. The company's technology offers an approach through a targeted mode of action downstream of the microbiome's action and provides amplification of the signal with first-in-class monoclonal antibodies, enabling cancer patients to overcome cancer.</t>
  </si>
  <si>
    <t>Quark Venture(Neena Kadaba), Seventure Partners</t>
  </si>
  <si>
    <t>amplification tools, antibody, biologics, checkpoint inhibitors, checkpoint inhibitors therapy, immuno-oncology drugs, microbiome tech, microbiome-based mechanism, monoclonal antibody</t>
  </si>
  <si>
    <t>196807-51T</t>
  </si>
  <si>
    <t>Vestack</t>
  </si>
  <si>
    <t>Construction and Engineering, Multimedia and Design Software*</t>
  </si>
  <si>
    <t>Developer of proprietary software and hardware technology designed to build healthy and sustainable buildings. The company combines digital design, bio-based materials, and modular manufacturing for the construction of commercial and residential structures, enabling project developers to ensure speedy production, at a low cost, while drastically reducing the building's environmental footprint.</t>
  </si>
  <si>
    <t>Karista (Paris), Mirova, Ring Capital(Charlotte Lafont)</t>
  </si>
  <si>
    <t>building construction process, building energy efficiency, built environment, construction industry, construction work, economical construction, modular construction system</t>
  </si>
  <si>
    <t>CleanTech, Climate Tech, Construction Technology</t>
  </si>
  <si>
    <t>196014-16T</t>
  </si>
  <si>
    <t>Arthur Waller(Arthur Waller), Didier Valet(Didier Valet), Edward Lando(Edward Lando), Jon Oringer(Jon Oringer), Nima Golpaygani(Nima Golpaygani), Otium Capital(Jérémie Bordier), VAeX Capital Partners</t>
  </si>
  <si>
    <t>195941-98T</t>
  </si>
  <si>
    <t>Comet</t>
  </si>
  <si>
    <t>Developer of an online freelance platform designed to provide an experience for large enterprises. The company's platform helps in evaluating freelancers in the field of product development or big data and connects them with an organization based on a matching algorithm and artificial intelligence, enabling companies to find the right on-demand tech and data skills applicants.</t>
  </si>
  <si>
    <t>Bridge to Growth(Gotz Gleichmann), Daphni(Pierre-Eric Leibovici), Elevation Capital (India), FJ Labs, Otium Capital(Pierre-Edouard Sterin), Purple (Paris), Redstone VC, Salica Investments</t>
  </si>
  <si>
    <t>freelancers network, freelancing platform, hiring platform, recruiting platform, talent marketplace, talent search</t>
  </si>
  <si>
    <t>Artificial Intelligence &amp; Machine Learning, HR Tech</t>
  </si>
  <si>
    <t>196041-79T</t>
  </si>
  <si>
    <t>ImCheck Therapeutics</t>
  </si>
  <si>
    <t>Developer of immuno-modulatory antibodies designed for treating cancer and other immune-related diseases. The company's antibodies offer next-generation immunotherapeutics for severe unmet medical needs with a primary focus on immuno-oncology, enabling patients with the treatment of breast cancer, gastric, ovarian cancer cells and other solid tumors.</t>
  </si>
  <si>
    <t>Agent Capital, Alexandria Venture Investments, Andera Partners(Raphael Wisniewski), Boehringer Ingelheim Venture Fund, Bpifrance(Thibaut Roulon), Earlybird Venture Capital(Florent Gros), EQT Life Sciences, Eurazeo (PAR: RF), Gimv (BRU: GIMB)(Bram Vanparys), Kinled Holding, Kurma Partners(Remi Droller), Leukemia &amp; Lymphoma Society, Pfizer Ventures(Michael Baran), Pureos Bioventures, The Invus Group, Wellington Partners(Regina Hodits)</t>
  </si>
  <si>
    <t>cancer cure, cancer treatment, immune checkpoint inhibitors, immunomodulators drugs, immunotherapeutic drugs, inflammatory disease, innate immunity, oncology cure</t>
  </si>
  <si>
    <t>196058-26T</t>
  </si>
  <si>
    <t>Metafore</t>
  </si>
  <si>
    <t>Buildings and Property*, Other Commercial Services</t>
  </si>
  <si>
    <t>Operator of sustainable living spaces intended to help businesses organize events and seminars. The company's spaces can be used for corporate gatherings, board meetings, training, and conferences, enabling clients to meet their CSR needs and get a modern and refined place that offers comfort and well-being.</t>
  </si>
  <si>
    <t>Fimalac Group, Financière Saint James, Lise Invest, Michaël Benabou(Michaël Benabou)</t>
  </si>
  <si>
    <t>corporate event venue, corporate events design, corporate marketing, corporate meeting, event services, showroom space</t>
  </si>
  <si>
    <t>Buildings and Property</t>
  </si>
  <si>
    <t>195942-79T</t>
  </si>
  <si>
    <t>PAARLY</t>
  </si>
  <si>
    <t>Developer of a software platform designed to provide price monitoring and competition analysis. The company's platform specializes in the fields of competitor monitoring, price monitoring, dynamic repricing, pricing intelligence, marketplace management, automated monitoring of competitors, complete analysis of the pricing policy of different market factors, and automatic extraction of price data from any website, enabling clients to boost their e-business via artificial intelligence.</t>
  </si>
  <si>
    <t>competitor monitoring, marketplace management, marketplace management software, price monitoring platform, price optimization, pricing intelligence, pricing policy, pricing strategy, software platform provider</t>
  </si>
  <si>
    <t>Artificial Intelligence &amp; Machine Learning, E-Commerce, SaaS</t>
  </si>
  <si>
    <t>195994-81T</t>
  </si>
  <si>
    <t>Beemo Technologie</t>
  </si>
  <si>
    <t>Business/Productivity Software, Systems and Information Management*</t>
  </si>
  <si>
    <t>Developer of data protection platform intended to preserve and restore critical data for companies. The company's offerings include security, confidentiality, the integrity of saved data, data restoration, automated backups and updates, scalable backup, simple, efficient, and secure systems, automatically saving and backing up data in three separate locations, and other related services, enabling clients to back up data and recover critical business aspects in the event of a disaster.</t>
  </si>
  <si>
    <t>Bpifrance, Galia Gestion</t>
  </si>
  <si>
    <t>automated backup, backup data, cloud backup, data preservation platform, data protection, data restoration, encrypted data</t>
  </si>
  <si>
    <t>Systems and Information Management</t>
  </si>
  <si>
    <t>Perols, France</t>
  </si>
  <si>
    <t>218607-13T</t>
  </si>
  <si>
    <t>Diam Concept</t>
  </si>
  <si>
    <t>Manufacturer of eco-friendly lab-grown diamonds intended to replicate the natural diamond growth process under controlled conditions. The company's product replicate the natural diamond growth process under controlled conditions by utilizing plasma technology, enabling businesses with a more sustainable and ethically sourced jewelry alternative.</t>
  </si>
  <si>
    <t>Mirabaud Private Equity</t>
  </si>
  <si>
    <t>artificial diamond, diamond technology, jewelry producer, lab diamond, luxury jewelry products, sustainable jewelry</t>
  </si>
  <si>
    <t>198692-56T</t>
  </si>
  <si>
    <t>Ludocare</t>
  </si>
  <si>
    <t>Developer of therapeutic robots designed to meet the needs of patients with chronic diseases and their families. The company's device complements drug treatments and aims to improve the efficiency of treatments through personalized support that empowers the child, by acting on therapeutic compliance quantitatively and qualitatively, enabling patients with better control of the disease and stabilization of basic treatment.</t>
  </si>
  <si>
    <t>Bpifrance(Joséphine Marie), Karista (Paris)(Catherine Boule)</t>
  </si>
  <si>
    <t>digital health, digital therapy, medical device firm, therapeutic device, therapeutic device makers, therapeutic device manufacturer</t>
  </si>
  <si>
    <t>HealthTech, Manufacturing, Robotics and Drones</t>
  </si>
  <si>
    <t>198750-34T</t>
  </si>
  <si>
    <t>IntilaQ</t>
  </si>
  <si>
    <t>194221-09T</t>
  </si>
  <si>
    <t>CastorDoc</t>
  </si>
  <si>
    <t>Developer a database platform designed to redesign how companies document their data. The company's platform designs an overview of all the data in the organization and unifies search across the entire data ecosystem, enabling organizations to manage data and get a collaborative data discovery solution.</t>
  </si>
  <si>
    <t>Blossom Capital, Florian Douetteau(Florian Douetteau), Frst Capital</t>
  </si>
  <si>
    <t>content services, data collaboration platform, data democratization, data discovery, data discovery platform, data ecosystem, data governance, data governance tools, data lineage, data management, kms, knowledge management system, metadata management, metadata software</t>
  </si>
  <si>
    <t>195679-72T</t>
  </si>
  <si>
    <t>Capital First Partners, ConsenSys, Expon Capital(Alain Rodermann), Motier Ventures, ODDO BHF Group(Benoit Claveranne), Tioga Capital Partners(Nicolas Priem), True Global Ventures(Frank Desvignes), Via.Io, XAnge(Alexis du Peloux)</t>
  </si>
  <si>
    <t>195626-62T</t>
  </si>
  <si>
    <t>Cathay Capital Private Equity, Gershon Capital, GT Healthcare Capital Partners(Alan Au), Johnson &amp; Johnson Innovation - JJDC(Tamir Meiri), Richard Leparmentier(Richard Leparmentier), Sacha Loiseau(Sacha Loiseau), Siddarth Satish, Sofinnova Partners, Yann Fleureau(Yann Fleureau)</t>
  </si>
  <si>
    <t>203631-13T</t>
  </si>
  <si>
    <t>Syndivia</t>
  </si>
  <si>
    <t>Developer of cancer therapeutics designed to develop new therapies for patients with difficult-to-treat cancer indications. The company offers targeted ADCs with optimal drug-to-antibody ratios, enabling healthcare professionals to improve antitumor efficacy and safety for cancer patients.</t>
  </si>
  <si>
    <t>Capital Grand Est</t>
  </si>
  <si>
    <t>biotechnology research, cancer oncology, cancer research, cancer therapy, drug discovery, tumor treatment</t>
  </si>
  <si>
    <t>191272-69T</t>
  </si>
  <si>
    <t>Tailor (B2C Non-Financial Services)</t>
  </si>
  <si>
    <t>Information Services (B2C), Other Services (B2C Non-Financial)*, Social/Platform Software</t>
  </si>
  <si>
    <t>Operator of a rewards marketplace intended to offer non-fungible token stickers and collectibles for live events. The company's marketplace gives back artists control over their tickets using blockchain technology, enabling fans to be at the heart of their community.</t>
  </si>
  <si>
    <t>50 Partners</t>
  </si>
  <si>
    <t>collectables, fan engagement platform, live events tech, nft ticketing, rewards marketplace, unique collectibles</t>
  </si>
  <si>
    <t>195962-50T</t>
  </si>
  <si>
    <t>ZeDrimeTim</t>
  </si>
  <si>
    <t>Operator of a video game studio intended to bridge animated feature films and proficiencies. The company focuses on developing animated, adventurous, and sci-fi games, enabling players to enjoy playing video games.</t>
  </si>
  <si>
    <t>adventurous games, animated games, gaming content, online game studio, sci-fi games, video game studio</t>
  </si>
  <si>
    <t>Gaming, SaaS</t>
  </si>
  <si>
    <t>211956-58T</t>
  </si>
  <si>
    <t>Zelup</t>
  </si>
  <si>
    <t>Developer of a water droplet fragmentation technology designed to preserve the planet and water resources. The company's technology offers a hydropneumatic defragmentation cleaning gun with a twofold trigger for cleaning, instant degreasing and disinfection in areas where it is difficult to access, enabling fire-fighting users to get an eco-friendly tool to save water and use less energy while cleaning.</t>
  </si>
  <si>
    <t>Région Auvergne-Rhône-Alpes</t>
  </si>
  <si>
    <t>cleaning and degreasing, cleaning gun, cleaning home, cleaning system, ecological cleaning, high speed cleaners, surface cleaners</t>
  </si>
  <si>
    <t>195535-09T</t>
  </si>
  <si>
    <t>1kx, Alven Capital Partners, Avantgarde Labs Ventures, BlueYard Capital, CoinShares Ventures, Draper Associates, Ledger Cathay Capital, Point Nine Capital(Louis Coppey), Protocol Labs</t>
  </si>
  <si>
    <t>195497-65T</t>
  </si>
  <si>
    <t>nfinite</t>
  </si>
  <si>
    <t>Developer of a cloud and AI-based three-dimensional visualization software designed for product merchandising. The company leverages proprietary computer-generated imagery technology to create any kind of visual content for its products through virtual shooting, enabling retailers to replace photographic pictures to showcase their products online or in catalogs.</t>
  </si>
  <si>
    <t>Aspenwood Ventures, Insight Partners(Rebecca Liu-Doyle), U.S. Venture Partners(Dafina Toncheva)</t>
  </si>
  <si>
    <t>3d software platform, design software, ecommerce search, email and authoring, kms, knowledge management system, retailer software, shopping experience, visual commerce, visual merchandising solution</t>
  </si>
  <si>
    <t>195423-49T</t>
  </si>
  <si>
    <t>Banque Populaire Occitane, Bpifrance, Capitole Angels, IES Association, Ocseed, Provence Business Angels</t>
  </si>
  <si>
    <t>166534-75T</t>
  </si>
  <si>
    <t>Même Pas Cap!</t>
  </si>
  <si>
    <t>Developer of a skills assessment platform intended to identify your personal desires and ambitions. The company's platform offers a personalized training program to help workers in transition to identify and develop their skills to create the job they dream of, enabling employees and customers with professional development programs to improve their skills.</t>
  </si>
  <si>
    <t>Carpe Diem Investments, Super Capital</t>
  </si>
  <si>
    <t>assessment reporting, personal development, personalized training courses, professional development program, skill assessment platform, skills evaluation</t>
  </si>
  <si>
    <t>196525-54T</t>
  </si>
  <si>
    <t>Oteria Cyber School</t>
  </si>
  <si>
    <t>Operator of a cyber training institute intended to transmit and train newbies in cyber technologies. The company designs an information system, deploys a cybersecurity approach, develops transversal skills, and conducts risk analysis and organizational audits, enabling cyber professionals to optimize their recruitment chances.</t>
  </si>
  <si>
    <t>SGPA</t>
  </si>
  <si>
    <t>cybersecurity experts, cybersecurity school, education institute, interpersonal skills, managed security services, security operations, skill development service, university degree</t>
  </si>
  <si>
    <t>Gennevilliers, France</t>
  </si>
  <si>
    <t>195407-74T</t>
  </si>
  <si>
    <t>Pimster</t>
  </si>
  <si>
    <t>Developer of a digital user manual platform designed to help brands connect with customers. The company's platform allows to edit content in any language instantly, personalize marketing campaigns, manage the performance of the products through a connected dashboard and guide consumers with simple and interactive stories, enabling organizations to get a product assistant to guide their consumers in the handling, use and maintenance of their products.</t>
  </si>
  <si>
    <t>AngelSquare, Aonia Ventures, Axel Manoukian(Axel Manoukian), Frédéric Montagnon(Frédéric Montagnon), Kima Ventures, LeFonds(Geraldine Le Meur), Stéphane Levy(Stéphane Levy), Thibaud Elziere(Thibaud Elziere)</t>
  </si>
  <si>
    <t>consumer guide, customer engagement platform, digital manuals, management platform, management tool, marketing campaign</t>
  </si>
  <si>
    <t>195315-49T</t>
  </si>
  <si>
    <t>AGIR à dom, Cemag Invest, Crédit Agricole Alpes Développement, Crédit Agricole Aquitaine Expansion, Crédit Agricole Sud Rhône-Alpes (PAR: CRSU), Innovacom (Paris), Kreaxi, LBO France(Valéry Huot), Odyssee Venture, Promontoires, Supernova Invest(Celia Hart), Terumo (TKS: 4543)(Hikaru Samejima), UI Investissement(Francois Miceli)</t>
  </si>
  <si>
    <t>195328-81T</t>
  </si>
  <si>
    <t>Fabriq (Business/Productivity Software)</t>
  </si>
  <si>
    <t>Developer of shop floor management system designed to boost the efficiency of teams and improve industrial performance. The company's platform can capture and centralize all operational data, perform data analysis, connect teams, and speed up the information flow, enabling industry enterprises to reduce costs, save time, and achieve a faster return on income.</t>
  </si>
  <si>
    <t>Christophe Chausson(Christophe Chausson), Contribution, Gabriel Caillaux(Gabriel Caillaux), Henri de Castries(Henri de Castries), Julien Chaudeurge, Matthieu Vaxelaire(Matthieu Vaxelaire), OSS Ventures(Renan Devillieres), Patrick Asdaghi(Patrick Asdaghi), Romain Raffard(Romain Raffard), Thibaud Elziere(Thibaud Elziere)</t>
  </si>
  <si>
    <t>business management system, collaborative work, data analytics, enterprise software, lean manufacturing, performance management, virtual management software</t>
  </si>
  <si>
    <t>197100-01T</t>
  </si>
  <si>
    <t>Biosyl</t>
  </si>
  <si>
    <t>Wood/Hard Products*</t>
  </si>
  <si>
    <t>Manufacturer of wood energy and fuel wood pellets intended for recovery of local coppice wood. The company operates a pellet production plant from logs that can reach a production capacity of more than one hundred thousand tons per year, enabling people to reduce their carbon footprint and get energy by transforming wood waste and scrap with low CO2 emissions.</t>
  </si>
  <si>
    <t>123 Investment Managers, Audacia (PAR: ALAUD), JEREMIE Auvergne, Sofimac Investment Managers, Unisylva</t>
  </si>
  <si>
    <t>agribusiness marketplace, agrifinance &amp; ecommerce, agrifinance and ecommerce, carbon footprint, carbon footprint tracker, carbon footprinting, granulation unit, pellets production, wood energy</t>
  </si>
  <si>
    <t>CleanTech, E-Commerce, LOHAS &amp; Wellness, Manufacturing</t>
  </si>
  <si>
    <t>Cosne sur Loire, France</t>
  </si>
  <si>
    <t>197107-39T</t>
  </si>
  <si>
    <t>Biotraq</t>
  </si>
  <si>
    <t>Developer of a data analysis platform designed to specialize in cold supply chain and control product quality. The company's platform uses the internet-of-things and blockchain technology to track the quality for traceability of sensitive products, temperature, humidity, light and shock conditions, reduce avoidable losses and reinforce transparency all along the supply chain, enabling food industries to optimize in real-time, guarantee safety and reduce waste.</t>
  </si>
  <si>
    <t>cold chain management service, cold supply chain, supply chain data, traceability data, traceability platform, traceability system</t>
  </si>
  <si>
    <t>196470-73T</t>
  </si>
  <si>
    <t>BlaBlaCar</t>
  </si>
  <si>
    <t>Developer of a carpooling platform designed to connect drivers and passengers for shared rides, reducing transportation costs and environmental impact. The company's platform offers a convenient and affordable way to travel by connecting drivers and passengers for shared rides, enabling customers to save money, reduce their carbon footprint, and make new connections.</t>
  </si>
  <si>
    <t>International Finance Corporation(Makhtar Diop)</t>
  </si>
  <si>
    <t>10th Round</t>
  </si>
  <si>
    <t>car shares, carpool rides, carpooling platform, ridehailing platform, rides hailing, rides shares, rides sharing marketplace</t>
  </si>
  <si>
    <t>CleanTech, Climate Tech, LOHAS &amp; Wellness, Mobile, Ridesharing</t>
  </si>
  <si>
    <t>203030-56T</t>
  </si>
  <si>
    <t>IT-Farm, Kima Ventures, Matterwave Ventures, Plug and Play Tech Center</t>
  </si>
  <si>
    <t>192306-43T</t>
  </si>
  <si>
    <t>Energy Impact Partners(Matthias Dill), Jean-Baptiste Rudelle(Jean-Baptiste Rudelle), Notus Technologies, Sia Partners, Siparex Group, Wind Capital, Wind Investments, XAnge</t>
  </si>
  <si>
    <t>198951-94T</t>
  </si>
  <si>
    <t>Open Campus (Educational and Training Services)</t>
  </si>
  <si>
    <t>Education and Training Services (B2B), Educational and Training Services (B2C)*</t>
  </si>
  <si>
    <t>Operator of a multidisciplinary teaching campus intended to provide personalized higher education. The company offers training in multiple areas like management, communication, IT, hospitality and tourism, digital, and real estate and also offers conferences, professional events, and speakers, enabling students to develop professional curiosity, experience, expertise, and a business network.</t>
  </si>
  <si>
    <t>campus training, digital school, education campus, higher education, multidisciplinary teaching, professional courses</t>
  </si>
  <si>
    <t>195290-20T</t>
  </si>
  <si>
    <t>Sintermat</t>
  </si>
  <si>
    <t>Other Materials, Other Metals, Minerals and Mining*</t>
  </si>
  <si>
    <t>Operator of a powder metallurgy company intended to provide material solutions to the metal industry and customer application sector. The company offers designed performance materials for the luxury, packaging, aeronautics, defence and industrial tooling sectors, enabling sectors such as aerospace, defence, and energy to achieve enhanced performance while promoting sustainability through material recycling and waste upcycling.</t>
  </si>
  <si>
    <t>Bpifrance(Nicolas Berdou), Crédit Agricole de Champagne-Bourgogne, Safran Corporate Ventures, UI Investissement</t>
  </si>
  <si>
    <t>3d printing technology, aerospace applications, biocompatible material, lightweight materials, material mining, metallurgy material, nanomaterials products, powder metallurgy, recycling solutions, spark plasma sintering</t>
  </si>
  <si>
    <t>Montbard, France</t>
  </si>
  <si>
    <t>195903-64T</t>
  </si>
  <si>
    <t>Ideel</t>
  </si>
  <si>
    <t>Developer of a household expense management platform designed to optimize and simplify bill payments. The company's platform centralizes all household expenses, offers tools for bill optimization, and provides alerts for important updates, enabling users to manage their finances efficiently, reduce costs, and minimize administrative burdens.</t>
  </si>
  <si>
    <t>Bpifrance, Guillaume Lavoisier, Seventure Partners, Techmind</t>
  </si>
  <si>
    <t>bill payment, collaborative platform, cost optimization, expense management, financial management, household management</t>
  </si>
  <si>
    <t>210949-21T</t>
  </si>
  <si>
    <t>Aveine</t>
  </si>
  <si>
    <t>Application Software, Beverages, Electronics (B2C)*</t>
  </si>
  <si>
    <t>Manufacturer of a wine aerator intended to help serve wine in pristine condition at any point without any loss in taste and aeration. The company's aerator is a portable, simple, and fun-to-use smartphone application-connected device that lets its users place the product on the bottle, scan the label, and calibrate it to the ideal level of aeration for that particular wine and serve drinks, enabling domestic customers and bartenders to mix, blend and taste freshly prepared wines under any conditions without spilling it off or spoiling the taste.</t>
  </si>
  <si>
    <t>Business Angels</t>
  </si>
  <si>
    <t>aerator manufacturer, alchohol product, beverages wine, bottle opener, kitchentech and robotics, wine aeration tools, wine aerator</t>
  </si>
  <si>
    <t>FoodTech, Manufacturing</t>
  </si>
  <si>
    <t>195008-32T</t>
  </si>
  <si>
    <t>Eolink</t>
  </si>
  <si>
    <t>Developer of floating wind turbines designed to generate electricity. The company's turbines are based on profiled legs instead of a single mast that operates to carry the wind turbine for system optimization to provide a lighter and stiffer foundation, enabling clients to advance offshore wind energy by reducing the normalized cost of energy.</t>
  </si>
  <si>
    <t>Acciona Energía Internacional (MAD: ANE), UI Investissement</t>
  </si>
  <si>
    <t>climate tech company, floating wind turbine, generate electricity, green energy, intermittent renewable energy, wind, wind turbine, wind turbine system</t>
  </si>
  <si>
    <t>123313-78T</t>
  </si>
  <si>
    <t>Ermium Therapeutics</t>
  </si>
  <si>
    <t>Developer of a biotechnology platform designed for the treatment of autoimmune inflammatory diseases. The company's platform engages in the research and development of the G protein-coupled receptor which acts as a master regulator of inflammation via a novel mechanism of action, enabling physicians to effectively treat inflammatory diseases in patients.</t>
  </si>
  <si>
    <t>Domain Therapeutics(Pascal Neuville), Erganeo(Suat Tops), Eurazeo (PAR: RF), Fountain Healthcare Partners(Aidan King), Idinvest Partners, Kurma Partners(Thierry Laugel)</t>
  </si>
  <si>
    <t>autoimmune disease treatment, biotechnology platform, drug discovery firm, gpcr drug discovery, inflammatory disease, inflammatory disease care, inflammatory disease treatment, therapeutics company</t>
  </si>
  <si>
    <t>199620-73T</t>
  </si>
  <si>
    <t>Maxesport</t>
  </si>
  <si>
    <t>Internet Retail*, Specialty Retail</t>
  </si>
  <si>
    <t>Operator of an e-commerce platform intended for gaming and esports equipment. The company's platform sells various esports team merchandise products related to nutrition, beverages, peripheral devices, streaming, joysticks and consoles, enabling gamers with convenience and ease while shopping.</t>
  </si>
  <si>
    <t>Alexandre Bonetti(Alexandre Bonetti), Baptiste Hamel(Baptiste Hamel), Clement Thibault, Dan Madesclaire(Dan Madesclaire), Emmanuel Bour(Emmanuel Bour), Financière de l'Intendance, Jean Roquette(Jean Roquette), Jeremie Bordier(Jeremie Bordier), Mark Petetin(Mark Petetin), Mathiieu Péché Oly, Matthieu Peche(Matthieu Peche), Thierry Debarnot(Thierry Debarnot), Vincent Macé(Vincent Macé)</t>
  </si>
  <si>
    <t>esports products, esports sector, gaming access, gaming hardware, gaming product retailer, gaming products</t>
  </si>
  <si>
    <t>E-Commerce, Esports, Gaming</t>
  </si>
  <si>
    <t>Gazeran, France</t>
  </si>
  <si>
    <t>194340-88T</t>
  </si>
  <si>
    <t>Psycle Research</t>
  </si>
  <si>
    <t>Business/Productivity Software, IT Consulting and Outsourcing*, Machinery (B2B), Systems and Information Management</t>
  </si>
  <si>
    <t>Provider of artificial intelligence consulting services intended to empower manufacturers with their quality control. The company specializes in offering technical expertise and step-by-step support in the integration of AI in various industrial sectors such as aeronautics, waste management and plastics processing, enabling clients to automate processes for detecting production anomalies and defects.</t>
  </si>
  <si>
    <t>Bpifrance, Finovam Gestion, IRD Invest, Nord France Amorçage</t>
  </si>
  <si>
    <t>anomaly detection, automated processing, consulting services, industrial automation, machine building, quality control solution</t>
  </si>
  <si>
    <t>195078-88T</t>
  </si>
  <si>
    <t>Genario</t>
  </si>
  <si>
    <t>Application Software, Information Services (B2C), Software Development Applications*</t>
  </si>
  <si>
    <t>Developer of editing software designed to help writers in the creation of stories. The company's software utilizes artificial intelligence technology to offer a text editor, character sheets, analysis of themes, style, characters, and emotions, repetition detection, a dictionary of synonyms, enrichment of vocabulary, spell-checker and styling improvements, enabling writers to write and analyze their novel to facilitate their storytelling.</t>
  </si>
  <si>
    <t>FCPI CA Investissement, Finovam Gestion</t>
  </si>
  <si>
    <t>artificial intelligence technology, editing service, editing software, spelling checkers, text editor, text editor tools</t>
  </si>
  <si>
    <t>252368-02T</t>
  </si>
  <si>
    <t>Financiere Andimax, Jade Conseils, Larboretum, Paris Sciences ET Lettres (PSL)</t>
  </si>
  <si>
    <t>194920-48T</t>
  </si>
  <si>
    <t>Atlantique Vendée Innovation, Club Holnest, Demeter Partners, Holnest, Innovin</t>
  </si>
  <si>
    <t>194867-02T</t>
  </si>
  <si>
    <t>Dromy</t>
  </si>
  <si>
    <t>Application Software, Business/Productivity Software, Logistics*</t>
  </si>
  <si>
    <t>Operator of a logistics platform intended to provide ecological delivery services. The company's platform provides electric scooters, electric bikes, and ship-from-hub and ship-from-store services, enabling customers to get delivery services that limit carbon dioxide emissions.</t>
  </si>
  <si>
    <t>b2b logistics services, b2b transportation, ecological delivery service, last mile delivery, logistics platform, sustainable logistics</t>
  </si>
  <si>
    <t>LOHAS &amp; Wellness, Mobile, Mobility Tech, SaaS, Supply Chain Tech</t>
  </si>
  <si>
    <t>194727-88T</t>
  </si>
  <si>
    <t>jm!</t>
  </si>
  <si>
    <t>Other Consumer Non-Durables*, Other Pharmaceuticals and Biotechnology</t>
  </si>
  <si>
    <t>Producer of nutritional products intended to serve as an essential source of necessary nutrition for women. The company's products are nutritious, organic, and natural and arrive in the form of cereals that offer the necessary nutrition required by women during pregnancy and for breastfeeding, keeping their menstrual cycle on track, supporting lactation, and combatting post-childbirth fatigue, enabling women to feed themselves better, in the hustle and bustle of motherhood.</t>
  </si>
  <si>
    <t>Camélias(Christophe Cervasel), Notus Technologies(Geoffroy Roux de Bezieux), Wind Capital</t>
  </si>
  <si>
    <t>diet snacks, natural food market, nutritional feed, pregnancy care, pregnancy nutrition, women nutrition</t>
  </si>
  <si>
    <t>E-Commerce, FemTech, LOHAS &amp; Wellness</t>
  </si>
  <si>
    <t>194763-16T</t>
  </si>
  <si>
    <t>Lynx</t>
  </si>
  <si>
    <t>Manufacturer of virtual reality headsets designed for pass-through augmented reality scenarios for enterprise and entertainment applications. The company's headsets run on Android and have SDK built along with a unity plugin, offering remote assistance and teleoperation, enabling enterprises and consumers to run high-end immersive content.</t>
  </si>
  <si>
    <t>Somnium Space(Artur Sychov)</t>
  </si>
  <si>
    <t>augmented reality device, gaming access, gaming hardware, headset device, metaverse experience, mixed-reality visualization, remote assistance technology, virtual reality device</t>
  </si>
  <si>
    <t>Augmented Reality, Manufacturing, Virtual Reality</t>
  </si>
  <si>
    <t>199032-94T</t>
  </si>
  <si>
    <t>Moona</t>
  </si>
  <si>
    <t>Sleep Tech</t>
  </si>
  <si>
    <t>Developer of a cooling pillow pad system designed to improve sleep by regulating body temperature. The company's sleep system is water-based and brings cooling and heating smoothly and naturally made of just a thin membrane with water and memory foam, enabling users to fall asleep by decreasing the body temperature needed at the time of sleep.</t>
  </si>
  <si>
    <t>connected buildings, health device, sleep enhancer, sleep technology, sleeping device, sleeping pillow, smart home, smart sleep system</t>
  </si>
  <si>
    <t>Internet of Things, Mobile</t>
  </si>
  <si>
    <t>195420-70T</t>
  </si>
  <si>
    <t>Ouihelp</t>
  </si>
  <si>
    <t>Operator of a caregiver platform intended to assist seniors in their regular activities at home. The company's platform connects to a dedicated advisor, offers home care and related services for older people, and provides caregivers to take care of elderly people at home, enabling family members to go to work and other places without any worries.</t>
  </si>
  <si>
    <t>Creadev, Future Positive Capital, Siparex Group, XAnge</t>
  </si>
  <si>
    <t>caregivers connecting platform, caregivers finder, home services, managed care, residential assistance platform, senior care, senior citizen care</t>
  </si>
  <si>
    <t>194785-30T</t>
  </si>
  <si>
    <t>Mobee Travel</t>
  </si>
  <si>
    <t>Operator of a vacation booking platform designed to offer tourism services for handicapped people. The company's platform focuses on offering assistance regarding holiday services and booking verified hotels for people with disabilities as per their preference, enabling customers to plan their travel and tourism-related vacations in a simplified manner.</t>
  </si>
  <si>
    <t>Beaujolais Business, Bpifrance, Bruno Couly(Bruno Couly), Georges Sans(Georges Sans), Made For All</t>
  </si>
  <si>
    <t>holiday planning platform, hotel books, online hotel booking, tourism service, travel booking, vacation booking service</t>
  </si>
  <si>
    <t>Villefranche-sur-Saone, France</t>
  </si>
  <si>
    <t>194569-30T</t>
  </si>
  <si>
    <t>Allogenica</t>
  </si>
  <si>
    <t>Operator of a biotechnology company intended to offer drugs based on CAR-T cells. The company aims to develop treatments in the field of oncology based on a new field of research which is the CAR-T (Chimeric Antigenic Receptor-T) cells, enabling patients to fight cancer by relying on their immune system.</t>
  </si>
  <si>
    <t>33 Californie, Aloe Private Equity(Jean-Pascal Tranié), Health-angels Rhone-alpes(Jean Grumel)</t>
  </si>
  <si>
    <t>bioproduction technology, cancer research, cancer treatment, car-t cell, cellular immunotherapy treatment, hematopoietic stem cell gene therapy</t>
  </si>
  <si>
    <t>200596-60T</t>
  </si>
  <si>
    <t>Popsink</t>
  </si>
  <si>
    <t>Developer of data processing tools designed to automate decision-making. The company's software lets users connect without writing code, connect to existing resources using only configurations, transform data in real-time using a simple structured query language, and boost data teams with real-time extract, transform, and load tools, enabling developers to integrate with an existing toolbox to provide a unified continuous availability experience.</t>
  </si>
  <si>
    <t>Sequoia Arc, Sequoia Capital</t>
  </si>
  <si>
    <t>data processing tool, decision making tools, existing tools integration, operational automation, real time data, vertical application</t>
  </si>
  <si>
    <t>202598-47T</t>
  </si>
  <si>
    <t>Gameward</t>
  </si>
  <si>
    <t>Operator of an Esports agency intended to provide a training ecosystem for professional players. The company provides training, coaching, team building, and guidance from sports experts for players, enabling esports professionals to compete in international esports events.</t>
  </si>
  <si>
    <t>123 Investment Managers, Aonia Ventures</t>
  </si>
  <si>
    <t>esport team, esports club, esports gamers, esports sector, esports training, sports agency</t>
  </si>
  <si>
    <t>195449-86T</t>
  </si>
  <si>
    <t>HO KARAN</t>
  </si>
  <si>
    <t>Manufacturer of cannabis-based products intended to provide sustainable and environment-friendly cosmetics. The company's natural and vegan product line includes creams, oils, serums, soaps, and deodorants, developed using sativa cannabis and antioxidants, enabling men and women to buy organic natural skincare products with hemp oil.</t>
  </si>
  <si>
    <t>Eutopia, Sedona Invest</t>
  </si>
  <si>
    <t>beauty market, natural cosmetics, serum cream, skin lotion, skincare products, vegan cosmetics</t>
  </si>
  <si>
    <t>Beauty, Cannabis, LOHAS &amp; Wellness</t>
  </si>
  <si>
    <t>206147-26T</t>
  </si>
  <si>
    <t>X'ProChem</t>
  </si>
  <si>
    <t>Developer of a protein synthesis platform designed to produce therapeutic proteins with purity. The company platform offers automated molecular assembly technology for protein production, enabling pharmaceutical and biotechnology organizations to create customized, biologically active proteins with precise control and efficiency.</t>
  </si>
  <si>
    <t>Angels Santé, Ariane Group (PE), Arts et Métiers Business Angels, CliniSciences, IRD Invest, Nord Création, Nord France Amorçage(Guillaume Bruniaux)</t>
  </si>
  <si>
    <t>amino acids product, chemicals synthesis, protein biologics, protein production, protein production technology, protein synthesis</t>
  </si>
  <si>
    <t>195408-91T</t>
  </si>
  <si>
    <t>Drone Act</t>
  </si>
  <si>
    <t>Developer of remotely piloted aircraft technology designed to be used by aircraft professionals. The company's technology specializes in the design, manufacture, and prototyping of remotely piloted aircraft as well as provides remote piloting training services, thermoplastic additive manufacturing, and parts machining, enabling companies to meet their specific project needs.</t>
  </si>
  <si>
    <t>Credit Industriel et Commercial, Guillemot Brothers</t>
  </si>
  <si>
    <t>aircraft design, drone manufacturer, drones deployment solutions, drones design, drones development, drones technology, remote piloted aircraft</t>
  </si>
  <si>
    <t>Malestroit, France</t>
  </si>
  <si>
    <t>184423-78T</t>
  </si>
  <si>
    <t>Alexandre Lemarchand(Alexandre Lemarchand), Alven Capital Partners, Arnaud de Bermingham(Arnaud de Bermingham), Arthur Falls(Arthur Falls), Arthur Madrid(Arthur Madrid), Beth Turner(Beth Turner), BlueYard Capital, Ciarán O'Leary(Ciarán O'Leary), Frédéric Montagnon(Frédéric Montagnon), Jenna Zenk(Jenna Zenk), Jordane Giuly(Jordane Giuly), Kima Ventures(Alexis Robert), Kindi Capital, Manfred Touron(Manfred Touron), Nicolas Debock(Nicolas Debock), Nicolas Marchais(Nicolas Marchais), Philippe Honigman(Philippe Honigman), Reda Berrehili(Reda Berrehili), Sebastien Borget(Sebastien Borget), Sebastien Couture(Sebastien Couture), Shana Fisher(Shana Fisher), SV Angel, Thibaud Elziere(Thibaud Elziere), Yann Lechelle(Yann Lechelle)</t>
  </si>
  <si>
    <t>249916-87T</t>
  </si>
  <si>
    <t>Impact Track</t>
  </si>
  <si>
    <t>Business/Productivity Software, Environmental Services (B2B), Media and Information Services (B2B)*, Other Commercial Services</t>
  </si>
  <si>
    <t>Developer of an impact measurement and management platform designed for businesses and organizations. The company's platform enables clients to define impact indicators, trace links between activities and impacts, and collect data from stakeholders, providing clients with the ability to create an impact summary for sharing with partners and supporters.</t>
  </si>
  <si>
    <t>consulting services, impact management, impact strategy advice, investing impact, social entrepreneurship, social impact assessment, social impact measurement, social investment, social investment app, social measurement</t>
  </si>
  <si>
    <t>FinTech, Impact Investing, SaaS</t>
  </si>
  <si>
    <t>219303-64T</t>
  </si>
  <si>
    <t>Le Train</t>
  </si>
  <si>
    <t>Rail*</t>
  </si>
  <si>
    <t>Operator of a rail company to provide inter-regional rail travel. The company's services include frequent train services with massively improved journey times between France's dynamic metropolitan areas and offers a resolutely customer-focused approach and clear pricing, enabling passengers to have a sustainable mode of transport with a good experience.</t>
  </si>
  <si>
    <t>Credit Mutuel Arkea, Crédit Agricole Charente-Périgord</t>
  </si>
  <si>
    <t>rail company, rail travel, railroad system, railway line, train service, train services development</t>
  </si>
  <si>
    <t>Rail</t>
  </si>
  <si>
    <t>195746-14T</t>
  </si>
  <si>
    <t>Smart Global Governance</t>
  </si>
  <si>
    <t>Developer of privacy regulation software designed to provide a global method of compliance and maintenance. The company's platform allows finding all the complementary GDPR services that are required under possible conditions like consulting, training, security, insurance, and data intelligence, enabling organizations to assert their rights to privacy simply and effectively.</t>
  </si>
  <si>
    <t>LegaLib</t>
  </si>
  <si>
    <t>artificial intelligence analysis, artificial intelligence engine, compliance data, compliance solution, enterprise risk management, privacy technology, risk management model, risk mitigation</t>
  </si>
  <si>
    <t>Artificial Intelligence &amp; Machine Learning, Big Data, Cryptocurrency/Blockchain, SaaS</t>
  </si>
  <si>
    <t>194164-12T</t>
  </si>
  <si>
    <t>Club Employés</t>
  </si>
  <si>
    <t>Developer of an employee benefits platform designed to promote a corporate culture. The company's platform offers ticketing, subsidies, reimbursements, multi-brand e-gift vouchers, and business gifts for new-generation start-ups and multinationals, enabling companies to support their teams and promote the well-being of their employees.</t>
  </si>
  <si>
    <t>Bpifrance(Joséphine Marie), Ternel(Alexandre Joulié)</t>
  </si>
  <si>
    <t>business gifts, corporate benefits, employee benefit platform, employee management, employee retention platform, enterprise resource planning, erp, hr management, human capital management</t>
  </si>
  <si>
    <t>Sainte-Foy-lès-Lyon, France</t>
  </si>
  <si>
    <t>195558-04T</t>
  </si>
  <si>
    <t>Medoucine</t>
  </si>
  <si>
    <t>Developer of a medical reservation platform intended to bring together practitioners of alternative medicine and patients. The company's platform offers a network of caregivers in various fields such as osteopathy, naturopathy, sophrology, shiatsu, and yoga, enabling patients to get relief from stress, tiredness, backaches, migraines, eczema, and other ailments.</t>
  </si>
  <si>
    <t>Bruno Bouygues, GVR Group</t>
  </si>
  <si>
    <t>alternative medicine, alternative medicine practice, healthcare discovery platform, medical reservation, natural medicine, traditional chinese medicine</t>
  </si>
  <si>
    <t>Faremoutiers, France</t>
  </si>
  <si>
    <t>204738-94T</t>
  </si>
  <si>
    <t>Ellipse (Media and Information Services)</t>
  </si>
  <si>
    <t>Operator of a communications and public relations firm based in Paris, France. The company offers a wide range of services including strategy, corporate and digital communications, public relations, and event management, enabling brands to turn their communications into development accelerators and expand to new audiences.</t>
  </si>
  <si>
    <t>communications services, corporate presentation, digital communication, events strategy, marketing strategy, pr services, public relationship, video content production</t>
  </si>
  <si>
    <t>194128-30T</t>
  </si>
  <si>
    <t>Gridky</t>
  </si>
  <si>
    <t>Business/Productivity Software, Other Commercial Services, Other Financial Services, Real Estate Services (B2C)*</t>
  </si>
  <si>
    <t>Operator of a real estate rating platform intended to explore investment opportunities. The company's platform uses big data analysis of local real estate markets and innovative big data scoring, enabling wealth management advisors, agents, and brokers to sell the best new real estate as simply as possible and analyze the property's location.</t>
  </si>
  <si>
    <t>Vilavi(David Guyonnet)</t>
  </si>
  <si>
    <t>analytics model, investment opportunities information, property search platform, property technology, real estate tech platform, real estate tools, vertical application</t>
  </si>
  <si>
    <t>Big Data, Real Estate Technology</t>
  </si>
  <si>
    <t>194522-23T</t>
  </si>
  <si>
    <t>LeHibou</t>
  </si>
  <si>
    <t>Consulting Services (B2B), Human Capital Services*, IT Consulting and Outsourcing</t>
  </si>
  <si>
    <t>Developer of an information technology consultant recruitment platform designed to provide aid in freelancing projects. The company's platform uses artificial intelligence and big data algorithms to select freelancers with matching skill sets and analyze their reviews and ratings, enabling companies to hire the required talent for their projects.</t>
  </si>
  <si>
    <t>Ring Capital(Marie-Capucine Lemetais)</t>
  </si>
  <si>
    <t>business intelligence, enterprise resource planning, erp, freelancers network, human capital management, it consultant, it service delivery, it services, mission monitoring, vertical application</t>
  </si>
  <si>
    <t>Big Data, HR Tech</t>
  </si>
  <si>
    <t>195743-53T</t>
  </si>
  <si>
    <t>Skapánê</t>
  </si>
  <si>
    <t>Provider of process automation services intended to integrate functional bricks for automated processing of files, lad or rad, and fraud modules. The company's services are based on big data and machine learning that are implemented by using cloud-based applications for fraud detection, automation of processing chains, automatic classification of messages, and preventive maintenance, enabling clients to maximize the efficiency of the teams with big data and artificial intelligence.</t>
  </si>
  <si>
    <t>Finorpa, IRD Invest, Nord Création</t>
  </si>
  <si>
    <t>ai automation platform, analytics &amp; business intelligence, analytics and business intelligence, analytics platform, automated processing, automated processing system, automation services, cloud-based application, fraud detection, fraud prevention, identity &amp; access management, identity and access management, machine learning technology</t>
  </si>
  <si>
    <t>Artificial Intelligence &amp; Machine Learning, Big Data, Cybersecurity, SaaS, TMT</t>
  </si>
  <si>
    <t>180298-00T</t>
  </si>
  <si>
    <t>219542-59T</t>
  </si>
  <si>
    <t>Coverd</t>
  </si>
  <si>
    <t>Provider of mobile insurance services intended to insure new, used, and reconditioned devices. The company's services cover smartphone accidents including broken screens, broken backside, and oxidation, and provide repair and replacement services depending on the device's condition, enabling clients to have configuration help, remote diagnosis, and guaranteed assistance for their device.</t>
  </si>
  <si>
    <t>insurance, insurance assistance, insurance service, mobile repair, protective accessories, smartphone insurance, smartphone protection</t>
  </si>
  <si>
    <t>La Celle-Saint-Cloud, France</t>
  </si>
  <si>
    <t>194065-03T</t>
  </si>
  <si>
    <t>EkWateur</t>
  </si>
  <si>
    <t>Application Software, Electric Utilities, Gas Utilities, Multi-Utilities*</t>
  </si>
  <si>
    <t>Supplier of green energy intended to provide users with green electricity, gas, and firewood. The company's platform offers green electricity, gas, and wood for homes or businesses to switch to more transparent, more environmentally friendly, and more digital energy in just a few clicks, enabling clients to accelerate the energy transition by boosting demand for cleaner energy to encourage large producers to replace fossil fuels.</t>
  </si>
  <si>
    <t>Ansonia Holdings Singapore, Quantum Pacific</t>
  </si>
  <si>
    <t>alternative energy, clean fuel, energy saving service, renewable electricity, renewable energy, renewable energy services, renewable natural gas</t>
  </si>
  <si>
    <t>Multi-Utilities</t>
  </si>
  <si>
    <t>194068-81T</t>
  </si>
  <si>
    <t>Finalcad</t>
  </si>
  <si>
    <t>Application Software, Business/Productivity Software*, Construction and Engineering</t>
  </si>
  <si>
    <t>Developer of a construction project management platform designed to optimize the field experience for workers. The company's platform adapts to on-site constraints, project contingencies, changing contexts, and specialties during the design, performance, reception, delivery, operation, and maintenance phases as well as manages projects autonomously from their design through to key performance indicator analysis, enabling contractors, architects, and owners perform in synchronicity, build quality projects, and manage risk through technology providing progress reports, defect management, quality controls and analytics.</t>
  </si>
  <si>
    <t>Aster Capital(Jean-Marc Bally), Automatic Data Processing (NAS: ADP), CapHorn Invest(Romain Vidal), Cathay Capital Private Equity, Cathay Innovation, Molten Ventures (LON: GROW), NewAlpha Asset Management, Serena (Paris)(Philippe Hayat)</t>
  </si>
  <si>
    <t>architecture software, construction analytics, construction project support, construction software, construction technology, kms, knowledge management system, mobile construction application, predictive analytics, project management tool</t>
  </si>
  <si>
    <t>Construction Technology, Mobile, SaaS</t>
  </si>
  <si>
    <t>194064-58T</t>
  </si>
  <si>
    <t>Sylfen</t>
  </si>
  <si>
    <t>Business/Productivity Software, Energy Storage*</t>
  </si>
  <si>
    <t>Developer of energy storage and production systems designed to make buildings autonomous in terms of energy. The company's energy storage and production systems use a reversible electrolyzer and fuel cell for the storage of solar energy in hydrogen form as well as the production of energy from methane, enabling building owners to store and consume the energy as per demand and reduce electricity costs.</t>
  </si>
  <si>
    <t>Amundi (PAR: AMUN), CEA Investissement, Crédit Agricole Sud Rhône-Alpes (PAR: CRSU), DealbyDeal Invest, EIT InnoEnergy, Groupe IDEC, IDEC (TKS: 6652), Supernova Invest(Marine Glon)</t>
  </si>
  <si>
    <t>clean fuel, cogeneration, energy storage system, fuel cell, hydrogen, methane energy, solar energy storage</t>
  </si>
  <si>
    <t>Le Cheylas, France</t>
  </si>
  <si>
    <t>195165-19T</t>
  </si>
  <si>
    <t>Galia Gestion</t>
  </si>
  <si>
    <t>204497-92T</t>
  </si>
  <si>
    <t>Laou</t>
  </si>
  <si>
    <t>Information Services (B2C)*, Social/Platform Software</t>
  </si>
  <si>
    <t>Operator of a personalized platform intended to help with the geographic mobility project. The company accompanies talents to leave the metropolises towards a better living environment, providing users with articles to find the bars, bistros, restaurants, festivals, and nightlife in the city.</t>
  </si>
  <si>
    <t>AQUITI Gestion, Limousin Business Angels, Nouvelle Aquitaine Co-Investissement</t>
  </si>
  <si>
    <t>accommodation app, accommodation search, discover venue, living environments, personalized support, professional project</t>
  </si>
  <si>
    <t>196868-44T</t>
  </si>
  <si>
    <t>Crédit Agricole Alpes Développement, Medevice Capital</t>
  </si>
  <si>
    <t>193931-56T</t>
  </si>
  <si>
    <t>Therapixel</t>
  </si>
  <si>
    <t>Developer of a medical imaging technology intended to deliver patient information at the right time to healthcare professionals. The company's technology relies on in-depth sensing, research algorithms, and user interfaces to provide touchless information systems that comply with sterility constraints, enabling surgeons to access medical images, acquired before or during surgery, to make decisions on the patient's health.</t>
  </si>
  <si>
    <t>CapHorn Invest(François Santi), Crédit Mutuel Innovation(Jerome Feraud), IT-Translation, M Capital Partners, Moondust Ventures, Myrtus Venture, Omnes Capital, Région Sud Investissement, Sham Innovation Santé, Turenne Groupe, Verve Equity Partners, Verve Ventures</t>
  </si>
  <si>
    <t>breast cancer imaging, breast cancer screening, imaging technology, medical image analysis, medical imaging, patient information</t>
  </si>
  <si>
    <t>195200-65T</t>
  </si>
  <si>
    <t>Bioxis Pharmaceuticals</t>
  </si>
  <si>
    <t>Medical Supplies*, Other Devices and Supplies</t>
  </si>
  <si>
    <t>Developer of tissular inductors intended for aesthetic dermatology and regenerative medicine. The company's product is based on a proprietary chitosan matrix that regenerates new tissues and collagen, enabling dermatologists and plastic surgeons to enhance facial contours for patients who want non-surgical aesthetic improvements.</t>
  </si>
  <si>
    <t>Juvamed</t>
  </si>
  <si>
    <t>dermal fillers, dermatology product, polymer matrix fiber, regenerative medicine, tissue augmentation, tissue repair</t>
  </si>
  <si>
    <t>Medical Supplies</t>
  </si>
  <si>
    <t>195564-25T</t>
  </si>
  <si>
    <t>Mobility Work</t>
  </si>
  <si>
    <t>Developer of a maintenance management platform designed to build the online maintenance community. The company's intuitive, mobile, and community-based platform helps to create a profile to exchange practices, expertise, contacts, spare parts, or consumables, enabling managers, technicians, intervention requesters, service providers, and suppliers to improve the management of interventions and maintenance budgets in a convenient, hassle-free, and effective manner.</t>
  </si>
  <si>
    <t>Farinia Group, Saint-Gobain NOVA(Claude-Sebastien Lerbourg)</t>
  </si>
  <si>
    <t>budget management platform, cmms software, equipment maintenance, maintenance management platform, maintenance professional, product catalogue</t>
  </si>
  <si>
    <t>204839-38T</t>
  </si>
  <si>
    <t>Groupe IDEC, Trinity Capital (NAS: TRIN)</t>
  </si>
  <si>
    <t>193738-33T</t>
  </si>
  <si>
    <t>Domain Therapeutics</t>
  </si>
  <si>
    <t>Developer of medical therapeutics intended for the treatment of central nervous system (CNS) diseases and cancer. The company's biopharmaceutical process is dedicated to the discovery and early development of new drug candidates targeting transmembrane receptors, in particular G protein-coupled receptors (GPCRs), enabling healthcare providers with innovative therapeutics that aid in the treatment of cancer.</t>
  </si>
  <si>
    <t>3B Future Health Fund(Roberto Ponti), 50 North Ventures, adMare Bioinnovations, CTI Life Sciences Fund(Laurence Rulleau), Omnes Capital, Panacea Venture(James Huang), Schroders Capital, Seventure Partners(Emmanuel Fiessinger), Turenne Groupe, Viva BioInnovator</t>
  </si>
  <si>
    <t>biopharmaceutical company, biopharmaceutical firm, g-coupled protein, medical therapeutic, pharmaceutical manufacturing, protein receptor</t>
  </si>
  <si>
    <t>Illkirch, France</t>
  </si>
  <si>
    <t>193722-31T</t>
  </si>
  <si>
    <t>AQUITI Gestion, Financiere Arbevel(Louis Geslin), Galia Gestion, Kurma Partners(Jean-François Rivassou), Nouvelle Aquitaine Co-Investissement, Sham Innovation Santé(Bervin Bouani), Turenne Groupe(Bervin Bouani)</t>
  </si>
  <si>
    <t>195471-28T</t>
  </si>
  <si>
    <t>Infolegale</t>
  </si>
  <si>
    <t>Developer of risk and compliance management software designed to assess, and control risks related to solvency, fraud, and reputation. The company's platform offers customer risk management, anticipating failures and company solvency, and offering e-mail alerts that monitor client populations, prospects, suppliers, and competitors, enabling clients to get real-time, accurate, and reliable business insight and information management systems.</t>
  </si>
  <si>
    <t>NextStage AM(Julien Potier)</t>
  </si>
  <si>
    <t>business continuity, business finances software, business risk management, compliance management software, credit risk management, predictive risk analysis, risk assessment software</t>
  </si>
  <si>
    <t>193709-26T</t>
  </si>
  <si>
    <t>Mon Chasseur Immo</t>
  </si>
  <si>
    <t>Developer of a property search platform designed to track new real estate projects. The company's platform offers expatriate real estate professionals dedicated to purchasing projects by organizing visits and assisting in price negotiations and financing, enabling users to communicate directly with the property owner, make suitable offers, and agree to a deal through a transparent process on a single platform.</t>
  </si>
  <si>
    <t>Galia Gestion, IRDI Capital Investissement, iXO Private Equity</t>
  </si>
  <si>
    <t>online real estate, property finder, property investment, property search portal, real estate investment, real estate search, real estate services, rental investment, rental property, residential purchases</t>
  </si>
  <si>
    <t>201660-76T</t>
  </si>
  <si>
    <t>Phynix</t>
  </si>
  <si>
    <t>Provider of green hydrogen equipment intended for the development, construction, and commercial operation of mobility and transportation. The company facilitates the decarbonization of transport and green hydrogen resolutions for the logistics sector, enabling businesses to migrate naturally to replace fossil fuels.</t>
  </si>
  <si>
    <t>EIT InnoEnergy, Groupe IDEC</t>
  </si>
  <si>
    <t>commercial operation, decarbonization technology, green hydrogen, green hydrogen energy, logistics sector, renewable resource</t>
  </si>
  <si>
    <t>193723-30T</t>
  </si>
  <si>
    <t>Sencrop</t>
  </si>
  <si>
    <t>Business/Productivity Software, Electronic Equipment and Instruments, Media and Information Services (B2B)*, Other Agriculture</t>
  </si>
  <si>
    <t>Developer of a weather technology software designed for real-time farm monitoring. The company's integrated sensor network, software systems and in-field sensors collect data on various farm parameters such as soil humidity and temperature among others, enabling farmers to make farming decisions concerning pesticides, seeding and irrigation while also saving field time by leveraging forecasts.</t>
  </si>
  <si>
    <t>Bpifrance, Demeter Partners(Eric Marty), EIT Food, IRD Invest, IRD Management, Jerusalem Venture Partners(Alexandre Dahan), NCI Gestion, Telos Impact</t>
  </si>
  <si>
    <t>agriculture technology, agtech platform, agtech startup, connected agriculture, farming data, farming technology, field iot, industrial iot, precision ag, precision agriculture, weather technology</t>
  </si>
  <si>
    <t>Advanced Manufacturing, AgTech, Internet of Things, Mobile, Supply Chain Tech</t>
  </si>
  <si>
    <t>232318-09T</t>
  </si>
  <si>
    <t>193765-78T</t>
  </si>
  <si>
    <t>StromaCare</t>
  </si>
  <si>
    <t>Biotechnology, Drug Discovery*, Other Healthcare Technology Systems</t>
  </si>
  <si>
    <t>Developer of therapeutic biotechnology designed to develop cancer immunotherapy through stroma modulation. The company specializes in the development of compounds from translational research to proof of concept in humans, which represents its specific know-how and area of expertise, enabling the healthcare industry to accelerate treatment efficiently.</t>
  </si>
  <si>
    <t>Crédit Agricole Création, Kreaxi(Isabelle Bou Antoun), Sham Innovation Santé, Turenne Groupe, UI Investissement</t>
  </si>
  <si>
    <t>anticancer drug, cancer drug maker, cancer drug research, immune system health, immune system research, tumor cure</t>
  </si>
  <si>
    <t>HealthTech, LOHAS &amp; Wellness, Oncology</t>
  </si>
  <si>
    <t>193702-51T</t>
  </si>
  <si>
    <t>Yespark</t>
  </si>
  <si>
    <t>Application Software, Business/Productivity Software, Information Services (B2C), Other Services (B2C Non-Financial)*</t>
  </si>
  <si>
    <t>Developer of a rental car parking service platform designed to find a private parking lot for cars. The company's platform connects individuals looking for parking lots with information about private parking spaces and offers monthly subscriptions, enabling car owners to instantly rent a parking space and access it with a smartphone using the digital remote control.</t>
  </si>
  <si>
    <t>Banque des Territoires, Founders Future, Groupe CDC Habitat, NEoT Capital, Ring Capital(Pierre-Alexis de Vauplane), Sofiouest, Wilco(Paris)</t>
  </si>
  <si>
    <t>car park service, car parking assistance, car parking information, car parking network, car parking platform, car parking space</t>
  </si>
  <si>
    <t>193634-65T</t>
  </si>
  <si>
    <t>Caption</t>
  </si>
  <si>
    <t>Financial Software*, Other Capital Markets/Institutions</t>
  </si>
  <si>
    <t>Developer of a start-up share exchange platform designed to offer liquidity in startup investments. The company's platform provides a private and secure secondary market for shareholders of firms to sell their shares to investors that are qualified by specific startup founders adhering to principles similar to the listed market, enabling employees to exercise their stock option and materialize their added value.</t>
  </si>
  <si>
    <t>alternative investment, exchange marketplace, exchange platform, private equity, secondary market, startup funding, stock options</t>
  </si>
  <si>
    <t>193560-04T</t>
  </si>
  <si>
    <t>115K, Adrien Montfort, LBPAM, Snaw Ventures, YADAY(Romain Afflelou)</t>
  </si>
  <si>
    <t>241343-65T</t>
  </si>
  <si>
    <t>Cometh consulting</t>
  </si>
  <si>
    <t>Operator of a consultation platform intended to provide expert advice on strategic, organizational, compliance, and technology to customers. The company offers a wide range of services including business risk management, optimization of financial processes, purchasing strategy and performance, and data management, enabling businesses to energize and bring to fruition their projects.</t>
  </si>
  <si>
    <t>White Star Capital</t>
  </si>
  <si>
    <t>business performance management, compliance data, consultation platform, control and risk, data management, project management</t>
  </si>
  <si>
    <t>193607-02T</t>
  </si>
  <si>
    <t>Zozio</t>
  </si>
  <si>
    <t>Developer of a digital companion designed for industrial operators based on AI algorithms. The company's platform intends to change the way people work in the factory by creating Factory 4.0 and collecting, visualizing, and analyzing field data in real-time within the industrial site and outside making the factory more efficient, improving the working conditions of the operators and minimizing the waste of resources, enabling supply chain of manufacturers to enhance their competitiveness in an international scale.</t>
  </si>
  <si>
    <t>Capricorn Partners(Steven Lambert), Industrya(Thibaud Le Séguillon), The Faktory(Nicolas Biet)</t>
  </si>
  <si>
    <t>ai algorithm, artificial intelligence, artificial intelligence based, artificial intelligence system, digital companion device, digital companion platform, industrial operators</t>
  </si>
  <si>
    <t>193413-07T</t>
  </si>
  <si>
    <t>Series E</t>
  </si>
  <si>
    <t>Agnelli Family, AirAngels, Aonia Ventures, Coatue Management(Philippe Laffont), Dragoneer Investment Group, EXOR Seeds, Index Ventures(Jan Hammer), Lakestar, Motier Ventures, Ontario Teachers' Pension Plan(Ara Yeromian), Origins Fund, Ribbit Capital, Teachers' Venture Growth(Ara Yeromian), Teampact Ventures, Temasek Holdings, Thematic Capital Partners</t>
  </si>
  <si>
    <t>195779-08T</t>
  </si>
  <si>
    <t>Axelor</t>
  </si>
  <si>
    <t>Developer of enterprise resource planning software designed to create process-oriented business applications or customize integrated applications. The company's software boosts collaborative work with social networks built-in to provide stock management or manufacturing functionalities, enabling clients to modify business applications in real time without any custom development.</t>
  </si>
  <si>
    <t>contact management, enterprise resource planning, open source tool, process automation, project management, stock management</t>
  </si>
  <si>
    <t>195339-61T</t>
  </si>
  <si>
    <t>Faraday Venture Partners(François-Xavier Fanard), santelys(Frédéric Chaussade)</t>
  </si>
  <si>
    <t>193501-81T</t>
  </si>
  <si>
    <t>201824-20T</t>
  </si>
  <si>
    <t>193508-65T</t>
  </si>
  <si>
    <t>Cocoon-Immo</t>
  </si>
  <si>
    <t>Developer of an online marketing platform designed for real estate professionals. The company's platform offers features for social media management, content creation, and automated lead nurturing, enabling real estate agents and agencies to improve their online presence, attract new clients, and streamline their marketing efforts.</t>
  </si>
  <si>
    <t>Acheter-Louer Fr (PAR: ALALO)</t>
  </si>
  <si>
    <t>campaign optimization, content creation, content marketing, engagement tracking, marketing platform, real estate platform, social media management</t>
  </si>
  <si>
    <t>194706-55T</t>
  </si>
  <si>
    <t>EasyPicky</t>
  </si>
  <si>
    <t>Business/Productivity Software*, IT Consulting and Outsourcing, Multimedia and Design Software</t>
  </si>
  <si>
    <t>Developer of an instant image recognition technology designed to accelerate, facilitate, and enhance planogram checks from any embedded system without an internet connection. The company's image recognition technology can be deployed on any embedded system and used everywhere without a connection, enabling brands to control, organize, and optimize the presence and visibility of their products in stores at all times.</t>
  </si>
  <si>
    <t>Frederic Halley(Frederic Halley), Invest PME, IRDI Capital Investissement, Spring Invest</t>
  </si>
  <si>
    <t>embedded system, image recognition, image recognition technology, linear reading, linear statements, planogram checking</t>
  </si>
  <si>
    <t>209285-74T</t>
  </si>
  <si>
    <t>Leet Design</t>
  </si>
  <si>
    <t>Developer of a fully equipped working furniture designed to create an immersive working experience for employees. The company's working furniture has an inbuilt resting chair with padded seats, lateral shells, electrically supported technical backroom, universal serial bus ports, elbow supports, magnetic support table, and working space with integrated webcams and microphones, enabling employees to concentrate and work in immersive environments without getting disturbed by external noises at shared public spaces and offices.</t>
  </si>
  <si>
    <t>JEREMIE Auvergne</t>
  </si>
  <si>
    <t>furniture design service, modern furniture, modern workspace, office pods, smart office chairs, work chairs</t>
  </si>
  <si>
    <t>193517-92T</t>
  </si>
  <si>
    <t>Maskott</t>
  </si>
  <si>
    <t>Operator of education platforms intended to improve and facilitate lifelong learning. The company's tool develops multimedia content, videos, two-dimensional and three-dimensional animations as well as applications, such as class management software, enabling students to advance in their careers.</t>
  </si>
  <si>
    <t>Arkéa Capital, Banque des Territoires, Banque Populaire, BNP Paribas (PAR: BNP), Credit Mutuel Arkea, Jérôme Pascal(Jérôme Pascal), UI Investissement</t>
  </si>
  <si>
    <t>education platform, interactive education sessions, interactive multimedia software, learning tool, training tools, video lectures</t>
  </si>
  <si>
    <t>Le Puy en Velay, France</t>
  </si>
  <si>
    <t>210965-41T</t>
  </si>
  <si>
    <t>179901-37T</t>
  </si>
  <si>
    <t>Series H</t>
  </si>
  <si>
    <t>Foris Ventures, Rincon Venture Partners</t>
  </si>
  <si>
    <t>195859-27T</t>
  </si>
  <si>
    <t>Augusta (France), Metaplanet Holdings, Protocol Labs, Reverb Capital, VSquared Ventures(Herbert Mangesius)</t>
  </si>
  <si>
    <t>197089-57T</t>
  </si>
  <si>
    <t>Comerso</t>
  </si>
  <si>
    <t>Operator of a food management platform designed to offer surplus food delivery services. The company's platform help supermarkets deliver food surpluses and unsold commodities to non-profit associations and food aid organizations, enabling organizations to reduce and value their unsold products.</t>
  </si>
  <si>
    <t>Aquitaine-Creation-Innovation, Impact Partners (Paris)</t>
  </si>
  <si>
    <t>food management platform, food waste control, food waste reducer, social business, surplus food delivery, unsold food management, waste food restoration</t>
  </si>
  <si>
    <t>FoodTech, Industrials</t>
  </si>
  <si>
    <t>193842-64T</t>
  </si>
  <si>
    <t>Norman Emballages</t>
  </si>
  <si>
    <t>Wood Containers and Packaging*</t>
  </si>
  <si>
    <t>Operator of a wooden packaging company intended for the preservation of the products contained. The company offers wooden crates, round baskets, wooden boxes, trays, and other wooden containers for storing various goods for business purposes, enabling clients to keep their fruits and vegetables fresh and safe from external harm.</t>
  </si>
  <si>
    <t>baskets manufacturer, container maker, gift baskets, wooden packaging boxes, wooden packaging containers, wooden trays</t>
  </si>
  <si>
    <t>Wood Containers and Packaging</t>
  </si>
  <si>
    <t>Dinan, France</t>
  </si>
  <si>
    <t>209715-31T</t>
  </si>
  <si>
    <t>Shipfix</t>
  </si>
  <si>
    <t>Developer of a data and community platform designed to drive chartering and operational efficiency in the maritime industry. The company's platform empowers teams to share offers, leads, contacts, and ongoing business opportunities across the team, enabling businesses to save entire workdays by structuring their daily email overload into a compelling, comprehensible, fast, and searchable market overview with freemium products.</t>
  </si>
  <si>
    <t>Aldea Ventures, Breega, Super Capital, YADAY</t>
  </si>
  <si>
    <t>big data specialist, commodities aggregation, commodities database, community platform, enterprise resource planning, erp, maritime intelligence platform, market monitor, purpose built messenger, ship charter, ship database</t>
  </si>
  <si>
    <t>187477-12T</t>
  </si>
  <si>
    <t>Bpifrance(Pierre-Alain Truan), Daphni, European Regional Development Fund (Brandenburg), Karot Capital(Charles-Antoine Morand), Majycc Esante Invest(Pauline de Breteuil)</t>
  </si>
  <si>
    <t>266314-78T</t>
  </si>
  <si>
    <t>CitizenPlane</t>
  </si>
  <si>
    <t>Air, Business/Productivity Software*, Information Services (B2C), Other Services (B2C Non-Financial)</t>
  </si>
  <si>
    <t>Operator of an online platform intended to help airlines, tour operators, and air charter brokers to resell their leftover seats online. The company's platform assists any aviation company to upload and sell vacated seats to travel agencies and meta searches, enabling customers to book last-minute tickets.</t>
  </si>
  <si>
    <t>Notus Technologies</t>
  </si>
  <si>
    <t>aviation tools, flight booking, flight tickets booking, tour operator platform, travel agency platform, travel marketing</t>
  </si>
  <si>
    <t>193674-25T</t>
  </si>
  <si>
    <t>AV8 Ventures(Baris Aksoy)</t>
  </si>
  <si>
    <t>193650-04T</t>
  </si>
  <si>
    <t>Esports Virtual Arenas</t>
  </si>
  <si>
    <t>Entertainment Software, Leisure Facilities*, Other Hardware</t>
  </si>
  <si>
    <t>Developer of virtual reality sports games designed for arcades and entertainment venues. The company offers virtual reality equipment, unique games developed by the studio, software, and equipment support as well as an online booking and payment system, enabling arcades and other entertainment venues to streamline opening a virtual reality sports arena.</t>
  </si>
  <si>
    <t>Apicap(Matthieu Dallon), Bpifrance(Joséphine Marie), LO Capital</t>
  </si>
  <si>
    <t>esports arena, play space, team building, video game, virtual reality sports, vr entertainment content</t>
  </si>
  <si>
    <t>193337-29T</t>
  </si>
  <si>
    <t>Franklin</t>
  </si>
  <si>
    <t>Producer of grain-free food for dogs and cats intended to make them well-fed. The company's kibbles, croquettes, and food supplements are rich in protein, low in carbohydrates, and rich in meat to meet specific needs, enabling customers to get the right amount of proteins and have a balanced diet for their pets.</t>
  </si>
  <si>
    <t>High Flyers Capital, Very (France)</t>
  </si>
  <si>
    <t>balanced diet, cat food product, dog food product, nutritional supplements, pet food meal, pet supplements</t>
  </si>
  <si>
    <t>197025-67T</t>
  </si>
  <si>
    <t>Kaiko</t>
  </si>
  <si>
    <t>Financial Software*, Media and Information Services (B2B)</t>
  </si>
  <si>
    <t>Provider of cryptocurrency market data, analytics, and indices, offering businesses institutional-grade, regulatory-compliant solutions. The company collects, normalizes, stores, and distributes digital assets data via a live stream WebSocket, and cloud-based data feed, to which market participants can connect to build data-driven applications, enabling crypto-native and financial institutions to focus on their core business.</t>
  </si>
  <si>
    <t>Alven Capital Partners(Bartosz Jakubowski), Anthemis(Sean Park), Consensys Mesh, Eight Roads(Alston Zecha), Point Nine Capital(Pawel Chudzinski), Revaia(Elina Berrebi), Underscore VC(Richard Dulude)</t>
  </si>
  <si>
    <t>cryptocurrency data, cryptocurrency market analysis, data &amp; analytics, data analytics, data and analytics, digital asset, market data services, research and analysis, smart data</t>
  </si>
  <si>
    <t>Cryptocurrency/Blockchain, FinTech, SaaS, TMT</t>
  </si>
  <si>
    <t>207555-40T</t>
  </si>
  <si>
    <t>Olive Capital, Purple (Paris), Start Capital(Paolo Rubatto)</t>
  </si>
  <si>
    <t>199291-42T</t>
  </si>
  <si>
    <t>Alven Capital Partners, Alvento Capital Partners, Andreessen Horowitz, AngelDAO, Atka, Bpifrance, Cherry Ventures, Coinbase Ventures, Cryptoast, Daedalus Angels, Daphni, Faculty Group, Fasanara Capital, Frédéric Montagnon(Frédéric Montagnon), Global Coin Research, GSR, Jin Kang(Jin Kang), Mechanism Capital, Nascent, Nicolas Bacca(Nicolas Bacca), Nima Capital, Project A Ventures, Re7 Capital, Semantic Ventures, SpaceShip Dao, Spark Capital, Stake Capital, Standard Crypto, Variant (Brooklyn)(Spencer Noon), XAnge</t>
  </si>
  <si>
    <t>194342-50T</t>
  </si>
  <si>
    <t>Oscare</t>
  </si>
  <si>
    <t>Developer of a digital service platform designed for the coordination of care pathways. The company's platform provides an interface with the history of appointments, administrative data, and real-time monitoring of the progress of patients, along with a single-click patient registration, enabling healthcare providers to limit their administrative costs by automating the planning of appointments.</t>
  </si>
  <si>
    <t>care pathway management, care pathways, digital service platform, healthcare administration, healthcare technology firm, patient registration software</t>
  </si>
  <si>
    <t>Digital Health, HealthTech, SaaS</t>
  </si>
  <si>
    <t>253511-74T</t>
  </si>
  <si>
    <t>Pasqual</t>
  </si>
  <si>
    <t>Education and Training Services (B2B), Other Healthcare Services*</t>
  </si>
  <si>
    <t>Provider of medico-social technical and scientific services intended to serve medical professionals in the PACA-Sud region and Corsica. The company offers a regional support structure for the quality of care and patient safety, helping clients with methodological support for the reporting and analysis of serious adverse events.</t>
  </si>
  <si>
    <t>care hospital, health professionals, patient safety, reporting and analysis, risk management, training guide</t>
  </si>
  <si>
    <t>Hyères, France</t>
  </si>
  <si>
    <t>195263-56T</t>
  </si>
  <si>
    <t>Bpifrance, Calhl Capital Innovation, Kreaxi(Pierre-Antoine Cognard), Région Auvergne-Rhône-Alpes, UI Investissement(Loïc Lucel)</t>
  </si>
  <si>
    <t>193767-58T</t>
  </si>
  <si>
    <t>Quick-Off</t>
  </si>
  <si>
    <t>Developer of a volunteer management software designed for the optimal management of volunteer teams. The company's software provides solutions for staff management, accreditation system and access control, transport and accommodation management, ticketing, and management of VIPs and specific populations, enabling clients to facilitate the organization by managing volunteers and staff for all events.</t>
  </si>
  <si>
    <t>Crédit Agricole Nord de France (PAR: CNDF), KNS Group (Other Commercial Services), Kreaxi, UI Investissement</t>
  </si>
  <si>
    <t>event management, events hiring, management software, staff management, volunteering management, volunteering software</t>
  </si>
  <si>
    <t>Monistrol-sur-Loire, France</t>
  </si>
  <si>
    <t>242916-13T</t>
  </si>
  <si>
    <t>Toporder</t>
  </si>
  <si>
    <t>Business/Productivity Software*, Database Software, Other Hardware</t>
  </si>
  <si>
    <t>Developer of a store management software designed to connect business activities. The company's platform provides a checkout system for streamlined collections, an accessible interface, communication tools to increase customer portfolio and an online reports facility, enabling business owners to manage business functions in a structured format.</t>
  </si>
  <si>
    <t>Foodara</t>
  </si>
  <si>
    <t>business productivity platform, business tools platform, inventory management system, online cash register, ordering tracking system, productivity platform, retailer app</t>
  </si>
  <si>
    <t>Ecully, France</t>
  </si>
  <si>
    <t>193221-01T</t>
  </si>
  <si>
    <t>Unifai (Europe)</t>
  </si>
  <si>
    <t>Developer of a data collection and sharing platform designed to automatically normalize, enrich and categorize product data. The company's platform permits customers to migrate and unify data faster and maintain a healthy scalable architecture to complete its digital transformation, enabling businesses to save time while migrating data.</t>
  </si>
  <si>
    <t>ai automation platform, data collection software, data collection system, data collection tool, data migration software, data sharing platform, data sharing software, data silos, database unification, digital transformation</t>
  </si>
  <si>
    <t>193227-49T</t>
  </si>
  <si>
    <t>AFI Ventures (Paris), High Flyers Capital, Ventech (Paris)</t>
  </si>
  <si>
    <t>202999-69T</t>
  </si>
  <si>
    <t>Têtu</t>
  </si>
  <si>
    <t>Accessories, Application Software, Publishing*</t>
  </si>
  <si>
    <t>Developer of LGBT (lesbian, gay, bisexual, and transgender) news publishing platform designed to offer a mix of information, culture, and passion. The company's platform covers national and international news through reports, surveys, testimonials, quizzes, forums, videos, and podcasts, enabling digital audiences to get an up-to-date source of reactive news.</t>
  </si>
  <si>
    <t>Carat Capital (Paris), Sushi Venture Partners</t>
  </si>
  <si>
    <t>lgbt community, lgbtq community, lgbtq support, news publishing, online blog, publishing site</t>
  </si>
  <si>
    <t>193922-47T</t>
  </si>
  <si>
    <t>PSG(Dany Rammal)</t>
  </si>
  <si>
    <t>199129-06T</t>
  </si>
  <si>
    <t>355 Capital, Cameleon Invest, MakeSense, Racine2, RAISE Group, Serena (Paris)(Eric Gossart), Verve Ventures</t>
  </si>
  <si>
    <t>193066-75T</t>
  </si>
  <si>
    <t>Kaliz</t>
  </si>
  <si>
    <t>Developer of rental management platform intended to support homeowners to manage their properties. The company's platform offers a secure personal space and dashboard that uses algorithms and decision-making tools to centralize, monitor, and analyze all the assets remotely, enabling property managers to optimize and streamline to handle all aspects of administration.</t>
  </si>
  <si>
    <t>Vilavi</t>
  </si>
  <si>
    <t>lease management, maintenance scheduling, property portfolio, real estate application, real estate management, rental management platform</t>
  </si>
  <si>
    <t>188811-64T</t>
  </si>
  <si>
    <t>Pylote</t>
  </si>
  <si>
    <t>Biotechnology*, Industrial Chemicals, Multi-line Chemicals</t>
  </si>
  <si>
    <t>Developer of an antimicrobial mineral technology designed to protect users against the health risk carried by a contaminated surface. The company's products offer attributes to materials and can be integrated into numerous consumers' products through an in-house manufacturing process, enabling pharmaceutical, cosmetic, luxury, food, or industrial markets to provide end consumers with greener, cleaner, and safer products.</t>
  </si>
  <si>
    <t>Auriga Partners (Paris), Galia Gestion</t>
  </si>
  <si>
    <t>antimicrobial compound, antimicrobial product, bacteria control, decontamination system, eco-friendly product, manufacturing process, virus prevention</t>
  </si>
  <si>
    <t>195180-67T</t>
  </si>
  <si>
    <t>Axyn Robotique</t>
  </si>
  <si>
    <t>Manufacturer of robots intended to assist people with disabilities. The company's robots help in home maintenance, remote consultation, video communication, and telepresence applications to allow teleworkers to present virtually and break the isolation of older people, enabling customers to get assistance at work where actual presence is not necessary.</t>
  </si>
  <si>
    <t>care robots, design robots, manufacturing company, robots manufacturer, service robotic application, telepresence product, telepresence robotics</t>
  </si>
  <si>
    <t>Manufacturing, Robotics and Drones, TMT</t>
  </si>
  <si>
    <t>Gardanne, France</t>
  </si>
  <si>
    <t>197234-38T</t>
  </si>
  <si>
    <t>Ecovelo</t>
  </si>
  <si>
    <t>Developer of urban mobility technology designed for self-service electric bikes. The company offers eco-bikes that are sponsored by an advertiser and paid according to the kilometers traveled and hours of parking, all weighted according to the geolocation of the moment, enabling users and small and medium-sized communities to travel and earn by displaying the campaigns.</t>
  </si>
  <si>
    <t>Caisse des Depots Group, Parthal, WEST VENTURE MANAGEMENT</t>
  </si>
  <si>
    <t>bike sharing, electric bikes maker, mountain bike, urban mobility company, urban mobility platform, urban mobility products, vehicle supplier</t>
  </si>
  <si>
    <t>Climate Tech, Micro-Mobility, Mobility Tech</t>
  </si>
  <si>
    <t>193031-20T</t>
  </si>
  <si>
    <t>Implicity</t>
  </si>
  <si>
    <t>Enterprise Systems (Healthcare), Monitoring Equipment*, Other Healthcare Technology Systems</t>
  </si>
  <si>
    <t>Developer of a remote monitoring platform designed to provide smart monitoring of connected cardiac prostheses. The company's platform sorts and summarizes data of patients with connected pacemakers and defibrillators with the help of an AI module and determines the criticality of each alert taking into account the medical context of the patient, enabling hospital teams to effectively monitor their patients and provide them with optimal quality care.</t>
  </si>
  <si>
    <t>BNP Paribas Développement, Bpifrance(Chahra Louafi), Crédit Mutuel Innovation(Tanguy Besson), Karista (Paris)(Baudouin Hue), Plug and Play Tech Center, Serena (Paris), XAnge(Guillaume Meulle)</t>
  </si>
  <si>
    <t>abi custom application, analytics platform, automated remote monitoring technology, cardiac device, cardiac monitoring system, cardiac pacemaker, cardiology practice, electrophysiology recorder, healthcare monitoring tech, remote healthcare monitoring, rpm software</t>
  </si>
  <si>
    <t>Artificial Intelligence &amp; Machine Learning, Digital Health, HealthTech, SaaS</t>
  </si>
  <si>
    <t>193044-07T</t>
  </si>
  <si>
    <t>Stonal</t>
  </si>
  <si>
    <t>Business/Productivity Software*, Other Commercial Services, Real Estate Services (B2C)</t>
  </si>
  <si>
    <t>Developer of real estate management platform intended to overlook property prices and operations. The company's platform specializes in centralizing all the information of assets such as data, documents, and plans that are supported by artificial intelligence, making it reliable and keeping up to date through a turnkey offer, enabling property owners and asset managers to manage commercial and residential buildings more efficiently by capturing entire portfolio.</t>
  </si>
  <si>
    <t>Hoche Partners, International AirParts, JPD Capital, RAISE Group</t>
  </si>
  <si>
    <t>assets owner, enterprise asset management, enterprise resource planning, erp, real estate, real estate management, real estate owner, real estate performance, real estate portfolio, saas platform</t>
  </si>
  <si>
    <t>193082-86T</t>
  </si>
  <si>
    <t>Altana Investissements, Banque Publique d'Investissement, Bpifrance, Neovacs (PAR: ALNEV), Netangels, Polygone International</t>
  </si>
  <si>
    <t>193093-21T</t>
  </si>
  <si>
    <t>RFence</t>
  </si>
  <si>
    <t>Electronic Equipment and Instruments*, Network Management Software, Telecommunications Service Providers</t>
  </si>
  <si>
    <t>Developer of radiofrequency monitoring technologies aimed to secure radiofrequency environments. The company offers technologies for monitoring attacks using radio waves, for industrial sites and protects the wireless and IoT networks against attacks from devices emitting these waves, enabling clients to stay secure.</t>
  </si>
  <si>
    <t>Alacrité France, Bpifrance, Finovam Gestion, Wesley Clover International</t>
  </si>
  <si>
    <t>data theft protection, endpoint security, iot security, iot/ot security, ot security, radiofrequency monitoring, radiofrequency system, security service firm, security systems integration, site security system</t>
  </si>
  <si>
    <t>Cybersecurity, Internet of Things, TMT</t>
  </si>
  <si>
    <t>192752-11T</t>
  </si>
  <si>
    <t>Sayna</t>
  </si>
  <si>
    <t>Operator of online work-study programs intended to reduce unemployment and promote digital transformation. The company offers education technology for learners that allows them to follow, evaluate, and validate their learning, as well as have access to company IT projects corresponding to the learning they have validated during their training, providing youth with local and international job opportunities.</t>
  </si>
  <si>
    <t>Asime Ventures, Launch Africa Ventures(Zachariah George), Malagasy Investment Club, Orange Ventures(Gregoire De Padirac), Satrana Ventures</t>
  </si>
  <si>
    <t>coding academy, computing task, education and training program, online coding, online education, professional training, technological skills</t>
  </si>
  <si>
    <t>192744-64T</t>
  </si>
  <si>
    <t>Smartch</t>
  </si>
  <si>
    <t>Developer of a digital learning platform designed to facilitate and support new employees. The company's platform offers machine learning courses incorporating the technologies to produce, administer and lead training, enabling companies to help in communicating key messages by providing learning and development tool training, volume management, certification process, coaching and functional function.</t>
  </si>
  <si>
    <t>Bpifrance, Femmes Business Angels, Paris Business Angels</t>
  </si>
  <si>
    <t>development platform, digital learning platform, digital learning software, learning &amp; development, machine learning courses, machine learning platform</t>
  </si>
  <si>
    <t>195257-26T</t>
  </si>
  <si>
    <t>Demander Justice</t>
  </si>
  <si>
    <t>Business/Productivity Software, Legal Services (B2C)*</t>
  </si>
  <si>
    <t>Operator of an online litigation platform intended to provide online dispute resolution services. The company's platform assists individuals in initiating an online legal proceeding for disputes that do not need the presence of a lawyer and removes the brakes that discourage the litigants by letting each one seize the judge of proximity or the court of the first instance, enabling clients to draft for justice without hiring any lawyer.</t>
  </si>
  <si>
    <t>NextStage AM, OCP Group (Paris)</t>
  </si>
  <si>
    <t>dispute resolution platform, dispute resolution service, law data, litigation advice, online dispute resolution, online legal proceedings</t>
  </si>
  <si>
    <t>Legal Services (B2C)</t>
  </si>
  <si>
    <t>Legal Tech, TMT</t>
  </si>
  <si>
    <t>192690-55T</t>
  </si>
  <si>
    <t>192645-01T</t>
  </si>
  <si>
    <t>Draper Associates, Elaia Partners, Kima Ventures</t>
  </si>
  <si>
    <t>195821-92T</t>
  </si>
  <si>
    <t>Swallis Medical</t>
  </si>
  <si>
    <t>Diagnostic Equipment*, Other Healthcare Services, Therapeutic Devices</t>
  </si>
  <si>
    <t>Developer of swallow disorder management devices designed for doctors to diagnose dysphagia. The company's devices are backed by artificial intelligence which consists of a non-invasive, portable and ergonomic collar equipped with sensors that detect swallowing, breathing, coughing and voice signals, enabling medical professionals to enhance their daily work with patients suffering from dysphagia.</t>
  </si>
  <si>
    <t>dysphagia diagnostics, dysphagia monitoring, dysphagia product, dysphagia therapy, dysphagia treatment, respiratory infections, swallowing disorder</t>
  </si>
  <si>
    <t>192636-55T</t>
  </si>
  <si>
    <t>Videtics</t>
  </si>
  <si>
    <t>Developer of a video analytics platform designed to analyze camera feeds and improve the well-being of citizens. The company's platform facilitates real-time analysis of protected areas, decision-making, and post-investigation using existing internet protocol cameras on-site, enabling clients to easily optimize their resources and highlight trends in public spaces and infrastructures.</t>
  </si>
  <si>
    <t>artificial intelligence platform, camera feed, computer vision, infrastructure analysis, ip camera system, urban analytics, video analytics software, video analytics systems</t>
  </si>
  <si>
    <t>Biot, France</t>
  </si>
  <si>
    <t>193725-10T</t>
  </si>
  <si>
    <t>Arianee</t>
  </si>
  <si>
    <t>Developer of an Ethereum-compatible blockchain platform designed to update the process of authenticating branded products through a universal open-source protocol. The company's platform uses blockchain technology to record all parts involved in the creation and sales of products, in a ledger that cannot be altered, deleted or shut down, enabling brands, owners and third-party retailers involved with asset ownership, sale and transfer to build a global standard for the digital certification of valuable objects.</t>
  </si>
  <si>
    <t>Bpifrance, Bruno Berhulst(Bruno Berhulst), Clement Buyse(Clement Buyse), Commerce Ventures, Cygni Labs, Delphine Vitry(Delphine Vitry), ISAI, Jean Canzoneri(Jean Canzoneri), Jonathan Benhamou(Jonathan Benhamou), Jonathan Cherki(Jonathan Cherki), Kitten Production, Motier Ventures, Nicolas Moura(Nicolas Moura), NOIA Capital, Pierre Denis(Pierre Denis), Roxxane Varza(Roxxane Varza), Sandrine Rousseau(Sandrine Rousseau), Sebastien Lalevee(Sebastien Lalevee), Thibaud Elziere(Thibaud Elziere), Thibaud Remacle(Thibaud Remacle), Thomas Pasquet(Thomas Pasquet), Tiger Global Management(Griffin Schroeder), Wind Capital</t>
  </si>
  <si>
    <t>blockchain platform, blockchain protocol, crm, customer relationship management, digital passport, digital product, enablement platform and marketplace, ethereum token, loyalty and incentive, token economy, web4</t>
  </si>
  <si>
    <t>Limonest, France</t>
  </si>
  <si>
    <t>192540-25T</t>
  </si>
  <si>
    <t>Destree</t>
  </si>
  <si>
    <t>Operator of an accessories brand intended to offer a variety of high-end accessories with a graphic charm. The company draws its inspiration from the world of contemporary art to offer a wide selection of luxury products including ready-to-wear hats, bags, belts and jewelry, enabling customers to style themselves with offbeat yet essential wardrobe collections.</t>
  </si>
  <si>
    <t>Amy Griffin(Amy Griffin), Beyonce Knowles-Carter(Beyonce Knowles-Carter), Carmen Busquets(Carmen Busquets), Emily Weiss(Emily Weiss), Gabriela Hearst(Gabriela Hearst), Gisele Bündchen(Gisele Bündchen), HongShan Capital Group(Angelica Cheung), Jessica Warren(Jessica Warren), Reese Witherspoon(Reese Witherspoon), Robyn Fenty(Robyn Fenty)</t>
  </si>
  <si>
    <t>fashion accessories designer, fashion accessories online, fashion accessories seller, luxury accessories, luxury brands, luxury brands retail</t>
  </si>
  <si>
    <t>192543-31T</t>
  </si>
  <si>
    <t>Jolimoi</t>
  </si>
  <si>
    <t>Information Services (B2C), Media and Information Services (B2B), Personal Products, Specialty Retail*</t>
  </si>
  <si>
    <t>Operator of a skincare products company intended to sell beauty and makeup merchandise. The company's catalog includes face care products, hair care products, makeup products, oils, fragrances, and other associated accessories for both men and women, enabling users with personalized recommendations based on their lists of preferences shared by them.</t>
  </si>
  <si>
    <t>Nathalie Balla(Nathalie Balla), Pauline Duval(Pauline Duval), Rocher Participations, Seventure Partners, Thierry Petit(Thierry Petit)</t>
  </si>
  <si>
    <t>beauty products, cosmetology services, electronic shopping, information and media, online retailer, personalized beauty product, personalized coaching</t>
  </si>
  <si>
    <t>195551-83T</t>
  </si>
  <si>
    <t>Kardinal</t>
  </si>
  <si>
    <t>Developer of a parcel delivery platform intended to simplify the courier delivery process. The company's platform uses artificial intelligence to offer automatic dispatch, pick-up and delivery systems, routing optimization, static and dynamic delivery management, and time prediction of courier arrival, enabling clients to reduce delivery time and increase profitability easily.</t>
  </si>
  <si>
    <t>Benhamou Global Ventures(Sarah Benhamou), CapHorn Invest, Plug and Play Tech Center, Serena (Paris)(Sébastien Le Roy)</t>
  </si>
  <si>
    <t>courier delivery management, courier delivery platform, delivery management platform, delivery optimization platform, last mile delivery, supply chain management</t>
  </si>
  <si>
    <t>Artificial Intelligence &amp; Machine Learning, Mobility Tech, SaaS, Supply Chain Tech</t>
  </si>
  <si>
    <t>193065-67T</t>
  </si>
  <si>
    <t>BACS-Innov, Evolem, Kima Ventures, Newfund Management, OSS Ventures, VI Partners</t>
  </si>
  <si>
    <t>198775-90T</t>
  </si>
  <si>
    <t>Florian Dubreuil(Florian Dubreuil), Frederic Biousse(Frederic Biousse), Jean Moueix(Jean Moueix), Marguerite Dassault(Marguerite Dassault), Videlot</t>
  </si>
  <si>
    <t>190406-26T</t>
  </si>
  <si>
    <t>Studiomatic</t>
  </si>
  <si>
    <t>Movies, Music and Entertainment, Other Restaurants, Hotels and Leisure*</t>
  </si>
  <si>
    <t>Provider of studio facilities intended for music recordings. The company offers beat-making and rehearsal studios that are open around the clock and can be booked and accessed with a smartphone, enabling artists to rehearse, create, record, and meet, with ease.</t>
  </si>
  <si>
    <t>Olivier de Trogoff(Olivier de Trogoff), Sharpstone Capital, Super Capital(Olivier Bronner), Vox Capital (Luxembourg)</t>
  </si>
  <si>
    <t>audio recording, music recording, music studio, rehearsal studios, sound recording, studio recording, studio service company</t>
  </si>
  <si>
    <t>190477-54T</t>
  </si>
  <si>
    <t>Trackstone</t>
  </si>
  <si>
    <t>Operator of a real estate investment platform intended for buying and selling occupied real estate. The company's platform allows investors to buy already rented properties with vetted tenants, enabling clients to invest in real estate without the hassle of finding new tenants.</t>
  </si>
  <si>
    <t>real estate investment, real estate investment platform, real estate platform, real estate purchasing, real estate sale, real estate system</t>
  </si>
  <si>
    <t>192351-52T</t>
  </si>
  <si>
    <t>GO Capital (France)(Alexis Menard)</t>
  </si>
  <si>
    <t>246630-61T</t>
  </si>
  <si>
    <t>Diatomea</t>
  </si>
  <si>
    <t>Automotive, Distributors/Wholesale, Other Commercial Services*</t>
  </si>
  <si>
    <t>Operator of an automobile brokerage company intended to specialize in the sale and brokerage of prestigious cars. The company facilitates the sale of collector cars and vintage cars and also offers services including restoration, maintenance and upgradation of previously bought cars, enabling demanding clients to access required automobile services without any hassle.</t>
  </si>
  <si>
    <t>automobile buy, automobile deals, automobile management, automobile mechanics, automobile retailer, vintage car restoration</t>
  </si>
  <si>
    <t>192343-06T</t>
  </si>
  <si>
    <t>Bleu Capital, Citizen Capital, Plug and Play Tech Center</t>
  </si>
  <si>
    <t>193023-19T</t>
  </si>
  <si>
    <t>Mansio</t>
  </si>
  <si>
    <t>Provider of country home rental services intended to manage the secondary home by making second homes more accessible and easier to use. The company offers rental management services for buying and using second homes that are unforgettable, profitable, easy, and simplify the legal and financial structuring during the purchase, enabling owners to improve their quality of life by making the second home accessible and optimizing use.</t>
  </si>
  <si>
    <t>Afflelou Family, Alexandre Prot(Alexandre Prot), Bertrand Diard(Bertrand Diard), Bpifrance, Founders Future(Marc Menasé), Marie Brayer(Marie Brayer), Pareto Holdings, Quiet Capital, Thomas Rebaud(Thomas Rebaud), YADAY(Romain Afflelou)</t>
  </si>
  <si>
    <t>estate services, real estate services, rental management, rental management service, second home, second home services</t>
  </si>
  <si>
    <t>194247-55T</t>
  </si>
  <si>
    <t>Remedee Labs</t>
  </si>
  <si>
    <t>Developer of a neuromodulation technology designed to address chronic pain management. The company's technology is based on an endorphin stimulation device that uses peripheral stimulation to trigger the release of endorphins the body's natural way of making pain manageable, enabling medical professionals to make endorphin-stimulation therapy accessible for safe and efficient personal healthcare usage.</t>
  </si>
  <si>
    <t>ARTOIS Invest(Frederic Barroux), Assicurazioni Generali (MIL: G), Generali Proximité</t>
  </si>
  <si>
    <t>chronic pain, clinical result, endorphin boosters, endorphin stimulation, pain relief, portable therapy, stress relief product</t>
  </si>
  <si>
    <t>192213-37T</t>
  </si>
  <si>
    <t>Beanstock</t>
  </si>
  <si>
    <t>Operator of an online real estate marketplace intended for buying, managing, and selling rental investment properties in Europe. The company's end-to-end service evaluates buy-to-let properties based on their projected returns and provides users with the tools and information they need to invest, including property search, mortgage applications, and property management, enabling users to manage real estate investment.</t>
  </si>
  <si>
    <t>360 Capital(Thomas Nivard), Alister Moreno(Alister Moreno), Arkadi Jampolski(Arkadi Jampolski), Aviad Eyal(Aviad Eyal), Axeleo Capital, Entrée Capital, FJ Labs, Giorgio Tinacci(Giorgio Tinacci), Jan Hase(Jan Hase), Pablo Fernandez(Pablo Fernandez), PT1 (Berlin), Raphaël Di Meglio(Raphaël Di Meglio), Realty Corporation, Victor Lugger(Victor Lugger), Vincent Huguet(Vincent Huguet)</t>
  </si>
  <si>
    <t>buying homes, property management, property search, real estate analytics, real estate investment, real estate marketplace, rental management</t>
  </si>
  <si>
    <t>FinTech, Mobile, Real Estate Technology</t>
  </si>
  <si>
    <t>194725-81T</t>
  </si>
  <si>
    <t>eLichens</t>
  </si>
  <si>
    <t>Application Software, Electronic Equipment and Instruments*, Environmental Services (B2B), Other Commercial Products</t>
  </si>
  <si>
    <t>Developer of comprehensive air quality analysis and prediction products designed to help solve the global challenges of public health. The company develops low-power micro gas sensors, data, and a connected station that gathers multiple gas sensors, detects, monitors, coaches, and predict air quality for both indoor and outdoor applications, enabling industrial, smart city, and consumer clients to improve local air quality.</t>
  </si>
  <si>
    <t>New Cosmos Electric (TKS: 6824)(Yoshinori Takahashi)</t>
  </si>
  <si>
    <t>air quality monitoring, air quality sensor, connected service, gas sensor developer, monitoring technology, pollution monitoring, smart city</t>
  </si>
  <si>
    <t>CleanTech, Industrials, Internet of Things, Mobile</t>
  </si>
  <si>
    <t>193623-22T</t>
  </si>
  <si>
    <t>Grand Sud Ouest Capital, Groupe Weck, IRDI Capital Investissement, M Capital Partners, Sofiouest(Patrice Hutin), Unikalo Charente</t>
  </si>
  <si>
    <t>192111-13T</t>
  </si>
  <si>
    <t>Moulinot</t>
  </si>
  <si>
    <t>Provider of environmental services intended to create quality compost and energy from food waste. The company offers tailor-made employee self-service clarification through the support and implementation of customized sorting, collection of bio-waste by environmentally friendly and innovative vehicles and transformation of this food waste into compost and energy, enabling all catering industry to comply with the law and helping them to transform their food waste.</t>
  </si>
  <si>
    <t>Banque des Territoires, BNP Paribas Asset Management, Bpifrance(Aurelien Hue), France Active(Denis Dementhon), Inco Ventures, MAIF Impact, NovESS, Sycomore Impact Emploi</t>
  </si>
  <si>
    <t>biowaste recycler, clean fuel, environmental services, organic waste disposal, quality fertilizers, waste recycling, waste sorting, waste to fuel, waste-to-energy</t>
  </si>
  <si>
    <t>Stains, France</t>
  </si>
  <si>
    <t>187151-23T</t>
  </si>
  <si>
    <t>Trusk</t>
  </si>
  <si>
    <t>Logistics, Other Services (B2C Non-Financial)*</t>
  </si>
  <si>
    <t>Provider of freight forwarder services intended to facilitate on-demand transportation. The company's services offer a network of professional truck drivers in order to transport objects from one location to another with real-time tracking, enabling customers to move objects to their desired location at an affordable cost.</t>
  </si>
  <si>
    <t>Balthazar de Lavergne(Balthazar de Lavergne), Oussama Ammar(Oussama Ammar), Swiss Post Ventures</t>
  </si>
  <si>
    <t>freight forwarder services, freight forwarding system, freight service assistance, freight service facility, freight service provider, freight services</t>
  </si>
  <si>
    <t>Saint-Ouen, France</t>
  </si>
  <si>
    <t>190071-01T</t>
  </si>
  <si>
    <t>Connecting Food</t>
  </si>
  <si>
    <t>Developer of a food tracing platform designed to bring traceability and transparency to the supply chain process and to maintain brand equity. The company's platform utilizes blockchain technology to ensure real-time product tracking and digital audit of food products, enabling farmers, manufacturers, retailers, producers and consumers to trust the agricultural and finished products offered by the seller.</t>
  </si>
  <si>
    <t>Arion Venture Capital, Banca Patrimoni Sella &amp; C.</t>
  </si>
  <si>
    <t>asset tracking &amp; management, asset tracking and management, blockchain technology systems, enterprise supply chain management, farm management software, food production, food system, food traceability, food waste &amp; traceability, food waste and traceability, precision ag, precision agriculture, product tracking, supply chain management, supply chain system, traceability system</t>
  </si>
  <si>
    <t>AgTech, Climate Tech, Cryptocurrency/Blockchain, FoodTech, Mobile, Supply Chain Tech</t>
  </si>
  <si>
    <t>Orgeval, France</t>
  </si>
  <si>
    <t>192029-50T</t>
  </si>
  <si>
    <t>Lhyfe (PAR: LHYFE)</t>
  </si>
  <si>
    <t>Lhyfe SA is engaged in the production of green hydrogen for mobility and industry. The company designs, builds and exploits its green hydrogen production sites, which have the particularity of being directly connected to the various available renewable energy sources. The Group addresses two priority markets, which are among the emitters of greenhouse gases: the heavy mobility sector (trucks, buses, trains and in the long term, maritime and air transport) as well as (ii) the industry sector, among which chemistry (production of ammonia, methanol, etc.), steel production and glass production are priority targets.</t>
  </si>
  <si>
    <t>Mitsui &amp; Company (TKS: 8031)(Hiroshi Kakiuchi)</t>
  </si>
  <si>
    <t>clean fuel, climate tech company, green energy, green house, hydrogen fuel, hydrogen fuel manufacturer</t>
  </si>
  <si>
    <t>174825-01T</t>
  </si>
  <si>
    <t>Carlili</t>
  </si>
  <si>
    <t>Operator of a car rental platform intended to offer on-demand booking of rental vehicles. The company's platform is used to book rental cars and have them at the user's doorstep through professional rental agencies and a community of conveyors, enabling customers to avail of car rental services conveniently and get vehicles delivered according to their preferred time and address.</t>
  </si>
  <si>
    <t>Banque des Territoires, Demeter Partners(Vincent Vettier)</t>
  </si>
  <si>
    <t>auto commerce, car rental, car rental marketplace, car rental solution, rental services, rental solution, vehicle rental, vehicle renting marketplace</t>
  </si>
  <si>
    <t>Mobility Tech, TMT</t>
  </si>
  <si>
    <t>188639-02T</t>
  </si>
  <si>
    <t>ClicData</t>
  </si>
  <si>
    <t>Developer of an online dashboard application designed to make business Intelligence accessible with complex data. The company's platform has drag-and-drop indicators on the workspace that connect data from any sources to create live dashboards and reports by offering live alerts on dashboards, enabling small and medium-sized businesses to connect, manage, analyze, visualize, and share any data from any source with teams or clients.</t>
  </si>
  <si>
    <t>IRD Invest, Odyssee Venture</t>
  </si>
  <si>
    <t>analytics platform, business data, cloud development, dashboard analytics platform, data sources process, data transformation, data warehouse</t>
  </si>
  <si>
    <t>245214-01T</t>
  </si>
  <si>
    <t>Demeta</t>
  </si>
  <si>
    <t>Industrial Chemicals*, Specialty Chemicals</t>
  </si>
  <si>
    <t>Manufacturer of chemical catalysts for the production of high-value-added ingredients and specialty polymers. The company identifies products and industrial processes that are complex, costly, and polluting, and develops specialty chemicals that find various applications in the field of polymers, lubricants, and cosmetics, enabling industries by providing products that are cost-effective and environmentally friendly.</t>
  </si>
  <si>
    <t>biobased chemicals, catalysis technology, chemistry process, cosmetic ingredient, polymer maker, polymer product</t>
  </si>
  <si>
    <t>117637-12T</t>
  </si>
  <si>
    <t>LCS Laboratory</t>
  </si>
  <si>
    <t>Laboratory Services (Healthcare), Other Commercial Products*, Therapeutic Devices</t>
  </si>
  <si>
    <t>Operator of a contact lens manufacturing laboratory intended to offer a complete range of rigid and flexible lenses. The company's lenses use an adaptation software to connect to a topographer TMS4, piccolo, and Medmont compatible, and calculate the parameters of the eyebrid, and Ocea lenses, enabling ophthalmologists and opticians to have lenses that meet all visual needs at a reasonable rate.</t>
  </si>
  <si>
    <t>GO Capital (France), Sodero</t>
  </si>
  <si>
    <t>contact lens, contact lens manufacturer, eyes care, flexible polymer, hybrid contact lens, lens manufacturer, lenses maker, optical lenses product</t>
  </si>
  <si>
    <t>192322-45T</t>
  </si>
  <si>
    <t>ODROA</t>
  </si>
  <si>
    <t>Medical Records Systems*, Other Healthcare Technology Systems</t>
  </si>
  <si>
    <t>Developer a data management platform intended to secure and facilitate medical biology analysis. The company's artificial intelligence-based platform works without a human-machine interface (HMI) and does not involve the addition of rules, change of organization, training, or administration, enabling hospitals to safely automate customer file management tasks like collections, shipments, alerts, report editing, security, compliance and save their time in the process.</t>
  </si>
  <si>
    <t>Banque Populaire, Bpifrance, Crédit Mutuel, Gemmes Venture</t>
  </si>
  <si>
    <t>compliance automation, data integration, data processing, healthcare data analytics, medical data mining, medical data platform, report generation, vertical application</t>
  </si>
  <si>
    <t>Artificial Intelligence &amp; Machine Learning, Big Data, HealthTech, TMT</t>
  </si>
  <si>
    <t>192160-09T</t>
  </si>
  <si>
    <t>Otaree</t>
  </si>
  <si>
    <t>Operator of an innovative and collaborative real estate distribution platform intended for the distribution of new real estate for networks, agencies and firms. The company's platform aims to fit perfectly into the commercial and administrative processes by practicing compliance with the regulations, without any commitment or constraint, enabling real estate agents, mortgage brokers, wealth management advisers, networks, agencies and firms to increase business efficiency and agility.</t>
  </si>
  <si>
    <t>Capital &amp; Dirigeants Partenaires</t>
  </si>
  <si>
    <t>real estate agency, real estate market, real estate platform, real estate provider, real estate website, software development</t>
  </si>
  <si>
    <t>192106-27T</t>
  </si>
  <si>
    <t>Selency</t>
  </si>
  <si>
    <t>Home Furnishings*, Internet Retail</t>
  </si>
  <si>
    <t>Operator of a home decor platform intended to provide used furniture and decoration. The company's platform connects with antique dealers and sellers to feature a wide range of home decor items and furniture like tables, beds, armchairs, sofas, wall lamps, and ceiling lights, enabling users to get a catalog of furniture easily at low costs.</t>
  </si>
  <si>
    <t>Accel, Creadev, OLX, Wind Capital</t>
  </si>
  <si>
    <t>ecommerce platform, home decoration, home furnishings product, online furniture marketplace, online furniture shop, secondhand furniture, used furniture retailer</t>
  </si>
  <si>
    <t>187565-32T</t>
  </si>
  <si>
    <t>Totem (Other Commercial Services)</t>
  </si>
  <si>
    <t>Beverages, Food Products, Other Commercial Services*, Specialty Retail</t>
  </si>
  <si>
    <t>Provider of a vending machine supplies platform intended to offer food facilities in offices through purchasing experiences focused on convenience, proximity, and social life. The company's services offer companies healthy snacks, drinks, coffee, and fresh fruits, enabling employees to eat healthy products and enjoy them at any time of the day.</t>
  </si>
  <si>
    <t>convenience food, convenience grocery, convenience store, ecommerce platform, food products, gourmet product</t>
  </si>
  <si>
    <t>E-Commerce, FoodTech, Industrials</t>
  </si>
  <si>
    <t>190382-50T</t>
  </si>
  <si>
    <t>Amaury Sepulchre(Amaury Sepulchre), Arnaud Monnier(Arnaud Monnier), Benjamin Blasco(Benjamin Blasco), Fast Forward (France), Jürgen Wolff(Jürgen Wolff), Quentin Nickmans, Super Capital, Thibaud Elziere(Thibaud Elziere)</t>
  </si>
  <si>
    <t>216291-43T</t>
  </si>
  <si>
    <t>Kernel Investissements</t>
  </si>
  <si>
    <t>203539-42T</t>
  </si>
  <si>
    <t>Le Sol D'Abord</t>
  </si>
  <si>
    <t>Manufacturer of nitrogen products and fertilizers intended to restore fertility and natural health of all soils. The company engages in the production of a range of crop protection products including soil conditioners, microbial concentrates, natural seed protection products, and more, enabling farmers to improve seed and seedling resistance to seedling diseases and pest attacks.</t>
  </si>
  <si>
    <t>Business Angels 35</t>
  </si>
  <si>
    <t>ag biotech, agriculture technology, fertilizer alternatives, fertilizer product, healthy soil, land use, nitrogen products, plant biotech, plant biotechnology, seeds protection, soil analysis, soil conditioner manufacturer</t>
  </si>
  <si>
    <t>192375-19T</t>
  </si>
  <si>
    <t>Serena (Paris)(Léa Zaslavsky)</t>
  </si>
  <si>
    <t>192464-74T</t>
  </si>
  <si>
    <t>Skillup</t>
  </si>
  <si>
    <t>Developer of educational training and talent management software designed for companies to research, compare, and book professional training courses. The company's software includes a reservation engine, online publication, and SaaS tools and optimizes the management of training, interviews, and skills, enabling employers and HR managers to simplify the construction and implementation of company training plans and focus on their strategic role of talent engagement, growth and retention.</t>
  </si>
  <si>
    <t>Global Founders Capital, Hi Inov(Valerie Gombart), Kerala Ventures(Antoine Freysz), Omnes Capital(Xavier Brunaud), SWEN Capital Partners(Anatole Maizieres)</t>
  </si>
  <si>
    <t>educational training, employee evaluation software, enterprise resource planning, erp, hris solutions, human capital management, online publication, professional training, skills mapping, talent management software, training courses platform</t>
  </si>
  <si>
    <t>226414-09T</t>
  </si>
  <si>
    <t>Sonnar (Human Capital Services)</t>
  </si>
  <si>
    <t>Operator of a recruitment platform intended to find the right candidate for the organization. The platform specializes in offering expert dedicated recruiters to speed up certain steps such as defining the need or sourcing and providing daily visibility on recruitments and suggesting improvements, enabling businesses to recruit the appropriate fit for their company quickly and with ease.</t>
  </si>
  <si>
    <t>Kerala Ventures</t>
  </si>
  <si>
    <t>assessment system, human capital sourcing, interview process, recruiting network, recruitment agency, recruitment platform</t>
  </si>
  <si>
    <t>214381-45T</t>
  </si>
  <si>
    <t>193332-97T</t>
  </si>
  <si>
    <t>Rise Up</t>
  </si>
  <si>
    <t>Operator of an e-learning platform designed to facilitate vocational employee training courses. The company's platform permits the submission, editing and access of training and communication with future learners and management of all online formalities, along with detailed statistics on the whole course of a learner answering all the legal constraints, enabling companies to train employees, partners, and customers from a distance without technical knowledge.</t>
  </si>
  <si>
    <t>Connected Capital (Netherlands)(Sander Pennings), Impact Partners (Paris), Ternel(Timothée Poulain)</t>
  </si>
  <si>
    <t>corporate training service, education platform, employee training platform, learning management tool, online corporate training, online vocational training</t>
  </si>
  <si>
    <t>Artificial Intelligence &amp; Machine Learning, EdTech, Mobile, TMT</t>
  </si>
  <si>
    <t>181337-86T</t>
  </si>
  <si>
    <t>BNP Paribas Développement, Galia Gestion, IRDI Capital Investissement(Jean-Michel Petit), iXO Private Equity, Omnes Capital, Sham Innovation Santé</t>
  </si>
  <si>
    <t>193715-92T</t>
  </si>
  <si>
    <t>Participating</t>
  </si>
  <si>
    <t>A.Capital Ventures, Addition(Lee Fixel), AIX Ventures, Betaworks Ventures, Coatue Management, Damien Gosset(Damien Gosset), Edouard Rosenblum(Edouard Rosenblum), Kevin Durant(Kevin Durant), Lux Capital(Brandon Reeves), Matthieu Vaxelaire(Matthieu Vaxelaire), Nicolas Steegmann(Nicolas Steegmann), Olivier Pomel(Olivier Pomel), Rich Kleiman(Rich Kleiman), Ronny Conway(Ronny Conway), Sequoia Capital(Patrick Grady), SV Angel, The Chernin Group, Thibaud Elziere(Thibaud Elziere), Thirty Five Ventures</t>
  </si>
  <si>
    <t>192728-62T</t>
  </si>
  <si>
    <t>ncScale</t>
  </si>
  <si>
    <t>Developer of a no-code application software designed to provide guidelines and tools for designing applications. The company's platform aims at improving the increase the quality of no-code applications through quality security, methodology, and documentation, enabling clients to design scalable, robust, and maintainable applications.</t>
  </si>
  <si>
    <t>Elaia Partners, Kima Ventures</t>
  </si>
  <si>
    <t>app development, application building architecture, database management, design applications, log management, tools integration</t>
  </si>
  <si>
    <t>191619-28T</t>
  </si>
  <si>
    <t>LimFlow</t>
  </si>
  <si>
    <t>Developer of a peripheral endovascular technology designed to treat end-stage chronic limb ischemia patients. The company's technology diverts blood around diseased arteries into the tibial vein to supply an elevated flow of oxygenated blood to the ischemic foot using ultrasound-guided catheters, enabling patients to get relief from ischemic pain, heal wounds, reduce amputations and restore mobility.</t>
  </si>
  <si>
    <t>Balestier Investments(Jocelyn Kum), Bpifrance, Longitude Capital(Maxwell Bikoff), M&amp;L Healthcare Investments, Sofinnova Partners, Soleus Capital</t>
  </si>
  <si>
    <t>cardiovascular, cardiovascular product, chronic pain therapy, endovascular medical device, endovascular medical devices, endovascular surgery device, endovascular technologies, ischemia treatment</t>
  </si>
  <si>
    <t>191589-31T</t>
  </si>
  <si>
    <t>2050 (VC)(Marie Ekeland), Balderton Capital(Bernard Liautaud), Coatue Management(Philippe Laffont), La Famiglia, New Wave VC(Xavier Niel)</t>
  </si>
  <si>
    <t>194588-92T</t>
  </si>
  <si>
    <t>Moka.care</t>
  </si>
  <si>
    <t>Developer of a mental health prevention platform intended to help employees to find the right care. The company's platform provides three methods of support personalized one-on-one sessions with psychologists, therapists, or coaches, peer group sessions on specific topics such as stress management or parenting, and finally self-serve content and digital programs, enabling collaborators to find the right person, the right method or type of support to fit their needs.</t>
  </si>
  <si>
    <t>Antoine Dupont(Antoine Dupont), Antoine Griezmann(Antoine Griezmann), Athletico Ventures, Left Lane Capital(Jason Fiedler), Origins Fund, Singular.</t>
  </si>
  <si>
    <t>employee care management, employee mental health, enterprise resource planning, erp, human capital management, mental health assistance, mental healthcare, psychologist appointment, psychologist services</t>
  </si>
  <si>
    <t>195567-85T</t>
  </si>
  <si>
    <t>MyBus (Other Transportation)</t>
  </si>
  <si>
    <t>Developer of a mobile transportation application designed to provide smart assistance for public transport via mobile application. The company's platform provides an e-ticket for transport networks, a city bus guide with the functionality of a route planner, and the possibility of having real-time information, enabling travelers to have a comfortable journey through public transportation.</t>
  </si>
  <si>
    <t>Banque des Territoires(Pierre Aubouin), EDF Pulse Ventures(Guillaume Lesueur)</t>
  </si>
  <si>
    <t>bus booking, bus information, city buses service, digital ticketing, multimodal booking, public mobility solutions, public transportation, shuttle and multimodal booking, transport assistance, transportation application platform, transportation software developer</t>
  </si>
  <si>
    <t>Mobile, Mobility Tech</t>
  </si>
  <si>
    <t>Le Puy-en-Velay, France</t>
  </si>
  <si>
    <t>158688-19T</t>
  </si>
  <si>
    <t>Bpifrance, COMAT Aerospace, Groupe ADF, Hemeria Group</t>
  </si>
  <si>
    <t>189651-88T</t>
  </si>
  <si>
    <t>Lemon Tri</t>
  </si>
  <si>
    <t>Developer of a recycling technology designed to offer sorting and recycling alternatives to fight against landfills and incineration of waste. The company's technology manages environmental performance with an online monitoring application, such that waste is sorted and conditioned in the warehouses and sent to recycling channels and also provides regulatory documents to distribute, enabling clients to engage in positive collective dynamics and consolidate corporate social responsibility strategy.</t>
  </si>
  <si>
    <t>Abeille Impact Investing France, Amundi (PAR: AMUN), Banque des Territoires, Inco Ventures, MAIF Impact, Mirova, Phitrust Partenaires</t>
  </si>
  <si>
    <t>circular economy, environmental services company, recycled technology equipment, recycling analytics, recycling equipment, reverse vending machines, sustainable development, waste activities</t>
  </si>
  <si>
    <t>186418-18T</t>
  </si>
  <si>
    <t>Aglaé Ventures(Léa Verdillon), Erwan Keraudy(Erwan Keraudy), Evolem, ISAI(Jean-David Chamboredon), Nicolas Hernandez(Nicolas Hernandez), Reunited Ventures</t>
  </si>
  <si>
    <t>191488-15T</t>
  </si>
  <si>
    <t>Byflox</t>
  </si>
  <si>
    <t>Operator of a digital platform intended to revolutionize online sales for florists. The company's platform offers bouquets at a price chosen by owners with no additional cost and also allows users to choose between delivery of their order or click and collect, enabling florists to remain in control of their digital transition and develop their out-of-store turnover.</t>
  </si>
  <si>
    <t>Anjou Amorcage, Pays de la Loire Participations, Sodero</t>
  </si>
  <si>
    <t>digital business, digital selling portal, florist marketplace, florist portal, florist supplies, online florist stores, online marketing</t>
  </si>
  <si>
    <t>Brissac Loire Aubance, France</t>
  </si>
  <si>
    <t>205920-37T</t>
  </si>
  <si>
    <t>CityTaps</t>
  </si>
  <si>
    <t>Electronic Equipment and Instruments*, Other Services (B2C Non-Financial), Water Utilities</t>
  </si>
  <si>
    <t>Provider of prepaid water delivery services intended to help bring running water to every urban home in developing countries. The company's services comprise a smart and prepaid water meter and billing software that helps utilities become financially independent and able to invest in infrastructure for at-home water service to even the poorest residents and for those people who do not have access to running water in their homes, enabling people from across water-scarce regions of developing countries to use mobile money to prepay for running water with any mobile phone, at any time, for any amount, and improve their household budget.</t>
  </si>
  <si>
    <t>Echo River Capital</t>
  </si>
  <si>
    <t>public water, utilities sector, utility services, water delivery system, water service, water solutions, water technology systems, water utility</t>
  </si>
  <si>
    <t>193012-75T</t>
  </si>
  <si>
    <t>Cathay Capital Private Equity, Plug and Play Tech Center, UI Investissement</t>
  </si>
  <si>
    <t>197111-53T</t>
  </si>
  <si>
    <t>Cryobeauty Pharma</t>
  </si>
  <si>
    <t>Developer of medical devices designed to remove brown spots on hands. The company's devices provide an automated technology that helps eliminate brown spots on the hands with controlled cold-to-target temperature variations, enabling patients to remove spots without any pain or formation of crust and scars.</t>
  </si>
  <si>
    <t>Credit Agricole Entreprises (PAR: CRBP)</t>
  </si>
  <si>
    <t>dermatology, dermatology care, dermatology product, medical aesthetics, medical device, medical device firm, skin product developer, skin wellness</t>
  </si>
  <si>
    <t>Bailly, France</t>
  </si>
  <si>
    <t>192332-53T</t>
  </si>
  <si>
    <t>GEARPROD</t>
  </si>
  <si>
    <t>Entertainment Software, Other Hardware*</t>
  </si>
  <si>
    <t>Developer of an immersive adventure game designed to engage players in games. The company's platform offers an immersive experience between escape games and video games, an entire gaming system designed to look like a submarine where groups of customers can go into the room and play various games, and 'go on adventures' by driving the submarine, enabling clients to offer their customers a fully functional entertainment creation engine.</t>
  </si>
  <si>
    <t>computer games, computer games company, entertainment activities, escape games, immersive gaming, team building games, video games</t>
  </si>
  <si>
    <t>Clapiers, France</t>
  </si>
  <si>
    <t>214152-76T</t>
  </si>
  <si>
    <t>Naoden</t>
  </si>
  <si>
    <t>Operator of a chain of compact bioenergetic power plants intended to generate electricity and heat from wood waste. The company's plants operate with a gasification unit that produces biogas, which is then valued in one of the two other units to produce consumable energies, enabling clients to manage their energy to reduce waste and the energy bill.</t>
  </si>
  <si>
    <t>bioenergy equipment, bioenergy firm, bioenergy plant, bioenergy power, bioenergy system, clean fuel, energy bill, renewable energy, waste to fuel, waste-to-energy</t>
  </si>
  <si>
    <t>192622-33T</t>
  </si>
  <si>
    <t>Nouvelle Métallerie de Kerpont</t>
  </si>
  <si>
    <t>Manufacturer and installer of metal joinery and locksmith intended for a construction site. The company designs metal structures like windows, doors, winter gardens, canopies, railings, gates, and screens, enabling clients to get personalized construction-related services.</t>
  </si>
  <si>
    <t>Societe Financiere Lorient Developpement</t>
  </si>
  <si>
    <t>locksmith works, manufacturer firm, metal joinery, metal structures, metal work, metal work company</t>
  </si>
  <si>
    <t>Lanester, France</t>
  </si>
  <si>
    <t>232889-23T</t>
  </si>
  <si>
    <t>QiiRO</t>
  </si>
  <si>
    <t>Legal Services (B2B)*</t>
  </si>
  <si>
    <t>Provider of legal services intended to help companies to overcome the hassles of compliance requirements. The company centralizes and simplifies legal issues by providing a digital platform and a team of augmented lawyers and offers protection services, remedies, and compliances, enabling clients to get appropriate legal assistance.</t>
  </si>
  <si>
    <t>digital platform, law advisory, legal assistance, legal information service, legal service, legal support, risk assessment, social audit</t>
  </si>
  <si>
    <t>198931-60T</t>
  </si>
  <si>
    <t>Sealk</t>
  </si>
  <si>
    <t>Business/Productivity Software, Media and Information Services (B2B)*, Private Equity</t>
  </si>
  <si>
    <t>Operator of an artificial intelligence platform intended to provide deal sourcing for the M&amp;A, private equity, corporate, and consulting industries. The company's platform mainly caters to boutique fundraising advisers, consulting firms, private equity, venture capital, incubators and accelerators, and other strategic consulting providers, enabling clients with automatic deal sourcing.</t>
  </si>
  <si>
    <t>Frenchfounders, InReach Ventures</t>
  </si>
  <si>
    <t>ai automation platform, artificial intelligence platform, data aggregation engine, deal sourcing, fundraising advisor, investment consultation, m&amp;a advisor, m&amp;a deal-maker, matching algorithm, merger and acquisition, private equity consulting</t>
  </si>
  <si>
    <t>192628-09T</t>
  </si>
  <si>
    <t>SENSE in</t>
  </si>
  <si>
    <t>Manufacturer of structural monitoring equipment intended to monitor the process and in-use behavior of the aeronautic, automotive, renewables energies, and civil engineering industries. The company offers technology that is based on non-intrusive resistive sensors integrated inside the composite structures during the manufacturing process and sensors are combined with wireless data acquisition systems and user-friendly interfaces, enabling customers with affordable and robust products that allow the fabrication of safer structures and optimization of maintenance costs.</t>
  </si>
  <si>
    <t>GO Capital (France)(Alexandre Boulay), Innovation Fund, Saint-Gobain NOVA, Societe Financiere Lorient Developpement, The Innovation Fund</t>
  </si>
  <si>
    <t>damage monitoring, damage monitoring system, resistive sensors, strain sensing, structural composites, structural health monitoring</t>
  </si>
  <si>
    <t>Caudan, France</t>
  </si>
  <si>
    <t>192675-25T</t>
  </si>
  <si>
    <t>Yellow Teapot</t>
  </si>
  <si>
    <t>Developer of gaming platform designed to create genuine mobile free-to-play games that connect to reality. The company creates games that are connected to reality using blockchain &amp; NFT technologies to leverage value, enabling players to win real rewards around their passion.</t>
  </si>
  <si>
    <t>Diaspora Ventures</t>
  </si>
  <si>
    <t>blockchain technology, gaming platform, gaming platform company, gaming platform operator, mobile game, nft technologies, nft technology</t>
  </si>
  <si>
    <t>191503-90T</t>
  </si>
  <si>
    <t>Clinique du Rond Point Des Champs Elysees</t>
  </si>
  <si>
    <t>Provider of anesthetic medicine services intended to offer cosmetic medicines and surgery. The company specializes in collaboration and offers a real tailor-made program depending on the request will be referred to the department of cosmetic surgery, hair surgery, aesthetic medicine, or dental surgery, enabling patients to access a full range of safe and new techniques to improve their appearance.</t>
  </si>
  <si>
    <t>RAISE Group(Aymeric Grottes)</t>
  </si>
  <si>
    <t>aesthetic surgery, cosmetic surgery service, hair growth, laser hair removal, medical devices, plastic surgery</t>
  </si>
  <si>
    <t>191184-22T</t>
  </si>
  <si>
    <t>Bpifrance(Caroline Lebel), Hi Inov(Valère Rames), Highland Europe(Jean Tardy-Joubert), One Peak Partners(Humbert de Liedekerke), Revaia(Alice Albizzati), Statkraft Ventures(Stefan Hülsen)</t>
  </si>
  <si>
    <t>194444-92T</t>
  </si>
  <si>
    <t>Legitbee</t>
  </si>
  <si>
    <t>Developer of a digital estate planning platform designed to deal with the inheritance of traditional and digital assets. The company's platform provides integration of digital assets like securities, investments, real estate, collections and cryptocurrencies and provides transmission of digital heritage to beneficiaries, enabling users to pass on not only their assets but also the memories and love that come with them.</t>
  </si>
  <si>
    <t>Bpifrance, Finovam Gestion, Groupe IRD, IRD Invest, Nord France Amorçage</t>
  </si>
  <si>
    <t>assets transfer, digital asset, digital asset management, estate planning, inheritance planning, succession management</t>
  </si>
  <si>
    <t>191089-09T</t>
  </si>
  <si>
    <t>Core Biogenesis</t>
  </si>
  <si>
    <t>Clean Meat</t>
  </si>
  <si>
    <t>Biotechnology*, Other Commercial Products, Other Pharmaceuticals and Biotechnology</t>
  </si>
  <si>
    <t>Developer of bioproduction technologies designed to use plants as biofactories to scale the production of valued bioproducts. The company's ultra-scalable bioproduction as a service (UBaaS) platform accelerates mass production and isolates molecules to a specific plant compartment, making extraction faster, and more scalable and it also offers proprietary gene editing and plant biotechnology to produce GF(Growth Factors) molecules used in the clean meat and cell enabling clients and healthcare sector to regulate the growth, division, and survival of cells and increase yields while driving down costs.</t>
  </si>
  <si>
    <t>Blue Horizon (Private Equity)(Friederike Grosse-Holz), Entrepreneur First, GG 1978, James Dacombe(James Dacombe), Siparex Group, Thia Ventures, XAnge(Alexis du Peloux)</t>
  </si>
  <si>
    <t>alt-proteins, bioproduction facility, bioproduction technology, biotech company, biotech research, biotechnology processing, cultivated protein, healthcare services, protein production, protein production technology</t>
  </si>
  <si>
    <t>Illkirch Graffenstaden, France</t>
  </si>
  <si>
    <t>191566-09T</t>
  </si>
  <si>
    <t>Fairbrics</t>
  </si>
  <si>
    <t>Other Textiles, Synthetic Textiles*</t>
  </si>
  <si>
    <t>Developer of sustainable fabrics designed to protect the environment. The company's platform collects carbon dioxide from the air, activates it, and converts it to create ethylene glycol, a component of polyester, which is then used to make clothes, enabling fashion brands and their customers to make the world greener for the next generations while getting latest fashion.</t>
  </si>
  <si>
    <t>AP Ventures(Kevin Eggers), H&amp;M CO:LAB(Erik Karlsson), Sake Bosch</t>
  </si>
  <si>
    <t>carbon technology, carbon utilization, circular fashion, ethical fashion, green products, sustainable fabrics, sustainable fashion, synthetic fabrics</t>
  </si>
  <si>
    <t>Synthetic Textiles</t>
  </si>
  <si>
    <t>193081-69T</t>
  </si>
  <si>
    <t>191112-31T</t>
  </si>
  <si>
    <t>Polaris (Biotechnology)</t>
  </si>
  <si>
    <t>Aquaculture, Biotechnology*, Food Products, Other Commercial Services</t>
  </si>
  <si>
    <t>Provider of concentrated EPA (eicosapentaenoic acid) and DHA (docosahexaenoic acid) fatty acids intended to serve the food supplements, nutraceutical, and infant nutrition markets. The company specializes in the field of the purification and concentration of oils based on microalgae and fish to obtain products with a high concentration of Omega 3 and nutritional lipids, improving their longevity, nutritional quality, and organoleptic profile of oils.</t>
  </si>
  <si>
    <t>Picama, Seventure Partners(Isabelle de Cremoux)</t>
  </si>
  <si>
    <t>manufacturing, marine product, nutritional lipid, nutritional product, nutritional product provider, omega-3 oil, omega-3 product</t>
  </si>
  <si>
    <t>186646-42T</t>
  </si>
  <si>
    <t>Lyrik Ventures, Orange DAO, SOSV(Shawn Broderick)</t>
  </si>
  <si>
    <t>191103-49T</t>
  </si>
  <si>
    <t>OPmobility (PAR: OPM)</t>
  </si>
  <si>
    <t>188887-33T</t>
  </si>
  <si>
    <t>A195 Capital, Andromeda Capital, Animoca Brands, Arcanum Capital, Blockchain Founders Fund, Brotherhood Capital, Chain Broker, Cypher Capital (Dubai), DCI Capital, Deep Ventures, Digital Strategies, FBG Capital, FC Ventures, Fundamental Labs, Gains Associates, GBV Capital, GD10 Capital, Ghaf Capital Partners, Illuminati Capital, Keychain Capital, LucidBlue Ventures, Maven Capital, Mechanism Capital, Metavest Capital, Mindfulness Capital (Hong Kong), Moon (USA), Morningstar Ventures, MV Global, Newtribe Capital, Nicolas Jeuffrain, Polygon, Polygon International, Primeblock Ventures, Privcode Capital, Rarestone Capital, Retreeb, RR2 Capital, Sebastien Borget(Sebastien Borget), SL2 Capital, Spark Digital Capital, Stable Node, SwissBorg Ventures, Ternoa, Tess Ventures, Ubisoft Entertainment (PAR: UBI), Vendetta Capital, X Ventures (Germany)</t>
  </si>
  <si>
    <t>194858-38T</t>
  </si>
  <si>
    <t>Letsignit</t>
  </si>
  <si>
    <t>Developer of signature management software designed to manage email signatures. The company's platform provides a centralized interface to easily create and manage the email signatures of all employees, enabling teams to create and distribute standardized email signatures.</t>
  </si>
  <si>
    <t>communication control, content services, email signature, email signature management, knowledge management system, sign management, signature suites, standardized email</t>
  </si>
  <si>
    <t>191052-01T</t>
  </si>
  <si>
    <t>Zenride</t>
  </si>
  <si>
    <t>Automotive, Other Transportation*</t>
  </si>
  <si>
    <t>Developer of a bike-sharing platform designed to provide a convenient and affordable way to get around. The company's platform improves existing employee satisfaction, reduces a company's carbon footprint, and attracts new talent by providing employees with a convenient and sustainable transportation option, enabling employees to avail a cheap and eco-friendly way of daily transportation.</t>
  </si>
  <si>
    <t>Alter Equity, Courtin Investment, RATP Capital Innovation</t>
  </si>
  <si>
    <t>bike accessories provider, bike rental platform, bike rental service, bike sharing platform, bike sharing service, bike sharing system, enterprise resource planning, erp, folding bike distributor, human capital management, leasing platform, micromobility, vehicle supplier</t>
  </si>
  <si>
    <t>CleanTech, LOHAS &amp; Wellness, Micro-Mobility, Mobility Tech</t>
  </si>
  <si>
    <t>189684-10T</t>
  </si>
  <si>
    <t>DuF Investments, Dupe Ventures</t>
  </si>
  <si>
    <t>210714-04T</t>
  </si>
  <si>
    <t>Allonia</t>
  </si>
  <si>
    <t>Developer of an artificial intelligence-based platform designed to create, deploy and operate applications. The company's platform offers an open, secure, and industrialized alternative to accelerate artificial intelligence projects by extracting, preparing, and processing data to design, optimize, and deploy machine learning workflows from experimentation to production, enabling organizations to optimize the performance of artificial intelligence projects and facilitate production.</t>
  </si>
  <si>
    <t>AI.Fund</t>
  </si>
  <si>
    <t>ai cores, analytics platform, artificial intelligence applications, artificial intelligence project, artificial intelligence solution, industrial applications, secure platform</t>
  </si>
  <si>
    <t>Advanced Manufacturing, Artificial Intelligence &amp; Machine Learning, Big Data, SaaS</t>
  </si>
  <si>
    <t>186910-21T</t>
  </si>
  <si>
    <t>Chance</t>
  </si>
  <si>
    <t>Developer of a coaching platform intended to guide and prepare people for finding suitable jobs. The company's platform offers an augmented coaching experience focused on career counseling and imparting skills in psychology, sociology, behavioral sciences, and technology, enabling users to find suitable jobs regardless of their social background.</t>
  </si>
  <si>
    <t>515 Ventures, Citizen Capital, EduCapital, Enowe</t>
  </si>
  <si>
    <t>career guidance, career mentorship, professional coaching services, professional education service, professional training firm, vocational guidance</t>
  </si>
  <si>
    <t>Beauvais, France</t>
  </si>
  <si>
    <t>190935-91T</t>
  </si>
  <si>
    <t>Each One</t>
  </si>
  <si>
    <t>Developer of recruiting platform designed to provide placement for refugees of Paris. The company's platform matches job seekers with employers, provides tailored training programs, facilitates onboarding, and offers ongoing support through mentorship and career development resources, enabling businesses to access diverse talent while supporting workforce inclusion and economic integration.</t>
  </si>
  <si>
    <t>Cedre, Pierre Dubuc(Pierre Dubuc), Ring Capital(Charlotte Lafont), Thierry Petit(Thierry Petit)</t>
  </si>
  <si>
    <t>employment agency, enterprise resource planning, erp, human capital management, recruiting agency, recruiting firm, recruiting platform, recruiting platform developer, recruiting services</t>
  </si>
  <si>
    <t>HR Tech, Industrials, TMT</t>
  </si>
  <si>
    <t>190955-17T</t>
  </si>
  <si>
    <t>195910-39T</t>
  </si>
  <si>
    <t>BlackDragon (Zagreb), Ceras Ventures, Dealean Capital, Fermion Capital, Gate.io Labs, Insignius Capital, OXO Capital Valve Ventures, Palar Capital, Protocol Labs, Saheel Capital, SAWA (Other Financial Services), SKALE Labs, Vespertine Capital, Zephyrus Capital</t>
  </si>
  <si>
    <t>190848-43T</t>
  </si>
  <si>
    <t>Invivox</t>
  </si>
  <si>
    <t>Developer of an online medical training platform designed to democratize and facilitate access to knowledge in the field of healthcare. The company's platform offers interactive online classes, publishes weekly medical magazines, and provides hand-picked training opportunities in partnership with an international faculty of experts, enabling candidates to get medical mentorship for all medical specialties.</t>
  </si>
  <si>
    <t>EduCapital(Marie Geneste), Groupe MACSF, Wind Capital(Thierry Vandewalle)</t>
  </si>
  <si>
    <t>digital health, digital learning, education app, e-health app, medical practice, medical training service, mentoring tools, training platform</t>
  </si>
  <si>
    <t>EdTech, HealthTech, SaaS</t>
  </si>
  <si>
    <t>190847-98T</t>
  </si>
  <si>
    <t>Kwik (Logistics)</t>
  </si>
  <si>
    <t>Provider of on-demand delivery services intended to provide B2B logistics services to African merchants. The company's services include a wide range of shipping options for on-demand delivery services, enabling businesses and individuals to enjoy affordable delivery services.</t>
  </si>
  <si>
    <t>Humla Ventures, Leonard Stiegeler(Leonard Stiegeler), Nabuboto, XBTO Ventures, Yves Guillemot(Yves Guillemot)</t>
  </si>
  <si>
    <t>consumer goods delivery, delivery agency, delivery service, parcel delivery, parcel delivery system, supply chain</t>
  </si>
  <si>
    <t>190890-01T</t>
  </si>
  <si>
    <t>Mealz.ai</t>
  </si>
  <si>
    <t>Business/Productivity Software*, Internet Retail, Media and Information Services (B2B)</t>
  </si>
  <si>
    <t>Developer of a mobile-based grocery shopping platform designed to offer solutions dedicated to the preparation of meals combining cooking recipes and artificial intelligence. The company's platform uses AI algorithms to detect shoppers' tastes and provide them with personalized meal ideas while they're navigating, enabling customers to get personalized meal ideas, shoppable recipes, and weekly meal planning.</t>
  </si>
  <si>
    <t>ai algorithm, discovery &amp; review, discovery and review, ecommerce personalization, food and beverage discovery, food beverage discovery, food shopping experience, foodtech ai, grocery shopping, grocery shopping platform, shoppable recipes, white label software</t>
  </si>
  <si>
    <t>Artificial Intelligence &amp; Machine Learning, E-Commerce, FoodTech, Mobile, SaaS</t>
  </si>
  <si>
    <t>190824-04T</t>
  </si>
  <si>
    <t>Neobrain</t>
  </si>
  <si>
    <t>Developer of an AI-based talent and skills intelligence platform intended to anticipate and facilitate strategic HR decisions. The company offers transformation support that meets three needs within organizations, employee engagement and loyalty, simplification, and fluidification of mobility, and aligning employees' skills with the company's strategy, enabling enterprises to optimize the workforce.</t>
  </si>
  <si>
    <t>Alter Equity, Breega, Crédit Mutuel Innovation(Cyrus Contant), La Poste Groupe, XAnge</t>
  </si>
  <si>
    <t>career center, career management tool, enterprise resource planning, erp, human capital management, human resource management, mobile application, skills management platform, talent assessment platform</t>
  </si>
  <si>
    <t>195655-06T</t>
  </si>
  <si>
    <t>Physidia</t>
  </si>
  <si>
    <t>Developer of a hemodialysis monitoring device designed to help dialysis patients. The company's device monitors and performs therapy via a succession of back-filtration and ultrafiltration phases throughout the dialysis session, enabling patients to find their comfort and freedom on a daily basis.</t>
  </si>
  <si>
    <t>Cofip, Smart Move Holding</t>
  </si>
  <si>
    <t>chronic kidney disease, dialysis services, haemodialysis, haemodialysis machine, home dialysis, home hemodialysis, portable therapy</t>
  </si>
  <si>
    <t>Saint-Barthelemy d'Anjou, France</t>
  </si>
  <si>
    <t>190861-57T</t>
  </si>
  <si>
    <t>IRDI Capital Investissement, NGB Invest(Frédéric Salles), Nicollin Group</t>
  </si>
  <si>
    <t>213825-43T</t>
  </si>
  <si>
    <t>Twelve (Legal Services)</t>
  </si>
  <si>
    <t>Legal Services (B2B)*, Other Commercial Services</t>
  </si>
  <si>
    <t>Operator of a law firm intended to offer intellectual property, media, entertainment and art market law-related services. The company specializes in copyright, trademarks and designs, art law and new technologies, enabling clients to get knowledge about trademark law, designs and models, advertising law, internet law, film law, press law, luxury and fashion.</t>
  </si>
  <si>
    <t>Techstars</t>
  </si>
  <si>
    <t>advertising law, art law, copyright control, law firm, law firm service, market law</t>
  </si>
  <si>
    <t>189313-84T</t>
  </si>
  <si>
    <t>Vendredi</t>
  </si>
  <si>
    <t>Education and Training Services (B2B)*, Human Capital Services, Other Commercial Services</t>
  </si>
  <si>
    <t>Operator of a social start-up intended for shared jobs between profit and non-profit organizations. The company's platform offers business and personal assistance through various short and long-term recruitment programs, training modules, mentoring courses, interactive classes, and constructive workshops that focus on startup building, branding, and promotion, enabling businesses and social entrepreneurs to solve day-to-day management and admin challenges.</t>
  </si>
  <si>
    <t>Aonia Ventures, Evolem, Polymatter Ventures, Thierry Petit(Thierry Petit)</t>
  </si>
  <si>
    <t>business training, corporate education, educational content, learning model, project management, recruitment program, skills development program</t>
  </si>
  <si>
    <t>190810-99T</t>
  </si>
  <si>
    <t>La Poste Groupe, Runa Capital(Dmitry Chikhachev), Samaipata, XAnge</t>
  </si>
  <si>
    <t>190770-76T</t>
  </si>
  <si>
    <t>Lucca</t>
  </si>
  <si>
    <t>Developer of an internal management platform intended to automate administrative and human resources processes in organizations. The company's platform designs software that answers specific needs of organizations such as management of leaves and absences, expense reports, dematerialization of personnel files, distribution of payslips, and time tracking, enabling organizations to improve their human resource process.</t>
  </si>
  <si>
    <t>One Peak Partners</t>
  </si>
  <si>
    <t>administrative management, employee management, employee time tracking, enterprise resource planning, erp, expense reports, human capital management, human resource management, leave management, leave management platform</t>
  </si>
  <si>
    <t>190630-27T</t>
  </si>
  <si>
    <t>Bpifrance, Centre National d'Etudes Spatiales, Edouard Nattée(Edouard Nattée), Kima Ventures, Marie Outtier(Marie Outtier), Nicolas Pinto, Pareto Holdings, Possible Ventures, YADAY</t>
  </si>
  <si>
    <t>190645-21T</t>
  </si>
  <si>
    <t>Kayrros</t>
  </si>
  <si>
    <t>Developer of environmental intelligence and asset observation technology platform designed to deliver actionable insight on energy-transition risk and climate impact. The company's platform provides accurate, critical insights on reducing greenhouse gases, protecting people's ecosystems and assets, and managing the energy transition, enabling decision-makers in governments, companies, and investment markets to assess the impact of energy and industry activity on the world's climate to make better, faster decisions.</t>
  </si>
  <si>
    <t>BNP Paribas Leasing Solutions, Bpifrance, Cathay Innovation(Jacobo Abitbol), European Investment Bank (Luxembourg)(Ambroise Fayolle), Harold Primat(Harold Primat), NewSpace Capital(Felix von Schubert), Opera Tech Ventures</t>
  </si>
  <si>
    <t>climate data, data intelligence platform, earthing data, earthing observation, energy analytics, enterprise asset management, enterprise resource planning, environment monitoring, environmental intelligence, erp, geospatial data, industrial data analytics, vertical application</t>
  </si>
  <si>
    <t>Advanced Manufacturing, Artificial Intelligence &amp; Machine Learning, Big Data, CleanTech, Climate Tech, FinTech, SaaS, Space Technology</t>
  </si>
  <si>
    <t>190669-69T</t>
  </si>
  <si>
    <t>Napta</t>
  </si>
  <si>
    <t>Developer of a resource management platform designed to help businesses find the best match between their projects and their employees. The company's platform finds the best team possible for each project by taking into account the employees' key attributes and each project's needs, enabling companies to increase productivity for every project and generate more revenue.</t>
  </si>
  <si>
    <t>Compagnie d'Anjou, Kerala Ventures(Antoine Freysz), Ternel</t>
  </si>
  <si>
    <t>employment engagement, enterprise resource planning, erp, human capital management, human resource allocation, project control, project staffing, project strategy, resource management</t>
  </si>
  <si>
    <t>190728-91T</t>
  </si>
  <si>
    <t>Pubstack</t>
  </si>
  <si>
    <t>Operator of an advertisement monitoring and analytics platform intended to manage the online promotion. The company offers modern analytics and automation capabilities to tackle and solve complex technical problems at scale, enabling publishers to collect and understand the data that impacts their advertising revenues get all the value they deserve for their content, and build better products for users.</t>
  </si>
  <si>
    <t>GO Capital (France)(Alexis Menard), Hervé Brunet(Hervé Brunet), ISAI(Jean-David Chamboredon), Jean Canzoneri(Jean Canzoneri)</t>
  </si>
  <si>
    <t>ad management platform, advertisement technology, advertising revenue, crm, customer relationship management, revenue management, stack monitoring, web publisher</t>
  </si>
  <si>
    <t>Saint Cyr sur Loire, France</t>
  </si>
  <si>
    <t>211304-62T</t>
  </si>
  <si>
    <t>PHD Agro</t>
  </si>
  <si>
    <t>Food Products, Other Commercial Products*</t>
  </si>
  <si>
    <t>Producer of microwaveable stuffed ravioli intended for the catering department of supermarkets. The company offers food products such as fresh-filled pasta assembled by two sheets of cooked or pre-cooked pasta glued together along with whole ingredients, cooked and not mixed offering more texture and taste, enabling supermarket and hypermarket consumers with improved taste and consistency of the dough and the filling intact.</t>
  </si>
  <si>
    <t>Finorpa, IRD Invest, Nord France Amorçage</t>
  </si>
  <si>
    <t>agri-food industry, catering items, consumer labels, food industry, food products, french recipes, microwaveable food, pasta food, pasta maker, production unit</t>
  </si>
  <si>
    <t>Roisel, France</t>
  </si>
  <si>
    <t>194954-77T</t>
  </si>
  <si>
    <t>Robocath</t>
  </si>
  <si>
    <t>Other Devices and Supplies, Surgical Devices*</t>
  </si>
  <si>
    <t>Developer of robotized medical devices designed to treat vascular diseases. The company's robotics device optimizes the safety of robotic-assisted coronary angioplasty and incorporates a medical procedure that consists of revascularizing the cardiac muscle by inserting implants into the arteries that supply it with blood, enabling surgeons to access precise assistance during procedures and improve movements by being protected from x-rays.</t>
  </si>
  <si>
    <t>CapHorn Invest, MicroPort Scientific (HKG: 00853)</t>
  </si>
  <si>
    <t>cardiac medical device, interventional radiology, medical devices, medical robotic device, medical robotics, surgical robotics, vascular disease treatment</t>
  </si>
  <si>
    <t>245251-54T</t>
  </si>
  <si>
    <t>Spring (Household Products)</t>
  </si>
  <si>
    <t>Household Products*, Personal Products, Specialty Retail</t>
  </si>
  <si>
    <t>Manufacturer of effective, plastic-free beauty and maintenance products intended to make laundry and skincare procedures easy. The company provides detergent packs, liner care, and other necessary household products which are made without the use of any plastic and also offers beauty products that are gentle on the skin and hair and are made with natural ingredients, enabling customers to get home hygiene products at an affordable rate.</t>
  </si>
  <si>
    <t>Aglaé Ventures, Eutopia, Ring Capital, Ventech (Paris)</t>
  </si>
  <si>
    <t>beauty products supplier, cleaning products, detergents product, detergents soap, home hygiene, laundry destainer, laundry products, skincare products provider, washing powder</t>
  </si>
  <si>
    <t>190987-48T</t>
  </si>
  <si>
    <t>CogNeed</t>
  </si>
  <si>
    <t>Developer of an artificial intelligence (AI) powered virtual assistant platform designed for customer conversations. The company's platform offers a virtual sales assistant for remote sellers and customer success or customer care agents, able to improve the quality and effectiveness of their customer conversations, leveraging advanced research in artificial intelligence (AI), enabling businesses to detect a keyword and identify conversation flow for displaying relevant information or recommend sales messages for customer engagement.</t>
  </si>
  <si>
    <t>WeLikeAngels</t>
  </si>
  <si>
    <t>conversational ai software, conversational chatbot, natural language technology, proprietary intelligence, sales assistant software, virtual assistant, virtual sales assistant</t>
  </si>
  <si>
    <t>190543-51T</t>
  </si>
  <si>
    <t>Geovelo</t>
  </si>
  <si>
    <t>Developer of a navigation application designed to guide cyclists in their routes. The company's application offers directions and guidance by voice, map, or compass as well as helps discover rides and plan trips, find the most reliable, secure routes, and join communities and participate in challenges, enabling cyclists to reach their destination and promoting the use of cycling daily.</t>
  </si>
  <si>
    <t>Banque des Territoires, Seventure Partners</t>
  </si>
  <si>
    <t>cyclists navigation, mapping app, navigation app, navigation application, online map, online navigation platform</t>
  </si>
  <si>
    <t>190523-53T</t>
  </si>
  <si>
    <t>New School Tacos</t>
  </si>
  <si>
    <t>Operator of a restaurant chain intended to offer a variety of snacks. The company offers tacos which is a Mexican dish consisting of a tortilla of folded corn containing a variety of toppings and also offers various desserts including waffles, milkshakes and smoothies, enabling customers to get delicious food.</t>
  </si>
  <si>
    <t>mexican dishes, mexican food outlet, mexican tacos, restaurant catering service, restaurant franchise chain, restaurant operator, tacos chain, tacos snacks</t>
  </si>
  <si>
    <t>211058-47T</t>
  </si>
  <si>
    <t>The Big Whale</t>
  </si>
  <si>
    <t>Information Services (B2C), Media and Information Services (B2B)*, Publishing</t>
  </si>
  <si>
    <t>Operator of a crypto media platform intended to provide reliable and independent crypto-related insights and analysis. The company simplifies the understanding and adoption of the technologies and applications related to blockchains, cryptocurrencies, NFTs and metaverses, enabling readers to develop and analyze diverse points of view and perspectives.</t>
  </si>
  <si>
    <t>Ardeschir Dabaghchian(Ardeschir Dabaghchian), Founders Future(Marc Menasé), Frédéric Montagnon(Frédéric Montagnon), Gonzague Grandval(Gonzague Grandval), Jean Michel Pailhon(Jean Michel Pailhon), Jean-Christophe Liaubet(Jean-Christophe Liaubet), Nicolas Chéron(Nicolas Chéron), Olivier Jaillon(Olivier Jaillon), Quentin de Beauchesne(Quentin de Beauchesne), RB Capital, Reda Berrehili(Reda Berrehili)</t>
  </si>
  <si>
    <t>crypto analytics, crypto insights, crypto media company, crypto trading strategies, web3 content, web3 tools</t>
  </si>
  <si>
    <t>190519-12T</t>
  </si>
  <si>
    <t>Vaxxel</t>
  </si>
  <si>
    <t>Developer of novel vaccines intended to treat critical diseases. The company specializes in developing live-attenuated vaccines against bronchiolitis and pneumonia and in particular against human metapneumovirus and against the human respiratory virus, enabling the healthcare industry to cure respiratory diseases.</t>
  </si>
  <si>
    <t>Angels Santé, Bpifrance, Femmes Business Angels</t>
  </si>
  <si>
    <t>drug discovery unit, healthcare services, pharmaceutical company, pneumonia vaccines, respiratory disease treatment, respiratory virus, vaccines testing</t>
  </si>
  <si>
    <t>190507-15T</t>
  </si>
  <si>
    <t>YZR</t>
  </si>
  <si>
    <t>Developer of an information management (PIM) platform intended to centralize, manage, and enrich product data to ensure consistency and accuracy across all sales channels. The company's platform utilizes artificial intelligence for data collection, automatically fills in missing information, and enhances descriptions and titles optimized for search engines, enabling e-commerce businesses to reduce the time and effort needed to create and update goods listings.</t>
  </si>
  <si>
    <t>50 Partners, LeFonds, Nauta Capital, Orange Ventures(Jérôme Berger), Purple (Paris)</t>
  </si>
  <si>
    <t>ai cores, analytics &amp; cdps, analytics and cdps, analytics platform, automated listings, centralized data management, customer relationship management, data centralization, product data analytics, sales channel integration</t>
  </si>
  <si>
    <t>216160-21T</t>
  </si>
  <si>
    <t>Uptime (Electronic Equipment and Instruments)</t>
  </si>
  <si>
    <t>Developer of an elevator maintenance system designed to avoid breakdowns and make all lift maintenance services transparent. The company's system utilizes feedback from a sensor network to automate maintenance alerts directly, enabling clients to maintain technical issues.</t>
  </si>
  <si>
    <t>Serena (Paris)(Xavier Lorphelin)</t>
  </si>
  <si>
    <t>automated elevators sensor, elevator maintenance, elevator maintenance sensors, elevators servicing company, elevators technicians, industrial engineering, mechanical systems</t>
  </si>
  <si>
    <t>180760-33T</t>
  </si>
  <si>
    <t>Witco (Business/Productivity Software)</t>
  </si>
  <si>
    <t>Developer of a space booking platform intended to improve the booking of rooms in offices. The company's platform collects and provides real-time information and anonymous data and offers access to all the building's services in one place, eliminating the friction that breaks up the flow, smoothing over every detail to enhance workplace productivity and well-being, from meeting to seating, attendance to experience, enabling companies to easily manage hybrid work, empower people to collaborate and create a distinctive employee experience.</t>
  </si>
  <si>
    <t>Daphni, Eurazeo (PAR: RF), Naxicap Partners, UL Invest</t>
  </si>
  <si>
    <t>booking platform, building management system, crm, customer relationship management, employee experience platform, proptech company, proptech platform, real estate operations</t>
  </si>
  <si>
    <t>195169-06T</t>
  </si>
  <si>
    <t>ACA</t>
  </si>
  <si>
    <t>Provider of car adaptation services intended to adapt vehicles for people with reduced mobility. The company's products offer services for driving, transferring, transporting, and driving in wheelchairs, enabling persons with disabilities to enter from the rear of the vehicle and then move to the driver's seat in their wheelchairs.</t>
  </si>
  <si>
    <t>Sofimac Investment Managers</t>
  </si>
  <si>
    <t>disabled drivers, disabled driving, driving school, electric chairs, rental apartment, vehiles for disabled, wheelchair-accessible vehicles, wheelchairs-manufacturing</t>
  </si>
  <si>
    <t>Industrials, Manufacturing, Mobility Tech</t>
  </si>
  <si>
    <t>Eysines, France</t>
  </si>
  <si>
    <t>191435-86T</t>
  </si>
  <si>
    <t>137231-11T</t>
  </si>
  <si>
    <t>SnackThis</t>
  </si>
  <si>
    <t>Developer of collaborative motion design software designed to create engaging content that runs in the browser. The company's software helps designers produce typographic effects for videos, animated illustrations for websites, and interface animations, enabling designers and creators to have a simplified method of content creation.</t>
  </si>
  <si>
    <t>Berrywood Capital., Jerome Joaug(Jerome Joaug), Kima Ventures, Magic Fund, Motier Ventures, Norte Ventures, Purple (Paris), Translink Investment</t>
  </si>
  <si>
    <t>business video content, motion design tool, motion graphics, motion graphics video, online editing, online editing tool, visual effects design, website animation</t>
  </si>
  <si>
    <t>190360-54T</t>
  </si>
  <si>
    <t>SpaceFill</t>
  </si>
  <si>
    <t>Developer of an online warehousing software platform intended to help clients find, book, and manage professional merchandise storage. The company's platform provides customers with short-term warehousing facilities and also allows warehouse owners to monetize their excess storage capacity, enabling businesses to have access to reliable storage facilities on demand.</t>
  </si>
  <si>
    <t>Bonsai Partners, Eurazeo (PAR: RF)(Matthieu Bonamy), Fiege, La Famiglia, Maersk Growth, Maxime Paradis(Maxime Paradis), NGP Capital</t>
  </si>
  <si>
    <t>ecommerce personalization, scm, storage business, supply chain manage, supply chain management, temporary storage, warehouse platform, warehouse storage provider, warehousing and fulfillment, warehousing fulfillment, warehousing marketplace, warehousing space, warehousing technology</t>
  </si>
  <si>
    <t>Real Estate Technology, SaaS, Supply Chain Tech</t>
  </si>
  <si>
    <t>190280-26T</t>
  </si>
  <si>
    <t>Akeneo</t>
  </si>
  <si>
    <t>Developer of a product information management platform designed to manage product information and assets across all sales channels. The company's platform centralizes and harmonizes all the marketing and technical information for product listings, and catalogs and offers validation workflow and data quality insights, enabling retailers and corporate brands to create a connection with their customers.</t>
  </si>
  <si>
    <t>Alven Capital Partners, Partech(Reza Malekzadeh), R-Squared Ventures, Summit Partners(Steffan Peyer)</t>
  </si>
  <si>
    <t>customer relationship management, digital catalog, experience management software, product experience management, product information, sales channel management</t>
  </si>
  <si>
    <t>190288-72T</t>
  </si>
  <si>
    <t>Doctolib</t>
  </si>
  <si>
    <t>Operator of an online healthcare platform intended to help patients choose doctors and make appointments. The company's platform offers management software for practitioners to manage their patients and consultations and an online service for patients to facilitate access to care, enabling users to have a better work-life.</t>
  </si>
  <si>
    <t>Bpifrance, Eurazeo (PAR: RF)(Zoé Fabian), General Atlantic</t>
  </si>
  <si>
    <t>appointment platform, care search tool, digital care management, doctor appointment online, health appointment, online appointment, professional services, telehealth app</t>
  </si>
  <si>
    <t>190265-05T</t>
  </si>
  <si>
    <t>K-Ryole</t>
  </si>
  <si>
    <t>Automotive*, Environmental Services (B2B)</t>
  </si>
  <si>
    <t>Developer of electric bike trailers intended to provide cyclists with a method of goods transportation. The company's trailers attach to any bicycle and can handle heavy loads through any urban space, enabling riders to reduce their carbon impact and divide their logistics costs.</t>
  </si>
  <si>
    <t>AQUITI Gestion, Bpifrance, Edify Investment Partner, IFP Energies Nouvelles, Nouvelle Aquitaine Co-Investissement, Quadia</t>
  </si>
  <si>
    <t>bikes trailer, electric vehicle, last mile logistics, micromobility, sustainable mobility, sustainable mobility practices, vehicle supplier</t>
  </si>
  <si>
    <t>CleanTech, LOHAS &amp; Wellness, Mobility Tech</t>
  </si>
  <si>
    <t>188904-16T</t>
  </si>
  <si>
    <t>Motto (Automotive)</t>
  </si>
  <si>
    <t>Developer of an e-bike subscription service platform designed to provide all-inclusive service benefits. The company's platform offers an easy-to-use subscription platform that delivers on-demand repair services for sleek street-proof e-bikes, theft protection, and tailor-made insurance, enabling users to enjoy cycling without the hassle of its maintenance and repair.</t>
  </si>
  <si>
    <t>Cameleon Invest, CASSIUS, Founders Future(Maxime de Varine-Bohan), Kima Ventures, Niche Capital (San Francisco), Snaw Ventures, YADAY</t>
  </si>
  <si>
    <t>bike repair service, bikes insurance, bikes maintenance, e-bike subscription, electric commuters scooter, electric mobility, mobility services, rides app, subscription app, subscription service, subscription service platform</t>
  </si>
  <si>
    <t>Micro-Mobility, Mobility Tech, Mortgage Tech</t>
  </si>
  <si>
    <t>190314-10T</t>
  </si>
  <si>
    <t>Popscreen</t>
  </si>
  <si>
    <t>Developer of a mobile game studio intended to optimize action and progression in battles. The company's studio develops mobile collectible card games with popular themes and simple gameplay, enabling gaming enthusiasts to have an enhanced game experience and progression.</t>
  </si>
  <si>
    <t>Garena Ventures</t>
  </si>
  <si>
    <t>arena modes games, game developer, gaming social network, gaming studio operator, mobile games design, rpg game developer</t>
  </si>
  <si>
    <t>Artificial Intelligence &amp; Machine Learning, Gaming, Mobile</t>
  </si>
  <si>
    <t>190523-71T</t>
  </si>
  <si>
    <t>Sulitest</t>
  </si>
  <si>
    <t>Educational and Training Services (B2C), Educational Software*, Environmental Services (B2B)</t>
  </si>
  <si>
    <t>Developer of educational engagement tools designed to expand sustainable knowledge, skills, and mindset. The company aims to address the social, economic, and environmental challenges the world is currently facing and to reach sustainable development goals, enabling universities and enterprises to improve their sustainable literacy.</t>
  </si>
  <si>
    <t>Cy University, Em Normandie, ESSEC Business School, Excelia, Kedge Business School, Uma (Hong Kong), Université Paris-Saclay</t>
  </si>
  <si>
    <t>corporate social responsibility, ecological sustainability, engagement tool, esg data, sustainable development, sustainable futures</t>
  </si>
  <si>
    <t>CleanTech, Life Sciences</t>
  </si>
  <si>
    <t>234520-66T</t>
  </si>
  <si>
    <t>AUBE Management</t>
  </si>
  <si>
    <t>190777-78T</t>
  </si>
  <si>
    <t>Manty</t>
  </si>
  <si>
    <t>Developer of a data analysis platform designed to provide support and impact on data science. The company's platform uses AI-based data mining techniques along with integrated tools to offer optimal security and synchronized data, enabling clients to get developed intelligence administration software.</t>
  </si>
  <si>
    <t>Relyens</t>
  </si>
  <si>
    <t>business intelligence platform, data analytics, data analytics company, data analytics technology, data science, fintech, structured data, vertical application</t>
  </si>
  <si>
    <t>190112-23T</t>
  </si>
  <si>
    <t>Konect</t>
  </si>
  <si>
    <t>Entertainment Software, Social Content*, Social/Platform Software</t>
  </si>
  <si>
    <t>Operator of a SaaS-based social platform intended to connect the gamer community in one place. The company's platform helps to build gaming profiles, make valuable connections, and find opportunities and offers to create pages, add content, and share it everywhere, enabling gaming enthusiasts to centralize all their online content in one place and making it easy to share with their community.</t>
  </si>
  <si>
    <t>Bpifrance, Business Angels, Id4 Ventures, Kima Ventures, Purple (Paris)</t>
  </si>
  <si>
    <t>esports events, games world, gaming community, gaming experience, gaming social, home gamers, online games, social content, video games</t>
  </si>
  <si>
    <t>Esports, Gaming, SaaS</t>
  </si>
  <si>
    <t>190048-60T</t>
  </si>
  <si>
    <t>+Simple</t>
  </si>
  <si>
    <t>Operator of an insurance brokerage and managing general agents platform intended to offer tailor-made and competitive insurance services for professionals and small and medium-sized enterprises. The company's platform optimizes insurance, personalizes offers according to activity and its evolution as well and offers an online subscription that is secure and safe containing dematerialized contracts, enabling freelancers and small and medium businesses to manage their claims efficiently.</t>
  </si>
  <si>
    <t>Eurazeo (PAR: RF)(Chloé Giard), Kohlberg Kravis Roberts (NYS: KKR)(Patrick Devine), Speedinvest(Stefan Klestil), Tikehau Capital (PAR: TKO)(Laura Scolan), UniCredit (MIL: UCG)</t>
  </si>
  <si>
    <t>assurance service, car insurance, commercial insurance, digital insurance broker, health insurance broker, insurance app, insurance broking service, insurance platform, insurance services, loss protection</t>
  </si>
  <si>
    <t>InsurTech, TMT</t>
  </si>
  <si>
    <t>190045-99T</t>
  </si>
  <si>
    <t>42CAP(Alexander Meyer), Bpifrance, Fortino Capital Partners(Filip Van Innis), OSS Capital</t>
  </si>
  <si>
    <t>190105-30T</t>
  </si>
  <si>
    <t>Aglaé Ventures(Antoine Loison), Constructive Venture Fund, Courtin Investment, Founders Future, Frederic Halley, Kima Ventures, Odyssee Venture, Techmind, Verve Ventures</t>
  </si>
  <si>
    <t>190029-79T</t>
  </si>
  <si>
    <t>Acequia Capital, Bpifrance, Breega, Courtin Investment, Elaia Partners(Sofia Dahoune), Supernova Invest, Techmind</t>
  </si>
  <si>
    <t>189971-29T</t>
  </si>
  <si>
    <t>Bodyguard</t>
  </si>
  <si>
    <t>Trust &amp; Safety Tech</t>
  </si>
  <si>
    <t>Developer of a cloud-based content protection platform designed to protect people and businesses from online toxicity and toxic behaviors on the internet. The company's platform leverages social media monitoring and moderation solutions, seamlessly integrating into social networks and platforms of all sizes to safeguard communities and brands from toxic content, with a blend of AI and human expertise, it analyzes, alerts, and eliminates toxic and illegal content from your social networks, ensuring a safer and more positive online space, enabling clients to safeguard their community, brands, and revenue.</t>
  </si>
  <si>
    <t>Adrien Montfort(Adrien Montfort), AngelSquare, Djamel Agaoua(Djamel Agaoua), Julien Pascual, Keen Venture Partners(Bernardus Verwaayen), Michael Morhaime, Plug and Play Tech Center, Ring Capital(Nicolas Celier), Rudy Gobert-Bourgarel(Rudy Gobert-Bourgarel), Simon Pascual(Simon Pascual), Snaw Ventures, Societe Generale Ventures, Starquest Capital(Chloé Cohen-Aknine)</t>
  </si>
  <si>
    <t>artificial intelligence technology, community insights, content moderation, crisis management, hateful content filtering, threat monitoring</t>
  </si>
  <si>
    <t>189939-25T</t>
  </si>
  <si>
    <t>Auriga Cyber Ventures(Thierry Rouquet), Banque Populaire Auvergne Rhône Alpes, BNP Paribas (PAR: BNP), Bpifrance, Crédit Agricole Création, Kreaxi(Gwenaël Hamon), TeamWork Management(Philippe Gorrez)</t>
  </si>
  <si>
    <t>207230-86T</t>
  </si>
  <si>
    <t>UrbAdequate</t>
  </si>
  <si>
    <t>Buildings and Property*, Real Estate Services (B2C)</t>
  </si>
  <si>
    <t>Developer of real estate projects intended to support the urban transition. The company's ecosystem offers integration of new standards into their real estate projects by developing projects into the environment and offering policies of aid and subsidies to local and regional associations, enabling young working people with job opportunities in the project and affordable houses within projects.</t>
  </si>
  <si>
    <t>affordable house, property dealer, real estate projects, real estate projects building, real estate projects developer, real estate promotion</t>
  </si>
  <si>
    <t>203158-72T</t>
  </si>
  <si>
    <t>Calao Finance, Région Sud Investissement, UI Investissement</t>
  </si>
  <si>
    <t>190516-33T</t>
  </si>
  <si>
    <t>Mé-Mé</t>
  </si>
  <si>
    <t>Producer of natural energy drinks intended to offer healthy beverages. The company offers drinks made from tree sap and Matcha green tea, enabling consumers to get more sustainable and healthy consumption options with natural products, low in sugar.</t>
  </si>
  <si>
    <t>Bpifrance, Foodara, Papyrus group</t>
  </si>
  <si>
    <t>beverages tea, bio-engineered food, energy beverage, energy drink, functional food, green tea products, healthy beverages, lemon drink, low sugar drinks</t>
  </si>
  <si>
    <t>190270-72T</t>
  </si>
  <si>
    <t>Rollee</t>
  </si>
  <si>
    <t>Application Software, Business/Productivity Software*, Database Software, Media and Information Services (B2B)</t>
  </si>
  <si>
    <t>Developer of a secure platform designed for the verification of employment data. The company's platform provides services including profile verification, claim verification, activity monitoring, and fleet management, enabling businesses to get reliable data from payroll sources to automate their verifications.</t>
  </si>
  <si>
    <t>20VC(Kieran Hill), Foreword, Seedcamp, Speedinvest</t>
  </si>
  <si>
    <t>claims verification, employee data, employee verification, employee verification platform, fintech, fleet management, income data, vertical application, workers data</t>
  </si>
  <si>
    <t>192995-38T</t>
  </si>
  <si>
    <t>Reveal (Business/Productivity Software)</t>
  </si>
  <si>
    <t>Developer of an enterprise management platform designed to make sales teams generate enhanced revenue. The company's platform makes partner companies securely share and exchange customer relationship management data to maximize their synergies by automatically identifying overlapping customers and business strategies, enabling organizations to upscale their overall productivity efficiently.</t>
  </si>
  <si>
    <t>Chalfen Ventures(Michael Chalfen), Dig Ventures, Eight Roads(Lucile Cornet), Insight Partners(Brad Fiedler), Ventech (Paris)(Audrey Soussan)</t>
  </si>
  <si>
    <t>b2b partnership platform, crm, crm automation, crm data, crm engagement, crm technology, customer relationship management, enterprise management, enterprise management platform, partners relationship management, partnership management, revenue tracking, sales enablement platform</t>
  </si>
  <si>
    <t>189684-01T</t>
  </si>
  <si>
    <t>Convelio</t>
  </si>
  <si>
    <t>Logistics*, Media and Information Services (B2B)</t>
  </si>
  <si>
    <t>Provider of artwork logistics services intended to ship artwork safely. The company's services consider various parameters such as fragility, dimensions, and value to assemble the appropriate logistics chain for each artwork to offer online booking and tracking services, enabling galleries, auction houses, interior designers, and collectors to make any shipment easier, transparent, and safe.</t>
  </si>
  <si>
    <t>Acton Capital, European Investment Fund, Forestay Capital(Marieke Christmann), Global Founders Capital(David Sainteff), Mundi Ventures(Javier Santiso)</t>
  </si>
  <si>
    <t>art shipment, art shipping, freight forwarding logistic, logistics supply, shipping freight, shipping services</t>
  </si>
  <si>
    <t>189565-57T</t>
  </si>
  <si>
    <t>LISAqua</t>
  </si>
  <si>
    <t>Aquaculture*, Environmental Services (B2B)</t>
  </si>
  <si>
    <t>Operator of a sustainable aquaculture farm intended to breed shrimps. The company's farming process eliminates the use of antibiotics and additives, utilizes advanced predictive modeling technology to monitor and anticipate changes in pond water parameters, and follows the perm aquaculture method combining different complementary species to recreate a closed marine ecosystem, enabling consumers and communities with responsibly sourced seafood.</t>
  </si>
  <si>
    <t>Litto Invest, Societe Cooperative Agricole Le Gouessant</t>
  </si>
  <si>
    <t>animal ag, animal agriculture, aquaculture, aquacultured food, farmed prawns producer, marine ecosystem, responsible sourcing, shrimp farming, sustainable aquaculture</t>
  </si>
  <si>
    <t>AgTech, E-Commerce, Industrials</t>
  </si>
  <si>
    <t>193513-51T</t>
  </si>
  <si>
    <t>Re:Chemistry</t>
  </si>
  <si>
    <t>Commodity Chemicals, Industrial Chemicals, Other Chemicals and Gases*</t>
  </si>
  <si>
    <t>Operator of a biochemical company intended to create sustainably safe chemicals from biomass. The company's acid is a chemical with significant potential to replace petroleum-based products by giving access to their proprietary technology, enabling clients to make new applications for versatile chemical platform products.</t>
  </si>
  <si>
    <t>Sofinnova Partners(Guillaume Baxter), Sparta Capital (TSX: SAY)(Guillaume Sarlat)</t>
  </si>
  <si>
    <t>biochemical product, cellulosic biomass, green chemicals and materials, organic compound, renewable chemicals, sustainable chemicals</t>
  </si>
  <si>
    <t>CleanTech, Climate Tech, LOHAS &amp; Wellness, Oil &amp; Gas, TMT</t>
  </si>
  <si>
    <t>189374-77T</t>
  </si>
  <si>
    <t>Synapse Medicine</t>
  </si>
  <si>
    <t>Developer of a medical intelligence platform designed to assist doctors in managing drug prescriptions. The company's platform offers medical professionals such as doctors and pharmacists an easy way to find reliable and current information about medications to analyze treatments in real-time and ensure the safety of drug therapies, enabling doctors and patients to acquire virtual medical assistance.</t>
  </si>
  <si>
    <t>BNP Paribas Développement, Groupe MACSF(Stanislas Subra), Investir &amp;+, Korelya Capital(Fleur Pellerin), Mutuelles Impact, Naver (KRX: 035420), XAnge(Guillaume Meulle)</t>
  </si>
  <si>
    <t>artificial intelligence, artificial intelligence developer, e-health app, e-health tools, enterprise resource planning, erp, healthcare application, healthcare services, medication reconciliation, prescription optimization, reliable drugs information</t>
  </si>
  <si>
    <t>Artificial Intelligence &amp; Machine Learning, Digital Health, HealthTech, SaaS, TMT</t>
  </si>
  <si>
    <t>204756-22T</t>
  </si>
  <si>
    <t>190261-00T</t>
  </si>
  <si>
    <t>Watertracks</t>
  </si>
  <si>
    <t>Environmental Services (B2B)*, Machinery (B2B), Other Commercial Services</t>
  </si>
  <si>
    <t>Provider of robotic underwater services intended for carrying out or monitoring underwater public works. The company uses its robotic equipment to help in cleaning up sediments at small as well as very deep depths along with services such as excavation and dredging, enabling clients to get quality and optimized treatment services.</t>
  </si>
  <si>
    <t>Qair France International, Sofilaro</t>
  </si>
  <si>
    <t>aquatic services, monitoring software, robotic service, robotics underwater operations, submarine construction, underwater machine, underwater robots</t>
  </si>
  <si>
    <t>CleanTech, Industrials, LOHAS &amp; Wellness, Manufacturing, Robotics and Drones</t>
  </si>
  <si>
    <t>267663-70T</t>
  </si>
  <si>
    <t>2140</t>
  </si>
  <si>
    <t>Financial Software, Information Services (B2C), Other Financial Services, Publishing*</t>
  </si>
  <si>
    <t>Operator of a web3 resource portal intended to offers articles, thematic files, reports, infographics glossary and a directory among others regarding blockchain assets. The company also operates a cryptocurrency mining farm, enabling readers to say informed about decentralized finance ecosystem.</t>
  </si>
  <si>
    <t>blockchain news, dao data, defi infrastructure, layer2 network, token economy, web3 media</t>
  </si>
  <si>
    <t>209469-61T</t>
  </si>
  <si>
    <t>Aberyne</t>
  </si>
  <si>
    <t>Producer of vegan foie gras alternative products intended to offer a delicious and sustainable plant-based food option to consumers. The company's products are made from organic ingredients like cashew nut base and claim to be preservative-free, gluten-free, and lactose-free, enabling consumers to avail a delicious and sustainable alternative to foie gras.</t>
  </si>
  <si>
    <t>Clave, Tech Transfer Agrifood</t>
  </si>
  <si>
    <t>alternative products, alt-proteins, food company, healthy products, organic ingredients, plant-based protein, vegan food producer, vegan meat producer</t>
  </si>
  <si>
    <t>Climate Tech, E-Commerce, LOHAS &amp; Wellness</t>
  </si>
  <si>
    <t>227045-80T</t>
  </si>
  <si>
    <t>Blic</t>
  </si>
  <si>
    <t>Business/Productivity Software, Media and Information Services (B2B), Metal Containers and Packaging*</t>
  </si>
  <si>
    <t>Manufacturer of delivery boxes intended to improve supply on construction worksites. The company offers metal containers and integrates them into the construction site or the site is the guarantee of simplifying the reception of their deliveries, enabling construction worksites and companies to be provided with efficient returns and reduced carbon-di-oxide impact.</t>
  </si>
  <si>
    <t>Construction Venture</t>
  </si>
  <si>
    <t>delivery boxes, metal containers, metal containers manufacturer, metal containers packaging, parcel boxes, storage backup</t>
  </si>
  <si>
    <t>Metal Containers and Packaging</t>
  </si>
  <si>
    <t>Supply Chain Tech</t>
  </si>
  <si>
    <t>280062-73T</t>
  </si>
  <si>
    <t>189510-76T</t>
  </si>
  <si>
    <t>Bpifrance, Credit Agricole Entreprises (PAR: CRBP), Le Village by CA, UI Investissement(Yoann Ribay)</t>
  </si>
  <si>
    <t>190637-29T</t>
  </si>
  <si>
    <t>Cresh</t>
  </si>
  <si>
    <t>Financial Software*, Information Services (B2C), Other Financial Services</t>
  </si>
  <si>
    <t>Developer of financial software designed to provide point-of-sale financing services. The company's software provides an omnichannel system where users can split payments and purchase products in monthly installments both in-store or via telesales, track all their transactions, and receive price changes and discount alerts, enabling users to pay for their shopping cart in multiple installments through simple, honest and transparent payment plans.</t>
  </si>
  <si>
    <t>Broad Creek Capital, Kinderhook Partners</t>
  </si>
  <si>
    <t>enterprise payment, financial management, omnichannel system integration, payment platform, payment software, payment software development, payment software services</t>
  </si>
  <si>
    <t>191573-29T</t>
  </si>
  <si>
    <t>Data PM</t>
  </si>
  <si>
    <t>Business/Productivity Software*, Construction and Engineering, Multimedia and Design Software</t>
  </si>
  <si>
    <t>Developer of a building maintenance application designed to improve real estate asset management and operation. The company's platform offers features such as collaborative renovation project management, predictive maintenance based on artificial intelligence, IFC file compliance analysis, mobile applications for maintenance requests and facility management, and IFC model visualization, enabling real estate businesses to efficiently manage assets by predicting maintenance issues and reducing operational expenses.</t>
  </si>
  <si>
    <t>United Gulf Financial Services</t>
  </si>
  <si>
    <t>assets performance management, assets performance monitoring, building information modeling, building management, financial performance optimization, installation and maintenance, property management software, real estate management</t>
  </si>
  <si>
    <t>193850-83T</t>
  </si>
  <si>
    <t>Elloa</t>
  </si>
  <si>
    <t>Biotechnology, Cultivation*, Food Products</t>
  </si>
  <si>
    <t>Producer of green super-food intended to provide vegetable protein sources. The company offers a plant-based, protein alternative that is made from chlorella, and microalgae, enabling customers to get daily vitamins, iron, copper, phosphorus and manganese to live a healthy life.</t>
  </si>
  <si>
    <t>High Flyers Capital</t>
  </si>
  <si>
    <t>green food, green food product, microalgae food, microalgae product, nutritional food, nutritional needs, superfoods product</t>
  </si>
  <si>
    <t>AgTech, FoodTech</t>
  </si>
  <si>
    <t>Dublin, France</t>
  </si>
  <si>
    <t>190656-55T</t>
  </si>
  <si>
    <t>Matcha (Business/Productivity Software)</t>
  </si>
  <si>
    <t>Developer of a smart scoring software designed for increasing product-led sales. The company's software uses data science to help users prioritize sales opportunities and empower sales representatives with customer insights, enabling businesses to raise the product sales volume without reliance on any engineers.</t>
  </si>
  <si>
    <t>customer insights platform, data science tools, product sales platform, sales insights software, sales opportunity, sales tracker</t>
  </si>
  <si>
    <t>189685-09T</t>
  </si>
  <si>
    <t>Off-Works</t>
  </si>
  <si>
    <t>Business/Productivity Software, Human Capital Services, IT Consulting and Outsourcing, Media and Information Services (B2B)*</t>
  </si>
  <si>
    <t>Developer of a freelancer marketplace intended to manage communication talents. The company offers a marketplace to get projects in video, photography, web design, and other advertisement-related activities, enabling freelancers to get their work done.</t>
  </si>
  <si>
    <t>DuF Investments(Hadrien de La Tour)</t>
  </si>
  <si>
    <t>advertisement service, consulting agency, freelancers marketplace, freelancers platform, marketing services, talent managment</t>
  </si>
  <si>
    <t>HR Tech, Marketing Tech, TMT</t>
  </si>
  <si>
    <t>191201-41T</t>
  </si>
  <si>
    <t>Pictarine</t>
  </si>
  <si>
    <t>Application Software, Other Media*</t>
  </si>
  <si>
    <t>Developer of a photo management application designed to manage users' photos from the web. The company's photo management application lets users view the latest photos of people they follow on social networks, centralizes photos from all online services including all social networking sites, organizes photos as timelines, and backups the photos, enabling users to share their favorites with friends and helps them discover new photos.</t>
  </si>
  <si>
    <t>Corazon Group, Pritzker Group Venture Capital</t>
  </si>
  <si>
    <t>photo management, photo printing, photo printing app, photo sharing, photographs sharing, picture management</t>
  </si>
  <si>
    <t>Other Media</t>
  </si>
  <si>
    <t>201978-64T</t>
  </si>
  <si>
    <t>PopChef</t>
  </si>
  <si>
    <t>Operator of an online on-demand food delivery platform intended to offer handmade meals to customers. The company's platform offers delivery of fresh and seasonal products within a slot of a few minutes, enabling users to get fresh food at the office and homes in biodegradable packaging made from sugarcane.</t>
  </si>
  <si>
    <t>AngelSquare, Bourrelier Group (PAR: ALBOU), Celeste Management, Meridiam(Eric Rey), Philippe Salle(Philippe Salle)</t>
  </si>
  <si>
    <t>buffet food, cooked food, cooked meals, food delivery app, ghost kitchen, lunch delivery service, online ordering, restaurant &amp; retail tech</t>
  </si>
  <si>
    <t>FoodTech, Restaurant Technology, Supply Chain Tech</t>
  </si>
  <si>
    <t>158793-85T</t>
  </si>
  <si>
    <t>Sowit</t>
  </si>
  <si>
    <t>Business/Productivity Software, Other Agriculture*</t>
  </si>
  <si>
    <t>Developer of an agriculture technology designed to provide decision tools optimizing farmers' inputs and maximizing yields for agriculture. The company's technology platform leverages all the power of remote sensing such as satellite imagery, agronomy, and AI to streamline farmers and value chain operations and allow best-in-class performance, it enables all value chain players to work efficiently and farmers to get what they need from seed to sale, enabling farmers to enhance their operations and optimize their use of inputs.</t>
  </si>
  <si>
    <t>Bpifrance, Challenge Fund for Youth Employment, EmergingTech Ventures, Small Enterprise Assistance Funds, Tamwilcom</t>
  </si>
  <si>
    <t>agriculture technology firm, agriculture technology platform, crop management, farm management software, farming optimization, precision ag, precision agriculture, yield maximization</t>
  </si>
  <si>
    <t>280054-72T</t>
  </si>
  <si>
    <t>Weglot</t>
  </si>
  <si>
    <t>Developer of a SaaS multilingual plugin software designed to facilitate language translations in any web browser. The company's software offers a translation API that integrates seamlessly into websites and delivers it in multiple languages, enabling businesses to manage their translated content easily.</t>
  </si>
  <si>
    <t>content services, knowledge management system, language translation, plug-in software, translation api, website translation, wordpress plugins</t>
  </si>
  <si>
    <t>189376-48T</t>
  </si>
  <si>
    <t>CarbonWorks</t>
  </si>
  <si>
    <t>Carbon Capture</t>
  </si>
  <si>
    <t>Biotechnology, Environmental Services (B2B)*</t>
  </si>
  <si>
    <t>Developer of algae photobioreactors intended to capture carbon dioxide for agricultural biocontrol and human and animal food markets. The company's photobioreactors industrialize microalgal photosynthesis by the carbon emitted by manufacturers and convert it into biomass that could be transformed into fungicides and animal feed, enabling industries to develop safe bioproducts at a large scale and reduce their carbon footprints.</t>
  </si>
  <si>
    <t>AQUITI Gestion, BNP Paribas (PAR: BNP)(Sebastien Renaud), Bpifrance, Demeter Partners, Fermentalg (PAR: ALGAE)(Philippe Lavielle), Nouvelle Aquitaine Co-Investissement, Région Nouvelle-Aquitaine, Suez(Charles Chami)</t>
  </si>
  <si>
    <t>biological carbon removal, carbon capture services, carbon capture technology, carbon tech, carbon technology, microalgae technology, natural raw material, photobioreactors technology</t>
  </si>
  <si>
    <t>Libourne, France</t>
  </si>
  <si>
    <t>197012-80T</t>
  </si>
  <si>
    <t>Cell-Easy</t>
  </si>
  <si>
    <t>Provider of stem cell contract development services intended to be used for preclinical and clinical drug development projects. The company's services include quick and easy access to ready-to-inject adipose-derived allogeneic stem cells, enabling the healthcare industry to reduce stem cell manufacturing costs and change the affordability challenge currently met by cell therapies.</t>
  </si>
  <si>
    <t>Bpifrance, Languedoc-Roussillon Region</t>
  </si>
  <si>
    <t>allogeneic stem cell, cell therapy contract development, clinical drug, regenerative therapy, stem cell manufacturing, stem cell provider</t>
  </si>
  <si>
    <t>189399-43T</t>
  </si>
  <si>
    <t>Kyotherm</t>
  </si>
  <si>
    <t>Other Financial Services, Specialized Finance*</t>
  </si>
  <si>
    <t>Provider of financing and investment services intended to offer project capital to renewable heating and energy efficiency projects. The company specializes in renewable heat and energy efficiency and provides financing solutions across a wide range of decarbonization technologies, including geothermal, biomass, solar thermal, waste heat recovery, heat pumps, and energy flexibility, among others, enabling clients to develop various energy infrastructures with added value on the contractual and financial structuring.</t>
  </si>
  <si>
    <t>Andera Partners(Guy Auger), Bpifrance, Ciclad(Eric Bruguiere), Johes, Noria, Starquest Capital(Arnaud Delattre)</t>
  </si>
  <si>
    <t>energy efficiency financing, energy funding, energy investing, energy investor, energy sector investment, grid infrastructure, project funding</t>
  </si>
  <si>
    <t>189203-50T</t>
  </si>
  <si>
    <t>Ullo Labs</t>
  </si>
  <si>
    <t>Developer of a new generation of digital therapies intended to improve the daily lives of users and care professionals. The company's digital therapy combines augmented reality, sensory stimulation, and breathing exercises to influence certain behaviors in a physiological, cognitive, or emotional state, enabling customers to become aware and adopt better behaviors.</t>
  </si>
  <si>
    <t>Crédit Agricole Charente-Périgord(Patrick Godfather), Elaia Partners(Daniel Pilaud)</t>
  </si>
  <si>
    <t>anxiety relief, cognitive therapy, digital therapeutic treatment, digital therapeutics platform, meditation training, sensory therapy</t>
  </si>
  <si>
    <t>Augmented Reality, HealthTech</t>
  </si>
  <si>
    <t>207991-54T</t>
  </si>
  <si>
    <t>LeGratin</t>
  </si>
  <si>
    <t>Business/Productivity Software, Human Capital Services*, IT Consulting and Outsourcing</t>
  </si>
  <si>
    <t>Operator of an online employment marketplace designed to assist businesses in finding highly-skilled independent professionals. The company's platform connects vetted freelancers such as developers, designers, engineers, and marketers to tech employers for technical skills and requirements, enabling businesses to hire tech teams on a project-to-project basis.</t>
  </si>
  <si>
    <t>AngelSquare, Super Capital</t>
  </si>
  <si>
    <t>freelance jobs, freelancers search, human capital service, recuitment platform, recuitment services, tech team</t>
  </si>
  <si>
    <t>223733-35T</t>
  </si>
  <si>
    <t>Abyss Ingredients</t>
  </si>
  <si>
    <t>Developer of natural health ingredients designed to evaluate marine by-products, combining innovation, circular economy and sustainability. The company's ingredients are extracted from sustainable marine bio-resources and are scientifically proven with a focus on healthy aging, enabling nutraceutical and nutri-cosmetic companies to develop efficient and differentiating products to meet and exceed their client's expectations regarding health and well-being.</t>
  </si>
  <si>
    <t>GO Capital (France)(Clémentine Breysse)</t>
  </si>
  <si>
    <t>anti-aging ingredients, cosmetic ingredient, health ingredients, healthy liquid, muscle recovery, natural healthy ingredients, sleep disorder</t>
  </si>
  <si>
    <t>189056-08T</t>
  </si>
  <si>
    <t>Finary</t>
  </si>
  <si>
    <t>Developer of an investment management platform designed to help users to get a clear overview of their asset allocation. The company's platform offers tailor-made management of personal finance, real estate, cryptocurrencies, insurance, and other securities, enabling users to monitor and analyze their assets to make the right decisions and optimize their investments.</t>
  </si>
  <si>
    <t>Alexandre Prot(Alexandre Prot), Crowdcube, Eric Demuth(Eric Demuth), Hedosophia, Source Ventures (Paris), Speedinvest, Steve Anavi(Steve Anavi), Y Combinator</t>
  </si>
  <si>
    <t>fintech firm, fintech services company, investment advisor, investment management, investment platform, investment tool, personal financial advice, wealth management</t>
  </si>
  <si>
    <t>232325-74T</t>
  </si>
  <si>
    <t>Fleex</t>
  </si>
  <si>
    <t>Business Equipment and Supplies*</t>
  </si>
  <si>
    <t>Provider of office supplies intended to provide the employees with all they need to work. The company's platform selects remote equipment, support for employees, and product maintenance, from delivery to offboarding, including installation, enabling the employees to work in a comfortable environment.</t>
  </si>
  <si>
    <t>hybrid office, office equipment, office furniture, office supplies, onboarding tools, simplified management</t>
  </si>
  <si>
    <t>Business Equipment and Supplies</t>
  </si>
  <si>
    <t>Saint-Quentin, France</t>
  </si>
  <si>
    <t>189062-29T</t>
  </si>
  <si>
    <t>La Bouche Rouge</t>
  </si>
  <si>
    <t>Manufacturer of eco-friendly lipsticks and other cosmetic products designed to reconcile luxury and sustainability in the cosmetic industry. The company's products are vegan and are packaged in refillable, eco-designed leather lipstick cases and are free of petrochemical derivatives, silicones, and beeswax, enabling customers to get sustainable beauty products.</t>
  </si>
  <si>
    <t>Bpifrance, Chalhoub Group, Chanel, Guibor, Mirabaud Private Equity</t>
  </si>
  <si>
    <t>cosmetic products, craftsmanship market, natural ingredients, reusable items, sustainable cosmetics, vegan lipstick</t>
  </si>
  <si>
    <t>188410-60T</t>
  </si>
  <si>
    <t>Olino</t>
  </si>
  <si>
    <t>Business/Productivity Software, Insurance Brokers, Multi-line Insurance, Other Insurance*</t>
  </si>
  <si>
    <t>Operator of a digital insurance platform intended to compare and buy insurance. The company offers insurance including cyber risk protection, professional liability, health coverage, juridic protection, decennial coverage, underwriting, contracts management and claims to monitor, enabling professionals to build, subscribe and manage insurance contracts directly online.</t>
  </si>
  <si>
    <t>M Capital Partners(Clément Bauguil)</t>
  </si>
  <si>
    <t>claims management, construction insurance, digital insurance platform, insurance consulting, insurance management, insurance technology</t>
  </si>
  <si>
    <t>188112-88T</t>
  </si>
  <si>
    <t>Seyna</t>
  </si>
  <si>
    <t>Business/Productivity Software*, Other Insurance</t>
  </si>
  <si>
    <t>Developer of an insurance creation, management, and distribution platform intended to make selling and managing insurance easy. The company's platform leverages technology to provide custom-made insurance products in various sectors including even non-life sectors, enabling customers a customizable and easy-to-use insurance product.</t>
  </si>
  <si>
    <t>Allianz France, Elaia Partners(Armelle de Tinguy), Financière Saint James, Global Founders Capital(Hugues de Braucourt), Idinvest Partners, White Star Capital(Matthieu Lattes)</t>
  </si>
  <si>
    <t>api platform, distribution and intermediation, insurance products, insurance technology, professional insurance service, risk carrier, technical platform</t>
  </si>
  <si>
    <t>189005-50T</t>
  </si>
  <si>
    <t>Tracktor</t>
  </si>
  <si>
    <t>Business/Productivity Software*, Construction and Engineering, Information Services (B2C), Media and Information Services (B2B)</t>
  </si>
  <si>
    <t>Developer of a web-based platform designed to assist building and civil engineering professionals in hiring construction equipment. The company's platform selects rental companies throughout France and aggregates them on a single platform, generates quotes instantly, and offers customers advantageous conditions regardless of their rental volume, enabling professionals to get an instant quote and book mini-excavators, platforms, trolleys, barriers, and living bases directly online.</t>
  </si>
  <si>
    <t>AXA Venture Partners(François Robinet), Bpifrance(Victoire Millerand), BTP Capital Investissement, Kerala Ventures(Antoine Freysz), Pascal Casanova(Pascal Casanova), Pierre Kosciusko Morizet(Pierre Kosciusko Morizet), Xavier Niel(Xavier Niel)</t>
  </si>
  <si>
    <t>civil engineering service, collaborative economy, construction equipment, digital commerce, equipment rental platform, sharing economy, web based platform</t>
  </si>
  <si>
    <t>188931-52T</t>
  </si>
  <si>
    <t>MyDataModels</t>
  </si>
  <si>
    <t>Developer of an artificial intelligence-driven analytics platform designed to build and run custom predictive models. The company's platform leverages machine learning technology to optimize processes, make predictions and provide actionable insights, enabling users to build predictive models to understand and analyze data easily and affordably.</t>
  </si>
  <si>
    <t>Gravitation</t>
  </si>
  <si>
    <t>data analytics, insightful data, predictive maintenance, predictive maintenance tools, predictive modeling, predictive modeling platform, process optimization</t>
  </si>
  <si>
    <t>190037-62T</t>
  </si>
  <si>
    <t>Origame</t>
  </si>
  <si>
    <t>Developer of subscription management platform designed to reduce expenses. The company's application detects and analyzes mobile subscriptions allowing the identification of unwanted direct debits as well as overpriced subscriptions, enabling users to manage their finances from a secure space.</t>
  </si>
  <si>
    <t>Pays de la Loire Participations</t>
  </si>
  <si>
    <t>account management, data portability, data protection, expense management, expense tracking platform, finance planning, mobile subscription application</t>
  </si>
  <si>
    <t>187666-57T</t>
  </si>
  <si>
    <t>Scibids Technology</t>
  </si>
  <si>
    <t>Developer of SaaS platform designed to solve the algorithmic trading challenges on behalf of media buyers. The company's platform offers a plug-and-play, transparent, and self-serve algorithmic trading technology that automates the bids and the budget allocation across strategies, enabling marketing and advertising professionals to boost the outcome of the existing campaigns setup and help them save time.</t>
  </si>
  <si>
    <t>Blacksheep Ventures(Umberto Bottesini), EUREKA! Venture, IRIS (Private Equity)(Gil Doukhan)</t>
  </si>
  <si>
    <t>crm, custom bidding model, customer relationship management, customized bidding, digital marketing software, machine learning, marketing ai assistant, programmatic advertising, real-time-bidding</t>
  </si>
  <si>
    <t>190175-68T</t>
  </si>
  <si>
    <t>1823 Ventures, Axeleo Capital, Otium Capital, SoHo Capital</t>
  </si>
  <si>
    <t>188804-26T</t>
  </si>
  <si>
    <t>Artpoint</t>
  </si>
  <si>
    <t>Media and Information Services (B2B)*, Other Commercial Services, Other Financial Services</t>
  </si>
  <si>
    <t>Operator of a digital art gallery intended to bring art into living spaces in order to enrich the public experience and enhance the spaces. The company multiplies the opportunities for encounters between digital art and its public in order to promote artistic creation and democratize access to art, enabling clients to enhance spaces through art and surprise their customers or collaborators by integrating real artistic experiences with NFTs.</t>
  </si>
  <si>
    <t>AngelSquare, Courtin Investment, Daffourd Invest, Techmind, Unico, Unico Partners(Vincent Daffourd), YADAY</t>
  </si>
  <si>
    <t>art gallery network, artistic direction, artistic platform, digital art gallery, digital artwork, interactive art</t>
  </si>
  <si>
    <t>189443-89T</t>
  </si>
  <si>
    <t>BetterCallDave</t>
  </si>
  <si>
    <t>Developer of a digital platform intended to support online music. The company's platform offers the distribution of music catalogs, specialized technical expertise, innovative alternatives, and music streaming, enabling users to provide pleasure and expertise in the music sector.</t>
  </si>
  <si>
    <t>Finorpa(Adrien Fatibene)</t>
  </si>
  <si>
    <t>ai based music, digital music industry, digital music service, music catalog publisher, music development platform, online music market</t>
  </si>
  <si>
    <t>190174-24T</t>
  </si>
  <si>
    <t>189759-97T</t>
  </si>
  <si>
    <t>TransCure BioServices</t>
  </si>
  <si>
    <t>Biotechnology*, Drug Discovery, Other Pharmaceuticals and Biotechnology</t>
  </si>
  <si>
    <t>Developer of humanized mouse models intended to accelerate the development and commercialization of new drugs and therapies for cancer. The company allows researchers to rapidly and efficiently generate and characterize humanized mouse models, which are more predictive of human drug response than traditional animal models, enabling pharmaceutical companies and other life science organizations to bring new therapies to market faster and more cost-effectively.</t>
  </si>
  <si>
    <t>Cathay Capital Private Equity(Fabien Wesse)</t>
  </si>
  <si>
    <t>hepatic disorder, human hepatocytes, human immune system, inflammatory disease, pharmaceutical research, research platform</t>
  </si>
  <si>
    <t>188775-37T</t>
  </si>
  <si>
    <t>Hoverseen</t>
  </si>
  <si>
    <t>Electronic Equipment and Instruments, Other Hardware*</t>
  </si>
  <si>
    <t>Developer of autonomous drone systems designed to provide security and inspection of industrial installations. The company's systems carry out automatic missions without a remote pilot by following integrated flight plans and broadcasting HD video streams to monitor screens, enabling clients to cover blind spots and inaccessible areas.</t>
  </si>
  <si>
    <t>Bpifrance, Investessor</t>
  </si>
  <si>
    <t>autonomous drone, drone technology, drones manufacturing, drones systems, surveillance drones, uav system</t>
  </si>
  <si>
    <t>267962-50T</t>
  </si>
  <si>
    <t>Envi</t>
  </si>
  <si>
    <t>Operator of an educational firm intended for training entrepreneurs. The company provides online training, and coaching and instills the mindset and skill of business owners, enabling entrepreneurs to seize new business opportunities</t>
  </si>
  <si>
    <t>Founders Future, YADAY</t>
  </si>
  <si>
    <t>business opportunities, business owners, coaching firm, educational firm, entrepreneur network, online training</t>
  </si>
  <si>
    <t>192985-39T</t>
  </si>
  <si>
    <t>Nannybag</t>
  </si>
  <si>
    <t>Application Software, Information Services (B2C), Other Services (B2C Non-Financial)*</t>
  </si>
  <si>
    <t>Operator of a collaborative luggage storage network intended to offer luggage management service to travelers. The company's platform works with hotels, merchants, and private individuals to receive visitors' luggage and offer them other services such as taking a small shower or a meal, enabling travelers to leave their luggage in hotels and shops in different cities of Europe.</t>
  </si>
  <si>
    <t>La Poste Groupe</t>
  </si>
  <si>
    <t>luggage lockers, luggage management service, luggage management software, luggage service, luggage storage finder, luggage storage network, luggage storage services</t>
  </si>
  <si>
    <t>184946-41T</t>
  </si>
  <si>
    <t>InterCloud</t>
  </si>
  <si>
    <t>Business/Productivity Software*, IT Consulting and Outsourcing, Systems and Information Management</t>
  </si>
  <si>
    <t>Developer of an enterprise cloud application software designed to deliver corporate data anywhere. The company's platform offers a delivery platform like cloud computing, digital transformation, private connectivity, and cloud networking that makes cloud resources available as an extension of its internal infrastructure, enabling organizations to shape the right connectivity for the cloud while addressing security, performance, and flexibility issues.</t>
  </si>
  <si>
    <t>Aleph Capital Partners(Hugues Lepic), Bpifrance, CapHorn Invest(Guillaume Dupont), Hi Inov, Open CNP, Orange Ventures, UL Invest, Ventech (Paris)(Jean Bourcereau), Weber Investissements</t>
  </si>
  <si>
    <t>business cloud software, cloud access provider, cloud application, cloud application platform, cloud computing, enterprise cloud application, enterprise cloud platform</t>
  </si>
  <si>
    <t>190075-42T</t>
  </si>
  <si>
    <t>L.B.F.</t>
  </si>
  <si>
    <t>Manufacturer of crafted beers intended to offer a range of traditional beer. The company's beers are prepared with cereals without preservatives and are unfiltered and unpasteurized elements, enabling consumers to enjoy the rich taste of French beer.</t>
  </si>
  <si>
    <t>beverage cans, craft beer, natural beer, natural beer ingredients, traditional beer, wheat beer</t>
  </si>
  <si>
    <t>188531-20T</t>
  </si>
  <si>
    <t>PlayPlay</t>
  </si>
  <si>
    <t>Developer of a video production platform designed to build social videos for companies to attract customers. The company's platform allows users to create and share video content for engagement with audiences, enabling companies to produce quality, ready-to-post videos and publish them on any platform.</t>
  </si>
  <si>
    <t>Balderton Capital(Robert Moffat), Insight Partners(Rebecca Liu-Doyle)</t>
  </si>
  <si>
    <t>communication technology, email and authoring, knowledge management system, marketing technology, shares video content, video communication, video content, video marketing, video production</t>
  </si>
  <si>
    <t>202007-35T</t>
  </si>
  <si>
    <t>AirAngels, AngelSquare, Faraday Partners, Gaingels, Kima Ventures, Nickleby Capital, PDS Ventures, Sweetspot Capital Holdings, True.</t>
  </si>
  <si>
    <t>218884-60T</t>
  </si>
  <si>
    <t>Atman Manufacture</t>
  </si>
  <si>
    <t>Developer and manufacturer of high-end industrial products intended to improve the art of living. The company offers products that are eco-sustainable, repairable, recyclable and designed to last, enabling users to enrich their user experience by enhancing their interiors.</t>
  </si>
  <si>
    <t>AQUITI Gestion, Ouest Angels Capital, Parthal</t>
  </si>
  <si>
    <t>industrial design service, industrial design solution, industrial products, industrial products design, industrial products distributor, industrial products provider</t>
  </si>
  <si>
    <t>Soubise, France</t>
  </si>
  <si>
    <t>188391-97T</t>
  </si>
  <si>
    <t>Gatewatcher</t>
  </si>
  <si>
    <t>Developer of cybersecurity platform designed to detect intrusions and advanced threats. The company's protection model combines advanced technologies with artificial intelligence (AI) to respond to all attack techniques by identifying the elements of each cyber threat, enabling businesses to safeguard their online system from unknown cyber threats.</t>
  </si>
  <si>
    <t>Move Capital</t>
  </si>
  <si>
    <t>advanced persistent threat, cyberattacks protection, cybersecurity system, malware protection, network detection &amp; response, network detection and response, threat forensic</t>
  </si>
  <si>
    <t>La Défense, France</t>
  </si>
  <si>
    <t>188500-69T</t>
  </si>
  <si>
    <t>Walter Learning</t>
  </si>
  <si>
    <t>Operator of an online training platform intended to provide relevant online courses. The company's platform offers a variety of online classes in various subjects designed by experts, including videos, written content, and exercises, enabling various professionals like nurses, real estate agents, and restaurateurs to improve their skills and stay up to date with their knowledge.</t>
  </si>
  <si>
    <t>Bpifrance, Groupe HLD(Cédric Boxberger)</t>
  </si>
  <si>
    <t>digital learning, e-learning portal, online education, online learning, online training, online training platform, training courses</t>
  </si>
  <si>
    <t>188650-90T</t>
  </si>
  <si>
    <t>Youdge</t>
  </si>
  <si>
    <t>Consumer Finance*, Specialized Finance</t>
  </si>
  <si>
    <t>Operator of a digital neo-broker platform intended to provide online scoring and underwriting process for consumer credit. The company's platform offers personal loans, revolving credit, loan consolidation, and other types of loans, enabling users to compare credit offers on the market and subscribe directly online.</t>
  </si>
  <si>
    <t>Elevation Capital Partners(Benjamin Cohen)</t>
  </si>
  <si>
    <t>broker platform, credit offer, financial loan, loans consolidation, personal loan service, revolving credit</t>
  </si>
  <si>
    <t>241221-88T</t>
  </si>
  <si>
    <t>Bypass Solutions</t>
  </si>
  <si>
    <t>Other Devices and Supplies, Other Healthcare Services, Surgical Devices*</t>
  </si>
  <si>
    <t>Developer of innovative percutaneous procedure medical device designed for surgical and percutaneous bypass. The company's device offers to perform a suture-less bypass to treat long Ilio-femoral occlusions, offering an alternative to open surgical bypass, enabling healthcare professionals to significantly improve the complications associated with bypass surgery and hopes to be able to transform procedures.</t>
  </si>
  <si>
    <t>M&amp;L Healthcare Investments</t>
  </si>
  <si>
    <t>bypass surgery, bypass surgery equipment, bypass surgery process, healthcare services, surgical device company, surgical device developer, surgical device provider</t>
  </si>
  <si>
    <t>212339-89T</t>
  </si>
  <si>
    <t>Fringuant</t>
  </si>
  <si>
    <t>Application Software, Business/Productivity Software*, Clothing, Other Services (B2C Non-Financial)</t>
  </si>
  <si>
    <t>Developer of a digital platform designed for receiving fashion-related recommendations. The company's platform uses technology to give fits and sizes suggestions to the consumers, increasing conversation rate and data analytics, enabling fashion companies to figure out the perfect match for their customers with the technology and information as well as reducing the return rates.</t>
  </si>
  <si>
    <t>body measurement, clothing goods, digital software, fashion industry, fashion retail, fashion technology</t>
  </si>
  <si>
    <t>188518-42T</t>
  </si>
  <si>
    <t>Tribe Sport Group</t>
  </si>
  <si>
    <t>Internet Retail, Recreational Goods, Specialty Retail*</t>
  </si>
  <si>
    <t>Operator of an e-commerce platform intended to make better travel lifestyle choices. The company offers bicycles, clothing, helmets, components, bike protection, nutrition, and other products, enabling users to gain insightful information, recommendations, and reviews from relatable groups with online delivery.</t>
  </si>
  <si>
    <t>Eximium</t>
  </si>
  <si>
    <t>bicycle design, bicycle maker, bikes protection, braking system, online delivery, spectator sports, travel lifestyle retailer</t>
  </si>
  <si>
    <t>Cogolin, France</t>
  </si>
  <si>
    <t>188398-00T</t>
  </si>
  <si>
    <t>YouScribe</t>
  </si>
  <si>
    <t>Application Software, Movies, Music and Entertainment, Publishing*</t>
  </si>
  <si>
    <t>Developer of an online digital library designed to focus on ebooks and document publishing and sharing. The company's online platform helps in the digitalization of written texts, which can be read, shared, commented upon, digitally and on all kinds of reading devices, enabling written content holders to raise their web profile based on several features to make it possible for their documents to be accessed by as many readers as possible.</t>
  </si>
  <si>
    <t>Banque des Territoires, Clarisse, Habert Dassault Finance, IRIS (Private Equity), TDH Capital</t>
  </si>
  <si>
    <t>audiobooks library, digital content, digital journals, digital publishing, ebook app, online books</t>
  </si>
  <si>
    <t>204731-11T</t>
  </si>
  <si>
    <t>Fifteen</t>
  </si>
  <si>
    <t>Automotive*, Information Services (B2C), Road</t>
  </si>
  <si>
    <t>Developer of augmented bike networks designed to encourage active mobility and equitable access to cycling in cities and towns of all sizes. The company offers people with onboard bike-share systems technology and a patented security system and its approach empowers cities and towns to promote cycling, reduce traffic congestion, and contribute to a healthy environment, enabling individuals and communities to enjoy short-term rentals, long-term subscriptions, and intermodal trips.</t>
  </si>
  <si>
    <t>2050 (VC)(Olivier Mathiot), Banque des Territoires, BNP Paribas Développement, C4 Ventures, Caisse des Depots Group, Daphni, Eiffel Investment Group, Mobivia Group, Oltre Impact</t>
  </si>
  <si>
    <t>analytics platform, bikes shares, bikes sharing platform, bikes sharing system, business intelligence platform, e-bike company, micromobility, mobility tech, mobility technology</t>
  </si>
  <si>
    <t>Micro-Mobility, Mobility Tech</t>
  </si>
  <si>
    <t>188453-44T</t>
  </si>
  <si>
    <t>Angels Santé(Stéphane Loze), Business Angels Marne Ardennes, Capital Grand Est, Finovam Gestion, Fournier-Majoie Foundation</t>
  </si>
  <si>
    <t>188203-87T</t>
  </si>
  <si>
    <t>Sequoia Capital(George Robson)</t>
  </si>
  <si>
    <t>192348-55T</t>
  </si>
  <si>
    <t>Axeptio</t>
  </si>
  <si>
    <t>Business/Productivity Software*, Information Services (B2C), Internet Software</t>
  </si>
  <si>
    <t>Developer of a marketing and compliance platform designed to set up a cookie banner for websites. The company's platform offers intuitive editor features like discreet and customizable widgets, educational editorials, and micro-animations that also allow changing texts, pictures, fonts, and sizes, enabling developers to increase engagement and collect and store the consent of their users.</t>
  </si>
  <si>
    <t>1st Kind, Evolem, ISAI(Jean-Patrice Anciaux), Kima Ventures, OVNI Capital(Arnaud Laurent), Pentagram Ventures, Ulysse Laroche(Ulysse Laroche)</t>
  </si>
  <si>
    <t>compliance platform, consent management, consent solutions, customizable widgets, gdpr management, gdpr software, marketing compliance, marketing compliance software, saas app</t>
  </si>
  <si>
    <t>188366-14T</t>
  </si>
  <si>
    <t>RollingFunds</t>
  </si>
  <si>
    <t>Developer of a credit management platform designed to help small and medium-sized businesses to access cash financing. The company's platform utilizes instant scoring algorithms based on machine learning to automate the granting and management of loans for small and medium-sized enterprises, enabling financial institutions to evaluate creditworthiness in real time.</t>
  </si>
  <si>
    <t>AG2R La Mondiale, CCR (Paris)(Laurent Montador), PRO BTP Groupe, Truffle Capital(Bernard Roques)</t>
  </si>
  <si>
    <t>automated platform, credit analysis tool, credit management software, deferred payment, financing platform, financing services, fintech, short term loan, vertical application</t>
  </si>
  <si>
    <t>188168-32T</t>
  </si>
  <si>
    <t>Daphni, Kima Ventures, LEDGER (Spain), Motier Ventures, Speedinvest(Charlie Boles)</t>
  </si>
  <si>
    <t>188719-12T</t>
  </si>
  <si>
    <t>Kawaa</t>
  </si>
  <si>
    <t>Other Services (B2C Non-Financial), Restaurants and Bars*</t>
  </si>
  <si>
    <t>Operator of a collaborative place intended to promote social connection and community building. The company facilitates meetings and events between citizens and provides all the tools to create an animation of local and thematic meetings to build social bonds and participate in society to foster connection and collaboration., enabling individuals and teams to work, meet, and socialize in a flexible environment, promoting creativity and community interaction.</t>
  </si>
  <si>
    <t>Abeille Impact Investing France, Inco Ventures</t>
  </si>
  <si>
    <t>citizen participation, collaborative platform, event organization services, meeting place, office workspace, solidarity economy</t>
  </si>
  <si>
    <t>188026-48T</t>
  </si>
  <si>
    <t>Silvr</t>
  </si>
  <si>
    <t>Financial Software, Specialized Finance*</t>
  </si>
  <si>
    <t>Provider of loans intended to accelerate the growth of e-commerce, e-shops, and marketplaces. The company's platform finances e-merchants who generally do not have access to a bank alongside also helping to fund their marketing spending and getting paid back later according to their sales, enabling clients to increase their productivity and efficiency.</t>
  </si>
  <si>
    <t>Alexandre Prot(Alexandre Prot), Bpifrance, Eurazeo (PAR: RF), ISAI, Kima Ventures, Louis Chatriot(Louis Chatriot), Otium Capital(Jérémie Bordier), Pentagram Ventures, Pierre Dutaret(Pierre Dutaret), Raphaël Vullierme(Raphaël Vullierme), Siparex Group, Steve Anavi(Steve Anavi), Wind Capital, XAnge</t>
  </si>
  <si>
    <t>business finance service, business loans, commercial finance, e-merchant payment, entrepreneurs financing, financial service company, financial services, non-dilutive finance</t>
  </si>
  <si>
    <t>190860-85T</t>
  </si>
  <si>
    <t>Partech(Bruno Crémel)</t>
  </si>
  <si>
    <t>187945-93T</t>
  </si>
  <si>
    <t>Bolk</t>
  </si>
  <si>
    <t>Food Products, Other Restaurants, Hotels and Leisure*</t>
  </si>
  <si>
    <t>Operator of a robotic canteen facility intended for offices and hospitals. The company has a robotic touchscreen terminal that helps users choose from a predetermined recipe or compose a recipe and get food ready through an automated process, it also takes care of maintenance, and refueling of food, enabling customers with fresh, hygienic, and untouched food served in the offices.</t>
  </si>
  <si>
    <t>Anthony Bourbon(Anthony Bourbon), Courtin Investment, Kima Ventures, Rand Hindi(Rand Hindi), Sharpstone Capital, Willarth Investments</t>
  </si>
  <si>
    <t>canteen management, canteen services, healthy food, kitchentech &amp; robotics, kitchentech and robotics, restaurant &amp; retail tech, restaurant and retail technology, robotics delivery, robotics management, salads food, touch screen device</t>
  </si>
  <si>
    <t>FoodTech, Robotics and Drones</t>
  </si>
  <si>
    <t>186929-74T</t>
  </si>
  <si>
    <t>Acument Créteil, AQUITI Gestion, Bpifrance(Samia Belabed), Charente-Périgord Expansion, Crédit Agricole Aquitaine, ECBF Management(Michael Brandkamp), Nouvelle Aquitaine Co-Investissement, Sofinnova Partners(Michael Krel)</t>
  </si>
  <si>
    <t>226797-40T</t>
  </si>
  <si>
    <t>Antoine Rivet(Antoine Rivet), Antoine Roland(Antoine Roland), Anurag Thonivalappil Asokan(Anurag Thonivalappil Asokan), C'etait Demain(Patrick Siri), Cécile Roland(Cécile Roland), Damien Roland(Damien Roland), Florian Kaltenberger(Florian Kaltenberger), Franck Ganizate(Franck Ganizate), Jala Holding(François Nicoly), Rex Investment(Markus Rex), Said Achache(Said Achache), Véronique Poudou(Véronique Poudou)</t>
  </si>
  <si>
    <t>187843-42T</t>
  </si>
  <si>
    <t>Andera Partners(Prune Des Roches), Deeptech Ventures, Ovive, Societe Financiere Lorient Developpement(Bruno Jossec)</t>
  </si>
  <si>
    <t>190387-00T</t>
  </si>
  <si>
    <t>Water Horizon</t>
  </si>
  <si>
    <t>Other Commercial Services, Other Energy, Other Energy Services, Other Equipment*</t>
  </si>
  <si>
    <t>Developer of innovative renewable energy thermal batteries designed to store the waste heat of factories and restore it to heat buildings. The company's batteries recover waste heat from industrial activities and it stores heat with a high density without any loss of energy over time, enabling clients to access renewable heat or cold supply and allowing them to quit or lessen the use of fossil solutions.</t>
  </si>
  <si>
    <t>BDT Invest, InnVest Real Estate Investment Trust, IRDI Capital Investissement, Plug and Play Tech Center</t>
  </si>
  <si>
    <t>battery producer, built environment, heating and cooling, industrial heating, renewable energy, renewable energy power, thermal battery, waste heat storage</t>
  </si>
  <si>
    <t>187819-30T</t>
  </si>
  <si>
    <t>Combo</t>
  </si>
  <si>
    <t>Developer of planning software designed to offer collaborative management and planning. The company's software schedules and enters the information on contracts, endorsements, proofs, leave requests, and timesheets stored online, enabling restaurant owners to spend less time on administrative tasks and focus on their customers.</t>
  </si>
  <si>
    <t>Bpifrance, Highland Europe(Jean Tardy-Joubert), Plug and Play Tech Center, UL Invest</t>
  </si>
  <si>
    <t>administrative tasks, collaborative management, enterprise resource planning, human capital management, leave tracking application, online scheduling, personnel management, planning management, planning management software, scheduling software, scheduling software developer</t>
  </si>
  <si>
    <t>187825-24T</t>
  </si>
  <si>
    <t>DAMAE Medical</t>
  </si>
  <si>
    <t>Developer of an in-vivo imaging technology designed to revolutionize skin cancer diagnosis. The company's platform is based on proprietary technology that offers cellular-resolution imaging of the skin similar to histology without the need for tissue excision and processing, helping healthcare professionals in immediate and non-invasive diagnosis of skin cancers and helping dermatologists to have a deep look at the skin.</t>
  </si>
  <si>
    <t>BNP Paribas Développement(Sophie Pierrin-Lépinard), Kurma Partners(Philippe Peltier), Paris-Saclay Seed Fund, Partech</t>
  </si>
  <si>
    <t>cellular resolution, dermatologic laser, imaging equipment, imaging tool, optical coherence tomography, optical imaging, skin cancer diagnostics, skin imaging system, skin pathology detection</t>
  </si>
  <si>
    <t>187800-13T</t>
  </si>
  <si>
    <t>Net Venture, Newfund Management, U.S. Venture Partners(Dafina Toncheva)</t>
  </si>
  <si>
    <t>190618-66T</t>
  </si>
  <si>
    <t>Velogik</t>
  </si>
  <si>
    <t>Provider of bicycle service intended to provide bike maintenance and repair services. The company trains technicians for all types of bikes and provides expertise on VAE fleets, at the forefront of technological innovation, enabling individuals and companies to ride a well-maintained bicycle.</t>
  </si>
  <si>
    <t>Groupe Serfim(Alexandra Mathiolon), Impact Partners (Paris)(Thomas Delalande)</t>
  </si>
  <si>
    <t>bicycle maintenance, bicycle maker, bicycle rides, bicycle service, cycle shops, repair services</t>
  </si>
  <si>
    <t>173448-91T</t>
  </si>
  <si>
    <t>ESG Core Investments, Hippolyte Capital, Le Village by CA, Net Venture</t>
  </si>
  <si>
    <t>187700-86T</t>
  </si>
  <si>
    <t>Cedric Delorme(Cedric Delorme), Enthéos, European Investment Fund, Investessor, Mandalore Partners, Sibessor, WeLikeAngels</t>
  </si>
  <si>
    <t>188804-53T</t>
  </si>
  <si>
    <t>NuxtLabs</t>
  </si>
  <si>
    <t>Developor of open-source software designed to focus on developer experience to solve modern web development constraints. The company offers an open-source framework with more than fifty modules that help in making web development intuitive, providing clients with an optimal way to build websites.</t>
  </si>
  <si>
    <t>Firstminute Capital, ISAI, Jamstack Innovation Fund, Tiger Global Management</t>
  </si>
  <si>
    <t>app framework, developer tools, java scripts application, open source code, open source coding, web app framework, web development, web development platform, web development technology</t>
  </si>
  <si>
    <t>190341-19T</t>
  </si>
  <si>
    <t>Onoff Telecom</t>
  </si>
  <si>
    <t>Application Software, Communication Software*, Other Communications and Networking</t>
  </si>
  <si>
    <t>Developer of a mobile application designed to integrate multiple phone numbers. The company's application facilitates calling, sending custom voice messages through a global system for mobile networks, sending texts, photos, video, and audio recordings internationally, saving contact on a cloud, adding multiple phone numbers and hiding numbers from prying eyes, enabling users to sort communications by numbers.</t>
  </si>
  <si>
    <t>Eurazeo (PAR: RF), Super Capital, YADAY</t>
  </si>
  <si>
    <t>cloud communication, communication software, mobile number integration, multiple phone numbers, random number generation, virtual mobile number</t>
  </si>
  <si>
    <t>189913-87T</t>
  </si>
  <si>
    <t>PowerOfMoss</t>
  </si>
  <si>
    <t>Environmental Services (B2B), Other Services (B2C Non-Financial)*</t>
  </si>
  <si>
    <t>Provider of green services intended to use natural vegetation, and sustainable materials, assembled locally for the planet. The company offers a quality of life, green, calm, and soothing spaces, enabling clients to reduce their carbon footprint, reduce the energy consumption of buildings, and improve well-being.</t>
  </si>
  <si>
    <t>MakeSense</t>
  </si>
  <si>
    <t>air quality, carbon footprint, energy consumption, green wall, natural vegetation, social change, social impact, sustainable materials</t>
  </si>
  <si>
    <t>Lesquin, France</t>
  </si>
  <si>
    <t>204192-19T</t>
  </si>
  <si>
    <t>Link Tribe Capital, WinEquity</t>
  </si>
  <si>
    <t>188746-39T</t>
  </si>
  <si>
    <t>6xpos</t>
  </si>
  <si>
    <t>Developer of touch control terminal designed to offer a faster order-taking experience. The company's platform provides a connected order terminal to automate regular tasks and increase the number of tickets, reduce the queue, facilitate payment, and many more, enabling restaurant businesses to facilitate service and order-taking activities in a hassle-free manner.</t>
  </si>
  <si>
    <t>cash register, cash register software, inventory management, ordering engine, ordering kiosk, payment service, restaurant technology</t>
  </si>
  <si>
    <t>218707-30T</t>
  </si>
  <si>
    <t>AlterNego</t>
  </si>
  <si>
    <t>Consulting Services (B2B)*, Education and Training Services (B2B), Human Capital Services, Media and Information Services (B2B)</t>
  </si>
  <si>
    <t>Operator of an HR consulting and training firm intended to provide mediation and conflict management. The company offers various services such as negotiation and conflict management, social dialogue, quality of life and working conditions, diversity and inclusion, governance and cooperation, and more, enabling companies to fight against discrimination and suffering at work.</t>
  </si>
  <si>
    <t>conflict management, consulting and training, counseling firm, digital solutions firm, recruitment services, regulatory advisory, research services, sustainable methods</t>
  </si>
  <si>
    <t>CleanTech, Digital Health, HealthTech, HR Tech, Impact Investing</t>
  </si>
  <si>
    <t>204913-72T</t>
  </si>
  <si>
    <t>ARC (Machinery (B2B))</t>
  </si>
  <si>
    <t>Developer of a vegetable bunching and tying technology intended to optimize the process of bundling vegetables. The company's technology offers standard and machines and lines for the horticulture, market gardening and food processing industries, enabling businesses to streamline their operations and productivity.</t>
  </si>
  <si>
    <t>binding machinery, binding machines, industrial machine, machine design, machinery product, manufacturing equipment</t>
  </si>
  <si>
    <t>Offranville, France</t>
  </si>
  <si>
    <t>187600-60T</t>
  </si>
  <si>
    <t>Alexandre Prot(Alexandre Prot), AngelSquare, Celine Lazorthes(Celine Lazorthes), Frank Zorn(Frank Zorn), NewAlpha Asset Management(Aurelie Nicolas), Open CNP(Alexandra Pailhes), Steve Anavi(Steve Anavi), Super Capital, Thibaud Elziere(Thibaud Elziere)</t>
  </si>
  <si>
    <t>188639-65T</t>
  </si>
  <si>
    <t>Comptoir de Campagne</t>
  </si>
  <si>
    <t>General Merchandise Stores*, Internet Retail</t>
  </si>
  <si>
    <t>Operator of multi-service shops intended to make life easier for inhabitants of rural areas by creating jobs. The company's stores offer grocery products, service counters for cleaning, retouching, shoemaking, e-service space for internet access, e-shop, boxes of withdrawals, and online orders among others to strengthen the social bond, enabling customers to get products and services easily available in stores and online to simplify their everyday life.</t>
  </si>
  <si>
    <t>Caisse d'Epargne Rhone Alpes, Caisse des Depots Group, Evolem, MAIF Impact</t>
  </si>
  <si>
    <t>cleaning service, craftsmanship product, franchise network management, grocery products, local grocery store, local services</t>
  </si>
  <si>
    <t>General Merchandise Stores</t>
  </si>
  <si>
    <t>Bondy, France</t>
  </si>
  <si>
    <t>189093-97T</t>
  </si>
  <si>
    <t>Eklio Systems</t>
  </si>
  <si>
    <t>Developer of a tracking platform intended to allow full traceability of the logistics chain. The company tracker transmits data with a high level of reliability, security, and traceability where it certifies the origin of the data and allows it to be used as digital proof, enabling clients with information of where their asset is at the current moment due to its global terrestrial and satellite connectivity.</t>
  </si>
  <si>
    <t>Bouygues Telecom Initiatives</t>
  </si>
  <si>
    <t>asset tracking, asset tracking system, connected objects system, digital signature, global coverage, radio modules, service platform, supply chain, traceability software, traceability system platform</t>
  </si>
  <si>
    <t>215688-61T</t>
  </si>
  <si>
    <t>Letmotiv</t>
  </si>
  <si>
    <t>Provider of event attendee management services intended to stimulate the actions of communities on all communication and sales media. The company's cloud-based platform provides solutions to modulate customer engagement, and multi-criteria data collection along with on and off-line stimulation tools to manage sales and marketing, enabling customers to access a subscription-based pricing module.</t>
  </si>
  <si>
    <t>attendee management, cloud-based platform, customer engagement, data collection, stimulation tools, web marketing</t>
  </si>
  <si>
    <t>189079-39T</t>
  </si>
  <si>
    <t>Little Big Adventure</t>
  </si>
  <si>
    <t>Developer of video games designed to reboot vintage IPs for PCs and consoles. The company offers crafting games that tell touching stories, both for adults and children, enabling players to bring back to life the retro game, a true success story of vintage times with the support of their creators.</t>
  </si>
  <si>
    <t>adventure games, game development, gaming content, gaming developer, gaming publisher, gaming studio, gaming tech, gaming tool, graphical art, studio games, video game developer, video games</t>
  </si>
  <si>
    <t>188693-11T</t>
  </si>
  <si>
    <t>Luko</t>
  </si>
  <si>
    <t>Application Software, Financial Software, Property and Casualty Insurance*</t>
  </si>
  <si>
    <t>Developer of an artificial intelligence-based home insurance platform designed to make insurance accessible, transparent and user-friendly. The company offers various insurances for homes, property and vehicles in a transparent manner, enabling customers to choose the perfect insurance for the safety of themselves and their belongings.</t>
  </si>
  <si>
    <t>Brent Hoberman(Brent Hoberman), DuF Investments, Ilkka Paananen(Ilkka Paananen), Vidici Ventures, yabeo Capital</t>
  </si>
  <si>
    <t>digital insurance, home insurance company, home insurance facility, home insurance marketplace, home insurance provider, home insurance quote, home insurance services, home insurance technology, insurance platform operator, insurance platform portal</t>
  </si>
  <si>
    <t>Property and Casualty Insurance</t>
  </si>
  <si>
    <t>Artificial Intelligence &amp; Machine Learning, InsurTech, Internet of Things</t>
  </si>
  <si>
    <t>188324-47T</t>
  </si>
  <si>
    <t>Ma Coiffeuse Afro</t>
  </si>
  <si>
    <t>Developer of a hairstylist booking application designed to book a local hairdresser for an Afro hairstyle. The company's application assists in the online booking of all types of hairstyling such as African braids, box braids, braid hooks, extensions, Brazilian smoothing, and locks, enabling women to find a specialized hairdresser at an affordable price.</t>
  </si>
  <si>
    <t>Marie Claire Beauty Ventures, OBRATORI</t>
  </si>
  <si>
    <t>afro hairdresser search, hairdresser booking platform, hairdresser search portal, hairdresser service, hairdressing platform, online hairdresser books, online hairdresser portal</t>
  </si>
  <si>
    <t>192215-53T</t>
  </si>
  <si>
    <t>Adelie, Alliance Entreprendre, Bleu Capital, Jaina Capital, Seventure Partners, Ventech (Paris)(Claire Houry)</t>
  </si>
  <si>
    <t>187637-59T</t>
  </si>
  <si>
    <t>SafeHeal</t>
  </si>
  <si>
    <t>Diagnostic Equipment, Therapeutic Devices*</t>
  </si>
  <si>
    <t>Developer of a flexible bypass sheath intended to improve the postoperative lives of patients being treated for colorectal cancer. The company's sheath uses a vacuum-based mechanism that remains in place until the body's natural healing and tissue repair processes are complete, enabling surgeons to have a device designed for the protection of gastrointestinal anastomosis.</t>
  </si>
  <si>
    <t>Genesis Medtech(Xin Wang), Sofinnova Partners(Antoine Papiernik)</t>
  </si>
  <si>
    <t>anastomosis procedures, bypass surgery, colorectal cancer treatment, colorectal surgery, investigational device, medical device manufacturer, surgical device</t>
  </si>
  <si>
    <t>HealthTech, Life Sciences, Manufacturing, Oncology</t>
  </si>
  <si>
    <t>189100-09T</t>
  </si>
  <si>
    <t>SILINA</t>
  </si>
  <si>
    <t>Developer of curved imaging sensors designed to boost the performance of vision systems at an industrial scale. The company's sensors offer a paradigm shift to the imaging industry by curving existing imaging sensors, specializing in CMOS semiconductor technology, enabling multiple sectors, notably aerospace and defense, industrial imaging, smartphone cameras, and autonomous vehicles to bring drastic improvements to the resulting cameras.</t>
  </si>
  <si>
    <t>Nubbo</t>
  </si>
  <si>
    <t>autonomous vehicle, camera sensor, camera tools, imaging hardware, imaging sensors, industrial imaging, industrial market, semiconductors chips, sensor equipment</t>
  </si>
  <si>
    <t>Advanced Manufacturing, Industrials, Manufacturing</t>
  </si>
  <si>
    <t>189100-63T</t>
  </si>
  <si>
    <t>SituvE</t>
  </si>
  <si>
    <t>Developer of image processing and OCR (Optical Character Recognition) technology designed to ease the information extraction process. The company's platform specializes in image processing, OCR and automatic document reading for the extraction of the formatted output of information, enabling clients to automatically process a large number of files.</t>
  </si>
  <si>
    <t>character recognition software, character recognition technology, document reading, image processing software, image processing system, optical character recognition</t>
  </si>
  <si>
    <t>188694-82T</t>
  </si>
  <si>
    <t>Staycation</t>
  </si>
  <si>
    <t>Business/Productivity Software, Information Services (B2C), Other Restaurants, Hotels and Leisure*</t>
  </si>
  <si>
    <t>Operator of a hotel booking service platform intended to offer hand-pick details of hotels in and around the city. The company proposes a secure portal for online payments and also arranges discounts and offers on hotel bookings with detailed reviews and information about places and hotels, enabling users to find luxury hotels and stays at discounted prices.</t>
  </si>
  <si>
    <t>Bpifrance, Kima Ventures, OneRagtime</t>
  </si>
  <si>
    <t>holiday planning, hotel booking platform, hotel booking portal, online booking portal, stay hotel, staycation booking</t>
  </si>
  <si>
    <t>189095-77T</t>
  </si>
  <si>
    <t>Tribalee</t>
  </si>
  <si>
    <t>Developer of team-building software designed to improve employees' efficiency and team bonding. The company organizes animated mini-events like random lunch, coffee roulette, breakfast with the boss, and so on through various video platforms and in-person as well, enabling clients to boost employee morale and improve efficiency.</t>
  </si>
  <si>
    <t>agency software, animation video, employee based services, employee health, events and games, events service platform, fun events, team building events, team building program</t>
  </si>
  <si>
    <t>188980-30T</t>
  </si>
  <si>
    <t>Ulule</t>
  </si>
  <si>
    <t>Developer of a crowdfunding platform designed to empower creators, entrepreneurs and makers all over the world. The company's platform supports creators to operate through their entrepreneurial projects, and co-create with their communities, enabling companies to benefit from the financial support of users in exchange for goods or services.</t>
  </si>
  <si>
    <t>Norcapital</t>
  </si>
  <si>
    <t>crowdfunding company, crowdfunding firm, crowdfunding model, crowdfunding services, entrepreneurial projects, project support service</t>
  </si>
  <si>
    <t>189697-42T</t>
  </si>
  <si>
    <t>Urbanizi</t>
  </si>
  <si>
    <t>Developer of digital project management platform designed for urban planning and the construction sector. The company solution is dedicated to project management, betting, architects, and construction and urban development companies, enabling clients to digitize business processes and automate project management.</t>
  </si>
  <si>
    <t>1Kubator</t>
  </si>
  <si>
    <t>computer software, gantt planning, production process, project management, task management, urban development</t>
  </si>
  <si>
    <t>189567-55T</t>
  </si>
  <si>
    <t>WORLD IS A VILLAGE</t>
  </si>
  <si>
    <t>Developer of language learning platform designed for French-speaking teenagers and boosted confidence in foreign languages. The company offers to connect and find a seamless and authentic solution to provide digital experiences and language and cultural stays, enabling users to learn foreign languages and boost their confidence.</t>
  </si>
  <si>
    <t>Founders Factory</t>
  </si>
  <si>
    <t>digital journey, educational vision, language learner, language-learning, learning platform, learning platform system, online learnings</t>
  </si>
  <si>
    <t>204509-98T</t>
  </si>
  <si>
    <t>AQUITI Gestion(Adrien Lebon), Kerguelen Invest(Hervé Guillou), Nouvelle Aquitaine Co-Investissement</t>
  </si>
  <si>
    <t>186975-55T</t>
  </si>
  <si>
    <t>Descartes Underwriting</t>
  </si>
  <si>
    <t>Climate Risk Modeling-as-a-Service</t>
  </si>
  <si>
    <t>Provider of insurance services designed to offer parametric insurance products for modern risks. The company collaborates with brokers to protect corporate clients and governments against natural catastrophes, weather events, and emerging risks like cyber through a data-driven approach, enabling access to technology-based insurance solutions backed by top-tier carriers and a full-stack insurer licensed in the European economic area.</t>
  </si>
  <si>
    <t>BlackFin Capital Partners(Julien Creuze), Cathay Capital Private Equity, Cathay Innovation, Eurazeo (PAR: RF)(Guillaume d'Audiffret), Highland Europe(Stanislas Laurent), Mundi Ventures(Javier Santiso), Seaya Ventures, Serena (Paris)(Xavier Lorphelin)</t>
  </si>
  <si>
    <t>claims management, climate modeling, climate risk, insurance underwriting, risk management, risk modeling, underwriting services</t>
  </si>
  <si>
    <t>Artificial Intelligence &amp; Machine Learning, Big Data, Climate Tech, FinTech, Industrials, InsurTech, Internet of Things</t>
  </si>
  <si>
    <t>225986-14T</t>
  </si>
  <si>
    <t>Pareto Holdings, Super Capital</t>
  </si>
  <si>
    <t>187472-98T</t>
  </si>
  <si>
    <t>Alpha Protocol Ventures, DST Global, Global Founders Capital(David Sainteff), Paris-Saclay Seed Fund, Partech, Rocket Internet Capital Partners, Sequoia Capital(Luciana Lixandru)</t>
  </si>
  <si>
    <t>212311-63T</t>
  </si>
  <si>
    <t>Caisse d'Epargne, Crédit Maritime Atlantique, Morbihannais OCTAVE II fund</t>
  </si>
  <si>
    <t>188229-07T</t>
  </si>
  <si>
    <t>Bpifrance, Cathay Innovation, Eurazeo (PAR: RF), Financière Saint James, GR Capital, Hedosophia European Growth, ISAI, Motier Ventures, Picus Capital, Roosh Ventures, Seaya Ventures, Tencent Holdings (HKG: 00700)</t>
  </si>
  <si>
    <t>254778-58T</t>
  </si>
  <si>
    <t>Chilowé</t>
  </si>
  <si>
    <t>Operator of a media and travel agency intended to offer adventure experiences to travelers. The company's agency offers articles, podcasts and travel services focused on local travel, personal development, and outdoor adventures, enabling clients to get informative travel experiences.</t>
  </si>
  <si>
    <t>Nouvelle Atlas</t>
  </si>
  <si>
    <t>adventure experience, outdoor adventures booking, outdoor adventures center, outdoor adventures service, outdoor adventures trip, travel travel</t>
  </si>
  <si>
    <t>220140-91T</t>
  </si>
  <si>
    <t>186021-46T</t>
  </si>
  <si>
    <t>Wenabi</t>
  </si>
  <si>
    <t>Business/Productivity Software, Human Capital Services, Media and Information Services (B2B), Social/Platform Software*</t>
  </si>
  <si>
    <t>Developer of a corporate social engagement platform designed to create a bridge between the actors of the social and solidarity economy. The company's platform facilitates an algorithm to match the companies and the actors of the solidarity according to their values, activities, and localization and identifies needs with associations and social entrepreneurs, enabling clients to create their events on the platform for the attention of their employees.</t>
  </si>
  <si>
    <t>Aonia Ventures, Enowe, Via.Io</t>
  </si>
  <si>
    <t>collaborative platform, csr data, employee engagement, engagement platform software, saas platform, social bonds, social engagement, volunteering work</t>
  </si>
  <si>
    <t>187303-96T</t>
  </si>
  <si>
    <t>Accenture Ventures(Tom Lounibos), AMAVI Capital(Frederic van den Weghe), Armilar Venture Partners(Pedro Santos), Région Sud Investissement, UI Investissement(Aurélie Viaux)</t>
  </si>
  <si>
    <t>186021-55T</t>
  </si>
  <si>
    <t>Dream Act</t>
  </si>
  <si>
    <t>Internet Retail*, Other Services (B2C Non-Financial)</t>
  </si>
  <si>
    <t>Operator of an online retail platform designed to sell ecological, sustainable, and fair trade alternatives for everyday consumer goods. The company's platform offers organic products, curated for their social and environmental impact and made by committed craftsmen, enabling customers to get responsibly sourced products delivered to their homes.</t>
  </si>
  <si>
    <t>Abeille Impact Investing France, Enowe, Inco Ventures</t>
  </si>
  <si>
    <t>business gifts, eco-friendly product, innovation sociale, online retail, online shopping, organic shopping, promotional items, retail platform software</t>
  </si>
  <si>
    <t>179896-87T</t>
  </si>
  <si>
    <t>GetResto</t>
  </si>
  <si>
    <t>Developer of a food aggregator application designed to allow restaurateurs to sell and ensure a direct relationship with their customers. The company's application provides various services like online booking directly or through a third party, food ordering, a digital menu, access to customers' opinions and reviews, promotions, and discounts, enabling users to access all food and dining-related requirements in one place.</t>
  </si>
  <si>
    <t>High Flyers Capital(Alain Bailly)</t>
  </si>
  <si>
    <t>discovery &amp; review, discovery and review, eating place, food aggregator app, food and beverage discovery, food beverage discovery, food industry, last mile delivery, online food coupon, online food delivery, restaurant finder</t>
  </si>
  <si>
    <t>187300-99T</t>
  </si>
  <si>
    <t>Indeez</t>
  </si>
  <si>
    <t>Commercial/Professional Insurance*, Other Services (B2C Non-Financial)</t>
  </si>
  <si>
    <t>Provider of income insurance service intended to make independent work sustainable. The company provides end-to-end digital insurance programs, including personalized benefits, rapid technology setup, and scalable multi-country support, enabling businesses to receive comprehensive protection and benefits with ease and efficiency.</t>
  </si>
  <si>
    <t>Andreas Neuber(Andreas Neuber), Christof Kutscher(Christof Kutscher), Christopher Varelas(Christopher Varelas), Curtis Scott(Curtis Scott), Elaia Partners(Armelle de Tinguy), Frederic Tardy(Frederic Tardy), Jon McNeill, Julien Codorniou(Julien Codorniou), Mosaic Ventures(Toby Coppel), Oleg Tscheltzoff(Oleg Tscheltzoff)</t>
  </si>
  <si>
    <t>claims processing, commercial insurance, employment insurance technology, financial protection, green mobility, income protection services, insurance cover, insurance needs, insurtech business, social protection</t>
  </si>
  <si>
    <t>187306-66T</t>
  </si>
  <si>
    <t>Stonly</t>
  </si>
  <si>
    <t>Developer of a customer success tool designed to assist users to resolve issues and find success. The company's tools create scripted guides with multiple questions to make the customer assistance process less intimidating and work like a widget that can be embedded on any page or blog, enabling businesses to create and publish tutorials, troubleshooting, and assistance content so that the customers can assist themselves.</t>
  </si>
  <si>
    <t>Accel, Andrey Kushing(Andrey Kushing), Emmanuel Schalit(Emmanuel Schalit), Nicolas Dessaigne(Nicolas Dessaigne), Northzone Ventures(Michiel Kotting), Roman Schumacher(Roman Schumacher)</t>
  </si>
  <si>
    <t>business tools, crm, customer assistance, customer assistance software, customer relationship management, customer service, customer service portal, interactive tool, onboarding customer, onboarding product</t>
  </si>
  <si>
    <t>187384-33T</t>
  </si>
  <si>
    <t>Sextant Properties</t>
  </si>
  <si>
    <t>Operator of a real estate agency intended to assist individuals and investors globally in the purchase of the property. The company has a network of independent real estate agents that help first contact the signing of the sale at the notary, including the valuation of the property and the negotiation phase to support, providing users with a smooth, quick, and efficient deal process of the property.</t>
  </si>
  <si>
    <t>property consultant, property negotiation, property space, real estate agency, real estate owner, real estate services</t>
  </si>
  <si>
    <t>188987-95T</t>
  </si>
  <si>
    <t>EIT KIC Urban Mobility, Kima Ventures, Via ID</t>
  </si>
  <si>
    <t>213176-26T</t>
  </si>
  <si>
    <t>O Toulouse</t>
  </si>
  <si>
    <t>Cultivation*, Food Products</t>
  </si>
  <si>
    <t>Operator of a greenhouse company intended to offer customers tomatoes and other produce. The company specializes in sustainable agriculture, without pesticides and on the principle of the circular economy via the recycling of the energy provided by combustion, providing customers better a natural produce at an affordable price.</t>
  </si>
  <si>
    <t>Agro Invest</t>
  </si>
  <si>
    <t>greenhouse operations, indoor farming, indoor growers, natural product, sustainable agriculture, sustainable farming, tomato farming, tomato producer</t>
  </si>
  <si>
    <t>Bessières, France</t>
  </si>
  <si>
    <t>187206-49T</t>
  </si>
  <si>
    <t>Alven Capital Partners, BlackFin Capital Partners(Julien Creuze), Eurazeo (PAR: RF), HEC Ventures, Kernel Investissements(Pierre Kosciusko Morizet), Orange Ventures, Serena (Paris)(Sébastien Le Roy)</t>
  </si>
  <si>
    <t>187177-96T</t>
  </si>
  <si>
    <t>Broadlake, Cathay Innovation(Jacobo Abitbol), Exor (AMS: EXO), Groupe MACSF, Picus Capital, Ramsay Santé and Fondation Santé Service, Seaya Ventures, Singular., Vivalto Ventures</t>
  </si>
  <si>
    <t>187178-68T</t>
  </si>
  <si>
    <t>Yogosha</t>
  </si>
  <si>
    <t>Developer of a bug bounty platform designed to discover and resolve security bugs. The company's platform helps to build documents, runbooks, service catalogs, and internal ops tools, provides reporting, and selling of security bugs while offering resources to correct the bugs as well as offering unparalleled control and visibility over every aspect of their cybersecurity strategy, enabling clients to identify and correct their security vulnerabilities to prevent future incidents.</t>
  </si>
  <si>
    <t>BNP Paribas Développement, OneRagtime(Stéphanie Hospital), Tikehau Capital (PAR: TKO), Zenium Technology Partners</t>
  </si>
  <si>
    <t>bugs bounty, bugs bounty platform, bugs reporting, bugs tracking tools, managed security services, security operations, security platform, security vulnerability</t>
  </si>
  <si>
    <t>CloudTech &amp; DevOps, Cybersecurity, Mobile, SaaS</t>
  </si>
  <si>
    <t>174674-44T</t>
  </si>
  <si>
    <t>Cureety</t>
  </si>
  <si>
    <t>Developer of a healthcare telemonitoring platform intended for remote monitoring of oncology patients. The company's platform facilitates the collection of patient-reported outcomes, implements clinical algorithms tailored to various treatments, and offers personalized support services, enabling healthcare professionals to prioritize care for vulnerable patients while enhancing the overall quality of cancer care.</t>
  </si>
  <si>
    <t>Bpifrance, Groupama Group, MBA Mutuelle</t>
  </si>
  <si>
    <t>cancer care, cancer treatment, digital healthcare, digital healthcare tools, educational content platform, oncology application, remote monitoring system, remote patient monitoring</t>
  </si>
  <si>
    <t>Digital Health, HealthTech, Life Sciences, Oncology</t>
  </si>
  <si>
    <t>215374-42T</t>
  </si>
  <si>
    <t>Gazouyi</t>
  </si>
  <si>
    <t>Educational Software*, Other Services (B2C Non-Financial)</t>
  </si>
  <si>
    <t>Developer of a parenting assistant platform intended to support the development of children before 5 years old. The company's platform provides an educational tool to help everyone stimulate the development of children without rushing, enabling users to create moments of complicity while having fun as parents and helping their children grow at their own pace.</t>
  </si>
  <si>
    <t>child development company, child development platform, early child development, educational tools, parenting app, parenting assistant, parenting lessons</t>
  </si>
  <si>
    <t>200694-34T</t>
  </si>
  <si>
    <t>Rubypayeur</t>
  </si>
  <si>
    <t>Developer of a digital debt collection platform designed to help businesses recover unpaid invoices. The company's platform provides recovery of debts and late payments and the option to verify the authenticity of a business, enabling lenders to recover their debt on time and avoid faulty payments or bad debts.</t>
  </si>
  <si>
    <t>Libeo(Pierre Dutaret)</t>
  </si>
  <si>
    <t>ap automation, ar automation, cfo stack, debt collection platform, debt recovery, debt recovery platform, digital debt collection, expense management, invoice recovery, online debt recovery, unpaid invoice, unpaid invoice collection</t>
  </si>
  <si>
    <t>187093-99T</t>
  </si>
  <si>
    <t>SeqOne</t>
  </si>
  <si>
    <t>Developer of a genomic analysis platform designed to offer analysis of genomic data. The company's platform provides advanced genomic analysis tools that manage the entire process of analysis from raw data to the final report, enabling healthcare professionals to analyze next-generation sequencing (NGS) genomic data better and cost-effectively.</t>
  </si>
  <si>
    <t>Elaia Partners(Marc Rougier), IRDI Capital Investissement, Korys Investments(David Devigne), Mérieux Equity Partners(Yoann Bonnamour), Omnes Capital(Fabien Collangettes), Software Club(Benjamin Forlani)</t>
  </si>
  <si>
    <t>analysis platform, genetics services, genomic analysis platform, genomics platform, genomics tools, next generation sequencing, precision medicine</t>
  </si>
  <si>
    <t>193369-51T</t>
  </si>
  <si>
    <t>APEX Ventures(Diana Rottger)</t>
  </si>
  <si>
    <t>252562-51T</t>
  </si>
  <si>
    <t>Erable</t>
  </si>
  <si>
    <t>Developer of an impact investing platform intended to facilitate investment in sustainable activities that have a tangible, positive impact on the world. The company's platform connects investors with social and environmental initiatives by creating non-dilutive and fully transparent revenue-sharing assets, enabling people to invest in transparent, traceable positive-impact financial products offering short-term profitability.</t>
  </si>
  <si>
    <t>Orange DAO</t>
  </si>
  <si>
    <t>impact investing market, impact investing services, impact investing support, investment opportunities, investment platform, sustainable investment</t>
  </si>
  <si>
    <t>241812-91T</t>
  </si>
  <si>
    <t>Eren Holding, Serena (Paris)</t>
  </si>
  <si>
    <t>186949-99T</t>
  </si>
  <si>
    <t>aleph.im</t>
  </si>
  <si>
    <t>Developer of a blockchain-enabled application designed to securely access trusted off-chain data or computation. The company's open-source platform provides data storage and business logic that runs on a decentralized network instead of a centralized service, enabling customers to use a single identity, controlled by a single wallet, to read and write data to any of the supported chains.</t>
  </si>
  <si>
    <t>18Ventures, Bitfwd Capital, Chris McCann(Chris McCann), Ellipti, Incuba Alpha, NOIA Capital, NZVC, Owen Simonin(Owen Simonin), Rarestone Capital, Seven Capital Management, Stratos Technologies(Rennick Palley), Th3ia Capital, Theia (VC), Token Ventures, TRGC, Ubisoft Entertainment (PAR: UBI), Winkrypto, Zee Prime Capital</t>
  </si>
  <si>
    <t>blockchain software, cloud storage, computing model, cryptocurrency platform, data management software, data software &amp; systems, data software and systems, data storage and accessibility, decentralized database, decentralized program, fintech, vertical application, virtual machine</t>
  </si>
  <si>
    <t>CloudTech &amp; DevOps, Cryptocurrency/Blockchain, FinTech</t>
  </si>
  <si>
    <t>227982-34T</t>
  </si>
  <si>
    <t>Diagnoly</t>
  </si>
  <si>
    <t>Developer of medical device designed for clinicians to do ultrasound imaging of human fetuses. The company's tools uses artificial intelligence which defines fetal biometric key parameters that help in fetal ultrasound examination, enabling clinicians to detect pregnancy complication factors and fetal abnormalities.</t>
  </si>
  <si>
    <t>Simba Santé 3</t>
  </si>
  <si>
    <t>fetal ultrasound, fetal ultrasound examination, imaging technology, pregnancy complications monitoring, ultrasound imaging, ultrasound technology</t>
  </si>
  <si>
    <t>186923-71T</t>
  </si>
  <si>
    <t>NAWA Technologies</t>
  </si>
  <si>
    <t>Developer of supercapacitor electricity storage devices designed to help users store electricity. The company's devices aim to reduce carbon dioxide emissions from the use of fossil fuels and also the over-consumption of electronic components by facilitating the integration of renewable energies into the smart grids, enabling customers to have electrical storage in a more efficient and environmentally friendly way.</t>
  </si>
  <si>
    <t>Altya Invest, Bpifrance, Demeter Partners, Ecotechnologies Fund, Eurowatt Capital, Kouros Investment(Florent Bergeret), Opus Technologies, Région Sud Investissement, Supernova Invest</t>
  </si>
  <si>
    <t>electricity devices, electricity storage device, grid infrastructure, interface materials, non-battery storage, storage device</t>
  </si>
  <si>
    <t>189692-56T</t>
  </si>
  <si>
    <t>Placeshaker</t>
  </si>
  <si>
    <t>Developer of a construction management platform designed to help clients improve the management of their activity. The company creates a project management platform to allow project portfolio management, automation of work costing, storage of photos, plans, documents, notes, site reports, product catalogs, and delivery management, enabling clients to manage every aspect of their projects.</t>
  </si>
  <si>
    <t>Amundi (PAR: AMUN), Finorpa(Benjamin Fitoussi), FV Investment (Korea), NextStage AM(Bastien Aversa), Ouest Croissance Gestion(Damien Jouanneau)</t>
  </si>
  <si>
    <t>construction management, construction management platform, construction management software, construction project, kms, knowledge management system, project management, rehabilitation care, renovation firm</t>
  </si>
  <si>
    <t>186967-18T</t>
  </si>
  <si>
    <t>Secure-IC</t>
  </si>
  <si>
    <t>Application Specific Semiconductors, Business/Productivity Software, Network Management Software*</t>
  </si>
  <si>
    <t>Provider of end-to-end embedded cybersecurity alternatives intended for embedded systems and connected objects. The company's offerings protect companies against cyber-physical attacks and guarantee at each stage of the design process that the optimal security level is reached for a given vertical market application, enabling clients to protect their datasets.</t>
  </si>
  <si>
    <t>Alliance Entreprendre(Benoît Thiedey), BNP Paribas Développement(Gregoire Duverne), GO Capital (France)(Bertrand Distinguin), Naxicap Partners, Seventure Partners</t>
  </si>
  <si>
    <t>embedded system security, endpoint security, internet security, iot security, iot/ot security, network security, ot security, security business, threat analysis, threat protection</t>
  </si>
  <si>
    <t>188394-40T</t>
  </si>
  <si>
    <t>186899-68T</t>
  </si>
  <si>
    <t>Wandercraft</t>
  </si>
  <si>
    <t>Medical Exoskeletons and Prosthetics</t>
  </si>
  <si>
    <t>Other Hardware, Therapeutic Devices*</t>
  </si>
  <si>
    <t>Developer of a self-balancing, hands-free walking exoskeleton designed to control autonomous expos capable of a human-like walk. The company's exoskeletons use robotic technologies and engage in the distribution of motored legs exoskeletons, enabling paraplegics and myopathic people to get autonomy during daily activity.</t>
  </si>
  <si>
    <t>AG2R La Mondiale, Bpifrance, CapHorn Invest, Cemag Invest, Eurazeo (PAR: RF), Groupe MACSF, Investir &amp;+, LBO France(Valéry Huot), Malakoff Humanis, Quadrant Management(Alan Quasha), Siparex Group, Sofiouest, Teampact Ventures, XAnge</t>
  </si>
  <si>
    <t>exoskeleton device, exoskeleton robotics, exoskeleton system, exoskeleton technology, medical device, medical exoskeleton, physical mobility</t>
  </si>
  <si>
    <t>HealthTech, LOHAS &amp; Wellness, Robotics and Drones</t>
  </si>
  <si>
    <t>186920-02T</t>
  </si>
  <si>
    <t>Wisear</t>
  </si>
  <si>
    <t>Electronic Equipment and Instruments*, Electronics (B2C), Other Hardware</t>
  </si>
  <si>
    <t>Developer of a biosensing technology designed to record brain and facial activity. The company's technology develops electrodes that can be attached to wireless earphones to track brain performance and allows users to control the earphone with voiceless and touchless technology, enabling earphones and audio companies to record and analyze brain and facial activity of their product users to control audio devices.</t>
  </si>
  <si>
    <t>Bpifrance, Jerome Joaug(Jerome Joaug), Kima Ventures, Paris Business Angels, Polymatter Ventures</t>
  </si>
  <si>
    <t>analytics platform, audio tech product, audio technology, biosensing platform, biosensing technology, computer vision, connected healthcare, connected service, unstructured data analytics, wireless earphones</t>
  </si>
  <si>
    <t>Artificial Intelligence &amp; Machine Learning, AudioTech, Big Data, Internet of Things, Manufacturing</t>
  </si>
  <si>
    <t>254713-24T</t>
  </si>
  <si>
    <t>appYuser Insight</t>
  </si>
  <si>
    <t>Developer of a web performance and user experience monitoring platform intended to help businesses improve their digital experience and conversions. The company's platform offers a cross-functional solution that assesses website performance and user experience, enabling customers to uncover opportunities for improvement that maximize return on investment (ROI).</t>
  </si>
  <si>
    <t>Interactiv-Group</t>
  </si>
  <si>
    <t>user experience analysis, user experience management, user experience monitoring, user experience platform, web performance analysis, web performance management, web performance software</t>
  </si>
  <si>
    <t>194609-80T</t>
  </si>
  <si>
    <t>Ekinnox</t>
  </si>
  <si>
    <t>Developer of a medical device designed to analyze the quantified and visual documentation of walking in rehabilitation. The company's device uses a 3D camera and computer vision algorithms to simplify and provide reports on Spatiotemporal parameters to check the performance of patients during their course of rehabilitation care, enabling patients to recover efficiently.</t>
  </si>
  <si>
    <t>Créazur, IT-Translation</t>
  </si>
  <si>
    <t>computer vision algorithms, medical data analysis, medical digital devices, medical equipment, motion analysis system, spatio-temporal parameter</t>
  </si>
  <si>
    <t>Artificial Intelligence &amp; Machine Learning, HealthTech, Life Sciences</t>
  </si>
  <si>
    <t>Sophia Antipolis, France</t>
  </si>
  <si>
    <t>186859-36T</t>
  </si>
  <si>
    <t>Fluctuo</t>
  </si>
  <si>
    <t>Developer of a cloud-based technology designed to collect, process, analyze, and visualize the data of shared mobility services. The company's platform develops a proprietary data flow system through which the clients can fetch real-time data about the mobility services and provides a business intelligence tool that tracks the usage of shared mobility services in the cities, enabling clients to get the details about the density of vehicles in the mentioned region, the total number of trips and its pattern, vehicle attributes and battery level.</t>
  </si>
  <si>
    <t>574 Invest(Julien Nicolas), EIT KIC Urban Mobility, Statkraft Ventures(Lars Odin Mellemseter)</t>
  </si>
  <si>
    <t>cloud-based technology, mobility data, mobility services, mobility services application, mobility services provider, mobility services technology, shared mobility</t>
  </si>
  <si>
    <t>Micro-Mobility, Mobility Tech, SaaS</t>
  </si>
  <si>
    <t>186908-32T</t>
  </si>
  <si>
    <t>Forssea Robotics</t>
  </si>
  <si>
    <t>Business/Productivity Software, Machinery (B2B), Other Hardware*</t>
  </si>
  <si>
    <t>Developer of a subsea robotic designed to transfer power and data to deepsea infrastructures. The company's visual positioning technologies and subsea homing vehicles deploy light offshore vessels to increase the productivity of underwater inspection and to support light intervention repeatable tasks, enabling ocean-based businesses to answer the cost-reduction needs with advanced technology.</t>
  </si>
  <si>
    <t>Ifremer, Jean-Marc Bouchet, Qair France International, Sofilaro, Soper</t>
  </si>
  <si>
    <t>autonomous machine, autonomous navigation, computer vision data, embedded electronics, intelligent robotics, marine engineering, underwater inspection, underwater robotics</t>
  </si>
  <si>
    <t>Artificial Intelligence &amp; Machine Learning, Manufacturing, Robotics and Drones</t>
  </si>
  <si>
    <t>219248-29T</t>
  </si>
  <si>
    <t>FoxNot</t>
  </si>
  <si>
    <t>Developer of a customer relationship platform designed for the digitization of the notarial process for real estate transactions. The company's platform offers the creation of online files, automatic collection of data from customers and administrations, and real-time monitoring, enabling notary clients to speed up the processing of their files and save time.</t>
  </si>
  <si>
    <t>Fichorga(Gonzague Renard)</t>
  </si>
  <si>
    <t>automatic data collection, customer relation platform, customer relationship, legal technology, real estate transaction, real time monitoring</t>
  </si>
  <si>
    <t>Legal Tech, Real Estate Technology, SaaS</t>
  </si>
  <si>
    <t>173976-31T</t>
  </si>
  <si>
    <t>Ledgity</t>
  </si>
  <si>
    <t>Developer of a digital financial platform designed to provide wealth management advice and make unlisted assets more accessible. The company's platform provides private financing like client onboarding and digital investor profiles and automation of administrative tasks alongside providing access to investment products, enabling financial advisors and investors to strengthen relations with their customers and diversify their portfolios.</t>
  </si>
  <si>
    <t>Aureli Ventures, BlackDragon (Zagreb), Block.IS, Digital Finance Group, Jsquare, Lupa X Capital, Scorpio VC</t>
  </si>
  <si>
    <t>customer relationship tool, digital banking platform, digital financial, financial advisor app, investment advisory tools, private banking service</t>
  </si>
  <si>
    <t>Cryptocurrency/Blockchain, FinTech, Mobile, SaaS</t>
  </si>
  <si>
    <t>191664-28T</t>
  </si>
  <si>
    <t>Astanor Ventures(Hendrik Van Asbroeck), Athletico Ventures, Bpifrance, Good Startup, Kima Ventures(Jeanne Cluset), Newfund Management, Redalpine, Telegraph Hill Capital</t>
  </si>
  <si>
    <t>172638-01T</t>
  </si>
  <si>
    <t>CFP Energy(Rodolphe Carle), ConsenSys(Federico Soddu), Eric Larchevêque(Eric Larchevêque), Expon Capital(Alain Rodermann), RAISE Group(Pierre-Edouard Berion), Tanuki, True Global Ventures(Frank Desvignes), XAnge(Alexis du Peloux)</t>
  </si>
  <si>
    <t>205330-42T</t>
  </si>
  <si>
    <t>176949-64T</t>
  </si>
  <si>
    <t>Spendesk</t>
  </si>
  <si>
    <t>Developer of an all-in-one expense management platform designed to streamline the tedious admin associated with spending and managing money at work. The company's platform delivers more visibility and automation to finance teams, combining spend approvals, virtual and physical cards for employees, expense reimbursements, budgets, and invoice management into one source, helping businesses liberate themselves and their people from financial management and focus on their core business to do their best work.</t>
  </si>
  <si>
    <t>Christophe Maurissen(Christophe Maurissen), Eight Roads(Lucile Cornet), Financière Saint James, General Atlantic(Aaron Goldman), Hexa, Index Ventures, MVC (New York), Techmind, Tiger Global Management, Wind Capital, YADAY</t>
  </si>
  <si>
    <t>corporate payment, expense management, expense management platform, expense management services, financial management system, online expense management, spend management</t>
  </si>
  <si>
    <t>188822-08T</t>
  </si>
  <si>
    <t>ThrustMe</t>
  </si>
  <si>
    <t>Developer of space propulsion systems designed to make electric propulsion simpler and more efficient. The company offers services that include developing space systems for next-generation satellites as well as tailored systems for ground testing of space hardware, enabling space teams and airspace businesses to receive economic and environmental sustainability options through the propulsion systems.</t>
  </si>
  <si>
    <t>Zev Ventures</t>
  </si>
  <si>
    <t>aerospace engineering, electric propulsion systems, mobility solutions, satellite communication, small satellite, space hardware</t>
  </si>
  <si>
    <t>186725-44T</t>
  </si>
  <si>
    <t>Exotec</t>
  </si>
  <si>
    <t>Business/Productivity Software, Logistics, Other Hardware*</t>
  </si>
  <si>
    <t>Developer of automated storage and retrieval systems designed to streamline order assembling and dispatching. The company's technology offers a centralized intelligence system based on a fleet of collaborative mobile robots that coordinate with humans to transport and sort logistics in warehouses to deliver sustainable, accurate, and profitable order fulfillment, enabling the retail industry to reduce travel distance in warehouses and optimize space while improving productivity.</t>
  </si>
  <si>
    <t>83North, Bpifrance, Breega, Dell Technologies Capital, Goldman Sachs Growth Equity(Christian Resch), IRIS (Private Equity)(Julien-David Nitlech), Vestrian</t>
  </si>
  <si>
    <t>ecommerce personalization, inventory management, logistics assistance, logistics unit, transportation robots, warehouse automation, warehouse management technology, warehouse robotics, warehouse space, warehousing technology</t>
  </si>
  <si>
    <t>E-Commerce, Industrials, Mobility Tech, Robotics and Drones, Supply Chain Tech, TMT</t>
  </si>
  <si>
    <t>Croix, France</t>
  </si>
  <si>
    <t>187034-77T</t>
  </si>
  <si>
    <t>MyPRM</t>
  </si>
  <si>
    <t>Developer of a partner relationship management platform designed to help manage partners and develop indirect sales. The company's platform allows for the promotion of partner programs and generates qualified partner leads, gets visibility into performance through dashboards, statistics, and automated reports, and facilitates and automates the training, enabling clients to define precise objectives with their partners and streamline exchanges.</t>
  </si>
  <si>
    <t>Takara Capital, YADAY</t>
  </si>
  <si>
    <t>business management software, partners management software, relationship management platform, relationship management software, relationship management strategies, relationship management support, relationship management system</t>
  </si>
  <si>
    <t>182821-69T</t>
  </si>
  <si>
    <t>Pousse Pousse</t>
  </si>
  <si>
    <t>Other Services (B2C Non-Financial), Personal Products*</t>
  </si>
  <si>
    <t>Provider of personal product subscription box service intended to accompany people towards responsible consumption. The company offers eco-friendly and minimalist boxes filled with alternatives to limit people's ecological footprint and move towards responsible consumption, enabling users to act on their own scale to protect the environment, without effort or constraint.</t>
  </si>
  <si>
    <t>gift boxes subscription, subscription box service, zero waste community, zero waste lifestyle, zero waste product, zero waste program, zero waste society</t>
  </si>
  <si>
    <t>186616-36T</t>
  </si>
  <si>
    <t>PulseLife</t>
  </si>
  <si>
    <t>Medical Records Systems*</t>
  </si>
  <si>
    <t>Developer of a medical collaborative platform designed to improve the care of patients by promoting collaboration between health professionals. The company's platform offers a drug base to quickly access thousands of monographs by the information provided by HAS/ANSM/EMA and provides a custom scientific news feed that includes all the latest published scientific articles, displayed according to the profile and behavior of the user as well as simplifies the exchange between colleagues throughout France, through the sending of short messages, enabling health professionals to streamline processes and maximize the quality of their care.</t>
  </si>
  <si>
    <t>Impact Partners (Paris)(Thomas Delalande), Relyens(Dominique Godet), UI Investissement</t>
  </si>
  <si>
    <t>collaborative platform, dysfunctional grid, health collaboration platform, healthcare services app, medical application, medical record system</t>
  </si>
  <si>
    <t>186510-88T</t>
  </si>
  <si>
    <t>186612-31T</t>
  </si>
  <si>
    <t>Kompozite</t>
  </si>
  <si>
    <t>Developer of a construction data services intended to accelerate the decarbonization of the construction industry. The company's platform compiles materials data, automatically generates optimized constructive services according to users' specific constraints, and offers collaboration and a remote-friendly interface, enabling clients to accelerate the low-carbon transition in the construction and renovation of buildings.</t>
  </si>
  <si>
    <t>AFI Ventures (Paris), Citizen Capital, Foundamental, Ventech (Paris)</t>
  </si>
  <si>
    <t>construction data platform, data science, digital platform, digital platform developer, digital platform software, sustainable building, vertical application</t>
  </si>
  <si>
    <t>Artificial Intelligence &amp; Machine Learning, Big Data, Construction Technology, SaaS</t>
  </si>
  <si>
    <t>186581-17T</t>
  </si>
  <si>
    <t>Unkle</t>
  </si>
  <si>
    <t>Business/Productivity Software, Media and Information Services (B2B), Other Insurance, Real Estate Services (B2C)*</t>
  </si>
  <si>
    <t>Operator of a brokerage agency intended to provide renting services. The company offers to be a guarantor for a fee of the tenants who do not fulfill the market conditions or do not meet all landlord requirements and boost their applications to easily rent an apartment, enabling customers to get protected against any risk of unpaid rent.</t>
  </si>
  <si>
    <t>Anaxago, CapHorn Invest, InnovAllianz, Mundi Ventures(Lluis Viñas), Prunay Impact</t>
  </si>
  <si>
    <t>brokerage agency, guarantor assistance, house brokerage, house rent, tenants care, tenants issues</t>
  </si>
  <si>
    <t>186337-45T</t>
  </si>
  <si>
    <t>Bestseller Foundation(Tine Henriksen), Bluepool Capital, Enigmo (TKS: 3665), Investisseurs &amp; Partenaires(Sébastien Boyé), Joseph Tsai(Joseph Tsai), LoftyInc Capital Management, Prunay Impact, Rising Tide Africa, Saviu Ventures(Benoit Delestre), VestedWorld</t>
  </si>
  <si>
    <t>186395-86T</t>
  </si>
  <si>
    <t>186441-76T</t>
  </si>
  <si>
    <t>Culture In</t>
  </si>
  <si>
    <t>Other Commercial Products, Plant Textiles*, Real Estate Services (B2C)</t>
  </si>
  <si>
    <t>Manufacturer of customizable rigid impregnated fabric designed to eliminate volatile organic compounds. The company utilizes a yarn combining flax and a bio-based resin, based on polymerized sugar from corn which makes the product compostable at the end of its life, along with offering a full range of products including space dividers, wall coverings, suspensions, lighting and acoustic solutions, enabling customers with sustainable living and working spaces.</t>
  </si>
  <si>
    <t>ABC Technologies, Atlantique Vendée Innovation, Nord Création, Pays de la Loire Participations, Sodero, Synergence</t>
  </si>
  <si>
    <t>eco-design, fabrics product, fabrics textile, flax fiber, sustainable products, textile industry</t>
  </si>
  <si>
    <t>Plant Textiles</t>
  </si>
  <si>
    <t>Montaigu-Vendée, France</t>
  </si>
  <si>
    <t>234884-53T</t>
  </si>
  <si>
    <t>Fairwai</t>
  </si>
  <si>
    <t>Operator of a messaging platform for sales proposals intended to facilitate communication between salespeople and their prospects to improve negotiations' success. The company's platform allows users to collaborate on meeting documents asynchronously, take great decisions live, and follow up seamlessly, enabling businesses to save time and money on meetings.</t>
  </si>
  <si>
    <t>action system, business compliance, business tools, copilot software, meeting agenda app, meeting platform, time management</t>
  </si>
  <si>
    <t>177213-61T</t>
  </si>
  <si>
    <t>Alven Capital Partners(Thomas Cuvelier), Anne-Sybille Pradelles(Anne-Sybille Pradelles), Anthemis, Bénédicte De Raphélis Soissan(Bénédicte De Raphélis Soissan), Emmanuel Schalit(Emmanuel Schalit), Gérald Loobuyck(Gérald Loobuyck), Henry Kravis(Henry Kravis), Kima Ventures(Jean De La Rochebrochard), Raphaël Vullierme(Raphaël Vullierme), Renegade Ventures</t>
  </si>
  <si>
    <t>186349-15T</t>
  </si>
  <si>
    <t>Aglaé Ventures, Cameleon Invest, Eurazeo (PAR: RF), General Atlantic, Generation Investment Management(Shalini Rao), Sprints (London)(Henrik Persson)</t>
  </si>
  <si>
    <t>232461-28T</t>
  </si>
  <si>
    <t>NovPower</t>
  </si>
  <si>
    <t>Manufacturer of electric propulsion systems intended to increase safety and reduce the carbon footprint. The company specializes in developing a complete and optimized electric propulsion system, with an architecture that aims to eliminate the risk of engine failure, enabling pilots to monitor operating parameters.</t>
  </si>
  <si>
    <t>automotive industry, electric aircraft, electric propulsion, human machine interface, light aviation, motorization systems</t>
  </si>
  <si>
    <t>Saint-Genis-Pouilly, France</t>
  </si>
  <si>
    <t>182948-50T</t>
  </si>
  <si>
    <t>Qonto</t>
  </si>
  <si>
    <t>Developer of a financial platform designed to offer assistance in banking operations, bookkeeping, and budget management. The company's platform offers to send and receive payments through digital bank accounts and also adapts to all types of companies, for any legal form or team size, enabling clients to transfer funds through a mobile application with the help of a physical or virtual card and manage transfers without any paperwork.</t>
  </si>
  <si>
    <t>Alkeon Capital Management(Deepak Ravichandran), Alpha Protocol Ventures, Alven Capital Partners, Ashley Flucas(Ashley Flucas), Decart Ventures, DST Global, Eurazeo (PAR: RF), EXOR Seeds, finleap, Gaingels, HV Capital(Barbod Namini), Ilavska Vuillermoz Capital, Insight Partners, Kohlberg Kravis Roberts (NYS: KKR), Redstone VC, RTP Global, TCV(John Doran), Tencent Holdings (HKG: 00700), Tiger Global Management, Valar Ventures, VR Ventures, Zinal Growth</t>
  </si>
  <si>
    <t>ap automation, ar automation, banking application, business banking service, cfo stack, expense management, mobile payment app, online banking application, online fund transfer, online payment banking, supply chain tech</t>
  </si>
  <si>
    <t>FinTech, Mobile, Mobile Commerce, SaaS, Supply Chain Tech</t>
  </si>
  <si>
    <t>188817-76T</t>
  </si>
  <si>
    <t>SkillCorner</t>
  </si>
  <si>
    <t>Developer of an artificial intelligence-powered video tracking technology designed to analyze football matches. The company's technology uses computer vision and machine learning to generate real-time tracking data and live match visualization from any football broadcast, enabling users to access a growing database of football tracking data or receive tracking data on matches instantly.</t>
  </si>
  <si>
    <t>football data analytics, football game tracker, sports ai, sports analysis system, sports database, unstructured data analytics, video technology</t>
  </si>
  <si>
    <t>Artificial Intelligence &amp; Machine Learning, Big Data, Esports</t>
  </si>
  <si>
    <t>188631-01T</t>
  </si>
  <si>
    <t>SEB Alliance</t>
  </si>
  <si>
    <t>218458-27T</t>
  </si>
  <si>
    <t>Guibor</t>
  </si>
  <si>
    <t>186260-32T</t>
  </si>
  <si>
    <t>Ankorstore</t>
  </si>
  <si>
    <t>Operator of an online B2B marketplace intended to connect brands and retailers all over Europe. The company's marketplace permits on-trend brands to sell through local businesses and retailers to sell products that cannot usually be found on major e-commerce sites or via large retail chains, enabling retailers to discover and select from brands in just a few clicks and brands to benefit from direct contact and returns with retailers and payment upon delivery, solving any cash flow issues.</t>
  </si>
  <si>
    <t>Aglaé Ventures, Alven Capital Partners, Bain Capital Ventures(Merritt Hummer), BOND Capital (San Francisco)(Mood Rowghani), Coatue Management, Eurazeo (PAR: RF), Global Founders Capital(David Sainteff), Index Ventures(Martin Mignot), Made For All, Sofina (BRU: SOF), TCV, Tiger Global Management</t>
  </si>
  <si>
    <t>customer relationship management, digital commerce, ecommerce platform, ecommerce site, ecommerce site search, independent branding, online b2b marketplace, online branding goods, online shopping</t>
  </si>
  <si>
    <t>188713-27T</t>
  </si>
  <si>
    <t>Etic</t>
  </si>
  <si>
    <t>Operator of social real estate centers intended to offer access to affordable business premises and pool equipment and services. The company's centers rehabilitate the premises and offer them by designing, managing, financing, renovating, animating and operating workspaces in eco-responsible buildings, enabling several non-profit organizations and social enterprises to get the properties on moderate expenses, flexible leases and shared services.</t>
  </si>
  <si>
    <t>Abeille Impact Investing France, Aviva (Multi-line Insurance) (LON: AV.), Inco Ventures</t>
  </si>
  <si>
    <t>business premises, project setups, real estate, rental management, rental working space, social real estate, solidarity economy, working space</t>
  </si>
  <si>
    <t>218458-63T</t>
  </si>
  <si>
    <t>Junto</t>
  </si>
  <si>
    <t>Operator of a digital marketing agency intended to optimize customer acquisition. The company's uses digital intelligence for media management, advertisement creation, graphic designing, data tracking, and brand building, enabling companies to drive sales and achieve sustainable growth.</t>
  </si>
  <si>
    <t>advertising strategy, brand building, conversion optimization, customer acquisition, media campaigns, media management</t>
  </si>
  <si>
    <t>226435-42T</t>
  </si>
  <si>
    <t>Mr Arthur</t>
  </si>
  <si>
    <t>Application Software, Educational and Training Services (B2C), Information Services (B2C)*</t>
  </si>
  <si>
    <t>Developer of a parental control application designed to empower kids to make a long-term commitment to reduce their screen time and introduce smart time. The company's application employs artificial intelligence to track children's screen time, provide insights into their habits, and provide personalized digital coaching experiences with recommendations for how to reduce screen time and increase offline activities, enabling children to understand the value of their time and make decisions about how they spend it.</t>
  </si>
  <si>
    <t>Cameleon Invest, Early Capital Group, Snaw Ventures</t>
  </si>
  <si>
    <t>parental control, parental control app, parental control application, parental control solution, parental control system, screen time control, screen time management, screen time monitoring software</t>
  </si>
  <si>
    <t>Artificial Intelligence &amp; Machine Learning, EdTech, Mobile, SaaS</t>
  </si>
  <si>
    <t>265854-43T</t>
  </si>
  <si>
    <t>CCB Greentech</t>
  </si>
  <si>
    <t>Developer of wood-based concrete intended to offer a real alternative to construction solutions. The company offers a construction solution in terms of technicality, eco-construction, insulation, comfort of life and speed of implementation, they combine the resistance of concrete with the thermo-phonic insulating qualities of wood, thereby offering builders, developers and architects building components that assure energy sobriety in low consumption buildings.</t>
  </si>
  <si>
    <t>Holcim MAQER Ventures</t>
  </si>
  <si>
    <t>biosourced construction material, building product provider, building products, concrete alternative, concrete material, wooden concrete, wooden materials</t>
  </si>
  <si>
    <t>Beaurepaire, France</t>
  </si>
  <si>
    <t>189458-47T</t>
  </si>
  <si>
    <t>Cegedim Santé</t>
  </si>
  <si>
    <t>Other Healthcare Technology Systems, Practice Management (Healthcare)*</t>
  </si>
  <si>
    <t>Provider of practice management services intended for care pathway with various financial aid, management, communication, and coordination. The company provides patient record management, prescription assistance, billing, online appointment scheduling, teleconsultation, and secure messaging, enabling healthcare professionals to streamline their operations, enhance patient care, and improve access to healthcare services.</t>
  </si>
  <si>
    <t>Groupe VYV, Malakoff Humanis, PRO BTP Groupe</t>
  </si>
  <si>
    <t>appointment scheduling, billing solution, health management, healthcare administration, patient caregiver, patient management, record management solutions</t>
  </si>
  <si>
    <t>181701-01T</t>
  </si>
  <si>
    <t>Bruno Alazard(Bruno Alazard), Gui Perrier(Gui Perrier), NEO Investment Partners, Newfund Management, Olivier Vialle(Olivier Vialle), OneRagtime, Samuel Rohaut(Samuel Rohaut), Venrex Investment Management, Yan Georget(Yan Georget)</t>
  </si>
  <si>
    <t>186836-86T</t>
  </si>
  <si>
    <t>Bleu Capital, Capagro, Entrepreneur First, Eric Melloul(Eric Melloul), Financière Saint James, Frédéric Mazzella(Frédéric Mazzella), Natalie Portman(Natalie Portman), Oyster Bay, Partech, Seventure Partners, Thibauld de Larauze(Thibauld de Larauze), Thomas Plantega(Thomas Plantega), Zintinus</t>
  </si>
  <si>
    <t>186062-14T</t>
  </si>
  <si>
    <t>PayFit</t>
  </si>
  <si>
    <t>Developer of payroll software designed to automate payroll and human resource management tasks. The company's software automates the payroll of employees and manages social statements as well as offers a flexible HR system to track and manage working time, onboarding process, leaves and expense reports, enabling businesses to manage payroll and HR information online on a single platform.</t>
  </si>
  <si>
    <t>Accel(Philippe Botteri), Bpifrance, Eurazeo (PAR: RF), General Atlantic(Christopher Caulkin), Purple (Paris), Resonance VC, Salica Investments</t>
  </si>
  <si>
    <t>cfo stack, earned wage access, employee payroll, employee payroll software, enterprise resource planning, hr management platform, hr management software, human capital management, payroll management, payroll management dashboard</t>
  </si>
  <si>
    <t>FinTech, HR Tech, SaaS</t>
  </si>
  <si>
    <t>186887-80T</t>
  </si>
  <si>
    <t>Team Vitality</t>
  </si>
  <si>
    <t>Entertainment Software, Leisure Facilities, Other Restaurants, Hotels and Leisure*</t>
  </si>
  <si>
    <t>Operator of an online sports platform intended to offer e-sports-related management services. The company's platform provides a professional e-sports club that includes several professional players from different nationalities under contract, evolving primarily on video games of various genres including first-person shooting, enabling players to participate in competitions within various online games.</t>
  </si>
  <si>
    <t>Rewired Venture Studio</t>
  </si>
  <si>
    <t>content creation, esports club, esports games, gaming organization, online tournaments, professional gaming, talent agency</t>
  </si>
  <si>
    <t>215524-90T</t>
  </si>
  <si>
    <t>Akewatu</t>
  </si>
  <si>
    <t>Operator of a global technology platform designed for surfing, connecting retailers, brands, and consumers. The company's platform operates global surfing digital marketplace at scale, connects brands, retailers, and consumers, enabling surfers to find gear depending on their level of practice and usage, giving the choice between new or used, offers advice on quality controls and logistics services.</t>
  </si>
  <si>
    <t>TLF Ventures</t>
  </si>
  <si>
    <t>recreational goods, sports apparel, sports care, sportswear, surfing apparel, surfing tools</t>
  </si>
  <si>
    <t>Lege Cap Ferret, France</t>
  </si>
  <si>
    <t>182246-32T</t>
  </si>
  <si>
    <t>Agilent Technologies (NYS: A), Alexandria Venture Investments, ArrowMark Partners, Baillie Gifford, Bpifrance(Laurent Higueret), Casdin Capital(Eli Casdin), Catalio Capital Management, Coatue Management(Aaron Weiner), Danaher (NYS: DHR), EQT Life Sciences(Joachim Rothe), EureKare, Farallon Capital Management, Fidelity Management &amp; Research Company, HealthCor Management, Illumina Ventures(Nicholas Naclerio), Irving Investors, Kurma Partners(Philippe Peltier), M Ventures(Christian Uhrich), Moore Capital Management(Kevin Patel), Moore Strategic Ventures, T. Rowe Price Group (NAS: TROW)</t>
  </si>
  <si>
    <t>252668-26T</t>
  </si>
  <si>
    <t>Alki</t>
  </si>
  <si>
    <t>Developer of a copilot software designed to provide efficiency in warehouse operations. The company's platform leverages real-time data and machine learning to anticipate workload, optimize staffing levels, and streamline warehouse operations, enabling logisticians and retailers to reduce costs, improve efficiency, and enhance customer satisfaction.</t>
  </si>
  <si>
    <t>capacity management services, loading forecasting, logistics management tool, logistics tracking, warehouse operations, warehouse operations management</t>
  </si>
  <si>
    <t>225647-92T</t>
  </si>
  <si>
    <t>anycommerce</t>
  </si>
  <si>
    <t>Business/Productivity Software*, Database Software, Financial Software</t>
  </si>
  <si>
    <t>Developer of a cash management-based software designed to create and manage sales channels, in-store, point of sale (POS), and logistics. The company's software allows seamless integration of any new channel into existing information systems and offers an omnichannel platform for orders, payment, cash management, and loyalty, enabling clients to natively unify sales for online and offline channels.</t>
  </si>
  <si>
    <t>cash management, cash management software, loyalty and incentive, omnichannel content, online sales management, pos solutions, seamless integration</t>
  </si>
  <si>
    <t>204060-88T</t>
  </si>
  <si>
    <t>Arkania</t>
  </si>
  <si>
    <t>Business/Productivity Software*, Other Financial Services</t>
  </si>
  <si>
    <t>Operator of API platform intended for brands to create and sell online NFTs directly. The company is currently operating in stealth mode.</t>
  </si>
  <si>
    <t>Bertrand Jacquelot(Bertrand Jacquelot), Global Founders Capital, Kima Ventures, Motier Ventures</t>
  </si>
  <si>
    <t>api platform, crypto finance, financial service, fintech tools, nft platform, online financial</t>
  </si>
  <si>
    <t>226641-61T</t>
  </si>
  <si>
    <t>Athena Recherche et innovation</t>
  </si>
  <si>
    <t>Developer of a process for the production of hydrogen by biological means intended to solve environmental problems. The company specializes in developing a clean way to produce hydrogen from waste using bacteria, recovering wastewater and waste from the food industry, and allowing microorganisms to grow on it, which release hydrogen, enabling businesses to save energy, and cost.</t>
  </si>
  <si>
    <t>energy saving, environmental protection, food waste, hydrogen fuel, renewable energy, wastewater treatment</t>
  </si>
  <si>
    <t>Saint Georges sur Loire, France</t>
  </si>
  <si>
    <t>227081-53T</t>
  </si>
  <si>
    <t>Atlanticus Music</t>
  </si>
  <si>
    <t>Entertainment Software*, Financial Software, Movies, Music and Entertainment, Other Financial Services</t>
  </si>
  <si>
    <t>Operator of a music NFT platform intended to provide access to musical content to individuals. The company's platform uses blockchain technology to offer benefits including golden concert tickets, exclusive live music sessions, and access to unpublished musical tracks, enabling users to experience a musical journey and empowering emerging artists.</t>
  </si>
  <si>
    <t>Daffourd Invest, Daovergence (DVG), YADAY</t>
  </si>
  <si>
    <t>music creators, music platform, nft holder, nft marketplace, non-fungible token, smart chain technology</t>
  </si>
  <si>
    <t>Artificial Intelligence &amp; Machine Learning, AudioTech, Cryptocurrency/Blockchain, FinTech</t>
  </si>
  <si>
    <t>204429-52T</t>
  </si>
  <si>
    <t>Bilhi Genetics</t>
  </si>
  <si>
    <t>Developer of a genetic diagnostic technology designed to prevent cancer by identifying patients susceptible to developing serious illnesses before they occur. The company's genetic predictive technologies help to prevent fibrosis, cirrhosis, and cancers and enhance medical care, enabling physicians to diagnose and prevent cancer.</t>
  </si>
  <si>
    <t>CapHorn Invest</t>
  </si>
  <si>
    <t>cancer detecting, genetic diagnostics, genetic drugs, genetics testing, personalized medicine, predictive medicine</t>
  </si>
  <si>
    <t>248403-61T</t>
  </si>
  <si>
    <t>Caravel (Financial Software)</t>
  </si>
  <si>
    <t>Developer of a pension planning platform designed for French people who want to build up additional income. The company's platform offers a simple and ethical retirement savings plan and also advisors who provide guidelines regarding plans, enabling customers to invest in their future and prepare for a comfortable retirement.</t>
  </si>
  <si>
    <t>pension guide, pension plan, pension planning, retirement benefits, retirement income, retirement insurance</t>
  </si>
  <si>
    <t>214112-44T</t>
  </si>
  <si>
    <t>Carbo</t>
  </si>
  <si>
    <t>Developer of a web application designed to offset carbon footprint through a monthly plan. The company's application estimates carbon impact in just a few clicks by calculating impactful expenses, enabling clients to understand and reduce their carbon impact and act against climate change.</t>
  </si>
  <si>
    <t>115K, Snaw Ventures, Ternel</t>
  </si>
  <si>
    <t>carbon control, climate emergency, enterprise asset management, enterprise resource planning, environnement service, reduce carbon impact, web application</t>
  </si>
  <si>
    <t>CleanTech, LOHAS &amp; Wellness, Mobile</t>
  </si>
  <si>
    <t>225599-05T</t>
  </si>
  <si>
    <t>Cezigue.io</t>
  </si>
  <si>
    <t>Developer of web-platform intended to connect businesses providing mobility services. The company offers mobility players a place to build and maintain web, mobile, and car-based applications dedicated to mobility, enabling users to create their mobility service and deploy it to their area connecting the in-vehicle access providers and the final users.</t>
  </si>
  <si>
    <t>EIT KIC Urban Mobility</t>
  </si>
  <si>
    <t>app deployment, connected service, mobility application, mobility ecosystem, mobility services technology, software development</t>
  </si>
  <si>
    <t>280078-21T</t>
  </si>
  <si>
    <t>207312-13T</t>
  </si>
  <si>
    <t>Covéa</t>
  </si>
  <si>
    <t>Other Insurance, Property and Casualty Insurance*</t>
  </si>
  <si>
    <t>Operator of a mutual insurance group intended to provide property and casualty insurance. The company offers various sales points and assistance to provide assistance to society and be accessible in claims, providing policyholders with warranties and services adapted to their expectations.</t>
  </si>
  <si>
    <t>financial services, insurance advisor, insurance cover, insurance group, insurance provider, insurance support</t>
  </si>
  <si>
    <t>261252-46T</t>
  </si>
  <si>
    <t>212032-36T</t>
  </si>
  <si>
    <t>Delteer</t>
  </si>
  <si>
    <t>Operator of an analytics platform intended to regain control over social media communities. The company's platform uses real-time insights that automatically analyze a huge volume of discussions happening within online communities, and extract in real-time the relevant information, enabling web-3 and metaverse-ready brand, community managers, and decision-makers to focus on their activities, achieve higher engagement, and increase their return on investment.</t>
  </si>
  <si>
    <t>Inovexus Ventures, Sharpstone Capital</t>
  </si>
  <si>
    <t>analytics platform, analytics platform developer, analytics platform operator, analytics platform provider, analytics platform software, analytics platform tools</t>
  </si>
  <si>
    <t>219586-69T</t>
  </si>
  <si>
    <t>Newfund Management(Augustin Sayer)</t>
  </si>
  <si>
    <t>184521-61T</t>
  </si>
  <si>
    <t>Hoxton Ventures, Kima Ventures</t>
  </si>
  <si>
    <t>276086-44T</t>
  </si>
  <si>
    <t>Fort Boyard Aventures</t>
  </si>
  <si>
    <t>Leisure Facilities*, Movies, Music and Entertainment</t>
  </si>
  <si>
    <t>Operator of an immersive game experience intended to challenge participants with team-based physical and mental trials. The company platform offers activities across skill-based categories like strength, balance, and reflection, enabling families and groups to enjoy engaging adventures in a competitive, real-life Fort Boyard setting.</t>
  </si>
  <si>
    <t>action game developer, action games, game developer company, game show, physical activity, skills learning</t>
  </si>
  <si>
    <t>200492-11T</t>
  </si>
  <si>
    <t>Hardloop</t>
  </si>
  <si>
    <t>Operator of an online shopping platform designed to offer clothing and accessories related to sports and adventure. The company's platform offers accessories necessary for adventurous sports like hiking, trail-running, skiing, climbing, and swimming from various international brands, enabling sports enthusiasts to get a diverse range of sports accessories and outfits.</t>
  </si>
  <si>
    <t>AngelSquare, Banque Palatine, LCL Alpes, Seventure Partners, SGPA, Societe Generale (PAR: GLE)</t>
  </si>
  <si>
    <t>online shopping, online shopping platform, outdoor sports, sports accessories, sports community platform, technical clothing</t>
  </si>
  <si>
    <t>280076-14T</t>
  </si>
  <si>
    <t>Jitensha</t>
  </si>
  <si>
    <t>Manufacturer of lightweight bicycles intended to help urban commuters based in Europe. The company manufactures bicycles and accessories including frames and forks that are made of high-quality alloyed steel, enabling cyclists to get premium and stylish personal bicycles that are customizable, light versatile, and affordable.</t>
  </si>
  <si>
    <t>bicycle company, bicycle frames, cycle gear, lightweight bicycle, pedals bikes, transportation equipment manufacturing</t>
  </si>
  <si>
    <t>166088-35T</t>
  </si>
  <si>
    <t>Krippit</t>
  </si>
  <si>
    <t>Accessories, Footwear*</t>
  </si>
  <si>
    <t>Manufacturer of high heel protectors intended to provide protection and stability of shoes. The company's protector is one-size-fits-all support that protects high-heel shoes while walking on grass, grates, and cracks, enabling people to get balance and comfort while using high heel shoes.</t>
  </si>
  <si>
    <t>Beyond Form, Checkmate Capital Group, Founder Institute, Gianluca Guerra(Gianluca Guerra), SC&amp;A</t>
  </si>
  <si>
    <t>apparel and fashion, heel designer, heel protector, high heel, high heel protector, high heel shoes, retail apparel</t>
  </si>
  <si>
    <t>209630-71T</t>
  </si>
  <si>
    <t>Lowit</t>
  </si>
  <si>
    <t>Business/Productivity Software, Media and Information Services (B2B)*, Other Energy</t>
  </si>
  <si>
    <t>Developer of a management platform intended to reduce energy consumption and improve efficiency within the property. The company's platform conducts comprehensive energy audits of buildings, allows one to create multi-year scenarios to comply with regulations such as the Tertiary Decree, tracks the implementation of electricity-saving actions, and monitors progress over time, enabling building owners with data-driven insights, and decision-support, and streamlined processes for achieving energy efficiency goals and regulatory compliance.</t>
  </si>
  <si>
    <t>Acorus</t>
  </si>
  <si>
    <t>action tracking, decision support, energy audits, energy management, energy optimization, scenario planning</t>
  </si>
  <si>
    <t>204127-12T</t>
  </si>
  <si>
    <t>Mark Copy</t>
  </si>
  <si>
    <t>Developer of cloud and artificial intelligence-based content copywriting tools designed to write search engine optimization blog articles. The company provides a platform that uses artificial intelligence technology for writing content, blog articles, product descriptions, advertisements, and emails using a subscription-based pricing model, enabling clients to write content on various templates hassle-free.</t>
  </si>
  <si>
    <t>artificial intelligence firm, content site, copywriting service, copywriting software, generative ai, natural language technology, writing assistant</t>
  </si>
  <si>
    <t>223065-01T</t>
  </si>
  <si>
    <t>194967-46T</t>
  </si>
  <si>
    <t>Minos Biosciences</t>
  </si>
  <si>
    <t>Biotechnology*, Discovery Tools (Healthcare), Other Healthcare Technology Systems, Other Pharmaceuticals and Biotechnology</t>
  </si>
  <si>
    <t>Developer of a spatially-resolved, multi-modal, single-cell analysis technology designed to revolutionize single-cell analysis for clinical research and diagnostics. The company's system offers direct coupling between image-based phenotypic analysis and omics analyses obtained by sequencing, enabling scientists to know DNA and RNA sequencing.</t>
  </si>
  <si>
    <t>analysis technology, cell analysis system, cell analysis technology, clinical research, omics analysis, single-cell analysis</t>
  </si>
  <si>
    <t>214157-98T</t>
  </si>
  <si>
    <t>232854-85T</t>
  </si>
  <si>
    <t>Monolith Partners</t>
  </si>
  <si>
    <t>Operator of a brand tech agency intended to help brands grow faster and more efficiently. The company's platform uses technology and data analysis to create advertising campaigns for their clients, enabling businesses to achieve their marketing goals.</t>
  </si>
  <si>
    <t>advertising campaigns, advertising management, brand management, collaborative design, digital marketing, media agency, social advertising</t>
  </si>
  <si>
    <t>AdTech, Internet of Things</t>
  </si>
  <si>
    <t>210739-15T</t>
  </si>
  <si>
    <t>Mycea</t>
  </si>
  <si>
    <t>Agricultural Chemicals*, Biotechnology</t>
  </si>
  <si>
    <t>Developer of bio-products intended as an alternative to chemical fertilizers and pesticides in agriculture. The company identifies, uses, and enhances the biological properties of fungi to improve plant health through several axes through biostimulation, biocontrol, diagnosis, and expertise, enabling users to get chemical-free products.</t>
  </si>
  <si>
    <t>VOL-V</t>
  </si>
  <si>
    <t>ag biotech, agriculture technology, bio product, biostimulation product, bio-stimulation technology, molecular biology test, mycorrhizal fungi, natural product, plant biotech, plant biotechnology, plant health</t>
  </si>
  <si>
    <t>190482-49T</t>
  </si>
  <si>
    <t>Navee</t>
  </si>
  <si>
    <t>Business/Productivity Software, Internet Software, Media and Information Services (B2B)*, Network Management Software</t>
  </si>
  <si>
    <t>Developer of AI-based image intelligence search engine designed to protect brands from counterfeits. The company's reverse image search engine and computer vision tool can search and find an image in all of its iterations and identify patterns and links counterfeit together, filtering out all irrelevant results in the process and matching hundreds of seller data points to identify clusters of infringement, enabling users to identify fake brands and prevent frauds while monitoring online presence.</t>
  </si>
  <si>
    <t>application security, computer vision, computer vision tools, content management, cyber security, fraud detection, natural language processing</t>
  </si>
  <si>
    <t>204141-34T</t>
  </si>
  <si>
    <t>Notice</t>
  </si>
  <si>
    <t>Business/Productivity Software*, Other Media</t>
  </si>
  <si>
    <t>Developer of a content creation platform intended to help businesses create and manage their marketing content. The company's platform provides a variety of features to create and manage marketing content, including a drag-and-drop editor, a content calendar, and a built-in analytics tool, enabling businesses to create content more efficiently and effectively and to track the performance of their content to ensure that they are reaching their target audience.</t>
  </si>
  <si>
    <t>Kima Ventures, Purple (Paris), Snaw Ventures</t>
  </si>
  <si>
    <t>collaborative content, content creation platform, content platform, content strategy platform, content translation, digital marketing tool, no-code editor</t>
  </si>
  <si>
    <t>226027-81T</t>
  </si>
  <si>
    <t>NovaVet</t>
  </si>
  <si>
    <t>Clinics/Outpatient Services, Other Healthcare Services*</t>
  </si>
  <si>
    <t>Operator of a group of veterinary clinics intended to become the leading player in veterinary care in France. The company specializes in consultation, surgical operations, blood tests, X-rays and ultrasounds, and hospitalizations of pets, enabling pet owners to get good quality veterinary care and services and veterinarians to get an attractive, flexible, and meaningful practice environment.</t>
  </si>
  <si>
    <t>animal care, pets' health care, surgical operations, veterinary clinic, veterinary consultation, veterinary practice, veterinary services</t>
  </si>
  <si>
    <t>Villiers-sur-Marne, France</t>
  </si>
  <si>
    <t>193096-18T</t>
  </si>
  <si>
    <t>Once (Business/Productivity Software)</t>
  </si>
  <si>
    <t>Developer of an online marketing platform designed to boost e-commerce conversion rates on mobile. The company's platform can create mobile-optimized storefronts for any e-commerce brand wherein one can link their shopping experience to advertisements or channels, enabling retailers to create optimized storefronts.</t>
  </si>
  <si>
    <t>Innovation Nest, Kima Ventures</t>
  </si>
  <si>
    <t>e commerce platform, ecommerce advertising service, ecommerce analytics, ecommerce conversion technology, ecommerce service, storefronts tools</t>
  </si>
  <si>
    <t>E-Commerce, Marketing Tech, Mobile, Mobile Commerce</t>
  </si>
  <si>
    <t>267493-69T</t>
  </si>
  <si>
    <t>SISTAFUND</t>
  </si>
  <si>
    <t>213614-83T</t>
  </si>
  <si>
    <t>Positron Ventures</t>
  </si>
  <si>
    <t>201094-30T</t>
  </si>
  <si>
    <t>Phedone</t>
  </si>
  <si>
    <t>Developer of an advanced analytics platform designed to facilitate the management of customer support feedback. The company's platform integrates a natural language processing feature that automates the analysis and processing of operations, enabling organizations to organize automated text-based data processing for customers.</t>
  </si>
  <si>
    <t>Wesley Clover International</t>
  </si>
  <si>
    <t>ai automation platform, artificial intelligent, data visualization tool, feedback analytics platform, machine learning tech, macro analysis, saas tool, web based</t>
  </si>
  <si>
    <t>Artificial Intelligence &amp; Machine Learning, CloudTech &amp; DevOps, SaaS</t>
  </si>
  <si>
    <t>220159-99T</t>
  </si>
  <si>
    <t>Rage Trade</t>
  </si>
  <si>
    <t>Operator of a decentralized derivatives trading platform intended for solving the liquidity problem faced by perpetual protocols. The company's platform offers a yield-farming product for users to earn additional yield from perpetual trading fees and it leverages its core mechanism to maintain a neutral position in the price movements of assets, enabling users to provide liquidity provider tokens of other protocols as liquidity for perpetual traders, using different vault strategies to recycle underutilized tokens and create deep liquidity.</t>
  </si>
  <si>
    <t>Adam Patel(Adam Patel), Amber Group, Apollo (Machinery), BreakOrbit Venture, CMS Cameron McKenna, Convex ( Financial Software), Daniel Pomp(Daniel Pomp), DCFGod DCFGod(DCFGod DCFGod), Dopex, Eden Au(Eden Au), Evan Schlessinger(Evan Schlessinger), Folkvang, Global Blockchain Ventures, Grug Capital(Grug Capital), Jai Bhavani(Jai Bhavani), Kronos Family Office, Lemniscap, M. Scott Lewis, Mewny Mewny(Mewny Mewny), MGNR, Nebulae Ventures, Nick Chong(Nick Chong), Not3Lau Capital, OKX Ventures, Primitive Ventures, Re7 Capital, Robot Ventures, Santiago Fernandez, SevenX Ventures, Sha Hafizi(Sha Hafizi), Steven Doge(Steven Doge), Three Arrows Capital, Tuba Terekli(Tuba Terekli), Will Price(Will Price), Zee Prime Capital</t>
  </si>
  <si>
    <t>decentralized derivatives, decentralized exchange protocol, decentralized trading, derivatives trading, liquidity provider tokens, trading protocol</t>
  </si>
  <si>
    <t>174910-24T</t>
  </si>
  <si>
    <t>Investisseurs &amp; Partenaires, Miarakap</t>
  </si>
  <si>
    <t>206805-88T</t>
  </si>
  <si>
    <t>186650-38T</t>
  </si>
  <si>
    <t>Sim&amp;Cure</t>
  </si>
  <si>
    <t>Education and Training Services (B2B), Other Devices and Supplies*, Other Healthcare Technology Systems</t>
  </si>
  <si>
    <t>Developer of a patient-specific device designed to secure the treatment of a cerebral aneurysm. The company's device is fast and has optimal sizing, virtually evaluates the final position of different sizes and shapes of intracranial implants, and secures the treatment, enabling neurologists to treat patients with neurovascular disorders.</t>
  </si>
  <si>
    <t>NeuroTechnology Investors</t>
  </si>
  <si>
    <t>aneurysm treatment, endovascular treatment, hemorrhagic stroke prevention, medical device, medical software technology, neurovascular treatment</t>
  </si>
  <si>
    <t>226024-84T</t>
  </si>
  <si>
    <t>Speed Park</t>
  </si>
  <si>
    <t>Operator of bowling alleys and entertainment centers intended for leisure activities and family outings. The company offers bowling, billiards, laser tag, and video games, alongside facilities for hosting birthday parties and other events, enabling families and friends to come together, relax, and enjoy quality time together.</t>
  </si>
  <si>
    <t>bowling games, gaming park, leisure service facility, leisure service provider, recreational games, recreational park</t>
  </si>
  <si>
    <t>Arras, France</t>
  </si>
  <si>
    <t>215690-32T</t>
  </si>
  <si>
    <t>Dastore, Plug and Play Tech Center</t>
  </si>
  <si>
    <t>218654-29T</t>
  </si>
  <si>
    <t>Superfans</t>
  </si>
  <si>
    <t>Developer of marketing software designed for community-led businesses. The company's software helps businesses to grow organically using analytics, automation, and on-chain and off-chain attribution, enabling clients to grow their businesses.</t>
  </si>
  <si>
    <t>Axeleo Capital</t>
  </si>
  <si>
    <t>analytics automation, business growth, marketing automation, marketing company, marketing software, web3 community</t>
  </si>
  <si>
    <t>Cryptocurrency/Blockchain, Marketing Tech</t>
  </si>
  <si>
    <t>226622-08T</t>
  </si>
  <si>
    <t>Telemedicine Technologies</t>
  </si>
  <si>
    <t>Database Software*, Enterprise Systems (Healthcare), Medical Records Systems, Other Commercial Services</t>
  </si>
  <si>
    <t>Developer of a web software platform designed to provide e-health services and medical data collection for healthcare systems. The company specializes in data services, secure hosting, computerized patient records, data visualization, managed access programs and health data hosting services, enabling healthcare industries to access a space for the electronic management of clinical trials and registries.</t>
  </si>
  <si>
    <t>Noshaq</t>
  </si>
  <si>
    <t>clinical data collection, computerized patient records, data visualization, ecrf solution, e-health solutions, epro data, health data hosting, health services platform, healthcare platform, managed access program, medical data collection, vigilance solution</t>
  </si>
  <si>
    <t>Big Data, HealthTech, SaaS</t>
  </si>
  <si>
    <t>280075-78T</t>
  </si>
  <si>
    <t>TOMO Clothing</t>
  </si>
  <si>
    <t>Manufacturer of functional and technical clothing intended to support dynamic women in their everyday movements. The company offers designs crafted with eco-friendly materials, ensuring comfort, durability, and style, enabling women on the move to express their authenticity while contributing to a more sustainable world.</t>
  </si>
  <si>
    <t>apparel industry, apparel manufacturer, clothing industry, gear manufacturer, women clothing, women product</t>
  </si>
  <si>
    <t>215794-63T</t>
  </si>
  <si>
    <t>TraceTemp</t>
  </si>
  <si>
    <t>Monitoring Equipment*, Other Pharmaceuticals and Biotechnology</t>
  </si>
  <si>
    <t>Developer of a smart monitoring ecosystem platform designed to check temperature-sensitive outcomes. The company provides continuous monitoring of fixed pharmaceutical materials throughout the supply chain, enabling the healthcare industry to improve the safety and quality of their products.</t>
  </si>
  <si>
    <t>environmental monitoring, healthcare market, monitoring system, pharmaceutical purpose, pharmaceuticals products, supply chain analytics, supply chain model, temperature control, temperature tracker</t>
  </si>
  <si>
    <t>HealthTech, Life Sciences, Supply Chain Tech</t>
  </si>
  <si>
    <t>241685-56T</t>
  </si>
  <si>
    <t>Banque des Territoires, France Active(Blandine Vulin), Investir &amp;+(Vincent Fauvet)</t>
  </si>
  <si>
    <t>203172-94T</t>
  </si>
  <si>
    <t>Vertical</t>
  </si>
  <si>
    <t>Business/Productivity Software*, Financial Software, Information Services (B2C)</t>
  </si>
  <si>
    <t>Developer of a capex management software designed to create transparency on industrial investment performance. The company's software allows executives to have real-time control over the company's investment cash flow, status, and actual performance by providing a fully integrated capex management alternative, enabling employees to link their company strategy to actual projects.</t>
  </si>
  <si>
    <t>OSS Ventures(Renan Devillieres)</t>
  </si>
  <si>
    <t>project managemenet, project management company, project management data, project management serviceas, project manager tools, software managed services, software management system</t>
  </si>
  <si>
    <t>Malataverne, France</t>
  </si>
  <si>
    <t>228271-96T</t>
  </si>
  <si>
    <t>Vintega</t>
  </si>
  <si>
    <t>Accessories, Internet Retail, Specialty Retail*</t>
  </si>
  <si>
    <t>Operator of an e-commerce platform intended for buying and selling second-hand luxury bags. The company's platform specializes in offering a variety of features including a wide selection of bags, authentication services, and a secure payment system, a safe and convenient way for transactions, enabling people to find the right bag for their needs and make the luxury bag market more efficient and transparent.</t>
  </si>
  <si>
    <t>Alphaviridis Groupe, Ankaa Ventures, Cenitz</t>
  </si>
  <si>
    <t>fashion accessories, fashion product, luxury bags, online accessories, online market, online shop, secondhand trade</t>
  </si>
  <si>
    <t>Asnières -sur-Seine, France</t>
  </si>
  <si>
    <t>280310-50T</t>
  </si>
  <si>
    <t>Vybe (Financial Software)</t>
  </si>
  <si>
    <t>Developer of a digital banking platform designed to streamline transactions and payments for teenagers. The company's platform offers features that include instant transfers, notifications and secure management of expenses, enabling teenagers to handle their pocket money conveniently and smoothly.</t>
  </si>
  <si>
    <t>consumer payment, debit &amp; p2p, expense management, money transfer service, payment card security, payment platform, youth banking</t>
  </si>
  <si>
    <t>FinTech, LOHAS &amp; Wellness, SaaS</t>
  </si>
  <si>
    <t>204483-43T</t>
  </si>
  <si>
    <t>WeCashUp</t>
  </si>
  <si>
    <t>Developer of an online payment gateway intended to help merchants process payments easily. The company's gateway uses a single API and AI integration to accept cash, mobile money, bank mobile wallets, cards, and cryptocurrency payments, enabling users to securely transact anytime with a single management interface.</t>
  </si>
  <si>
    <t>Ce-IV</t>
  </si>
  <si>
    <t>mobile electronic payment, mobile money, mobile payment, mobile payment system, payment gateway, secure transaction</t>
  </si>
  <si>
    <t>190451-62T</t>
  </si>
  <si>
    <t>WeFast</t>
  </si>
  <si>
    <t>Application Software, Information Services (B2C)*, Other Services (B2C Non-Financial), Social Content</t>
  </si>
  <si>
    <t>Developer of a weight loss management application designed to lose weight for women to contribute, support, and share their daily victories. The company's application allows a safe space for women to contribute, support, and share their daily victories, as well as provides women the insights, motivation, and tools they need to ease their journey, enabling users to become a proper version of themselves.</t>
  </si>
  <si>
    <t>HSD Capital, Kima Ventures, Super Capital</t>
  </si>
  <si>
    <t>calories tracker, fitness app, fitness app developer, fitness application platform, sugar level monitoring, weight loss management, weight loss system</t>
  </si>
  <si>
    <t>LOHAS &amp; Wellness, Mobile, SaaS</t>
  </si>
  <si>
    <t>Mont Saint Aignan, France</t>
  </si>
  <si>
    <t>214157-08T</t>
  </si>
  <si>
    <t>212932-63T</t>
  </si>
  <si>
    <t>XOS</t>
  </si>
  <si>
    <t>Developer of an online training portal intended to upskill the employees. The company's platform offers a toolbox that helps solve day-to-day problems and offers short-term courses on management, office automation, and language skills, enabling companies to tutor their employees.</t>
  </si>
  <si>
    <t>online courses, online education, online learning, online training, soft skills, upskilling platform</t>
  </si>
  <si>
    <t>190775-98T</t>
  </si>
  <si>
    <t>Yumon</t>
  </si>
  <si>
    <t>Blockchain Gaming, NFTs</t>
  </si>
  <si>
    <t>Entertainment Software*, Financial Software, Other Financial Services</t>
  </si>
  <si>
    <t>Developer of an NFT gaming platform intended to offer fantasy league gaming. The company's platform allows the creation of a fantasy world to collect the creator's assets and make trades through the platform, enabling gamers to play, enjoy and earn in crypto.</t>
  </si>
  <si>
    <t>Origins Fund(Blaise Matuidi), Otium Capital</t>
  </si>
  <si>
    <t>blockchain games, crypto gaming, fantasy gaming, fantasy gaming platform, fantasy league, gaming content, gaming platform, nft gaming platform</t>
  </si>
  <si>
    <t>Cryptocurrency/Blockchain, Esports, Gaming</t>
  </si>
  <si>
    <t>Saint-mande, France</t>
  </si>
  <si>
    <t>188205-58T</t>
  </si>
  <si>
    <t>Zymoptiq</t>
  </si>
  <si>
    <t>Biotechnology, Monitoring Equipment*</t>
  </si>
  <si>
    <t>Operator of a medical monitoring platform intended to offer enzymatic tests. The company's platform provides a disruptive analytic tool to characterize, measure, and assay the activities of the enzyme, enabling doctors to adapt to their needs and measure enzymatic activity in complex research.</t>
  </si>
  <si>
    <t>Bpifrance, Clubster NHL, IRD Invest, Nord Création, Nord France Amorçage, Thia Ventures</t>
  </si>
  <si>
    <t>biotechnology company, enzymatic drugs, enzymatic test, medical monitoring platform, medical monitoring services, monitoring platform</t>
  </si>
  <si>
    <t>Lezennes, France</t>
  </si>
  <si>
    <t>164379-88T</t>
  </si>
  <si>
    <t>InFlectis BioScience</t>
  </si>
  <si>
    <t>Developer of small molecule drugs intended to improve the cellular defense system. The company's drugs identify preclinical-stage development products that modulate key proteins involved in misfolded protein disorders areas through early proof-of-concept, enabling clients to maximize the commercial value of each of its products, improve patient care and generate significant financial returns for shareholders.</t>
  </si>
  <si>
    <t>Crédit Mutuel Innovation</t>
  </si>
  <si>
    <t>amyotrophic lateral sclerosis, molecular drug delivery, neurodegenerative disorder, neuromuscular disease, protein misfolding disease, small molecule, unfolded protein response</t>
  </si>
  <si>
    <t>226110-88T</t>
  </si>
  <si>
    <t>La Carte Française</t>
  </si>
  <si>
    <t>Operator of an e-commerce platform intended to offer consumer products. The company's platform specializes in providing a wide range of French-made goods including fashion, sports gear, child care, healthcare, hygiene, and beauty and gift cards, enabling customers to support local businesses and buy online products of their choice.</t>
  </si>
  <si>
    <t>business service, consumer services, french products, gift card, marketplace website, online store, virtual shopping</t>
  </si>
  <si>
    <t>218502-46T</t>
  </si>
  <si>
    <t>Nénés</t>
  </si>
  <si>
    <t>Operator of a clothing brand intended to offer stylish lingerie and swimwear with a low impact on the environment. The company offers products made from recycled raw materials and fibers in Portugal, enabling women to get all types of lingerie, bras and panties as per their comfort sizes and suitable for their shapes.</t>
  </si>
  <si>
    <t>Femmes Business Angels, Prunay Impact</t>
  </si>
  <si>
    <t>clothing firm, lingerie designer, lingerie items, lingerie seller, lingerie swimwear, swimwear apparel, swimwear maker, women's clothing, women's product</t>
  </si>
  <si>
    <t>245463-04T</t>
  </si>
  <si>
    <t>On the Wild Side</t>
  </si>
  <si>
    <t>Producer of organic cosmetics products intended to eliminate the side effects caused by chemicals in cosmetics. The company's products are vegan, made from vegetable oils and active ingredients without essential oils and without synthetic preservatives which are obtained from forests, enabling its users to use natural cosmetics without having any side effects on their skin.</t>
  </si>
  <si>
    <t>Colombe Investments, Marc Beffort(Marc Beffort)</t>
  </si>
  <si>
    <t>natural makeup items, organic cosmetics, organic cosmetics product, organic makeup, personal products, skin product manufacturer</t>
  </si>
  <si>
    <t>209732-05T</t>
  </si>
  <si>
    <t>Borderless Capital(David Garcia)</t>
  </si>
  <si>
    <t>191893-96T</t>
  </si>
  <si>
    <t>195489-10T</t>
  </si>
  <si>
    <t>Ioma Paris</t>
  </si>
  <si>
    <t>Internet Retail, Personal Products*, Specialty Retail</t>
  </si>
  <si>
    <t>Operator of a skincare brand platform intended to sell skin care products and cosmetics. The company's platform offers personalized skin care treatments and products that include anti-aging treatments and dry-skin therapies for the face and body, enabling individuals to buy personal products online.</t>
  </si>
  <si>
    <t>Unilever Ventures</t>
  </si>
  <si>
    <t>anti-aging treatment, night cream, online and retail platform, personalized treatment, skin treatment, skincare brand, skincare goods, skincare product</t>
  </si>
  <si>
    <t>Beauty, E-Commerce, TMT</t>
  </si>
  <si>
    <t>204500-80T</t>
  </si>
  <si>
    <t>Seven Squares</t>
  </si>
  <si>
    <t>Operator of indoor parks intended to offer leisure activities for all ages. The company offers various facilities like bowling, a children's theme park, a trampoline park, laser games, playful climbing areas, and onsite catering, providing people of all ages with outdoor fun activities.</t>
  </si>
  <si>
    <t>entertainment center, games park, indoor park, leisure activities, leisure park, recreational facilities, retail park</t>
  </si>
  <si>
    <t>215776-00T</t>
  </si>
  <si>
    <t>Sweelco</t>
  </si>
  <si>
    <t>Building Products, Construction and Engineering*</t>
  </si>
  <si>
    <t>Operator of a modular construction firm intended for a sustainable construction system. The company specializes in the off-site design-build of sustainable light steel frame buildings by integrating the digital design of made-to-measure buildings, the automated prefabrication of elements, and their assembly on-site, enabling clients to promote fast, efficient, and sustainable development processes.</t>
  </si>
  <si>
    <t>buiding construction, construction method, construction work, light steel frame, pre fabricating, steel frame construction, sustainable construction</t>
  </si>
  <si>
    <t>Montreuil-Juigné, France</t>
  </si>
  <si>
    <t>188999-11T</t>
  </si>
  <si>
    <t>CEA Investissement, EIT InnoEnergy, IDEC (TKS: 6652)</t>
  </si>
  <si>
    <t>191096-20T</t>
  </si>
  <si>
    <t>Edumiam</t>
  </si>
  <si>
    <t>Operator of an e-learning platform intended to provide nutrition counseling to accompany daily parenting and early childcare professionals. The company provides digital training courses on nutrition and addresses all key topics including sleep, screens, and development via digital tools including mobile training, enabling children to be able to develop their full potential.</t>
  </si>
  <si>
    <t>MakeSense, Normandie Participations(Matthieu Rabeisen), Rugby Angels network</t>
  </si>
  <si>
    <t>distance learning, distance learning program, online training, social enterprise, training application, vocational training</t>
  </si>
  <si>
    <t>Normandie, France</t>
  </si>
  <si>
    <t>211991-23T</t>
  </si>
  <si>
    <t>Nouvelle Aquitaine Co-Investissement, Open CNP</t>
  </si>
  <si>
    <t>189252-46T</t>
  </si>
  <si>
    <t>Goshaba</t>
  </si>
  <si>
    <t>Developer of an employee recruitment platform designed to automate candidate qualification by collecting new, reliable, and comparable data. The company's platform uses smart screening, cognitive gaming, and talent mapping to find the ideal profile for a position through a gamified path based on cognitive science, enabling recruiters to evaluate candidates by analyzing their different cognitive traits through mini-games to hire candidates whose skills and talents are best suited for the organization.</t>
  </si>
  <si>
    <t>BNP Paribas Développement, Daphni, Future Founders, Guibor, Inco Ventures, Orange Ventures</t>
  </si>
  <si>
    <t>assessment model, assessment tools developer, cognitive science software, hiring test, smart screening, talent mapping, vertical application</t>
  </si>
  <si>
    <t>206579-26T</t>
  </si>
  <si>
    <t>184743-82T</t>
  </si>
  <si>
    <t>Kima Ventures, La Famiglia, Peregrine (Australia), Saint James</t>
  </si>
  <si>
    <t>185347-90T</t>
  </si>
  <si>
    <t>Synox</t>
  </si>
  <si>
    <t>Developer of Internet of Things business software designed to use the IoT brings an ethical and environmental evolution for humans and their planet. The company offers new value-added services and covers the entire value chain from data capture to its return on web and mobile interfaces through storage, enabling businesses to transform their activities by taking advantage of the potential of new IoT technologies, in complete autonomy and logic of sustainable development.</t>
  </si>
  <si>
    <t>Amadeus Capital Partners, Banque des Territoires, Sofilaro</t>
  </si>
  <si>
    <t>application development service, data capture, data visualization platform, iot software, iot technology, mobile interface, network connectivity service, value chain service</t>
  </si>
  <si>
    <t>186874-03T</t>
  </si>
  <si>
    <t>Calistair</t>
  </si>
  <si>
    <t>Developer of indoor air decontamination technology designed to offer air treatment methods. The company's technology is designed to purify the air and eliminate particulates, biological contaminants, bacteria, viruses, chemical contaminants, benzene and formaldehyde among others, enabling industries to destroy the contaminants present in the air.</t>
  </si>
  <si>
    <t>air decontamination, air treatment equipment, air treatment solutions, air treatment system, air treatment technology, healthy air</t>
  </si>
  <si>
    <t>LOHAS &amp; Wellness, TMT</t>
  </si>
  <si>
    <t>Vaux-le-Pénil, France</t>
  </si>
  <si>
    <t>189303-31T</t>
  </si>
  <si>
    <t>Elevate Fond mobile</t>
  </si>
  <si>
    <t>Construction and Engineering, Leisure Facilities*, Other Services (B2C Non-Financial)</t>
  </si>
  <si>
    <t>Operator of an engineering company intended to transform the user's pool into a multi-use, connected, and secure pool. The company offers connected mobile deck services that meet the expectations of pool owners, helping users with mobile floor systems adaptable to new or already built swimming pools.</t>
  </si>
  <si>
    <t>Bpifrance, Crédit Agricole Alpes Provence (PAR: CRAP), Région Sud Investissement</t>
  </si>
  <si>
    <t>engineering company operator, floor systems, mobile service, recreational facilities, swimming pool, swimming training</t>
  </si>
  <si>
    <t>185308-39T</t>
  </si>
  <si>
    <t>Endrix</t>
  </si>
  <si>
    <t>Accounting, Audit and Tax Services (B2B)*, Consulting Services (B2B), Financial Software, Other Commercial Services</t>
  </si>
  <si>
    <t>Provider of financial services intended to help in managing challenges of growth, management, responsibility and performance of the organization. The company provides core expertise in financial, accounting, social and legal management, enabling the managers to create around them an environment favorable to the development and success of their projects, with a common ambition to secure, support and inform decision-making.</t>
  </si>
  <si>
    <t>BNP Paribas Développement, Bpifrance</t>
  </si>
  <si>
    <t>accounting expertise, auditing firm, cfo stack, exploration data, financial application platform, professional experts, tax compliance</t>
  </si>
  <si>
    <t>185304-34T</t>
  </si>
  <si>
    <t>LAFAAAC</t>
  </si>
  <si>
    <t>Operator of a digital training platform intended for careers in the cultural and creative industries. The company's platform helps to promote professional development and improve the qualifications of professionals and future professionals in the creative industries by offering them training support, enabling learners to monetize their creative talent easily.</t>
  </si>
  <si>
    <t>GreenTec Capital Partners, Inco Ventures</t>
  </si>
  <si>
    <t>blended learning strategy, digital learning platform, digital training platform, educational content, professional training course, skill-building platform, training device</t>
  </si>
  <si>
    <t>173265-40T</t>
  </si>
  <si>
    <t>AQUITI Gestion, Broadview Ventures(Maria Berkman), Doliam(Etienne Flesch), Galia Gestion, IRDI Capital Investissement, Lauak(Mikel Charritton), M Capital Partners, Nouvelle Aquitaine Co-Investissement, UI Investissement, Verve Ventures</t>
  </si>
  <si>
    <t>185111-29T</t>
  </si>
  <si>
    <t>La Belle Vie</t>
  </si>
  <si>
    <t>Operator of an online grocery store intended to facilitate delivery of supermarket goods to a consumer's doorstep within a couple of hours. The company's store sells fresh, organic, and artisan products along with basic groceries including meat, fish, and vegetables that are delivered to the consumer's doorsteps at short notice, enabling shoppers to get their daily groceries delivered to their homes at an affordable cost.</t>
  </si>
  <si>
    <t>A Plus Finance, AngelSquare, Capagro, Celeste Management, FJ Labs, Left Lane Capital, Quadrille Capital, Virtual Network, YADAY</t>
  </si>
  <si>
    <t>delivery service, food ecommerce, foodtech company, grocery delivery, home delivery service, online grocery store</t>
  </si>
  <si>
    <t>187307-83T</t>
  </si>
  <si>
    <t>Lemon</t>
  </si>
  <si>
    <t>Virtual Events</t>
  </si>
  <si>
    <t>Business/Productivity Software, Educational Software*</t>
  </si>
  <si>
    <t>Developer of live video platform designed to learn online and teach from anywhere. The company's platform is a monetization alternative for online courses, video conferences, and paid meetings, enabling video creators, teachers, businesses, and influencers to have predictable and scalable revenue.</t>
  </si>
  <si>
    <t>Start Capital, Venrex Investment Management, Virtual Network, YADAY</t>
  </si>
  <si>
    <t>interactive streaming, online classes, online courses, online meeting, streaming platform, virtual event</t>
  </si>
  <si>
    <t>185013-91T</t>
  </si>
  <si>
    <t>Duflair.com</t>
  </si>
  <si>
    <t>Media and Information Services (B2B)*, Real Estate Services (B2C)</t>
  </si>
  <si>
    <t>Operator of a real estate platform intended to fulfill property needs. The company's platform offers a wide variety of options for housing, vacation rental, business, and other services like real estate appraisals, information, and advice on the best options available on the market, helping clients to find the perfect property for their budget and for their needs.</t>
  </si>
  <si>
    <t>comparison platform, housing trade, market research, property market, real estate adviser, real estate market</t>
  </si>
  <si>
    <t>Real Estate Technology, TMT</t>
  </si>
  <si>
    <t>165253-51T</t>
  </si>
  <si>
    <t>Eiffel Investment Group, Holding Hr, Hydrogen Refueling (PAR: ALHRS), McPhy Energy (PAR: ALMCP), Mirova, RAISE Group, RGREEN INVEST</t>
  </si>
  <si>
    <t>185223-97T</t>
  </si>
  <si>
    <t>Milvue</t>
  </si>
  <si>
    <t>Operator of an artificial intelligence technology and tools intended to improve the reliability of radiological diagnosis. The company's tools automate the detection of imaging abnormalities and facilitate automatic notification of anomalies in an emergency workflow, enabling physicians and medical specialists to optimize performance and reduce operational time.</t>
  </si>
  <si>
    <t>Guy Frija(Guy Frija)</t>
  </si>
  <si>
    <t>diagnostic solutions, diagnostic technology, medical equipment, medical imaging technology, medical platform, medical technology, workflow management</t>
  </si>
  <si>
    <t>Artificial Intelligence &amp; Machine Learning, Digital Health, Life Sciences</t>
  </si>
  <si>
    <t>185025-07T</t>
  </si>
  <si>
    <t>2050 (VC), Balderton Capital(Bernard Liautaud), La Famiglia, New Wave VC</t>
  </si>
  <si>
    <t>190275-04T</t>
  </si>
  <si>
    <t>DAWAN</t>
  </si>
  <si>
    <t>Education and Training Services (B2B), Educational and Training Services (B2C)*, Educational Software</t>
  </si>
  <si>
    <t>Provider of business skills training services intended to detect and understand the future needs of the customers. The company offers webmaster, customized web interface development, graphic design, project management, and office automation training, enabling customers to upgrade their skills and become experts.</t>
  </si>
  <si>
    <t>business skills training, educational videos, it training service, online training, personal development, professional training, skills training program</t>
  </si>
  <si>
    <t>184902-58T</t>
  </si>
  <si>
    <t>GO Capital (France)(Bruno Guicheux), Normandie Business Angels(Matthieu Martin), Normandie Participations(Anthony Arsac), Pascal Voulton(Pascal Voulton)</t>
  </si>
  <si>
    <t>186872-95T</t>
  </si>
  <si>
    <t>Allied Investors Group, Square Capital.</t>
  </si>
  <si>
    <t>184929-49T</t>
  </si>
  <si>
    <t>Activation, Angels Santé, Creative &amp; Crossway, Erganeo, INFIPLAST</t>
  </si>
  <si>
    <t>187682-41T</t>
  </si>
  <si>
    <t>Global Founders Capital, Red Sea Ventures, Rocket Internet Capital Partners, Singular., Valar Ventures(Peter Thiel)</t>
  </si>
  <si>
    <t>182700-73T</t>
  </si>
  <si>
    <t>Les Cachotières</t>
  </si>
  <si>
    <t>Application Software, Clothing*, Internet Retail, Other Services (B2C Non-Financial)</t>
  </si>
  <si>
    <t>Developer of a clothing rental platform designed to deliver outfits in less than a day. The company's platform offers the privilege to borrow outfits from a variety of clothing ranges for a week or two as well as to avoid or reduce hyper-production that impacts the environment, enabling users to get fashion clothing at an affordable price while saving the environment at the same time.</t>
  </si>
  <si>
    <t>Ivan Petrovic(Ivan Petrovic)</t>
  </si>
  <si>
    <t>apparel &amp; fashion, fashion rental marketplace, fashion rental service, fashion tech, online apparel rental, online fashion hub</t>
  </si>
  <si>
    <t>184757-32T</t>
  </si>
  <si>
    <t>Equium</t>
  </si>
  <si>
    <t>Electronics (B2C), Household Appliances*, Other Consumer Durables</t>
  </si>
  <si>
    <t>Manufacturer of an acoustic heat pump intended to revolutionize ecological and economical thermal comfort. The company offers a design utilizing biomimetic acoustics for efficient heat transfer and promotes sustainable solutions for residential heating, aiming to democratize acoustic energy and reduce environmental impact, enabling homeowners to achieve ecological and economic benefits.</t>
  </si>
  <si>
    <t>Ateq Aviation(Jacques Mouchet), Enthéos(Olivier Parmentier), Pays de la Loire Participations</t>
  </si>
  <si>
    <t>acoustic energy, acoustic equipment, built environment, fluid mechanics, heat pump manufacturing, heat pump provider, heating and cooling, residential applications, thermal comfort</t>
  </si>
  <si>
    <t>Saint- Herblain, France</t>
  </si>
  <si>
    <t>214556-05T</t>
  </si>
  <si>
    <t>La Préserverie</t>
  </si>
  <si>
    <t>Operator of a food tech company intended to transform and preserve organic vegetables by lacto-fermentation. The company offers a new generation of preserves, and aperitif vegetables, enabling customers to experience an exotic kind of taste bud.</t>
  </si>
  <si>
    <t>Finorpa, IRD Invest, Nord France Amorçage, Sucrerie Couplet</t>
  </si>
  <si>
    <t>exotic food, food tech, food tech company, natural food, natural food store, organic items, organic vegetables</t>
  </si>
  <si>
    <t>184727-53T</t>
  </si>
  <si>
    <t>Lydia</t>
  </si>
  <si>
    <t>Developer of a peer-to-peer payments application designed to make payments efficient. The company's application is a social interface to link the phone with a card and pay anyone with one app, users can put money aside or use money in that sub-account for a specific purpose, associate their payment card with an account, and a virtual card with another account, enabling customers to make pain-free payments through a mobile wallet system without carrying any cheques or ATM card.</t>
  </si>
  <si>
    <t>Accel, Alpha Protocol Ventures, Dragoneer Investment Group, Echo Street Capital Management, Founders Future, Tencent Holdings (HKG: 00700), YADAY</t>
  </si>
  <si>
    <t>credit &amp; banking, credit and banking, digital banking, financial services platform, mobile payment app, mobile payment system, mobile platform, p2p payment service, virtual payment system</t>
  </si>
  <si>
    <t>FinTech, Mobile, Mobile Commerce, TMT</t>
  </si>
  <si>
    <t>184724-92T</t>
  </si>
  <si>
    <t>Cocolis</t>
  </si>
  <si>
    <t>Application Software, Automotive, Logistics*, Other Services (B2C Non-Financial)</t>
  </si>
  <si>
    <t>Developer of online shipping software designed to deliver heavy or bulky items. The company's software connects people who need to send something with drivers with an empty trunk and facilitates substantially less pay for their shipment or reimburses part of their transport costs, enabling clients and customers to send parcels in a cost-effective way by co-transportation.</t>
  </si>
  <si>
    <t>BDR Innovation et Transmission, Caisse d'Epargne, Credit Agricole Regions Investissement, UI Investissement(Guillaume Blanchet)</t>
  </si>
  <si>
    <t>crowdshipping platform, goods delivery, parcel cargo, parcel delivery system, shipping costs, transport packager</t>
  </si>
  <si>
    <t>Mobile, Mobility Tech, SaaS, Supply Chain Tech</t>
  </si>
  <si>
    <t>226322-47T</t>
  </si>
  <si>
    <t>CulturePay</t>
  </si>
  <si>
    <t>Operator of a payroll management platform intended to simplify and automate hiring procedures. The company's platform offers administrative formalities services including declaration and payment of social security contributions, editing and signing the contract online, and edition of payslips of intermittent workers, enabling businesses to save time and money in administration.</t>
  </si>
  <si>
    <t>administrative procedures, digital ecosystem, digital signature, easy payment, payment system, payroll management</t>
  </si>
  <si>
    <t>184687-39T</t>
  </si>
  <si>
    <t>GitGuardian</t>
  </si>
  <si>
    <t>DevSecOps</t>
  </si>
  <si>
    <t>Business/Productivity Software, Network Management Software*, Other Commercial Services</t>
  </si>
  <si>
    <t>Operator of a cybersecurity platform designed to offer automated secrets detection infra-as-code security. The company's platform uses machine learning algorithms to monitor and enforce rules across version control systems, DevOps tools, and infrastructure-as-code configurations to monitor for both public and private repositories in real-time, detecting secrets, sensitive files, and infrastructure-as-code misconfigurations, and alerting to allow investigation and quick remediation, enabling developers to enforce security policies across the data sources.</t>
  </si>
  <si>
    <t>Balderton Capital(Suranga Chandratillake), Bpifrance, Eurazeo (PAR: RF)(Nicolas Debock), Fly Ventures(Gabriel Matuschka), Sapphire Ventures(Andreas Weiskam)</t>
  </si>
  <si>
    <t>application security, customer data protection, cybersecurity platform, data leakage protection, data loss prevention, devops security platform</t>
  </si>
  <si>
    <t>184669-93T</t>
  </si>
  <si>
    <t>HypnoVR</t>
  </si>
  <si>
    <t>Other Devices and Supplies*, Other Healthcare Services, Other Healthcare Technology Systems</t>
  </si>
  <si>
    <t>Developer of a VR medical device intended to combine the benefits of medical hypnosis with virtual reality. The company's platform leverages technology to develop a VR headset to perform medical hypnosis by reducing patient stress and anxiety, enabling doctors to provide a personalized multi-sensory experience for patients.</t>
  </si>
  <si>
    <t>50 North Ventures, Akiles Investment Company, Banque des Territoires, Bpifrance, Capital Grand Est, Family Office of Daniel Caille, Guillaume Richard(Guillaume Richard)</t>
  </si>
  <si>
    <t>anesthesia monitoring, anesthesia service, anesthesia service provider, digital therapeutics, digital treatment, healthcare services, pain management, pain management tool, vr therapy, vr treatment</t>
  </si>
  <si>
    <t>HealthTech, TMT, Virtual Reality</t>
  </si>
  <si>
    <t>184800-79T</t>
  </si>
  <si>
    <t>ITK</t>
  </si>
  <si>
    <t>Developer of decision-support tools designed to facilitate the practice of efficient and sustainable agriculture. The company's tools help in strategic decision-making, forecasting and managing risks, and managing farms and livestock, enabling farmers and their advisors to measure and improve profitability, production, and supply chain performance.</t>
  </si>
  <si>
    <t>Banque Populaire du Sud, BNP Paribas Développement, EDF International(Vincent Renouard), Starquest Capital</t>
  </si>
  <si>
    <t>agricultural production systems, agriculture management, agronomic research, agtech services, connected agriculture, enterprise resource planning, environmental performance, farm management software, farming iot, industrial iot, precision agriculture, sustainable agriculture development</t>
  </si>
  <si>
    <t>Advanced Manufacturing, AgTech, Big Data, Internet of Things, SaaS, Supply Chain Tech, TMT</t>
  </si>
  <si>
    <t>184713-31T</t>
  </si>
  <si>
    <t>Myre</t>
  </si>
  <si>
    <t>Developer of an asset management platform designed to simplify real estate management. The company's platform updates data in real-time from rental income streams and vacancies to debt and detail on building charges which help to give an accurate view of the asset, enabling users to save time on routine tasks, make faster, accurate decisions on financing, leasing, and sales as well as improve portfolio performance.</t>
  </si>
  <si>
    <t>HWA (ETR: H9W), Jean Peyrelevade(Jean Peyrelevade), Naxicap Partners(Eric Aveillan), NewAlpha Asset Management(Lior Derhy), Terrot Group</t>
  </si>
  <si>
    <t>asset management, asset management firm, asset management system, asset management tool, enterprise resource planning, erp, property management, property management firm, property management platform, property management system</t>
  </si>
  <si>
    <t>184648-24T</t>
  </si>
  <si>
    <t>Vell</t>
  </si>
  <si>
    <t>Automotive, Information Services (B2C)*</t>
  </si>
  <si>
    <t>Provider of car-selling services intended to help individuals to sell their cars. The company offers services such as free estimate and inspection, optimization and distribution of professional ads, visits, and negotiation with potential buyers, administrative management and sales security, and more, providing clients with a complete and competitive service, optimizing the price and the time dedicated to the sale of the car.</t>
  </si>
  <si>
    <t>Founders Future, Kima Ventures, Otium Capital(Jérémie Bordier)</t>
  </si>
  <si>
    <t>administrative management, car inspection, car sale, car selling, car selling platform, car selling services</t>
  </si>
  <si>
    <t>184581-46T</t>
  </si>
  <si>
    <t>PDC*line Pharma</t>
  </si>
  <si>
    <t>Developer of active immunotherapies designed to be used for cancer treatments. The company's immunotherapies contain proprietary, potent, and scalable plasmacytoid dendritic cell lines that help to boost antitumor antigens, including neoantigens, and specific cytotoxic T-cells than conventional vaccines, enabling physicians to treat cancer.</t>
  </si>
  <si>
    <t>Alpha Holdings (KRX: 117670), Brain Asset Management, Hansong Neotech, Korea Investment Partners(Sangwoo Lee), Noshaq(Amel Tounsi), SambrInvest, SFPI, Smart Korea UTC, Société Régionale d'Investissement de Wallonie, Walloon Region</t>
  </si>
  <si>
    <t>allogeneic cell, biologics, cancer therapy, cancer treatment, cancer vaccine, clinical development, cytotoxic t-cells, immunotherapies developer, immunotherapy, therapeutic vaccine, vaccines</t>
  </si>
  <si>
    <t>184644-19T</t>
  </si>
  <si>
    <t>Sunbooster</t>
  </si>
  <si>
    <t>Manufacturer of solar photovoltaic panels intended to promote green energy. The company's product has a patented system that uses rainwater to automatically cool and clean photovoltaic panels to optimize the efficiency of the power plants while maintaining good operating conditions, enabling customers to minimize power losses and maximize energy.</t>
  </si>
  <si>
    <t>Alter Equity, AQUITI Gestion, Expanso Capital</t>
  </si>
  <si>
    <t>energy saving, green energy product, intermittent renewable energy, photovoltaic installations service, photovoltaic panels, solar panels</t>
  </si>
  <si>
    <t>CleanTech, Climate Tech, Industrials, LOHAS &amp; Wellness, Manufacturing</t>
  </si>
  <si>
    <t>Artigues-près-Bordeaux, France</t>
  </si>
  <si>
    <t>184795-84T</t>
  </si>
  <si>
    <t>Baloon Africa</t>
  </si>
  <si>
    <t>Financial Software, Insurance Brokers*</t>
  </si>
  <si>
    <t>Provider of online insurance brokerage services intended to help facilitate the purpose of meeting the insurance demands across Africa. The company's services include providing insurance in the areas of automobile and health, enabling consumers to reimburse their insurance online.</t>
  </si>
  <si>
    <t>Acuity Ventures Partners, Gaëlle Olivier(Gaëlle Olivier), Myrtus Venture, Nelly Brossard(Nelly Brossard), P1 Ventures(Mikael Hajjar), Pierre-Olivier Desaulle(Pierre-Olivier Desaulle), Wind Capital</t>
  </si>
  <si>
    <t>assurance auto, brokerage services, digital insurance, distribution and intermediation, health insurance, insurance claims, reimbursement model</t>
  </si>
  <si>
    <t>Insurance Brokers</t>
  </si>
  <si>
    <t>186907-51T</t>
  </si>
  <si>
    <t>Pole Capital, Région Sud Investissement, Vermeer Capital</t>
  </si>
  <si>
    <t>226776-61T</t>
  </si>
  <si>
    <t>Alchemist Accelerator, Alexis Prévot(Alexis Prévot), Arnaud Ladrière(Arnaud Ladrière), B.Conseil(Aurélien Barrière), Bruno Bouygues(Bruno Bouygues), Christophe Puget(Christophe Puget), Gabriel Dabi Schwebel(Gabriel Dabi Schwebel), Isabelle Bonnet(Isabelle Bonnet), Laurence Bernard(Laurence Bernard), Laurence Delpy(Laurence Delpy), Martin Planès(Martin Planès), Nil Brion(Nil Brion), One Green (Paris)(Jérôme Proust), Unitel France(Kevin Polizzi), Xavier Perret(Xavier Perret)</t>
  </si>
  <si>
    <t>184552-66T</t>
  </si>
  <si>
    <t>GetGround (Business/Productivity Software)</t>
  </si>
  <si>
    <t>Developer of a co-working space management platform designed to help real estate owners manage the use of office and coworking spaces. The company's platform facilitates available service discovery, interaction with a service provider, office booking, meeting room booking, material requesting, invoice editing, and payment management, enabling owners to manage their property conveniently and improving the use of their office and coworking spaces.</t>
  </si>
  <si>
    <t>Bpifrance(Clémentine Cazenave), Sofinord</t>
  </si>
  <si>
    <t>co-working space management, co-working space renting, meeting rooms booking, real estate management, real estate software, space management</t>
  </si>
  <si>
    <t>184554-46T</t>
  </si>
  <si>
    <t>Perha Pharmaceuticals</t>
  </si>
  <si>
    <t>Operator of a biotechnology company intended for the prevention of cisplatin-induced hearing loss. The company focuses on cognitive disorders associated with Down syndrome (DS) and Alzheimer's disease (AD) and hearing loss (HL) induced by ototoxic products, helping doctors to treat patients suffering from hearing loss.</t>
  </si>
  <si>
    <t>Bpifrance, Jerome Lejeune Foundation USA</t>
  </si>
  <si>
    <t>hearing loss aids, hearing loss drugs, hearing loss prevention, hearing loss product, hearing loss research, hearing loss treatment</t>
  </si>
  <si>
    <t>Roscoff, France</t>
  </si>
  <si>
    <t>186062-50T</t>
  </si>
  <si>
    <t>Surgiverse</t>
  </si>
  <si>
    <t>Manufacturer of medical tools and digital devices and operator of an online collaborative platform intended to offer orthopedic and trauma surgery. The company specializes in building time-saving and efficient surgical and healthcare products through surgery preparation, validated surgery plans, and operating confidently without leaving or breaking the sterile field, enabling surgeons to perform skills for better healthcare facilities through surgical assistance.</t>
  </si>
  <si>
    <t>David Ryan(David Ryan), Melusine Holding(Olivier Richart), Ocean Participations(Vincent Pelloquin)</t>
  </si>
  <si>
    <t>automated healthcare, healthcare device, healthcare equipment, healthcare innovation, medical innovation, surgery device</t>
  </si>
  <si>
    <t>184889-08T</t>
  </si>
  <si>
    <t>Take A Desk</t>
  </si>
  <si>
    <t>Buildings and Property*, Media and Information Services (B2B)</t>
  </si>
  <si>
    <t>Operator of a workspace platform intended to match vacant business spaces with affinity workers. The company's platform facilitates the rental of offices by connecting suppliers and applicants for accommodation without taking a lease, providing companies and young entrepreneurs with flexible hosting solutions.</t>
  </si>
  <si>
    <t>Atlantique Business Angel, Pays de la Loire Participations</t>
  </si>
  <si>
    <t>b2b services, corporate real estate, mobility, shared office space, subletting service, work organization, workspace platform</t>
  </si>
  <si>
    <t>176891-50T</t>
  </si>
  <si>
    <t>EureKare, Fund+(Philippe Monteyne), GO Capital (France)(Leila Nicolas), Idinvest Partners, Kurma Partners(Thierry Laugel), Omnes Capital(Claire Poulard), Seroba Life Sciences(Bruno Montanari), Sham Innovation Santé, Théa Open Innovation(François Lontrade), V-Bio Ventures(Willem Broekaert)</t>
  </si>
  <si>
    <t>185114-26T</t>
  </si>
  <si>
    <t>Depixus</t>
  </si>
  <si>
    <t>Biotechnology, Electronic Equipment and Instruments*, Other Devices and Supplies, Other Healthcare Technology Systems</t>
  </si>
  <si>
    <t>Developer of a novel technology intended to offer real-time analysis of individual biomolecular interactions at a massive scale. The company's technology has wide-ranging applications and specializes in a genomic region to be analyzed swiftly and easily on a single integrated platform with the investigator to specify the level of sequence and epigenetic detail required, enabling researchers to reveal new biological pathways, decode disease mechanisms, and unlock routes to develop new precision medicines.</t>
  </si>
  <si>
    <t>Arix Bioscience(Mark Chin), Bpifrance(Thibaut Roulon), Casdin Capital, Lansdowne Partners(Lachlan MacKinnon)</t>
  </si>
  <si>
    <t>antibody development, biophysical analysis, instrument system, molecular binders, molecular dynamics, molecular dynamics simulation, molecular glue, molecular interactions, single molecule</t>
  </si>
  <si>
    <t>130121-11T</t>
  </si>
  <si>
    <t>FasterClass</t>
  </si>
  <si>
    <t>Operator of a training organization intended to democratize skills using a hybrid course to approach and assimilate transversal skills. The company's services include online content in the form of short educational miniseries and collective work sessions that improve the efficiency of teams, the impact of the projects, and the satisfaction of customers, enabling clients to make efficient businesses transition that manage to reconcile economic performance, individual well-being, and social impact.</t>
  </si>
  <si>
    <t>Link Tribe Capital</t>
  </si>
  <si>
    <t>educational ai, services design, skills exchange, training organization, training support, workplace engagement</t>
  </si>
  <si>
    <t>184440-79T</t>
  </si>
  <si>
    <t>Bpifrance, Raphael Varane(Raphael Varane), Sofilaro, UNI.FUND</t>
  </si>
  <si>
    <t>120672-01T</t>
  </si>
  <si>
    <t>Sofinnova Partners(Antoine Papiernik)</t>
  </si>
  <si>
    <t>185055-31T</t>
  </si>
  <si>
    <t>Agrifind</t>
  </si>
  <si>
    <t>Developer of a web-based agricultural platform designed to connect farmers and share information for improved crop yield and farming. The company's platform connects farmers with agro-experts, provides agricultural advice and training, real-time crop-related alerts, and lets farmers share information on crop status, and farming methods, enabling cultivators to digitize the farming methods, simplify communication between farmers and improve crop production.</t>
  </si>
  <si>
    <t>agri consulting, agribusiness marketplace, agricultural advice, agricultural data monitoring, agricultural information, agricultural training</t>
  </si>
  <si>
    <t>Bourg-en-Bresse, France</t>
  </si>
  <si>
    <t>166269-79T</t>
  </si>
  <si>
    <t>Bellone Invest, Breega, Courtin Investment, Noshaq, OneRagtime(Stéphanie Hospital), Techmind</t>
  </si>
  <si>
    <t>184797-55T</t>
  </si>
  <si>
    <t>Wa'ed Ventures</t>
  </si>
  <si>
    <t>182464-66T</t>
  </si>
  <si>
    <t>BeeGuard</t>
  </si>
  <si>
    <t>Business/Productivity Software, Electronics (B2C)*</t>
  </si>
  <si>
    <t>Manufacturer of sensors intended to offer environmental impact measurement to analyze bee's activity and health. The company's biomonitoring solution permits farmers, industrials, and local authorities to be able to collect continuous, automatic data on bee activity and health, reflecting the health of the local environment and generating year-round biodiversity impact indicators to support proof results of agro-ecological transitions, climatic impacts, food availability impacts (deficits) for pollinators and vital safety impacts by detecting possible depopulation (collision with practices or pollution), enabling beekeepers to monitor their hives in real-time.</t>
  </si>
  <si>
    <t>Femmes Business Angels, Ocseed</t>
  </si>
  <si>
    <t>biodiversity platform, connected agriculture, environment data, industrial iot, remote monitoring, remote monitoring solution, sustainable agricultural services, visualization platform operator</t>
  </si>
  <si>
    <t>AgTech, Artificial Intelligence &amp; Machine Learning, Internet of Things, Manufacturing</t>
  </si>
  <si>
    <t>196612-48T</t>
  </si>
  <si>
    <t>Bon Parfumeur</t>
  </si>
  <si>
    <t>Provider of perfumery products intended to offer scents and candles. The company offers a wide range of fragrances adapted to each mood and season and distributes them through online shops and boutiques, enabling consumers to access aromatic perfumes at affordable prices.</t>
  </si>
  <si>
    <t>Arete Capital Asia</t>
  </si>
  <si>
    <t>cologne product, eau de cologne, eau de toilette, fragrance maker, luxury fragrances, online perfume stores, perfume brand, perfume retailer, scented candles</t>
  </si>
  <si>
    <t>188996-86T</t>
  </si>
  <si>
    <t>Energiency</t>
  </si>
  <si>
    <t>Application Software, Business/Productivity Software*, Media and Information Services (B2B), Other Energy Services</t>
  </si>
  <si>
    <t>Developer of an artificial intelligence-based energy analytics platform designed to detect and visualize new energy savings opportunities for manufacturing. The company's platform optimizes energy performance on web and mobile media, with monitoring, diagnostics actions and continuous plans, enabling industrial businesses to identify new energy savings opportunities and limit carbon dioxide emissions.</t>
  </si>
  <si>
    <t>EIT InnoEnergy, Encevo, GO Capital (France)</t>
  </si>
  <si>
    <t>analysis energy performance, carbon emission reduction, energy analytics platform, energy analytics software, energy analytics tool, energy optimization, energy performance analytics, performance analytics platform</t>
  </si>
  <si>
    <t>Artificial Intelligence &amp; Machine Learning, CleanTech, Mobile, TMT</t>
  </si>
  <si>
    <t>188996-59T</t>
  </si>
  <si>
    <t>189757-81T</t>
  </si>
  <si>
    <t>Amba Defence, AQUITI Gestion, Bpifrance, Nouvelle Aquitaine Co-Investissement</t>
  </si>
  <si>
    <t>184625-02T</t>
  </si>
  <si>
    <t>Fonts Ninja</t>
  </si>
  <si>
    <t>Developer of a web browser and font application designed to improve workflows where fonts are involved. The company's application speeds up the design process and creates new fonts, font libraries, and font licensing, enabling users to access fonts and instantly try them in any design software.</t>
  </si>
  <si>
    <t>Jeremy Yap(Jeremy Yap), Kima Ventures, Purple (Paris), Secret Fund</t>
  </si>
  <si>
    <t>design process, design tool, desktop application software, font catalog, font design, typographic product</t>
  </si>
  <si>
    <t>202623-67T</t>
  </si>
  <si>
    <t>Insidy</t>
  </si>
  <si>
    <t>Operator of an online interior design studio intended to help clients make their home a place that reflects their personality. The company offers decorators and interior designers who work directly with clients and selects suitable second-hand furniture from big brands or small designers within their budget, enabling clients to get a suitable designer who makes their interior a place that suits them.</t>
  </si>
  <si>
    <t>architecture studio, housing and architecture, interior decorator, interior design firm, interior designing, interior styling services</t>
  </si>
  <si>
    <t>197069-77T</t>
  </si>
  <si>
    <t>Jagger &amp; Lewis</t>
  </si>
  <si>
    <t>Application Software, Information Services (B2C), Other Consumer Durables*</t>
  </si>
  <si>
    <t>Developer of pet gadget designed to provide information about the evolution of behaviour and health. The company's application is connected to a collar band that monitors the pet's caloric expenditure, activity level, sleep quality, and the effectiveness of his treatment or stress level, enabling owners to get information about their pet's well-being and activity daily through a mobile application.</t>
  </si>
  <si>
    <t>connected application, dog collars, dog wellness, pet monitoring device, tracking app, tracking device</t>
  </si>
  <si>
    <t>Mobile, Pet Technology</t>
  </si>
  <si>
    <t>212516-92T</t>
  </si>
  <si>
    <t>Lum Network</t>
  </si>
  <si>
    <t>Operator of a decentralized web platform designed to serve trust layer protocols for businesses and consumers. The company's platform provides a decentralized review system to help consumers make the right, informed choice for their products, and it is an on-chain review system, enabling businesses to provide trusted reviews by timestamping them and immutably storing them on the company's blockchain.</t>
  </si>
  <si>
    <t>Arcanum Capital, Cosmostation, Djamel Agaoua(Djamel Agaoua), Ki Foundation, Klub, Owen Simonin(Owen Simonin), Peng Zhong, Sentinel Investments, SG-1, Stakefish, SwissBorg Ventures</t>
  </si>
  <si>
    <t>blockchain data, customer engagement, decentralized web platform, protocol review, review site, review website</t>
  </si>
  <si>
    <t>185014-54T</t>
  </si>
  <si>
    <t>PhiTrust Impact Investors(Patrice Guerin)</t>
  </si>
  <si>
    <t>179544-52T</t>
  </si>
  <si>
    <t>Marmelade</t>
  </si>
  <si>
    <t>Developer of learning application designed to provide professional training on a mobile phone. The company's application allows users to gain knowledge by answering a question displayed on the home screen of the mobile, turning a mobile phone into an educational tool, enabling users to acquire knowledge interactively.</t>
  </si>
  <si>
    <t>Aster Capital, Brighteye Ventures, Kima Ventures, Secret Fund</t>
  </si>
  <si>
    <t>e learning platform, microlearning, mobile application, mobile learning app, professional training, training tools and resources</t>
  </si>
  <si>
    <t>188997-31T</t>
  </si>
  <si>
    <t>OGGA</t>
  </si>
  <si>
    <t>Electrical Equipment, Electronic Equipment and Instruments*, Other Equipment</t>
  </si>
  <si>
    <t>Manufacturer of energy management products designed to optimize energy consumption. The company specializes in the conception, manufacturing, and marketing of intelligent energy services and provides tools for automatic and centralized energy management to identify any malfunction while ensuring lasting comfort in the dwellings for more energy savings, enabling landlords, housing associations, and property developers to monitor the global energy consumption of their buildings and tenants to improve their quality of life.</t>
  </si>
  <si>
    <t>energy automation, energy conservation product, energy consumption, energy management service, energy optimization, smart home</t>
  </si>
  <si>
    <t>CleanTech, Industrials, LOHAS &amp; Wellness</t>
  </si>
  <si>
    <t>205375-33T</t>
  </si>
  <si>
    <t>Poulehouse</t>
  </si>
  <si>
    <t>Animal Husbandry, Food Products*, Other Agriculture</t>
  </si>
  <si>
    <t>Developer and seller of eggs intended to be organic and kill-free. The company specializes in developing eggs that hatch into hens which help in avoiding the death of male chicks and provide refuge to infertile hens to avoid slaughter, enabling customers to buy eggs that are ethical and cruelty-free animal products.</t>
  </si>
  <si>
    <t>Daphni</t>
  </si>
  <si>
    <t>animal farming, animal farming service, animal welfare, animal welfare technology, ethical animal farming, food production</t>
  </si>
  <si>
    <t>185022-10T</t>
  </si>
  <si>
    <t>184877-02T</t>
  </si>
  <si>
    <t>Shopopop</t>
  </si>
  <si>
    <t>Logistics, Other Commercial Services*</t>
  </si>
  <si>
    <t>Developer of a collaborative delivery platform designed to let individuals make their daily journeys profitable by delivering groceries to other individuals, in return for a few euros. The company's platform aims to link and connect vendors and customers wishing to get things delivered at home, enabling users to get groceries at their doorstep hassle-free.</t>
  </si>
  <si>
    <t>GO Capital (France)(Jérôme Guéret), Meridiam, Pierre Voillet(Pierre Voillet)</t>
  </si>
  <si>
    <t>collaborative delivery, collaborative economy, delivery firm, delivery platform, delivery portal, online shopping, shopping delivery</t>
  </si>
  <si>
    <t>246420-73T</t>
  </si>
  <si>
    <t>SMA (Construction and Engineering)</t>
  </si>
  <si>
    <t>Operator of a special machine manufacturing company intended to help enterprises get parts according to their needs. The company's platform provides services in areas of turning-milling, welding, assembly-assembly and electroerosion, enabling organizations to ensure green growth of industry in an eco-responsible approach.</t>
  </si>
  <si>
    <t>electro erosion machine, mechanical parts services, milling machine services, precision mechanics, turning machine, welding machines</t>
  </si>
  <si>
    <t>Saint-Martin-d'Écublei, France</t>
  </si>
  <si>
    <t>185089-60T</t>
  </si>
  <si>
    <t>Tomato &amp; Co</t>
  </si>
  <si>
    <t>Food Products, Specialty Retail*</t>
  </si>
  <si>
    <t>Operator of an online grocery marketplace intended to deliver fresh fruits and vegetables chosen by users. The company provides baskets of organic and seasonal fruits and vegetables, eggs, bulk dairy products, and vegetarian catered meals, enabling consumers to experience the convenience of getting a grocery basket delivered straight to their home, sourced directly from the farmers.</t>
  </si>
  <si>
    <t>Abeille Impact Investing France, Inco Ventures, PhiTrust Impact Investors</t>
  </si>
  <si>
    <t>fruits and vegetables ecommerce, fruits and vegetables supplier, online grocery marketplace, organic vegetables marketing, organic vegetables supplier, sustainable cultivation</t>
  </si>
  <si>
    <t>184621-15T</t>
  </si>
  <si>
    <t>Uku</t>
  </si>
  <si>
    <t>Operator of a product studio intended to create social apps. The company's platform allows groups of friends to meet and chill in a 3D room, live new adventures, customize, and earn money along the way, enabling users to connect with their friends and enjoy their time while earning money.</t>
  </si>
  <si>
    <t>Kima Ventures, New Wave VC, Purple (Paris)</t>
  </si>
  <si>
    <t>adventure games, communication games, game application, game developer, gaming content, play and earn</t>
  </si>
  <si>
    <t>Thorigny-Sur-Marne, France</t>
  </si>
  <si>
    <t>184253-86T</t>
  </si>
  <si>
    <t>EverImmune</t>
  </si>
  <si>
    <t>Developer of live biotherapeutic products intended to enhance the efficacy of immunotherapy in cancer patients. The company specializes in developing technology that utilizes gut microbiota to restore responsiveness to immune checkpoint inhibitors, employing theragnostic approaches that combine diagnostic and therapeutic technologies, enabling cancer patients to potentially improve treatment outcomes and address primary resistance issues.</t>
  </si>
  <si>
    <t>Omega Funds</t>
  </si>
  <si>
    <t>anticancer drug, biotherapeutic drugs, biotherapeutic products, cancer treatment, drug discovery unit, gut microbiota, oncology care, tumor-specific antigens</t>
  </si>
  <si>
    <t>190407-70T</t>
  </si>
  <si>
    <t>NessPay</t>
  </si>
  <si>
    <t>Business/Productivity Software*, Financial Software, Human Capital Services, Media and Information Services (B2B)</t>
  </si>
  <si>
    <t>Developer of a salary and wage payment platform designed to offer salary on demand. The company's platform facilitates payments between the company and its employees, sets the payment rules, and pays or reimburses in one click, enabling employees to make their requests, without the intervention of the HR department.</t>
  </si>
  <si>
    <t>AngelSquare, Kima Ventures, Super Capital</t>
  </si>
  <si>
    <t>payment app, payment application platform, payment application service, payroll application, payroll software, salary application</t>
  </si>
  <si>
    <t>FinTech, HR Tech, Mobile</t>
  </si>
  <si>
    <t>184252-78T</t>
  </si>
  <si>
    <t>Bpifrance(Sami Ben Jamaa), ETCHART Group, Groupe Ponticelli Frères, Holdheat, Noria</t>
  </si>
  <si>
    <t>184257-82T</t>
  </si>
  <si>
    <t>Charles-Antoine Beyney(Charles-Antoine Beyney), Christophe Courtin(Christophe Courtin), Clément Alteresco, Frédéric Metge(Frédéric Metge), Kima Ventures, Scalezia, Techmind, YADAY(Romain Afflelou)</t>
  </si>
  <si>
    <t>200279-71T</t>
  </si>
  <si>
    <t>Tom&amp;Josette</t>
  </si>
  <si>
    <t>Educational and Training Services (B2C), Elder and Disabled Care, Other Services (B2C Non-Financial)*</t>
  </si>
  <si>
    <t>Operator of Individual and family services intended to reconnect the generation. The company operates a network of intergenerational micro-nurseries in which children from age zero to three years old are supervised by four early childhood professionals in spacious, bright, and friendly premises, allowing children to nurture and grow.</t>
  </si>
  <si>
    <t>50 Partners, MakeSense</t>
  </si>
  <si>
    <t>child care, childhood professional, educational projects, family services, generation forming, micro-nurseries</t>
  </si>
  <si>
    <t>233179-39T</t>
  </si>
  <si>
    <t>Aktio</t>
  </si>
  <si>
    <t>Operator of a carbon management platform intended to calculate and offset the carbon footprint. The company's platform automatically defines users' carbon trajectory and helps to reduce carbon footprint through defined information and data via charts and graphs, enabling companies to make a transition to low carbon emissions.</t>
  </si>
  <si>
    <t>50 Partners, Asterion(Charles-Henry Choel)</t>
  </si>
  <si>
    <t>carbon footprint analysis, carbon footprint measurement, carbon footprint reduction, carbon footprint tracker, carbon footprint tracking, carbon management, carbon management service, digital platform, enviromental protection</t>
  </si>
  <si>
    <t>211417-03T</t>
  </si>
  <si>
    <t>Naarea</t>
  </si>
  <si>
    <t>Next-Generation Nuclear Fission</t>
  </si>
  <si>
    <t>Manufacturer of a nuclear microreactor intended to produce electricity for industry from radioactive waste and thorium. The company is engaged in the production of green electricity via mini-nuclear reactors through a reaction of molten salts with plutonium and uranium, combined with thorium, a mining by-product from the extraction of rare earths, enabling industrial consumers and remote areas to benefit from decentralized energy production and contribute to sustainable development goals.</t>
  </si>
  <si>
    <t>EREN Groupe, Total Eren</t>
  </si>
  <si>
    <t>advances nuclear fission, carbon-free energy, decentralized energy, nuclear power energy, nuclear power generation, nuclear power reactor, nuclear waste recycling, sustainable energy</t>
  </si>
  <si>
    <t>184218-85T</t>
  </si>
  <si>
    <t>StockPro</t>
  </si>
  <si>
    <t>Application Software, Media and Information Services (B2B), Specialty Retail*</t>
  </si>
  <si>
    <t>Operator of an online marketplace intended to sell unused construction materials and prevent them from being thrown away. The company's platform offers a market for unused construction materials like terminal equipment, protective gear, lamps and bulbs, taps and valves, and other tools, providing users with eco-logical systems to reuse new building materials.</t>
  </si>
  <si>
    <t>Demeter Partners(Yann Lagalaye), Schneider Electric (Electrical Equipment) (PAR: SU)(Grégoire Viasnoff), SE Ventures, SMABTP(Fabienne Tiercelin)</t>
  </si>
  <si>
    <t>cleantech solutions, construction market place, construction marketplace, construction product, construction work, marketplace community, marketplace search, marketplace tech</t>
  </si>
  <si>
    <t>CleanTech, Construction Technology, E-Commerce</t>
  </si>
  <si>
    <t>Sevres, France</t>
  </si>
  <si>
    <t>208791-01T</t>
  </si>
  <si>
    <t>Gynov</t>
  </si>
  <si>
    <t>Other Consumer Non-Durables, Pharmaceuticals*</t>
  </si>
  <si>
    <t>Producer of nutritional supplements intended to serve women's health. The company is involved in the scientific application of dietary supplements that include carefully selected ingredients through a multi-target and holistic approach, providing women in their puberty, pregnancy, postpartum, and peri- and post-menopause periods of life with scientifically researched products.</t>
  </si>
  <si>
    <t>EureKare(Rodolphe Besserve)</t>
  </si>
  <si>
    <t>dietary supplements, dietary supplements product, health products, health supplement, nutritional health, nutritional needs, women health product, women healthcare</t>
  </si>
  <si>
    <t>185892-04T</t>
  </si>
  <si>
    <t>Pimpant</t>
  </si>
  <si>
    <t>Manufacturer of eco-friendly and refillable household products intended to help customers reduce their environmental impact. The company's eco-responsible products use natural ingredients and are of natural origin, which makes them healthy and safe, enabling customers to use ecological products to take care of the planet, particularly the oceans.</t>
  </si>
  <si>
    <t>Laboratoires Gilbert</t>
  </si>
  <si>
    <t>cosmetic product, ecological product, ecological products store, natural cosmetics, natural cosmetics manufacturer, natural cosmetics product, natural ingredients</t>
  </si>
  <si>
    <t>Cabourg, France</t>
  </si>
  <si>
    <t>188813-80T</t>
  </si>
  <si>
    <t>Chalfen Ventures, Dig Ventures</t>
  </si>
  <si>
    <t>249297-67T</t>
  </si>
  <si>
    <t>Views Media</t>
  </si>
  <si>
    <t>Provider of online media and advertisement services intended to facilitate product distribution and customer engagement across various digital channels. The company offers customizable analytics and user-friendly interfaces and enhances collaboration and creativity by giving intuitive tools and real-time feedback, enabling creators to optimize their reach and impact in the active landscape of online media.</t>
  </si>
  <si>
    <t>content data, digital media firm, media company, online advertisement, online news site, social media</t>
  </si>
  <si>
    <t>184178-53T</t>
  </si>
  <si>
    <t>Certideal</t>
  </si>
  <si>
    <t>Application Software, Electronics (B2C), Internet Retail, Specialty Retail*</t>
  </si>
  <si>
    <t>Operator of an online retail platform intended to help in buying and selling phones and tablets. The company's platform engages in buying and verifying the authenticity of the products in its workshop, enabling customers to receive a verified second-hand product at an affordable price while protecting them against counterfeits of second-hand products.</t>
  </si>
  <si>
    <t>BNP Paribas Développement, Meridiam(Yannick Marion), Ternel</t>
  </si>
  <si>
    <t>online retail site, refurbished iphones, refurbished phone, refurbished smartphones, refurbished tablets, secondhand market, secondhand product, smartphone marketplace</t>
  </si>
  <si>
    <t>Levallois, France</t>
  </si>
  <si>
    <t>184036-15T</t>
  </si>
  <si>
    <t>Pyxo</t>
  </si>
  <si>
    <t>Application Software, Environmental Services (B2B), Plastic Containers and Packaging*</t>
  </si>
  <si>
    <t>Manufacturer of returnable containers designed to eliminate disposable packaging and cutlery related to catering. The company's containers replace single-use packaging and cutlery from takeaway and food delivery, enabling consumers to enjoy a zero-waste meal anywhere in reusable connected containers, without any negative impact on their habits.</t>
  </si>
  <si>
    <t>AFI Ventures (Paris), Eurazeo (PAR: RF), Evolem, Five Seasons Ventures, Ventech (Paris)</t>
  </si>
  <si>
    <t>containership assets, food production, packaging food, plastic packaging, returnable container, reusable packaging, reusable plastic, sustainable packaging</t>
  </si>
  <si>
    <t>184082-32T</t>
  </si>
  <si>
    <t>Demeter Partners, Groupe EverWatt, High-Tech Gründerfonds, Marguerite Investment Management(Guillaume Rivron), Sorégies(Frédéric Bouvier), ZE Way Invest</t>
  </si>
  <si>
    <t>183983-86T</t>
  </si>
  <si>
    <t>be my media</t>
  </si>
  <si>
    <t>Education and Training Services (B2B), Educational and Training Services (B2C)*, Educational Software, Information Services (B2C)</t>
  </si>
  <si>
    <t>Provider of media education services intended to help students and employees with information and be aware of the world. The company offers access to different sources of information, without advertisements or blocked articles, and provides an information-sharing tool in which managers and employees alike can share press reviews with their professional community, enabling learners, workers, and job seekers to learn about the media and use information usefully throughout their career and profession and ultimately, strengthen their citizenship.</t>
  </si>
  <si>
    <t>CoopVenture(Olivier Althuser)</t>
  </si>
  <si>
    <t>content curation, information monitoring, media education, media information, online information, online learning</t>
  </si>
  <si>
    <t>183194-92T</t>
  </si>
  <si>
    <t>Skeepers</t>
  </si>
  <si>
    <t>Developer of SaaS platform intended to empower brand owners to engage with their customers and strengthen their relationships. The company's platform combines artificial intelligence and blockchain technology to aggregate and analyze customer-base-isolated data from social media platforms to deliver a comprehensive view of customers and generate a predictive profile of the end customer, enabling brand owners to identify their target audience and customers to activate relevant marketing actions.</t>
  </si>
  <si>
    <t>Netangels</t>
  </si>
  <si>
    <t>crm, customer data analytics, customer engagement, customer engagement platform, customer experience, customer relationship, customer relationship management, marketing activation</t>
  </si>
  <si>
    <t>190275-67T</t>
  </si>
  <si>
    <t>Uavia</t>
  </si>
  <si>
    <t>Business/Productivity Software*, Other Commercial Services, Other Hardware</t>
  </si>
  <si>
    <t>Developer of a cloud-based robotic technology designed to manage fleets of robots and drone aircraft. The company's technology is used for the real-time, remote supervision of autonomous robots and drone fleets deployed at industrial sites, enabling industries to handle autonomous drones and robot fleets as well as to conduct aerial inspections and surveillance over long distances.</t>
  </si>
  <si>
    <t>Bpifrance(Joséphine Marie), Cattleya Finance, Innovacom (Paris)(Jérôme Faul), UI Investissement(Jean-Philippe Zoghbi)</t>
  </si>
  <si>
    <t>aerial inspection services, civilian drones, cloud-controlled drones, enterprise asset management, enterprise resource planning, erp, internet drones, iot software, middleware, robotics mobility, robots and drones</t>
  </si>
  <si>
    <t>Internet of Things, Robotics and Drones, SaaS</t>
  </si>
  <si>
    <t>183973-51T</t>
  </si>
  <si>
    <t>AfriMobility, AngelSquare, David Schwarz(David Schwarz), Incepto Capital, Tiresias Angels, Via ID</t>
  </si>
  <si>
    <t>185881-51T</t>
  </si>
  <si>
    <t>WattPark</t>
  </si>
  <si>
    <t>Operator of a charging points and applications firm intended to offer bookable charge points fully controlled by a mobile application. The company specializes in reservable and monetizable charging stations that allow users to choose precise locations and associated services through Bluetooth, enabling automobile clients with parking devices and charging tools that work in areas without network coverage and internet.</t>
  </si>
  <si>
    <t>Double Cap, Seed for Good, SFINE, WiSeed</t>
  </si>
  <si>
    <t>charging application, charging point data, charging points, electric charging station, electric vehicle, ev charging, parking devices, reservable charging station</t>
  </si>
  <si>
    <t>Climate Tech, Mobile, Mobility Tech</t>
  </si>
  <si>
    <t>Nozay, France</t>
  </si>
  <si>
    <t>156843-19T</t>
  </si>
  <si>
    <t>Leocare</t>
  </si>
  <si>
    <t>Operator of an insurance platform intended to offer and manage insurance products. The company's platform designs, distributes, and manages insurance, auto, and housing products for its customers and digital assets, enabling clients to have both protection and savings.</t>
  </si>
  <si>
    <t>Daphni, Eight Roads, Felix Capital(Susan Lin), Ventech (Paris)</t>
  </si>
  <si>
    <t>auto insurance, automobile insurance, general insurance provider, home insurance technology, insurance brokerage, insurance technology, property insurance</t>
  </si>
  <si>
    <t>FinTech, InsurTech, Mobile, Real Estate Technology</t>
  </si>
  <si>
    <t>182904-31T</t>
  </si>
  <si>
    <t>Earlybird Venture Capital(Hendrik Brandis), Région Sud Investissement, Speedinvest</t>
  </si>
  <si>
    <t>184256-65T</t>
  </si>
  <si>
    <t>BNP Paribas Développement, Casdin Capital, Eurazeo (PAR: RF), European Investment Bank (Luxembourg), Illumina Ventures, Kurma Partners(Philippe Peltier), LBO France, TusHoldings</t>
  </si>
  <si>
    <t>183793-51T</t>
  </si>
  <si>
    <t>Algar</t>
  </si>
  <si>
    <t>Business/Productivity Software, Legal Services (B2C), Real Estate Services (B2C)*</t>
  </si>
  <si>
    <t>Operator of an online real estate platform intended to offer real estate building permits and other administrative procedures. The company's platform focuses on the needs of each of the inhabitants, analyzes, and offers personalized services adapted to their construction, renovation, or development projects, enabling individuals and professionals to obtain legal building as well as planning permit procedures and guarantees.</t>
  </si>
  <si>
    <t>EDF Pulse Ventures(Guillaume Lesueur), Finovam Gestion(Helene Cannard), Frederic Utzmann(Frederic Utzmann), Raphaël Vuillerme(Raphaël Vuillerme)</t>
  </si>
  <si>
    <t>administrative services, building permit, construction administration services, housing project, real estate services platform, renovation services</t>
  </si>
  <si>
    <t>Legal Tech, Real Estate Technology</t>
  </si>
  <si>
    <t>184369-42T</t>
  </si>
  <si>
    <t>HelloWork Recruteur</t>
  </si>
  <si>
    <t>Developer of HR innovation software designed to match CVs with job vacancies based on candidate experience. The company's platform analyzes the profile in real-time as well as accesses all the opportunities from companies that match their profile based on the hr technology for recruitment, enabling recruiters to get a candidate fit for the job.</t>
  </si>
  <si>
    <t>hiring program, hr innovation, internal mobility, job matching platform, recruitment app, recruitment solutions</t>
  </si>
  <si>
    <t>183793-06T</t>
  </si>
  <si>
    <t>iFollow</t>
  </si>
  <si>
    <t>Manufacturer of mobile robots intended to automate the transport of heavy loads in the industrial and logistics sectors. The company offers autonomous mobile robots (AMRs) and a proprietary software suite, used in a wide variety of applications across the food, industrial, pharmaceutical, chemical, cosmetics, logistics and retail industries, helping clients to optimize their intralogistics flows to increase productivity.</t>
  </si>
  <si>
    <t>L Marks, Socadif(Samya Glangetas), Supernova Invest(David Hansen)</t>
  </si>
  <si>
    <t>autonomous mobile robot, autonomous vehicles, industrial automation, industrial machinery, industrial robots, logistic service, material handling</t>
  </si>
  <si>
    <t>Manufacturing, Mobile, Robotics and Drones, TMT</t>
  </si>
  <si>
    <t>188925-58T</t>
  </si>
  <si>
    <t>Acumen Ventures, Aruwa Capital Management</t>
  </si>
  <si>
    <t>242145-55T</t>
  </si>
  <si>
    <t>La Casa</t>
  </si>
  <si>
    <t>Operator of property management company intended to offer shared accommodation services for coliving. The company platform specializes in offering community, social connection, community living, coliving, enhanced colocation, and human experience, enabling individuals to live in a friendly, comfortable, and secure environment, while preserving their independence.</t>
  </si>
  <si>
    <t>Abarines Invest(Tristan Paluel-Marmont), Augustin Marmont(Augustin Marmont), Business Angels</t>
  </si>
  <si>
    <t>community life, property management, real estate, shared accommodation, shared housing, social connection</t>
  </si>
  <si>
    <t>184061-35T</t>
  </si>
  <si>
    <t>Signia Therapeutics</t>
  </si>
  <si>
    <t>Drug Delivery, Drug Discovery*</t>
  </si>
  <si>
    <t>Developer of antiviral drugs designed to treat respiratory acute infections. The company offers several market-approved drugs that are validated for new anti-influenza and anti-MERS-CoV indications and their most advanced product is under a Phase II multicentric clinical evaluation, enabling patients to have an effective drug to treat their respiratory infections.</t>
  </si>
  <si>
    <t>Angelor, Neovacs (PAR: ALNEV)</t>
  </si>
  <si>
    <t>anti-influenza drugs, antiviral drugs, antiviral drugs discovery, drug discovery tool, drugs molecules, respiratory pathology</t>
  </si>
  <si>
    <t>195652-00T</t>
  </si>
  <si>
    <t>Banque Populaire</t>
  </si>
  <si>
    <t>165613-06T</t>
  </si>
  <si>
    <t>183691-54T</t>
  </si>
  <si>
    <t>50 Partners(Jerome Masurel), Id4 Ventures, Radian Capital(Jordan Bettman), SaaS Partners(Justin Ziegler)</t>
  </si>
  <si>
    <t>183634-75T</t>
  </si>
  <si>
    <t>BJ Invest, Groupama Banque</t>
  </si>
  <si>
    <t>188993-44T</t>
  </si>
  <si>
    <t>EIT InnoEnergy, European Innovation Council Fund(Nicklas Bergman)</t>
  </si>
  <si>
    <t>183675-34T</t>
  </si>
  <si>
    <t>SaaS Partners(Justin Ziegler), Techmind(Olivier Tilloy)</t>
  </si>
  <si>
    <t>200949-49T</t>
  </si>
  <si>
    <t>WeMed</t>
  </si>
  <si>
    <t>Developer and manufacturer of medical technology devices designed for remote auscultation. The company's devices are integrated with a microphone that can be plugged into smartphones, tablets or computers and helps medical staff to monitor patients remotely and provides healthcare firms with low-cost technological response to the needs of medical equipment for telemedicine, enabling people to record and share their heart sounds with doctors, regardless of their locations.</t>
  </si>
  <si>
    <t>Credit Agricole (PAR: ACA), Daffourd Invest, Unico Partners</t>
  </si>
  <si>
    <t>efficiency system, healthcare technology, medical device, medical technology device, stethoscope device, teleconsultation equipment, telemedicine equipment, telemedicine tools</t>
  </si>
  <si>
    <t>181325-89T</t>
  </si>
  <si>
    <t>Founders, Inc, Griffin Gaming Partners(Pierre Planche)</t>
  </si>
  <si>
    <t>183720-97T</t>
  </si>
  <si>
    <t>Bpifrance(Nicolas Berdou), Frédéric Duponchel(Frédéric Duponchel), Omnes Capital(Fabien Collangettes), Quantonation(Christophe Jurczak)</t>
  </si>
  <si>
    <t>244610-92T</t>
  </si>
  <si>
    <t>Biologics for life</t>
  </si>
  <si>
    <t>Developer of injectable biomaterials designed to treat and prevent fractures caused by osteoporosis. The company is currently operating in stealth mode.</t>
  </si>
  <si>
    <t>biomaterial design, fracture treatment, injectable drug, stealth business, stealth company, stealth industry</t>
  </si>
  <si>
    <t>183458-26T</t>
  </si>
  <si>
    <t>Lifen</t>
  </si>
  <si>
    <t>Developer of a healthcare data management platform designed to streamline medical communication. The company's platform facilitates a mail assistant that creates secure medical e-mail addresses and decreases paper mail rates, converts mail shipments to e-mail, and automatically identifies the available communication modes for correspondents, enabling healthcare practitioners to share and analyze medical data securely and practically.</t>
  </si>
  <si>
    <t>Creadev, Groupe MACSF, Lauxera Capital Partners, Made For All, Majycc Esante Invest, Partech, Serena (Paris)</t>
  </si>
  <si>
    <t>email and authoring, email assistant, generalist ehrs system, health routines, healthcare data, healthcare enterprise system, knowledge management system, medical communication platform, message transfer</t>
  </si>
  <si>
    <t>183421-81T</t>
  </si>
  <si>
    <t>Blossom Capital, European Investment Fund, FirstMark Capital, Gloria Baeuerlein, Greenoaks Capital Partners(Neil Shah), RSJ Investments</t>
  </si>
  <si>
    <t>183381-85T</t>
  </si>
  <si>
    <t>Edusign</t>
  </si>
  <si>
    <t>Business/Productivity Software*, Educational Software</t>
  </si>
  <si>
    <t>Developer of educational software designed to make signing attendance sheets easy, fast, and digital. The company's platform offers training organizations to dematerialize their attendance sheets as well as engage students and takes advantage of the material already available in the classroom to sign quickly, inexpensively, and without fraud, enabling schools and organizations to manage documents online and offline.</t>
  </si>
  <si>
    <t>DuF Investments, Franck Papazian(Franck Papazian), Kal Ladha(Kal Ladha), Shapr Ventures(Vincent Bobin), Techmind</t>
  </si>
  <si>
    <t>attendance data, attendance track, document organizer, document tracking, educational software platform, electronic signature, learning analysis, training organization</t>
  </si>
  <si>
    <t>183705-31T</t>
  </si>
  <si>
    <t>Singulart</t>
  </si>
  <si>
    <t>Application Software, Other Media, Other Restaurants, Hotels and Leisure*, Other Services (B2C Non-Financial)</t>
  </si>
  <si>
    <t>Developer of an online art gallery platform designed for art lovers to discover and buy works of art from invited artists around the world. The company's platform provides a tool for people to independently manage the sale of their works and provides a wide collection of art for art lovers to choose from, enabling artists to showcase their art globally and for art lovers to get access to that art from any part of the world.</t>
  </si>
  <si>
    <t>Bpifrance, FJ Labs, Turenne Groupe, Ventech (Paris)(Audrey Soussan), Vitruvian Partners</t>
  </si>
  <si>
    <t>art exhibition, art gallery, artists marketplace, online art, online art gallery, personalized art</t>
  </si>
  <si>
    <t>186076-63T</t>
  </si>
  <si>
    <t>APR2</t>
  </si>
  <si>
    <t>Developer of an electrical and plastic waste collection platform designed to upgrade the process of waste recycling. The company's platform is specialized in the recovery, processing, and reuse of industrial plastic and electronic waste, enabling industrialists to adopt sustainable development and eco-design approach by encouraging them to use recycled plastic thus limiting the consumption and waste of raw materials.</t>
  </si>
  <si>
    <t>electronic waste, electronic waste management, industrial plastic, industrial waste, industry, material recovery, recycling polymer, waste management, waste recycling</t>
  </si>
  <si>
    <t>Climate Tech, Industrials, LOHAS &amp; Wellness</t>
  </si>
  <si>
    <t>Bonnières-sur-Seine, France</t>
  </si>
  <si>
    <t>183161-98T</t>
  </si>
  <si>
    <t>Bpifrance, TotalEnergies Ventures</t>
  </si>
  <si>
    <t>183346-75T</t>
  </si>
  <si>
    <t>Karista (Paris)(Olivier Dubuisson)</t>
  </si>
  <si>
    <t>184421-53T</t>
  </si>
  <si>
    <t>Kima Ventures, Pareto Holdings</t>
  </si>
  <si>
    <t>140322-97T</t>
  </si>
  <si>
    <t>Aurinvest(Jean-Pascal Beaufret), Charles River Laboratories International (NYS: CRL), Eurazeo (PAR: RF), Kurma Partners(Thierry Laugel), SHS Capital(Sascha Alilovic), Turenne Groupe, Verve Ventures</t>
  </si>
  <si>
    <t>212929-84T</t>
  </si>
  <si>
    <t>Raison Home</t>
  </si>
  <si>
    <t>Developer of a home furnishing platform designed to serve interior design services. The company's platform creates fitted furniture projects that fully match consumers' lifestyles by offering a 3D design tool available for kitchens and dressing rooms that is fully customizable, enabling customers to get an advanced technology that personalizes the designs according to the customers.</t>
  </si>
  <si>
    <t>home furnishing, home furnishing company, home furnishing design, home furnishing firm, home furnishing supplier, home furnishings store</t>
  </si>
  <si>
    <t>183188-71T</t>
  </si>
  <si>
    <t>Sportihome</t>
  </si>
  <si>
    <t>Developer of a sports community application designed to book an ideal place for the practice of sports activities. The company's platform offers a simple and safe way for mountain biking, hiking, golf, paragliding, surfing, kiteboarding, and horse riding and helps to discover new spots, enabling sports travelers to find holiday spots and rentals for their favorite sports.</t>
  </si>
  <si>
    <t>Accurafy4(Frédéric Caron), Aonia Ventures, Banque des Territoires, Bpifrance, Nathalie Simon(Nathalie Simon), Unico Partners, Wind Capital</t>
  </si>
  <si>
    <t>adventure place, leisure premises, sports rental, sports space, sports travel packages, vacation rental app</t>
  </si>
  <si>
    <t>183906-82T</t>
  </si>
  <si>
    <t>365Talents</t>
  </si>
  <si>
    <t>Operator of a talent management platform designed to help organizations in employee skills mapping and development. The company's platform uses machine learning and powerful algorithms to detect employees' skills and expertise and match them with internally personalized opportunities such as jobs, projects, and training, enabling companies to provide employees with continuous, personalized career development opportunities.</t>
  </si>
  <si>
    <t>Alliance Entreprendre, Axeleo Capital(Eric Burdier), Citizen Capital, Crédit Agricole Création, iXO Private Equity(Nicolas Iordanov), Rhône-Alpes Création, Seventure Partners, UI Investissement, Ventech (Paris)</t>
  </si>
  <si>
    <t>employee experience, enterprise resource planning, hr transformation, human capital management, talent management firm, talent management platform, talent marketplace, workforce planning</t>
  </si>
  <si>
    <t>190408-24T</t>
  </si>
  <si>
    <t>RusHour</t>
  </si>
  <si>
    <t>Developer of a digital ordering application intended for simplifying online sales. The company's platform manages all online ordering services using a single dashboard and printer, enabling businesses to grow sales and operate more efficiently by providing a centralized place to manage all online orders to ease the system.</t>
  </si>
  <si>
    <t>restaurant &amp; retail tech, restaurant and retail technology, restaurant application, restaurant application provider, restaurant pos, restaurant software, restaurant software solutions, restaurant software system, sales &amp; operations tech, sales and operations technology</t>
  </si>
  <si>
    <t>253569-97T</t>
  </si>
  <si>
    <t>Wild Wits</t>
  </si>
  <si>
    <t>Operator of a video game development studio intended to develop narrative video games. The company's games are of an original visual, narrative and musical style, enabling players to create immersive experiences for them.</t>
  </si>
  <si>
    <t>Epopée Gestion(Vladimir Bolze)</t>
  </si>
  <si>
    <t>gaming studio, gaming studio agency, video game, video game development, video game development studio, video games maker</t>
  </si>
  <si>
    <t>186334-21T</t>
  </si>
  <si>
    <t>Ici Present</t>
  </si>
  <si>
    <t>Developer of an e-commerce platform intended to help traditional artisans sell their handmade products in gift boxes. The company's platform offers handcrafted products in a gift box like nursery products, beauty, natural cosmetics, organic wines, jewelry, beers, gardening, or chocolates, enabling customers to support local craftsmanship while enjoying unique, high-quality gifts.</t>
  </si>
  <si>
    <t>Alpes Capital Innovation, AM Investment Partners, Bpifrance, Crédit Agricole Alpes Développement, Kreaxi, Savoie Mont Blanc Angels, UI Investissement, Veymont Participations</t>
  </si>
  <si>
    <t>ecommerce service, gift boxes delivery, gift boxes design, gift boxes subscription, handcrafted gift product, online retail</t>
  </si>
  <si>
    <t>Crolles, France</t>
  </si>
  <si>
    <t>183126-52T</t>
  </si>
  <si>
    <t>Primo1D</t>
  </si>
  <si>
    <t>Developer of an RFID yarn designed to propel products in the world of connected objects. The company's yarn uses e-thread technology that provides an electronic component so miniaturized that it can be inserted unseen into a range of materials, enabling companies to trace and monitor against anti-theft and anti-counterfeiting to increase the added value of the products.</t>
  </si>
  <si>
    <t>BNP Paribas Développement, Bpifrance, Crédit Agricole Alpes Développement, France Angels, Innovacom (Paris), Kreaxi, Rhône-Alpes Création, UI Investissement(Nicolas Boulay)</t>
  </si>
  <si>
    <t>anti-counterfeiting, anti-theft alarm, connected devices, connectivity device, electronic components, iot hardware, production monitoring, thread product, yarn maker</t>
  </si>
  <si>
    <t>182954-35T</t>
  </si>
  <si>
    <t>Alexandre Cognard(Alexandre Cognard), Bpifrance(Guillaume Sever), Christian Jorge(Christian Jorge), Frenchfounders, Jean-Michel Texier(Jean-Michel Texier), LeFonds, Partech, Sylvain Zimmer(Sylvain Zimmer), Verve Ventures</t>
  </si>
  <si>
    <t>183247-84T</t>
  </si>
  <si>
    <t>Founders Future, Newfund Management(Anne-Sophie Saint-Martin), Stéphane Courbit(Stéphane Courbit)</t>
  </si>
  <si>
    <t>202133-44T</t>
  </si>
  <si>
    <t>183679-03T</t>
  </si>
  <si>
    <t>Covworld</t>
  </si>
  <si>
    <t>Media and Information Services (B2B)*, Office Services (B2B), Other Commercial Services, Printing Services (B2B)</t>
  </si>
  <si>
    <t>Provider of manufacturing and installation of adhesive substrates services intended for manufacturing and marketing purposes. The company offers a wide range of services including printing, installation, acquisition, and sourcing of advertising media, and mobile billboards on behalf of the agency, enabling clients to do marketing through various channels.</t>
  </si>
  <si>
    <t>marketing agency, marketing edge, marketing firm, marketing ideas, marketing reach, marketing site, printing card</t>
  </si>
  <si>
    <t>204833-89T</t>
  </si>
  <si>
    <t>DarkMatters</t>
  </si>
  <si>
    <t>Movies, Music and Entertainment, Other Commercial Services*</t>
  </si>
  <si>
    <t>Operator of a filmmaking company intended to offer a full-service destination for film and series, advertising, television broadcast, and gaming. The company specializes in virtual and real-time production toolsets that supply live-action and virtual production systems and facilities to studios around the world, enabling filmmakers to offer tools for innovative storytelling.</t>
  </si>
  <si>
    <t>Anaxago, CapHorn Invest, Eric Larchevêque(Eric Larchevêque), Snaw Ventures</t>
  </si>
  <si>
    <t>film making, film production, film production house, motion capture, stage design, vfx design, virtual production, virtual production tool</t>
  </si>
  <si>
    <t>130446-28T</t>
  </si>
  <si>
    <t>Edward Filippi(Edward Filippi)</t>
  </si>
  <si>
    <t>185395-51T</t>
  </si>
  <si>
    <t>Nexialist</t>
  </si>
  <si>
    <t>Consulting Services (B2B)*, Other Healthcare Services</t>
  </si>
  <si>
    <t>Provider of compliance management services intended to help enterprises in the healthcare sector bring innovative, safe, and effective medical products to the market within controlled deadlines and at optimized costs. The company offers regulatory intelligence, design and development management, process validation, training as well as internal and external audits, enabling clients to solve issues around compliance, regulations, and product and market development strategy.</t>
  </si>
  <si>
    <t>Région Sud Investissement(Pierre Joubert), Sofipaca Capital Investissement(Florence Politi)</t>
  </si>
  <si>
    <t>compliance certification, diagnostic medical device, medical device development, medical product development, product development assistance, product development consulting, regulatory compliance consulting</t>
  </si>
  <si>
    <t>184226-86T</t>
  </si>
  <si>
    <t>Screenshot</t>
  </si>
  <si>
    <t>Entertainment Software*, Other Services (B2C Non-Financial)</t>
  </si>
  <si>
    <t>Operator of a Web3 game development studio intended to be a portal to a whole new world of blockchain-based gaming. The company aims to develop an ecosystem that will bridge the real world and the metaverse through innovative and cutting-edge technology and elegant design, enabling users to access and manage digital products and assets.</t>
  </si>
  <si>
    <t>Fabric Ventures, Frst Capital, HCVC</t>
  </si>
  <si>
    <t>decentralized games, gaming experience, gaming platform, nft games, web gaming, web gaming platform</t>
  </si>
  <si>
    <t>188663-41T</t>
  </si>
  <si>
    <t>Bessemer Venture Partners, Mangrove Capital Partners</t>
  </si>
  <si>
    <t>183274-57T</t>
  </si>
  <si>
    <t>Sincera</t>
  </si>
  <si>
    <t>Producer of legume-based food products intended to promote healthy eating habits. The company focuses on producing sauces and spreads that are rich in vegetable proteins and made from organic farming in different flavors and varieties, enabling consumers to benefit from a nutrient-dense diet requiring minimal cooking.</t>
  </si>
  <si>
    <t>food ecommerce, food production, food production company, food production platform, food production solution, legumes products, meal kit, nutrition food</t>
  </si>
  <si>
    <t>189640-27T</t>
  </si>
  <si>
    <t>Ugau</t>
  </si>
  <si>
    <t>Developer of road sign management tool intended for diagnosing and auditing traffic signs in rad infrastructure. The company makes it possible to identify and predict precisely and quickly the lack of maintenance and defects of the road heritage, enabling project managers to preparation and follow up on calls for tenders.</t>
  </si>
  <si>
    <t>diagnostic chain, management tool, project manager, road infrastructure development, road infrastructure maintenance, traffic signs</t>
  </si>
  <si>
    <t>179215-84T</t>
  </si>
  <si>
    <t>Yesitis</t>
  </si>
  <si>
    <t>Developer of devices intended to systematically connect devices to promote digital transformation. The company's devices include identity management, industrial optimization, authentication and security of products, and a media management platform to better interact with customers, among others, enabling businesses to implement digital transformation in their supply chain and better manage customer relationships.</t>
  </si>
  <si>
    <t>Crédit Agricole Centre France Développement, JEREMIE Auvergne, UI Investissement</t>
  </si>
  <si>
    <t>customer relationship tool, digital transformation services, industrial data analytics, intelligent device, intelligent sensors, intelligent sensors &amp; devices, intelligent sensors and devices, iot hardware, iot implementation, is management platform, rfid system, rfid tags, sensors &amp; sensor system, sensors and sensor system, tracability management, vertical application</t>
  </si>
  <si>
    <t>Advanced Manufacturing, Artificial Intelligence &amp; Machine Learning, Big Data, Internet of Things, Manufacturing</t>
  </si>
  <si>
    <t>182799-82T</t>
  </si>
  <si>
    <t>lempire</t>
  </si>
  <si>
    <t>Automation/Workflow Software, Business/Productivity Software*, Communication Software, Media and Information Services (B2B)</t>
  </si>
  <si>
    <t>Developer of an email outreach platform intended to automatically generate personalized images and videos to start conversations. The company's platform streamlines and automates follow-ups, puts repetitive tasks on autopilot and makes cold emails with personalized content, enabling businesses to seamlessly integrate within their teams and improve client interactions.</t>
  </si>
  <si>
    <t>automated interaction, clients communication, cold email marketing, communication application, crm, customer relationship management, email automation, email outreach platform, sales automation tools</t>
  </si>
  <si>
    <t>190388-17T</t>
  </si>
  <si>
    <t>Kelvin Academy</t>
  </si>
  <si>
    <t>Educational and Training Services (B2C)*, Personal Products</t>
  </si>
  <si>
    <t>Operator of an online community intended to make cosmetics and household products oneself. The company provides cosmetic and household product recipes created by members and validated by professionals as well as courses videos developed by experts to improve knowledge and skills, enabling customers to find recipes that meet specific needs, whether it's a skin type, hair type, allergies or ingredients available at home.</t>
  </si>
  <si>
    <t>cosmetic product, cosmetic professional, do-it-yourself, economic growth, household product, household products, online community</t>
  </si>
  <si>
    <t>182658-34T</t>
  </si>
  <si>
    <t>ACT (Riyadh), The Future Investment Initiative Institute</t>
  </si>
  <si>
    <t>208728-01T</t>
  </si>
  <si>
    <t>Stanley Robotics</t>
  </si>
  <si>
    <t>Business/Productivity Software, Other Hardware*, Road</t>
  </si>
  <si>
    <t>Developer of an automated parking system designed to coordinate all robots for outdoor logistics. The company's robots adapt to parking compounds and need minimum construction to pick up, move, and store vehicles without modifying the existing infrastructure, enabling customers to save time in parking.</t>
  </si>
  <si>
    <t>Mitsubishi Heavy Industries (TKS: 7011)(Hitoshi Kaguchi)</t>
  </si>
  <si>
    <t>automated parking, parking management system, parking platform, parking robots, robotic machine, robotics mobility</t>
  </si>
  <si>
    <t>184229-11T</t>
  </si>
  <si>
    <t>163972-72T</t>
  </si>
  <si>
    <t>Elaia Partners, iBionext, Matmut Innovation, SWEN Capital Partners</t>
  </si>
  <si>
    <t>182416-96T</t>
  </si>
  <si>
    <t>YouStock</t>
  </si>
  <si>
    <t>Operator of a furniture storage service intended to make storage convenient and affordable for customers. The company collects belongings from customer's home, stores them in its secure warehouses and delivers them back when needed, enabling users to access an affordable alternative to traditional self-storage.</t>
  </si>
  <si>
    <t>AMAVI Capital(Frederic van den Weghe), Jean-Luc Haddad(Jean-Luc Haddad), Région Sud Investissement</t>
  </si>
  <si>
    <t>furniture storage, furniture storage services, household appliance store, object storage, object storage system, property protection services, storage services, storage services firm</t>
  </si>
  <si>
    <t>188728-93T</t>
  </si>
  <si>
    <t>AngelDAO, Angelo Min(Angelo Min), Aseem Sood(Aseem Sood), Atka, Benjamin Simon(Benjamin Simon), Brianna Montgomery(Brianna Montgomery), Cherry Crypto, Daedalus Angels, Emiliano Bonassi(Emiliano Bonassi), Faculty Capital, Fernando Martinelli(Fernando Martinelli), Hadrien Charlanes(Hadrien Charlanes), Itamar Lesuisse(Itamar Lesuisse), Jai Bhavnani(Jai Bhavnani), James Simpson(James Simpson), Joey Santoro(Joey Santoro), Julien Romanetto(Julien Romanetto), M. Scott Lewis, Nascent, Nathan Sexer(Nathan Sexer), Nicholas Tong(Nicholas Tong), Olivier Chevillon(Olivier Chevillon), Pablo Veyrat(Pablo Veyrat), Pascal Tallarida(Pascal Tallarida), Patrick Bucquet(Patrick Bucquet), Sebastien Couture(Sebastien Couture), Semantic Ventures, Stake Capital, Thomas De Phuoc(Thomas De Phuoc), Will Price(Will Price), William Bergamo(William Bergamo)</t>
  </si>
  <si>
    <t>182381-77T</t>
  </si>
  <si>
    <t>Satisfy</t>
  </si>
  <si>
    <t>Operator of an online store intended to provide all types of running garments. The company designs sports garments and running apparel with a range of clothing types that are constructed from fabrics developed in-house that allow for intense reflection, connection, and creativity, enabling customers to purchase high-quality sports wear at an affordable rate.</t>
  </si>
  <si>
    <t>Anthony Fadell(Anthony Fadell), Bpifrance, Ian Rogers, Olivier Cantet(Olivier Cantet)</t>
  </si>
  <si>
    <t>athleisure wear, fabrics cloth, garments design, online store, running apparel, sports garments</t>
  </si>
  <si>
    <t>183410-29T</t>
  </si>
  <si>
    <t>Atlantique Vendée Innovation, GwenneG, IDIA Capital Investissement(Arnaud Pradier), Unexo</t>
  </si>
  <si>
    <t>190308-34T</t>
  </si>
  <si>
    <t>SupAirVision</t>
  </si>
  <si>
    <t>Provider of wind turbine inspection services intended for the wind industry. The company provides blade services like diagnostics, detection, data processing and sensor, therefore enabling to provide secure and cost-effective service for inspecting and tracking wind turbine blades operating in France and Europe.</t>
  </si>
  <si>
    <t>Industrya(Thibaud Le Séguillon)</t>
  </si>
  <si>
    <t>data processing, diagnostic service, energy services, inspection services, sensor services, wind turbine inspection</t>
  </si>
  <si>
    <t>Rosieres, France</t>
  </si>
  <si>
    <t>182088-91T</t>
  </si>
  <si>
    <t>Bioqube Ventures(Jacques Mizrahi), Bpifrance(Jean-Francois Morin), EQT Life Sciences(Felice Weegen), Fund+(Philippe Monteyne), Takeda Ventures(Sacha Mann)</t>
  </si>
  <si>
    <t>187881-76T</t>
  </si>
  <si>
    <t>BNP Paribas Personal Finance(Charlotte Dennery)</t>
  </si>
  <si>
    <t>186071-68T</t>
  </si>
  <si>
    <t>Peptinov</t>
  </si>
  <si>
    <t>Biotechnology*, Discovery Tools (Healthcare)</t>
  </si>
  <si>
    <t>Operator of a biotechnology company intended to find treatment for chronic inflammatory diseases. The company's R&amp;D pipeline uses the tools of bioinformatics and molecular modeling to develop innovative therapeutic strategies targeting cytokines, along with two axes: vaccines and small molecule inhibitors, providing researchers with a strategy to induce the production of antibodies targeting self-proteins directly by the organism of the patient against carefully selected, highly immunogenic peptide sequences.</t>
  </si>
  <si>
    <t>Cegedim (Information Solutions and Customer Relationship Management Business), Happy Capital, Le Groupe IRCEM</t>
  </si>
  <si>
    <t>biologics, biotech company, biotechnology company, biotechnology company operator, drug design, inflammatory disease, molecular modelling, vaccines</t>
  </si>
  <si>
    <t>190285-30T</t>
  </si>
  <si>
    <t>Legal Pilot</t>
  </si>
  <si>
    <t>Automation/Workflow Software, Business/Productivity Software*, Legal Services (B2B)</t>
  </si>
  <si>
    <t>Developer of a legal document automation system designed for legal professionals and businesses to better collaborate with teams and clients. The company's system allows users to reuse clauses and import models and features chats, invitation sharing, validation and replay requests and smart questionnaires among others, enabling lawyers to configure their processes and legal documents easily and helping to boost their productivity when dealing with recurring documents.</t>
  </si>
  <si>
    <t>Bpifrance, Julien Lopizzo, Mediapps Innovation</t>
  </si>
  <si>
    <t>document automation services, legal contracts automation, legal document analysis, legal document workflow, legal process automation, legal professionals services</t>
  </si>
  <si>
    <t>187227-73T</t>
  </si>
  <si>
    <t>181994-77T</t>
  </si>
  <si>
    <t>Seacure</t>
  </si>
  <si>
    <t>Provider of offshore engineering services intended to prevent coastal erosion and protect marine structures. The company's services are based on an electrochemical process that respects the environment and makes it possible to create a natural rock in situ from the minerals present on-site, enabling clients to protect and preserve coasts and offshore structures sustainably.</t>
  </si>
  <si>
    <t>coastal erosion protection, coastal protection, coastal protection infrastructure, erosion control, marine environment, marine protection</t>
  </si>
  <si>
    <t>192622-96T</t>
  </si>
  <si>
    <t>Tip &amp; Shaft</t>
  </si>
  <si>
    <t>Leisure Facilities, Publishing*</t>
  </si>
  <si>
    <t>Operator of a media platform intended for competitive sailors and sailing enthusiasts. The company's platform offers in-depth articles, interviews, podcasts, and events that are distributed over emails, enabling sailing enthusiasts to stay up-to-date on the latest news, racing results, and boat technology.</t>
  </si>
  <si>
    <t>Mark Turner(Mark Turner), Societe Financiere Lorient Developpement(Bruno Jossec), Telegramme Group</t>
  </si>
  <si>
    <t>information guide, insights content, newsletter email, sailing application, sailing forum, sailing systems</t>
  </si>
  <si>
    <t>250294-51T</t>
  </si>
  <si>
    <t>J'achète Fermier</t>
  </si>
  <si>
    <t>Producer of farm products intended to provide milk products. The company provides ultra-gourmet dessert creams made with good whole milk from the farm, gives consumers access to farm products that are healthy, and transparent, and provides fair remuneration to the producer, enabling customers to have easy access to farm food.</t>
  </si>
  <si>
    <t>Happy Planet Capital</t>
  </si>
  <si>
    <t>farm production company, farm products, milk farming, natural taste, yogurt food, yogurt product</t>
  </si>
  <si>
    <t>184001-95T</t>
  </si>
  <si>
    <t>Sharies</t>
  </si>
  <si>
    <t>Operator of co-living real estate spaces intended to reinvent the housing experience. The company's platform develops and operates a hybrid residence concept dedicated to sharing and living together, enabling people to get shared living spaces that are enhanced with access to various quality services.</t>
  </si>
  <si>
    <t>accommodation assistance, co-living community, co-living space, collaborative economy, community living, co-working space, real estate services</t>
  </si>
  <si>
    <t>186982-30T</t>
  </si>
  <si>
    <t>Stations-e</t>
  </si>
  <si>
    <t>Automotive*, Environmental Services (B2B), Other Energy Services</t>
  </si>
  <si>
    <t>Operator of charging stations intended to provide charging service to electric vehicle owners. The company's stations offer the deployment of sustainable mobility stations without using public funds, enabling customers and municipalities to develop the use of electric vehicles and streamline and simplify communication procedures using blockchain technology.</t>
  </si>
  <si>
    <t>Banque des Territoires, Breega, Caisse des Dépôts et Consignations, Cube Infrastructure Managers(Stéphane Calas)</t>
  </si>
  <si>
    <t>charging network, charging services, charging station, electric charging, electric vehicle charging, sustainable mobility station</t>
  </si>
  <si>
    <t>Boussy-Saint-Antoine, France</t>
  </si>
  <si>
    <t>181916-83T</t>
  </si>
  <si>
    <t>Ubble</t>
  </si>
  <si>
    <t>Developer of an identity verification platform designed to improve the identity verification process. The company's platform helps to solve the issue of securely validating a consumer's identity by combining video streams, computer vision and deep learning, allowing users to easily and securely confirm their online identity in a privacy-respectful way.</t>
  </si>
  <si>
    <t>Bpifrance(Clarisse Blandin), LO Capital</t>
  </si>
  <si>
    <t>computer vision, digital kyc verification, identity validation, identity verification application, identity verification platform, identity verification software, secure identity verification</t>
  </si>
  <si>
    <t>181890-37T</t>
  </si>
  <si>
    <t>O'clock</t>
  </si>
  <si>
    <t>Developer of a virtual training platform designed to train digital professionals. The company's platform offers live video lessons, dedicated teachers, a community, training courses, and remote monitoring of courses in real-time, enabling users to sharpen their skills through revisions and challenges, both independently and in groups.</t>
  </si>
  <si>
    <t>EduCapital, Ring Capital</t>
  </si>
  <si>
    <t>education platform, live training courses, live training session, remote training, virtual classroom software, virtual classroom training</t>
  </si>
  <si>
    <t>182336-50T</t>
  </si>
  <si>
    <t>Quantum Surgical</t>
  </si>
  <si>
    <t>Provider of surgical robotics intended to offer intelligent tools for minimally invasive surgeries. The company's robotics helps in advanced percutaneous ablation therapy for liver cancer treatment, enabling healthcare providers to cure their patients improve their lives, and get benefits from safer interventional oncology procedures.</t>
  </si>
  <si>
    <t>Ally Bridge Group(Frank Yu), Bpifrance, Caisse d'Epargne</t>
  </si>
  <si>
    <t>cancer treatment, image-guided surgery, liver cancer, lung cancer, medical robotics, oncology, surgical robotics</t>
  </si>
  <si>
    <t>Life Sciences, Oncology, Robotics and Drones, TMT</t>
  </si>
  <si>
    <t>181917-73T</t>
  </si>
  <si>
    <t>360 Capital(Alexandre Mordacq), Julien Quintard(Julien Quintard), Orbital Ventures, Promus Ventures(Pierre-François Festal)</t>
  </si>
  <si>
    <t>181809-01T</t>
  </si>
  <si>
    <t>360 Capital(Alexandre Mordacq), Alter Equity, BNP Paribas Développement, Bpifrance, David Sloo(David Sloo)</t>
  </si>
  <si>
    <t>181876-42T</t>
  </si>
  <si>
    <t>CleverConnect</t>
  </si>
  <si>
    <t>Developer of a recruiting platform intended to deliver innovative sourcing advisory service (SAS) technologies. The company offers digital support that assists throughout the talent acquisition process, enabling companies to recruit the right profiles, boost their employer brand, accelerate their recruitment processes, and reduce the turnover of recruited people.</t>
  </si>
  <si>
    <t>Citizen Capital(Pierre-Olivier Barennes), Sofiouest(Patrice Hutin), Yttrium(Julian Mattes)</t>
  </si>
  <si>
    <t>employer branding, employment site, enterprise resource planning, e-recruitment platform, erp, hr communications, human capital management, recruitment process, recruitment process management, recruitment tool, vertical application</t>
  </si>
  <si>
    <t>182094-94T</t>
  </si>
  <si>
    <t>Eco-Tech Ceram</t>
  </si>
  <si>
    <t>Thermal Batteries</t>
  </si>
  <si>
    <t>Energy Storage*, Other Energy Services</t>
  </si>
  <si>
    <t>Developer of thermal energy storage systems designed to improve the energy efficiency of manufacturers. The company's systems include eco-efficient, transportable, and modular thermal energy storage systems using refractory ceramics produced from inorganic industrial waste, enabling clients to efficiently utilize energy and use renewable energy to increase their profitability.</t>
  </si>
  <si>
    <t>ADEME Investissement, Bpifrance, Johes, Qair France International, RGREEN INVEST</t>
  </si>
  <si>
    <t>energy recovery, energy storage, energy storage tech, grid infrastructure, low-carbon manufacturing and industrial process, non-battery storage, thermal energy service, thermal energy sources, thermal energy storage</t>
  </si>
  <si>
    <t>Artificial Intelligence &amp; Machine Learning, CleanTech, Climate Tech, Manufacturing</t>
  </si>
  <si>
    <t>186361-30T</t>
  </si>
  <si>
    <t>Defymed</t>
  </si>
  <si>
    <t>Developer of implantable bio-artificial medical devices designed to enhance drug delivery systems for diverse therapeutic applications. The company's devices treat patients physiologically in order to improve the clinical effectiveness of their treatment as well as their comfort, enabling physicians to get improved results and also enhance the quality of life of patients.</t>
  </si>
  <si>
    <t>artificial pancreas, bioartificial organs, bioartificial pancreas, cell therapy, diabetes control, implantables medical devices, medical devices, surgical implants, therapeutic device</t>
  </si>
  <si>
    <t>248395-06T</t>
  </si>
  <si>
    <t>Guillaume Lestrade</t>
  </si>
  <si>
    <t>200273-05T</t>
  </si>
  <si>
    <t>Angels Santé, France Active, Provence Business Angels</t>
  </si>
  <si>
    <t>181795-15T</t>
  </si>
  <si>
    <t>The Winkyverse</t>
  </si>
  <si>
    <t>Educational Software, Entertainment Software*, Other Financial Services</t>
  </si>
  <si>
    <t>Developer of an entertainment platform designed for children to learn robotic programming. The company's platform provides a variety of academies with different lessons ranging from history to travel, enabling children to learn concepts entertainingly.</t>
  </si>
  <si>
    <t>Aza Ventures, CSP DAO, Femmes Business Angels, Finance &amp; Technologie, INSEAD Business Angels, Le Mans Sarthe Investments, Oracles Investment Group</t>
  </si>
  <si>
    <t>autonomous machine, children educations, educational gaming, educational gaming platform, intelligent robotics, learning platform, online gaming, robotics knowledge</t>
  </si>
  <si>
    <t>Artificial Intelligence &amp; Machine Learning, Augmented Reality, EdTech, Gaming</t>
  </si>
  <si>
    <t>181701-28T</t>
  </si>
  <si>
    <t>Bloom (Media and Information Services (B2B))</t>
  </si>
  <si>
    <t>Business/Productivity Software, IT Consulting and Outsourcing, Media and Information Services (B2B)*</t>
  </si>
  <si>
    <t>Developer of an online social media analytics platform intended to offer strategic analysis and insights related to tendencies and influences of the market. The company's social intelligence platform processes and analyses discussions and engagement on social media through proprietary algorithms, enabling clients to achieve and leverage optimal audience-content synergy for improved customer engagement and create operational KPIs to support the company's strategic development.</t>
  </si>
  <si>
    <t>Bpifrance, Dassault Systemes (PAR: DSY)(Sebastien Massart)</t>
  </si>
  <si>
    <t>ai platform, analytics platform, business data analysis, data science platform, market data, market intelligence, smart data, social media analysis, social media intelligence</t>
  </si>
  <si>
    <t>207783-10T</t>
  </si>
  <si>
    <t>Eukratos family office, Intendance</t>
  </si>
  <si>
    <t>182714-68T</t>
  </si>
  <si>
    <t>Intellia Therapeutics (NAS: NTLA)(John Leonard)</t>
  </si>
  <si>
    <t>181579-87T</t>
  </si>
  <si>
    <t>CORE for Tech</t>
  </si>
  <si>
    <t>Application Software*, Information Services (B2C), Other Healthcare Technology Systems</t>
  </si>
  <si>
    <t>Developer of an intelligence technology designed to measure and predict drowsiness while driving. The company's technology uses native sensors or retrofit technology in the vehicle to analyze heart rate variability and transforms it into valuable data about the driver's fatigue, enabling drivers to stay safe while driving.</t>
  </si>
  <si>
    <t>Frédéric Bruneteau, Serenite project, Supernova Invest(François Breniaux)</t>
  </si>
  <si>
    <t>drivers monitoring, drivers safety, drowsiness detection system, road safety tech, safety concepts, safety technology</t>
  </si>
  <si>
    <t>181549-09T</t>
  </si>
  <si>
    <t>Rise Partners, Région Sud Investissement, The Feder Fund, Turenne Groupe</t>
  </si>
  <si>
    <t>181949-68T</t>
  </si>
  <si>
    <t>WeCanDoo</t>
  </si>
  <si>
    <t>Information Services (B2C), Leisure Facilities*, Other Services (B2C Non-Financial)</t>
  </si>
  <si>
    <t>Developer of an internet platform intended to support handicraft products and promote their workshops. The company's online platform offers a communication relay and an additional income to their partner artisans, to highlight skills that sometimes lack visibility and also create social ties between two populations who rarely have the opportunity to meet, enabling clients with a new leisure offer focused on learning, immersion, and sharing.</t>
  </si>
  <si>
    <t>Breega(François Paulus), EduCapital(Marie-Christine Levet)</t>
  </si>
  <si>
    <t>craftsmanship market, handicraft shops, income stream, online handicraft, social connection, workshops tools</t>
  </si>
  <si>
    <t>182739-52T</t>
  </si>
  <si>
    <t>Alsima</t>
  </si>
  <si>
    <t>Consulting Services (B2B)*, Machinery (B2B), Other Commercial Services</t>
  </si>
  <si>
    <t>Provider of tailor-made 3D printing services intended to drive innovation in the additive manufacturing sector. The company offers a set of continuous services including technical support, setup assistance and regular information on technological developments, enabling clients in the additive manufacturing industry to develop their potential.</t>
  </si>
  <si>
    <t>Kreaxi, Pierre-Antoine Cognard(Pierre-Antoine Cognard)</t>
  </si>
  <si>
    <t>3d printer, 3d printing solutions, additives manufacturing, fabrication additives, printing services, technological ascent</t>
  </si>
  <si>
    <t>186893-56T</t>
  </si>
  <si>
    <t>Foreis, Verd Investeringeri Agder</t>
  </si>
  <si>
    <t>181484-83T</t>
  </si>
  <si>
    <t>King Investor, Northzone Ventures, Singular.</t>
  </si>
  <si>
    <t>181520-56T</t>
  </si>
  <si>
    <t>Bechara Wakim(Bechara Wakim), Jacques Mottard(Jacques Mottard), Mediapps Innovation</t>
  </si>
  <si>
    <t>181492-84T</t>
  </si>
  <si>
    <t>Rofim</t>
  </si>
  <si>
    <t>Medical Records Systems*, Other Healthcare Services, Other Healthcare Technology Systems</t>
  </si>
  <si>
    <t>Operator of a collaborative eDiagnostic platform intended for sharing clinical and patient-related data between doctors, clinics, and patients. The company's platform provides access to clinical description data and medical imaging in real-time, lets users connect to doctors and request health-related information, and features secure exchange and file-sharing tools, enabling doctors to organize and communicate health data and offer medical consultation to patients, anytime, and from any place.</t>
  </si>
  <si>
    <t>Axeltim, Banque des Territoires, Orange Ventures, Région Sud Investissement</t>
  </si>
  <si>
    <t>clinical data exchange, clinical data management, enterprise resource planning, erp, health data sharing, medical data management, medical information platform, telemedicine enablement, telemedicine platform, telemedicine system</t>
  </si>
  <si>
    <t>181880-56T</t>
  </si>
  <si>
    <t>Rzilient</t>
  </si>
  <si>
    <t>Operator of an IT management platform intended to ease information technology management through centralized services and integrations. The company's platform offers subscription-based tools that can be effortlessly operated to optimize everything involved in managing an IT fleet, enabling clients to get integrated services and transversal support.</t>
  </si>
  <si>
    <t>Otium Capital(Jérémie Bordier)</t>
  </si>
  <si>
    <t>automated monitoring, cybersecurity services, it asset management, it consulting, it management platform, predictive monitoring</t>
  </si>
  <si>
    <t>193931-74T</t>
  </si>
  <si>
    <t>Whaly</t>
  </si>
  <si>
    <t>Developer of a data platform designed to help business teams access, analyze, and share data from their everyday tools. The company's platform helps to combine all their data sources and build consolidated metrics to improve their decision-making process, enabling companies to connect clean, model, and sync business data from various sources and intuitively create dashboards and visualizations.</t>
  </si>
  <si>
    <t>FAST--by GETTYLAB, Globivest, Super Capital</t>
  </si>
  <si>
    <t>ai platform, analytics &amp; business intelligence, analytics and business intelligence, analytics platform, business intelligence, dashboard design, data analyst portal, data collection tool, data reporting tool, operations systems, sales performance</t>
  </si>
  <si>
    <t>182692-09T</t>
  </si>
  <si>
    <t>Aonia Ventures, CapHorn Invest</t>
  </si>
  <si>
    <t>180046-54T</t>
  </si>
  <si>
    <t>Bpifrance, Eurazeo (PAR: RF), Headline(Jonathan Userovici), Hedosophia, Index Ventures(Martin Mignot), SoftBank Latin America Fund(Maria Tereza Peixoto de Azevedo)</t>
  </si>
  <si>
    <t>178584-67T</t>
  </si>
  <si>
    <t>European Innovation Council Fund, PRO BTP Groupe</t>
  </si>
  <si>
    <t>181326-70T</t>
  </si>
  <si>
    <t>Elevo (Business/Productivity Software)</t>
  </si>
  <si>
    <t>Developer of a performance management platform designed to help organizations to monitor and develop each employee. The company's platform facilitates feedback within organizations, making it possible to adopt continuous feedback and modernize employee monitoring, enabling organizations to adapt managerial culture to the digital age.</t>
  </si>
  <si>
    <t>Elaia Partners(Pauline Roux), Julien Codorniou(Julien Codorniou), Seed4Soft</t>
  </si>
  <si>
    <t>employee assessment, enterprise resource planning, feedback tool, human capital management, performance management, rating system, ressources humaines, talent management platform</t>
  </si>
  <si>
    <t>187250-50T</t>
  </si>
  <si>
    <t>Everide</t>
  </si>
  <si>
    <t>Accessories*, Application Software, Information Services (B2C), Specialty Retail</t>
  </si>
  <si>
    <t>Developer of an online platform intended for the purchase and sale of second-hand outdoor sports products at affordable prices. The company's mobile application allows users to buy and sell second-hand sports equipment, enabling sports enthusiasts to get equipped with reused outdoor products.</t>
  </si>
  <si>
    <t>Andrew Nutter(Andrew Nutter), Bpifrance, Gregory Sand(Gregory Sand), Jean-Fabrice Mathieu(Jean-Fabrice Mathieu), Olivier Cantet(Olivier Cantet), Patrick Giraudon(Patrick Giraudon), Paulin Dementhon(Paulin Dementhon), Together Ventures Capital, Total Capital Partners</t>
  </si>
  <si>
    <t>circularity platform, outdoor clothing, outdoor equipment, outdoor equipments, reused good, secondhand clothes, secondhand products, sports products</t>
  </si>
  <si>
    <t>181399-06T</t>
  </si>
  <si>
    <t>Extracthive</t>
  </si>
  <si>
    <t>Environmental Services (B2B)*, Other Metals, Minerals and Mining</t>
  </si>
  <si>
    <t>Developer of recycling technology designed to produce secondary raw materials from industrial waste. The company focuses on the production of recycled carbon fiber and provides secondary materials that helps in conceiving and industrializing processes to valorize industrial wastes and by-products, enabling clients to properly access the metals and chemical elements present in their input and output streams.</t>
  </si>
  <si>
    <t>Colam Impact, Supernova Invest</t>
  </si>
  <si>
    <t>extraction mine, extraction plant, extraction process, extractive metallurgy, mineral process technology, mineral processing system, recycling metal</t>
  </si>
  <si>
    <t>Bagnols Sur Ceze, France</t>
  </si>
  <si>
    <t>180488-26T</t>
  </si>
  <si>
    <t>Addworking</t>
  </si>
  <si>
    <t>Developer of a cost and risk management platform designed to manage the contractual flow between companies and service providers. The company's platform offers freelancers and service providers references through non-salaried resources by making sure of administrative compliance where it creates and automates your workflow, enabling companies to reduce the cost of finding service providers make simpler bill payments, and gain efficiency, security, and visibility in their partner relationships.</t>
  </si>
  <si>
    <t>Club Holnest, Edenred Capital Partners, Holnest, iXO Private Equity(Nicolas Iordanov), Seed4Soft, Tomcat Invest</t>
  </si>
  <si>
    <t>automated workflow, knowledge management system, management tool software, relationship management system, risk management platform, service provider finder</t>
  </si>
  <si>
    <t>119463-22T</t>
  </si>
  <si>
    <t>Adveez</t>
  </si>
  <si>
    <t>Developer of hardware and software systems intended to monitor and manage critical assets and improve user safety. The company's technology includes data capture modules, wearables, asset trackers, and watch-based sensors to simplify management and nursing care homes to help fall detection for seniors and people, enabling equipment handlers to track equipment at airports and seaports.</t>
  </si>
  <si>
    <t>M Capital Partners, Plume Finance</t>
  </si>
  <si>
    <t>assets managment, electronics manufacturing, fleet management, industrial digitization, industrial iot, vehicle tracking software, web platform</t>
  </si>
  <si>
    <t>Advanced Manufacturing, Artificial Intelligence &amp; Machine Learning, Internet of Things, Manufacturing, Wearables &amp; Quantified Self</t>
  </si>
  <si>
    <t>196411-24T</t>
  </si>
  <si>
    <t>Bpifrance, Region of Brittany</t>
  </si>
  <si>
    <t>215369-65T</t>
  </si>
  <si>
    <t>Visionairy</t>
  </si>
  <si>
    <t>Developer of artificial intelligence-powered vision technology designed to streamline manufacturing quality control. The company's software allows internal teams to create vision applications directly related to their processes without any machine learning background, enabling clients and customers with an end-to-end quality management resolution.</t>
  </si>
  <si>
    <t>Key Ventures, NCI Gestion</t>
  </si>
  <si>
    <t>application based, artificial intelligence, quality control, software development, vision technology, visual inspection</t>
  </si>
  <si>
    <t>180693-28T</t>
  </si>
  <si>
    <t>Arts et Métiers Business Angels, BNP Paribas Développement, Bpifrance, Crédit Agricole Création, EIT InnoEnergy, Kreaxi(Gwenaël Hamon), UI Investissement(Nicolas Penet)</t>
  </si>
  <si>
    <t>183387-61T</t>
  </si>
  <si>
    <t>Alter Equity, Cota Capital, Siparex Group, XAnge(Guillaume Meulle)</t>
  </si>
  <si>
    <t>172459-54T</t>
  </si>
  <si>
    <t>Fraîche Cancan</t>
  </si>
  <si>
    <t>Operator of a digital canteen intended to facilitate workplace food delivery. The company's canteen provides healthy breakfast, desserts, beverages, lunch, and snack meals approved by a nutritionist and is also based on food choices, enabling corporate workers to consume a healthy diet and monitor their nutritional intake with each recipe.</t>
  </si>
  <si>
    <t>Banque des Territoires, Caisse des Dépôts et Consignations, Financiere Tuileries Development, Karista (Paris), Noveo, Paris Region Venture Fund, Temaris et Associés</t>
  </si>
  <si>
    <t>ghost kitchen, healthy eating, healthy meals delivery, healthy meals provider, healthy meals service, nutrition monitoring, nutrition planning, restaurant &amp; retail tech, restaurant and retail technology</t>
  </si>
  <si>
    <t>204507-10T</t>
  </si>
  <si>
    <t>Je Pilote Mon Entreprise</t>
  </si>
  <si>
    <t>Developer of online invoicing and accounting software designed to provide free and simplified invoicing for businesses. The company's application allows businesses to issue quotes, invoice customers, monitor daily cash flow, and maintain trial balances securely without any additional cost, enabling businesses to collaborate with accountants and share their financial data in real time through the online platform.</t>
  </si>
  <si>
    <t>account management, accounting management software, commercial management, invoicing management, invoicing system, online accounting, online accounting application</t>
  </si>
  <si>
    <t>B2B Payments</t>
  </si>
  <si>
    <t>187133-86T</t>
  </si>
  <si>
    <t>Ava capital, Charles Beigbeder(Charles Beigbeder), Cinto Capital, Cleante, Geodesic fund, SATT Paris-Saclay, SpaceFounders, Tiresias Angels</t>
  </si>
  <si>
    <t>245193-31T</t>
  </si>
  <si>
    <t>Altar</t>
  </si>
  <si>
    <t>Biotechnology*, Cultivation, Other Agriculture, Other Hardware</t>
  </si>
  <si>
    <t>Developer of automated cultivation devices designed to harness natural selection to make microbes. The company's devices are fully automated and ensure permanent proliferation of cell suspensions without contamination for indefinite periods through counter-selection of biofilms, enabling industries to improve microorganism performance via natural selection.</t>
  </si>
  <si>
    <t>automated cultivation, biotech company, biotechnology company, cultivation services, cultivation tools, strain development</t>
  </si>
  <si>
    <t>182334-70T</t>
  </si>
  <si>
    <t>Atlendis Labs</t>
  </si>
  <si>
    <t>Developer of an online lending platform designed to offer uncollateralized crypto loans. The company's platform offers capital-efficient lending through blockchain technology and ensures creditworthiness and loan repayment capability, enabling financial institutions to access flexibility for recurrent and short-term liquidity needs.</t>
  </si>
  <si>
    <t>AngelDAO, DeFiance Capital, Digital Currency Group, Divergence Ventures, Genesis Global Trading, Klein Blue Capital, Lemniscap, ParaFi Capital, Tioga Capital Partners, True Ventures, White Star Capital</t>
  </si>
  <si>
    <t>corporate credit, crypto borrowing, crypto loans, crypto yield generation, lending platform, liquidity providers</t>
  </si>
  <si>
    <t>214323-58T</t>
  </si>
  <si>
    <t>City Drop</t>
  </si>
  <si>
    <t>Developer of a rental vehicle platform designed to connect utility vehicles. The company's platform specializes in the rental of one-way connected utility vehicles to move from one region to another at a lower cost and without having to make a return trip, enabling users to drop off the vehicle within a defined perimeter.</t>
  </si>
  <si>
    <t>Dupe Ventures, Elevation Capital Partners</t>
  </si>
  <si>
    <t>rental management, rental management technology, utility vehicles, utility vehicles provider, vehicle rental, vehicle rental service</t>
  </si>
  <si>
    <t>185391-37T</t>
  </si>
  <si>
    <t>Dokki</t>
  </si>
  <si>
    <t>Developer of a web and mobile training platform designed to make training fun, skills sustainable, and employees engaged. The company's platform offers coaching, rapid prototyping, proof of concept, development, and innovation on topics related to digital professions, web agency, digital communication, and prototyping workshops, enabling organizations to receive support in their digital transition by providing new skills and technologies.</t>
  </si>
  <si>
    <t>Banque des Territoires, Bpifrance, IRFA Group, SOFIMARMARE Group</t>
  </si>
  <si>
    <t>cloud learning, digital training, industry training, professional training, prototyping workshops, skills development</t>
  </si>
  <si>
    <t>EdTech, SaaS, TMT</t>
  </si>
  <si>
    <t>174792-70T</t>
  </si>
  <si>
    <t>Ekie</t>
  </si>
  <si>
    <t>Application Software, Business/Productivity Software, Information Services (B2C)*, Legal Services (B2C)</t>
  </si>
  <si>
    <t>Developer of a legal care application designed to provide digitalization access to help for employees. The company's application allows employers to provide their employees and their families with the necessary tools to manage all legal, administrative and tax issues, enabling employees to get information, advice, document review, and legal representation that inevitably occur in their daily lives and increase their mental workload in the workplace.</t>
  </si>
  <si>
    <t>BNP Paribas Développement, Eric Mignot(Eric Mignot), OneRagtime</t>
  </si>
  <si>
    <t>benefits service, legal advise, legal advisor, legal management software, legal platform developer, legal services, online legal portal</t>
  </si>
  <si>
    <t>181496-89T</t>
  </si>
  <si>
    <t>Frello</t>
  </si>
  <si>
    <t>Developer of a web and mobile platform intended to make learning French authentic, interesting, and real. The company's platform provides oral and written authentic content created by natives, it is a digital activity book that aggregates all the skills provided in the official programs, enabling learners to learn and practice the French language.</t>
  </si>
  <si>
    <t>digital learning, educational portal, e-learning platform, foriegn language-learning, language-learning, mobile learning platform</t>
  </si>
  <si>
    <t>Mont-Saint-Aignan, France</t>
  </si>
  <si>
    <t>185290-03T</t>
  </si>
  <si>
    <t>Lifeaz</t>
  </si>
  <si>
    <t>Developer of a defibrillator device designed to empower people to save lives. The company's defibrillators provide vocal instructions for usage and enable the user to place the electrodes on the patient's chest, analyze the cardiac rhythm, and decide what therapy to deliver, helping individuals and companies to be prepared for emergencies and effectively administer aid.</t>
  </si>
  <si>
    <t>Investir &amp;+, Mutuelles Impact, Share it, Siparex Group</t>
  </si>
  <si>
    <t>cardiac arrest treatment, cardiac equipment, cardiovascular monitor, connected healthcare, connected service, defibrillators device, emergency preparedness, medical emergency support</t>
  </si>
  <si>
    <t>Digital Health, LOHAS &amp; Wellness</t>
  </si>
  <si>
    <t>214497-64T</t>
  </si>
  <si>
    <t>Arverne Group (PAR: ARVEN), Equinor Ventures(Børre Stokholm), Four Stones Real Estate, Langa International, Pacifico Energy</t>
  </si>
  <si>
    <t>206465-05T</t>
  </si>
  <si>
    <t>Please International Network</t>
  </si>
  <si>
    <t>Business/Productivity Software, Media and Information Services (B2B), Other Restaurants, Hotels and Leisure*</t>
  </si>
  <si>
    <t>Operator of an online platform intended to serve local businesses through a digital showcase. The company's platform facilitates the delivery of goods and services to residential clients of small and medium-sized cities through its network of partner entrepreneurs who deploy the solution in the territories, enabling businesses to create a local e-commerce business without investments.</t>
  </si>
  <si>
    <t>ENGIE New Ventures</t>
  </si>
  <si>
    <t>digital showcase, ecommerce platform, ecommerce site, local ecommerce, online commerce marketplace, online marketplace</t>
  </si>
  <si>
    <t>E-Commerce, FoodTech, Mobile Commerce, Restaurant Technology</t>
  </si>
  <si>
    <t>246835-09T</t>
  </si>
  <si>
    <t>Poweend</t>
  </si>
  <si>
    <t>Manufacturer of wind turbines designed to produce renewable energy. The company offers wind electricity to small and large industrial groups with the support of local partners and European suppliers, to guarantee reliability and performance by controlling the entire value chain, from the design to the operation of wind turbines, including the development and financing of the parks, enabling clients to preserve the landscapes and everyone's living environment, while promoting re-industrialization and the creation of local jobs.</t>
  </si>
  <si>
    <t>Jezby Ventures</t>
  </si>
  <si>
    <t>environmental impact, environmental impact reduction, green energy, wind energy, wind turbines, wind turbines design</t>
  </si>
  <si>
    <t>Prouvy, France</t>
  </si>
  <si>
    <t>181058-50T</t>
  </si>
  <si>
    <t>Ulysse</t>
  </si>
  <si>
    <t>Application Software, Information Services (B2C)*, Other Restaurants, Hotels and Leisure</t>
  </si>
  <si>
    <t>Developer of an airline ticket booking platform intended to provide an easy and reliable way to find and book plane tickets online. The company offers a search engine and a price comparison tool that lets users look for flights available at preferred times and check prices in real-time, enabling travelers to book air tickets at no additional cost.</t>
  </si>
  <si>
    <t>AngelSquare, Frst Capital, Kima Ventures</t>
  </si>
  <si>
    <t>air ticketing books, airline booking facilities, airline ticket service, flight search tool, flight tickets booking, online search platform, plane ticketing search</t>
  </si>
  <si>
    <t>Marles en brie, France</t>
  </si>
  <si>
    <t>180969-49T</t>
  </si>
  <si>
    <t>Agronutris</t>
  </si>
  <si>
    <t>Other Agriculture, Other Commercial Products*</t>
  </si>
  <si>
    <t>Operator of a bioconversion company intended to solve environmental and resource challenges associated with feeding a growing global population. The company specializes in rearing and transforming insects into organic fertilizers and proteins for animal nutrition, especially for the aquaculture and pet food markets, enabling industries to reduce reliance on environmentally harmful feed ingredients.</t>
  </si>
  <si>
    <t>Bertrand Jelensperger(Bertrand Jelensperger), Bpifrance, Credit Agricole Nord Est, France Relance, IRDI Capital Investissement, M Capital Partners, Mirova(Marc Romano), Region Grand Est, The Nutergia Group</t>
  </si>
  <si>
    <t>animal feed product, animal nutrition, fertilizer alternatives, insect protein, insects rearing, sustainable agriculture</t>
  </si>
  <si>
    <t>AgTech, Climate Tech, Industrials</t>
  </si>
  <si>
    <t>Saint-Orens-de-Gameville, France</t>
  </si>
  <si>
    <t>180948-07T</t>
  </si>
  <si>
    <t>ASK MONA</t>
  </si>
  <si>
    <t>Application Software, Communication Software, Media and Information Services (B2B)*</t>
  </si>
  <si>
    <t>Developer of an artificial intelligence platform designed to provide access to cultural services. The company's application utilizes a virtual robotic assistance feature that is available anytime to visitors at cultural institutions, museums, monuments, theaters, local authorities, and many more which helps in answering queries and developing interactive tour routes, providing users with personal assistants adapted to their needs.</t>
  </si>
  <si>
    <t>Bpifrance, Denis Thebaud(Denis Thebaud), Philippe Ligot(Philippe Ligot), Saga Invest</t>
  </si>
  <si>
    <t>artificial intelligence engine, artificial intelligence firm, messaging bot developer, natural language processing, natural language technology, tourism guide platform</t>
  </si>
  <si>
    <t>181359-28T</t>
  </si>
  <si>
    <t>Brandquad</t>
  </si>
  <si>
    <t>Developer of a product management platform designed to automate commercial brand content. The company's tool offers product information management, digital assets management, data distribution and export, and e-commerce insights to collaborate by assigning tasks and responsibilities as products, enabling businesses to drive online sales and analyze consumer behavior and retailer performance.</t>
  </si>
  <si>
    <t>Bpifrance, INIT VC(Ilya Korolev), Plug and Play Tech Center, Sk Capital(Victor Chervyakov)</t>
  </si>
  <si>
    <t>commercial branding, content management platform, data distribution, data management app, digital asset, product information management</t>
  </si>
  <si>
    <t>180762-49T</t>
  </si>
  <si>
    <t>Jerome Joaug(Jerome Joaug), Karot Capital</t>
  </si>
  <si>
    <t>186066-28T</t>
  </si>
  <si>
    <t>Idinvest Partners, NFU Digital, XAnge</t>
  </si>
  <si>
    <t>180978-58T</t>
  </si>
  <si>
    <t>Banque des Territoires, SWEN Capital Partners</t>
  </si>
  <si>
    <t>248531-68T</t>
  </si>
  <si>
    <t>Zoodiag</t>
  </si>
  <si>
    <t>Business/Productivity Software, Other Services (B2C Non-Financial)*</t>
  </si>
  <si>
    <t>Developer of a digital animal consultation platform designed for rural veterinarians. The company's application helps to carry out veterinary procedures with or without an internet connection, and prioritizes animal exams based on the reason for consultation and the user's personal preferences, enabling veterinarians to provide quality care for animals and build strong relationships with farmers.</t>
  </si>
  <si>
    <t>animal healthcare, breeding data, consultation platform, digital transformation, farming kits, health chatbot, veterinarian app</t>
  </si>
  <si>
    <t>Chalonnes-sur-Loire, France</t>
  </si>
  <si>
    <t>180864-64T</t>
  </si>
  <si>
    <t>CERTIS Therapeutics</t>
  </si>
  <si>
    <t>Developer of imaging-guided thermo-ablation medical devices designed to treat cardiac pathologies, cancers and neurological disorders. The company's devices combine software elements and minimally invasive therapy, including advanced image processing modules on real-time magnetic resonance imaging (MRI) guidance to improve the efficacy of cardiac electric disorders, enabling researchers to optimize the use of existing thermal ablation equipment, for effective procedures.</t>
  </si>
  <si>
    <t>AQUITI Gestion, Crédit Agricole Aquitaine Expansion, GSO Innovation, Medevice Capital, Nouvelle Aquitaine Co-Investissement, Redbud VC</t>
  </si>
  <si>
    <t>cancer research, cardiac pathology service, image processing system, invasive therapy, neurological disorder, thermal ablation system</t>
  </si>
  <si>
    <t>209793-07T</t>
  </si>
  <si>
    <t>Energies Demain</t>
  </si>
  <si>
    <t>172952-20T</t>
  </si>
  <si>
    <t>Allurion Technologies (NYS: ALUR)</t>
  </si>
  <si>
    <t>Other Healthcare Services, Pharmaceuticals, Therapeutic Devices*</t>
  </si>
  <si>
    <t>Allurion Technologies Inc is a medical device company that focuses on creating a best-in-class weight loss platform to treat overweight patients. Its platform, the Allurion Program, features the world's first and only swallowable, procedure-less intragastric balloon for weight loss and offers access to AI-powered remote patient monitoring tools, a proprietary behavior change program, secure messaging, and video telehealth that are delivered by the Allurion VCS. Its proprietary intragastric balloon, the Allurion Balloon, is in the form of a swallowed capsule that is administered to patients under the guidance of a healthcare provider without surgery, endoscopy, or anesthesia.</t>
  </si>
  <si>
    <t>Bridge Nine Capital Partners, Euston Ventures, Farah Ali(Farah Ali), Gaingels, Green Park Investment Partners, IDO Investments, Jason Wallace(Jason Wallace), Jose Almeida(Jose Almeida), Kube VC, Laura Fingal-Surma(Laura Fingal-Surma), Marek Paris(Marek Paris), Matthew Schwab(Matthew Schwab), Michael Jarmuz(Michael Jarmuz), Michael Nicoletti(Michael Nicoletti), Miles Jennings(Miles Jennings), Neil Chheda(Neil Chheda), Novalis LifeSciences, REMUS Capital(Krishna Gupta), Romulus Capital(Krishna Gupta), SaxeCap, Segulah Medical Acceleration, Slater Family Holdings, The Family (Financial Services)</t>
  </si>
  <si>
    <t>gastric balloon, healthy habits and lifestyle, medical treatment, obesity treatment, therapeutic device, weight management, weight reduction</t>
  </si>
  <si>
    <t>180828-01T</t>
  </si>
  <si>
    <t>Singular.(Raffi Kamber)</t>
  </si>
  <si>
    <t>185686-39T</t>
  </si>
  <si>
    <t>Mojo (Diagnostic Equipment)</t>
  </si>
  <si>
    <t>Clinics/Outpatient Services*, Other Devices and Supplies, Other Healthcare Technology Systems</t>
  </si>
  <si>
    <t>Operator of a virtual male fertility clinic intended to offer convenient testing and consultations from the comfort of home. The company's device specializes in providing accurate sperm count, motility, and morphology within a short time by analyzing it using artificial intelligence (AI) and helps to monitor and provide artificial intelligence-powered semen assessment, enabling clinicians to offer a reliable, and accessible patient fertility journey and take preventive measures before conditions worsen.</t>
  </si>
  <si>
    <t>Aligned Ventures, Clausen Engineering, Crista Galli Ventures, EuroUS Ventures</t>
  </si>
  <si>
    <t>consultation app, fertility care, fertility consultation, healthcare assessment, healthcare platform company, male fertility</t>
  </si>
  <si>
    <t>Artificial Intelligence &amp; Machine Learning, Digital Health, HealthTech, LOHAS &amp; Wellness</t>
  </si>
  <si>
    <t>175900-60T</t>
  </si>
  <si>
    <t>Bosch Ventures, iBionext, In-Q-Tel(Eileen Tanghal), Inno-Chip, Renault Retail Group (France), Sinovation Ventures(Kai-Fu Lee), Xiaomi Ventures</t>
  </si>
  <si>
    <t>180764-47T</t>
  </si>
  <si>
    <t>Accel, Bpifrance, Creandum, Financière Saint James</t>
  </si>
  <si>
    <t>180874-54T</t>
  </si>
  <si>
    <t>Bertrand Jelensperger(Bertrand Jelensperger), Enrico Pandian(Enrico Pandian), Gokul Rajaram(Gokul Rajaram), Greg Bulckaert(Greg Bulckaert), Kima Ventures, Nathanael Berbessou(Nathanael Berbessou), Neeraj Berry(Neeraj Berry), Nicolas Douay(Nicolas Douay), Stride.VC, Tet Ventures</t>
  </si>
  <si>
    <t>212623-39T</t>
  </si>
  <si>
    <t>181487-89T</t>
  </si>
  <si>
    <t>IPaidThat</t>
  </si>
  <si>
    <t>Accounting, Audit and Tax Services (B2B), Financial Software*, Other Financial Services</t>
  </si>
  <si>
    <t>Developer of an all-in-one accounting and financial management platform designed to simplify and automate invoice processing for businesses. The company offers a comprehensive suite of tools that includes automated invoice collection, efficient bank reconciliation, and streamlined payment processing, featuring capabilities such as OCR for accurate data extraction, enabling companies to enhance their financial operations while reducing administrative workload and improving accuracy in their accounting practices.</t>
  </si>
  <si>
    <t>Adelie(Jean-Manuel Costa), Bpifrance(Clarisse Blandin), Truffle Capital(Bernard Roques)</t>
  </si>
  <si>
    <t>accounting tools, bank reconciliation, document storage, enterprise resource planning, expense management, financial management system</t>
  </si>
  <si>
    <t>227523-79T</t>
  </si>
  <si>
    <t>ESSEC Ventures</t>
  </si>
  <si>
    <t>180568-81T</t>
  </si>
  <si>
    <t>DataHawk</t>
  </si>
  <si>
    <t>Developer of an analytics tool software intended to optimize the visibility of its user's products on Amazon. The company's software helps brands and retailers thrive on Amazon and other marketplaces with its search engine marketing, market intelligence, and business analytics software by collecting and analyzing hundreds of thousands of data points on products, search queries, brands, sellers, sales, and advertising efforts, enabling retailers to increase sales and improve their margins.</t>
  </si>
  <si>
    <t>Axeleo Capital, Bleu Capital, Christophe Chausson, Hi Inov, LeFonds, Léon Seynave(Léon Seynave), Mission M, Spring Invest</t>
  </si>
  <si>
    <t>analytics and cdps, analytics program, business intelligence, business intelligence tool, consumer data analytics, ecommerce related services, generative ai, vertical application</t>
  </si>
  <si>
    <t>180536-77T</t>
  </si>
  <si>
    <t>Alven Capital Partners(Rodolphe Menegaux), Kernel Investissements</t>
  </si>
  <si>
    <t>180962-47T</t>
  </si>
  <si>
    <t>Innovation Nest(Marcin Szeląg), Kima Ventures(Alexis Robert)</t>
  </si>
  <si>
    <t>180521-38T</t>
  </si>
  <si>
    <t>Baobab+</t>
  </si>
  <si>
    <t>Alternative Energy Equipment*, Electronics (B2C), Other Consumer Durables, Other Equipment</t>
  </si>
  <si>
    <t>Operator of a social community intended to offer access to solar energy and digital technology. The company offers solar kits, smartphones, cookstoves, and other products available through financing options to meet the needs of local populations, enabling underprivileged communities to improve their living standards, generate income, and participate more fully in the digital economy.</t>
  </si>
  <si>
    <t>Norfund</t>
  </si>
  <si>
    <t>consumer goods, digital devices, digital products, financial service, intermittent renewable energy, microloans provider, solar energy solution, solar kits, solar photovoltaic, solar products, water purifier</t>
  </si>
  <si>
    <t>180479-71T</t>
  </si>
  <si>
    <t>Bpifrance, Breega, Eric Setton(Eric Setton), Lakestar(Nicolas Brand)</t>
  </si>
  <si>
    <t>180495-10T</t>
  </si>
  <si>
    <t>Astanor Ventures(Hendrik Van Asbroeck)</t>
  </si>
  <si>
    <t>182680-57T</t>
  </si>
  <si>
    <t>CapCar</t>
  </si>
  <si>
    <t>Operator of an online platform intended to simplify the process of purchase and sale of used vehicles between individuals. The company's platform offers information about pre-owned cars of various brands, enabling both car sellers and buyers to verify and conduct transactions between them with ease.</t>
  </si>
  <si>
    <t>Breega, Tadium Invest</t>
  </si>
  <si>
    <t>auto commerce, automobile market, automotive platform software, car resale website, car selling platform, online car selling, reselling platform, used car</t>
  </si>
  <si>
    <t>Industrials, Mobility Tech, TMT</t>
  </si>
  <si>
    <t>180468-28T</t>
  </si>
  <si>
    <t>192623-32T</t>
  </si>
  <si>
    <t>COBuy Solutions</t>
  </si>
  <si>
    <t>Developer of online supplier relationship management platform intended for industrial purchasing organizations. The company's platform automates the management of exchanges with suppliers and analyzes trends in the evolution of quality from suppliers to anticipate and prevent risks, providing easy and quick access to the benefits of the digitalization of supplier relations.</t>
  </si>
  <si>
    <t>BNP Paribas Développement, Bpifrance, Credit Agricole Entreprises (PAR: CRBP), Credit Mutuel Ocean, Societe Financiere Lorient Developpement</t>
  </si>
  <si>
    <t>digitalization of supplier relations, online supplier relationship management platform, purchasing department service, supplier relationship management, supplier risk management, supplier risk management service</t>
  </si>
  <si>
    <t>125541-37T</t>
  </si>
  <si>
    <t>Posithot</t>
  </si>
  <si>
    <t>Electronic Equipment and Instruments*, Other Commercial Products</t>
  </si>
  <si>
    <t>Manufacturer of technology instruments intended to move nondestructive techniques towards defect and damage measurement. The company's instruments measure a wide spectrum of defect sizes on all types of material samples, enabling clients to detect the absence of one single atom among a million atoms.</t>
  </si>
  <si>
    <t>Bpifrance, Ile de France Investissements, Programme des Investissements d'Avenir, Supernova Invest</t>
  </si>
  <si>
    <t>atom computing, fundamental research, industrial production, industrial tools, spectrometry product, surface analysis</t>
  </si>
  <si>
    <t>Sceaux, France</t>
  </si>
  <si>
    <t>244762-12T</t>
  </si>
  <si>
    <t>FASST</t>
  </si>
  <si>
    <t>Developer of insurance technology software designed for the digital acceleration of insurers, mutuals and brokers. The company's platform offers integration and management of product range, facilitating the distribution of insurance products and integration, thereby enabling its clients to improve their commercial performance, their time to market, reduce their regulatory maintenance costs and smoothly manage subscription journeys.</t>
  </si>
  <si>
    <t>Digital Insure, Malakoff Humanis</t>
  </si>
  <si>
    <t>digital acceleration, insurance assistance, insurance distribution services, insurance product, insurance software, insurance software developer, insurance technology platform, insurtech software</t>
  </si>
  <si>
    <t>180472-60T</t>
  </si>
  <si>
    <t>Les Mini Mondes</t>
  </si>
  <si>
    <t>Educational and Training Services (B2C), Recreational Goods*</t>
  </si>
  <si>
    <t>Provider of toys and magazine subscriptions intended to offer an entertainment option for children while learning. The company provides playful toys made up of recycled plastic, awakening education content and learning magazines and books, enabling children to learn new things through the way of entertainment.</t>
  </si>
  <si>
    <t>Bpifrance, Eutopia</t>
  </si>
  <si>
    <t>animation work, educational toys, french manufacturing, games subscription service, magazine subscription, toy shop</t>
  </si>
  <si>
    <t>180453-70T</t>
  </si>
  <si>
    <t>Mirakl</t>
  </si>
  <si>
    <t>Developer of a marketplace platform designed to plug directly into an e-commerce tech ecosystem. The company's platform focuses on identifying and onboarding new sellers and its flexible APIs integrate with e-commerce website properties, enabling organizations to manage product offering quality and facilitate improved productivity, agility, and business growth.</t>
  </si>
  <si>
    <t>83North(Laurel Bowden), Bain Capital Ventures(Scott Friend), Brkfst Club, Elaia Partners(Samantha Jérusalmy), Felix Capital, L Capital, Motier Ventures, Permira(Alexandre Margoline), Silver Lake(Christian Lucas)</t>
  </si>
  <si>
    <t>agile platform, application program interface, cloud-based service, ecommerce personalization, marketplace service, marketplace tools, marketplace website</t>
  </si>
  <si>
    <t>186360-76T</t>
  </si>
  <si>
    <t>Creads</t>
  </si>
  <si>
    <t>Operator of an online content creation platform intended to offer clients graphic design and other creative services. The company's platform provides an advertising portal connecting users to graphic designers and creative talents to produce graphic, digital, video, or editorial content, enabling clients to drive their business growth.</t>
  </si>
  <si>
    <t>Les Entrepreneurs Réunis(Cedric Gourbault), Pleiade Venture</t>
  </si>
  <si>
    <t>content creation platform, content creation software, graphic design company, graphic designer firm, online content agency, online content creator</t>
  </si>
  <si>
    <t>182695-06T</t>
  </si>
  <si>
    <t>Kreos Capital(Aris Constantinides)</t>
  </si>
  <si>
    <t>180380-89T</t>
  </si>
  <si>
    <t>Saqara</t>
  </si>
  <si>
    <t>Developer of a construction consultation software designed to automate calls for tenders in the building sector. The company's software facilitates controlling the budget of the real estate programs and managing tenders online, enabling construction companies to improve the daily lives of construction workers.</t>
  </si>
  <si>
    <t>ActivumSG(Natalie Somekh), Altur Investissement, Caisse des Depots Group, Concrete VC, IRD Invest, Leigh Jasper(Leigh Jasper), noa (London), Saniel Ventures</t>
  </si>
  <si>
    <t>construction software, data analyser, real estate program, tender management, tender platform, tender process</t>
  </si>
  <si>
    <t>176389-75T</t>
  </si>
  <si>
    <t>10X Capital, 20VC, Accel, Acrew Capital, AirAngels, Aldea Ventures, Antoine Griezmann(Antoine Griezmann), Archimedia, Athletico Ventures, Atomico, Benchmark Capital Holdings, Bessemer Venture Partners, blisce/, Bouaziz and Partners, César Azpilicueta(César Azpilicueta), D1 Capital Partners, Eurazeo (PAR: RF), Felix Capital, Foreword, Futury Capital, Gerard Piqué(Gerard Piqué), Go4it Capital Partners, H14, Hard Yaka, Headline, Highfield Capital, IVP, Kibo Ventures, Liberty Global Ventures Group, LionTree, Mango.vc, NBA Equity, Partech, Possible Ventures, Presight Capital, Rio Ferdinand(Rio Ferdinand), Sarona Ventures, Serena Willliams(Serena Willliams), Sfermion, SoftBank Investment Advisers, SoftBank Latin America Fund, Ventioneers, YADAY, zwei.7 Holding</t>
  </si>
  <si>
    <t>181058-86T</t>
  </si>
  <si>
    <t>Stimio</t>
  </si>
  <si>
    <t>Business/Productivity Software*, Media and Information Services (B2B), Rail</t>
  </si>
  <si>
    <t>Developer of IoT-based technology designed to serve the railway sector, infrastructure, and industrial assets. The company offers remote monitoring and predictive maintenance, battery voltage monitoring, and surveillance of rail temperature for rolling stock, enabling clients to predict failures, analyze abnormal behavior, and give insights to understand root causes and solve the issues.</t>
  </si>
  <si>
    <t>574 Invest(Julien Nicolas), Crédit Mutuel Innovation(Maxence Valero)</t>
  </si>
  <si>
    <t>assets tracker, data analysis, flood detection system, iot hardware, remote monitoring equipment, sensor platform, sensor technology, sensors &amp; sensor system, sensors and sensor system</t>
  </si>
  <si>
    <t>Advanced Manufacturing, Internet of Things, Manufacturing, Mobility Tech</t>
  </si>
  <si>
    <t>180696-52T</t>
  </si>
  <si>
    <t>Hera (Business/Productivity Software)</t>
  </si>
  <si>
    <t>Developer of personal assistance software designed to manage inboxes as the operating system for meetings. The company helps users schedule, prepare, join, run, export, or archive from one single place, its features allow users to instantly join the meetings in one keystroke, automatically apply templates to meetings, mark highlights, and next actions in the meeting, helping users automate their meetings.</t>
  </si>
  <si>
    <t>Alexis Bonillo(Alexis Bonillo), Calvin French-Owen(Calvin French-Owen), Eurazeo (PAR: RF), John Gabaix(John Gabaix), Karthik Puvvada(Karthik Puvvada), Kima Ventures, Kyle Parrish(Kyle Parrish), Super Capital, Thibaud Elziere(Thibaud Elziere)</t>
  </si>
  <si>
    <t>management tool, meeting management, meeting manager, meeting software, personal assistance software, schedule meetings, scheduling software</t>
  </si>
  <si>
    <t>251204-23T</t>
  </si>
  <si>
    <t>Algogems</t>
  </si>
  <si>
    <t>Developer of a DAO-curated and moderated NFT marketplace intended to offer a good NFT experience and NFT minting. The company offers public and custodial NFTs, minting, buying, and selling at competitive platform fees, multiple profile customization options, and a minting suite, enabling users to bid, sell, auction, and purchase NFTs using their technology.</t>
  </si>
  <si>
    <t>crypto finance, crypto gateway, foreign payment, nft marketplace, nft trading, token coins, token mint</t>
  </si>
  <si>
    <t>180196-48T</t>
  </si>
  <si>
    <t>Andera Partners(Raphael Wisniewski), ATEM Capital, Bpifrance, Crédit Agricole Création, EQT Life Sciences(Felice Weegen), Eurazeo (PAR: RF), Kurma Partners(Thierry Laugel), Mass General Brigham Ventures, Novo Holdings(Naveed Siddiqi), OrbiMed(Roy Amariglio), Pontifax Venture Capital(Iyona Rajkomar), Sectoral Asset Management(Stefan Larson), Sham Innovation Santé, Turenne Groupe, UI Investissement</t>
  </si>
  <si>
    <t>183088-09T</t>
  </si>
  <si>
    <t>By Charlot</t>
  </si>
  <si>
    <t>Home Furnishings*, Specialty Retail</t>
  </si>
  <si>
    <t>Operator of an online plant-selling platform intended to provide designer brands of flowers with customizable flowers and hand-crafted pots. The company's platform offers personalised decorative plants, colour-changing handcrafted pots, perfume candles made with French vegetable wax, and attractive planting accessories to their customers, enabling customers to transform their house interior into an extraordinary landscape.</t>
  </si>
  <si>
    <t>Eutopia(Camille Kriebitzsch)</t>
  </si>
  <si>
    <t>customizable flowers, decorative objects, decorative plants, gifting items, handcrafted pots, indoor plants seller, perfume candles, plant accessories, plant gifting, plant selling platform</t>
  </si>
  <si>
    <t>Bezons, France</t>
  </si>
  <si>
    <t>118099-81T</t>
  </si>
  <si>
    <t>ReachFive</t>
  </si>
  <si>
    <t>Developer of a customer identity management platform designed to collect first-party data, build unified customer profiles, and facilitate personalized marketing. The company's platform helps businesses to enrich, unify, and manage customer identities as well as permits consumers to connect simply and securely to the sites of the different brands they visit, enabling businesses to build interactive relationships with their customers and offer personalized experiences.</t>
  </si>
  <si>
    <t>CapHorn Invest(Alexandre Pelletier), Dawn Capital(Evgenia Plotnikova), Mulliez Family Association, The Field(Erwan Punelle), Ventech (Paris)(Jean Bourcereau)</t>
  </si>
  <si>
    <t>access management tool, customer engagement, customer management, customer network, digital identity, identity management, social media engagement</t>
  </si>
  <si>
    <t>180099-55T</t>
  </si>
  <si>
    <t>Aidaxis</t>
  </si>
  <si>
    <t>Business/Productivity Software*, Education and Training Services (B2B), Educational Software</t>
  </si>
  <si>
    <t>Developer of a digital adoption software designed to increase the effectiveness of digital transformation, user learning, and user support. The company's software focuses on helping users who need training or who make mistakes to be guided step by step in real-time while also collecting usage data by analyzing the difficulties encountered, enabling individuals to receive targeted and adapted training and reduce the learning and training time.</t>
  </si>
  <si>
    <t>Bpifrance, Kreaxi, UI Investissement</t>
  </si>
  <si>
    <t>digital adoption platform, digital adoption software, digital transformation, digital transformation tools, software training, technical support, training software, user support</t>
  </si>
  <si>
    <t>Arnas, France</t>
  </si>
  <si>
    <t>180117-82T</t>
  </si>
  <si>
    <t>Celeste Management, Habert Dassault Finance, IRDI Capital Investissement, Kima Ventures, M Capital Partners, YADAY(Romain Afflelou)</t>
  </si>
  <si>
    <t>189702-28T</t>
  </si>
  <si>
    <t>Finacca</t>
  </si>
  <si>
    <t>Provider of data engineering and customer risk management services intended to optimize their client capital and strengthen control of associated risks. The company offers expertise in databases, civil investigation, research of beneficiaries of dormant contracts and real estate appraisal and expertise, customer capital, and strengthened control of associated risks, providing clients with financial services such as banking and insurance, and legal professions.</t>
  </si>
  <si>
    <t>NextStage AM(Jonathan Boudin)</t>
  </si>
  <si>
    <t>banking and insurance, banking services, civil investigation services, data engineering, financial risk, financial services, information service, insurance services</t>
  </si>
  <si>
    <t>180322-57T</t>
  </si>
  <si>
    <t>Foodles</t>
  </si>
  <si>
    <t>Provider of catering services intended to help employees to eat healthy food from the traditional company canteen. The company's services include connected refrigerators that are directly implemented in the restoration space and refilled every day, pre-order service in the morning, and delivery service of food at the workplace, enabling employees to get ready-made food at affordable prices.</t>
  </si>
  <si>
    <t>Adelie, Bpifrance(Yassine Soual), Creadev(Alexandre Neuveglise), DN Capital, InfraVia Capital Partners(Guillaume Santamaria)</t>
  </si>
  <si>
    <t>catering service, catering service business, catering service company, catering service provider, catering services, connected buildings, connected commercial real estate, corporate catering, delivery service, last mile delivery</t>
  </si>
  <si>
    <t>FoodTech, Industrials, Supply Chain Tech</t>
  </si>
  <si>
    <t>180273-07T</t>
  </si>
  <si>
    <t>Octopize</t>
  </si>
  <si>
    <t>Synthetic Data</t>
  </si>
  <si>
    <t>Developer of a data analytics software designed for anonymization and visualization of data. The company's software solves the problem of reproducibility of results and data security for automating and optimizing workflows to streamline operations, enabling businesses to anonymize the data while preserving the quality and structure of the original information.</t>
  </si>
  <si>
    <t>Atlantique Vendée Innovation, Bpifrance, Crédit Agricole Atlantique Vendée, Pays de La Loire Development, Pays de la Loire Participations, Sodero</t>
  </si>
  <si>
    <t>ai automation platform, analysis firm, analytics platform, data analytics company, data management software, enterprise efficiency, synthetic data, visualization software</t>
  </si>
  <si>
    <t>186085-36T</t>
  </si>
  <si>
    <t>Sericyne</t>
  </si>
  <si>
    <t>Accessories, Animal Textiles*, Clothing</t>
  </si>
  <si>
    <t>Manufacture of three-dimensional printed silk intended to be used for luxury brands in fashion. The company's silk is produced through a patented technology that makes silkworms spin shapes onto molds, resulting in glistening, non-woven material with high resistance, enabling clients to get natural three- D silk with applications in interior design, watchmaking, cosmetics, and luxury packaging.</t>
  </si>
  <si>
    <t>F6S Network, Kima Ventures</t>
  </si>
  <si>
    <t>3d priniting, luxury designer, silk fabrics, silk printing, silk yarn, textile industry</t>
  </si>
  <si>
    <t>Bagard, France</t>
  </si>
  <si>
    <t>180160-84T</t>
  </si>
  <si>
    <t>Aglaé Ventures, Partech(Mark Menell), XAnge</t>
  </si>
  <si>
    <t>137979-55T</t>
  </si>
  <si>
    <t>Flexio (Business/Productivity Software)</t>
  </si>
  <si>
    <t>Developer of a business development platform designed to help businesses in their digital transformation process. The company's platform allows businesses to connect existing software, data and teams without any knowledge and also provides a digital toolbox for teams to build their own business applications, enabling clients to integrate and automate their entire businesses in record time, by creating forms, reports and automatic alerts.</t>
  </si>
  <si>
    <t>Latitud, Siparex Group</t>
  </si>
  <si>
    <t>business application developer, business development platform, business development software, digital technology company, digital technology platform, digital transformation software</t>
  </si>
  <si>
    <t>180102-16T</t>
  </si>
  <si>
    <t>Wefight</t>
  </si>
  <si>
    <t>Application Software, Other Healthcare Services, Other Healthcare Technology Systems*</t>
  </si>
  <si>
    <t>Developer of a virtual medical assistance platform designed to improve personalized patient care. The company's platform provides therapeutic adherence to patients by sending smart pill reminders, monitors side effects between two visits and allows patients to share their data with their doctor, and has developed an AI-powered virtual companion supporting patients through their healthcare pathway, enabling doctors to follow up with patients and better understand how the patient lives his illness in everyday life.</t>
  </si>
  <si>
    <t>Angels Santé, Digital Health Ventures, Impact Partners (Paris), Investir, Investir &amp;+</t>
  </si>
  <si>
    <t>care management technology, digital care management, email and authoring, kms, knowledge management system, medical advice, medical assistance platform, medical care application, medical consulting, medical software, medical tracking, personalized patient engagement, personalized patient engagement platform, personalized support</t>
  </si>
  <si>
    <t>179945-65T</t>
  </si>
  <si>
    <t>177625-90T</t>
  </si>
  <si>
    <t>Shanghai Hao Hai Healthcare (HKG: 06826)</t>
  </si>
  <si>
    <t>194731-48T</t>
  </si>
  <si>
    <t>GamaMabs Pharma</t>
  </si>
  <si>
    <t>Developer of optimized therapeutic antibodies designed for the treatment of cancer. The company's monoclonal antibodies have increased tumor cell-killing properties which target anti-mullerian human receptors in ovarian cancer, thereby enabling physicians to treat unaddressed specific targets in gynecological cancers.</t>
  </si>
  <si>
    <t>Edmond de Rothschild Private Equity, FCP Innovacion SP</t>
  </si>
  <si>
    <t>against cancer, antibody, biologics, fight cancer, immune system cell, immuno-oncology company, oncology care, treating cancer</t>
  </si>
  <si>
    <t>179613-55T</t>
  </si>
  <si>
    <t>Hublo</t>
  </si>
  <si>
    <t>Business/Productivity Software, Human Capital Services*, Other Healthcare Services, Other Healthcare Technology Systems</t>
  </si>
  <si>
    <t>Developer of a digital tool intended to improve the daily life of healthcare professionals. The company's tool specializes in distributing replacement assignments in a few clicks to competent and available replacements, sends alerts, and lets you follow all of the replacements in real-time, enabling healthcare professionals to focus on their main mission, care.</t>
  </si>
  <si>
    <t>Acton Capital, Clément Cazalot(Clément Cazalot), Jean-Baptiste Theard(Jean-Baptiste Theard), Revaia, Région Sud Investissement</t>
  </si>
  <si>
    <t>email and authoring, healthcare agent, healthcare facility, healthcare professionals support, knowledge management system, staff management, staff management system, talent acquisition process</t>
  </si>
  <si>
    <t>HealthTech, HR Tech, SaaS</t>
  </si>
  <si>
    <t>179972-56T</t>
  </si>
  <si>
    <t>Bpifrance(Jason Bigeard), Mer Invest(Philippe Renaudin), Ocean Zero (New York)(Stephen Petranek)</t>
  </si>
  <si>
    <t>179968-51T</t>
  </si>
  <si>
    <t>Paradiso Media</t>
  </si>
  <si>
    <t>Information Services (B2C), Movies, Music and Entertainment*</t>
  </si>
  <si>
    <t>Operator of a podcast production studio intended to produce captivating stories that examine the world, its norms, values, and narratives. The company's production house specializes in producing fiction, documentaries, and kids' podcasts along with developing films and television adaptations of stories, enabling listeners to take a break from their daily routines and computer screens while being entertained and inspired by creative storytelling.</t>
  </si>
  <si>
    <t>Alliance Entreprendre(Antoine Bodet), Bpifrance(Clemence Rousselet), SWEN Capital Partners</t>
  </si>
  <si>
    <t>graphic designer, media agency, media production, podcast creator, production studio, tools market</t>
  </si>
  <si>
    <t>181459-54T</t>
  </si>
  <si>
    <t>Place des Oliviers</t>
  </si>
  <si>
    <t>Hotels and Resorts, Leisure Facilities, Restaurants and Bars*</t>
  </si>
  <si>
    <t>Operator of the restaurant chain firm intended to provide a generous, quality cuisine produced on-site. The company offers an authentic and modern place consisting of a catering area with southern dishes, a lounge area to enjoy tapas and appetizer boards, and also a bowling alley to practice pétanque, the ultimate summer sport for their ultimate customers, allowing customers to spend a moment of relaxation with their colleagues, friends or family.</t>
  </si>
  <si>
    <t>Bpifrance, Nord Capital Partenaires(Vincent Chadenat), Turenne Groupe</t>
  </si>
  <si>
    <t>brewery site, hotel group, lounge bar, quality cuisine, restaurant chain firm, seminars venue</t>
  </si>
  <si>
    <t>LOHAS &amp; Wellness, Restaurant Technology</t>
  </si>
  <si>
    <t>179925-22T</t>
  </si>
  <si>
    <t>Bpifrance(Laurent Higueret), Bristol-Myers Squibb (NYS: BMY), Leonard Green &amp; Partners(Peter Zippelius), XAnge(Guilhem De Vregille)</t>
  </si>
  <si>
    <t>136146-34T</t>
  </si>
  <si>
    <t>WeMoms</t>
  </si>
  <si>
    <t>Developer of a social network software designed to connect young people and mothers with other expecting mothers. The company's software assists expecting mothers with parenting guides whose ground rules have been derived from the practical experiences of women who have delivered babies in the past, enabling women to understand parenthood without learning the bookish language.</t>
  </si>
  <si>
    <t>Courtin Investment, French Partners</t>
  </si>
  <si>
    <t>application software, online community, parenting guide, parenting software, pregnancy advice, pregnancy support</t>
  </si>
  <si>
    <t>FemTech, Mobile, TMT</t>
  </si>
  <si>
    <t>193263-67T</t>
  </si>
  <si>
    <t>Revolt Games</t>
  </si>
  <si>
    <t>Developer of a location-based mobile game platform designed to offer social games on top of real-world geography. The company develops mobile reality games in which anyone can buy and sell real-world buildings, enabling players to earn in-game money based on the passage of other players and real-world events.</t>
  </si>
  <si>
    <t>Bpifrance, Founders, Inc, Level-Up</t>
  </si>
  <si>
    <t>game board, game developer, gaming content, gaming platform, mobile game, mobile gameplay, mobile games maker, reality games, social games</t>
  </si>
  <si>
    <t>179811-73T</t>
  </si>
  <si>
    <t>Wyca</t>
  </si>
  <si>
    <t>Autonomous Trucking</t>
  </si>
  <si>
    <t>Developer and manufacturer of an indoor autonomous vehicle designed to meet mobility and automation needs in a multiplicity of sectors. The company's vehicles are designed to circulate and work with human operators to facilitate their work while ensuring their safety and automatically adapt to the traffic conditions of a store, warehouse, or covered drive, enabling clients to get a compact and agile designed mobile robot to circulate without constraint in stores and reserves.</t>
  </si>
  <si>
    <t>Alexandre Ichaï(Alexandre Ichaï), Banque Populaire Occitane, Bpifrance, M Capital Partners(Alexandre Scherer)</t>
  </si>
  <si>
    <t>autonomous driving, autonomous truck &amp; middle mile, autonomous truck and middle mile, freight technology, indoor robotics, mobile robots platform, mobile robots technology, robotic platform developer, robotic technology platform, robots systems</t>
  </si>
  <si>
    <t>186907-06T</t>
  </si>
  <si>
    <t>Chamberlan Paris</t>
  </si>
  <si>
    <t>Designer of couture women's shoes intended to provide ideal-fit shoes without an in-person consultation. The company's application utilizes three-dimensional scanning technology to capture detailed measurements and features a variety of customizable colors and styles, enabling fashion-conscious women to purchase custom artisan-made shoes at affordable prices from anywhere in the world.</t>
  </si>
  <si>
    <t>AQUITI Gestion, Nouvelle Aquitaine Co-Investissement</t>
  </si>
  <si>
    <t>artisan goods, custom footwear, customized product, footwear collection, leather footwear, womens footwear</t>
  </si>
  <si>
    <t>186086-26T</t>
  </si>
  <si>
    <t>Sublimed</t>
  </si>
  <si>
    <t>Developer of a medical device designed to treat chronic pain. The company's device is a transcutaneous electrical neurostimulator that stimulates all areas of the body and facilitates automatic recording and detailed history stimulation sessions, enabling patients to improve their lives and get rid of severe chronic pain.</t>
  </si>
  <si>
    <t>chronic pain devices, chronic pain management service, chronic pain treatment, pain relief, pain relief system, portable therapy</t>
  </si>
  <si>
    <t>179811-28T</t>
  </si>
  <si>
    <t>Acticor Biotech</t>
  </si>
  <si>
    <t>Acticor Biotech SA is a clinical stage biopharmaceutical company. It is developing a treatment for cardiovascular emergencies, with a primary focus on Acute Ischemic Stroke.</t>
  </si>
  <si>
    <t>antibody, antithrombotic drugs, biologics, mechanical thrombectomy, monoclonal antibody, pharmaceutical, stroke cure, thrombosis</t>
  </si>
  <si>
    <t>179705-89T</t>
  </si>
  <si>
    <t>Ada Tech School</t>
  </si>
  <si>
    <t>Operator of a feminist programming school intended to facilitate access to coding. The company offers a work-study program guided by an educational method, learning coding scripts such as Python and JavaScript in a gaming manner while giving points, enabling students to achieve the progression from programming initiation to programming learning.</t>
  </si>
  <si>
    <t>BPI(VC), Catherine Chiaramonti(Catherine Chiaramonti), Celine Lazorthes(Celine Lazorthes), Francis Nappez(Francis Nappez), Kernel Investissements</t>
  </si>
  <si>
    <t>coding edtech, coding education, edtech school, inclusion platform, it development, programming skills</t>
  </si>
  <si>
    <t>179678-71T</t>
  </si>
  <si>
    <t>Javelot</t>
  </si>
  <si>
    <t>Developer of thermometric technology devices designed to monitor the farm storage remotely. The company's device includes sensors that automatically measure grain temperature and outdoor weather for remote management through decision-aid applications, enabling farmers to preserve grain quality, reduce storage accidents and save time throughout the automated process.</t>
  </si>
  <si>
    <t>Akitua, Sparkling Partners, Unilis Agtech</t>
  </si>
  <si>
    <t>agricultural storage services, agriculture technology software, grain sensors, thermometry devices, thermometry instruments, thermometry system</t>
  </si>
  <si>
    <t>AgTech, Big Data, Internet of Things</t>
  </si>
  <si>
    <t>179599-69T</t>
  </si>
  <si>
    <t>Koovea</t>
  </si>
  <si>
    <t>Developer of temperature sensors and monitoring systems designed to provide real-time temperature readings through wireless technology. The company's temperature recorders are suitable for all types of refrigerated storage and transport and provide a customizable interface, multi-operator network integration, and more, helping clients maintain the viability of their most sensitive products from their manufacture to their use.</t>
  </si>
  <si>
    <t>Bpifrance, IRDI Capital Investissement, Sofilaro</t>
  </si>
  <si>
    <t>automated monitoring, control monitoring, iot hardware, sensitive product, sensors &amp; sensor system, sensors and sensor system, temperature monitoring, temperature readings, temperature readings product, temperature sensor</t>
  </si>
  <si>
    <t>Internet of Things, Manufacturing, TMT</t>
  </si>
  <si>
    <t>179496-19T</t>
  </si>
  <si>
    <t>Aglaé Ventures(Antoine Loison), BlackFin Capital Partners(Julien Creuze), Key Ventures, Partech(Jean-Marc Patouillaud), RAISE Group(François Collet)</t>
  </si>
  <si>
    <t>179466-04T</t>
  </si>
  <si>
    <t>Botify</t>
  </si>
  <si>
    <t>Developer of an enterprise software platform designed to automatically connect search engines and websites. The company's platform built the interface and methodology that connects complex sites with all the major search engines to drive traffic and revenue from organic search, helping brands turn organic search into an efficient, measurable, and sustainable channel for both traffic and revenue growth.</t>
  </si>
  <si>
    <t>Bpifrance(Antoine Izsak), Eurazeo (PAR: RF)(Chloé Giard), InfraVia Capital Partners, Ventech (Paris)(Claire Houry)</t>
  </si>
  <si>
    <t>analytics platform, crm, customer relationship management, machine learning algorithms, natural language technology, organic search engine, search engine optimization, seo crawler, seo management, seo management platform, unstructured data analytics, website management</t>
  </si>
  <si>
    <t>177627-61T</t>
  </si>
  <si>
    <t>Cajoo</t>
  </si>
  <si>
    <t>Internet Retail, Specialty Retail*</t>
  </si>
  <si>
    <t>Operator of an e-commerce grocery delivery platform designed to provide reliable and speedy delivery of groceries. The company's platform allows placing orders for household groceries such as pasta, shampoo, candies, wine, beer and snacks and gives receipt of goods within a short period, enabling users to find groceries from local stores delivered to their doorstep in just a click of a button.</t>
  </si>
  <si>
    <t>Carrefour (Department Stores) (PAR: CA)(Elodie Perthuisot), Frst Capital, Headline, XAnge</t>
  </si>
  <si>
    <t>food ecommerce, grocery delivery, grocery delivery platform, last mile delivery, online grocer, online grocery, online grocery delivery, online grocery platform, online grocery shopping app, ultrafast delivery</t>
  </si>
  <si>
    <t>E-Commerce, FoodTech, TMT</t>
  </si>
  <si>
    <t>179416-63T</t>
  </si>
  <si>
    <t>InUse (Business/Productivity Software)</t>
  </si>
  <si>
    <t>Developer of an Industrial Internet of Things (IIoT) platform designed to assist with the implementation of digital service. The company's platform helps to provide real-time measurement of industrial performance, develop relevant assistants, and identify and rank machine defaults and stoppages, key indicators, and dashboards, enabling companies to improve the performance of production sites.</t>
  </si>
  <si>
    <t>Argo Graphics (TKS: 7595)(Yoshimaro Fujisawa), Axeleo Capital, Eric Cohen(Eric Cohen), Hi Inov, Technia</t>
  </si>
  <si>
    <t>artificial intelligence, data science platform, digital services, industrial iot, iot platform, machine data, machine integration</t>
  </si>
  <si>
    <t>Advanced Manufacturing, Artificial Intelligence &amp; Machine Learning, Internet of Things, SaaS, TMT</t>
  </si>
  <si>
    <t>180854-29T</t>
  </si>
  <si>
    <t>Ombrea</t>
  </si>
  <si>
    <t>Alternative Energy Equipment*, Business/Productivity Software, Environmental Services (B2B)</t>
  </si>
  <si>
    <t>Developer of a crop management and protection tool designed to protect crops against climate change. The company's tool is an automated intelligent shade system when installed above a field, creates a microclimate that precisely meets the needs of plants and adapts to each culture using artificial intelligence, enabling farmers to protect their produce from the effects of climate change and ensuring their development to maintain production yields.</t>
  </si>
  <si>
    <t>CMA CGM, Mirova, Région Sud Investissement</t>
  </si>
  <si>
    <t>climate change control, crop protection, crop protection products, plant development, precision ag, precision agriculture, solar energy, sustainable development</t>
  </si>
  <si>
    <t>AgTech, Artificial Intelligence &amp; Machine Learning, CleanTech, LOHAS &amp; Wellness</t>
  </si>
  <si>
    <t>166272-67T</t>
  </si>
  <si>
    <t>Investisseurs privés, Kharis Capital(Daniel Grossmann), Oscar Salazar(Oscar Salazar)</t>
  </si>
  <si>
    <t>186143-77T</t>
  </si>
  <si>
    <t>AXA Investment Managers(Marco Morelli), BNP Paribas Asset Management(Robert-Alexandre Poujade), Mirova(Sarah Maillard), Natixis(Timo Paul), Solactive(Steffen Scheuble)</t>
  </si>
  <si>
    <t>215719-48T</t>
  </si>
  <si>
    <t>179897-05T</t>
  </si>
  <si>
    <t>La Comitiva</t>
  </si>
  <si>
    <t>Operator of an Italian restaurant intended to provide homemade Italian dishes to suit all the needs of their customers. The company specializes in making famous Italian street dishes with all hygiene and freshness of veggies, providing a better option to their customers to taste fresh, colorful, and nourishing Italian dishes.</t>
  </si>
  <si>
    <t>eating place, food corner, food services, italian dishes, italian food maker, italian food restaurant, restaurant owner, restaurant website</t>
  </si>
  <si>
    <t>179565-40T</t>
  </si>
  <si>
    <t>SOMM'IT</t>
  </si>
  <si>
    <t>Developer of a digital sommelier platform intended to make the skills of a sommelier accessible to all restaurateurs. The company's platform works as a digital assistant which allows restaurants to create personalized wine lists and sell the wines at the right markup price and facilitates easy management of beverage inventory and ordering, enabling restaurants to streamline their service and improve the customer experience.</t>
  </si>
  <si>
    <t>7 de table, High Flyers Capital, Sud Ouest</t>
  </si>
  <si>
    <t>beverage management platform, beverage management software, digital assistant, inventory management, inventory ordering, wine cellar management</t>
  </si>
  <si>
    <t>Restaurant Technology, TMT</t>
  </si>
  <si>
    <t>180693-73T</t>
  </si>
  <si>
    <t>Thegreendata</t>
  </si>
  <si>
    <t>Developer of a data analytics platform intended to specialize in digital transformation and data science for the agricultural world. The company's platform collects, secures, audit, and integrate external data, and develop flows and applications to optimize productivity, enabling customers to experience intelligent exploitation of data.</t>
  </si>
  <si>
    <t>EIT Food, Karista (Paris), Trail Solutions Patrimoine</t>
  </si>
  <si>
    <t>agriculture expertise, agriculture software tools, agriculture solutions, agro based software tools, data analytics software, decision support system, farm management software, precision ag, precision agriculture</t>
  </si>
  <si>
    <t>180024-31T</t>
  </si>
  <si>
    <t>Welmo</t>
  </si>
  <si>
    <t>Information Services (B2C), Real Estate Services (B2C)*, Social/Platform Software</t>
  </si>
  <si>
    <t>Operator of an online real estate agency intended to assist clients and support them in the sale of their property. The company's agency offers advice to the owners and sellers of the property by providing transparent and high-end services to sell the property at an adequate price, enabling clients to avail themselves of expert services and required deals.</t>
  </si>
  <si>
    <t>estate transaction, home staging, matching algorithm, online real estate, property asset, selling property</t>
  </si>
  <si>
    <t>181990-27T</t>
  </si>
  <si>
    <t>Batch (Business/Productivity Software)</t>
  </si>
  <si>
    <t>Operator of a customer engagement platform intended to help marketers execute CRM tactics over various operating systems and mobile websites. The company's platform features the ability to personalize campaigns with images, videos, and gifs, increase communication with customers, and offer real-time data, enabling businesses to know about the customers who are visiting the pages, track their location, and analyze how often they're visiting the page.</t>
  </si>
  <si>
    <t>Expedition Growth Capital(Oliver Thomas), Orange Ventures(Maël Rohrig)</t>
  </si>
  <si>
    <t>crm software, customer engagement, customer engagement platform, engagement platform, marketing suites, push notifications service, push notifications software</t>
  </si>
  <si>
    <t>248058-73T</t>
  </si>
  <si>
    <t>Anterra Capital, Eight Roads</t>
  </si>
  <si>
    <t>179400-16T</t>
  </si>
  <si>
    <t>Aglaé Ventures(Léa Verdillon), Daphni(Pierre-Yves Meerschman), Financière Saint James</t>
  </si>
  <si>
    <t>179436-97T</t>
  </si>
  <si>
    <t>Cameleon Invest, Clemens Tepel(Clemens Tepel), David Meyer(David Meyer), Giorgio Anania(Giorgio Anania), IT-Farm, Johannes Froehling(Johannes Froehling), Matthias Tepel(Matthias Tepel), Olivier Vaury(Olivier Vaury), Polytechnique Ventures, Stanislas Simon-Beaulieu(Stanislas Simon-Beaulieu), VSquared Ventures(Lise Rechsteiner)</t>
  </si>
  <si>
    <t>180712-00T</t>
  </si>
  <si>
    <t>179216-38T</t>
  </si>
  <si>
    <t>Cathay Capital Private Equity, Cathay Health(Hongjie Hu), EXOR Seeds, Sofinnova Partners(Antoine Papiernik)</t>
  </si>
  <si>
    <t>179432-56T</t>
  </si>
  <si>
    <t>Alven Capital Partners, ff Venture Capital, Serena (Paris)</t>
  </si>
  <si>
    <t>189432-55T</t>
  </si>
  <si>
    <t>CareGame</t>
  </si>
  <si>
    <t>Developer of gaming software designed to facilitate downloading mobile games that is inclusive, transparent and responsible. The company's platform offers gaming that contributes and pays publishers while supporting causes that matter, enabling users to enjoy downloading their favorite games under one platform.</t>
  </si>
  <si>
    <t>cloud gaming, game developer tools, games downloading, gaming development, gaming software, mobile gaming, online gaming site, social gaming</t>
  </si>
  <si>
    <t>Cryptocurrency/Blockchain, Gaming, Mobile, SaaS</t>
  </si>
  <si>
    <t>183793-78T</t>
  </si>
  <si>
    <t>Kairos Fire</t>
  </si>
  <si>
    <t>Developer of a data management platform designed to match in-store visit data with advertising data. The company's platform collects and analyzes contextual in-store traffic data in the real world through the measurement of real-time traffic, enabling clients to acquire tools to measure and boost the performance of their advertising campaigns.</t>
  </si>
  <si>
    <t>4FOX Ventures(Matthieu Berger), Alven Capital Partners(François Meteyer), Cameleon Invest, Creadev(Julien Cuvelier), Plug and Play Tech Center</t>
  </si>
  <si>
    <t>beacons network, contextual data, data management platform, digital media measurement, media measurement, media optimization, retail ad campaign, retail media, traffic analysis platform</t>
  </si>
  <si>
    <t>181366-21T</t>
  </si>
  <si>
    <t>Galia Gestion, Sofilaro</t>
  </si>
  <si>
    <t>257205-34T</t>
  </si>
  <si>
    <t>Falkor, VOL-V</t>
  </si>
  <si>
    <t>177267-79T</t>
  </si>
  <si>
    <t>50 Partners, Edouard Mendy(Edouard Mendy), Jader Capital, Jedar Capital, Launch Africa Ventures, Mohamed Dibi(Mohamed Dibi), Onafriq, Orange Ventures(Habib Bamba), Saviu Ventures, Speedinvest(Enrique Martínez-Hausmann), Unpopular Ventures</t>
  </si>
  <si>
    <t>190897-39T</t>
  </si>
  <si>
    <t>Avekapeti</t>
  </si>
  <si>
    <t>Operator of an online food ordering platform intended to make meals with friends and family better with homemade dishes. The company's platform facilitates the ordering of homemade dishes made with fresh ingredients for quality meals and offers buffets for events, departure pots as well as meal trays, enabling customers to receive fresh homemade food for lunch or dinner anytime and anywhere.</t>
  </si>
  <si>
    <t>Elevation Capital Partners, Jeremy Schinazi(Jeremy Schinazi), Provence Business Angels</t>
  </si>
  <si>
    <t>delivery service, delivery service app, food delivery, food delivery app, food ecommerce, food ordering platform, homemade food ordering platform, online food ordering platform, seasonal products</t>
  </si>
  <si>
    <t>FoodTech, TMT</t>
  </si>
  <si>
    <t>Saint-Ouen-sur-Seine, France</t>
  </si>
  <si>
    <t>179878-87T</t>
  </si>
  <si>
    <t>Gallika</t>
  </si>
  <si>
    <t>Operator of a restaurant chain intended to offer Greek street food in France. The company's restaurant chain offers pita bread, Kalamata olives, olive oil, feta, kefalograviera, and yogurts that are fresh, seasonal, and cooked on-site along with bowls or salads, enabling customers to enjoy Greek food as per their desires, to eat in, take out or click and collect.</t>
  </si>
  <si>
    <t>FoodXpert, Inter Invest</t>
  </si>
  <si>
    <t>fast food chain, greek cuisine, greek cuisine food, street food, street food chain, street food seller</t>
  </si>
  <si>
    <t>190439-47T</t>
  </si>
  <si>
    <t>MyBeezBox</t>
  </si>
  <si>
    <t>Application Software, Business/Productivity Software*, Financial Software</t>
  </si>
  <si>
    <t>Developer of a toolbox designed to be integrated into the websites of restaurants and leisure tourism companies. The company offers the sale of vouchers and gift boxes, collecting shops, gifts, workshops, experiences and events, enabling clients to generate substantial additional income.</t>
  </si>
  <si>
    <t>Elevation Capital Partners, Super Capital</t>
  </si>
  <si>
    <t>ecommerce &amp; retail, gift card, gift voucher, leisure tourism company, online payment, online ticketing</t>
  </si>
  <si>
    <t>207073-90T</t>
  </si>
  <si>
    <t>Neoplants</t>
  </si>
  <si>
    <t>Developer a synthetic biology company designed to be used as a natural air purifier at homes. The company's products are plants and microorganisms designed to target specifically a group of indoor air pollutants that can't be efficiently captured by traditional air purifiers, enabling customers to breathe fresh air in their homes and lead a healthy life with a nature-based solution.</t>
  </si>
  <si>
    <t>Agoranov, Collaborative Fund, Entrepreneur First, Heartcore Capital, Niklas Zennström, True Ventures</t>
  </si>
  <si>
    <t>air purification, climate change, green technology, plant biology research, plant maker, synthetic biology</t>
  </si>
  <si>
    <t>E-Commerce, Life Sciences</t>
  </si>
  <si>
    <t>203833-54T</t>
  </si>
  <si>
    <t>Series A3</t>
  </si>
  <si>
    <t>Alpana Ventures(Pascal Widmer), FJ Labs</t>
  </si>
  <si>
    <t>192756-52T</t>
  </si>
  <si>
    <t>ff Venture Capital</t>
  </si>
  <si>
    <t>180408-34T</t>
  </si>
  <si>
    <t>Acequia Capital, AngelSquare, C4 Ventures(Pascal Cagni), Club Holnest, Elkstone, Financière Saint James, FJ Labs, Holnest, INSEAD Business Angels, Seed4Soft</t>
  </si>
  <si>
    <t>181617-49T</t>
  </si>
  <si>
    <t>Simundia</t>
  </si>
  <si>
    <t>Provider of a coaching platform intended to train professionals. The company's platform offers convenient, discreet, and affordable coaching classes on format and tools to raise awareness about different themes, enabling managers to develop their soft skills and deal with the problems that they may encounter.</t>
  </si>
  <si>
    <t>AXA Venture Partners(François Robinet), EduCapital(Marie-Christine Levet), FJ Labs, Tomcat Invest</t>
  </si>
  <si>
    <t>coaching services, enterprise resource planning, human resources, professional training, saas product, training platform, vocational training</t>
  </si>
  <si>
    <t>EdTech, HR Tech, SaaS</t>
  </si>
  <si>
    <t>177753-52T</t>
  </si>
  <si>
    <t>Boehringer Ingelheim Venture Fund(Johannes Zanzinger), Bpifrance(Chahra Louafi), GF Securities (SHE: 000776), InnoBiologics(Chahra Louafi), Inserm Transfert, Karista (Paris), Kinled Holding, Korea Investment Partners(Sangwoo Lee), Pontifax Venture Capital(Ohad Hammer), Pureos Bioventures(Dominik Escher), Quark Venture(Zafrira Avnur)</t>
  </si>
  <si>
    <t>190355-05T</t>
  </si>
  <si>
    <t>AdGen (Business/Productivity Software)</t>
  </si>
  <si>
    <t>Business/Productivity Software*, Media and Information Services (B2B), Multimedia and Design Software</t>
  </si>
  <si>
    <t>Developer of a marketing technology platform designed to create quality content. The company's client intelligence tools automate creative production and diffusion through different layouts and animations, enabling clients to convert and boost e-commerce sales.</t>
  </si>
  <si>
    <t>Shapr Ventures, Super Capital</t>
  </si>
  <si>
    <t>animation work, creative studio, layout tools, marketing services firm, marketing toolset, production design</t>
  </si>
  <si>
    <t>182986-48T</t>
  </si>
  <si>
    <t>Diskyver</t>
  </si>
  <si>
    <t>Developer of a SaaS cybersecurity software designed to protect against Voice over Internet Protocol (VoIP) threats. The company's software applies artificial intelligence and machine learning to defend, monitor, and manage telephone systems in real-time, enabling companies to respond to threats that are specific to IP telephony.</t>
  </si>
  <si>
    <t>cybersecurity platform, iot security, ip telephony security, ip telephony system, telecommunication security, voip security</t>
  </si>
  <si>
    <t>226949-68T</t>
  </si>
  <si>
    <t>Listo Paye</t>
  </si>
  <si>
    <t>Developer of an online payroll software designed to simplify the life of the employer and the employee by automating the payroll process. The company's software automates the administrative processes, collects necessary data for the establishment of the payroll, calculates pay based on applicable legal rates and variable pay items, and automatically integrates payroll entries into accounting, enabling clients to find all the history of their data and helps in improving customer retention.</t>
  </si>
  <si>
    <t>Inari Ventures, Portage, YADAY</t>
  </si>
  <si>
    <t>cfo stack, earned wage access, payroll management, payroll management platform, payroll management software, payroll management solutions, payroll software, payroll tools</t>
  </si>
  <si>
    <t>177102-37T</t>
  </si>
  <si>
    <t>VeraCash</t>
  </si>
  <si>
    <t>Operator of a non-banking financial company intended to offer a gold-backed account, money, and payment card. The company allows customers to protect their savings by investing in precious metals and also offers a payment card backed by an account in gold, silver, and physical diamonds which can be used as currency at any time, enabling customers with no bank account to facilitate exchanges free of charge.</t>
  </si>
  <si>
    <t>Haussmann Venture</t>
  </si>
  <si>
    <t>banking system, make payment, mobile app, money supply, money transfer, payment card</t>
  </si>
  <si>
    <t>Bordeaux Cedex, France</t>
  </si>
  <si>
    <t>178194-16T</t>
  </si>
  <si>
    <t>FanatiC Game</t>
  </si>
  <si>
    <t>Entertainment Software*, Social/Platform Software</t>
  </si>
  <si>
    <t>Operator of a gaming company intended to transform video gaming culture. The company creates web projects around video games and it has also created a social network that is dedicated to video game players and also offers a complete platform bringing together enthusiasts of video game culture, enabling players to compete with other players from all over the globe.</t>
  </si>
  <si>
    <t>gaming application platform, gaming application service, gaming application software, social gaming site, video games, web project</t>
  </si>
  <si>
    <t>210631-06T</t>
  </si>
  <si>
    <t>Global Smart Rescue</t>
  </si>
  <si>
    <t>Developer of a disaster management platform designed to provide all the services and innovative products needed for an optimized emergency disaster. The company's service is based on black boxes equipped with an advanced communication system capable of sending data to a satellite or a drone as soon as classic networks are not responding anymore due to all sorts of disasters, such as earthquakes, typhoons, enabling companies to anticipate disasters, optimize speed and crisis management to minimize losses.</t>
  </si>
  <si>
    <t>Airbus Group (PAR: AIR)</t>
  </si>
  <si>
    <t>crisis management, disaster management platform, disaster management services, disaster management solutions, emergency disaster response, emergency management, satellite communication</t>
  </si>
  <si>
    <t>178338-70T</t>
  </si>
  <si>
    <t>5M Ventures, Boundary Holding(Rajat Khare), HAX, SOSV</t>
  </si>
  <si>
    <t>178185-16T</t>
  </si>
  <si>
    <t>Refresh IT Solutions</t>
  </si>
  <si>
    <t>Developer of migration software designed to offer end-to-end deployment of the operating system and desktop applications. The company's platform features the ability to synchronize LDAP directories, migrate mail archives, orchestrate end-to-end tenant-to-tenant migration, and more, enabling companies and ESNs to bring tangible benefits by implementing digital transformation in the modern workplace.</t>
  </si>
  <si>
    <t>digital migration, information technology and consulting, migration platform, migration software, operating system migration, software deployment services</t>
  </si>
  <si>
    <t>178719-22T</t>
  </si>
  <si>
    <t>Syfadis</t>
  </si>
  <si>
    <t>Developer of an e-learning software intended to develop and assess talents for skill agility. The company's software assesses talents, delivers and analyzes training, and develops people skills and performance, enabling businesses to deliver digital learning services and manage their talents.</t>
  </si>
  <si>
    <t>digital learning system, e-learning app, learning management system, lms platform, skills management software, talent development</t>
  </si>
  <si>
    <t>192971-44T</t>
  </si>
  <si>
    <t>Teo (Healthcare Technology Systems)</t>
  </si>
  <si>
    <t>Provider of telemedicine services intended to support ophthalmologists in the opening and management of secondary practices in telemedicine. The company deploys support teams to assist the doctor's secondary office in terms of administration and logistics, also perform visual assessments of the patients and transmit their files to the ophthalmologist, which is reviewed by the doctor and the updated prescription is sent back to the patient via post, enabling ophthalmologist to refocus on core business, diagnosis and cultivate the skills of orthoptists as part of an optimal care path for the patient.</t>
  </si>
  <si>
    <t>Club Holnest, Creadev</t>
  </si>
  <si>
    <t>ophthalmologists practice, ophthalmology practice, ophthalmology practice management, telemedicine services, telemedicine services provider, telemedicine system</t>
  </si>
  <si>
    <t>HealthTech, TMT</t>
  </si>
  <si>
    <t>177998-32T</t>
  </si>
  <si>
    <t>Ubu</t>
  </si>
  <si>
    <t>Developer of application software designed to help businesses to carry out influencer marketing. The company's platform allows the management of social interaction and to easily sort, organize, and retrieve any interaction and helps to monitor performance on social, enabling businesses to turn casual conversations with the community into authentic relationships.</t>
  </si>
  <si>
    <t>Diaspora Ventures, JDH Capital</t>
  </si>
  <si>
    <t>brand marketing, influence marketing platform, influencer marketing, marketing application, marketing performance management, marketing tool online, social media marketing</t>
  </si>
  <si>
    <t>188814-97T</t>
  </si>
  <si>
    <t>Embipack</t>
  </si>
  <si>
    <t>Provider of industrial and commercial packaging waste treatment services intended to change industrial approaches, to the environment and control of natural resources. The company specializes in mechanical reuse and recycling for the manufacture of closed-loop packaging into a controlled and responsible reclamation cycle, helping firms limit the waste of resources and its environmental impact.</t>
  </si>
  <si>
    <t>Bpifrance(Alexis Mahieu)</t>
  </si>
  <si>
    <t>commercial waste, industrial packaging, material recycling, packaging manufacturer, recycling services, sustainable packaging, waste recycling service</t>
  </si>
  <si>
    <t>Sublaines, France</t>
  </si>
  <si>
    <t>181022-50T</t>
  </si>
  <si>
    <t>Kheops</t>
  </si>
  <si>
    <t>Operator of an order management, online wholesale, and distribution platform intended to make local, direct commerce as easy as centralized commerce. The company's platform allows producers to list their products in a product catalog and provides marketing tools to market them to various retailers and distributors, as well as provides the distributors with access to the product catalog, enabling businesses to diversify their distribution channels and increase their customer base.</t>
  </si>
  <si>
    <t>AFI Ventures (Paris), Elaia Partners, ISAI, Kima Ventures, Ventech (Paris)</t>
  </si>
  <si>
    <t>digital platform, distribution platform, distribution platform software, ecommerce service, ecommerce site, ecommerce startup, online distribution network, online wholesale retailer, order management, wholesale platform</t>
  </si>
  <si>
    <t>225983-80T</t>
  </si>
  <si>
    <t>188459-92T</t>
  </si>
  <si>
    <t>Pharmedigroup</t>
  </si>
  <si>
    <t>Drug Delivery*, Pharmaceuticals</t>
  </si>
  <si>
    <t>Operator of a B2B marketplace platform intended for pharmacists. The company's platform helps to develop a new sales channel and boost notoriety by broadcasting radio spots, enabling the pharmacy industry to deliver medicines to patients.</t>
  </si>
  <si>
    <t>AngelSquare, MF Holdings</t>
  </si>
  <si>
    <t>pharmaceutical chain, pharmaceutical service, pharmacy automation, pharmacy business, pharmacy clinic, pharmacy healthcare</t>
  </si>
  <si>
    <t>Azay-sur-Cher, France</t>
  </si>
  <si>
    <t>177513-13T</t>
  </si>
  <si>
    <t>Groupe Bruxelles Lambert (BRU: GBLB)(Ian Gallienne)</t>
  </si>
  <si>
    <t>171035-02T</t>
  </si>
  <si>
    <t>Mindee</t>
  </si>
  <si>
    <t>Developer of an API platform designed to help developers automate workflows by standardizing the document processing layer. The company's platform leverages machine learning to automatically detect and extract information from any kind of document and adapts to all workflows, enabling businesses to solve any document-based use cases in real-time.</t>
  </si>
  <si>
    <t>Alexis Le-Quoc(Alexis Le-Quoc), Alven Capital Partners(Bartosz Jakubowski), Bpifrance, Nicolas Dessaigne(Nicolas Dessaigne), Notable Capital(Tiffany Luck), Serena (Paris)(Bertrand Diard), Swift Ventures, Y Combinator</t>
  </si>
  <si>
    <t>automated documentation platform, coding completion, content services, data extraction, document automation platform, document management, document-processing, knowledge management system, paperwork solutions</t>
  </si>
  <si>
    <t>139804-39T</t>
  </si>
  <si>
    <t>CapHorn Invest(Flora Coppolani), European Innovation Council Fund, PPE Capital</t>
  </si>
  <si>
    <t>273200-32T</t>
  </si>
  <si>
    <t>Valame</t>
  </si>
  <si>
    <t>Operator of an environmental consulting firm intended to provide waste management and recycling services. The company offers a stabilizing, treatment formula, and valorization for asbestos waste to transform it into recyclable materials, enabling clients to eliminate asbestos which can pose serious health risks if not handled properly while respecting the environment.</t>
  </si>
  <si>
    <t>asbestos waste, environmental consulting, environmental services, recycling plastic, recycling services, sustainable system, upcycling waste</t>
  </si>
  <si>
    <t>Haubourdin, France</t>
  </si>
  <si>
    <t>180733-87T</t>
  </si>
  <si>
    <t>Angels for Greentech(Thierry Arnaud), Crédit Agricole Alpes Développement(Rami Hassoun), Foreis(Jean-Yves Muller), Région Sud Investissement(Pierre Joubert), Supernova Invest(Damien Bretegnier)</t>
  </si>
  <si>
    <t>179728-12T</t>
  </si>
  <si>
    <t>Atoptima</t>
  </si>
  <si>
    <t>Developer of vehicle routing and operations planning software designed to provide mathematical optimization to businesses. The company's platform offers services such as employee time-tabling, multi-dimensional packaging, network design, inventory management, and cross-docking synchronization, providing businesses with cloud-based applications for resource assignment optimization.</t>
  </si>
  <si>
    <t>ADEME, Bpifrance, Epopée Gestion</t>
  </si>
  <si>
    <t>decision analytics, enterprise resource planning, enterprise supply chain management, intelligence system, intelligence tools, inventory management, mathematical optimization, network design, operations planning software, production planning</t>
  </si>
  <si>
    <t>Advanced Manufacturing, Artificial Intelligence &amp; Machine Learning, CleanTech, Mobility Tech, SaaS, Supply Chain Tech</t>
  </si>
  <si>
    <t>175928-14T</t>
  </si>
  <si>
    <t>Grupo Bimbo (MEX: BIMBOA), ICL Planet, Sofinnova Partners(Josko Bobanović), SOSV(Po Bronson)</t>
  </si>
  <si>
    <t>202146-04T</t>
  </si>
  <si>
    <t>Tabesto</t>
  </si>
  <si>
    <t>Business/Productivity Software, Electronic Equipment and Instruments*, Other Hardware, Other Restaurants, Hotels and Leisure</t>
  </si>
  <si>
    <t>Developer of a restaurant sales terminal designed to provide a digital dining experience. The company's system requires no expensive installations or hidden costs, but a command terminal with software with a modern design, enabling users to track and personalize their orders and expedite the bill settlement process and provide restauranteurs with a digital solution for their establishments that increases sales.</t>
  </si>
  <si>
    <t>A-Venture, Aonia Ventures, Myrtus Venture</t>
  </si>
  <si>
    <t>digital food ordering, food ecommerce, food software, food terminal, food tracking platform, restaurant marketplace, restaurant sales terminal, restaurant technology software</t>
  </si>
  <si>
    <t>203831-47T</t>
  </si>
  <si>
    <t>Cleany</t>
  </si>
  <si>
    <t>Provider of office cleaning services intended to simplify the management of daily office cleaning tasks. The company's service offers regular office maintenance, removal of bulky items, and recurring cleaning of office interiors, enabling businesses to keep their office clean and tidy while saving time.</t>
  </si>
  <si>
    <t>cleaning management, cleaning service, cleaning service platform, office cleaning, office maintenance, premises cleaning</t>
  </si>
  <si>
    <t>255373-84T</t>
  </si>
  <si>
    <t>Heyday Integrated Circuits</t>
  </si>
  <si>
    <t>General Purpose Semiconductors*</t>
  </si>
  <si>
    <t>Developer of integrated isolated gate drivers designed for the power electronics market. The company's products are built on CMOS silicon technology and allow customers to reduce switching losses, increase reliability, and reduce module weight, providing clients with improvements in efficiency, BOM count, module size, reliability, and cost.</t>
  </si>
  <si>
    <t>clean energy, fabless semiconductor company, gates drivers, intermittent renewable energy, isolated gates drivers, power electronics, power management chips, semiconductor chips, solar photovoltaic</t>
  </si>
  <si>
    <t>177200-74T</t>
  </si>
  <si>
    <t>China International Capital Corporation (HKG: 03908), Country Garden Venture Capital, E Fund Management (HK), Hillhouse Investment Group, L Squared Capital Partners, MicroPort Scientific (HKG: 00853), Wanhui Capital, Worldstar, Yong Rong (HK) Asset Management</t>
  </si>
  <si>
    <t>177194-08T</t>
  </si>
  <si>
    <t>Alven Capital Partners, Bpifrance, Crédit Mutuel Innovation, Eiffel Investment Group, Revaia</t>
  </si>
  <si>
    <t>177203-71T</t>
  </si>
  <si>
    <t>Cryptense</t>
  </si>
  <si>
    <t>Operator of an online blockchain-supported platform intended for the transaction of cryptocurrencies. The company's platform supports the buying and selling of decentralized public blockchain and other forms of cryptocurrency with the use of direct online payment methods and also helps in crypto mining, enabling users to get detailed feedback about the suitability and capability of technologies and business concepts to be implemented in the real world.</t>
  </si>
  <si>
    <t>100x Ventures(Alexander Hoeptner)</t>
  </si>
  <si>
    <t>blockchain company, blockchain mining, blockchain-based software, crypto exchange, crypto mining platform, crypto support, crypto trading, financial analysis</t>
  </si>
  <si>
    <t>177130-72T</t>
  </si>
  <si>
    <t>Colam Impact, Crédit Agricole Normandie, Groupe Stard, Normandie Participations(Thibault Droinet), Normandie Seine Participations</t>
  </si>
  <si>
    <t>200958-67T</t>
  </si>
  <si>
    <t>allcolibri</t>
  </si>
  <si>
    <t>Developer of a SaaS-based online software designed for impactful change to the environment and customer experience. The company's platform allows brands and organizations to make a meaningful impact by planting trees or cleaning the oceans through seamless integration and measurable impact reports, enabling users to improve their brand value and moral integrity by digitally distributing good deeds for the environment and society.</t>
  </si>
  <si>
    <t>Asterion(Stephane Bourbier), Courtin Investment</t>
  </si>
  <si>
    <t>customer experience service, green earthing, loyalty points, market planning, plant trees, tree plantation</t>
  </si>
  <si>
    <t>226127-08T</t>
  </si>
  <si>
    <t>99 Digital</t>
  </si>
  <si>
    <t>Operator of a marketing agency intended to improve sales performance and specialize in business strategy. The company's platform specializes in offering services including search engine marketing and optimization to target internet users with a strong purchase intention, enabling businesses to combine growth and profitability.</t>
  </si>
  <si>
    <t>advertising services, brand activation, digital marketing, marketing platform, marketing tool, search marketing, social media advertising</t>
  </si>
  <si>
    <t>182687-32T</t>
  </si>
  <si>
    <t>Blooming</t>
  </si>
  <si>
    <t>Clothing*, Personal Products</t>
  </si>
  <si>
    <t>Manufacturer of anti-leakage panties designed to be used during menstruation. The company offers menstrual or period panties that are washable, reusable, ultra-absorption, anti-stain, and anti-leakage, enabling women to have a product focused on intimate health.</t>
  </si>
  <si>
    <t>Daniel Benbassat(Daniel Benbassat), NCI Gestion</t>
  </si>
  <si>
    <t>absorption technology, ecommerce site, leakproof underwear, menstruation wear, period panties, period panty, period panty manufacturer</t>
  </si>
  <si>
    <t>E-Commerce, FemTech</t>
  </si>
  <si>
    <t>182698-03T</t>
  </si>
  <si>
    <t>185816-62T</t>
  </si>
  <si>
    <t>L'intendance</t>
  </si>
  <si>
    <t>Operator of a container reusing management company intended to reuse containers. The company equips eligible containers with a magic identifier, then it is returned to the merchants who are members of the network, the containers are then recovered, sorted and then washed to the highest standards and finally clean containers like new are ready to be reused combining impact and profitability, enabling retailers to get the containers washed and access to reuse it.</t>
  </si>
  <si>
    <t>EGR Partners</t>
  </si>
  <si>
    <t>container board, container product, container recycling, food ecommerce, restaurant marketplace, reusable container, reused good, reused materials</t>
  </si>
  <si>
    <t>177062-23T</t>
  </si>
  <si>
    <t>MyJouleBox</t>
  </si>
  <si>
    <t>Developer of solar energy technologies designed to provide power to off-grid areas. The company's technology offers a wide range of solar hardware setups, ranging from solar home systems to self-consumption techniques for semi-urban households and SMEs, including large solar backup systems for commercial customers, enabling companies to access affordable solar energy through a pay-as-you-go system.</t>
  </si>
  <si>
    <t>EDFI Management Company, Gaia Impact Fund(Hélène Demaegdt), Triodos Investment Management(Fadoua Boudiba)</t>
  </si>
  <si>
    <t>alternative energy, energy reduction, energy solar, intermittent renewable energy, solar development company, solar device installation, solar installation system, solar photovoltaic</t>
  </si>
  <si>
    <t>259398-19T</t>
  </si>
  <si>
    <t>Placéco</t>
  </si>
  <si>
    <t>Publisher of corporate content intended for information monitoring. The company specializes in strategy, promotion and production of corporate content, enabling business to access articles, videos, audio podcasts for their business purposes.</t>
  </si>
  <si>
    <t>SkalePark</t>
  </si>
  <si>
    <t>corporate content, corporate content development, corporate content promotion, corporate content publisher, corporate content publishing, corporate content strategy</t>
  </si>
  <si>
    <t>176988-43T</t>
  </si>
  <si>
    <t>Banque des Territoires(Antoine Troesch), Eiffel Investment Group, Normandie Participations, Open CNP(Jonathan Denais)</t>
  </si>
  <si>
    <t>176928-85T</t>
  </si>
  <si>
    <t>Covirtua Healthcare</t>
  </si>
  <si>
    <t>Operator of a medical technology company intended to help people with chronic or transient disabilities to train their cognitive functions. The company provides people who have suffered a brain injury, neurodegenerative disease, or suffering from psychiatric illness with remedial exercises working on a specific cognitive function and activities simulating everyday situations, enabling patients with mental disorders to readapt in daily life by accessing intensive care throughout their care journey.</t>
  </si>
  <si>
    <t>cognitive assessment, digital therapy platform, medical technology tools, neurodegenerative disease therapy, psychiatric illness, psychological testing</t>
  </si>
  <si>
    <t>Digital Health, Virtual Reality</t>
  </si>
  <si>
    <t>176959-72T</t>
  </si>
  <si>
    <t>Nutriearth</t>
  </si>
  <si>
    <t>Manufacturer of functional ingredients intended to offer sustainable human and animal health products. The company's natural ingredients are derived from an edible insect using non-chemical technology and a natural process, enabling clients to meet nutrition-health and sustainability requirements.</t>
  </si>
  <si>
    <t>Demeter Partners, Finovam Gestion</t>
  </si>
  <si>
    <t>animal health, edible insects, food ingredients, functional ingredients, healthy ingredients, micro nutrition, sustainable ingredients</t>
  </si>
  <si>
    <t>FoodTech, HealthTech, Life Sciences, LOHAS &amp; Wellness, Manufacturing</t>
  </si>
  <si>
    <t>Carvin, France</t>
  </si>
  <si>
    <t>165135-70T</t>
  </si>
  <si>
    <t>Lovys</t>
  </si>
  <si>
    <t>Financial Software, Other Insurance*</t>
  </si>
  <si>
    <t>Developer of an insurance subscription application designed to offer one-click protection. The company's application permits users to register and insure individual items that they choose through a personalized, simple, and transparent interface, permitting them to know exactly what they are paying for and directly manage policies and claim processes, enabling clients to meet all their insurance needs.</t>
  </si>
  <si>
    <t>Adevinta(Jordi Iserte), Bpifrance, FinTLV Ventures, Heartcore Capital(Yacine Ghalim), MS&amp;AD Ventures(Jonathan Soberg), NewAlpha Asset Management, Plug and Play Tech Center, Portugal Ventures, RAISE Group, Ternel</t>
  </si>
  <si>
    <t>flexible insurance, insurance provider firm, insurance subscription, insurance system, insurtech platform, micro insurance, monthly subscription service, non-traditional personal insurance</t>
  </si>
  <si>
    <t>FinTech, InsurTech, Mobile, TMT</t>
  </si>
  <si>
    <t>170856-64T</t>
  </si>
  <si>
    <t>Anaxago(Gaston Vasseur), Bernard Majoie(Bernard Majoie), Doorway Capital, i&amp;i Prague(Jaromír Zahrádka), Italian Angels for Growth(Michele Marzola), Magna Capital Partners, Seventure Partners(Philippe Tramoy)</t>
  </si>
  <si>
    <t>176643-28T</t>
  </si>
  <si>
    <t>Bleexo</t>
  </si>
  <si>
    <t>Developer of human resource platform intended to serve small and medium-sized enterprises. The company's platform integrates artificial intelligence technologies to measure in real-time the levers of engagement in the company and also analyze the strengths and team weaknesses, enabling clients to measure employee engagements efficiently and increase productivity.</t>
  </si>
  <si>
    <t>Didier Boullery, M Capital Partners, Paris Business Angels, Techmind, Thibault Poutrel-Alderville</t>
  </si>
  <si>
    <t>employee engagement data, employee engagement survey, employee engagement tool, employee engagements analysis, human resource software, human resources tools</t>
  </si>
  <si>
    <t>167184-28T</t>
  </si>
  <si>
    <t>BNP Paribas (PAR: BNP)(Sebastien Renaud), Breed Reply(Gabriele Dini), Climate Investment, Enowe, NTT Docomo Ventures, Omron Ventures, SK Gas (KRX: 018670), Statkraft Ventures(Stefan Hülsen)</t>
  </si>
  <si>
    <t>221406-22T</t>
  </si>
  <si>
    <t>T-Heart</t>
  </si>
  <si>
    <t>Diagnostic Equipment, Surgical Devices*</t>
  </si>
  <si>
    <t>Developer of a heart valve replacement system intended to provide treatment of severe tricuspid regurgitation for patients suffering from heart problems. The company's system addresses the tricuspid-specific anatomical challenges through a one-step simple procedure thus managing the right ventricular load using a physiologically sized valve, enabling patients to avail of proper treatment for their health issues.</t>
  </si>
  <si>
    <t>iBionext(Bernard Gilly)</t>
  </si>
  <si>
    <t>cardiovascular, heart valve repair, heart valve replacement technology, heart valve replacement treatment, heart valve surgery, heart valve system, heart valve transplant</t>
  </si>
  <si>
    <t>195223-06T</t>
  </si>
  <si>
    <t>Cruso</t>
  </si>
  <si>
    <t>Manufacturer of furniture products intended to provide interior decor items. The company uses an eco-friendly production process, local and sustainable raw materials that are manufactured in Europe, and employs land transportation and compact packaging, enabling customers to decorate their homes and workplaces with long-lasting and durable pieces.</t>
  </si>
  <si>
    <t>Nemodia</t>
  </si>
  <si>
    <t>furniture designer, furniture manufacturer, furniture retailer, home furnishing, home interior, interior decor product, office interior</t>
  </si>
  <si>
    <t>Boisset-les-Prévanches, France</t>
  </si>
  <si>
    <t>175946-32T</t>
  </si>
  <si>
    <t>Aster Capital, Seventure Partners, Verve Ventures</t>
  </si>
  <si>
    <t>194116-15T</t>
  </si>
  <si>
    <t>Wizy.io</t>
  </si>
  <si>
    <t>Developer of a cloud-based platform designed to offer mobile management services. The company's platform deploys business applications and policies, protects business data manages devices, and designs for intuitive mobile device management, enabling users to have a wide range of creative services.</t>
  </si>
  <si>
    <t>BACS-Innov, Mandarina</t>
  </si>
  <si>
    <t>android security tool, application deployment, cloud application, cloud-based platform, lifecycle management, mobile management system</t>
  </si>
  <si>
    <t>190672-75T</t>
  </si>
  <si>
    <t>176400-19T</t>
  </si>
  <si>
    <t>Fleurs d'ici</t>
  </si>
  <si>
    <t>Operator of an online platform intended to deliver fresh, creative, and ethical bouquets everywhere in France. The company provides bouquets that are made by using local and seasonal flowers within a day, providing local florists and reducing the carbon impact by giving preference to local breeds, enabling customers to avail fresh rare flowers.</t>
  </si>
  <si>
    <t>2050 (VC), BNP Paribas Développement, Bpifrance, Kalian Group</t>
  </si>
  <si>
    <t>bouquet seller, florist artisan, florist center, florist shops, flower bouquet, local florist</t>
  </si>
  <si>
    <t>177194-44T</t>
  </si>
  <si>
    <t>Kili Technology</t>
  </si>
  <si>
    <t>Developer of annotation software designed to create and manage data sets for artificial intelligence training. The company's platform allows for easy management of the training data, image, video, text, pdf, voice, and software for annotation, collaboration, quality control, data management, and labeling workforce, available either online or on-premise to match all requirements, enabling clients to scale up their machine learning projects.</t>
  </si>
  <si>
    <t>Balderton Capital(Bernard Liautaud), Chris Schagen(Chris Schagen), Dimitri Sirota(Dimitri Sirota), Financière Saint James, Olivier Pailhes(Olivier Pailhes), Serena (Paris)</t>
  </si>
  <si>
    <t>ai cores, analytics platform, analytics platform software, annotation platform, annotation tools, data management software, data preparation, data software &amp; systems, data software and systems, database search, database site, database system, images annotation, text annotation</t>
  </si>
  <si>
    <t>165003-49T</t>
  </si>
  <si>
    <t>Education and Training Services (B2B), Other Capital Markets/Institutions*, Other Commercial Services</t>
  </si>
  <si>
    <t>Operator of an innovation network intended to support start-up companies. The company's offerings include training, incubation programs, acceleration programs, and open innovation offers to strengthen the first French-speaking, enabling young entrepreneurs to drive their start-up companies to new heights.</t>
  </si>
  <si>
    <t>Banque Populaire Auvergne Rhône Alpes(Daniel Karyotis), Banque Populaire Grand Ouest, BNP Paribas (PAR: BNP)(Myriam Beque), BNP Paribas Cardif (LIM: CARDIFC1)(Nathalie Doré), Bpifrance(Pierre Gillet), Caisse d'Epargne(Pierre Carli), Cardif Assurance Vie, Grand Sud Ouest Capital, Groupama Group(Rémi Lorenzelli), Surya Group, Wagram Corporate Finance</t>
  </si>
  <si>
    <t>acceleration program, accelerator firm, entrepreneurship training, incubation program, innovation network, investment management, training services</t>
  </si>
  <si>
    <t>176245-12T</t>
  </si>
  <si>
    <t>Farmitoo</t>
  </si>
  <si>
    <t>Other Agriculture, Specialty Retail*</t>
  </si>
  <si>
    <t>Operator of an online platform intended to provide agriculture equipment directly from the manufacturer. The company's platform links directly with the manufacturers of agricultural equipment, enabling customers to have access to a large number of brands of equipment and to have the opportunity to compare different products and their prices.</t>
  </si>
  <si>
    <t>Bpifrance(Edwige Kharoubi), Digital Dimension, F3A Ventures, iXO Private Equity, Ventech (Paris)(Claire Houry)</t>
  </si>
  <si>
    <t>agribusiness marketplace, agricultural equipment, agricultural marketplace, digital marketplace, farm equipment seller, farmers market, farming tool</t>
  </si>
  <si>
    <t>AgTech, E-Commerce, Supply Chain Tech</t>
  </si>
  <si>
    <t>195269-50T</t>
  </si>
  <si>
    <t>AbilyCare</t>
  </si>
  <si>
    <t>Diagnostic Equipment, Monitoring Equipment*, Other Healthcare Services</t>
  </si>
  <si>
    <t>Developer of non-intrusive sensors designed to measure walking and balance to prevent frailty risks at any moment. The company provides tests scientifically designed to detect early signs of frailty, develop preventive actions to initiate the process of reversibility, monitor the patient's state over time, and measure the benefit of a rehabilitation or prevention program, enabling patients to be informed and establishing a dialogue between this doctor and the thermal cure center.</t>
  </si>
  <si>
    <t>Erganeo</t>
  </si>
  <si>
    <t>digital solutions, fitness service, health checkup, preventive action, research based firm, scientifically test product</t>
  </si>
  <si>
    <t>Digital Health, SaaS</t>
  </si>
  <si>
    <t>158431-33T</t>
  </si>
  <si>
    <t>FJ Labs, Investisseurs privés, SEB Alliance</t>
  </si>
  <si>
    <t>203105-80T</t>
  </si>
  <si>
    <t>Civocracy</t>
  </si>
  <si>
    <t>Developer of an online personalized marketing platform designed to support mission-driven companies in user acquisition and customer loyalty. The company's tools and cooperative marketing strategies help to create a joint campaign for the target audience around a central quest, enabling organizations to increase customer commitment.</t>
  </si>
  <si>
    <t>Pandion Innovation for Impact</t>
  </si>
  <si>
    <t>brand marketing, citizen engagement, cooperative marketing, customer loyalty, online campaigning, personalized marketing</t>
  </si>
  <si>
    <t>176114-98T</t>
  </si>
  <si>
    <t>Didomi</t>
  </si>
  <si>
    <t>Operator of a consent management platform intended to help businesses comply with privacy regulations. The company's platform includes automated websites or apps scanning and auditing, privacy compliance assessment, privacy and cookie policy generation, and consent management, enabling companies to access a dedicated space on which they can feasibly access and manage their consent and preferences.</t>
  </si>
  <si>
    <t>Breega(Maximilien Bacot), Elephant Partners(Peter Fallon)</t>
  </si>
  <si>
    <t>application audit, compliance assessment, consent management platform, cookies policy, preference management, preference management platform, privacy compliance, privacy compliance assessment, privacy management, privacy management platform</t>
  </si>
  <si>
    <t>194423-41T</t>
  </si>
  <si>
    <t>XtreeE</t>
  </si>
  <si>
    <t>3D Printed Buildings</t>
  </si>
  <si>
    <t>Developer of large-scale 3D printing technology designed to work on the construction and architecture of buildings. The company assists with collaborative design and large-scale prototype manufacturing while providing access to its large-scale 3D printing systems, providing architects, engineers, and product designers with 3D-printing alternatives.</t>
  </si>
  <si>
    <t>3d print buildings, 3d print construction, collaborative design, construction technology, printing technology, prototype manufacturing</t>
  </si>
  <si>
    <t>3D Printing, Advanced Manufacturing, Construction Technology, Manufacturing, Real Estate Technology</t>
  </si>
  <si>
    <t>180156-43T</t>
  </si>
  <si>
    <t>Colizey</t>
  </si>
  <si>
    <t>Operator of an online sports marketplace intended to connect brands and specialized shops with passionate athletes. The company's platform offers a wide selection of technical products across sports disciplines, enabling athletes to buy sporting equipment online and simplify their lives.</t>
  </si>
  <si>
    <t>Aglaé Ventures(Cyril Guenoun), CASSIUS, Cathay Capital Private Equity, Cathay Innovation(Jean-François Cochy), LDLC ASVEL(Tony Parker), Teddy Riner(Teddy Riner)</t>
  </si>
  <si>
    <t>activewear clothing, activewear market, online marketplace, sporting goods marketplace, sports gear platform, sports industry product, sports marketplace, sports retail</t>
  </si>
  <si>
    <t>123711-22T</t>
  </si>
  <si>
    <t>Horiz.io</t>
  </si>
  <si>
    <t>Business/Productivity Software*, Financial Software, Other Financial Services, Real Estate Services (B2C)</t>
  </si>
  <si>
    <t>Developer of a real estate yield calculator designed to assess the profitability of real estate rental projects. The company's calculator uses profit methods to calculate and compare net returns including taxes on rental investments, enabling investors to make project comparisons and measure profitability.</t>
  </si>
  <si>
    <t>AQUITI Gestion, Galia Gestion, Région Nouvelle-Aquitaine</t>
  </si>
  <si>
    <t>calculator app, leasing real estate, profit analysis, real estate investor, rental investment, tax calculation</t>
  </si>
  <si>
    <t>176025-34T</t>
  </si>
  <si>
    <t>Fall Line Capital, FMC Ventures, IRDI Capital Investissement(Jean-Michel Petit), Sofinnova Partners(Denis Lucquin), Supernova Invest(Romain Sautrau)</t>
  </si>
  <si>
    <t>181697-23T</t>
  </si>
  <si>
    <t>Capital-E(Lou Hermans), Cipio Partners(Roland Dennert)</t>
  </si>
  <si>
    <t>176410-81T</t>
  </si>
  <si>
    <t>blisce/(Charles-Henri Prevost), Frédéric Mazzella(Frédéric Mazzella), ISAI, Notus Technologies, Pierre Kosciusko Morizet(Pierre Kosciusko Morizet), Serena (Paris), Tomcat Capital</t>
  </si>
  <si>
    <t>176107-60T</t>
  </si>
  <si>
    <t>WYZ Group</t>
  </si>
  <si>
    <t>Provider of supply management platform intended to serve the automotive industry. The company's platform specializes in online tire sales for complementing automotive dealer networks and automotive aftermarket retailers through custom-made and dedicated internet platforms based on European sourcing, enabling clients and car owners to boost turnover, optimize product availability, and improve service to the end customer.</t>
  </si>
  <si>
    <t>BNP Paribas Développement, Bpifrance, Generis Capital Partners, Holnest</t>
  </si>
  <si>
    <t>auto replacement, auto replacement parts, automotive manufacturer, automotive market, automotive media, car company, commercial transportation, enterprise supply chain management, online experts</t>
  </si>
  <si>
    <t>Supply Chain Tech, TMT</t>
  </si>
  <si>
    <t>Lacroix-Saint-Ouen, France</t>
  </si>
  <si>
    <t>182134-00T</t>
  </si>
  <si>
    <t>Aodyo Instruments</t>
  </si>
  <si>
    <t>Electronics (B2C), Other Consumer Durables*</t>
  </si>
  <si>
    <t>Developer of electronic musical instruments designed to reproduce the feeling of an acoustic instrument. The company's instruments are played by blowing into the mouthpiece and selecting notes with the keys located on the front, enabling musicians to simulate acoustic sound sources such as strings or reeds, as well as resonating structures, like wood, glass, or metal.</t>
  </si>
  <si>
    <t>Autonomie &amp; Solidarité, Finovam Gestion</t>
  </si>
  <si>
    <t>acoustic sound, electronic music device, music technology, musical instrument design, musical instrument product, sound sourcing separation, unique sound</t>
  </si>
  <si>
    <t>186580-99T</t>
  </si>
  <si>
    <t>Unique Heritage Media</t>
  </si>
  <si>
    <t>Movies, Music and Entertainment, Publishing*</t>
  </si>
  <si>
    <t>Operator of a media and publishing group intended to educate through entertainment. The company engages design, digital tools, interactivity and tailored content to create material in form and content, providing children and their relatives to benefit in the domains of culture, current events and knowledge.</t>
  </si>
  <si>
    <t>app developer, magazine publishing, media group, media publishing, publishing company, publishing group</t>
  </si>
  <si>
    <t>182259-10T</t>
  </si>
  <si>
    <t>Beetween</t>
  </si>
  <si>
    <t>Developer of a recruiting platform designed to simplify and automate time-consuming tasks and hire an optimal workforce. The company's platform offers multicast jobs, CV (curriculum vitae) database management, candidate communication, collaborative recruitment, and a career website, enabling companies to optimize the recruitment process and focus on a new approach to discovering talent.</t>
  </si>
  <si>
    <t>application management, candidate evaluation, hr strategy, human resources, monitoring platform, personalized advice, recruitment management</t>
  </si>
  <si>
    <t>175723-21T</t>
  </si>
  <si>
    <t>Arkema (PAR: AKE), Capgemini Ventures, Demeter Partners, EIT InnoEnergy(Bart de Beer), EQT Ventures(Gregory Bernstein), Fonds Régional d'Investissement Auvergne Rhône-Alpes, French Government, Fund for Ecologic Modernization of Transport, Groupe IDEC(Patrice Lafargue), Renault (PAR: RNO), Schneider Electric (Electrical Equipment) (PAR: SU), Tokai COBEX</t>
  </si>
  <si>
    <t>190931-95T</t>
  </si>
  <si>
    <t>175752-10T</t>
  </si>
  <si>
    <t>A Plus Finance, Arkéa Capital, Bpifrance, Credit Mutuel Arkea, Crédit Agricole Franche-Comté, Edaphon, SCR Investments, Telos Impact, Unexo</t>
  </si>
  <si>
    <t>175810-51T</t>
  </si>
  <si>
    <t>ManoMano</t>
  </si>
  <si>
    <t>Operator of an online marketplace intended to offer various products to facilitate gardening projects. The company's marketplace uses a data-led approach and offers do-it-yourself, home improvement, and gardening products, allowing customers to buy these products online directly from their network of merchants at affordable prices.</t>
  </si>
  <si>
    <t>Aglaé Ventures, Armat Group, Bpifrance, Dragoneer Investment Group, Eurazeo (PAR: RF), General Atlantic(Gabriel Caillaux), Kismet Holdings, Temasek Holdings</t>
  </si>
  <si>
    <t>diy marketplace, gardening product, home improvement, home improvement product, online gardening product, renovation product</t>
  </si>
  <si>
    <t>183301-21T</t>
  </si>
  <si>
    <t>FARWIND Energy</t>
  </si>
  <si>
    <t>Alternative Energy Equipment, Energy Transportation*, Other Energy</t>
  </si>
  <si>
    <t>Developer of integrated technology designed for converting wind energy on the high seas into stored energy. The company's energy ships are equipped with water turbines which convert the ship's kinetic energy to electricity and are stored in batteries or converted to hydrogen through water electrolysis or liquid fuel, enabling industries to generate electricity.</t>
  </si>
  <si>
    <t>Centrale Innovation, UI Investissement</t>
  </si>
  <si>
    <t>clean fuel, climate change data, electricity generate, renewable energy, renewable energy sector, water electrolysis, wind energy, wind energy power</t>
  </si>
  <si>
    <t>Energy Transportation</t>
  </si>
  <si>
    <t>175120-84T</t>
  </si>
  <si>
    <t>176091-22T</t>
  </si>
  <si>
    <t>PowerZ</t>
  </si>
  <si>
    <t>Developer of an education platform designed to make learning school subjects engaging in a virtual world. The company's platform offers a video game that provides a crossroads in making learning subjects such as mathematics, programming, poetry, and astronomy easy, enabling users to learn in an interactive and fun manner.</t>
  </si>
  <si>
    <t>Bayard Presse, Binder &amp; Partners, Bpifrance, EduCapital, Financière Saint James, Hachette Livre, Jezby Ventures, Michaël Benabou(Michaël Benabou), Pierre Kosciusko Morizet(Pierre Kosciusko Morizet), RAISE Group, Raise Ventures</t>
  </si>
  <si>
    <t>edtech platform, edtech startup, education game studio, education platform, educational platform software, gaming content, gaming platform, gaming platform software</t>
  </si>
  <si>
    <t>175682-80T</t>
  </si>
  <si>
    <t>Rainbow</t>
  </si>
  <si>
    <t>Other Consumer Non-Durables, Other Pharmaceuticals and Biotechnology, Pharmaceuticals*</t>
  </si>
  <si>
    <t>Developer of a hemp-based platform designed to improve well-being through sustainable hemp fiber and other medicinal plants. The company's platform provides focuses on wellness consumer brands and finished products by creating sustainable alternatives, enabling customers to experience various products at affordable prices.</t>
  </si>
  <si>
    <t>Artemis Growth Partners, Senseii Ventures</t>
  </si>
  <si>
    <t>bio-engineered food, hemp plant, hemp producers, hemp product, medicinal plants, novel ingredients, pharmaceutical manufacturing, sustainable ingredients</t>
  </si>
  <si>
    <t>Cannabis, Manufacturing</t>
  </si>
  <si>
    <t>203172-67T</t>
  </si>
  <si>
    <t>Whyyle</t>
  </si>
  <si>
    <t>Developer of a cloud-based subscription application designed to centralize and digitize tools for entering, monitoring, and analyzing. The company offers a single platform for data entry tools including analysis, management, and reporting, directly connecting to exchange the necessary data with ERP, HR solutions, government platforms, or even the platforms of service providers, enabling clients to centralize the QHSE management system.</t>
  </si>
  <si>
    <t>analysis application, environment management, health management, management application, management system, software as a services, technology platform</t>
  </si>
  <si>
    <t>282200-05T</t>
  </si>
  <si>
    <t>Belora Paris</t>
  </si>
  <si>
    <t>Information Services (B2C), Personal Products*, Specialty Retail</t>
  </si>
  <si>
    <t>Provider of natural and vegan beauty products intended to provide makeup collections infused with bio-active naturals that nourish the skin. The company's products include lipsticks, moisturizers, creams, and eyeshadow palettes made from non-toxic ingredients, enabling customers to get natural and vegan cosmetic products in deep colors and luxurious textures.</t>
  </si>
  <si>
    <t>DSG Consumer Partners</t>
  </si>
  <si>
    <t>cosmetics brand, cruelty free, makeup branding, makeup items, personal products, personal products manufacturer, vegan makeup</t>
  </si>
  <si>
    <t>181002-07T</t>
  </si>
  <si>
    <t>Claripharm</t>
  </si>
  <si>
    <t>Developer of feminine care products designed to offer a zero-waste, non-irritating, chemical-free alternative sanitary protection. The company's products include intimate shower gel, menstrual cups, menstrual panties, dietary supplements and other related products, enabling women to use effective and sustainable
periodic protections.</t>
  </si>
  <si>
    <t>intimate hygiene, intimate hygiene product, menstrual cups, menstrual panties, organic cotton product, women hygiene</t>
  </si>
  <si>
    <t>Saint-Alban, France</t>
  </si>
  <si>
    <t>218391-49T</t>
  </si>
  <si>
    <t>Forma-Protec</t>
  </si>
  <si>
    <t>Provider of hygiene, health and safety training services intended to address all issues related to safety and the management of occupational risks. The company offers regulatory training and job training for the logistics, industry and construction sectors, security management training, enabling businesses to maintain risk prevention processes.</t>
  </si>
  <si>
    <t>education courses, health training services, hygiene habits, hygiene needs, hygiene training, occupational experts, occupational health, safety training service</t>
  </si>
  <si>
    <t>181181-17T</t>
  </si>
  <si>
    <t>LiveMentor</t>
  </si>
  <si>
    <t>Developer of an online learning platform designed to demystify and promote entrepreneurship. The company's platform provides fundamental training courses and combines online training with better one-to-one mentoring which increases the effectiveness of training as well as democratizes entrepreneurial coaching and fights against the loneliness of the entrepreneur, enabling students to accelerate their entrepreneurial project through digital marketing, commerce, and use of social networks.</t>
  </si>
  <si>
    <t>EduCapital, Impact Partners (Paris), ISAI, Ring Capital(Nicolas Celier)</t>
  </si>
  <si>
    <t>coaching platform, educational mentorship, entrepreneurial projects, entrepreneurial training, online education, private tutoring</t>
  </si>
  <si>
    <t>225987-13T</t>
  </si>
  <si>
    <t>175657-06T</t>
  </si>
  <si>
    <t>MONI (Financial Software)</t>
  </si>
  <si>
    <t>Developer of a money transfer platform intended to help people send money to relatives, friends, and business partners abroad. The company's platform works as a banking intermediary that provides an online money transfer service to customers, enabling users to send money efficiently at a fair market rate without any hassles or formalities.</t>
  </si>
  <si>
    <t>Serena (Paris)(Sébastien Le Roy)</t>
  </si>
  <si>
    <t>digital money transfer, enterprise payment, international payment, mobile credit, money order, money transfer platform, money transfer service, online remittance</t>
  </si>
  <si>
    <t>204758-11T</t>
  </si>
  <si>
    <t>Natz</t>
  </si>
  <si>
    <t>Producer of alcohol-based beverages intended to provide ready-to-drink cocktails. The company offers alcoholic beverages made from the natural fermentation of cane sugar and lemon juice in water and the use of real fruits and herbal infusions without artificial flavors, enabling consumers with a low-calorie drink and alcohol percentage in various flavors.</t>
  </si>
  <si>
    <t>CapInvest, Olynvest</t>
  </si>
  <si>
    <t>alcoholic beverage product, alcoholic beverage seller, alcoholic beverages maker, beer product provider, flavoured beer, spiked seltzers</t>
  </si>
  <si>
    <t>La Balme de Sillingy, France</t>
  </si>
  <si>
    <t>218585-17T</t>
  </si>
  <si>
    <t>Panda Guide</t>
  </si>
  <si>
    <t>Developer of augmented reality audio headset designed to guide visually impaired partially sighted or blind people. The company's mobile application combines cognitive vision, artificial intelligence, stereophony, and 3D sound technology-based camera fitted-audio headset to vocalize the environment of the user, enabling visually disabled people to improve their daily lives by receiving proper guidance.</t>
  </si>
  <si>
    <t>blinds care, disabled care, guidance application, intelligent device, intelligent sensors, mobile application, virtual guidance, visually impaired</t>
  </si>
  <si>
    <t>Artificial Intelligence &amp; Machine Learning, Augmented Reality, Mobile, TMT</t>
  </si>
  <si>
    <t>213762-70T</t>
  </si>
  <si>
    <t>Selvia (Food Products)</t>
  </si>
  <si>
    <t>Developer of salt substitutes intended to reduce sodium intake and promote overall health. The company's product provides an alternative to regular table salt and contains less sodium while maintaining palatability in diets, enabling the food industry and the general public to combat the negative health effects associated with excessive sodium consumption.</t>
  </si>
  <si>
    <t>Intellagri Capital</t>
  </si>
  <si>
    <t>cooking ingredients, flavors enhancers, healthy product, low sodium, pantry essentials, taste enhancers</t>
  </si>
  <si>
    <t>191853-01T</t>
  </si>
  <si>
    <t>Solinki</t>
  </si>
  <si>
    <t>Consulting Services (B2B), Human Capital Services*</t>
  </si>
  <si>
    <t>Provider of human resource services intended to provide recruitment services to the companies. The company's services utilize a pool of consultants who have worked and managed teams in the sector concerned with recruitment, a national network, a database of candidates and proximity to clients, enabling companies to meet their recruitment needs effectively.</t>
  </si>
  <si>
    <t>BNP Paribas (PAR: BNP), Bpifrance(Joséphine Marie), Business Angels Club Berlin-Brandenburg(Michael Cortelletti), Grenoble Angels, Polymatter Ventures</t>
  </si>
  <si>
    <t>human resources agency, human resources supplier, recruitment firm, recruitment services, recruitment services consulting, recruitment services firm</t>
  </si>
  <si>
    <t>241363-36T</t>
  </si>
  <si>
    <t>Vassard Omb Mobilier</t>
  </si>
  <si>
    <t>Distributors/Wholesale*, Home Furnishings</t>
  </si>
  <si>
    <t>Distributor of office furniture and printing systems intended to support businesses in arranging office furniture and optimizing document flows. The company offers furniture for offices, headquarters, meetings, reception, community, ergonomics, design, copiers, fax, scan, printer, duplicators, EDM and software products, enabling businesses to design the best possible professional environment.</t>
  </si>
  <si>
    <t>furniture good, furniture supply, office furniture goods, office furniture sales, wholesale portal, wholesaler firm</t>
  </si>
  <si>
    <t>181519-39T</t>
  </si>
  <si>
    <t>Bpifrance, Finorpa(Olivier Nuns), IRD Invest, Nord Capital Partenaires(Vincent Chadenat), Nord Création(Christophe Marechal), Turenne Groupe</t>
  </si>
  <si>
    <t>186927-67T</t>
  </si>
  <si>
    <t>Dense Fluid Degreasing</t>
  </si>
  <si>
    <t>Machinery (B2B)*, Other Commercial Services</t>
  </si>
  <si>
    <t>Manufacturer of innovative cleaning and degreasing equipment intended to provide an environmentally friendly alternative to industrial machine cleaning. The company's equipment is based on the green chemistry process that uses supercritical carbon dioxide (CO2) to clean mechanical parts and textiles, enabling manufacturers to find more efficient and affordable systems for their cleaning needs.</t>
  </si>
  <si>
    <t>cleaning equipment, cleaning equipment servicing, cleantech equipment, degreasing services, ecological solvent, equipment cleaning, green cleaning, industrial cleaning system, machinery manufacturing</t>
  </si>
  <si>
    <t>201787-84T</t>
  </si>
  <si>
    <t>Eurodia</t>
  </si>
  <si>
    <t>220842-28T</t>
  </si>
  <si>
    <t>Hello Syndic</t>
  </si>
  <si>
    <t>Operator of a property management company intended to modernize the traditional sector of condominium trustees. The company's services mainly focus on offering modern, professional and responsive condominium management along with the preservation of the interests of the building, enabling clients to get informed and updated data as well as get involved in the union council efficiently.</t>
  </si>
  <si>
    <t>Tomcat Invest(Jeremy Pouyer)</t>
  </si>
  <si>
    <t>condominiums home, condominiums seller, condominiums trustee, property care services, property management, property recovery, residential property deal</t>
  </si>
  <si>
    <t>175525-12T</t>
  </si>
  <si>
    <t>Isorg</t>
  </si>
  <si>
    <t>Application Specific Semiconductors, Business/Productivity Software, Electronic Equipment and Instruments*, Network Management Software</t>
  </si>
  <si>
    <t>Developer of security and hardware designed to authenticate data. The company's platform and sensors integrate printed photodiodes on different substrates to enable large-area image sensors for the smartphone and security markets and extended applications in medical X-ray imaging, non-destructive testing and stock management, enabling industries to help keep the data safe and secure.</t>
  </si>
  <si>
    <t>Bpifrance, CEA Investissement, Enowe, Financière Fonds Privés(Thierry de Chambure), Integrated Systems Development SA, Mitsubishi (TKS: 8058)(Yoshiyuki Watanabe), New Science Ventures, Sofimac Innovation, Sumitomo Chemical Company (TKS: 4005)(Isao Kurimoto), Supernova Invest</t>
  </si>
  <si>
    <t>biometric security, biometric tools, iot hardware, print electronics, security center, security system, sensor technology, sensors &amp; sensor system, sensors and sensor system</t>
  </si>
  <si>
    <t>Cybersecurity, Internet of Things, Manufacturing</t>
  </si>
  <si>
    <t>182092-69T</t>
  </si>
  <si>
    <t>Impact Partners (Paris), Techcare Company</t>
  </si>
  <si>
    <t>177677-20T</t>
  </si>
  <si>
    <t>WeWeb</t>
  </si>
  <si>
    <t>Developer of a website-building platform designed to offer website-builder services to everyone. The company's platform can build, customize, code, and connect any backend server to build websites and deliver them in an ultra-intuitive editor, enabling developers to create websites for non-tech people efficiently.</t>
  </si>
  <si>
    <t>42CAP, Astir Ventures, Benhamou Global Ventures, COIND (United States), Crowd Venture Capital, Emmanuel Cassimatis(Emmanuel Cassimatis), Id4 Ventures, Kima Ventures, LeFonds, Lightspeed Ventures, Oyster Ventures, To Kenz Capital, Xavier Prélat(Xavier Prélat), Y Combinator</t>
  </si>
  <si>
    <t>front-end design software, front-end tools, front-end web development, web development company, web development firm, web development platform, website building tools</t>
  </si>
  <si>
    <t>182125-45T</t>
  </si>
  <si>
    <t>Zenchef</t>
  </si>
  <si>
    <t>Developer of a digital marketing SaaS suite designed to let restaurants create their own websites and manage incoming reservations. The company's platform specializes in the digitalization of the catering sector and offers an online interface that assists in integrating public information that is automatically synchronized to the web and mobile sites, enabling restaurateurs owners to attract customers, increase loyalty and improve customer experience.</t>
  </si>
  <si>
    <t>Edenred Capital Partners, Elaia Partners(Samantha Jérusalmy)</t>
  </si>
  <si>
    <t>data integration, enterprise resource planning, erp, online marketing, restaurant booking, restaurant online marketing, restaurant platform, synchronization tools, website creation</t>
  </si>
  <si>
    <t>Marketing Tech, Mobile, Restaurant Technology, SaaS, TMT</t>
  </si>
  <si>
    <t>188591-95T</t>
  </si>
  <si>
    <t>European Investment Bank (Luxembourg), La French Tech Rennes St Malo, Sofinnova Partners</t>
  </si>
  <si>
    <t>232386-94T</t>
  </si>
  <si>
    <t>175422-43T</t>
  </si>
  <si>
    <t>Bpifrance(Joséphine Marie), Groupe Artemis(Francois-Henri Pinault), Kima Ventures, Lupa Systems, Next World Capital, NJJ Capital, Orange Ventures, Red River West(Alfred Vericel), Tikehau Capital (PAR: TKO)</t>
  </si>
  <si>
    <t>175424-95T</t>
  </si>
  <si>
    <t>Ergosante</t>
  </si>
  <si>
    <t>Business Equipment and Supplies*, Home Furnishings</t>
  </si>
  <si>
    <t>Manufacturer of ergonomic products intended to improve working conditions. The company specializes in adapting workstations and manufacturing exoskeletons to improve body posture, whether seated or standing, enabling customers to reduce the strain on their bodies and facilitate access to work for the most exposed people and in particular people with disabilities.</t>
  </si>
  <si>
    <t>Investir &amp;+, Mutualité Française Limousine, Siparex Group</t>
  </si>
  <si>
    <t>ergonomic aids, ergonomic products, manufacturing company, office setup, posture device, table chair</t>
  </si>
  <si>
    <t>Anduze, France</t>
  </si>
  <si>
    <t>181465-75T</t>
  </si>
  <si>
    <t>Eveon</t>
  </si>
  <si>
    <t>Drug Delivery, Other Devices and Supplies*, Other Healthcare Technology Systems</t>
  </si>
  <si>
    <t>Developer of medical devices designed to improve the preparation and administration of complex drugs. The company's platform provides automated preparation and delivery of complex drugs such as Lyophilized and powdered formulations, enabling patients to reconstitute or deliver treatments by themselves safely and efficiently at home while staying connected with healthcare professionals.</t>
  </si>
  <si>
    <t>Crédit Agricole Sud Rhône-Alpes (PAR: CRSU), Medevice Capital</t>
  </si>
  <si>
    <t>drugs administration, medical device dealer, medical device portal, medical device tools, smart medical devices, therapeutic treatment</t>
  </si>
  <si>
    <t>182004-31T</t>
  </si>
  <si>
    <t>Caisse d'Epargne, Didier Le Menestrel(Didier Le Menestrel), NCI Gestion, Notus Technologies, Techmind</t>
  </si>
  <si>
    <t>174190-33T</t>
  </si>
  <si>
    <t>Xenothera</t>
  </si>
  <si>
    <t>Developer of immunosuppressants designed for transplantation and other indications. The company developed a Glyco-humanized antibody platform with embedded technology for the creation of hyperimmune polyclonal sera, enabling the medical community to optimize immunological treatments.</t>
  </si>
  <si>
    <t>Anaxago, CapHorn Invest, Didier Rousseau, European Innovation Council Fund, FAMM Group, Malakoff Humanis, Nabuboto</t>
  </si>
  <si>
    <t>antibody, biologics, drug develop company, drug production, drug research, genetic engineering, infectious disease, renal transplantation</t>
  </si>
  <si>
    <t>175269-43T</t>
  </si>
  <si>
    <t>Atlantic Vendée Innovation, Sodero</t>
  </si>
  <si>
    <t>175108-69T</t>
  </si>
  <si>
    <t>Mayday</t>
  </si>
  <si>
    <t>Developer of business software designed to provide customer services that centralize all knowledge of procedures in a harmonized format. The company's software uses artificial intelligence to provide a reliable source that is instantaneous and accessible anywhere, enabling organizations to boost agent productivity by guiding them through ticket resolution.</t>
  </si>
  <si>
    <t>AngelSquare, Bpifrance(Edwige Kharoubi), Cameleon Invest, Ternel</t>
  </si>
  <si>
    <t>agent productivity, customer service, employee satisfaction, knowledge management, saas software, smart assistant, ticketing resolution</t>
  </si>
  <si>
    <t>195579-82T</t>
  </si>
  <si>
    <t>Sparkup (Communication Software)</t>
  </si>
  <si>
    <t>Developer of event application platform designed to offer practical information, interactivity, and networking. The company's platform provides mobile applications to enhance audience engagement at conferences and educational settings, enabling companies to transform training and events into interactive experiences.</t>
  </si>
  <si>
    <t>Alliance Entreprendre, Trail Solutions Patrimoine</t>
  </si>
  <si>
    <t>audience engagement, conference experience, conference interaction, corporate training, corporate training events, digital learning, events software</t>
  </si>
  <si>
    <t>180621-55T</t>
  </si>
  <si>
    <t>Horse Republic</t>
  </si>
  <si>
    <t>Accessories, Information Services (B2C)*, Specialty Retail</t>
  </si>
  <si>
    <t>Operator of a collaborative application designed to modernize horse riding. The company centralizes all the information useful to horse enthusiasts, in concentrating on technology, it gathers the opinions of the riders and offers media services dedicated to the competition, enabling riders to search for a stable or a nearby club to put their horse there.</t>
  </si>
  <si>
    <t>Bpifrance, Business Angels</t>
  </si>
  <si>
    <t>collaborative application, marketing service, riders application, riders connection, sports application development, sports software product</t>
  </si>
  <si>
    <t>190454-23T</t>
  </si>
  <si>
    <t>175277-89T</t>
  </si>
  <si>
    <t>Agilitest</t>
  </si>
  <si>
    <t>Developer of a no-code functional testing platform designed to create, maintain, and automate tests. The company's platform helps to achieve functional testing and automation goals and provides all software testers with an intuitive and robust way to create, maintain, and execute automated functional tests, enabling clients to have codeless functional testing at scale.</t>
  </si>
  <si>
    <t>Bpifrance, SIDE Capital(Renaud Guillerm), Thierry Petit</t>
  </si>
  <si>
    <t>automated functional testing, automated test, continuous testing platform, open source software, software testing, software testing platform, test automation suites, testing software, testing software developer</t>
  </si>
  <si>
    <t>Biguglia, France</t>
  </si>
  <si>
    <t>174941-92T</t>
  </si>
  <si>
    <t>Bling</t>
  </si>
  <si>
    <t>Developer of a budgeting application designed to provide healthy alternatives to the punitive treatment of banks and improve financial health. The company's application notifies about the anti-overdraft alerts, direct bank balance, and cash flow prediction and lets users know when they need to take it easy on expenses or if they have a better bailout to dodge overdrafts, enabling users to avoid end-of-month expenses without degrading the situation.</t>
  </si>
  <si>
    <t>Courtin Investment, Flor do Cafè, Goodwater Capital, Wind Capital</t>
  </si>
  <si>
    <t>bnpl, budget app, budget management app, budget planner, budgeting app, buy now pay later, credit, credit &amp; banking, credit &amp; bnpl, credit and banking, financial app, money management app, personal finance app</t>
  </si>
  <si>
    <t>172094-77T</t>
  </si>
  <si>
    <t>Cryptosense</t>
  </si>
  <si>
    <t>Developer of a cryptography management platform designed to protect sensitive data and protect against data breaches. The company's software combines automated analysis across infrastructure and applications, offers deep visibility and actionable insights, performs systematic analysis and continuous monitoring, and identifies and remediates security risks in the crypto infrastructure, enabling financial institutions and technology businesses to avoid loss of data, reputational damage, and financial loss.</t>
  </si>
  <si>
    <t>Amadeus Capital Partners(Nicholas Kingsbury), Benhamou Global Ventures(Sarah Benhamou), Elaia Partners(Xavier Lazarus)</t>
  </si>
  <si>
    <t>application security, cloud security, cryptography technology, data protection, information security, network security</t>
  </si>
  <si>
    <t>175091-59T</t>
  </si>
  <si>
    <t>Arkéa Capital, Bpifrance, Credit Mutuel Arkea, Nicolas Fritz(Nicolas Fritz), Ternel</t>
  </si>
  <si>
    <t>186081-22T</t>
  </si>
  <si>
    <t>Bpifrance(Benoit Barteau), GO Capital (France)(Herve Bachelot Lallier), Sofimac Innovation(Francois Miceli), UI Investissement(Francois Miceli)</t>
  </si>
  <si>
    <t>175834-99T</t>
  </si>
  <si>
    <t>KITCH'N BOX</t>
  </si>
  <si>
    <t>Buildings and Property*</t>
  </si>
  <si>
    <t>Operator of turnkey activity spaces designed to serve food delivery, production, and logistics industries. The company offers renting and leasing of premises to produce, store, create, deliver, test, package, and dispatch food, also provides equipment and kitchen materials, enabling catering and food-tech professionals to use spaces and technical services.</t>
  </si>
  <si>
    <t>business space rental, cold storages, drying storage, food logistics, food production site, ghost kitchen, professional kitchen, professional kitchen equipment, restaurant &amp; retail tech, restaurant and retail technology, warehousing and fulfillment, warehousing fulfillment, warehousing technology</t>
  </si>
  <si>
    <t>FoodTech, Infrastructure, Restaurant Technology, Supply Chain Tech</t>
  </si>
  <si>
    <t>177819-40T</t>
  </si>
  <si>
    <t>Get Circle</t>
  </si>
  <si>
    <t>Information Services (B2C), Internet Retail, Media and Information Services (B2B)*, Social/Platform Software</t>
  </si>
  <si>
    <t>Developer of a data-driven social platform designed for selling multibranded products. The company's platform allows users to choose and sell committed brands and train, select, and connect an exclusive pool of qualified, authentic sales individuals with brands, to their circles and earn a commission on each sale, enabling brands to increase their revenue.</t>
  </si>
  <si>
    <t>ecommerce saas, online market, online marketplace, social marketing app, social retail, social selling</t>
  </si>
  <si>
    <t>E-Commerce, Marketing Tech, Mobile Commerce, SaaS</t>
  </si>
  <si>
    <t>174901-96T</t>
  </si>
  <si>
    <t>Alven Capital Partners(Bartosz Jakubowski), Anthemis, Hashkey Capital, Point Nine Capital, Underscore VC(Richard Dulude)</t>
  </si>
  <si>
    <t>181575-10T</t>
  </si>
  <si>
    <t>Abeille Impact Investing France, MAIF Impact, NovESS, Phitrust Partenaires</t>
  </si>
  <si>
    <t>174953-26T</t>
  </si>
  <si>
    <t>Sidecare</t>
  </si>
  <si>
    <t>Insurance Brokers*, Media and Information Services (B2B)</t>
  </si>
  <si>
    <t>Developer of a fintech platform intended for the distribution and management of health and risk insurance. The company's platform identifies opportunities for improvement on prices and guarantees without obligation and also provides a free tool for managing arrivals and departures, enabling firms to optimize and simplify the management of their health and risk contracts via a single platform, regardless of the insurer.</t>
  </si>
  <si>
    <t>Partech(Philippe Collombel)</t>
  </si>
  <si>
    <t>collective agreement, comprehensive insurance, group insurance, insurance provider, insurance tech, provident insurance</t>
  </si>
  <si>
    <t>FinTech, HR Tech, InsurTech</t>
  </si>
  <si>
    <t>188279-20T</t>
  </si>
  <si>
    <t>Specify</t>
  </si>
  <si>
    <t>Developer of a design data platform intended to help companies unify their brand identity. The company's platform offers an application that helps in collecting, storing, and distributing design tokens and assets automatically, enabling clients to ensure brand consistency across any product or platform.</t>
  </si>
  <si>
    <t>360 Capital, Bpifrance, Eurazeo (PAR: RF), Idinvest Partners, Seedcamp</t>
  </si>
  <si>
    <t>brand guideline tools, brand identity, brand identity design, brand identity systems, branding consistency, design systems</t>
  </si>
  <si>
    <t>203024-62T</t>
  </si>
  <si>
    <t>Agripolis</t>
  </si>
  <si>
    <t>Developer of urban production farming technology designed to transform unused surfaces into urban agriculture spaces. The company's farming facility uses the productive culture column technique without the use of any land and pesticides to do urban farming on any open space like rooftops or any flat surface and use it for market products as well, enabling clients to produce pesticide-free fresh vegetable and fruit based on organic nutrients.</t>
  </si>
  <si>
    <t>farming techniques, indoor farming, indoor growers, organic farming, rooftop farming, smart farming, urban farming</t>
  </si>
  <si>
    <t>181663-03T</t>
  </si>
  <si>
    <t>Plezi</t>
  </si>
  <si>
    <t>Developer of a B2B digital marketing automation software designed to simplify inbound marketing actions. The company's software simplifies by guiding in the publication, promotion, and automation of each of its contents, generate more leads, qualify better and support growth, enabling marketing businesses to improve their sales and maximize the efficiency.</t>
  </si>
  <si>
    <t>Foundation Asset Management, Odyssee Venture</t>
  </si>
  <si>
    <t>b2b marketing, digital marketing, generate leads, lead generation, marketing automation, marketing firm</t>
  </si>
  <si>
    <t>177927-76T</t>
  </si>
  <si>
    <t>Actronika</t>
  </si>
  <si>
    <t>Business/Productivity Software, Electronic Equipment and Instruments*, Electronics (B2C)</t>
  </si>
  <si>
    <t>Developer of a haptic technology designed to enhance user experience and reduce maintenance costs. The company's technology offers signal processing in the field of mechatronics and robotics with the help of vibrotactile, enabling users to run modular and configurable hardware conveniently.</t>
  </si>
  <si>
    <t>Btomorrow Ventures(Lisa Smith)</t>
  </si>
  <si>
    <t>haptic system, haptic technology, robotics software, signal processing, user experience design, vibrotactile technology</t>
  </si>
  <si>
    <t>SaaS, Wearables &amp; Quantified Self</t>
  </si>
  <si>
    <t>174685-51T</t>
  </si>
  <si>
    <t>Citizen Capital, ISAI, Polymatter Ventures</t>
  </si>
  <si>
    <t>175979-44T</t>
  </si>
  <si>
    <t>GO Capital (France), Karista (Paris)(Baudouin Hue)</t>
  </si>
  <si>
    <t>193900-24T</t>
  </si>
  <si>
    <t>Ideta</t>
  </si>
  <si>
    <t>Developer of an engagement platform designed to automate and enhance customer interaction. The company's artificial intelligence-based platform offers real-time interaction, automates liking, responding, and generating comments, and integrates with third-party apps and databases, enabling businesses to provide immediate responses to customer inquiries, improving satisfaction and retention.</t>
  </si>
  <si>
    <t>ai chatbot, chatbot platform, conversation automation, customer engagement, customer support, real time interaction</t>
  </si>
  <si>
    <t>174689-56T</t>
  </si>
  <si>
    <t>SportEasy</t>
  </si>
  <si>
    <t>Application Software*, Business/Productivity Software, Communication Software</t>
  </si>
  <si>
    <t>Operator of a sports club management platform intended for organizing games and sports practices. The company's application allows mentors to get their teams organized and players to share their passion and communicate with their teammates, enabling managers, coaches, volunteers, and players to spend more time on the field and less time in the office and receive useful insights about their teams.</t>
  </si>
  <si>
    <t>Mutuelle Assurance Commerçants et Industriels France, Seventure Partners</t>
  </si>
  <si>
    <t>organize service, sports team, team communication, team communication platform, team management, team management platform</t>
  </si>
  <si>
    <t>Esports, Mobile, TMT</t>
  </si>
  <si>
    <t>123001-75T</t>
  </si>
  <si>
    <t>Talendi</t>
  </si>
  <si>
    <t>Operator of an institution and service of assistance through work created to give employment in companies to people with disabilities. The company's activities include industrial services whose main activity is the assembly of subassemblies and assemblies under the French Industrial Adapted Enterprise initiative, enabling companies to create job opportunities in a company to people weakened by a handicap.</t>
  </si>
  <si>
    <t>Schneider Electric (Electrical Equipment) (PAR: SU)(Gilles Desroches)</t>
  </si>
  <si>
    <t>assistance platform, disability care, employment opportunities, employment services, handicapped care, human capital service</t>
  </si>
  <si>
    <t>Noyal-Chatillon-sur-Seiche, France</t>
  </si>
  <si>
    <t>170173-18T</t>
  </si>
  <si>
    <t>360 Capital(Alexandre Mordacq), Anne Coen(Anne Coen), Blue Impact Ventures, David Nolan(David Nolan), Founders Future(Maxime de Varine-Bohan), Kevin Glynn(Kevin Glynn), Lawrence Leuschner(Lawrence Leuschner), Martin Ohannessian(Martin Ohannessian), Michael Wystrach(Michael Wystrach), PFR Ventures, SWEN Blue Ocean Partners, Thibault Lamarque(Thibault Lamarque), White Star Capital(Matthieu Lattes)</t>
  </si>
  <si>
    <t>159726-25T</t>
  </si>
  <si>
    <t>BlackFin Capital Partners(Julien Creuze), Hedosophia, MTech Capital</t>
  </si>
  <si>
    <t>175482-10T</t>
  </si>
  <si>
    <t>Anthemis</t>
  </si>
  <si>
    <t>174526-57T</t>
  </si>
  <si>
    <t>Meta API</t>
  </si>
  <si>
    <t>Automation/Workflow Software, Business/Productivity Software*, Media and Information Services (B2B), Network Management Software</t>
  </si>
  <si>
    <t>Developer of cloud-based data sourcing and data integration platform designed to help companies access data they need for their business. The company's platform offers online code editing, secure authentication, deployment, API monitoring and application integration, enabling companies to use the power of APIs to collect data and automate actions.</t>
  </si>
  <si>
    <t>api monitoring software, application programming interface, automation platform, cloud-based, data integration platform, data integration tech, data sources platform</t>
  </si>
  <si>
    <t>174663-64T</t>
  </si>
  <si>
    <t>Aum Biosync</t>
  </si>
  <si>
    <t>Developer of an artificial intelligence platform designed for monitoring and optimizing work-life balance. The company's platform specializes in giving help to professionals having a night shift, and any assistance required in an emergency, enabling companies to manage the work-life balance and create an optimal working pattern for their employees.</t>
  </si>
  <si>
    <t>Apicil Group(Thomas Perrin), Bourgogne Franche Comte Angels(Dominique Melet), Bpifrance, Mandalore Partners, Steva Investissement(Jean-Philippe Girard), VivaTech</t>
  </si>
  <si>
    <t>artificial intelligence system, biological rhythms, first responder, first responders, healthcare data analytics, machine learning, vertical application, workforce planning, workforce planning tools</t>
  </si>
  <si>
    <t>173277-46T</t>
  </si>
  <si>
    <t>Babbar</t>
  </si>
  <si>
    <t>Developer of a data analytics platform intended to better understand the positioning performance of each web page. The company's platform leverages technology to simulate the algorithmic behavior of a search engine when it browses the web and makes it possible to predict and measure the ability of a site to position itself at the highest point in the search engine results in pages, enabling advertisers to better understand their web page performance.</t>
  </si>
  <si>
    <t>Bpifrance, GO Capital (France)(Bruno Guicheux), Normandie Business Angels, Normandie Participations</t>
  </si>
  <si>
    <t>ad tech company, martech data, martech decision, saas platform business acceleration, saas platform software, saas platform suites, web data access platform</t>
  </si>
  <si>
    <t>Le Petit-Quevilly, France</t>
  </si>
  <si>
    <t>179722-00T</t>
  </si>
  <si>
    <t>Dive (Business/Productivity Software)</t>
  </si>
  <si>
    <t>Business/Productivity Software*, Database Software, Media and Information Services (B2B)</t>
  </si>
  <si>
    <t>Developer of an analytics platform designed to help direct-to-consumer brands grow profitably. The company's platform collects, stores and organizes all e-commerce data of the users in one place, helps analyze and communicates the data with the team, enabling businesses to get profitable by leveraging data.</t>
  </si>
  <si>
    <t>analytics platform, analytics platform operator, analytics platform software, data analysis, data analytics, data communication, data sharing, data visualization</t>
  </si>
  <si>
    <t>174432-61T</t>
  </si>
  <si>
    <t>Mnemo Therapeutics</t>
  </si>
  <si>
    <t>Operator of a drug discovery platform designed to develop immune based therapies, including powerful cell therapies, that create accessible cures for solid tumors and blood cancers. The company's platform offers leveraging epigenetic variation and CAR-T precision genetic engineering technology to target tumorous epitopes that are broadly represented across various cancers, enabling patients to get allogeneic treatments to overcome disease.</t>
  </si>
  <si>
    <t>Alexandria Venture Investments, Casdin Capital(Eli Casdin), Emerson Collective, Redmile Group, Sofinnova Partners(Antoine Papiernik)</t>
  </si>
  <si>
    <t>biotechnology research company, biotechnology research platform, biotechnology research software, cancer drug therapy, cancer treatment, cell therapy, drug discovery, immune cells, tumor cells, tumor treatment</t>
  </si>
  <si>
    <t>174365-20T</t>
  </si>
  <si>
    <t>Memo Bank</t>
  </si>
  <si>
    <t>National Banks*</t>
  </si>
  <si>
    <t>Commercial Banks</t>
  </si>
  <si>
    <t>Provider of commercial banking services intended to streamline the financial process. The company's services capitalize on automation technologies and offer transparency into contracts and pricing, enabling small to medium-sized enterprises to reduce time spent on low-impact administrative tasks and contract negotiation.</t>
  </si>
  <si>
    <t>BlackFin Capital Partners(Paul Mizrahi), Daphni, EGR Partners, Jaina Capital, Serena (Paris)(Xavier Lorphelin)</t>
  </si>
  <si>
    <t>commercial bank operation, commercial bank operator, commercial bank product, commercial bank service, commercial banking, commercial banking facility, commercial banking product, commercial banking product and services, commercial banking service provider</t>
  </si>
  <si>
    <t>National Banks</t>
  </si>
  <si>
    <t>213571-09T</t>
  </si>
  <si>
    <t>Oxane</t>
  </si>
  <si>
    <t>Provider of pet care services intended to contribute towards the development of preventive medicine and the monitoring of chronic diseases. The company offers digital services both for the improvement of animal health and well-being and for the development of veterinary activities, enabling clients to build personalized programs according to the specific needs of each animal and helping individuals manage the health of their pets.</t>
  </si>
  <si>
    <t>VetFamily</t>
  </si>
  <si>
    <t>animal disease, animal healthcare, chronic care, disease prevention program, pet care services firm, vet service</t>
  </si>
  <si>
    <t>208032-31T</t>
  </si>
  <si>
    <t>283346-65T</t>
  </si>
  <si>
    <t>Alpha Protocol Ventures, Hedosophia</t>
  </si>
  <si>
    <t>174275-29T</t>
  </si>
  <si>
    <t>Joovence</t>
  </si>
  <si>
    <t>Clinics/Outpatient Services*, Other Healthcare Services, Other Healthcare Technology Systems</t>
  </si>
  <si>
    <t>Developer of a dental care platform designed to modernize orthodontic treatment. The company's platform performs remote monitoring and uses dental impressions to develop interactive 3D treatment and regularly sends photos of progress to the practitioner, enabling patients to get teeth alignment treatments with minimal appointments.</t>
  </si>
  <si>
    <t>Daffourd Invest, LO Capital, Newfund Management(Augustin Sayer)</t>
  </si>
  <si>
    <t>dental care, dental care platform, dental technology, dental treatment, oral examination, orthodontic treatment, remote monitoring, teeth care</t>
  </si>
  <si>
    <t>175315-42T</t>
  </si>
  <si>
    <t>Homeys</t>
  </si>
  <si>
    <t>Business/Productivity Software*, Electronic Equipment and Instruments, Media and Information Services (B2B), Other Energy</t>
  </si>
  <si>
    <t>Developer of energy consumption software designed to help save on the bills through personalized data intelligence. The company offers a web interface for real-time monitoring, heating season reports, and mail alerts, enabling businesses to accelerate the energy transition of buildings for sustainable savings.</t>
  </si>
  <si>
    <t>Saint-Gobain NOVA, Sonergia</t>
  </si>
  <si>
    <t>building energy efficiency, decarbonization system, energy consumption reduction, energy saving system, energy waste reduction, greentech firm, heating process</t>
  </si>
  <si>
    <t>Artificial Intelligence &amp; Machine Learning, CleanTech, Climate Tech, SaaS</t>
  </si>
  <si>
    <t>175289-14T</t>
  </si>
  <si>
    <t>Bpifrance, Kurma Partners(Benjamin Belot), Newfund Management, TLM360 Invest</t>
  </si>
  <si>
    <t>175344-85T</t>
  </si>
  <si>
    <t>Bpifrance, Constructive Venture Fund, Eurazeo (PAR: RF)(Matthieu Bonamy), Financière Saint James, Red River West, Verve Ventures</t>
  </si>
  <si>
    <t>174087-64T</t>
  </si>
  <si>
    <t>Hexa, Lead Edge Capital, Thibaud Elziere(Thibaud Elziere), Viralety Ventures, YADAY(Romain Afflelou)</t>
  </si>
  <si>
    <t>181899-82T</t>
  </si>
  <si>
    <t>Vite mon Marché</t>
  </si>
  <si>
    <t>Beverages, Food Products*, Internet Retail</t>
  </si>
  <si>
    <t>Operator of an on-demand grocery platform intended to deliver food sourced from local producers. The company's platform offers a wide assortment of groceries, fruits, and vegetables, meat, fish, bakery items, creamery, and beverages, enabling consumers to purchase products online and get them delivered to their homes at their convenience.</t>
  </si>
  <si>
    <t>Epopée Gestion, GO Capital (France)</t>
  </si>
  <si>
    <t>food delivery, food ecommerce, food logistics, food services, fresh food, local food, online grocer, organic farming</t>
  </si>
  <si>
    <t>E-Commerce, FoodTech, LOHAS &amp; Wellness, TMT</t>
  </si>
  <si>
    <t>Reze, France</t>
  </si>
  <si>
    <t>174264-49T</t>
  </si>
  <si>
    <t>Adobis Group</t>
  </si>
  <si>
    <t>Developer of data management platform intended to facilitate the analysis of the information collected. The company's platform offers tools to integrate and manage data by accessing structured and unstructured information with the help of predefined connectors, media, and internal or external documents, enabling organizations to organize complex data and simplify operations.</t>
  </si>
  <si>
    <t>Docaposte</t>
  </si>
  <si>
    <t>analytics platform, business data analysis, data management platform, information management tool, operational needs, unstructured information</t>
  </si>
  <si>
    <t>160282-72T</t>
  </si>
  <si>
    <t>360 Capital, Airbus Ventures, BNP Paribas Développement, Bpifrance(Olivier Rameil), Cameleon Invest, d'lle de France, D-Novafund, Jezby Ventures, Octave Klaba(Octave Klaba), Varsity VC, Verve Ventures</t>
  </si>
  <si>
    <t>173980-45T</t>
  </si>
  <si>
    <t>IconoClass</t>
  </si>
  <si>
    <t>Business/Productivity Software, Education and Training Services (B2B)*, Educational and Training Services (B2C), Educational Software</t>
  </si>
  <si>
    <t>Operator of a business school intended to equip students with business development skills and secure them permanent jobs. The company's platform offers a four-month intensive training program for roles such as sales development representative, business developer, customer success manager, account manager, sales operations, and commercial sales representative with practice-based learning from working professionals, enabling students to learn and get placements through the company.</t>
  </si>
  <si>
    <t>Brighteye Ventures(Andrew Stone), Bruno Sola(Bruno Sola), Cédric Sellin, Josef Bovet(Josef Bovet), Made For All, Maze X, MSM(António Miguel), Mustard Seed + Partners</t>
  </si>
  <si>
    <t>business development training, personal development platform, professional development platform, professional training company, tech platform, training programmes</t>
  </si>
  <si>
    <t>173977-93T</t>
  </si>
  <si>
    <t>Kocliko</t>
  </si>
  <si>
    <t>Business/Productivity Software*, Environmental Services (B2B), Other Commercial Services, Other Energy</t>
  </si>
  <si>
    <t>Developer of an energy assessment software designed to calculate, control, and optimize energy consumption in buildings. The company's software uses machine learning technology and energy simulation tools to track the consumption behavior of inmates, detect abnormal energy usage, and produce information and audit reports on buildings, enabling social landlords, trustees, homeowners, and developers to make housing projects energy-efficient and curtail energy bills by reducing excessive usage of electricity.</t>
  </si>
  <si>
    <t>Banque Populaire, Bpifrance, ICC, IRDI Capital Investissement, Izuba Energies, New Aquitaine, Rugby Angels network</t>
  </si>
  <si>
    <t>building energy efficiency, built environment, connected buildings, energy consumption analysis, energy consumption data, energy consumption management, energy consumption tracker, energy consumption tracking, home energy monitoring, housing energy management</t>
  </si>
  <si>
    <t>174783-52T</t>
  </si>
  <si>
    <t>Alexandre Fretti(Alexandre Fretti), Alexandre Lebrun(Alexandre Lebrun), Firstminute Capital, Jerome Joaug(Jerome Joaug), Marie Outtier(Marie Outtier), Simon Dawlat(Simon Dawlat)</t>
  </si>
  <si>
    <t>173909-17T</t>
  </si>
  <si>
    <t>Global Founders Capital, Paris-Saclay Seed Fund, Rocket Internet Capital Partners, Sequoia Capital</t>
  </si>
  <si>
    <t>173852-11T</t>
  </si>
  <si>
    <t>Accel(Sonali De Rycker), Alven Capital Partners, Andreessen Horowitz(Andrew Chen), DST Global, LionTree Partners, TQ Ventures</t>
  </si>
  <si>
    <t>174581-92T</t>
  </si>
  <si>
    <t>Buldi</t>
  </si>
  <si>
    <t>Information Services (B2C), Media and Information Services (B2B), Real Estate Services (B2C)*</t>
  </si>
  <si>
    <t>Developer of construction project platform designed to create a house or an extension model according to the choice of the user. The company's platform uses algorithms to target the most relevant construction professionals and connect them with the user and the professional has the choice of selecting the project and responding to it by sending the individual a personalized proposal, enabling users to build their house by selecting the right construction professional for their project.</t>
  </si>
  <si>
    <t>Bpifrance, Region of Brittany, Sofimac Innovation, The Moon Venture</t>
  </si>
  <si>
    <t>construction managment, construction professionals, construction project, construction project consulting, home customization, home modelling, house extensions, project platform</t>
  </si>
  <si>
    <t>Betton, France</t>
  </si>
  <si>
    <t>183669-58T</t>
  </si>
  <si>
    <t>Quasar(Database Software)</t>
  </si>
  <si>
    <t>Developer of a database management system designed to overcome demanding time series data challenges without compromising on speed and accuracy. The company's system is based on not only Structured Query Language (NoSQL) for hyper-scalable architecture that empowers backtesting, fraud detection, predictive maintenance projects, and compliance, enabling users to interact with the financial market data and make smarter decisions.</t>
  </si>
  <si>
    <t>Tech Square Ventures(Blake Patton)</t>
  </si>
  <si>
    <t>data insights, data warehouse, deployment service, edge computing, industrial data analytics, streaming analytics, time series database, vertical application</t>
  </si>
  <si>
    <t>245300-68T</t>
  </si>
  <si>
    <t>180881-65T</t>
  </si>
  <si>
    <t>Novaquark</t>
  </si>
  <si>
    <t>Entertainment Software*, Multimedia and Design Software</t>
  </si>
  <si>
    <t>Developer of a multiplayer video game designed to deliver a shared universe that can be simultaneously modified and inhabited by people. The company's game uses proprietary single-shard cluster technology with editable content manages the universe and supports player-driven in-game economies, trade, politics, and warfare, enabling players to freely modify the voxel-based universe to create anything they want, including superstructures, spaceships, and giant orbital stations.</t>
  </si>
  <si>
    <t>Azom Partners</t>
  </si>
  <si>
    <t>digital gaming, gaming content, gaming platform, metaverse technology, online games, pc games, video game, virtual gaming technology</t>
  </si>
  <si>
    <t>Gaming, Virtual Reality</t>
  </si>
  <si>
    <t>173453-50T</t>
  </si>
  <si>
    <t>Trust Esport(Matthieu Dallon)</t>
  </si>
  <si>
    <t>173370-25T</t>
  </si>
  <si>
    <t>Bpifrance(Emmanuel Audouard), Celeste Management(Dimitri Boulanger), Ovive(Amaury Bierent), Supernova Invest(Marine Glon)</t>
  </si>
  <si>
    <t>219360-16T</t>
  </si>
  <si>
    <t>Retail Shake</t>
  </si>
  <si>
    <t>Developer of competitive intelligence technology designed to monitor the retail market. The company has developed a competitive intelligence tool that offers price monitoring, product comparison, benchmarking, tracking promotions, geolocating stock, and business intelligence, enabling businesses to optimize their stock, merchandising plan, and marketing strategy.</t>
  </si>
  <si>
    <t>Finovam Gestion, Insitoo-It, Nord Création</t>
  </si>
  <si>
    <t>competitive intelligence, price monitoring, price monitoring platform, price monitoring system, product comparison platform, retail monitoring</t>
  </si>
  <si>
    <t>181594-72T</t>
  </si>
  <si>
    <t>Aplo</t>
  </si>
  <si>
    <t>Brokerage*, Financial Software, Other Financial Services</t>
  </si>
  <si>
    <t>Developer of a cryptocurrency trading software designed to offer fast, direct, and secure access to a range of digital assets. The company's platform uses an encryption scheme that allows the low-latency exchange of assets to protect user interests with chip encryption and predatory behavior prevention algorithms, advanced financial products are complemented by a zero-hassle setup, enabling customers to execute trades across the largest crypto-currency exchanges without needing to open and pre-fund each account separately so customers get the most productive trading experience possible.</t>
  </si>
  <si>
    <t>Acequia Capital, Alexis Bonillo(Alexis Bonillo), Atomico(Siraj Khaliq), Axeleo Capital(Mathieu Viallard), Charles Songhurst(Charles Songhurst), Draper Dragon, Kima Ventures, Marc Jalabert(Marc Jalabert), Pascal Gauthier(Pascal Gauthier), Semantic Ventures</t>
  </si>
  <si>
    <t>crypto institutional services, crypto investment platform, crypto platform, cryptocurrency trading, cryptocurrency trading platform, cryptocurrency trading terminal, investment platform, prime broker, trading platform, trading platform operator</t>
  </si>
  <si>
    <t>Brokerage</t>
  </si>
  <si>
    <t>249822-46T</t>
  </si>
  <si>
    <t>D-Codes</t>
  </si>
  <si>
    <t>Information Services (B2C), Media and Information Services (B2B)*</t>
  </si>
  <si>
    <t>Provider of consumer database in France intended for data-centric services. The company offers digital programs, and consulting using public knowledge and strategic advice, enabling clients to make meaningful and mutually profitable conversations with audiences.</t>
  </si>
  <si>
    <t>Axio Capital</t>
  </si>
  <si>
    <t>advertisers content, commercial database, data records, data services, digital programs, strategic advice</t>
  </si>
  <si>
    <t>180192-34T</t>
  </si>
  <si>
    <t>Grassin Décors</t>
  </si>
  <si>
    <t>Distributor of paint and decoration products based in Poitiers, France. The company offers floor, and tile painting, as well as installation of bathroom tools, accessories, and home improvement products, enabling customers to develop and design their homes in a pocket-friendly manner.</t>
  </si>
  <si>
    <t>Normandie Participations, Unexo</t>
  </si>
  <si>
    <t>bathroom accessories, decorating services, decoration accessories, finishing materials, home decorator, home painting products</t>
  </si>
  <si>
    <t>173238-13T</t>
  </si>
  <si>
    <t>Eurazeo (PAR: RF)(Yann-Hervé du Rusquec), Goldman Sachs Growth Equity(Alexandre Flavier)</t>
  </si>
  <si>
    <t>187142-95T</t>
  </si>
  <si>
    <t>Perfarmer</t>
  </si>
  <si>
    <t>Business/Productivity Software, Media and Information Services (B2B)*, Other Agriculture</t>
  </si>
  <si>
    <t>Developer of agricultural software designed to make it feasible to manage a farm. The company's software offers personalized alerts, risk simulators, a sales recording module, monitoring of physical prices and unbiased information to facilitate the sale of crops at the right price, enabling farmers to access information to make informed decisions on their harvest.</t>
  </si>
  <si>
    <t>Sequoia Capital</t>
  </si>
  <si>
    <t>crop rotation, enterprise resource planning, farm management software, monitoring tools, personalized alerts, tracking tools</t>
  </si>
  <si>
    <t>196330-78T</t>
  </si>
  <si>
    <t>Sport Quantum</t>
  </si>
  <si>
    <t>Developer of a digital technology designed to locate an impact by measuring the seismic waves generated by the projectile. The company's technology 
offers real-time result of the shoot and the performance, enabling athletes and competitors to analyze all aspects of performance, to follow it in time, and to have training methods to progress.</t>
  </si>
  <si>
    <t>electronic gadgets, performance monitoring device, shooting system, shooting target system, sports performance, sports shooting</t>
  </si>
  <si>
    <t>Verrières-le-Buisson, France</t>
  </si>
  <si>
    <t>174698-56T</t>
  </si>
  <si>
    <t>176329-27T</t>
  </si>
  <si>
    <t>BNP Paribas (PAR: BNP), Bpifrance, Caisse d'Epargne, Credit Mutuel Ocean, Demeter Partners, GO Capital (France), UI Investissement</t>
  </si>
  <si>
    <t>173472-04T</t>
  </si>
  <si>
    <t>Chaintrust</t>
  </si>
  <si>
    <t>Developer of an automated accounting platform designed to extract relevant invoice data. The company's platform uses forward error correction (FEC) to understand and configure the accounting schemes for each file and couples this technology with a revolutionary optical character recognition (OCR) to extract the relevant data from invoices, enabling users to fully automate their accounting entries without any configuration, and be compatible with every production software.</t>
  </si>
  <si>
    <t>Allianz Trade, Bpifrance, Eduardo Ronzano(Eduardo Ronzano), Eurazeo (PAR: RF), Frédéric Montagnon(Frédéric Montagnon), Julien Romanetto(Julien Romanetto), Nicolas Steegmann(Nicolas Steegmann), Quentin Nickmans, Thibaud Elziere(Thibaud Elziere)</t>
  </si>
  <si>
    <t>accounting platform, analytical account, audit management, automated accounting platform, bank reconciliation, cfo stack, deep learning</t>
  </si>
  <si>
    <t>Artificial Intelligence &amp; Machine Learning, Big Data, FinTech, SaaS</t>
  </si>
  <si>
    <t>172928-08T</t>
  </si>
  <si>
    <t>Scaleflex</t>
  </si>
  <si>
    <t>Developer of digital asset management technology designed to accelerate and manage online websites. The company's technology offers a delivery and performance monitoring infrastructure and cloud services to simplify the recurring tasks involved in developing a website, categorizing online stores, and processing mobile applications, enabling businesses to access image and asset management technologies for optimizing their websites or applications' images.</t>
  </si>
  <si>
    <t>BrightCap Ventures, Oktogon Ventures</t>
  </si>
  <si>
    <t>asset management platform, cloud management service, digital asset management, digital asset management tool, media optimization, website acceleration</t>
  </si>
  <si>
    <t>253656-19T</t>
  </si>
  <si>
    <t>The Socialite Family</t>
  </si>
  <si>
    <t>Home Furnishings*, Household Appliances, Luxury Goods</t>
  </si>
  <si>
    <t>Operator of a lifestyle and interior design brand intended to offer pieces of furniture, lighting and decorative accessories. The company creates and develops its own collections, from furniture to decorative accessories, along with an in-house design studio, enabling clients to access affordable home decorations tailored to their needs.</t>
  </si>
  <si>
    <t>furniture design, home furniture, interior decor, interior design, interior design platform, lifestyle company</t>
  </si>
  <si>
    <t>179806-87T</t>
  </si>
  <si>
    <t>Eren Holding, Noria, Serena (Paris)(Xavier Lorphelin)</t>
  </si>
  <si>
    <t>204524-92T</t>
  </si>
  <si>
    <t>Symbiose (Other Hardware)</t>
  </si>
  <si>
    <t>Manufacturer of human-machine interaction (HMI) parts intended to offer a new way of creating modern, intuitive, and elegant HMIs. The company's In Mold Electronic (IME) technology is a process for integrating printed decorations and electronic circuits including thermoforming and molding and consists of screen-printing of two distinct films: the aspect film and the technical film, enabling users to offer larger and larger screens and more intuitive use of the technology.</t>
  </si>
  <si>
    <t>AQUITI Gestion, CEA Investissement, Credit Agricole Entreprises (PAR: CRBP), Dr. Schneider Holding, GSO Innovation, Nouvelle Aquitaine Co-Investissement</t>
  </si>
  <si>
    <t>3d shaping, capacitive sensors, human machine interactions, ime technology, plastic film, smart surface sensors</t>
  </si>
  <si>
    <t>Pugnac, France</t>
  </si>
  <si>
    <t>172900-54T</t>
  </si>
  <si>
    <t>BlackFin Capital Partners, Greenoaks Capital Partners, Partech</t>
  </si>
  <si>
    <t>172930-78T</t>
  </si>
  <si>
    <t>123 Investment Managers(Antoine Paulhac)</t>
  </si>
  <si>
    <t>172849-96T</t>
  </si>
  <si>
    <t>Elephant Partners(Andrew Hunt), ISAI(Jean-David Chamboredon), Tomcat Invest</t>
  </si>
  <si>
    <t>172826-74T</t>
  </si>
  <si>
    <t>Prismic</t>
  </si>
  <si>
    <t>Business/Productivity Software*, Internet Software, IT Consulting and Outsourcing</t>
  </si>
  <si>
    <t>Developer of a content management system designed to provide a tool for editing online content. The company aims to simplify editing content on the internet and share news on its website while making it easy for developers, marketers, and content teams, enabling customers to boost visibility optimize search engines, and reduce acquisition costs.</t>
  </si>
  <si>
    <t>Aglaé Ventures, Eurazeo (PAR: RF)</t>
  </si>
  <si>
    <t>content management, customer relationship management, digital content, headless cms, seo tools, website builder, website builder software, website builder tools</t>
  </si>
  <si>
    <t>172804-69T</t>
  </si>
  <si>
    <t>BlackRock Private Equity Partners(Nathalie Niederhaeusern), Bleu Capital, Bpifrance, Canaan Partners, Eurazeo (PAR: RF)(Yann-Hervé du Rusquec), Highland Europe(Anthony Zappalà), Kohlberg Kravis Roberts (NYS: KKR), Seed4Soft, SoftBank Investment Advisers(Michel Combes)</t>
  </si>
  <si>
    <t>172704-88T</t>
  </si>
  <si>
    <t>Epsor</t>
  </si>
  <si>
    <t>Provider of financial advisory services intended to get a free and personalized advice module to savers. The company's platform offers savings schemes and advice where employees can select funds in accordance with their goals and risk appetite, allowing working professionals to manage their finances and savings in a convenient and effective manner.</t>
  </si>
  <si>
    <t>Augmentum Fintech (LON: AUGM), BlackFin Capital Partners(Julien Creuze), Partech(Alison Imbert), Revaia</t>
  </si>
  <si>
    <t>employee savings, financial planning advisory, investment advice service, retirement planning, retirement saving, retirement savings plan, retirement solutions, saving management</t>
  </si>
  <si>
    <t>172062-01T</t>
  </si>
  <si>
    <t>ReLyfe</t>
  </si>
  <si>
    <t>Decision/Risk Analysis*, Medical Records Systems, Other Healthcare Technology Systems</t>
  </si>
  <si>
    <t>Operator of a medical collaboration platform designed to connect patients to their care teams, to share, communicate and collaborate from anywhere. The company's platform provides patients with an interactive health profile and also can share and connect their health profile instantly with any doctor, along with leveraging artificial intelligence to structure patients' data to follow them throughout their health journey, enabling doctors to diagnose chronic diseases early.</t>
  </si>
  <si>
    <t>Forepont Capital Partners, Plutus Investment Group</t>
  </si>
  <si>
    <t>chronic disease treatment, health data platform, healthcare platform, medical collaboration, medical collaboration platform, medical data system</t>
  </si>
  <si>
    <t>Artificial Intelligence &amp; Machine Learning, Digital Health, HealthTech, Mobile, SaaS</t>
  </si>
  <si>
    <t>190377-10T</t>
  </si>
  <si>
    <t>ViiBE</t>
  </si>
  <si>
    <t>Developer of remote video-assistance web technology designed to improve customer experience and reduce on-site travel. The company's technology connects agents in contact centers with their customers in one click without requiring any installation, enabling businesses to optimize first-contact resolution rates and improve customer satisfaction through a remote augmented video assistance experience.</t>
  </si>
  <si>
    <t>after sale services, assistance tools, business tools, telecommunication tools, ticketing system, video assistance platform, virtual assistance, virtual assistance services</t>
  </si>
  <si>
    <t>Artificial Intelligence &amp; Machine Learning, SaaS, TMT</t>
  </si>
  <si>
    <t>189608-77T</t>
  </si>
  <si>
    <t>EureCab</t>
  </si>
  <si>
    <t>Developer of an online taxi and VTC comparator platform designed to compare the rates of private drivers and book a ride in real time. The company's application and web platform compare prices and services of numerous taxi or minicab drivers as well as gives users the option of blacklisting a driver, enabling users to book their rides at affordable prices.</t>
  </si>
  <si>
    <t>Sibessor</t>
  </si>
  <si>
    <t>cab application, cab booking platform, ridehailing platform, rides hailing, taxi booking platform, taxi comparator platform, taxi firm, taxi truck</t>
  </si>
  <si>
    <t>Car-Sharing, Mobile, Mobility Tech, SaaS</t>
  </si>
  <si>
    <t>187959-16T</t>
  </si>
  <si>
    <t>Avanseo</t>
  </si>
  <si>
    <t>Operator of an online lending and financing platform intended to eliminate the complexity associated with traditional business finance. The company's platform combines a marketplace that utilizes AI and automation technologies to let small businesses access financing, enabling enterprises to access working capital loans without collateral or guarantors.</t>
  </si>
  <si>
    <t>alternative lending, autonomous machine, cash credit, credit facility, financing marketplace, financing platform, intelligent robotics, loans lending service, marketplace lending, small business loans</t>
  </si>
  <si>
    <t>191244-61T</t>
  </si>
  <si>
    <t>DeelWin</t>
  </si>
  <si>
    <t>Other Financial Services, Other Services (B2C Non-Financial)*</t>
  </si>
  <si>
    <t>Operator of a lottery platform intended to offer opportunities for people to win valuable gifts and rewards. The company offers an online lottery system to its subscribers where they can participate, enabling users to win various gifts, promotional codes, and money.</t>
  </si>
  <si>
    <t>lottery games, lottery platform, lottery platform operator, lottery prize, lottery subscription, lottery win</t>
  </si>
  <si>
    <t>169532-38T</t>
  </si>
  <si>
    <t>Elistair</t>
  </si>
  <si>
    <t>Manufacturer of automated tethered drone systems intended to bring efficiency and productivity to the UAV market. The company's drone systems are deployed for long-duration aerial observation missions and emergency telecommunications for persistent surveillance and emergency communications using its micro-tether technology, enabling security companies and governments to use efficient, productive, and customized services.</t>
  </si>
  <si>
    <t>Omnes Capital(Fabien Collangettes), Starquest Capital(Quentin Simon)</t>
  </si>
  <si>
    <t>aerial drones, aerial surveillance, aerial surveillance systems, civilian drones, drones safety, security drones, surveillance technology, tethered drones systems</t>
  </si>
  <si>
    <t>200391-67T</t>
  </si>
  <si>
    <t>Enginn Technologies</t>
  </si>
  <si>
    <t>Developer of voice cloning engine designed to synthesize human-quality voice on video games. The company's platform provides an AI-based audio facility that dubs all dialogues with different custom voices and emotions within a few hours for in-game characters, enabling users to create human-like voices for the characters in narrative-heavy video games.</t>
  </si>
  <si>
    <t>Amco Investments, Bpifrance, Wind Capital</t>
  </si>
  <si>
    <t>ai-powered tools, dubbing engine, game developer tools, gaming development, speech technology, video game development, voice cloning</t>
  </si>
  <si>
    <t>AudioTech, Gaming, SaaS</t>
  </si>
  <si>
    <t>173187-46T</t>
  </si>
  <si>
    <t>Andreas Wiele(Andreas Wiele), LBO France(Stephanie Casciola), NCI Gestion(Yves Guiol), UL Invest(Mathieu Lamrani)</t>
  </si>
  <si>
    <t>214662-07T</t>
  </si>
  <si>
    <t>Mobidys</t>
  </si>
  <si>
    <t>Information Services (B2C)*, Publishing</t>
  </si>
  <si>
    <t>Developer of a reading facilitation platform intended to provide interactive and customizable books. The company's platform takes the source link of any file and converts it into specific learning difficulty-friendly font suggestions, principles of page composition, text image ratio, and indexing, enabling dyslexic students to gain knowledge with ease.</t>
  </si>
  <si>
    <t>Banque des Territoires, Business Angels 35, France Active(Romain Bénard), MAIF Investissement Social et Solidaire(Annick Valette)</t>
  </si>
  <si>
    <t>cognitive model, customizable books, digital book, publishing media, school libraries, text images ratio</t>
  </si>
  <si>
    <t>172472-41T</t>
  </si>
  <si>
    <t>172434-25T</t>
  </si>
  <si>
    <t>Virtuo</t>
  </si>
  <si>
    <t>Operator of a car rental platform intended to help users to book and unlock premium cars. The company's platform offers paperless services, freeing customers from the repetitive and time-consuming constraints of traditional vehicle-rental models as well as eliminating the rental desk, offering a uniquely comfortable rental experience for private individuals and professionals alike, enabling users to book and configure rentals on their smartphone and drive away in a premium vehicle.</t>
  </si>
  <si>
    <t>Alpha Intelligence Capital, AXA Venture Partners(Benoit Fosseprez), Balderton Capital(Bernard Liautaud), Bpifrance(Caroline Lebel), H14, IRIS (Private Equity)(Stéphane Pesqué), RAISE Group(Stéphane Pesqué), YADAY</t>
  </si>
  <si>
    <t>auto commerce, car hire, car hire app, car rental, car rental app, car rental service, fleet-owned carsharing, mobility tech, premium car rental service, travel technology</t>
  </si>
  <si>
    <t>Car-Sharing, Mobile, Mobility Tech, Ridesharing, TMT</t>
  </si>
  <si>
    <t>228669-40T</t>
  </si>
  <si>
    <t>Eco Wave Power (BER: 1KW), Financière de l'Intendance, NeuroTechnology Investors(Martin Dieck)</t>
  </si>
  <si>
    <t>202067-92T</t>
  </si>
  <si>
    <t>ADER Investissements, Conseil général de meurthe-et-moselle, Day One Entrepreneurs &amp; Partners, Jean-Marc Bouhelier</t>
  </si>
  <si>
    <t>227086-57T</t>
  </si>
  <si>
    <t>Kubo Labs</t>
  </si>
  <si>
    <t>Cloud Workload Protection</t>
  </si>
  <si>
    <t>Developer of a cloud-based platform intended to identify and solve issues on Kubernetes clusters. The company's platform runs multiple real-life scenarios on the company's cluster to check for potential misconfigurations and bad practices that lead to security incidents or performance issues, enabling businesses to detect in real-time security and emerging issues and get their resolution.</t>
  </si>
  <si>
    <t>application security, cause analysis, cloud workload protection platform, kubernetes systems, monitoring app, problem detection, security management tool, security model</t>
  </si>
  <si>
    <t>172346-05T</t>
  </si>
  <si>
    <t>Colam Impact, Creas Impacto(Lorenzo Guerra Bautista), Quadia(Marion Schuppe), Volta Circle(Clara Camesasca)</t>
  </si>
  <si>
    <t>172264-06T</t>
  </si>
  <si>
    <t>Aglaé Ventures(Antoine Loison), Daphni(Pierre-Yves Meerschman), Eurazeo (PAR: RF)(Yann-Hervé du Rusquec), General Atlantic(Christopher Caulkin), Generation Investment Management(Shalini Rao), Goldman Sachs Growth Equity(Alexandre Flavier)</t>
  </si>
  <si>
    <t>172283-05T</t>
  </si>
  <si>
    <t>Candriam Investors Group(Fabrice Cuchet), Generali Insurance Asset Management(Rémi Cuinat)</t>
  </si>
  <si>
    <t>175294-63T</t>
  </si>
  <si>
    <t>NovoBiome</t>
  </si>
  <si>
    <t>Biotechnology, Drug Discovery*, Other Healthcare Technology Systems, Pharmaceuticals</t>
  </si>
  <si>
    <t>Developer of a gut-on-chip from human stem cells, limiting animal studies designed for drug and food sectors. The company focuses on the critical nexus of the liver, intestinal diseases like nonalcoholic steatohepatitis, and the gut microbiome with the development of live biotherapeutics, a novel and emerging class of drugs containing living micro-organisms, enabling healthcare providers to increase the effectiveness of therapies and the ratio of responding patients.</t>
  </si>
  <si>
    <t>EureKare</t>
  </si>
  <si>
    <t>animal study, biotechnology company, biotechnology research, discovery platform, healthcare firm, stem cell study</t>
  </si>
  <si>
    <t>Latresne, France</t>
  </si>
  <si>
    <t>172278-64T</t>
  </si>
  <si>
    <t>Shaary</t>
  </si>
  <si>
    <t>Operator and suppliers of electric vehicle fleets intended to increase their freedom of movement. The company offers electric vehicles as well as associated services such as upkeep, maintenance, and sharing applications, enabling customers to move around with the possible impact on their environment.</t>
  </si>
  <si>
    <t>Greenpact, Inco Ventures</t>
  </si>
  <si>
    <t>carsharing service, electric mobility, electric vehicle, micromobility, mobility operator, shared mobility, vehicle fleet, vehicle supplier</t>
  </si>
  <si>
    <t>CleanTech, LOHAS &amp; Wellness, Micro-Mobility, Ridesharing</t>
  </si>
  <si>
    <t>170359-57T</t>
  </si>
  <si>
    <t>Aglaé Ventures, Alven Capital Partners, Bain Capital Ventures(Merritt Hummer), Ergo Partners, Global Founders Capital(David Sainteff), Index Ventures, Tiger Global Management</t>
  </si>
  <si>
    <t>172455-31T</t>
  </si>
  <si>
    <t>Banijay Group (AMS: BNJ), Julien Codorniou(Julien Codorniou)</t>
  </si>
  <si>
    <t>172897-84T</t>
  </si>
  <si>
    <t>Bloomin</t>
  </si>
  <si>
    <t>Developer of an employee experience management platform designed to measure the employee experience. The company's platform uses a subscription-based model to collect and analyze human resource data on employees' vital metrics such as attendance, work fluency, communication, training needs, and performance, develop their commitment, and generate insight-based reports within a given period, enabling human resource managers to increase business performance by monitoring and improving employee performance.</t>
  </si>
  <si>
    <t>The Moon Venture(Mathieu Jarry)</t>
  </si>
  <si>
    <t>360-degree feedback, employee engagement system, employee experience market, employee performance, human resource, management platform</t>
  </si>
  <si>
    <t>191314-99T</t>
  </si>
  <si>
    <t>Diag&amp;Go</t>
  </si>
  <si>
    <t>Operator of a real estate diagnostics platform intended to provide diagnostics in the context of sale or rental. The company ensures the intervention of an expert selected with seriousness and professionalism and certified by an organization accredited by the French Committee of Accreditation for a set of compulsory diagnoses, enabling customers to get real estate diagnostic reports.</t>
  </si>
  <si>
    <t>Finaqui, Senseii Ventures, WeLikeStartup, Winwin</t>
  </si>
  <si>
    <t>diagnostic reporting, real estate adviser, real estate diagnostic, real estate inspection, real estate technical services, rental property</t>
  </si>
  <si>
    <t>173926-36T</t>
  </si>
  <si>
    <t>Bpifrance(Nicolas Dufourcq), Daphni, Diehl Stiftung, Eni Next(Gabriele Franceschini), European Innovation Council Fund, Quantonation(Christophe Jurczak), Runa Capital(Dmitry Galperin)</t>
  </si>
  <si>
    <t>171975-16T</t>
  </si>
  <si>
    <t>Ki Foundation</t>
  </si>
  <si>
    <t>Financial Software*, Other Financial Services, Wireless Communications Equipment</t>
  </si>
  <si>
    <t>Operator of a decentralized computing company intended to build a global mesh network infrastructure through its device. The company provides a mini-server and a universal hub that runs on KiOS, enabling hospitality professionals to have an infrastructure for a decentralized internet.</t>
  </si>
  <si>
    <t>Alexandre Yazdi(Alexandre Yazdi), Amnis Ventures, Black Dragon Capital, BlackDragon (Zagreb), Cyril Paglino(Cyril Paglino), Exnetwork Capital, Guillaume Lestrade(Guillaume Lestrade), Luminescence Capital, Meridian Capital (London), Moonwhale Ventures, Owen Simonin(Owen Simonin), Ron Stolero(Ron Stolero), RR2 Capital, Shift Capital (Luxembourg), SwissBorg Ventures, Tariq Krim(Tariq Krim), The Garage.</t>
  </si>
  <si>
    <t>decentralized computing, decentralized computing platform, decentralized computing technology, decentralized network, decentralized network services, iot networking, mesh networking platform, mesh networking software, network protocol</t>
  </si>
  <si>
    <t>175718-17T</t>
  </si>
  <si>
    <t>Abyssale</t>
  </si>
  <si>
    <t>Developer of a banner creation platform designed to automate production in minutes. The company's platform leverages technology to create banners online and provides services like creative automation, hyper-personalization, workflow automation, on-brand scalable design templates, template library, and sharing of banners for better collaboration, enabling clients to gain the freedom to create a variety of banners.</t>
  </si>
  <si>
    <t>Bpifrance(Joséphine Marie), Founders Future(Thibault Magnen), Kima Ventures, Super Capital</t>
  </si>
  <si>
    <t>banners ad, banners maker, creation platform, online advertising firm, templates design, templates manager</t>
  </si>
  <si>
    <t>AdTech, SaaS</t>
  </si>
  <si>
    <t>181404-55T</t>
  </si>
  <si>
    <t>Clevy</t>
  </si>
  <si>
    <t>Developer of a conversational platform designed to provide direct access to internal company information. The company's platform creates and monitors chatbots that answer frequently asked questions to employees across multiple fields through the combination of machine learning and semantic analysis algorithms, enabling companies to effectively facilitate access to communication and useful information.</t>
  </si>
  <si>
    <t>Delta Investment, Grégoire Boutin(Grégoire Boutin), Super Capital, Upperside Capital Partner(Philippe Veran)</t>
  </si>
  <si>
    <t>ai cores, communication chatbot, conversational platform, conversational platform provider, saas platform, saas platform developer, semantic analysis, semantic analysis platform</t>
  </si>
  <si>
    <t>Artificial Intelligence &amp; Machine Learning, HR Tech, SaaS, TMT</t>
  </si>
  <si>
    <t>245127-88T</t>
  </si>
  <si>
    <t>Norimat</t>
  </si>
  <si>
    <t>Business/Productivity Software, Industrial Supplies and Parts*</t>
  </si>
  <si>
    <t>Developer of a consolidation technique designed to produce high-performance materials without loss of matter. The company's technique is designed for flash sintering powders, aeronautics, luxury goods, defense and industrial goods, enabling businesses to seamlessly reduce their production time.</t>
  </si>
  <si>
    <t>Galia Gestion, IRDI Capital Investissement, The Innovation Fund</t>
  </si>
  <si>
    <t>plasma engineering, plasma technology, serial production, sintering system, sintering technology, sps programming</t>
  </si>
  <si>
    <t>171684-10T</t>
  </si>
  <si>
    <t>Shift Technology</t>
  </si>
  <si>
    <t>Developer of a cloud-based data security platform designed to improve the insurance claims process. The company's platform uses an AI-based fraud detection tool, which analyses claims to identify potential fraud, enabling fraud handlers to scale their capacity and add efficiency to claims processing easily.</t>
  </si>
  <si>
    <t>Accel(Sonali De Rycker), Advent International(Thomas Weisman), Avenir Growth Capital, Bessemer Venture Partners(Charles Birnbaum), Bpifrance, General Catalyst(Adam Valkin), Guidewire Software (NYS: GWRE)(Michael Chen), HDS Capital, IRIS (Private Equity)(Julien-David Nitlech), Mundi Ventures(Javier Santiso)</t>
  </si>
  <si>
    <t>claims and settlement, crime surveillance, crime surveillance &amp; fraud detection, data security service, enterprise resource planning, fraud detection, fraud detection platform, insurance claims adviser</t>
  </si>
  <si>
    <t>Artificial Intelligence &amp; Machine Learning, Cybersecurity, FinTech, InsurTech, SaaS</t>
  </si>
  <si>
    <t>172215-64T</t>
  </si>
  <si>
    <t>Demeter Partners(Thomas Virolle), Innovacom (Paris)(Benjamin Wainstain), NCI Gestion</t>
  </si>
  <si>
    <t>180974-35T</t>
  </si>
  <si>
    <t>AlphaValue</t>
  </si>
  <si>
    <t>Information Services (B2C), Media and Information Services (B2B)*, Other Financial Services</t>
  </si>
  <si>
    <t>Operator of an equity and credit risk research platform intended to facilitate equity investment decisions. The company's platform offers financial analysis using a homogeneous and transparent methodology and focuses on skeptical analysis of business models and valuations, enabling fund managers, private bankers, and buy-side analysts to assess their investment risks and opportunities.</t>
  </si>
  <si>
    <t>Baader Bank (ETR: BWB)</t>
  </si>
  <si>
    <t>credit research, credit risk, equity fund manager, equity research, equity research firm, equity stake, esg research, hedging fund</t>
  </si>
  <si>
    <t>157376-35T</t>
  </si>
  <si>
    <t>MexBrain</t>
  </si>
  <si>
    <t>Biotechnology, Other Devices and Supplies*</t>
  </si>
  <si>
    <t>Developer of therapeutic technologies designed to tackle diseases caused by excess metals in the blood. The company's technologies aim at removing toxic or over-concentrated metals from the body to restore metal homeostasis, enabling healthcare practitioners to cure diseases such as sepsis and neurodegenerative diseases and to ensure a safe treatment compared to normal dialysis.</t>
  </si>
  <si>
    <t>Angelor, Bpifrance, Buffavent Holding, Financiere Arbevel(Marc Le Bozec), Kreaxi(Sandra Dubos), Simba Santé 3</t>
  </si>
  <si>
    <t>dialysis care, dialysis device, medical device, medical device firm, medical devices, nanotechnologies analytics</t>
  </si>
  <si>
    <t>HealthTech, Nanotechnology</t>
  </si>
  <si>
    <t>208459-18T</t>
  </si>
  <si>
    <t>Paragon Mobility</t>
  </si>
  <si>
    <t>Other Energy Services, Other Equipment*</t>
  </si>
  <si>
    <t>Developer of a charging and energy distribution infrastructure designed for carbon-free mobility. The company deploys next-generation energy infrastructure for new mobility and transport decarbonization, enabling land, air and maritime electric vehicles to make financial, energy and environmental savings and to transform people's lives.</t>
  </si>
  <si>
    <t>Cycle Group (Luxembourg)(Stephane Boudon)</t>
  </si>
  <si>
    <t>charging, electric charging, electric charging unit, energy distribution, energy distribution infrastructure, energy infrastructure</t>
  </si>
  <si>
    <t>171794-89T</t>
  </si>
  <si>
    <t>Rushmix</t>
  </si>
  <si>
    <t>Multimedia and Design Software*</t>
  </si>
  <si>
    <t>Developer of a video editing platform intended to revolutionize the creation of videos for businesses. The company's platform helps to collect pictures and videos and with editing skills convert them into short movies, enabling clients to boost their digital communication and convey their messages in a powerful way to their targets.</t>
  </si>
  <si>
    <t>BJ Invest, Bpifrance, PAIP Investissements</t>
  </si>
  <si>
    <t>editing platform software, video editing platform, video editing service, video editing software, video maker, video marketing platform, video marketing software</t>
  </si>
  <si>
    <t>173471-77T</t>
  </si>
  <si>
    <t>Antofénol</t>
  </si>
  <si>
    <t>Operator of a post-harvest biocontrol company intended to solve the problem of losses. The company uses an eco-extraction process that uses microwaves, ultrasonic, vacuum, and mixing to offer a chemical composition adapted to needs and exigencies and offers services like eco-extraction anti-fungal tests, and biochemical characterization, enabling harvesters to protect fruit and vegetable from fungus and molds.</t>
  </si>
  <si>
    <t>Banque des Territoires, Caisse des Depots Group, Demeter Partners, EIT Food(Andreas Zynga), European Innovation Council Fund, Link Tribe Capital</t>
  </si>
  <si>
    <t>ag biotech, agriculture technology, biocontrol product, biocontrol solutions, chemicals mixing, crop management, crop protection system, harvesting crop, harvesting technology, plant biotech, plant biotechnology</t>
  </si>
  <si>
    <t>Plestan, France</t>
  </si>
  <si>
    <t>194210-02T</t>
  </si>
  <si>
    <t>Aplines</t>
  </si>
  <si>
    <t>Operator of a digital transformation platform intended to help businesses to manage asset and vegetation risks and make informed decisions. The company's platform specializes in managing risks beyond the asset and evaluating financial costs of non-delivered energy, repairs, and environmental and safety impacts and provides powerful decision-making analytics for utilities managing critical infrastructure, enabling industries to proactively and effectively manage assets, calculate the asset health and criticality, quantify associated risks and determine asset management strategies.</t>
  </si>
  <si>
    <t>SE Ventures</t>
  </si>
  <si>
    <t>asset management, digital transformation, digital transformation platform, electric utility industry, risk management saas, risk management tool</t>
  </si>
  <si>
    <t>171453-61T</t>
  </si>
  <si>
    <t>Kyanos Biotechnologies</t>
  </si>
  <si>
    <t>Biotechnology, Other Consumer Non-Durables*</t>
  </si>
  <si>
    <t>Producer of microalgae-based food products intended to provide sustainable food options to the people. The company's products are designed, developed, and patented by an innovative process for producing microalgae which significantly increases productivity while preserving the planet and aims to produce environment-healthy and contaminant-free products, enabling people to avail themselves of sustainable algae food products.</t>
  </si>
  <si>
    <t>ADEME(François Moisan), Bpifrance(Adeline Kempf), Régis Nouaille(Régis Nouaille), Zsolt Popsé(Zsolt Popsé)</t>
  </si>
  <si>
    <t>algae food, dietary supplements, microalgae nutrients, microalgae producer, microalgae product, sustainable food</t>
  </si>
  <si>
    <t>E-Commerce, Life Sciences, LOHAS &amp; Wellness</t>
  </si>
  <si>
    <t>Beauzelle, France</t>
  </si>
  <si>
    <t>172013-68T</t>
  </si>
  <si>
    <t>Mapatho</t>
  </si>
  <si>
    <t>Operator of an online medical directory and search platform intended to allow patients to find free medical and paramedical experts. The company's platform offers a directory by chronic pathology to fight post-diagnosis medical wandering by identifying ecosystems of health professionals that are shared collaboratively by patients, enabling patients with chronic diseases to make a solidarity act and find the available pathology expert.</t>
  </si>
  <si>
    <t>Angels Santé, Credit Agricole (PAR: ACA), ESSEC Ventures, La French Tech</t>
  </si>
  <si>
    <t>medical directory, medical directory platform, online medical directory, paramedical care, pathology, pathology care, pathology platform</t>
  </si>
  <si>
    <t>Digital Health, HealthTech, Life Sciences, Mobile</t>
  </si>
  <si>
    <t>223164-46T</t>
  </si>
  <si>
    <t>Ohm Energie</t>
  </si>
  <si>
    <t>Energy Infrastructure*, Energy Transportation, Environmental Services (B2B)</t>
  </si>
  <si>
    <t>Provider of an eco-friendly energy platform designed to offer more economical and ecological energy services to households and businesses. The company offers green electricity produced by independent producers in the region, and trees planted to offset gas consumption, enabling environmentally-conscious consumers to lower their energy bills and reduce their carbon footprint.</t>
  </si>
  <si>
    <t>Monte Carlo Capital</t>
  </si>
  <si>
    <t>carbon footprint, cheap electricity, eco-friendly, electricity consumption, electricity producer, environment friendly</t>
  </si>
  <si>
    <t>171474-58T</t>
  </si>
  <si>
    <t>Prev&amp;Care</t>
  </si>
  <si>
    <t>Application Software, Elder and Disabled Care*, Other Healthcare Services</t>
  </si>
  <si>
    <t>Provider of prevention and care management services intended to provide personal assistance to family caregivers. The company offers a set of tools, multi-channel, and personalized prevention and care management strategies to home care experts and a catalog of speakers covering all family issues related to personal and professional life balance, such as fragility, parenthood, and individual well-being, to caretakers, enabling caregivers to care for their loved ones while preserving their health and life.</t>
  </si>
  <si>
    <t>123 Investment Managers, Celeste Management</t>
  </si>
  <si>
    <t>administrative assistance, care management platform, caregivers portal, family caregivers, financial aids service, financial assistance, home care experts</t>
  </si>
  <si>
    <t>HealthTech, LOHAS &amp; Wellness, SaaS</t>
  </si>
  <si>
    <t>203970-97T</t>
  </si>
  <si>
    <t>Elaia Partners, Eurazeo (PAR: RF)(Antoine Zins)</t>
  </si>
  <si>
    <t>171468-10T</t>
  </si>
  <si>
    <t>Frst Capital, Global Founders Capital, Greens Farms Capital, Kima Ventures, Rocket Internet (HAM: RKET)</t>
  </si>
  <si>
    <t>218601-10T</t>
  </si>
  <si>
    <t>Ermes (Paris)</t>
  </si>
  <si>
    <t>Developer of a data media platform designed to integrate all the strategic and operational needs of advertisers and advertisement firms. The company's platform specializes in mass precision marketing, CDP platforms, advice, customer relationship management (CRM), and strategy, enabling advertisers to use artificial intelligence (AI) to target specific audiences on digital and traditional media, the end-to-end management of campaigns, automated advertisement creation and performance measurement.</t>
  </si>
  <si>
    <t>advertising technology, communication strategy, crm platform, funnel management, growth hacking platform, marketing technology, precision marketing platform</t>
  </si>
  <si>
    <t>180196-57T</t>
  </si>
  <si>
    <t>Geochanvre</t>
  </si>
  <si>
    <t>Accessories*, Clothing, Personal Products</t>
  </si>
  <si>
    <t>Manufacturer of biodegradable textile products intended to create fabrics made from natural fibers. The company offers a range of biodegradable mulch fabrics for natural weeding, tote bags, and bio-compostable masks made from hemp and other natural fibers, enabling customers to use environmentally friendly products.</t>
  </si>
  <si>
    <t>Famaë Impact, France Active, Investir &amp;+, NovESS</t>
  </si>
  <si>
    <t>biodegradable product, chemical treatment, environmental quality, innovative materials, organic farming, plant fabricator, plant fiber</t>
  </si>
  <si>
    <t>Lezinnes, France</t>
  </si>
  <si>
    <t>253890-55T</t>
  </si>
  <si>
    <t>Grand-scene</t>
  </si>
  <si>
    <t>Provider of a go-to place for street food intended to offer local cuisine at a fair price. The company operates two bars, a coffee shop and cultural events organized all year round and also provides opportunities for new chefs to showcase their talent, enabling them to provide local cuisine to the people of Lille.</t>
  </si>
  <si>
    <t>Bpifrance, Business Angels, Finorpa, Le conseil régional des Hauts-de-France</t>
  </si>
  <si>
    <t>cuisine food, food court, local food, restaurant chain, shops outlets, street food</t>
  </si>
  <si>
    <t>207754-57T</t>
  </si>
  <si>
    <t>iumtek</t>
  </si>
  <si>
    <t>Developer of LIBS technology designed to design real-time industrial and high-performance chemical analyzers. The company's technology is a real-time method allowing elementary analysis by the emission of a laser beam on all types of materials without preliminary preparation, enabling clients to benefit from feasibility studies and analytical services.</t>
  </si>
  <si>
    <t>CEA (Commercial Services), Supernova Invest</t>
  </si>
  <si>
    <t>chemical analysis instrument, elemental analysis, industrial applications, laser beam, spectroscopy system, spectroscopy technology, spectroscopy tools</t>
  </si>
  <si>
    <t>179199-37T</t>
  </si>
  <si>
    <t>Résidétape</t>
  </si>
  <si>
    <t>Application Software, Construction and Engineering, Real Estate Services (B2C)*</t>
  </si>
  <si>
    <t>Operator of a real estate firm that designs housing intended to support the mobility of people and regions. The company supports investment and project management for real estate projects and contributes to the realization of urban projects responding to issues of territorial balance and diversity, enabling people to achieve plans for the future.</t>
  </si>
  <si>
    <t>Amundi (PAR: AMUN)(Florian Peudevin), BNP Paribas Asset Management, Mirova(Gautier Quéru), Phitrust Partenaires(Olivier de Guerre)</t>
  </si>
  <si>
    <t>real estate designer, real estate market, real estate resort, social residence, temporary housing, temporary housing facility, temporary housing service</t>
  </si>
  <si>
    <t>172965-52T</t>
  </si>
  <si>
    <t>Whaller</t>
  </si>
  <si>
    <t>The company's platform offers a variety of features that allow for internal or external communication and collaboration and also helps businesses to create private or public social networks with a number of distinct spaces and communities, enabling professionals to accelerate their digital transformation, without sacrificing cybersecurity.</t>
  </si>
  <si>
    <t>collaborative networking platform, collaborative platform, collaborative platform operator, data protection &amp; encryption, data protection and encryption, data security, network management toolkit, secure network creation</t>
  </si>
  <si>
    <t>180379-18T</t>
  </si>
  <si>
    <t>French Partners, LIP Ventures Boutique, Matthieu Vermersch, Partners in Equity(Hans Wackwitz), Peugeot Invest (PAR: PEUG)(Jean-Paul Lemonnier), WaterLemon VC</t>
  </si>
  <si>
    <t>186429-07T</t>
  </si>
  <si>
    <t>Brighteye Ventures</t>
  </si>
  <si>
    <t>118130-95T</t>
  </si>
  <si>
    <t>NH TherAguix</t>
  </si>
  <si>
    <t>Nanomedicine</t>
  </si>
  <si>
    <t>NH Theraguix is specialized in the research, development and marketing of nanomedicines for use in the treatment of solid tumors using radiotherapy. The company has one product in Phase I clinical development which is AGuIX, a theranostic nanoparticle with a radiosensitizing effect, which enables professionals to target tumor tissues and tumor delineation using MRI, improving cancer treatment using radiotherapy.</t>
  </si>
  <si>
    <t>Bpifrance(Philippe Boucheron), Financiere Arbevel(Marc Le Bozec), Omnes Capital(Maximilien Fournier-Sourdille), Supernova Invest(Celia Hart)</t>
  </si>
  <si>
    <t>cancer drug developer, cancer drug discovery, cancer drug testing, cancer treatment product, chemistry, drugs program, marketing, nanomedicine technology, radiopharmaceutical</t>
  </si>
  <si>
    <t>Life Sciences, Manufacturing, Oncology</t>
  </si>
  <si>
    <t>181670-32T</t>
  </si>
  <si>
    <t>Prodeval</t>
  </si>
  <si>
    <t>Energy Production*, Gas Utilities</t>
  </si>
  <si>
    <t>Provider of industrial services intended to provide treatment and valorization of bio-gas released from the mechanization of organic waste. The company's services design and manufactures technologies dedicated to biogas installation, commissioning, training, maintenance, and performance monitoring, enabling customers to enjoy an eco-friendly, organic, and sustainable source of energy.</t>
  </si>
  <si>
    <t>SUEZ Ventures</t>
  </si>
  <si>
    <t>biogas plant, biogas production, biogas valorization, biomethane energy, clean fuel, industrial services, renewable service, sustainable fuel, valorization service, waste to fuel, waste-to-energy</t>
  </si>
  <si>
    <t>CleanTech, Climate Tech, Industrials, LOHAS &amp; Wellness, Oil &amp; Gas, TMT</t>
  </si>
  <si>
    <t>Châteauneuf-sur-Isère, France</t>
  </si>
  <si>
    <t>157670-56T</t>
  </si>
  <si>
    <t>WeLink (Business/Productivity Software)</t>
  </si>
  <si>
    <t>Developer of an enterprise platform designed to provide sales technology to help grow and thrive. The company's platform connects independent professionals and customers via an algorithm that finds matches between demand and available supply of businesses, enabling liberal professionals to find clients on the internet to grow their businesses.</t>
  </si>
  <si>
    <t>4See Ventures(Daniel Bertholet), 5M Ventures, Courtin Investment, Jonathan Benhamou, OneRagtime(Stéphanie Hospital), Takara Capital, Thomas Rebaud</t>
  </si>
  <si>
    <t>crm, customer relationship management, enterprise platform, grow business, independent professional, professional directory, qualified professional, sales technology</t>
  </si>
  <si>
    <t>172826-29T</t>
  </si>
  <si>
    <t>Bpifrance, Capza, Fortino Capital Partners(Filip Van Innis), La France Mutualiste, PRO BTP Groupe, Truffle Capital(Bernard Roques)</t>
  </si>
  <si>
    <t>171302-59T</t>
  </si>
  <si>
    <t>Expensya</t>
  </si>
  <si>
    <t>Developer of expense management platform designed to simplify expense reports. The company's platform offers to streamline the management of professional expense reports, automates accounting and provides secure dematerialization, enabling businesses to efficiently manage expenses and claims quickly.</t>
  </si>
  <si>
    <t>Endeavor Global, ISAI, Janngo, Seventure Partners, Silicon Badia(Namek Zu'bi), Ternel</t>
  </si>
  <si>
    <t>ap automation, ar automation, automated expense reporting, expense data, expense management, expense management software, expense reports automation, spend management</t>
  </si>
  <si>
    <t>170520-04T</t>
  </si>
  <si>
    <t>AngelSquare, EduCapital, ISAI, Kaloma Capital</t>
  </si>
  <si>
    <t>192242-35T</t>
  </si>
  <si>
    <t>Myfuture</t>
  </si>
  <si>
    <t>Application Software, Educational and Training Services (B2C)*</t>
  </si>
  <si>
    <t>Developer of an educational application designed to promote equal opportunities in training and employment through the creation of digital tools. The company's application provides educational and vocational guidance for young people who have less chance than others of accessing training and employment those who live in priority neighborhoods or rural areas and those with disabilities, helping students with a series of educational workshops and online events.</t>
  </si>
  <si>
    <t>Caisse des Depots Group</t>
  </si>
  <si>
    <t>educational application, educational workshop, internships camp, professional integration, vocational guidance, vocational training</t>
  </si>
  <si>
    <t>EdTech, Mobile, TMT</t>
  </si>
  <si>
    <t>195648-22T</t>
  </si>
  <si>
    <t>171302-86T</t>
  </si>
  <si>
    <t>Bpifrance, Elaia Partners, Holnest</t>
  </si>
  <si>
    <t>199987-03T</t>
  </si>
  <si>
    <t>EcosiAg</t>
  </si>
  <si>
    <t>Aquaculture*, Other Commercial Services</t>
  </si>
  <si>
    <t>Provider of aquaculture services intended to improve the current means of agricultural production. The company focuses on animal or plant production in an aquatic environment and the cultivation of plants above ground, enabling the fish farming industry to produce naturally, without GMOs, pesticides, or fertilizers, locally and for less.</t>
  </si>
  <si>
    <t>Angelor, Foodara</t>
  </si>
  <si>
    <t>aquaculture data, aquaculture-tech, fish farming company, fish farming industry, fish farming production, fish farming system, indoor farming, indoor growers, urban farm</t>
  </si>
  <si>
    <t>215447-59T</t>
  </si>
  <si>
    <t>Energy Pool</t>
  </si>
  <si>
    <t>Operator of an energy management platform intended to solve, manage, and optimize complex systems. The company offers an integrated platform to manage all the energy assets that helps in the audit of energy performance, and provides data analysis, enabling clients to reduce their energy consumption and achieve carbon neutrality.</t>
  </si>
  <si>
    <t>Famaë Impact</t>
  </si>
  <si>
    <t>carbon neutrality, data analytics, demand response, energy audit, energy consumption data, energy management, energy performance</t>
  </si>
  <si>
    <t>171230-68T</t>
  </si>
  <si>
    <t>SOS Accessoire</t>
  </si>
  <si>
    <t>Operator of an online marketplace intended to sell spare parts for household appliances and digital accessories. The company's platform allows individuals to repair their electrical goods by accessing a spare parts catalog, enabling customers to fix appliances themselves rather than relying on professional repair services.</t>
  </si>
  <si>
    <t>ETF Partners(Remy de Tonnac), Quadia, Seed for Good, Starquest Capital</t>
  </si>
  <si>
    <t>appliance maintenance, ecommerce service, online marketplace, parts catalog, self repair, spare parts</t>
  </si>
  <si>
    <t>Maurepas, France</t>
  </si>
  <si>
    <t>171228-88T</t>
  </si>
  <si>
    <t>EasyMile</t>
  </si>
  <si>
    <t>Developer of an autonomous vehicle technology designed for smart mobility in residential areas, campuses, and business parks. The company provides autonomous vehicle technology for shared transport, intralogistics automation, passenger shuttle for communities and private sites and autonomous tow tractor optimizes supply chains and other technologies are possible, enabling clients to revolutionize passenger and goods transportation and offer completely new mobility options.</t>
  </si>
  <si>
    <t>Alstom (PAR: ALO), Bpifrance(Gilles Schang), Continental (ETR: CON), Fermat (Slatina), McWin Partners, NextStage AM, Searchlight Capital Partners(Ralf Ackermann)</t>
  </si>
  <si>
    <t>automatic car, autonomous driving, autonomous vehicles, driverless technology, driverless vehicles, electric car, enterprise asset management, enterprise resource planning, erp, mobility technology</t>
  </si>
  <si>
    <t>Autonomous cars</t>
  </si>
  <si>
    <t>171190-27T</t>
  </si>
  <si>
    <t>OpenClassrooms</t>
  </si>
  <si>
    <t>Developer of an online educational platform designed to offer a wide range of professional certifications and various degree courses. The company's platform offers web and mobile development to design, data processing, and marketing courses, enabling students to learn and train themselves online for the in-demand jobs in the market.</t>
  </si>
  <si>
    <t>Bpifrance, Chan Zuckerberg Initiative(Vivian Wu), ETS Strategic Capital(Jeff Jaekle), General Atlantic(Christopher Caulkin), GSV Ventures, Lumos Capital Group(Victor Hu), Salesforce Ventures</t>
  </si>
  <si>
    <t>coding language, digital skills, educational platform, enterprise resource planning, erp, human capital management, online certification, online courses, online training</t>
  </si>
  <si>
    <t>279136-54T</t>
  </si>
  <si>
    <t>Tortoise (Business/Productivity Software)</t>
  </si>
  <si>
    <t>Developer of a failure analysis technology intended to allow industrialists to develop materials and protect themselves against damage. The company's technology generates accurate and local fracture properties of any material from a simple analysis of its fracture surface, enabling industrialists to decipher the data encrypted in the fracture surfaces of materials.</t>
  </si>
  <si>
    <t>data encryption service, failure analysis, failure analysis service, failure analysis software, failure analysis technology, failure prediction algorithm</t>
  </si>
  <si>
    <t>171127-00T</t>
  </si>
  <si>
    <t>360 Capital, Avolta Partners, Bpifrance, Omnes Capital, Sofimac Innovation, SWEN Blue Ocean Partners</t>
  </si>
  <si>
    <t>190442-71T</t>
  </si>
  <si>
    <t>171037-27T</t>
  </si>
  <si>
    <t>Octave Klaba(Octave Klaba), Swisscom Ventures</t>
  </si>
  <si>
    <t>155799-28T</t>
  </si>
  <si>
    <t>Accor (PAR: AC), Amfil Technologies (PINX: FUNN)(Aaron McKay), Bergerat Monnoyeur(Baudouin Monnoyeur), Thélem Assurances(Daniel Antoni), Toyota Motor (TKS: 7203)(Akio Toyoda)</t>
  </si>
  <si>
    <t>209547-01T</t>
  </si>
  <si>
    <t>SOLVEO Energies</t>
  </si>
  <si>
    <t>Alternative Energy Equipment, Energy Production*, Other Commercial Services, Other Energy Services</t>
  </si>
  <si>
    <t>Manufacturer of green electricity and solar energy intended to develop, build, and operate wind and solar renewable energy plants. The company offers installation, development, research, construction, operation, supervision, and maintenance of solar and photovoltaic power plants and wind energy farms, enabling clients to gain access to reliable and available renewable electricity.</t>
  </si>
  <si>
    <t>Crédit Mutuel Innovation, Midi 2i</t>
  </si>
  <si>
    <t>energy mixing, energy transition, photovoltaic power, renewable electricity, renewable energy, sustainable mobility, wind energy</t>
  </si>
  <si>
    <t>Fenouillet, France</t>
  </si>
  <si>
    <t>200716-12T</t>
  </si>
  <si>
    <t>171042-22T</t>
  </si>
  <si>
    <t>Wiloki</t>
  </si>
  <si>
    <t>Developer of an online tutoring platform designed to identify the strengths and weaknesses of the student. The company's platform offers content rich in videos, exercises, and challenges, enabling parents to develop their children's ability to understand and enrich their knowledge.</t>
  </si>
  <si>
    <t>AngelSquare, The Invus Group</t>
  </si>
  <si>
    <t>cloud platform, educational platform, learning platform, online learning classes, online tutoring classes, personalized education platform</t>
  </si>
  <si>
    <t>Les Loges-en-Josas, France</t>
  </si>
  <si>
    <t>88050-34T</t>
  </si>
  <si>
    <t>Bon Pied</t>
  </si>
  <si>
    <t>Footwear*, Therapeutic Devices</t>
  </si>
  <si>
    <t>Manufacturer of paramedical and orthopedic footwear intended to reduce the overall strain on the body and joints. The company's footwear is used for assistance as well as to align, prevent, and correct the function of all or part of the body, enabling patients to reduce the chance of lower-body injury.</t>
  </si>
  <si>
    <t>footwear line, footwear manufacturer, medical footwear, orthopedic footwear, orthopedic shoes, paramedical care, paramedical footwear</t>
  </si>
  <si>
    <t>Nantheuil, France</t>
  </si>
  <si>
    <t>139345-75T</t>
  </si>
  <si>
    <t>off&amp;away</t>
  </si>
  <si>
    <t>Information Services (B2C), Other Restaurants, Hotels and Leisure*, Other Services (B2C Non-Financial)</t>
  </si>
  <si>
    <t>Operator of a travel booking platform intended to rediscover the different regions. The company offers the experience of leaving at the best time and discovering exceptional confidential hotels, enabling users to enjoy the French tradition at an affordable price.</t>
  </si>
  <si>
    <t>booking platform, hotel booking portal, travel planning website, travel platform operator, travel rewards, vacation arranger</t>
  </si>
  <si>
    <t>177013-09T</t>
  </si>
  <si>
    <t>Epopia</t>
  </si>
  <si>
    <t>Provider of a role-playing gaming service intended to make reading and writing easy for children. The company offers a service where children can send role-play stories to the company and in return receive mail from characters and build stories, enabling children to easily learn creativity through various story modes.</t>
  </si>
  <si>
    <t>ZAG America(Julian Zag)</t>
  </si>
  <si>
    <t>educational stories, interactive learning exercise, interactive learning platform, interactive storytelling, story telling services, writing games</t>
  </si>
  <si>
    <t>Schiltigheim, France</t>
  </si>
  <si>
    <t>171305-11T</t>
  </si>
  <si>
    <t>Kally</t>
  </si>
  <si>
    <t>Developer of a peer-to-peer auction platform designed to help create and sell NFTs. The company's platform is compatible with a multitude of blockchains with transparent fees and open-source smart contracts, enabling verified art professionals to sell their digital artwork.</t>
  </si>
  <si>
    <t>AVstar Capital, Bigcoin Capital, Blocksync Ventures, Exnetwork Capital, Moondot Capital, Titans Ventures</t>
  </si>
  <si>
    <t>crypto platform, nft auction, nft experience, nft marketplace, nft sales, online marketplace</t>
  </si>
  <si>
    <t>Fressancourt, France</t>
  </si>
  <si>
    <t>170855-92T</t>
  </si>
  <si>
    <t>OCUS</t>
  </si>
  <si>
    <t>Developer of an AI online photography platform designed to improve image optimization for global enterprises. The company's end-to-end platform delivers images directly into the user's cash management company, and optimizes its performance, enabling companies to drive engagement and conversion while scaling their business.</t>
  </si>
  <si>
    <t>Anaxago Capital, CapHorn Invest, Expon Capital, Grenelle Capital, noa (London)(Othmane Zrikem), Ring Capital(Geoffroy Bragadir), Sofiouest</t>
  </si>
  <si>
    <t>background replacement, creative community, ecommerce photography, image recognition, imagery service, photography platform, stock photography, visual content</t>
  </si>
  <si>
    <t>170851-87T</t>
  </si>
  <si>
    <t>Aelis Innovation, IRDI Capital Investissement, Omnes Capital, Sofilaro, SWEN Capital Partners, UL Invest</t>
  </si>
  <si>
    <t>171990-19T</t>
  </si>
  <si>
    <t>b2venture(Robert Gallenberger), Bpifrance, GO Capital (France)(Herve Bachelot Lallier), Matterwave Ventures(Bruno Bernard), Supernova Invest(François Breniaux)</t>
  </si>
  <si>
    <t>170849-80T</t>
  </si>
  <si>
    <t>Ornikar</t>
  </si>
  <si>
    <t>Automotive, Educational and Training Services (B2C)*, Educational Software, Other Services (B2C Non-Financial)</t>
  </si>
  <si>
    <t>Operator of a driving school intended to facilitate access to automotive mobility around the world. The company improves access to driving licenses by offering tools for quality training at an affordable price and also offers tailor-made options for first-time car buyers and young driver insurance, enabling customers to learn and practice traffic laws.</t>
  </si>
  <si>
    <t>Bpifrance, Brighteye Ventures, Daphni, Elaia Partners, Eurazeo PME, H14, HEC Ventures, Idinvest Partners(Benoist Grossmann), Kohlberg Kravis Roberts (NYS: KKR)(Patrick Devine)</t>
  </si>
  <si>
    <t>drivers license, drives school, driving classes, driving data, driving test, vehicle license</t>
  </si>
  <si>
    <t>EdTech, LOHAS &amp; Wellness, Mobility Tech, TMT</t>
  </si>
  <si>
    <t>170814-25T</t>
  </si>
  <si>
    <t>FMZ ventures, FMZ Vermietungs(Michael Zeisser), IPO CLUB, Molini Besozzi Marzoli, Otiva(Jonas Nordlander), VNV Global (STO: VNV)</t>
  </si>
  <si>
    <t>170719-66T</t>
  </si>
  <si>
    <t>Stiilt</t>
  </si>
  <si>
    <t>Developer of a vehicle reservation platform designed to provide an alternative to the classic rental system. The company's platform provides an affordable, flexible, and practical service to its users with a personal vehicle, enabling users to reserve different types of vehicles including city cars, and electric sedans.</t>
  </si>
  <si>
    <t>auto commerce, financing &amp; subscription, rental car, rental car booking, rental transport service, rental transportation, vehicle rental business, vehicle rental management, vehicle rental platform, vehicle rental service, vehicle rental software, vehicle rental system, vehicle reservation service</t>
  </si>
  <si>
    <t>Micro-Mobility, Mobile, Mobility Tech</t>
  </si>
  <si>
    <t>170629-84T</t>
  </si>
  <si>
    <t>Coatue Management(Philippe Laffont), Dragoneer Investment Group, Exor (AMS: EXO), Index Ventures(Jan Hammer), Ribbit Capital, Temasek Holdings</t>
  </si>
  <si>
    <t>164554-21T</t>
  </si>
  <si>
    <t>HYCCO</t>
  </si>
  <si>
    <t>Manufacturer of bipolar plates to support the electrochemical reactions that generate electricity. The company's bipolar plates are made from a new generation of carbon fiber composites, offering strength and lightweight properties to facilitate better power density and improved electrical conductivity, enabling manufacturers to improve the overall performance of the fuel cell system.</t>
  </si>
  <si>
    <t>Bpifrance, Ocseed, WiSeed</t>
  </si>
  <si>
    <t>advanced materials, bipolar plates, carbon plates, clean energy technology, electrical conductivity, power density</t>
  </si>
  <si>
    <t>170569-00T</t>
  </si>
  <si>
    <t>Potions</t>
  </si>
  <si>
    <t>Developer of a data analysis platform designed to boost e-commerce website revenue. The company's platform uses edge computing technology to analyze the behavior of each visitor's experience while completely preserving their privacy without cookies, enabling clients to optimize their conversion rate, average basket, and acquisition cost.</t>
  </si>
  <si>
    <t>Bpifrance, Courtin Investment, Crédit Agricole Franche-Comté, de la Région Normandie, SIDE Capital, Via.Io</t>
  </si>
  <si>
    <t>autonomous machine, consumer intelligence, conversion rate optimization, data solutions, digital experience, digital marketing site, ecommerce personalization, intelligent robotics, personalized marketing</t>
  </si>
  <si>
    <t>Bois Guillaume, France</t>
  </si>
  <si>
    <t>175891-60T</t>
  </si>
  <si>
    <t>166977-28T</t>
  </si>
  <si>
    <t>170240-23T</t>
  </si>
  <si>
    <t>Sofimac Innovation, Tikehau Ace Capital(Quentin Besnard), Tikehau Capital (PAR: TKO), UI Investissement</t>
  </si>
  <si>
    <t>204460-57T</t>
  </si>
  <si>
    <t>idFuse</t>
  </si>
  <si>
    <t>Operator of advertising and marketing platform intended to help businesses with optimal customer and sales management. The company offers customer relationship management tools, a personalized dashboard, a customizable emailing tool, an intuitive lead builder, pre-made templates and designed newsletters, enabling businesses to attract new customers and strengthen relationships with previous customers.</t>
  </si>
  <si>
    <t>advertising services, marketing platform, marketing platform service, relationship management tool, sales management, sales management tool</t>
  </si>
  <si>
    <t>170865-28T</t>
  </si>
  <si>
    <t>The Original Food Court</t>
  </si>
  <si>
    <t>Other Restaurants, Hotels and Leisure*, Restaurants and Bars</t>
  </si>
  <si>
    <t>Operator of cloud kitchens intended to provide a favorite neighborhood food experience. The company designs kitchens with specific delivery processes, installs partner brands and operates them with its teams and operational optimization technology that can be duplicated from one site to another, like a franchisee, according to the specifications of each restaurant owner, enabling restauranteurs to compete with traditional restaurants without providing in-house dining.</t>
  </si>
  <si>
    <t>Groupe BMF, Viralety Ventures</t>
  </si>
  <si>
    <t>cloud kitchen, cloud kitchen operator, cloud kitchen services, dark kitchen, digital restaurant, ghost kitchen, restaurant &amp; retail tech, restaurant and retail technology</t>
  </si>
  <si>
    <t>172004-41T</t>
  </si>
  <si>
    <t>Frst Capital</t>
  </si>
  <si>
    <t>170320-78T</t>
  </si>
  <si>
    <t>Nestwave</t>
  </si>
  <si>
    <t>Internet Software, Wireless Communications Equipment*</t>
  </si>
  <si>
    <t>Operator of a geolocation technology platform intended to improve location accuracy and reliability. The company's platform uses a DSP software technology that allows modem providers in the IoT market to offer an accurate geolocation resolution integrated within the platform, providing users with improved localization accuracy in critical indoor environments and reducing power consumption compared to existing solutions.</t>
  </si>
  <si>
    <t>European Commission, Sofimac Innovation(Nicolas Boulay), The Faktory(Simon Alexandre)</t>
  </si>
  <si>
    <t>data communication, data communication chipsets, geolocation services, gps service, location accuracy, signal processing</t>
  </si>
  <si>
    <t>170361-82T</t>
  </si>
  <si>
    <t>ADEME, Demeter Partners(Olivier Bordelanne), Dominique Gaillard, Fabio Ferrari, Future Positive Capital(Alexandre Terrien), GO Capital (France)</t>
  </si>
  <si>
    <t>134035-57T</t>
  </si>
  <si>
    <t>Alexander Chesterman(Alexander Chesterman), Edward Lando(Edward Lando), Fred Fateh(Fred Fateh), Heartcore Capital, Shana Fisher(Shana Fisher), Sri Batchu(Sri Batchu), Stride.VC(Fred Destin), Third Kind Venture Capital, Xavier Niel(Xavier Niel), Yacine Ghalim(Yacine Ghalim)</t>
  </si>
  <si>
    <t>170332-57T</t>
  </si>
  <si>
    <t>Les Nouvelles Fermes</t>
  </si>
  <si>
    <t>Aquaculture, Cultivation*, Horticulture</t>
  </si>
  <si>
    <t>Producer of fruits, vegetables, and meat using fish, called aquaponics intended to fertilize the cultivation of fruits and vegetables above ground in a closed circuit. The company specializes in producing fish, vegetables, herbs, and groceries: both ultra-fresh and well-bred which have zero pesticides and antibiotics and are grown with proper care and precautions, providing growers with the benefits of market gardening through a sustainable, responsible, and water-efficient agriculture.</t>
  </si>
  <si>
    <t>Banque des Territoires, Canadian International Council, Crédit Agricole Aquitaine, IRDI Capital Investissement, Nouvelle Aquitaine Co-Investissement</t>
  </si>
  <si>
    <t>agricultural firm, agriculture business, agriculture firm, fruits company, indoor farming, indoor farming components, organic products marketplace, vegetables supply</t>
  </si>
  <si>
    <t>170543-89T</t>
  </si>
  <si>
    <t>Amedia Solutions</t>
  </si>
  <si>
    <t>IT Consulting and Outsourcing*, Systems and Information Management, Telecommunications Service Providers</t>
  </si>
  <si>
    <t>Provider of information technology services intended to support telecom operators. The company's services cover computer hardware, network, cloud or on-premise server, security, and business software, enabling clients to seamlessly access the internet and equip, host, manage, and communicate in complete safety.</t>
  </si>
  <si>
    <t>AQUITI Gestion(Nicolas Delaunay), Bpifrance(Jérôme Langlade), Electricite de France(Rodolphe Vouhé), Nouvelle Aquitaine Co-Investissement</t>
  </si>
  <si>
    <t>cybersecurity research, cybersecurity system, it service platform, telecom data center, telecom infrastructure, telecom operations</t>
  </si>
  <si>
    <t>Brive-La-Gaillarde, France</t>
  </si>
  <si>
    <t>174300-13T</t>
  </si>
  <si>
    <t>Id4 Ventures, Kaloma Capital, Kima Ventures</t>
  </si>
  <si>
    <t>170100-73T</t>
  </si>
  <si>
    <t>Cygnum Capital, Triple Jump</t>
  </si>
  <si>
    <t>170259-67T</t>
  </si>
  <si>
    <t>Biloba</t>
  </si>
  <si>
    <t>Operator of a telemedicine platform intended to ease the process of connecting with pediatricians. The company's platform helps parents interact with healthcare professionals through texting or video consultation on a subscription basis, enabling parents to connect with pediatric professionals to quickly answer their questions about the health of their children.</t>
  </si>
  <si>
    <t>Acequia Capital, Aglaé Ventures, Calm/Storm Ventures(Lucanus Polagnoli), Cameleon Invest, Didier Valet(Didier Valet), Edouard Petit(Edouard Petit), Frank Le Ouay(Frank Le Ouay), Id4 Ventures, Jean-Baptiste Ronssin(Jean-Baptiste Ronssin), Julien Lemoine(Julien Lemoine), Julien Quintard(Julien Quintard), Nicolas Dessaigne(Nicolas Dessaigne), Olivier Bronner(Olivier Bronner), Pareto Holdings(Nadav Ben-Chanoch), Possible Ventures</t>
  </si>
  <si>
    <t>child care adviser, child healthcare, pediatric app, pediatric health, pediatric healthcare, pediatric healthcare platform, telemedicine app</t>
  </si>
  <si>
    <t>177669-10T</t>
  </si>
  <si>
    <t>Sunna Design</t>
  </si>
  <si>
    <t>Manufacturer of solar streetlights designed to offer a reliable and sustainable solution for autonomous public lighting. The company's platform brings public lighting to remote areas without electricity, enabling clients to easily use renewable energy sources, avoid pollution and save money.</t>
  </si>
  <si>
    <t>BNP Paribas (PAR: BNP), Demeter Partners, Inco Ventures, Kouros Investment, Super Capital, TO VC (New York)</t>
  </si>
  <si>
    <t>clean energy, climate tech company, intermittent renewable energy, renewable energy, renewable energy design, renewable sector, smart solar system, solar photovoltaic, solar power light</t>
  </si>
  <si>
    <t>Blanquefort, France</t>
  </si>
  <si>
    <t>170963-65T</t>
  </si>
  <si>
    <t>FairMoove</t>
  </si>
  <si>
    <t>Developer of an online travel agency platform intended to offer ideas for stays, hotels, or activities under the sign of ecology, ethics and immersion. The company's platform aims mainly at millennials and offers a wide range of leisure activities such as trips, weekends, experiences and glamping selected according to demanding criteria, enabling travelers to get certified accommodation and leisure facilities.</t>
  </si>
  <si>
    <t>Karot Capital, Voyageurs du Monde (PAR: ALVDM)</t>
  </si>
  <si>
    <t>leisure facilities, online travel agency, room facility, tourism agency, travel agency firm, travel agency platform</t>
  </si>
  <si>
    <t>180024-94T</t>
  </si>
  <si>
    <t>Aonia Ventures, EGR Partners, Nouvelle Aquitaine Co-Investissement, Weaving Invest</t>
  </si>
  <si>
    <t>180286-57T</t>
  </si>
  <si>
    <t>Astanor Ventures(Laetitia De Panafieu), AUBE Management(Nicolas Aube)</t>
  </si>
  <si>
    <t>171995-32T</t>
  </si>
  <si>
    <t>AG2R La Mondiale, CPMS, Digital Insure</t>
  </si>
  <si>
    <t>169923-16T</t>
  </si>
  <si>
    <t>Smartway</t>
  </si>
  <si>
    <t>Business/Productivity Software*, Environmental Services (B2B), Information Services (B2C)</t>
  </si>
  <si>
    <t>Developer of food waste management platform designed to address the issue of wastage of food products. The company's solutions are based on artificial intelligence to guide in-store teams to detect products approaching their expiry date and decide the best way to recycle them as well as automatically print a discounted label to sell each product and facilitate, dematerialize and safeguard the administrative procedures related to donating food, enabling supermarket managers, field teams and information technology departments to reduce food and non-food wastage.</t>
  </si>
  <si>
    <t>Club Holnest, Evolem, Holnest, IDIA Capital Investissement, Supernova Invest(Romain Sautrau), Unexo</t>
  </si>
  <si>
    <t>enterprise resource planning, food donation, food production, food wastage prevention, food waste management, food waste processing, sustainable development firm, waste management</t>
  </si>
  <si>
    <t>Artificial Intelligence &amp; Machine Learning, CleanTech, Climate Tech, FoodTech, TMT</t>
  </si>
  <si>
    <t>282581-02T</t>
  </si>
  <si>
    <t>Toodays.me</t>
  </si>
  <si>
    <t>Developer of a digital technology designed to help individuals and organizations preserve, organize, and share important memories. The company's platform allows users to securely store photos, videos, and documents, create private groups for sharing, and pass on emotional heritage, while also offering a connected physical object that enhances the memory preservation experience, enabling both personal and professional memory management with a focus on security, and accessibility.</t>
  </si>
  <si>
    <t>document storage, memory data, memory organization, photo sharing, secure spaces, time capsules, video sharing</t>
  </si>
  <si>
    <t>Ephemeral Content</t>
  </si>
  <si>
    <t>170015-86T</t>
  </si>
  <si>
    <t>Data Legal Drive</t>
  </si>
  <si>
    <t>Developer of an online governance platform designed to protect personal data by ensuring technical and legal security. The company's platform helps clients by digitizing the governance of their data, to accelerate their compliance with general data protection regulations, enabling clients to enhance their legal compliance.</t>
  </si>
  <si>
    <t>Lefebvre Sarrut</t>
  </si>
  <si>
    <t>compliance data, data governance, data protection, gdpr compliance, governance platform, legal security</t>
  </si>
  <si>
    <t>167823-91T</t>
  </si>
  <si>
    <t>Alexandre Berriche(Alexandre Berriche), Bastien Moreau, Eduardo Ronzano, Financière Saint James, FJ Labs, Frédéric Mazzella(Frédéric Mazzella), Gonzalo Manrique(Gonzalo Manrique), Jon Oringer(Jon Oringer), Kepala Bergetar, Left Lane Capital(Avneet Pujji), Pareto Holdings, Thibaud Elziere(Thibaud Elziere)</t>
  </si>
  <si>
    <t>136796-68T</t>
  </si>
  <si>
    <t>b2venture, BlackRock (NYS: BLK), Bpifrance(Marie-Laure Garrigues), CITA Investissement, Financiere Arbevel(Louis Geslin), HIL-INVENT(Friedrich Hillebrand), Supernova Invest(Celia Hart), Wellington Partners(Rainer Strohmenger)</t>
  </si>
  <si>
    <t>172087-39T</t>
  </si>
  <si>
    <t>Forge</t>
  </si>
  <si>
    <t>Operator of a crypto-assets management platform intended to bridge the gap between capital markets and digital assets. The company's platform offers digital asset structuring, digital assets servicing, and banking services, enabling users to issue and manage security tokens.</t>
  </si>
  <si>
    <t>Societe Generale Ventures</t>
  </si>
  <si>
    <t>assets managements, assets track, banking service, crypto institutional services, digital asset management, digital capital market, security token</t>
  </si>
  <si>
    <t>170005-60T</t>
  </si>
  <si>
    <t>Apicap, Bpifrance, Compass Venture Capital, Le Village by CA</t>
  </si>
  <si>
    <t>170000-92T</t>
  </si>
  <si>
    <t>OneStock</t>
  </si>
  <si>
    <t>Developer of order management software designed to optimize sales through omnichannel retail. The company's platform is used to capture more orders, sell all stocks quicker, increase profitability, and re-enchant the online and in-store shopping experience, enabling multi-channel retailers to sell more, spend less, and acquire more customers through product recommendations and email re-targeting.</t>
  </si>
  <si>
    <t>Silverfleet Capital(Alexander Brebbia)</t>
  </si>
  <si>
    <t>ecommerce software platform, omnichannel, online-to-offline, optimizing sales, order management application, order management platform, order management software, order management system</t>
  </si>
  <si>
    <t>171826-03T</t>
  </si>
  <si>
    <t>Save Market</t>
  </si>
  <si>
    <t>Business/Productivity Software, Media and Information Services (B2B), Other Commercial Services*</t>
  </si>
  <si>
    <t>Developer of an electronic equipment repurchasing platform intended to manage and combat inefficiencies related to electronic waste. The company's platform offers a turnkey and transparent technology including logistics, recovery, reconditioning, and reintegration of electronic equipment, enabling organizations to enhance purchasing capacity for new equipment and adopt an ecological approach.</t>
  </si>
  <si>
    <t>Daphni, Tomcat Invest(Patrice Thiry)</t>
  </si>
  <si>
    <t>data cleaning, data processing, electronic recycling, electronics refurbishing, it equipment, it equipment service, recycling services</t>
  </si>
  <si>
    <t>169021-36T</t>
  </si>
  <si>
    <t>Augmenta</t>
  </si>
  <si>
    <t>Business/Productivity Software, Electronic Equipment and Instruments*, Media and Information Services (B2B), Other Agriculture</t>
  </si>
  <si>
    <t>Developer of an agricultural technology designed to offer a controlled method of fertilization for crops. The company's technology can be installed in every tractor to determine the actual crop need and can increase wheat production, reduce fertilizer and increase protein levels by a few percentages, all while protecting the environment, enabling clients to increase yield productivity and boost efficiency while saving inputs to reduce production costs.</t>
  </si>
  <si>
    <t>CNH Industrial (NYS: CNH)(Michele Lombardi), HCVC, Marathon Venture Capital, Pymwymic</t>
  </si>
  <si>
    <t>agricultural device, agricultural technology, agrotech system, crop yielding technology, embedded system, fertilization system, fertilizer analysis, precision ag, precision agriculture, robotics &amp; smart field equipment, robotics and smart field equipment, tractors service</t>
  </si>
  <si>
    <t>171403-57T</t>
  </si>
  <si>
    <t>DAY+</t>
  </si>
  <si>
    <t>Operator of a beauty brand intended to offer skincare and cosmetic products. The company offers natural products that are designed according to a scientific approach to cosmetics and well-being, enabling people to access suitable skincare products for long-lasting and effective results.</t>
  </si>
  <si>
    <t>High Flyers Capital, YADAY</t>
  </si>
  <si>
    <t>beauty brand, beauty product, beauty products, cosmetics brand, cosmetics sector, skincare product</t>
  </si>
  <si>
    <t>176944-51T</t>
  </si>
  <si>
    <t>Digimind</t>
  </si>
  <si>
    <t>Developer of marketing intelligence software designed to professionalize the environment listening process. The company's software offers brand protection, campaign analysis, trend tracking, and consumer insights, enabling marketers to effectively plan, execute, and analyze their marketing strategy.</t>
  </si>
  <si>
    <t>Chris Hote(Chris Hote), Kreaxi, Nicolas Douarec(Nicolas Douarec)</t>
  </si>
  <si>
    <t>competitive intelligence, consumer intelligence, data insights software, information analysis, marketing intelligence, marketing intelligence software, marketing software, marketing strategy</t>
  </si>
  <si>
    <t>171404-29T</t>
  </si>
  <si>
    <t>E-thik</t>
  </si>
  <si>
    <t>Developer of vending machines intended to automate points of sale. The company offers refrigerators, bread dispensers, and other vending units and uses an integrated payment system, accompanied by user-side software to monitor transactions made, enabling distributors to sell bread, baguettes, pastries, groceries, fresh produce, fruit and vegetables, and prepared meals to their customers.</t>
  </si>
  <si>
    <t>automated vending, automated vending machine, connected buildings, distributor chain, grocery vending machine, micro market, smart retail, vending kiosk</t>
  </si>
  <si>
    <t>Lisses, France</t>
  </si>
  <si>
    <t>203220-01T</t>
  </si>
  <si>
    <t>Evora Biosciences</t>
  </si>
  <si>
    <t>Developer of a proprietary discovery platform intended to combine the therapeutic properties of exosomes and cell penetrating peptides. The company's platform focuses on pleiotropic upstream inhibition of inflammatory cascades, for over-the-board anti-inflammatory properties, and develops bioactive peptides competitively binding to intracellular domains preventing dimerization of the receptor which is required to trigger inflammatory cascades, helping the medical professionals to treat patients in areas of high unmet need.</t>
  </si>
  <si>
    <t>Erganeo, Investessor, WeLikeStartup(Guillaume Siffelet)</t>
  </si>
  <si>
    <t>bioscience products, biotechnology company, cell and tissue, exosomes study, respiratory disease, therapeutic discovery</t>
  </si>
  <si>
    <t>192188-35T</t>
  </si>
  <si>
    <t>EyePick</t>
  </si>
  <si>
    <t>Developer of robotic and machine-learning technologies designed to make robots see, understand, and act in the real world. The company offers automation alternatives for manual tasks including pick and drop, pick and place, bin picking, sorting, and more using vision-guided robots, enabling food, logistics, retail, e-commerce, manufacturing, and pharmaceutical industries to automate the manual processes and increase productivity.</t>
  </si>
  <si>
    <t>Bpifrance, Elaia Partners(Sofia Dahoune), Plug and Play Tech Center</t>
  </si>
  <si>
    <t>automation solutions, autonomous machine, computer vision, industrial automation, industrial robots, intelligent robotics, process automation solutions, robotics machinery</t>
  </si>
  <si>
    <t>Advanced Manufacturing, Artificial Intelligence &amp; Machine Learning, Robotics and Drones, SaaS</t>
  </si>
  <si>
    <t>181639-54T</t>
  </si>
  <si>
    <t>Homo Ludens</t>
  </si>
  <si>
    <t>Developer of video games intended to respect all actors in the video game industry. The company develops games in the genres of simulation, indie games and strategy, enabling gamers to have access to diverse and representative video game worlds.</t>
  </si>
  <si>
    <t>Acequia Capital, Otium Capital</t>
  </si>
  <si>
    <t>casino games, game developer, gaming content, gaming developer, gaming platform, gaming publisher, gaming studio, simulation gaming, video game</t>
  </si>
  <si>
    <t>182696-23T</t>
  </si>
  <si>
    <t>KAZoART</t>
  </si>
  <si>
    <t>Media and Information Services (B2B), Other Services (B2C Non-Financial)*</t>
  </si>
  <si>
    <t>Operator of an online art gallery platform intended to simplify and streamline the acquisition of art. The company's art gallery helps to discover contemporary artists and directly purchase original works of art, enabling art lovers to have access to a variety of artwork.</t>
  </si>
  <si>
    <t>Vivacto Developpment</t>
  </si>
  <si>
    <t>art marketplace, art sales platform, artwork marketplace, artwork selling platform, contemporary artists, online art gallery, online art sales platform</t>
  </si>
  <si>
    <t>189184-51T</t>
  </si>
  <si>
    <t>Lota.cloud</t>
  </si>
  <si>
    <t>Developer of a French software as a service platform designed for FinOps management. The company's platform connects users to various cloud service providers to give them a global view in a tool that centralizes all their cloud billing data, enabling clients to manage and optimize cloud costs.</t>
  </si>
  <si>
    <t>aws cost optimization, cloud data services, cloud services, cost management, data storage, data visualization, expense management, finops system</t>
  </si>
  <si>
    <t>170789-14T</t>
  </si>
  <si>
    <t>Plume (Automotive)</t>
  </si>
  <si>
    <t>Operator of an electric mobility company intended to enhance urban transportation. The company provides bikes that are used to protect, secure, and give freedom to employees in their movements, enabling urban commuters eco-friendly, and sustainable mobility options to save time.</t>
  </si>
  <si>
    <t>A-Venture, Crowd Venture Capital, YADAY</t>
  </si>
  <si>
    <t>bikes safety, ecological process, electric mobility, mobility system, sustainable travel solution, travel solution provider, urban transportation, vehicle branding</t>
  </si>
  <si>
    <t>Saint-Andre-Lez-Lille, France</t>
  </si>
  <si>
    <t>170787-52T</t>
  </si>
  <si>
    <t>TnE Vision</t>
  </si>
  <si>
    <t>Business/Productivity Software, Database Software, Media and Information Services (B2B)*</t>
  </si>
  <si>
    <t>Developer of a data analytics platform intended for developing strategies on travel and expense spending. The company's platform consolidates all the expense reports, cleans the database, and gives access to tailor-made and interactive dashboards, enabling users to focus on the only value-added task analysis.</t>
  </si>
  <si>
    <t>data analytics, expense reporting, expense strategy, travel expense, travel management, travel technology</t>
  </si>
  <si>
    <t>Carrières-sur-Seine, France</t>
  </si>
  <si>
    <t>170602-66T</t>
  </si>
  <si>
    <t>Veyriere Scierie</t>
  </si>
  <si>
    <t>Forestry Processing*, Wood Containers and Packaging</t>
  </si>
  <si>
    <t>Operator of a sawmill firm intended to adapt to customer orders and be flexible in its range of production possibilities. The company's platform specializes in the transformation and valorization of sawn softwood timber from the Livradois and Forez hills and has its customer base of dealers specializing in wood or the building trade in France and abroad, enabling clients to get access to woods that come from sustainable forests.</t>
  </si>
  <si>
    <t>JEREMIE Auvergne, UI Investissement</t>
  </si>
  <si>
    <t>plant project, sawmill plant, softwood sawmill, timber plant, wood blocks, wood mill, woodwork product</t>
  </si>
  <si>
    <t>Arlanc, France</t>
  </si>
  <si>
    <t>184743-01T</t>
  </si>
  <si>
    <t>Yelly</t>
  </si>
  <si>
    <t>Developer of a social application designed to build student community. The company's application helps to share aspirations, opinions and daily life in a safe environment, enabling users to find, talk to, and get to know students who are going through the same phase.</t>
  </si>
  <si>
    <t>Kima Ventures, RTP Global</t>
  </si>
  <si>
    <t>academic community, chat-based app, communication group, mobile app, paas software, social network</t>
  </si>
  <si>
    <t>175154-68T</t>
  </si>
  <si>
    <t>Abeille Impact Investing France, Famaë Impact, Normandie Participations</t>
  </si>
  <si>
    <t>178877-17T</t>
  </si>
  <si>
    <t>Effigear</t>
  </si>
  <si>
    <t>Automotive*, Other Consumer Durables, Recreational Goods</t>
  </si>
  <si>
    <t>Developer of gearboxes designed to provide an accurate gearing system in one central package. The company offers a gearbox to replace the derailleur of bicycles with an automated gearbox, enabling customers to change bicycle gears in a hassle-free manner.</t>
  </si>
  <si>
    <t>Holding Roule</t>
  </si>
  <si>
    <t>gearboxes designer, gearboxes maker, gearboxes technology, sporting goods company, sporting goods design, sporting goods maker</t>
  </si>
  <si>
    <t>Maclas, France</t>
  </si>
  <si>
    <t>173453-23T</t>
  </si>
  <si>
    <t>AUBE Management, Région Sud Investissement</t>
  </si>
  <si>
    <t>169490-62T</t>
  </si>
  <si>
    <t>Bpifrance, Dominique Edelin(Dominique Edelin), Elaia Partners(Anne-Sophie Carrese)</t>
  </si>
  <si>
    <t>204600-79T</t>
  </si>
  <si>
    <t>Backbone (Medical Supplies)</t>
  </si>
  <si>
    <t>Medical Supplies*, Surgical Devices</t>
  </si>
  <si>
    <t>Manufacturer of medical devices intended for spine surgery. The company designs implantable medical devices devoted to creating surgeon-centric innovative, and effective motion preservation devices, aiming to treat the root cause of spinal pathologies.</t>
  </si>
  <si>
    <t>IRDI Capital Investissement(Jean-Michel Petit)</t>
  </si>
  <si>
    <t>healthcare device and supplies, medical devices, medical devices design, medical devices sector, medical devices supply, medical implants</t>
  </si>
  <si>
    <t>169409-26T</t>
  </si>
  <si>
    <t>Andurance Ventures, Polytechnique Ventures</t>
  </si>
  <si>
    <t>202355-65T</t>
  </si>
  <si>
    <t>Deeptech Labs, European Innovation Council Fund</t>
  </si>
  <si>
    <t>171439-93T</t>
  </si>
  <si>
    <t>Aasonn, Caisse des Depots Group, EIT Digital, FM Investment Services, GO Capital (France), Inventures Investment Partners, Mirai Ventures, Naeil Venture, Pays de la Loire Participations, Siparex Group</t>
  </si>
  <si>
    <t>173000-26T</t>
  </si>
  <si>
    <t>Medene</t>
  </si>
  <si>
    <t>Operator of an aromatherapy company intended to design and market blends of organic essential and vegetable oils for beauty and well-being. The company's portfolio includes a ready-to-use safe mixture of essential oils to combat daily ailments like stress, fatigue, aches and skin problems, enabling customers to use compounds from plants to help maintain a healthy mind and body.</t>
  </si>
  <si>
    <t>Bpifrance, WeLikeStartup</t>
  </si>
  <si>
    <t>aromas oil, aromatherapy company, beauty oil, essential oil, nutritional product, oil blending</t>
  </si>
  <si>
    <t>169276-87T</t>
  </si>
  <si>
    <t>AG2R La Mondiale, Truffle Capital</t>
  </si>
  <si>
    <t>168719-59T</t>
  </si>
  <si>
    <t>Cuir Invest(Céline Lippi)</t>
  </si>
  <si>
    <t>170989-30T</t>
  </si>
  <si>
    <t>Witick</t>
  </si>
  <si>
    <t>Developer of an online ticket booking application designed to make public transport easy. The company's platform allows users to buy and validate their public transport tickets including bus, subway, tramway, and boat shuttle on a smartphone, enabling users to have convenience and ease while traveling.</t>
  </si>
  <si>
    <t>online purchase, online ticketing, online verification, ticket booking application, ticket booking site, transport application, transport tech</t>
  </si>
  <si>
    <t>Ussac, France</t>
  </si>
  <si>
    <t>203294-17T</t>
  </si>
  <si>
    <t>Odonatech</t>
  </si>
  <si>
    <t>Developer of a fintech application platform designed to offer personalized, transparent, and efficient investment advice. The company uses behavioral finance and artificial intelligence-based algorithms to identify risk tolerance and predict cognitive and emotional biases that push investors away from rationality, enabling advisors to coach each client based on their personality.</t>
  </si>
  <si>
    <t>advisortech, artificial intelligence algorithms, behavioral finance, behavioral finance software, financial advisor, fintech app, fintech platform, investment decision, wealthtech</t>
  </si>
  <si>
    <t>169412-95T</t>
  </si>
  <si>
    <t>Bpifrance(Joséphine Marie), Elaia Partners, French Recovery Plan, RebelBio, SOSV</t>
  </si>
  <si>
    <t>169092-91T</t>
  </si>
  <si>
    <t>Step Pharma</t>
  </si>
  <si>
    <t>Developer of proprietary small molecule therapeutics designed for the treatment of auto-immune diseases. The company's therapeutics use a novel class of oral nucleotide synthesis inhibitors that can target CTPS1 (cytidine triphosphate synthase 1) to induce selective modulation of specific immune cell populations such as T and B cells, translating to better efficacy and an improved therapeutic index, enabling healthcare providers in proper treatment of auto-immune diseases.</t>
  </si>
  <si>
    <t>Bpifrance(Thibaut Roulon), Hadean Ventures(Roger Franklin), Kurma Partners(Vanessa Malier), Pontifax Venture Capital(Ohad Hammer), Sunstone Life Science Ventures(Jacob Moresco)</t>
  </si>
  <si>
    <t>autoimmune disease, biopharmaceutical company, chemistry, hematological cancer, hematological cancer treatment, immunosuppressive therapy, small molecule, small molecule therapeutics, t-cell therapy</t>
  </si>
  <si>
    <t>191884-33T</t>
  </si>
  <si>
    <t>Ze Combi</t>
  </si>
  <si>
    <t>Manufacturer of vehicle container carriers and mobile containers intended for urban logistics. The company offers electric urban mobility vehicles and containers, enabling clients to have carbon-free last-mile logistics.</t>
  </si>
  <si>
    <t>electric vehicle, mobile container, motor vehicle manufacturing, storage container, urban electric vehicle, urban logistics</t>
  </si>
  <si>
    <t>Labarthe-sur-Lèze, France</t>
  </si>
  <si>
    <t>170018-65T</t>
  </si>
  <si>
    <t>Instant System</t>
  </si>
  <si>
    <t>Provider of multimodal transport services intended to offer adapted mobility services. The company's services are offered through a mobility platform that provides travelers with an intermodal itinerary device that centralizes all mobile data by computer systems regulating urban transport and guiding them through the journey, enabling companies to deliver travel policies for their employees and improve their quality of life.</t>
  </si>
  <si>
    <t>Demeter Partners(Jean-Charles Scatena), Opera Tech Ventures(Thibaut Schlaeppi), Plug and Play Tech Center</t>
  </si>
  <si>
    <t>bike sharing system, car shares, carpooling network, enterprise resource planning, erp, fleet connectivity, fleet management, freight technology, mobility business, mobility company, multimodal logistics, multimodal transport service, transport service</t>
  </si>
  <si>
    <t>Industrials, Micro-Mobility, Mobility Tech, Ridesharing, Supply Chain Tech, TMT</t>
  </si>
  <si>
    <t>235148-68T</t>
  </si>
  <si>
    <t>Les Petits Bidons</t>
  </si>
  <si>
    <t>Household Products*, Personal Products</t>
  </si>
  <si>
    <t>Operator of a platform of natural and ecological cleaning products intended to replace traditional cleaning products. The company offers a variety of products, including laundry detergent, dishwasher tablets, and dish soap, all of which are made with natural ingredients and are free of harmful chemicals, enabling people who are looking for more sustainable and eco-friendly cleaning products to have access to effective and affordable options.</t>
  </si>
  <si>
    <t>Colombe Investments</t>
  </si>
  <si>
    <t>baby laundry cleaning, consumer retail, dishwashing product, household products, laundry detergent, paper towel</t>
  </si>
  <si>
    <t>174561-94T</t>
  </si>
  <si>
    <t>Banque des Territoires, Demeter Partners(Philippe Detours)</t>
  </si>
  <si>
    <t>168908-23T</t>
  </si>
  <si>
    <t>Jungle</t>
  </si>
  <si>
    <t>Developer of vertical farming solutions designed to locally grow zero-pesticide plants at scale. The company specializes in plant production technology and provides support in the production of aromatic herbs, leafy greens, and microgreens, enabling customers to secure a consistent supply of clean, nutrient-rich, and tasty plants.</t>
  </si>
  <si>
    <t>Cameleon Invest, Demeter Partners, Finorpa, Founders Future, NCI Gestion</t>
  </si>
  <si>
    <t>agriculture technology, connected agriculture, farm management, indoor farming, indoor growers, industrial iot, plant food, plant varieties, vertical farm, vertical farming</t>
  </si>
  <si>
    <t>Advanced Manufacturing, AgTech, Climate Tech, Industrials, LOHAS &amp; Wellness, TMT</t>
  </si>
  <si>
    <t>Epaux-Bezu, France</t>
  </si>
  <si>
    <t>191880-46T</t>
  </si>
  <si>
    <t>Néo Funéraire</t>
  </si>
  <si>
    <t>Provider of funeral organization services intended to pay the tribute to their loved ones together, with kindness and transparency. The company's platform helps in the organization of funerals, the needs in planning and funeral marble, with proximity and the local funeral advisers will accompany them in their municipality of the funeral, enabling families by taking care of them as soon as the death occurs and facilitating all their procedures afterward.</t>
  </si>
  <si>
    <t>Ocseed(Anne-Laure Charbonnier)</t>
  </si>
  <si>
    <t>funeral adviser, funeral monuments, funeral organization, funeral service, funeral service help, pre-funeral procedures, repatriation services</t>
  </si>
  <si>
    <t>168903-64T</t>
  </si>
  <si>
    <t>BNP Paribas Développement, Bpifrance, Kurma Partners(Amine Marouf), Verve Ventures</t>
  </si>
  <si>
    <t>246411-46T</t>
  </si>
  <si>
    <t>Cacf Capital Innovation, Eefficiency Capital</t>
  </si>
  <si>
    <t>168834-97T</t>
  </si>
  <si>
    <t>Rising Tide Africa</t>
  </si>
  <si>
    <t>174020-77T</t>
  </si>
  <si>
    <t>160731-82T</t>
  </si>
  <si>
    <t>Alliance Entreprendre, Omnes Capital(Fabien Collangettes), Plug and Play Tech Center, Verve Ventures(Xavier Mesnier)</t>
  </si>
  <si>
    <t>168664-87T</t>
  </si>
  <si>
    <t>360 Capital, BNP Paribas Développement, Bpifrance(Antoine Izsak), DN Capital, Eurazeo (PAR: RF), First Bridge, Fuse Venture Partners(Spyro Korsanos), HEC Ventures</t>
  </si>
  <si>
    <t>168861-43T</t>
  </si>
  <si>
    <t>MyPL</t>
  </si>
  <si>
    <t>Operator of a digital healthcare platform intended to provide access to structured and clinically validated patient information. The company's platform uses machine learning compiled using validated clinical health data sets to enhance user decisions by improving their understanding of a patient's clinical status, enabling healthcare professionals to have improved communication while enhancing patient care efficiency and developing preventive medicine.</t>
  </si>
  <si>
    <t>Hans Wildiers(Hans Wildiers), Karista (Paris)(Catherine Boule), Magali Lacroix-tricki(Magali Lacroix-tricki), Mahasti Saghatchian(Mahasti Saghatchian), Pierre Soubeyran(Pierre Soubeyran)</t>
  </si>
  <si>
    <t>cancer treatment, clinical data, clinical data platform, clinical research, computer vision, digital healthcare platform, healthcare services, patient data, patient information, patient information data</t>
  </si>
  <si>
    <t>168593-95T</t>
  </si>
  <si>
    <t>Golem.ai</t>
  </si>
  <si>
    <t>Developer of an autonomous natural language interpretation platform designed for a tailor-made management interface for business teams. The company's platform allows developers to have interfaces using natural language and analyzes text formulated without standards and executes functionalities in a program or in a digital context, enabling clients to automatically process all of their emails and documents.</t>
  </si>
  <si>
    <t>OneRagtime(Stéphanie Hospital), Ternel</t>
  </si>
  <si>
    <t>email and authoring, kms, knowledge management system, linguistic approach, linguistic technology, natural language interface, natural language interpretation tools, natural language technology, natural multilingualism, statistical technology, universal linguistics</t>
  </si>
  <si>
    <t>168639-40T</t>
  </si>
  <si>
    <t>Cédric Sellin, Daphni, FCP Innovacion SP, Jean Charles Morisseau, Sofiane Ammar, SWEN Capital Partners</t>
  </si>
  <si>
    <t>168612-76T</t>
  </si>
  <si>
    <t>Accel, Amaury Sepulchre(Amaury Sepulchre), Bpifrance, Eurazeo (PAR: RF), Frst Capital(Bruno Raillard), Nicolas Debock(Nicolas Debock), Pierre Entremont(Pierre Entremont), Romain Cottard(Romain Cottard), Xavier Niel(Xavier Niel)</t>
  </si>
  <si>
    <t>168892-57T</t>
  </si>
  <si>
    <t>Bpifrance, Synergence, WeLikeStartup</t>
  </si>
  <si>
    <t>168577-57T</t>
  </si>
  <si>
    <t>Pledg</t>
  </si>
  <si>
    <t>Developer of an advanced payment platform designed to make installments simple and secure. The company's platform provides instant financing services on e-commerce and in-store websites and allows private and professional buyers to buy straight away and pay later or in installments, enabling consumers to access credit and merchants to increase their conversion rates, average basket and customer loyalty.</t>
  </si>
  <si>
    <t>Aquiline Capital Partners, Financiere Arbevel, Oddo BHF Asset Management, Plug and Play Tech Center, Portage(Hélène Falchier), YADAY</t>
  </si>
  <si>
    <t>bnpl, bnpl &amp; credit, bnpl and credit, buy now pay later application, credit &amp; bnpl, credit and banking, deferred payment, instalment payment, multiple payment, multiple payment platform, online payment platform, payment facilities, split payment</t>
  </si>
  <si>
    <t>168558-31T</t>
  </si>
  <si>
    <t>Charles Ferté(Charles Ferté), Jean-Charles Samuelian-Werve(Jean-Charles Samuelian-Werve), Nathalie Balla(Nathalie Balla), Philippe Dabi(Philippe Dabi), Roxanne Varza(Roxanne Varza), Singular.(Raffi Kamber), Thomas Clozel(Thomas Clozel), Xavier Niel(Xavier Niel)</t>
  </si>
  <si>
    <t>168528-70T</t>
  </si>
  <si>
    <t>Dydu</t>
  </si>
  <si>
    <t>Operator of a conversational strategy platform intended to manage and monitor bots and conversational intelligence interfaces. The company's platform helps to create and easily manage intelligent conversation robots, such as chatbots, voice bots, call bots, humanoid robots, or home automation bots, enabling clients to get a tool that does not require programming skills and can be used for website support, service desk, intranet, extranet, and administrative purposes.</t>
  </si>
  <si>
    <t>Bpifrance, Crédit Agricole Aquitaine Expansion, Entrepreneur Invest</t>
  </si>
  <si>
    <t>chatbot software, conversation robots, conversational software, conversational tools, customer service, enterprise search, humanoid robots, natural language technology, software publisher</t>
  </si>
  <si>
    <t>166869-91T</t>
  </si>
  <si>
    <t>OncoDiag</t>
  </si>
  <si>
    <t>Biotechnology, Clinics/Outpatient Services, Diagnostic Equipment*</t>
  </si>
  <si>
    <t>Developer of non-invasive diagnostic testing kits designed to help in the early detection of urological cancers. The company's testing kits consist of a urine-based lab test for the surveillance of bladder cancer, a tissue-based lab test to predict non-evolutive localized prostate cancer, and a blood-based lab test for screening colorectal cancer, enabling doctors to effectively proceed in cancer diagnostics.</t>
  </si>
  <si>
    <t>Angels Santé, Normandie Business Angels, Normandie Participations, Paris Business Angels, SFINE</t>
  </si>
  <si>
    <t>cancer care product, cancer product, diagnostic care, diagnostic equipment, diagnostic tools, medical device, oncology care, urological care</t>
  </si>
  <si>
    <t>Miserey, France</t>
  </si>
  <si>
    <t>181672-39T</t>
  </si>
  <si>
    <t>Qwarry</t>
  </si>
  <si>
    <t>Operator of a digital advertising platform designed to capture audiences through semantic targeting. The company's platform offers advertising targeting without using any cookies and uses semantic data along with its proprietary technologies, enabling advertisers, agencies, and publishers to determine user interests and behaviors and provide assistance to companies in place advertisements.</t>
  </si>
  <si>
    <t>FFWD Normandie</t>
  </si>
  <si>
    <t>advertisement optimization platform, contextual advertising, digital advertising firm, semantic advertising tool, semantic analysis service, targeted advertising software, targeted advertising tool</t>
  </si>
  <si>
    <t>182098-45T</t>
  </si>
  <si>
    <t>Australia.GAD</t>
  </si>
  <si>
    <t>Operator of marketing and advertising platform intended to offer media, digital, and social expertise and mobilize upstream of the reflection. The company's platform provides services primarily focused on giving consulting by sharing clients' media strategy and media buying practices, enabling clients to avail specific and customized campaigns.</t>
  </si>
  <si>
    <t>M&amp;C Saatchi (LON: SAA)</t>
  </si>
  <si>
    <t>advertising provider, advertising services, information services, marketing firm, marketing support, media services, online platform</t>
  </si>
  <si>
    <t>181934-83T</t>
  </si>
  <si>
    <t>PRO BTP Groupe</t>
  </si>
  <si>
    <t>183280-24T</t>
  </si>
  <si>
    <t>Selfstock.com</t>
  </si>
  <si>
    <t>Operator of a warehousing company intended to specialize in container storage and self-service for a clientele made up of individuals and professionals. The company provides services like the availability of its centers, rent storage spaces that are easily accessible and adapted to needs in terms of size for the development of proprietary, enabling clients to book and make payment formalities paperless and a low-cost pricing policy.</t>
  </si>
  <si>
    <t>Apicap, Sopromec Participations</t>
  </si>
  <si>
    <t>rent space, self storage, storage boxes, storage capacity, storage company, storage services, storage services firm, warehousing services</t>
  </si>
  <si>
    <t>168342-49T</t>
  </si>
  <si>
    <t>A.Capital Ventures(Ronald Conway), Addition, Alex Wang(Alex Wang), Augusto Marietti(Augusto Marietti), Betaworks, Brandon Reeves(Brandon Reeves), Dev Ittycheria(Dev Ittycheria), Florian Douetteau(Florian Douetteau), Kevin Durant(Kevin Durant), Lee Fixel(Lee Fixel), Lux Capital(Brandon Reeves), Olivier Pomel(Olivier Pomel), Paul St. John(Paul St. John), Rich Kleiman(Rich Kleiman), Richard Socher(Richard Socher)</t>
  </si>
  <si>
    <t>168367-24T</t>
  </si>
  <si>
    <t>iZi Family</t>
  </si>
  <si>
    <t>Business/Productivity Software, Information Services (B2C)*, Other Services (B2C Non-Financial)</t>
  </si>
  <si>
    <t>Operator of an administrative work platform intended to provide assistance for various family-related services. The company provides individuals with personal assistance and guidance on the steps to be taken, formalities and documents to be prepared in areas of death, guardianship, hospitalization or migration, enabling users to get the support they need to effectively manage and simplify their personal lives.</t>
  </si>
  <si>
    <t>Elba Equipamentos e Serviços, Ocean Participations, Pays de la Loire Participations, Volney Developpement</t>
  </si>
  <si>
    <t>administrative platform, administrative procedures platform, administrative tasks management, digital assistance, digital assistance system, personal assistance, personal guidance</t>
  </si>
  <si>
    <t>171419-86T</t>
  </si>
  <si>
    <t>Yieldin</t>
  </si>
  <si>
    <t>Business/Productivity Software*, Consulting Services (B2B), Financial Software, Media and Information Services (B2B)</t>
  </si>
  <si>
    <t>Developer of revenue management platform designed for decision support and managing uncertainty. The company's platform facilitates the flow of data and decisions in revenue management cycles and management strategies, enabling businesses with top-line optimization and pricing decisions for market dynamics.</t>
  </si>
  <si>
    <t>Team ABC Ventures</t>
  </si>
  <si>
    <t>computer software, decision support tool, decision tools, dynamic pricing, pricing decision, revenue management</t>
  </si>
  <si>
    <t>168327-55T</t>
  </si>
  <si>
    <t>Tekyn</t>
  </si>
  <si>
    <t>Business/Productivity Software*, Logistics, Other Commercial Services</t>
  </si>
  <si>
    <t>Developer of a collaborative platform designed to reinvent the textile production experience. The company platform offers to collaborate and share data that are centralized and shared in real-time throughout the entire supply chain and also get real-time monitoring production ecosystem, enabling clients to connect the supply chain in a more sustainable and cost-effective way.</t>
  </si>
  <si>
    <t>Ariane, Bleu Capital, Bpifrance, Otium Capital(Jérémie Bordier)</t>
  </si>
  <si>
    <t>clothing logistics, clothing production, clothing warehouse, enterprise resource planning, erp, logistics services, product management, product supplies</t>
  </si>
  <si>
    <t>168218-92T</t>
  </si>
  <si>
    <t>Welyb</t>
  </si>
  <si>
    <t>Accounting, Audit and Tax Services (B2B), Financial Software*</t>
  </si>
  <si>
    <t>Developer of a cloud-based practice management software designed for accountants. The company provides a collaborative platform for accounting firms to manage customer documents, internal operations, accounting task monitoring, and customer engagement via messaging and videoconferencing, enabling users to automate and centralize all exchanges with their clients.</t>
  </si>
  <si>
    <t>Courtin Investment, SIDE Capital(Renaud Guillerm)</t>
  </si>
  <si>
    <t>accounting software, cfo stack, customer engagement, customer engagement app, earned wage access, practice management company, practice management service, practice management software, practice management solutions, practice management system</t>
  </si>
  <si>
    <t>227339-74T</t>
  </si>
  <si>
    <t>Coq En Pate</t>
  </si>
  <si>
    <t>Accessories, Clothing*, Internet Retail</t>
  </si>
  <si>
    <t>Operator of a clothing and fashion accessories company intended to design and produce sustainable products. The company manufactures products and textile pieces made of organic cotton and eco-materials or recycled materials, enabling consumers to buy eco-friendly kid's accessories.</t>
  </si>
  <si>
    <t>Inco Ventures</t>
  </si>
  <si>
    <t>bags maker, clothing company, fashion accessories, fashion accessories seller, kid's accessories, organic cotton</t>
  </si>
  <si>
    <t>Saint-Jouan-Des-Guerets, France</t>
  </si>
  <si>
    <t>168227-02T</t>
  </si>
  <si>
    <t>Babylone Growers</t>
  </si>
  <si>
    <t>Producer of fruits and vegetables intended to be cultivated through sustainable means. The company grows fruits and vegetables using less water and zero pesticides, enabling companies to be a part of a sustainable future improve yields, and decrease production costs while farming ecologically.</t>
  </si>
  <si>
    <t>cultivation crop, farming food, hydroponic cultivation, organic farm product, organic farmers, organic farming, organic farming products</t>
  </si>
  <si>
    <t>Beychac et Caillau, France</t>
  </si>
  <si>
    <t>167853-52T</t>
  </si>
  <si>
    <t>CVasThera</t>
  </si>
  <si>
    <t>Drug Discovery, Pharmaceuticals*</t>
  </si>
  <si>
    <t>Operator of a biopharmaceutical platform intended to develop drugs for the treatment of Crohn's disease. The company's platform specializes in the development of novel therapies for cardiovascular and bowel pathologies, enabling patients with moderate to severe flare-ups in corticosteroids.</t>
  </si>
  <si>
    <t>Bpifrance, Ocseed</t>
  </si>
  <si>
    <t>biopharmaceutical company, biopharmaceutical trials, crohn's disease therapy, disease treatment, drug development, novel therapeutics, pharmaceutical research</t>
  </si>
  <si>
    <t>Teyssode, France</t>
  </si>
  <si>
    <t>169336-18T</t>
  </si>
  <si>
    <t>Calao Finance, Région Sud Investissement, Sofimac Innovation(Aurélie Viaux), Turenne Groupe, UI Investissement</t>
  </si>
  <si>
    <t>168274-90T</t>
  </si>
  <si>
    <t>Argobio Studio</t>
  </si>
  <si>
    <t>Operator of a biotechnological therapeutic platform intended to provide financial assistance and operational excellence to early-stage projects. The company's platform identifies, selects, and incubates early-stage biotechnology projects that focus on selected therapeutic areas such as rare diseases, neurological disorders, oncology, and immunology, enabling startups to further develop their medicinal and drug research process.</t>
  </si>
  <si>
    <t>Angelini Pharma(Daniela Poggio), Angelini Ventures(Paolo Di Giorgio), Bpifrance(Laure Schlagdenhauffen), Evotec (ETR: EVT)(Werner Lanthaler), Institut Pasteur de Lille, Kurma Partners</t>
  </si>
  <si>
    <t>biotech firm, medical funding platform, pharma services, startup studio, startup studio company, startup studio operator</t>
  </si>
  <si>
    <t>HealthTech, Industrials, Life Sciences</t>
  </si>
  <si>
    <t>176890-42T</t>
  </si>
  <si>
    <t>FJ Labs, OneRagtime</t>
  </si>
  <si>
    <t>191056-69T</t>
  </si>
  <si>
    <t>SeaBubbles</t>
  </si>
  <si>
    <t>Developer of a flying water car system designed to offer a new way to move people on waterways at the speed of a car. The company's system is an egg-shaped carbon-free river shuttle that navigates over water without creating any waves and is interconnected with other urban transport systems, enabling people to hover a few inches above the water and thereby facilitating the water transport system.</t>
  </si>
  <si>
    <t>Mediapps Innovation</t>
  </si>
  <si>
    <t>eco-friendly transport, electric boats, flying boats, hydrofoil technology, marine, marine navigation, river shuttle, transport innovation, transport technology, urban mobility, water transport, water transport system, waterways transport service</t>
  </si>
  <si>
    <t>167755-60T</t>
  </si>
  <si>
    <t>Smart Sailors</t>
  </si>
  <si>
    <t>Business/Productivity Software*, Marine</t>
  </si>
  <si>
    <t>Developer of a fleet management platform designed to provide shipping computing tools for vessel maintenance. The company's platform offers all functionalities necessary for optimal management of the shipping fleet, accessible from one's smartphone in real-time from any web browser that is stored in secure data centers, enabling shipping businesses to monitor planned and unplanned maintenance, track operating hours and consumption and also view and schedule maintenance histories.</t>
  </si>
  <si>
    <t>CMA CGM, Provence Business Angels, Région Sud Investissement</t>
  </si>
  <si>
    <t>fleet management, marine tools, maritime system, purchase management, purchasing process, shipping fleet management, stock management, vessel maintenance</t>
  </si>
  <si>
    <t>218379-79T</t>
  </si>
  <si>
    <t>Ameublea</t>
  </si>
  <si>
    <t>Other Commercial Services*, Real Estate Services (B2C)</t>
  </si>
  <si>
    <t>Provider of furniture rental services intended to help in the spaces, volumes development possibilities, and potential of properties. The company specializes in furniture rental, interior decoration and the sale of furniture packs, enabling property developers and social landlords to access help and support in furnishing their show homes.</t>
  </si>
  <si>
    <t>IRD Invest, Nord Création, Nord France Amorçage</t>
  </si>
  <si>
    <t>appliance rental service, cardboard furniture, furnished rental, furniture rental service, interior decoration, property developer, tailor made furniture</t>
  </si>
  <si>
    <t>E-Commerce, Real Estate Technology</t>
  </si>
  <si>
    <t>132779-89T</t>
  </si>
  <si>
    <t>Consonance (Lagos), Id4 Ventures(Herve Cuviliez), Kepple Africa Ventures, Saviu Ventures(Benoit Delestre), SRP Groupe (PAR: SRP)</t>
  </si>
  <si>
    <t>166543-30T</t>
  </si>
  <si>
    <t>Click &amp; Savor</t>
  </si>
  <si>
    <t>Developer of a cloud kitchen platform designed to facilitate restaurants to deliver food without providing a dining area. The company's facility offers both kitchen space and infrastructure for restaurants and operates dedicated delivery and pick-up only hubs that help food businesses expand their delivery, and takeout, enabling restaurants to expand their operations in a convenient and affordable manner.</t>
  </si>
  <si>
    <t>AngelSquare, High Flyers Capital, Virtual Network</t>
  </si>
  <si>
    <t>cloud kitchen, cloud kitchen services, digital restaurant, e-restaurants, food delivery, food delivery portal, food tech, ghost kitchen, online kitchen marketplace, restaurant &amp; retail tech, restaurant and retail technology</t>
  </si>
  <si>
    <t>191242-36T</t>
  </si>
  <si>
    <t>fefe</t>
  </si>
  <si>
    <t>Producer of less sweet alcoholic drinks intended to provide a natural grind of fruits and alcohol to consumers. The company offers hard seltzer drinks made from organic and natural ingredients, enabling consumers to enjoy freshly made drinks at affordable prices.</t>
  </si>
  <si>
    <t>alcoholic beverages, alcoholic beverages maker, alcoholic drink producer, cocktail bar, cocktails cans, cocktails maker, organic drinks</t>
  </si>
  <si>
    <t>168217-48T</t>
  </si>
  <si>
    <t>Aglaé Ventures, Alto Invest, Aster Capital(Jean-Marc Bally), European Innovation Council Fund, Mutuelle Assurance Commerçants et Industriels France</t>
  </si>
  <si>
    <t>168522-31T</t>
  </si>
  <si>
    <t>Kolsquare</t>
  </si>
  <si>
    <t>Operator of an influencer marketing platform intended to optimize users' influencer marketing campaigns. The company offers a marketing platform based on big data, AI, and machine learning technologies that allows brands to identify and select influencers to carry out their campaigns and promote their products or services, enabling brands across the globe to address digital marketing's new challenges at scale effectively.</t>
  </si>
  <si>
    <t>CapHorn Invest(Romain Vidal), Jacques-Antoine Granjon(Jacques-Antoine Granjon), Xavier Niel(Xavier Niel)</t>
  </si>
  <si>
    <t>digital campaign, digital market data, influencer marketing tool, influencer network, influencer services, marketing platform developer, vertical application</t>
  </si>
  <si>
    <t>167663-17T</t>
  </si>
  <si>
    <t>Mansa</t>
  </si>
  <si>
    <t>Consumer Finance*, Financial Software, Other Financial Services</t>
  </si>
  <si>
    <t>Developer of an online lending platform designed to provide freelancers with bank credit. The company's platform aids in borrowing money at fair interest rates with instant identity verification and online signing of loan contracts, enabling freelancers to receive credit financing for their projects.</t>
  </si>
  <si>
    <t>Anthemis(Marin Cauvas), Didier Valet(Didier Valet), Founders Future(Marc Menasé), Laurent Ritter(Laurent Ritter), Mathieu Laine(Mathieu Laine), YADAY(Romain Afflelou), Yannick Bollore(Yannick Bollore)</t>
  </si>
  <si>
    <t>alternative lending, commercial lending, credit financing, credit financing platform, credit lending platform, credit lending service, lending finance, lending firm, online credit financing, online credit lending</t>
  </si>
  <si>
    <t>189095-14T</t>
  </si>
  <si>
    <t>Microdoing</t>
  </si>
  <si>
    <t>Operator of a training and education platform intended to reinvent and transform corporate training through action. The company's digitalized support platform offers each employee the opportunity to develop the transversal skills that are needed daily such as soft skills, helping learners to develop and reach their goals, and employers to develop the potential of teams.</t>
  </si>
  <si>
    <t>employee engagement, formation system, human ressources, leadership tools, resilience platform, soft skills, training courses</t>
  </si>
  <si>
    <t>167810-68T</t>
  </si>
  <si>
    <t>Refiner</t>
  </si>
  <si>
    <t>Business/Productivity Software*, Internet Software, Media and Information Services (B2B)</t>
  </si>
  <si>
    <t>Developer of a customer survey platform designed to close the customer feedback loop. The company's platform offers responses with configurable in-app survey widgets, automates actions based on answers, and quickly finds gaps in the understanding of its users, enabling clients to find new growth opportunities. with higher response rates.</t>
  </si>
  <si>
    <t>Calm Company Fund(Tyler Tringas)</t>
  </si>
  <si>
    <t>customer chatbot, customer survey, data firm, feedback loop, survey data analysis, survey maker</t>
  </si>
  <si>
    <t>168452-83T</t>
  </si>
  <si>
    <t>0MC</t>
  </si>
  <si>
    <t>167617-36T</t>
  </si>
  <si>
    <t>Bpifrance(Charlotte Corbaz), Condé Nast(Jonathan Newhouse), Eurazeo (PAR: RF)(Yann-Hervé du Rusquec), Fidelity International, Generation Investment Management(Shalini Rao), Idinvest Partners, Kering (PAR: KER)(Francois-Henri Pinault), Korelya Capital(Paul Degueuse), Luxury Tech Fund, SoftBank Investment Advisers, SVF Investment 2, Tiger Global Management(Griffin Schroeder), Vitruvian Partners</t>
  </si>
  <si>
    <t>167714-74T</t>
  </si>
  <si>
    <t>BNP Paribas Développement, Bpifrance, Sofimac Innovation, UI Investissement</t>
  </si>
  <si>
    <t>168456-34T</t>
  </si>
  <si>
    <t>Demeter Partners(Cyrille Cabaret)</t>
  </si>
  <si>
    <t>131950-99T</t>
  </si>
  <si>
    <t>Chantal Baudron(Chantal Baudron), Pays de la Loire Participations, Sepamat, Sodero</t>
  </si>
  <si>
    <t>167443-21T</t>
  </si>
  <si>
    <t>Accel(Andrei Brasoveanu), Alexis Ohanian(Alexis Ohanian), Antoine Griezmann(Antoine Griezmann), Athletico Ventures, Benchmark Capital Holdings(Peter Fenton), D Capital Partners, Gary Vaynerchuk(Gary Vaynerchuk), Rio Ferdinand(Rio Ferdinand), SoftBank Investment Advisers</t>
  </si>
  <si>
    <t>200615-59T</t>
  </si>
  <si>
    <t>Alacrité France, Carlo Posing(Carlo Posing), Dennis Brenndörfer(Dennis Brenndörfer), Lionel Pelamourgues(Lionel Pelamourgues), Raouti Chehih, Wesley Clover International</t>
  </si>
  <si>
    <t>173608-03T</t>
  </si>
  <si>
    <t>Finorpa, International Road Dynamics, IRD Invest</t>
  </si>
  <si>
    <t>167181-40T</t>
  </si>
  <si>
    <t>Luos</t>
  </si>
  <si>
    <t>Developer of an open-source architecture designed for efficiently designing, testing, and deploying embedded applications. The company's software unleashes microservices for embedded systems by connecting every part and function of electronic devices into a single system image and providing easy-to-use embedded C/C++ code API to simply create drivers or embedded applications, enabling developers and CTOs to effectively design, test, and deploy embedded applications.</t>
  </si>
  <si>
    <t>Airbus Développement, AQUITI Gestion, Bpifrance, Foreis(Jean-Yves Muller), Michelin Development, Nouvelle Aquitaine Co-Investissement, Région Nouvelle-Aquitaine, SkalePark(Jean-François Clédel)</t>
  </si>
  <si>
    <t>embedded application design, embedded application development, embedded application software, embedded system design, embedded systems designer, embedded systems engineering</t>
  </si>
  <si>
    <t>167189-05T</t>
  </si>
  <si>
    <t>ODDO BHF Group(Florian Witt)</t>
  </si>
  <si>
    <t>167574-79T</t>
  </si>
  <si>
    <t>Kima Ventures, Secret Fund</t>
  </si>
  <si>
    <t>167199-58T</t>
  </si>
  <si>
    <t>Mademoiselle Agathe</t>
  </si>
  <si>
    <t>Manufacturer of organic cosmetics and personal care products intended to come up with cosmetic care essentials for heliotherapy. The company utilizes heliotherapy, snail slime extract and plant active ingredients which contain proteins, peptides, vitamins and amino acids to manufacture quality beauty products, enabling users to regenerate, heal and purify their type of skin through diverse cosmetic treatments.</t>
  </si>
  <si>
    <t>Ouest Croissance Gestion, Pays de la Loire Développement, Pays de la Loire Participations(Philippe Maestripieri), Sodero</t>
  </si>
  <si>
    <t>cosmetic treatment, cosmetic treatment provider, organic cosmetic product, organic cosmetics, organic cosmetics products, skincare product, skincare serum, skincare treatment, snail slime</t>
  </si>
  <si>
    <t>Luceau, France</t>
  </si>
  <si>
    <t>194602-06T</t>
  </si>
  <si>
    <t>Cozy (Systems and Information Management)</t>
  </si>
  <si>
    <t>Application Software, Other Services (B2C Non-Financial), Systems and Information Management*</t>
  </si>
  <si>
    <t>Developer of an open-source cloud server platform designed to organize data and make them productive by automating routine tasks. The company's platform stores personal data and hosts web applications that act as one's own personal assistant, providing the information the person is looking for and offering advice when needed, enabling users to control their personal data and remain updated in a hassle-free manner.</t>
  </si>
  <si>
    <t>MAIF, Turenne Groupe</t>
  </si>
  <si>
    <t>cloud server platform, digital cloud hosting, document protection, personal cloud storage, private cloud platform, web based technology</t>
  </si>
  <si>
    <t>167277-61T</t>
  </si>
  <si>
    <t>DigitecPharma</t>
  </si>
  <si>
    <t>Application Software, Business/Productivity Software, Consulting Services (B2B), Other Healthcare Technology Systems*</t>
  </si>
  <si>
    <t>Developer of mobile pharmacy application designed to support the transformation of the profession of dispensary pharmacist. The company's application is based on advanced technology implemented on a responsive website, enabling pharmacies to implement their own communication policy or brand strategy while leaving it up to each pharmacy to deploy its service offers.</t>
  </si>
  <si>
    <t>Extens, Région Sud Investissement</t>
  </si>
  <si>
    <t>b2b platform, digital pharmacy network, digital planning, digital solutions, digital strategy service, digital tools, dispensary pharmacist, mobile pharmacy, pharmaceutical platform</t>
  </si>
  <si>
    <t>125200-81T</t>
  </si>
  <si>
    <t>Bouge ta Boite</t>
  </si>
  <si>
    <t>Education and Training Services (B2B)*, Other Commercial Services</t>
  </si>
  <si>
    <t>Provider of professional training and coaching services intended to empower female entrepreneurs. The company offers a range of in-person and digital networking events, skill exchanges, and access to exclusive resources, enabling female entrepreneurs to expand their businesses, boost visibility, and connect with peers nationwide.</t>
  </si>
  <si>
    <t>5M Ventures, BNP Paribas Développement, Gonzague De Blignières(Gonzague De Blignières), Jean-Pierre Letartre(Jean-Pierre Letartre), Mylène Romano(Mylène Romano), Sofimac Innovation, Sofiouest, Thibaut Bechetoille(Thibaut Bechetoille), UI Investissement</t>
  </si>
  <si>
    <t>business training, entrepreneurship services, female business network, professional coaching, professional network, women business network, women business support</t>
  </si>
  <si>
    <t>166926-79T</t>
  </si>
  <si>
    <t>Pertinence Invest, Sofimac Innovation(Stephane Lefevre-Sauli), UI Investissement</t>
  </si>
  <si>
    <t>166974-13T</t>
  </si>
  <si>
    <t>Biomunex Pharmaceuticals</t>
  </si>
  <si>
    <t>Developer of immunotherapies designed to deliver therapeutics in the area of oncology. The company's immunotherapies offer to develop drug candidates with high anti-tumor potential, superior manufacturability, and optimal drug-like properties, enabling biotechnology companies to format antibodies from any pair of monospecific monoclonal antibodies as building blocks in a timely and cost-effective manner.</t>
  </si>
  <si>
    <t>Onward Therapeutics(Grace Yeh)</t>
  </si>
  <si>
    <t>biopharmaceutical company, cancer biology, immuno-oncology drugs, immunotherapies developer, multi-specific antibodies, oncology care, therapeutics drugs, therapeutics firm</t>
  </si>
  <si>
    <t>166839-85T</t>
  </si>
  <si>
    <t>Nova in Silico</t>
  </si>
  <si>
    <t>Discovery Tools (Healthcare)*, Other Healthcare Technology Systems</t>
  </si>
  <si>
    <t>Developer of a silicon clinical trial simulation platform designed to de-risk research programs and optimize clinical development. The company's platform provides mathematical models of disease and treatment based on the knowledge extracted from literature and real-world patient data to predict the effectiveness of a therapy or the diagnostic value of a biomarker, enabling biotech and pharma companies to accelerate research programs and reduce the cost of development.</t>
  </si>
  <si>
    <t>Sanofi (PAR: SAN)(Olivier Bogillot)</t>
  </si>
  <si>
    <t>biomarker research, clinical development, clinical pharmacology, clinical trial simulation, diagnostics lab, healthcare data analytics, research model, systems biology, vertical application</t>
  </si>
  <si>
    <t>Artificial Intelligence &amp; Machine Learning, Big Data, HealthTech, Life Sciences</t>
  </si>
  <si>
    <t>176737-33T</t>
  </si>
  <si>
    <t>189707-32T</t>
  </si>
  <si>
    <t>IS Decisions</t>
  </si>
  <si>
    <t>IT Consulting and Outsourcing*, Network Management Software, Social/Platform Software</t>
  </si>
  <si>
    <t>Provider of a security and access management platform. The company offers system auditing and analysis, data deployment, network access security, process monitoring, and alert triggering services.</t>
  </si>
  <si>
    <t>Argiduna Capital</t>
  </si>
  <si>
    <t>access management, identity &amp; access management, identity and access management, network access security, security platform</t>
  </si>
  <si>
    <t>166790-80T</t>
  </si>
  <si>
    <t>Theravectys</t>
  </si>
  <si>
    <t>Biotechnology, Drug Discovery*, Other Pharmaceuticals and Biotechnology</t>
  </si>
  <si>
    <t>Developer of a therapeutic vaccination technology designed for critical needs to prevent and treat infectious diseases and cancer. The company's vaccination technology assists in modulating the immune response through gene transfer into dendritic cells and supports patients and healthcare providers by developing prophylactic and therapeutic immunotherapies across a pipeline, enabling physicians to treat patients in a transfection mechanism to elicit a potent and targeted immune response.</t>
  </si>
  <si>
    <t>John Pieters(John Pieters), Richard Hennessy(Richard Hennessy)</t>
  </si>
  <si>
    <t>dendritic cell, emerging therapy, gene transfer, healthcare industry, immunotherapy drugs, lentiviral vectors, vaccines maker</t>
  </si>
  <si>
    <t>173085-85T</t>
  </si>
  <si>
    <t>AngelSquare, Athletico Ventures, Christian Jorge(Christian Jorge), Frank Ntilikina(Frank Ntilikina), Singular.</t>
  </si>
  <si>
    <t>166601-98T</t>
  </si>
  <si>
    <t>Breega(Isabelle Gallo), DST Global, Phoenix Court(George Henry), Roosh Ventures, Serena (Paris), The Goldman Sachs Group (NYS: GS)</t>
  </si>
  <si>
    <t>167046-85T</t>
  </si>
  <si>
    <t>Accurafy4(Frédéric Caron)</t>
  </si>
  <si>
    <t>166676-41T</t>
  </si>
  <si>
    <t>Emeria Europe, Fnaim, Laforêt Franchise, Nexity (PAR: NXI), Orpi, UNIS</t>
  </si>
  <si>
    <t>166527-73T</t>
  </si>
  <si>
    <t>Powder</t>
  </si>
  <si>
    <t>Developer of a video editing platform designed to automatically clip highlight moments from video streams intended for gamers and content creators. The company's platform utilizes artificial intelligence to analyze streams and identify noteworthy clips, enabling creators to save time editing and focus on content creation.</t>
  </si>
  <si>
    <t>Alven Capital Partners, Banana Capital, Bpifrance, General Catalyst, Kevin Hartz(Kevin Hartz), Secocha Ventures, Serena (Paris), Slow Ventures, Turner Novak(Turner Novak)</t>
  </si>
  <si>
    <t>automatic clippers, consumer data analytics, content creation tools, email and authoring, games recorder, gaming experience, gaming platform, kms, knowledge management system, streaming, vertical application, video application creator, video gaming platform</t>
  </si>
  <si>
    <t>Artificial Intelligence &amp; Machine Learning, Big Data, Esports, Gaming, Mobile, SaaS</t>
  </si>
  <si>
    <t>166621-15T</t>
  </si>
  <si>
    <t>Habert Dassault Finance, Herve Lescure, United Gulf Financial Services</t>
  </si>
  <si>
    <t>164161-45T</t>
  </si>
  <si>
    <t>Arthur Waller(Arthur Waller), Gilles Ghesquière(Gilles Ghesquiere), Karista (Paris), Paris Region Venture Fund, Vincent Gentil(Vincent Gentil)</t>
  </si>
  <si>
    <t>166493-08T</t>
  </si>
  <si>
    <t>Homepilot by iad</t>
  </si>
  <si>
    <t>Developer of an online property management platform intended to serve the Vincennes region. The company's platform utilizes technological tools to offer rental management and investment services, thereby helping customers with the collection of rents, management of works, regularization of charges and indexation of rent.</t>
  </si>
  <si>
    <t>Bpifrance, Christophe Courtin(Christophe Courtin), Cyril Vermeulen(Cyril Vermeulen), Didier Kuhn(Didier Kuhn), Geoffroy Roux de Bézieux(Geoffroy Roux de Bézieux), Jean-Fabrice Mathieu(Jean-Fabrice Mathieu), Techmind</t>
  </si>
  <si>
    <t>online rental management service, online rental platform, property management system, property management tool, real estate management, rental management, rental management system</t>
  </si>
  <si>
    <t>122901-85T</t>
  </si>
  <si>
    <t>Lumi'In</t>
  </si>
  <si>
    <t>Manufacturer of solar street lights designed to offer efficient lighting systems based on alternative energy. The company's solar street lights operate on electric energy produced by the photovoltaic modules and are stored in batteries to use during night time, enabling government and infrastructure companies to avail cleaner street lamps as an alternative to conventional luminaires.</t>
  </si>
  <si>
    <t>Banque Populaire Auvergne Rhône Alpes</t>
  </si>
  <si>
    <t>electricity grid, lighting systems, photovoltaics module, solar lamps, solar lighting, solar street light, solar street lighting</t>
  </si>
  <si>
    <t>Malijai, France</t>
  </si>
  <si>
    <t>195857-47T</t>
  </si>
  <si>
    <t>Yukin Therapeutics</t>
  </si>
  <si>
    <t>Developer of a proprietary therapeutic molecule designed to offer therapeutic molecules for cancer treatment. The company's molecules change the tumour microenvironment to allow the immune system to infiltrate and destroy the tumor effectively to boost existing cancer immunotherapies, enabling doctors to effectively treat several types of cancer, including skin and pancreatic cancers.</t>
  </si>
  <si>
    <t>Medicxi(Michèle Ollier)</t>
  </si>
  <si>
    <t>cancer treatment therapy, drug discovery, molecules detection, protein therapeutics, small molecule, therapeutic molecules, therapeutics drugs, therapeutics research</t>
  </si>
  <si>
    <t>177553-63T</t>
  </si>
  <si>
    <t>1055</t>
  </si>
  <si>
    <t>Operator of indoor leisure activities park intended to give relaxation and leisure to all age groups. The company's parks offer fun activities and quality catering such as bowling lanes, a giant kid park, a trampoline park, a laser game, a virtual park, an Indoor adventure course and an escape game, enabling visitors to improve their experience.</t>
  </si>
  <si>
    <t>Bpifrance, Calixte Investissement, Credit Agricole Regions Investissement</t>
  </si>
  <si>
    <t>amusement center, amusement park, indoor activities, indoor sports, leisure activities, theme park</t>
  </si>
  <si>
    <t>Perrigny, France</t>
  </si>
  <si>
    <t>166476-52T</t>
  </si>
  <si>
    <t>Innovacom (Paris)(Jérôme Faul)</t>
  </si>
  <si>
    <t>160976-89T</t>
  </si>
  <si>
    <t>StemInov</t>
  </si>
  <si>
    <t>Biotechnology, Drug Discovery*, Other Pharmaceuticals and Biotechnology, Pharmaceuticals</t>
  </si>
  <si>
    <t>Developer of biomedicine and drugs intended to treat people with septic shock. The company is engaged in the clinical development of biomedicine using mesenchymal stem cells from the umbilical cord, enabling the medical community to optimize intensive care related to the complex syndrome.</t>
  </si>
  <si>
    <t>Bpifrance, Finovam Gestion</t>
  </si>
  <si>
    <t>drug development, drug research, immunotherapy drugs, medical research, medicine development, medicine research, therapy research</t>
  </si>
  <si>
    <t>Vandoeuvre-las-nancy, France</t>
  </si>
  <si>
    <t>166157-74T</t>
  </si>
  <si>
    <t>Beam (Publishing)</t>
  </si>
  <si>
    <t>Application Software, Information Services (B2C), Publishing*</t>
  </si>
  <si>
    <t>Developer of a web browser engine designed to focus on knowledge building. The company's browser engine creates a new session that would be represented by a card that summarizes the findings with important sites at the top of the note, enabling users to learn more about themselves and their habits.</t>
  </si>
  <si>
    <t>Albert Wenger(Albert Wenger), Alven Capital Partners, C4 Ventures, Christian Reber(Christian Reber-Prevot), Harry Stebbings(Harry Stebbings), Pace Capital(Jordan Cooper), Spark Capital(Bijan Sabet), Tapestry VC(David Kelly)</t>
  </si>
  <si>
    <t>browsing data, digital information, internet browser, internet publishing, search engine portal, web browser, web browser developer</t>
  </si>
  <si>
    <t>170399-08T</t>
  </si>
  <si>
    <t>Gamut Therapeutics</t>
  </si>
  <si>
    <t>Developer of a gene therapy approach in ophthalmology intended to treat retinitis pigmentosa.</t>
  </si>
  <si>
    <t>AdBio partners</t>
  </si>
  <si>
    <t>biotechnology company, gene therapy developer, gene therapy development, natural sciences, rod-cone dystrophies, vision treatment</t>
  </si>
  <si>
    <t>185070-43T</t>
  </si>
  <si>
    <t>Angelor, PhiTrust Impact Investors, Simba Santé</t>
  </si>
  <si>
    <t>203611-51T</t>
  </si>
  <si>
    <t>Jonathan Benhamou(Jonathan Benhamou), Julie Pellet(Julie Pellet), Kima Ventures, Lise Invest</t>
  </si>
  <si>
    <t>274354-12T</t>
  </si>
  <si>
    <t>lemare</t>
  </si>
  <si>
    <t>166280-23T</t>
  </si>
  <si>
    <t>BNP Paribas Développement, Caisse d'Epargne, NCI Gestion(Yves Guiol), Normandie Participations, Unexo</t>
  </si>
  <si>
    <t>182689-84T</t>
  </si>
  <si>
    <t>Supli</t>
  </si>
  <si>
    <t>Developer of a food supply discovery platform designed to simplify the supply chain between restaurants and suppliers. The company's platform offers an online marketplace for a variety of food products and suppliers to discover and order products in less than five minutes, enabling restaurant owners to save time and money and provide suppliers with an inexpensive customer acquisition method.</t>
  </si>
  <si>
    <t>Axeleo Capital, Christophe Courtin(Christophe Courtin), Kima Ventures, L'Alveare Che Dice Sì, Marc Ménasé(Marc Ménasé)</t>
  </si>
  <si>
    <t>food ecommerce, food marketplace, inventory management, online food services, online grocer, order management, ordering application, ordering processing, supply management, web interface</t>
  </si>
  <si>
    <t>FoodTech, Restaurant Technology, SaaS, TMT</t>
  </si>
  <si>
    <t>167350-06T</t>
  </si>
  <si>
    <t>Réseau Eco Habitat</t>
  </si>
  <si>
    <t>Operator of an association intended to combat energy insecurity by supporting families in difficulty in all stages of the renovation of their homes. The company relies on a vast network of volunteers to identify households in need and offers financial support by obtaining the available social aids and technical support, enabling communities to optime the energy performance of their housing and experience an enhanced living environment.</t>
  </si>
  <si>
    <t>Phitrust Partenaires(Olivier de Guerre), Schneider Electric (Electrical Equipment) (PAR: SU)(Gilles Desroches), Sparring Capital</t>
  </si>
  <si>
    <t>civic services, energy services, energy solutions, environmental services, environmental solutions, financial support</t>
  </si>
  <si>
    <t>Clairoix, France</t>
  </si>
  <si>
    <t>204445-18T</t>
  </si>
  <si>
    <t>Tecplast</t>
  </si>
  <si>
    <t>Distributors/Wholesale, Plastic Containers and Packaging*</t>
  </si>
  <si>
    <t>Manufacturer of plastic bags and tarpaulins intended for professional packaging. The company has custom tailor-made plastic bags and a selection of anti-UV quality products, providing clients with highly resistant tested plastic packaging and protection for tarpaulins and bags.</t>
  </si>
  <si>
    <t>custom tarpaulin, packaging aids, packaging film, plastic bags, plastic packaging, professional packaging</t>
  </si>
  <si>
    <t>Challes-Les-Eaux, France</t>
  </si>
  <si>
    <t>166021-48T</t>
  </si>
  <si>
    <t>United Crocos</t>
  </si>
  <si>
    <t>Developer of a training platform designed to stimulate the cognitive functions of children. The company's platform teaches the use of neurosciences and artificial intelligence for a new generation of training in programming robots and drones, enabling users to progress at their own pace through motivation.</t>
  </si>
  <si>
    <t>CAAP Creation, MakeSense, Provence Business Angels, Région Sud Investissement, Synergy Family Office</t>
  </si>
  <si>
    <t>edtech company, medical diagnostics, neuroscience technology, scientific tools, secondary education, training platform</t>
  </si>
  <si>
    <t>Artificial Intelligence &amp; Machine Learning, E-Commerce, EdTech</t>
  </si>
  <si>
    <t>166018-33T</t>
  </si>
  <si>
    <t>Vroomly</t>
  </si>
  <si>
    <t>Developer of an online price comparison platform designed to create trust between car and garage owners. The company's platform provides a price estimator that instantly calculates the right price for intervention on any vehicle which is based on invoices collected throughout France and has also created a system of verified reviews to certify the garages in each region, enabling customers to schedule service appointments at their preferred date and time.</t>
  </si>
  <si>
    <t>auto commerce, auto garage, car maintenance, price comparison platform, price comparison tool, vehicle maintenance, vehicle repair</t>
  </si>
  <si>
    <t>167166-64T</t>
  </si>
  <si>
    <t>Exquis Mochi</t>
  </si>
  <si>
    <t>Food Products*, Specialty Retail</t>
  </si>
  <si>
    <t>Producer of frozen mochi intended to offer ice creams with no dyes, additives, or preservatives. The company's product is composed of a paste of rice and ice, enabling consumers to enjoy an authentic taste of ice cream made from rice flour with steam cooking.</t>
  </si>
  <si>
    <t>frozen dessert, frozen ice cream, ice cream producer, ice cream product, steam cooked food, vegan desserts</t>
  </si>
  <si>
    <t>166242-70T</t>
  </si>
  <si>
    <t>LiMSEO</t>
  </si>
  <si>
    <t>Developer of a laboratory information management platform designed to assist laboratories, business, and project management sectors. The company's platform provides standard software and services that fulfill the requirements of multiple industry sectors such as food, beverages, wastewater, environmental, agriculture, and manufacturing, enabling clients to free themselves from management constraints.</t>
  </si>
  <si>
    <t>Access2net</t>
  </si>
  <si>
    <t>laboratory information management, laboratory information platform, laboratory information software, management solutions, management solutions company, management solutions platform</t>
  </si>
  <si>
    <t>Saint Aubin, France</t>
  </si>
  <si>
    <t>226302-49T</t>
  </si>
  <si>
    <t>Melifera</t>
  </si>
  <si>
    <t>Producer of organic gin intended to offer french handcrafted beverages to its customers. The company's gin is made with a blend of botanicals, including immortelle flower, which is hand-harvested from plants grown on the island of Oléron and distilled in a traditional copper pot still, enabling consumers to enjoy gin that is authentic flavorful, and sustainable.</t>
  </si>
  <si>
    <t>beverages cans, distilled spirits, distilling gin, gin maker, handcrafted gin, organic gin</t>
  </si>
  <si>
    <t>Reparsac, France</t>
  </si>
  <si>
    <t>172893-25T</t>
  </si>
  <si>
    <t>Pays de la Loire Développement, Sodero</t>
  </si>
  <si>
    <t>166837-78T</t>
  </si>
  <si>
    <t>Bpifrance, Calm/Storm Ventures(Lucanus Polagnoli), Id4 Ventures</t>
  </si>
  <si>
    <t>219101-23T</t>
  </si>
  <si>
    <t>Consulting Services (B2B), Education and Training Services (B2B)*, Environmental Services (B2B)</t>
  </si>
  <si>
    <t>Operator of an idea accelerator intended to promote societal and ecological transition. The company carries out decision-making assistance missions with local authorities in complete independence from energy operators, industrialists, and investors to develop methods and tools to ensure the consistency of public policy choices regarding the impacts on climate, health, and quality of life from the neighborhood level to that of the national territory, enabling governments and companies to improve quality of life for populations as well as safeguard the environment.</t>
  </si>
  <si>
    <t>accelerator firm, accelerator hub, energy analytics, environment safety, environmental impact, environmental management</t>
  </si>
  <si>
    <t>Big Data, CleanTech, Climate Tech, Industrials, Life Sciences</t>
  </si>
  <si>
    <t>181330-66T</t>
  </si>
  <si>
    <t>Unreasonable Capital</t>
  </si>
  <si>
    <t>172464-49T</t>
  </si>
  <si>
    <t>INTACT (Construction and Engineering)</t>
  </si>
  <si>
    <t>Provider of asset and equipment testing services intended to help focus on industrial risk management of their assets. The company offers its clients tailored products to meet their demanding needs in terms of non-destructive control, custom engineering, mechanical integrity, and structural health monitoring, enabling industrial companies to put to use the technologies and practices for inspections, monitoring, and predictability for the health of their equipment.</t>
  </si>
  <si>
    <t>Air Liquide Venture Capital, Ekoscan Integrity(Hugo Cence)</t>
  </si>
  <si>
    <t>assets engineering, engineering works, equipment testing, industrial engineering, industrial services, industrial testing</t>
  </si>
  <si>
    <t>Saint-Rémy, France</t>
  </si>
  <si>
    <t>166545-64T</t>
  </si>
  <si>
    <t>RSVP</t>
  </si>
  <si>
    <t>Operator of a design studio intended to explore the beauty of the modern craft. The company's studio provides goods in limited editions straight from the workshop on pre-order only, enabling consumers to have leather bags and accessories with new fashion trends from any part of the world.</t>
  </si>
  <si>
    <t>craft making, design studio, leather accessories, leather good, leather handbags, luxury product</t>
  </si>
  <si>
    <t>164491-93T</t>
  </si>
  <si>
    <t>AQUITI Gestion, Banque des Territoires, Daffourd Invest</t>
  </si>
  <si>
    <t>165839-05T</t>
  </si>
  <si>
    <t>AngelSquare, Banque Populaire, Bpifrance, Caisse d'Epargne, Havenrock(Omar Barakat), ILP Group, NewAlpha Asset Management(Lior Derhy), Plug and Play Tech Center, The Carlyle Group (NAS: CG)(Matt Anderson), Tomcat Invest</t>
  </si>
  <si>
    <t>173457-19T</t>
  </si>
  <si>
    <t>Hippolyte Capital</t>
  </si>
  <si>
    <t>191249-20T</t>
  </si>
  <si>
    <t>Mesrideaux</t>
  </si>
  <si>
    <t>Provider of tailor-made products intended to offer custom curtains and blinds from a range of fabrics and finishes. The company's products specialize in classic design, or a trendy print, woven in natural or synthetic materials, enabling clients to avail of accessible made-to-measure services with decorative positioning.</t>
  </si>
  <si>
    <t>custom curtains, custom curtainwall solutions, decorative design, fabrics cloth, fabrics product, tailor made decoration, tailor made products</t>
  </si>
  <si>
    <t>E-Commerce, Mobile Commerce</t>
  </si>
  <si>
    <t>179533-09T</t>
  </si>
  <si>
    <t>Bouygues Développement, Construction Venture</t>
  </si>
  <si>
    <t>167612-23T</t>
  </si>
  <si>
    <t>Evolem(Bruno Rousset), Secret Fund, Thibaud Elziere(Thibaud Elziere)</t>
  </si>
  <si>
    <t>165976-57T</t>
  </si>
  <si>
    <t>Move and Rent</t>
  </si>
  <si>
    <t>Home Furnishings, Household Appliances*, Specialty Retail</t>
  </si>
  <si>
    <t>Provider of a rental service intended to offer household appliances for rent to professionals and individuals. The company's service offers a rental service for new furniture, including delivery, assembly, installation, and return of products, the rental items include kitchen appliances, office equipment, and children's room equipment, enabling users to get a platform for renting required household or office appliances in a simplified way.</t>
  </si>
  <si>
    <t>Actantiel Développement, Atlantique Vendée Innovation, Fair/e, Pays de la Loire Participations, Siparex Group</t>
  </si>
  <si>
    <t>furniture rental, rental furniture, rental service, rental service business, rental service operations, rental service platform, rental service provider</t>
  </si>
  <si>
    <t>Saint Nazaire, France</t>
  </si>
  <si>
    <t>166832-65T</t>
  </si>
  <si>
    <t>Particeep</t>
  </si>
  <si>
    <t>Developer of fintech platform designed to provide services for the online distribution of banking, insurance, and investment products. The company's platform offers a rest API made up of ready-to-use banking and insurance micro-services, enabling banks, insurance companies, and asset management companies to set up digital subscription channels for their financial product and service offerings without IT development.</t>
  </si>
  <si>
    <t>Fivenso, Sopra Steria Group (PAR: SOP), Truffle Capital(Patrick Lord)</t>
  </si>
  <si>
    <t>digital banking, digital distribution platform, distribution and intermediation, enterprise architecture, financial services infrastructure, infrastructure and apis, insurance distribution, insurance distribution saas system, investment technology software, open banking, open finance tech, open insurance platform</t>
  </si>
  <si>
    <t>FinTech, InsurTech, SaaS, TMT</t>
  </si>
  <si>
    <t>165662-02T</t>
  </si>
  <si>
    <t>AngelSquare, Aonia Ventures, Femmes Business Angels, Incepto Capital</t>
  </si>
  <si>
    <t>165745-90T</t>
  </si>
  <si>
    <t>Stem Genomics</t>
  </si>
  <si>
    <t>Operator of a genetic service company intended to provide access to the genetic integrity of the stem cells. The company's platform provides tests to detect genetic abnormalities and services such as the detection of recurrent genomic abnormalities in human pluripotent stem cells and detecting the chromosomes, enabling medical researchers to get technology in making cellular genomic integrity tests uncomplicated.</t>
  </si>
  <si>
    <t>La French Tech, Ocseed</t>
  </si>
  <si>
    <t>genetic abnormalities research, genetic integrity, genetic services, genomic services, genomics integrity test, genomics test</t>
  </si>
  <si>
    <t>Digital Health, HealthTech, Life Sciences, LOHAS &amp; Wellness</t>
  </si>
  <si>
    <t>165700-36T</t>
  </si>
  <si>
    <t>Demeter Partners(Christophe Desrumaux), Région Sud Investissement(Pierre Joubert)</t>
  </si>
  <si>
    <t>165386-71T</t>
  </si>
  <si>
    <t>VuLog</t>
  </si>
  <si>
    <t>Developer of a mobility technology designed to empower businesses in shared and sustainable transportation. The company platform offers software operators, dealerships, and corporate fleets to optimize carsharing, subscriptions, and micro-mobility services, enabling clients with accessibility, efficiency, and environmental sustainability in urban and community settings.</t>
  </si>
  <si>
    <t>Bpifrance(Gilles Schang), ETF Partners(Fabrice Bienfait), European Investment Bank (Luxembourg), Frog Capital(Michael Reid), Inven Capital(Ivo Nemejc)</t>
  </si>
  <si>
    <t>carsharing technology, electric mobility system, enterprise resource planning, human capital management, mobility system, shared mobility system</t>
  </si>
  <si>
    <t>165548-08T</t>
  </si>
  <si>
    <t>Bpifrance, Cathay Capital Private Equity, Cathay Innovation, Delirus Capital, Eurazeo (PAR: RF), Financière Saint James, Founders Future, French Partners, Hedosophia, Idinvest Partners, Picus Capital, Seaya Ventures</t>
  </si>
  <si>
    <t>165571-75T</t>
  </si>
  <si>
    <t>Chefclub</t>
  </si>
  <si>
    <t>Operator of a food and recipe channel intended to broadcast various cooking styles and recipes. The company's channel telecasts various creative and recreational recipes from all over the world with detailed information and easy alternatives, enabling viewers to have access to different food content videos on the website and on a social platform.</t>
  </si>
  <si>
    <t>Aglaé Ventures, First Bridge, Groupe SEB (PAR: SK), Guibor, Korelya Capital, Makers Camp, SEB Alliance</t>
  </si>
  <si>
    <t>cooking kits, food channel operator, food trends, kitchen enablement software, online cooking guide, online cooking videos</t>
  </si>
  <si>
    <t>165575-80T</t>
  </si>
  <si>
    <t>Opencell</t>
  </si>
  <si>
    <t>Developer of an integrated revenue management platform designed to manage subscriptions and usage business from start to finish. The company's platform makes complex subscription and usage-based billing and commissioning accessible to all types of businesses and industries, enabling clients with an open-source platform to administer subscriptions and usage-based revenues.</t>
  </si>
  <si>
    <t>Alliance Entreprendre(Laura Panquet), Capital Grand Est, Seventure Partners(Ludovic Denis)</t>
  </si>
  <si>
    <t>ap automation, ar automation, billing software, cfo stack, ecommerce personalization, enterprise resource planning, erp, expense management, financial management system, payment management, revenue management, revenue recognition, subscription billing software, telecom solutions</t>
  </si>
  <si>
    <t>FinTech, SaaS, TMT</t>
  </si>
  <si>
    <t>180123-94T</t>
  </si>
  <si>
    <t>Bird Office</t>
  </si>
  <si>
    <t>Business/Productivity Software*, Media and Information Services (B2B), Office Services (B2B)</t>
  </si>
  <si>
    <t>Developer of a space booking platform designed to book spaces for training sessions, seminars, conferences, workstations and other corporate events. The company's platform permits organizing meetings and creativity sessions, enabling businesses to book spaces for corporate events in a hassle-free manner.</t>
  </si>
  <si>
    <t>50 Partners, BNP Paribas Développement</t>
  </si>
  <si>
    <t>booking platform, collaborative economy, conference space, conference space provider, corporate events, corporate meetings and events, meeting rooms, space-booking</t>
  </si>
  <si>
    <t>165354-04T</t>
  </si>
  <si>
    <t>Alven Capital Partners, Kerala Ventures(Antoine Freysz), Singular.(Jeremy Uzan), Super Capital</t>
  </si>
  <si>
    <t>212787-73T</t>
  </si>
  <si>
    <t>Inwin</t>
  </si>
  <si>
    <t>Operator of a digital agency intended to support companies in their digitalization. The company specializes in website, customer relations, productivity solutions, referencing, and training, providing clients with strategic web marketing, traffic generation, performance analysis, and ERP or CRM business intelligence.</t>
  </si>
  <si>
    <t>customer relationship, digitalization service, digitalization tools, seo agency, web marketing service, web presence</t>
  </si>
  <si>
    <t>165877-30T</t>
  </si>
  <si>
    <t>Kinomap</t>
  </si>
  <si>
    <t>Developer of an interactive training application designed for cycling, running and rowing. The company's platform offers videos of cycling, running, and rowing that permit accessing real-world video footage, and a variety of routes through which they can ride, run or row and train themselves better, enabling users to make indoor exercises more engaging.</t>
  </si>
  <si>
    <t>Decathlon France, Seventure Partners</t>
  </si>
  <si>
    <t>fitness technology, indoor exercise, indoor fitness, indoor training application, interactive training platform, social content, video sharing, video training</t>
  </si>
  <si>
    <t>Douai, France</t>
  </si>
  <si>
    <t>183718-72T</t>
  </si>
  <si>
    <t>Qairos Energies</t>
  </si>
  <si>
    <t>Operator of a biobased economy company intended to design technologies using biomass from short circuits, to reinject products into the circular economy. The company's technology utilizes agricultural biomass, sourced from local farmers near the production units, to create energy, and also helps farmers manage crop rotation to regenerate overused soils, enabling clients to bring personalized and concrete-added value to the local socio-economic fabric.</t>
  </si>
  <si>
    <t>biobased economy, circular economy, clean fuel, energy producer, fuel producer, green methane, methane gas, waste to fuel, waste-to-energy</t>
  </si>
  <si>
    <t>Mareil-en-Champagne, France</t>
  </si>
  <si>
    <t>187652-80T</t>
  </si>
  <si>
    <t>Red Electric</t>
  </si>
  <si>
    <t>Automotive*, Information Services (B2C), Logistics, Road</t>
  </si>
  <si>
    <t>Manufacturer of electric scooters intended to participate in global energy transition through urban mobility The company specializes in building scooters that are distinguished by their quality and price ratio along with the removable and interchangeable battery and assists with all technical requests, administrative formalities, and maintenance of vehicles, enabling last-mile businesses like catering and parcels to limit their carbon emissions produced during deliveries.</t>
  </si>
  <si>
    <t>A-Venture, Celeste Management</t>
  </si>
  <si>
    <t>electric scooter, electric vehicle, electric vehicle design, electric vehicle unit, last mile delivery, last mile logistic, micromobility, vehicle supplier</t>
  </si>
  <si>
    <t>CleanTech, Climate Tech, Micro-Mobility, Mobility Tech</t>
  </si>
  <si>
    <t>179581-15T</t>
  </si>
  <si>
    <t>116506-54T</t>
  </si>
  <si>
    <t>Artec BSM</t>
  </si>
  <si>
    <t>Other Commercial Services*, Road</t>
  </si>
  <si>
    <t>Provider of repair and maintenance services intended to focus on heavy trucks and industrial machinery. The company's services operate on mechanics, electronics, maintenance, and electricity with the help of expert and professional staff, enabling clients to get quality services for their heavy vehicles and equipment in a short time.</t>
  </si>
  <si>
    <t>Autonomie &amp; Solidarité, Capza</t>
  </si>
  <si>
    <t>commercial vehicle repair, comprehensive maintenance, hydraulics repair, machinery repair, machinery repair services, maintenance repair, maintenance repair services</t>
  </si>
  <si>
    <t>Seclin, France</t>
  </si>
  <si>
    <t>122414-05T</t>
  </si>
  <si>
    <t>Spark Horizon</t>
  </si>
  <si>
    <t>Operator of unique charging stations for electric vehicles designed to build a zero-emission society. The company's charging infrastructure combines free electricity for drivers and AI-based advertising, allowing brands and property owners to accurately reach out to their audience and enrich their customer value proposition.</t>
  </si>
  <si>
    <t>DBT Venture Partner</t>
  </si>
  <si>
    <t>charging infrastructure, charging network, charging station installation, charging station network, charging station provider, electric vehicle</t>
  </si>
  <si>
    <t>165262-78T</t>
  </si>
  <si>
    <t>eCential Robotics</t>
  </si>
  <si>
    <t>Developer of an imaging technology designed to integrate fluoroscopy, surgical navigation, and robotics for optimal treatment of multiple indications. The company's technology provides an integrated operating system with high-definition (HD) imaging and real-time surgical navigation used in mini-invasive orthopedic and trauma surgery, enabling surgeons to perform multiple procedures, and reducing radiation while increasing the safety and accuracy of complex interventions.</t>
  </si>
  <si>
    <t>Bpifrance(Marie-Laure Garrigues), Med-Innov (Bordeaux), Trail Solutions Patrimoine(Guillaume Hemmerle)</t>
  </si>
  <si>
    <t>imaging tech, imaging technology, minimally invasive surgery, surgical navigation, surgical navigation system, surgical robotics, trauma surgery</t>
  </si>
  <si>
    <t>165230-47T</t>
  </si>
  <si>
    <t>Le Coq Toqué</t>
  </si>
  <si>
    <t>Operator an online e-commerce platform, intended to offer fruit juice with a variety of flavors. The company's production includes non-alcoholic cider-based organic fruit juices from high-standard organic apples, enabling customers to taste quality craft cider beverages.</t>
  </si>
  <si>
    <t>Bee Family Office(Xavier Tassel), Normandie Participations(Anthony Arsac)</t>
  </si>
  <si>
    <t>apple cider, apple cider beverages, cider beverages, craft cider, fruits based beverages, organic apple cider, organic cider</t>
  </si>
  <si>
    <t>165135-25T</t>
  </si>
  <si>
    <t>Daphni, Felix Capital, Ventech (Paris)</t>
  </si>
  <si>
    <t>165344-50T</t>
  </si>
  <si>
    <t>Sis ID</t>
  </si>
  <si>
    <t>Financial Software*, Network Management Software</t>
  </si>
  <si>
    <t>Operator of a fintech company intended to help fight against bank transfer fraud. The company's collaborative platform offers a repository shared by various companies, a private blockchain to strengthen roles, and tools to verify the correct ownership of a bank account, regardless of the type of beneficiary, enabling businesses to get secure storage of payment data and accelerate the digital transformation of the finance function.</t>
  </si>
  <si>
    <t>Aonia Ventures(Olivier Brourhant), Bpifrance(Clarisse Blandin), Infolegale, Opera Tech Ventures(Thibaut Schlaeppi)</t>
  </si>
  <si>
    <t>financial software, fintech company, fintech company operator, network management, payment fraud detection, payment fraud protection</t>
  </si>
  <si>
    <t>Artificial Intelligence &amp; Machine Learning, Cryptocurrency/Blockchain, FinTech</t>
  </si>
  <si>
    <t>165278-26T</t>
  </si>
  <si>
    <t>Deepbloo</t>
  </si>
  <si>
    <t>Business/Productivity Software*, Energy Marketing</t>
  </si>
  <si>
    <t>Operator of a sales analytics platform for energy professionals designed for organizations to stay focused on the perfect matches to their business. The company's platform captures everyday energy-related opportunities from various sources corresponding to accurate market segments and regions specified by its customers and through a fined-tuned matchmaking algorithm, enabling enterprises to manage the opportunity and access the related business environment.</t>
  </si>
  <si>
    <t>Arts et Métiers Business Angels, Capitole Angels, Marcos Doucet(Marcos Doucet), Marie-Pascale Peltre, Melies Business Angels, Ocseed, Pascal Magnier(Pascal Magnier), Philippe Cattin-Vidal(Philippe Cattin-Vidal), Stanislas Drouin(Stanislas Drouin)</t>
  </si>
  <si>
    <t>energy operator, energy platform, energy professional services, energy sources platform, market intelligence, sales intelligence</t>
  </si>
  <si>
    <t>Climate Tech, Marketing Tech</t>
  </si>
  <si>
    <t>165719-08T</t>
  </si>
  <si>
    <t>AQUITI Gestion, Hervé Libeau(Hervé Libeau), Ocean Participations, Ouest Croissance Gestion(Henri Guillermit), Pascal-Olivier Mantoux(Pascal-Olivier Mantoux)</t>
  </si>
  <si>
    <t>165068-38T</t>
  </si>
  <si>
    <t>Graine de Pastel</t>
  </si>
  <si>
    <t>Household Products, Personal Products*</t>
  </si>
  <si>
    <t>Manufacturer of natural and organic cosmetics intended to undertake and build a brand with products made of pastels. The company's cosmetics are made from the extracts of woad oil and offer body scrubs, organic cotton towels, anti-aging creams, cleansing creams, soaps and fragrances, enabling customers to avail of anti-chemical products at a cheap rate.</t>
  </si>
  <si>
    <t>Harmay</t>
  </si>
  <si>
    <t>anti-ageing care, body scrub, natural cosmetics, natural cosmetics product, organic cosmetic product, organic cosmetics, organic skincare</t>
  </si>
  <si>
    <t>173517-58T</t>
  </si>
  <si>
    <t>Sabella</t>
  </si>
  <si>
    <t>Alternative Energy Equipment*, Environmental Services (B2B), Other Energy, Other Energy Services</t>
  </si>
  <si>
    <t>Developer of ocean stream turbines designed to supply reliable turnkey energy worldwide. The company's turbines are mainly for marine-based power generation, as well as it offers engineering and project management services related to installing the systems, enabling clients to switch towards sustainable energy in a hassle-free manner.</t>
  </si>
  <si>
    <t>GE Aerospace (NYS: GE)</t>
  </si>
  <si>
    <t>clean energy, dispatchable energy sources, energy transition, hydropower, hydropower generation, marine renewable energy, power generation, tidal energy</t>
  </si>
  <si>
    <t>CleanTech, Climate Tech, Manufacturing, TMT</t>
  </si>
  <si>
    <t>171771-31T</t>
  </si>
  <si>
    <t>Station</t>
  </si>
  <si>
    <t>Developer a browser extension designed to automatically switch across various applications, documents, notes, and messages. The company's extension provides a streamlined, well-organized, intuitive interface, enabling users to navigate frequently between applications easily and centralize all web notifications for easy access.</t>
  </si>
  <si>
    <t>2|Twelve, 515 Ventures, Accel, Fresh Ventures</t>
  </si>
  <si>
    <t>account administration, browser extensions, cloud-based application, single interface moderation, smart workstations, web based application</t>
  </si>
  <si>
    <t>219116-53T</t>
  </si>
  <si>
    <t>Syntony GNSS</t>
  </si>
  <si>
    <t>Business/Productivity Software, Other Commercial Services, Other Hardware*</t>
  </si>
  <si>
    <t>Developer of a software-based location technology designed to shape the future of navigation. The company's technology provides precise location of autonomous vehicles and innovative and adaptable technologies, upgradable at any moment to fit evolving requirements, enabling aeronautics, space, and defense clients to locate satellites, aircraft, launchers, and trains using an emergency call location facility.</t>
  </si>
  <si>
    <t>fleet connectivity, fleet management, industrial data analytics, iot software, location tracking, navigation technology, radio navigation tech, radiofrequency signal, vertical application</t>
  </si>
  <si>
    <t>165013-66T</t>
  </si>
  <si>
    <t>Accro</t>
  </si>
  <si>
    <t>Producer of vegetable steak intended to offer a healthy alternative to meat. The company specializes in the creation of plant-based food products which are made from simple ingredients like pea and wheat proteins that are locally sourced and grown, enabling customers to adopt a vegetarian diet.</t>
  </si>
  <si>
    <t>Creadev, Roquette Venture</t>
  </si>
  <si>
    <t>animal protein alternative, meat alternative, minced meat, plant-based food, plant-based steak, vegan food, vegan food product</t>
  </si>
  <si>
    <t>Vitry-en-Artois, France</t>
  </si>
  <si>
    <t>247078-90T</t>
  </si>
  <si>
    <t>Scotsbridge Holdings</t>
  </si>
  <si>
    <t>165157-21T</t>
  </si>
  <si>
    <t>Gatling</t>
  </si>
  <si>
    <t>IT Consulting and Outsourcing*, Software Development Applications</t>
  </si>
  <si>
    <t>Developer of open-source load testing tools designed for testing applications and websites. The company's tools help to anticipate slow response times and crashes, detect performance issues and errors early in the development cycle, and give an accurate picture of the slowest user experience, enabling web-developers to easily maintain and automate performance testing campaigns as well as consulting and training for its users.</t>
  </si>
  <si>
    <t>Pleiade Venture, SaaS Partners</t>
  </si>
  <si>
    <t>it consulting, load testing tool, open source server, open source software, open source tool, performance testing tool</t>
  </si>
  <si>
    <t>164636-11T</t>
  </si>
  <si>
    <t>Elwin (Financial Software)</t>
  </si>
  <si>
    <t>Financial Software*, Other Financial Services, Specialty Retail</t>
  </si>
  <si>
    <t>Operator of an online savings and product consulting platform designed to offer customizable turnkey tools to digitize all or part of all customer relationships. The company's platform specializes in artificial intelligence and insurance services, keeps a technological head start, pushes the research in behavioral finance, and removes the barriers through artificial intelligence as a decision aid, enabling customers with advice to gain productivity and focus on the development and retention of customer portfolios.</t>
  </si>
  <si>
    <t>777 Corp, Treeschannel</t>
  </si>
  <si>
    <t>advisortech, compliance assistant, financial advisor, financial services, online savings software, portfolio construction, regulatory procedures, saas solution, software solutions, wealthtech</t>
  </si>
  <si>
    <t>Artificial Intelligence &amp; Machine Learning, E-Commerce, FinTech, SaaS</t>
  </si>
  <si>
    <t>165270-52T</t>
  </si>
  <si>
    <t>Elwave</t>
  </si>
  <si>
    <t>Electronic Equipment and Instruments*, Other Commercial Services</t>
  </si>
  <si>
    <t>Developer of scientific and technical instrumentation designed to help subsea and industrial robotics. The company's instrumentation offers an electromagnetic detection, navigation, and characterization system combined with high-sensitivity electronics and cutting-edge algorithms to automatically avoid obstacles, wall tracks, and docking, enabling industries to easily access local mapping of the environment.</t>
  </si>
  <si>
    <t>Atlantique de librairie, GO Capital (France), Sofimac Innovation, UI Investissement</t>
  </si>
  <si>
    <t>detection device, electronic manufacturing, intrusion detection, navigation device, navigation system, scientific devices</t>
  </si>
  <si>
    <t>172077-22T</t>
  </si>
  <si>
    <t>Apicil Group, Generali Insurance Asset Management(Rémi Cuinat), Mandalore Partners(Minh Tran)</t>
  </si>
  <si>
    <t>165211-93T</t>
  </si>
  <si>
    <t>Angelor, Angels for Food, Bpifrance, Bruno Thévenin(Bruno Thévenin), Gérald Vallée(Gérald Vallée), Innov'Alliance, InVivo group</t>
  </si>
  <si>
    <t>186774-49T</t>
  </si>
  <si>
    <t>Groupe IDEC</t>
  </si>
  <si>
    <t>184799-26T</t>
  </si>
  <si>
    <t>CommerzVentures, Generation NewTech, Omnes Capital(Xavier Brunaud)</t>
  </si>
  <si>
    <t>223697-44T</t>
  </si>
  <si>
    <t>Gryp</t>
  </si>
  <si>
    <t>Developer of a 3D printing platform designed to reproduce spare parts for classic vehicles and industrial projects. The company's platform offers modern equipment and expertise in additive manufacturing, 3D scanning, and manual finishing to meet the needs for spare parts for classic vehicles and industrial projects, enabling clients to replace damaged or missing interior and exterior ornamentation pieces, and maintain, reproduce, or restore their automobiles.</t>
  </si>
  <si>
    <t>3d printing service, 3d scanning, automobile restoration, car parts, classic cars restoration, fabrication additives, fabrication work, interior automotive components</t>
  </si>
  <si>
    <t>164501-83T</t>
  </si>
  <si>
    <t>Chris Corbishley(Chris Corbishley), Global Founders Capital(David Sainteff), Hedosophia, Paris-Saclay Seed Fund, Partech, Rocket Internet Capital Partners</t>
  </si>
  <si>
    <t>204150-52T</t>
  </si>
  <si>
    <t>Sneakmart</t>
  </si>
  <si>
    <t>Application Software, Footwear, Internet Retail*</t>
  </si>
  <si>
    <t>Opeartor of a community-driven application designed for streetwear. The company offers a community platform where consumption through a token-gated experience trade physical and digital streetwear on the application, enabling users to collect digital and physical sneakers.</t>
  </si>
  <si>
    <t>Ariane Capital, Michael Amar(Michael Amar)</t>
  </si>
  <si>
    <t>community-driven marketplace, nft sneakers, online trade, sneakers community, sneakers platform, streetwear apparel, streetwear marketplace, streetwear site</t>
  </si>
  <si>
    <t>184067-56T</t>
  </si>
  <si>
    <t>179934-49T</t>
  </si>
  <si>
    <t>Biospeedia</t>
  </si>
  <si>
    <t>Operator of a biotechnology company intended for the production of diagnostic test kits for infectious diseases. The company develops and manufactures test kits for rapid screening and diagnosis of Covid-19, to protect and allow the community to function and create a safe environment to reopen and keep it open, enabling physicians to make accurate and lifesaving decisions.</t>
  </si>
  <si>
    <t>Forepont Capital Partners(Ismail Kola), Plutus Investment Group</t>
  </si>
  <si>
    <t>diagnostic kits, diagnostic test kits, elisa kits, rapid screening, rapid test kits, screening test, vitro diagnostic</t>
  </si>
  <si>
    <t>191235-79T</t>
  </si>
  <si>
    <t>UP for SketchUp by OXP</t>
  </si>
  <si>
    <t>Developer of a housing and interior design collaboration tool designed for the decoration and home improvement sector. The company's platform provides the production of augmented data such as three-dimensional design, targeted dissemination of data on channels for identified targets, and development of tools that improve work, enabling brands, architects, media, and e-commerce businesses to offer their products to their prescribers.</t>
  </si>
  <si>
    <t>3d modeling application, architecture deisgn, collaboration platform, ecommerce search, furniture search, house design, interior decoration platform</t>
  </si>
  <si>
    <t>276690-16T</t>
  </si>
  <si>
    <t>182004-22T</t>
  </si>
  <si>
    <t>Acces Inclusive Tech</t>
  </si>
  <si>
    <t>Provider of outsourcing services intended for information technology assistance. The company's platform gives an administrative back office, data entry, file management, IT services, and many more facilities, enabling businesses to outsource their work and contribute to corporate social responsibility activity by supporting job creation.</t>
  </si>
  <si>
    <t>administrative services provider, back office functions, data entry assisting, it services company, outsourcing jobs, social responsibility</t>
  </si>
  <si>
    <t>174648-61T</t>
  </si>
  <si>
    <t>Rarestone Capital</t>
  </si>
  <si>
    <t>205312-87T</t>
  </si>
  <si>
    <t>aqui.fr</t>
  </si>
  <si>
    <t>Consulting Services (B2B), Information Services (B2C), Publishing*</t>
  </si>
  <si>
    <t>Operator of press, training, and consulting company intended to share information in New Aquitaine and beyond. The company's platform provides analyzes by legitimate experts informed by investigations by experienced journalists, enabling the readers to access rigorous and verified information on subjects essential to the good apprehension of the world of tomorrow.</t>
  </si>
  <si>
    <t>777 Corp</t>
  </si>
  <si>
    <t>advertising content, editorial news, journalists articles, press news, regional information, training and consulting</t>
  </si>
  <si>
    <t>205452-46T</t>
  </si>
  <si>
    <t>Ardelaine</t>
  </si>
  <si>
    <t>Clothing*, Other Textiles</t>
  </si>
  <si>
    <t>Manufacturer of woolen textiles intended to offer sustainable and eco-friendly clothing varieties. The company develops products around woven felt and ice mesh, creating and manufacturing merino wool clothing, offering new types of mattresses and duvets, enabling the local textile industry to focus on the valorization of the territory's resources by processing wool and local food production.</t>
  </si>
  <si>
    <t>eco-friendly clothing, textile industry, textile manufacturing, wool clothing, wool processing, woolen textile</t>
  </si>
  <si>
    <t>Saint-Pierreville, France</t>
  </si>
  <si>
    <t>173550-61T</t>
  </si>
  <si>
    <t>272666-62T</t>
  </si>
  <si>
    <t>Arnaud Boué</t>
  </si>
  <si>
    <t>Producer of wine based in Villars-Fontaine, France. The company uses sustainable farming practices for the vinification process to create various cultural and regional wines, enabling customers to find wine that resonates with their local taste.</t>
  </si>
  <si>
    <t>2Future Holdings</t>
  </si>
  <si>
    <t>liquor product, vintage spirits, wine brewery, wine maker, winery-area, wines and liquor</t>
  </si>
  <si>
    <t>205034-14T</t>
  </si>
  <si>
    <t>Ashta</t>
  </si>
  <si>
    <t>Developer of a collaborative platform for fashion brands designed to manage all stages of wholesale orders. The company's platform connects retailers, brands, and sales agencies worldwide allowing them to collaborate and share data on products, orders, payments, and shipments, enabling clients to track the progress of every order from start to finish in real-time.</t>
  </si>
  <si>
    <t>McKenny-McFarlane Capital</t>
  </si>
  <si>
    <t>collaborative platform, fashion brand company, fashion brand retail, fashion branding, retailers marketplace, shipment tracking, wholesale seller</t>
  </si>
  <si>
    <t>E-Commerce, Marketing Tech</t>
  </si>
  <si>
    <t>188768-62T</t>
  </si>
  <si>
    <t>Cookoon</t>
  </si>
  <si>
    <t>Operator of a catering company intended to provide original french cuisine. The company's platform allows its members to enjoy exceptional gastronomic experiences by cooking meals or cocktails of their choice, enabling people to improve their cooking skills by availing of these services.</t>
  </si>
  <si>
    <t>Julien Serdaru-Barbul(Julien Serdaru-Barbul)</t>
  </si>
  <si>
    <t>food products company, gastronomic cuisine, gastronomic experience, gastronomic experience software, gastronomic guide, ghost kitchen, private chef, restaurant &amp; retail tech, restaurant and retail technology, sommelier service</t>
  </si>
  <si>
    <t>174633-04T</t>
  </si>
  <si>
    <t>Corlieve Therapeutics</t>
  </si>
  <si>
    <t>Operator of a biotechnology company intended to develop novel therapeutic options for patients with severe neurological disorders. The company's lead project is targeting aberrantly expressed kainate receptors in the hippocampus of patients with TLE using a gene therapy approach, enabling doctors to help patients 
 improve their standard of living.</t>
  </si>
  <si>
    <t>Bpifrance, Kinled Holding</t>
  </si>
  <si>
    <t>biotech, gene delivery, gene therapeutics, gene therapy, gene therapy product, neurological care, neurological research, neurological therapeutic, neurological therapeutics, neurological therapeutics technology, neurological therapy</t>
  </si>
  <si>
    <t>218513-08T</t>
  </si>
  <si>
    <t>CybeleTech</t>
  </si>
  <si>
    <t>Business/Productivity Software*, Cultivation, Media and Information Services (B2B), Other Agriculture</t>
  </si>
  <si>
    <t>Developer of plant-focused digital technology designed to produce and offer software-based tools and services for yield prediction. The company's technology focuses on an array of field crop management and fertilization processing models to calculate from fertilizer inputs to minimize water usage while achieving desired quantity targets, enabling farmers to improve their yield with cost reductions.</t>
  </si>
  <si>
    <t>agriculture service, crop management system, crop management tool, farm management software, precision agriculture, sustainable agriculture, yield analysis, yield prediction</t>
  </si>
  <si>
    <t>AgTech, Artificial Intelligence &amp; Machine Learning, CleanTech</t>
  </si>
  <si>
    <t>246576-07T</t>
  </si>
  <si>
    <t>Dataouest</t>
  </si>
  <si>
    <t>Business/Productivity Software*, IT Consulting and Outsourcing, Other IT Services</t>
  </si>
  <si>
    <t>Operator and developer of information systems management tools intended for data hosting services. The company offers a variety of IT services, including infrastructure, applications, cloud, telecom, and operator, enabling businesses to manage their digital transformation and information systems.</t>
  </si>
  <si>
    <t>cybersecurity device, digital transformation, information systems, it services, specifications support, system integration</t>
  </si>
  <si>
    <t>Saint-Lo, France</t>
  </si>
  <si>
    <t>199959-58T</t>
  </si>
  <si>
    <t>Dawizz</t>
  </si>
  <si>
    <t>Business/Productivity Software*, Database Software, Media and Information Services (B2B), Network Management Software</t>
  </si>
  <si>
    <t>Developer of a data mapping and cataloging platform designed to provide data analysis, cleaning, quality and security services. The company's platform uses smart algorithms to offer a tool that specializes in data governance, cybersecurity and GDPR and offers data cleaning, data anonymization, data localization and data referential, enabling clients to get a full picture of their company's data assets.</t>
  </si>
  <si>
    <t>Crédit Agricole Franche-Comté</t>
  </si>
  <si>
    <t>data governance, data management platform, data management tool, data mapping platform, data mapping software, data mapping tools</t>
  </si>
  <si>
    <t>246639-34T</t>
  </si>
  <si>
    <t>Eco Fluid Systems</t>
  </si>
  <si>
    <t>Building Products, Other Commercial Products, Other Commercial Services*</t>
  </si>
  <si>
    <t>Operator of a stainless steel welding technology company intended to offer professional pipe fitters and welders. The company specializes in stainless steel piping, soudure arc machine, manual welding, soudure TIG, radio welding, carbon welding, welding with verification under endoscope and brasure, enabling clients to access required welding technology.</t>
  </si>
  <si>
    <t>corrosion resistance, stainless steel piping, welding facility, welding process, welding services, welding tech, welding unit</t>
  </si>
  <si>
    <t>Jouy en Josas, France</t>
  </si>
  <si>
    <t>242027-02T</t>
  </si>
  <si>
    <t>Entourage (Social/Platform Software)</t>
  </si>
  <si>
    <t>Application Software, Social/Platform Software*</t>
  </si>
  <si>
    <t>Operator of community-driven platforms intended to rebuild social connections for people facing exclusion and homelessness. The company platform offers programs to raise awareness, facilitate meaningful interactions, and restore support networks through innovative technology and local events, enabling isolated individuals to regain confidence, purpose, and inclusion.</t>
  </si>
  <si>
    <t>community work, people interaction, social connection, social network, social support, social tech</t>
  </si>
  <si>
    <t>187605-28T</t>
  </si>
  <si>
    <t>Epicery</t>
  </si>
  <si>
    <t>Application Software, Food Products, Other Restaurants, Hotels and Leisure*, Specialty Retail</t>
  </si>
  <si>
    <t>Developer of a food delivery platform designed to revolutionize food shopping and convenience shopping. The company's platform has a digitized catalog, merchants have a tablet to respond to orders in real-time and an algorithm that searches the nearest stores, enabling users to get fresh and choice of food despite the constraints of time and distance.</t>
  </si>
  <si>
    <t>food delivery, food delivery application, food delivery platform, food delivery portal, food delivery service, food ecommerce, home delivery service, restaurant marketplace</t>
  </si>
  <si>
    <t>218584-45T</t>
  </si>
  <si>
    <t>Ethera</t>
  </si>
  <si>
    <t>Electronics (B2C)*</t>
  </si>
  <si>
    <t>Developer of indoor air quality diagnostic system designed to diagnose, monitor, and treat pollution of indoor air. The company's system offers a large choice of sensors, including formaldehyde to measure and eliminate indoor air pollutants, which use nonporous materials and colorimetric detection, enabling consumers to improve the quality of air in public and private buildings.</t>
  </si>
  <si>
    <t>air measurement equipment, air monitoring system, air pollutants, gas detection, indoor air quality analysis, pollution removal</t>
  </si>
  <si>
    <t>LOHAS &amp; Wellness, Manufacturing, TMT</t>
  </si>
  <si>
    <t>179098-48T</t>
  </si>
  <si>
    <t>Ewattch</t>
  </si>
  <si>
    <t>Application Software, Connectivity Products*, Wireless Communications Equipment</t>
  </si>
  <si>
    <t>Developer of wireless connected sensors designed for energy management. The company's sensors increase energy efficiency through real-time consumption management, enabling users to optimize and reduce energy expenditure in buildings.</t>
  </si>
  <si>
    <t>Encevo, ILP Group, Noshaq</t>
  </si>
  <si>
    <t>building energy efficiency, built environment, connected sensors, electricity monitoring device, energy management, greentech firm, industrial iot, smart building tools</t>
  </si>
  <si>
    <t>Advanced Manufacturing, CleanTech, Climate Tech, Internet of Things, SaaS</t>
  </si>
  <si>
    <t>Saint-Dié-des-Vosges, France</t>
  </si>
  <si>
    <t>180051-13T</t>
  </si>
  <si>
    <t>Fabster</t>
  </si>
  <si>
    <t>Business/Productivity Software, Entertainment Software, Media and Information Services (B2B)*</t>
  </si>
  <si>
    <t>Operator of a video monetization platform intended to allow digital media to integrate monetized videos. The company's platform offers an AI-based contextual video player that combines advertising and thematic video content complementary to the website which is likely to interest visitors, enabling clients to broadcast videos to their audience and earn revenue.</t>
  </si>
  <si>
    <t>Arkanum Group</t>
  </si>
  <si>
    <t>digital advertisement, digital media, video management, video monetization, video monetization platform, video monetization service</t>
  </si>
  <si>
    <t>AdTech, Marketing Tech, Mobile</t>
  </si>
  <si>
    <t>Mauguio, France</t>
  </si>
  <si>
    <t>227210-77T</t>
  </si>
  <si>
    <t>Haption</t>
  </si>
  <si>
    <t>Manufacturer of haptic devices intended for the needs of its customers, both industrial and academic. The company's products leverage force feedback technology to provide 6 degrees of free movement, enabling clients to simulate a digital mock-up of all operations needed for new products.</t>
  </si>
  <si>
    <t>force feedback, haptic devices, haptic systems, haptic teddy, manipulate data, mechanical structure</t>
  </si>
  <si>
    <t>Soulge-sur-Ouette, France</t>
  </si>
  <si>
    <t>223119-46T</t>
  </si>
  <si>
    <t>HD Rain</t>
  </si>
  <si>
    <t>Environmental Services (B2B), Media and Information Services (B2B)*, Other Commercial Services</t>
  </si>
  <si>
    <t>Developer of weather measurements and forecasts technology intended to measure rainfall through the influence of waves coming from satellites. The company's technology produces weather maps minute-by-minute with a high level of accuracy, enabling clients to have better access to information and have the resilience to climatic events and measure weather risks.</t>
  </si>
  <si>
    <t>forecast model, industrial data analytics, rainfall monitoring, rainfall prediction application, vertical application, weather forecasting, weather measurement, weather technology</t>
  </si>
  <si>
    <t>Advanced Manufacturing, Artificial Intelligence &amp; Machine Learning, Big Data, Internet of Things</t>
  </si>
  <si>
    <t>183956-86T</t>
  </si>
  <si>
    <t>Hop3team</t>
  </si>
  <si>
    <t>Business/Productivity Software*, Office Services (B2B)</t>
  </si>
  <si>
    <t>Developer of administrative management software designed for vocational training. The company offers a software-as-a-service platform that allows it to be more organized and responsive to customers' requests, helping businesses dematerialize and automate the flow of administrative documents and reduce the spending on administration.</t>
  </si>
  <si>
    <t>Bpifrance, EuraTechnologies, SIDE Capital</t>
  </si>
  <si>
    <t>administrative care, administrative management software, digital transformation services, management software, saas platform, vocational training</t>
  </si>
  <si>
    <t>184413-61T</t>
  </si>
  <si>
    <t>I Make</t>
  </si>
  <si>
    <t>Information Services (B2C), Internet Retail, Other Services (B2C Non-Financial), Specialty Retail*</t>
  </si>
  <si>
    <t>Operator of a business-to-consumer marketplace intended to provide do-it-yourself supplies to consumers. The company's marketplace offers supplies to assist consumers to do everything by themselves such as making clothes, sewing, knitting, embroidery, making cosmetics, cleaning products, and making jewelry, among others, enabling customers to have access to a cheaper alternative to buying ready-to-use items.</t>
  </si>
  <si>
    <t>Founders Future(Maxime de Varine-Bohan)</t>
  </si>
  <si>
    <t>b2c services, design materials, diy marketplace, diy platform, online platform, online platform operator, paper art</t>
  </si>
  <si>
    <t>165779-74T</t>
  </si>
  <si>
    <t>Intelekto</t>
  </si>
  <si>
    <t>Provider of economic and strategic intelligence platform intended for businesses and entrepreneurs. The company offers data from official open databases, combined with reports, studies, and hot information from heterogeneous sources such as podcasts, announcements, and the deep web, and the media of companies building the future world, enabling clients to learn more through their analysis, and decryption media.</t>
  </si>
  <si>
    <t>777 Corp(Julien Lopizzo)</t>
  </si>
  <si>
    <t>business interaction, company database, database design, decryption software, media providers, strategic intelligence</t>
  </si>
  <si>
    <t>Oullins, France</t>
  </si>
  <si>
    <t>204557-59T</t>
  </si>
  <si>
    <t>Laboratoires Rochex</t>
  </si>
  <si>
    <t>Multi-line Chemicals*, Other Commercial Products</t>
  </si>
  <si>
    <t>Operator of a chemical company intended to offer environmentally friendly cleaning and disinfection products to cleaning companies. The company manufactures cleaners, detergents, disinfectants, strippers, and descalers which also include small washing equipment like washing machines, brooms, vacuum cleaners, and protection kits, enabling healthcare facilities, industries, and public institutions to access tailor-made support in getting cleaning products as per their needs and requirements.</t>
  </si>
  <si>
    <t>cleaning company, detergents producer, disinfectants manufacturer, disinfection products, environmental regulation, hygiene product, sanitizing solutions, washing equipment</t>
  </si>
  <si>
    <t>Juvigny, France</t>
  </si>
  <si>
    <t>186417-28T</t>
  </si>
  <si>
    <t>Evolem</t>
  </si>
  <si>
    <t>228522-79T</t>
  </si>
  <si>
    <t>Les Marmites Volantes</t>
  </si>
  <si>
    <t>Operator of a food service company intended to defend quality food, accessible, and made from raw materials. The company offers organic food, meats from traditional farms, and all fresh cuisine and is produced with the lowest possible environmental impact, providing customers with seasonal vegetable meals, ideally organic and from short circuits.</t>
  </si>
  <si>
    <t>Daniel and Nina Carasso Foundation, Quadia</t>
  </si>
  <si>
    <t>food delivery, meals delivery, organic food, organic vegetables, restaurant ordering, school catering, seasonal meals, seasonal vegetables, sustainable eating</t>
  </si>
  <si>
    <t>FoodTech, Impact Investing, LOHAS &amp; Wellness, Restaurant Technology</t>
  </si>
  <si>
    <t>193477-24T</t>
  </si>
  <si>
    <t>Merci Maman</t>
  </si>
  <si>
    <t>Manufacturer of customized jewelry intended to provide delicate designs and engraving jewelry. The company's portal offers jewelry by the skilled hands of the team to make the words of the clients come to life with a meaningful message, chosen by the clients and hand-engraved by the company, enabling customers to celebrate the special bond with their families.</t>
  </si>
  <si>
    <t>Aeternum Holding</t>
  </si>
  <si>
    <t>customised jewelry, engraving jewelry, jewelry gift, jewelry retailer, jewelry vendor, online jeweller</t>
  </si>
  <si>
    <t>107429-95T</t>
  </si>
  <si>
    <t>mojo (Multimedia and Design Software)</t>
  </si>
  <si>
    <t>Developer of an editing mobile application designed to create social media content. The company's platform offers animated templates, music, and editing tools to create engaging video and photo content, enabling users to make their content unique with stickers and effects.</t>
  </si>
  <si>
    <t>Joa Capital, Kima Ventures</t>
  </si>
  <si>
    <t>animation content, editing platform, emoji animation, emoji application, emoji attachment, mobile application software, social content</t>
  </si>
  <si>
    <t>Augmented Reality, Mobile</t>
  </si>
  <si>
    <t>177821-29T</t>
  </si>
  <si>
    <t>MS3D</t>
  </si>
  <si>
    <t>Developer of 3D dimensional inspection machinery designed to facilitate error-free manufacturing and functioning of mechanical parts. The company's system combines 3D non-contact in-line inspection technology for zero-defect manufacturing, thus permitting correction of process parameters in real-time, enabling manufacturing industries to ensure that all mechanical part areas are measured and that no defective part is passed down further.</t>
  </si>
  <si>
    <t>3d dimensioning, compliance control system, digital technology, inspection machine, measurement sensors, mechanical industry</t>
  </si>
  <si>
    <t>200121-31T</t>
  </si>
  <si>
    <t>Nes &amp; Cité</t>
  </si>
  <si>
    <t>Education and Training Services (B2B), Human Capital Services*, Other Commercial Services</t>
  </si>
  <si>
    <t>Operator of a recruitment firm intended to restore social ties in organizations and territories. The company offers employment mediation, employment support, recruitment services and provides training in conflict management, risk management, stress management and customer care and other topics, enabling clients to hire and maintain equality and diversity.</t>
  </si>
  <si>
    <t>Holnest, Management et Partcipitation</t>
  </si>
  <si>
    <t>employment mediation, employment support, professional training, recruitment firm, recruitment services, training program</t>
  </si>
  <si>
    <t>220354-57T</t>
  </si>
  <si>
    <t>Nochichi</t>
  </si>
  <si>
    <t>Operator of a content creation platform intended to offer communication material for business. The company's platform provides media communication services that include creating brand logos, print media, and digital marketing, enabling brands to achieve business objectives.</t>
  </si>
  <si>
    <t>Altavia Adventures, Just Because</t>
  </si>
  <si>
    <t>brand creation services, brand label, content creation, digital marketing, marketing service, media communication service, print media services</t>
  </si>
  <si>
    <t>185443-84T</t>
  </si>
  <si>
    <t>NUOO</t>
  </si>
  <si>
    <t>Other Retail, Other Services (B2C Non-Financial), Personal Products*</t>
  </si>
  <si>
    <t>Manufacturer of on-demand subscription-based beauty products intended to offer natural and organic cosmetics. The company's products include vegan-based beauty, face, makeup, hair, body and relaxation products, enabling consumers to subscribe to organic beauty products and cosmetics that they can receive at their doorsteps.</t>
  </si>
  <si>
    <t>Crédit Agricole Sud Rhône Alpes Capital, Luxury Tech Fund</t>
  </si>
  <si>
    <t>beauty products, hair care product, makeup product, natural cosmetics product, natural cosmetics products, organic cosmetics, vegan cosmetics</t>
  </si>
  <si>
    <t>187142-23T</t>
  </si>
  <si>
    <t>Global Founders Capital, Partech</t>
  </si>
  <si>
    <t>201099-25T</t>
  </si>
  <si>
    <t>Genopole, TEAL Impact vc</t>
  </si>
  <si>
    <t>232360-30T</t>
  </si>
  <si>
    <t>M Capital Partners</t>
  </si>
  <si>
    <t>193345-75T</t>
  </si>
  <si>
    <t>Ifpass Services</t>
  </si>
  <si>
    <t>206358-76T</t>
  </si>
  <si>
    <t>Semkel</t>
  </si>
  <si>
    <t>Developer of business intelligence and cybersecurity technology intended to help decision-makers. The company offers business intelligence, investigations, and cybersecurity technology and works alongside with internal IT team, helping clients to strengthen their convictions during strategic decisions and their resilience to cyber risks.</t>
  </si>
  <si>
    <t>777 Corp(Julien Lopizzo), Jean Descroix-Vernier, Jérôme Keloghlanian(Jérôme Keloghlanian), Laurent de Monestrol(Laurent de Monestrol), Laurent Delaporte(Laurent Delaporte), Nenad Cetkovic(Nenad Cetkovic), Olivier Bernasson, Patrick Amiel(Patrick Amiel), Patrick Bertrand(Patrick Bertrand), Thierry Debarnot(Thierry Debarnot), Xavier Poitau</t>
  </si>
  <si>
    <t>business intelligence, cybersecurity, cybersecurity firm, dark web intelligence, dark web investigation, dark web monitoring, investigation tools, security and investigation, security cover, security operations, security risk assessment &amp; management, security risk assessment and management</t>
  </si>
  <si>
    <t>190008-82T</t>
  </si>
  <si>
    <t>SimpliField</t>
  </si>
  <si>
    <t>Automation/Workflow Software, Business/Productivity Software*, Communication Software</t>
  </si>
  <si>
    <t>Developer of a mobile field reporting and insights platform designed to help mobilize field teams quickly. The company's platform lets businesses and managers have real-time insight into field operations by streamlining enterprise communication to collect and investigate field data, enabling organizations to improve performance with more predictive and informed decisions.</t>
  </si>
  <si>
    <t>Craft Ventures(Mike Marg), GTMFund, Khosla Ventures</t>
  </si>
  <si>
    <t>field reporting, reporting platform, retail analytics platform, retail management, retail management platform, workforce productivity</t>
  </si>
  <si>
    <t>280105-12T</t>
  </si>
  <si>
    <t>Soufflé (Home Furnishings)</t>
  </si>
  <si>
    <t>Home Furnishings*, Household Products</t>
  </si>
  <si>
    <t>Manufacturer of sustainable kitchen utensils intended to provide eco-friendly products that support everyday cooking. The company offers French-made, porcelain utensils that are durable, colorful, and designed for long-term use, enabling home chefs and families to enjoy cooking while promoting a healthier, more sustainable lifestyle.</t>
  </si>
  <si>
    <t>cooking tools, kitchen accessories, kitchenware manufacturing, porcelain plates, porcelain product, sustainable utensils</t>
  </si>
  <si>
    <t>165376-09T</t>
  </si>
  <si>
    <t>Studio Romeo</t>
  </si>
  <si>
    <t>Accessories*, Other Apparel</t>
  </si>
  <si>
    <t>Manufacturer of baby carriers intended to offer an alternative for hefty strollers. The company's products are designed to respect the psychomotor development of the child and are eco-friendly- made of organic cotton, natural fibers from organic farming, and without pesticides to protect babies' sensitive skin, enabling mothers to carry their babies while ensuring their comfort and safety.</t>
  </si>
  <si>
    <t>baby carrier, baby equipment, baby shops, baby sling, baby tools, babywearing product, eco-friendly product, motherhood accessory</t>
  </si>
  <si>
    <t>Saint Martin Bellevue, France</t>
  </si>
  <si>
    <t>191250-37T</t>
  </si>
  <si>
    <t>Sym Vision labs</t>
  </si>
  <si>
    <t>Medical Supplies, Personal Products*</t>
  </si>
  <si>
    <t>Operator of an eyewear design company intended to provide eyewear. The company provides different eyewear options like sunglasses and basic eyeglasses, providing both men and women with a wide range of eye styling options.</t>
  </si>
  <si>
    <t>Majycc Esante Invest, Otium Capital, UI Investissement</t>
  </si>
  <si>
    <t>eye frames, eyewear company, eyewear firm, eyewear glass, eyewear retail, sunglasses retail</t>
  </si>
  <si>
    <t>266186-53T</t>
  </si>
  <si>
    <t>Synergie Family</t>
  </si>
  <si>
    <t>Operator of a social development company intended to educate children, youth, and families. The company is involved in the development of socio-educational actions for the benefit of students and specializes in social innovation, enabling students to have strong educational values in the fields of sport, culture, employment, and personal development.</t>
  </si>
  <si>
    <t>NovESS</t>
  </si>
  <si>
    <t>education provider, leisure facility, personal development, skill development service, social development, social development services, socio-educational action, student empowerment, youth skills</t>
  </si>
  <si>
    <t>200122-30T</t>
  </si>
  <si>
    <t>Daffourd Invest, Holnest</t>
  </si>
  <si>
    <t>199231-12T</t>
  </si>
  <si>
    <t>Trone</t>
  </si>
  <si>
    <t>Manufacturer of modern toilets intended to reinvent the restroom experience. The company's products offer minimal water consumption, colorful design, and proper quality filtration and are fully customizable, enabling users to improve their bathroom interior.</t>
  </si>
  <si>
    <t>bathroom furnishing, bathroom set, furnishing decor, furnishing good, interior decor, washroom product</t>
  </si>
  <si>
    <t>171623-80T</t>
  </si>
  <si>
    <t>NCI Gestion(Baptiste Janique)</t>
  </si>
  <si>
    <t>174845-53T</t>
  </si>
  <si>
    <t>Vidi Guides</t>
  </si>
  <si>
    <t>Operator of an audio-guide mobile application intended to provide self-guided experiences across tourist destinations. The company's platform offers walking experiences that are designed like podcasts and explores various themes nested in every place such as its architecture, culture, cuisines, communities, history, pop culture, local legends, anecdotes, and stories, enabling users and travelers to get the joy of discovering the authentic face of cities, neighborhood and cultural sites, and unlocking the many tales they hold.</t>
  </si>
  <si>
    <t>Cur8 Capital</t>
  </si>
  <si>
    <t>leisure industry, podcast tours, self-guided tours, sightseeing experience, story telling, travel tourism</t>
  </si>
  <si>
    <t>199000-09T</t>
  </si>
  <si>
    <t>181250-29T</t>
  </si>
  <si>
    <t>Kima Ventures, Redalpine, Ventech (Paris)</t>
  </si>
  <si>
    <t>208932-85T</t>
  </si>
  <si>
    <t>Wonder Partners</t>
  </si>
  <si>
    <t>Operator of a digital platform designed to improve augmented reality performance. The company's platform offers services for the augmented reality, marketing, and advertising industry with decision support tools in the purchasing, training, and industrial control processes, enabling clients and customers to value from the definition of the user experience to the 3D design, from the definition of KPI's to the implementation on your web or application media to offer immersive support to the system.</t>
  </si>
  <si>
    <t>advertising company, advertising industry, advertising service, augmented reality platform, digital platform software, marketing website, saas management</t>
  </si>
  <si>
    <t>AdTech, Augmented Reality, SaaS</t>
  </si>
  <si>
    <t>Pays de la Loire, France</t>
  </si>
  <si>
    <t>213205-06T</t>
  </si>
  <si>
    <t>Yacht Sentinel</t>
  </si>
  <si>
    <t>Developer of boat monitoring systems designed for the security aspects of the boat when not in use. The company's monitoring system sends an extensive amount of data from all components of the boat such as engines, batteries, water depth, and fluid levels when in use, providing shipyards, boat dealers, and charter companies with big data so they can create new products and services, speed-up check-out processes, improve customer support, reduce maintenance and repair cost.</t>
  </si>
  <si>
    <t>Key Ventures, Oracle VC(Thomas Whitby)</t>
  </si>
  <si>
    <t>boats alarm, boats tracker, marine security system, monitoring process, monitoring system platform, sailing yacht</t>
  </si>
  <si>
    <t>167527-27T</t>
  </si>
  <si>
    <t>Chosen</t>
  </si>
  <si>
    <t>Operator of hairdressers marketplace intended to offer hair services to the customers. The company's platform offers services that include hair cutting, hair coloring, brushing, hair smoothing and also a makeover facility, enabling customers to select suitable hairdressers for them and book them based on a complete hair diagnosis.</t>
  </si>
  <si>
    <t>Alexandre Godvin(Alexandre Godvin), Cassous Group USA, Kima Ventures</t>
  </si>
  <si>
    <t>hair care services, hairdresser marketplace, hairdressing service, online hair design, online hair salon, online hair treatment</t>
  </si>
  <si>
    <t>213098-77T</t>
  </si>
  <si>
    <t>GwenneG</t>
  </si>
  <si>
    <t>163938-88T</t>
  </si>
  <si>
    <t>Charles River Laboratories International (NYS: CRL)</t>
  </si>
  <si>
    <t>180816-04T</t>
  </si>
  <si>
    <t>Retency</t>
  </si>
  <si>
    <t>Developer of a retail analytics platform designed to analyze customer flow inside retail stores. The company's platform creates dashboards with indicators that indicate penetration rate, the number of visitors, visit frequency, length of visits, journey in the store, and conversion rate and maximizes the efficiency of advertisement campaigns, enabling physical retailers to gain insights into shoppers behavior in stores, optimize their online and offline marketing and increase brand loyalty.</t>
  </si>
  <si>
    <t>customer analytics, customer behavior, customer retention, data analytics, data infrastructure, privacy &amp; security, retail analytics platform, retail behavior</t>
  </si>
  <si>
    <t>166939-21T</t>
  </si>
  <si>
    <t>Flatchr</t>
  </si>
  <si>
    <t>Operator of a recruitment software intended to simplify the process of recruiting candidates for jobs. The company's software offers talent search and acquisition, candidate screening, leadership consulting and executive coaching, enabling businesses to find and hire executives with matching professional skills on a full-time or contractual basis.</t>
  </si>
  <si>
    <t>Damien Vincent(Damien Vincent), Odyssee Venture</t>
  </si>
  <si>
    <t>jobs recruiting platform, jobs recruitment platform, online recruiting platform, recruitment management system, recruitment staffing, recruitment support, recruitment tool, staffing platform</t>
  </si>
  <si>
    <t>283497-04T</t>
  </si>
  <si>
    <t>Big Idea Ventures</t>
  </si>
  <si>
    <t>182172-16T</t>
  </si>
  <si>
    <t>AgroParisTech, Anjou Amorcage</t>
  </si>
  <si>
    <t>146309-05T</t>
  </si>
  <si>
    <t>European Innovation Council Fund, TPY Capital, Université Paris-Saclay</t>
  </si>
  <si>
    <t>174973-87T</t>
  </si>
  <si>
    <t>LTF Invest</t>
  </si>
  <si>
    <t>181956-97T</t>
  </si>
  <si>
    <t>MilliDrop</t>
  </si>
  <si>
    <t>Developer of diagnostics machines and benchtop instruments designed for automated high-throughput phenotypic in microbiology. The company's instruments are used for bacteriological research and diagnosis purposes, enabling microbiologists to screen algae, fungi, bacteria, and yeasts for antimicrobial susceptibility testings.</t>
  </si>
  <si>
    <t>antimicrobial susceptibility, biological instrumentation, cell cultivation, diagnostic machine, in vitro diagnostic, medical research instrument, microbiology test</t>
  </si>
  <si>
    <t>HealthTech, Life Sciences, Manufacturing</t>
  </si>
  <si>
    <t>181932-04T</t>
  </si>
  <si>
    <t>Hxperience</t>
  </si>
  <si>
    <t>Developer of a smart engineering platform designed to optimize building operations and improve operational efficiency. The company's platform utilizes SaaS, Internet of Things devices and predictive analytics to collect and analyze data around a building and its construction area, enabling clients to optimize building operational costs and planning more easily and effectively.</t>
  </si>
  <si>
    <t>Orthos (France)</t>
  </si>
  <si>
    <t>building operation, building platform, connected buildings, connected commercial real estate, engineering platform, information services, operational cost, operational planning, smart building platform</t>
  </si>
  <si>
    <t>Big Data, Mobile, Real Estate Technology, SaaS, TMT</t>
  </si>
  <si>
    <t>179809-48T</t>
  </si>
  <si>
    <t>Kimple</t>
  </si>
  <si>
    <t>Developer of a gamification-based marketing platform designed to boost audience engagement. The company leverages gamification mechanics and allows businesses to engage their audience and capture lead information, enabling clients to optimize market reach.</t>
  </si>
  <si>
    <t>Winnipeg Capital, Winnipeg Ventures</t>
  </si>
  <si>
    <t>business marketing, business software, digital marketing, marketing platform, marketing software, marketing solutions, marketing technology</t>
  </si>
  <si>
    <t>165222-10T</t>
  </si>
  <si>
    <t>Kwit</t>
  </si>
  <si>
    <t>Application Software, Information Services (B2C)*, Other Healthcare Technology Systems, Other Services (B2C Non-Financial)</t>
  </si>
  <si>
    <t>Developer of smoking cessation mobile application designed to help users quit smoking. The company's application relies on evidence-based smoking cessation scientific methods and cognitive and behavioral therapy principles that help users daily with positivity and kindness to guide them toward a smoke-free life, enabling users to quit smoking and live healthy and happy lives.</t>
  </si>
  <si>
    <t>Alsace Business Angels, BNP Paribas WAI, Bpifrance, Caisse d'Epargne, CIC Lyonnaise de Banque, Kima Ventures(Jean De La Rochebrochard), R/GA Ventures, Yeast (France)(Boris Ouarnier)</t>
  </si>
  <si>
    <t>addiction care, cigarettes quit, mindfulness program, smoking cessation, smoking quitting program, tobacco cessation</t>
  </si>
  <si>
    <t>HealthTech, LOHAS &amp; Wellness, Mobile, SaaS</t>
  </si>
  <si>
    <t>181821-88T</t>
  </si>
  <si>
    <t>C4 Ventures, Partech(Reza Malekzadeh), Powerchip Semiconductor (TAI: 6770), Supernova Invest, Western Digital Technologies (NAS: WDC)</t>
  </si>
  <si>
    <t>131216-59T</t>
  </si>
  <si>
    <t>Hprobe</t>
  </si>
  <si>
    <t>Developer of a three-dimensional magnetic field generator designed to offer magnetic devices and sensors wafer-level characterization and testing services. The company's product offers spintronics-based device testing that is compatible with the requirements of electrical wafer-level probing requirements in mass production, enabling customers to access a replacement technology for embedded memory of system-on-chip.</t>
  </si>
  <si>
    <t>BNP Paribas Développement, High-Tech Gründerfonds(Christian Ziach), Industrial Technology Investment(Cinnie Huang), TEL Venture Capital(Jacques Berg)</t>
  </si>
  <si>
    <t>3d generator, electronic sensor, magnetic devices, magnetic fields sensors, magnetic sensors, tmr sensors, wafer-level tester</t>
  </si>
  <si>
    <t>181712-62T</t>
  </si>
  <si>
    <t>Stereograph</t>
  </si>
  <si>
    <t>Developer of a three-dimensional infrastructure visualization platform designed to offer architectural visualization and infrastructure management services. The company's platform offers various types of software products for architectural concept development, construction, project marketing, and dynamic three-dimensional data display for architecture and real estate, enabling clients to avail compelling and innovative visualization techniques for each phase of a real estate project.</t>
  </si>
  <si>
    <t>architectural software, infrastructure management, infrastructure management service, infrastructure visualization, infrastructure visualization platform, infrastructure visualization technology</t>
  </si>
  <si>
    <t>161212-87T</t>
  </si>
  <si>
    <t>Expon Capital(Alain Rodermann), French Partners, UL Invest</t>
  </si>
  <si>
    <t>167686-39T</t>
  </si>
  <si>
    <t>I'm Ok</t>
  </si>
  <si>
    <t>Developer of a management platform designed to integrate data analysis and automation of business processes. The company's platform assists managers in all their activities analyzing their outlet's business in real-time and providing them with predictive information, enabling clients to always be updated with their work and do it efficiently.</t>
  </si>
  <si>
    <t>CDP Venture Capital(Alberto Potycki)</t>
  </si>
  <si>
    <t>management assistance, manager platform, saas platform, smart management, smart management platform, smart management software</t>
  </si>
  <si>
    <t>175500-46T</t>
  </si>
  <si>
    <t>MImAbs</t>
  </si>
  <si>
    <t>Developer of immunotherapy technology intended to provide monoclonal antibodies in cancer and inflammatory diseases. The company's platform uses integrated immune technology services that concentrate all the expertise and know-how required to convert a new therapeutic target into a drug candidate, enabling researchers and industrials to accelerate the research and development of new immunotherapy antibodies.</t>
  </si>
  <si>
    <t>CAAP Creation, Région Sud Investissement</t>
  </si>
  <si>
    <t>antibody generation, biotechnology research, immunotherapy method, immunotherapy treatment, inflammatory disease care, monoclonal antibody</t>
  </si>
  <si>
    <t>170519-95T</t>
  </si>
  <si>
    <t>Roadzen (NAS: RDZN)(Rohan Malhotra), Societe Generale (PAR: GLE)</t>
  </si>
  <si>
    <t>158488-48T</t>
  </si>
  <si>
    <t>NLX - Next Lighting eXperience</t>
  </si>
  <si>
    <t>Electrical Equipment*, Other Commercial Services</t>
  </si>
  <si>
    <t>Manufacturer of electrical products designed to reinvent lights. The company offers products that have a range of innovative and functional LED lighting services for sports, viticulture, viniculture, architecture, retail, and OEM services along with custom-made and technical sub-assemblies lighting, enabling professionals to get enhancement for their projects.</t>
  </si>
  <si>
    <t>custom lighting design, custom lighting solutions, led lightbars, led lights, led lights product, lighting technology</t>
  </si>
  <si>
    <t>La Chapelle Vendomoise, France</t>
  </si>
  <si>
    <t>245221-03T</t>
  </si>
  <si>
    <t>Bpifrance, European Innovation Council Fund, Financiere Arbevel, M&amp;L Healthcare Investments, Novo Holdings(Emmanuelle Coutanceau), Seventure Partners, Sofinnova Partners(Antoine Papiernik), Ysios Capital(Raúl Martín-Ruiz)</t>
  </si>
  <si>
    <t>129874-15T</t>
  </si>
  <si>
    <t>Accel(Amitabh Jhawar), Financière Saint James, Founders Future, Hedosophia, NewAlpha Asset Management, Open CNP, Tencent Holdings (HKG: 00700)(Ma Danying), XAnge(Cyril Bertrand)</t>
  </si>
  <si>
    <t>161150-32T</t>
  </si>
  <si>
    <t>Activ'Inside</t>
  </si>
  <si>
    <t>Food Products*, Personal Products</t>
  </si>
  <si>
    <t>Producer of botanical ingredients and formulations intended to develop and commercialize the products for nutrition and well-being markets. The company's products are characterized by scientific efficacy, natural processes, and regulatory compliance, enabling consumers to get herbal nutrition and products with quality and trust.</t>
  </si>
  <si>
    <t>botanical extraction, botanical extracts, botanical ingredients, herbal product, plant formulation, wellness and fitness</t>
  </si>
  <si>
    <t>180774-19T</t>
  </si>
  <si>
    <t>Alancienne</t>
  </si>
  <si>
    <t>Food Products, Internet Retail, Specialty Retail*</t>
  </si>
  <si>
    <t>Developer of an online grocery platform designed to directly deliver edibles from local suppliers. The company's portal helps users browse and order edibles and perishable items such as fruits and vegetables from locally sourced farms, enabling consumers to order fresh food products from the comfort of their homes.</t>
  </si>
  <si>
    <t>food delivery, food ecommerce, food ordering marketplace, food ordering platform, food ordering system, grocery marketplace, grocery ordering, grocery ordering platform, online grocer</t>
  </si>
  <si>
    <t>200465-38T</t>
  </si>
  <si>
    <t>Groupe Chadasaygas Méthajoule</t>
  </si>
  <si>
    <t>Developer of an anaerobic digestion system intended to contribute to the development of a territorial economy by creating short energy circuits. The company's system operates on the principle of the potential of aerobic digestion for the recovery of biomass and improved compost, enabling clients to have the production of local energy at a controlled cost.</t>
  </si>
  <si>
    <t>Teréga(Dominique Mockly)</t>
  </si>
  <si>
    <t>agricultural biogas, biofuels, biogas fuel, biomass project, clean fuel, innovative energy systems, project management, renewable energy, sustainable development project</t>
  </si>
  <si>
    <t>Saint-Flour, France</t>
  </si>
  <si>
    <t>170808-67T</t>
  </si>
  <si>
    <t>Casdin Capital, Memorial Sloan Kettering Cancer Center, Redmile Group, Sofinnova Partners</t>
  </si>
  <si>
    <t>226022-50T</t>
  </si>
  <si>
    <t>Frst Capital, Pareto Holdings</t>
  </si>
  <si>
    <t>167581-63T</t>
  </si>
  <si>
    <t>Alven Capital Partners, Kima Ventures, Techmind</t>
  </si>
  <si>
    <t>232395-49T</t>
  </si>
  <si>
    <t>161031-34T</t>
  </si>
  <si>
    <t>Innoskel</t>
  </si>
  <si>
    <t>Operator of a biotechnology company intended to develop transformative therapies for a group of rare skeletal disorders. The company develops treatment options for various skeletal disorders collectively known as collagenopathies, enabling medical professionals to reduce detrimental complications and improve the lives of patients with skeletal dysplasia.</t>
  </si>
  <si>
    <t>Jeito(Rafaele Tordjman), Région Sud Investissement, Turenne Groupe, Vida Ventures (Boston)(Rajul Jain)</t>
  </si>
  <si>
    <t>biotechnology company operator, biotechnology research agency, biotechnology research company, drug discovery tool, gene delivery, gene therapy, medical drugs</t>
  </si>
  <si>
    <t>215490-07T</t>
  </si>
  <si>
    <t>OliKrom</t>
  </si>
  <si>
    <t>Industrial Chemicals, Multi-line Chemicals*</t>
  </si>
  <si>
    <t>Manufacturer of custom-made pigments, paints, inks, and masterbatches intended to be used for various applications. The company offers smart pigments that change color with temperature, light, or pressure and offers thermochromic products, photochromic pigments, piezoceramic products, and photochromic pigments, enabling clients to save time and meliorate efficiency for industrial paints.</t>
  </si>
  <si>
    <t>Bpifrance, Credit Industriel et Commercial, Starquest Capital</t>
  </si>
  <si>
    <t>chemical manufacture, chemical manufacture firm, pigments dyes, smart coating, thermochromic product, varnishes chemicals</t>
  </si>
  <si>
    <t>161018-29T</t>
  </si>
  <si>
    <t>Benchmark Capital Holdings, CASSIUS, Gerard Pique(Gerard Pique)</t>
  </si>
  <si>
    <t>180040-69T</t>
  </si>
  <si>
    <t>195211-63T</t>
  </si>
  <si>
    <t>BuyBox</t>
  </si>
  <si>
    <t>Developer of a cloud social payment platform designed to facilitate group payments. The company's platform offers digitized and omnichannel gift cards, group payments for travels or gifts, or group buying for a deal of the day, enabling consumers to invite friends to contribute to a funding pool to buy goods, holidays, and gift cards and merchants to boost their customers' acquisition and placing the brand and the loyalty as the central elements of the strategy.</t>
  </si>
  <si>
    <t>Alvand Consulting, Edenred Capital Partners</t>
  </si>
  <si>
    <t>digitizing gift card, gift card, group payments management, omnichannel gift card, payment platform, payment solutions, social payment</t>
  </si>
  <si>
    <t>160941-70T</t>
  </si>
  <si>
    <t>Drone Interactive</t>
  </si>
  <si>
    <t>Developer of augmented reality-based drone intended to bring design and technology to interactive gaming experiences. The company offers arcade-style piloting around an arena with an efficient anti-collision system, enabling clients to boost their customer attractiveness, enjoy games and earn additional income.</t>
  </si>
  <si>
    <t>BNP Paribas (PAR: BNP), Bpifrance, Incit'financement</t>
  </si>
  <si>
    <t>amusement industry, drone-based technology, drones gaming, drones gaming platform, entertainment zone, family entertaining center, gaming platform company, leisure entertainment facility</t>
  </si>
  <si>
    <t>160955-47T</t>
  </si>
  <si>
    <t>Bpifrance, Business Angel France, Pia 3, Space Ventures Investors, UI Investissement</t>
  </si>
  <si>
    <t>160888-15T</t>
  </si>
  <si>
    <t>Afyren (PAR: ALAFY)</t>
  </si>
  <si>
    <t>Afyren is a sustainable chemistry company that offers innovative solutions for replacing petroleum-based ingredients with non-food biomass products, in line with a circular, low-carbon economy approach. Using natural microorganisms, Afyren's solutions help produce a family of seven entirely bio-sourced organic acids, as well as one high-value-added fertilizer.</t>
  </si>
  <si>
    <t>777 Corp, JEREMIE Auvergne, Supernova Invest, UI Investissement</t>
  </si>
  <si>
    <t>bioprocess engineering, biotechnology based, circular economy, fertilizer alternatives, green chemistry, green chemistry techniques, land use</t>
  </si>
  <si>
    <t>204073-39T</t>
  </si>
  <si>
    <t>Sanofi (PAR: SAN)</t>
  </si>
  <si>
    <t>189584-29T</t>
  </si>
  <si>
    <t>Comeet (Business/Productivity Software)</t>
  </si>
  <si>
    <t>Developer of an AI-based platform intended for social connections, with targeted recommendations for employees. The company specializes in strengthening ties between colleagues, livening up the life of the company in hybrid, accessing services available around you and enhancing spaces in buildings &amp; neighborhoods, providing businesses and owners of tertiary buildings with an integrated and tailor-made service offering.</t>
  </si>
  <si>
    <t>MC Capital Europe</t>
  </si>
  <si>
    <t>employee application, intuitive administration interface, measurement platform, performance management, professional activities, social connection</t>
  </si>
  <si>
    <t>Artificial Intelligence &amp; Machine Learning, Mobile, TMT</t>
  </si>
  <si>
    <t>Asnières sur Seine, France</t>
  </si>
  <si>
    <t>160885-99T</t>
  </si>
  <si>
    <t>Favikon</t>
  </si>
  <si>
    <t>Developer of a cloud-based marketing analysis tool designed for the growth of influencer advertising. The company's product offers an artificial intelligence-based tool that identifies influencers and includes an influencer search engine, analytics, and integration, enabling clients to find, audit, and contact the perfect influencers for their brands.</t>
  </si>
  <si>
    <t>AngelSquare, INSEAD Business Angels, Link Tribe Capital, Polymatter Ventures, Provence Business Angels</t>
  </si>
  <si>
    <t>advertising site, ai marketing, influencer management platform, marketing analysis platform, marketing digital, marketing platform, marketing portal</t>
  </si>
  <si>
    <t>AdTech, Artificial Intelligence &amp; Machine Learning, CloudTech &amp; DevOps, Marketing Tech, SaaS</t>
  </si>
  <si>
    <t>158495-95T</t>
  </si>
  <si>
    <t>In&amp;motion Airbags</t>
  </si>
  <si>
    <t>Accessories, Automotive, Clothing*, Recreational Goods</t>
  </si>
  <si>
    <t>Developer of wearable airbags designed to protect riders in case of an accident. The company's airbags specialize in inbuilt sensors and algorithms that can detect an unrecoverable imbalance, anticipate an impact, and command airbag inflation with embedded technology, helping athletes, amateurs, and passionate to prioritize safety and offer efficient suitable, and accessible suits.</t>
  </si>
  <si>
    <t>360 Capital(Emanuele Levi), Bpifrance, Upfront Ventures</t>
  </si>
  <si>
    <t>active protection system, airbag system, motion detection, racing equipment, racing suites, smart wearable, smart wearable product, sporting goods</t>
  </si>
  <si>
    <t>Mobility Tech, Wearables &amp; Quantified Self</t>
  </si>
  <si>
    <t>160993-45T</t>
  </si>
  <si>
    <t>Danone Manifesto Ventures, Eutopia, Quadia</t>
  </si>
  <si>
    <t>165230-20T</t>
  </si>
  <si>
    <t>Prodigy Agency</t>
  </si>
  <si>
    <t>Operator of an esports representation agency intended to support players to grow their performance. The company helps players with career management, supports, and manages marketing and image, provides health, wellness, and performance support finds sponsors, and develops new sources of income, enabling players to have endorsement deals, media relations, brand strategy, and community outreach.</t>
  </si>
  <si>
    <t>esports operations, esports startup, esports talent agency, esports talent management, esports team organization, marketing agency</t>
  </si>
  <si>
    <t>Blagnac, France</t>
  </si>
  <si>
    <t>160934-05T</t>
  </si>
  <si>
    <t>Earlybird Venture Capital, Région Sud Investissement, Speedinvest(Jingchun Hao)</t>
  </si>
  <si>
    <t>180313-93T</t>
  </si>
  <si>
    <t>Aglaya (BPO/Outsource Services)</t>
  </si>
  <si>
    <t>BPO/Outsource Services*, Consulting Services (B2B), Other Commercial Services</t>
  </si>
  <si>
    <t>Operator of a jewelry brand development firm intended for the creation and customization of stones for jewelry. The company engages in the jewelry production process, design, stone development, subcontracted manufacturing, logistics, and distribution, while also handling royalty payments on net turnover, enabling jewelry brands to benefit from volume discounts, and reduce marketing costs.</t>
  </si>
  <si>
    <t>brand development, customized jewelry, jewelry design, jewelry manufacturer, luxury goods, royalty management, subcontracting services</t>
  </si>
  <si>
    <t>164899-54T</t>
  </si>
  <si>
    <t>Battery Ventures(Paul Morrissey), Bpifrance, ETF Partners(Remy de Tonnac), Laurin Hainy(Laurin Hainy), NGP Capital(Bo Ilsøe), Partech(Philippe Collombel), SAP.iO(Emmanuel Cassimatis)</t>
  </si>
  <si>
    <t>160606-63T</t>
  </si>
  <si>
    <t>Accel, Amaury Sepulchre(Amaury Sepulchre), Assaf Wand(Assaf Wand), EQT Ventures(Rania Belkahia), Founders Fund, Mundi Ventures(Lluis Viñas), Orange Ventures(Yann Kandelman), Rachel Delacour(Rachel Delacour), Robert Gentz(Robert Gentz), Speedinvest(Stefan Klestil), Thomas Plantenga(Thomas Plantenga), Tom Lesche(Tom Lesche)</t>
  </si>
  <si>
    <t>137626-84T</t>
  </si>
  <si>
    <t>Adelie, Fair/e</t>
  </si>
  <si>
    <t>160501-78T</t>
  </si>
  <si>
    <t>Blossom Capital(Ophelia Brown), David Clarke(David Clarke), FirstMark Capital(Matthias Turck), Frst Capital, Paul Melchiorre(Paul Melchiorre)</t>
  </si>
  <si>
    <t>176327-56T</t>
  </si>
  <si>
    <t>UpStride</t>
  </si>
  <si>
    <t>Developer of an application programming interface platform designed to boost deep learning performance in computer vision. The company's platform uses techniques from signal processing and performance computing to extract information from each image, enabling clients to amplify the performance of artificial intelligence algorithms using less data.</t>
  </si>
  <si>
    <t>360 Capital, Acequia Capital, Kernel Investissements</t>
  </si>
  <si>
    <t>application programming, application programming interface, computer vision, deep learning model, deep learning tech, deep learning tool, signal processing</t>
  </si>
  <si>
    <t>160934-50T</t>
  </si>
  <si>
    <t>Banque des Territoires, BTP Capital Investissement, Caisse des Depots Group</t>
  </si>
  <si>
    <t>219315-25T</t>
  </si>
  <si>
    <t>206354-44T</t>
  </si>
  <si>
    <t>Creazur France</t>
  </si>
  <si>
    <t>228554-38T</t>
  </si>
  <si>
    <t>Ulteria</t>
  </si>
  <si>
    <t>Buildings and Property, Other Commercial Services*</t>
  </si>
  <si>
    <t>Provider of value-creating ecosystem intended to support business ventures that align with the principles of a regenerative economy. The company's ecosystem integrates industrial, agricultural, service, and educational activities to create a sustainable and interconnected community that values uniqueness, interdependence, awareness, and dynamic progression, enabling entrepreneurs to start and grow businesses that align with ecological and social values.</t>
  </si>
  <si>
    <t>business ecosystem insights, community engagement, ecological park, ecological process, ecological space, professional coaching</t>
  </si>
  <si>
    <t>Burgundy, France</t>
  </si>
  <si>
    <t>160342-57T</t>
  </si>
  <si>
    <t>Aglaé Ventures, Alven Capital Partners, Global Founders Capital(David Sainteff), Index Ventures</t>
  </si>
  <si>
    <t>164810-89T</t>
  </si>
  <si>
    <t>Befoil</t>
  </si>
  <si>
    <t>Developer of foil boats designed to offer everyone the pleasure of flying on the water. The company's foil boats are made from recyclable low-cost materials such as aluminum and thermoplastic, enabling sailing schools and beginners to experience sailing easily and safely.</t>
  </si>
  <si>
    <t>Mer Invest(Philippe Renaudin)</t>
  </si>
  <si>
    <t>boat manufacturer, boats and ship, boats designer, catamaran manufacturer, catamaran yacht, hybrid boats</t>
  </si>
  <si>
    <t>177043-33T</t>
  </si>
  <si>
    <t>e-Zyvec</t>
  </si>
  <si>
    <t>Developer of genetic engineering technologies focused on gene therapy, bio-manufacturing and research. The company specializes in sophisticated tailor-made DNA vectors through consulting, design and assembly for plasmid vector production for biopharmaceutical scientists and genetic researchers, delivering gene expression vectors that are accurate, fast and cost-effective to generate new powerful molecular tools.</t>
  </si>
  <si>
    <t>dna design, dna genome, genetic engineering, genome analysis, genome editing, genome editing technology, pharma cmos</t>
  </si>
  <si>
    <t>164849-95T</t>
  </si>
  <si>
    <t>Kumo (Restaurants and Bars)</t>
  </si>
  <si>
    <t>Operator of a fast food restaurant intended to create an alternative to traditional sandwiches and wraps. The company's restaurants offer a snacking brand that is made out of local and seasonal ingredients, and artisanal sauces without additives or preservatives, enabling consumers to purchase traditional, gourmet, and balanced food on the go.</t>
  </si>
  <si>
    <t>Carem Impulse, Techmind</t>
  </si>
  <si>
    <t>asian food, fast food joint, fast food restaurant, food ecommerce, food products company, japanese fast food, japanese rolls restaurant, japanese wraps, restaurant marketplace</t>
  </si>
  <si>
    <t>Draveil, France</t>
  </si>
  <si>
    <t>131323-60T</t>
  </si>
  <si>
    <t>MaaT Pharma (PAR: MAAT)</t>
  </si>
  <si>
    <t>Maat Pharma SA is a french clinical stage biotech and a pioneer in the development of microbiome based ecosystem therapies dedicated to improving survival outcomes for patients with cancer.</t>
  </si>
  <si>
    <t>Biocodex, Bpifrance(Muriel Prudent), Celeste Management(Dimitri Boulanger), Crédit Mutuel Innovation(Karine Lignel), EureKare, Seventure Partners(Isabelle de Cremoux), Skyviews Life Science(Stefan Catsicas), SymBiosis Capital Management(Chidozie Ugwumba)</t>
  </si>
  <si>
    <t>bacteriotherapy, biopharma company, biotech service, emerging therapy, microbial ecology, microbiome restoration, microbiome therapy, microbiome treatment</t>
  </si>
  <si>
    <t>153868-06T</t>
  </si>
  <si>
    <t>Niagara (Business/Productivity Software)</t>
  </si>
  <si>
    <t>Developer of a manufacturing execution software designed to offer them an open, easy-to-use tool that would demystify factory data management. The company's software has features such as visualization, optimization, factory data management, performance tracking, and real-time monitoring, enabling IT professionals to control operational performance by automating industrial processes and data flows.</t>
  </si>
  <si>
    <t>business connectivity software, it software, legacy application, manufacturer software, manufacturing solutions, manufacturing technology</t>
  </si>
  <si>
    <t>166198-96T</t>
  </si>
  <si>
    <t>Finorpa, GO Capital (France), IRD Invest, Nord Création, Nord France Amorçage</t>
  </si>
  <si>
    <t>174023-74T</t>
  </si>
  <si>
    <t>Situaction</t>
  </si>
  <si>
    <t>Developer of geolocation and monitoring solutions software designed to provide professional vehicle fleets management services. The company's application allows companies to optimize their performance by reducing their operating costs, securing machinery and equipment, efficient fleet management and many others, enabling customers to manage their company's activities effectively while better utilizing their resources.</t>
  </si>
  <si>
    <t>Finorpa(Jean-Yves Bacon)</t>
  </si>
  <si>
    <t>commercial fleet, fleet management, geolocation solutions, geolocation tracking, monitoring solution, performance management</t>
  </si>
  <si>
    <t>166535-83T</t>
  </si>
  <si>
    <t>Taleen</t>
  </si>
  <si>
    <t>Developer of a suite of tools designed for sales force management for food brands. The company supports and advises companies in their transition to the digital age and responds to the problems of heads of sectors, sales managers and sales and marketing managers, enabling companies to optimize customer data management and increase profitability.</t>
  </si>
  <si>
    <t>High Flyers Capital, Kima Ventures</t>
  </si>
  <si>
    <t>crm sales, crm software, crm suites, crm support, crm system, performance measurement, performance measurement tool</t>
  </si>
  <si>
    <t>CloudTech &amp; DevOps, Marketing Tech, SaaS</t>
  </si>
  <si>
    <t>Les Mureaux, France</t>
  </si>
  <si>
    <t>160360-03T</t>
  </si>
  <si>
    <t>TalentView</t>
  </si>
  <si>
    <t>Developer of a recruitment support platform intended to simplify and digitalize the hiring process for companies and individuals. The company's tool offers configurable software-as-a-service, operational involvement, mobile-friendly, and return on investment measurement, enabling recruiters to sort and evaluate candidates more efficiently and accurately.</t>
  </si>
  <si>
    <t>application management tool, candidate conversion, digital recruitment platform, recruiter platform, recruitment process management, recruitment processing software, recruitment services</t>
  </si>
  <si>
    <t>160946-65T</t>
  </si>
  <si>
    <t>Teach Up</t>
  </si>
  <si>
    <t>Developer of an education platform intended to facilitate creating and distributing personalized online training content. The company's platform accelerates the digitalization of training and re-enchants the learning experience, enabling customers to create and distribute immersive, personalized and collaborative e-learning experiences.</t>
  </si>
  <si>
    <t>Emilie Legoff, Hélea Financière(Edouard Lameloise)</t>
  </si>
  <si>
    <t>education platform, e-learning classes, e-learning content, e-learning site, e-learning system, e-learning tools</t>
  </si>
  <si>
    <t>168983-29T</t>
  </si>
  <si>
    <t>The Bradery</t>
  </si>
  <si>
    <t>Internet Retail*, Media and Information Services (B2B), Other Retail</t>
  </si>
  <si>
    <t>Operator of an online retail platform intended to assist customers in ordering products online. The company's catalog includes coats and jackets, dresses, sweaters, shoes, jewelry, and other accessories such as purses and scarves, cosmetics, and lifestyle brands to propose engaging buying options, enabling customers to get a diverse range of products at a cheaper price.</t>
  </si>
  <si>
    <t>Guibor, MARTEK, Otium Capital, Wind Capital</t>
  </si>
  <si>
    <t>clothes retail platform, flash sale shopping, online retail, online retail site, online webshop, retail facility</t>
  </si>
  <si>
    <t>165298-60T</t>
  </si>
  <si>
    <t>160356-97T</t>
  </si>
  <si>
    <t>Everial, Mer Invest(Philippe Renaudin), Société Foncière Financière et de Participations</t>
  </si>
  <si>
    <t>160938-10T</t>
  </si>
  <si>
    <t>MAIF Impact, Thibault Lamarque(Thibault Lamarque), Via.Io</t>
  </si>
  <si>
    <t>199497-97T</t>
  </si>
  <si>
    <t>FairCost</t>
  </si>
  <si>
    <t>Developer of an account management platform designed to automate tasks. The company's platform helps to manage pro-rata accounts, minimize unpaid debts, and control risks, enabling project managers and owners to improve their productivity.</t>
  </si>
  <si>
    <t>account management, account management platform, accounting data, administrative management, task automation platform, unpaid debt</t>
  </si>
  <si>
    <t>160738-66T</t>
  </si>
  <si>
    <t>IRDI Capital Investissement, Korys Investments(David Devigne), M Capital Partners, Mérieux Equity Partners(Yoann Bonnamour), OMX Ventures</t>
  </si>
  <si>
    <t>160235-11T</t>
  </si>
  <si>
    <t>Medadom</t>
  </si>
  <si>
    <t>Operator of a telemedicine platform intended to provide easy access to doctors for patients who require a video consultation or home visit. The company's platform allows users to apply for a video consultation with a general practitioner and access medical reports and other documents such as a digital prescription, enabling patients to reach out to doctors whenever they need and get quick treatment for their diseases.</t>
  </si>
  <si>
    <t>G Square Healthcare Private Equity(Renaud Dessertenne), YADAY</t>
  </si>
  <si>
    <t>digital prescription, general care, health advice, healthcare consultation, primary care, teleconsultation services, telemedicine system, video consultation app</t>
  </si>
  <si>
    <t>159569-47T</t>
  </si>
  <si>
    <t>AQUITI Gestion, Open CNP, Tikehau Ace Capital(Francois Lavaste), Tikehau Capital (PAR: TKO)</t>
  </si>
  <si>
    <t>160128-55T</t>
  </si>
  <si>
    <t>PowerUp</t>
  </si>
  <si>
    <t>Business/Productivity Software*, Electrical Equipment</t>
  </si>
  <si>
    <t>Developer of an analytics platform designed to limit the economic and ecological cost of batteries. The company's products help to diagnose the state of health of batteries and dynamic charge to preserve the lifetime of batteries, enabling businesses to monitor their batteries during their entire service life and thus have the information required to do predictive maintenance.</t>
  </si>
  <si>
    <t>EDF Pulse Ventures(Nicolas Ambrosioni), Fabio Ferrari, Supernova Invest(Marine Glon)</t>
  </si>
  <si>
    <t>battery lifecycle management, battery management software, battery optimization, data analytics, energy storage, predictive maintenance, sustainable technology</t>
  </si>
  <si>
    <t>160153-21T</t>
  </si>
  <si>
    <t>Chantal Baudron, Frédéric Jousset(Frédéric Jousset), Kima Ventures, Othmane Bouhlal(Othmane Bouhlal), Polymatter Ventures, Thibaud Elziere(Thibaud Elziere), Veronique Morali(Veronique Morali), Victor Lugger(Victor Lugger), Xavier Niel(Xavier Niel)</t>
  </si>
  <si>
    <t>160126-66T</t>
  </si>
  <si>
    <t>Christian Ridoire(Christian Ridoire), Jean-Pierre Picot(Jean-Pierre Picot), Limousin Business Angels, Rémi Noguéra(Rémi Noguéra)</t>
  </si>
  <si>
    <t>160206-31T</t>
  </si>
  <si>
    <t>LBO France(Stephanie Casciola)</t>
  </si>
  <si>
    <t>160213-51T</t>
  </si>
  <si>
    <t>Bpifrance(Thibaut Roulon), Omnes Capital(Claire Poulard)</t>
  </si>
  <si>
    <t>159949-63T</t>
  </si>
  <si>
    <t>GrAI Matter Labs</t>
  </si>
  <si>
    <t>Application Specific Semiconductors*, Business/Productivity Software, Other Hardware</t>
  </si>
  <si>
    <t>Developer of programmable neuromorphic computing chips designed to bring sensor analytics and machine learning to every device on the edge. The company's technology utilizes brain-inspired neural network architecture to overcome the limitations of traditional Von Neumann machines and application processors as well as offers multi-modal sensor analytics and dynamic machine learning at low power levels, enabling users to navigate the world with performance-to-power optimized AI for safety and convenience.</t>
  </si>
  <si>
    <t>360 Capital(Nader Sabbaghian), 3T Finance(Henri De Meyer), Bpifrance, Celeste Management(Dimitri Boulanger), iBionext(Bernard Gilly)</t>
  </si>
  <si>
    <t>consumer gadgets, edge ai software, edge platform, human brain mechanism, iot software, neuromorphic chips, neuromorphic technologies</t>
  </si>
  <si>
    <t>228263-32T</t>
  </si>
  <si>
    <t>Omnes Capital</t>
  </si>
  <si>
    <t>159955-12T</t>
  </si>
  <si>
    <t>Perfect Memory</t>
  </si>
  <si>
    <t>Developer of a digital asset management system designed to refine and execute cognitive processing on content. The company's platform allows the collection, interpretation, and transformation of any data and content into natively exploitable assets for operational teams and their ecosystems and combines semantic technologies and user experience to help fix the data management, enabling businesses to ease their work and be more efficient in day-to-day tasks.</t>
  </si>
  <si>
    <t>Implid</t>
  </si>
  <si>
    <t>ai cores, analytics platform, analytics system, content manager, data management tool, enterprise asset management, enterprise resource planning, erp, knowledge system, operating system tools, supply chain model, workflow optimization</t>
  </si>
  <si>
    <t>165615-76T</t>
  </si>
  <si>
    <t>Bpifrance, Caisse d'Epargne, Credit Industriel et Commercial, First Risk Capital</t>
  </si>
  <si>
    <t>170980-30T</t>
  </si>
  <si>
    <t>159952-87T</t>
  </si>
  <si>
    <t>Dans Ma Culotte</t>
  </si>
  <si>
    <t>Developer of washable intimate protection products designed to revolutionize personal hygiene in times of menstruation. The company's products include hygiene items such as lingerie protectors, menstrual cups, organic tampons, washable towels, and reusable cloth pads, enabling women to maintain hygiene with healthy and ecological products.</t>
  </si>
  <si>
    <t>Impact Partners (Paris)(Astrid Fockens)</t>
  </si>
  <si>
    <t>intimate hygiene, lingerie protectors, menstrual cups, menstrual cycle control, organic tampons, women hygiene product</t>
  </si>
  <si>
    <t>208056-61T</t>
  </si>
  <si>
    <t>Nextstore</t>
  </si>
  <si>
    <t>Developer of website builder platform intended to build online stores. The company's platform turns the front end into a conversion-oriented machine to create and manage stores, enabling clients to improve the customer's shopping experiences.</t>
  </si>
  <si>
    <t>mobile shopping app, online store, online store builder, shopping website, storefronts &amp; headless apis, storefronts and headless apis, web development, website builder</t>
  </si>
  <si>
    <t>203141-26T</t>
  </si>
  <si>
    <t>Bpifrance, Eurovia, Fayat, ILP Group</t>
  </si>
  <si>
    <t>159816-61T</t>
  </si>
  <si>
    <t>Creadev(Jean-Baptiste Bachelerie), Temasek Holdings</t>
  </si>
  <si>
    <t>211977-82T</t>
  </si>
  <si>
    <t>JD2M (Accounting, Audit and Tax Services)</t>
  </si>
  <si>
    <t>Accounting, Audit and Tax Services (B2B)*</t>
  </si>
  <si>
    <t>Operator of an accounting and taxing platform intended for tax reduction schemes. The company provides taxing assistance and support services for tax declaration with customer service specialized in tax advice, enabling businesses who own furnished rental properties to benefit from the advantages of the real regime.</t>
  </si>
  <si>
    <t>Aken Capital</t>
  </si>
  <si>
    <t>tax advice, tax advice service, tax declarations, tax saving service platform, tax savings, taxation firm</t>
  </si>
  <si>
    <t>139749-76T</t>
  </si>
  <si>
    <t>MagIA Diagnostics</t>
  </si>
  <si>
    <t>Developer of a blood analysis device designed to deliver immunoassays directly to the patient with no need for a specialized lab. The company's technology couples magnetic bead-based immunoassays with micro-magnetic structures that can capture and directly detect molecules, enabling patients to get lab immunoassays directly.</t>
  </si>
  <si>
    <t>Bpifrance, DAB BNP Paribas</t>
  </si>
  <si>
    <t>blood analysis, blood testing, diagnostic kits, diagnostic technology, diagnostics products, poct platform, poct system</t>
  </si>
  <si>
    <t>159778-72T</t>
  </si>
  <si>
    <t>360 Capital(Alexandre Mordacq), DGA France(Florence Parly), Tikehau Ace Capital(Augustin Blanchard), Tikehau Capital (PAR: TKO)</t>
  </si>
  <si>
    <t>192419-65T</t>
  </si>
  <si>
    <t>Declique</t>
  </si>
  <si>
    <t>Business/Productivity Software*, Consulting Services (B2B), Financial Software</t>
  </si>
  <si>
    <t>Developer of a financial data platform designed for factories to invest in order to increase performance. The company's platform collects the data directly in the field, views and tracks the data in real-time, and provides an overview of current losses and potential gains, enabling businesses to allocate investments based on results and continuously improve their plant.</t>
  </si>
  <si>
    <t>database platform, factory resistant, field data, financial tool, practical guide, production tool, saas-based app</t>
  </si>
  <si>
    <t>194025-97T</t>
  </si>
  <si>
    <t>SIM Investment Group</t>
  </si>
  <si>
    <t>159694-48T</t>
  </si>
  <si>
    <t>Third Design</t>
  </si>
  <si>
    <t>Business/Productivity Software*, Multimedia and Design Software, Other Commercial Services</t>
  </si>
  <si>
    <t>Operator of manual creation platform and provider of digitization services intended to create intelligent and digitized 3D manuals. The company's platform helps to improve textual product manuals into user-centric 3D experiences, with instant customer support and information through its manual creation platform and services, enabling hardware makers to offer instant and efficient customer support to their end clients.</t>
  </si>
  <si>
    <t>Karim Jouini(Karim Jouini), Kepple Africa Ventures(Satoshi Shinada)</t>
  </si>
  <si>
    <t>3d animation, animation video, customer support, digitization service, manuals creation, software development, user guides, user manuals</t>
  </si>
  <si>
    <t>159692-41T</t>
  </si>
  <si>
    <t>ChamPerché</t>
  </si>
  <si>
    <t>Cultivation, Food Products, Horticulture*, Other Agriculture</t>
  </si>
  <si>
    <t>Provider of agriculture services intended to offer pesticide-free organic produce to customers. The company engages in growing vegetables and fruits by creating an ideal ecosystem for herbs, enabling customers to get fresh products while maintaining the biodiversity of the soil.</t>
  </si>
  <si>
    <t>Beluga Paris Ventures, Karot Capital, Paris Business Angels</t>
  </si>
  <si>
    <t>agriculture service, indoor farming, indoor growers, permaculture design, urban agriculture, urban agriculture project, urban agriculture service, urban agriculture system</t>
  </si>
  <si>
    <t>159269-32T</t>
  </si>
  <si>
    <t>Livestorm</t>
  </si>
  <si>
    <t>Developer of a video communication tool designed to engage the audience with better video communication. The company offers a browser-based platform that lets teams organize their online events in one place, from any device, and provides all of the tools needed to create custom landing pages, send promotional emails and reminders, host engaging online events with integrated chat, polls, and analyze event performance through an advanced analytics dashboard, enabling businesses to incorporate video into any type of communication, to attract, engage and educate their audience.</t>
  </si>
  <si>
    <t>Aglaé Ventures(Cyril Guenoun), Bpifrance, Eurazeo (PAR: RF), RAISE Group</t>
  </si>
  <si>
    <t>audience segmentation platform, communication software system, email and authoring, knowledge management system, live streaming, video conference, virtual event, web conference, webinar platform</t>
  </si>
  <si>
    <t>160969-33T</t>
  </si>
  <si>
    <t>Edumoov</t>
  </si>
  <si>
    <t>Business/Productivity Software, Education and Training Services (B2B), Educational and Training Services (B2C), Educational Software*</t>
  </si>
  <si>
    <t>Developer of a digital educational platform designed to simplify and automate the tedious tasks of preparing and managing the classroom. The company's platform offers a suite of services such as preparation sheets, diary books, school booklets, textbooks and monitoring of learning in kindergarten, enabling teachers to save time and parents to stay updated on their children's progress.</t>
  </si>
  <si>
    <t>ABAB (Atlantic Business Angels Booster), Pays de la Loire Participations</t>
  </si>
  <si>
    <t>education service, education technology, educational network, learning assistance, learning technology, software service</t>
  </si>
  <si>
    <t>158965-30T</t>
  </si>
  <si>
    <t>La Boite Concept</t>
  </si>
  <si>
    <t>Electronics (B2C)*, Other Commercial Products, Other Consumer Durables</t>
  </si>
  <si>
    <t>Manufacturer of high-fidelity audio technologies and devices intended to enhance audio experiences. The company's products include loudspeakers with ergonomic and functional designs, compact size, and appearance adapted to new sound technologies across wireless systems, smartphones, tablets, and computers, enabling customers to enjoy analog sounds with technically effective designs.</t>
  </si>
  <si>
    <t>AQUITI Gestion, Bpifrance, Crédit Agricole Pyrénées Gascogne, Expanso Capital, Herrikoa, Région Nouvelle-Aquitaine</t>
  </si>
  <si>
    <t>design service, design service consultancy, high definition loudspeakers, loudspeakers system, loudspeakers technology, wireless system</t>
  </si>
  <si>
    <t>AudioTech, TMT</t>
  </si>
  <si>
    <t>Soorts-Hossegor, France</t>
  </si>
  <si>
    <t>225305-20T</t>
  </si>
  <si>
    <t>Mer Invest, Vplp Design</t>
  </si>
  <si>
    <t>223696-99T</t>
  </si>
  <si>
    <t>U'Wine</t>
  </si>
  <si>
    <t>Operator of a wine cellar management platform intended to cater to the needs of wine enthusiasts. The company offers a curated selection of grand crus personally recommended by specialists, allowing users to build up the cellar and also access real-time information about their wine collection, enabling clients to keep track of revenues and self-finance their consumption by reselling wines.</t>
  </si>
  <si>
    <t>cellar tracking, cellar wine, real time status, wine collection, wine experience, wine market</t>
  </si>
  <si>
    <t>134242-93T</t>
  </si>
  <si>
    <t>Skinjay</t>
  </si>
  <si>
    <t>Producer of aromatic capsules intended for the skin and lungs during showers. The company's capsules are formulated with essential oils and natural raw materials which are released into the air while the user is showering, enabling consumers to relax and enjoy a spa-like atmosphere.</t>
  </si>
  <si>
    <t>Ott Ventures</t>
  </si>
  <si>
    <t>aromatherapy product, aromatics oils, coffee capsules, essential oil, personal care, showers mixers, skincare product</t>
  </si>
  <si>
    <t>243861-04T</t>
  </si>
  <si>
    <t>Spin-Ion</t>
  </si>
  <si>
    <t>Construction and Engineering, Other Hardware*</t>
  </si>
  <si>
    <t>Developer of manufacturing solutions intended for the improvement of the performance of spintronic technologies including magnetic memories, sensors, and neuromorphic computing devices for edge AI applications. The company's expertise lies in ion irradiation tooling and magnetic characterization and offers wafer services, providing in-house engineered magnetic materials and ion irradiation of customer materials and devices, enabling customers with outsourcing options for both academic and industrial.</t>
  </si>
  <si>
    <t>CNRS Innovation, European Innovation Council Fund</t>
  </si>
  <si>
    <t>catastrophic risk, edge ai solutions, ion beam processing, magnetic material, magnetic memory, magnetic system, neuromorphic computing</t>
  </si>
  <si>
    <t>159707-53T</t>
  </si>
  <si>
    <t>Perspective[S]</t>
  </si>
  <si>
    <t>Media and Information Services (B2B), Multimedia and Design Software, Other Commercial Services*</t>
  </si>
  <si>
    <t>Developer of interactive 3D technologies designed to help convert from the conception stage to the creation of a prototype or product. The company specializes in offering tailor-made interactive 3D products that control the entire production chain through a proprietary multimedia engine covering all fields of multimedia innovation as well as develops and generates content in augmented reality, virtual reality and web 3D, enabling businesses to present their products and services more innovatively and engagingly.</t>
  </si>
  <si>
    <t>Banque Populaire Méditerranée, BNP Paribas Développement, Caisse d'Epargne, Credit Industriel et Commercial, Région Sud Investissement(Pierre Joubert), Turenne Groupe(Jérôme Faul)</t>
  </si>
  <si>
    <t>3d tech, 3d web platform, augmented reality media, design development, interactive 3d software, virtual reality system</t>
  </si>
  <si>
    <t>133778-53T</t>
  </si>
  <si>
    <t>Slow Cosmétique</t>
  </si>
  <si>
    <t>Environmental Services (B2B), Personal Products, Specialty Retail*</t>
  </si>
  <si>
    <t>Operator of an online retail platform created to facilitate eco-responsible and ethical purchases. The company's platform facilitates the transition to a circular economy and a sustainable society by offering a wide catalog of items, enabling consumers to move to the consumption of products that are good for themselves and the environment instead of goods with harmful consequences.</t>
  </si>
  <si>
    <t>Finance&amp;Invest.Brussels</t>
  </si>
  <si>
    <t>eco-responsible products, ethical product, health product, online product retail, online retail platform, sustainable product</t>
  </si>
  <si>
    <t>193996-09T</t>
  </si>
  <si>
    <t>Advenworks</t>
  </si>
  <si>
    <t>Entertainment Software*, Publishing</t>
  </si>
  <si>
    <t>Developer of gaming platform designed to provide interactive entertainment experiences for the mobile world. The company's platform develops zombie role-playing shooters, play and earn, web3, and hyper-casual games, enabling gamers to enjoy a wide variety of titles and immerse into a new gaming experience.</t>
  </si>
  <si>
    <t>Level-Up(Thibaud Morin)</t>
  </si>
  <si>
    <t>casual games, gaming content, gaming developer, gaming platform, gaming publisher, gaming studio, hybrid games maker, role-playing games, rpg games, web3 gaming, zombie games</t>
  </si>
  <si>
    <t>158792-32T</t>
  </si>
  <si>
    <t>DeepReach</t>
  </si>
  <si>
    <t>Operator of a marketing platform intended to strengthen the local link and favor the short circuit between demand and supply. The company's platform uses artificial intelligence to offer local marketing insights, campaign definition, cross-media advertising and reporting, enabling agencies and advertisers to reduce the time taken to manage campaigns and increase profits.</t>
  </si>
  <si>
    <t>advertising service, crm, customer relationship management, digital advertising, information technology, market visibility, marketing agency, marketing software</t>
  </si>
  <si>
    <t>134487-46T</t>
  </si>
  <si>
    <t>Dynacure</t>
  </si>
  <si>
    <t>Operator of a clinical-stage drug development company created to improve the lives of patients with rare and orphan diseases. The company is developing an investigational antisense product candidate designed to reduce the expression of dynamin two protein for the treatment of myotubular and centronuclear myopathies, enabling doctors to build a complementary research portfolio for patients having other rare disorders, including its program for the treatment of hereditary spastic paraplegias caused by mutations in the gene.</t>
  </si>
  <si>
    <t>Andera Partners(Raphael Wisniewski), Bpifrance(Laurent Higueret), Kurma Partners(Remi Droller), Perceptive Advisors(Ellen Hukkelhoven), Pontifax Venture Capital(Tomer Kariv), Sphera Funds Management, Tekla Capital Management(Henry Skinner)</t>
  </si>
  <si>
    <t>children disease treatment, drug development, drug development company, gene therapy, orphan disease treatment, orphan disorder</t>
  </si>
  <si>
    <t>194695-12T</t>
  </si>
  <si>
    <t>Sowefund</t>
  </si>
  <si>
    <t>158801-50T</t>
  </si>
  <si>
    <t>Pharmedistore</t>
  </si>
  <si>
    <t>Operator of a pharmacy marketplace intended to supply healthcare and cosmetics products. The company's marketplace offers buyers and sellers to purchase and sell medicines with no shipping costs and no minimum quantity, enabling pharmacists to get exclusive products that they do not know or that they cannot acquire on the French market.</t>
  </si>
  <si>
    <t>AngelSquare, Benjamin Attal, Celeste Management, GO Capital (France), Sophia Business Angels, Val de France Angels</t>
  </si>
  <si>
    <t>business portal, ecommerce platform, pharmacy market portal, pharmacy marketplace, pharmacy platform operator, pharmacy search portal</t>
  </si>
  <si>
    <t>Azay sur Cher, France</t>
  </si>
  <si>
    <t>164396-71T</t>
  </si>
  <si>
    <t>Gilde Healthcare(Janke Dittmer), Groupe Pasteur Mutualité(Bertrand Mas-Fraissinet)</t>
  </si>
  <si>
    <t>158673-79T</t>
  </si>
  <si>
    <t>Atlan Space</t>
  </si>
  <si>
    <t>Business/Productivity Software*, Media and Information Services (B2B), Other Hardware</t>
  </si>
  <si>
    <t>Developer of an autonomous drone flight software designed to break the boundaries of aeronautics with artificial intelligence to sustain ocean ecosystems. The company's technology helps networks of aerial vehicles guided by artificial intelligence to scan large marine areas and also develops automated flying drones that further help to get insights, data, and information through the platform, enabling authorities to determine the reason for the presence of a ship in territorial waters and stop illegal activities.</t>
  </si>
  <si>
    <t>Cadex Group(Yassine Benhammou), Freedman + Hilmi, MNF Ventures(Dounia Boumehdi)</t>
  </si>
  <si>
    <t>ai drones, ai software, autonomous drone, autonomous machine, aviation technology, drones data, drones technology, intelligent robotics</t>
  </si>
  <si>
    <t>157675-69T</t>
  </si>
  <si>
    <t>ArtNova, Bpifrance, Vive X</t>
  </si>
  <si>
    <t>158667-58T</t>
  </si>
  <si>
    <t>kShuttle</t>
  </si>
  <si>
    <t>Developer of a comprehensive performance management platform designed to help organizations achieve operational excellence development. The company's platform manages wages, bills, workforce, and budget and provides an adaptive operational efficiency and risk platform used to dynamically design, enabling businesses to get a holistic and integrated view of risk, performance, and governance by unifying all data, applications, and processes.</t>
  </si>
  <si>
    <t>cash management, data management, enterprise resource planning, financial management system, human resource management, legal compliance management, management platform, operational efficiency tools</t>
  </si>
  <si>
    <t>158615-83T</t>
  </si>
  <si>
    <t>Supervan</t>
  </si>
  <si>
    <t>Automotive, Logistics*, Other Services (B2C Non-Financial)</t>
  </si>
  <si>
    <t>Developer of an online portal designed to provide logistical support in the Vannes, France. The company's services include online booking of vans, loading of goods and allowing a couple of people to board the truck to travel with the goods, enabling users to move in an easy and efficient way to transport.</t>
  </si>
  <si>
    <t>delivery vans, fleet of car, freight service firm, freight technology, freight vans, logistical company, logistical firm, logistical hubs, logistics provider, trucking logistics</t>
  </si>
  <si>
    <t>158590-90T</t>
  </si>
  <si>
    <t>Bulldozair</t>
  </si>
  <si>
    <t>Developer of project management software designed to increase the productivity of construction projects. The company's software permits its users to assign remote technical instructions, visualize the project progress, and generate activity reports automatically, enabling onsite teams to collaborate with the office by visually exchanging information.</t>
  </si>
  <si>
    <t>Anaxago, CapHorn Invest, PRO BTP Groupe, Setec (Printing Services (B2B))</t>
  </si>
  <si>
    <t>construction project, construction software, kms, knowledge management system, management software, project management, task management, task management app, task management application, task management software</t>
  </si>
  <si>
    <t>207799-93T</t>
  </si>
  <si>
    <t>Zapata (Air)</t>
  </si>
  <si>
    <t>Manufacturer of nautical and aeronautical machines intended to develop and create new technologies. The company's platform is dedicated to working on the creation, development, and marketing of new machines and is pursuing its development by offering new arm and saddle VNM projects, dedicated to competition as well as leisure use, enabling athletes coming from all disciplines to look for new sensations.</t>
  </si>
  <si>
    <t>Team Global</t>
  </si>
  <si>
    <t>aeronautical machine, aeronautics industry, aerospace components, extreme sports, new technologies, racing product</t>
  </si>
  <si>
    <t>140373-19T</t>
  </si>
  <si>
    <t>clim8</t>
  </si>
  <si>
    <t>Application Software, Clothing, Electronic Equipment and Instruments*</t>
  </si>
  <si>
    <t>Developer of a wearable technology designed to offer personalized thermo-regulation through digital automation in smart clothing. The company's technology, through its application, monitors, and analyses the wearer's body temperature by combining tiny sensors and a detachable battery back into the thermal layer and responds to the data and signals it has collected to deliver the appropriate amount of heat, enabling users to set their preferences and manage their comfort level in any climatic conditions.</t>
  </si>
  <si>
    <t>Agileo Ventures(Alexis Nohen), Charlie Foster(Charlie Foster), Davy Langlais(Davy Langlais), Deveaux Group(Thibaud von Tschammer), Max Phillips(Max Phillips), Seventure Partners(Emmanuel Fiessinger), Umesh Kumar(Umesh Kumar)</t>
  </si>
  <si>
    <t>heating technology proucts, smart heating system, temperature analysis, temperature monitoring, thermal technology, wearable technology</t>
  </si>
  <si>
    <t>E-Commerce, Wearables &amp; Quantified Self</t>
  </si>
  <si>
    <t>176638-24T</t>
  </si>
  <si>
    <t>Eurazeo (PAR: RF), French Partners</t>
  </si>
  <si>
    <t>279427-69T</t>
  </si>
  <si>
    <t>Les Determines</t>
  </si>
  <si>
    <t>Consulting Services (B2B), Education and Training Services (B2B)*</t>
  </si>
  <si>
    <t>Operator of an entrepreneurship development program intended to accelerate success for project leaders. The company offers support programs and training for entrepreneurs and intrapreneurs, enabling clients to create structures, secure career paths and improve employability.</t>
  </si>
  <si>
    <t>business acceleration, business guidance, economic service, entrepreneurial support, entrepreneurial training, professional growth, project development</t>
  </si>
  <si>
    <t>214257-07T</t>
  </si>
  <si>
    <t>Nuvee</t>
  </si>
  <si>
    <t>Decision/Risk Analysis*, Information Services (B2C), Other Healthcare Technology Systems</t>
  </si>
  <si>
    <t>Developer of a multi-thematic therapeutic education platform designed to support the patient in their care or prevention journey. The company's platform specializes in discovering the physiological, behavioral and emotional notions related to nutrition, overweight and obesity to maximize weight loss success, enabling health professionals to offer their patients with a course adapted to their pathology.</t>
  </si>
  <si>
    <t>BPI Group, LCL, Region Bourgogne Franche Comté, Steva Investissement</t>
  </si>
  <si>
    <t>patient education, patient education service, patient education tool, therapeutic education, therapeutic platform, therapeutic tools</t>
  </si>
  <si>
    <t>204840-10T</t>
  </si>
  <si>
    <t>Saola Studio</t>
  </si>
  <si>
    <t>Movies, Music and Entertainment*</t>
  </si>
  <si>
    <t>Operator of an augmented reality creation studio intended to create adapted stories to immerse the visitor into a didactic experience. The company engages in the production, direction and creation of amazing short films and animated movies with high-end AR and VR technology, enabling visitors to enjoy an authentic experience of virtual and augmented reality in the form of amazing story-based short films.</t>
  </si>
  <si>
    <t>ar production, production studio, short film direction, short film maker, short film platform, vr studio</t>
  </si>
  <si>
    <t>175481-38T</t>
  </si>
  <si>
    <t>171025-93T</t>
  </si>
  <si>
    <t>Bernard Majoie(Bernard Majoie), Seventure Partners</t>
  </si>
  <si>
    <t>181416-16T</t>
  </si>
  <si>
    <t>Cryo Pur</t>
  </si>
  <si>
    <t>Manufacturer of cryogenic biogas processing systems intended for biomethane liquefaction and liquid CO2 production. The company designs systems for cryogenic biogas upgrading and biomethane liquefaction, flare gas recovery, and natural gas, enabling cryogenic industry players to avail vital equipment and resources to optimize the efficiency of their cryogenic plants and labs.</t>
  </si>
  <si>
    <t>Plug and Play Tech Center, Xerys Invest</t>
  </si>
  <si>
    <t>biomethane energy, carbon tech, carbon technology, clean fuel, co2 production, cryogenic gas, cryogenic plant, energy efficiency test, gas liquefaction, point sourcing carbon capture, waste to fuel, waste-to-energy</t>
  </si>
  <si>
    <t>Climate Tech, Industrials, Oil &amp; Gas</t>
  </si>
  <si>
    <t>170978-23T</t>
  </si>
  <si>
    <t>158434-30T</t>
  </si>
  <si>
    <t>Bpifrance, Courtin Investment(Christophe Courtin), SIDE Capital(Renaud Guillerm)</t>
  </si>
  <si>
    <t>160380-91T</t>
  </si>
  <si>
    <t>Once Again</t>
  </si>
  <si>
    <t>Clothing, Footwear, Internet Retail*</t>
  </si>
  <si>
    <t>Operator of an online thrift store intended for buying and selling second-hand clothes. The company offers men's and women's used clothes, footwear, and bags of different brands, enabling customers to get apparel at low prices.</t>
  </si>
  <si>
    <t>thrift store, used apparel, used clothes marketplace, used clothing, used clothing retail, used product platform</t>
  </si>
  <si>
    <t>Ingre, France</t>
  </si>
  <si>
    <t>153793-18T</t>
  </si>
  <si>
    <t>Kima Ventures, OSS Ventures</t>
  </si>
  <si>
    <t>204427-54T</t>
  </si>
  <si>
    <t>Biopythos</t>
  </si>
  <si>
    <t>Household Appliances, Other Containers and Packaging*</t>
  </si>
  <si>
    <t>Manufacturer of ceramic containers intended to be used in winemaking or aging. The company creates the shape of the egg to favor the convection movements of the wine and also offers different containers and different accessories in a personalized way such as tasting tap, tapping valve, and total emptying, enabling users to get a range of ceramic containers.</t>
  </si>
  <si>
    <t>ceramic container, ceramic good, containership assets, porcelain crown, raw materials, stoneware product, wine bottles, winemaking product</t>
  </si>
  <si>
    <t>Panazol, France</t>
  </si>
  <si>
    <t>204492-79T</t>
  </si>
  <si>
    <t>158140-63T</t>
  </si>
  <si>
    <t>Prevision.io</t>
  </si>
  <si>
    <t>Developer of an automated machine learning platform designed to analyze predictive models. The company's platform uses customer data and data gathered by the startup to build predictive models but also lists all the models that these same customers want to make available to other users, especially with the idea of monetizing them, enabling data scientists, business analysts and business experts to boost their productivity.</t>
  </si>
  <si>
    <t>Hi Inov(Valère Rames), Net Venture, Plug and Play Tech Center, Upfront Ventures</t>
  </si>
  <si>
    <t>ai cores, ai platform, automation tools, data processing service, enterprise software, model management platform, predictive analytics platform, predictive modeling</t>
  </si>
  <si>
    <t>134138-08T</t>
  </si>
  <si>
    <t>Vitibot</t>
  </si>
  <si>
    <t>Machinery (B2B)*, Other Hardware</t>
  </si>
  <si>
    <t>Manufacturer of electric straddle tractors intended to support winegrowers in improving their vineyards with latest-generation technological solutions. The company's wine straddles tractors have an electric transmission power tool, complete infrared vision, and night work remote monitoring, enabling reconciliation of contemporary environmental and economic issues by offering a driverless solution.</t>
  </si>
  <si>
    <t>Champagne Laurent-Perrier, Charles Heidsieck Champagne, Louis Roederer Champagne(Frédéric Rouzaud), Piper-Heidsieck Champagne</t>
  </si>
  <si>
    <t>electric tractors, precision ag, precision agriculture, remote monitoring, robotics &amp; smart field equipment, robotics and smart field equipment, tractors, tractors manufacturer, vineyard care, wine making, wine making kits, wine making tools</t>
  </si>
  <si>
    <t>169283-62T</t>
  </si>
  <si>
    <t>Custom Bridge</t>
  </si>
  <si>
    <t>Developer of an artificial intelligence-based customs regulatory platform designed to offer compliance change management services. The company's platform simplifies customs processing and compliance and offers classification assistance, regulatory monitoring, and customs database audit, enabling companies to meet financial and compliance challenges related to customs clearance procedures.</t>
  </si>
  <si>
    <t>The Alacrity Foundation(Cec Primeau), Wesley Clover International(Simon Gibson)</t>
  </si>
  <si>
    <t>ai software, custom operations, custom processing, customs clearance, customs clearance software, financial regulatory platform, financial regulatory software, regulatory platform</t>
  </si>
  <si>
    <t>164521-36T</t>
  </si>
  <si>
    <t>SurfactGreen</t>
  </si>
  <si>
    <t>Multi-line Chemicals*, Other Chemicals and Gases</t>
  </si>
  <si>
    <t>Developer of patented ecological surfactants designed to substitute some products that are partially or derived from petrochemistry. The company specializes in green chemistry for the production of eco-compatible, biodegradable surfactants derived from biomass and plants that are solvent-free, sulfate-free, and readily biodegradable, enabling companies to make products with lower human and environmental impacts.</t>
  </si>
  <si>
    <t>Finovam Gestion, GO Capital (France), Ouest Valorisation</t>
  </si>
  <si>
    <t>biodegradable surfactants, biomass waste, cleansing product, environmental impact assessment, green chemistry, plant-based technology</t>
  </si>
  <si>
    <t>165078-01T</t>
  </si>
  <si>
    <t>CHU Gabriel Montpied, Clermont Auvergne Innovation, Crédit Agricole Centre France Développement, D-Novafund, Gsurge Consulting, Kreaxi(Gwenaël Hamon), Sofimac Investment Managers(Cécile Thebault)</t>
  </si>
  <si>
    <t>181328-50T</t>
  </si>
  <si>
    <t>Scientipole Capital</t>
  </si>
  <si>
    <t>157926-52T</t>
  </si>
  <si>
    <t>4BIO Capital(Owen Smith), AdBio partners(Geoffroy Ribains), Bpifrance, Foundation Fighting Blindness-National Neurovision Research Institute, Jeito(Sabine Dandiguian), UPMC Enterprises(Jeanne Cunicelli), Ysios Capital(Karen Wagner)</t>
  </si>
  <si>
    <t>157888-90T</t>
  </si>
  <si>
    <t>Dimpl</t>
  </si>
  <si>
    <t>Financial Software, Other Financial Services*, Other Insurance</t>
  </si>
  <si>
    <t>Developer of a financing platform designed to solve the payment delay pain point of insurance against late payments and defaults. The company's platform specializes in assigning insurance invoices and provides compensation in the event of a delay from the due date, enabling businesses to protect themselves from late dues and payments from customers.</t>
  </si>
  <si>
    <t>Bpifrance, Elaia Partners(Armelle de Tinguy), Idinvest Partners</t>
  </si>
  <si>
    <t>commercial insurance, financing platform, invoice funding, invoice tools, loss protection, payment coding, payment engine, payment portal</t>
  </si>
  <si>
    <t>174687-49T</t>
  </si>
  <si>
    <t>Botdesign</t>
  </si>
  <si>
    <t>Operator of a digital health companion platform intended to offer pre-diagnosis and clinical monitoring services. The company's platform provides support workflows by combining its MSS, interactive forms, intelligent alerts, and end-to-end security and encrypted services giving extended access to care, enabling healthcare professionals to design and encrypt the healthcare data to the bot for solving the consumers' queries.</t>
  </si>
  <si>
    <t>Bpifrance, Créalia, Crédit Mutuel, M Capital Partners</t>
  </si>
  <si>
    <t>artificial intelligence technology, clinical data, data modeling, digital health data, digital healthtech, e-health system, health tracking, healthcare solutions, therapeutic education</t>
  </si>
  <si>
    <t>190708-21T</t>
  </si>
  <si>
    <t>Pixii</t>
  </si>
  <si>
    <t>Developer of camera products designed to reveal images on a smartphone display. The company's products are fitted with an optical rangefinder that offers a radical and compact camera design and is easy to charge the standard battery, enabling photography enthusiasts to improve their photography experience.</t>
  </si>
  <si>
    <t>Banque Populaire, BFC Croissance(Anthony Faurand), BNP Paribas WAI, Bourgogne Franche Comte Angels, Bpifrance, Fabrice Barbier(Fabrice Barbier), Region Bourgogne Franche Comté</t>
  </si>
  <si>
    <t>camera design, camera lens, camera products, color camera, compact camera, consumer electronics, digital camera</t>
  </si>
  <si>
    <t>157867-84T</t>
  </si>
  <si>
    <t>Vinpai (PAR: ALVIN)</t>
  </si>
  <si>
    <t>Vinpai SA is an ingredient tech which offers manufacturers natural alternatives to chemical additives. The Company is an ingredientist that designs, manufactures and markets complementary and innovative ranges of functional ingredients based on algae, plants, minerals and fibers. These innovative ingredients have the function of texturing, stabilizing, preserving, flavoring and/ or enriching the recipes of the food industry, cosmetics, well-being, and health. Vinpai offers manufacturers a complete offer including the supply of functional ingredients, sometimes combined in premix, as well as support for the formulation and the launch of industrial production with the management of the ramp-up with the transition from the lab to the factory.</t>
  </si>
  <si>
    <t>Eiffel Investment Group, NGP Capital</t>
  </si>
  <si>
    <t>bio-engineered food, food ingredients, food preservatives, ingredients maker, novel ingredients, sustainable alternative</t>
  </si>
  <si>
    <t>Saint-Dolay, France</t>
  </si>
  <si>
    <t>158091-67T</t>
  </si>
  <si>
    <t>Sunkofa Energy</t>
  </si>
  <si>
    <t>Operator of smart mini-grids intended to offer energy-related services to rural inhabitants. The company's grids comprise photovoltaic panels, batteries, and power electronics which distribute electricity to residential households, and tertiary and industrial customers along with electronic appliances running on alternative energy, enabling rural households to receive electricity at an affordable cost.</t>
  </si>
  <si>
    <t>EDFI Management Company, Gaia Impact Fund(Hélène Demaegdt)</t>
  </si>
  <si>
    <t>clean energy, electricity market, electricity supplier, energy alternative solutions, energy alternatives, energy solutions, energy solutions equipment, mini grid</t>
  </si>
  <si>
    <t>117595-45T</t>
  </si>
  <si>
    <t>Cardiawave</t>
  </si>
  <si>
    <t>Developer of a non-invasive ultrasonic medical device designed to treat heart valve diseases. The company's device is real-time image-guided and uses ultrasounds to treat heart valve disease, particularly calcified aortic stenosis with no thermal injury, improving patient care while avoiding the need for invasive procedures, enabling clinicians to treat patients quickly, resulting in a higher likelihood of successful treatment.</t>
  </si>
  <si>
    <t>Angel's Bay Invest, Angels Santé, Bernard Kirsch(Bernard Kirsch), Geoffroy de Casteja(Geoffroy de Casteja), I-Source Gestion(Nicolas Landrin), Laurin Hainy(Laurin Hainy), Paris Business Angels, UI Investissement</t>
  </si>
  <si>
    <t>cardiovascular, clinical studies, heart treatment, heart valve stenosis, medical solutions, noninvasive medical device, ultrasonic medical device</t>
  </si>
  <si>
    <t>205175-89T</t>
  </si>
  <si>
    <t>Leadway International Investment, Tandem Capital, Xiamen Qishang Equity Investment</t>
  </si>
  <si>
    <t>157754-35T</t>
  </si>
  <si>
    <t>Alter Equity, Christian Jorge(Christian Jorge), Eutopia, Investir &amp;+</t>
  </si>
  <si>
    <t>157721-77T</t>
  </si>
  <si>
    <t>Abeille Impact Investing France, Banque des Territoires, Bpifrance, Caisse d'Epargne Rhone Alpes, Crédit Agricole Alpes Développement, Evolem, Groupama Group(Francis Thomine), MAIF Investissement Social et Solidaire, Philippe Menier(Philippe Menier)</t>
  </si>
  <si>
    <t>169199-92T</t>
  </si>
  <si>
    <t>Recapitalization</t>
  </si>
  <si>
    <t>Prime Ventures(Sake Bosch)</t>
  </si>
  <si>
    <t>157882-96T</t>
  </si>
  <si>
    <t>Biodiv-Wind</t>
  </si>
  <si>
    <t>Alternative Energy Equipment, Other Hardware*</t>
  </si>
  <si>
    <t>Developer of innovative real-time automated detection system designed to monitor and prevent collision risks of flying avifauna and chiropterans around wind farms. The company offers a platform that integrates real-time monitoring, AI-driven analytics, and customizable installation options, enabling wind energy operators to mitigate collision risks while maximizing energy production efficiency and adhering to environmental regulations.</t>
  </si>
  <si>
    <t>AREC Occitanie, Sofilaro</t>
  </si>
  <si>
    <t>automated detection system, collision mitigation solutions, real time monitoring, traffic management system, video detection, wildlife conservation, wildlife control, wind turbine safety</t>
  </si>
  <si>
    <t>Boujan-Sur-Libron, France</t>
  </si>
  <si>
    <t>157494-61T</t>
  </si>
  <si>
    <t>Elaia Partners(Cédric Favier), IMT Starter</t>
  </si>
  <si>
    <t>157488-58T</t>
  </si>
  <si>
    <t>Eight Roads</t>
  </si>
  <si>
    <t>157492-45T</t>
  </si>
  <si>
    <t>Datexim</t>
  </si>
  <si>
    <t>Decision/Risk Analysis, Enterprise Systems (Healthcare), Other Healthcare Technology Systems*</t>
  </si>
  <si>
    <t>Developer of digital pathology applications and technology intended for imaging-based digital pathology and telemedicine. The company's application facilitates automatic screening for the detection of cervical cancer and review of histopathology images over the web, enabling the healthcare community and pathology laboratories to raise diagnostic accuracy.</t>
  </si>
  <si>
    <t>cancer detection, cancer detection app, cancer screening, cancer screening devices, digital pathology, healthcare data analytics, image analysis software, it consulting, it services, medical technology, telemedicine platform, telemedicine platform developer, vertical application</t>
  </si>
  <si>
    <t>Artificial Intelligence &amp; Machine Learning, Big Data, Digital Health, Life Sciences, Oncology</t>
  </si>
  <si>
    <t>157973-32T</t>
  </si>
  <si>
    <t>E for IA</t>
  </si>
  <si>
    <t>Elder and Disabled Care*, Other Healthcare Services, Other Healthcare Technology Systems</t>
  </si>
  <si>
    <t>Developer of a healthcare platform designed to focus on the well-being of the elderly population. The company's platform designs and develops digital tools to support the care of our elderly, whether in healthcare establishments or in the context of home care, enabling health professionals and those responsible for reception structures (EHPAD, senior residences, health and medical-social establishments) to modernize and facilitate care, with respect and goodwill towards elders.</t>
  </si>
  <si>
    <t>elderly care, healthcare platform, healthcare tools provider, medical tool developer, senior care, senior healthcare service</t>
  </si>
  <si>
    <t>Pamiers, France</t>
  </si>
  <si>
    <t>207529-12T</t>
  </si>
  <si>
    <t>169291-99T</t>
  </si>
  <si>
    <t>Réflexe Accident</t>
  </si>
  <si>
    <t>Automotive, Automotive Insurance, Legal Services (B2C)*</t>
  </si>
  <si>
    <t>Developer of a claims management platform designed for accident victims. The company reproduces insurance management processes by calling only on service providers independent of insurers like independent repairers, independent auto experts, medical experts, and lawyers in order to truly defend the claims suffered by the victims, enabling clients to obtain quality repairs and fair compensation.</t>
  </si>
  <si>
    <t>Credit Agricole Entreprises (PAR: CRBP), JEREMIE Auvergne, Sofimac Investment Managers</t>
  </si>
  <si>
    <t>accident cover, accidental insurance service, accidental misuse, auto insurance technology, insurance company operations, insurance cover, insurance management</t>
  </si>
  <si>
    <t>Artificial Intelligence &amp; Machine Learning, FinTech, InsurTech</t>
  </si>
  <si>
    <t>Aubiere, France</t>
  </si>
  <si>
    <t>173162-17T</t>
  </si>
  <si>
    <t>Bpifrance, Finovam Gestion, Hodéfi, Insitoo-It, IRD Invest, Nord Création</t>
  </si>
  <si>
    <t>157361-95T</t>
  </si>
  <si>
    <t>Algolesko</t>
  </si>
  <si>
    <t>Aquaculture*</t>
  </si>
  <si>
    <t>Producer of seaweed intended to offer authentic, quality, and traceable sea products. The company's products include salted fresh algae, dehydrated algae, quick frozen algae, and powered algae, enabling consumers to have seaweed that is rich in minerals, trace elements, vitamins, and active ingredients.</t>
  </si>
  <si>
    <t>algae cultivation, algae farming, algae production, sea farming, seaweed aquaculture, seaweed farming</t>
  </si>
  <si>
    <t>Loctudy, France</t>
  </si>
  <si>
    <t>157273-66T</t>
  </si>
  <si>
    <t>Joko</t>
  </si>
  <si>
    <t>Application Software, Business/Productivity Software, Financial Software*, Information Services (B2C)</t>
  </si>
  <si>
    <t>Developer of a shopping application designed to offer users loyalty card rewards. The company's application utilizes analysis of banking transaction data to determine purchases and provides reward points that can be used for gift cards or donated to associations, enabling customers to purchase products from their favorite brands and earn rewards.</t>
  </si>
  <si>
    <t>Alpha Protocol Ventures, Axeleo Capital, Hedosophia, Motier Ventures, Partech</t>
  </si>
  <si>
    <t>consumer payment, loyalty &amp; rewards, marketing application, online rewards platform, rewards tools, shopping application, shopping rewards</t>
  </si>
  <si>
    <t>157209-85T</t>
  </si>
  <si>
    <t>ATI Technologies, Bpifrance(Magali Joessel), Braemar Energy Ventures(Jiong Ma), Demeter Partners(Sophie Paturle-Guesnerot), Ingka GreenTech, Intel Capital(Abdul Guefor), Sofinnova Partners, Sudinnova, Supernova Invest, TEL Venture Capital, Valeo (Paris) (PAR: FR)</t>
  </si>
  <si>
    <t>157625-65T</t>
  </si>
  <si>
    <t>Nextflow Software</t>
  </si>
  <si>
    <t>Developer of a computational fluid dynamics simulation software designed to help clients perform accurate and quick simulations on systems. The company's software offers advanced computer-aided engineering that uses graphical tools to provide a fully integrated simulation and analysis workflow, thereby enabling users to shorten their engineering cycles and optimize designs.</t>
  </si>
  <si>
    <t>GO Capital (France)(Jérôme Guéret)</t>
  </si>
  <si>
    <t>cad integration, dynamics simulation software, fluid dynamics simulation software, graphical simulation software, simulation developer, simulation systems, software vendor</t>
  </si>
  <si>
    <t>157246-84T</t>
  </si>
  <si>
    <t>AQUITI Gestion, Argiduna Capital, IRDI Capital Investissement, Sofimac Innovation, UI Investissement</t>
  </si>
  <si>
    <t>165082-33T</t>
  </si>
  <si>
    <t>Rouje</t>
  </si>
  <si>
    <t>Designer of clothing and accessories designed for women to look trendy. The company provides a whole collection of skirts, blouses, tops, jeans, t-shirts, shoes, lipsticks, and shoes among others, enabling women to avail a stylish and affordable way to dress.</t>
  </si>
  <si>
    <t>Partech</t>
  </si>
  <si>
    <t>clothes designer, women apparel designer, women apparel marketplace, women apparel shops, women apparel website, women fashion</t>
  </si>
  <si>
    <t>157248-55T</t>
  </si>
  <si>
    <t>Alliance Entreprendre(Benoît Thiedey), Bpifrance, Omnes Capital(Fabien Collangettes)</t>
  </si>
  <si>
    <t>116612-56T</t>
  </si>
  <si>
    <t>Armat Group, Astanor Ventures(Eric Archambeau), Bpifrance(Yassine Soual), Caisse des Depots Group, Clay Capital (Singapore)(Matthieu Vermersch), Compagnie du Bois Sauvage (BRU: COMB)(Benoit Deckers), Eurazeo (PAR: RF), Finasucre Group, FootPrint Coalition, Happiness Capital, ID Capital, Idinvest Partners, OurCrowd, Picardie Investissement, Robert Downey, Sofia Hmich(Sofia Hmich), Supernova Invest, Talis Capital(Matus Maar), Upfront Ventures(Yves Sisteron)</t>
  </si>
  <si>
    <t>160024-87T</t>
  </si>
  <si>
    <t>Kiute</t>
  </si>
  <si>
    <t>Developer of salon management software designed for online bookings for beauty services. The company's platform allows salons with online reservations for its most complete range of services including beauty, aesthetics, hairdressing, and spa treatments, thereby providing hairdressing salons and beauty institutes with a digital platform that helps to retain existing customers while attracting new ones along with increasing the turnover.</t>
  </si>
  <si>
    <t>Newfund Management, Serena (Paris)(Sébastien Le Roy)</t>
  </si>
  <si>
    <t>online reservation, online reservation app, online reservation platform, online reservation service, online reservation software, online reservation technology, online reservation tools</t>
  </si>
  <si>
    <t>Beauty, SaaS, TMT</t>
  </si>
  <si>
    <t>157069-72T</t>
  </si>
  <si>
    <t>Kurmi</t>
  </si>
  <si>
    <t>Developer of infrastructure solutions designed to simplify the deployment, management, performance, and cost-optimization of unified communications and collaboration technologies for enterprises and managed service providers. The company offers repetitive yet complex tasks, the power of efficiency and accuracy in the hands of administrators who are tasked with the difficult and costly task of managing large populations, enabling digital workers to rely on a growing universe of communications tools.</t>
  </si>
  <si>
    <t>Ring Capital(Alban La Breteche), Unexo(Mélanie Hebert)</t>
  </si>
  <si>
    <t>cloud communication management, enterprise communication, enterprise communication platform, enterprise communication technology, enterprise resource planning, erp, it infrastructure, it operations management, it ops, management automation, workflow automation</t>
  </si>
  <si>
    <t>183977-47T</t>
  </si>
  <si>
    <t>Incepto Capital</t>
  </si>
  <si>
    <t>181922-68T</t>
  </si>
  <si>
    <t>GreenTropism</t>
  </si>
  <si>
    <t>Developer of a spectrometry platform designed to instantly analyze the organic matter and detect pathogens. The company's software uses data analysis algorithms for light-based analysis and spectroscopy which includes spectral preparatory work, outlier detection, and drift evaluation, and offers a spectral database, enabling food, cosmetics, environment, pharmaceutical, and industrial spectroscopy to automate the mathematical steps of spectrum processing.</t>
  </si>
  <si>
    <t>Fluxunit - ams OSRAM Ventures</t>
  </si>
  <si>
    <t>ai automation platform, ai cores, analytics platform, data processing, embedded software, software deployment, spectral software, spectrometry technology, spectroscopy software, spectrum analysis</t>
  </si>
  <si>
    <t>Artificial Intelligence &amp; Machine Learning, Big Data, HealthTech, SaaS</t>
  </si>
  <si>
    <t>179960-14T</t>
  </si>
  <si>
    <t>IPO Hunt</t>
  </si>
  <si>
    <t>218418-22T</t>
  </si>
  <si>
    <t>Eppur</t>
  </si>
  <si>
    <t>Electronics (B2C), Other Consumer Durables, Other Healthcare Technology Systems*</t>
  </si>
  <si>
    <t>Manufacturer of manual wheelchairs intended to reduce the effort required on the traditional wheel. The company provides wheels with technology where the handrim remains stationary relative to the hand, helpful in controlling the rear propulsion, safety, and without straining the shoulders at each turn or on slopes, enabling patients with adequate control of the chair and reducing the risk of injury and suitable for everyone.</t>
  </si>
  <si>
    <t>braking system, manuals wheelchair, smart drives, wheel chair seating, wheelchair systems, wheelchairs-manufacturing, wheels technology</t>
  </si>
  <si>
    <t>158015-80T</t>
  </si>
  <si>
    <t>FM2J</t>
  </si>
  <si>
    <t>Provider of gaming and toy trading training services intended to offer exchanges of experience between professionals. The company's services include organizing workshops, and professional courses, promoting the game, and teaching the basic know-how of gaming, enabling gaming professionals to use and implement gaming structures in their businesses and profession.</t>
  </si>
  <si>
    <t>animation games, educational support, educational support staff, games training services, training center, training services</t>
  </si>
  <si>
    <t>EdTech, Esports</t>
  </si>
  <si>
    <t>183328-21T</t>
  </si>
  <si>
    <t>Percko</t>
  </si>
  <si>
    <t>Clothing, Therapeutic Devices*</t>
  </si>
  <si>
    <t>Developer of textile and connected clothing products intended to reduce back pain. The company's product acts as a second-skin effect t-shirt designed to stand up straight and helps to correct poor posture, whether standing, sitting, or riding a bike, enabling users to easily improve their postures.</t>
  </si>
  <si>
    <t>back pain relief, bone repair, clothing technology, health care coverage, posture correction, spine care</t>
  </si>
  <si>
    <t>Manufacturing, Wearables &amp; Quantified Self</t>
  </si>
  <si>
    <t>164755-27T</t>
  </si>
  <si>
    <t>158302-27T</t>
  </si>
  <si>
    <t>GO Capital (France), NCI Gestion</t>
  </si>
  <si>
    <t>157468-87T</t>
  </si>
  <si>
    <t>Delwik Group</t>
  </si>
  <si>
    <t>157015-27T</t>
  </si>
  <si>
    <t>Brevo</t>
  </si>
  <si>
    <t>Developer of a digital marketing platform designed to help businesses grow through stronger customer relationships. The company's platform is tailored to suit the marketing needs of growing SMBs in tough markets unlike other marketing solutions built for enterprise-level budgets and expertise, enabling businesses, e-commerce sellers, and agencies to build customer relationships through digital marketing campaigns, transactional messaging, and marketing automation.</t>
  </si>
  <si>
    <t>Adelie, BlackRock (NYS: BLK), Bpifrance(Louis Molis), Bridgepoint Group (UK) (LON: BPT)(Olivier Nemsguern), Partech(Bruno Crémel)</t>
  </si>
  <si>
    <t>customer relationship management, digital marketing platform, digital marketing suites, mailing platform, marketing automation platform, marketing software, transaction email</t>
  </si>
  <si>
    <t>210166-66T</t>
  </si>
  <si>
    <t>EasyMovie</t>
  </si>
  <si>
    <t>Developer of a video creation platform designed to create professional-quality videos. The company's platform uses a network of editors and motion designers to add graphics, animation transitions, and specific storyboards to the created video as per the business' identity and media needs, enabling organizations to autonomously create quality videos for internal and marketing campaigns without the need of hiring production agencies.</t>
  </si>
  <si>
    <t>CapHorn Invest, Ring Capital, SWEN Capital Partners</t>
  </si>
  <si>
    <t>digital marketing, video communication system, video creation platform, video creation software, video creation tools, video editing, video production</t>
  </si>
  <si>
    <t>158667-31T</t>
  </si>
  <si>
    <t>158021-02T</t>
  </si>
  <si>
    <t>Intesa Sanpaolo (MIL: ISP)</t>
  </si>
  <si>
    <t>169669-54T</t>
  </si>
  <si>
    <t>Ekestrian</t>
  </si>
  <si>
    <t>Operator of an auction house intended to offer the largest choice of selected French sport horses for sale to its customers. The company offers an exceptional selection of horses by providing the following criteria that are genetics, quality of the dam line, relevance of the crossbreeding, exceptional free jump quality, blood, model, gaits, and rarity of the horse, enabling horse lovers and jockeys to buy and sell their horse quickly and safely.</t>
  </si>
  <si>
    <t>Bpifrance, WeLikeAngels, WeLikeStartup</t>
  </si>
  <si>
    <t>auction house, auction house operations, auction house service, horse auction service, horse games, horse racing, online horse auction</t>
  </si>
  <si>
    <t>Eaubonne, France</t>
  </si>
  <si>
    <t>156807-01T</t>
  </si>
  <si>
    <t>83North, Bpifrance, Breega, Dell Technologies Capital, IRIS (Private Equity)(Julien-David Nitlech)</t>
  </si>
  <si>
    <t>186582-52T</t>
  </si>
  <si>
    <t>Studio Redfrog</t>
  </si>
  <si>
    <t>Operator of a multimedia animation studio intended to provide edutainment programs for children. The company's studio focuses on the global kids' entertainment and education markets and produces shows, advertisements, and games intended to engage its audiences with fun experiences across a variety of platforms, enabling children to get entertained and also learn at the same time.</t>
  </si>
  <si>
    <t>Alliance Entreprendre</t>
  </si>
  <si>
    <t>animation studio, animation studio company, animation studio operator, edutainment market, kids entertainment, kids entertainment platform, multimedia animation</t>
  </si>
  <si>
    <t>165612-25T</t>
  </si>
  <si>
    <t>Younited Financial</t>
  </si>
  <si>
    <t>Operator of an online peer-to-peer lending platform designed to facilitate financial transactions between individual lenders and borrowers. The company's online financial platform facilitates transactions and loans without the intermediation of any financial institutions, enabling customers to avail themselves of hassle-free loans and credit directly from individual lenders at a much cheaper interest rate.</t>
  </si>
  <si>
    <t>AG2R La Mondiale, Bpifrance(Joséphine Marie), Idinvest Partners, Matmut</t>
  </si>
  <si>
    <t>alternative lending, consumer lending platform, consumer lending service, credit financing platform, online credit service, online financial platform, online lending platform, p2p lending platform, retail lending</t>
  </si>
  <si>
    <t>165069-28T</t>
  </si>
  <si>
    <t>Kreaxi(Sebastien Touvron), Rhône-Alpes Création</t>
  </si>
  <si>
    <t>156816-19T</t>
  </si>
  <si>
    <t>Alven Capital Partners, Andy Chung, aXiomatic, Dominique Vidal, Hugues de Braucourt, KB Partners, Nicolas Steegmann, Philipp Moehring, Serena (Paris), Tiny Supercomputer Investment Company, V13 Invest</t>
  </si>
  <si>
    <t>183192-49T</t>
  </si>
  <si>
    <t>Mediatech cx</t>
  </si>
  <si>
    <t>156686-32T</t>
  </si>
  <si>
    <t>Maria Schools</t>
  </si>
  <si>
    <t>Operator of a digital school campus intended to provide educational training and courses for professionals from all age groups. The company operates different training schools, each imparting other skills to its students such as entrepreneurship, product management, storytelling, and much more besides offering courses taught by professional experts, enabling students and professionals to be trained in digital-related practices such as no-code or digital marketing to sharpen their skillsets.</t>
  </si>
  <si>
    <t>Andreas Wiele(Andreas Wiele), Crédit Mutuel Innovation(Julien Coulon), Florian Douetteau(Florian Douetteau)</t>
  </si>
  <si>
    <t>digital school, educational services, school education services, school facility, study tools, training school</t>
  </si>
  <si>
    <t>Montreuil Cedex, France</t>
  </si>
  <si>
    <t>157095-37T</t>
  </si>
  <si>
    <t>ChooseMyCompany</t>
  </si>
  <si>
    <t>Operator of an enterprise reviewing platform intended to collect and analyze information from various organizations. The company's platform utilizes artificial intelligence to collect, analyze and publish certified opinions from employees, trainees, apprentices, and candidates and develops indexes based on the information, enabling users to compare and review salaries, job offers, and management structures of different companies.</t>
  </si>
  <si>
    <t>Impact Partners (Paris)(Thomas Delalande)</t>
  </si>
  <si>
    <t>company information, company review, employee engagement, employer branding, employer branding platform, index data</t>
  </si>
  <si>
    <t>132869-17T</t>
  </si>
  <si>
    <t>156615-40T</t>
  </si>
  <si>
    <t>Welcome At Work!</t>
  </si>
  <si>
    <t>Buildings and Property, Construction and Engineering*, Media and Information Services (B2B)</t>
  </si>
  <si>
    <t>Provider of shared space management services intended to facilitate the creation, and animation of the common parts of office buildings for business growth and development. The company focuses on the creation of inter or intra-company common, custom, and vacant co-working zones alongside organizing events and activities for employees, enabling startups and individual entrepreneurs to revitalize empty places and promote the development of the residents.</t>
  </si>
  <si>
    <t>Bpifrance, Generis Capital Partners</t>
  </si>
  <si>
    <t>co-working zone developer, office space area, shared space, shared space finder, shared space management, space leasing service, space management platform, workplace wellness services</t>
  </si>
  <si>
    <t>156613-06T</t>
  </si>
  <si>
    <t>Comet (Buildings and Property)</t>
  </si>
  <si>
    <t>Provider of meeting spaces intended to help companies organize seminars at places adapted to their needs. The company's space meets the needs of organizations in need of meeting areas for seminars, management committees, and training while also offering a network of venues dedicated to strategic meetings and seminars by designing inspiring places, allowing clients to access an ecosystem of services that stimulates the productivity, creativity, and well-being of each participant.</t>
  </si>
  <si>
    <t>Alexandre Grux(Alexandre Grux), Bpifrance, Eurazeo (PAR: RF), HEC Ventures, Idinvest Partners(Louis Bô), Judith Milgrom(Judith Milgrom), Kalian Group, Pierre Kosciusko Morizet(Pierre Kosciusko Morizet), Tomcat Capital</t>
  </si>
  <si>
    <t>hospitality firm, meeting area, meeting organiser, meeting space, seminars rooms, team building</t>
  </si>
  <si>
    <t>156791-53T</t>
  </si>
  <si>
    <t>Formation Esports</t>
  </si>
  <si>
    <t>Entertainment Software, Other Media*</t>
  </si>
  <si>
    <t>Developer of a sports platform designed to increase exposure to contact sports. The company's platform aims to increase attention for the esports sector by covering the entire spectrum of contact sports fans and clubs as well as offering their own sports academy with physical workshops, enabling users to participate in online games and win prizes.</t>
  </si>
  <si>
    <t>Blue Star Capital (Private Equity) (LON: BLU)</t>
  </si>
  <si>
    <t>contact sports coverage, esports coverage, esports platform, esports services, online sports, sports platform</t>
  </si>
  <si>
    <t>Sarlat-la-Canéda, France</t>
  </si>
  <si>
    <t>156499-12T</t>
  </si>
  <si>
    <t>83North(Laurel Bowden), Bain Capital Ventures(Scott Friend), Bryant Stibel, Elaia Partners(Xavier Lazarus), Felix Capital(Frederic Court), Permira(Daniel Brenhouse), Spice Capital Partners, Vintage Investment Partners</t>
  </si>
  <si>
    <t>153764-02T</t>
  </si>
  <si>
    <t>Bpifrance(Olivier Rameil), Kima Ventures</t>
  </si>
  <si>
    <t>156390-76T</t>
  </si>
  <si>
    <t>Cyclofix</t>
  </si>
  <si>
    <t>Operator of an online bicycle repairing platform intended to offer on-demand repair services. The company offers services via a reservation on the website or by phone, enabling users to have their bicycles and scooters repaired while being at home, in the office, or even on the street.</t>
  </si>
  <si>
    <t>Decathlon Capital Partners, Mobivia Group, Via ID(Maureen Le Baud), Wind Capital</t>
  </si>
  <si>
    <t>bicycle maintenance, bicycle repair services, bicycle service platform, bicycle service provider, bike repair platform, bikes tools, enterprise resource planning, erp, human capital management, scooter repair, two wheeler servicing</t>
  </si>
  <si>
    <t>156411-01T</t>
  </si>
  <si>
    <t>Qobuz</t>
  </si>
  <si>
    <t>Developer of an online music services platform designed to offer unlimited music streaming and download CD and hi-resolution quality. The company's platform provides an online catalog featuring more than 80 million tracks, including all the majors and leading independent record labels, enabling music lovers to listen to and download their favorite songs.</t>
  </si>
  <si>
    <t>Nabuboto, Quebecor (TSE: QBR.B)</t>
  </si>
  <si>
    <t>music service, music streaming, music streaming app, online music app, online music info, online streaming</t>
  </si>
  <si>
    <t>172684-09T</t>
  </si>
  <si>
    <t>AMTD Digital (NYS: HKD)</t>
  </si>
  <si>
    <t>AMTD Digital Inc along with its subsidiaries, is mainly involved in the provision of digital solutions services. The company integrates various digital businesses using its AMTD SpiderNet ecosystem. Its reportable segments are; digital solutions services financial services; digital solutions services non-financial services, hotel operations, hospitality and VIP services, digital media, content and marketing services, and others. The company generates maximum revenue by providing financial digital solutions through its AMTD Risk Solutions, a digital insurance brokerage platform, and PolicyPal which is a digital insurance technology platform. Geographically, the company generates maximum revenue from Hong Kong and the rest from Canada and Singapore.</t>
  </si>
  <si>
    <t>Ariana Capital, Greater Bay Area Homeland, Infinity Power (British Virgin Islands ), Maoyan (HKG: 01896), Value Partners Group (HKG: 00806), Vision Knight Capital</t>
  </si>
  <si>
    <t>crm, customer relationship management, data analytics, data intelligence, digital financial services, digital media marketing, financial services infrastructure, machine learning</t>
  </si>
  <si>
    <t>188077-33T</t>
  </si>
  <si>
    <t>Foodette</t>
  </si>
  <si>
    <t>Developer of a meal delivery service platform designed to simplify the process of enjoying fresh and healthy meals at home. The company offers locally sourced ingredients, a variety of meal options, and customizable plans, enabling busy individuals and families to maintain a balanced diet with convenience and ease.</t>
  </si>
  <si>
    <t>food ecommerce, food ingredients, grocery deals, grocery delivery, grocery firm, grocery kits, ingredients supply, meal delivery service, meal kit</t>
  </si>
  <si>
    <t>E-Commerce, FoodTech, LOHAS &amp; Wellness</t>
  </si>
  <si>
    <t>156396-16T</t>
  </si>
  <si>
    <t>Domalys</t>
  </si>
  <si>
    <t>Elder and Disabled Care, Other Commercial Services, Other Devices and Supplies*</t>
  </si>
  <si>
    <t>Manufacturer of smart displays intended to improve the lives of people in care and those around them. The company's products prevent and reduce falls by detecting warning signs of pathology and by its intelligent lighting function that is adapted and co-designed with care staff to meet the needs of nursing homes and aged people, enabling people to improve and embellish their daily lives of dependent elderly people and those around them.</t>
  </si>
  <si>
    <t>iXO Private Equity(Oliver Athanase)</t>
  </si>
  <si>
    <t>elder and disabled care, equipment manufacturing, ergonomic product, medical equipment, monitoring system, smart display device</t>
  </si>
  <si>
    <t>Fontaine-le-Comte, France</t>
  </si>
  <si>
    <t>156298-33T</t>
  </si>
  <si>
    <t>Bpifrance(Delphine Jonglez)</t>
  </si>
  <si>
    <t>156370-87T</t>
  </si>
  <si>
    <t>Per Angusta</t>
  </si>
  <si>
    <t>Developer of procurement performance management software designed to enhance the performance of procurement teams. The company's software assists clients in data collection, reporting production and managing clients' procurement performance, enabling businesses to achieve quantum gains in accountability, collaboration and agility.</t>
  </si>
  <si>
    <t>Hi Inov(Valère Rames), Kreaxi, Pleiade Venture, SaaS Partners, SAP.iO</t>
  </si>
  <si>
    <t>procurement action plans, procurement and management, procurement and sourcing, procurement management, procurement performance management, procurement process, procurement tools, scm, sourcing pipeline, supply chain management</t>
  </si>
  <si>
    <t>135695-08T</t>
  </si>
  <si>
    <t>50 Partners, Alven Capital Partners(Guillaume Aubin), Brighteye Ventures, Citizen Capital(Olivier Mougenot), EduCapital, Francis Nappez(Francis Nappez)</t>
  </si>
  <si>
    <t>134369-74T</t>
  </si>
  <si>
    <t>Antaios</t>
  </si>
  <si>
    <t>Developer of a memory technology designed to solve issues of advanced computing. The company's technology uses the spin-orbit torque phenomenon that combines high speed and non-volatility to solve the critical issue of exploding power and server requests, enabling clients to optimize computers and smartphones with low power consumption.</t>
  </si>
  <si>
    <t>Applied Ventures(Michael Stewart), Bpifrance, Crédit Agricole Alpes Développement, Crédit Agricole Sud Rhône-Alpes (PAR: CRSU), Innovacom (Paris)(Vincent Deltrieu), Sofimac Investment Managers(Nicolas Boulay), Turenne Groupe(Vincent Deltrieu), UI Investissement(Nicolas Penet)</t>
  </si>
  <si>
    <t>advances computing, chipsets, computer device, computer optimization, iot hardware, memory technology, memory technology systems, server chips</t>
  </si>
  <si>
    <t>156262-96T</t>
  </si>
  <si>
    <t>AMBA Invest, Demeter Partners(Thomas Virolle), IRDI Capital Investissement, Qair France International</t>
  </si>
  <si>
    <t>155690-47T</t>
  </si>
  <si>
    <t>Nutri&amp;Co</t>
  </si>
  <si>
    <t>Developer of food supplements intended to serve as formulas specially adapted to the specifications of the modern-day diet preferred by fitness enthusiasts. The company offers a range of vitamins and supplements including melatonin, magnesium, probiotics, collagen and antioxidants, enabling customers to get pure ingredients at the right dose.</t>
  </si>
  <si>
    <t>Creadev(Alexandre Neuveglise), Jacques Chevallet(Jacques Chevallet)</t>
  </si>
  <si>
    <t>food supplements, food supplements audit, organic supplements, organic turmeric, supplements developer, supplements packs, supplements provider, vitamins diet</t>
  </si>
  <si>
    <t>268135-75T</t>
  </si>
  <si>
    <t>Terra Innova</t>
  </si>
  <si>
    <t>Provider of land management and restoration services intended to help in agroecological recovery of construction site land. The company offers comprehensive tools for transforming excavated soil into valuable agricultural resources through a systematic process involving land analysis, project planning, logistics, and ongoing monitoring, enabling clients to repurpose soil for agricultural use while enhancing soil fertility, biodiversity, and overall ecosystem health.</t>
  </si>
  <si>
    <t>Airbus Développement, Bpifrance, Total Developpement Regional</t>
  </si>
  <si>
    <t>ecological restoration, environmental remediation, land management, land restoration, soil management, soil remediation</t>
  </si>
  <si>
    <t>Vertou, France</t>
  </si>
  <si>
    <t>156395-80T</t>
  </si>
  <si>
    <t>Alenvi</t>
  </si>
  <si>
    <t>Application Software, Elder and Disabled Care*, Managed Care, Other Services (B2C Non-Financial)</t>
  </si>
  <si>
    <t>Provider of home care services intended to offer house care to patients suffering from Alzheimer's and cognitive disorders. The company's services are provided through the creation of an empowering and fulfilling work environment for the auxiliaries that motivates them to exercise their profession with passion and spend quality time with the accompanied people, enabling elderly patients with cognitive impairment to receive managed care and life assistance services.</t>
  </si>
  <si>
    <t>123 Investment Managers, Inco Ventures, NovESS, Phitrust Partenaires</t>
  </si>
  <si>
    <t>elderly care, home care services, home care services firm, home caregiver, home help service, managed care</t>
  </si>
  <si>
    <t>187893-91T</t>
  </si>
  <si>
    <t>CEETIZ</t>
  </si>
  <si>
    <t>Developer of an online tourism booking platform intended to sell tickets to customers for different tours and activities related to travel. The company's platform offers ticket booking services for traveling purposes and leisure activities as well as it caters to both individuals and professionals such as travel agencies, travel blogs, transport companies, and the hotel industry, enabling travelers to book tickets at a discounted price.</t>
  </si>
  <si>
    <t>Entrepreneur Invest, HPC capital, Trail Solutions Patrimoine</t>
  </si>
  <si>
    <t>online booking service, online tourism agency, online tourism portal, online tourism service, ticket booking, tourism booking platform, tourism company, tourism data</t>
  </si>
  <si>
    <t>156244-69T</t>
  </si>
  <si>
    <t>Fydem</t>
  </si>
  <si>
    <t>Developer of a casino gaming platform intended to provide a safe place to enjoy gaming. The company's platform provides services that include evaluating online casinos based on a strict set of criteria, including licensing and regulation, game selection, payment methods, customer support, and more, enabling players with player protection and responsible gambling, and recommending online casinos that meet our standards.</t>
  </si>
  <si>
    <t>Benjamin Gaignault(Benjamin Gaignault), Bpifrance, Jean-David Benichou(Jean-David Benichou), Maxime Gaignault(Maxime Gaignault), OneRagtime(Stéphanie Hospital), Via.Io(Jean-David Benichou)</t>
  </si>
  <si>
    <t>casino gambling, casino gaming, casino gaming business, casino industry, financial service infrastructure, financial services infrastructure, gambling gaming, gambling site, gambling website</t>
  </si>
  <si>
    <t>127455-40T</t>
  </si>
  <si>
    <t>Agent Capital, Alexandria Venture Investments, Boehringer Ingelheim Venture Fund(Detlev Mennerich), Bpifrance(Thibaut Roulon), EQT Life Sciences(Vincent Brichard), Eurazeo (PAR: RF), Gimv (BRU: GIMB)(Bram Vanparys), Idinvest Partners, Kurma Partners(Remi Droller), Pfizer Ventures(Michael Baran), Pureos Bioventures(Klaus Breiner), Wellington Partners(Regina Hodits)</t>
  </si>
  <si>
    <t>253052-56T</t>
  </si>
  <si>
    <t>Nextalim</t>
  </si>
  <si>
    <t>Provider of food waste recycling services intended to transform waste into fertilizing materials. The company specializes in utilizing bioreactors that extract nutrients still present in organic waste and metabolize them into proteins, fats, and other value-added co-products, enabling clients to recover organic waste using saprophagous insects beneficial to humans, to produce components for animal feed and industry.</t>
  </si>
  <si>
    <t>Limousin Business Angels, Nouvelle Aquitaine Co-Investissement, SUEZ Ventures</t>
  </si>
  <si>
    <t>fertilizing materials, food waste recycling, food waste recycling service, protein production, recycled protein production, recycled protein production services</t>
  </si>
  <si>
    <t>Chasseneuil-du-Poitou, France</t>
  </si>
  <si>
    <t>181853-20T</t>
  </si>
  <si>
    <t>Utilis (Commercial Products)</t>
  </si>
  <si>
    <t>Aerospace and Defense, Other Commercial Products*</t>
  </si>
  <si>
    <t>Provider of tents and camps intended to offer shelters for military, civil security, and NGOs. The company's product includes half-permanent and permanent camps which are designed for the specific needs of each customer and deployable, lasting services that don't need maintenance and provide connectable and complementary products, enabling users to get varieties of tents as per their requirements.</t>
  </si>
  <si>
    <t>camp supply, campaign company, emergency shelter, shelter product, temporary tents, tents and camp, tents materials</t>
  </si>
  <si>
    <t>Ennery, France</t>
  </si>
  <si>
    <t>156183-31T</t>
  </si>
  <si>
    <t>Yooji</t>
  </si>
  <si>
    <t>Producer of frozen foods for babies intended to serve as safe, organic, easy-to-cook healthy food alternatives for growing infants. The company's foods are prepared by steaming organic vegetables without the addition of gluten or any artificial additives and are packaged and sold in a frozen state, enabling parents to acquire high-quality baby meals which are convenient to cook.</t>
  </si>
  <si>
    <t>Capagro, Caravelle (Asset Management), Danone Manifesto Ventures, DS Participations(Didier Suberbielle), Pymwymic</t>
  </si>
  <si>
    <t>baby food, baby products, food ecommerce, frozen baby food, kids food, meal kit, nutritional food, organic baby food</t>
  </si>
  <si>
    <t>E-Commerce, FoodTech, Manufacturing</t>
  </si>
  <si>
    <t>Agen, France</t>
  </si>
  <si>
    <t>119837-26T</t>
  </si>
  <si>
    <t>Diffusely</t>
  </si>
  <si>
    <t>Developer of an on-demand photography platform designed to leverage artificial intelligence in imaging and help photographers grow their business and skills. The company's platform leverages machine learning algorithms to permit accelerated delivery of photoshoots, VR images, and videos from artists around the globe, regardless of quantities and locations, enabling photographers to create and develop inspiring realistic photographs that have enhanced scalability and standardized quality.</t>
  </si>
  <si>
    <t>Aglaé Ventures(Cyril Guenoun), Allied Investors Group, Alven Capital Partners(Rodolphe Menegaux), Avenir Growth Capital, Cascade Investment Fund, Cascade Ventures, Eurazeo (PAR: RF)(Yann-Hervé du Rusquec), Global Founders Capital, GR Capital, Idinvest Partners(Yann-Hervé du Rusquec), Prime Ventures(Sake Bosch), White Star Capital(Eric Martineau-Fortin)</t>
  </si>
  <si>
    <t>computer vision, image processing ai, photography services, photography tool, video production, video production platform, visual content, vr images</t>
  </si>
  <si>
    <t>206327-71T</t>
  </si>
  <si>
    <t>155946-43T</t>
  </si>
  <si>
    <t>BlackFin Capital Partners(Julien Creuze), Cathay Innovation(Jacobo Abitbol), Serena (Paris)</t>
  </si>
  <si>
    <t>204495-58T</t>
  </si>
  <si>
    <t>InPlanta</t>
  </si>
  <si>
    <t>Developer of innovative interior gardens designed to bring nature into living spaces. The company offers a contemporary design concept that houses young trees and rare plants, allowing the plants to grow for months without any maintenance and decorations, enabling individuals to enjoy the beauty of nature in their homes and offices.</t>
  </si>
  <si>
    <t>AQUITI Gestion, Arts et Métiers Business Angels, Limousin Business Angels, Nouvelle Aquitaine Co-Investissement</t>
  </si>
  <si>
    <t>decoration items, glass plant, natural decoration items, natural plant resources, natural planter, plants and equipment products</t>
  </si>
  <si>
    <t>155947-06T</t>
  </si>
  <si>
    <t>Joone</t>
  </si>
  <si>
    <t>Provider of baby care products intended to offer skincare products through online retail. The company's products include wash gel, moisturizer milk, and maternity products made from natural ingredients, enabling pregnant women and children to use these without any side effects on the skin.</t>
  </si>
  <si>
    <t>Alven Capital Partners, Famille C, The Family (Financial Services), Vaultier7</t>
  </si>
  <si>
    <t>baby care items, baby products seller, cosmetic goods, diapers tissue, eco-friendly diapers, personal products</t>
  </si>
  <si>
    <t>168680-26T</t>
  </si>
  <si>
    <t>ADEME, AREC Occitanie, OSER ENR, Terra Energie</t>
  </si>
  <si>
    <t>160023-70T</t>
  </si>
  <si>
    <t>TokyWoky</t>
  </si>
  <si>
    <t>Developer of a community platform designed for brands to gather, engage and activate passionate customers directly on their websites. The company's platform helps clients to leverage their community and maximize their impact through custom channels that incentivize user-generated content creation, product tests and reviews, product pairings, live community help, product sourcing and contests, enabling brands to create unique experiences for their loyal customers and turn them into brand advocates.</t>
  </si>
  <si>
    <t>community chat, community platform provider, community training, data analysis, loyalty management, web marketing platform, web marketing service</t>
  </si>
  <si>
    <t>159793-12T</t>
  </si>
  <si>
    <t>EIT InnoEnergy, Groupe IDEC, Schneider Electric (Electrical Equipment) (PAR: SU)</t>
  </si>
  <si>
    <t>132674-77T</t>
  </si>
  <si>
    <t>Waga Energy (PAR: WAGA)</t>
  </si>
  <si>
    <t>Energy Production, Environmental Services (B2B)*</t>
  </si>
  <si>
    <t>Waga Energy SA is an independent biomethane producer, specialized in landfill gas upgrading into cost-competitive and grid-compliant biomethane. Equipped with unique expertise in gas engineering and patented proprietary technology, the company develops, finances, builds, commissions and operates purification units using its proprietary technology.</t>
  </si>
  <si>
    <t>Air Liquide Venture Capital, Angelor, Noria(Christophe Guillaume), Ovive(Amaury Bierent), Starquest Capital(Arnaud Delattre), TERTIUM Management(Stephane Assuied)</t>
  </si>
  <si>
    <t>biomethane energy, biomethane gas, clean fuel, natural gas fuel, renewable energy sources, renewable waste resources, waste management, waste management firm, waste management tech, waste management technology, waste to fuel, waste-to-energy</t>
  </si>
  <si>
    <t>155867-86T</t>
  </si>
  <si>
    <t>Credit Mutuel Arkea, Weber Investissements</t>
  </si>
  <si>
    <t>160024-69T</t>
  </si>
  <si>
    <t>Ysance</t>
  </si>
  <si>
    <t>Developer of data management platform intended to power omnichannel marketing. The company's platform mobilizes the data capital of companies as an engine for their digital transformation as well as manages stocks, and activity and synchronizes databases in real-time, enabling omnichannel marketers to increase profitability and strengthen relationships with their customers.</t>
  </si>
  <si>
    <t>crm, customer relationship management, data integration, data services, digital marketing, digital transformation, marketing method, omnichannel marketing, online advertising</t>
  </si>
  <si>
    <t>AdTech, Big Data, Marketing Tech, SaaS</t>
  </si>
  <si>
    <t>155820-34T</t>
  </si>
  <si>
    <t>Elysis (Consulting Services (B2B))</t>
  </si>
  <si>
    <t>Provider of consulting and operational assistance services intended to offer long-term technical and operational assistance. The company's platform provides advisory and operational assistance missions related to the management and control of the quality, cost, and time aspects of engineering projects and industrial investments, enabling businesses to simplify the complex workflow of engineering projects.</t>
  </si>
  <si>
    <t>Groupe IRD(Juliet Vitale)</t>
  </si>
  <si>
    <t>infrastructure engineering, operational assistance, process engineering consultancy, process engineering services, project management agency, technical assistance, technical assistance services</t>
  </si>
  <si>
    <t>181675-54T</t>
  </si>
  <si>
    <t>Mobility Tech Green</t>
  </si>
  <si>
    <t>Business/Productivity Software, Environmental Services (B2B), Media and Information Services (B2B)*, Road</t>
  </si>
  <si>
    <t>Developer of a fleet management platform designed to help businesses reduce their carbon footprint and operating costs. The company's platform commercializes and develops a global technological service for car-sharing and self-service vehicles that is efficient and offers quality technological tools in constant evolution for the car-sharing services field for short-term and long-term rentals, enabling vehicle fleet owners to optimize fleet management.</t>
  </si>
  <si>
    <t>MK Invest</t>
  </si>
  <si>
    <t>auto commerce, carsharing technology, corporate carsharing, fleet management, fleet-owned carsharing, mobility care, self service vehicles, telematics data</t>
  </si>
  <si>
    <t>CleanTech, Mobile, Mobility Tech, TMT</t>
  </si>
  <si>
    <t>155721-07T</t>
  </si>
  <si>
    <t>Eurazeo (PAR: RF), F-LOG Ventures, Fiege, Financière Saint James, Guibor, HEC Ventures, Idinvest Partners, La Famiglia</t>
  </si>
  <si>
    <t>155824-30T</t>
  </si>
  <si>
    <t>Zei</t>
  </si>
  <si>
    <t>Developer of a cloud-based corporate social responsibility (CSR) ranking platform designed to launch and build an environmental and societal impact strategy. The company's platform automatically selects and prioritizes important environmental, social, and governance indicators for the organization according to the sector, size, and characteristics, enabling organizations to improve their impact while positively and sustainably transforming the business model.</t>
  </si>
  <si>
    <t>Bpifrance(Edouard Combette), Founders Future(Valentine Baudouin), Myriam Maestroni(Myriam Maestroni)</t>
  </si>
  <si>
    <t>business model, business modelling, environmental impact, environmental impact systems, governance model, societal impact</t>
  </si>
  <si>
    <t>CleanTech, Industrials, SaaS, TMT</t>
  </si>
  <si>
    <t>156126-88T</t>
  </si>
  <si>
    <t>Digitaleo</t>
  </si>
  <si>
    <t>Developer of a relationship marketing platform designed to manage loyalty programs and direct marketing campaigns to generate in-store traffic. The company's platform provides a collaborative local communication service for brands and networks to simplify the communication of companies as well as to help them collect and exploit end-user data, enabling businesses to harmonize their brand image to amplify the impact of their messages.</t>
  </si>
  <si>
    <t>Bpifrance(Alain Fakhoury), Unexo(Maryan Deroo)</t>
  </si>
  <si>
    <t>cloud marketing, digital marketing service, local marketing, marketing content, marketing platform operator, relationship marketing program, relationship marketing services</t>
  </si>
  <si>
    <t>168535-54T</t>
  </si>
  <si>
    <t>Op2Lysis</t>
  </si>
  <si>
    <t>Developer of a neurotic drug intended to treat hemorrhagic stroke. The company offers products using vectorization technology is a thrombolytic agent that safely liquefies the intracerebral hematoma that forms following a hemorrhagic stroke, enabling patients to avoid major disability and eliminate a massive surgery process.</t>
  </si>
  <si>
    <t>Noshaq(Eric Brandt)</t>
  </si>
  <si>
    <t>biotechnology company, biotechnology research, cardiovascular medicine, drug treatment, neuroscience, thrombolytic product, toxicology screening</t>
  </si>
  <si>
    <t>155569-24T</t>
  </si>
  <si>
    <t>Medaviz</t>
  </si>
  <si>
    <t>Clinics/Outpatient Services*, Communication Software</t>
  </si>
  <si>
    <t>Developer of an online medical advice platform designed to bring patients and doctors into immediate contact. The company's platform permits users to call general practitioners, pediatricians, gynecologists, and psychologists around the clock and get the required help or advice anytime, enabling users to solve their medical problems or emergencies easily.</t>
  </si>
  <si>
    <t>Bpifrance, Groupama Loire Bretagne, Matmut, Matmut Innovation, MBA Mutuelle</t>
  </si>
  <si>
    <t>advice platform, emergency dentistry, medical advice, medical advice platform, medical advice tools, online medical, online medical care, patient-care outcome</t>
  </si>
  <si>
    <t>194148-46T</t>
  </si>
  <si>
    <t>Unooc</t>
  </si>
  <si>
    <t>Information Services (B2C), Other Healthcare Technology Systems*</t>
  </si>
  <si>
    <t>Developer of an online pharmacy platform designed to compare medicine prices. The company allows users to compare drug prices by listing only the French licensed pharmacies and comparing their offers, enabling customers to search for better options for cheaper medicines.</t>
  </si>
  <si>
    <t>GSO Innovation, Le Connected Camp</t>
  </si>
  <si>
    <t>care search tool, digital care management, drugs price, information chain, medicine price comparison, pharmaceutical information provider, price comparison, price comparison application</t>
  </si>
  <si>
    <t>HealthTech, Mobile, TMT</t>
  </si>
  <si>
    <t>174110-23T</t>
  </si>
  <si>
    <t>VitaDX</t>
  </si>
  <si>
    <t>Developer of medical devices designed to identify the early stage of bladder cancer in patients. The company's devices use fluorescence imaging and machine learning to explore the urinary excretory tract to detect potential bladder abnormalities, enabling doctors to offer cancer diagnostic services for earlier detection of bladder cancer which can lead to effective treatment and better outcomes for patients.</t>
  </si>
  <si>
    <t>Auriga Partners (Paris)(Sebastien Descarpentries), Banque Populaire Grand Ouest, BNP Paribas (PAR: BNP), Caisse d'Epargne, Credit Industriel et Commercial, FFBB Management, GO Capital (France)(Leila Nicolas), Odyssee Venture(Sébastien Sassolas)</t>
  </si>
  <si>
    <t>bladder cancer detection, bladder cancer treatment, cancer biology, cancer diagnostics, diagnostic care, diagnostic medical device</t>
  </si>
  <si>
    <t>Artificial Intelligence &amp; Machine Learning, Oncology</t>
  </si>
  <si>
    <t>155486-71T</t>
  </si>
  <si>
    <t>ADEME, Axeleo Capital, NewAlpha Asset Management</t>
  </si>
  <si>
    <t>157803-31T</t>
  </si>
  <si>
    <t>LegalVision</t>
  </si>
  <si>
    <t>Operator of a legal service management company intended to carry out everyday legitimate transactions at a low cost. The company offers a platform that can be used to create, store, and share legal documents, contracts, and other paperwork as well as provides legal services for starting, amending, and closing the business, enabling lawyers and business owners to manage their legal processes without errors and in less time.</t>
  </si>
  <si>
    <t>Alberte &amp; Co, Financiere Aguito, Portugal Ventures(Rui Ferreira)</t>
  </si>
  <si>
    <t>compliance management, legal compliance management, legal formalities, legal online service, legal paper management, legal process management</t>
  </si>
  <si>
    <t>Legal Tech, SaaS, TMT</t>
  </si>
  <si>
    <t>160746-85T</t>
  </si>
  <si>
    <t>Unissey</t>
  </si>
  <si>
    <t>Business/Productivity Software*, Office Electronics</t>
  </si>
  <si>
    <t>Developer of identity verification software designed to offer instant and seamless facial authentication systems to detect fraudsters. The company's devices have computer vision algorithms for video streams to detect any identity fraud attempts, enabling users with a fully passive biometric solution and an easy-to-use user interface that can be integrated into any workflow and all devices.</t>
  </si>
  <si>
    <t>EmergingTech Ventures</t>
  </si>
  <si>
    <t>analytics platform, deep learning, facial authentication, facial detection, facial verification, fraud attacks, identity verification, unstructured data analytics</t>
  </si>
  <si>
    <t>183814-93T</t>
  </si>
  <si>
    <t>Basile</t>
  </si>
  <si>
    <t>Consulting Services (B2B), Education and Training Services (B2B), Human Capital Services*</t>
  </si>
  <si>
    <t>Provider of employee recruitment services intended to assist clients in hiring reliable and hidden talents from their employee's network. The company offers the provision of a support team that assists the client company in the management and coordination of their cooptation policy which lets employees recommend suitable talents from within their own network, enabling clients to recruit suitable employees at a cheaper and faster rate while maintaining higher employee retention capacity.</t>
  </si>
  <si>
    <t>cooptation policy, employee hire service, employee recruitment service, employee referral, internal mobility, recruitment firm, recruitment services, talent acquisition</t>
  </si>
  <si>
    <t>184361-14T</t>
  </si>
  <si>
    <t>Constellation (Saint-Cloud)</t>
  </si>
  <si>
    <t>IT Consulting and Outsourcing*, Systems and Information Management</t>
  </si>
  <si>
    <t>Provider of IT support and consultancy services intended to meet the business challenges of customers by operating their digital transformation. The company offers cloud-managed IT services including outsourcing and multi-cloud architectures, DevOps cloud-native applications, and BDD lifecycle management, thereby helping clients in all phases of pre-project, transformation, and operation of their outsourced information systems.</t>
  </si>
  <si>
    <t>Cap Horn Finance</t>
  </si>
  <si>
    <t>agile development services, digital transformation, it consulting services, it support, it support services, managed cloud services</t>
  </si>
  <si>
    <t>Saint-Cloud, France</t>
  </si>
  <si>
    <t>179568-82T</t>
  </si>
  <si>
    <t>Contrast (Communication Software)</t>
  </si>
  <si>
    <t>Developer of an online trade fair platform designed to facilitate video conversations between exhibitors and attendees. The company's platform is a video-based online events platform that helps exhibitors find and reach out to their ideal customers through a personalization and matching algorithm, enabling companies to maximize visitor engagement and organizer revenue.</t>
  </si>
  <si>
    <t>DN Capital, Galion.exe, Lambda Alpha(Luca Ascani), Partech(Boris Golden), PFR Ventures, Snaw Ventures</t>
  </si>
  <si>
    <t>conversation sharing, conversational tools, engagement model, online event platform, online events, online exhibition, webinar events, webinar technology</t>
  </si>
  <si>
    <t>134291-62T</t>
  </si>
  <si>
    <t>Klassroom ( Educational Software)</t>
  </si>
  <si>
    <t>Application Software, Business/Productivity Software, Educational Software*</t>
  </si>
  <si>
    <t>Developer of an ed tech mobile application designed to help parents communicate with teachers. The company's application helps parents and teachers to communicate about their children's performance with each other and also share required images, videos, audio messages, events, locations, and documents, enabling parents to keep track of their children's education and guide them properly.</t>
  </si>
  <si>
    <t>Andrew Myers(Andrew Myers), Bpifrance, Courtin Investment, Jérôme Lecat(Jérôme Lecat), Techmind, YADAY</t>
  </si>
  <si>
    <t>administration program, communication application, communication platform, connect teacher, ed tech, education administration, education management, education technology</t>
  </si>
  <si>
    <t>266169-25T</t>
  </si>
  <si>
    <t>LearnEnjoy</t>
  </si>
  <si>
    <t>Developer of ed-tech and social and solidarity economy platform designed to provide education via touchscreen tablets and smartphones. The company's platform designs and distributes innovative educational tools for children with learning difficulties, providing users with quality education to have a secure future.</t>
  </si>
  <si>
    <t>digital education, digital learning, educational platform, educational technology, online education, solidarity economy</t>
  </si>
  <si>
    <t>156771-91T</t>
  </si>
  <si>
    <t>Maytana</t>
  </si>
  <si>
    <t>Developer of a financial management platform designed to unify bank accounts, payments, transactions, and cash flow in a single command center. The company's platform facilitates the management of bank accounts, treasury data, automated cash flow monitoring, international payments, and hedging contracts and also provides an interface for making payments programmatically, managing the administrator dashboard, and running queries, enabling users having multiple bank accounts to get a complete view of their finances.</t>
  </si>
  <si>
    <t>Aidi Ventures, Consensys Mesh, Kima Ventures, Nuvocargo</t>
  </si>
  <si>
    <t>financial management, financial management platform, financial management service, financial management software, financial management system, financial management tool, financial service infrastructure, financial services infrastructure</t>
  </si>
  <si>
    <t>155408-86T</t>
  </si>
  <si>
    <t>Share(d)</t>
  </si>
  <si>
    <t>Application Software*, Information Services (B2C)</t>
  </si>
  <si>
    <t>Developer of a mobile application platform designed to simplify the way families organize. The company's platform has several features such as a list of agenda sharing, shared finances as well as sharing photos and memories through a personalized newsfeed, enabling users to stay organized and avoid disjointed multi-channel communications.</t>
  </si>
  <si>
    <t>mobile app, mobile application, mobile application company, mobile application platform, personalized news feed, photo application, photo sharing app, social networking app</t>
  </si>
  <si>
    <t>137854-18T</t>
  </si>
  <si>
    <t>Entrepreneur Invest, October</t>
  </si>
  <si>
    <t>155376-91T</t>
  </si>
  <si>
    <t>155406-52T</t>
  </si>
  <si>
    <t>Ohad Finkelstein(Ohad Finkelstein), OTB Ventures(Adam Niewinski), TDJ Pitango Ventures(Daniel Star), Tiga Investments(George Zage)</t>
  </si>
  <si>
    <t>127713-88T</t>
  </si>
  <si>
    <t>Bouygues Telecom Initiatives, Id4 Ventures(Herve Cuviliez), Laurent Delaporte(Laurent Delaporte)</t>
  </si>
  <si>
    <t>155981-71T</t>
  </si>
  <si>
    <t>Ma Bonne Étoile</t>
  </si>
  <si>
    <t>Manufacturer of reusable food pouches intended to provide a healthy alternative to disposables. The company designs products for babies, children, teens, and adults that are reusable allowing families to combine healthy eating while reducing waste, and provides a leak-proof zipper system to withstand pressure, enabling its customers to avail the products to eat food anywhere without mess and enhance safer environment.</t>
  </si>
  <si>
    <t>CONINCO(Olivier Ferrari), MAIF Impact, One Creation Coopérative</t>
  </si>
  <si>
    <t>disposable bags, food packet, food pouches, food production, healthy alternative, reusable bag, sustainable packaging, zip pouches</t>
  </si>
  <si>
    <t>136408-87T</t>
  </si>
  <si>
    <t>Ollca</t>
  </si>
  <si>
    <t>Business/Productivity Software, Food Products*, Information Services (B2C), Specialty Retail</t>
  </si>
  <si>
    <t>Developer of an e-commerce platform designed to help buy from local merchants and to choose express withdrawal in-store or delivery. The company offers a platform to browse and order products from traders in nearby areas with an option of in-store pickup or immediate delivery, enabling users to discover and purchase fresh local products.</t>
  </si>
  <si>
    <t>CA Traiteur &amp; Salaisons</t>
  </si>
  <si>
    <t>food delivery market, food ecommerce, home delivery platform, local food delivery, online grocer, online trade platform, trade platform, trade platform developer</t>
  </si>
  <si>
    <t>113061-43T</t>
  </si>
  <si>
    <t>Kactus (Media and Information Services)</t>
  </si>
  <si>
    <t>Operator of an event management platform designed to help companies organize their professional events. The company's platform offers a range of event places that cover meeting rooms, caterers, accommodation, and team-building activities with identical or lower rates than in real-time without paying agency fees, enabling companies to check availability and book event venues directly online.</t>
  </si>
  <si>
    <t>BNP Paribas Développement, Bpifrance, Cameleon Invest, CapHorn Invest, Idinvest Partners(Nicolas Debock), Kima Ventures, Lise Invest, RAISE Group</t>
  </si>
  <si>
    <t>corporate event management, corporate events, corporate meeting, enterprise resource planning, event booking, event management software, online booking, professional event</t>
  </si>
  <si>
    <t>167826-79T</t>
  </si>
  <si>
    <t>Financière Saint James, Tomcat Capital</t>
  </si>
  <si>
    <t>204505-12T</t>
  </si>
  <si>
    <t>Sygma.Novosibirsk</t>
  </si>
  <si>
    <t>149060-53T</t>
  </si>
  <si>
    <t>Tencent Holdings (HKG: 00700), Tikehau Capital (PAR: TKO)</t>
  </si>
  <si>
    <t>218728-90T</t>
  </si>
  <si>
    <t>IAGO Technologie</t>
  </si>
  <si>
    <t>Business/Productivity Software, Consulting Services (B2B)*, IT Consulting and Outsourcing, Media and Information Services (B2B)</t>
  </si>
  <si>
    <t>Provider of strategic and operational consulting intended to facilitate digital transformation with a particular focus on artificial intelligence and data. The company's services include digital maturity diagnosis, artificial intelligence data diagnosis, innovation diagnosis, digital strategy, and inbound marketing, enabling organizations to implement new digital technologies</t>
  </si>
  <si>
    <t>Autonomie &amp; Solidarité, Bpifrance</t>
  </si>
  <si>
    <t>ai consulting services, artificial intelligence consulting, digital strategy, digital transformation, strategic consulting, technology consulting</t>
  </si>
  <si>
    <t>Péronne-en-Mélantois, France</t>
  </si>
  <si>
    <t>141128-92T</t>
  </si>
  <si>
    <t>Ifremer, IRDI Capital Investissement</t>
  </si>
  <si>
    <t>156152-89T</t>
  </si>
  <si>
    <t>Aglaé Ventures, Financière Saint James</t>
  </si>
  <si>
    <t>201281-50T</t>
  </si>
  <si>
    <t>SharePlace</t>
  </si>
  <si>
    <t>Developer of artificial intelligence software designed for professional services companies. The company provides the transparency, security, and efficiency that many departments need today in hr, sales &amp; marketing, finance, legal, consulting, and purchasing, providing clients with team collaboration tools based on artificial intelligence.</t>
  </si>
  <si>
    <t>ai automation platform, collaboration tool, electronic signature solutions, operational action, professional services, sales marketing service, security cover, storage solutions</t>
  </si>
  <si>
    <t>170791-12T</t>
  </si>
  <si>
    <t>I'odyssey</t>
  </si>
  <si>
    <t>Air*, Other Commercial Services</t>
  </si>
  <si>
    <t>Provider of air transportation services intended to offer daily round trip flights from Poitiers to Lyon. The company supports private flights for company executives, government delegations and individuals through global network of partners, enabling clients to reach their destinations on time by direct flight without waiting in complete confidentiality and security.</t>
  </si>
  <si>
    <t>air transport service, aircraft charter, airline company, airline operator, plane rides, transport brokerage</t>
  </si>
  <si>
    <t>156590-92T</t>
  </si>
  <si>
    <t>European Commission</t>
  </si>
  <si>
    <t>135511-93T</t>
  </si>
  <si>
    <t>Alliance Entreprendre, Arkéa Capital, Balderton Capital, Credit Mutuel Arkea, Crédit Mutuel Equity, Idinvest Partners(Nicolas Debock), SAP.iO(Emmanuel Cassimatis), Sofiouest, SWEN Capital Partners, Verve Ventures</t>
  </si>
  <si>
    <t>181853-92T</t>
  </si>
  <si>
    <t>179792-11T</t>
  </si>
  <si>
    <t>Ealico</t>
  </si>
  <si>
    <t>Developer of a control and compliance management platform designed to manage the controls and compliance of industrial and tertiary establishments. The company's platform manages the conformity of industrial equipment, controls compliance rate and centralizes data, enabling clients to seamlessly focus on decision-making.</t>
  </si>
  <si>
    <t>Bpifrance, Takara Capital</t>
  </si>
  <si>
    <t>centralized data management, control monitoring, industrial control systems, regulatory control service, risk management service, risk management software, risk management system</t>
  </si>
  <si>
    <t>159744-07T</t>
  </si>
  <si>
    <t>Yubo (Social/Platform Software)</t>
  </si>
  <si>
    <t>Developer of a social media application designed for young people to discover new friends all around the world. The company's application lets the user build a small community of friends where one can start conversations and create live video streams to hang out together, enabling young people to meet new people and create friendships outside their domain.</t>
  </si>
  <si>
    <t>355 Capital, Alven Capital Partners(François Meteyer), Eurazeo PME, Idinvest Partners, IRIS (Private Equity)(Gil Doukhan), NetEase (HKG: 09999), Revaia(Alice Albizzati), Sweet Capital</t>
  </si>
  <si>
    <t>dating application, dating platform, discovery application, social app, social discovery, virtual application, virtual space</t>
  </si>
  <si>
    <t>164985-49T</t>
  </si>
  <si>
    <t>Octo (Entertainment Software)</t>
  </si>
  <si>
    <t>Application Software, Entertainment Software*, Financial Software, Other Financial Services</t>
  </si>
  <si>
    <t>Developer of an online gaming platform intended to monetize the time while playing games. The company's platform offer players to connect and create a profile, choose the game and the platform, decide how much free virtual currency they want to bet, earn and accumulate virtual currency, and find an ideal opponent due to its advanced matching system, enabling players to accumulate free virtual currency that they can then convert into technological objects or services.</t>
  </si>
  <si>
    <t>AngelSquare, Benjamin Gaignault, DuF Investments(Hadrien de La Tour), Founders Future, Marc Ménasé(Marc Ménasé)</t>
  </si>
  <si>
    <t>currency conversion, distribution platform, gaming access, gaming stream, mobile application, mobile application games, online gaming, video game industry, virtual currency, virtual currency rewards</t>
  </si>
  <si>
    <t>165399-58T</t>
  </si>
  <si>
    <t>153789-85T</t>
  </si>
  <si>
    <t>Terality</t>
  </si>
  <si>
    <t>Developer of a distributed data processing platform designed to speed up data science projects. The company's platform utilizes artificial intelligence and machine learning to parallelize programming language code by changing the import line on existing code, without having to handle any infrastructure, enabling clients to achieve speedy, agile and productive coding execution.</t>
  </si>
  <si>
    <t>data processing platform, data processing system, data science coding, data science services, data transformation, no code analytics, vertical application</t>
  </si>
  <si>
    <t>Raspail, France</t>
  </si>
  <si>
    <t>181709-65T</t>
  </si>
  <si>
    <t>Sport Heroes</t>
  </si>
  <si>
    <t>Operator of a software-as-a-service (SaaS) platform intended to create, manage, and animate communities around sports and well-being. The company's platform offers features such as community guidance, motivation, and valorization of sports participants throughout their practice, enabling businesses, organizations, and event organizers to engage their customers, fans, or employees.</t>
  </si>
  <si>
    <t>Genairgy</t>
  </si>
  <si>
    <t>corporate wellness, employee engagement, employee engagement app, fitness health, online sports platform, saas software, sports activities tracker, sports rewards</t>
  </si>
  <si>
    <t>194022-91T</t>
  </si>
  <si>
    <t>The Potager Extraordinaire</t>
  </si>
  <si>
    <t>Horticulture*, Other Agriculture</t>
  </si>
  <si>
    <t>Owner and operator of a botanical tourist garden intended to conserve the plant heritage. The company's tourist garden offers discovery experiences of extraordinary plants to unusual tasting and a complete offer of seeds, plants, cooked products and advice designed to enhance nature and participate in fun and amazing workshops, enabling tourists to discover rare vegetables and extravagant plants and receive rewards in social exclusion and professional.</t>
  </si>
  <si>
    <t>Ocean Participations</t>
  </si>
  <si>
    <t>botanical garden, botanical tourist garden, plant conservation, tourist garden, vegetables conservation</t>
  </si>
  <si>
    <t>118925-47T</t>
  </si>
  <si>
    <t>Agilent Technologies (NYS: A), Axeleo, Bpifrance, Casdin Capital(Eli Casdin), Danaher (NYS: DHR), EQT Life Sciences(Joachim Rothe), Eurazeo (PAR: RF), Idinvest Partners, Illumina Ventures(Nicholas Naclerio), Kurma Partners(Philippe Peltier), M Ventures(Keno Gutierrez), Merck (ETR: MRK), Sofinnova Partners(Josko Bobanović)</t>
  </si>
  <si>
    <t>157673-17T</t>
  </si>
  <si>
    <t>Japhy</t>
  </si>
  <si>
    <t>Internet Retail, Other Consumer Non-Durables*</t>
  </si>
  <si>
    <t>Producer of tailor-made pet foods intended to provide healthy food for dogs and cats. The company's product line includes a personalized menu including kibble, terrines, treats, supplements, and pet accessories based on a subscription and delivers as per the subscriber's schedule, enabling pet owners to customize and order meals for their pets.</t>
  </si>
  <si>
    <t>Aglaé Ventures(Antoine Loison), Capagro(Maxime Walter), Kima Ventures, Lise Invest</t>
  </si>
  <si>
    <t>animal food, customized pet food, dog food product, healthy recipes, pet accessories, pet food, supplements food</t>
  </si>
  <si>
    <t>156866-14T</t>
  </si>
  <si>
    <t>Aymeric Grottes(Aymeric Grottes), Benoit Charles-Lavauzelles(Benoit Charles-Lavauzelles), Bpifrance, Elaine Fabricius(Elaine Fabricius), Francis Davy(Francis Davy), Ludovic Huzieux(Ludovic Huzieux), Mathieu Prevost(Mathieu Prevost), Nadra Moussalem(Nadra Moussalem), Nicolas Hernandez(Nicolas Hernandez), Olivier Lignon(Olivier Lignon)</t>
  </si>
  <si>
    <t>140443-66T</t>
  </si>
  <si>
    <t>Withings</t>
  </si>
  <si>
    <t>Smart Jewelry</t>
  </si>
  <si>
    <t>Application Software, Electronics (B2C), Monitoring Equipment*</t>
  </si>
  <si>
    <t>Developer of healthcare devices designed to empower people to make the right decisions for their health. The company's devices include a range of smart scales to assist fulfill fitness and weight goals, a family of stylish activity trackers and hybrid smartwatches, an advanced sleep-tracking mat, and medically accurate devices for easy and effective blood pressure and temperature monitoring, enabling users to track progress, get advice and share data with their doctors.</t>
  </si>
  <si>
    <t>2050 (VC), Adelie, BNP Paribas Développement, Bpifrance, Gilde Healthcare, Idinvest Partners, ODDO BHF Group</t>
  </si>
  <si>
    <t>blood pressure monitoring, health data, health monitoring, smart jewelry, weight management, weight monitoring</t>
  </si>
  <si>
    <t>Digital Health, E-Commerce, HealthTech, Wearables &amp; Quantified Self</t>
  </si>
  <si>
    <t>174941-83T</t>
  </si>
  <si>
    <t>Bpifrance, France FinTech, La French Tech, Secocha Ventures, Station F</t>
  </si>
  <si>
    <t>204475-24T</t>
  </si>
  <si>
    <t>Esprit du sel</t>
  </si>
  <si>
    <t>Food Products*, Internet Retail, Specialty Retail</t>
  </si>
  <si>
    <t>Producer of organic flower and sea salts with spices intended to preserve the culture and heritage of salt marshes. The company aims to culturally and economically revalorize products from the traditional salt marsh like gray sea salt and flower salt from the Ile de Ré, providing customers with original and varied marine products from Rétais, with the salt marsh and the sea as their central theme.</t>
  </si>
  <si>
    <t>marine product, marine salt, organic flowers, organic salt, salt product, sea salt, sea salt making, spices products</t>
  </si>
  <si>
    <t>140282-65T</t>
  </si>
  <si>
    <t>Alven Capital Partners, Bpifrance, Crédit Mutuel Innovation, Eiffel Investment Group</t>
  </si>
  <si>
    <t>140610-70T</t>
  </si>
  <si>
    <t>Brothers Loving Beer</t>
  </si>
  <si>
    <t>Beverages*, Distributors/Wholesale</t>
  </si>
  <si>
    <t>Distributor of American craft beers intended to help deliver quality alcoholic drinks. The company's beers are imported in eco-friendly carriers and supplied using a logistics chain in a temperature-controlled environment, enabling customers to enjoy imported beverages hassle-free.</t>
  </si>
  <si>
    <t>craft beer delivery, craft beer distributor, craft beer importer, food ecommerce, imported beer, online grocer</t>
  </si>
  <si>
    <t>160697-62T</t>
  </si>
  <si>
    <t>Scortex</t>
  </si>
  <si>
    <t>Developer of a machine intelligence platform designed to set up a fully customizable application for the factory production line. The company's platform transforms quality inspection using artificial intelligence and offers an automated defect detection and analytics solution to more accurately identify defective products in real-time while improving overall plant profitability, enabling businesses to improve production efficiency, machine maintenance and product quality.</t>
  </si>
  <si>
    <t>Alven Capital Partners, Chrysanthos Chrysanthou</t>
  </si>
  <si>
    <t>images analysis, machine intelligence, machine intelligence software, machine intelligence technology, speech recognition, visual inspection system</t>
  </si>
  <si>
    <t>Artificial Intelligence &amp; Machine Learning, Internet of Things, TMT</t>
  </si>
  <si>
    <t>139406-50T</t>
  </si>
  <si>
    <t>Aryballe</t>
  </si>
  <si>
    <t>Developer of digital olfaction sensors designed to mimic the human sense of smell. The company's sensors combine biochemistry, advanced optics, and machine learning to capture odor signatures for display and analysis, enabling food and beverage, cosmetics, and automotive businesses to make better decisions regarding research and development, quality control, manufacturing, and end-user experiences.</t>
  </si>
  <si>
    <t>Asahi Kasei Corporate Venture Capital, Build Collective, Cemag Invest, HCVC, Innovacom (Paris)(Vincent Deltrieu), Plug and Play Tech Center, Samsung Venture Investment, SEB Alliance, Supernova Invest, Turenne Groupe(Vincent Deltrieu)</t>
  </si>
  <si>
    <t>electronic sensor, intelligent device, intelligent sensors, intelligent sensors &amp; devices, intelligent sensors and devices, odor signature, odour control, odour detection, odour sampling, odour sensor, odour testing, olfaction technology, olfactory sensors</t>
  </si>
  <si>
    <t>158740-12T</t>
  </si>
  <si>
    <t>Cabaia</t>
  </si>
  <si>
    <t>Accessories, Internet Retail*</t>
  </si>
  <si>
    <t>Online retailer of sustainable backpacks and accessories committed to protect the environment and respect animals. The company offers various types of bags including customizable backpacks, travel and laptop bags and other accessories such as cardholders and interchangeable pompom hats through omnichannel distribution, thereby ensuring its customers transform everyday life enthusiastically.</t>
  </si>
  <si>
    <t>Spring Invest(Alexandre Guillot), Trail Solutions Patrimoine</t>
  </si>
  <si>
    <t>apparel shops, bag seller, crossbody bags, ecommerce firm, fashion accessories designer, fashion accessories online, laptop bags, online seller, sustainable backpacks</t>
  </si>
  <si>
    <t>140342-41T</t>
  </si>
  <si>
    <t>140348-35T</t>
  </si>
  <si>
    <t>Acequia Capital, Calm/Storm Ventures(Lucanus Polagnoli), Id4 Ventures, Olivier Bronner(Olivier Bronner), Possible Ventures, Roxanne Varza(Roxanne Varza), Tiny Supercomputer Investment Company</t>
  </si>
  <si>
    <t>140121-64T</t>
  </si>
  <si>
    <t>Aveni</t>
  </si>
  <si>
    <t>Application Specific Semiconductors*, Industrial Supplies and Parts, Other Commercial Products</t>
  </si>
  <si>
    <t>Provider of electro-grafting chemistries and innovative metallization processes intended to improve device performance and yield. The company's processes utilize production-ready technology that revolutionizes the copper-plating process for damascene and provides transformative chemistries and processes, coupled with the technology transfer capability to create a smooth transition into production, enabling clients to avail improved quality thin films of various types.</t>
  </si>
  <si>
    <t>Diamond Edge Ventures(Patrick Suel), Supernova Invest</t>
  </si>
  <si>
    <t>copper plating chemical, electrochemical device, electrochemical process, metallization coating, metallization process, nanometric film</t>
  </si>
  <si>
    <t>Advanced Manufacturing, Industrials, Manufacturing, TMT</t>
  </si>
  <si>
    <t>Saclay, France</t>
  </si>
  <si>
    <t>181654-21T</t>
  </si>
  <si>
    <t>Olnica</t>
  </si>
  <si>
    <t>Developer and manufacturer of industrial technology designed to identify defects in equipment. The company's technology provides a unique and innovative technological system for the protection of industrial property of companies, in particular, to fight against counterfeits, faults, or the robbery of materials with adapted levels of identification for each issue, enabling industries and companies in defining and setting up security systems for their materials or product.</t>
  </si>
  <si>
    <t>Societe Financiere Lorient Developpement, Socomore, Starquest Capital</t>
  </si>
  <si>
    <t>industrial automation, industrial services, industrial technology, manufacturing services, proactive security platform, product authentication</t>
  </si>
  <si>
    <t>Chantepie, France</t>
  </si>
  <si>
    <t>176371-48T</t>
  </si>
  <si>
    <t>Apimo</t>
  </si>
  <si>
    <t>Developer of customer relationship management software and websites intended for real estate marketing services, and digital training. The company offers complete real estate software, websites optimized for SEO and responsive design, a marketplace for real estate marketing services and digital training, enabling real estate companies with listing and contact management, automated matching of prospects with properties, listing syndication, and monitoring of all aspects of the business.</t>
  </si>
  <si>
    <t>Christophe Rousseaux(Christophe Rousseaux)</t>
  </si>
  <si>
    <t>crm solutions platform, real estate agency, real estate crm software, real estate software, real estate solutions, real estate tech platform</t>
  </si>
  <si>
    <t>181651-06T</t>
  </si>
  <si>
    <t>Nosopharm</t>
  </si>
  <si>
    <t>Developer of anti-infective drugs designed to treat hospital-acquired infections. The company's drugs offer odilorhabdins which is a novel class of antibiotics that targets the multidrug-resistant based on the exploitation of microbial biodiversity for pharmacological applications, enabling patients to reduce the risk of infections.</t>
  </si>
  <si>
    <t>Eiffel Investment Group, Elaia Partners</t>
  </si>
  <si>
    <t>anti-infective drugs, antimicrobial molecules, biotechnology company, biotechnology research service, chemistry, microbial drugs, small molecule</t>
  </si>
  <si>
    <t>205428-25T</t>
  </si>
  <si>
    <t>UrbanHub</t>
  </si>
  <si>
    <t>Provider of tech-enabled logistics and warehousing services intended to create an environmentally friendly supply chain. The company offers a range of services including product storage, parcel shipping, preparation of e-commerce orders, and return management, enabling businesses to pay for the space used by them during the required timeframe.</t>
  </si>
  <si>
    <t>ecommerce logistics, express delivery service, logistics agency services, logistics and supply chain, logistics transportation, ordering preparation, storage services provider, warehousing and fulfillment, warehousing fulfillment, warehousing hub, warehousing services, warehousing technology</t>
  </si>
  <si>
    <t>194730-67T</t>
  </si>
  <si>
    <t>FCP Innovacion SP</t>
  </si>
  <si>
    <t>139799-80T</t>
  </si>
  <si>
    <t>OLY Be</t>
  </si>
  <si>
    <t>Application Software, Business/Productivity Software, Education and Training Services (B2B), Information Services (B2C)*</t>
  </si>
  <si>
    <t>Developer of a mobile application intended to book a 2-click Yoga, Pilates, or Meditation class at home. The company's platform offers individuals the possibility of booking face-to-face lessons and gives the townspeople the keys to living fully through sport and well-being, in their neighborhood, or at business locations, enabling users to take care of themselves through sport and well-being.</t>
  </si>
  <si>
    <t>meditation classes, online wellness, online yoga, pilates classes, yoga classes, yoga classes operator, yoga workshops</t>
  </si>
  <si>
    <t>194609-53T</t>
  </si>
  <si>
    <t>Elaia Partners, IT-Translation</t>
  </si>
  <si>
    <t>116544-61T</t>
  </si>
  <si>
    <t>Home by Arenafriends</t>
  </si>
  <si>
    <t>Developer of internet connectivity diagnostic platform designed for home buyers and sellers. The company's platform provides instant and accurate information on the quality of internet connectivity at any given address, enabling home buyers and sellers to make informed decisions about their property purchases.</t>
  </si>
  <si>
    <t>business intelligence firm, diagnostic platform, internet connectivity, internet speed, media intelligence, media intelligence tools</t>
  </si>
  <si>
    <t>AdTech, TMT</t>
  </si>
  <si>
    <t>139681-72T</t>
  </si>
  <si>
    <t>AngelSquare, VOL-V</t>
  </si>
  <si>
    <t>158731-57T</t>
  </si>
  <si>
    <t>Serena (Paris)(Olivier Martret)</t>
  </si>
  <si>
    <t>140216-14T</t>
  </si>
  <si>
    <t>Odit-e</t>
  </si>
  <si>
    <t>Developer of a grid management platform designed to provide big data services for the modernization of low-voltage networks. The company's platform refines its diagnosis with a small number of field measurements and proposes accurate services through a cloud platform that hosts expert algorithms, collects data, and provides access to network operation, without requiring interfacing with existing IT systems, enabling users to make the electrical network evolve towards more efficiency and reliability of supply.</t>
  </si>
  <si>
    <t>Bpifrance, Crédit Agricole Aquitaine Expansion, Sicae De La Somme Et Du Cambraisis</t>
  </si>
  <si>
    <t>database software, electric infrastructure, electrical network, electricity management, grid management technology, power management</t>
  </si>
  <si>
    <t>226344-07T</t>
  </si>
  <si>
    <t>LuckyCrush</t>
  </si>
  <si>
    <t>Communication Software, Social Content, Social/Platform Software*</t>
  </si>
  <si>
    <t>Developer of a video chat platform designed to connect with other users and socialize. The company's platform offers features like only opposite-gender matches, language translation, and random matches, enabling users to meet new people and have conversations in a fun and easy way.</t>
  </si>
  <si>
    <t>FunCubator</t>
  </si>
  <si>
    <t>adult entertainment, dating network, live chat, online dating, social community group, social network, video chat</t>
  </si>
  <si>
    <t>174564-28T</t>
  </si>
  <si>
    <t>Velcan Cycles</t>
  </si>
  <si>
    <t>Manufacturer of bicycles intended to provide pleasure and performance for the riders. The company specializes in the production of high-end bicycles that are made from high-end fibers and are concentrated in technology, offering bike riders an ideal compromise between rigidity, lightness, and comfort.</t>
  </si>
  <si>
    <t>Volney Developpement</t>
  </si>
  <si>
    <t>bicycle manufacturer, bicycle manufacturing, bicycle producer, bicycle production, cycle manufacturing, cycle stores</t>
  </si>
  <si>
    <t>Villeneuve In Perseigne, France</t>
  </si>
  <si>
    <t>139923-91T</t>
  </si>
  <si>
    <t>Privilège Ventures(Lucian Wagner), SOSV(Cyril Ebersweiler)</t>
  </si>
  <si>
    <t>139308-85T</t>
  </si>
  <si>
    <t>Honing Biosciences</t>
  </si>
  <si>
    <t>Developer of cell-based therapies designed to treat cancer and other chronic diseases. The company's therapies help to develop new classes of tunable cell therapeutics to control the delivery of proteins in patients by increasing the efficacy and limiting the harmful drawbacks of previous generations of treatments, enabling clinicians to focus on improving medicine by re-engaging the body's immune system to treat cancer.</t>
  </si>
  <si>
    <t>Bpifrance, Elaia Partners(Franck Lescure)</t>
  </si>
  <si>
    <t>cell therapeutics, cell therapies developer, cell-based therapies, chronic disease, immunotherapy for cancer, immunotherapy technology</t>
  </si>
  <si>
    <t>139718-35T</t>
  </si>
  <si>
    <t>360 Capital, Bpifrance, Innovacom (Paris)(Frederic Humbert), IRDI Capital Investissement, iXO Private Equity, Karista (Paris)(Yvan-Michel Ehkirch), NCI Gestion, Paris Region Venture Fund, Thibaud Elziere(Thibaud Elziere), Turenne Groupe</t>
  </si>
  <si>
    <t>137149-75T</t>
  </si>
  <si>
    <t>Tollys</t>
  </si>
  <si>
    <t>Operator of a biopharmaceutical company intended to cure cancer-related diseases. The company's business involves focusing on innate immunity, particularly on the biology and modulation of a certain receptor, and the development of cancer immunotherapy to treat various types of cancer, enabling cancer patients to receive good tolerance and auto-vaccination against recurrences.</t>
  </si>
  <si>
    <t>Bpifrance, Trail Solutions Patrimoine</t>
  </si>
  <si>
    <t>antigens therapy, anti-tumor effect, cancer immunotherapy, cancer research, cancer treatment, immuno-oncology drugs, immuno-oncology therapy, immunotherapy drugs, oncology therapy, vaccination care</t>
  </si>
  <si>
    <t>126186-13T</t>
  </si>
  <si>
    <t>hop'n space</t>
  </si>
  <si>
    <t>Developer of a collaborative workspace booking platform intended to help users simply manage their workspace. The company's platform offers flexible spaces and meeting rooms in places like hotels and also provides tailor-made subscriptions, enabling users to book any place for a workspace in the city or the countryside.</t>
  </si>
  <si>
    <t>A-Venture, Pole Capital</t>
  </si>
  <si>
    <t>collaborative workspace, meeting rooms rent, online workspace booking, workspace booking, workspace management, workspace subscription</t>
  </si>
  <si>
    <t>170815-96T</t>
  </si>
  <si>
    <t>AQUITI Gestion, BA, British Phonographic Industry, Huttopia, Tiresias Angels</t>
  </si>
  <si>
    <t>139218-40T</t>
  </si>
  <si>
    <t>Hillhouse Investment Group, MicroPort Scientific (HKG: 00853)(Jonathan Chen), Yunfeng Capital</t>
  </si>
  <si>
    <t>139143-61T</t>
  </si>
  <si>
    <t>Unlatch</t>
  </si>
  <si>
    <t>Developer of property development software designed to digitize and standardize the real estate process. The company's software contains features that include customer relationship management, specifier area, digitization of real estate sales, real estate sales monitoring, customer or buyer area, and business intelligence, enabling real estate professionals to speed up real estate sales and drive their business activity.</t>
  </si>
  <si>
    <t>AXA Venture Partners(François Robinet)</t>
  </si>
  <si>
    <t>collaborative services, crm, customer relationship management, digital purchasing, electronic signature, real estate technology, sales volume, transactions processing</t>
  </si>
  <si>
    <t>Mobile, Real Estate Technology, SaaS</t>
  </si>
  <si>
    <t>139096-27T</t>
  </si>
  <si>
    <t>Aquitaine Science Transfert, Elaia Partners(Samantha Jérusalmy), Nouvelle Aquitaine Co-Investissement, Sofia Angels Ventures</t>
  </si>
  <si>
    <t>168228-28T</t>
  </si>
  <si>
    <t>Jean Bouteille</t>
  </si>
  <si>
    <t>Provider of bulk distribution services intended to scale brands. The company provides ordering sites, a marketplace, and a toolbox along with design, prototyping, research, and development, merchandising, marketing, and communication, enabling businesses to develop their bulk projects by avoiding wastage in packaging.</t>
  </si>
  <si>
    <t>Inco Ventures, NovESS, RAISE Group</t>
  </si>
  <si>
    <t>liquid products, waste reducing, waste reduction, zero waste society, zero-waste lifestyle, zero-waste recycling</t>
  </si>
  <si>
    <t>139751-38T</t>
  </si>
  <si>
    <t>Monemprunt.com</t>
  </si>
  <si>
    <t>Brokerage*, Consumer Finance, Information Services (B2C)</t>
  </si>
  <si>
    <t>Operator of a digital real estate loan brokerage firm intended to facilitate access to mortgage loans. The company offers rapid realization of a mortgage loan negotiated by a dedicated expert with tailored advice, enabling borrowers to avail a simplified process of realizing their real estate projects by collaborating with the large French banks and obtaining the possible credit terms.</t>
  </si>
  <si>
    <t>Bpifrance, GO Capital (France), MBA Mutuelle(Stéphane Lebret), Sogescot</t>
  </si>
  <si>
    <t>financial advisory firm, financial broker, loans simulation tool, real estate brokerage, real estate brokerage service, remote brokerage service</t>
  </si>
  <si>
    <t>172030-24T</t>
  </si>
  <si>
    <t>Banque des Territoires(Gabriel Giabicani), Colam Impact(Philippe de Moustier)</t>
  </si>
  <si>
    <t>265847-95T</t>
  </si>
  <si>
    <t>Tilgreen</t>
  </si>
  <si>
    <t>Manufacturer of electric mobility bikes intended to save on individual transport costs. The company specializes in urban electric transportation and modifies vehicles to equip intervention forces, it also offers an ecosystem integrating vehicles, enabling customers with personalized scooters.</t>
  </si>
  <si>
    <t>bikes seller, electric scooter, mobility company, motor vehicle, vehicle manufacturing, vehicles rental</t>
  </si>
  <si>
    <t>Saint Herblain, France</t>
  </si>
  <si>
    <t>108956-98T</t>
  </si>
  <si>
    <t>Air Liquide Venture Capital, Alpes Capital Innovation, BNP Paribas Développement(Nicolas Tymen), Bpifrance(Laure Michel), Demeter Partners(Julien Coudy), Emertec Gestion, ENGIE New Ventures(Laurent Rambaud), Kreaxi, Supernova Invest</t>
  </si>
  <si>
    <t>123541-57T</t>
  </si>
  <si>
    <t>5M Ventures, Acuity Ventures Partners, Bernard de Longevialle(Bernard de Longevialle), Bruno Salmon(Bruno Salmon), Cedric Mathorel(Cedric Mathorel), Cyril Benoit(Cyril Benoit), Denis Chatelan(Denis Chatelan), Eric Delannoy(Eric Delannoy), French Partners(Emilie Buttiaux), Gaëlle Olivier(Gaëlle Olivier), Gregoire Cayatte(Gregoire Cayatte), Guillaume Hannezo(Guillaume Hannezo), INSEAD Alumni France Ventures, Jacques Thibon(Jacques Thibon), Jean Gore(Jean Gore), Laurent Guéroult(Laurent Guéroult), Nelly Brossard(Nelly Brossard), Nicolas Macquin(Nicolas Macquin), Pierre-Olivier Desaulle(Pierre-Olivier Desaulle), Tatiana Jama(Tatiana Jama), Thierry Delaporte(Thierry Delaporte), Thierry Vandewalle(Thierry Vandewalle), Wind Capital</t>
  </si>
  <si>
    <t>139172-14T</t>
  </si>
  <si>
    <t>Axeleo Capital(Mathias Flattin), Pentagram Ventures, The Moon Venture</t>
  </si>
  <si>
    <t>156135-43T</t>
  </si>
  <si>
    <t>Cozynergy</t>
  </si>
  <si>
    <t>Provider of energy renovation services intended to improve comfort as well as save energy at home. The company's services offer a wide range of technology for energy preservation, enabling customers to enhance real estate assets and help save on the energy bill.</t>
  </si>
  <si>
    <t>Abeille Impact Investing France, Accurafy4, Arkéa Capital, BTP Capital Investissement, Demeter Partners, Fonds Communs de Placement dans l'Innovation, Inco Ventures, IRDI Capital Investissement, Saint-Gobain (PAR: SGO)</t>
  </si>
  <si>
    <t>building energy efficiency, energy renovation, energy renovation services, energy renovation system, energy renovation works, energy saving technology, energy services, intermittent renewable energy, solar photovoltaic</t>
  </si>
  <si>
    <t>139009-69T</t>
  </si>
  <si>
    <t>RAISE Group(François Collet)</t>
  </si>
  <si>
    <t>156604-69T</t>
  </si>
  <si>
    <t>Ambition Amornement Angels, Bpifrance, Crista Galli Ventures, Elaia Partners, Groupe MACSF(Stanislas Subra), Majycc Esante Invest, XAnge(Guillaume Meulle)</t>
  </si>
  <si>
    <t>154986-49T</t>
  </si>
  <si>
    <t>Joyeuse</t>
  </si>
  <si>
    <t>Other Consumer Durables, Recreational Goods*</t>
  </si>
  <si>
    <t>Operator of a storytelling product company intended to offer families a digital alternative to screens for accessing content and knowledge. The company's products re-enchant the digital daily life of families far from the screens, by means of sensitive, inspiring, and gesture-controlled interactive objects, enabling children to enjoy storytelling.</t>
  </si>
  <si>
    <t>entertainment needs, storytelling agency, storytelling company, storytelling games, storytelling kits, storytelling product, storytelling solutions, storytelling tools</t>
  </si>
  <si>
    <t>219690-46T</t>
  </si>
  <si>
    <t>Speedinvest, Volta Circle</t>
  </si>
  <si>
    <t>119609-20T</t>
  </si>
  <si>
    <t>MCES (Entertainment Software)</t>
  </si>
  <si>
    <t>Entertainment Software*, Other Restaurants, Hotels and Leisure, Other Services (B2C Non-Financial)</t>
  </si>
  <si>
    <t>Operator of an esports gaming academy intended to create a network of large-scale e-sport clubs. The company's academy trains e-sport players and offers high-end and trendy equipment in their rooms to host gaming tournaments, enabling gamers to meet, discover, and share their passion.</t>
  </si>
  <si>
    <t>Région Sud Investissement, Soccer Lab5, Turenne Groupe</t>
  </si>
  <si>
    <t>esport club, esports gaming, esports gaming academy, gaming academy, gaming center operator, gaming coaching, gaming experience, gaming tournaments platform, gaming training, professional gaming portal</t>
  </si>
  <si>
    <t>139273-39T</t>
  </si>
  <si>
    <t>Mobads</t>
  </si>
  <si>
    <t>Operator of view-through conversion advertising campaigns intended to provide mobile display advertising in city centers. The company provides out-of-home advertising services by displaying brand advertisements in the way of stickers on cars and uses data algorithms to maximize advertisement opportunities among the target audience, enabling clients to get quantitative indicators and qualitative measures to evaluate the results.</t>
  </si>
  <si>
    <t>advertising campaigns, digital marketing tool, digital media, monitoring platform, outdoor advertising, outdoor advertising firm, smart media</t>
  </si>
  <si>
    <t>140512-06T</t>
  </si>
  <si>
    <t>Origin Labs</t>
  </si>
  <si>
    <t>Business/Productivity Software*, IT Consulting and Outsourcing, Software Development Applications</t>
  </si>
  <si>
    <t>Developer of blockchain software designed to build enterprise-level decentralized infrastructure and applications. The company specializes in blockchains, programming language design, formal verification, and distributed systems, enabling enterprises to avoid single-point dependence and failures.</t>
  </si>
  <si>
    <t>Starchain Capital</t>
  </si>
  <si>
    <t>blockchain program, blockchain services, blockchain solutions, computer programming, decentralized computing, decentralized computing platform</t>
  </si>
  <si>
    <t>188311-42T</t>
  </si>
  <si>
    <t>167621-77T</t>
  </si>
  <si>
    <t>PL Marine</t>
  </si>
  <si>
    <t>Machinery (B2B)*, Marine</t>
  </si>
  <si>
    <t>Manufacturer of lifting and handling equipment intended to provide lifting and traction systems for maritime environments. The company designs and manufactures various material handling equipment, lifting, and Pulling systems, thereby making it possible to reduce energy consumption, increase operator and product safety and also increase passenger and crew comfort.</t>
  </si>
  <si>
    <t>energy consumption, lifting equipment, manufacturing equipment, maritime equipment, maritime product, maritime system, material handling, product safety</t>
  </si>
  <si>
    <t>155735-47T</t>
  </si>
  <si>
    <t>Wintics</t>
  </si>
  <si>
    <t>Business/Productivity Software*, Media and Information Services (B2B), Road</t>
  </si>
  <si>
    <t>Developer of video analysis software intended for urban stakeholders. The company's platform uses video surveillance footage to extract data and generate insights, anomaly detection, crowd analysis, and traffic flow monitoring to improve safety, enabling urban planners, transportation authorities, and security personnel to optimize resource allocation and promote sustainable urban development.</t>
  </si>
  <si>
    <t>Ardian(Mathias Burghardt), Vivacto Developpment</t>
  </si>
  <si>
    <t>computer vision, data insights, public safety, traffic anomaly detection, video analysis software, video analysis tool, video surveillance</t>
  </si>
  <si>
    <t>164815-84T</t>
  </si>
  <si>
    <t>ZETALY</t>
  </si>
  <si>
    <t>Operator of a mainframe optimization platform intended to enhance productivity and slash costs. The company offers a software suite designed to reduce hardware and software expenses related to the use of central computers, enabling its clients to simplify and optimize mainframe performance, resources and cost management efficiently.</t>
  </si>
  <si>
    <t>Atlantique Vendée Innovation, Crédit Agricole Atlantique Vendée, Ocean Participations, Pays de la Loire Participations, Sodero</t>
  </si>
  <si>
    <t>asset management, capacity planning, cost control, mainframe software, marketing strategy, performance management, software vendor, software vendor management</t>
  </si>
  <si>
    <t>La Turballe, France</t>
  </si>
  <si>
    <t>168523-66T</t>
  </si>
  <si>
    <t>Alphanosos</t>
  </si>
  <si>
    <t>Operator of a drug development company intended to develop assets to fight against bacteria. The company leverages Artificial Intelligence (AI) to discover and patent active ingredients and products based on patentable mixes of edible plant extracts, enabling patients to have access to safe botanical compounds to fight pathogens.</t>
  </si>
  <si>
    <t>Bpifrance, Région Auvergne-Rhône-Alpes</t>
  </si>
  <si>
    <t>dermo-cosmetics, discovery platform, drug development process, drug discovery, infectious disease, natural active ingredients, treatment discovery</t>
  </si>
  <si>
    <t>Riom, France</t>
  </si>
  <si>
    <t>186080-95T</t>
  </si>
  <si>
    <t>Bpifrance, GO Capital (France), Sofimac Innovation</t>
  </si>
  <si>
    <t>138824-56T</t>
  </si>
  <si>
    <t>Shipup</t>
  </si>
  <si>
    <t>Developer of a package monitoring platform designed to track packages and report delivery issues. The company's platform permits sending of proactive and branded shipping notifications at every stage of delivery and provides automatic refunds when packages are late or undelivered, enabling e-commerce sites to create an enhanced delivery and post-purchase experience for their customers.</t>
  </si>
  <si>
    <t>Bpifrance(Edouard Combette), Elaia Partners(Samantha Jérusalmy)</t>
  </si>
  <si>
    <t>account &amp; order management, account and order management, delivery experience, delivery reporting, delivery tracking service, logistics monitoring solution, shipment monitoring services, shipping services</t>
  </si>
  <si>
    <t>E-Commerce, Industrials, SaaS, TMT</t>
  </si>
  <si>
    <t>139080-43T</t>
  </si>
  <si>
    <t>Sweeeft</t>
  </si>
  <si>
    <t>Business/Productivity Software, Human Capital Services*, Other Commercial Services</t>
  </si>
  <si>
    <t>Developer of a human relationship management platform designed to evaluate soft skills for recruitment and corporate training processes. The company's platform provides digital scenarios and algorithms for detailed behavioral analysis such as choices made during gaming and verbal and speech production, enabling clients to improve the well-being and performance of employees.</t>
  </si>
  <si>
    <t>Banque Populaire AURA, Bpifrance, CNRS Innovation, ENS (Scientific), Phitrust Partenaires</t>
  </si>
  <si>
    <t>automated sourcing, comprehensive software, hr assessment, hr consulting software, hr platform, hr software, human relations, vertical application</t>
  </si>
  <si>
    <t>Artificial Intelligence &amp; Machine Learning, Big Data, HR Tech</t>
  </si>
  <si>
    <t>138944-26T</t>
  </si>
  <si>
    <t>Bpifrance, GO Capital (France)(Herve Bachelot Lallier)</t>
  </si>
  <si>
    <t>172704-34T</t>
  </si>
  <si>
    <t>165195-10T</t>
  </si>
  <si>
    <t>Qwetch</t>
  </si>
  <si>
    <t>Household Products, Metal Containers and Packaging*</t>
  </si>
  <si>
    <t>Provider of isothermal and reusable nomadic containers intended for better eating, drinking, and infusing daily. The company offers food products, that are insulated hot and cold, leakproof, healthy, and sustainable, for those who wish to take away their meals and drinks without generating plastic and wrapping waste, providing users with durable glass and stainless steel containers for their drinks and food preservation.</t>
  </si>
  <si>
    <t>beverage container, food containers manufacturer, food containers provider, food production, glass container, glass container manufacturer, reusable container, sustainable packaging</t>
  </si>
  <si>
    <t>Treigny, France</t>
  </si>
  <si>
    <t>139130-11T</t>
  </si>
  <si>
    <t>Scaled Risk</t>
  </si>
  <si>
    <t>Developer of a data management and analytics platform designed to offer enterprise-class solutions for the finance and banking industries. The company's platform offers easier and cheaper management of market data, creation of a central trade repository, and the consolidation of P/L in real-time, as well as quickly integrates other third parties and proprietary formats, enabling clients to harmonize their data, optimize their reporting, and create relevant analytics and alerts.</t>
  </si>
  <si>
    <t>Odyssee Venture(Julien Andrieux), Union Financière de France Banque(Paul Younis)</t>
  </si>
  <si>
    <t>analytics platform, data analysis, enterprise architecture, financial risk management, financial services infrastructure, quantitative finance, regtech vertical, risk management solutions, trade analytics</t>
  </si>
  <si>
    <t>180896-32T</t>
  </si>
  <si>
    <t>Study Advisor</t>
  </si>
  <si>
    <t>Business/Productivity Software, Social Content*</t>
  </si>
  <si>
    <t>Operator of an online community platform designed for students to get information about courses and schools. The company's software connects future college students with matriculated students who have followed a particular path of interest for either in-person and virtual chat sessions, enabling young graduates to share their experiences in an authentic and freeway to make their careers.</t>
  </si>
  <si>
    <t>Delphis, Squadif Society</t>
  </si>
  <si>
    <t>college students, college students information systems, community platform, community platform operator, community platform provider, courses information, student connect, students app, virtual sessions</t>
  </si>
  <si>
    <t>138674-98T</t>
  </si>
  <si>
    <t>Nestlé Health Science(Hans-Juergen Woerle), Omnes Capital, Seventure Partners(Isabelle de Cremoux), SymBiosis Capital Management, Takeda Ventures, Xyence(Andrea Pederzolli)</t>
  </si>
  <si>
    <t>226087-66T</t>
  </si>
  <si>
    <t>138930-76T</t>
  </si>
  <si>
    <t>Bpifrance, Impact Partners (Paris)(Abderzak Sifer), Ternel</t>
  </si>
  <si>
    <t>138758-77T</t>
  </si>
  <si>
    <t>Sky'inLab</t>
  </si>
  <si>
    <t>Other Services (B2C Non-Financial), Real Estate Services (B2C)*</t>
  </si>
  <si>
    <t>Provider of post-disaster repair and lacquering services focused on metal and polyvinyl chloride (PVC) support systems. The company offers PVC repair and lacquering as well as integrated locksmith services catering to doors, windows, openings, gates and pergolas, delivering services directly at the customer's site at no additional cost.</t>
  </si>
  <si>
    <t>Galia Gestion, GSO Innovation, Multicroissance, Multicroissance Banque Populaire Occitanie</t>
  </si>
  <si>
    <t>home renovation, repair cost, repair device, repair leak, repair parts, repair site</t>
  </si>
  <si>
    <t>Montastruc La Conseillere, France</t>
  </si>
  <si>
    <t>181817-83T</t>
  </si>
  <si>
    <t>Unaide</t>
  </si>
  <si>
    <t>Operator of a homecare support company intended for a unique global ecosystem that combines human help and technology. The company's services include cleaning, welfare, housekeeping, administrative management, Conciergerie, and maintenance, enabling elderly citizens and their families to avoid vulnerable situations and maintain the desired quality of life.</t>
  </si>
  <si>
    <t>connected care platform, elderly service, home care services, home helper services, home helpers, retirement home services</t>
  </si>
  <si>
    <t>181909-90T</t>
  </si>
  <si>
    <t>WhattForNow</t>
  </si>
  <si>
    <t>Automotive*, Other Transportation, Recreational Goods</t>
  </si>
  <si>
    <t>Manufacturer of e-bikes intended to offer a range from urban cycling to mountain biking with a new transmission system. The company's electric bikes are light, playful, and responsive bikes that are based on patented technology and feature a classic right-hand drive chain and a left-hand electric drive belt with no longer permanent assistance but if fully rider controlled, enabling pro or amateur riders to experience a new way of riding on all urban and outdoor terrains.</t>
  </si>
  <si>
    <t>Idinvest Partners</t>
  </si>
  <si>
    <t>e-bikes distributor, e-bikes manufacturer, e-bikes producer, micromobility, mountain biking, recreational motorcycle, recreational product, vehicle supplier</t>
  </si>
  <si>
    <t>Viviers-du-Lac, France</t>
  </si>
  <si>
    <t>138488-86T</t>
  </si>
  <si>
    <t>Alexis Bonillo(Alexis Bonillo), Antoine Martin(Antoine Martin), BlackFin Capital Partners(Paul Mizrahi), Bpifrance(Quentin Boucly), Daphni, Didier Le Menestrel(Didier Le Menestrel), Eduardo Ronzano(Eduardo Ronzano), Edward Lando(Edward Lando), Financière Saint James, Founders Future(Valentine Baudouin), Gregory Pascal(Gregory Pascal), Jacques Veyrat(Jacques Veyrat), Marc Ménasé(Marc Ménasé), Michaël Benabou(Michaël Benabou), Nicolas Steegmann(Nicolas Steegmann), Oleg Tscheltzoff(Oleg Tscheltzoff), Othmane Bouhlal(Othmane Bouhlal), Paulin Dementhon(Paulin Dementhon), Pierre Valade(Pierre Valade), Sarah Meyohas(Sarah Meyohas), Thibaud Elziere(Thibaud Elziere), Xavier Niel(Xavier Niel), Yannick Hascoet(Yannick Hascoet)</t>
  </si>
  <si>
    <t>137445-94T</t>
  </si>
  <si>
    <t>Eutopia(Antoine Fine), Kima Ventures, Thibaud Hug de Larauze(Thibaud Hug de Larauze)</t>
  </si>
  <si>
    <t>138510-82T</t>
  </si>
  <si>
    <t>Bpifrance, Daphni(Marie Ekeland), Eurazeo (PAR: RF), Index Ventures(Martin Mignot), Kima Ventures</t>
  </si>
  <si>
    <t>261589-42T</t>
  </si>
  <si>
    <t>Fleetsize</t>
  </si>
  <si>
    <t>Developer of a fleet management software designed to simplify car-sharing revenue generation. The company's software assists in managing car availability, finding drivers, and managing the whole rental process, enabling customers to make money from car sharing in a hassle-free and reliable way.</t>
  </si>
  <si>
    <t>car finding, carsharing app, drivers finder, fleet management app, fleet management company, fleet management service</t>
  </si>
  <si>
    <t>Car-Sharing, LOHAS &amp; Wellness, Mobility Tech</t>
  </si>
  <si>
    <t>165167-11T</t>
  </si>
  <si>
    <t>Balestier Investments, Bpifrance, Sofinnova Partners</t>
  </si>
  <si>
    <t>133505-65T</t>
  </si>
  <si>
    <t>SynHelix</t>
  </si>
  <si>
    <t>Operator of a biotechnology company intended to develop an affordable DNA synthesis technology. The company is engaged in generating any DNA construct without constraints of sequence, length, or quantity, with properly achievable purity, enabling life sciences laboratories and industries to avail themselves with an enzyme-based DNA synthesis service that promises a gigaprep-scale DNA production.</t>
  </si>
  <si>
    <t>AdBio partners(Alain Huriez)</t>
  </si>
  <si>
    <t>biotechnology, biotechnology product, dna synthesis, dna technology, dna tools, enzymes engineering, gene synthesis, molecular biology, surface chemistry, synthetic biology, synthetic biology market</t>
  </si>
  <si>
    <t>138047-95T</t>
  </si>
  <si>
    <t>BNP Paribas Développement, Bpifrance, Demeter Partners, France Angels, Sofimac Innovation, UI Investissement</t>
  </si>
  <si>
    <t>181655-65T</t>
  </si>
  <si>
    <t>Oncovia</t>
  </si>
  <si>
    <t>Clothing, Internet Retail*, Personal Products</t>
  </si>
  <si>
    <t>Operator of an e-commerce platform intended to offer products that aid in relieving the side effects of chemotherapy, radiation therapy, and hormone therapy. The company's platform provides products such as wigs, turbans, lingerie, prostheses, and cosmetics, enabling the customer to restore their confidence and femininity through beauty and well-being.</t>
  </si>
  <si>
    <t>chemotherapy dose, cosmetics firm, ecommerce platform, lingerie wear, online shopping, organic makeup</t>
  </si>
  <si>
    <t>155738-98T</t>
  </si>
  <si>
    <t>Aire Urbaine Investissement, Banque Populaire, BFC Croissance, Bpifrance, Crédit Agricole Franche-Comté, Invest PME, Region Bourgogne Franche Comté</t>
  </si>
  <si>
    <t>180897-58T</t>
  </si>
  <si>
    <t>Koober</t>
  </si>
  <si>
    <t>Application Software, Information Services (B2C)*, Publishing</t>
  </si>
  <si>
    <t>Developer of a content summarizing platform designed to provide personal development and learning. The company's platform selects suitable books for readers and transforms them into condensed versions of those books, accessible on a mobile application, enabling readers to discover books, authors and new ideas.</t>
  </si>
  <si>
    <t>audio content, autonomous learning platform, books app, content media, digital reading, digital storybook, online books app</t>
  </si>
  <si>
    <t>180011-44T</t>
  </si>
  <si>
    <t>Navily</t>
  </si>
  <si>
    <t>Application Software, Leisure Facilities, Other Restaurants, Hotels and Leisure*</t>
  </si>
  <si>
    <t>Developer of a naval guiding application designed to increase safety and communication throughout the sailing community in a new way. The company's application provides information on anchorages, reference ports, photos, and experiences, enabling sailors to get assistance regarding cruising guide or the spot of anchorage to select.</t>
  </si>
  <si>
    <t>Roland Coutas(Roland Coutas)</t>
  </si>
  <si>
    <t>cruising yachts, cruising yachts provider, guide application, naval systems, sailing community, sailing experience</t>
  </si>
  <si>
    <t>177668-11T</t>
  </si>
  <si>
    <t>WeWard</t>
  </si>
  <si>
    <t>Operator of a reward-based mobile application designed to keep users fit. The company's application rewards users for walking and converts them directly into cash, gifts, or donations to charities, enabling users to reconnect with walking and promoting sustainable behaviors.</t>
  </si>
  <si>
    <t>AngelSquare, Kima Ventures</t>
  </si>
  <si>
    <t>financial rewards, health routines, mobile application, reward-based app, walking devices, walking tracker</t>
  </si>
  <si>
    <t>176892-22T</t>
  </si>
  <si>
    <t>Zar</t>
  </si>
  <si>
    <t>Education and Training Services (B2B), Entertainment Software*</t>
  </si>
  <si>
    <t>Developer of an artificial intelligence-based coaching platform designed to coach online games for esports gamers. The company uses explainable artificial intelligence methods and data analytics to provide players with personalized and optimized training programs, enabling users to learn how and where to fight to carry each game.</t>
  </si>
  <si>
    <t>Bpifrance, Jean-Marie Messier(Jean-Marie Messier), OneRagtime, The Refiners</t>
  </si>
  <si>
    <t>artificial intelligence games, e-learning training platform, gaming coaching, gaming company, gaming experience, gaming learning, gaming training, virtual coaches</t>
  </si>
  <si>
    <t>Artificial Intelligence &amp; Machine Learning, Esports, Gaming</t>
  </si>
  <si>
    <t>139401-19T</t>
  </si>
  <si>
    <t>Boost My Mail</t>
  </si>
  <si>
    <t>Provider of mail signature management services intended to strengthen brand image and deploy marketing campaigns. The company's platform creates and deploys a uniform signature model throughout the company and analyzes the performance of the banners sent, enabling businesses to improve the efficiency of email signatures and communication campaigns.</t>
  </si>
  <si>
    <t>Bpifrance, Ouest Croissance Gestion(Adeline Drogou)</t>
  </si>
  <si>
    <t>branding images, communication system, corporate email communication, email design, email signature management tool, email signature platform</t>
  </si>
  <si>
    <t>155818-72T</t>
  </si>
  <si>
    <t>Yumain</t>
  </si>
  <si>
    <t>Developer of signal processing and embedded electronics intended to optimize productivity and safety on-site. The company offers recognition tools and industrial cameras integrating artificial intelligence and edge computing including inspecting and monitoring sites, integrated AI to strengthen and increase productivity, real-time processing of fault or tri-object detection signals and effective architecture of smart cameras, enabling customers to gain access to enhanced and efficient pattern recognition including defect detection or facial recognition.</t>
  </si>
  <si>
    <t>BDR Innovation et Transmission, BFC Croissance, BNP Paribas Développement, Bpifrance</t>
  </si>
  <si>
    <t>artificial intelligence, embedded computing, embedded electronics, intelligent device, intelligent sensors, intelligent sensors &amp; devices, intelligent sensors and devices, office equipment, retail office equipment, signal processing, signal processing system</t>
  </si>
  <si>
    <t>Advanced Manufacturing, Artificial Intelligence &amp; Machine Learning, SaaS</t>
  </si>
  <si>
    <t>Fontaine-lès-Dijon, France</t>
  </si>
  <si>
    <t>138156-40T</t>
  </si>
  <si>
    <t>Linkfluence</t>
  </si>
  <si>
    <t>Linkfluence is a developer of social media intelligence software intended to analyze consumer trends. The company's platform leverages social media conversation to offer social media monitoring and track and measure marketing and product campaign performance, enabling global brands to optimize their brand strategy with social data intelligence and make better decisions.</t>
  </si>
  <si>
    <t>360 Capital(Dominique Rencurel), BNP Paribas Développement, Kreaxi, Ring Capital, Tikehau Capital (PAR: TKO)(Emmanuel Laillier), Trail Solutions Patrimoine</t>
  </si>
  <si>
    <t>branding monitoring, consumer insights, crm, cross-crm, customer relationship management, influencer marketing, influencer marketing software, information technology, marketing tech, reputation monitoring, social data analysis, social intelligence, social listening, social media monitoring, trend analysis</t>
  </si>
  <si>
    <t>140717-26T</t>
  </si>
  <si>
    <t>Magma Technology</t>
  </si>
  <si>
    <t>Operator of a logistics management platform designed to optimize shipping services. The company's software is revolutionizing the way companies experience external logistics, granting them the visibility and confidence they need to achieve their operational and environmental excellence, enabling their customers to track their goods in real-time, and thus estimate the time of arrival in the store.</t>
  </si>
  <si>
    <t>Femmes Business Angels, IRIS (Private Equity), WeLikeStartup</t>
  </si>
  <si>
    <t>container tracking, container transport, industrial iot, iot platform, logistic tracker, logistic tracking, logistics management, shipment data</t>
  </si>
  <si>
    <t>Advanced Manufacturing, Artificial Intelligence &amp; Machine Learning, Internet of Things, Mobile, Supply Chain Tech</t>
  </si>
  <si>
    <t>138143-80T</t>
  </si>
  <si>
    <t>Quarkslab</t>
  </si>
  <si>
    <t>Developer of cybersecurity software designed to protect sensitive data for companies facing cyber-attacks. The company's platform detects an increased threat, prevents attackers from stealing assets, and also offers vulnerability research, reverse engineering, and software and hardware security, enabling companies to endow their systems and programs with customized security within the source or binary code.</t>
  </si>
  <si>
    <t>ACE Management, Plug and Play Tech Center, Tikehau Ace Capital(Gilles Daguet), Tikehau Capital (PAR: TKO)(Gilles Daguet)</t>
  </si>
  <si>
    <t>application security, cyber attack detection, cybersecurity firm, malware analysis, malware attack, online threat, reverse engineering, web application protection</t>
  </si>
  <si>
    <t>212311-45T</t>
  </si>
  <si>
    <t>Bpifrance, Caisse d'Epargne, Crédit Maritime Atlantique, Morbihannais OCTAVE II fund</t>
  </si>
  <si>
    <t>138266-38T</t>
  </si>
  <si>
    <t>Bpifrance, Horizon 2020 SME Instrument</t>
  </si>
  <si>
    <t>146349-64T</t>
  </si>
  <si>
    <t>Juste Presse</t>
  </si>
  <si>
    <t>Producer of cold-pressed products made of fruits and vegetables based in Paris, France. The company offers a range of products made of fresh fruits and vegetables including oranges, grapefruits, apples, lemons, and more, enabling consumers to get freshly squeezed juice, smoothies and purees, and all the natural benefits of fruits and vegetables.</t>
  </si>
  <si>
    <t>cold press product, cold-pressed juice, fruit juice producer, juice manufacturer, juice products, vegetable juice</t>
  </si>
  <si>
    <t>138046-42T</t>
  </si>
  <si>
    <t>Arkéa Capital, Epopée Gestion(Vladimir Bolze), Pays de La Loire Development, SWEN Capital Partners</t>
  </si>
  <si>
    <t>137877-94T</t>
  </si>
  <si>
    <t>Alkemics</t>
  </si>
  <si>
    <t>Developer of an online marketing platform designed to digitize, collect and share product data in one secure place. The company's platform offers a collaborative intelligence network that facilitates product data exchange between brands and retailers in the fast-moving consumer goods industry, enabling clients to extract structured metadata for optimal quality and usability and automate delivery to retail partners and third-party service providers.</t>
  </si>
  <si>
    <t>Cathay Innovation(Jacobo Abitbol), Highland Europe(Anthony Zappalà), Index Ventures(Dominique Vidal), SEB Alliance(François-Xavier Meyer), Serena (Paris)(Xavier Lorphelin)</t>
  </si>
  <si>
    <t>branding platform, digital branding, ecommerce personalization, grocery retail stores, online promotion, product data, retail marketing</t>
  </si>
  <si>
    <t>156493-99T</t>
  </si>
  <si>
    <t>Takeda Ventures</t>
  </si>
  <si>
    <t>138051-91T</t>
  </si>
  <si>
    <t>JIN</t>
  </si>
  <si>
    <t>Business/Productivity Software, Consulting Services (B2B), IT Consulting and Outsourcing, Media and Information Services (B2B)*</t>
  </si>
  <si>
    <t>Operator of a public relations and influence agency intended to integrate inbound marketing, influencer marketing, branded content, design, website, and application development. The company's platform offers a hybrid service, combining digital consultancy and skills, supported by social customer relationship management technology, enabling clients to understand complex online ecosystems and deliver high-impact campaigns.</t>
  </si>
  <si>
    <t>digital communication, digital marketing, event management, influencer marketing, media planning &amp; buy, social media strategy</t>
  </si>
  <si>
    <t>180171-28T</t>
  </si>
  <si>
    <t>PearL (Environmental Services (B2B))</t>
  </si>
  <si>
    <t>Provider of public health and climate services intended to offer expertise in the fields of natural radioactivity and metal pollution. The company provides a bio-based service for the trapping of dissolved metals based on tree bark and flax fiber for compliant disposal in the natural environment, screening and sale of detectors, enabling professionals and managers of buildings to quantify the presence of contaminants and prevent their impact on the surrounding environment.</t>
  </si>
  <si>
    <t>contamination control, contamination detection, effluent treatment, environmental technology, pollution control, waste management technology, water analysis, water treatment technology</t>
  </si>
  <si>
    <t>138940-48T</t>
  </si>
  <si>
    <t>Kalsiom</t>
  </si>
  <si>
    <t>Developer of auto-immune disorder therapies designed to target calcium signaling. The company's focuses on designing monoclonal antibodies modulating calcium-signaling pathways in lymphocytes to treat B-cell dysfunction with a high medical need, enabling clinicians to cure autoimmune diseases.</t>
  </si>
  <si>
    <t>AdBio partners(Geoffroy Ribains), GO Capital (France), Ouest Valorisation</t>
  </si>
  <si>
    <t>autoimmune disease, autoimmune disorder, biotechnology company, biotechnology company operator, medicine company, monoclonal antibody, therapeutic antibodies</t>
  </si>
  <si>
    <t>138217-51T</t>
  </si>
  <si>
    <t>MyBrazil</t>
  </si>
  <si>
    <t>Producer of fresh fruit and vegetable juices intended to offer quality beverages. The company's juices include a range of fresh natural juices that are cold-pressed and put under high pressure, enabling customers to buy and healthy organic drinks online.</t>
  </si>
  <si>
    <t>5M Ventures, Bpifrance, Generis Capital Partners</t>
  </si>
  <si>
    <t>beverage producer, cold-pressed juice, fruits juice, juice and smoothies, juice producer, organic juice</t>
  </si>
  <si>
    <t>137840-23T</t>
  </si>
  <si>
    <t>Sofinnova Partners(Josko Bobanović), SOSV</t>
  </si>
  <si>
    <t>139226-50T</t>
  </si>
  <si>
    <t>BNP Paribas Développement, Bpifrance, Groupe MACSF(Stanislas Subra), Kima Ventures, Nicolas Dessaigne(Nicolas Dessaigne), XAnge</t>
  </si>
  <si>
    <t>137746-90T</t>
  </si>
  <si>
    <t>Adelie, Alliance Entreprendre, Daphni(Marc Simoncini), Jaina Capital(Marc Simoncini), Matthieu Hug(Matthieu Hug), Ventech (Paris)(Claire Houry)</t>
  </si>
  <si>
    <t>139180-96T</t>
  </si>
  <si>
    <t>Synergiz</t>
  </si>
  <si>
    <t>Developer of mixed reality software designed to deliver original, effective, and fun digital experiences. The company specializes in collaborative and interactive options and lens usages for manufacturing retail and services through its comprehensive offering of hardware, software and service, enabling enterprises to undergo their digital transformation by integrating natural interfaces.</t>
  </si>
  <si>
    <t>Banque Populaire Grand Ouest, Bpifrance, Breizh Angels, Breizh Invest PME, Business Angels 35, Crédit Agricole Ille et Vilaine Expansion</t>
  </si>
  <si>
    <t>augmented reality, augmented reality vision, mixed reality device, mixed reality services, productivity optimization, virtual reality, virtual reality gear</t>
  </si>
  <si>
    <t>137747-62T</t>
  </si>
  <si>
    <t>Banque des Territoires, noa (London)(Othmane Zrikem)</t>
  </si>
  <si>
    <t>137699-83T</t>
  </si>
  <si>
    <t>Ambler (Healthcare Services)</t>
  </si>
  <si>
    <t>Automotive, Other Healthcare Services*, Other Healthcare Technology Systems</t>
  </si>
  <si>
    <t>Operator of a management and booking platform intended to connect healthcare prescribers to ambulance companies. The company's platform allows individuals to book their medical transportation online, for free and completely secure, enabling healthcare workers to save time and optimize fleet utilization.</t>
  </si>
  <si>
    <t>Bpifrance(Adrien Néel), Idinvest Partners(Louis Bô), Kima Ventures, Partech</t>
  </si>
  <si>
    <t>ambulance service, dispatch service, fleet management, healthcare transport, medical transportation, transportation facility</t>
  </si>
  <si>
    <t>HealthTech, Mobility Tech</t>
  </si>
  <si>
    <t>137715-31T</t>
  </si>
  <si>
    <t>Belgian Inventures Investment Partners, Inventures Investment Partners, Région Sud Investissement, South Region fund, SWEN Blue Ocean Partners</t>
  </si>
  <si>
    <t>138450-25T</t>
  </si>
  <si>
    <t>Family Office of Daniel Caille, Guillaume Richard(Guillaume Richard)</t>
  </si>
  <si>
    <t>196018-30T</t>
  </si>
  <si>
    <t>Tactical Adventures</t>
  </si>
  <si>
    <t>Developer of video games designed to recreate the feel of a tabletop RPG onscreen, through the faithful adaptation of rules and universes. The company's games are built for the windows operating system specializing in strategy games and brings the interactive experience close to that of a tabletop RPG, enabling gamers to have an immersing gaming experience.</t>
  </si>
  <si>
    <t>computer games, game development, game studio platform, gaming content, gaming developer, gaming publisher, gaming studio, tactical games, video games</t>
  </si>
  <si>
    <t>136954-81T</t>
  </si>
  <si>
    <t>Annie Combelles(Annie Combelles), Charles Cabillic(Charles Cabillic), Felix Haas(Felix Haas), Innovacom (Paris)(Jérôme Faul), Thibaud Elziere(Thibaud Elziere)</t>
  </si>
  <si>
    <t>181344-16T</t>
  </si>
  <si>
    <t>Avalun</t>
  </si>
  <si>
    <t>Diagnostic Equipment*, Other Devices and Supplies, Other Healthcare Technology Systems</t>
  </si>
  <si>
    <t>Designer and manufacturer of a portable in vitro diagnostic device intended to perform biological analyses and multiparametric near-patient testing. . The company's device consists of a fully automated miniaturized microscope and a range of single-use micro cuvettes in order to facilitate blood testing through an image-processing algorithm, enabling patients to monitor chronic disease easily and accurately.</t>
  </si>
  <si>
    <t>Crédit Agricole Alpes Développement, Medevice Capital, Remora Biotech, Supernova Invest</t>
  </si>
  <si>
    <t>chronic disease treatment, diagnostic device, diagnostic device developer, diagnostic device manufacturer, diagnostic equipment, portable medical devices</t>
  </si>
  <si>
    <t>137484-01T</t>
  </si>
  <si>
    <t>Castalie</t>
  </si>
  <si>
    <t>Beverages, Other Consumer Durables*</t>
  </si>
  <si>
    <t>Manufacturer of water coolers and fountains intended to offer an alternative to plastic bottles. The company's filters produce micro-filtered, fresh, hot, or sparkling water on demand and offer sustainable and customizable container alternatives including bottles and gourds that are made of glass and can be reused numerous times, enabling users to reduce dependency on plastic bottles.</t>
  </si>
  <si>
    <t>Abeille Impact Investing France, Amundi (PAR: AMUN), RAISE Group, Ring Capital, SEB Alliance</t>
  </si>
  <si>
    <t>ecological footprint, filtered water, kitchentech &amp; robotics, kitchentech and robotics, packaging alternatives, restaurant &amp; retail tech, restaurant and retail technology, sparkling water, sustainable water management, water fountains</t>
  </si>
  <si>
    <t>133640-47T</t>
  </si>
  <si>
    <t>Bpifrance, Breega(Maximilien Bacot)</t>
  </si>
  <si>
    <t>171401-41T</t>
  </si>
  <si>
    <t>DualMetha</t>
  </si>
  <si>
    <t>Developer of an anaerobic digestion technology designed to process all inputs from multiple residues. The company's technology offers a concrete response to local environmental, social, and economic issues capable of treating the combination of continuous liquid digestion with discontinuous solid digestion, enabling farmers to reduce production costs.</t>
  </si>
  <si>
    <t>Teréga</t>
  </si>
  <si>
    <t>ag biotech, agricultural methanization, agriculture technology, anaerobic digestion, anaerobic digestion technology, biogas technology, renewable energy, renewable gas</t>
  </si>
  <si>
    <t>155455-48T</t>
  </si>
  <si>
    <t>Kuste Biopharma</t>
  </si>
  <si>
    <t>Operator of a biopharmaceutical company intended to develop therapies for unmet medical inflammatory urological diseases. The company owns therapeutic compounds for inflammatory diseases that they use for inflammatory urological diseases whose medical needs are unmet, enabling patients to find convenient treatments for such as interstitial cystitis or painful bladder syndrome.</t>
  </si>
  <si>
    <t>Genextra(Federica Draghi)</t>
  </si>
  <si>
    <t>biopharma company, inflammation drugs, inflammatory disease drugs, inflammatory disease therapy, inflammatory disease treatment, inflammatory disorder treatment, inflammatory pain treatment, urological disease, urological disease treatment</t>
  </si>
  <si>
    <t>192881-35T</t>
  </si>
  <si>
    <t>137589-13T</t>
  </si>
  <si>
    <t>Neta (Electronic Equipment and Instruments)</t>
  </si>
  <si>
    <t>Developer of non-destructive measurement systems designed for scientific and industrial applications. The company leverages patented photo-acoustic technology to offer microscopes and measurement equipment that use non-destructive and contactless methods based on the combination of two lasers, enabling clients to conduct speedy, repeatable, and ultra-precise measurements.</t>
  </si>
  <si>
    <t>AQUITI Gestion, Arts et Métiers Business Angels, Bpifrance, Femmes Business Angels, Paris Business Angels</t>
  </si>
  <si>
    <t>measurement equipment, nondestructive testing, scientific measuring device, scientific testing device, spectroscopy system, testing equipment</t>
  </si>
  <si>
    <t>200257-57T</t>
  </si>
  <si>
    <t>Finorpa(Isabelle Spender), Nord Création, Nord France Amorçage</t>
  </si>
  <si>
    <t>188051-95T</t>
  </si>
  <si>
    <t>Mirai Ventures, SAIL Capital Partners</t>
  </si>
  <si>
    <t>137414-89T</t>
  </si>
  <si>
    <t>energysquare</t>
  </si>
  <si>
    <t>Computers, Parts and Peripherals*, Electronics (B2C), Other Hardware</t>
  </si>
  <si>
    <t>Developer of a wireless charging software designed to charge devices without any wave emission. The company's technology offers a charging pad that is spill-resistant, OS-compatible and shatterproof, enabling users to charge multiple connected devices on any surface without any electrical cables.</t>
  </si>
  <si>
    <t>EIT InnoEnergy, Elaia Partners, Fondation Norbert Ségar, France Brevets, Partech(Alison Imbert)</t>
  </si>
  <si>
    <t>charging device, charging hub, charging platform, device charging tech, wireless charging device, wireless charging technology</t>
  </si>
  <si>
    <t>132930-91T</t>
  </si>
  <si>
    <t>Day One Entrepreneurs &amp; Partners, DN Capital, Financière Saint James, Guibor</t>
  </si>
  <si>
    <t>137467-18T</t>
  </si>
  <si>
    <t>EDF Pulse Ventures, XAnge</t>
  </si>
  <si>
    <t>165198-16T</t>
  </si>
  <si>
    <t>Biopaille</t>
  </si>
  <si>
    <t>Other Consumer Non-Durables*, Other Containers and Packaging, Specialty Retail</t>
  </si>
  <si>
    <t>Designer and producer of biodegradable straws intended to provide a sustainable alternative to plastic straws. The company's platform produces bioplastic straws made from corn starch and has a structure identical to conventional plastics, helping clients with the ecological transition to sustainability.</t>
  </si>
  <si>
    <t>The Factory (France)</t>
  </si>
  <si>
    <t>biodegradable straw, bioplastic straw, food production, paper straw manufacturer, straw retailer, sustainable packaging, sustainable straw</t>
  </si>
  <si>
    <t>137343-79T</t>
  </si>
  <si>
    <t>Saagie</t>
  </si>
  <si>
    <t>Developer of an enterprise platform designed to focus on matters of data science and predictive analytics. The company's platform leverages and utilizes artificial intelligence, real-time insights, and correlations between internal and external data sources, enabling businesses to automate and deploy business applications at scale.</t>
  </si>
  <si>
    <t>AG2R La Mondiale(Emmanuelle Saudeau), BNP Paribas Développement, C Entrepreneurs, CapHorn Invest, Cathay Capital Private Equity, Crédit Mutuel Equity, Crédit Mutuel Innovation(Guillaume Dhee), Matmut Innovation, NewAlpha Asset Management(Jonathan Sabban), Roland Le Roux(Roland Le Roux), Seventure Partners(David Manjarres)</t>
  </si>
  <si>
    <t>ai automation platform, big data access, data distribution software, data infrastructure, data insights, data pipelines, data platform, data science platform, dataops platform, predictive analytics platform</t>
  </si>
  <si>
    <t>Le Petit Quevilly, France</t>
  </si>
  <si>
    <t>157575-25T</t>
  </si>
  <si>
    <t>VaoVert</t>
  </si>
  <si>
    <t>Operator of a booking platform designed to offer rental of eco-responsible accommodation. The company's platform offers guest rooms, gîtes, hostels, and campsites, enabling customers to get accommodations as close as possible to nature.</t>
  </si>
  <si>
    <t>Bourgogne Franche Comte Angels, Steva Investissement</t>
  </si>
  <si>
    <t>accommodation provider, booking platform, booking platform service, eco-responsible space, holiday stay, online booking platform, tourism service</t>
  </si>
  <si>
    <t>191289-43T</t>
  </si>
  <si>
    <t>Biokubes Automation</t>
  </si>
  <si>
    <t>Developer of a bacteria identification technology designed to commercialize and revolutionize microbiology laboratory automation. The company's technology combines advanced bioimaging, robotics, and machine learning classification to produce accurate bacteria identification results, enabling customers to streamline their research processes, make informed decisions, and combat antimicrobial resistance.</t>
  </si>
  <si>
    <t>Wadi Makkah Venture</t>
  </si>
  <si>
    <t>antimicrobial resistance, bacteria analysis, bacteria identification, bioimaging technology, identification technology, laboratory automation service</t>
  </si>
  <si>
    <t>Artificial Intelligence &amp; Machine Learning, Big Data, Life Sciences</t>
  </si>
  <si>
    <t>137703-25T</t>
  </si>
  <si>
    <t>H4D</t>
  </si>
  <si>
    <t>Developer of a communications system designed to help patients connect with doctors and get alternative remedies when traditional consultation is not possible. The company's system is a global telemedicine software built for people facing difficulties accessing healthcare residents of under-medicalized areas, employees in companies, elderly people in collective accommodation, and students around the first connected medical booth, enabling users to get remote access to general or specialist doctors.</t>
  </si>
  <si>
    <t>Abeille Assurances, Atoga, Bpifrance, Innovation Capital (Paris), LBO France(Valéry Huot), Supernova Invest</t>
  </si>
  <si>
    <t>general care, health consultation, medical assistant, primary care, remote health management, remote healthcare, remote healthcare services</t>
  </si>
  <si>
    <t>HealthTech, LOHAS &amp; Wellness, TMT</t>
  </si>
  <si>
    <t>159781-78T</t>
  </si>
  <si>
    <t>146343-07T</t>
  </si>
  <si>
    <t>Archipelago Next, BACS-Innov(Pascal Bordat), High Flyers Capital, K Ariège Capital Developpement, Kaloma Capital, Kima Ventures</t>
  </si>
  <si>
    <t>157376-17T</t>
  </si>
  <si>
    <t>Axeleo</t>
  </si>
  <si>
    <t>146346-22T</t>
  </si>
  <si>
    <t>Quintesens</t>
  </si>
  <si>
    <t>Beverages, Food Products*, Personal Products</t>
  </si>
  <si>
    <t>Operator of a sauce-producing company intended to make food flavorsome. The company's products offer nutritional edible oils, seasoning, and sauces made of natural and organic ingredients, enabling consumers to consume healthy food.</t>
  </si>
  <si>
    <t>Fawkes Ventures, High Flyers Capital(Jérôme Rayet)</t>
  </si>
  <si>
    <t>bio-engineered food, edible oil product, healthy food product, healthy oil producer, natural ingredients, novel ingredients, organic edibles, organic food</t>
  </si>
  <si>
    <t>139523-05T</t>
  </si>
  <si>
    <t>Colam Impact(Philippe de Moustier), Créalia(Stéphane Marcel), France Active(Denis Dementhon), MakeSense, Quadia(Marion Schuppe)</t>
  </si>
  <si>
    <t>137797-57T</t>
  </si>
  <si>
    <t>Monstock</t>
  </si>
  <si>
    <t>Developer of an inventory management platform designed to digitize and automate the process. The company's platform simplifies and makes the flow of management affordable by managing product catalogs, datasheets, notices, control dates, and complete reports on all the activities performed, enabling businesses to take control of the system and increase productivity.</t>
  </si>
  <si>
    <t>Bpifrance, Courtin Investment, SIDE Capital(Renaud Guillerm)</t>
  </si>
  <si>
    <t>crm system, ecommerce inventory management, flow management, flow management system, inventory management platform, inventory management service, inventory management system, management platform, management solutions, product information &amp; inventory management, product information and inventory management</t>
  </si>
  <si>
    <t>156329-74T</t>
  </si>
  <si>
    <t>Sipad</t>
  </si>
  <si>
    <t>Media and Information Services (B2B), Other Healthcare Technology Systems*</t>
  </si>
  <si>
    <t>Developer of shared social file platform designed to serve home help, care, and comfort services. The company's platform allows users to digitize their professional tools, trace their actions, prevent the risks related to the loss of autonomy, and make the link with the other professionals involved while involving family caregivers in the follow-up of supported persons, enabling users to remain at home while guaranteeing them a way of life and care adapted to their needs.</t>
  </si>
  <si>
    <t>Bpifrance, Crédit Agricole Franche-Comté, GO Capital (France), Jean-Luc Biache(Jean-Luc Biache), Xavier Sevin(Xavier Sevin)</t>
  </si>
  <si>
    <t>disability care, document sharing, file sharing, health platform, professional care, social monitoring, task tracking</t>
  </si>
  <si>
    <t>181727-29T</t>
  </si>
  <si>
    <t>iBionext</t>
  </si>
  <si>
    <t>138952-72T</t>
  </si>
  <si>
    <t>UWINLOC</t>
  </si>
  <si>
    <t>Business/Productivity Software, Electronic Equipment and Instruments*, Other Hardware</t>
  </si>
  <si>
    <t>Developer of an indoor location system designed to facilitate asset tracking. The company's system includes connected tags and wireless beacons which can track warehoused assets with centimeter precision, displaying location in three dimensions with visualization software, enabling retailers and manufacturers to track large volumes of all types of assets within their warehouse.</t>
  </si>
  <si>
    <t>Elaia Partners(Marc Rougier), Galia Gestion(Claudia Daugan), M Capital Partners(Alexandre Scherer), Tikehau Ace Capital(Fabien Rizzi)</t>
  </si>
  <si>
    <t>assets tracking, assets tracking system, assets visualizing, indoor assets tracking, indoor location system, indoor positionning system, location tracking</t>
  </si>
  <si>
    <t>137721-79T</t>
  </si>
  <si>
    <t>182125-36T</t>
  </si>
  <si>
    <t>Edenred Capital Partners, Elaia Partners</t>
  </si>
  <si>
    <t>204599-44T</t>
  </si>
  <si>
    <t>COFA Invest</t>
  </si>
  <si>
    <t>137955-97T</t>
  </si>
  <si>
    <t>My Job Glasses</t>
  </si>
  <si>
    <t>Human Capital Services*, Other Services (B2C Non-Financial)</t>
  </si>
  <si>
    <t>Developer of an online career guidance platform designed to change the orientation and recruitment of young people by connecting students and professionals. The company's platform connects job-searching students to human resource executives and working professionals to provide behind-the-scenes job descriptions of different careers, enabling students to find a suitable career path as per their true interests.</t>
  </si>
  <si>
    <t>Alliance Entreprendre, Jean-Marc Bouchet(Jean-Marc Bouchet), Xavier Niel(Xavier Niel)</t>
  </si>
  <si>
    <t>career guidance services, enterprise resource planning, erp, human capital management, mentoring tools, mentorship platform, professional network, professional networking, professional networking site</t>
  </si>
  <si>
    <t>137337-67T</t>
  </si>
  <si>
    <t>Breega, Crédit du Nord</t>
  </si>
  <si>
    <t>136813-60T</t>
  </si>
  <si>
    <t>nextProtein</t>
  </si>
  <si>
    <t>Livestock Health</t>
  </si>
  <si>
    <t>Agricultural Chemicals*, Other Agriculture, Other Commercial Products</t>
  </si>
  <si>
    <t>Producer of animal feed proteins and biological fertilizer intended to accelerate sustainable agriculture and tackle resource scarcity with no carbon footprint. The company's bioconversion process produces feedstock protein using organic waste to raise black soldier fly larvae, enabling agricultural clients to feed protein ingredients to aqua and animal species as well as use them as fertilizers for farm purposes.</t>
  </si>
  <si>
    <t>Aucfan (TKS: 3674), CapHorn Invest, Kepple Africa Ventures, Mirova Natural Capital, RAISE Group, SWEN Blue Ocean Partners, Telos Impact</t>
  </si>
  <si>
    <t>agriculture technology, alternative protein, animal ag, animal agriculture, animal feed, animal nutrition, fertilizer alternatives, insects based protein, insects farming, livestock health, organic fertilizer, sustainable protein sourcing</t>
  </si>
  <si>
    <t>AgTech, CleanTech, Climate Tech, Life Sciences, Supply Chain Tech</t>
  </si>
  <si>
    <t>164379-97T</t>
  </si>
  <si>
    <t>Plume (Educational Software)</t>
  </si>
  <si>
    <t>Developer of an education platform intended to develop children's autonomy in written expression. The company's platform offers a range of writing activities, and stories to choose from that would have to be reported to unlock the chapters throughout which badges would be given, enabling children to learn how to write better progress in French and become independent in writing in class, and at home.</t>
  </si>
  <si>
    <t>BA, Founders Future</t>
  </si>
  <si>
    <t>education industry, education website, french language, language study, learning industry, learning services, online education</t>
  </si>
  <si>
    <t>EdTech, Mobile, SaaS</t>
  </si>
  <si>
    <t>171865-90T</t>
  </si>
  <si>
    <t>Insiteo</t>
  </si>
  <si>
    <t>Operator of a geolocation-based mobile platform designed to assist individuals in finding their way indoors. The company's platform uses technology based on advanced algorithms that use power measurements from Bluetooth low energy terminals and smartphone sensors, enabling site owners and managers to effortlessly locate themselves, be guided directly to points of interest, and companies to optimize their office spaces.</t>
  </si>
  <si>
    <t>5M Ventures, Karot Capital</t>
  </si>
  <si>
    <t>indoor geolocation services, iot networking, location system, network infrastructure, positioning system, space management, work environment, workplace management</t>
  </si>
  <si>
    <t>Internet of Things, Mobile, SaaS, TMT</t>
  </si>
  <si>
    <t>137005-93T</t>
  </si>
  <si>
    <t>Bpifrance, Diamond Edge Ventures(Patrick Suel)</t>
  </si>
  <si>
    <t>137071-45T</t>
  </si>
  <si>
    <t>FAMM Group, Hylink Digital (SHG: 603825), RAISE Group</t>
  </si>
  <si>
    <t>137885-05T</t>
  </si>
  <si>
    <t>EXALUX</t>
  </si>
  <si>
    <t>Electrical Equipment*, Other Commercial Products, Other Hardware, Software Development Applications</t>
  </si>
  <si>
    <t>Developer of LED lighting systems designed to cater to the needs of the audiovisual and cinematographic industry. The company's lighting systems stimulate artistic expression by providing precise lightning warmth according to the required conditions, enabling broadcasters and cinematographers to set a complex lighting setup in no time.</t>
  </si>
  <si>
    <t>ABAB (Atlantic Business Angels Booster), Le Mans Sarthe Investments, Sodero</t>
  </si>
  <si>
    <t>electronics manufacturing, led lighting design, lighting systems, lighting systems control, lightning systems manufacturer, power management</t>
  </si>
  <si>
    <t>Sainte-Luce-sur-Loire, France</t>
  </si>
  <si>
    <t>136917-46T</t>
  </si>
  <si>
    <t>2CRSi (PAR: AL2SI)</t>
  </si>
  <si>
    <t>210744-46T</t>
  </si>
  <si>
    <t>Kepler Cheuvreux</t>
  </si>
  <si>
    <t>179831-98T</t>
  </si>
  <si>
    <t>1001Hobbies</t>
  </si>
  <si>
    <t>Recreational Goods, Specialty Retail*</t>
  </si>
  <si>
    <t>Operator of an online e-commerce platform intended to help people in pursuing their hobbies. The company offers hobby products which include books, model-making tools, pop culture products, graphic arts items, frames, cutting tools, adhesives, wooden decorations, and gardening tools, enabling customers to shop easily and focus more on exploring their creativity.</t>
  </si>
  <si>
    <t>craft tools, creative tools, graphic arts supplies, hobby accessories, hobby goods, hobby items provider</t>
  </si>
  <si>
    <t>165793-60T</t>
  </si>
  <si>
    <t>Foil and Co</t>
  </si>
  <si>
    <t>Manufacturer of pre-impregnated carbon parts intended to assist customers in the development and fine-tuning of their products for water sports. The company's products are focused on naval architecture, hydrodynamics, prototyping, and production of carbon fiber parts as well as assists in various processes from research and development to final production, enabling customers to get customized surfboards for riding.</t>
  </si>
  <si>
    <t>Breizh Invest PME, Mer Invest</t>
  </si>
  <si>
    <t>carbon fiber, carbon parts, carbon parts manufacturer, composite parts, naval architecture, naval architecture service, water sports</t>
  </si>
  <si>
    <t>Pencran, France</t>
  </si>
  <si>
    <t>137849-23T</t>
  </si>
  <si>
    <t>Five Seasons Ventures, Founders Future, Heartcore Capital(Yacine Ghalim)</t>
  </si>
  <si>
    <t>136795-06T</t>
  </si>
  <si>
    <t>BlackRock Private Equity Partners(Nathalie Niederhaeusern), Bleu Capital, Bpifrance, Canaan Partners, Eurazeo (PAR: RF)(Yann-Hervé du Rusquec), H14, Hermes GPE, Highland Europe(Anthony Zappalà), Kohlberg Kravis Roberts (NYS: KKR), Seed4Soft</t>
  </si>
  <si>
    <t>135952-57T</t>
  </si>
  <si>
    <t>Alain Raymond(Alain Raymond), CAAP Creation, Elpis Capital, Kimpa, Occipac, Région Sud Investissement, Sofilaro, Sofimac Innovation, UI Investissement</t>
  </si>
  <si>
    <t>204508-45T</t>
  </si>
  <si>
    <t>Metalizz</t>
  </si>
  <si>
    <t>Manufacturer of a three-dimensional printing post-process equipment intended to provide a full range of post-treatment for composite and plastic parts. The company's offerings include devices for the metallization of plastic parts using electrolytic plating, part smoothening machines, as well as automatic cleaners that generate ultrasound for product degreasing, resin, and residual particle removal, enabling engineers and designers to help them transform their ambitious ideas into successes.</t>
  </si>
  <si>
    <t>Bpifrance, Crédit Agricole Alpes Développement</t>
  </si>
  <si>
    <t>3d printing, automatic cleaners, machine manufacturer, metallization services, post production design, printing service</t>
  </si>
  <si>
    <t>Loriol-Sur-Drome, France</t>
  </si>
  <si>
    <t>136682-11T</t>
  </si>
  <si>
    <t>Volum</t>
  </si>
  <si>
    <t>Asset Management, Buildings and Property*, Business/Productivity Software, Other Capital Markets/Institutions</t>
  </si>
  <si>
    <t>Developer of a digital platform designed to manage all aspects of property rental for companies. The company's platform connects tenants with office owners for the signing of the rental contract, including any work, fittings, equipment and associated services, enabling companies to get a tailor-made offer throughout the rental period and get relieved of the constraints of managing their offices.</t>
  </si>
  <si>
    <t>Newfund Management(Anne-Sophie Saint-Martin)</t>
  </si>
  <si>
    <t>commercial real estate, digital platform, digital services, professional real estate, real estate consulting, real estate portal, real estate provider</t>
  </si>
  <si>
    <t>165868-93T</t>
  </si>
  <si>
    <t>CMI'nov</t>
  </si>
  <si>
    <t>Developer of a medical-surgical device designed for the purpose of conducting mini-invasive and cardiac surgeries. The company's device focuses on anchoring to the native mitral ring by support against support stapling system, navigating with control of the device under imaging which helps in the fast action of implantation and intervention without endocervical curettage (ECC), enabling medical experts to reduce the hospitalization time and post-operative risks.</t>
  </si>
  <si>
    <t>cardiac surgery, invasive surgical product, mini-invasive surgery device, native mitral rings, post operative risk reduction, support stapling system</t>
  </si>
  <si>
    <t>153794-98T</t>
  </si>
  <si>
    <t>OSS Ventures(Charles Bouygues)</t>
  </si>
  <si>
    <t>136684-36T</t>
  </si>
  <si>
    <t>Gifts For Change</t>
  </si>
  <si>
    <t>Environmental Services (B2B), Media and Information Services (B2B), Recreational Goods*</t>
  </si>
  <si>
    <t>Manufacturer of customized gifts and promotional items intended to create positive, social, and environmental impacts. The company offers a wide range of handmade wooden items that are made with plastic-free materials manufactured by disabled workers, enabling businesses to promote their brands sustainably while supporting community projects such as reforestation.</t>
  </si>
  <si>
    <t>business gifts products, corporate gifts, customized gifts, gift package, gifting items, promotional product</t>
  </si>
  <si>
    <t>125606-71T</t>
  </si>
  <si>
    <t>Continuum+</t>
  </si>
  <si>
    <t>Outcome Management (Healthcare)*</t>
  </si>
  <si>
    <t>Provider of digital and human accompaniment services intended to accompany patients treated with anti-cancer drugs at home. The company's platform interpret clinical constants, symptoms, adverse events and pain and to generate alerts to secure the treatment course, enabling patients to get benefit from anti-cancer treatment at home.</t>
  </si>
  <si>
    <t>Des Hallettes, Investir &amp;+</t>
  </si>
  <si>
    <t>anticancer treatment, cancer monitoring, cancer therapy, clinical monitoring, health monitoring software, pharmaceutical monitoring</t>
  </si>
  <si>
    <t>Digital Health, HealthTech, Oncology, SaaS</t>
  </si>
  <si>
    <t>136512-28T</t>
  </si>
  <si>
    <t>Neocase</t>
  </si>
  <si>
    <t>Automation/Workflow Software, Business/Productivity Software*, Human Capital Services</t>
  </si>
  <si>
    <t>Developer of customer service software applications designed to meet organizations' day-to-day challenges in maximizing productivity. The company's cloud-based software applications offer human capital management and customer service operations for globally shared service centers, enabling global businesses to manage and optimize their shared service and assist operation performances and processes.</t>
  </si>
  <si>
    <t>Arkéa Capital, Entrepreneur Invest(Pierre-Alexis de Vauplane), IRIS (Private Equity)(Curt Gunsenheimer), Sofiouest(Patrice Hutin)</t>
  </si>
  <si>
    <t>business process management, customer service application, employee engagement, human capital management, onboarding app, shared service management</t>
  </si>
  <si>
    <t>HR Tech, SaaS, TMT</t>
  </si>
  <si>
    <t>La Garenne Colombes, France</t>
  </si>
  <si>
    <t>136330-21T</t>
  </si>
  <si>
    <t>Antoine Freysz(Antoine Freysz), Balderton Capital(Robert Moffat), Christoph Janz(Christoph Janz), Compagnie d'Anjou, Kerala Ventures(Antoine Freysz), Point Nine Capital, Robert Moffat(Robert Moffat)</t>
  </si>
  <si>
    <t>132849-01T</t>
  </si>
  <si>
    <t>Adrien Schompré, Andrea Canidio(Andrea Canidio), Bpifrance, Edouard Roschi(Edouard Roschi), Kima Ventures, Philippe Cantet(Philippe Cantet), SGPA</t>
  </si>
  <si>
    <t>207961-03T</t>
  </si>
  <si>
    <t>Le Slip Francais</t>
  </si>
  <si>
    <t>Manufacturer and retailer of innerwear and other apparel intended to serve the needs of men and women. The company's apparel includes cotton knitwear, briefs, socks, shorts, sweatpants, footwear, and hats for both genders, which are sold through its website, enabling customers to order apparel while sitting at home.</t>
  </si>
  <si>
    <t>360 Capital(Emanuele Levi), Experienced Capital Partners(Frederic Biousse)</t>
  </si>
  <si>
    <t>inner wear, innerwear company, knitwear seller, online apparel retail, sweatpants designer, swimwear retailer</t>
  </si>
  <si>
    <t>136731-25T</t>
  </si>
  <si>
    <t>Medicaim</t>
  </si>
  <si>
    <t>Information Services (B2C), Other Healthcare Services*, Other Healthcare Technology Systems</t>
  </si>
  <si>
    <t>Operator of a medical tourism platform designed to connect patients to health practitioners. The company's platform simplifies and improves access to medical care by connecting patients worldwide with a network of experts and selected medical establishments and offers care under permanent supervision, enabling users to reduce waiting time and save costs.</t>
  </si>
  <si>
    <t>Didier Valet(Didier Valet), Flavien Kulawik(Flavien Kulawik), Investisseurs privés, Laurent Ritter(Laurent Ritter), Nicolas Douay(Nicolas Douay), Purple (Paris)</t>
  </si>
  <si>
    <t>digital tools, healthcare services, international network, medical application, medical services, medical travel, medical travel platform, software development</t>
  </si>
  <si>
    <t>223053-13T</t>
  </si>
  <si>
    <t>Reliance Partners(Armel Dali), Techmind</t>
  </si>
  <si>
    <t>136792-63T</t>
  </si>
  <si>
    <t>SGH Capital</t>
  </si>
  <si>
    <t>136149-40T</t>
  </si>
  <si>
    <t>Bpifrance(Edwige Kharoubi), FJ Labs, Turenne Groupe, Ventech (Paris)(Audrey Soussan)</t>
  </si>
  <si>
    <t>138938-77T</t>
  </si>
  <si>
    <t>Launch Africa Ventures, LBO France(Sébastien Woynar)</t>
  </si>
  <si>
    <t>136004-14T</t>
  </si>
  <si>
    <t>BlackFin Capital Partners(Gabrielle Thomas), Kima Ventures(Alexis Robert), Partech(Philippe Collombel)</t>
  </si>
  <si>
    <t>128038-51T</t>
  </si>
  <si>
    <t>Chronolife</t>
  </si>
  <si>
    <t>Developer of a medical neurotrophic technology designed to provide assistance in data fusion and pattern recognition. The company's technology offers remote monitoring and prediction of health status by leveraging artificial intelligence and big data to aid in patient diagnosis, enabling the healthcare industry to monitor and provide improved healthcare diagnostics.</t>
  </si>
  <si>
    <t>Adrea (Insurance Company), Celeste Management(Dimitri Boulanger), iBionext(Bernard Gilly)</t>
  </si>
  <si>
    <t>health diagnostics assessment, health diagnostics system, health monitoring, health monitoring tech, healthcare data analytics, monitoring system, neuromorphic engineering, vertical application</t>
  </si>
  <si>
    <t>138103-39T</t>
  </si>
  <si>
    <t>Banque des Territoires, GO Capital (France), Parthal</t>
  </si>
  <si>
    <t>136262-26T</t>
  </si>
  <si>
    <t>Allianz France(Julien Martinez), Demeter Partners(Philippe Detours), NCI Gestion(Yves Guiol)</t>
  </si>
  <si>
    <t>135987-67T</t>
  </si>
  <si>
    <t>Aglaé Ventures, Daphni(Pierre-Yves Meerschman), Eurazeo (PAR: RF), Goldman Sachs Growth Equity</t>
  </si>
  <si>
    <t>189408-16T</t>
  </si>
  <si>
    <t>Biomede</t>
  </si>
  <si>
    <t>Other Agriculture*, Other Commercial Services</t>
  </si>
  <si>
    <t>Producer of phytoextraction plants intended to extract and store heavy metals in soil. The company's phytoextraction plants have the ability to extract metal trace elements from soils and allow the soil to renew quickly, enabling the agricultural business to depollute soil laden with heavy metals.</t>
  </si>
  <si>
    <t>cultivation tools, metal extraction plant, pollution control, pollution removal, soil analysis, soil extraction</t>
  </si>
  <si>
    <t>136912-06T</t>
  </si>
  <si>
    <t>BonneGueule</t>
  </si>
  <si>
    <t>Operator of a fashion brand intended to offer a variety of clothing options. The company offers clothing that relies on historical designs, advises people on their style, works on several levels, and shares tips and tricks for everyday apparel, enabling customers to book their personalized appointments and get a better shopping experience.</t>
  </si>
  <si>
    <t>Bpifrance(Delphine Garcia), Generis Capital Partners(Thibaut de Roux)</t>
  </si>
  <si>
    <t>apparel maker, clothing firm, fashion experts, fashion wear, local designer clothing, retail apparel</t>
  </si>
  <si>
    <t>135966-97T</t>
  </si>
  <si>
    <t>Bpifrance, Capital Grand Est, Invest PME</t>
  </si>
  <si>
    <t>156351-61T</t>
  </si>
  <si>
    <t>Medicalib</t>
  </si>
  <si>
    <t>Operator of an online healthcare platform intended to connect patients with various health professionals and nurses. The company's platform facilitates appointments between patients and nurses which puts the patient in touch with a state-certified nurse approved by health insurance, enabling patients to find their required health professionals via online easily.</t>
  </si>
  <si>
    <t>Clariane (PAR: CLARI)(Olivier Lebouché)</t>
  </si>
  <si>
    <t>midwifery care, nursing care clinic, online healthcare community, online healthcare platform, online healthcare portal, physiotherapists</t>
  </si>
  <si>
    <t>Digital Health, Mobile</t>
  </si>
  <si>
    <t>188917-30T</t>
  </si>
  <si>
    <t>Newzik</t>
  </si>
  <si>
    <t>Application Software, Movies, Music and Entertainment*</t>
  </si>
  <si>
    <t>Developer of a sheet music reader application designed to build a digital library and access, read, manage and annotate digital scores. The company's application helps to access all scores in one place and organize pieces of music and store them into custom set lists, enabling listeners to have the ability to put multiple different parts along with different variations of recordings together in one entry.</t>
  </si>
  <si>
    <t>LinkPoint IT Solutions, PP Capital</t>
  </si>
  <si>
    <t>application development, music application, music application platform, music application software, music practice tools, music readers, software developing</t>
  </si>
  <si>
    <t>153788-95T</t>
  </si>
  <si>
    <t>Bonjour (Business/Productivity Software)</t>
  </si>
  <si>
    <t>Developer of a salesforce platform intended to turn sales calls into learnings and learnings into actions. The company's platform includes features like taking notes, screen sharing, prospect engagement, objection handling, analysis of team conversations with snippets from call recordings and data synchronization in real-time, enabling clients to set up the foundation for their team's growth with built-in sales intelligence.</t>
  </si>
  <si>
    <t>BoxGroup, Kima Ventures, Techmind, Viralety Ventures</t>
  </si>
  <si>
    <t>sales professionals, salesforce marketing, salesforce platform, salesforce platform company, salesforce platform service, synchronizing data</t>
  </si>
  <si>
    <t>136793-53T</t>
  </si>
  <si>
    <t>Kometa Technologies</t>
  </si>
  <si>
    <t>Construction and Engineering, Industrial Supplies and Parts, Other Commercial Services*</t>
  </si>
  <si>
    <t>Developer of metallization coating and repair technology designed to provide the right metallic coating without mechanically or thermally altering the treated parts. The company specializes in innovative metallization solutions through its high-pressure cold spray and arc spray industrial equipment to project recycled copper powder at a very high speed onto a new item or one to be repaired, enabling manufacturing and other enterprises to save costs and protect their materials.</t>
  </si>
  <si>
    <t>metal casing, metal spraying equipment, metallic coating technology, metallic parts, metallization techniques, thermal metallic projection, thermal spraying service</t>
  </si>
  <si>
    <t>226301-50T</t>
  </si>
  <si>
    <t>Mablouseblanche</t>
  </si>
  <si>
    <t>Developer of an online medical appointment platform intended to make an appointment online with a doctor, dentist, or physiotherapist. The company's platform provides a centralized directory of healthcare providers present nearby, enabling patients to save time and get the required care and treatment.</t>
  </si>
  <si>
    <t>appointment portal, fitness service, healthcare online, online appointment, online appointment booking, wellness services</t>
  </si>
  <si>
    <t>136184-68T</t>
  </si>
  <si>
    <t>Plume Labs</t>
  </si>
  <si>
    <t>Application Software, Electronic Equipment and Instruments*, Environmental Services (B2B)</t>
  </si>
  <si>
    <t>Manufacturer of AI-powered environmental data measurement devices designed to make air quality information accessible and empowering. The company offers devices and apps that help measure personal exposure, plan journeys and activities, improve air quality in homes and workplaces, and persuade decision-makers, enabling its clients to measure real-time global air quality levels and hourly forecasts and build solutions that help people breathe better and</t>
  </si>
  <si>
    <t>Frog Design</t>
  </si>
  <si>
    <t>air quality reporting application, environmental platform, real time data, weather application, weather forecasting application, weather forecasting data</t>
  </si>
  <si>
    <t>Artificial Intelligence &amp; Machine Learning, CleanTech, LOHAS &amp; Wellness</t>
  </si>
  <si>
    <t>276555-61T</t>
  </si>
  <si>
    <t>Études Studio</t>
  </si>
  <si>
    <t>Developer of a fashion platform intended to offer a quality global experience of visual culture. The company's platform offers sweatshirts, knitwear, formal and casual shirts, T-shirts, trousers and other accessories for men and women through its online e-commerce platform, enabling customers to have access to a wide range of fashion products to meet their needs.</t>
  </si>
  <si>
    <t>Fashion Capital Partners</t>
  </si>
  <si>
    <t>creative studio, e commerce platform, fashion apparel, fashion cloth, fashion platform, fashion product, online shopping site</t>
  </si>
  <si>
    <t>138513-43T</t>
  </si>
  <si>
    <t>Audacia (PAR: ALAUD), Quantonation(Christophe Jurczak)</t>
  </si>
  <si>
    <t>191437-57T</t>
  </si>
  <si>
    <t>135852-13T</t>
  </si>
  <si>
    <t>InsideBoard</t>
  </si>
  <si>
    <t>Developer of a SaaS-based employee performance management platform intended to encourage user adoption, ongoing team performance, and transformation success. The company's platform helps employees of a company to earn points, and badges through various challenges as well as change management, enabling clients to revolutionize organizational change management through the use of digital technology.</t>
  </si>
  <si>
    <t>Alpha Capital Partners, AXA Venture Partners(François Robinet), Entrepreneur Invest(Bertrand Folliet), ISAI(Jean-David Chamboredon), Orange Ventures(Remi Prunier)</t>
  </si>
  <si>
    <t>business transformation, change management, digital transformation platform, employee engagement, employee engagement app, employee interaction, enterprise resource planning, erp, transformation management</t>
  </si>
  <si>
    <t>135886-42T</t>
  </si>
  <si>
    <t>Anaxago, CLIIF, CS Group (France), GO Capital (France)(Bruno Guicheux), MicroPort Scientific (HKG: 00853), Silk Road Fund Company</t>
  </si>
  <si>
    <t>136712-17T</t>
  </si>
  <si>
    <t>Seraphin.legal</t>
  </si>
  <si>
    <t>Developer of contract management software designed for creating, managing, negotiating, and automating contracts and legal documents. The company's software offers digital transformation of legal departments, creating contracts from scratch or using pre-approved templates, enabling legal professionals to save time and optimize legal processes and track the status of contracts and obtain approvals from key stakeholders.</t>
  </si>
  <si>
    <t>Turenne Groupe(Vincent Maisonhaute)</t>
  </si>
  <si>
    <t>business software tools, internet publishing, legal data, legal technology, legaltech company, legaltech services</t>
  </si>
  <si>
    <t>137857-78T</t>
  </si>
  <si>
    <t>Daphni, Global Founders Capital, Kima Ventures, Verve Ventures, Via ID</t>
  </si>
  <si>
    <t>185471-74T</t>
  </si>
  <si>
    <t>Celloz</t>
  </si>
  <si>
    <t>Environmental Services (B2B), Other Materials, Raw Materials (Non-Wood)*</t>
  </si>
  <si>
    <t>Manufacturer of bio-based responsible roofing material intended to reduce carbon footprint. The company utilizes fiber cellulose, a biomaterial compound which as strong as glass on a microscopic scale and is water resistant which facilitates the designing of existing roof shapes, providing customers with eco-friendly roofing for residential or industrial buildings.</t>
  </si>
  <si>
    <t>biomaterial solution, built environment, eco-friendly product, eco-friendly roofing, green construction, manufacturing company, roofing material</t>
  </si>
  <si>
    <t>Futuroscope Chasseneuil Cedex, France</t>
  </si>
  <si>
    <t>136504-45T</t>
  </si>
  <si>
    <t>Galanck</t>
  </si>
  <si>
    <t>Accessories*, Electronics (B2C)</t>
  </si>
  <si>
    <t>Provider of fashion accessories intended to offer a wide range of products adapted to the professional context and ergonomics for cyclists. The company provides luminous backpacks connected to a GPS navigation application, pouches and other related products, making it possible to increase cyclists' safety, enabling cyclists to access affordable products that will help them with visibility, automatic signaling and sustainable mobility.</t>
  </si>
  <si>
    <t>5M Ventures</t>
  </si>
  <si>
    <t>backpacks maker, backpacks product, backpacks seller, cyclists product, fashion accessories, sustainable mobility</t>
  </si>
  <si>
    <t>139871-26T</t>
  </si>
  <si>
    <t>Alven Capital Partners, Bpifrance, Eiffel Investment Group</t>
  </si>
  <si>
    <t>160121-08T</t>
  </si>
  <si>
    <t>Alacaza</t>
  </si>
  <si>
    <t>Communication Software*, Media and Information Services (B2B), Real Estate Services (B2C)</t>
  </si>
  <si>
    <t>Developer of a communication tool designed to revolutionize the communication within buildings and neighborhoods. The company's platform offers a building messenger for neighborhood messaging which connects co-owners, tenants, guardians, property managers, facility managers, and services providers, enabling local communities to have a positive alliance to do their job efficiently.</t>
  </si>
  <si>
    <t>Jean-Fabrice Mathieu, NCI Gestion</t>
  </si>
  <si>
    <t>communication management app, communication platform operator, communication platform software, community messenger, neighborhood data, neighborhood network</t>
  </si>
  <si>
    <t>171456-76T</t>
  </si>
  <si>
    <t>135492-31T</t>
  </si>
  <si>
    <t>BNP Paribas Développement(Anne Toupé), Citizen Capital, Elevation Capital Partners, Ternel</t>
  </si>
  <si>
    <t>181487-26T</t>
  </si>
  <si>
    <t>GetQuanty</t>
  </si>
  <si>
    <t>Developer of a real-time data analysis platform designed to optimize marketing investments on websites. The company's platform helps to identify and segment companies based on their size, industry, and geolocation and then predict the leads with the optimum potential of sales, enabling organizations to analyze the data collected from prospects for developing and adjusting their marketing campaigns.</t>
  </si>
  <si>
    <t>GDP Venture, M Capital Partners</t>
  </si>
  <si>
    <t>analysis model, data collection analysis, led generation application, market data analysis, web analytics, web tracking software</t>
  </si>
  <si>
    <t>135479-26T</t>
  </si>
  <si>
    <t>Calao Finance, Karot Capital, Socomore, Supernova Invest</t>
  </si>
  <si>
    <t>140716-27T</t>
  </si>
  <si>
    <t>Femmes Business Angels(Florence Richardson), Intellagri Capital, Paris Business Angels(Jean-Marc Tenenbaum)</t>
  </si>
  <si>
    <t>196735-33T</t>
  </si>
  <si>
    <t>Giorgio Riccò(Giorgio Riccò)</t>
  </si>
  <si>
    <t>135384-85T</t>
  </si>
  <si>
    <t>Series G</t>
  </si>
  <si>
    <t>Bpifrance, Condé Nast, Cuir Invest, Eurazeo (PAR: RF), Fidelity International, Idinvest Partners, Korelya Capital(Fleur Pellerin), Luxury Tech Fund, Vaultier7, Vitruvian Partners</t>
  </si>
  <si>
    <t>135267-58T</t>
  </si>
  <si>
    <t>EXOR Seeds, Index Ventures, Ribbit Capital, Temasek Holdings</t>
  </si>
  <si>
    <t>135553-06T</t>
  </si>
  <si>
    <t>Phost'in Therapeutics</t>
  </si>
  <si>
    <t>Developer of chemical entities designed to put an emphasis on the treatment of abnormal glycosylation mechanisms and cancer. The company's chemical entities specialize in the discovery and development of NCEs targeting pathogenic glycosylation mechanisms, enabling medical providers to effectively deal with cancer and other serious illness.</t>
  </si>
  <si>
    <t>ANRI, IRDI Capital Investissement, Remiges Ventures(Hitoshi Ono)</t>
  </si>
  <si>
    <t>anticancer drug, anticancer therapy, cancer product, cancer treatement, cancer treating technology, chemistry, glycosylation analysis, pathogenic infection detection, small molecule</t>
  </si>
  <si>
    <t>155079-46T</t>
  </si>
  <si>
    <t>Symaps.io</t>
  </si>
  <si>
    <t>Developer of an artificial intelligence geo-marketing application for retail site selection designed to localize businesses in real time. The company's platform combines various types of location data socio-demographics, footfall, business &amp; amenities, and private data to correlate stores and optimize the network's coverage areas for growth benchmark with competitor's networks, predicting consumer interest in certain products, and enabling businesses and users to find suitable locations for opening new points of sales and to get detailed information for any location on the map.</t>
  </si>
  <si>
    <t>50 Partners, Cyril Vermeulen(Cyril Vermeulen), Didier Kuhn(Didier Kuhn), SGPA</t>
  </si>
  <si>
    <t>industrial data analytics, location data analysis, location intelligence system, people flow data, population analytics, retail analytics platform</t>
  </si>
  <si>
    <t>223960-51T</t>
  </si>
  <si>
    <t>Kwan-tek</t>
  </si>
  <si>
    <t>Quantum Sensing</t>
  </si>
  <si>
    <t>Manufacturer of quantum sensors designed to enhance the accuracy and capabilities of environmental monitoring and diagnostics. The company offers advanced quantum sensors harnessing nitrogen-vacancy (NV) centered sensor cores for the discerning needs of diamond-based centers, revolutionizing data insights through sophisticated mathematical modeling and inversion algorithms, enabling precision in the realm of environmental science and diagnostics.</t>
  </si>
  <si>
    <t>dengue diagnostics, fluorescent markers, lateral flow assay, lateral flow immunoassays, nanodiamonds application, nondestructive testing, quantum sensing, quantum sensors</t>
  </si>
  <si>
    <t>Ploemeur, France</t>
  </si>
  <si>
    <t>137957-32T</t>
  </si>
  <si>
    <t>Demeter Partners, Elevation Capital Partners</t>
  </si>
  <si>
    <t>134802-82T</t>
  </si>
  <si>
    <t>Bpifrance, Phaze Ventures(Abdullah Al-Shaksy)</t>
  </si>
  <si>
    <t>135841-06T</t>
  </si>
  <si>
    <t>AllSun Group(Thomas Delasnerie), Evergreen International, IRDI Capital Investissement(Mathieu Goudot), Johes, John Samson(John Samson), MakeSense(Léa Zaslavsky)</t>
  </si>
  <si>
    <t>135548-56T</t>
  </si>
  <si>
    <t>Alain Cojean(Alain Cojean), Françoise Gri(Françoise Gri), Frederic Kerrest(Frederic Kerrest), Jean-Bernard Levy(Jean-Bernard Levy), Techmind, Zulu Group(Alexander Asseily)</t>
  </si>
  <si>
    <t>140333-50T</t>
  </si>
  <si>
    <t>Clustdoc</t>
  </si>
  <si>
    <t>Developer of a customer onboarding platform intended to automate workflows and reduce processing times. The company's portal allows users to receive and manage tenancy applications, expedite the enrollment process, and collect, review, and process all the information needed for financial services, enabling clients to secure, modernize, and accelerate the constitution of customer or supplier files.</t>
  </si>
  <si>
    <t>InReach Ventures(Roberto Bonanzinga), January Ventures</t>
  </si>
  <si>
    <t>admission management, applicant tracking software, customer onboarding, document collection, document management, onboarding tools</t>
  </si>
  <si>
    <t>135756-37T</t>
  </si>
  <si>
    <t>Energie IP</t>
  </si>
  <si>
    <t>Business/Productivity Software*, Cable Service Providers, Electrical Equipment, Electronic Equipment and Instruments</t>
  </si>
  <si>
    <t>Developer of a building management system platform intended to provide both power devices and exchange data via standard ethernet cables. The company's platform specializes in offering an open and secure technology that uses DC low energy while managing one hardware to distribute the energy across the building, enabling clients to communicate with intelligent robots and equipment or the development of geolocation platforms with artificial intelligence.</t>
  </si>
  <si>
    <t>Demeter Partners(Eric Marty), Nexity (PAR: NXI)</t>
  </si>
  <si>
    <t>building automation solutions, building management system, power over ethernet, power over ip, smart building management, smart energy</t>
  </si>
  <si>
    <t>136261-00T</t>
  </si>
  <si>
    <t>Yakman</t>
  </si>
  <si>
    <t>Financial Software*, Other Financial Services, Other Insurance</t>
  </si>
  <si>
    <t>Developer of a collaborative insurance platform intended to revolutionize the way customers manage their risks for responsible financial protection. The company's platform uses a kitty mechanism to implement a protection contract, with claims self-management and a cashback system, enabling insurance enterprise partners and subscribers to create and distribute coverage products outside of insurance regulations.</t>
  </si>
  <si>
    <t>Groupama Group, Pays de la Loire Développement, Sodero</t>
  </si>
  <si>
    <t>collaborative risk management, insurance service, insurance tech service, p2p insurance, risk management model, self insurance</t>
  </si>
  <si>
    <t>135023-32T</t>
  </si>
  <si>
    <t>Les Entrepreneurs Réunis, Pleiade Venture</t>
  </si>
  <si>
    <t>134997-31T</t>
  </si>
  <si>
    <t>Banque Populaire Rives de Paris, Bpifrance, Caisse d'Epargne, PAF Kapital</t>
  </si>
  <si>
    <t>155062-90T</t>
  </si>
  <si>
    <t>Namaki</t>
  </si>
  <si>
    <t>Provider of cosmetic products intended to provide kids with makeup that respects fragile skin. The company's products are water-based, dermatologically tested, contain only natural raw materials, accompanied by simple and quick-to-apply makeup models, enabling kids to use natural makeup products.</t>
  </si>
  <si>
    <t>Cluster Bio, PAIP Investissements</t>
  </si>
  <si>
    <t>cosmetic goods, cosmetic supply, cosmetics firm, makeup product, recreational spaces, sustainable methods</t>
  </si>
  <si>
    <t>Bourg-les-valence, France</t>
  </si>
  <si>
    <t>178195-96T</t>
  </si>
  <si>
    <t>178202-26T</t>
  </si>
  <si>
    <t>Edcom</t>
  </si>
  <si>
    <t>Provider of mobile and internet package information services based in Chantepie, France. The company's platform compares all mobile phone plans, Internet boxes and the latest smartphones by providing information daily, enabling users to find the best price and save on their mobile and internet budget.</t>
  </si>
  <si>
    <t>information app, information portal, information tools, internet packages, internet plans, mobile package, phone information, smartphone information portal</t>
  </si>
  <si>
    <t>179455-51T</t>
  </si>
  <si>
    <t>NextEnergies</t>
  </si>
  <si>
    <t>Operator of an industrial energy technology company intended for biomass boilers for the industry. The company designs, supplies, and operates thermal energy production plants or cogeneration plants operating with biomass mainly from forestry, enabling manufacturers to significantly reduce their thermal energy bills by using renewable and inexpensive energy.</t>
  </si>
  <si>
    <t>energy manufacturer, industrial energy, maintenance contractor, plant installation services, renewable energy, technical study</t>
  </si>
  <si>
    <t>Dinard, France</t>
  </si>
  <si>
    <t>204521-23T</t>
  </si>
  <si>
    <t>Champicarde</t>
  </si>
  <si>
    <t>Cultivation, Food Products*</t>
  </si>
  <si>
    <t>Producer of organic mushrooms intended to provide a variety of mushrooms that are rich in protein and contain very little fat for French consumers. The company offers a range, grown on a substrate that contains organic straw, droppings, and natural gypsum, enabling consumers to get quality mushrooms.</t>
  </si>
  <si>
    <t>IRD Invest, Nord Création, Oxalis Holding</t>
  </si>
  <si>
    <t>food delivery, mushrooms farming, mushrooms harvesting, organic food, quality mushrooms, sustainable food</t>
  </si>
  <si>
    <t>AgTech, E-Commerce, FoodTech, LOHAS &amp; Wellness</t>
  </si>
  <si>
    <t>Crecy-Sur-Serre, France</t>
  </si>
  <si>
    <t>204496-93T</t>
  </si>
  <si>
    <t>Kereon Intelligence</t>
  </si>
  <si>
    <t>Consulting Services (B2B)*, Education and Training Services (B2B), Media and Information Services (B2B)</t>
  </si>
  <si>
    <t>Provider of on-demand AI and data services intended for companies working through digital transformation. The company offers tailor-made support, data management, data analytics, a decision-making process, technologies, and partnerships, making it fast and easy to take projects from idea to production, enabling clients to deploy appropriate technologies.</t>
  </si>
  <si>
    <t>consulting business, consulting firm, consulting service, data engineering, data governance, data solutions, internet of things, it consulting</t>
  </si>
  <si>
    <t>180692-74T</t>
  </si>
  <si>
    <t>Endodiag</t>
  </si>
  <si>
    <t>Clinics/Outpatient Services, Diagnostic Equipment, Laboratory Services (Healthcare)*</t>
  </si>
  <si>
    <t>Developer of an in-vitro diagnostic test designed to perform endometrium tissue analysis. The company's test is engaged in the development of non-invasive diagnosis and care of endometriosis, enabling healthcare professionals to provide their patients with personalized medical and therapeutic management.</t>
  </si>
  <si>
    <t>Karista (Paris)(Michael Thomas)</t>
  </si>
  <si>
    <t>diagnostic test, endometriosis detection, endometriosis diagnostics, endometriosis drugs, endometriosis test, endometriosis treatment, in vitro test, therapeutic management</t>
  </si>
  <si>
    <t>134849-98T</t>
  </si>
  <si>
    <t>Yves Guillemot</t>
  </si>
  <si>
    <t>175151-62T</t>
  </si>
  <si>
    <t>Cocoon Care</t>
  </si>
  <si>
    <t>Elder and Disabled Care*, Other Devices and Supplies, Other Healthcare Technology Systems</t>
  </si>
  <si>
    <t>Developer of an eldercare support platform intended to improve and secure the daily life of seniors and their caregivers. The company's platform provides observation data in real-time along with automatic detection and alert service for weak signals such as deterioration of walking and sleep and changes in activity rituals, enabling caregivers, hospitals, and individuals to reduce the traumatic consequences and prevent incidents for elder people.</t>
  </si>
  <si>
    <t>Schneider Electric (Electrical Equipment) (PAR: SU)</t>
  </si>
  <si>
    <t>activity sensor, activity tracking software, elder care support platform, elderly care management service, elderly care service, fall detection technology, incident management technology, old age care</t>
  </si>
  <si>
    <t>HealthTech, Internet of Things</t>
  </si>
  <si>
    <t>137229-67T</t>
  </si>
  <si>
    <t>Equify</t>
  </si>
  <si>
    <t>Developer of an equity management platform designed to offer stockholder and equity management services to fast-growing businesses. The company's platform automatically synchronizes all the key information about a business, controls and monitors the tracking of equity award shareholding, and communicates efficiently with investors, enabling clients to centralize all the legal and financial information for the shareholders of a business.</t>
  </si>
  <si>
    <t>Kima Ventures, Moonfire, Phoenix Court, Viralety Ventures</t>
  </si>
  <si>
    <t>equity management, financial information management, financial management platform, legal management platform, shareholders data, shareholdings management</t>
  </si>
  <si>
    <t>153867-07T</t>
  </si>
  <si>
    <t>Medelse</t>
  </si>
  <si>
    <t>Developer of a healthcare recruitment platform designed to simplify the search and short-term employment opportunities. The company's platform offers several services including tailor-made career advice, provision of day missions as well as full-time jobs while providing visibility at the national level, enabling medical professionals to search for a position based on their specialization and requirements.</t>
  </si>
  <si>
    <t>AngelSquare, EGR Partners, FJ Labs</t>
  </si>
  <si>
    <t>medical professionals recruitment, medical replacement, medtech firm, paramedical care, recruitment center, talent recruitment services</t>
  </si>
  <si>
    <t>140056-21T</t>
  </si>
  <si>
    <t>Crédit Mutuel Equity, Crédit Mutuel Innovation(Cyrus Contant), Korelya Capital, Omnes Capital, Partech, Plug and Play Tech Center, XAnge</t>
  </si>
  <si>
    <t>137495-26T</t>
  </si>
  <si>
    <t>E-novate</t>
  </si>
  <si>
    <t>Developer of a centralized purchasing platform intended to offer more transparency via a dedicated interface. The company specializes in the mobile advertising space and is developing technology to optimize the purchases of its traders and the advertising campaigns of its customers, enabling clients to have completely transparent distribution via various purchasing methods on multiple key performance indicators (KPIs).</t>
  </si>
  <si>
    <t>advertising platform, advertising site, branding platform, customer relationship management, trading desks, trading platform</t>
  </si>
  <si>
    <t>172898-47T</t>
  </si>
  <si>
    <t>170089-66T</t>
  </si>
  <si>
    <t>Firstminute Capital, Global Venture Capital, Groupe Artemis, Julie Pellet(Julie Pellet), Marc Simoncini(Marc Simoncini), Rachel Delacour(Rachel Delacour), Rodolphe Saadé(Rodolphe Saadé), Xavier Niel(Xavier Niel)</t>
  </si>
  <si>
    <t>193084-21T</t>
  </si>
  <si>
    <t>Polygone International</t>
  </si>
  <si>
    <t>164395-90T</t>
  </si>
  <si>
    <t>181519-93T</t>
  </si>
  <si>
    <t>Abeille Impact Investing France, BNP Paribas Asset Management, NovESS</t>
  </si>
  <si>
    <t>134319-97T</t>
  </si>
  <si>
    <t>Banque des Territoires, Caisse des Depots Group, Casino Guichard-Perrachon (PAR: CO), ENGIE Rassembleurs d'Energies, noa (London)</t>
  </si>
  <si>
    <t>134313-85T</t>
  </si>
  <si>
    <t>Qualizy</t>
  </si>
  <si>
    <t>Business/Productivity Software*, Electronic Equipment and Instruments</t>
  </si>
  <si>
    <t>Developer of a digital restaurant management application designed to streamline food safety processes. The company's application facilitates business operation inspection to create actionable reports for improvement while reducing overhead charges, enabling food businesses and restaurants to embrace digital transformation for food safety and traceability.</t>
  </si>
  <si>
    <t>High Flyers Capital, P.Factory</t>
  </si>
  <si>
    <t>digital food safety application, digital food safety tech, food safety check, food safety monitoring, food safety service, wireless temperature sensor</t>
  </si>
  <si>
    <t>FoodTech, Internet of Things, Mobile, Restaurant Technology, SaaS</t>
  </si>
  <si>
    <t>Antibes, France</t>
  </si>
  <si>
    <t>218418-13T</t>
  </si>
  <si>
    <t>Waldo (Villeneuve d ascq)</t>
  </si>
  <si>
    <t>Developer of a desk reservation software designed to transform meeting rooms in an organization. The company's software anticipates the next move by reserving a desk and parking space based on the user's habits and preferences, enabling clients to easily make the workspace flexible with desk sharing and parking reservations.</t>
  </si>
  <si>
    <t>Barco (BRU: BAR), IRD Invest</t>
  </si>
  <si>
    <t>desktop reservation, desktop sharing, flexible workplace, meeting rooms booking, parking reservation, parking space, vertical application, video conferencing system</t>
  </si>
  <si>
    <t>Big Data, Mobile, SaaS</t>
  </si>
  <si>
    <t>Villeneuve d ascq, France</t>
  </si>
  <si>
    <t>169227-01T</t>
  </si>
  <si>
    <t>Leavy.co</t>
  </si>
  <si>
    <t>Application Software, Information Services (B2C)*, Other Financial Services, Other Services (B2C Non-Financial)</t>
  </si>
  <si>
    <t>Operator of a travel credit application platform intended to manage travel expenses and home-sharing. The company's platform facilitates booking flights and accommodation by users willing to share their homes or care for fellow travelers while earning points, enabling travelers to seek out unique experiences at an affordable cost.</t>
  </si>
  <si>
    <t>Jelto Smits(Jelto Smits), Prime Ventures(Pieter Welten)</t>
  </si>
  <si>
    <t>accommodation sharing, budget travel, home sharing, lifestyle app, marketplace and community, online travel agency, sharing economy, travel app, travel booking site</t>
  </si>
  <si>
    <t>136657-45T</t>
  </si>
  <si>
    <t>Doosan (KRX: 000150), Rodrigo Casanello(Rodrigo Casanello), SOSV(Arvind Gupta)</t>
  </si>
  <si>
    <t>137867-14T</t>
  </si>
  <si>
    <t>Atlantic Vendée Innovation, Bouyer Leroux, EIT InnoEnergy, Engie (PAR: ENGI), GO Capital (France), Investir &amp;+, Litto Invest, Siparex Group</t>
  </si>
  <si>
    <t>209353-96T</t>
  </si>
  <si>
    <t>uTip</t>
  </si>
  <si>
    <t>Developer of a creativity platform designed to connect with the community. The company's platform pulls creative content from social media platforms into one feed, so that fans can see and be notified of their posts, enabling content creators to achieve their creative goals of all sizes.</t>
  </si>
  <si>
    <t>Day One Entrepreneurs &amp; Partners, Thomas Rebaud(Thomas Rebaud)</t>
  </si>
  <si>
    <t>content creation service, content creation tools, content media, content monetization, creative content, social media content</t>
  </si>
  <si>
    <t>173357-56T</t>
  </si>
  <si>
    <t>Wemind (Insurance)</t>
  </si>
  <si>
    <t>Financial Software, Other Financial Services, Other Insurance*</t>
  </si>
  <si>
    <t>Developer of an insurance platform designed to simplify the life of freelancers. The company's platform federates a community of freelancers and entrepreneurs in order to enable them to enjoy the same benefits as employees in matters of insurance, housing guarantees, law protection, and work council, enabling the self-employed community to get proper work security and social protection.</t>
  </si>
  <si>
    <t>community platform provider, freelancers network, freelancers tools, insurance assistance, insurance industry, mutual insurance, social protection</t>
  </si>
  <si>
    <t>134374-15T</t>
  </si>
  <si>
    <t>Leah (Healthcare Technology Systems)</t>
  </si>
  <si>
    <t>Developer of a teleconsultation platform designed to streamline, improve and facilitate access to the healthcare system. The company's platform offers a teleconsultation contact site between healthcare professionals and their patients through which doctors can provide teleconsultation services to their patients online whenever they want, from their office or from their homes by videoconference, enabling doctors to manage their appointments and help them to make teleconsultation easier.</t>
  </si>
  <si>
    <t>AdBio partners(Alain Huriez), Groupe MACSF(Stanislas Subra)</t>
  </si>
  <si>
    <t>accessible teleconsultation, appointment booking, healthcare professionals, healthcare technology platform, online doctor consultation, teleconsultation platform</t>
  </si>
  <si>
    <t>195855-58T</t>
  </si>
  <si>
    <t>Vekia</t>
  </si>
  <si>
    <t>Developer of a supply chain management platform designed to assist distributors in achieving excellence in managing their inventories. The company's platform uses artificial intelligence algorithms for order proposals, and demand forecasting, and offers customized indicators and order catalogs, enabling businesses to have improvement of supply chain planning and achieve strong impacts on turnover and margin.</t>
  </si>
  <si>
    <t>The Field</t>
  </si>
  <si>
    <t>enterprise resource planning, enterprise supply chain management, inventory management, inventory management service, supply chain erp, supply chain model, supply chain tech, supply management service</t>
  </si>
  <si>
    <t>Artificial Intelligence &amp; Machine Learning, Industrials, Mobility Tech, SaaS, Supply Chain Tech, TMT</t>
  </si>
  <si>
    <t>133949-71T</t>
  </si>
  <si>
    <t>Canon Production Printing, Newfund Management, Pareto Holdings</t>
  </si>
  <si>
    <t>186952-06T</t>
  </si>
  <si>
    <t>O MY NOTE</t>
  </si>
  <si>
    <t>Application Software, Information Services (B2C)*, Other Consumer Durables</t>
  </si>
  <si>
    <t>Operator of a virtual scent company intended to connect customers with their emotions and make the fragrance experiences authentic. The company develops a virtual assistant emotion artificial intelligence technology that is capable of voice or video interaction to find perfumes and scents, providing users with personalized fragrance recipes that allow them to shop as per their needs anywhere.</t>
  </si>
  <si>
    <t>Raise and Scale</t>
  </si>
  <si>
    <t>analytics technology, customized fragrance, customized product, fragrance maker, fragrance product, gift product, online platform</t>
  </si>
  <si>
    <t>133514-83T</t>
  </si>
  <si>
    <t>Pixpay</t>
  </si>
  <si>
    <t>Application Software, Financial Software*, Information Services (B2C)</t>
  </si>
  <si>
    <t>Developer of a banking application designed to offer online banking services to teenagers. The company's application is linked with a mobile bank account, a single payment card and mobile payment options to monitor and track spending, enabling teenagers to pay, get paid, save money or get discounts on their favorite brands.</t>
  </si>
  <si>
    <t>Bpifrance, Global Founders Capital</t>
  </si>
  <si>
    <t>banking app, banking software, consumer payment, debit &amp; p2p, financial service, fintech platform, p2p, payment app, savings management, teen banking, youth banking</t>
  </si>
  <si>
    <t>153790-03T</t>
  </si>
  <si>
    <t>Axeleo Capital, Hi Inov, Kima Ventures</t>
  </si>
  <si>
    <t>133450-21T</t>
  </si>
  <si>
    <t>BlackFin Capital Partners(Julien Creuze), MTech Capital</t>
  </si>
  <si>
    <t>131201-11T</t>
  </si>
  <si>
    <t>BRÂAM</t>
  </si>
  <si>
    <t>Beverages, Food Products*, Other Commercial Products</t>
  </si>
  <si>
    <t>Producer of food products intended to assist businesses in making their workspaces ecological and bio-sustainable. The company produces coffee beans and healthy snacks and provides fruit baskets and eco-friendly coffee machines, enabling enterprises to promote the art of sustainable eco-corporate culture even while participating in business deals and official labor.</t>
  </si>
  <si>
    <t>5M Ventures, High Flyers Capital(Jérôme Rayet), NCI Gestion(Thibaut Escarras), Newfund Management(Frédéric Krebs)</t>
  </si>
  <si>
    <t>beverage company, coffee beans products, coffee capsules provider, environmental protection, gourmet product production, healthy snacks bar, kitchentech &amp; robotics, kitchentech and robotics, restaurant &amp; retail tech, restaurant and retail technology, water cooler</t>
  </si>
  <si>
    <t>192438-37T</t>
  </si>
  <si>
    <t>Orphelia Pharma</t>
  </si>
  <si>
    <t>Developer of pediatric drugs created to improve the health and well-being of severely disabled children. The company's pediatric medicines development platform develops new medicinal products in the field of rare and pediatric diseases like neuro-pediatry epilepsy, neurodegenerative diseases, and metabolic diseases, enabling healthcare professionals to develop essential medicines for oncology and CNS diseases.</t>
  </si>
  <si>
    <t>Cemag Invest, OCTALFA(Julien Alberici), PAF Kapital(Jean-François Auffret)</t>
  </si>
  <si>
    <t>biopharmaceutical product, chemistry, neurology care, neurology drugs, orphan drug, orphan drug companies, orphan drug products, small molecule</t>
  </si>
  <si>
    <t>133399-27T</t>
  </si>
  <si>
    <t>Entrepreneur Invest, Idinvest Partners, ISAI, Notus Technologies, Picus Capital</t>
  </si>
  <si>
    <t>195651-91T</t>
  </si>
  <si>
    <t>135642-34T</t>
  </si>
  <si>
    <t>Blocs &amp; Compagnie</t>
  </si>
  <si>
    <t>Developer of an enterprise content management platform designed to provide security to business data with blockchain transactions and payments. The company's platform manages personal data, and automates insurance, and mobility services for use, enabling clients to meet regulatory requirements and protect data from attacks.</t>
  </si>
  <si>
    <t>blockchain platform, blockchain protection, business data, business tools, ecm platform, personal data protection</t>
  </si>
  <si>
    <t>133303-33T</t>
  </si>
  <si>
    <t>50 Partners, EIT InnoEnergy, Encevo(Claude Seywert), Epopée Gestion, GO Capital (France), ISAI</t>
  </si>
  <si>
    <t>133885-27T</t>
  </si>
  <si>
    <t>Crédit Agricole Alpes Développement, Kreaxi</t>
  </si>
  <si>
    <t>136007-74T</t>
  </si>
  <si>
    <t>133333-39T</t>
  </si>
  <si>
    <t>InVirtus Technologies</t>
  </si>
  <si>
    <t>Developer of an asset tracking platform intended to provide seamless indoor and outdoor geolocation. The company's platform reduces the time spent on asset tracking, automates inventories, optimizes asset use and maintenance, enabling clients to have real-time information about their assets and reducing its operating cost.</t>
  </si>
  <si>
    <t>BACS-Innov, Bpifrance, Credit Industriel et Commercial, Crédit Agricole Aquitaine Expansion</t>
  </si>
  <si>
    <t>asset tracking platform, asset tracking software, connected objects, connected objects system, industrial iot, inventory management, inventory management service, inventory management system, iot solutions, real time inventory</t>
  </si>
  <si>
    <t>82520-83T</t>
  </si>
  <si>
    <t>Stella Pardo</t>
  </si>
  <si>
    <t>Designer of women's clothing collection intended to offer hand-made knitwear made from noble fabrics. The company's collection of women's clothing is designed in Paris, by hand, by Peruvian knitters using ecological materials such as baby alpaca and organic Pima cotton, pro buys comfortable to provide fashionable and eco-responsible clothing, enabling customers to purchase hand-made clothing for women online and get it delivered at their doorstep.</t>
  </si>
  <si>
    <t>clothing for women, women cloth dealer, women clothes, women clothing, women clothing retail, women clothing website, women's clothing product, women's clothing retail</t>
  </si>
  <si>
    <t>133570-54T</t>
  </si>
  <si>
    <t>Kreaxi</t>
  </si>
  <si>
    <t>133165-45T</t>
  </si>
  <si>
    <t>PayLead</t>
  </si>
  <si>
    <t>Developer of a personalized marketing and data analysis platform designed to provide consumer-centric marketing. The company uses consumer insights and business intelligence generated with the use of anonymized bank transaction data to create personalized reward experiences in consumer daily banking applications, enabling fintech, merchants, and retailers to drive online, in-store sales, get insight and tools needed to execute highly targeted and personalized marketing campaigns.</t>
  </si>
  <si>
    <t>Courtin Investment(Christophe Courtin), Hugues Le Bret(Hugues Le Bret), Open CNP(Jonathan Denais), Plug and Play Tech Center, SIDE Capital, Viralety Ventures</t>
  </si>
  <si>
    <t>banking data intelligence, banking transaction data, crm, customer centric marketing, customer knowledge, customer relationship management, data analysis, enterprise payment, payment, payment platform, personalized marketing, pos, transaction data, vertical application</t>
  </si>
  <si>
    <t>Big Data, FinTech, Marketing Tech, Mobile, SaaS, TMT</t>
  </si>
  <si>
    <t>133658-38T</t>
  </si>
  <si>
    <t>AngelSquare, Cameleon Invest, Rivierazul Advisors</t>
  </si>
  <si>
    <t>133686-55T</t>
  </si>
  <si>
    <t>Telegrafik</t>
  </si>
  <si>
    <t>Elder and Disabled Care, Other Healthcare Technology Systems*</t>
  </si>
  <si>
    <t>Operator of an AI-based platform intended to help the elderly to remain independent. The company's platform uses data from sensors positioned in homes or residences and provides activity monitoring, behavior analysis, anomaly detection and alert services, enabling users to get connected services to maintain elder autonomy and health.</t>
  </si>
  <si>
    <t>Abeille Impact Investing France, Badge network, Citizen Capital, Déborah Parès(Déborah Parès), Inco Ventures, Optimum Petroleum Development, Philippe Carle(Philippe Carle), Vessoa Private Equity</t>
  </si>
  <si>
    <t>connected healthcare, connected service, elderly care, healthcare data analytics, impact investing vertical, online platform, online platform service, smart data, smart home, vertical application</t>
  </si>
  <si>
    <t>Artificial Intelligence &amp; Machine Learning, Big Data, HealthTech, Impact Investing, Internet of Things</t>
  </si>
  <si>
    <t>133020-01T</t>
  </si>
  <si>
    <t>Financière Saint James, Global Founders Capital, Idinvest Partners, LBO France(Stephanie Casciola), Peugeot Invest (PAR: PEUG)</t>
  </si>
  <si>
    <t>137851-93T</t>
  </si>
  <si>
    <t>Eiffel Investment Group</t>
  </si>
  <si>
    <t>137392-66T</t>
  </si>
  <si>
    <t>The Offline</t>
  </si>
  <si>
    <t>Operator of a travel ticketing platform designed to offer tailor-made weekend trips. The company's platform composes tailor-made weekends by analyzing the offers of the transport and accommodation comparators, enabling customers to go on tours as per taste.</t>
  </si>
  <si>
    <t>AngelSquare, Aonia Ventures, Kima Ventures</t>
  </si>
  <si>
    <t>holiday booking, ticketing platform, tourism platform, transport needs, trip advisor, weekend trip</t>
  </si>
  <si>
    <t>225644-50T</t>
  </si>
  <si>
    <t>Mob Hotel</t>
  </si>
  <si>
    <t>Hotels and Resorts*, Other Restaurants, Hotels and Leisure</t>
  </si>
  <si>
    <t>Operator of a hotel group based in Paris, France. The company offers hospitable rooms having Wi-Fi with a hotspot for each room, books to browse in the library, furniture made by craftspeople breathing life into their own local ecosystems, and organic foods, enabling customers to feel at home during their hotel stays.</t>
  </si>
  <si>
    <t>Ariane Capital</t>
  </si>
  <si>
    <t>hospitality sector, hospitality system, hotel catering, hotel company, hotel marketing, hotel service</t>
  </si>
  <si>
    <t>132992-74T</t>
  </si>
  <si>
    <t>MWM</t>
  </si>
  <si>
    <t>Entertainment Software, Movies, Music and Entertainment, Multimedia and Design Software*, Publishing</t>
  </si>
  <si>
    <t>Developer of a music-mixing application designed to offer editing and mixing of songs. The company's application allows users to listen, mix and share music online for free, enabling dance jockeys to develop a fusion of songs.</t>
  </si>
  <si>
    <t>Aglaé Ventures, blisce/(Alexandre Mars), Bpifrance(Mailys Ferrere), Daniel Marhely(Daniel Marhely), Entier Capital(Thomas Dadashi), Eurazeo PME, HSD Capital, Idinvest Partners(Chloé Giard), Krishna Visvanathan(Krishna Visvanathan), Xavier Niel(Xavier Niel)</t>
  </si>
  <si>
    <t>dj app, dj platform, dj software, dj technology, music editing, music gaming, music sharing, music sharing platform, online music, online music mixing</t>
  </si>
  <si>
    <t>AudioTech, Gaming, TMT</t>
  </si>
  <si>
    <t>134918-65T</t>
  </si>
  <si>
    <t>Nahibu</t>
  </si>
  <si>
    <t>Diagnostic Equipment*, Other Healthcare Services</t>
  </si>
  <si>
    <t>Developer of an analysis kit intended to detect the bacteria present in the intestine. The company's kit helps to understand intestinal microbiota, discover the composition of your microbiota and offers tailor-made personal dietary advice, enabling customers to have access to nutritional advice to restore the balance of their intestinal flora.</t>
  </si>
  <si>
    <t>AngelSquare, Banque Populaire Grand Ouest, Bpifrance, Crédit Agricole Aquitaine Expansion</t>
  </si>
  <si>
    <t>intestinal flora analysis, metagenomics analysis, microbiota bacteria, microbiota sampling device, nutritional advice, personalized nutrition, sequencing system</t>
  </si>
  <si>
    <t>133643-53T</t>
  </si>
  <si>
    <t>Cedric Delorme(Cedric Delorme), Investessor, Provence Business Angels, WeLikeStartup, WiSeed</t>
  </si>
  <si>
    <t>133012-09T</t>
  </si>
  <si>
    <t>eLamp</t>
  </si>
  <si>
    <t>Developer of a skill management and staffing platform designed to map critical skills and follow the expertise of teams. The company's platform features staffing tools, advanced search, resume generation, planning, and reporting, enabling organizations to manage their operational know-how from a single place.</t>
  </si>
  <si>
    <t>BNP Paribas (PAR: BNP), Bpifrance, CIC (Media and Information Services (B2B)), EuraTechnologies, My Seed Cap, Societe Generale Ventures</t>
  </si>
  <si>
    <t>hr management, human capital management, human capital service, staffing platform, staffing solutions, virtual workforce planning</t>
  </si>
  <si>
    <t>132943-33T</t>
  </si>
  <si>
    <t>Le Wagon</t>
  </si>
  <si>
    <t>Operator of a coding boot camp intended to offer product acceleration services to founders and product developers. The company's boot camp offers hands-on product training and a pre-acceleration program offering technical skills to creative people, enabling entrepreneurs with the ability to build a prototype of any idea that they might have.</t>
  </si>
  <si>
    <t>Africinvest, Cathay Capital Private Equity</t>
  </si>
  <si>
    <t>bootcamp education, bootcamps and courses, coding bootcamp, product acceleration, product training, products developer</t>
  </si>
  <si>
    <t>203158-09T</t>
  </si>
  <si>
    <t>ActivCorner</t>
  </si>
  <si>
    <t>Education and Training Services (B2B)*, Educational and Training Services (B2C), Human Capital Services, Media and Information Services (B2B)</t>
  </si>
  <si>
    <t>Provider of sport and wellness sessions intended to assist companies on subjects of quality of life at work through levers of sport, well-being and cohesion. The company's service helps to access hundreds of sports and wellness brands like sports halls, studios, clubs and major sporting events at preferential rates negotiated for them, enabling companies to engage their employees in activities of their choice to boost their performance.</t>
  </si>
  <si>
    <t>event organization platform, leisure activities, sports activities, sports and games, sports and wellness, wellness activities, wellness sessions, wellness system</t>
  </si>
  <si>
    <t>136125-73T</t>
  </si>
  <si>
    <t>Banque des Territoires, Parthan Family Fund</t>
  </si>
  <si>
    <t>156517-39T</t>
  </si>
  <si>
    <t>Francofil</t>
  </si>
  <si>
    <t>Industrial Supplies and Parts*, Other Commercial Products</t>
  </si>
  <si>
    <t>Manufacturer of technical filaments intended to help with 3D printing of various products. The company offers a range of metallic effect filaments that are customized as per the requirement and can be conditioned from a single meter to a spool, providing clients with tailor-made, and resistant filaments for 3D printing as per their specifications.</t>
  </si>
  <si>
    <t>Normandie Business Angels, Normandie Participations</t>
  </si>
  <si>
    <t>3d printing service, 3d technology, filaments manufacturer, metallic pigments, plastics manufacturing, printer filaments, printing product</t>
  </si>
  <si>
    <t>3D Printing, E-Commerce, Manufacturing</t>
  </si>
  <si>
    <t>Manneville-la-Goupil, France</t>
  </si>
  <si>
    <t>172331-83T</t>
  </si>
  <si>
    <t>HAVR</t>
  </si>
  <si>
    <t>Smart Locks</t>
  </si>
  <si>
    <t>Application Software, Electronics (B2C)*, Other Consumer Durables</t>
  </si>
  <si>
    <t>Developer of a smart locks system designed to open, monitor, and manage any door. The company's product offers a mobile application and web-based platform with advanced features that permit one to manage locks through a smartphone, enabling users to control security from anywhere and anytime.</t>
  </si>
  <si>
    <t>Ronan Denoual</t>
  </si>
  <si>
    <t>access control, access management, connected buildings, mobile application, smart locking systems, smart locks app</t>
  </si>
  <si>
    <t>Internet of Things, Mobile, SaaS</t>
  </si>
  <si>
    <t>Jaux, France</t>
  </si>
  <si>
    <t>133865-02T</t>
  </si>
  <si>
    <t>Securkeys</t>
  </si>
  <si>
    <t>Provider of key loss assistance service intended to deliver duplicate copies of property keys in one hour throughout France. The company's services include a security guard and key delivery service via a secure mobile application, enabling customers to secure their property key at all times.</t>
  </si>
  <si>
    <t>A-Venture, Bouygues Telecom, Bouygues Telecom Initiatives, EDF Pulse Ventures, Electricite de France, Matmut Innovation, NCI Gestion, SWEN Capital Partners, Ternel</t>
  </si>
  <si>
    <t>assistance service provider, delivery service, keys storage services, lost keys services, security application, security services</t>
  </si>
  <si>
    <t>135528-13T</t>
  </si>
  <si>
    <t>Demeter Partners(Jean-Charles Scatena)</t>
  </si>
  <si>
    <t>137886-31T</t>
  </si>
  <si>
    <t>Vitaline</t>
  </si>
  <si>
    <t>Producer of ready-to-eat food products and beverages intended to offer nutritional meal alternatives. The company's products are prepared with a blend of natural ingredients and served in formats of a bar, bottle and bag, enabling individuals to ensure dietary balance.</t>
  </si>
  <si>
    <t>food product maker, meal replacement products, nutritional food items, nutritional food seller, organic food items, organic food meal, organic food product</t>
  </si>
  <si>
    <t>Rueil Malmaison, France</t>
  </si>
  <si>
    <t>126672-40T</t>
  </si>
  <si>
    <t>VitrumGlass</t>
  </si>
  <si>
    <t>Other Commercial Products, Other Consumer Durables*</t>
  </si>
  <si>
    <t>Manufacturer of architectural glass products intended to improve the installation of technological glazing. The company's glass products transform windows into radiators and help eliminate condensation in bathrooms and swimming pools, enabling customers to avail of durable glass at a cost-effective price.</t>
  </si>
  <si>
    <t>built environment, glass installation service, glass shelves, glazing glass, green construction, smart glasses</t>
  </si>
  <si>
    <t>Climate Tech, E-Commerce, Industrials</t>
  </si>
  <si>
    <t>133259-50T</t>
  </si>
  <si>
    <t>169831-90T</t>
  </si>
  <si>
    <t>Co-Recyclage</t>
  </si>
  <si>
    <t>Home Furnishings, Specialty Retail*</t>
  </si>
  <si>
    <t>Operator of an online platform intended to offer reusable furniture and materials. The company specializes in the reuse of furniture, equipment, and materials with innovative technology and support, enabling customers to reduce waste through innovative systems and tools to optimize reuse and recycling.</t>
  </si>
  <si>
    <t>Inco Ventures, NovESS</t>
  </si>
  <si>
    <t>disposal system, environmental impact, furniture assets, furniture good, sustainable use, waste control, waste reduction</t>
  </si>
  <si>
    <t>124503-85T</t>
  </si>
  <si>
    <t>ENGIE New Ventures(Vincent Pichon), European Union, Yves Chabot(Yves Chabot)</t>
  </si>
  <si>
    <t>138508-66T</t>
  </si>
  <si>
    <t>EIT InnoEnergy, Inerbiz</t>
  </si>
  <si>
    <t>204137-65T</t>
  </si>
  <si>
    <t>132703-57T</t>
  </si>
  <si>
    <t>Crime Science Technology</t>
  </si>
  <si>
    <t>Commodity Chemicals*, Other Chemicals and Gases, Other Materials</t>
  </si>
  <si>
    <t>Developer of authentication technologies designed to prevent document attacks through counterfeiting, manipulation and identity theft. The company's technologies offer power, polycarbonate and ink help in security features for accelerated and intuitive document authentication, special film development for ID documents and a fingerprint revelation process to identify criminals, enabling clients to avail new security features and make identification documents forgery-proof.</t>
  </si>
  <si>
    <t>Covestro (ETR: 1COV)(Thorsten Dreier), Le conseil régional des Hauts-de-France</t>
  </si>
  <si>
    <t>anti-counterfeiting technology, authentication technology, crime detection, forensic science, fraud prevention, id card, identity and access management, investigation tools, security features</t>
  </si>
  <si>
    <t>Commodity Chemicals</t>
  </si>
  <si>
    <t>139143-52T</t>
  </si>
  <si>
    <t>Bpifrance, Ciclad, Noria</t>
  </si>
  <si>
    <t>180005-86T</t>
  </si>
  <si>
    <t>Cycloponics</t>
  </si>
  <si>
    <t>Cultivation*, Other Agriculture, Other Services (B2C Non-Financial)</t>
  </si>
  <si>
    <t>Operator of an underground farming company intended to transform unused urban undergrounds into high-tech and sustainable agriculture spaces. The company rehabilitates neglected urban spaces to implement sustainable and socially responsible agriculture, enabling customers to be provided with local and sustainable grown organic agricultural produce.</t>
  </si>
  <si>
    <t>Famaë Impact, Sylvain Zimmer</t>
  </si>
  <si>
    <t>agriculture firm, agriculture hub, indoor farming, organic farming, sustainable agriculture, urban agriculture</t>
  </si>
  <si>
    <t>132597-10T</t>
  </si>
  <si>
    <t>132809-32T</t>
  </si>
  <si>
    <t>Avoloi</t>
  </si>
  <si>
    <t>Information Services (B2C), Legal Services (B2B), Media and Information Services (B2B)*</t>
  </si>
  <si>
    <t>Developer of an online platform designed to book appointments between individuals and lawyers. The company's platform aims to facilitate the user's search for legal expertise, by putting them in touch with the lawyer relevant to their issues, enabling clients and lawyers to connect conveniently.</t>
  </si>
  <si>
    <t>Epopée Gestion(Vladimir Bolze), Naoleb, SWEN Capital Partners</t>
  </si>
  <si>
    <t>appointment system, commercial relations, lawyer appointment, legal expertise platform, legal profession, legal technology, legislation service</t>
  </si>
  <si>
    <t>133010-11T</t>
  </si>
  <si>
    <t>iObeya</t>
  </si>
  <si>
    <t>Developer of a digital visual management platform intended to help organizations run lean and agile operations. The company's platform leverages technology to 
virtualize meeting rooms dedicated to all visual management practices offering a unique, life-like, and immersive user experience, unlocking the constraints of paper for a seamless digital transition, enabling clients to conduct an effective stand-up meeting with multi-site teams using just sticky notes and boards in one location and deploy visual management on a large scale.</t>
  </si>
  <si>
    <t>Atlantic Bridge Capital(Kevin Dillon), Elevation Capital Partners(Benjamin Cohen), Fortino Capital Partners(Duco Sickinghe), Red River West(Luc-Emmanuel Barreau)</t>
  </si>
  <si>
    <t>agile practices, business application, business application software, email and authoring, kms, knowledge management system, lean management, performance management, visual management, visual management platform</t>
  </si>
  <si>
    <t>153797-23T</t>
  </si>
  <si>
    <t>Agoranov, OSS Ventures(Renan Devillieres)</t>
  </si>
  <si>
    <t>175485-52T</t>
  </si>
  <si>
    <t>Millionroads</t>
  </si>
  <si>
    <t>Business/Productivity Software*, Educational Software, Media and Information Services (B2B)</t>
  </si>
  <si>
    <t>Developer of a cloud-based analytics platform intended to restore the academic and professional career data of students and alumni. The company's platform allows users to trace the path of students before, during, and after their training, according to the criteria of their choice, enabling schools to provide their students with the tools to explore the careers of alumni who have undertaken similar educational paths.</t>
  </si>
  <si>
    <t>CAAP Creation, Paris Business Angels, Région Sud Investissement</t>
  </si>
  <si>
    <t>ai automation platform, career analytics, career path analysis, consumer data analytics, edtech media, educational data, educational data analysis, tracking software, university review, vertical application</t>
  </si>
  <si>
    <t>179612-47T</t>
  </si>
  <si>
    <t>ProHacktive</t>
  </si>
  <si>
    <t>Media and Information Services (B2B), Network Management Software*, Systems and Information Management</t>
  </si>
  <si>
    <t>Developer of a computer security software designed to protect from cyber threats. The company's software helps to analyze vulnerabilities, offers an intuitive reading interface and audits the entire network to issue an alert as soon as a fault is detected, enabling companies to secure their network and allow any fault to be corrected without being under pressure from an attack in progress.</t>
  </si>
  <si>
    <t>P.Factory, Région Sud Investissement</t>
  </si>
  <si>
    <t>computer security software, cyber security system, cyber-attack prevention, fraud blocker, network audit, network detection &amp; response, network detection and response, network protection, network security</t>
  </si>
  <si>
    <t>Gap, France</t>
  </si>
  <si>
    <t>181160-83T</t>
  </si>
  <si>
    <t>Bubble (Publishing)</t>
  </si>
  <si>
    <t>Application Software, Other Consumer Durables, Publishing*</t>
  </si>
  <si>
    <t>Operator of an online comic book-based retail platform intended to help customers find their desired digital copies of comic books online. The company's platform offers a tool to manage comics in the library that helps in tracking comic books anywhere and information about new issues, enabling readers to discover their favorite comic books through a single application.</t>
  </si>
  <si>
    <t>comic book finder, comic book site, comics application, comics collection, comics media, mobile comics reading</t>
  </si>
  <si>
    <t>204718-51T</t>
  </si>
  <si>
    <t>Nord Création</t>
  </si>
  <si>
    <t>132534-91T</t>
  </si>
  <si>
    <t>Jestocke</t>
  </si>
  <si>
    <t>Logistics, Media and Information Services (B2B), Other Commercial Services*</t>
  </si>
  <si>
    <t>Operator of a private space community platform intended to offer rental and reservation of storage spaces that come with insurance. The company's platform offers spaces that any business or individual has in spare which they wish to rent out through an advertisement for free by posting information about the space through a mobile application, enabling clients to reserve a storage space or a storage unit near them all through a single mobile platform.</t>
  </si>
  <si>
    <t>AB Box, Banque des Territoires, Caisse des Depots Group, LeanSquare(Laurent Burton), Noshaq, Ternel</t>
  </si>
  <si>
    <t>furniture storage, furniture storage services, garage rental, online store house, private spaces, rental storage services, rental storage space, rental warehouse, space rental platform, storage rental, stores house, vacant space rental</t>
  </si>
  <si>
    <t>134410-42T</t>
  </si>
  <si>
    <t>LooksGoodAI</t>
  </si>
  <si>
    <t>Developer of a presentation automation software designed to enhance the visual appearance of slides. The company's platform uses artificial technology to automate the generation of presentation slides and eliminate the need for time-consuming manual design work, enabling professional services firms and corporates to create digitized and effective presentations.</t>
  </si>
  <si>
    <t>Loyal VC, One Way Ventures</t>
  </si>
  <si>
    <t>ai-based system, content creation, presentation platform, presentation product, presentation templates, presentation tool, slides designer, slides formatting, slides show</t>
  </si>
  <si>
    <t>226862-74T</t>
  </si>
  <si>
    <t>Picoty</t>
  </si>
  <si>
    <t>132322-15T</t>
  </si>
  <si>
    <t>Evolem, Newfund Management</t>
  </si>
  <si>
    <t>181037-26T</t>
  </si>
  <si>
    <t>Superproducteur</t>
  </si>
  <si>
    <t>Producer of artisanal and natural aperitif-dinner recipes intended to offer a healthy and nutritious food model. The company's recipes integrate the fundamentals of nourishing and eating via organic peasant farming or in conversion, respect for short circuits and biodiversity, principles of fair trade and sustainable development, artisan recipes made from season products without inputs or preservatives, enabling food enthusiasts to get a range of healthy food options.</t>
  </si>
  <si>
    <t>Crédit Agricole Aquitaine Expansion, High Flyers Capital</t>
  </si>
  <si>
    <t>artisan food, food producer, healthy food, nutritious food company, organic food, traditional food</t>
  </si>
  <si>
    <t>136927-72T</t>
  </si>
  <si>
    <t>Appvizer</t>
  </si>
  <si>
    <t>Developer of a software recommendation platform designed to increase the productivity of businesses. The company's platform offers concrete alternatives through articles and videos designed to tackle the professional challenges encountered daily by users as well as leverage machine learning technologies to assist users in their search for information and software, enabling businesses to afford to be accompanied by a consulting firm to find the software they need.</t>
  </si>
  <si>
    <t>AngelSquare, Banque Populaire du Sud, Bpifrance, IRDI Capital Investissement(Julien Sainte-Catherine)</t>
  </si>
  <si>
    <t>online media, professional software, professional software company, professional software development, professional software service, professional software support</t>
  </si>
  <si>
    <t>207917-65T</t>
  </si>
  <si>
    <t>132431-50T</t>
  </si>
  <si>
    <t>Bpifrance(Laure Michel), CAAP Creation, Demeter Partners, EIT InnoEnergy, Eurowatt Partenaire, Kouros Investment(Florent Bergeret), Région Sud Investissement, Supernova Invest</t>
  </si>
  <si>
    <t>132121-90T</t>
  </si>
  <si>
    <t>Newfund Management, Venrex Investment Management</t>
  </si>
  <si>
    <t>138359-62T</t>
  </si>
  <si>
    <t>Bpifrance, Karot Capital(Charles-Antoine Morand)</t>
  </si>
  <si>
    <t>224566-57T</t>
  </si>
  <si>
    <t>160339-33T</t>
  </si>
  <si>
    <t>Mes Allocs.fr</t>
  </si>
  <si>
    <t>Provider of online financial aid services intended to modernize and simplify administrative and social support. The company's services offers online administrative and social assistance services through its virtual assistant to determine the eligibility of its users for state financial aid and provide support for accessing government benefits, enabling individuals to know and access financial aid to improve their purchasing power.</t>
  </si>
  <si>
    <t>administrative support, coaching program, financial aids advising, government benefits information, social assistance, virtual assistant</t>
  </si>
  <si>
    <t>Le Coudray Montceaux, France</t>
  </si>
  <si>
    <t>131761-63T</t>
  </si>
  <si>
    <t>CybelAngel</t>
  </si>
  <si>
    <t>Developer of a data leak detection system designed to offer data security to companies. The company's system discovers sensitive document leaks which are then brought back to their owners as soon as possible to protect their image, competitiveness, and security, enabling companies to secure sensitive data and protect their data systems.</t>
  </si>
  <si>
    <t>Alexis Le-Quoc(Alexis Le-Quoc), Bpifrance, Louis Shipley(Louis Shipley), Olivier Pomel(Olivier Pomel), Open CNP, Prime Ventures(Pieter Welten), Renaud Deraison(Renaud Deraison), Stephan Dietrich(Stephan Dietrich), TempoCap(Damien Henault)</t>
  </si>
  <si>
    <t>counterfeiting detection, cyber security software, cyber threat detection, cybersecurity company, data leak prevention, data protection, data security, data theft prevention, database loss prevention, database monitoring, digital risk protection</t>
  </si>
  <si>
    <t>223991-29T</t>
  </si>
  <si>
    <t>IFP Energies Nouvelles</t>
  </si>
  <si>
    <t>204505-30T</t>
  </si>
  <si>
    <t>PRD Piscines</t>
  </si>
  <si>
    <t>Developer of shell and masonry swimming pools designed to provide customized and innovative designs and products. The company is engaged in the construction and installation of indoor and outdoor swimming pools with and without terraces and also pumping, watering, treatment and analysis services, enabling clients to develop and maintain swimming pools in a hassle-free manner.</t>
  </si>
  <si>
    <t>construction process, construction product, construction work, pool service, sprinkler system, water treatment</t>
  </si>
  <si>
    <t>Chambery, France</t>
  </si>
  <si>
    <t>173921-95T</t>
  </si>
  <si>
    <t>Jan Bohl</t>
  </si>
  <si>
    <t>123286-87T</t>
  </si>
  <si>
    <t>Andera Partners(Gilles Nobecourt), BioMedPartners, Fountain Healthcare Partners(Ena Prosser), Inserm Transfert, Morningside Group(Jason Dinges), Sofinnova Partners(Graziano Seghezzi), The Invus Group</t>
  </si>
  <si>
    <t>204499-00T</t>
  </si>
  <si>
    <t>Laboratoire Isatis</t>
  </si>
  <si>
    <t>Other Commercial Products*, Personal Products</t>
  </si>
  <si>
    <t>Developer of hair color products intended to provide effective and natural cosmetic innovations. The company offers an alternative to conventional colorings with vegetable coloring and cosmetics sourced from plants, enabling customers to avoid harmful chemicals and move towards sustainable beauty.</t>
  </si>
  <si>
    <t>AQUITI Gestion, Expanso., Nouvelle Aquitaine Co-Investissement</t>
  </si>
  <si>
    <t>cosmetics company, hair color products, hair coloring, hair colouring, natural cosmetic product, natural cosmetics</t>
  </si>
  <si>
    <t>Aytre, France</t>
  </si>
  <si>
    <t>189796-78T</t>
  </si>
  <si>
    <t>Liberty Rider</t>
  </si>
  <si>
    <t>Application Software*, Automotive</t>
  </si>
  <si>
    <t>Developer of a mobile application designed to detect accidents and manage safe rides. The company's application provides analyses and follows movements via GPS as well as notifies in case of falls and facilitates live tracking, enabling motorcycle riders' to save their lives in case of any accidents by sharing live location with friends or family.</t>
  </si>
  <si>
    <t>Inter Mutuelles Assistance, Matmut</t>
  </si>
  <si>
    <t>accident reduction, bikers information app, driving jobs, driving modes, live tracking, motorcycle accident detection</t>
  </si>
  <si>
    <t>136480-69T</t>
  </si>
  <si>
    <t>Seaver</t>
  </si>
  <si>
    <t>Application Software, Electronic Equipment and Instruments*, Information Services (B2C)</t>
  </si>
  <si>
    <t>Developer of equestrian riding equipment designed to digitalize the world of horse riding. The company's equipment monitors cardio, movement, workout quality, and measurement of jumps, enabling riders to monitor their horse's training and progress while preserving their health.</t>
  </si>
  <si>
    <t>Normandie Business Angels, Peiker CEE</t>
  </si>
  <si>
    <t>equestrian apparel, equestrian sports equipment, horse health tracker, horse riding equipment, horse training services, horse wearables</t>
  </si>
  <si>
    <t>Internet of Things, Mobile, Wearables &amp; Quantified Self</t>
  </si>
  <si>
    <t>131029-93T</t>
  </si>
  <si>
    <t>Bpifrance, Digital Ventures, ETF Partners(Remy de Tonnac), NGP Capital(Bo Ilsøe), Partech(Philippe Collombel)</t>
  </si>
  <si>
    <t>131703-76T</t>
  </si>
  <si>
    <t>BNP Paribas Développement, Eurazeo (PAR: RF), Idinvest Partners, Illumina Ventures(Nicholas Naclerio), Kurma Partners(Philippe Peltier), LBO France, Paris-Saclay Seed Fund, Partech(Alison Imbert), TusHoldings</t>
  </si>
  <si>
    <t>244762-03T</t>
  </si>
  <si>
    <t>EB Finance</t>
  </si>
  <si>
    <t>131727-07T</t>
  </si>
  <si>
    <t>Otodo</t>
  </si>
  <si>
    <t>Application Software, Electronics (B2C), Information Services (B2C), Other Hardware*</t>
  </si>
  <si>
    <t>Developer of an Internet of Things (IoT) application designed to control appliances and provide an alternative to connecting the home. The company's application is compatible with all types of languages and brands, helps to control connected devices and home equipment, and allows interaction with each other, enabling users to connect new or older home electronics to their mobile phones and get alerts and notifications to stay updated with their residence and simplify ease of operation in day-to-day life.</t>
  </si>
  <si>
    <t>Banque Populaire, Bpifrance, Breega</t>
  </si>
  <si>
    <t>cloud sensor, connected buildings, connected devices, embedded software, home equipment, iot application development, iot sensors, mobile connected devices, smart device, smart home, smart home system, universal platform</t>
  </si>
  <si>
    <t>131634-55T</t>
  </si>
  <si>
    <t>Abeille Impact Investing France, Danone Manifesto Ventures(Laurent Marcel)</t>
  </si>
  <si>
    <t>132820-30T</t>
  </si>
  <si>
    <t>Plum Living</t>
  </si>
  <si>
    <t>Operator of an interior designing platform intended to provide kitchen and living services. The company personalizes the kitchen and interior by offering facades, finishing panels, plinths, and handles that adapt to the cabinets of different ranges, enabling customers to choose their style with the company's samples and order their facades and accessories with the e-shop.</t>
  </si>
  <si>
    <t>Kima Ventures(Jean De La Rochebrochard)</t>
  </si>
  <si>
    <t>furniture customization, furniture customization service, furniture design, furniture personalization service, furniture remodeling, interior design, interior design platform, interior design servicing</t>
  </si>
  <si>
    <t>132241-96T</t>
  </si>
  <si>
    <t>Apicap, Arkéa Capital, Crédit Agricole Normandie, Epopée Gestion(Vladimir Bolze), Normandie Participations</t>
  </si>
  <si>
    <t>133150-69T</t>
  </si>
  <si>
    <t>Move 'N See</t>
  </si>
  <si>
    <t>Developer of indoor and outdoor robotic camera systems intended to capture movements automatically. The company's camera links to a tracking bracelet that is worn by the subject and as the subject moves the system keeps the camera or smartphone focused, enabling users to capture the movements to be used for training or filming purposes.</t>
  </si>
  <si>
    <t>Epopée Gestion(Vladimir Bolze), Finistere Angels, Seventure Partners</t>
  </si>
  <si>
    <t>automatic camera movement, digital tools, film house, remote training, robotic camera, smartphone tools</t>
  </si>
  <si>
    <t>214976-44T</t>
  </si>
  <si>
    <t>131463-82T</t>
  </si>
  <si>
    <t>CerbAir</t>
  </si>
  <si>
    <t>Counter-Unmanned Aerial Systems</t>
  </si>
  <si>
    <t>Operator of a real-time anti-drone platform intended to protect sensitive sites against malicious drones. The company's platform uses state-of-the-art technologies based on radio frequency analysis, image recognition, and jamming, enabling clients to secure sites at risk and vigilantly monitor both public and private airspace.</t>
  </si>
  <si>
    <t>AUBE Management, Boundary Holding(Rajat Khare), Ilavska Vuillermoz Capital, MBDA Holdings, Smart Move Holding(Cyril Balas)</t>
  </si>
  <si>
    <t>anti-drone system, autonomous machine, drones detection, drones detection system, image recognition, intelligent robotics, radio frequency, surveillance technology</t>
  </si>
  <si>
    <t>190279-99T</t>
  </si>
  <si>
    <t>Shapeheart</t>
  </si>
  <si>
    <t>Electronics (B2C)*, Monitoring Equipment</t>
  </si>
  <si>
    <t>Developer of magnetic accessories designed to securely hold smartphones in various mobile activities. The company offers a patented magnetic system that ensures a strong grip, enabling users to conveniently use phones while biking, motorcycling, driving, or running, enhancing the mobile experience.</t>
  </si>
  <si>
    <t>activity tracker, cardio monitoring, heart rate monitoring, heart rated, heart rated tracking, magnetic system</t>
  </si>
  <si>
    <t>Mobile, TMT, Wearables &amp; Quantified Self</t>
  </si>
  <si>
    <t>190676-71T</t>
  </si>
  <si>
    <t>Abricot</t>
  </si>
  <si>
    <t>Social Content*</t>
  </si>
  <si>
    <t>Provider of dating services designed to offer personalized real-time meetings. The company's platform includes tailor-made quality meetings through messages on a phone by suppressing pre-meeting digital discussion, enabling users to personalize their accompany.</t>
  </si>
  <si>
    <t>Papyrus, SquareFoot</t>
  </si>
  <si>
    <t>dating app, meeting agenda, meeting booth, meeting platform, meeting portal, personalized dating</t>
  </si>
  <si>
    <t>131722-75T</t>
  </si>
  <si>
    <t>Fabentech</t>
  </si>
  <si>
    <t>Biotechnology*, Drug Discovery, Medical Supplies, Other Healthcare Technology Systems</t>
  </si>
  <si>
    <t>Developer of immunotherapies and medical technology designed for the treatment of infectious diseases. The company's technology specializes in the composition of highly purified fragments of horse-specific polyclonal immunoglobulins, enabling healthcare institutions to avail themselves of drugs that can address emergency situations effectively.</t>
  </si>
  <si>
    <t>Bpifrance, Elaia Partners(Franck Lescure), Institut Mérieux, Kreaxi(Gwenaël Hamon), Trail Solutions Patrimoine(Guillaume Hemmerle)</t>
  </si>
  <si>
    <t>emergency treatment, immunotherapeutic services, immunotherapy product, infectious disease, medical guide, medical supply</t>
  </si>
  <si>
    <t>135793-09T</t>
  </si>
  <si>
    <t>HIoTee</t>
  </si>
  <si>
    <t>Business/Productivity Software, Telecommunications Service Providers, Wireless Communications Equipment*</t>
  </si>
  <si>
    <t>Provider of end-to-end Internet of Things (IoT) platform intended to communicate and control connected objects anywhere in the world. The company's platform helps in asset monitoring, data collection, geolocation, and remote control in real-time with complete energy autonomy, regardless of the location and communication protocol used, enabling businesses in various industries to optimize data on-site in order to send only useful information.</t>
  </si>
  <si>
    <t>Mines Ales Angels, Sofilaro</t>
  </si>
  <si>
    <t>cellular network, geolocation data, iot device, iot satellite network, iot software, iot solutions, middleware, satellite communication</t>
  </si>
  <si>
    <t>133635-52T</t>
  </si>
  <si>
    <t>Huddle Corp</t>
  </si>
  <si>
    <t>Aquaculture, Other Agriculture*, Other Consumer Non-Durables</t>
  </si>
  <si>
    <t>Developer of aquaculture feed technologies designed to preserve the nutrient quality of the feed when manufactured. The company's technologies solve the challenges with proprietary encapsulation technologies which enable the fish and other animals to essentially absorb more nutrients hence wasting less in the local environment, enabling humans to have healthier, stronger, and well-being animals that will provide higher quality proteins.</t>
  </si>
  <si>
    <t>Demeter Partners(Majdi Najah)</t>
  </si>
  <si>
    <t>animal ag, animal agriculture, animal feed, animal nutrition, aquaculture, aquaculture supply, encapsulation technology, feed technology, feedstock processing, feedstock product, sustainable nutrition</t>
  </si>
  <si>
    <t>AgTech, CleanTech, LOHAS &amp; Wellness</t>
  </si>
  <si>
    <t>207180-01T</t>
  </si>
  <si>
    <t>Mes Enseignes</t>
  </si>
  <si>
    <t>Provider of web marketing services intended to expand customer base and boost turnover. The company's services include personalized marketing strategies to develop the notoriety and visibility of local shops on the Internet to increase in-store traffic, and also guide and support merchants in their digital communication and help them meet the expectations of Internet consumers, enabling businesses to expand their market reach and their growth in the market.</t>
  </si>
  <si>
    <t>digital market, in-store traffic, marketing services, natural referencing, online marketing, seo pages, web-to-store</t>
  </si>
  <si>
    <t>155956-42T</t>
  </si>
  <si>
    <t>Smartpush</t>
  </si>
  <si>
    <t>Operator of a banking data aggregation and analysis platform intended to transform raw banking data into exploitable smart data. The company's platform collects a wide range of consumer data such as personal and professional consumer profiles, age, areas of interest, and behavioral data and offers algorithms for data collection, data transformation, and data profiling, enabling banks to enhance data to reinvent customer relations via a virtuous ecosystem that benefits everyone.</t>
  </si>
  <si>
    <t>JMYX Holding, Truffle Capital</t>
  </si>
  <si>
    <t>banking data, banking data aggregation, banking data analysis, banking data integration, banking data platform, consumer data analysis, vertical application</t>
  </si>
  <si>
    <t>131242-15T</t>
  </si>
  <si>
    <t>Acton Capital(Dominik Alvermann), Global Founders Capital, Innoport</t>
  </si>
  <si>
    <t>131315-23T</t>
  </si>
  <si>
    <t>Cathay Innovation(Denis Barrier), Christopher Gibson(Christopher Gibson), Fly Ventures(Gabriel Matuschka), Groupe MACSF, Obvious Ventures(Nan Li), Serena (Paris)</t>
  </si>
  <si>
    <t>101819-53T</t>
  </si>
  <si>
    <t>Tinyclues</t>
  </si>
  <si>
    <t>Developer of CRM marketing software designed for retail, travel and hospitality and luxury industries. The company's platform leverages artificial intelligence that captures the latent business and customer insights contained in first-party data to predict future buyers for any product or service campaign, enabling brands to present relevant product offers to their customers for improved engagement.</t>
  </si>
  <si>
    <t>Alven Capital Partners(Guillaume Aubin), Elaia Partners(Samantha Jérusalmy), EQT Ventures(Alastair Mitchell), ISAI, Silverhorn Investment Advisors</t>
  </si>
  <si>
    <t>ai marketing platform, ai technology, big data platform, campaign intelligence, digital marketing, it industry, marketing campaign intelligence, marketing software product, prospecting communication</t>
  </si>
  <si>
    <t>137007-10T</t>
  </si>
  <si>
    <t>BNP Paribas Développement, Bpifrance(Luisa Piccinini), Crédit Agricole Alpes Développement(Sabrina Kouidri), Linksium, Sofimac Innovation(Philippe Vuagnat), Supernova Invest(François Breniaux)</t>
  </si>
  <si>
    <t>131231-26T</t>
  </si>
  <si>
    <t>Daniel Calle(Daniel Calle), Eurazeo (PAR: RF), Malakoff Humanis, Newfund Management, Normandie Participations</t>
  </si>
  <si>
    <t>131371-21T</t>
  </si>
  <si>
    <t>Kineis</t>
  </si>
  <si>
    <t>Electronic Equipment and Instruments*, Other Communications and Networking</t>
  </si>
  <si>
    <t>Developer of satellite technology designed to offer global connectivity for the IoT domain. The company's satellites work with terrestrial IoT operators, current satellite operators, and connected object manufacturers to locate and connect objects wherever they are on the planet, enabling clients to locate and collect data all over the globe in all conditions.</t>
  </si>
  <si>
    <t>BNP Paribas Développement, Bpifrance(Magali Joessel), Celad, Centre National d'Etudes Spatiales, Collecte Localisation Satellites, Compagnie Nationale à Portefeuille, Ethics Group, European Investment Bank (Luxembourg), Hemeria Group(Nicolas Multan), Ifremer, NEXEYA, Thales Group (PAR: HO)</t>
  </si>
  <si>
    <t>connectivity product, iot connectivity, iot networking, nano satellites systems, network infrastructure, satellite connectivity, satellite operator, satellite technology</t>
  </si>
  <si>
    <t>Internet of Things, Space Technology</t>
  </si>
  <si>
    <t>204504-22T</t>
  </si>
  <si>
    <t>Seb' Automatisme</t>
  </si>
  <si>
    <t>Manufacturer of special machines intended to develop equipment and skills to support industrial companies. The company offers robotics, laser marking, and 3D printing as well as mechanical and electrical engineering, enabling businesses to optimize their production line with innovative products adapted to their needs.</t>
  </si>
  <si>
    <t>3d printing machine, electrical engineering, equipment designer, machines and tools, manufacturer support, special machine manufacturer, special machines</t>
  </si>
  <si>
    <t>Marnaz, France</t>
  </si>
  <si>
    <t>134730-64T</t>
  </si>
  <si>
    <t>Adrenalead</t>
  </si>
  <si>
    <t>Operator of a marketing activation platform intended to help marketers acquire and retain customers. The company reconciles the business interests and restrictions of advertisers and media, whilst protecting the privacy of Internet users by using technology based on artificial intelligence, enabling clients to access tools that can be used to reach a wider audience and deliver personalized messages.</t>
  </si>
  <si>
    <t>Bpifrance, Courtin Investment, SIDE Capital</t>
  </si>
  <si>
    <t>business tools, customer acquisition, marketing activation platform, marketing platform app, marketing solutions, performance marketing, web push notifications</t>
  </si>
  <si>
    <t>164982-97T</t>
  </si>
  <si>
    <t>BCM Energy, EIT InnoEnergy, JBC2</t>
  </si>
  <si>
    <t>155439-01T</t>
  </si>
  <si>
    <t>Meal Canteen</t>
  </si>
  <si>
    <t>Application Software, Business/Productivity Software*, Other Restaurants, Hotels and Leisure, Restaurants and Bars</t>
  </si>
  <si>
    <t>Developer of food management application designed to provide collective catering to reduce food waste. The company's application offers online reservations, which facilitates users' ordering of food the day before, enabling restaurants to know the order well in advance and avoid food wastage.</t>
  </si>
  <si>
    <t>Lovemoney.com</t>
  </si>
  <si>
    <t>food catering company, food catering platform, food catering solutions, food production, food reservation, food wastage, food waste &amp; traceability, food waste and traceability, food waste control</t>
  </si>
  <si>
    <t>FoodTech, Mobile, Restaurant Technology</t>
  </si>
  <si>
    <t>138162-52T</t>
  </si>
  <si>
    <t>Fair West, Leonis Investissement, NCI Gestion, NFactory (Accelerator)</t>
  </si>
  <si>
    <t>204493-69T</t>
  </si>
  <si>
    <t>Sinao</t>
  </si>
  <si>
    <t>Accounting, Audit and Tax Services (B2C), Business/Productivity Software, Financial Software*, Other Financial Services</t>
  </si>
  <si>
    <t>Developer of a billing accounting software intended to simplify the daily invoicing and manage the business. The company's software prepares quotes and invoices, saves money by controlling expenses and automates accounting preparations, enabling businesses to monitor their contacts and sales.</t>
  </si>
  <si>
    <t>accounting and bank, accounting app, accounting management software, accounting service, accounting software, accounting software developer, billing software, management software</t>
  </si>
  <si>
    <t>133151-32T</t>
  </si>
  <si>
    <t>135609-67T</t>
  </si>
  <si>
    <t>WeatherForce</t>
  </si>
  <si>
    <t>Operator of a weather projection platform designed to assess climate risk based on climatic conditions. The company's platform provides sustainable data analysis by transforming weather information into customized indicators through weather intelligence, enabling developing communities and businesses to facilitate sustainable development while safeguarding local populations.</t>
  </si>
  <si>
    <t>Bpifrance, Le Village by CA</t>
  </si>
  <si>
    <t>climate analytics, projection platform, weather analysis, weather intelligence, weather prediction, weather reporting</t>
  </si>
  <si>
    <t>155618-65T</t>
  </si>
  <si>
    <t>Augmenteo</t>
  </si>
  <si>
    <t>Developer of a gaming platform designed to create fun and cultural games in a superimposed environment. The company's platform designs and develops augmented reality-based games through an intuitive interface, enabling users to experience animation and outdoor leisure activities in real-time.</t>
  </si>
  <si>
    <t>Banque Populaire, BNP Paribas (PAR: BNP), Bpifrance, Crédit Agricole Nord de France (PAR: CNDF), Finovam Gestion, Nord Capital Partenaires, Nord France Amorçage</t>
  </si>
  <si>
    <t>augmented reality app, game studio, gaming content, gaming developer, gaming platform, gaming platform company, gaming publisher, gaming site, gaming studio, gaming tech</t>
  </si>
  <si>
    <t>Augmented Reality, Gaming</t>
  </si>
  <si>
    <t>137448-91T</t>
  </si>
  <si>
    <t>Extrality</t>
  </si>
  <si>
    <t>Developer of an industrial design platform designed to offer rapid numerical simulations by machine learning. The company's platform simplifies artificial intelligence-powered simulations allowing engineers to assess the aerodynamics, fluids and thermic of a product in just a few seconds while keeping industry-critical physical accuracy, enabling manufacturers in aerospace, transport and energy to drastically reduce their time-to-market.</t>
  </si>
  <si>
    <t>Bpifrance, Florian Douetteau(Florian Douetteau), Kima Ventures, Nadav Rosenberg(Nadav Rosenberg), Tancrède Besnard(Tancrède Besnard)</t>
  </si>
  <si>
    <t>ai cores, artificial intelligence company, artificial intelligence opportunities, artificial intelligence system, industrial design, industrial design service, numerical simulation</t>
  </si>
  <si>
    <t>175317-94T</t>
  </si>
  <si>
    <t>Lucie Labs</t>
  </si>
  <si>
    <t>Electronic Equipment and Instruments*, Electronics (B2C), IT Consulting and Outsourcing</t>
  </si>
  <si>
    <t>Provider of technology services intended to help clients grow their business through the transformation of the usage they can propose of their products. The company offers technology that transforms traditional products into smart, creative, interactive and useful connected objects that can be controlled via an application, enabling clients to understand how their product is used, offered, and differentiated.</t>
  </si>
  <si>
    <t>Bpifrance, Créazur, Neo-In, Région Sud Investissement</t>
  </si>
  <si>
    <t>connectivity service, electronics industry, industrial data analytics, iot business product, iot platform, technology industry, vertical application</t>
  </si>
  <si>
    <t>Advanced Manufacturing, Internet of Things, TMT</t>
  </si>
  <si>
    <t>129346-93T</t>
  </si>
  <si>
    <t>AssoConnect</t>
  </si>
  <si>
    <t>Developer of SaaS-based management software designed to streamline association operations. The company's software leverages technology to facilitate the management of associations: accounting firms, membership management, payment tracking, grant applications, online payment, follow-up of members, and emailing, enabling organizations and clubs to focus less on administrative work, and more on their core business activities.</t>
  </si>
  <si>
    <t>Financière Saint James, French Partners(Emilie Buttiaux), ISAI, Michaël Benabou(Michaël Benabou), Nicolas Macquin, Philippe Tesler(Philippe Tesler), Rodolphe Carle(Rodolphe Carle), Siparex Group, Thibaud Elziere(Thibaud Elziere), XAnge(Manon Gazzotti)</t>
  </si>
  <si>
    <t>activity management, business management platform, business managing tools, communication tool, management software system, online business software</t>
  </si>
  <si>
    <t>136658-26T</t>
  </si>
  <si>
    <t>Neteven</t>
  </si>
  <si>
    <t>Developer of marketplace management software designed to help retailers grow their business locally and internationally. The company's software manages and optimizes the full sale cycle, reaches buyers, sells online to users without an e-commerce site and also helps in single-point integration to the marketplaces, enabling businesses to make sure that each project is delivered in a transparent and timely manner.</t>
  </si>
  <si>
    <t>A Plus Finance, Belcube, Concentric(Kjartan Rist), Kinled Holding</t>
  </si>
  <si>
    <t>crm, customer relationship management, ecommerce personalization, marketplace management, marketplace management service, marketplace management software, marketplace trading, reach buyers, retail distribution, sales cycle management, sales promotion</t>
  </si>
  <si>
    <t>131173-84T</t>
  </si>
  <si>
    <t>Powell Software</t>
  </si>
  <si>
    <t>Developer of a digital workplace platform designed to enhance employee connectivity and productivity. The company's platform enhances collaboration, simplifies governance, fortifies security, ensures connectivity for remote or mobile workers, and offers artificial intelligence tools to organize information and assist in content creation, enabling organizations to enhance their internal communication and overall employee experience.</t>
  </si>
  <si>
    <t>CapHorn Invest(Alexandre Pelletier), Level Equity(George McCulloch)</t>
  </si>
  <si>
    <t>collaboration tool, digital workplace platform, employee connectivity, employee engagement, enterprise resource planning, erp, human capital management, internal communication, workforce collaboration</t>
  </si>
  <si>
    <t>168800-59T</t>
  </si>
  <si>
    <t>Braderie.pro</t>
  </si>
  <si>
    <t>Building Products, Industrial Supplies and Parts*, Other Commercial Products</t>
  </si>
  <si>
    <t>Developer of a B2B equipment trading platform designed to connect building professionals such as wholesalers, suppliers, manufacturers, liquidators, craftsmen, and SMEs. The company's platform sells products that are end of the stock, end of series, or have site returns, order errors, over-quantity, and intact products with damaged packaging, thereby reducing waste in the construction industry, enabling clients to get new online products under warranty that are delivered directly to the address of their choice.</t>
  </si>
  <si>
    <t>Angelor, Bpifrance</t>
  </si>
  <si>
    <t>building material sales, building material trade, building materials market, building materials online, building materials store, equipment marketplace</t>
  </si>
  <si>
    <t>202598-38T</t>
  </si>
  <si>
    <t>123 Investment Managers, Cornerplay, PJA Management</t>
  </si>
  <si>
    <t>132049-90T</t>
  </si>
  <si>
    <t>159047-29T</t>
  </si>
  <si>
    <t>Resurrection</t>
  </si>
  <si>
    <t>Producer of culinary enhancements intended to practice food upcycling. The company transforms spent grains and apple pomace into certified crackers including preserved biscuits, rusks, and pastries, providing customers with organic and healthy snack options while bringing grains back to life.</t>
  </si>
  <si>
    <t>Charente-Périgord Expansion(Laurent Martin), Groupe Le Duff, The Moon Venture, Triballat Noyal group</t>
  </si>
  <si>
    <t>agri-food company, bio-engineered food, byproducts processing, organic cookies, organic food, upcycled food</t>
  </si>
  <si>
    <t>133245-91T</t>
  </si>
  <si>
    <t>Takara Capital, Techmind</t>
  </si>
  <si>
    <t>39406-78T</t>
  </si>
  <si>
    <t>Unilever (LON: ULVR)</t>
  </si>
  <si>
    <t>177299-02T</t>
  </si>
  <si>
    <t>Bpifrance(Alicia Sorel)</t>
  </si>
  <si>
    <t>130777-12T</t>
  </si>
  <si>
    <t>Bpifrance, Eurazeo (PAR: RF), General Atlantic(Gabriel Caillaux), Kismet Holdings, Piton Capital(Andrin Bachmann), Temasek Holdings</t>
  </si>
  <si>
    <t>168769-27T</t>
  </si>
  <si>
    <t>Rancilio Cube, Techmind</t>
  </si>
  <si>
    <t>135535-15T</t>
  </si>
  <si>
    <t>Expon Capital, FaDiese</t>
  </si>
  <si>
    <t>139231-36T</t>
  </si>
  <si>
    <t>Toosla (PAR: ALTOO)</t>
  </si>
  <si>
    <t>Toosla SA is specialized in short-term rental of vehicles. The company's business activity is carried out over a mobile platform that lets users rent vehicles online without going through an agency, and have their vehicle delivered to their home or pick it up at any time at one of the company's approved stations.</t>
  </si>
  <si>
    <t>car marketplace, car portal, car rental app, car rental platform, car rental service, car rental service provider, carsharing platform</t>
  </si>
  <si>
    <t>Car-Sharing, Mobile, Mobility Tech</t>
  </si>
  <si>
    <t>Cormontreuil, France</t>
  </si>
  <si>
    <t>226109-35T</t>
  </si>
  <si>
    <t>180455-32T</t>
  </si>
  <si>
    <t>Guest Suite</t>
  </si>
  <si>
    <t>Developer of a comprehensive local visibility management platform designed to enhance online reputation. The company's platform centralizes review collection, feedback management, and local SEO optimization and manages the collection, dissemination, analysis, and responses to customer reviews, enabling businesses to improve their presence and boost local search rankings.</t>
  </si>
  <si>
    <t>Arkéa Capital, MAVA Ventures</t>
  </si>
  <si>
    <t>business review, customer reviews, guest experience platform, reputation management, reputation service, review management, seo optimization</t>
  </si>
  <si>
    <t>137593-36T</t>
  </si>
  <si>
    <t>Lidea</t>
  </si>
  <si>
    <t>Producer of seed products intended to provide agricultural support to farmers. The company's products produce corn, sunflower, maize, sorghum, and soybean while minimizing environmental impact, enabling farmers to maximize profitability and productivity while meeting the demands of various markets.</t>
  </si>
  <si>
    <t>Sofiproteol(Luc Ozanne), Unigrains(François-Xavier Masson)</t>
  </si>
  <si>
    <t>ag biotech, agriculture technology, farming innovation, high-yield seeds, plant biotech, plant biotechnology, seeds company, seeds products, sustainable farming, sustainable seeds</t>
  </si>
  <si>
    <t>Lescar, France</t>
  </si>
  <si>
    <t>137616-49T</t>
  </si>
  <si>
    <t>Axeleo Capital(Eric Burdier), BNP Paribas Développement, OneRagtime(Stéphanie Hospital), Starquest Capital, The Field</t>
  </si>
  <si>
    <t>130557-88T</t>
  </si>
  <si>
    <t>Kickmaker</t>
  </si>
  <si>
    <t>Business/Productivity Software, IT Consulting and Outsourcing*, Other Commercial Services</t>
  </si>
  <si>
    <t>Developer of industrialization and engineering software designed to assist in developing products from prototypes to mass-production. The company's services include developing an industrialization strategy, optimizing product design, implementing DFX methodologies, thereby enabling partner companies to reach their target markets.</t>
  </si>
  <si>
    <t>Generis Capital Partners(Thibaut de Roux)</t>
  </si>
  <si>
    <t>construction and engineering, high tech product, industrialization agency, industrialization services, product development, prototyping company, supply chain</t>
  </si>
  <si>
    <t>199333-45T</t>
  </si>
  <si>
    <t>Mention</t>
  </si>
  <si>
    <t>Developer of real-time web alerts software designed to help companies and individuals track news on the web and social media sites. The company's platform helps users monitor the web for any keyword, create alerts on their name, brand, and competitors, and be informed in real-time about any mention on the web and social web, enabling companies to engage with their audience and track their competitors.</t>
  </si>
  <si>
    <t>Mynewsdesk</t>
  </si>
  <si>
    <t>branding monitoring, branding tracking, community management, media monitoring, monitoring software, social monitoring, web analytics, web tracking</t>
  </si>
  <si>
    <t>160342-93T</t>
  </si>
  <si>
    <t>ELIA Games</t>
  </si>
  <si>
    <t>Operator of a gaming studio intended to offer exciting mobile games. The company's studio designs develops and publishes games that can be played by all age groups, for Android and iOS devices, providing users with entertainment applications to pass their time.</t>
  </si>
  <si>
    <t>INNOV8 Group, Kima Ventures, OVNI Capital(Arnaud Laurent)</t>
  </si>
  <si>
    <t>game studio, gaming content, gaming developer, mobile gaming, online games, word game</t>
  </si>
  <si>
    <t>130638-70T</t>
  </si>
  <si>
    <t>123 Investment Managers, BNP Paribas (PAR: BNP), Sofimac Investment Managers, UI Investissement</t>
  </si>
  <si>
    <t>130731-94T</t>
  </si>
  <si>
    <t>Fair&amp;Smart</t>
  </si>
  <si>
    <t>Operator of a data governance platform intended to manage all consents and preferences in real-time. The company's platform restores trust between individuals and organizations through data transparency and controls the data subject, processes law enforcement requests on a large scale and at a known cost, enabling users to exercise their rights, secure their data, and build a transparent relationship with customers.</t>
  </si>
  <si>
    <t>Bpifrance, BusinessAngels.fr, ILP Group, Yeast (France)</t>
  </si>
  <si>
    <t>consent management, data management, data management firm, human-centric platform, personal data, personal data management</t>
  </si>
  <si>
    <t>130393-18T</t>
  </si>
  <si>
    <t>Alter Equity, Banque des Territoires, KOIS(Charles-Antoine Janssen), Région Sud Investissement</t>
  </si>
  <si>
    <t>130346-65T</t>
  </si>
  <si>
    <t>LumApps</t>
  </si>
  <si>
    <t>Developer of a social and collaborative intranet platform designed to connect, inform and engage employees. The company's platform brings together all content in an enterprise and acts as a central hub for personalized content, social communications, work tools and applications, enabling its clients to break down communication silos to build improved, comparatively more collaborative relationships between individual employees and departments.</t>
  </si>
  <si>
    <t>Bpifrance(Arnaud Helle), Famille C, Goldman Sachs Growth Equity(Christian Resch), Idinvest Partners, IRIS (Private Equity)</t>
  </si>
  <si>
    <t>business application suites, communication portal, communications support, content management, content management platform, corporate portal, enterprise resource planning, human capital management, social enterprise portals, social intranet platform</t>
  </si>
  <si>
    <t>226109-71T</t>
  </si>
  <si>
    <t>130365-73T</t>
  </si>
  <si>
    <t>AG Investment, Bpifrance, Federal Holding and Investment Company(Francois Fontaine), Investsud, Korea Investment Partners(Sangwoo Lee), Noshaq(Hugues Wallemacq), SambrInvest, SFPI, Shinhan Financial Group (KRX: 055550), Société Régionale d'Investissement de Wallonie, UTC Investment</t>
  </si>
  <si>
    <t>155642-86T</t>
  </si>
  <si>
    <t>Qualineo</t>
  </si>
  <si>
    <t>Provider of SaaS services intended to digitize all the complex aspects related to management, communication and quality management in healthcare establishments. The company engages in responding to managers and their employees engaged in a process aimed at continuously improving their level of quality, in particular, to cope with constantly evolving regulatory requirements, enabling healthcare employees to become more efficient in focusing on the human aspect of their profession.</t>
  </si>
  <si>
    <t>health digitization, healthcare quality assurance, healthcare quality consultant, healthcare quality management, saas healthcare application, saas healthcare platform, software solutions</t>
  </si>
  <si>
    <t>130895-38T</t>
  </si>
  <si>
    <t>Keetiz</t>
  </si>
  <si>
    <t>Developer of a mobile payment application designed to offer cashback on online purchases. The company's application helps to merge the bank accounts with their application which is SSL secured and rewards cashback whenever a purchase is made using a bank card or a restaurant voucher, revitalizes the activity of shops, restores purchasing power and accelerates the digital transformation of shops, enabling users to earn up to thirty percent of their transaction amount and participate in the revitalization of businesses.</t>
  </si>
  <si>
    <t>Banque Populaire, Bpifrance, Sofilaro</t>
  </si>
  <si>
    <t>cash back application, cashless transaction, digital transformation, mobile application, mobile payment app, online payment tools, payment application</t>
  </si>
  <si>
    <t>Artificial Intelligence &amp; Machine Learning, FinTech, Mobile</t>
  </si>
  <si>
    <t>133123-87T</t>
  </si>
  <si>
    <t>Krono-Safe</t>
  </si>
  <si>
    <t>Developer of real-time applications designed to boost the efficiency of the software systems. The company engages in developing and marketing software suites based on an innovative real-time kernel for safety-critical real-time embedded systems and providing an integrated development environment to simulate exhaustively and integrate automatically the application on the single- or multi-core hardware target platform, thereby providing users with a safe and efficient solution to develop complex real-time embedded applications.</t>
  </si>
  <si>
    <t>Aptiv (NYS: APTV)(David Paja), CEA Investissement, CEC Huada International, Crédit Mutuel Innovation(Clement Combal), Draper Dragon, Safran Corporate Ventures(Florent Illat), Scientipole Capital, Supernova Invest</t>
  </si>
  <si>
    <t>business productivity software, computer software, embedded systems, real time operating system, software developer, software system</t>
  </si>
  <si>
    <t>132602-05T</t>
  </si>
  <si>
    <t>Financiere Arbevel(Marc Le Bozec), High-Tech Gründerfonds(Frank Hensel), M Ventures(Oliver Hardick), Seventure Partners(Philippe Tramoy), Verve Ventures</t>
  </si>
  <si>
    <t>130874-14T</t>
  </si>
  <si>
    <t>Wupatec</t>
  </si>
  <si>
    <t>Business/Productivity Software, Environmental Services (B2B), Wireless Communications Equipment*</t>
  </si>
  <si>
    <t>Developer of a power amplifier technology designed to reduce the power consumption of wireless telecommunication systems. The company's technology offers compactness, cost, and energy efficiency perspectives over wide frequency bands and applies to mobile telephony, 4G and 5G networks, and mobile ground radio services, enabling telecom companies to reduce their carbon footprint.</t>
  </si>
  <si>
    <t>AQUITI Gestion(Nicolas Delaunay), EIT InnoEnergy, IRDI Capital Investissement(Mathieu Goudot), Nouvelle Aquitaine Co-Investissement</t>
  </si>
  <si>
    <t>carbon footprint reduction, energy efficiency, power amplifier module, power amplifier provider, power amplifier technology, wireless telecommunication</t>
  </si>
  <si>
    <t>135798-40T</t>
  </si>
  <si>
    <t>Aqsitania</t>
  </si>
  <si>
    <t>Decision/Risk Analysis, Diagnostic Equipment*, Other Healthcare Technology Systems</t>
  </si>
  <si>
    <t>Developer of a signal analysis technology designed to treat any insufficiency in the respiratory system. The company's technology uses the analysis protocol to extract important, precise, and relevant information from signals via the study of morphology to monitor chronic respiratory diseases and assess athletic respiratory health, enabling physicians to describe, understand, and exploit respiratory and resuscitation problems efficiently.</t>
  </si>
  <si>
    <t>pulmonary care, respiratory analysis, respiratory sensor, respiratory system, signal analysis platform, signal analysis tool</t>
  </si>
  <si>
    <t>131082-22T</t>
  </si>
  <si>
    <t>Melba</t>
  </si>
  <si>
    <t>Developer of a recipe and production management software designed to manage hotel business operations. The company's software organizes the knowledge base, manages production planning and stocks, generates orders, and provides access to numerous indicators and analytics, enabling restaurants to reduce waste and increase their productivity and profitability.</t>
  </si>
  <si>
    <t>Acequia Capital, Daffourd Invest, Founders Future, Hippolyte Capital, HSD Capital, Martin Solveig(Martin Solveig), Olivier Vaury(Olivier Vaury), Unico Partners, Wayra</t>
  </si>
  <si>
    <t>food management software, hotel business operations, inventory control, production management, revenue management software, stock management, supply management</t>
  </si>
  <si>
    <t>129376-99T</t>
  </si>
  <si>
    <t>Alven Capital Partners(Guillaume Aubin), DST Global, Hedosophia, Ingo Uytdehaage, Taavet Hinrikus(Taavet Hinrikus), Tencent Holdings (HKG: 00700), Valar Ventures</t>
  </si>
  <si>
    <t>129994-57T</t>
  </si>
  <si>
    <t>Extracadabra</t>
  </si>
  <si>
    <t>Developer of a support staff recruitment application designed to recruit extra staff in an emergency situation. The company's application permits qualified workers to apply for a job on a temporary basis to provide extra service in restaurants and bars, enabling clients in the hospitality sector to recruit them in an instant from the application according to their needs.</t>
  </si>
  <si>
    <t>Bpifrance(Flavien Tiberghien), SIDE Capital</t>
  </si>
  <si>
    <t>hotel staff recruitment, jobs recruitment, mobile application, recruiting professional, sales logistics, support staff</t>
  </si>
  <si>
    <t>HR Tech, Mobile, SaaS, TMT</t>
  </si>
  <si>
    <t>133143-31T</t>
  </si>
  <si>
    <t>Kima Ventures, Seventure Partners, SGPA</t>
  </si>
  <si>
    <t>129994-66T</t>
  </si>
  <si>
    <t>Harvestr</t>
  </si>
  <si>
    <t>Developer of a web-based product management software designed to help companies build successful products. The company's software integrates with other tools to centralize all product-related feedback, get insights, and make the right product management decisions, enabling firms to leverage customer feedback, prioritize features, and share product road maps and data to build digital products.</t>
  </si>
  <si>
    <t>Bpifrance, Guillaume Alary-Raisonnier(Guillaume Alary-Raisonnier), Nicolas Hernandez(Nicolas Hernandez), Roxanne Varza</t>
  </si>
  <si>
    <t>customer feedback app, digital products, product management, product management software, product roadmap, web application</t>
  </si>
  <si>
    <t>200191-87T</t>
  </si>
  <si>
    <t>Watcha</t>
  </si>
  <si>
    <t>Developer of a digital workplace application designed to protect communication flows. The company provides an open-source suite designed for business communication and project management offering features like chat, video conferencing, task management, and file sharing, enabling clients to securely message and collaborate efficiently.</t>
  </si>
  <si>
    <t>Cameleon Invest, Club Holnest, Europe Business Angels, Holnest</t>
  </si>
  <si>
    <t>collaboration tool, digital workplace application, digital workplace platform, digital workplace software, digital workplace solution, digital workplace solutions</t>
  </si>
  <si>
    <t>136152-46T</t>
  </si>
  <si>
    <t>Wisper (Business/Productivity Software)</t>
  </si>
  <si>
    <t>Business/Productivity Software, Operating Systems Software*, Other Commercial Services</t>
  </si>
  <si>
    <t>Developer of virtualization software designed for desktop management and enterprise telephony. The company's software offers centralized management of the entire stock of computers without any server infrastructure as well as provides reception management, call center supervision, statistics, and interconnection of business tools, enabling clients to have increased productivity with a real competitive advantage.</t>
  </si>
  <si>
    <t>BNP Paribas (PAR: BNP), BRED Banque Populaire, Crédit Agricole Aquitaine Expansion, Normandie Participations(John Guinet)</t>
  </si>
  <si>
    <t>business tools, centralized management, desktop software, desktop virtualization platform, reception management, telework platform, video conferencing tools, virtualization service, workstations management</t>
  </si>
  <si>
    <t>129891-88T</t>
  </si>
  <si>
    <t>LiveTonight</t>
  </si>
  <si>
    <t>Entertainment Software, Information Services (B2C), Media and Information Services (B2B)*</t>
  </si>
  <si>
    <t>Operator of a musician booking platform intended to provide information about music artists in France. The company's platform provides digital booking for professional musicians and offers a music group and disc jockey reservation service, enabling clients to find musicians for any event.</t>
  </si>
  <si>
    <t>booking platform, event booking, music artist network, musicians booking, musicians hiring, musicians platform</t>
  </si>
  <si>
    <t>129879-91T</t>
  </si>
  <si>
    <t>Arthur Waller(Arthur Waller), Bertrand Jelensperger(Bertrand Jelensperger), Index Ventures, Marc-David Choukroun(Marc-David Choukroun), Paulin Dementhon(Paulin Dementhon), Quentin de Metz(Quentin de Metz), Samaipata, Tancrède Besnard(Tancrède Besnard), Vitavest</t>
  </si>
  <si>
    <t>133651-18T</t>
  </si>
  <si>
    <t>BambooVentures, Bpifrance, Epopée Gestion(Vladimir Bolze), GO Capital (France)(Jérôme Guéret), Pays de La Loire Development</t>
  </si>
  <si>
    <t>131285-53T</t>
  </si>
  <si>
    <t>Arkéa Capital, Epopée Gestion, Sofimac Innovation(Stephane Lefevre-Sauli)</t>
  </si>
  <si>
    <t>135771-04T</t>
  </si>
  <si>
    <t>Steepulse</t>
  </si>
  <si>
    <t>Other Hardware, Wireless Communications Equipment*</t>
  </si>
  <si>
    <t>Developer of a wireless broadcasting technology platform designed to offer wireless projection services for meetings, training, and seminar rooms. The company's platform provides an opportunity to stream synchronized information in real-time such as audio, video, and text, between mobile devices like smartphones, tablets, and laptops, enabling users to conduct meetings or lectures efficiently.</t>
  </si>
  <si>
    <t>Banque Populaire Auvergne Rhône Alpes, Bpifrance, Crédit Agricole Sud Rhône-Alpes (PAR: CRSU), Saegus, SharingCloud</t>
  </si>
  <si>
    <t>broadcasting technology, connectivity data, data manager, media center, wireless broadcasting, wireless display</t>
  </si>
  <si>
    <t>156152-44T</t>
  </si>
  <si>
    <t>The Artist Academy</t>
  </si>
  <si>
    <t>Developer of an online learning platform intended to offer various talent-based classes from renowned personalities and brands. The company's platform aims to provide knowledge of talents, brands, and celebrities by offering courses in multiple fields such as writing, performing art, music, sport, cooking, and 
entrepreneurship, enabling users to interact with multiple artists and share their passion.</t>
  </si>
  <si>
    <t>5M Ventures, Bpifrance(Florent Genoux)</t>
  </si>
  <si>
    <t>digital classes, digital learning, e learning platform, online learning system, social interaction platform, social platform</t>
  </si>
  <si>
    <t>130108-96T</t>
  </si>
  <si>
    <t>France Active, Investir &amp;+, Phitrust Partenaires</t>
  </si>
  <si>
    <t>129700-36T</t>
  </si>
  <si>
    <t>Sensome</t>
  </si>
  <si>
    <t>Developer of a remote monitoring technology designed to turn invasive vascular medical devices into connected healthcare devices. The company's
sensing technology combines impedance-based micro-sensors with machine learning algorithms to instantly identify biological tissues upon contact with unequaled predictive reliability, enabling healthcare practitioners to be provided with sensor technology that can be deployed in multiple other medical fields, such as interventional cardiology and oncology.</t>
  </si>
  <si>
    <t>Asahi Intecc (TKS: 7747)(Masahiko Miyata), BNP Paribas Développement, Idinvest Partners, Kurma Partners(Philippe Peltier), Paris-Saclay Seed Fund, Yozma</t>
  </si>
  <si>
    <t>biological tissue, connected healthcare, connected objects, connected service, healthcare data analytics, medical devices, medtech company, medtech firm, neurovascular device, vertical application</t>
  </si>
  <si>
    <t>Artificial Intelligence &amp; Machine Learning, Big Data, Digital Health, Life Sciences</t>
  </si>
  <si>
    <t>129708-28T</t>
  </si>
  <si>
    <t>360 Capital, Balderton Capital(Bernard Liautaud), Elaia Partners(Marc Rougier)</t>
  </si>
  <si>
    <t>256584-25T</t>
  </si>
  <si>
    <t>Monstera Capital, Sunrise Ventures</t>
  </si>
  <si>
    <t>158826-34T</t>
  </si>
  <si>
    <t>CapVisio</t>
  </si>
  <si>
    <t>Communication Software*, Electronic Components, Multimedia and Design Software</t>
  </si>
  <si>
    <t>Developer of videoconferencing systems designed for the digitization of the work environment. The company's systems make communication instantaneous, data exchanges more fluid, and presentations more interactive, enabling customers to optimize their performance, make communication easier, and streamline their exchanges.</t>
  </si>
  <si>
    <t>Ouest Croissance Gestion(Anne Jacquinet-Sulger)</t>
  </si>
  <si>
    <t>communication equipment, remote meeting, video conference device, video conference services, video conference system, workspace model</t>
  </si>
  <si>
    <t>AudioTech, Industrials, TMT</t>
  </si>
  <si>
    <t>129584-35T</t>
  </si>
  <si>
    <t>Cardiologs</t>
  </si>
  <si>
    <t>Decision/Risk Analysis*, Diagnostic Equipment</t>
  </si>
  <si>
    <t>Operator of a medical technology company intended to democratize cardiac care globally. The company's technology empowers all actors in the care chain with artificial intelligence and offers an automatic heart disorder screener and electrocardiogram analysis web services based on machine learning algorithms, providing physicians with supportive information for electrocardiogram interpretation.</t>
  </si>
  <si>
    <t>Alven Capital Partners(François Meteyer), Bpifrance(Jean-Patrice Anciaux), Eurazeo (PAR: RF), Idinvest Partners, ISAI, Kurma Partners(Philippe Peltier), Paris-Saclay Seed Fund</t>
  </si>
  <si>
    <t>artificial intelligence technology, cardiology care, clinical workflow, deep learning, ecg analysis, ecg analysis platform, ecg analysis solutions, eeg and ecg</t>
  </si>
  <si>
    <t>Artificial Intelligence &amp; Machine Learning, Big Data, CloudTech &amp; DevOps, Digital Health, SaaS, TMT</t>
  </si>
  <si>
    <t>129527-83T</t>
  </si>
  <si>
    <t>Alderaan Biotechnology</t>
  </si>
  <si>
    <t>Developer of a monoclonal antibody designed to offer treatment for cancer. The company's antibodies help to deplete regulatory T (Treg) cells in cancer and to boost Natural Killer (NK) cell cytotoxic activity in cancer, emerging as new immunotherapy modalities, enabling physicians to avail antibodies to use directed against immune cells in the tumor microenvironment.</t>
  </si>
  <si>
    <t>AdBio partners, Medicxi(Michèle Ollier)</t>
  </si>
  <si>
    <t>antibodies developer, antibodies discovery, antibody, biologics, biotechnology discovery, immuno-oncology company, immuno-oncology treatment, monoclonal antibody, monoclonal antibody drug</t>
  </si>
  <si>
    <t>178317-64T</t>
  </si>
  <si>
    <t>Pureos Bioventures</t>
  </si>
  <si>
    <t>218459-17T</t>
  </si>
  <si>
    <t>129464-74T</t>
  </si>
  <si>
    <t>Naïo Technologies</t>
  </si>
  <si>
    <t>Developer of agricultural robots designed to improve farming efficiency while reducing dependence on chemical pesticides and herbicides. The company's robots help in developing and marketing agricultural, wine-growing electric tools to weed, hoe, and harvest the fruits of their labor with complete peace of mind, enabling farmers to reduce the workload and optimize the profitability of farms while limiting the environmental impact.</t>
  </si>
  <si>
    <t>Bpifrance(Laura Panquet), Capagro, Demeter Partners, Plug and Play Tech Center, Pymwymic</t>
  </si>
  <si>
    <t>agricultural assistance, agricultural robotics, agricultural technology, agricultural tools, harvesting crop, mechanical weed, precision ag, precision agriculture, robotics &amp; smart field equipment, robotics and smart field equipment</t>
  </si>
  <si>
    <t>AgTech, Robotics and Drones, Supply Chain Tech</t>
  </si>
  <si>
    <t>Escalquens, France</t>
  </si>
  <si>
    <t>129486-34T</t>
  </si>
  <si>
    <t>Debiopharm Innovation Fund(Tanja Dowe)</t>
  </si>
  <si>
    <t>129503-08T</t>
  </si>
  <si>
    <t>Hivency</t>
  </si>
  <si>
    <t>Developer of a marketing platform designed to discover influencers-managed campaigns and scale micro-influencer marketing strategy. The company's platform enables brands to identify the influencers that correspond to brand image and values and collaborate with creatives who know and love brands across various social media networks, enabling clients to run more campaigns and with a greater number of influencer collaborations.</t>
  </si>
  <si>
    <t>Alliance Entreprendre, Davidson Consulting, Investisseurs privés, Pauline Duval(Pauline Duval), Seventure Partners, Thierry Petit(Thierry Petit)</t>
  </si>
  <si>
    <t>brand marketplace, campaign management, influencer campaign, influencer marketing, marketing campaign data, marketing collaboration platform</t>
  </si>
  <si>
    <t>203013-73T</t>
  </si>
  <si>
    <t>Promus (Media and Information Services (B2B))</t>
  </si>
  <si>
    <t>Application Software, Media and Information Services (B2B)*, Other Commercial Services</t>
  </si>
  <si>
    <t>Developer of fresh and local food product distribution applications designed to democratize local procurement. The company's online platform allows professionals, restaurateurs, collective catering, and food traders to easily source fresh fruits and vegetables, meat, dairy, groceries, and other local products, enabling clients to get products directly from farmers.</t>
  </si>
  <si>
    <t>Bacchus Holdings, FAMM Group</t>
  </si>
  <si>
    <t>food product dealer, grocery delivery, grocery delivery platform, grocery delivery service, grocery distribution service, grocery distributor</t>
  </si>
  <si>
    <t>Saint Aignan de Grand Lieu, France</t>
  </si>
  <si>
    <t>135337-60T</t>
  </si>
  <si>
    <t>Octipas</t>
  </si>
  <si>
    <t>Developer of an omnichannel platform designed to provide a point of sale digitization alternative. The company's platform has developed middleware that facilitates and accelerates the implementation of services and keeps information systems interconnected, enabling businesses to remove the barriers between physical and digital commerce and attract new customers.</t>
  </si>
  <si>
    <t>Soridec</t>
  </si>
  <si>
    <t>digitization service, online anniversaries gift, online birthday gift, online gift retailer, sales assistance services</t>
  </si>
  <si>
    <t>218460-07T</t>
  </si>
  <si>
    <t>133561-81T</t>
  </si>
  <si>
    <t>Linkyvet</t>
  </si>
  <si>
    <t>Application Software, Business/Productivity Software, Other Commercial Services, Other Healthcare Services*</t>
  </si>
  <si>
    <t>Developer of a veterinary telemedicine platform designed to advance and optimize medical procedures. The company's platform lets veterinary specialists and general practitioners promote medical procedures, facilitate preventive medicine, and guarantee continuity of care while tackling issues, especially for rural activity such as shortage of practitioners, enabling the veterinary industry to simplify engagement with its client and the medicalization of the animal.</t>
  </si>
  <si>
    <t>Credit Agricole (PAR: ACA), Crédit Agricole Alpes Développement, Kreaxi</t>
  </si>
  <si>
    <t>teleconsultation services, telemedicine application, telemedicine solutions, veterinary medical needs, veterinary meds, video consulting service</t>
  </si>
  <si>
    <t>HealthTech, Pet Technology</t>
  </si>
  <si>
    <t>135770-32T</t>
  </si>
  <si>
    <t>Saegus, SharingCloud</t>
  </si>
  <si>
    <t>138717-37T</t>
  </si>
  <si>
    <t>Akryvia</t>
  </si>
  <si>
    <t>Developer of disruptive plasma intensification technology designed to help in sheet metal cutting. The company's plasma intensification technology comes along with R&amp;D consultancy services, numerical simulation, and plasma torch development, giving expertise in high-temperature materials, heat transfer, and power lasers, enabling R&amp;D and technology departments of large corporate and innovative SMEs to focus on their competencies under exclusive licensing.</t>
  </si>
  <si>
    <t>Crédit Agricole Atlantique Vendée, GO Capital (France), Pays de la Loire Participations</t>
  </si>
  <si>
    <t>industrial metal product, metal cutting device, metal cutting technology, plasma torches, process intensification, sheet metal cutting</t>
  </si>
  <si>
    <t>190090-72T</t>
  </si>
  <si>
    <t>Archipels</t>
  </si>
  <si>
    <t>Developer of blockchain platform designed for document certification which certifies origin, authenticity, and integrity. The company's platform offers pricing, documentation, application programming interface, and certification of documents, enabling clients to certify and verify identity claims and build trust infrastructure, services, and applications around digital identity.</t>
  </si>
  <si>
    <t>application programming, application security, blockchain program, blockchain technology, digital identity, document certification, web 3 platform, web3 security</t>
  </si>
  <si>
    <t>Cryptocurrency/Blockchain, TMT</t>
  </si>
  <si>
    <t>180573-13T</t>
  </si>
  <si>
    <t>Artsper</t>
  </si>
  <si>
    <t>Operator of a contemporary art-based retail platform intended to reduce the distance between both new and established collectors, art lovers, and the art market. The company's platform offers access to a catalog of various artworks like paintings, art photography, and contemporary sculpture from galleries around the world, enabling customers to purchase various artistic works at affordable prices.</t>
  </si>
  <si>
    <t>art collector, art gallery online, art marketplace, art sales platform, artwork seller, contemporary art, contemporary art marketplace, online artwork</t>
  </si>
  <si>
    <t>274962-07T</t>
  </si>
  <si>
    <t>181054-00T</t>
  </si>
  <si>
    <t>Bourrienne Paris X</t>
  </si>
  <si>
    <t>Operator of a clothing company intended to offer shirts for men and women. The company offers shirts in various categories like wedding, classic, fashion, casual, and shirts, and also provides dresses, and other accessories, enabling customers to wear heritage clothes.</t>
  </si>
  <si>
    <t>accessories apparel, accessories maker, accessories store, apparel online, apparel shops, apparel store</t>
  </si>
  <si>
    <t>213480-64T</t>
  </si>
  <si>
    <t>Talis Equity</t>
  </si>
  <si>
    <t>264847-87T</t>
  </si>
  <si>
    <t>Dev'EnR</t>
  </si>
  <si>
    <t>Producer of renewable energy intended to generate green energy. The company produces energy by developing, building, and operating solar power plants on the ground, on roofs, and upon car park shades, providing clients with sustainable energy.</t>
  </si>
  <si>
    <t>Sofilaro</t>
  </si>
  <si>
    <t>power plant, renewable energy, renewable energy power, renewable energy services, renewable energy site, renewable energy solutions</t>
  </si>
  <si>
    <t>Béziers, France</t>
  </si>
  <si>
    <t>157352-41T</t>
  </si>
  <si>
    <t>Bernard Arnault(Bernard Arnault), Bpifrance, Crédit Mutuel Equity, Cuir Invest, Daphni, Ginko Ventures(Jean-Francois Baril), Jacques-Antoine Granjon(Jacques-Antoine Granjon), Korelya Capital(Fleur Pellerin), Marc Simoncini(Marc Simoncini), Xavier Niel(Xavier Niel)</t>
  </si>
  <si>
    <t>218460-79T</t>
  </si>
  <si>
    <t>Digitim</t>
  </si>
  <si>
    <t>Business/Productivity Software, IT Consulting and Outsourcing*, Media and Information Services (B2B)</t>
  </si>
  <si>
    <t>Provider of managed mobility services intended to provide a personal approach to companies' needs and build resolutions for them. The company's services include equipping vendors with the latest technology and providing them the knowledge to implement and deliver the desired customer experience, enabling businesses and communities to map and meet all user needs while maintaining total control over the provision, management, and use of their mobile fleets.</t>
  </si>
  <si>
    <t>digital mobile platform, iot networking, mobility management, mobility services, network infrastructure, terminal deployment</t>
  </si>
  <si>
    <t>160305-49T</t>
  </si>
  <si>
    <t>Headline, Kima Ventures, Proxy Ventures, Snow Capital Management, Speedinvest, Voyagers.io</t>
  </si>
  <si>
    <t>200211-22T</t>
  </si>
  <si>
    <t>Friends International</t>
  </si>
  <si>
    <t>White Paper Capital</t>
  </si>
  <si>
    <t>166759-39T</t>
  </si>
  <si>
    <t>Fulbe &amp; Khem</t>
  </si>
  <si>
    <t>Biotechnology, Food Products*, Personal Products</t>
  </si>
  <si>
    <t>Producer and supplier of organic superfoods intended to transform local medicinal plants into food supplements and cosmetic products. The company provides marketing of organic products through pharmacies, drugstores, mini markets, and organic store chains, enabling individuals to get food supplements and food products that are organic in nature.</t>
  </si>
  <si>
    <t>Investisseurs &amp; Partenaires</t>
  </si>
  <si>
    <t>bio-engineered food, novel ingredients, organic food, organic food branding, organic food production, organic food products, organic superfoods, supplements food</t>
  </si>
  <si>
    <t>FoodTech, Life Sciences, LOHAS &amp; Wellness</t>
  </si>
  <si>
    <t>184963-96T</t>
  </si>
  <si>
    <t>Gens De Confiance</t>
  </si>
  <si>
    <t>Business/Productivity Software, Media and Information Services (B2B)*, Social/Platform Software</t>
  </si>
  <si>
    <t>Developer of a classified advertisement platform designed to post advertisements by trusted and verified users only. The company's platform features a security check tool that allows only certified and recommended people to register at the community and view, post, and share advertisements across the online site, enabling customers to maintain their privacy while being able to view advertisements, purchase stuff and surf across the internet in real-time without having to worry about cyber leakages.</t>
  </si>
  <si>
    <t>ISAI(Jean-David Chamboredon), Partech(Romain Lavault)</t>
  </si>
  <si>
    <t>ad security, advertisement platform, advertisment services, classified advertisements website, job advertisement, security tool</t>
  </si>
  <si>
    <t>174070-18T</t>
  </si>
  <si>
    <t>Huîtres Amélie</t>
  </si>
  <si>
    <t>Aquaculture, Food Products*, Information Services (B2C)</t>
  </si>
  <si>
    <t>Producer of oysters intended to satisfy the palates of connoisseurs and gourmets as well as neophytes. The company's oysters are bred in an environment between freshwaters and seawater, which lets the oysters refine and obtain a perfect balance of flavours between sweetness and iodine, enabling customers to have an exquisite oceanic experience while savouring the oysters that are rich in taste.</t>
  </si>
  <si>
    <t>Scranton Enterprises</t>
  </si>
  <si>
    <t>alt-proteins, cultivated protein, oysters cultivation, oysters farming, oysters farming service, oysters producer, oysters production, sea food recipes</t>
  </si>
  <si>
    <t>241191-46T</t>
  </si>
  <si>
    <t>160121-26T</t>
  </si>
  <si>
    <t>NCI Gestion</t>
  </si>
  <si>
    <t>266180-32T</t>
  </si>
  <si>
    <t>Jimini's</t>
  </si>
  <si>
    <t>Distributors/Wholesale (B2C), Food Products*</t>
  </si>
  <si>
    <t>Producer of ready-to-eat seasoned insects intended to be used for appetizers and snacks. The company's insects are used for cooking risotto, pasta, and daily bars made with dried fruits, enabling consumers to bring insects into diets to benefit from their ecological and nutritional factors.</t>
  </si>
  <si>
    <t>cricket flour, edible insects, gourmet products, healthy energy bar, insect-based food, insect-based product, nutritional bar, protein pasta</t>
  </si>
  <si>
    <t>167586-13T</t>
  </si>
  <si>
    <t>Techmind, Zedcrest Group</t>
  </si>
  <si>
    <t>170800-93T</t>
  </si>
  <si>
    <t>Justice.cool</t>
  </si>
  <si>
    <t>Application Software, Legal Services (B2B), Legal Services (B2C)*</t>
  </si>
  <si>
    <t>Developer of an artificial intelligence-driven conflict resolution platform designed to improve access to justice through technology. The company's platform helps justiciable professionals communicate together, as well as bring legal production and judicial organization, enabling clients to settle disputes easily and without any risk.</t>
  </si>
  <si>
    <t>A-Venture, Abeille Assurances, Bpifrance, Wilco(Paris)</t>
  </si>
  <si>
    <t>digital legal support, legal platform, legal services application, legal services company, legal tech, litigation services, mobile application tool</t>
  </si>
  <si>
    <t>Artificial Intelligence &amp; Machine Learning, Legal Tech, Mobile</t>
  </si>
  <si>
    <t>130133-35T</t>
  </si>
  <si>
    <t>K6 Transmission</t>
  </si>
  <si>
    <t>Specialized Finance*</t>
  </si>
  <si>
    <t>Provider of financial and investment services intended to cater to the needs of public and private enterprises. The company's services specialize in research and analysis of small to medium-sized private companies for institutional investors, enabling clients to have long-term investment opportunities in small and medium enterprises (SMEs).</t>
  </si>
  <si>
    <t>BM Holdings, Istria Capital Partners, Kinderhook Partners, Partner Ventures, Relay Investments</t>
  </si>
  <si>
    <t>investment service platform, investment services, investment services firm, risk management, search fund operator, sme investment, value investing</t>
  </si>
  <si>
    <t>199164-16T</t>
  </si>
  <si>
    <t>Karbon (Business/Productivity Software)</t>
  </si>
  <si>
    <t>Application Software, Business/Productivity Software*, Environmental Services (B2B), Media and Information Services (B2B)</t>
  </si>
  <si>
    <t>Developer of an ecological scanner intended to estimate the environmental impact of food products. The company's products are based on an application to measure the carbon footprint of food that helps to display the score of various products through scanning the barcode and informs about the nutritional quality, enabling consumers to know how much carbon foods pollute the planet.</t>
  </si>
  <si>
    <t>A-Venture, Founders Future, YADAY</t>
  </si>
  <si>
    <t>carbon dioxide reduction, environmental data, environmental impact, environmental impact assessment, nutritional quality, product recovery</t>
  </si>
  <si>
    <t>171301-06T</t>
  </si>
  <si>
    <t>Kwiper</t>
  </si>
  <si>
    <t>Business/Productivity Software, Database Software, Financial Software*</t>
  </si>
  <si>
    <t>Developer of a digital wealth management platform designed to help with digital asset consulting. The company's platform provides an automatic and rapid diagnosis of customers' assets and facilitates the understanding of investment structure, enabling clients to sell wealth consulting assignments and increase productivity.</t>
  </si>
  <si>
    <t>Axeleo, Societe Generale Ventures</t>
  </si>
  <si>
    <t>accounting expertise, digital platform, digital wealth advice, digital wealth management, heritage advisory, investment strategy, wealth management platform, wealth strategy</t>
  </si>
  <si>
    <t>207088-57T</t>
  </si>
  <si>
    <t>Bpifrance(Joséphine Marie)</t>
  </si>
  <si>
    <t>213241-15T</t>
  </si>
  <si>
    <t>Larripa</t>
  </si>
  <si>
    <t>Provider of installation services based out of Bassussarry, France. The company offers trades and services covering the fields of electricity, heating and air conditioning, lighting, and renewable energies, enabling customers to have installation services of thermal and air conditioning equipment.</t>
  </si>
  <si>
    <t>computer network, electricity service, general electricity, installation company, installation sevices, renewable energy services</t>
  </si>
  <si>
    <t>Bassussarry, France</t>
  </si>
  <si>
    <t>165707-38T</t>
  </si>
  <si>
    <t>160289-38T</t>
  </si>
  <si>
    <t>Mailwarm</t>
  </si>
  <si>
    <t>Developer of a spam recovery tool intended to reach the required email activity from a quantitative and qualitative perspective to land in the inbox. The company's tool has a positive impact on email, domain, and IP reputations which helps to improve global sender reputations and balance the activity to keep email deliverability high when used daily, enabling businesses to send a positive signal to email providers and their spam filters.</t>
  </si>
  <si>
    <t>business productivity software, spam control, spam detection, spam filtration, spam guarding, spam protection</t>
  </si>
  <si>
    <t>269447-50T</t>
  </si>
  <si>
    <t>mondaycar</t>
  </si>
  <si>
    <t>Business/Productivity Software*, Media and Information Services (B2B), Other Commercial Services, Other Services (B2C Non-Financial)</t>
  </si>
  <si>
    <t>Provider of medium-term car rental service intended to revolutionize the use of professional cars. The company offers a wide selection of vehicles, including electric and hybrid cars, and provides real-time tracking of the fleet, mileage reports and access to journey history and allows businesses and professionals to lease cars on a monthly basis, without a down payment and with all the benefits of a well-thought-out service like vehicle delivery, fleet manager, maintenance, fuel card, and insurance, enabling clients to optimize fleet usage and maintenance.</t>
  </si>
  <si>
    <t>car rent firm, car rental, car rental service, fleet management, fleet manager, real time tracking</t>
  </si>
  <si>
    <t>180693-19T</t>
  </si>
  <si>
    <t>Nanoe</t>
  </si>
  <si>
    <t>Other Commercial Products, Other Materials*</t>
  </si>
  <si>
    <t>Manufacturer of nano-scale ceramics intended to bring the full potential of nanotechnology for advanced ceramics manufacturing. The company's nano-scale ceramics specializes in alumina, zirconia, and zirconia toughened alumina which offers ready-to-sinter nano-powders, enabling manufacturers to get nano-powders at a competitive price.</t>
  </si>
  <si>
    <t>Karista (Paris)(Yvan-Michel Ehkirch)</t>
  </si>
  <si>
    <t>alumina cement, ceramic items, ceramic material, ceramic powder, concrete manufacturing, zirconia production center</t>
  </si>
  <si>
    <t>Manufacturing, Nanotechnology, TMT</t>
  </si>
  <si>
    <t>Ballainvilliers, France</t>
  </si>
  <si>
    <t>203015-80T</t>
  </si>
  <si>
    <t>Neofarm</t>
  </si>
  <si>
    <t>Developer of micro-farms intended to produce vegetables sustainably. The company designs technological solutions for farms that respect sustainable agricultural practices and are installed in small areas near cities, enabling farmers to produce organic vegetables distributed locally.</t>
  </si>
  <si>
    <t>agribusiness marketplace, agrifinance &amp; ecommerce, organic market, sustainable vegetables, vegetables farmers, vegetables farming operator, vegetables supply</t>
  </si>
  <si>
    <t>AgTech, E-Commerce</t>
  </si>
  <si>
    <t>187648-03T</t>
  </si>
  <si>
    <t>FounderFuel, Network Finances</t>
  </si>
  <si>
    <t>126279-28T</t>
  </si>
  <si>
    <t>Padam Mobility</t>
  </si>
  <si>
    <t>Developer of a dynamic TAD software designed to facilitate public transport systems. The company's platform offers demand-responsive transport services using routing algorithms to transit operators, public authorities, and private transporters, enabling customers and operators to innovate in mobility with less infrastructural investment.</t>
  </si>
  <si>
    <t>enterprise software, public transit, public transport system, transport optimization, transport service, transport software</t>
  </si>
  <si>
    <t>Artificial Intelligence &amp; Machine Learning, Mobile, Mobility Tech</t>
  </si>
  <si>
    <t>189703-00T</t>
  </si>
  <si>
    <t>Paulic Meunerie (PAR: ALPAU)</t>
  </si>
  <si>
    <t>Paulic Meunerie SA is a producer of wheat and buckwheat flour in Brittany. The company markets a catalog of wheat and buckwheat flour that includes flour benefiting from quality labels (Label Rouge andAB-Agriculture Biologique), and produces flour and bran, from wheat grains purified by an ozonation treatment called Oxygreen.</t>
  </si>
  <si>
    <t>NextStage AM</t>
  </si>
  <si>
    <t>bakery items, buckwheat flour, food industry, organic flour, wheat flour, wheat starch</t>
  </si>
  <si>
    <t>Saint-Gerand, France</t>
  </si>
  <si>
    <t>234156-70T</t>
  </si>
  <si>
    <t>223072-03T</t>
  </si>
  <si>
    <t>210561-58T</t>
  </si>
  <si>
    <t>Banque des Territoires, Caisse des Dépôts et Consignations, Erik Boulard(Erik Boulard), Thierry Alliotte(Thierry Alliotte)</t>
  </si>
  <si>
    <t>190296-91T</t>
  </si>
  <si>
    <t>Superbranche</t>
  </si>
  <si>
    <t>Application Software, Biotechnology*, Diagnostic Equipment</t>
  </si>
  <si>
    <t>Developer of therapeutic and diagnostic applications designed for accessibility and detection of the tumor beforehand. The company's platform brings targeted diagnostic and image-guided therapy nanomaterials to clinics based on its proprietary technology, enabling patients to detect and treat metastases early.</t>
  </si>
  <si>
    <t>Alsace Business Angels, Finck Ventures</t>
  </si>
  <si>
    <t>cancer analysis, early detection, image-guided therapy, intratumoral injection, metastases prevention, nanomedicine therapy</t>
  </si>
  <si>
    <t>192887-74T</t>
  </si>
  <si>
    <t>Tiller (Business/Productivity Software)</t>
  </si>
  <si>
    <t>Developer of cash-register management software designed to empower local businesses in creating social impacts for communities with simple and smart tools. The company's platform provides a cloud-based back-office that managers can access in real time and also provides data analysis tools that will help them steer the business, enabling clients to function more efficiently and take the business to the next level.</t>
  </si>
  <si>
    <t>First Bridge</t>
  </si>
  <si>
    <t>cash register, cash register platform, cash register software, cash register systems, data protection service, software development</t>
  </si>
  <si>
    <t>158663-53T</t>
  </si>
  <si>
    <t>Webdrone</t>
  </si>
  <si>
    <t>IT Consulting and Outsourcing, Media and Information Services (B2B), Network Management Software*</t>
  </si>
  <si>
    <t>Developer of a cyber investigation platform intended to monitor and fight against various forms of cybercrime. The company's platform offers monitoring and automatic detection of information by e-drones which are web page indexing robots configured to detect and analyze a targeted area of activity according to the client's problem, enabling businesses to protect their data and confidential information.</t>
  </si>
  <si>
    <t>cyber investigation, cybercrime prevention, network detection and response, network security, online investigation, surveillance systems, virtual drones system</t>
  </si>
  <si>
    <t>Artificial Intelligence &amp; Machine Learning, Cybersecurity, Robotics and Drones, SaaS, TMT</t>
  </si>
  <si>
    <t>136492-84T</t>
  </si>
  <si>
    <t>Weblib</t>
  </si>
  <si>
    <t>Developer of a digital platform designed to offer retail analytics and targeted couponing through wifi and tablets. The company's software assists users to sign in to the wifi and assists merchants in installing tablets as well as developing mobile applications at events, fairs, conferences and points of sale, enabling users to get secure wifi hotspots to automate their work.</t>
  </si>
  <si>
    <t>Banque Wormser Freres, Bpifrance, Caisse d'Epargne, LCL, Starquest Capital(Arnaud Delattre)</t>
  </si>
  <si>
    <t>analytics platform operator, android tablets, content management platform, content management product, endpoint security, iot security, iot/ot security, mobile device management, ot security, retail analytics, wifi access, wifi hotspot, wifi management</t>
  </si>
  <si>
    <t>Big Data, Cybersecurity, Internet of Things, Marketing Tech, Mobile, SaaS, TMT</t>
  </si>
  <si>
    <t>199135-18T</t>
  </si>
  <si>
    <t>Wild Immersion</t>
  </si>
  <si>
    <t>Educational and Training Services (B2C), Information Services (B2C), Movies, Music and Entertainment*</t>
  </si>
  <si>
    <t>Developer of a virtual reality content company intended to promote the preservation of nature to educate and raise environmental awareness. The company provides ethical and ecological experiences, leveraging augmented-reality footage techniques and cutting-edge technologies, enabling viewers to experience wild natural environments.</t>
  </si>
  <si>
    <t>Aligned Ventures</t>
  </si>
  <si>
    <t>augmented reality, documentary production, environmental awareness, nature conservation, virtual reality media, wild animal</t>
  </si>
  <si>
    <t>Augmented Reality, EdTech, Virtual Reality</t>
  </si>
  <si>
    <t>165403-18T</t>
  </si>
  <si>
    <t>Ygie</t>
  </si>
  <si>
    <t>Human Capital Services*, Other Financial Services</t>
  </si>
  <si>
    <t>Developer of a leisure card designed to direct the granting of sport and health funding to the people. The company's card is valid for subscribing to or purchasing partner health and wellness sports applications and is accepted by all banking terminals, enabling users to lead a simple and healthy lifestyle.</t>
  </si>
  <si>
    <t>Daffourd Invest(Vincent Daffourd)</t>
  </si>
  <si>
    <t>employee wellness, health card, sports card, wellbeing card, wellness and fitness service, wellness service</t>
  </si>
  <si>
    <t>HR Tech, Industrials, LOHAS &amp; Wellness</t>
  </si>
  <si>
    <t>Roquefort-les-Pins, France</t>
  </si>
  <si>
    <t>180699-94T</t>
  </si>
  <si>
    <t>Keen Eye</t>
  </si>
  <si>
    <t>Discovery Tools (Healthcare)*</t>
  </si>
  <si>
    <t>Developer of AI-powered image analysis platform designed to guide better drug development and diagnostics. The company's technology permits doctors and biologists to reproduce and extend their visual expertise, notably by identifying signals with a high predictive value that are difficult to detect, and analyzing tissue samples across any therapeutic area, enabling medical practitioners to save valuable time in day-to-day decision-making.</t>
  </si>
  <si>
    <t>Crédit Mutuel Equity(Karine Lignel)</t>
  </si>
  <si>
    <t>bio images analysis, biotechnology database, computational biology, image-based assay, images analysis, medical imaging technology, specialty diagnostics</t>
  </si>
  <si>
    <t>195571-09T</t>
  </si>
  <si>
    <t>MAZMA Technologies</t>
  </si>
  <si>
    <t>Business/Productivity Software, Electronics (B2C), Financial Software*</t>
  </si>
  <si>
    <t>Operator of mobile telecom and distributors intended to provide new distribution and payment options for products and services. The company's product distributes mobile recharges electronically at the points of sale and is delivered with a personal identification number, allowing customers to activate their airtime minutes via a retailer's POS, ECR, at the ATM, over the Internet, or directly through their mobile phone.</t>
  </si>
  <si>
    <t>EmergingTech Ventures, Small Enterprise Assistance Funds</t>
  </si>
  <si>
    <t>mobile airtime, mobile airtime management, mobile airtime service, mobile distributor, mobile telecom, mobile telecom operator</t>
  </si>
  <si>
    <t>138868-57T</t>
  </si>
  <si>
    <t>129565-99T</t>
  </si>
  <si>
    <t>EFOR Group</t>
  </si>
  <si>
    <t>Provider of consultation services intended for relating to the quality and regulatory functions in the healthcare sector. The company offers a workforce of specialized engineers, doctors, and pharmacists that provide comprehensive advisory in industrial project management, enabling clients to manage their business operations and project execution efficiently.</t>
  </si>
  <si>
    <t>consultation service, consulting firm, consulting services, consulting services company, consulting services firm, management consulting</t>
  </si>
  <si>
    <t>Champagne-au-Mont-d'Or, France</t>
  </si>
  <si>
    <t>133534-27T</t>
  </si>
  <si>
    <t>Feed.</t>
  </si>
  <si>
    <t>Producer of food products intended to offer powder-based alternatives that supplement single meals. The company's products include soylent-like bars, drinks, and shakers that are vegan, gluten-free, and lactose-free, enabling customers to obtain meals prepared from recipes that contain natural ingredients and provide the necessary nutrients for a balanced meal.</t>
  </si>
  <si>
    <t>Alven Capital Partners(Rodolphe Menegaux), Courtin Investment, Guibor</t>
  </si>
  <si>
    <t>bio-engineered food, food production, futures food forming, healthy food, healthy meals, meal replacement products, meals replacement, nutrition care, smart food</t>
  </si>
  <si>
    <t>132677-74T</t>
  </si>
  <si>
    <t>Cityscoot</t>
  </si>
  <si>
    <t>Provider of free-floating electric scooter services intended to offer rental e-bikes. The company's rental services include an on-demand rental system using a fleet of motorbikes that can be rented and secured through a four-digit code, enabling users to get pick-up and drop-off facility any time during the day.</t>
  </si>
  <si>
    <t>Allianz France, Altana Investissements, Banque des Territoires, CDC International Capital, Demeter Partners, RATP Capital Innovation(Stéphanie Bourgeais), Société de Développement Professionnel Pierre Esnée, Weber Investissements, YADAY</t>
  </si>
  <si>
    <t>climate tech company, electric mobility system, electric scooter, electric scooter rental, micromobility, scooter rental platform, scooter rental services, vehicle rental, vehicle rental service</t>
  </si>
  <si>
    <t>Climate Tech, Micro-Mobility, Mobility Tech, TMT</t>
  </si>
  <si>
    <t>133779-25T</t>
  </si>
  <si>
    <t>Fluicity</t>
  </si>
  <si>
    <t>Operator of a citizen participation platform intended to connect citizens with local government representatives. The company's platform assists in organizing and manage the consultations necessary for common progress by understanding the intentions, enabling users to transform decision-making methods and create an impact.</t>
  </si>
  <si>
    <t>Edouard Janssen(Edouard Janssen), Finance&amp;Invest.Brussels, Sébastien Breteau(Sébastien Breteau)</t>
  </si>
  <si>
    <t>citizen community participation, citizen consultation, citizen participation system, citizen participation tools, collaborative governance, consulting citizens</t>
  </si>
  <si>
    <t>191216-80T</t>
  </si>
  <si>
    <t>ChouetteCopro</t>
  </si>
  <si>
    <t>Developer of a property management software designed to improve day-to-day management of common building areas. The company's software facilitates communication with trustees, reporting of technical incidents, and viewing of reports, enabling individuals to keep track, save time, enhance profitability, and achieve faster resolutions.</t>
  </si>
  <si>
    <t>My Seed Cap</t>
  </si>
  <si>
    <t>building administration software, building management, building management software, information technology, management software, management software tools</t>
  </si>
  <si>
    <t>Mobile, Real Estate Technology, SaaS, TMT</t>
  </si>
  <si>
    <t>Coubervoie, France</t>
  </si>
  <si>
    <t>188041-69T</t>
  </si>
  <si>
    <t>4D Virtualiz</t>
  </si>
  <si>
    <t>Aerospace and Defense, Electrical Equipment, Multimedia and Design Software*</t>
  </si>
  <si>
    <t>Developer of a virtual prototyping tool designed to support research and development of mobile robotic systems, drones, and intelligent vehicles. The company's tool includes drafting operational specifications, prototyping and testing the validation of robotic platforms in a context close to the real environment, and training, enabling companies and the military to engage in a robotic simulation that integrates a three-dimensional graphical representation closely to reality.</t>
  </si>
  <si>
    <t>3d simulation, 3d simulation software tools, graphical representation, robotic platform developer, robotic platform technology, robotic systems technology, simulation frameworks, virtual prototyping</t>
  </si>
  <si>
    <t>Industrials, Robotics and Drones, TMT</t>
  </si>
  <si>
    <t>Cournon d'Auvergne, France</t>
  </si>
  <si>
    <t>132785-38T</t>
  </si>
  <si>
    <t>Endless (Logistics)</t>
  </si>
  <si>
    <t>Provider of innovative logistics services intended to improve the management of construction waste. The company operates an online platform that provides an easy and economical way to recycle and evacuate building rubble and waste every day, enabling industries with complete waste disposal systems, using their own fleet of trucks and guaranteeing the delivery of waste to regulatory sorting platforms.</t>
  </si>
  <si>
    <t>A Plus Finance(Florian Denys), Angelor, M Capital Partners</t>
  </si>
  <si>
    <t>construction waste, disposal services, disposal system, environmental management, logistics services, traceability system, waste disposal</t>
  </si>
  <si>
    <t>CleanTech, E-Commerce, Industrials</t>
  </si>
  <si>
    <t>135106-48T</t>
  </si>
  <si>
    <t>Invenis</t>
  </si>
  <si>
    <t>Developer of an analysis software designed to access, clean, prepare, and enrich data. The company's software has an easy-to-use interface that analyzes and visualizes data in just a few clicks, enabling users to analyze their data consumption and detect abnormal behavior like leaks and fraud.</t>
  </si>
  <si>
    <t>Crédit Mutuel Innovation(Cyrus Contant)</t>
  </si>
  <si>
    <t>data analysis, data automation, data cleaning, data consolidation, data optimization, data visualization, vertical application</t>
  </si>
  <si>
    <t>133641-91T</t>
  </si>
  <si>
    <t>Lemonway</t>
  </si>
  <si>
    <t>Developer of a secured payment platform designed to manage cost accounting and export all payment transactions in real time. The company's platform specializes in collecting money for third parties as well as in holding funds in escrow accounts and also provides 3D Secure, innovative anti-fraud and anti-money-laundering services, enabling clients to process their payments by bank checks, SEPA transfers, debit and credit cards.</t>
  </si>
  <si>
    <t>Breega(Benoit Marrel), Toscafund Asset Management(George Koulouris)</t>
  </si>
  <si>
    <t>anti-money laundering, ap automation, ar automation, cfo stack, ecommerce payment, e-wallet platform, expense management, invoice trading, kyc tools, payment institution, payment processor, payment service, payment transaction, secure payment system</t>
  </si>
  <si>
    <t>128559-52T</t>
  </si>
  <si>
    <t>Majelan</t>
  </si>
  <si>
    <t>Developer of an audio content application designed to change the way people learn. The company's application delivers lessons in creativity, leadership, and personal development by summing up the methods and ideas of personalities, authors, and speakers into short formats, enabling users to boost their daily knowledge by developing new skills.</t>
  </si>
  <si>
    <t>Bpifrance, Idinvest Partners</t>
  </si>
  <si>
    <t>audio application, audio channel, audio content, audiobooks app, podcast app, podcast tools</t>
  </si>
  <si>
    <t>136020-61T</t>
  </si>
  <si>
    <t>Flex Invest</t>
  </si>
  <si>
    <t>135725-32T</t>
  </si>
  <si>
    <t>Picto Access</t>
  </si>
  <si>
    <t>Developer of a digital access platform designed to enhance the accessibility of physical locations. The company's platform offers digital media to qualify, enhance and manage accessibility, enabling people with reduced mobility or in situations of fragility to access locations across the globe.</t>
  </si>
  <si>
    <t>Banque des Territoires, Finovam Gestion, Investisens, IRDI Capital Investissement, Nord Capital Partenaires</t>
  </si>
  <si>
    <t>access tools, digital access, digital access tools, digital accessibility, digital accessibility platform, digital location, physical location database, smart city</t>
  </si>
  <si>
    <t>195816-16T</t>
  </si>
  <si>
    <t>Ecomobility Ventures, Elaia Partners(Marc Rougier), Idinvest Partners</t>
  </si>
  <si>
    <t>219331-36T</t>
  </si>
  <si>
    <t>Baring Vostok Capital Partners</t>
  </si>
  <si>
    <t>180024-85T</t>
  </si>
  <si>
    <t>Calopor</t>
  </si>
  <si>
    <t>Animal Husbandry*</t>
  </si>
  <si>
    <t>Manufacturer of heat recovery units intended to recover a large part of the loss of buildings and to produce energy-efficient heating. The company's systems are used for heating livestock rooms with a centralized air extraction system that is installed in new buildings or renovated without stopping the exploitation, enabling installers to have a reduction of electricity consumption and improve sanitary conditions.</t>
  </si>
  <si>
    <t>Breizh Angels, Finistere Angels, Force 29</t>
  </si>
  <si>
    <t>air handling unit, built environment, efficient heating units, electrical heater, heat recovery technology, heat recovery unit, heating and cooling</t>
  </si>
  <si>
    <t>Animal Husbandry</t>
  </si>
  <si>
    <t>Bourg-Blanc, France</t>
  </si>
  <si>
    <t>130029-22T</t>
  </si>
  <si>
    <t>Ellona</t>
  </si>
  <si>
    <t>Developer an environmental intelligence system-based device designed to monitor nuisances in the outdoor and indoor environment. The company's connected objects can map the physical, chemical, and biological nuisances as well as offer a direct reading of gas concentration and each mos sensor's output in combination for source identification online, with proprietary data processing and data banks, enabling users to optimize operations leading to a cost reduction.</t>
  </si>
  <si>
    <t>ADP Invest, Airbus Ventures(Mathieu Costes), M Capital Partners, PureTerra Ventures(Alexander Crowell), Wermuth Asset Management</t>
  </si>
  <si>
    <t>connected devices, embedded firmware, environmental intelligence, indoor surveillance, micro-sensor devices, miniaturized sensors</t>
  </si>
  <si>
    <t>133573-42T</t>
  </si>
  <si>
    <t>GuestViews</t>
  </si>
  <si>
    <t>Developer of a digital guestbook platform intended to collect, analyze, and enhance data on visitors to physical places, in real time. The company's platform collects on-site, high-added value visitor data of leisure and cultural outings, enabling the tourism industries to trigger targeted marketing actions to increase sales and retain their customers.</t>
  </si>
  <si>
    <t>Cedre Participations(Grégory Nouchi)</t>
  </si>
  <si>
    <t>customer knowledge, customer relationship management, customer relationship marketing, customer relationship platform, customer relationship service, data collecting, digital platform</t>
  </si>
  <si>
    <t>159957-73T</t>
  </si>
  <si>
    <t>MyCosmetik (Acquired in 2023)</t>
  </si>
  <si>
    <t>Information Services (B2C), Internet Retail, Personal Products*</t>
  </si>
  <si>
    <t>Provider of beauty and care products and recipes intended to focus solely on the needs of the skin with natural ingredients. The company offers a range of beauty recipes to make from face creams to exfoliating clay pastes including beauty oils and all bath products as well as other beauty products, enabling customers to get organic and natural products.</t>
  </si>
  <si>
    <t>beauty treatment, care product, cosmetic product, health and beauty, personal care, personal care industry</t>
  </si>
  <si>
    <t>Chasselay, France</t>
  </si>
  <si>
    <t>133737-13T</t>
  </si>
  <si>
    <t>Bathô</t>
  </si>
  <si>
    <t>Leisure Facilities*, Other Services (B2C Non-Financial)</t>
  </si>
  <si>
    <t>Provider of artificial accommodation services intended to enjoy outdoor accommodation by re-employing end-of-life pleasure boats. The company gives a second life to out-of-service pleasure boats by reusing them for other forms of housing on land like farmhouses in the gardens as unusual tourist accommodation in private and municipal campsites, inspiring meeting rooms for companies and co-working or as public playgrounds for children, enabling customers to reuse pleasure boats for developing sustainable tourism on the banks of the rivers.</t>
  </si>
  <si>
    <t>Amundi (PAR: AMUN)(Florian Peudevin)</t>
  </si>
  <si>
    <t>accommodation rental, accommodation service, boats accommodation, leisure accommodation, sailboats rental, sailboats services</t>
  </si>
  <si>
    <t>135820-72T</t>
  </si>
  <si>
    <t>Ouest Croissance Gestion(Laurent Bodin)</t>
  </si>
  <si>
    <t>128245-33T</t>
  </si>
  <si>
    <t>Aelis Farma (PAR: AELIS)</t>
  </si>
  <si>
    <t>Aelis Farma SA is a biotechnology Company specializing in the research and development of treatment's related to brain diseases.</t>
  </si>
  <si>
    <t>Aquitaine-Creation-Innovation, Bpifrance, Inserm Transfert, IRDI Capital Investissement, National Angel Capital Organization, Nouvelle Aquitaine Co-Investissement, Région Nouvelle-Aquitaine</t>
  </si>
  <si>
    <t>cannabis therapeutic, chemistry, pharmacology research, pharmacology testing, signaling specific drugs, signaling-specific therapeutics, small molecule, therapeutic drug discovery</t>
  </si>
  <si>
    <t>128425-96T</t>
  </si>
  <si>
    <t>Bone 3D</t>
  </si>
  <si>
    <t>Medical Supplies*, Therapeutic Devices</t>
  </si>
  <si>
    <t>Developer of patient-specific medical devices and surgical simulators designed to train anatomic models. The company's devices design and 3D print a new generation of custom implants, prostheses, splints, and plasters for human and veterinary medicine, enabling medical professionals to avoid multiple operations and limit risks.</t>
  </si>
  <si>
    <t>3d printer business, 3d printer designer, 3d printer technology, 3d printing platform, additives printing, biomedical 3d printer, bone 3d printer, medical 3d printing, surgical simulation</t>
  </si>
  <si>
    <t>3D Printing</t>
  </si>
  <si>
    <t>128160-82T</t>
  </si>
  <si>
    <t>DreamQuark</t>
  </si>
  <si>
    <t>Developer of a wealth management platform designed to help clients to increase their financial services revenues. The company's platform delivers explainable predictions and personalized actions for business decisions and automates data science tasks to simplify predictive models, enabling clients to easily generate new sales opportunities and effectively engage with their customers.</t>
  </si>
  <si>
    <t>AG2R La Mondiale(Emmanuelle Saudeau), CapHorn Invest(Guillaume Dupont), Keen Venture Partners(Robert Verwaayen), Mundi Ventures(Lluis Viñas), NewAlpha Asset Management(Jonathan Sabban)</t>
  </si>
  <si>
    <t>agent and broker technology, data science analysis, distribution and intermediation, financial services infrastructure, predictive modeling software, wealth management platform, wealth management solutions</t>
  </si>
  <si>
    <t>190036-27T</t>
  </si>
  <si>
    <t>Eversend</t>
  </si>
  <si>
    <t>Developer of a multi-currency e-wallet application designed to help users send money, buy crypto, create virtual cards, and buy airtime - in multiple currencies. The company's application offers a digital payment gateway that leverages blockchain technology to facilitate electronic money transfers, enabling clients to send money to bank accounts and mobile payments while saving a significant amount in fees and foreign exchange.</t>
  </si>
  <si>
    <t>Atomico, HoaQ, PPE Capital, Skåne Ventures</t>
  </si>
  <si>
    <t>digital remittance, e-wallet software, e-wallet system, foreign exchange, mobile money, mobile money transfer, mobile payment, virtual debit card</t>
  </si>
  <si>
    <t>133766-20T</t>
  </si>
  <si>
    <t>HARi&amp;CO</t>
  </si>
  <si>
    <t>Producer of food products intended to offer organic and healthy food. The company's products are plant-based food made with locally produced French legumes, without any additives, and are organic and minimally processed, enabling customers to consume healthy food filled with nutrition and protein.</t>
  </si>
  <si>
    <t>Eutopia(Camille Kriebitzsch), Triodos Investment Management(Isabelle Laurencin)</t>
  </si>
  <si>
    <t>agri-food product, alt-proteins, food provider, online food services, organic food, plant protein, plant-based protein, vegetables protein</t>
  </si>
  <si>
    <t>168995-26T</t>
  </si>
  <si>
    <t>Artur'In</t>
  </si>
  <si>
    <t>Developer of digital marketing automation platform designed to increase productivity, customer and agent retention, brand awareness and referral reach. The company's platform offers digital marketing solutions and optimizes visibility and brand image by posting relevant content, enabling businesses and real estate professionals to grow and work efficiently and engage with their communities through emails and social media.</t>
  </si>
  <si>
    <t>Fabrice Grinda(Fabrice Grinda)</t>
  </si>
  <si>
    <t>computer vision, digital communication platform, digital marketing, digital marketing platform, digital marketing service, marketing platform, marketing services, online marketing, personalized content</t>
  </si>
  <si>
    <t>181410-58T</t>
  </si>
  <si>
    <t>Constant &amp; Zoé</t>
  </si>
  <si>
    <t>Operator of a smart clothing and accessories brand intended for people with disabilities. The company offers apparel and adornment items that are quick and easy to wear, enabling people with physical and mental disabilities to dress up without any hassles.</t>
  </si>
  <si>
    <t>Francis-Charles Pollet(Francis-Charles Pollet), Guillaume Alabert(Guillaume Alabert), Jaina Capital(Marc Simoncini)</t>
  </si>
  <si>
    <t>clothes designer, clothing brand, clothing goods, online accessories, online clothes, smart clothing</t>
  </si>
  <si>
    <t>E-Commerce, LOHAS &amp; Wellness, TMT</t>
  </si>
  <si>
    <t>138447-19T</t>
  </si>
  <si>
    <t>DirectoSuivi</t>
  </si>
  <si>
    <t>Clinics/Outpatient Services*, Decision/Risk Analysis</t>
  </si>
  <si>
    <t>Developer of a teleconsultation platform designed to optimize remote contact between patients and the healthcare facility. The company's platform assists the doctor in carrying out a remote consultation in case of mild symptoms, analysis of examination results, and monitoring of pathologies, enabling patients to have seamless access to healthcare services.</t>
  </si>
  <si>
    <t>healthcare space, online checkup, remote consultation, teleconsultation service, teleconsultation technology, telephonic consulting</t>
  </si>
  <si>
    <t>Digital Health, HealthTech, TMT</t>
  </si>
  <si>
    <t>128044-27T</t>
  </si>
  <si>
    <t>A.Capital Ventures, Betaworks Ventures, Greg Brockman(Greg Brockman), Lux Capital, Patrick Montague, Richard Socher(Richard Socher), Terrence Rohan</t>
  </si>
  <si>
    <t>170132-32T</t>
  </si>
  <si>
    <t>Opquast</t>
  </si>
  <si>
    <t>Consulting Services (B2B), Education and Training Services (B2B), IT Consulting and Outsourcing*</t>
  </si>
  <si>
    <t>Developer of web quality assurance intended to create checklists for the quality of sites. The company carries the skills certifications that make it possible to strengthen and assess the mastery of good practices on the web, enabling clients to create a culture that mitigates risks for all potential users throughout their entire web and digital experiences.</t>
  </si>
  <si>
    <t>AQUITI Gestion, National Angel Capital Organization, Nouvelle Aquitaine Co-Investissement</t>
  </si>
  <si>
    <t>corporate training, digital culture, digital transformation, e learning platform, quality assurance, quality control test, skills certification, training network, website quality</t>
  </si>
  <si>
    <t>Cenon, France</t>
  </si>
  <si>
    <t>127952-20T</t>
  </si>
  <si>
    <t>Alan Fung(Alan Fung), Alven Capital Partners(François Meteyer), Eduardo Ronzano(Eduardo Ronzano), Financière Saint James, Idinvest Partners, IRIS (Private Equity)(Gil Doukhan), Lise Invest(Alexis Bonillo), Sweet Capital(Christian Dörffer), Village Global(Ben Casnocha)</t>
  </si>
  <si>
    <t>135401-50T</t>
  </si>
  <si>
    <t>Bpifrance(Nicolas Maurin), Cuir Invest, Giralda Holding Conexion</t>
  </si>
  <si>
    <t>127859-86T</t>
  </si>
  <si>
    <t>Bpifrance, CapHorn Invest(Alexandre Pelletier), Hi Inov(Nicolas Meunier), Open CNP, Orange Ventures(Etienne Moreau), SNCF Digital Ventures, UL Invest, Ventech (Paris)(Jean Bourcereau), Weber Investissements(Christian Gueugnier)</t>
  </si>
  <si>
    <t>127869-85T</t>
  </si>
  <si>
    <t>Capital Grand Est(Jean-François Rax)</t>
  </si>
  <si>
    <t>194260-60T</t>
  </si>
  <si>
    <t>Vrac'n Roll</t>
  </si>
  <si>
    <t>Food Products, Internet Retail*, Other Services (B2C Non-Financial), Specialty Retail</t>
  </si>
  <si>
    <t>Developer of a shopping platform intended for organic grocery shopping. The company's platform allows its users to order organic groceries in bulk, enabling customers to choose the required quantity and opt for returnable containers.</t>
  </si>
  <si>
    <t>Angels for Food, Inco Ventures</t>
  </si>
  <si>
    <t>food ecommerce, grocery ordering, grocery platform, grocery shopping platform, online grocer, online grocery, organic grocery, organic product</t>
  </si>
  <si>
    <t>160151-05T</t>
  </si>
  <si>
    <t>Credit Agricole (PAR: ACA), Societe Financiere Lorient Developpement</t>
  </si>
  <si>
    <t>136418-23T</t>
  </si>
  <si>
    <t>Popshot</t>
  </si>
  <si>
    <t>Application Software, Internet Software*</t>
  </si>
  <si>
    <t>Developer of a web browsing application designed to explore, save and share web content by taking interactive screenshots. The company's application takes interactive screenshots and permits a user to revisit the content anytime, enabling the users to save web content effortlessly with the ability to bring it back to life when needed.</t>
  </si>
  <si>
    <t>Manvinder Singh Banga(Manvinder Singh Banga), Sanjay Patel(Sanjay Patel)</t>
  </si>
  <si>
    <t>application-based web browser, interactive screenshots application, popshots smart application, screenshots based web browser, screenshots-based web browsing application, web browser application</t>
  </si>
  <si>
    <t>Buchelay, France</t>
  </si>
  <si>
    <t>120157-66T</t>
  </si>
  <si>
    <t>Aline &amp; Olivier</t>
  </si>
  <si>
    <t>Producer of organic food products intended to deliver healthy snack options. The company provides biscuits, sweets, granola, and savory snack products that are organic and gluten-free, enabling consumers to enjoy delicious food and help in a better diet.</t>
  </si>
  <si>
    <t>Day One Entrepreneurs &amp; Partners</t>
  </si>
  <si>
    <t>food ecommerce, food product, gluten-free product, granola product, healthy food product, healthy snacks, organic food product, organic healthy products, restaurant marketplace</t>
  </si>
  <si>
    <t>Tarascon, France</t>
  </si>
  <si>
    <t>207553-69T</t>
  </si>
  <si>
    <t>Espaciel</t>
  </si>
  <si>
    <t>Manufacturer of reflectors intended to bring more natural light into houses. The company's reflectors help in diffusing sunlight from outside and balance the tone of rooms accordingly, enabling users to increase the luminosity of their rooms.</t>
  </si>
  <si>
    <t>Finorpa, Noria</t>
  </si>
  <si>
    <t>building lighting, light luminosity, lighting management, lighting product, natural light diffusion, reflective mirrors</t>
  </si>
  <si>
    <t>180127-72T</t>
  </si>
  <si>
    <t>Javelo</t>
  </si>
  <si>
    <t>Developer of a goal management application designed to boost the engagement of employees while transparently measuring their performance. The company's platform helps HR departments with tools from evaluation and appraisal to employee engagement, 360-degree feedback, objective tracking and employee surveys, enabling businesses to monitor employee performance differently and retain their talent better through streamlined managerial processes.</t>
  </si>
  <si>
    <t>Bpifrance, ISAI, Pierre Kosciusko Morizet(Pierre Kosciusko Morizet)</t>
  </si>
  <si>
    <t>employee engagement, employee engagement tool, employee performance analysis, enterprise resource planning, erp, goal management platform, human capital management, management platform, work measurement software</t>
  </si>
  <si>
    <t>189796-60T</t>
  </si>
  <si>
    <t>Matmut, Racer (Media and Information Services)</t>
  </si>
  <si>
    <t>165166-75T</t>
  </si>
  <si>
    <t>181357-66T</t>
  </si>
  <si>
    <t>128412-91T</t>
  </si>
  <si>
    <t>R-PUR</t>
  </si>
  <si>
    <t>Accessories*, Other Consumer Non-Durables</t>
  </si>
  <si>
    <t>Developer of anti-pollution masks designed to offer protection from pollution. The company's masks utilize a patented nano-filtration technology to provide optimal comfort, and layers of filtration and safeguard against gases, pollens, diesel and toxic fine particles present in the air, enabling customers to have protection against ultrafine particles or nanoparticles.</t>
  </si>
  <si>
    <t>Citizen Capital(Olivier Mougenot), Eric Larchevêque(Eric Larchevêque), Marc Simoncini(Marc Simoncini)</t>
  </si>
  <si>
    <t>air filtration product, air pollution mask, anti-pollution mask, mask design, nanofiltration systems, personal health technology, pollution mask</t>
  </si>
  <si>
    <t>Rivesaltes, France</t>
  </si>
  <si>
    <t>127448-38T</t>
  </si>
  <si>
    <t>Balderton Capital(Suranga Chandratillake), Delphis, Fly Ventures, Lise Invest, Scott Chacon(Scott Chacon), Solomon Hykes(Solomon Hykes)</t>
  </si>
  <si>
    <t>127457-02T</t>
  </si>
  <si>
    <t>Deeplink Medical</t>
  </si>
  <si>
    <t>Developer of a medical teleradiology platform designed to support healthcare professionals in their telemedicine projects. The company's platform facilitates and enriches requests for imaging examinations, standardizes examination protocols, and guarantees the transmission of relevant data between healthcare professionals, enabling users to be independent in their teleradiology activity without depending on a medical network.</t>
  </si>
  <si>
    <t>BNP Paribas (PAR: BNP), Bpifrance, Investisseurs privés</t>
  </si>
  <si>
    <t>enterprise resource planning, erp, medical imaging, oncology imaging, oncology monitoring, radiology image processing and ai, teleradiology information systems, teleradiology solution, teleradiology technology</t>
  </si>
  <si>
    <t>HealthTech, Life Sciences, Oncology, SaaS</t>
  </si>
  <si>
    <t>131106-97T</t>
  </si>
  <si>
    <t>Eldorado (Media and Information Services (B2B))</t>
  </si>
  <si>
    <t>Business/Productivity Software, Media and Information Services (B2B)*, Other Financial Services</t>
  </si>
  <si>
    <t>Provider of financing services intended to provide entrepreneurs with access to financing at any stage of maturity. The company offers an analysis of fundraising, market trends, templates, articles, and exclusive benefits, as well as the essential instruments to improve financing, banking, and non-dilutive effects, either independently or with dedicated help from one of their experts, enabling entrepreneurs to raise funding for projects and startups.</t>
  </si>
  <si>
    <t>Bain Capital Ventures, Founders Future, My Seed Cap</t>
  </si>
  <si>
    <t>crowdfunding platform, crowdfunding portal, financing consultancy, financing platform, innovation financing, online fundraising platform</t>
  </si>
  <si>
    <t>127534-15T</t>
  </si>
  <si>
    <t>138020-50T</t>
  </si>
  <si>
    <t>Nino Robotics</t>
  </si>
  <si>
    <t>Automotive*, Elder and Disabled Care, Other Transportation</t>
  </si>
  <si>
    <t>Manufacturer of a self-balanced electric vehicle designed to assist physically disabled people to tackle their barriers to mobility. The company's vehicle works like a segway balanced on two wheels and thereby serves as a means of transport to assist wheelchair-bound individuals, enabling disabled people to use it as an effective mode of transportation.</t>
  </si>
  <si>
    <t>CareMakers, Renault (PAR: RNO)</t>
  </si>
  <si>
    <t>conveyor electric car, electric chairs, electric vehicle, mobility equipment, mobility technology, self-balanced electric vehicle</t>
  </si>
  <si>
    <t>Climate Tech, LOHAS &amp; Wellness, Manufacturing, Micro-Mobility, Mobility Tech</t>
  </si>
  <si>
    <t>Soubes, France</t>
  </si>
  <si>
    <t>137407-96T</t>
  </si>
  <si>
    <t>C4Diagnostics</t>
  </si>
  <si>
    <t>Developer of medical devices and equipment designed to perform faster and more sensitive diagnostic tests. The company's equipment undertakes urinary tract infection screening for reliable detection, count, and concentration of culturable microorganisms of interest in clinical microbiology, enabling hospitals and laboratories to perform culture-based IVD tests and specific fluorescence.</t>
  </si>
  <si>
    <t>Andrei Polukhtin(Andrei Polukhtin), CAAP Creation(Armand Perrin), Rhône-Alpes Création, Région Sud Investissement, Smalt Capital</t>
  </si>
  <si>
    <t>clinical microbiology, diagnostic test equipment, diagnostic test kits, medical device company, microbiology analysis, microbiology test, urinary tract infection detection</t>
  </si>
  <si>
    <t>126017-56T</t>
  </si>
  <si>
    <t>Inheritance Enterprises, Vitol</t>
  </si>
  <si>
    <t>241356-97T</t>
  </si>
  <si>
    <t>Regnault</t>
  </si>
  <si>
    <t>Automotive*, Logistics, Other Commercial Services</t>
  </si>
  <si>
    <t>Manufacturer of custom-built vehicles intended for specific customer needs. The company offers transportation, trucking, and railroad services, and builds custom bodies for trucks and vans, offering a wide range of features such as conversion of vans into customized mobile workshops, refrigerated trucks, and cattle trucks, enabling customers to meet their business expectations.</t>
  </si>
  <si>
    <t>automotive market, automotive vehicles, mobile workshops, railroad rolls, refrigerated truck, transportation boxes, trucking service, trucking track, vehicle owner</t>
  </si>
  <si>
    <t>Coutances, France</t>
  </si>
  <si>
    <t>133617-16T</t>
  </si>
  <si>
    <t>Webinterpret</t>
  </si>
  <si>
    <t>Operator of a global marketplace for online merchants intended to democratize international e-commerce. The company's Internet platform offers services to online merchants to expand their markets on a global scale and it offers services like modifications to shipping cost, currency, categories, accurate translation, and international stock management, enabling online retailers and marketplace sellers to expand worldwide and boost their online sales.</t>
  </si>
  <si>
    <t>Gilles Ghesquière(Gilles Ghesquiere), Guy Paré(Guy Paré), Indigo Capital(Stanley de Butler), Nick Heys, Thibaud Elziere(Thibaud Elziere)</t>
  </si>
  <si>
    <t>customer service, global marketplace, internet platform, marketing platform, online marketplace, sales service firm, sales service provider</t>
  </si>
  <si>
    <t>184188-52T</t>
  </si>
  <si>
    <t>Zéphyr &amp; Borée</t>
  </si>
  <si>
    <t>Manufacturer of merchant vessels intended to offer low-carbon maritime transport. The company designs and builds hybrid sail-engine merchant ships for its clients along with offering ship management from maintenance, insurance, and financial control to crew and ship operations management services, enabling clients to control the emission of carbon dioxide and reducing pollution.</t>
  </si>
  <si>
    <t>Francis Vallat, Françoise Brenckmann, Soper(Jean-Michel Germa)</t>
  </si>
  <si>
    <t>eco-friendly transport, maritime services, sailing ship, ship builder, ship maintenance service, ship management services, shipping company, transport maritime</t>
  </si>
  <si>
    <t>133412-23T</t>
  </si>
  <si>
    <t>Demand Side Instruments</t>
  </si>
  <si>
    <t>Developer of an energy-saving irrigation sensor designed to provide agronomic tools that help manage resources and try to remedy the consequences of climate change. The company's platform focuses on a network of communicating objects and collecting in-field real-time data by using a dedicated web application, enabling the farmer to implement an irrigation system to bring water.</t>
  </si>
  <si>
    <t>Gedia Energies &amp; Services(Philippe Rive)</t>
  </si>
  <si>
    <t>agtech firm, clean energy, environmental services, field iot, irrigation platform, precision ag, precision agriculture, preservation service, smart agriculture</t>
  </si>
  <si>
    <t>160136-38T</t>
  </si>
  <si>
    <t>Immersive Factory</t>
  </si>
  <si>
    <t>Developer of a virtual reality platform designed to come up with training methods and events on occupational health and safety. The company's platform delivers digital and immersive cloud-based technology for remote, on-site teams and provides online EHS workshops and tools to organize training and events, enabling organizations to create a profitable business and integrate social and environmental concerns.</t>
  </si>
  <si>
    <t>augmented reality, cloud-based technology, ehs training, training methods, training tools, virtual reality</t>
  </si>
  <si>
    <t>Artificial Intelligence &amp; Machine Learning, Augmented Reality, EdTech, SaaS, Virtual Reality</t>
  </si>
  <si>
    <t>126626-95T</t>
  </si>
  <si>
    <t>Toucan Toco</t>
  </si>
  <si>
    <t>Developer of business management software designed to simplify the process of data analysis and visualization. The company's platform specializes in managing projects, data visualization, data reporting, and data analysis, enabling clients to make better decisions and organizations to make their data more meaningful and understandable.</t>
  </si>
  <si>
    <t>Balderton Capital(Bernard Liautaud), Capgemini Ventures, ISAI</t>
  </si>
  <si>
    <t>analytics &amp; business intelligence, analytics and business intelligence, analytics platform, business insights, business intelligence platform, business intelligence software, business management company, business management service, data analysis system, sales management</t>
  </si>
  <si>
    <t>135413-74T</t>
  </si>
  <si>
    <t>Acklio</t>
  </si>
  <si>
    <t>LPWAN</t>
  </si>
  <si>
    <t>Business/Productivity Software, Communication Software*, Connectivity Products</t>
  </si>
  <si>
    <t>Operator of a software company intended to specialize in network protocol optimization. The company's network developed a new compression and fragmentation technology to ensure compatibility between the low-power, wide-area networks and the internet protocol, enabling clients to access their network to connect and manage current or future devices in a real and secure IoT world.</t>
  </si>
  <si>
    <t>Crédit Agricole Ille et Vilaine Expansion, Innovacom (Paris), Starquest Capital, Turenne Groupe</t>
  </si>
  <si>
    <t>device management solutions, fragmentation technology, lpwan networking, lpwan technologies, network interoperability, software company, telecommunication contractor</t>
  </si>
  <si>
    <t>208284-67T</t>
  </si>
  <si>
    <t>EIT InnoEnergy(Richard Biagioni)</t>
  </si>
  <si>
    <t>132331-60T</t>
  </si>
  <si>
    <t>125304-58T</t>
  </si>
  <si>
    <t>UpFactor</t>
  </si>
  <si>
    <t>Business/Productivity Software, Construction and Engineering, Consulting Services (B2B)*, Other Commercial Services</t>
  </si>
  <si>
    <t>Operator of an independent consultancy firm intended to facilitate elevation to all real estate and construction businesses. The company's offers building heightening services, which allows property owners to increase the number of floors on their existing structures, enabling businesses to expand their usable space and meet growing needs in already developed areas, all while preserving land and promoting sustainable development.</t>
  </si>
  <si>
    <t>Arkéa Capital, Banque des Territoires, FaDiese, Karista (Paris), Paris Region Venture Fund, Sofiouest</t>
  </si>
  <si>
    <t>architecture consultancy firm, architecture consulting, architecture consulting service, construction consultancy firm, construction consulting, construction contract business</t>
  </si>
  <si>
    <t>126978-40T</t>
  </si>
  <si>
    <t>Breega(Maximilien Bacot), Idinvest Partners</t>
  </si>
  <si>
    <t>138801-88T</t>
  </si>
  <si>
    <t>Hygiene Expert</t>
  </si>
  <si>
    <t>Developer of digital cleaning application designed for professional hygiene management. The company's application provides service to the players involved in professional cleaning by helping them design, trace, and analyze their actions related to hygiene, enabling users to get customized cleaning plans and also monitor the progress in real time.</t>
  </si>
  <si>
    <t>Crédit Agricole Atlantique Vendée, Pays de la Loire Participations</t>
  </si>
  <si>
    <t>cleaning works, cleantech app, hygiene monitoring, managing software, monitoring tasks, professional hygiene, task management</t>
  </si>
  <si>
    <t>Les Herbiers, France</t>
  </si>
  <si>
    <t>186058-09T</t>
  </si>
  <si>
    <t>128518-21T</t>
  </si>
  <si>
    <t>Caisse d'Epargne, Jaina Capital, Normandie Participations, Quadia(Marion Schuppe)</t>
  </si>
  <si>
    <t>140490-73T</t>
  </si>
  <si>
    <t>131504-41T</t>
  </si>
  <si>
    <t>Arwin, Caisse des Depots Group, Credit Agricole Entreprises (PAR: CRBP), Frank Gana(Frank Gana), Geraldine Poivert(Geraldine Poivert), Les Saules, Starquest Capital(Quentin Simon), SWEN Capital Partners</t>
  </si>
  <si>
    <t>127013-50T</t>
  </si>
  <si>
    <t>WOÔ</t>
  </si>
  <si>
    <t>Developer of a marketing support platform designed to help brands engage with their customers. The company's platform offers services in various areas, including influencer marketing, social media and content creation, and influential events, enabling organizations to decipher and better understand the behavior of users on social networks.</t>
  </si>
  <si>
    <t>branding content services, community management platform, content creation solutions, digital agency, digital agency firm, influence marketing platform, marketing and advertising</t>
  </si>
  <si>
    <t>167057-11T</t>
  </si>
  <si>
    <t>Xaalys</t>
  </si>
  <si>
    <t>Developer of a digital banking application designed to help teenagers to have financial and budgetary skills. The company's application comes with an account and payment card with features such as unauthorized overdrafts, blocked purchases of tobacco, and alcohol, online gambling, instant fund transfers, summaries of cash inflows and outflows, and an educational platform with quizzes and games, enabling parents to control children's expenses in real-time and grant progressive autonomy to the child.</t>
  </si>
  <si>
    <t>Bouygues Telecom Initiatives, FAMM Group</t>
  </si>
  <si>
    <t>consumer payment, debit &amp; p2p, digital bank, digital banking, financial education, financial education service, mobile bank, youth banking</t>
  </si>
  <si>
    <t>FinTech, Mobile, Mobile Commerce</t>
  </si>
  <si>
    <t>126677-35T</t>
  </si>
  <si>
    <t>BNP Paribas Développement, Bpifrance(Chahra Louafi), Crédit Mutuel Innovation(Karine Lignel), Karista (Paris), M&amp;L Healthcare Investments, Omnes Capital, Sofinnova Partners(Antoine Papiernik), Valquest Partners</t>
  </si>
  <si>
    <t>126624-88T</t>
  </si>
  <si>
    <t>Xerys Invest(Jacques Simonnet)</t>
  </si>
  <si>
    <t>118737-10T</t>
  </si>
  <si>
    <t>Africinvest, Alven Capital Partners(François Meteyer), Cathay Capital Private Equity, Cathay Innovation, Eurazeo (PAR: RF)(Louis Bô), Felix Capital(Antoine Nussenbaum), InnovAllianz, TotalEnergies Ventures, Via ID</t>
  </si>
  <si>
    <t>132836-14T</t>
  </si>
  <si>
    <t>Dominique Vidal(Dominique Vidal), Kima Ventures, Thibaud Elziere(Thibaud Elziere)</t>
  </si>
  <si>
    <t>130891-96T</t>
  </si>
  <si>
    <t>ExactCure</t>
  </si>
  <si>
    <t>Developer of an online web application designed to develop personalized bio-models of the concentration of drugs within the blood of each individual. The company's software offers drug simulations according to the genetic and physiological characteristics of each patient through a numerical simulation that eliminates blood sampling tests, enabling healthcare professionals to prescribe precise drugs to their patients in an efficient manner.</t>
  </si>
  <si>
    <t>Courtin Investment, OneRagtime(Stéphanie Hospital)</t>
  </si>
  <si>
    <t>drug testing application, drugs administration, drugs simulation, e-health software, health data management, personalized medication</t>
  </si>
  <si>
    <t>134322-94T</t>
  </si>
  <si>
    <t>Il était un fruit</t>
  </si>
  <si>
    <t>Producer of agricultural food products intended to provide healthy snacks for children and adults. The company's food products are made from natural dried fruits and vegetables without added sugars or additives, enabling customers to have healthy snacks which are free from any artificial chemicals.</t>
  </si>
  <si>
    <t>Angels for Food, Seventure Partners, Sofilaro, Soridec, Vivacto Developpment</t>
  </si>
  <si>
    <t>agricultural food, agricultural food product, bio-engineered food, dried fruits, drying food product, fruits snacks, functional food, natural fruits snacks</t>
  </si>
  <si>
    <t>135738-28T</t>
  </si>
  <si>
    <t>EduCapital, Eisai Ventures, Impact Investment Partners, Impact Partners (Paris), ISAI, K2 Investment Partners, Kernel Investissements</t>
  </si>
  <si>
    <t>200500-75T</t>
  </si>
  <si>
    <t>Le Groupe IRCEM</t>
  </si>
  <si>
    <t>234101-53T</t>
  </si>
  <si>
    <t>Entourage Ventures, Gaumont (PAR: GAM)</t>
  </si>
  <si>
    <t>203723-29T</t>
  </si>
  <si>
    <t>FJ Labs, PolyTech Ventures</t>
  </si>
  <si>
    <t>182977-03T</t>
  </si>
  <si>
    <t>126847-27T</t>
  </si>
  <si>
    <t>Wittyfit</t>
  </si>
  <si>
    <t>Developer a SaaS platform designed to collaborate with experts in occupational health (CHU) and human sciences (CNRS). The company's platform offers a comprehensive and transparent vision of management practices and makes each employee actor in the change and the success of the strategic project of the company, enabling clients to measure, analyze and improve the job satisfaction of their employees.</t>
  </si>
  <si>
    <t>Kearny Venture Partners, Seed4Soft, V3 Capital Partners</t>
  </si>
  <si>
    <t>business management, employee engagement, employee jobs satisfaction, management services, occupational health, saas platform, work environment development</t>
  </si>
  <si>
    <t>126355-78T</t>
  </si>
  <si>
    <t>Lalilo</t>
  </si>
  <si>
    <t>Developer of a learning software intended to serve the education industry. The company's platform uses artificial intelligence to customize reading exercises depending on each student's needs, prepares individualized printable weekly worksheets and offers advanced collaboration and group pairing enabling teachers to assist each student individually and help them to learn at their own pace.</t>
  </si>
  <si>
    <t>4Ventures, avrhm capital, Citizen Capital, EduCapital, Partech</t>
  </si>
  <si>
    <t>educational software, literacy based application, literacy based learning tool, literacy platform, literacy software developer, literacy software provider</t>
  </si>
  <si>
    <t>131953-06T</t>
  </si>
  <si>
    <t>Coucoo</t>
  </si>
  <si>
    <t>Hotels and Resorts*, Leisure Facilities, Other Restaurants, Hotels and Leisure</t>
  </si>
  <si>
    <t>Provider of ecological accommodation facility services intended to offer travelers an environment-friendly stay option. The company's services offer cabins that are built on trees like traditional but cozy homes and maintained using ecological and biodegradable products, enabling travelers to get a pleasant living experience away from the busy world.</t>
  </si>
  <si>
    <t>accommodation facility, accommodation facility management, accommodation rooms, ecological home, trees house, trees house cabins</t>
  </si>
  <si>
    <t>Raray, France</t>
  </si>
  <si>
    <t>126047-35T</t>
  </si>
  <si>
    <t>Hoppen</t>
  </si>
  <si>
    <t>Developer of a patient engagement platform designed to assist the health market with digital technology. The company's platform provides television, telephony, and internet services in hospitals for entertainment to patients as well as assists them in streamlining internal processes and optimizing the daily staff, enabling healthcare industries to improve patient services, ease the internal processes and optimize the staff's daily tasks.</t>
  </si>
  <si>
    <t>Business Angels 35, Crédit Agricole Ille et Vilaine Expansion, Extens, GENEO Capital Entrepreneur, Kreizig Invest, Sofimac Innovation, Unexo</t>
  </si>
  <si>
    <t>data monitoring, data monitoring system, digital health, digital hospital, multimedia platform, patient engagement, patient engagement platform</t>
  </si>
  <si>
    <t>Cesson Sevigne, France</t>
  </si>
  <si>
    <t>126824-23T</t>
  </si>
  <si>
    <t>Mapping Control</t>
  </si>
  <si>
    <t>Automotive, Business/Productivity Software*, Media and Information Services (B2B)</t>
  </si>
  <si>
    <t>Developer of a fleet management platform intended to reduce automotive fleets and enhance mobile employee productivity. The company's platform offers modular and scalable vehicle tracking services and embedded telematics, enabling users to collect and analyze the different relevant data to reduce the cost of the automobile fleet and increase the productivity of traveling employees.</t>
  </si>
  <si>
    <t>A Plus Finance, Amundi Private Equity Funds, Banque Populaire Méditerranée, Demeter Partners(Eric Vincent), Région Sud Investissement, Societe en Capital Risque Provençale et Corse, Turenne Groupe</t>
  </si>
  <si>
    <t>fleet connectivity, fleet management, fleet management platform, freight technology, geodata platform, supply chain management, telematics data, vehicle fleet management, vehicle tracking, vehicle tracking system</t>
  </si>
  <si>
    <t>Mobile, Mobility Tech, SaaS, TMT</t>
  </si>
  <si>
    <t>125737-21T</t>
  </si>
  <si>
    <t>TrustInSoft</t>
  </si>
  <si>
    <t>Developer of a code analyzing tool designed to find source code flaws. The company's tool performs comprehensive mathematical analyses of software to find and resolve source code flaws and also detect all vulnerabilities, enabling software designers and validation teams to verify and detect flaws in their critical software.</t>
  </si>
  <si>
    <t>CEA (Commercial Services), Idinvest Partners(Louis Bô), Michel Kermagoret(Michel Kermagoret), Nat Burgess(Nat Burgess), Tikehau Ace Capital, Tikehau Capital (PAR: TKO)</t>
  </si>
  <si>
    <t>application security, coding analyzers, cyber security, devops security platform, software reliability, software security, source code software, sourcing coding analyzers</t>
  </si>
  <si>
    <t>99598-24T</t>
  </si>
  <si>
    <t>A&amp;B (HK) Company, Anaxago(Joachim Dupont), Antoine Lindrec(Antoine Lindrec), China Medical System (HKG: 00867), GO Capital (France)(Leila Nicolas), Karista (Paris)(Catherine Boule), Mirae Asset Venture Investment (KRX: 100790), Newton BioCapital(Alain Parthoens), Pierre-Antoine Rohr-Lacoste(Pierre-Antoine Rohr-Lacoste), Primer Capital(Elizaveta Rozhdestvenskaya), Romain Fau(Romain Fau), Sylvain Zimmer(Sylvain Zimmer)</t>
  </si>
  <si>
    <t>133701-40T</t>
  </si>
  <si>
    <t>Gyrolift</t>
  </si>
  <si>
    <t>Other Commercial Products, Therapeutic Devices*</t>
  </si>
  <si>
    <t>Developer of a gyroscopic wheelchair designed to facilitate users to move in both sitting and standing positions. The company's wheelchair specializes in segway to move in public places or at work and helps companies to promote the maintenance and reintegration of employment of people with reduced mobility and to the difficulty of certain jobs contributing to job preservation and job retention, enabling elderly or people with disabilities to facilitate their urban mobility and their inclusion in everyday life.</t>
  </si>
  <si>
    <t>Angels Santé, Bpifrance, GO Capital (France)(Alexis Menard), PAF Kapital</t>
  </si>
  <si>
    <t>gyroscopic stabilizers, industrial machinery, machinery manufacturing, mobility system, robotics wheelchair, wheelchair systems</t>
  </si>
  <si>
    <t>130446-64T</t>
  </si>
  <si>
    <t>Edward Filippi(Edward Filippi), Insight Partners(Peter Sobiloff)</t>
  </si>
  <si>
    <t>128702-35T</t>
  </si>
  <si>
    <t>SCOR Global Life Americas(Brona Magee)</t>
  </si>
  <si>
    <t>106523-56T</t>
  </si>
  <si>
    <t>Medevice Capital, Remora Biotech</t>
  </si>
  <si>
    <t>131487-49T</t>
  </si>
  <si>
    <t>Kima Ventures, Plug and Play Tech Center, Starquest Capital</t>
  </si>
  <si>
    <t>181572-04T</t>
  </si>
  <si>
    <t>Izicap</t>
  </si>
  <si>
    <t>Developer of a cloud-based card-linked marketing platform designed to automate the management of marketing actions. The company's platform offers the opportunity for local stores to benefit from a marketing and loyalty tool to increase their sales and makes it possible to turn the payment card into a loyalty card and digitize the local stores' marketing, enabling merchants to get closer to their customers and develop sales and loyalty.</t>
  </si>
  <si>
    <t>Seventure Partners(David Manjarres)</t>
  </si>
  <si>
    <t>consumer payment, digital marketing, loyalty &amp; rewards, loyalty and incentive, loyalty marketing, loyalty program, marketing action, marketing insights, marketing payment, marketing platform, retail loyalty, retail rewards</t>
  </si>
  <si>
    <t>FinTech, Marketing Tech, SaaS</t>
  </si>
  <si>
    <t>125878-51T</t>
  </si>
  <si>
    <t>Cascade Global, Rewired Venture Studio</t>
  </si>
  <si>
    <t>135409-78T</t>
  </si>
  <si>
    <t>Louise Carmen Paris</t>
  </si>
  <si>
    <t>Other Apparel*, Specialty Retail</t>
  </si>
  <si>
    <t>Operator of a customized notebook brand intended to offer personalized notebooks and diaries. The company provides a wide range of notebook collections, including heritage leather notebooks, colored leather notebooks, and project notebooks, along with accessories such as refills, diaries, and gift cards, enabling individuals to personalize their notebooks according to their writing habits and tastes.</t>
  </si>
  <si>
    <t>Cuir Invest(Frank Boehly)</t>
  </si>
  <si>
    <t>corporate bookmakers, corporate gifting, customised products, handcrafted product, notebooks manufacturer, personalized notebooks</t>
  </si>
  <si>
    <t>Other Apparel</t>
  </si>
  <si>
    <t>133488-01T</t>
  </si>
  <si>
    <t>Cem'In'Eu</t>
  </si>
  <si>
    <t>Building Products, Construction and Engineering, Raw Materials (Non-Wood)*</t>
  </si>
  <si>
    <t>Manufacturer of cement intended to supply, produce, and operate a milling plant. The company's model is marketing the departure of traditional models of cement groups, enabling businesses to originate a disruptive model of cement factories.</t>
  </si>
  <si>
    <t>building materials, building products, cement distribution, cement plant operator, construction material, product management</t>
  </si>
  <si>
    <t>132819-13T</t>
  </si>
  <si>
    <t>Ector</t>
  </si>
  <si>
    <t>Operator of a parking assistance platform intended to help travelers to leave their cars with valets at airports or train stations before they depart. The company's platform offers vehicle pick-up at airports and railway stations so that when the customers are away, their vehicles are kept in nearby car parks, cleaned, and checked before their owners return, enabling travelers to depart without worrying about their cars' safety and condition.</t>
  </si>
  <si>
    <t>574 Invest(Lucas Rudolf), BNP Paribas Développement, Bpifrance(Edouard Combette), Eurazeo (PAR: RF), Via ID</t>
  </si>
  <si>
    <t>car parking, car parking system, parking data, parking space, valet parking, valet parking operator, valet parking service, valet services</t>
  </si>
  <si>
    <t>132552-10T</t>
  </si>
  <si>
    <t>Fluigent</t>
  </si>
  <si>
    <t>Developer of a microfluidic flow control and fluid handling technology designed to serve laboratories, research units, and industries around the world. The company's technology uses instruments for the control of fluids in microsystems and molecular biology reagents for the detection of unknown mutations, enabling industrial research laboratories and clinical diagnostic centers full control of the microfluidic system.</t>
  </si>
  <si>
    <t>Inventures Investment Partners, The Innovation Fund</t>
  </si>
  <si>
    <t>control system, flow control, microfluidic technology, microfluidics system, pressure control, pressure-driven flow control, voltage control</t>
  </si>
  <si>
    <t>Le Kremlin Bicetre, France</t>
  </si>
  <si>
    <t>166358-80T</t>
  </si>
  <si>
    <t>Maformationmédicale</t>
  </si>
  <si>
    <t>Operator of a healthcare training platform intended to offer training courses for healthcare professionals. The company's platform offers face-to-face training, e-learning training, and financing for training projects, enabling healthcare professionals to carry out their learning projects in order and guarantee the optimal quality of care for patients.</t>
  </si>
  <si>
    <t>Angels Santé, OBRATORI, Région Sud Investissement</t>
  </si>
  <si>
    <t>healthcare training platform, medical education platform, medical training platform, medical training site, nursing training, training organization</t>
  </si>
  <si>
    <t>138797-65T</t>
  </si>
  <si>
    <t>Music Global.</t>
  </si>
  <si>
    <t>Distributors/Wholesale*, Recreational Goods, Specialty Retail</t>
  </si>
  <si>
    <t>Distributor of musical instruments and accessories intended to cover the global system for mobile communications network through our corners, as well as music stores and e-commerce. The company adopts a multichannel strategy and hosts multiple instruments ranging from guitar to drums, enabling music enthusiasts to get their required instruments.</t>
  </si>
  <si>
    <t>music enthusiasts, music instrument provider, music instrument retailer, musical accessories, musical instrument store, online musicians</t>
  </si>
  <si>
    <t>135090-73T</t>
  </si>
  <si>
    <t>Fermat (Information Technology)</t>
  </si>
  <si>
    <t>Developer of information technology software by combining standard hardware components with proprietary software designed to process big data applications. The company's software provides an easy-to-use application programming interface (API) for developers to access its modular hardware device that includes field-programmable gate array (FPGA) and flash memory and supports the development of high-performance and big data applications in data science, machine learning, simulations, financial modeling, and analysis, enabling organizations to access data through a straightforward software toolchain on extremely large datasets.</t>
  </si>
  <si>
    <t>Paul Maritz(Paul Maritz)</t>
  </si>
  <si>
    <t>analytics computing platform, artificial intelligence acceleration, big data analysis, big data analytics framework, enterprise architecture, financial services infrastructure, high performance computing, industrial data analytics, intelligent device, intelligent sensors, intelligent sensors &amp; devices, intelligent sensors and devices, performance computing platform, vertical application</t>
  </si>
  <si>
    <t>252708-13T</t>
  </si>
  <si>
    <t>Flashgap</t>
  </si>
  <si>
    <t>Developer of a dating application designed to share photos and focused on the younger generation. The company's application allows posting content that disappears after three seconds and the full album only reappears at twelve the next day, enabling users to create public or private photo albums during parties or events and share them with friends and family.</t>
  </si>
  <si>
    <t>Amco Investments, Marc Sounigo(Marc Sounigo), PLW Holding, Timezone Ventures</t>
  </si>
  <si>
    <t>online dating, photo editor, photo sharing, photo sharing albums, photo sharing app, photo sharing application, photo sharing platform</t>
  </si>
  <si>
    <t>Ephemeral Content, Mobile</t>
  </si>
  <si>
    <t>202825-45T</t>
  </si>
  <si>
    <t>G Finance Groupe</t>
  </si>
  <si>
    <t>Consulting Services (B2B), Other Commercial Services, Other Financial Services*</t>
  </si>
  <si>
    <t>Provider of financial services intended for investments in professional equipment. The company offers a financial intermediary in the brokerage and financial leasing of industrial equipment by analyzing the relevance of the investment to the client's business model, enabling businesses to have relevant investments with regard to their economic model.</t>
  </si>
  <si>
    <t>banking trust, brokerage advice, financial services firm, investment services, leased investment, professional equipment</t>
  </si>
  <si>
    <t>155854-00T</t>
  </si>
  <si>
    <t>Spotyride</t>
  </si>
  <si>
    <t>Application Software, Information Services (B2C)*, Other Restaurants, Hotels and Leisure, Other Services (B2C Non-Financial)</t>
  </si>
  <si>
    <t>Operator of an online sports booking platform intended to help users get access to various leisure activities. The company's platform allows users to find and book water sports activities, shops, and spots, follow the news and discover events and related activities, enabling water sports enthusiasts to geolocate all nautical activities in just a few clicks.</t>
  </si>
  <si>
    <t>NGB Invest</t>
  </si>
  <si>
    <t>leisure sports, online community, sports booking platform, tourism information systems, water sports activities, water sports facilities, water sports services</t>
  </si>
  <si>
    <t>227391-22T</t>
  </si>
  <si>
    <t>Uplaw</t>
  </si>
  <si>
    <t>Developer an equity management platform designed to digitize the company's securities accounting. The company's platform offers benefits such as effectively managing employee share ownership, verifiable and auditable capitalization, digitizing and centralizing all social registers, and keeping them updated automatically, document management and legal database, and, automated generation of legal documents, enabling users to monitor their shareholding, capital, and BSPCE plans.</t>
  </si>
  <si>
    <t>business process management, capitalization tables, company security, data analytics app, document automation, document management, legal database</t>
  </si>
  <si>
    <t>125505-64T</t>
  </si>
  <si>
    <t>Aryeh Bourkoff(Aryeh Bourkoff), blisce/, Bpifrance, CASSIUS(Emmanuel Seuge), Eric Zinterhofer(Eric Zinterhofer), Next World Capital, NJJ Capital, Rancilio Cube, Red River West, Urania Ventures, Xavier Niel(Xavier Niel)</t>
  </si>
  <si>
    <t>131157-73T</t>
  </si>
  <si>
    <t>Impala</t>
  </si>
  <si>
    <t>Developer of an artificial intelligence-based education software designed to help students visualize, explore and build their future career paths. The company's software uses data science and psychology to help students design their own career paths, provides orientation events with personalized courses, and makes a student chat with professionals or other students, earn points, and get rewarded, enabling students to regain confidence in the career choice by planning for the future efficiently.</t>
  </si>
  <si>
    <t>Frédéric Picq(Frédéric Picq), Newfund Management(Patrick Malka), Pi2 Invest, Pierre-Olivier Desaulle(Pierre-Olivier Desaulle), Tony Jamous(Tony Jamous)</t>
  </si>
  <si>
    <t>career planning tools, educational guidance, educational tools, learning tool, orientation training, planning tools, training service</t>
  </si>
  <si>
    <t>181228-96T</t>
  </si>
  <si>
    <t>Pherecydes Pharma</t>
  </si>
  <si>
    <t>Pherecydes Pharma develops phage-based therapeutic solutions for the treatment of bacterial infections. It focuses on various bacterial infections, including antibiotic-resistant infections, using phages, natural predators of bacteria that have no effect on eukaryotic cells, including human cells.</t>
  </si>
  <si>
    <t>Auriga Partners (Paris), Karista (Paris), Paris Region Venture Fund</t>
  </si>
  <si>
    <t>antibacterial treatment, antibiotic resistance therapy, bacteriophages, bacteriophages bonds, bacteriotherapy, emerging therapy, infectious disease, phage therapy, phage therapy services, pseudomonas aeruginosa</t>
  </si>
  <si>
    <t>192459-79T</t>
  </si>
  <si>
    <t>Place2Swap</t>
  </si>
  <si>
    <t>Developer of a peer-to-peer e-commerce platform designed to allow brands to re-integrate the pre-owned market into their business model. The company's peer-to-peer re-commerce platform is an end-to-end white-label marketplace for trading pre-owned goods on brand e-commerce sites, enabling clients to become circular and contribute to responsible consumption.</t>
  </si>
  <si>
    <t>Geraldine Le Meur, Plug and Play Tech Center</t>
  </si>
  <si>
    <t>circular economy, circular economy platform, networking platform, pre-owned goods, retail marketing, secondhand market</t>
  </si>
  <si>
    <t>133536-16T</t>
  </si>
  <si>
    <t>Happn</t>
  </si>
  <si>
    <t>Information Services (B2C), Social/Platform Software*</t>
  </si>
  <si>
    <t>Developer of a location-based dating application designed to help people contact each other over the Internet to arrange a date. The company's application helps users build connections based on real-time interactions and report unwanted behaviour or block a profile, enabling users to interact with people with common interests over the internet and arrange a date.</t>
  </si>
  <si>
    <t>Alven Capital Partners(Charles Letourneur), Brkfst Club, DN Capital(Nenad Marovac), Eurazeo (PAR: RF), Güimar Sittic(Güimar Sittic), Idinvest Partners, Josef Feldman(Josef Feldman), Raine Ventures</t>
  </si>
  <si>
    <t>dating application, dating software developer, dating tools, dating website, mobile dating application, real time interaction</t>
  </si>
  <si>
    <t>204705-91T</t>
  </si>
  <si>
    <t>Maelo Capital Investissement</t>
  </si>
  <si>
    <t>164294-20T</t>
  </si>
  <si>
    <t>DooH it</t>
  </si>
  <si>
    <t>Operator of an advertising agency intended for indoor display advertising and marketing. The company offers advertisers the opportunity to broadcast their advertising content on digital screens equipped with artificial intelligence via mediums such as telephone charging stations or dispensing hydro-alcoholic gel, enabling the businesses to have an ideal campaign drive to attract the audience.</t>
  </si>
  <si>
    <t>La Poste Services for Equity(Nizar Dahman)</t>
  </si>
  <si>
    <t>advertising agency, advertising campaigns, advertising work, digital advertising, digital advertising media, digital advertising tool</t>
  </si>
  <si>
    <t>135045-55T</t>
  </si>
  <si>
    <t>MovingLab</t>
  </si>
  <si>
    <t>Developer of software products intended for removal businesses. The company's platform offers a suite of tools designed to improve efficiency and profitability, including features for streamlining sales, quality Control, travel optimization, financial management, managing operations, and integrating with existing technologies, enabling businesses to optimize their operations and increase their net profit margin.</t>
  </si>
  <si>
    <t>logistic service, movers booking platform</t>
  </si>
  <si>
    <t>125429-86T</t>
  </si>
  <si>
    <t>360 Capital, Bosch Ventures, European Investment Bank (Luxembourg), iBionext(Bernard Gilly), Intel Capital, Supernova Invest</t>
  </si>
  <si>
    <t>125622-91T</t>
  </si>
  <si>
    <t>Shadow (Application Software)</t>
  </si>
  <si>
    <t>Application Software*, Computers, Parts and Peripherals, Vertical Market Software</t>
  </si>
  <si>
    <t>Developer of a dematerialized computer intended to offer cloud gaming servers required to play high-end games through any personal computer. The company offers servers that are exploitable on any screen and offer access to a virtual high-end computer along with running thousands of virtual machines on server-grade processors, thereby enabling users to eliminate the need for costly gaming rigs to get more power and reactivity.</t>
  </si>
  <si>
    <t>2CRSi (PAR: AL2SI)(Alain Wilmouth), Binder &amp; Partners, LG Electronics (KRX: 066570)(Jang Ik-hwan), Nopporn Suppipat(Nopporn Suppipat), Serena (Paris)</t>
  </si>
  <si>
    <t>cloud gaming, cloud gaming es, cloud gaming platform, cloud gaming server, cloud gaming service, dematerialized services, distribution platform, encryption system, gaming access, virtual machine</t>
  </si>
  <si>
    <t>125414-29T</t>
  </si>
  <si>
    <t>Bpifrance, Financière Saint James, Jean-Paul Guisset(Jean-Paul Guisset), Revaia(Elina Berrebi), SGPA, Ternel, XAnge(Guillaume Meulle)</t>
  </si>
  <si>
    <t>124959-16T</t>
  </si>
  <si>
    <t>Madbox</t>
  </si>
  <si>
    <t>Developer of an online gaming platform designed to offer mobile games. The company's platform offers a wider range of mobile games, from hyper-casual to idle games less casual games, and other competitive games, enabling game enthusiasts to play games, compete with other players, and enjoy time with their friends all over the world.</t>
  </si>
  <si>
    <t>Alven Capital Partners(François Meteyer)</t>
  </si>
  <si>
    <t>digital platform, game studio, gamification app, gaming content, gaming developer, gaming platform, gaming publisher, mobile games, mobile games maker, online gaming</t>
  </si>
  <si>
    <t>139207-69T</t>
  </si>
  <si>
    <t>Alexandre Ricardo(Alexandre Ricardo), Courtin Investment(Christophe Courtin), IRDI Capital Investissement, M Capital Partners, Techmind</t>
  </si>
  <si>
    <t>181686-97T</t>
  </si>
  <si>
    <t>Revers.io</t>
  </si>
  <si>
    <t>Developer of a return management system designed to simplify the after-sales experience for distributors and consumers. The company's platform specializes in online return process and optimizes cost-cutting by intermediate handling and administrative operations with improved data accuracy, reliability, and consistency by connecting all the factors of the reverse logistics network, enabling clients to have reduced costs and maximized lead times.</t>
  </si>
  <si>
    <t>CapHorn Invest(Romain Vidal), Paris Region Venture Fund</t>
  </si>
  <si>
    <t>aftersales service, customer service, last mile delivery, logistics firm, logistics supply, returns &amp; reverse shipping, returns and reverse shipping, returns management, reverse logistics platform</t>
  </si>
  <si>
    <t>Advanced Manufacturing, SaaS, Supply Chain Tech, TMT</t>
  </si>
  <si>
    <t>134784-01T</t>
  </si>
  <si>
    <t>Bpifrance, Caisse d'Epargne, IRDI Capital Investissement(Benjamin Lillo)</t>
  </si>
  <si>
    <t>128744-11T</t>
  </si>
  <si>
    <t>JobyPepper</t>
  </si>
  <si>
    <t>Application Software, Human Capital Services*, Information Services (B2C)</t>
  </si>
  <si>
    <t>Operator of a workforce management platform intended to create its own pool of on-demand workers. The company's platform uses flexible work and fulfills immediate labor needs, enabling workers and companies to build long-term relationships to gain stability.</t>
  </si>
  <si>
    <t>flexible workforce, jobs post, on demand economy, on demand workforce, workforce management platform, workforce management tool</t>
  </si>
  <si>
    <t>161144-02T</t>
  </si>
  <si>
    <t>Bpifrance, UNI.FUND</t>
  </si>
  <si>
    <t>112050-10T</t>
  </si>
  <si>
    <t>Alven Capital Partners(Guillaume Aubin), European Investment Bank (Luxembourg), Hedosophia, Valar Ventures</t>
  </si>
  <si>
    <t>139521-07T</t>
  </si>
  <si>
    <t>Smaaart</t>
  </si>
  <si>
    <t>Electronics (B2C)*, Other Services (B2C Non-Financial), Specialty Retail</t>
  </si>
  <si>
    <t>Retailer of refurbished electronic products based in Saint-Mathieu-de-Tréviers, France. The company offers a range of laptops, desktops, mobiles, servers, workstations, tablets, batteries, chargers, keyboards and other related products and accessories, enabling customers to have reliable yet durable products at affordable prices.</t>
  </si>
  <si>
    <t>ADEME, Bpifrance, Direccte National, Quadia</t>
  </si>
  <si>
    <t>electronic maintenance, mobile repair, mobile repair service, mobile repair shop, mobile repair solution, mobile service, refurbished smartphones</t>
  </si>
  <si>
    <t>Saint-Mathieu-de-Tréviers, France</t>
  </si>
  <si>
    <t>125027-47T</t>
  </si>
  <si>
    <t>TIPTOE</t>
  </si>
  <si>
    <t>Home Furnishings*, Internet Retail, Other Commercial Products, Specialty Retail</t>
  </si>
  <si>
    <t>Manufacturer and designer of furniture intended to offer durable and creative furniture pieces. The company offers both, built pieces of furniture and the parts to build customized furniture, dismantled, and stored in a cupboard, enabling buyers to get a sustainable furniture option.</t>
  </si>
  <si>
    <t>Eutopia(Antoine Fine), Wind Capital</t>
  </si>
  <si>
    <t>customized furniture, furniture assembling, furniture design, home furnishing, recyclable products, sustainable furniture, tables legging</t>
  </si>
  <si>
    <t>194730-94T</t>
  </si>
  <si>
    <t>Habiteo</t>
  </si>
  <si>
    <t>Developer of a real estate 3D web platform intended for customers to scan real estate properties and visit them remotely. The company's platform simultaneously manages sales and real estate marketing and builds a tailor-made customer relationship, enabling users to choose their future apartment.</t>
  </si>
  <si>
    <t>Baltisches Haus, Schneider Electric (Electrical Equipment) (PAR: SU)</t>
  </si>
  <si>
    <t>3d modeling tools, 3d platform, 3d platform development, 3d technology, 3d web platform, real estate 3d tour, real estate building services, real estate technology, web platform</t>
  </si>
  <si>
    <t>181573-03T</t>
  </si>
  <si>
    <t>Message in a Window</t>
  </si>
  <si>
    <t>Provider of campaign creation services intended to assist in generating product orders and stimulate sell-outs. The company's services provide access to indicators including window reservation, scenery management and ROI measurement, enabling advertisers to select target storefronts for campaigns from these showcases.</t>
  </si>
  <si>
    <t>advertisement banners, commercial campaign, commercial marketplace, communication campaigns, rent shops, shops rental</t>
  </si>
  <si>
    <t>124868-89T</t>
  </si>
  <si>
    <t>Acequia Capital, Antoine Martin(Antoine Martin), David Amsellem(David Amsellem), Jacques-Antoine Granjon(Jacques-Antoine Granjon), Quentin de Metz(Quentin de Metz), Serena (Paris), Yvan Wibaux(Yvan Wibaux)</t>
  </si>
  <si>
    <t>119228-05T</t>
  </si>
  <si>
    <t>Newcard</t>
  </si>
  <si>
    <t>Developer of a remote monitoring platform intended for patients and healthcare professionals and support doctors in integrating their activity into their daily practices. The company's platform can be used by the patients to monitor their health daily with software where the data is then transmitted on a secure server and an algorithm triggers alerts to the health professionals in case of detection of a drift, enabling doctors and physicians to effectively and remotely manage their patient's health.</t>
  </si>
  <si>
    <t>La Poste Groupe, Ramsay Health Care (ASX: RHC), Sparkling Partners</t>
  </si>
  <si>
    <t>blood pressure monitor, health monitoring tool, heart monitoring services, remote monitoring data, remote monitoring system, remote monitoring tool</t>
  </si>
  <si>
    <t>155412-73T</t>
  </si>
  <si>
    <t>Finance&amp;Invest.Brussels, Triodos Bank</t>
  </si>
  <si>
    <t>204507-28T</t>
  </si>
  <si>
    <t>Slow Furniture</t>
  </si>
  <si>
    <t>Application Software, Business/Productivity Software, Home Furnishings*</t>
  </si>
  <si>
    <t>Developer of an interior decoration services platform designed to connect craftsmen and brands to create new decoration projects. The company provides a list of furniture brands as well as craftsmen along with new furniture ideas as well as a complete budget and costing for it, enabling customers to find new, suitable and budget-friendly ideas for their home decor.</t>
  </si>
  <si>
    <t>decoration platform, decoration project, design ideas, home decor, home decorator, home furnishing, interior designer</t>
  </si>
  <si>
    <t>118285-39T</t>
  </si>
  <si>
    <t>FJ Labs, Guillaume Lestrade(Guillaume Lestrade), Kima Ventures</t>
  </si>
  <si>
    <t>124717-69T</t>
  </si>
  <si>
    <t>Herow</t>
  </si>
  <si>
    <t>Developer of a location intelligence platform designed for real-world analytics and triggers. The company's platform is based on geofencing and machine learning that administers the associated contextual mobile content operating smart city space, providing cities with the infrastructure required to distribute real-time information about transport and local news, enabling marketers and developers to understand where their app is being used, create user segments based on real-world moments and behaviors, and improve mobile engagement.</t>
  </si>
  <si>
    <t>Calao Finance, Siparex Group, Xerys Invest(Alain Bravo)</t>
  </si>
  <si>
    <t>intelligence platform, intelligence platform service, location intelligence solution, mobile engagement platform, mobile marketing application, tags management</t>
  </si>
  <si>
    <t>Artificial Intelligence &amp; Machine Learning, Big Data, Mobile, SaaS, TMT</t>
  </si>
  <si>
    <t>149103-82T</t>
  </si>
  <si>
    <t>Hubworkair</t>
  </si>
  <si>
    <t>Developer of a headhunting platform designed to connect talent and employers in the aviation sector. The company's platform uses a tailor-made matching algorithm with artificial intelligence and machine learning to identify suitable options coupled with an online interview system, enabling aerospace companies to accelerate and facilitate their recruitment processes.</t>
  </si>
  <si>
    <t>Marc Rochet</t>
  </si>
  <si>
    <t>airline recruitment, aviation career, aviation recruitment platform, headhunting platform, headhunting services, hiring platform, recruitment platform, recruitment tech</t>
  </si>
  <si>
    <t>Artificial Intelligence &amp; Machine Learning, HR Tech, Mobility Tech</t>
  </si>
  <si>
    <t>125679-43T</t>
  </si>
  <si>
    <t>i-SEP</t>
  </si>
  <si>
    <t>Developer of intraoperative blood auto-transfusers designed to aid during surgical operations. The company's transfusers recover treat, concentrate, and re-transfuse the blood of surgical patients, avoiding the risks of compatibility, contamination, and postoperative complications, enabling patients to recover from both red blood cells and platelets within the operating room during hemorrhagic surgical procedures.</t>
  </si>
  <si>
    <t>GO Capital (France)(Leila Nicolas), GwenneG</t>
  </si>
  <si>
    <t>anesthesiology service, blood platelet, blood transfusion, cell therapy, surgical equipment, surgical operations</t>
  </si>
  <si>
    <t>140973-76T</t>
  </si>
  <si>
    <t>Media Musketeers</t>
  </si>
  <si>
    <t>Other Commercial Services, Specialized Finance*</t>
  </si>
  <si>
    <t>Operator of a television production company intended to help organizations fund and build content propositions for the new economics of the film and TV industries. The company invests in development and secures distribution finance, supporting creative talent with finance, enabling media projects to access necessary funds for production and global distribution.</t>
  </si>
  <si>
    <t>Alliance Entreprendre(Benjamin Duprez), Entourage Ventures(Julien Delajoux)</t>
  </si>
  <si>
    <t>business development, content distribution, content marketing, digital medias, financial institution, media consultancy, media production, production financing</t>
  </si>
  <si>
    <t>214460-56T</t>
  </si>
  <si>
    <t>Constantin Wolfrom(Constantin Wolfrom), Edelweiss</t>
  </si>
  <si>
    <t>124714-00T</t>
  </si>
  <si>
    <t>50 Partners, Angels Santé, Bpifrance(Bruno Villeneuve), Entrepreneurs Investis (VC), Pleiade Venture</t>
  </si>
  <si>
    <t>124795-54T</t>
  </si>
  <si>
    <t>Spaycial</t>
  </si>
  <si>
    <t>Business/Productivity Software, Media and Information Services (B2B)*, Other Commercial Services, Other Financial Services</t>
  </si>
  <si>
    <t>Provider of marketing services intended to turn credit cards into loyalty cards. The company's services leverage innovative banking technologies to collect and analyze purchasing data and its mall analytics provide management teams with clear insight to improve their marketing and mix merchandising strategy, enabling retailers and the mall industry to calculate the precise return on investment of their marketing actions.</t>
  </si>
  <si>
    <t>Didier Seillier(Didier Seillier), Elaia Partners(Cédric Favier)</t>
  </si>
  <si>
    <t>financial technology, loyalty program provider, loyalty program service, market data, merchandising strategy, payment data analysis</t>
  </si>
  <si>
    <t>202595-59T</t>
  </si>
  <si>
    <t>Business Angels 35, Crédit Agricole Franche-Comté, Founders Future, Kima Ventures, Mouvement &amp; Finance</t>
  </si>
  <si>
    <t>119133-55T</t>
  </si>
  <si>
    <t>Dawex</t>
  </si>
  <si>
    <t>Business/Productivity Software, Database Software*, Media and Information Services (B2B)</t>
  </si>
  <si>
    <t>Developer of a data exchange platform designed to orchestrate data circulation, source and exchange data securely. The company's platform offers services to build a data exchange strategy in full compliance with regulations, enabling organizations to generate new revenue streams and increase company value.</t>
  </si>
  <si>
    <t>Amadeus IT Group (MAD: AMS), Amadeus Ventures, Bouygues Telecom Initiatives, Caisse des Depots Group, Colas (Construction and Engineering), Construction Venture, Itochu (TKS: 8001)</t>
  </si>
  <si>
    <t>application layer, data economy platform, data marketplace operator, data marketplace platform, data monetization, data monetization platform, data orchestration, industrial data analytics, iot software, vertical application</t>
  </si>
  <si>
    <t>Big Data, Internet of Things, TMT</t>
  </si>
  <si>
    <t>158999-14T</t>
  </si>
  <si>
    <t>Emy</t>
  </si>
  <si>
    <t>Developer of medical devices designed to provide perineal rehabilitation for women. The company's devices offer medical guidance through fun exercises to facilitate perineal re-education as to when and how to perform perineum strengthening exercises at home while remaining motivated, enabling women who suffer from urinary leakage to tackle urinary incontinence problems occurring after childbirth or throughout life.</t>
  </si>
  <si>
    <t>Bpifrance, Capital Grand Est</t>
  </si>
  <si>
    <t>pelvic floor, pelvic floor rehabilitation, pelvic floor strengthening, rehabilitation care, urinary test, women health, women medical care</t>
  </si>
  <si>
    <t>E-Commerce, FemTech, HealthTech</t>
  </si>
  <si>
    <t>135220-06T</t>
  </si>
  <si>
    <t>Hudi</t>
  </si>
  <si>
    <t>Provider of hospitality services intended to help corporate restaurants to streamline operations. The company's services encourage restaurants that offer zero-waste home cooking with seasonal food coming from local partners, designing living spaces, reception, and concierge services, enabling businesses to offer employees a convenient and sustainable food service option.</t>
  </si>
  <si>
    <t>Quadia(Guilhem Ricci)</t>
  </si>
  <si>
    <t>corporate catering, corporate restaurant, employee engagement, hospitality services company, office catering, sustainable food</t>
  </si>
  <si>
    <t>Real Estate Technology, Restaurant Technology</t>
  </si>
  <si>
    <t>125809-21T</t>
  </si>
  <si>
    <t>5M Ventures, Arthur Media Group, Bpifrance, Courtin Investment, Investisseurs privés, Julien Leroy(Julien Leroy), Pioneer Fund, Région Nouvelle-Aquitaine</t>
  </si>
  <si>
    <t>124599-34T</t>
  </si>
  <si>
    <t>Tibot Technologies</t>
  </si>
  <si>
    <t>Electrical Equipment, Electronic Equipment and Instruments*</t>
  </si>
  <si>
    <t>Developer and provider of a technology device designed to reduce the rate of laying eggs on the ground. The company's product circulates randomly and autonomously within the breeding and provides a customization box that helps to increase the hatching rate, for improvement of animal welfare, enabling poultry farmers' working conditions while increasing their flock's profitability and their animals' welfare.</t>
  </si>
  <si>
    <t>BNP Paribas (PAR: BNP), Crédit Agricole Ille et Vilaine Expansion, Demeter Partners, Seventure Partners, Sofimac Innovation, UI Investissement</t>
  </si>
  <si>
    <t>animal ag, animal agriculture, ground laying, livestock &amp; land animal tech, livestock and land animal tech, poultry device, poultry equipment, poultry product, poultry product distribution, poultry product provider</t>
  </si>
  <si>
    <t>AgTech, Internet of Things, Robotics and Drones, Supply Chain Tech</t>
  </si>
  <si>
    <t>253045-54T</t>
  </si>
  <si>
    <t>Limousin Business Angels, Nouvelle Aquitaine Co-Investissement, Nutri.Ciab, SUEZ Ventures</t>
  </si>
  <si>
    <t>124633-90T</t>
  </si>
  <si>
    <t>PacketAI</t>
  </si>
  <si>
    <t>AIOps</t>
  </si>
  <si>
    <t>Developer of automation software designed to monitor enterprise Infrastructure. The company's platform uses artificial intelligence and machine learning to predict IT infrastructure incidents, point to the exact root cause, and provide automated remediation before customers are impacted, enabling businesses to save time, and cost and improve productivity.</t>
  </si>
  <si>
    <t>Aster Capital(Jerome Joaug), BNP Paribas (PAR: BNP), Bpifrance, Första Entreprenörsfonden, SGPA</t>
  </si>
  <si>
    <t>aiops system, artificial intelligence, automation solutions, network automation, network automation platform, network automation software, network security, root cause analysis</t>
  </si>
  <si>
    <t>124427-98T</t>
  </si>
  <si>
    <t>ACINQ</t>
  </si>
  <si>
    <t>Developer of blockchain technology designed to offer instant payments and low fees in the DeFi network. The company offers a self-custodial wallet and a node designed to send and receive payments, enabling users to get low-cost defi payments and receive funds through traditional cash transactions by aggregating incoming payments and then periodically sending transactions to the recipient's wallet.</t>
  </si>
  <si>
    <t>Bpifrance(Véronique Jacq), Eurazeo (PAR: RF)(Nicolas Debock), Idinvest Partners(Nicolas Debock), Serena (Paris)(Kamel Zeroual)</t>
  </si>
  <si>
    <t>bitcoin technology, blockchain data, blockchain network, cash transactions, crypto exchange, crypto payment, crypto wallets, defi tools, layer 2, layer 2 and scalability</t>
  </si>
  <si>
    <t>180054-73T</t>
  </si>
  <si>
    <t>Caviar De Neuvic</t>
  </si>
  <si>
    <t>Producer of caviar intended to look after ethical fish breeding and delicacy production. The company leverages technology to safely and effectively produce food dishes while keeping the natural fish life cycle in mind, providing customers with various types of caviar.</t>
  </si>
  <si>
    <t>Intellagri Capital, SHIFT Ventures (London)</t>
  </si>
  <si>
    <t>animal ag, animal agriculture, caviar distributor, caviar farming, fish breeding, fish farming, fish processing</t>
  </si>
  <si>
    <t>AgTech, TMT</t>
  </si>
  <si>
    <t>Neuvic, France</t>
  </si>
  <si>
    <t>136275-58T</t>
  </si>
  <si>
    <t>elloha</t>
  </si>
  <si>
    <t>Business/Productivity Software*, Leisure Facilities, Media and Information Services (B2B)</t>
  </si>
  <si>
    <t>Developer of an online tourism booking platform intended to improve the work of tourism and recreation professionals. The company's platform helps to animate websites automatically, distribute offers, create and sell gift cards, and manage customer files, opinions, and e-mailing campaigns, enabling businesses to reach their customers from a single schedule without depending on major networks.</t>
  </si>
  <si>
    <t>Aelis Group, Invest PME</t>
  </si>
  <si>
    <t>booking engine, booking platform, leisure service, online booking, online tourism, reservation management, tour planner, travel business</t>
  </si>
  <si>
    <t>124419-97T</t>
  </si>
  <si>
    <t>Goodays</t>
  </si>
  <si>
    <t>Developer of customer engagement software designed to let people provide feedback at the point of sale. The company's platform works as a multichannel, single interface hub that captures insights at every stage of the customer journey in-store, online, on mobile, and through third-party partners, enabling clients to understand, engage, and build loyalty with your local customers.</t>
  </si>
  <si>
    <t>83North, CapHorn Invest(Romain Vidal), Florian Bressand, Id4 Ventures(Herve Cuviliez), Point Nine Capital(Louis Coppey), Runa Capital(Dmitry Chikhachev)</t>
  </si>
  <si>
    <t>application software, clients engagement, consumer feedback, crm, customer engagement, customer engagement app, customer relationship management, ecommerce personalization, feedback application</t>
  </si>
  <si>
    <t>124430-32T</t>
  </si>
  <si>
    <t>Cathay Innovation(Denis Barrier), Global Founders Capital</t>
  </si>
  <si>
    <t>125307-10T</t>
  </si>
  <si>
    <t>AXA Venture Partners(François Robinet), Bpifrance(Chahra Louafi), Karista (Paris)(Catherine Boule)</t>
  </si>
  <si>
    <t>187322-68T</t>
  </si>
  <si>
    <t>AngelSquare, Tomcat Capital</t>
  </si>
  <si>
    <t>124443-10T</t>
  </si>
  <si>
    <t>Air Indemnité</t>
  </si>
  <si>
    <t>Developer of a customer support assistance platform designed to assist air passengers in enforcing their rights in case of cancellation, excessive delay, or overbooking. The company's platform handles complaints from air passengers who are helpless against airlines through employing regulatory expertise, knowledge of aeronautical operations, and traffic monitoring technologies, enabling customers to have a chance of being compensated and ensuring that they receive the amount of compensation that is owed to them.</t>
  </si>
  <si>
    <t>A Plus Finance, Bpifrance, Public Investment Bank, Trail Solutions Patrimoine</t>
  </si>
  <si>
    <t>airline ticket refund, assistance services, customer assistance platform, customer service, passenger claims, regulatory expertise</t>
  </si>
  <si>
    <t>131309-92T</t>
  </si>
  <si>
    <t>Belive.ai</t>
  </si>
  <si>
    <t>Developer of a computer vision and image recognition technology designed for frictionless operations and improved store efficiency. The company's technology analyzes out-of-stock products, planogram deviations, and incorrect price tags, to help prioritize employee tasks on the shop floor and assists the distributors in managing their stores for a minimal cost, enabling retail employees to control their core processes, from supply chain to checkout.</t>
  </si>
  <si>
    <t>Caisse d'Epargne(Franck Flouquet), LB Conseil(Arnaud Le Bihan), Nord Capital Partenaires(Anne-Sophie Maes), Picardie Investissement(Eléonore Calandre), Stéphane Haudant(Stéphane Haudant), Telipe(Pascal Tauvel)</t>
  </si>
  <si>
    <t>computer vision, image recognition technology, retail saas, store operator, supply chain, visual merchandising</t>
  </si>
  <si>
    <t>124262-29T</t>
  </si>
  <si>
    <t>171487-72T</t>
  </si>
  <si>
    <t>Salesapps</t>
  </si>
  <si>
    <t>Developer of a mobile sales enablement application designed to digitize the activity of sales and marketing teams. The company's application allows salespeople to track all customer appointments and interactions, and be better equipped to adapt arguments, promote offers, and sell, enabling firms to increase marketing efficiency.</t>
  </si>
  <si>
    <t>Odyssee Venture(Sébastien Sassolas)</t>
  </si>
  <si>
    <t>digital marketing, marketing software developer, mobile sales app, mobile sales tool, sales enablement, sales software platform</t>
  </si>
  <si>
    <t>199663-75T</t>
  </si>
  <si>
    <t>Aglaé Ventures, Elaine Groenestein(Elaine Groenestein), Jorg Mohaupt(Jorg Mohaupt), Julie Pellet(Julie Pellet), Lise Invest, Oleg Tscheltzoff(Oleg Tscheltzoff)</t>
  </si>
  <si>
    <t>124553-80T</t>
  </si>
  <si>
    <t>MeilleureCopro</t>
  </si>
  <si>
    <t>Operator of a real estate platform intended to reduce the cost of co-ownership of condominiums by optimizing building expenses. The company's platform uses algorithms, that offer a free audit and a complete optimization plan for co-owners by analyzing the expenses of the condominium and renegotiating the contracts with the service providers, enabling prospective buyers to get reassurance by comparing charges to those of similar properties in the same geographical area.</t>
  </si>
  <si>
    <t>Anaxago(Alexandre Heraud), Bouygues (PAR: EN), CapHorn Invest(Alexandre Heraud), NCI Gestion</t>
  </si>
  <si>
    <t>condominiums expenses, condominiums management, condominiums unit, co-ownership property, expense management, real estate</t>
  </si>
  <si>
    <t>124444-54T</t>
  </si>
  <si>
    <t>Wattsense</t>
  </si>
  <si>
    <t>Developer of an open IoT device designed to control and monitor buildings of any size. The company's product allows keeping control of buildings with a simple BMS with on-demand and non-intrusive building connectivity services and reduce energy consumption and improve occupant comfort, enabling clients to reduce energy consumption and improve occupant comfort.</t>
  </si>
  <si>
    <t>Bpifrance(Edwige Kharoubi), Demeter Partners(Thomas Virolle), Hélea Financière(Edouard Lameloise), Kreaxi(Gwenaël Hamon)</t>
  </si>
  <si>
    <t>bms network, building automation, building connectivity, building management system, facility management, internet of things, iot hardware, smart building</t>
  </si>
  <si>
    <t>Sainte Paule, France</t>
  </si>
  <si>
    <t>124122-16T</t>
  </si>
  <si>
    <t>AnotherBrain</t>
  </si>
  <si>
    <t>Application Specific Semiconductors*, Automation/Workflow Software, Electronic Components</t>
  </si>
  <si>
    <t>Developer of deep learning artificial intelligence circuits and chipsets designed to improve autonomous learning. The company's circuits can be connected to sensors to detect significant structures in the incoming raw data flow and make learning a real-time and unsupervised process, enabling businesses to boost their performance and enjoy nature's efficiency and genericity.</t>
  </si>
  <si>
    <t>Alpha Intelligence Capital, C Entrepreneurs, Daphni(Pierre-Eric Leibovici), Robinson Technologies, SEB Alliance(François-Xavier Meyer)</t>
  </si>
  <si>
    <t>ai chipsets, artificial intelligence system, chipsets testing, circuit board, industrial automation, processor design, semiconductors devices</t>
  </si>
  <si>
    <t>157905-01T</t>
  </si>
  <si>
    <t>Asselio Group</t>
  </si>
  <si>
    <t>Insurance Brokers*</t>
  </si>
  <si>
    <t>Operator of an insurance brokerage firm intended to provide coverage products and services. The company advises and implements insurance services in areas of social protection, international mobility, property insurance, and wealth management, enabling individuals and businesses to receive a variety of insurance services and products.</t>
  </si>
  <si>
    <t>brokerage company, insurance contract, insurance cover, insurance management, property insurance, wealth management</t>
  </si>
  <si>
    <t>125920-27T</t>
  </si>
  <si>
    <t>AVCare</t>
  </si>
  <si>
    <t>Developer of stroke blood biomarkers.</t>
  </si>
  <si>
    <t>GO Capital (France), Ouest Valorisation</t>
  </si>
  <si>
    <t>blood biomarker, blood biomarker testing, stroke cure</t>
  </si>
  <si>
    <t>128484-55T</t>
  </si>
  <si>
    <t>130412-08T</t>
  </si>
  <si>
    <t>FullSave</t>
  </si>
  <si>
    <t>Fiberoptic Equipment, Systems and Information Management, Telecommunications Service Providers*</t>
  </si>
  <si>
    <t>Developer of telecommunications and cloud hosting solutions intended to host secure applications across the web. The company specializes in optical fiber networks and hosting online stores, dematerialization platforms and messaging portals, enabling clients to host their website on the internet securely at nominal charges.</t>
  </si>
  <si>
    <t>cloud hosting, cloud hosting service, cloud operator, data center operator, hosting dematerialization platform, hosting secure application, private cloud services</t>
  </si>
  <si>
    <t>101003-23T</t>
  </si>
  <si>
    <t>Gecco</t>
  </si>
  <si>
    <t>Environmental Services (B2B)*, Industrial Chemicals</t>
  </si>
  <si>
    <t>Provder of waste collection and environmental services intended to upcycle food service waste in a local distribution channel. The company recovers food waste from catering companies to produce biodiesel from cooking oils for public transport, enabling customers to reduce the sector's ecological footprint and follow eco-design principles in an environmental and social approach.</t>
  </si>
  <si>
    <t>Autonomie &amp; Solidarité, ENGIE Rassembleurs d'Energies, MAIF, Nord France Amorçage, NovESS</t>
  </si>
  <si>
    <t>biodiesel fuel, biodiesel oil, biodiesel producer, bio-engineered food, environmental service, renewable energy, upcycled food, waste collection service</t>
  </si>
  <si>
    <t>Avelin, France</t>
  </si>
  <si>
    <t>125340-13T</t>
  </si>
  <si>
    <t>AngelSquare, Breega(Benoit Marrel), Daphni(Pierre-Yves Meerschman), Frederic Halley(Frederic Halley), Tomcat Capital</t>
  </si>
  <si>
    <t>160906-60T</t>
  </si>
  <si>
    <t>Immersive Ways</t>
  </si>
  <si>
    <t>Education and Training Services (B2B), Educational Software, Multimedia and Design Software*, Software Development Applications</t>
  </si>
  <si>
    <t>Developer of editing software designed to build intuitive tools to facilitate content creation and collaboration. The company's software produces content, suitable for emergent media and virtual reality headsets as well as offers tailor-made training in e-learning, blended and immersive learning in intra-company or communities, enabling clients in the virtual reality industry to enjoy activities and visit places in total immersion that make them feel they are already there.</t>
  </si>
  <si>
    <t>Smalt Capital(Marguerite Pappalardo)</t>
  </si>
  <si>
    <t>audio visual production, editing software, e-learning content, immersive learning, multimedia production, vr content development</t>
  </si>
  <si>
    <t>CloudTech &amp; DevOps, EdTech, Virtual Reality</t>
  </si>
  <si>
    <t>165168-28T</t>
  </si>
  <si>
    <t>JEREMIE Auvergne, Sofimac Investment Managers</t>
  </si>
  <si>
    <t>122272-21T</t>
  </si>
  <si>
    <t>Minut'Pass</t>
  </si>
  <si>
    <t>Developer of a customer flow management application designed to manage queues in public places. The company's application helps to access services near the location, according to the time constraints and permits to take a ticket, on-site or in advance, and follow the queue of favorite places in real-time, enabling users to not only save time and increase the level of attendance during low traffic periods but also automate their booking process.</t>
  </si>
  <si>
    <t>P.Factory</t>
  </si>
  <si>
    <t>booking process, customer flow management, customer relationship, flow management, queue management, queues monitoring</t>
  </si>
  <si>
    <t>165406-87T</t>
  </si>
  <si>
    <t>Mytiboo</t>
  </si>
  <si>
    <t>Application Software, Communication Software, Electronics (B2C)*</t>
  </si>
  <si>
    <t>Developer of digital transmission notebook designed for easy transmission from nurseries and day-care facilities to parents. The company uses voice recognition to translate words into clear pictograms that are understood by all and projects directly on a digital liaison notebook, enabling early childhood professionals to support children and helping parents to get transmissions at the right time.</t>
  </si>
  <si>
    <t>children ebooks, communication facility, digital notebook, digital transmission, digital transmission company, nursery program, voice recognition</t>
  </si>
  <si>
    <t>Créteil, France</t>
  </si>
  <si>
    <t>218412-82T</t>
  </si>
  <si>
    <t>Optic 2000</t>
  </si>
  <si>
    <t>Accessories, Specialty Retail*</t>
  </si>
  <si>
    <t>Operator of a French optical brand intended to offer various ranges of eyewear. The company's platform sells prescription eyewear, branded contact lenses, sunglasses, and accessories, enabling customers to get the latest eyewear collections.</t>
  </si>
  <si>
    <t>contact lens, eyewear company, eyewear design, eyewear items, eyewear lenses, eyewear store</t>
  </si>
  <si>
    <t>138186-91T</t>
  </si>
  <si>
    <t>Credit Agricole (PAR: ACA), Invest PME, Le Village by CA, Ravenala, Siparex Group, Turenne Groupe, UI Investissement</t>
  </si>
  <si>
    <t>179614-18T</t>
  </si>
  <si>
    <t>POCRAMé</t>
  </si>
  <si>
    <t>Diagnostic Equipment*, Medical Supplies, Other Devices and Supplies</t>
  </si>
  <si>
    <t>Developer of biological diagnostic tools designed to offer a rapid diagnosis of infectious diseases, particularly in isolated areas. The company's tools include a mobile laboratory terminal, a PPE organizer, and a mobile secure sampling system with a field diagnostic laboratory, enabling clinicians to confirm the diagnosis of infectious diseases in an environment.</t>
  </si>
  <si>
    <t>diagnostic tools, infection control, infectious disease, medical equipment manufacturing, microbiological diagnostic laboratory, microbiological diagnostic tools provider, microbiological diagnostics</t>
  </si>
  <si>
    <t>133561-27T</t>
  </si>
  <si>
    <t>Show You</t>
  </si>
  <si>
    <t>Developer of a digital purchase management platform intended to manage buyer modification work. The company's platform provides a dedicated space for acquiring clients and property developers and prime contractors with the facility to communicate, give automatic quotes and build reports, enabling clients to manage time and improve customer satisfaction.</t>
  </si>
  <si>
    <t>Auvergne Rhône Alpes Entreprises Agency, Club Holnest, Credit Agricole (PAR: ACA), Evolem, HAND PARTNERS, Holnest, Kreaxi, UI Investissement</t>
  </si>
  <si>
    <t>customer satisfaction, housing services, new housing, property developer firm, real estate data, real estate promotion</t>
  </si>
  <si>
    <t>245298-43T</t>
  </si>
  <si>
    <t>TiHive</t>
  </si>
  <si>
    <t>Business/Productivity Software, Electrical Equipment, Media and Information Services (B2B)*</t>
  </si>
  <si>
    <t>Developer of an imaging and sensing system built to detect product defects during in-line production. The company's product has features such as contaminant and defect detection, monitoring, analysis, and report generation and also is able to be used in any production step and machine width, helping industries to save money and efficiently use raw materials.</t>
  </si>
  <si>
    <t>artificial intelligence, computer vision, feature detection, information technology, machine vision, performance materials, quality control</t>
  </si>
  <si>
    <t>130799-71T</t>
  </si>
  <si>
    <t>Acquisition Financing</t>
  </si>
  <si>
    <t>123 Investment Managers(Pierre Dupuy-Chaigneaud), Entrepreneur Invest(Bertrand Folliet)</t>
  </si>
  <si>
    <t>156853-09T</t>
  </si>
  <si>
    <t>Adour Business Angels, AQUITI Gestion, Bpifrance, Finaqui, SFINE</t>
  </si>
  <si>
    <t>124314-94T</t>
  </si>
  <si>
    <t>Bpifrance(Nicolas Berdou), Crédit Agricole Ille et Vilaine Expansion, Innovacom (Paris)(Frederic Humbert), Safran Corporate Ventures(Florent Illat), Starquest Capital, Supernova Invest, Unexo</t>
  </si>
  <si>
    <t>139347-37T</t>
  </si>
  <si>
    <t>132680-71T</t>
  </si>
  <si>
    <t>Kymono</t>
  </si>
  <si>
    <t>Accessories, Clothing*, Other Commercial Services</t>
  </si>
  <si>
    <t>Operator of a culture designer company intended to empower creators to design and sell their clothing. The company's outfits assist in shaping or improving a company's corporate environment bring employees together and motivate them, enabling companies to promote their culture and identity and ensure corporate success.</t>
  </si>
  <si>
    <t>The Family (Financial Services)</t>
  </si>
  <si>
    <t>apparel design, apparel maker, clothing design, corporate wear, customized clothing, design service, designer apparel</t>
  </si>
  <si>
    <t>124156-72T</t>
  </si>
  <si>
    <t>BIA Group, GO Capital (France), Kiloutou, Press Ganey Associates</t>
  </si>
  <si>
    <t>131742-10T</t>
  </si>
  <si>
    <t>Biomaneo</t>
  </si>
  <si>
    <t>Diagnostic Equipment*, Laboratory Services (Healthcare), Other Healthcare Technology Systems</t>
  </si>
  <si>
    <t>Developer of medical test kits designed to organize and improve disease screening. The company's kits provide neonatal screening for sickle cell disease, based on the fine analysis of proteins by mass spectrometry, enabling healthcare clients to have complete computerization and traceability of data and screening processes from collecting information from patients to rendering results.</t>
  </si>
  <si>
    <t>BDR Innovation et Transmission, BFC Croissance, Invest PME, UI Investissement</t>
  </si>
  <si>
    <t>medical analysis device, medical analysis laboratory, medical test, medical test devices, medical testing, neonatal screening, neonatal screening devices, testing kit</t>
  </si>
  <si>
    <t>109479-16T</t>
  </si>
  <si>
    <t>Credit Agricole Entreprises (PAR: CRBP), Région Sud Investissement, Sofipaca Capital Investissement</t>
  </si>
  <si>
    <t>181406-89T</t>
  </si>
  <si>
    <t>Côme</t>
  </si>
  <si>
    <t>Operator of a restaurant chain intended to offer a tasty and balanced cuisine. The company's restaurant concept is based on the fast-casual segment with modern catering that integrates the speed of service, personalization of dishes, and fresh and quality products in a refined and friendly decoration for a price positioned between fast food and catering, enabling customers to get an ideal place for varied lunch.</t>
  </si>
  <si>
    <t>balanced diet, cuisine food, healthy diet products, healthy food restaurant, restaurant business, restaurant style, salads bar</t>
  </si>
  <si>
    <t>E-Commerce, FoodTech, LOHAS &amp; Wellness, Restaurant Technology</t>
  </si>
  <si>
    <t>138498-31T</t>
  </si>
  <si>
    <t>Solean</t>
  </si>
  <si>
    <t>Developer of photovoltaic modules designed to foster a shift to local, agile, and flexible productions. The company's modules design, assemble, supply, and install systems for photovoltaic panel assembly, enabling manufacturers of photovoltaic panels to build various shapes and sizes for panels.</t>
  </si>
  <si>
    <t>equipment manufacturer, intermittent renewable energy, lean manufacturing, lean manufacturing cell, photovoltaic industry, solar panels arrays, solar panels parts, solar photovoltaic</t>
  </si>
  <si>
    <t>136756-36T</t>
  </si>
  <si>
    <t>TraXxs</t>
  </si>
  <si>
    <t>Developer of a wearable device designed to provide hands-free worker protection in the form of connected insoles. The company offers a device that provides services like fall detection, loss of verticality, invisible voluntary alert in times of an attack or violence, and evacuation during emergencies and can be supervised through an application, enabling organizations and companies to guarantee the security of their workers.</t>
  </si>
  <si>
    <t>Bpifrance, ePlus Ecosystem, Olbia Invest, Plant 4.0 Startup Incubator, Région Sud Investissement, SFINE, SIDAS, Turenne Groupe</t>
  </si>
  <si>
    <t>alerts system, safety shoes, security device, wearable device developer, workers management, workers monitoring</t>
  </si>
  <si>
    <t>138919-06T</t>
  </si>
  <si>
    <t>Bim&amp;Co</t>
  </si>
  <si>
    <t>Developer of a building information modeling platform designed to assist the digitalization of product data for the construction industry. The company's platform develops technologies and an ecosystem to support manufacturers and construction companies, enabling clients to save time and enrich their database together with expertise.</t>
  </si>
  <si>
    <t>Trace Software International</t>
  </si>
  <si>
    <t>access management tool, building information modeling, collaboration tool, content management tool, data management tool, integration tool</t>
  </si>
  <si>
    <t>Saint Romain De Colbosc, France</t>
  </si>
  <si>
    <t>135940-51T</t>
  </si>
  <si>
    <t>EPC Solaire</t>
  </si>
  <si>
    <t>Designer and manufacturer of solar mounting systems designed to recover dissipated heat. The company's photovoltaic panel fixing processes develops products that collect hot air for heating purposes, enabling enterprises to increase the energy efficiency of solar panels.</t>
  </si>
  <si>
    <t>Garibaldi Participations(Damien Demers)</t>
  </si>
  <si>
    <t>digital bricks, heat dissipation recovery, heat recovery system, mount system, photovoltaic market, photovoltaic marketplace, photovoltaic panels mount, photovoltaic panels systems, pv mounting system, solar, solar heat, solar mount, waterproofing membranes manufacturer</t>
  </si>
  <si>
    <t>CleanTech, LOHAS &amp; Wellness, Manufacturing, TMT</t>
  </si>
  <si>
    <t>Saint Genis les Ollieres, France</t>
  </si>
  <si>
    <t>123957-73T</t>
  </si>
  <si>
    <t>Bpifrance(Patrice Bégay), Creazur France, Credit Agricole (PAR: ACA), Dominique Gaillard(Dominique Gaillard), Erik Orsenna(Erik Orsenna), EY Société d'Avocats, Obsidian Family Office, Olbia Invest, Région Sud Investissement</t>
  </si>
  <si>
    <t>124455-61T</t>
  </si>
  <si>
    <t>Weviz</t>
  </si>
  <si>
    <t>Developer of a 3D visualization software designed to make virtual reality accessible to all industry departments as a collaborative validation tool. The company's software contains visualizing and validating 3-dimensional projects at less scale, in a hyper-realistic and autonomous manner, without the support of a VR expert, enabling manufacturers or designers to communicate, visualize and reduce research and development errors and optimize their time to market.</t>
  </si>
  <si>
    <t>AQUITI Gestion, FaDiese, Fonds de solidarite FTQ, IRDI Capital Investissement</t>
  </si>
  <si>
    <t>3d modeling tools, 3d visualization, product validation, product validation testing, virtual reality device, virtual reality product</t>
  </si>
  <si>
    <t>123817-51T</t>
  </si>
  <si>
    <t>HAX, Idinvest Partners, Kurma Partners(Alain Horvais), LBO France(Philippe Chambon), Paris-Saclay Seed Fund, Seventure Partners, SOSV</t>
  </si>
  <si>
    <t>126940-33T</t>
  </si>
  <si>
    <t>Henras</t>
  </si>
  <si>
    <t>Operator of a food trading company intended to be engaged in trading and processing canned truffles. The company's capabilities include selecting, cleaning, calibrating, preparing and retailing products from freshly caved truffles, enabling chefs, restaurateurs, artisans and individuals to avail quality truffle products.</t>
  </si>
  <si>
    <t>Charente-Périgord Expansion, DS Participations, OLMA Capital Management, SHIFT Ventures (London)</t>
  </si>
  <si>
    <t>culinary ingredients, food industry, food products, ingredients product, truffles cakes, truffles maker</t>
  </si>
  <si>
    <t>Montauban, France</t>
  </si>
  <si>
    <t>169830-01T</t>
  </si>
  <si>
    <t>Séquences Clés Productions</t>
  </si>
  <si>
    <t>Operator of an audiovisual production company intended for businesses to create social impact. The company specializes in offering services related to management, communication, human resources, corporate social responsibility, production, distribution chain graphics, film, and animated content, enabling clients to get personalized and tailor-made content.</t>
  </si>
  <si>
    <t>animation film, audio visual production, corporate film, film production, institutional film, media production, media production tool, video production</t>
  </si>
  <si>
    <t>269315-47T</t>
  </si>
  <si>
    <t>Dessintey</t>
  </si>
  <si>
    <t>Developer of neuromotor rehabilitation technologies designed for stroke and CRPS patients. The company's utilizes a combination of action observation, motor imagery, and mirror therapy to help patients recover motor functions by replacing the image of the affected limb, helping patients improve motor and cognitive function in a fun and engaging way.</t>
  </si>
  <si>
    <t>cognitive model, motor function development, motor skills, neuromotor developmental, rehabilitation care, stroke care</t>
  </si>
  <si>
    <t>Saint Jean Bonnefonds, France</t>
  </si>
  <si>
    <t>123765-49T</t>
  </si>
  <si>
    <t>Jenji</t>
  </si>
  <si>
    <t>Developer of expense management software intended to serve mid-market and enterprise companies. The company's software uses artificial intelligence to analyze the spending data, regardless of purchase method or source system, to automatically identify financial waste and misuse across organizations, enabling clients to have an efficient and accurate tool for expense management.</t>
  </si>
  <si>
    <t>Axeleo Capital(Mathieu Viallard), Idinvest Partners(Bao Dinh)</t>
  </si>
  <si>
    <t>accounting data, ap automation, ar automation, business expense reporting, expense management, expense management application, expense management platform, expense reporting, payment software</t>
  </si>
  <si>
    <t>Artificial Intelligence &amp; Machine Learning, FinTech, Mobile, SaaS, TMT</t>
  </si>
  <si>
    <t>140064-22T</t>
  </si>
  <si>
    <t>iBionext(Alexia Perouse), InnoBiologics(Chahra Louafi), Sham Innovation Santé</t>
  </si>
  <si>
    <t>125079-85T</t>
  </si>
  <si>
    <t>Bpifrance, Finovam Gestion, Nord France Amortization</t>
  </si>
  <si>
    <t>123693-85T</t>
  </si>
  <si>
    <t>Fly4u</t>
  </si>
  <si>
    <t>Business/Productivity Software, Media and Information Services (B2B)*, Other Semiconductors</t>
  </si>
  <si>
    <t>Provider of a low-frequency locating service intended to serve the logistics ecosystem. The company offers reusable transport packaging and connected skip services.</t>
  </si>
  <si>
    <t>Galia Gestion(Christophe Douffet), IRDI Capital Investissement(Jean-Michel Petit)</t>
  </si>
  <si>
    <t>aiot solutions, industrial iot, intelligent device, intelligent sensors, intelligent sensors &amp; devices, intelligent sensors and devices, iot integration, iot mobile technology, locating device, locating service, locating technology, low frequency locating service, reusable mobile assets</t>
  </si>
  <si>
    <t>Advanced Manufacturing, Artificial Intelligence &amp; Machine Learning, Industrials, Internet of Things, TMT</t>
  </si>
  <si>
    <t>128956-60T</t>
  </si>
  <si>
    <t>Jean-François Camilleri(Jean-François Camilleri), Kima Ventures, Vestiaire Collective, Yann Miossec(Yann Miossec)</t>
  </si>
  <si>
    <t>126567-10T</t>
  </si>
  <si>
    <t>Nomadeec</t>
  </si>
  <si>
    <t>Clinics/Outpatient Services*, Monitoring Equipment, Other Healthcare Technology Systems</t>
  </si>
  <si>
    <t>Developer of telemedicine platform designed to offer a single tool for teleconsultation, tele-expertise, and tele-triage. The company's platform optimizes the quality of prehospital care, provides scheduled and unscheduled medical teleconsultations, bridges the gap of health deserts, and prevents unnecessary hospitalization, enabling healthcare professionals to provide assistance in both emergency and routine settings.</t>
  </si>
  <si>
    <t>Emeis (PAR: EMEIS)(Jean-Claude Brdenk)</t>
  </si>
  <si>
    <t>e-health services, health advice, mobile healthcare, teleconsultation platform, telemedicine practice, telemedicine system</t>
  </si>
  <si>
    <t>123554-71T</t>
  </si>
  <si>
    <t>Bpifrance(Marion Aubry), CEA (Commercial Services), Crédit Agricole Alpes Développement, Crédit Agricole Sud Rhône-Alpes (PAR: CRSU), Foreis, Innovacom (Paris)(Vincent Deltrieu), Supernova Invest(Damien Bretegnier)</t>
  </si>
  <si>
    <t>170491-87T</t>
  </si>
  <si>
    <t>Odesia Vacances</t>
  </si>
  <si>
    <t>Hotels and Resorts, Leisure Facilities, Other Restaurants, Hotels and Leisure*</t>
  </si>
  <si>
    <t>Operator of a tour management platform intended to provide holiday villages, residences, campsites, and hotels in France. The company offers vacations that reflect everyone's image in a friendly and warm setting, enabling clients to adapt to each profile of holidaymakers.</t>
  </si>
  <si>
    <t>campsites finding platform, campsites platform, hotels and motels, residence hotel, residence services, tourism resort</t>
  </si>
  <si>
    <t>Clairvaux-Les-Lacs, France</t>
  </si>
  <si>
    <t>212930-65T</t>
  </si>
  <si>
    <t>6TM</t>
  </si>
  <si>
    <t>Business/Productivity Software, Internet Software, IT Consulting and Outsourcing*</t>
  </si>
  <si>
    <t>Operator of a digital platform intended for businesses with IT Consulting and services. The company's platform helps with custom-building software by providing digital tools, such as website, mobile site web development, and Microsoft development, enabling businesses to grow digitally.</t>
  </si>
  <si>
    <t>custom erp, custom software, custom software tools, digital solutions, it consulting, it consulting firm, mobile applications</t>
  </si>
  <si>
    <t>Vern-Sur-Seiche, France</t>
  </si>
  <si>
    <t>132562-90T</t>
  </si>
  <si>
    <t>Dipli</t>
  </si>
  <si>
    <t>Developer of a sourcing platform designed to simplify the supply chain of secondhand products. The company's platform offers monitoring network performance with a personalized interface, credit policy and guaranteed delivery, enabling users to buy goods and stay safe from fraud.</t>
  </si>
  <si>
    <t>ecommerce personalization, fulfillment platform, phone parts, refurbished goods, refurbished products, secondhand products, sourcing platform, warehousing and fulfillment, warehousing fulfillment, warehousing technology</t>
  </si>
  <si>
    <t>CleanTech, Mobile, Supply Chain Tech</t>
  </si>
  <si>
    <t>132816-52T</t>
  </si>
  <si>
    <t>Kima Ventures, Olivier Sibony(Olivier Sibony), Romain Niccoli(Romain Niccoli), Steve Fiehl(Steve Fiehl)</t>
  </si>
  <si>
    <t>123407-38T</t>
  </si>
  <si>
    <t>Leeto</t>
  </si>
  <si>
    <t>Financial Software*, Human Capital Services</t>
  </si>
  <si>
    <t>Developer of a SaaS-based platform designed to manage the perquisites handed out to the employees. The company uses its platform to manage the budget used to hand out various perks including, reimbursement for cultural or sports activities, hand out gift cards for Christmas or give movie tickets, enabling employees to enjoy their perks and reimbursement without any paperwork.</t>
  </si>
  <si>
    <t>Agoranov, Benjamin Netter, Founders Future, Lise Invest, Thomas Rebaud, Vincent Luciani</t>
  </si>
  <si>
    <t>fintech saas, fintech tools, online payment tools, perks benefits, reimbursement system, saas platform</t>
  </si>
  <si>
    <t>169533-19T</t>
  </si>
  <si>
    <t>Catherine Aymard Yu(Catherine Aymard Yu), Christian Blanckaert(Christian Blanckaert), Isabelle Gex(Isabelle Gex)</t>
  </si>
  <si>
    <t>136781-74T</t>
  </si>
  <si>
    <t>123344-02T</t>
  </si>
  <si>
    <t>Aquaponic Management Project</t>
  </si>
  <si>
    <t>Aquaculture*, Cultivation</t>
  </si>
  <si>
    <t>Operator of an aquaculture company intended to meet the growing demand for fish and plants while respecting the environment. The company specializes in aquaculture production based on the techniques of aquaponics and joint production of fish and plants in environmentally optimized water resources, enabling consumers to enjoy the quality and sustainable fish produced sustainably.</t>
  </si>
  <si>
    <t>Groupe Coopératif Scael, Koppert, Maisadour</t>
  </si>
  <si>
    <t>aquaculture farming, aquaculture industry, aquaculture production, fish aquaculture, fish breeding, fish farming, indoor farming, indoor farming components, water resource optimization</t>
  </si>
  <si>
    <t>123586-93T</t>
  </si>
  <si>
    <t>Bim (Social/Platform Software)</t>
  </si>
  <si>
    <t>Other Media, Social/Platform Software*</t>
  </si>
  <si>
    <t>Developer of a social mobile application designed to view, manage and share photos. The company's application let users to create collaborative photo albums, calculates how many photos to take every day, and leverages the intrinsic social graph of an individual's photo library, enabling users to obtain a space to store memories that are automatically curated and sublimated by letting them re-experience a memory and share it with their friends.</t>
  </si>
  <si>
    <t>OneRagtime(Stéphanie Hospital)</t>
  </si>
  <si>
    <t>photo albums app, photo application, photo collaboration, photo sharing app, photo sharing application, social network</t>
  </si>
  <si>
    <t>138166-03T</t>
  </si>
  <si>
    <t>Prêt à Pousser</t>
  </si>
  <si>
    <t>Provider of mushroom and indoor vegetable garden kits with recipes intended to help users grow herbs, vegetables, and flowers. The company's kits and recipes help to grow over forty varieties of lettuce, berries, vegetables, flowers, and mushrooms, enabling users to grow vegetables indoors and enjoy fresh produce all throughout the year.</t>
  </si>
  <si>
    <t>Capagro, Inventures Investment Partners</t>
  </si>
  <si>
    <t>gardening kits, indoor cultivation, indoor farming, indoor garden, mushrooms kits, vegetable production</t>
  </si>
  <si>
    <t>AgTech, Climate Tech, E-Commerce, TMT</t>
  </si>
  <si>
    <t>Montmagny, France</t>
  </si>
  <si>
    <t>139521-52T</t>
  </si>
  <si>
    <t>Rutabago</t>
  </si>
  <si>
    <t>Operator of an online meal box platform intended to support and inspire families in their diet by offering healthy and varied recipes. The company's platform provides an organic food box that includes step-by-step instructions for preparing meals, enabling users to simplify shopping and consume balanced and gourmet recipes.</t>
  </si>
  <si>
    <t>Biocoop, FDNC SFS, Garrigue, Inco Ventures, NovESS, Quadia(Marion Schuppe)</t>
  </si>
  <si>
    <t>baskets delivery, consumer goods, food ecommerce, meal kit, organic baskets delivery, organic lunch baskets, ready-made kits, ready-to-cook kits, seasonal recipe</t>
  </si>
  <si>
    <t>FoodTech, Impact Investing, LOHAS &amp; Wellness</t>
  </si>
  <si>
    <t>123267-34T</t>
  </si>
  <si>
    <t>Alven Capital Partners(Guillaume Aubin), Business France Tech, Kima Ventures, Nestadio Capital, Partech(Reza Malekzadeh), Salesforce Ventures, Stephan Dietrich(Stephan Dietrich), Summit Partners(Steffan Peyer)</t>
  </si>
  <si>
    <t>134669-17T</t>
  </si>
  <si>
    <t>Alwyn Capital, Beyond Impact, Blue Horizon (Private Equity)(Regina Hecker), CPT Capital, MLC50, VegInvest</t>
  </si>
  <si>
    <t>136612-18T</t>
  </si>
  <si>
    <t>CareMakers</t>
  </si>
  <si>
    <t>132332-32T</t>
  </si>
  <si>
    <t>Credit Agricole (PAR: ACA), GO Capital (France)(Herve Bachelot Lallier)</t>
  </si>
  <si>
    <t>124019-56T</t>
  </si>
  <si>
    <t>Aglaé Ventures(Cyril Guenoun), Bpifrance(Jean-Patrice Anciaux), Eduardo Ronzano(Eduardo Ronzano), Lise Invest, RAISE Group, Thibaud Elziere(Thibaud Elziere), Thomas Rebaud</t>
  </si>
  <si>
    <t>125881-12T</t>
  </si>
  <si>
    <t>Finovam Gestion, Wesley Clover International</t>
  </si>
  <si>
    <t>160120-36T</t>
  </si>
  <si>
    <t>Poiscaille</t>
  </si>
  <si>
    <t>Aquaculture, Food Products, Internet Retail*</t>
  </si>
  <si>
    <t>Retailer of seafood products based in Montreuil, France. The company partners with fishermen engaged in sustainable and ethical fishing practices and offer baskets of seafood products in a short time, enabling customers to get fresh and quality seafood at affordable prices depending on the catch of the day.</t>
  </si>
  <si>
    <t>NCI Gestion, Virtual Network</t>
  </si>
  <si>
    <t>fish and seafood, fish processor, fisheries community, fisherman community, fisherman product, food box delivery</t>
  </si>
  <si>
    <t>206893-36T</t>
  </si>
  <si>
    <t>203674-42T</t>
  </si>
  <si>
    <t>Tilt Gaming</t>
  </si>
  <si>
    <t>Developer of an online betting software application intended for the online game speculation industry. The company's software helps e-sports spectators to change the methods and requirements of e-sports betting, enabling people with a multiplayer gaming experience that combines gaming and community.</t>
  </si>
  <si>
    <t>gambling, gaming content, online betting, online betting application, online betting games, online betting platform, online betting site, online betting website</t>
  </si>
  <si>
    <t>123556-15T</t>
  </si>
  <si>
    <t>HelloPrêt</t>
  </si>
  <si>
    <t>Brokerage*, Consumer Finance</t>
  </si>
  <si>
    <t>Provider of digital mortgage brokerage services intended to help analyze loan rates and offers in the market to borrowers. The company's platform offers artificial intelligence which helps to stimulate the search results from websites, mobile, and chatbots so that home loan claims become easy, enabling companies to access the financial conditions of the market and offer their users a digital mortgage experience.</t>
  </si>
  <si>
    <t>LO Capital, NewAlpha Asset Management(Lior Derhy)</t>
  </si>
  <si>
    <t>digital mortgage market, financial firm, mortgage brokerage, mortgage brokerage firm, personal financial management, real estate credit, remortgage services, wealthtech</t>
  </si>
  <si>
    <t>FinTech, Mortgage Tech, Real Estate Technology</t>
  </si>
  <si>
    <t>123199-21T</t>
  </si>
  <si>
    <t>JobTeaser</t>
  </si>
  <si>
    <t>Human Capital Services, Information Services (B2C)*, Media and Information Services (B2B)</t>
  </si>
  <si>
    <t>Operator of a recruitment platform intended to transform the way students and recent graduates find work. The company's platform combines career guidance with internships, job opportunities, and ongoing career and interview support, enabling job seekers to choose a career path that fits with needs.</t>
  </si>
  <si>
    <t>Alven Capital Partners(Rodolphe Menegaux), Eurazeo PME, Highland Europe(Stanislas Laurent), Idinvest Partners, Korelya Capital, Seventure Partners</t>
  </si>
  <si>
    <t>career advice, career services platform, job search portal, recruitment portal, recruitment service, talent acquisition</t>
  </si>
  <si>
    <t>127324-00T</t>
  </si>
  <si>
    <t>AGIR à dom, Air Liquide Venture Capital(Olivier Boucat), Aymar Henin(Aymar Henin), Cemag Invest(Catherine Dunand), Crédit Agricole Aquitaine Expansion, EIT Health, Kreaxi, Odyssee Venture, Reliance Anil Dhirubhai Ambani Group, Sofimac Innovation(Francois Miceli), Supernova Invest(Celia Hart)</t>
  </si>
  <si>
    <t>116002-90T</t>
  </si>
  <si>
    <t>Diota</t>
  </si>
  <si>
    <t>Developer of augmented reality technologies designed to materialize data from information systems directly into the human operational space. The company's technologies help to reduce cycle times and non-qualities for the majority of non-automatable tasks and to visualize the data of the industrial information systems in the human operational space through material devices of the tablet, projection, lunettes, and other types for the automobile industry and other large scale industrial companies as well, enabling clients to increase efficiency by linking interactively digital data and human workplaces.</t>
  </si>
  <si>
    <t>Bpifrance, Calao Finance, Crédit Mutuel Innovation(Stéphane Simoncini), Safran Corporate Ventures(Florent Illat), Supernova Invest</t>
  </si>
  <si>
    <t>augmented reality, augmented reality software, augmented reality technology, data visualization software, digital data, user experience</t>
  </si>
  <si>
    <t>Augmented Reality, Big Data, CloudTech &amp; DevOps, SaaS, TMT</t>
  </si>
  <si>
    <t>123976-81T</t>
  </si>
  <si>
    <t>Abeille Assurances, Accurafy4, com'une startup, Epopée Gestion, Finistere Angels</t>
  </si>
  <si>
    <t>123335-83T</t>
  </si>
  <si>
    <t>Guardtex</t>
  </si>
  <si>
    <t>Other Commercial Products, Other Textiles*</t>
  </si>
  <si>
    <t>Operator of an equipment protection company intended to design and manufacture textile products. The company includes protective leather covers and accessories used for filters, machine clothing, conveyor belts, and abrasive substrates, enabling clients to keep people safe and secure in community facilities.</t>
  </si>
  <si>
    <t>Mer Invest(Philippe Renaudin), Sofimac Innovation(Stephane Lefevre-Sauli)</t>
  </si>
  <si>
    <t>leather accessories, leather cutting, leather textile, technical textiles, textile market, textile solutions</t>
  </si>
  <si>
    <t>Sarzeau, France</t>
  </si>
  <si>
    <t>123145-84T</t>
  </si>
  <si>
    <t>Keranova</t>
  </si>
  <si>
    <t>Developer of surgical instruments designed to supplant existing semi-manual, operator-dependent surgical procedures in ophthalmic surgery. The company's instruments allow a new approach to offering anterior segment surgery reproducible through automated equipment possessing vision, intelligent software, and precise robotic movements, enabling doctors to substantially reduce manual intervention in favor of automation.</t>
  </si>
  <si>
    <t>Financiere Arbevel(Marc Le Bozec), Mérieux Equity Partners(Valérie Calenda), Supernova Invest(Celia Hart), Tourrette Investissements(Philippe Tourrette)</t>
  </si>
  <si>
    <t>medical devices, ophthalmic device, ophthalmic instruments, surgical equipment, surgical instrument, surgical instrument developer, surgical tools</t>
  </si>
  <si>
    <t>HealthTech, SaaS, TMT</t>
  </si>
  <si>
    <t>123292-72T</t>
  </si>
  <si>
    <t>MicrOBS</t>
  </si>
  <si>
    <t>Developer of microbiological diagnostics device intended to detect the presence of microorganisms in food, medicine and cosmetics. The company's device provides the measurement of microbial contaminants during production, enabling agri-food and pharmaceutical manufacturers to evaluate the quality of their product in less than 60 minutes.</t>
  </si>
  <si>
    <t>Kreizig Invest, Sofimac Innovation</t>
  </si>
  <si>
    <t>agriculture food test, contaminants checking, microbial contaminants, microbial testing, microbial testing services</t>
  </si>
  <si>
    <t>123443-29T</t>
  </si>
  <si>
    <t>Axeleo Capital(Mathieu Viallard), Breega(Benoit Marrel), SAP.iO</t>
  </si>
  <si>
    <t>125320-96T</t>
  </si>
  <si>
    <t>Hello Birdie</t>
  </si>
  <si>
    <t>Developer of a golf strategy application designed to help players to have better game preparation. The company's AI-powered platform acts as a coach that creates a personalized game plan on any course by helping in processes such as game strategy, club selection and shot selection, enabling golfers to take charge of their strategy and set goals.</t>
  </si>
  <si>
    <t>games strategy, golf application, golf platform, golf product, personalized planning, sports platform, sports strategy</t>
  </si>
  <si>
    <t>134159-32T</t>
  </si>
  <si>
    <t>High Flyers Capital, Lambda Alpha, Mikael Aubertin, Spice Capital Partners</t>
  </si>
  <si>
    <t>123723-46T</t>
  </si>
  <si>
    <t>Wizaplace</t>
  </si>
  <si>
    <t>Developer of a marketplace creation and management platform intended to democratize the marketplace model. The company's platform is a cloud-based all-in-one software that enables its customers to create, manage and develop all types of marketplaces with the possibility to customize the entire marketplace, from the back office to the front office, enabling e-retailers to easily create and manage their e-commerce platform.</t>
  </si>
  <si>
    <t>Bpifrance, Crédit Mutuel Innovation(Julien Coulon), Omnes Capital, SaaS Partners(Justin Ziegler)</t>
  </si>
  <si>
    <t>creation platform, ecommerce creation, ecommerce personalization, ecommerce saas, marketplace creation, marketplace management, marketplace model, marketplace solution, product moderation</t>
  </si>
  <si>
    <t>123307-66T</t>
  </si>
  <si>
    <t>ALTYN</t>
  </si>
  <si>
    <t>Construction and Engineering*, Consulting Services (B2B)</t>
  </si>
  <si>
    <t>Operator of an independent engineering firm intended to support clients for the energy, ecological and digital transition of buildings and regions. The company specializes in consulting, engineering, services and works related to the fields of energy rehabilitation, sustainable buildings and the development of renewable energies, enabling clients to improve their energy efficiency, architectural quality, schedule maintenance, and planning.</t>
  </si>
  <si>
    <t>construction engineering, construction services, engineering firm, environmental strategy, environmental strategy consulting, renovation firm</t>
  </si>
  <si>
    <t>127471-51T</t>
  </si>
  <si>
    <t>Gallia</t>
  </si>
  <si>
    <t>Beverages*, Internet Retail, Restaurants and Bars, Specialty Retail</t>
  </si>
  <si>
    <t>Operator of a beer company intended to offer an eclectic range with the real taste of beer. The company's service includes the production of different varieties of beer such as lager, white wheat, and pale ale, equipped with a 20HL brewing room, and several fermentors with capacities ranging from 20HL to 80HL for the sanitation of the machines, the quality controls, and the packaging of the products, enabling people to taste and enjoy a variety of beers.</t>
  </si>
  <si>
    <t>Heineken (AMS: HEIA)</t>
  </si>
  <si>
    <t>beer brewing service, beer drinks, beer firm, brewing beer, craft beer maker, lager beer</t>
  </si>
  <si>
    <t>Pantin, France</t>
  </si>
  <si>
    <t>130545-37T</t>
  </si>
  <si>
    <t>Axeleo Capital, Hi Inov</t>
  </si>
  <si>
    <t>132716-71T</t>
  </si>
  <si>
    <t>Les Ripeurs</t>
  </si>
  <si>
    <t>Provider of a construction waste disposal service intended to spread awareness of environmental issues associated with it. The company's services include optimization and responsive for evacuating and recycling services, enabling the construction industry to dispose of and recycle waste of their sites through ecological transition.</t>
  </si>
  <si>
    <t>Alter Equity(Fanny Picard)</t>
  </si>
  <si>
    <t>construction waste removal, construction waste services, construction waste treatment, evacuation service, recycling waste items, site waste removal, waste disposal, waste management</t>
  </si>
  <si>
    <t>122965-57T</t>
  </si>
  <si>
    <t>Charles River Laboratories International (NYS: CRL), Idinvest Partners, Kurma Partners(Thierry Laugel), Verve Ventures</t>
  </si>
  <si>
    <t>123301-18T</t>
  </si>
  <si>
    <t>Ysopia Bioscience</t>
  </si>
  <si>
    <t>Developer of gut microbiome-directed drugs intended to target obesity and associated cardiometabolic diseases. The company's drugs contain living organisms such as bacteria which treat obesity and metabolic disorders through an action on the gut microbiota and the intestinal membrane, enabling healthcare companies to have innovative microbiome-based therapies.</t>
  </si>
  <si>
    <t>AQUITI Gestion, Microbiome Innovation Investment Fund, Seventure Partners(Isabelle de Cremoux)</t>
  </si>
  <si>
    <t>bacteriotherapy, biotech company, biotherapeutics drugs, cardiometabolic treatment, emerging therapy, gut microbiota, metabolic disease, microbiome therapy, obesity drugs, therapeutic solutions</t>
  </si>
  <si>
    <t>170521-21T</t>
  </si>
  <si>
    <t>Roadzen (NAS: RDZN)(Rohan Malhotra)</t>
  </si>
  <si>
    <t>179968-15T</t>
  </si>
  <si>
    <t>208624-51T</t>
  </si>
  <si>
    <t>Black Crows</t>
  </si>
  <si>
    <t>Accessories, Clothing, Recreational Goods*</t>
  </si>
  <si>
    <t>Manufacturer of ski products based in Chamonix Mont-Blanc, France. The company offers a wide range of skis, apparel, and associated accessories, providing both men and women through its online platform as well as offline stores.</t>
  </si>
  <si>
    <t>CVi Partners</t>
  </si>
  <si>
    <t>ski accessories, ski accessories provider, ski clothing, ski gear, ski gear online shopping, ski product</t>
  </si>
  <si>
    <t>Chamonix Mont-Blanc, France</t>
  </si>
  <si>
    <t>123094-18T</t>
  </si>
  <si>
    <t>QuantifiCare</t>
  </si>
  <si>
    <t>Biotechnology, Diagnostic Equipment*, Other Healthcare Services</t>
  </si>
  <si>
    <t>Developer of a clinical imaging technology intended to prove the efficacy and safety of treatments through imaging. The company's technology is a compact and portable three-dimensional imaging system utilizing a full range of quality cameras and software applications to capture pre and post-surgery photos, enabling plastic surgeons, dermatologists, and aesthetic specialists to digitalize their consultations and ultimately improve communication with their patients.</t>
  </si>
  <si>
    <t>3d imaging solutions, clinical photography, clinical research technology, dermatology care, digital photography, imaging services, monitoring technology, skin imaging system</t>
  </si>
  <si>
    <t>122847-04T</t>
  </si>
  <si>
    <t>Crédit Agricole Normandie, GO Capital (France)(Bruno Guicheux), M Capital Partners, NCI Gestion(Jean-Marc Buchet), Normandie Participations, Supernova Invest, Techmind, Unexo</t>
  </si>
  <si>
    <t>123248-44T</t>
  </si>
  <si>
    <t>Vivoka</t>
  </si>
  <si>
    <t>Developer of voice-enabled solutions designed for revolutionizing human-technology interaction. The company's platform is created using artificial intelligence where voice commands bring technology to life, making interactions more intuitive, efficient and accessible with its unique blend of features from speech enhancement and voice control to voice synthesis and authentication catering to a wide range of industries, enabling businesses to adapt to all types of voice-based services.</t>
  </si>
  <si>
    <t>Bpifrance, Eric Denoyer(Eric Denoyer), ETCHART Group, Gilles Caumont(Gilles Caumont), Laurent Rouach(Laurent Rouach), MCH Gestion</t>
  </si>
  <si>
    <t>edge ai software, embedded development environment, natural language processing, speech recognition, turnkey voice recognition, voice control technology, voice recognition tool, voice synthesis</t>
  </si>
  <si>
    <t>122880-43T</t>
  </si>
  <si>
    <t>Heuritech</t>
  </si>
  <si>
    <t>Developer of automatic real-time object recognition software designed to empower fashion brands to produce more sustainably, and improve profitability. The company's software uses algorithms and computer vision to scan and analyze large volumes of images and text across the internet to understand trends as they emerge, mutate, and then vanish and its services allow for smoother communication and collaboration between different teams by fostering a data-driven mindset and transforming traditional decision-making, enabling luxury and fashion providers to identify clothing trends and better serve its customers.</t>
  </si>
  <si>
    <t>Coralie de Fontenay(Coralie de Fontenay), Elaia Partners(Armelle de Tinguy), Pierre Denis(Pierre Denis), Plug and Play Tech Center, Serena (Paris)</t>
  </si>
  <si>
    <t>analytics platform, computer vision, data analytics platform, deep learning technology, fashion technology, market dynamics analysis, object recognition, trend forecasting technology, unstructured data analytics</t>
  </si>
  <si>
    <t>122838-76T</t>
  </si>
  <si>
    <t>Kamp'n</t>
  </si>
  <si>
    <t>Operator of a SaaS platform intended to manage online advertising campaigns for businesses. The company's platform helps clients to optimize their digital campaigns on social media through contextual advertising, ad templates, and dynamic, and centralized reporting tools, enabling clients to adopt data-driven marketing.</t>
  </si>
  <si>
    <t>NGP Capital, Provence Business Angels, Smalt Capital</t>
  </si>
  <si>
    <t>ad templating, advertising campaigns management, advertising campaigns platform, contextual advertising, digital campaign, online advertising, online advertising campaign, social media advertising</t>
  </si>
  <si>
    <t>156350-80T</t>
  </si>
  <si>
    <t>130431-79T</t>
  </si>
  <si>
    <t>Bpifrance, Gilbert Saada(Gilbert Saada), UL Invest</t>
  </si>
  <si>
    <t>159035-86T</t>
  </si>
  <si>
    <t>123001-84T</t>
  </si>
  <si>
    <t>Fermes De Figeac</t>
  </si>
  <si>
    <t>Animal Husbandry, Business/Productivity Software, Environmental Services (B2B), Other Agriculture*</t>
  </si>
  <si>
    <t>Operator of an agricultural platform intended to address several issues of the preservation of ecosystems, the maintenance of living agriculture, and the development of food on the territory. The company's platform helps to promote responsible development based on the valorization of local resources, the creation of value, and the search for new cooperation, enabling the agricultural clients to coordinate supply and distribution and use renewable energy for making a better society.</t>
  </si>
  <si>
    <t>agricultural supply distributor, ecosystem management, energy transition, renewable energy, territorial welfare, valorization service</t>
  </si>
  <si>
    <t>AgTech, Industrials, LOHAS &amp; Wellness</t>
  </si>
  <si>
    <t>Lacapelle Marival, France</t>
  </si>
  <si>
    <t>121765-69T</t>
  </si>
  <si>
    <t>42CAP(Thomas Wilke), Entrepreneur First, SAP.iO</t>
  </si>
  <si>
    <t>126470-98T</t>
  </si>
  <si>
    <t>Hidden Market</t>
  </si>
  <si>
    <t>Automation/Workflow Software, Business/Productivity Software, Human Capital Services*</t>
  </si>
  <si>
    <t>Developer of an online portal designed to optimize the entire value chain of the profile recruitment process. The company's platform operates a millimetric match between the skills sought by companies and the qualified profiles of candidates in real time, enabling candidates to present their skills anonymously and to receive salary quotes in the same way.</t>
  </si>
  <si>
    <t>Bpifrance, Chantal Baudron(Chantal Baudron)</t>
  </si>
  <si>
    <t>fullstack developer, human resource service, human resources, online marketplace, online portal, recruitment agency, recruitment process, recruitment service, recruitment tool</t>
  </si>
  <si>
    <t>122952-16T</t>
  </si>
  <si>
    <t>Le Relais</t>
  </si>
  <si>
    <t>Environmental Services (B2B)*, Other Textiles</t>
  </si>
  <si>
    <t>Operator of a recycling platform intended to serve the people. The company's services include collection, sorting, and recycling services of clothing, footwear, and textiles as well as operating thrift shops and collecting donations, enabling people to preserve resources in a hassle-free manner.</t>
  </si>
  <si>
    <t>clothes recycling, recycled cottons, textile manufacturing firm, textile manufacturing services, thrift stores, urban waste collection, urban waste management</t>
  </si>
  <si>
    <t>Bruay-la-Buissière, France</t>
  </si>
  <si>
    <t>130118-77T</t>
  </si>
  <si>
    <t>AngelSquare, Jean-Romain Lhomme(Jean-Romain Lhomme), Link Tribe Capital, Wing Capital Group</t>
  </si>
  <si>
    <t>190069-57T</t>
  </si>
  <si>
    <t>Nap&amp;Up</t>
  </si>
  <si>
    <t>Application Software, Other Commercial Services*, Other Healthcare</t>
  </si>
  <si>
    <t>Developer of a mobile application designed to improve well-being in companies and democratize power naps in the working environment. The company provides wellness &amp; fitness services with the provision of a nap cocoon that adapts to any type of space, enabling employees to take an efficient break and promote disconnection in the workplace.</t>
  </si>
  <si>
    <t>AngelSquare, Finck Ventures</t>
  </si>
  <si>
    <t>fitness service platform, fitness service provider, healthcare service provider, healthcare services, power naps services, wellbeing at work, wellness service platform</t>
  </si>
  <si>
    <t>177042-43T</t>
  </si>
  <si>
    <t>Day One Entrepreneurs &amp; Partners, Haussmann Venture, Investisseurs privés, Sylvain Eche(Sylvain Eche), Thomas Rebaud(Thomas Rebaud)</t>
  </si>
  <si>
    <t>129576-70T</t>
  </si>
  <si>
    <t>Vectrawave</t>
  </si>
  <si>
    <t>Electrical Equipment, General Purpose Semiconductors*</t>
  </si>
  <si>
    <t>Manufacturer of microwave electronic components intended to provide integrated circuits and systems in package devices. The company offers semiconductor devices with different levels of integration, from discrete semiconductors to highly integrated technology such as custom Microwave Monolithic Integrated Circuits, System-in-Package, and Multichip Modules, enabling optical and microwave communication equipment providers with customized resolutions based on specific customer requirements.</t>
  </si>
  <si>
    <t>Nestadio Capital, Trail Solutions Patrimoine</t>
  </si>
  <si>
    <t>electrical components, electronic equipment, integrated circuits, microwave components, multichip modules, semiconductor manufacturing</t>
  </si>
  <si>
    <t>Lannion, France</t>
  </si>
  <si>
    <t>206855-56T</t>
  </si>
  <si>
    <t>Val de France Angels</t>
  </si>
  <si>
    <t>135090-64T</t>
  </si>
  <si>
    <t>122688-19T</t>
  </si>
  <si>
    <t>Manager.one</t>
  </si>
  <si>
    <t>Developer of an online banking platform designed to provide alternative banking and financial management services. The company's platform provides efficient and secure banking services which include simplified accounting, user management, consulting banking operations, and a business card, enabling users to make no commission payments online.</t>
  </si>
  <si>
    <t>Alain Krzentowski(Alain Krzentowski), Claude Berda, Didier Rosenberg(Didier Rosenberg), Financière Saint James, Jean-Pierre Valentini(Jean-Pierre Valentini), Laurent Dassault(Laurent Dassault), Michael Benabou(Michael Benabou), The Martek Group</t>
  </si>
  <si>
    <t>commercial finance, digital banking, online payment modes, online payment platform, online payment portal, online payment software, online payment system, payment app</t>
  </si>
  <si>
    <t>FinTech, Mobile, SaaS, TMT</t>
  </si>
  <si>
    <t>205279-66T</t>
  </si>
  <si>
    <t>France Active, Schneider Electric (Electrical Equipment) (PAR: SU)</t>
  </si>
  <si>
    <t>219343-15T</t>
  </si>
  <si>
    <t>Enagás Emprende</t>
  </si>
  <si>
    <t>252139-33T</t>
  </si>
  <si>
    <t>Conztanz</t>
  </si>
  <si>
    <t>Business/Productivity Software*, Consulting Services (B2B), Media and Information Services (B2B)</t>
  </si>
  <si>
    <t>Developer of an integration platform designed to enrich and personalize customer service during air travel. The company's platform provides consulting services, links passenger service systems and airline information systems, turns airlines data into valuable business assets to raise customer knowledge, increases sales, and enhances the level of services delivered by proactively solving issues that occur while traveling, thereby enabling airline businesses to understand passenger context during their journey and interact responsively at the relevant moment with all touchpoints and appropriate staff.</t>
  </si>
  <si>
    <t>A Plus Finance, Pleiade Venture</t>
  </si>
  <si>
    <t>airline business, airline industry, airline management software, customer experience, passenger service system</t>
  </si>
  <si>
    <t>159744-97T</t>
  </si>
  <si>
    <t>Financière Saint James, Guibor</t>
  </si>
  <si>
    <t>182283-31T</t>
  </si>
  <si>
    <t>DigiSchool</t>
  </si>
  <si>
    <t>Developer of a learning platform designed to assist young people to pass their exams and choose a course path. The company's platform offers educational content across all digital media such as websites, smartphones, tablets and connected televisions as well as provides learning tools for each educational stage from primary school through to postbaccalaureate, enabling students to learn and interact with teachers in a hassle-free way.</t>
  </si>
  <si>
    <t>EduCapital</t>
  </si>
  <si>
    <t>digital education, educational content platform, educational content services, learning platform developer, learning platform software, learning technology</t>
  </si>
  <si>
    <t>191118-34T</t>
  </si>
  <si>
    <t>Pulp (Business/Productivity Software)</t>
  </si>
  <si>
    <t>Developer of an online ordering application designed to minimize the customer's waiting time at restaurants. The company's application lists a restaurant's menus on a web page for users to order from and pay without delay, enabling restaurant owners to reduce the time taking orders and focus on the customer experience.</t>
  </si>
  <si>
    <t>Cameleon Invest, Nicolas Sireyjol(Nicolas Sireyjol), Plug and Play Tech Center, Thierry Lernon(Thierry Lernon)</t>
  </si>
  <si>
    <t>food ordering app, online ordering, online ordering application, ordering application, ordering services, restaurant &amp; retail tech, restaurant and retail technology, restaurant sales, sales &amp; operations tech, sales and operations technology</t>
  </si>
  <si>
    <t>129601-99T</t>
  </si>
  <si>
    <t>50 Partners, CapHorn Invest(Romain Vidal), Five Elms Capital(Ryan Mandl), Runa Capital(Dmitry Chikhachev)</t>
  </si>
  <si>
    <t>187700-05T</t>
  </si>
  <si>
    <t>BPI Group</t>
  </si>
  <si>
    <t>181582-57T</t>
  </si>
  <si>
    <t>Arjo (STO: ARJO B), EduCapital</t>
  </si>
  <si>
    <t>179613-10T</t>
  </si>
  <si>
    <t>Silex</t>
  </si>
  <si>
    <t>Developer of a cognitive sourcing platform designed to centralize, automate, and manage recurring tasks related to sourcing. The company's platform is a semantic analysis system that offers the right providers in the database at the right time, enabling companies and purchasing departments to digitize their entire sourcing system through its scalable SaaS platform.</t>
  </si>
  <si>
    <t>corporate social responsibility, purchasing platform, semantic analysis, sourcing process, sourcing processing platform, sourcing solution</t>
  </si>
  <si>
    <t>Gentilly, France</t>
  </si>
  <si>
    <t>191766-97T</t>
  </si>
  <si>
    <t>Green On</t>
  </si>
  <si>
    <t>Provider of e-bike sharing services intended to facilitate mobility resolutions. The company offers services such as the installation of terminals, supply of bicycles, reservation of bikes, and pre-reservation of bikes, services include automated bicycle-sharing systems, fleet management for corporate bicycles, long-term personal bike rentals, and the installation of dedicated bicycle facilities, enabling users with electrically assisted bicycles and electric scooters.</t>
  </si>
  <si>
    <t>bicycle parking, bike sharing system, bikes sharing, electric cycle, micromobility, mobility solutions, rental bikes</t>
  </si>
  <si>
    <t>126536-77T</t>
  </si>
  <si>
    <t>Banque des Territoires, Breega(François Paulus)</t>
  </si>
  <si>
    <t>168517-99T</t>
  </si>
  <si>
    <t>Bleu Capital, Financière Saint James, Kima Ventures</t>
  </si>
  <si>
    <t>156410-65T</t>
  </si>
  <si>
    <t>113148-19T</t>
  </si>
  <si>
    <t>Respawn</t>
  </si>
  <si>
    <t>Internet Software, Media and Information Services (B2B), Other Commercial Services*</t>
  </si>
  <si>
    <t>Operator of web agency intended to maximize revenue. The company specializes in development, hosting, strategy, creativity, design, and innovative technology, enabling clients to get marketing services at a low cost.</t>
  </si>
  <si>
    <t>Dragon Investors</t>
  </si>
  <si>
    <t>content services, digital developer, digital development, digital marketing, digital strategy, marketing service</t>
  </si>
  <si>
    <t>125252-29T</t>
  </si>
  <si>
    <t>Scallog</t>
  </si>
  <si>
    <t>Developer of robotic products designed to help automate the process of warehouse logistics. The company's fleet of mobile robots is supervised by the software that facilitates picking by providing the operator with shelves containing the required creations and also monitors the entire platform, enabling businesses to get real-time control and traceability of all references as well as an optimization of stock rotations and internal flows according to seasonality.</t>
  </si>
  <si>
    <t>Colruyt (BRU: COLR), International Technology Solutions</t>
  </si>
  <si>
    <t>autonomous machine, intelligent robotics, logistic robots, logistics automation, logistics control, optimization model, optimization process, robotics automation, scm, supply chain data, supply chain management</t>
  </si>
  <si>
    <t>Advanced Manufacturing, Artificial Intelligence &amp; Machine Learning, Robotics and Drones, Supply Chain Tech</t>
  </si>
  <si>
    <t>124552-81T</t>
  </si>
  <si>
    <t>Koboo</t>
  </si>
  <si>
    <t>Developer of a bicycle fleet management application designed to help rent bikes. The company's application offers to manage fleets of self-service bikes and locking systems along with route ideas to enhance the local heritage and urban infrastructure for bicycles, enabling users to rent bikes easily, at any time via a smartphone.</t>
  </si>
  <si>
    <t>Banque Populaire Auvergne Rhône Alpes, Bpifrance, Crédit Agricole Centre France Développement, JEREMIE Auvergne, Michelin Development</t>
  </si>
  <si>
    <t>bicycle fleet management, bicycle rental application, cycle rent, cycle rental app, rent bicycle, rent bikes</t>
  </si>
  <si>
    <t>Mobility Tech, SaaS, TMT</t>
  </si>
  <si>
    <t>192540-61T</t>
  </si>
  <si>
    <t>CapHorn Invest, Melusine Holding</t>
  </si>
  <si>
    <t>136480-87T</t>
  </si>
  <si>
    <t>UntieNots</t>
  </si>
  <si>
    <t>Developer of a promotion personalization platform designed to provide marketing services to make personalized promotions scalable, relevant, and fun. The company's platform offers promotion services with strategic and operational implementation, enabling businesses to give rewards for their products.</t>
  </si>
  <si>
    <t>Altavia Adventures, Plug and Play Tech Center</t>
  </si>
  <si>
    <t>artificial intelligence, crm, customer promotional platform, customer promotional software, customer relationship management, hyper personalization, loyalty program platform, targeted promotion</t>
  </si>
  <si>
    <t>120321-73T</t>
  </si>
  <si>
    <t>Believe (PAR: BLV)</t>
  </si>
  <si>
    <t>Believe SA specializes in the sale and promotion of audio and video content from artists and independent labels. The company has identified two operating segments which is Premium Solutions &amp; Automated Solutions and Central Platform. Premium solutions this consists mainly of the sale, promotion and delivery of digital content provided by artists and labels for which the Group is responsible for developing their catalog on digital platforms and social media, as appropriate, using a split revenue model. Automated Solutions whereby the Group enables artists, via its TuneCore digital platform, to distribute their audio content in an automated manner to streaming and social media platforms in return for a subscription fee or margin. It generates majority of its revenue from Premium Solutions.</t>
  </si>
  <si>
    <t>Financière Saint James, Sopromec Participations, Stags Participations</t>
  </si>
  <si>
    <t>crm, customer relationship management, digital commerce, digital music sales, digital music service, music distribution, music distribution network, music label, music service, video distribution service, video streaming platform</t>
  </si>
  <si>
    <t>121576-33T</t>
  </si>
  <si>
    <t>Enerfip</t>
  </si>
  <si>
    <t>Operator of a crowdfunding platform intended to support renewable energy projects. The company's platform supports several renewable projects in four French regions and raises funding and cash for environmental technology-based projects, enabling startups and entrepreneurs to avail of funding opportunities for the smooth execution of their ideas and businesses.</t>
  </si>
  <si>
    <t>clean energy financing, energy crowdfunding, project crowdfunding platform, renewable energy crowdfunding, renewable energy financing, renewable energy funding</t>
  </si>
  <si>
    <t>121496-77T</t>
  </si>
  <si>
    <t>Bpifrance(Olivier Martinez), Crédit Agricole Création, EQT Life Sciences(Felice Weegen), Eurazeo (PAR: RF), Idinvest Partners, Kreaxi, Kurma Partners(Thierry Laugel), Mass General Brigham Ventures(Meredith Fisher), Novo Holdings(Naveed Siddiqi), OrbiMed(Roy Amariglio), Pontifax Venture Capital(Iyona Rajkomar), Sham Innovation Santé, Sofimac Innovation, Tab Consulting(Thierry Abribat), Turenne Groupe(Mounia Chaoui)</t>
  </si>
  <si>
    <t>191216-17T</t>
  </si>
  <si>
    <t>Cibiltech</t>
  </si>
  <si>
    <t>Developer of a healthcare application designed to achieve personalized patient care and effective clinical research through artificial intelligence. The company's software offers a personalized prognosis for kidney transplanted patients and it also allows risk stratification and remote monitoring of patients in a seamless medical workflow, enabling clinicians to anticipate patient health outcomes, and improving medical decisions through personalized treatments.</t>
  </si>
  <si>
    <t>CareDx (NAS: CDNA)</t>
  </si>
  <si>
    <t>digital solutions provider, digital solutions services, healthcare application, medical software company, medical software provider, medical software support, renal transplantation</t>
  </si>
  <si>
    <t>139029-31T</t>
  </si>
  <si>
    <t>MyPangee</t>
  </si>
  <si>
    <t>Financial Software*, IT Consulting and Outsourcing, Media and Information Services (B2B)</t>
  </si>
  <si>
    <t>Developer of customized digital leasing platform designed to provide long-term rental methods. The company's platform offers a white-label marketplace, digitizes product catalogs and facilitates long-term rentals and payment facilities in physical stores, enabling merchants and e-commerce websites to offer their customers leasing access to all types of objects.</t>
  </si>
  <si>
    <t>Bpifrance, Daffourd Invest, IRDI Capital Investissement(Benjamin Lillo), M Capital Partners(Alexandre Scherer), Thierry Roussel(Thierry Roussel), ViaSante Mutuelle(Denis Saules)</t>
  </si>
  <si>
    <t>digital financing solutions, digital leasing, it development, margin optimization, multichannel solutions, sales management service</t>
  </si>
  <si>
    <t>E-Commerce, FinTech</t>
  </si>
  <si>
    <t>130131-28T</t>
  </si>
  <si>
    <t>201823-03T</t>
  </si>
  <si>
    <t>HCS Pharma</t>
  </si>
  <si>
    <t>Developer of a biomimetic three-dimensional technology designed to facilitate in vitro research and development. The company's technology offers an innovative cell imaging technology that assists in high-throughput and high-content screening of molecules for the identification of new drugs, enabling researchers to reduce the cost of research and get more predictive results in vitro studies.</t>
  </si>
  <si>
    <t>Angels Santé, Nord France Amorçage</t>
  </si>
  <si>
    <t>biotech company, biotechnology research, cell culture, cell imaging, extracellular matrix, high content screening, vitro medical diagnostics, vitro testing</t>
  </si>
  <si>
    <t>121655-44T</t>
  </si>
  <si>
    <t>Ouba</t>
  </si>
  <si>
    <t>Developer of a digital real estate platform designed to offer concierge services and shared resources. The company's platform concierge system for condominiums and businesses offers a variety of connected services, tailored and personalized to each context which makes it possible to promote and manage resources, premises vehicles and equipment, enabling real estate businesses to create a link between users to facilitate interconnection with partner services and the integration of specific needs for each residence.</t>
  </si>
  <si>
    <t>Angelor, Kreaxi</t>
  </si>
  <si>
    <t>concierge system, connected service, equipment management, home automation portal, managed residence, shared resources, smart building</t>
  </si>
  <si>
    <t>Internet of Things, Real Estate Technology</t>
  </si>
  <si>
    <t>127595-35T</t>
  </si>
  <si>
    <t>Sevessence</t>
  </si>
  <si>
    <t>Operator of a luxury fragrance brand intended to offer natural and organic sensory signatures to its customers. The company's brand uses natural, organic essential oils and floral waters for natural room fresheners, sprays, perfumed candles, and other products, enabling consumers to experience perfumes at reasonable prices.</t>
  </si>
  <si>
    <t>fragrance aromas, fragrance products, luxury fragrances, online product, perfume brand, perfume manufacturer</t>
  </si>
  <si>
    <t>193865-23T</t>
  </si>
  <si>
    <t>Accurafy4, CMA CGM</t>
  </si>
  <si>
    <t>124022-98T</t>
  </si>
  <si>
    <t>Web2Roi</t>
  </si>
  <si>
    <t>Developer of a digital marketing and search engine tool designed to optimize the profitability of all web marketing levers. The company's platform includes modules such as a performance module for tracking the real-time status of investment, costs per click, margins, and profitability, an analytics module, conversion module for mapping digital campaigns and their impact on conversion, enabling businesses to maximize their return on investments.</t>
  </si>
  <si>
    <t>digital marketing platform, display campaign, online advertising data, web analytics platform, web campaign, web marketing</t>
  </si>
  <si>
    <t>124552-90T</t>
  </si>
  <si>
    <t>GEA Invest</t>
  </si>
  <si>
    <t>Media and Information Services (B2B), Metal Containers and Packaging*</t>
  </si>
  <si>
    <t>Provider of business management services intended to offer several distribution networks to clients. The company's services include packaging personalized candy boxes and customizable metal boxes that are exclusively printed to suit specific needs, enabling customers to distribute sweets at family celebrations or other occasions, and companies to create brand loyalty during promotional campaigns and other marketing actions.</t>
  </si>
  <si>
    <t>Bpifrance, Crédit Agricole Centre France Développement, JEREMIE Auvergne, Région Auvergne-Rhône-Alpes, Sofimac Investment Managers(Julian Ortelli)</t>
  </si>
  <si>
    <t>business management, business management service, candy box manufacturer, candy boxes, distribution network, distribution network operator, distributor chain, distributor firm, distributor network, packaging services, packaging services firm, sugar candy</t>
  </si>
  <si>
    <t>118074-25T</t>
  </si>
  <si>
    <t>iBionext(Alexia Perouse)</t>
  </si>
  <si>
    <t>206021-26T</t>
  </si>
  <si>
    <t>Touchify</t>
  </si>
  <si>
    <t>Developer of a digital communication software designed for creative digital signage for all screens and touch devices. The company's software offers a creative studio, controls the devices, and schedules of the publications remotely, and provides from single digital signage to multiple interactive terminals within complex organizations, and projects connected to third-party tools, providing brands with usage statistics to measure performance and improve their content.</t>
  </si>
  <si>
    <t>Pelago Capital</t>
  </si>
  <si>
    <t>creative templates, digital signage, digital transformation, interactive display, interactive reporting, interactive study, interactive system</t>
  </si>
  <si>
    <t>Gignac-la-Nerthe, France</t>
  </si>
  <si>
    <t>190698-58T</t>
  </si>
  <si>
    <t>Agriz</t>
  </si>
  <si>
    <t>Application Software, Information Services (B2C)*, Other Agriculture</t>
  </si>
  <si>
    <t>Operator of an online retail platform intending to provide quality fruits and vegetables at the right price. The company's platform provides fruits and vegetables packed in neat packaging that keeps the freshness of the products and is delivered to the place of your choice, enabling customers to get fruits and vegetables that restore taste and meaning to their diet.</t>
  </si>
  <si>
    <t>PAIP Investissements</t>
  </si>
  <si>
    <t>fresh fruit and vegetables, healthy product, quality product, retail card, retail jobs, retail platform, retail scheme</t>
  </si>
  <si>
    <t>Saint-Genis-Laval, France</t>
  </si>
  <si>
    <t>194860-36T</t>
  </si>
  <si>
    <t>Lybero.net</t>
  </si>
  <si>
    <t>Devloper of a cryptography cybersecurity software editor platform designed to offer information technology security services. The company's platform provides security-oriented appliances to design passphrase protection, cryptography and security computing software, enabling clients to avail themselves of encrypted file transfer services and exchange files with third parties outside the organization.</t>
  </si>
  <si>
    <t>ILP Group, Incubateur Lorrain, IT-Translation, Yeast (France)</t>
  </si>
  <si>
    <t>computer security, cryptography services, cryptography software, data protection &amp; encryption, data security, files protection</t>
  </si>
  <si>
    <t>Big Data, Cybersecurity, SaaS, TMT</t>
  </si>
  <si>
    <t>Villers-Lès-Nancy, France</t>
  </si>
  <si>
    <t>121002-22T</t>
  </si>
  <si>
    <t>Teaminside</t>
  </si>
  <si>
    <t>Human Capital Services*, Media and Information Services (B2B)</t>
  </si>
  <si>
    <t>Provider of digital talent recruitment and management services intended to aid companies in their digital transformation. The company recruits digital experts in various fields such as project management, UX, media, performance, design, content, SEO, and technical skills, enabling businesses in various sectors to have access to the right talent at the right time for short or long-term assignments.</t>
  </si>
  <si>
    <t>Capital Croissance(Julie Masson), Capital Growth, Turenne Groupe(Stéphane Saudo)</t>
  </si>
  <si>
    <t>community manager, digital transformation, human resources, organization strategy advisor, performance optimization, project manager, talent recruitment</t>
  </si>
  <si>
    <t>124765-57T</t>
  </si>
  <si>
    <t>Véritable</t>
  </si>
  <si>
    <t>Horticulture, Other Consumer Durables*, Specialty Retail</t>
  </si>
  <si>
    <t>Provider of vegetable gardens intended to facilitate indoor urban agriculture. The company's products utilize LED lighting systems to ensure the growth of plants, without external light, optimize optimal plant volume, and develop flavors, enabling users to cultivate an extensive choice of edible plants directly in their kitchen.</t>
  </si>
  <si>
    <t>Angelor, Crédit Agricole Création, Labruyère Eberlé, Zebu Developement</t>
  </si>
  <si>
    <t>edible plant, ergonomic products, fresh food, indoor agriculture, indoor farming, indoor farming system, kitchentech &amp; robotics, kitchentech and robotics, plant growing, restaurant &amp; retail tech, restaurant and retail technology, vegetables garden</t>
  </si>
  <si>
    <t>AgTech, E-Commerce, LOHAS &amp; Wellness</t>
  </si>
  <si>
    <t>134158-06T</t>
  </si>
  <si>
    <t>High Flyers Capital(Jérôme Rayet), HYPE Capital</t>
  </si>
  <si>
    <t>123385-24T</t>
  </si>
  <si>
    <t>Ilek</t>
  </si>
  <si>
    <t>Energy Traders and Brokers, Environmental Services (B2B)*</t>
  </si>
  <si>
    <t>Provider of green electricity and biogas service intended to connect renewable energy producers and consumers. The company's service offer its clients to sell their electricity and biogas directly to individuals and small businesses, enabling them to minimize the cost and effort.</t>
  </si>
  <si>
    <t>Alter Equity(Fanny Picard), Banque Populaire Val de France, Bpifrance, Groupe BPCE, Kima Ventures, Sorepar</t>
  </si>
  <si>
    <t>biofuels, biogas storage, clean fuel, energy provider, green electricity, green electricity market, green electricity provider, green electricity supplier</t>
  </si>
  <si>
    <t>123068-44T</t>
  </si>
  <si>
    <t>Eight Roads, Financière Saint James, FundersClub, Index Ventures(Dominique Vidal), Julien Romanetto(Julien Romanetto), MVC (New York), Thibaud Elziere(Thibaud Elziere)</t>
  </si>
  <si>
    <t>122225-77T</t>
  </si>
  <si>
    <t>Demeter Partners(Thomas Virolle)</t>
  </si>
  <si>
    <t>123596-20T</t>
  </si>
  <si>
    <t>Agorapulse</t>
  </si>
  <si>
    <t>Operator of a social marketing platform intended to organize, save time, and easily manage social media accounts. The company's platform leverages technology to empower businesses and agencies to grow and engage a fan and follower base, measure performance, and optimize the social media presence with advanced publishing and moderation tools, enabling clients to increase their social media engagements.</t>
  </si>
  <si>
    <t>Cipio Partners(Roland Dennert), Entrepreneur Ventures, Hi Inov(Valerie Gombart)</t>
  </si>
  <si>
    <t>advertising service, crm, customer relationship management, digital marketing, digital marketing app, marketing platform, social marketing platform, social media dashboards</t>
  </si>
  <si>
    <t>124709-68T</t>
  </si>
  <si>
    <t>Alpana Ventures(Pascal Widmer), CapHorn Invest(Marion Chanéac), Denis leannec(Denis leannec), FJ Labs, Piton Capital, Reinhart Capital, Samaipata, SAP.iO, Serena (Paris)(Marc Fournier)</t>
  </si>
  <si>
    <t>132332-77T</t>
  </si>
  <si>
    <t>Osmosun (PAR: ALWTR)</t>
  </si>
  <si>
    <t>Osmosun SA specializes in innovative water treatment solutions with the use of renewable energy. It acts as a simple manufacturer of water desalination solutions, and not as a producer or distributor of water to the public, or as an operator of water recovery facilities.</t>
  </si>
  <si>
    <t>Calao Finance, Centre Capital Développement, FAMAE, Famaë Impact, Gaia Impact Fund, GO Capital (France)(Herve Bachelot Lallier), Sofimac Investment Managers(Bruno Jas), WiSeed(Nicolas Sérès)</t>
  </si>
  <si>
    <t>autonomous systems, environmental services, intermittent renewable energy, renewable energy, solar energy, solar photovoltaic, water technology, water treatment solutions, water treatment system, water treatment tool</t>
  </si>
  <si>
    <t>Gellainville, France</t>
  </si>
  <si>
    <t>139353-76T</t>
  </si>
  <si>
    <t>Trail Solutions Patrimoine</t>
  </si>
  <si>
    <t>121477-06T</t>
  </si>
  <si>
    <t>LBO France(Sébastien Woynar)</t>
  </si>
  <si>
    <t>121352-05T</t>
  </si>
  <si>
    <t>Crédit Atlantique de Vendée (PAR: CRAV)(Véronique Hamel), Crédit Maritime Atlantique(Hervé Lallier), FAMM Group(Didier Rousseau), Litto Invest, Unexo(Mélanie Hebert)</t>
  </si>
  <si>
    <t>165780-37T</t>
  </si>
  <si>
    <t>Catchr</t>
  </si>
  <si>
    <t>Developer of a no-code marketing platform designed to monitor advertising campaigns. The company's platform automatically collects data from the website and different channels including making it fully observable to track advertisement performances, website analytics, or user interactions, enabling clients to keep track of marketing activities and monitor digital channels conveniently.</t>
  </si>
  <si>
    <t>dashboard analysis, data extraction, data pipeline, data visualization, marketing data, marketing service, reporting module</t>
  </si>
  <si>
    <t>132453-28T</t>
  </si>
  <si>
    <t>L'Alveare Che Dice Sì</t>
  </si>
  <si>
    <t>Provider of an online food marketplace intended to purchase groceries and vegetables online directly from the farmers. The company's food marketplace operates through a social network that lets farmers sell fresh local produce including vegetables, raw meat, beverages and groceries grown at their own farms or sourced by local suppliers delivered directly to the customers without involving intermediary vegetable traders, enabling customers to order and buy food online directly from local farmers at comparatively low prices, thereby promoting a fair and sustainable production for improvement of the local economy.</t>
  </si>
  <si>
    <t>Felix Capital, La Banque Postale</t>
  </si>
  <si>
    <t>food ecommerce, food marketplace, local food distribution, local food ordering, local produce portal, online food marketplace, online grocer, vegetables ordering</t>
  </si>
  <si>
    <t>121452-94T</t>
  </si>
  <si>
    <t>Auriga Partners (Paris)(Sebastien Descarpentries), FFBB Management(Pierre-Yves Divet), GO Capital (France)(Leila Nicolas), Odyssee Venture(Sébastien Sassolas)</t>
  </si>
  <si>
    <t>132658-21T</t>
  </si>
  <si>
    <t>Entrepreneur Invest, NGP Capital</t>
  </si>
  <si>
    <t>128249-20T</t>
  </si>
  <si>
    <t>Air Liquide Venture Capital, Kouros Investment</t>
  </si>
  <si>
    <t>122140-36T</t>
  </si>
  <si>
    <t>MyCoach (Business/Productivity Software)</t>
  </si>
  <si>
    <t>Application Software, Business/Productivity Software*, Education and Training Services (B2B)</t>
  </si>
  <si>
    <t>Developer of a digital sports platform designed to support the digital transition of the sports movement. The company's platform offers team monitoring, player information and key statistics in real-time and allows players and coaches to interact with each other, enabling coaches to plan and analyze players' performance and train them in accordance with calendar schedules.</t>
  </si>
  <si>
    <t>123 Investment Managers(Johann Devaux), Bpifrance(Delphine Garcia), Calao Finance(Rodolphe Herbelin), Paris&amp;Co Incubateurs, Région Sud Investissement, Smalt Capital(Arnaud Chiocca), Ternel, Turenne Groupe</t>
  </si>
  <si>
    <t>game information provider, games statistics, performance tracking tools, sports management software, sports mobile application, team calendar, team management</t>
  </si>
  <si>
    <t>201034-54T</t>
  </si>
  <si>
    <t>Newfund Management, Pacifico(Jean-François Hénin)</t>
  </si>
  <si>
    <t>156428-20T</t>
  </si>
  <si>
    <t>Bookinou</t>
  </si>
  <si>
    <t>Educational and Training Services (B2C), Educational Software, Electronics (B2C)*</t>
  </si>
  <si>
    <t>Developer of audio storybook devices designed to support children's first reading by replacing screens with books. The company's devices are audio players that give an audio version of any book that can be recorded by family members using the mobile application, enabling children to enjoy stories without a screen.</t>
  </si>
  <si>
    <t>VivaTech</t>
  </si>
  <si>
    <t>audio book, audiobooks producer, digital book, digital storybook, digital storytelling, online books</t>
  </si>
  <si>
    <t>E-Commerce, EdTech</t>
  </si>
  <si>
    <t>121385-08T</t>
  </si>
  <si>
    <t>Case Law Analytics</t>
  </si>
  <si>
    <t>Developer of legal analytics software designed to assist legal professionals to control legal hazards and rigorously manage their risks. The company's software uses artificial intelligence offering legal professionals risk quantification services based on a long-standing collaboration between lawyers and mathematicians, enabling all legal professionals to make informed decisions in litigation strategy.</t>
  </si>
  <si>
    <t>Bamboo Capital Partners, Elaia Partners(Benoît Georis), InnovAllianz, Pays de La Loire Development, Pays de la Loire Participations, Région des Pays de la Loire, Siparex Group, Sodero</t>
  </si>
  <si>
    <t>artificial intelligence platform, legal analysis, legal protection, legal protection analysis, legal protection insurance, legal services, machine learning, natural language processing, risk quantification</t>
  </si>
  <si>
    <t>120928-78T</t>
  </si>
  <si>
    <t>Antoine de Rochefort(Antoine de Rochefort), BlackFin Capital Partners(Julien Creuze), Didier Valet(Didier Valet), Partech(Alison Imbert)</t>
  </si>
  <si>
    <t>126009-37T</t>
  </si>
  <si>
    <t>187389-10T</t>
  </si>
  <si>
    <t>120697-57T</t>
  </si>
  <si>
    <t>Indigo Capital, ISAI, Serena (Paris)</t>
  </si>
  <si>
    <t>208425-43T</t>
  </si>
  <si>
    <t>Xtramile</t>
  </si>
  <si>
    <t>Developer of a recruitment platform intended to offer a platform that optimizes sourcing and curriculum vitae-sorting processes. The company's platform uses artificial intelligence and data to provide recruitment of qualified profiles, by targeting the right candidates through advertising campaigns on social networks, helping recruiters focus their energy on tasks with more added value.</t>
  </si>
  <si>
    <t>hr analytics, human resources staffing, programmatic recruitment, recruitment portal, recruitment software, talent acquisition</t>
  </si>
  <si>
    <t>Artificial Intelligence &amp; Machine Learning, HR Tech, Marketing Tech, TMT</t>
  </si>
  <si>
    <t>120289-69T</t>
  </si>
  <si>
    <t>Alexei Chemenda(Alexei Chemenda), Bpifrance, GO Capital (France), Kima Ventures(Xavier Niel), Marc Pfohl(Marc Pfohl), Romain Niccoli(Romain Niccoli)</t>
  </si>
  <si>
    <t>136353-70T</t>
  </si>
  <si>
    <t>RB3D</t>
  </si>
  <si>
    <t>Manufacturer of cooperative robotics intended to reduce the risk of musculoskeletal disorders. The company's robotics provide the power and stamina to increase efficiency and achieve strenuous work without musculoskeletal disorder risks as well as fulfil, handling and manipulation needs, enabling clients to handle applications in a large number of industrial sectors.</t>
  </si>
  <si>
    <t>bionics prosthesis, industrial exoskeleton, industrial services, medical exoskeleton, robotics assembly, robotics company</t>
  </si>
  <si>
    <t>Advanced Manufacturing, Robotics and Drones</t>
  </si>
  <si>
    <t>Moneteau, France</t>
  </si>
  <si>
    <t>120603-79T</t>
  </si>
  <si>
    <t>Catherine Dunand(Catherine Dunand), Cemag Invest, Hyundai Motor (KRX: 005380)(Yunseong Hwang), International Flavors &amp; Fragrances (NYS: IFF), Serena (Paris), Vincent Deltrieu(Vincent Deltrieu)</t>
  </si>
  <si>
    <t>120609-10T</t>
  </si>
  <si>
    <t>Bpifrance, Day One Entrepreneurs &amp; Partners, The Leclercq's Family Office</t>
  </si>
  <si>
    <t>120644-92T</t>
  </si>
  <si>
    <t>Bpifrance(Jean-Philippe Richard), Demeter Partners(Benjamin Wainstain), IRDI Capital Investissement, iXO Private Equity, Sofilaro, Sofinnova Partners(Denis Lucquin), Supernova Invest, UI Investissement</t>
  </si>
  <si>
    <t>181470-16T</t>
  </si>
  <si>
    <t>Bpifrance, Luc Romano(Luc Romano), Région Auvergne-Rhône-Alpes, Synthesio(Thibault Hanin), the Centre national de la cinématographie (CNC), Thibaut Hanin(Thibaut Hanin)</t>
  </si>
  <si>
    <t>120622-78T</t>
  </si>
  <si>
    <t>Sinequa</t>
  </si>
  <si>
    <t>Developer of a data platform designed to offer real-time big data search and analytics services. The company's platform uses advanced natural language processing and machine learning algorithms and offers insights extracted from structured and unstructured data, enabling businesses to get facilitation and acceleration in their enterprise-wide projects.</t>
  </si>
  <si>
    <t>Agrinvest, Jolt Capital(Jean Schmitt), Troismer(Léon Seynave)</t>
  </si>
  <si>
    <t>analytics platform, analytics services, data analysis, data search, enterprise search, natural language technology, online data analytics, online platform, search cloud software, unstructured data analytics</t>
  </si>
  <si>
    <t>132612-58T</t>
  </si>
  <si>
    <t>Arkéa Capital, Epopée Gestion, GO Capital (France)</t>
  </si>
  <si>
    <t>121047-40T</t>
  </si>
  <si>
    <t>ParkingMap</t>
  </si>
  <si>
    <t>Developer of a parking observatory application designed to solve the problems of public-managed parking places. The company's application creates smart-parking facilities for municipalities and private parking managers in order to ease parking management for both on-street and off-street parking, enabling customers to optimize parking occupation and make it more profitable for managers.</t>
  </si>
  <si>
    <t>Banque des Territoires(Pierre Aubouin), Caravelle (Asset Management), FaDiese</t>
  </si>
  <si>
    <t>parking data, parking network, parking software, parking solutions, parking system, smart city application, smart city platform, smart parking solutions, smartcity system</t>
  </si>
  <si>
    <t>232464-61T</t>
  </si>
  <si>
    <t>zEriodes</t>
  </si>
  <si>
    <t>Developer of an IT decision-making software designed to reduce costs and manage carbon footprint. The company's software collects IT management technical, financial, or energy data, enabling organizations to reduce their IT costs, maximize their profitability and reduce their ecological footprint.</t>
  </si>
  <si>
    <t>carbon strategy, carbon tax, data aggregation, data collection, decision making software, investment decision</t>
  </si>
  <si>
    <t>CleanTech, CloudTech &amp; DevOps</t>
  </si>
  <si>
    <t>120288-88T</t>
  </si>
  <si>
    <t>Karamel (Information Services)</t>
  </si>
  <si>
    <t>Developer of an event booking mobile application intended to provide information about recreational events for children, with or without their parents. The company's application mainly focuses on offering sports, creative workshops, walks, year-round courses, leisure park, shows, holidays, visit and cultural or any other event open to the public events, enabling parents to discover and book cool and fulfilling activities for their kids everywhere in France.</t>
  </si>
  <si>
    <t>Kima Ventures, Oleg Tscheltzoff(Oleg Tscheltzoff), Roxanne Varza, Thibaud Elziere(Thibaud Elziere)</t>
  </si>
  <si>
    <t>children activities, event organizing app, kids events, kids sporting events, sports event organizer</t>
  </si>
  <si>
    <t>202442-23T</t>
  </si>
  <si>
    <t>Squadeasy</t>
  </si>
  <si>
    <t>Developer of a gamified workout and running application designed to motivate users to exercise. The company's application allows firms to place at their employees' disposal a ludic and connected running competition by teams where employees can participate, whether they are spread all around the world, enabling employees to get physical activity and sustainable mobility in the workplace.</t>
  </si>
  <si>
    <t>Malakoff Humanis</t>
  </si>
  <si>
    <t>employee health benefit, exercise app, fitness application, team building events, team involvement, workout app</t>
  </si>
  <si>
    <t>HR Tech, LOHAS &amp; Wellness, Mobile, TMT</t>
  </si>
  <si>
    <t>133327-99T</t>
  </si>
  <si>
    <t>Alcméon</t>
  </si>
  <si>
    <t>Developer of a brand engagement platform designed to provide modern ways for brands to reach their consumers. The company's platform transforms messages for iOS into customer service, messaging marketing, and conversational commerce channels, enabling clients to maintain real-time connections with their social messaging accounts.</t>
  </si>
  <si>
    <t>Elevation Capital Partners(Benjamin Cohen), SAP.iO</t>
  </si>
  <si>
    <t>chatbots developer, conversational commerce, customer outreach, marketing software platform, social customer service, social media marketing, social selling strategy</t>
  </si>
  <si>
    <t>Artificial Intelligence &amp; Machine Learning, Marketing Tech, SaaS, TMT</t>
  </si>
  <si>
    <t>136959-22T</t>
  </si>
  <si>
    <t>Alto Invest(Jean-François Peauelle), Anaxago, CapHorn Invest, Evolem, FJ Labs, Inocap Gestion, Kreaxi, Petit Poucet</t>
  </si>
  <si>
    <t>136302-76T</t>
  </si>
  <si>
    <t>Beekast</t>
  </si>
  <si>
    <t>Developer of a web-based platform designed to offer interaction with live presentations. The company's platform offers an audience engagement tool that facilitates the creation, tracking, and management of events such as conferences, meetings, seminars, conventions, and workshops, helping enterprises, businesses, and freelancers create, facilitate, and track meetings, events, and training sessions.</t>
  </si>
  <si>
    <t>Brighteye Ventures, M Capital Partners, UI Investissement</t>
  </si>
  <si>
    <t>conference planning, crm, customer relationship management, event management, event management tool, events technology, online meeting, web conference</t>
  </si>
  <si>
    <t>120568-24T</t>
  </si>
  <si>
    <t>Broadpeak (PAR: ALBPK)</t>
  </si>
  <si>
    <t>Connectivity Products*, Other Communications and Networking, Wireless Communications Equipment</t>
  </si>
  <si>
    <t>Broadpeak SA designs and manufactures video delivery components for content providers and network service providers deploying IPTV, cable, satellite, OTT and mobile services. Its portfolio of solutions and technologies powers the delivery of movies, television programming and other content over managed networks and the internet for viewing on any type of device. The company's systems and services help operators increase market share and improve subscriber loyalty with superior quality of experience.</t>
  </si>
  <si>
    <t>Eutelsat Group (PAR: ETL)(Jean-Hubert Lenotte)</t>
  </si>
  <si>
    <t>connectivity equipment, connectivity products, network services, streaming server, video delivery components, video delivery technology</t>
  </si>
  <si>
    <t>Infrastructure, Manufacturing, TMT</t>
  </si>
  <si>
    <t>120385-63T</t>
  </si>
  <si>
    <t>360 Capital, BNP Paribas Développement, Bpifrance, DN Capital, Partech(Romain Lavault)</t>
  </si>
  <si>
    <t>120408-94T</t>
  </si>
  <si>
    <t>Axeleo Capital, Lafayette Plug And Play, Partech(Alison Imbert)</t>
  </si>
  <si>
    <t>120291-04T</t>
  </si>
  <si>
    <t>Alexis Bonillo(Alexis Bonillo), Antoine Martin(Antoine Martin), Kima Ventures, Olivier Roche(Olivier Roche), Xavier Niel(Xavier Niel)</t>
  </si>
  <si>
    <t>121392-46T</t>
  </si>
  <si>
    <t>50 Partners(Jérôme Lascombe), Investisseurs privés</t>
  </si>
  <si>
    <t>160095-97T</t>
  </si>
  <si>
    <t>134120-71T</t>
  </si>
  <si>
    <t>EasyCryo</t>
  </si>
  <si>
    <t>Manufacturer of cryotherapy devices designed to treat various traumatological and rheumatological pathologies and also reflex sympathetic neuron dystrophies. The company manufactures devices that reduce nerve conduction and nociceptor sensitivity and can be used for physical training, recovery, and rehabilitation, enabling physiotherapists to offer personalized care through adjustable parameters of all pre-set programs for various treatments.</t>
  </si>
  <si>
    <t>Bpifrance, Credit Cooperatif, Rhône Dauphiné Développement, Sofilaro</t>
  </si>
  <si>
    <t>cryotherapy device, cryotherapy treatment, innovative treatment, personalized care, physical training, physical training service, traumatological emergency</t>
  </si>
  <si>
    <t>E-Commerce, LOHAS &amp; Wellness, Manufacturing</t>
  </si>
  <si>
    <t>124267-15T</t>
  </si>
  <si>
    <t>Geotrend</t>
  </si>
  <si>
    <t>Developer of a market intelligence platform designed to map competitive and technology insights for fast, relevant, and global decision-making. The company's platform uses artificial intelligence to streamline the search workflow, graphically and in real-time navigate the web to detect invisibly, enabling businesses to collect recent and reliable information that is ready for analysis.</t>
  </si>
  <si>
    <t>Bpifrance, IRDI Capital Investissement(Benjamin Lillo)</t>
  </si>
  <si>
    <t>ai automation platform, business data search, business discovery, business intelligence, data visualization, market intelligence platform, saas business intelligence</t>
  </si>
  <si>
    <t>120935-35T</t>
  </si>
  <si>
    <t>HostnFly</t>
  </si>
  <si>
    <t>Buildings and Property, Information Services (B2C), Media and Information Services (B2B)*</t>
  </si>
  <si>
    <t>Operator of a rental management services company intended to make the renting process convenient. The company's services include creating advertisements, selecting guests, housekeeping, and maintenance of the property and helping in optimizing rental income from flats on various rental platforms, enabling clients to get stable rental income.</t>
  </si>
  <si>
    <t>Highgate Hotels, Kerala Ventures(Antoine Freysz), Paris-Saclay Seed Fund, Partech(Alison Imbert)</t>
  </si>
  <si>
    <t>accommodation solutions, apartments rental services, concierge service, property maintenance service, rental management, renting service</t>
  </si>
  <si>
    <t>Artificial Intelligence &amp; Machine Learning, Real Estate Technology</t>
  </si>
  <si>
    <t>124554-16T</t>
  </si>
  <si>
    <t>Banque des Territoires, EDF Pulse Ventures, JEREMIE Auvergne, Sofimac Investment Managers</t>
  </si>
  <si>
    <t>120577-78T</t>
  </si>
  <si>
    <t>Notilo Plus</t>
  </si>
  <si>
    <t>Manufacturer of underwater drones intended to capture footage of dives. The company's drones have a good battery life, record videos to a maximum depth, offer full autonomy and a wireless remote to select filming modes, enabling scuba divers, freedivers, and all diving enthusiasts alike to record underwater moments and videotape memories.</t>
  </si>
  <si>
    <t>CMA CGM, F3A Ventures, Government of France, JKT Holding, Jump Ventures, Kapinno, Plug and Play Tech Center, Turenne Groupe</t>
  </si>
  <si>
    <t>diving equipment, drones operations, drones photo, underwater camera, underwater drone, videography drones</t>
  </si>
  <si>
    <t>120460-42T</t>
  </si>
  <si>
    <t>BCDiploma</t>
  </si>
  <si>
    <t>Developer of a blockchain-based platform designed to improve the digital experience and professional mobility of learners. The company's platform provides access to smart-contract-certified data, and shares and consults the data through an encryption algorithm and security protocols to dematerialize institutional processes, enabling institutions to issue secure certificates and students to gain access to their degrees online without any hassle.</t>
  </si>
  <si>
    <t>Agoranov, Aonia Ventures, Bpifrance, Cedre Participations, Investessor, Leonis Investissement, WeLikeStartup</t>
  </si>
  <si>
    <t>blockchain certification, blockchain data, certification platform, consumer data analytics, digital credentials, digital credentials management, digital diploma, vertical application</t>
  </si>
  <si>
    <t>120841-66T</t>
  </si>
  <si>
    <t>Castlenode</t>
  </si>
  <si>
    <t>Developer of blockchain infrastructure designed to help public proof-of-stake blockchain networks to operate as secure validator nodes for staking token holders to delegate to. The company's infrastructure offers an enhanced level of security and is tailored to the networks an organization operates in, enabling banks and large-scale web platforms to not compromise security for the sake of operating on a greater number of networks.</t>
  </si>
  <si>
    <t>blockchain infrastructure, blockchain infrastructure platform, blockchain infrastructure provider, blockchain infrastructure technology, blockchain network, blockchain network developer, blockchain technology, infrastructure provider, infrastructure security, validator operator</t>
  </si>
  <si>
    <t>130117-42T</t>
  </si>
  <si>
    <t>Daffourd Invest, La Poste Services for Equity, Link Tribe Capital, Unico Partners</t>
  </si>
  <si>
    <t>136298-98T</t>
  </si>
  <si>
    <t>196215-40T</t>
  </si>
  <si>
    <t>Hyperedge Instruments</t>
  </si>
  <si>
    <t>Developer of a medical device designed to track and assess taste sensitivity. The company's device measures taste sensitivity and health data that can be useful for the diagnosis, treatment, and management of patients with a large number of pathologies, enabling health practitioners to be able to follow the evolution of a person's taste sensitivity according to an illness or a drug dosage and offer treatment accordingly.</t>
  </si>
  <si>
    <t>Duncan Clark(Duncan Clark), SFINE(Cyril Reinhard)</t>
  </si>
  <si>
    <t>medical devices, medtech app, pathology device, sensitivity testing, taste assessment, taste assessment tools, taste sensitivity monitor</t>
  </si>
  <si>
    <t>191958-76T</t>
  </si>
  <si>
    <t>Inflyter</t>
  </si>
  <si>
    <t>Developer of an air travel management platform designed to bring air travelers' unique digital travel experience together in one place. The company's platform offers all flight-related information, transportation and airport services, duty-free retail offers, and also a brand-new loyalty program, enabling airports &amp; airlines to boost ancillary revenue and improve the profitability of pre-flight services.</t>
  </si>
  <si>
    <t>Collinson Group</t>
  </si>
  <si>
    <t>air travel information, airport service, ancillary revenue, flight information systems, information services, information technology, passenger experience</t>
  </si>
  <si>
    <t>Industrials, Mobile, Mobility Tech, TMT</t>
  </si>
  <si>
    <t>120316-33T</t>
  </si>
  <si>
    <t>Kameleoon</t>
  </si>
  <si>
    <t>Developer of a user experience optimization platform designed to perform testing and market conversion. The company's platform measures visitors' purchasing intention in real-time and adapts messages, content, and offers to each individual, maximizing sales and margins, enabling clients to create individual relationships with their existing and future customers and engage consumers in the long-term digital realm.</t>
  </si>
  <si>
    <t>Odyssee Venture(Sébastien Sassolas), Plug and Play Tech Center, SGPA(Jean-Paul Guisset)</t>
  </si>
  <si>
    <t>a/b testing, ai platform, consumer behaviour analysis, experimentation platform, personalization and recommendation, personalization platform, product experimentation</t>
  </si>
  <si>
    <t>138819-61T</t>
  </si>
  <si>
    <t>Largo (Electronics) (PAR: ALLGO)</t>
  </si>
  <si>
    <t>Electronics (B2C)*, Other Commercial Services</t>
  </si>
  <si>
    <t>Largo SA is specialized in reconditioning and repair services for cell phones and tablets. The products are taken back, tested, repaired, reconditioned and sold with a minimum warranty of 12 months.</t>
  </si>
  <si>
    <t>A Plus Finance, Naeil Venture, Pays de la Loire Participations</t>
  </si>
  <si>
    <t>refurbished device, re-use electronics, re-use gadgets, re-use product, re-use technology</t>
  </si>
  <si>
    <t>213577-39T</t>
  </si>
  <si>
    <t>Les Récupérables</t>
  </si>
  <si>
    <t>Operator of an online clothing platform intended to offer upcycled fashionable garments. The company's product catalog includes shirts, tunics, tops, dresses, pants, jackets, skirts, night sets, and jumpsuits, enabling customers to have a wide range of fashion accessories like bags, and headwear.</t>
  </si>
  <si>
    <t>Colam Impact</t>
  </si>
  <si>
    <t>clothing platform, fashion accessories, fashion accessories product, fashion accessories seller, fashionable garments, online clothing platform</t>
  </si>
  <si>
    <t>121913-20T</t>
  </si>
  <si>
    <t>Mad-Up</t>
  </si>
  <si>
    <t>Developer of a muscle development device designed to monitor and control blood flow to the limbs. The company's technology helps in blood flow to the limbs with low-intensity resistance training that can be used to recreate the effects of high-intensity training, enabling athletes and patients to accelerate performance and recuperation to speed up which creates increased energy levels and exercise performance.</t>
  </si>
  <si>
    <t>ABAB (Atlantic Business Angels Booster), Anjou Amorcage, Anjou Primage(Anjou Primage), Pays de la Loire, Pays de la Loire Participations, Sodero</t>
  </si>
  <si>
    <t>blood flow, high intensity training, muscle atrophy, muscle development, muscle development device, therapeutics company</t>
  </si>
  <si>
    <t>123877-81T</t>
  </si>
  <si>
    <t>Molotov</t>
  </si>
  <si>
    <t>Operator of a TV streaming platform designed to offer live, catch-up and on-demand programs. The company's platform reinvents the way viewers watch television content and assists in bookmarking movies, documentaries and shows along with storing them in the cloud, enabling users to watch TV shows and movies in a hassle-free manner.</t>
  </si>
  <si>
    <t>Colette Ballou(Colette Ballou), Idinvest Partners, Marc Ménasé(Marc Ménasé), NJJ Capital, Sky Startup Investments &amp; Partnerships</t>
  </si>
  <si>
    <t>french media, live tv, online video platform, streaming platform, subscription service, television channel, television streaming platform</t>
  </si>
  <si>
    <t>202059-46T</t>
  </si>
  <si>
    <t>Olistic The Label</t>
  </si>
  <si>
    <t>Operator of clothing brands intended to provide nature-friendly, sustainable garments in the luxury segment. The company designs cloths from wools, virgin wools, lyocell, and peace silk through a sustainable approach and sells them through its online platform, enabling customers to order sustainable fashion garments through smartphones.</t>
  </si>
  <si>
    <t>Saniel Ventures</t>
  </si>
  <si>
    <t>clothing brand, fashion garments, garments designer, organic fiber, silk clothing, sustainable fashion wear</t>
  </si>
  <si>
    <t>168378-13T</t>
  </si>
  <si>
    <t>Bee Family Office(Philippe Bresson), Calixte Investissement, Credit Agricole Regions Investissement</t>
  </si>
  <si>
    <t>116527-42T</t>
  </si>
  <si>
    <t>Predictice</t>
  </si>
  <si>
    <t>Developer of legal research and analysis platform designed to determine the outcome of a legal case based on data from previous cases. The company's tool resolves a dispute based on the analysis of statistical data and machine learning, enabling lawyers to save time, analyze precisely, optimize contentious strategies, and improve customer relationships.</t>
  </si>
  <si>
    <t>BNP Paribas Développement, Bouygues Telecom Initiatives, Matmut Innovation, SWEN Capital Partners</t>
  </si>
  <si>
    <t>algorithm tools, computing technology, computing tools, industrial data analytics, justice platform, legal case management, statistical data, vertical application</t>
  </si>
  <si>
    <t>Artificial Intelligence &amp; Machine Learning, Big Data, Legal Tech, SaaS</t>
  </si>
  <si>
    <t>126116-56T</t>
  </si>
  <si>
    <t>Sharegroop</t>
  </si>
  <si>
    <t>Developer of an online payment platform designed to allow merchants to offer a predictive and personalized payment experience. The company's platform helps to customize their payment experience based on their customer profile with integrations such as the buy now pay later, payment in several installments, multi-card solutions, payment to several, or omnichannel gift cards, enabling clients to increase their conversion rate and boost sales.</t>
  </si>
  <si>
    <t>Truffle Capital(Bozena Adamczyk)</t>
  </si>
  <si>
    <t>enterprise payment, gift card, installments payment, online payment, payment, payment platform, payment sharing, payment website, pos, split payment</t>
  </si>
  <si>
    <t>124694-47T</t>
  </si>
  <si>
    <t>Anaxago Capital(Alexandre Heraud), Bpifrance, CapHorn Invest(Alexandre Heraud), Evolem, Expon Capital(Rodrigo Schulz), Sylvain Zimmer(Sylvain Zimmer)</t>
  </si>
  <si>
    <t>130124-08T</t>
  </si>
  <si>
    <t>TipsTop</t>
  </si>
  <si>
    <t>Application Software, Business/Productivity Software, Media and Information Services (B2B), Other Financial Services*</t>
  </si>
  <si>
    <t>Operator of an online marketplace intended for sports betting. The company's marketplace offers forecasts, comparators, warnings, detailed statistics, certification of predictions, and also alerts when the odds are released or to visualize their evolution graphically, enabling bettors to analyze matches, find opportunities, and manage their daily bets without hassle.</t>
  </si>
  <si>
    <t>Femmes Business Angels, Link Tribe Capital</t>
  </si>
  <si>
    <t>betting app, games prediction application, games prediction platform, online marketplace, prediction analysis, prediction app, sports betting</t>
  </si>
  <si>
    <t>140451-13T</t>
  </si>
  <si>
    <t>Waves'n See</t>
  </si>
  <si>
    <t>Environmental Services (B2B), Information Services (B2C), Media and Information Services (B2B)*</t>
  </si>
  <si>
    <t>Developer of a coastal management system designed to monitor the coastal dynamic. The company's system measures the sand volume and bathymetric changes and studies the wave parameters such as height, period and celerity through cameras, enabling coastal guards and people near the coastal area to have an understanding of coastal moments.</t>
  </si>
  <si>
    <t>Garrigue, IES</t>
  </si>
  <si>
    <t>coastal erosion protection, coastal management, coastal monitoring, coastal research, monitoring technology, ocean data management, ocean monitoring, ocean waves measurement, oceanography</t>
  </si>
  <si>
    <t>Ramonville Saint Agne, France</t>
  </si>
  <si>
    <t>108626-77T</t>
  </si>
  <si>
    <t>Alexis Bonillo(Alexis Bonillo), Antoine Martin(Antoine Martin), Brkfst Club, Courtin Investment, Dagobah Ventures, Edouard Petit(Edouard Petit), Frédéric Bouleuc(Frédéric Bouleuc), Kima Ventures, Olivier Thomas, Romain Peugeot(Romain Peugeot), Samuel Guez(Samuel Guez), Thomas de la Villejegu(Thomas de la Villejegu)</t>
  </si>
  <si>
    <t>180540-19T</t>
  </si>
  <si>
    <t>Alain Thibault(Alain Thibault), Clément Buyse(Clément Buyse), Kernel Investissements, Mission M</t>
  </si>
  <si>
    <t>120244-06T</t>
  </si>
  <si>
    <t>Arkéa Capital, Citizen Capital(Pierre-Olivier Barennes), Sofiouest(Patrice Hutin)</t>
  </si>
  <si>
    <t>116518-87T</t>
  </si>
  <si>
    <t>Aurélien de Meaux(Aurélien de Meaux), Bertrand Diard(Bertrand Diard), Bruno Scherrer(Bruno Scherrer), Christophe Chausson(Christophe Chausson), David Binks(David Binks), Investisseurs privés, Pascal Boris(Pascal Boris), Serena (Paris)</t>
  </si>
  <si>
    <t>192378-25T</t>
  </si>
  <si>
    <t>Ophelia Sensors</t>
  </si>
  <si>
    <t>Developer of monitoring systems designed for construction, landslide, and structural health monitoring. The company's system offers a global navigation satellite system based on millimetric movement sensors, calibration, and maintenance, enabling businesses to get data related to the structure's condition at a low cost.</t>
  </si>
  <si>
    <t>Eren Industries</t>
  </si>
  <si>
    <t>engineering assistance, gps receivers technologies, precision sensors, sensor technology, structural health monitor, structural survey, structure monitoring device</t>
  </si>
  <si>
    <t>187565-23T</t>
  </si>
  <si>
    <t>Aqualeg</t>
  </si>
  <si>
    <t>Manufacturer of hybrid prosthesis technologies designed to make durable prosthetics. The company's technologies offer orthotic and prosthetic devices for water sports based on three-dimensional scanning and modeling and the material used is resistant to various chemicals and eliminates the risk of bacterial growth, enabling users to make their daily activities convenient and have access to equipment that assists them to move in every terrain conditions.</t>
  </si>
  <si>
    <t>GO Capital (France), Total Developpement Regional</t>
  </si>
  <si>
    <t>3d modelling, anti bacteria, hybrid prosthesis, prosthesis design, prosthetic device, prosthetic legs</t>
  </si>
  <si>
    <t>Thouaré-sur-Loire, France</t>
  </si>
  <si>
    <t>120299-41T</t>
  </si>
  <si>
    <t>Cozycozy</t>
  </si>
  <si>
    <t>Developer of a search engine platform intended to help users find and compare all accommodation places. The company's platform offers customizable search options, multiple filters, results displayed on a map, and tools to help find accommodation for hotels, apartments, houses, youth hostels, lodges, boats, treehouses, and more, enabling users to find satisfactory and comparable deals at a reasonable price.</t>
  </si>
  <si>
    <t>Daphni(Pierre-Yves Meerschman), Eduardo Ronzano(Eduardo Ronzano), Guillaume Lestrade(Guillaume Lestrade), Karista (Paris), Kima Ventures, RAISE Group(Pierre-Edouard Berion), Thibaud Elziere(Thibaud Elziere), Xavier Niel(Xavier Niel)</t>
  </si>
  <si>
    <t>accommodation search platform, hotel search engine, hotel search tool, search engine technology, travel app, vacation rental</t>
  </si>
  <si>
    <t>133343-56T</t>
  </si>
  <si>
    <t>Dilepix</t>
  </si>
  <si>
    <t>Developer of image analysis software intended to remotely monitor animals and crops. The company's software provides real-time alerts when agronomic issues are detected, automating and increasing the capabilities of robots and equipment by using intelligent vision and control algorithms as well as real-time visual control for agricultural robots, enabling farmers, agricultural cooperatives, and manufacturers of farm equipment to increase their profitability and develop more sustainable agriculture.</t>
  </si>
  <si>
    <t>Christophe Duhamel(Christophe Duhamel), Crédit Agricole Ille et Vilaine Expansion, Elaia Partners(Benoît Georis), Eric Lalardie(Eric Lalardie), IT-Translation(Laurent Kott), Sofimac Innovation(Stephane Lefevre-Sauli), UI Investissement(Stephane Lefevre-Sauli)</t>
  </si>
  <si>
    <t>deep learning, farming analysis, farming monitoring, images analysis, precision ag, precision agriculture, video analysis software</t>
  </si>
  <si>
    <t>AgTech, Artificial Intelligence &amp; Machine Learning, SaaS, Supply Chain Tech, TMT</t>
  </si>
  <si>
    <t>119380-24T</t>
  </si>
  <si>
    <t>CAAP Creation, Crédit Agricole Alpes Provence (PAR: CRAP), Demeter Partners, Eurowatt Partenaire, Kouros Investment(Florent Bergeret)</t>
  </si>
  <si>
    <t>120241-54T</t>
  </si>
  <si>
    <t>Bpifrance, Brighteye Ventures, Idinvest Partners(Jonathan Userovici)</t>
  </si>
  <si>
    <t>122538-34T</t>
  </si>
  <si>
    <t>PM2</t>
  </si>
  <si>
    <t>Developer of a SaaS-monitoring system designed for managing and monitoring applications at scale. The company's system provides enterprises with analytics to monitor reliability, and performance to cross-link different types of metrics to make customers know why where, and when something wrong happened, enabling enterprises to interact with numerous servers seamlessly and monitor their behavior in real-time.</t>
  </si>
  <si>
    <t>Alven Capital Partners(François Meteyer), Runa Capital(Dmitry Chikhachev)</t>
  </si>
  <si>
    <t>app deployment system, application monitoring, monitoring services, node js development, nodejs application, os application updates, saas monitoring system</t>
  </si>
  <si>
    <t>120033-37T</t>
  </si>
  <si>
    <t>Bleckwen</t>
  </si>
  <si>
    <t>Developer of a fraud detection platform designed to secure banking transactions with AI-powered security. The company's platform optimizes irregularity detection performance, adapts to new fraud schemes, monitors and controls system performances, and makes decisions with explainable machine learning models, enabling banks to grow their business by reducing customer friction, and enhancing fraud detection and banking security.</t>
  </si>
  <si>
    <t>Bpifrance(Thierry Sommelet), Engie (PAR: ENGI), Ineo Eiendom, Ring Capital(Nicolas Celier), TempoCap(Matthew Knowles)</t>
  </si>
  <si>
    <t>banking security software, banking transaction, crime surveillance, fraud detection software, fraud prevention software, fraudulent transaction, identity verification, irregularity detection system, machine learning platform, risk analysis, system performance optimization</t>
  </si>
  <si>
    <t>Artificial Intelligence &amp; Machine Learning, Big Data, Cybersecurity, FinTech</t>
  </si>
  <si>
    <t>140342-23T</t>
  </si>
  <si>
    <t>Crédit Mutuel Innovation(Stéphane Simoncini)</t>
  </si>
  <si>
    <t>193079-71T</t>
  </si>
  <si>
    <t>Bertrand Quenot(Bertrand Quenot), Cédric Sellin, Holnest</t>
  </si>
  <si>
    <t>138501-91T</t>
  </si>
  <si>
    <t>EIT InnoEnergy, Eximium</t>
  </si>
  <si>
    <t>160203-97T</t>
  </si>
  <si>
    <t>Elevation Capital Partners, NCI Gestion</t>
  </si>
  <si>
    <t>120068-83T</t>
  </si>
  <si>
    <t>CapHorn Invest, Ring Capital</t>
  </si>
  <si>
    <t>129818-17T</t>
  </si>
  <si>
    <t>WeNow</t>
  </si>
  <si>
    <t>Application Software, Environmental Services (B2B)*</t>
  </si>
  <si>
    <t>Developer of a carbon management application designed to reduce the impact of carbon emissions by vehicles on the climate. The company's application monitors three aspects of driving such as acceleration, deceleration, and steady speed to offer personalized eco-driving coaching via a mobile application, enabling users to reduce vehicle fuel consumption and offset gas emissions in real time.</t>
  </si>
  <si>
    <t>Bpifrance, Femmes Business Angels, Link Tribe Capital, RAISE Group</t>
  </si>
  <si>
    <t>carbon emissions management, carbon footprint management, carbon management, decarbonization system, decarbonization tools, fuel consumption monitoring, fuel consumption tracker</t>
  </si>
  <si>
    <t>125083-99T</t>
  </si>
  <si>
    <t>120020-14T</t>
  </si>
  <si>
    <t>195169-96T</t>
  </si>
  <si>
    <t>AdEchoTech</t>
  </si>
  <si>
    <t>Clinics/Outpatient Services, Diagnostic Equipment*</t>
  </si>
  <si>
    <t>Manufacturer of remote ultrasonography devices designed to address the growing problem of medical desertification and the shortage of medical care in underserved areas. The company specializes in the design, manufacture, and marketing of robotic ultrasound equipment used for abdominal, cardiac, pelvic, urinary tract, and gynecologic research and development and in other telemedicine technologies, enabling healthcare providers to improve patient care, reduce transportation costs, and secure the availability of sonographers to more patients.</t>
  </si>
  <si>
    <t>biomedical equipment, imaging tool, medical device, medical scanning equipment, ultrasound equipment, ultrasound scanning</t>
  </si>
  <si>
    <t>Naveil, France</t>
  </si>
  <si>
    <t>189692-38T</t>
  </si>
  <si>
    <t>HUH Corporate</t>
  </si>
  <si>
    <t>Business/Productivity Software, Educational and Training Services (B2C), Educational Software*</t>
  </si>
  <si>
    <t>Developer of a learning application designed to provide adaptive and personalized learning to corporate employees. The company's platform utilizes artificial intelligence, allowing bots to chat with end users daily and send them adapted and personalized content, and provides practice exercises, thereby enabling organizations to increase their productivity and improve employees' skills across multiple areas of expertise.</t>
  </si>
  <si>
    <t>Averia, My Seed Cap</t>
  </si>
  <si>
    <t>corporate learning, corporate training, corporate training system, corporate tutorials platform, e-learning course, employee training service, language training, online learning, online training, personalized learning</t>
  </si>
  <si>
    <t>Artificial Intelligence &amp; Machine Learning, EdTech, SaaS, TMT</t>
  </si>
  <si>
    <t>Creteil, France</t>
  </si>
  <si>
    <t>119938-60T</t>
  </si>
  <si>
    <t>Citizen Capital, Demeter Partners, Hi Inov(Nicolas Meunier), Statkraft Ventures(Stefan Hülsen)</t>
  </si>
  <si>
    <t>188091-91T</t>
  </si>
  <si>
    <t>Genourob</t>
  </si>
  <si>
    <t>Manufacturer of medical devices designed for the treatment of ligament lesions. The company's devices are used for the evaluation of the state and performance of the ligamentous structures of the knee, enabling orthopedic surgeons, sports doctors, and physiotherapists to get support in their day-to-day work during the full process of a patient's medical care.</t>
  </si>
  <si>
    <t>diagnostic device, knee support, ligaments support, medical device, orthopedic research, patented method</t>
  </si>
  <si>
    <t>Laval, France</t>
  </si>
  <si>
    <t>121309-21T</t>
  </si>
  <si>
    <t>Hiflow</t>
  </si>
  <si>
    <t>Developer of a digital vehicle delivery platform intended for individuals and businesses looking to have a car transported. The company's platform offers several accessible transport services and helps individuals in the form of rental low cost and provides certified drivers across Europe, enabling users to avail of rental services at a convenient cost.</t>
  </si>
  <si>
    <t>Hi Inov, InnovAllianz, SNCF Digital Ventures, Vivacto Developpment</t>
  </si>
  <si>
    <t>vehicle delivery, vehicle transport, vehicle transport service, vehicle transportation, vehicle transportation service, vehicle transporters</t>
  </si>
  <si>
    <t>119913-40T</t>
  </si>
  <si>
    <t>Balderton Capital, Bpifrance(Charlotte Corbaz), Eurazeo (PAR: RF), Idinvest Partners, Vitruvian Partners, Volta Circle</t>
  </si>
  <si>
    <t>120495-25T</t>
  </si>
  <si>
    <t>WIZZCAD</t>
  </si>
  <si>
    <t>Automation/Workflow Software, Business/Productivity Software, Construction and Engineering*, Multimedia and Design Software</t>
  </si>
  <si>
    <t>Developer of a cloud-based collaborative platform designed to digitalize all business processes for the construction and real estate industry. The company's platform allows digitizing all business processes throughout the lifecycle of buildings, public works and industrial infrastructures to manage the design, construction and operation of two-dimensional (2D) and three-dimensional (3D) construction and maintenance projects, enabling clients to automate operational processes by providing them with digital services.</t>
  </si>
  <si>
    <t>Aster Capital, Join Capital(Sebastian von Ribbentrop), MK Venture Capital</t>
  </si>
  <si>
    <t>bim software, business collaboration platform, construction software developer, construction software platform, digitizing services, kms, knowledge management system, project management platform, project management system, saas b2b platform</t>
  </si>
  <si>
    <t>120702-79T</t>
  </si>
  <si>
    <t>Les Opticiens Mobiles</t>
  </si>
  <si>
    <t>Other Healthcare Services, Other Services (B2C Non-Financial)*</t>
  </si>
  <si>
    <t>Provider of a network of opticians intended to offer eye care services at home. The company provides a convenient and accessible way for people to get their eyes checked and glasses or contact lenses, enabling people to access quality eye care, regardless of their location or ability to travel.</t>
  </si>
  <si>
    <t>123 Investment Managers(Antoine Paulhac), Amundi (PAR: AMUN)(Yves Hausmann), Evolem(Thomas Rival), Investir &amp;+(Antoine Michel)</t>
  </si>
  <si>
    <t>contact lense, healthcare saas, opticians chain, opticians service, safety glass product, visual health services</t>
  </si>
  <si>
    <t>119811-16T</t>
  </si>
  <si>
    <t>Bpifrance, Dassault Systemes (PAR: DSY)(Claire Biot), Eurazeo PME, Idinvest Partners, LBO France, SCOR Ventures</t>
  </si>
  <si>
    <t>138925-36T</t>
  </si>
  <si>
    <t>Founders Future(Marc Menasé)</t>
  </si>
  <si>
    <t>130960-27T</t>
  </si>
  <si>
    <t>119778-67T</t>
  </si>
  <si>
    <t>Ekim</t>
  </si>
  <si>
    <t>Food Service Robots &amp; Machines, AI in Foodtech</t>
  </si>
  <si>
    <t>Developer of cloud-connected software designed to cook different pizza and fast food recipes. The company's autonomous restaurant robots can prepare pizza along with drinks, desserts and salads, enabling consumers to get their food on time.</t>
  </si>
  <si>
    <t>Daphni(Pierre-Eric Leibovici), Eutopia, Partech(Romain Lavault), Qualgro(Olivier Sibony)</t>
  </si>
  <si>
    <t>cooking robots, food robotic technology, food robots, food service robots, food technology, foodtech ai, kitchentech &amp; robotics, kitchentech and robotics, pizza base, restaurant &amp; retail tech, restaurant and retail technology</t>
  </si>
  <si>
    <t>Artificial Intelligence &amp; Machine Learning, FoodTech, Restaurant Technology, Robotics and Drones, TMT</t>
  </si>
  <si>
    <t>Montevrain, France</t>
  </si>
  <si>
    <t>121295-98T</t>
  </si>
  <si>
    <t>Banque Populaire du Nord, BNP Paribas (PAR: BNP), Caisse Federale de Credit Mutuel, Credit Agricole (PAR: ACA), Credit Industriel et Commercial, Credit Lyonnais, NCI Gestion, Plug and Play Tech Center, Reunited Ventures, Ronan Denoual(Ronan Denoual)</t>
  </si>
  <si>
    <t>119780-74T</t>
  </si>
  <si>
    <t>MagicStay</t>
  </si>
  <si>
    <t>Media and Information Services (B2B), Other Restaurants, Hotels and Leisure*</t>
  </si>
  <si>
    <t>Developer of an accommodation booking platform intended to let business travelers and working professionals book furnished apartments for short or medium-term rental. The company's platform offers apartments, houses, studios, and villas in more than ninety countries which are professionally selected and managed, ideally located in the city center or close to convention and exhibition centers, enabling clients to book safely and receive a summary of the reservation services with more comfort, calm, and space.</t>
  </si>
  <si>
    <t>Florent Guillermain(Florent Guillermain), Jérôme Patenotte(Jérôme Patenotte), Rodolphe Besserve(Rodolphe Besserve), Sophie Mesnier- Teissedre(Sophie Mesnier- Teissedre)</t>
  </si>
  <si>
    <t>accommodation books website, accommodation reserves, advertising platform, apartments rental platform, hotel booking platform, hotel books, housing platform</t>
  </si>
  <si>
    <t>171995-86T</t>
  </si>
  <si>
    <t>126284-50T</t>
  </si>
  <si>
    <t>Doberman Forward, Inventure(Tatiana Shalalvand), Josefin Landgård(Josefin Landgård), Karl Hampus Jakobsson(Karl Hampus Jakobsson), Privilège Ventures(Lucian Wagner), SOSV, Taxam</t>
  </si>
  <si>
    <t>119746-63T</t>
  </si>
  <si>
    <t>Accel, Bpifrance, Eurazeo (PAR: RF)(Yann-Hervé du Rusquec), Frst Capital(Bruno Raillard), Techmind, The Factory (France), Xavier Niel(Xavier Niel)</t>
  </si>
  <si>
    <t>140367-34T</t>
  </si>
  <si>
    <t>131799-43T</t>
  </si>
  <si>
    <t>Envie Rhône</t>
  </si>
  <si>
    <t>Provider of waste recycling services intended to focus on servicing home appliances. The company's services include collecting damaged house appliances such as microwaves, washing machines, printers, freezers, and furniture like beds and couches, enabling customers to reuse their products and create a sustainable environment.</t>
  </si>
  <si>
    <t>France Active(Jean-Marc Altwegg), Le Foyer Notre Dame des Sans Abris, Phitrust Partenaires(Olivier de Guerre), Schneider Electric (Electrical Equipment) (PAR: SU)(Gilles Desroches)</t>
  </si>
  <si>
    <t>electronic appliances recycling, electronic appliances repair, furniture recycling, home appliances recycling, home appliances repair, recycling center</t>
  </si>
  <si>
    <t>191953-27T</t>
  </si>
  <si>
    <t>Dominique Ferst(Dominique Ferst), Salamander Invest</t>
  </si>
  <si>
    <t>165080-89T</t>
  </si>
  <si>
    <t>PRP Creation</t>
  </si>
  <si>
    <t>Manufacturer of plastic bottles and packaging products based in Oyonnax, France. The company's products include plastic bottles made from biodegradable sugar cane, algae, wood chips, oyster shells and cellulose residues for pharmaceutical and cosmetics packaging, enabling clients companies to reduce the impact on the environment.</t>
  </si>
  <si>
    <t>BNP Paribas (PAR: BNP), Bpifrance, Fonds Régional d'Investissement Auvergne Rhône-Alpes, Kreaxi, Rhône-Alpes Création</t>
  </si>
  <si>
    <t>plastic bottles holder, plastic bottles manufacturer, plastic bottles manufacturing, plastic bottles production, plastic fabrication, plastic vessels</t>
  </si>
  <si>
    <t>Oyonnax, France</t>
  </si>
  <si>
    <t>123354-19T</t>
  </si>
  <si>
    <t>Borea</t>
  </si>
  <si>
    <t>Manufacturer of dental measuring devices intended to serve the healthcare industry. The company offers color and translucency detection devices that allow dental surgeons and dental prosthesis manufacturing laboratories to easily, reliably, and reproducibly perform a dental color analysis that determines the brightness, saturation, and chromaticity of the tooth as well as offers software that analyzes and optimizes patients data management, enabling patients with the assurance of treatments that meet their aesthetic requirements to reveal their smile.</t>
  </si>
  <si>
    <t>Mirabelle (Paris), Turenne Groupe(Mathilde Serres)</t>
  </si>
  <si>
    <t>dental device, dental device developer, dental device manufacturer, dental materials, dental materials industry, detection device</t>
  </si>
  <si>
    <t>121394-17T</t>
  </si>
  <si>
    <t>Bpifrance, IRDI Capital Investissement</t>
  </si>
  <si>
    <t>119983-15T</t>
  </si>
  <si>
    <t>Bpifrance, Elaia Partners(Franck Lescure), French state, SOSV</t>
  </si>
  <si>
    <t>138973-69T</t>
  </si>
  <si>
    <t>Volpy</t>
  </si>
  <si>
    <t>Electronics (B2C), Other Services (B2C Non-Financial), Specialty Retail*</t>
  </si>
  <si>
    <t>Operator of an eco-responsible company intended to offer acquisition, recycling and resale of mobile phones. The company's platform assesses smartphones through a mobile application and then offers to buy them back or exchange them and estimates the value of smartphones within a few minutes through a quick and user-friendly testing service, enabling users to switch from an old smartphone to a refurbished or a brand new one.</t>
  </si>
  <si>
    <t>FemuQuì Ventures, Pierre-Noel Luiggi, Smalt Capital</t>
  </si>
  <si>
    <t>green technology, mobile recycling, mobile recycling services, mobile resale, smartphone diagnostics, smartphone purchasing</t>
  </si>
  <si>
    <t>CleanTech, E-Commerce, Mobile, TMT</t>
  </si>
  <si>
    <t>119705-41T</t>
  </si>
  <si>
    <t>Finexkap</t>
  </si>
  <si>
    <t>Developer of an online invoice financing platform designed to eliminate the problems of cash flow from small businesses. The company's platform provides cash financing by offering short-term capital funding with no commitment, duration, or security deposit, enabling small and medium-sized enterprises to access cash and stabilize their cash flows when required.</t>
  </si>
  <si>
    <t>Black River Ventures, Chenavari Investment Managers(Loic Fery), MAVA Ventures</t>
  </si>
  <si>
    <t>bnpl, capital funding, credit &amp; bnpl, credit and banking, factoring finance, factoring solutions, invoice financing platform, invoice financing process, invoice financing solutions, receipts management, working capital financing</t>
  </si>
  <si>
    <t>125492-68T</t>
  </si>
  <si>
    <t>119651-14T</t>
  </si>
  <si>
    <t>Hyperlex</t>
  </si>
  <si>
    <t>Developer of contract management and discovery platform designed to manage the contracts of a business. The company offers a secure, transparent and collaborative sharing of sensitive and confidential data by implementing software tools, servers and support services to fully secure documents, thereby enabling clients to minimize financial and legal risks, optimize contract management and maximize their profit margins.</t>
  </si>
  <si>
    <t>Axeleo Capital, Elaia Partners, ISAI, Kernel Investissements</t>
  </si>
  <si>
    <t>ai automation platform, annotation platform, contract discovery, contract management, contract management automation, contract management service, contract management software, contract management system, contract management tool, email and authoring, kms, knowledge management system, legal platform</t>
  </si>
  <si>
    <t>121654-72T</t>
  </si>
  <si>
    <t>Cedre Participations</t>
  </si>
  <si>
    <t>155628-37T</t>
  </si>
  <si>
    <t>Tesseract Solutions</t>
  </si>
  <si>
    <t>Developer of robotic cells and software designed to democratize robotics in small and medium-sized companies. The company's software features include palletization, pick and place, trajectories, unhooking, parts tracking, three-dimensional object measurement, mobility, and reduction to material safety data sheets along with a multi-robot interface to create palletization plans, code, program, and debug, enabling clients to robotize processes and program with no computer training required.</t>
  </si>
  <si>
    <t>Bpifrance, Finovam Gestion, Picardie Investissement</t>
  </si>
  <si>
    <t>artificial intelligent bot, industrial robots, palletization process, palletization systems, programming software development, robotic product development, robotics software, smart factory</t>
  </si>
  <si>
    <t>Industrials, Manufacturing, Robotics and Drones, SaaS, TMT</t>
  </si>
  <si>
    <t>Saint Quentin, France</t>
  </si>
  <si>
    <t>119607-22T</t>
  </si>
  <si>
    <t>Adelie, Creadev, DN Capital</t>
  </si>
  <si>
    <t>120196-63T</t>
  </si>
  <si>
    <t>BNP Paribas (PAR: BNP)(Yann Gerardin), Breed Reply(Emanuele Angelidis), CJ Hersh(CJ Hersh), Daniel Chen(Daniel Chen), Jason Khalipa(Jason Khalipa), NTT Docomo Ventures, Statkraft Ventures(Matthias Dill)</t>
  </si>
  <si>
    <t>119611-99T</t>
  </si>
  <si>
    <t>Andurance Ventures, Azom Partners</t>
  </si>
  <si>
    <t>121365-46T</t>
  </si>
  <si>
    <t>Cap Horn Finance, CapHorn Invest(Clara Audry), RAISE Group(François Collet), Red River West(Antoine Boulin)</t>
  </si>
  <si>
    <t>87035-68T</t>
  </si>
  <si>
    <t>Xee</t>
  </si>
  <si>
    <t>Application Software, Automotive, Business/Productivity Software*, Information Services (B2C)</t>
  </si>
  <si>
    <t>Operator of a connected-car services platform intended to collect, process and manage data from connected vehicles. The company's platform reads the vehicle's data remotely and in real-time translates it into smartphone applications, tracks the car, alerts the owner in the event of theft and sends an emergency SMS, enabling vehicles and their drivers to be both secure and protected.</t>
  </si>
  <si>
    <t>Via ID(Yann Marteil)</t>
  </si>
  <si>
    <t>car alerts, car app, car location tracking, connected service platform, connected vehicles, connectivity &amp; data management, fleet connectivity, fleet management, fleet management solutions, geolocation app, gps positioning, mobility tech, smart cars app</t>
  </si>
  <si>
    <t>Internet of Things, Mobile, Mobility Tech</t>
  </si>
  <si>
    <t>119787-13T</t>
  </si>
  <si>
    <t>Shibumi International, TTWiiN, VINCI Construction UK</t>
  </si>
  <si>
    <t>138351-16T</t>
  </si>
  <si>
    <t>Open Agora</t>
  </si>
  <si>
    <t>Developer of a collective opinion capturing and analyzing software intended to improve team communications in offices. The company offers complete, easy-to-use poll and vote applications for the leading collaboration platforms Slack and Microsoft Teams to provide sophisticated analysis methods, thereby enabling people to use the ranking to express their opinions.</t>
  </si>
  <si>
    <t>balanced opinions, collective opinions, computer software, decision making, software platform</t>
  </si>
  <si>
    <t>137431-09T</t>
  </si>
  <si>
    <t>Cherche mon nid</t>
  </si>
  <si>
    <t>Developer of a real estate platform designed to simplify the process of conducting property searches and procedures. The company's platform allows users to enter their real estate search with their personalized criteria and receive property descriptions corresponding to their expectations, enabling users to facilitate property deals in a convenient and timely manner.</t>
  </si>
  <si>
    <t>home search, online real estate agent, property portal, real estate portal, real estate research platform, real estate search platform</t>
  </si>
  <si>
    <t>Trouville-sur-Mer, France</t>
  </si>
  <si>
    <t>119487-97T</t>
  </si>
  <si>
    <t>Abeille Impact Investing France, BNP Paribas Développement, Daphni(Marie Ekeland), Financière Saint James, Founders Future, Guibor, Jaina Capital(Marc Simoncini)</t>
  </si>
  <si>
    <t>119432-35T</t>
  </si>
  <si>
    <t>Alven Capital Partners(Bartosz Jakubowski), Fast Forward (France), Kerala Ventures(Antoine Freysz)</t>
  </si>
  <si>
    <t>119882-35T</t>
  </si>
  <si>
    <t>AdBio partners(Alain Huriez), Advent Life Sciences(Rajesh Parekh)</t>
  </si>
  <si>
    <t>117237-70T</t>
  </si>
  <si>
    <t>Dominique Vidal(Dominique Vidal), Eduardo Ronzano(Eduardo Ronzano), Julien Lemoine(Julien Lemoine), Kima Ventures, Lafayette Plug And Play, Renaud Visage(Renaud Visage), Romain Niccoli(Romain Niccoli)</t>
  </si>
  <si>
    <t>119421-19T</t>
  </si>
  <si>
    <t>Financiere Arbevel(Marc Le Bozec)</t>
  </si>
  <si>
    <t>174462-40T</t>
  </si>
  <si>
    <t>Le Mans Sarthe Investments, Volney Developpement</t>
  </si>
  <si>
    <t>124571-62T</t>
  </si>
  <si>
    <t>Kima Ventures, SIDE Capital(Renaud Guillerm), Tomcat Invest</t>
  </si>
  <si>
    <t>124570-36T</t>
  </si>
  <si>
    <t>Emprunte Mon Toutou</t>
  </si>
  <si>
    <t>Other Services (B2C Non-Financial)*, Social Content, Social/Platform Software</t>
  </si>
  <si>
    <t>Developer of a social community platform designed to connect dog owners with dog lovers. The company's platform allows members to spend time with a dog and prevents dog owners from paying money to a kennel or a dog sitter, enabling borrowers to share their magical moments with the dog and dog owners to let their dogs socialize when they are not available for their pets.</t>
  </si>
  <si>
    <t>community platform, dog care, dog community, dog sitters, pet care, pet care industry, social community platform</t>
  </si>
  <si>
    <t>190902-25T</t>
  </si>
  <si>
    <t>Fil &amp; Fab</t>
  </si>
  <si>
    <t>Opeartor of a fishing net recycling platform intended to produce recycled polyamide six from complete fishing nets. The company's platform aims to strengthen the circular economy strategy by using exceptional plastic by building local recycling channels, a virtuous material, and by demonstrating that recycling is a necessity for the future, enabling fishermen to use recycled plastic without causing harm to the environment.</t>
  </si>
  <si>
    <t>Crédit Agricole Finistère</t>
  </si>
  <si>
    <t>circular economy platform, fishing nets, fishing nets recycling, plastic product, recycled plastic, recycling plastic materials, recycling polymer</t>
  </si>
  <si>
    <t>125126-11T</t>
  </si>
  <si>
    <t>Accel, Evolem, Founders Fund, Kima Ventures, Orange Ventures(Yann Kandelman), Speedinvest(Stefan Klestil), UNIQA Ventures(Andreas Nemeth)</t>
  </si>
  <si>
    <t>131744-71T</t>
  </si>
  <si>
    <t>Métalo</t>
  </si>
  <si>
    <t>Developer of application-based learning tools designed to teach students to read, understand and write with the right spelling. The company's application is structured around a syllabic reading method that allows young kids to search for the correct spelling of a word independently, enabling children to write with correct spelling while upscaling their reading skills.</t>
  </si>
  <si>
    <t>BFC Croissance, Zebu Developement</t>
  </si>
  <si>
    <t>keyboard app, keyboard application, keyboard learning app, keyboard software, learning tool, spelling guide</t>
  </si>
  <si>
    <t>Vercel, France</t>
  </si>
  <si>
    <t>123321-43T</t>
  </si>
  <si>
    <t>meteo*swift</t>
  </si>
  <si>
    <t>Developer of data analytics tools intended for power producers, energy traders, grid operators and microgrids. The company's tools optimize the operation and maintenance of wind farms by using machine learning tools, enabling clients to get access to a comprehensive decision-making tool and thereby providing a scientific approach to solving renewable energy challenges.</t>
  </si>
  <si>
    <t>climate tech company, farm management software, intermittent renewable energy, power forecasts, precision ag, precision agriculture, predictive maintenance tools, renewable energy solutions, wind, wind power data, wind power forecasting</t>
  </si>
  <si>
    <t>122943-97T</t>
  </si>
  <si>
    <t>Supertripper</t>
  </si>
  <si>
    <t>Developer of a travel management platform intended to streamline travel planning and booking processes. The company's platform offers features such as itinerary management, expense tracking, and travel policy compliance, enabling businesses to optimize their travel expenditures while ensuring adherence to corporate travel guidelines.</t>
  </si>
  <si>
    <t>50 Partners, UL Invest</t>
  </si>
  <si>
    <t>accommodation management, business travel books, corporate travel agency, corporate travel management, expense tracking platform, itinerary management, travel booking platform, travel management system</t>
  </si>
  <si>
    <t>Mobility Tech, SaaS</t>
  </si>
  <si>
    <t>130124-17T</t>
  </si>
  <si>
    <t>YouTribe</t>
  </si>
  <si>
    <t>Operator of a digital agency designed to create, maintain, and host websites and mobile applications. The company's platform offers the design of e-commerce sites, mobile applications, and website &amp; application hosting for for increased digital presence, enabling businesses to analyze social performances and other data and also collaborate, and manage influencers. 
.</t>
  </si>
  <si>
    <t>digital presence, ecommerce database, influence marketing platform, mobile applications, social performance, web development</t>
  </si>
  <si>
    <t>La Baule-Escoublac, France</t>
  </si>
  <si>
    <t>181350-37T</t>
  </si>
  <si>
    <t>BetaSeries</t>
  </si>
  <si>
    <t>Entertainment Software, Information Services (B2C), Movies, Music and Entertainment*</t>
  </si>
  <si>
    <t>Developer of an entertainment media platform designed to keep fans updated about television shows. The company's platform offers planning, notifications and synchronization of episodes through a computer or mobile application, enabling users to stay updated and watch the latest episodes and new shows.</t>
  </si>
  <si>
    <t>CITA Investissement, MGVP SARL</t>
  </si>
  <si>
    <t>entertainment media platform, media platform software, television show, tv audience analysis, tv show news, web series</t>
  </si>
  <si>
    <t>129190-69T</t>
  </si>
  <si>
    <t>LXRepair</t>
  </si>
  <si>
    <t>Developer of multiplexed assays and diagnostic test kits designed to determine the enzymatic status of cellular DNA repair. The company's technology uses a microarray chip that has a series of lesion-containing DNA fragments, offers a new approach to personalized cancer medicine by developing functional diagnostics that are based on functional DNA Repair testing while offering a new stratification strategy, enabling patients to get effective personalized treatment while reducing costs.</t>
  </si>
  <si>
    <t>Supernova Invest(Celia Hart)</t>
  </si>
  <si>
    <t>biotechnology test, companion diagnostics, dna mapping, dna repair, vitro diagnostic, vitro diagnostic kits</t>
  </si>
  <si>
    <t>119295-64T</t>
  </si>
  <si>
    <t>Mindsay</t>
  </si>
  <si>
    <t>Developer of a conversational AI platform intended to help users build chatbots for automated customer services. The company's low-code platform helps companies build their customer service automation strategy, enabling customer service teams to automate customer requests, eliminate time-consuming processes, and optimize their use of human resources.</t>
  </si>
  <si>
    <t>Accor (PAR: AC)(Thomas Girard), Aéroports de Paris (PAR: ADP)(Edward Arkwright), Partech(Alison Imbert), Pole Capital, White Star Capital(Matthieu Lattes)</t>
  </si>
  <si>
    <t>conversational ai, customer support, mobile travel application, mobile travel guide, online hotel books, smart assistant platform, travel guidance app, travel planner</t>
  </si>
  <si>
    <t>Artificial Intelligence &amp; Machine Learning, HR Tech, Mobile, TMT</t>
  </si>
  <si>
    <t>177301-99T</t>
  </si>
  <si>
    <t>FJ Labs, Virtual Network</t>
  </si>
  <si>
    <t>119222-83T</t>
  </si>
  <si>
    <t>Seventure Partners(Sebastien Groyer)</t>
  </si>
  <si>
    <t>124060-42T</t>
  </si>
  <si>
    <t>CEA Investissement, Citizen Capital(Mehdi Belkahla), EIT RawMaterials, IRDI Capital Investissement</t>
  </si>
  <si>
    <t>128115-46T</t>
  </si>
  <si>
    <t>Vertical M2M</t>
  </si>
  <si>
    <t>Developer of an Internet-of-Things (IoT) platform designed for system integrators, industrial players, telcos, and device makers. The company's platform enables clients to connect their equipment, through any network, manage it, and create their IoT applications, enabling organizations to easily build and deploy end-to-end services depending on their customer's needs.</t>
  </si>
  <si>
    <t>api integration, edge platform, enterprise iot, internet of things platform, smart building, system integrator</t>
  </si>
  <si>
    <t>226084-78T</t>
  </si>
  <si>
    <t>123933-88T</t>
  </si>
  <si>
    <t>FlyView</t>
  </si>
  <si>
    <t>Application Software, Entertainment Software, Leisure Facilities*</t>
  </si>
  <si>
    <t>Developer of an experience platform designed to offer the unique experience of flying over Paris and its monuments in virtual reality. The company's platform facilitates a virtual reality experience that offers an overhead view of the sites and attractions around the city, enabling customers to virtually take off in a jetpack and fly over the city and its monuments.</t>
  </si>
  <si>
    <t>Back to Basics (Financial Investor), Banque des Territoires, Caisse des Depots Group, Vermeer Energy</t>
  </si>
  <si>
    <t>event space, event space services, tourism technology, virtual reality tour, virtual tour platform, virtual tour-software, vr experience platform</t>
  </si>
  <si>
    <t>119289-07T</t>
  </si>
  <si>
    <t>Alexandre Prot(Alexandre Prot), Frank Le Ouay(Frank Le Ouay), Global Founders Capital(Hugues de Braucourt), Hugues Le Bret(Hugues Le Bret), Jean-Charles Samuelian-Werve(Jean-Charles Samuelian-Werve), Martial Valery(Martial Valery), Pareto Holdings, Rocket Internet Capital Partners</t>
  </si>
  <si>
    <t>122540-05T</t>
  </si>
  <si>
    <t>SoCloz</t>
  </si>
  <si>
    <t>Operator of an omnichannel digitization platform designed for optimal customer experience. The company's publisher of SaaS omnichannel software platforms for brick-and-mortar stores with a combination of a check-out system and in-store omnichannel order management, enabling clients to generate additional footfall, increase in-store conversion, optimize brand operations, and improve customer experience.</t>
  </si>
  <si>
    <t>Alven Capital Partners(Rodolphe Menegaux), FaDiese, SOFICAM Entreprises</t>
  </si>
  <si>
    <t>brick stone, digitization platform, mortar stores, physical stores, pricing information, saas</t>
  </si>
  <si>
    <t>122926-33T</t>
  </si>
  <si>
    <t>Jam (Communication Software)</t>
  </si>
  <si>
    <t>Application Software, Business/Productivity Software, Communication Software*</t>
  </si>
  <si>
    <t>Developer of a conversational media platform designed to help students to ask for any information via text message. The company's platform provides a semi-automated response, which is then refined and validated by the members of the start-up team to send the students accurate information possible, enabling students to quickly and easily find information and tips.</t>
  </si>
  <si>
    <t>Cyril Vermeulen(Cyril Vermeulen), ISAI, Pierre Kosciusko Morizet(Pierre Kosciusko Morizet), Ternel</t>
  </si>
  <si>
    <t>conversational ai platform, conversational ai software, conversational chatbot, conversational media, conversational media platform, conversational platform, natural language technology</t>
  </si>
  <si>
    <t>187582-96T</t>
  </si>
  <si>
    <t>TecControl</t>
  </si>
  <si>
    <t>Alternative Energy Equipment, Electronics (B2C)*, Other Energy Services</t>
  </si>
  <si>
    <t>Developer of ecological heating technologies designed to facilitate energy savings. The company's technologies specialize in developing thermal tools for ventilation and floor heating through heat pumps for environment-friendly buildings, enabling customers to get thermal comfort while controlling their energy consumption.</t>
  </si>
  <si>
    <t>GC Investment Partners, Starquest Capital</t>
  </si>
  <si>
    <t>built environment, ecological heating, energy services, heating and cooling, heating technology, thermal heating, thermal technology</t>
  </si>
  <si>
    <t>Pace, France</t>
  </si>
  <si>
    <t>189434-89T</t>
  </si>
  <si>
    <t>Atolia</t>
  </si>
  <si>
    <t>Developer of a collaboration tool designed to facilitate team and remote work. The company's tool leverages technology to provide features like collaborative document storage and editing, project management, shared calendars, video conferencing and messaging, enabling teams to meet their daily operational goals and challenges.</t>
  </si>
  <si>
    <t>Finck Ventures, Plug and Play Tech Center</t>
  </si>
  <si>
    <t>business productivity management, business productivity tool, document sharing, productivity tool developer, project management platform, team collaboration tool</t>
  </si>
  <si>
    <t>129190-96T</t>
  </si>
  <si>
    <t>e-cobot</t>
  </si>
  <si>
    <t>Office Electronics*, Other Hardware</t>
  </si>
  <si>
    <t>Developer of robotics and artificial intelligence platform designed to improve workers' performance. The company's platform consults, designs, and integrates collaborative and robotized systems to assist workers in developing their performances with added value, enabling users to reduce the risk of injury and run their operations.</t>
  </si>
  <si>
    <t>Ouest Croissance Gestion, Pays de la Loire Développement, Pays de la Loire Participations</t>
  </si>
  <si>
    <t>artificial intelligence, autonomous machine, industrial robots system, industrial robots technology, intelligent robotics, mobile robotics, mobile robots system, performance system</t>
  </si>
  <si>
    <t>Office Electronics</t>
  </si>
  <si>
    <t>199532-80T</t>
  </si>
  <si>
    <t>Banque des Territoires, Caisse des Depots Group</t>
  </si>
  <si>
    <t>182157-85T</t>
  </si>
  <si>
    <t>Hello Charly</t>
  </si>
  <si>
    <t>Operator of an online education platform intended to help youngsters build their educational and professional guidance. The company's platform designs dedicated chatbots for different user types and for various purposes such as building a business in low-income communities, fighting against early school leaving, finding an apprenticeship, enabling youngsters to build their professional projects.</t>
  </si>
  <si>
    <t>education app, education platform, education platform developer, education platform provider, education platform service, online education tool</t>
  </si>
  <si>
    <t>119125-72T</t>
  </si>
  <si>
    <t>Elaia Partners(Samantha Jérusalmy), IT-Translation</t>
  </si>
  <si>
    <t>119149-30T</t>
  </si>
  <si>
    <t>Hexa(Thibaud Elzière), SGPA</t>
  </si>
  <si>
    <t>132630-49T</t>
  </si>
  <si>
    <t>Melty</t>
  </si>
  <si>
    <t>Operator of an online media platform intended to offer news and information from all over the world. The company's platform is devoted to news on entertainment, fashion, buzz, comics, and sports, enabling users to gather information on topics like gaming, trends, fashion, food, and people.</t>
  </si>
  <si>
    <t>Fred &amp; Farid Digital Investment Fund, Pleiade Venture</t>
  </si>
  <si>
    <t>entertainment news, latest trends, online advertising, online marketing, online media, online media platform, online news</t>
  </si>
  <si>
    <t>Kremlin Bicetre, France</t>
  </si>
  <si>
    <t>120288-61T</t>
  </si>
  <si>
    <t>AQUITI Gestion, Demeter Partners, Kima Ventures</t>
  </si>
  <si>
    <t>204426-28T</t>
  </si>
  <si>
    <t>BAM Groupe</t>
  </si>
  <si>
    <t>Operator of a network of construction and industrial operations intended to build wood, roofing and concrete structures. The company offers diversified expertise in wood construction, roofing, metalwork, masonry and prefabrication, coupled with project management services, enabling customers to navigate every stage of construction or renovation with efficiency and expertise.</t>
  </si>
  <si>
    <t>building erection, building maker, building plant, construction network, construction work, timber construction company, timber construction firm, timber construction services</t>
  </si>
  <si>
    <t>Saint-Gilles, France</t>
  </si>
  <si>
    <t>167826-43T</t>
  </si>
  <si>
    <t>Tastr</t>
  </si>
  <si>
    <t>Provider of custom recommendation services intended to help businesses find useful data from the web. The company develops custom algorithms to offer cultural recommendations for movies, series, and music based on users' tastes and subscription video on demand, machine learning, big data-based web scrapping, and dashboards enhancing cultural trends, enabling clients to understand their audiences to make the right decisions.</t>
  </si>
  <si>
    <t>big data api, big data system, machine learning tech, personalized recommendation, recommendation algorithm, video on demand</t>
  </si>
  <si>
    <t>127598-32T</t>
  </si>
  <si>
    <t>Acofi Gestion, Karot Capital(Charles-Antoine Morand)</t>
  </si>
  <si>
    <t>189409-51T</t>
  </si>
  <si>
    <t>Bob! Depannage</t>
  </si>
  <si>
    <t>Provider of troubleshooting services intended for household devices. The company's services connect customers who want to get the job done related to plumbing, electricity, heating, and emergency road assistance troubleshooting with professionals, enabling customers to select the craftsmen in a simple, convenient, and cheap way.</t>
  </si>
  <si>
    <t>Inerbiz</t>
  </si>
  <si>
    <t>emergency road assistance, house repair service, repair service, repair service facility, repair service platform, troubleshooting service</t>
  </si>
  <si>
    <t>159553-63T</t>
  </si>
  <si>
    <t>European Investment Bank (Luxembourg), RGREEN INVEST</t>
  </si>
  <si>
    <t>119044-00T</t>
  </si>
  <si>
    <t>Proprioo</t>
  </si>
  <si>
    <t>Developer of an online real estate platform intended to assist in the online selling of properties. The company's platform uses machine learning to match real estate listings with qualified potential buyers, provide value estimates and marketing distribution, enabling property owners to sell properties for a flat fee and avoid making regular mistakes that can slow, stop, or cancel a sale.</t>
  </si>
  <si>
    <t>Global Founders Capital, Picus Capital, Rocket Internet (HAM: RKET)</t>
  </si>
  <si>
    <t>real estate management, real estate platform, real estate platform company, real estate property online, real estate property service, real estate website</t>
  </si>
  <si>
    <t>Artificial Intelligence &amp; Machine Learning, Real Estate Technology, TMT</t>
  </si>
  <si>
    <t>129702-97T</t>
  </si>
  <si>
    <t>AfriMarket</t>
  </si>
  <si>
    <t>Internet Retail*, Other Retail</t>
  </si>
  <si>
    <t>Operator of an online marketplace and last-mile delivery service intended to help African migrants send funds and material items to families. The company's marketplace includes food, beauty and home appliances, building materials, live animals as well as main-stream brands, enabling the African market to enter that do not have local delivery access.</t>
  </si>
  <si>
    <t>BIM Investments</t>
  </si>
  <si>
    <t>consumer payment, debit &amp; p2p, delivery service, digital account, fund transfer, impact investing vertical, last mile delivery, money sending, money transfer, p2p, transfer agent</t>
  </si>
  <si>
    <t>E-Commerce, FinTech, Impact Investing, Supply Chain Tech, TMT</t>
  </si>
  <si>
    <t>187833-07T</t>
  </si>
  <si>
    <t>133047-37T</t>
  </si>
  <si>
    <t>High Flyers Capital(Jérôme Rayet), Temaris et Associés(Patricia Barbizet)</t>
  </si>
  <si>
    <t>135848-80T</t>
  </si>
  <si>
    <t>AQUITI Gestion, Finaqui, JMP Group, Viking Capital</t>
  </si>
  <si>
    <t>188136-01T</t>
  </si>
  <si>
    <t>aPSI3D</t>
  </si>
  <si>
    <t>Manufacturer of power electronics modules intended to complete and assess electric testing. The company's products use three-dimensional stacking to integrate semiconductors such as silicon, silicon carbide, and gallium nitride which are better cooled, providing clients with compact and lightweight power electronics inverters.</t>
  </si>
  <si>
    <t>CEA Investissement, IRDI Capital Investissement, Supernova Invest</t>
  </si>
  <si>
    <t>electrical equipment, inverters manufacturer, power electronics, power modules, reliability test, thermal managment</t>
  </si>
  <si>
    <t>Tarbes, France</t>
  </si>
  <si>
    <t>136413-55T</t>
  </si>
  <si>
    <t>Oncomedics</t>
  </si>
  <si>
    <t>Biotechnology*, Diagnostic Equipment, Drug Discovery</t>
  </si>
  <si>
    <t>Provider of biotechnology research services intended to make targeted chemotherapy for each patient in order to increase its effectiveness. The company's services predicts the effect of a molecule on a patient's tumor according to the principle of the antibiogram as well as permit oncologists to personalize the treatment by avoiding drugs that are inactive on the cells and by preferring those with strong anti-cancer activity, enabling clinicians and doctors to receive tested drugs and therapies for the immediate treatment of patients suffering from cancer.</t>
  </si>
  <si>
    <t>AQUITI Gestion, Limousin Business Angels</t>
  </si>
  <si>
    <t>biotechnology company, cancer diagnostics, cancer treatment, medical research service, tumor testing</t>
  </si>
  <si>
    <t>121197-34T</t>
  </si>
  <si>
    <t>Peas&amp;Love</t>
  </si>
  <si>
    <t>Cultivation, Food Products, Other Agriculture*</t>
  </si>
  <si>
    <t>Operator of vegetable gardens intended to specialize in urban farm installation. The company's platform incorporates the techniques of biological permaculture to cultivate aromatic herbs, vegetables, and fruits, enabling customers to get a diverse range of food products and be part of the urban farmers' community.</t>
  </si>
  <si>
    <t>Eutopia(Antoine Fine), GoGreen Capital</t>
  </si>
  <si>
    <t>farming innovation, farming techniques, fruits and vegetables farm, indoor farming, indoor farming system, modern farming, vertical farming</t>
  </si>
  <si>
    <t>AgTech, Life Sciences, Supply Chain Tech</t>
  </si>
  <si>
    <t>127966-06T</t>
  </si>
  <si>
    <t>Vetolib</t>
  </si>
  <si>
    <t>Business/Productivity Software*, Other Services (B2C Non-Financial)</t>
  </si>
  <si>
    <t>Developer of an online appointment scheduling and customer communication platform intended to provide assistance in finding veterinarians. The company's platform allows users to select the date, window and type of consultation required to book an appointment with the veterinarian through an e-mail process, enabling animal owners to search for veterinary doctors in a hassle-free manner.</t>
  </si>
  <si>
    <t>Bpifrance, Platina Partners</t>
  </si>
  <si>
    <t>appointment scheduling system, pet appointment application, pet care, vet appointment application, veterinarian appointment, veterinary software</t>
  </si>
  <si>
    <t>133072-12T</t>
  </si>
  <si>
    <t>iQspot</t>
  </si>
  <si>
    <t>Developer of a cloud-based energy analytics platform designed for the management of buildings. The company's software offers a turnkey light system for commercial property that allows them to monitor and analyze the energy performance of their buildings and automate their environmental reporting, enabling owners to manage all of the components of a building's ecosystem and connect with its occupants, sensors, actuators, and displays.</t>
  </si>
  <si>
    <t>Arkéa Capital(Morgan Carval), Crédit Agricole Nord de France (PAR: CNDF), GSO Innovation, IT-Translation</t>
  </si>
  <si>
    <t>asset manager, cloud-based platform, energy analytics, energy management system, smart building system, sustainable technology, system performance</t>
  </si>
  <si>
    <t>126138-79T</t>
  </si>
  <si>
    <t>Eccity</t>
  </si>
  <si>
    <t>Manufacturer of electric scooters designed to offer sustainable mobility vehicles to customers. The company offers a lively, light, maneuverable, and comfortable mode of transport, with zero emissions, enabling customers to avail of two-wheelers while minimizing their carbon footprint.</t>
  </si>
  <si>
    <t>BA06, Synexser</t>
  </si>
  <si>
    <t>eco-friendly scooter, electric mobility vehicles, electric scooter, electric scooter manufacturer, electric vehicle, energy saving tech, micro-mobility scooter, sustainable travel, sustainable vehicles</t>
  </si>
  <si>
    <t>CleanTech, Manufacturing, Micro-Mobility, Mobility Tech</t>
  </si>
  <si>
    <t>168757-48T</t>
  </si>
  <si>
    <t>Nomalab</t>
  </si>
  <si>
    <t>Developer of an audiovisual content management platform designed to merge video and broadcast technology with web and cloud technology. The company's platform offers the preservation, library management, quality control, delivery and provisioning of content and programming, enabling producers, distributors, broadcasters and publishers of audiovisual works to receive an entire lab in a browser.</t>
  </si>
  <si>
    <t>123 Investment Managers(Emmanuel Baulme), IFCIC, TF1 Groupe (PAR: TFI)</t>
  </si>
  <si>
    <t>audio visual content, content management platform, content preservation, digital media technology, library management system, web platform</t>
  </si>
  <si>
    <t>138095-92T</t>
  </si>
  <si>
    <t>Salvum</t>
  </si>
  <si>
    <t>Developer of a first-aid mobile platform designed to make first-aid training accessible to everyone. The company's platform develops and markets an effective tool for learning basic roadside emergency aid as well as offers access to different first aid training courses, enabling people to keep a victim alive while waiting for help through various functions.</t>
  </si>
  <si>
    <t>Allianz France, Banque des Territoires, Bpifrance, Caisse des Depots Group, CareMakers, Eurazeo (PAR: RF), Matmut Innovation, Réseau entreprendre Atlantique, SWEN Capital Partners</t>
  </si>
  <si>
    <t>edtech firm, first aid app, first aid care, first aid courses, first aid training, mobile platform company, road safety</t>
  </si>
  <si>
    <t>Serris, France</t>
  </si>
  <si>
    <t>118831-15T</t>
  </si>
  <si>
    <t>Aquitaine Science Transfert(Maylis Chusseau), AQUITI Gestion(Camille Larsabal), Galia Gestion(Claudia Daugan), IRDI Capital Investissement, XAnge(Guilhem De Vregille)</t>
  </si>
  <si>
    <t>119014-03T</t>
  </si>
  <si>
    <t>Blackfoot</t>
  </si>
  <si>
    <t>Operator of a technology platform intended to provide software and hardware prototype services.The company's platform uses software and hardware expertise to develop connected objects, drones, robots, and artificial intelligence algorithms, providing clients with external research and development services.</t>
  </si>
  <si>
    <t>Bouygues Développement(Benoît Michard)</t>
  </si>
  <si>
    <t>hardware prototype, hardware solution, prototyping lab, prototyping services, software prototype, software solutions</t>
  </si>
  <si>
    <t>194245-21T</t>
  </si>
  <si>
    <t>Vizity</t>
  </si>
  <si>
    <t>Operator of a map mobile application intended to explore Paris. The company's application is a no-code solution for creating interactive maps, it allows to connect or import data to be mapped, use pre-developed map templates, and use a library of ready-to-use map datasets, enabling users to create their routes or select from the key routes and get a guide and additional information about places of their choice.</t>
  </si>
  <si>
    <t>AGB Investments</t>
  </si>
  <si>
    <t>geolocation app, gps app, interactive map, map interface, online travel guide, online travel routing</t>
  </si>
  <si>
    <t>180972-46T</t>
  </si>
  <si>
    <t>136793-89T</t>
  </si>
  <si>
    <t>Coleen</t>
  </si>
  <si>
    <t>Developer and manufacturer of electronic cycles designed to create energy-efficient e-bikes. The company's cycles use technologies from aeronautics and automotive with a full communication protocol between each bike component and also has a display integrated inside the handlebar stem, enabling clients to experience a bike that can connect with their phone and display relevant data.</t>
  </si>
  <si>
    <t>Bpifrance, Credit Cooperatif, Herrikoa, Poitou Aquitaine Region</t>
  </si>
  <si>
    <t>cycle manufacturer, cycle manufacturing, e-bike developer, e-bike manufacturer, electric bicycle, manufacturing cycle, micromobility, vehicle supplier</t>
  </si>
  <si>
    <t>123356-53T</t>
  </si>
  <si>
    <t>Otonohm</t>
  </si>
  <si>
    <t>Household Appliances*</t>
  </si>
  <si>
    <t>Developer and designer of universal emergency batteries intended to charge and power all types of electrical devices. The company's battery can be used to charge portable devices like laptops, tablets, smartphones, cameras, connected devices, coolers, and fans, enabling users to improve efficiency and sustainability for the devices.</t>
  </si>
  <si>
    <t>Finorpa, Nord France Amorçage, Noria, TotalEnergies Ventures</t>
  </si>
  <si>
    <t>battery management system, electrical charging technology, electrical device, emergency battery charger, portable battery, rechargeable battery</t>
  </si>
  <si>
    <t>211465-27T</t>
  </si>
  <si>
    <t>Port Adhoc</t>
  </si>
  <si>
    <t>Developer of a network of dry ports intended to improve the client's boating experience. The company's dry ports are a solution to problems of financial and qualitative improvement of land, modernization of port infrastructures, economic development, landscape integration and deployment of environmentally friendly activities, enabling clients to receive boat club services as per their requirements.</t>
  </si>
  <si>
    <t>Caisse des Depots Group, NextStage AM</t>
  </si>
  <si>
    <t>drying dock, drying port, marine port, port management system, port operator, sea port</t>
  </si>
  <si>
    <t>118703-80T</t>
  </si>
  <si>
    <t>Alexei Chemenda(Alexei Chemenda), Guillaume Paoli, Id4 Ventures(Herve Cuviliez), Jérôme Caille(Jérôme Caille), Leap Ventures, Louis Bur, Michael Ohana, Serena (Paris)</t>
  </si>
  <si>
    <t>132333-58T</t>
  </si>
  <si>
    <t>GO Capital (France), Litto Invest</t>
  </si>
  <si>
    <t>189888-40T</t>
  </si>
  <si>
    <t>novéup</t>
  </si>
  <si>
    <t>Other Hardware, Other Healthcare Services*</t>
  </si>
  <si>
    <t>Manufacturer of visioconsult device intended to improve the accompaniment of dependents wishing to remain at home. The company offers a fixed unit and a Visio-mobile robot that provides telepresence, teleassistance, and telediagnostic sessions with its call reception platform, enabling users to get robotic assistance in the event of an emergency.</t>
  </si>
  <si>
    <t>personal robotics, personal robots, robotic platform, robotics assistants, telepresence product, telepresence robots</t>
  </si>
  <si>
    <t>Manufacturing, Mobile, Robotics and Drones</t>
  </si>
  <si>
    <t>120289-87T</t>
  </si>
  <si>
    <t>Softn</t>
  </si>
  <si>
    <t>Business/Productivity Software, Consulting Services (B2B), Education and Training Services (B2B)*, Other Commercial Services</t>
  </si>
  <si>
    <t>Operator of a corporate team-building events platform intended to strengthen team cohesion and strengthen links between employees. The company's platform creates unique action plans, adapted to each problem, by skilfully balancing the two tools inherent to the success of a team, enabling companies to increase competitiveness, offer an improved social climate, and control absenteeism thus improving the company's performance.</t>
  </si>
  <si>
    <t>Financière Saint James, Founders Future, Kima Ventures</t>
  </si>
  <si>
    <t>corporate training, professional training, relationship improvement, team building, team learning, team performance</t>
  </si>
  <si>
    <t>137157-76T</t>
  </si>
  <si>
    <t>Bpifrance, Eduardo Ronzano(Eduardo Ronzano), Frédéric Montagnon(Frédéric Montagnon), Julien Romanetto(Julien Romanetto), Nicolas Steegmann(Nicolas Steegmann), Quentin Nickmans, Thibaud Elziere</t>
  </si>
  <si>
    <t>118580-41T</t>
  </si>
  <si>
    <t>Laponi</t>
  </si>
  <si>
    <t>Automation/Workflow Software, Human Capital Services*</t>
  </si>
  <si>
    <t>Developer of a recruitment platform intended to offer real-time replacements to internal and external employees. The company's cloud-based platform automates and legally secures the entire process from the publication of new assignments to the electronic signature of amendments and alerts all employees in real-time of available assignments, thereby helping companies to find replacements with employees who have already been trained, help with a drastic reduction in the administrative burden for managers and also promote enhancement of their employer brand for user companies.</t>
  </si>
  <si>
    <t>Club Holnest, Holnest, Plug and Play Tech Center, The Field, UL Invest</t>
  </si>
  <si>
    <t>cloud-based platform, cloud-based platform technology, digital recruitment, jobs recruitment, jobs recruitment platform, recruitment platform</t>
  </si>
  <si>
    <t>Artificial Intelligence &amp; Machine Learning, Industrials, SaaS, TMT</t>
  </si>
  <si>
    <t>204429-79T</t>
  </si>
  <si>
    <t>Bee&amp;Co</t>
  </si>
  <si>
    <t>Alternative Energy Equipment, Environmental Services (B2B)*</t>
  </si>
  <si>
    <t>Developer of containerized biowaste management system intended to manage waste and produce green energy. The company's container accepts organic waste from municipalities, collective catering, the food industry, mass distribution, and households and then performs pasteurization and fermentation to produce biogas, enabling clients to reduce their footprint and greenhouse gas emissions while respecting the laws in force.</t>
  </si>
  <si>
    <t>Adour Business Angels, AQUITI Gestion, Finaqui, National Angel Capital Organization, Nouvelle Aquitaine Co-Investissement</t>
  </si>
  <si>
    <t>biowaste digester, biowaste management, food industry, gas emission, renewable energy, sustainable development</t>
  </si>
  <si>
    <t>Floirac, France</t>
  </si>
  <si>
    <t>246393-55T</t>
  </si>
  <si>
    <t>Biscuiterie De L'abbaye</t>
  </si>
  <si>
    <t>Operator of a French baked goods company intended to provide food made with local ingredients. The company offers organic biscuits, and Norman cakes made with authentic flavours packed in customizable boxes and recipes, enabling consumers to enjoy baked treats for traditional and gourmet consumption.
.</t>
  </si>
  <si>
    <t>bakery items, biscuits items, cookies maker, handcrafted products, pastry food, shortbread cookies, traditional recipes</t>
  </si>
  <si>
    <t>Lonlay L'abbaye, France</t>
  </si>
  <si>
    <t>123622-12T</t>
  </si>
  <si>
    <t>246425-77T</t>
  </si>
  <si>
    <t>Efinor</t>
  </si>
  <si>
    <t>Provider of consulting and engineering services intended to develop SMEs of value, both for the markets and for their territories, and accompany them towards their change of scale. The company uses financial capacities and its intangible resources to industrialize the ability to hatch and grow, to accompany market demand, allowing new businesses to perform, develop, and industrialize technical methods, and calculations and embrace challenges to carry our successful engineering projects.</t>
  </si>
  <si>
    <t>business management, consulting firm, engineering services, financial support, market demand analysis, turnkey solutions</t>
  </si>
  <si>
    <t>119668-60T</t>
  </si>
  <si>
    <t>Daphni(Marie Ekeland), Idinvest Partners, Mayjcc eSanté Invest, Partech(Jean-Marc Patouillaud), Serena (Paris), UI Investissement</t>
  </si>
  <si>
    <t>246614-50T</t>
  </si>
  <si>
    <t>Mastellotto TP</t>
  </si>
  <si>
    <t>Construction and Engineering, Infrastructure*</t>
  </si>
  <si>
    <t>Operator of a construction company intended to specialize in public works. The company offers public and private construction services, including earthworks, sanitation and pipelines, roadworks, urban development and maritime works, enabling industries with large-scale projects using their own equipment and laboratory section.</t>
  </si>
  <si>
    <t>infrastructure site, project planning, public works project, sanitation work, urban development, urban development project</t>
  </si>
  <si>
    <t>Carpiquet, France</t>
  </si>
  <si>
    <t>184644-82T</t>
  </si>
  <si>
    <t>Expanso Capital</t>
  </si>
  <si>
    <t>123815-08T</t>
  </si>
  <si>
    <t>Urban Connect</t>
  </si>
  <si>
    <t>Provider of outdoor communication services intended to offer digital marketing and advertising projects. The company's services include outdoor screening through digital advertising screens, the creation of 3D technical drawing prototypes, and flexibility along with responsiveness in the dissemination of communication, enabling clients to promote their business ideas cost-effectively.</t>
  </si>
  <si>
    <t>communication network, digital marketing, digital marketing channel, multimedia imaging, outdoor screening services, prototype design, technical drawing</t>
  </si>
  <si>
    <t>203675-77T</t>
  </si>
  <si>
    <t>VirtualTime</t>
  </si>
  <si>
    <t>Entertainment Software, Movies, Music and Entertainment*, Other Commercial Services</t>
  </si>
  <si>
    <t>Provider of virtual reality services intended to provide an accessible technique and equipment to the customers. The company provides games and escape games, as well as cultural or artistic experiences with high-resolution wireless VR headsets, computing stations, and wireless sound headsets to the clients, enabling clients to dive into a virtual universe where everything becomes possible.</t>
  </si>
  <si>
    <t>AngelSquare, FAMM Group</t>
  </si>
  <si>
    <t>escape games, gaming technology, group gaming, team events, virtual reality center, virtual reality technology</t>
  </si>
  <si>
    <t>117239-50T</t>
  </si>
  <si>
    <t>Whyse</t>
  </si>
  <si>
    <t>Developer of an online platform intended to help businesses to share feedback and knowledge. The company's platform expands the trust network by meeting professionals in the same industry or profession and connecting employees from different companies to pool knowledge, enabling companies to increase their chances of success.</t>
  </si>
  <si>
    <t>AngelSquare, Bpifrance, Kima Ventures, Link Tribe Capital</t>
  </si>
  <si>
    <t>business performance, community feedback, feedback platform, feedback software, online platform, project feedback platform, social interaction</t>
  </si>
  <si>
    <t>130129-21T</t>
  </si>
  <si>
    <t>YesTransfer</t>
  </si>
  <si>
    <t>Developer of money transfer platform designed to offer international money transfers to weakly banked countries. The company's platform processes payments using the company's own cryptocurrency which is backed by a major fiat currency that ensures stability, safety, and transparent money transfers using disintermediation, through blockchain and mobile payment, enabling users to get a low-cost alternative for international money transfers.</t>
  </si>
  <si>
    <t>financial service, money sharing app, money transfer platform, money transfer product, money transfer service provider, money transfer software</t>
  </si>
  <si>
    <t>Cryptocurrency/Blockchain, FinTech, Mobile, Mobile Commerce</t>
  </si>
  <si>
    <t>120041-83T</t>
  </si>
  <si>
    <t>Ilias Hicham(Ilias Hicham), Kima Ventures</t>
  </si>
  <si>
    <t>50487-04T</t>
  </si>
  <si>
    <t>Grand Pigalle Hotel</t>
  </si>
  <si>
    <t>Hotels and Resorts*, Restaurants and Bars</t>
  </si>
  <si>
    <t>Operator of a boutique hotel experience platform intended to immerse guests in the cultural essence of South Pigalle, Paris. The company platform offers elegant accommodations with modern interiors, Michelin-starred dining, and a neighborhood for exploration, enabling travelers to enjoy Parisian charm and sophistication.</t>
  </si>
  <si>
    <t>club bar, cocktails club, hospitality services, hotel rooms, hotel service, hotels and resorts, hotels and resorts portfolio, luxury service</t>
  </si>
  <si>
    <t>118447-21T</t>
  </si>
  <si>
    <t>FretLink</t>
  </si>
  <si>
    <t>Automation/Workflow Software, Business/Productivity Software, Logistics*</t>
  </si>
  <si>
    <t>Developer of a software-as-a-service platform intended to aid in the transportation of goods and commodities. The company's platform connects shippers and carriers via a smartphone or mobile application and provides assistance to handle logistics intermediaries, enabling organizations to facilitate the logistics process handling and standardize the process.</t>
  </si>
  <si>
    <t>Breega(Maximilien Bacot), Daphni(Willy Braun), Edenred Capital Partners, Elaia Partners(Samantha Jérusalmy), Fabrice Grinda(Fabrice Grinda), FJ Labs, SAP.iO, SGH Capital(Alexandre Azoulay), Tekton Ventures, The Family (Financial Services), TIP Trailer Services, Tomcat Capital, Weaving Invest</t>
  </si>
  <si>
    <t>freight, freight and logistic, freight carrier, freight shipping, freight technology, logistic service platform, logistic service provider, mobility tech, supply chain tech, trucking logistics</t>
  </si>
  <si>
    <t>Industrials, Mobile, Mobility Tech, SaaS, Supply Chain Tech, TMT</t>
  </si>
  <si>
    <t>118480-42T</t>
  </si>
  <si>
    <t>Crédit Mutuel Equity(Karine Lignel), Seventure Partners(Raissa Brian)</t>
  </si>
  <si>
    <t>134002-18T</t>
  </si>
  <si>
    <t>Christophe Chausson(Christophe Chausson), Delta Investment, Grégoire Boutin(Grégoire Boutin), UL Invest</t>
  </si>
  <si>
    <t>135712-90T</t>
  </si>
  <si>
    <t>Bertrand Quenot(Bertrand Quenot), Electricite de France, Eric Larchevêque(Eric Larchevêque), Finovam Gestion</t>
  </si>
  <si>
    <t>127700-20T</t>
  </si>
  <si>
    <t>4FOX Ventures, Alven Capital Partners(François Meteyer)</t>
  </si>
  <si>
    <t>118614-70T</t>
  </si>
  <si>
    <t>Ascendant Capital (Austin), Samsung Venture Investment</t>
  </si>
  <si>
    <t>118549-99T</t>
  </si>
  <si>
    <t>Bpifrance, Ciclad, Laurent Hautefeuille(Laurent Hautefeuille), Noria, Starquest Capital</t>
  </si>
  <si>
    <t>124550-20T</t>
  </si>
  <si>
    <t>Wistiki</t>
  </si>
  <si>
    <t>Application Software, Electronics (B2C)*, Internet Retail</t>
  </si>
  <si>
    <t>Developer of a Bluetooth tracker designed to find lost things through a smartphone. The company's tracker has a ringing feature, that alerts the owner by playing a ringtone that makes the tracker ring in the location of the lost item, enabling users to reduce stress and save time by finding their precious items instantaneously.</t>
  </si>
  <si>
    <t>Alexis Richard(Alexis Richard), Georges Dazy(Georges Dazy), Investisseurs &amp; Partenaires, Jean De La Rochebrochard(Jean De La Rochebrochard), Julien Herment(Julien Herment), Kima Ventures(Jean De La Rochebrochard), Vincent Colegrave(Vincent Colegrave)</t>
  </si>
  <si>
    <t>bluetooth device, bluetooth tracker, gps tracker, location tracker, location tracking device, wearable device</t>
  </si>
  <si>
    <t>E-Commerce, Mobile, TMT, Wearables &amp; Quantified Self</t>
  </si>
  <si>
    <t>80966-08T</t>
  </si>
  <si>
    <t>EikoSim</t>
  </si>
  <si>
    <t>Developer of an imaging software suite designed to optimize mechanical digital simulations. The company's software suite offers full-field displacement measurement and identification of mechanical behavior on a surface and in a volume, enabling engineers to understand the mechanical tests and analyze their results by integrating test data in the numerical design chain.</t>
  </si>
  <si>
    <t>digital image correlation, finite elements analysis, imaging software product, mechanical test, numerical simulation, software company</t>
  </si>
  <si>
    <t>240959-71T</t>
  </si>
  <si>
    <t>Spintank</t>
  </si>
  <si>
    <t>Communication Software, Media and Information Services (B2B)*, Multimedia and Design Software</t>
  </si>
  <si>
    <t>Operator of a communication agency intended to create new forms of engagement. The company provides design brands that are engaging, sincere, and aware of the challenges of the world and offers driving skills, managing projects, listening to customers, and opening up to ecosystem partners, enabling users to promote their social media campaigns and brand content.</t>
  </si>
  <si>
    <t>brand promotion, communications services, corporate communication, digital strategy, social media activity, ux design</t>
  </si>
  <si>
    <t>118376-38T</t>
  </si>
  <si>
    <t>Financière Saint James, Idinvest Partners(Matthieu Bonamy), Michael Benabou(Michael Benabou), OTEO Investment, RAISE Group(Pierre-Edouard Berion), Spice Capital Partners</t>
  </si>
  <si>
    <t>120527-92T</t>
  </si>
  <si>
    <t>Blob Enjeu</t>
  </si>
  <si>
    <t>Media and Information Services (B2B), Other Commercial Services, Publishing*</t>
  </si>
  <si>
    <t>Operator of a game-based communication agency intended to offer event communication through games. The company's offerings include adventure games, treasure hunts, surveys, gamification, and various other features through tablets, indoors and outdoors, enabling businesses to do advertising in a fun way.</t>
  </si>
  <si>
    <t>advergaming platform, communications agency, gamification agency, gamification company, gaming sector, marketing site</t>
  </si>
  <si>
    <t>AdTech, Gaming</t>
  </si>
  <si>
    <t>118250-83T</t>
  </si>
  <si>
    <t>Casino Guichard-Perrachon (PAR: CO), CommerzVentures, Didier Kuhn(Didier Kuhn), Generation NewTech, Omnes Capital(Xavier Brunaud), Simon Dawlat(Simon Dawlat)</t>
  </si>
  <si>
    <t>126343-54T</t>
  </si>
  <si>
    <t>C4 Ventures, Habert Dassault Finance(Emmanuel Coquoin), HCVC(Alexis Houssou), Partech(Boris Golden), Supernova Invest</t>
  </si>
  <si>
    <t>121710-16T</t>
  </si>
  <si>
    <t>Visible Patient</t>
  </si>
  <si>
    <t>Developer of three-dimensional modeling software designed to provide safe image-guided surgery. The company's software produces three-dimensional models for efficient therapy plans, enabling surgeons, oncologists, or radiologists to provide optimal patient care.</t>
  </si>
  <si>
    <t>Capital Grand Est, Crédit Mutuel Equity, Crédit Mutuel Innovation(Clement Combal)</t>
  </si>
  <si>
    <t>3d imaging, 3d modelling, 3d modelling software, 3d visualisation software, 3d visualisation technology, image-guided surgery, image-guided therapy</t>
  </si>
  <si>
    <t>Digital Health, HealthTech, Life Sciences</t>
  </si>
  <si>
    <t>118237-42T</t>
  </si>
  <si>
    <t>360Learning</t>
  </si>
  <si>
    <t>Developer of a next-generation online training platform intended to offer a software as a service (SaaS) learning management system. The company's platform focuses on ergonomy, design and data to assist people without any specific technical skills, enabling businesses to create and manage their own training courses for their employees.</t>
  </si>
  <si>
    <t>3T Capital(Daniel Caclin), Bpifrance, EduCapital, Hi Inov, ISAI(Jean-David Chamboredon), Siparex Group, XAnge</t>
  </si>
  <si>
    <t>corporate learning solutions, digital education, enterprise resource planning, e-training platform, human capital management, learning management application, learning management portal, learning management solutions, learning platform, online study, social learning</t>
  </si>
  <si>
    <t>118226-53T</t>
  </si>
  <si>
    <t>Alsid</t>
  </si>
  <si>
    <t>Developer of a cyber risk platform built to detect directory breaches and combat cyberattacks. The company's platform leverages AI and machine learning to detect computer attacks across multiple active directories maintaining bulk data and information by identifying the weak signals at the origin of these attacks in real-time, enabling companies to efficiently secure their directory infrastructures.</t>
  </si>
  <si>
    <t>360 Capital(Alexandre Mordacq), Axeleo Capital, Idinvest Partners(Jonathan Userovici)</t>
  </si>
  <si>
    <t>active directory security, cyber protection, enterprise network security, network management, network protection, security attacks, virus detection</t>
  </si>
  <si>
    <t>119779-21T</t>
  </si>
  <si>
    <t>Idinvest Partners(Matthieu Baret), Paul Maritz(Paul Maritz)</t>
  </si>
  <si>
    <t>117497-35T</t>
  </si>
  <si>
    <t>Evolem(Thomas Rival), Notus Technologies, Truffle Capital</t>
  </si>
  <si>
    <t>120289-24T</t>
  </si>
  <si>
    <t>AngelSquare, FJ Labs, Kima Ventures(Xavier Niel)</t>
  </si>
  <si>
    <t>157739-32T</t>
  </si>
  <si>
    <t>Diakse</t>
  </si>
  <si>
    <t>Developer of a web marketing platform designed to create a virtual e-commerce store. The company's platform uses analytical tools to provide software development and design services, photography services, and virtual environments, enabling businesses and enterprises to improve sales margins and figures on the web.</t>
  </si>
  <si>
    <t>La Poste Services for Equity</t>
  </si>
  <si>
    <t>it consulting firm, it services, saas-based app, virtual boutique, virtual showroom, virtual store platform, web marketing platform</t>
  </si>
  <si>
    <t>E-Commerce, Marketing Tech, SaaS, TMT, Virtual Reality</t>
  </si>
  <si>
    <t>119104-03T</t>
  </si>
  <si>
    <t>165781-18T</t>
  </si>
  <si>
    <t>Princess Sam Pictures</t>
  </si>
  <si>
    <t>Operator of an entertainment platform intended to produce and distribute new series and international children's licenses The company's firm produces live-action films and animated series adapted from books, enabling viewers to have access to fantasy and adventure stories with the support of advanced animation techniques.</t>
  </si>
  <si>
    <t>animated series, animated series developer, entertainment company, entertainment film, entertainment group, visual content, visual content platform</t>
  </si>
  <si>
    <t>123220-81T</t>
  </si>
  <si>
    <t>Adrien Ledoux(Adrien Ledoux), DuF Investments, Hervé Schricke, Vessoa Private Equity</t>
  </si>
  <si>
    <t>119237-23T</t>
  </si>
  <si>
    <t>ConsenSys(Matthieu Olive), Eric Larchevêque(Eric Larchevêque), SGH Capital(Alexandre Azoulay)</t>
  </si>
  <si>
    <t>118106-29T</t>
  </si>
  <si>
    <t>Eurazeo (PAR: RF)(Benoist Grossmann), Idinvest Partners</t>
  </si>
  <si>
    <t>119729-89T</t>
  </si>
  <si>
    <t>Wilov (Automotive Insurance)</t>
  </si>
  <si>
    <t>Automotive Insurance*, Financial Software</t>
  </si>
  <si>
    <t>Developer of a car insurance platform designed to offer insurance services through the smartphone. The company's platform provides car insurance facilities depending on the number of days the car is driven, enabling car owners to get optimal coverage without any commitment.</t>
  </si>
  <si>
    <t>Allianz France, Arkéa Investment Services, Eurazeo (PAR: RF), Idinvest Partners, InnovAllianz</t>
  </si>
  <si>
    <t>auto insurance technology, car insurance, car insurance application, car insurance platform, car insurance service, insurance assistance, insurance platform</t>
  </si>
  <si>
    <t>204680-08T</t>
  </si>
  <si>
    <t>Agrikolis</t>
  </si>
  <si>
    <t>Application Software, Logistics*, Media and Information Services (B2B)</t>
  </si>
  <si>
    <t>Operator of an ag-tech company intended to offer delivery service for heavy and bulky products based on the agricultural network. The company promotes short distribution circuits and reduces the environmental impact of deliveries and also represents additional income for the farmer, paid for each order received, enabling customers to access sustainable delivery services of agricultural products at affordable rates.</t>
  </si>
  <si>
    <t>IRD Invest, Nord Création</t>
  </si>
  <si>
    <t>agribusiness marketplace, agricultural product dealer, agricultural product packaging, agricultural product shipping, agricultural product supplier, agricultural technology company, agricultural technology firm, agrifinance and ecommerce, farmers help, supply chain</t>
  </si>
  <si>
    <t>252479-44T</t>
  </si>
  <si>
    <t>Freshmile</t>
  </si>
  <si>
    <t>Other Energy Services, Other Services (B2C Non-Financial)*</t>
  </si>
  <si>
    <t>Provider of charging services intended for individuals and professionals in Europe. The company encompasses both the operation of charging points and electric mobility services, enabling customers to charge their care at a cheaper rate.</t>
  </si>
  <si>
    <t>automotive, charging service provider, charging services, charging station, electric mobility system, mobility operator</t>
  </si>
  <si>
    <t>118070-02T</t>
  </si>
  <si>
    <t>Qare</t>
  </si>
  <si>
    <t>Developer of a mobile application designed to offer medical teleconsultation. The company's application uses a network of medical experts to deliver around-the-clock medical care either on video or chat as well as refers patients to a physical consultation if required, enabling patients to consult with doctors online by using their mobile phones without the need of visiting a clinic.</t>
  </si>
  <si>
    <t>Kamet Ventures</t>
  </si>
  <si>
    <t>digital healthcare app, general care, medical care, medical enterprise, primary care, teleconsultation services</t>
  </si>
  <si>
    <t>140809-78T</t>
  </si>
  <si>
    <t>Zionexa</t>
  </si>
  <si>
    <t>Developer of molecular imaging technology designed to diagnose metastatic breast cancer. The company's technology provides physicians with new ways to look inside the human body by delivering images of remarkable clarity to identify the disease in its earliest stages and determine the exact location of a tumor, thereby helping doctors to personalize patient care within the framework of new personalized diagnostic approaches</t>
  </si>
  <si>
    <t>Denos, iXO Private Equity(Baptiste Martin-Wurmser), Sofimac Investment Managers(Cécile Thebault)</t>
  </si>
  <si>
    <t>biomarkers detection, biotechnology company, imaging technology, imaging technology product, imaging technology systems, molecular imaging solutions, molecular imaging technology, targeted imaging, targeted therapy</t>
  </si>
  <si>
    <t>124662-25T</t>
  </si>
  <si>
    <t>Aglaé Ventures(Bernard Arnault), Ginko Ventures(Jean-Francois Baril), Korelya Capital(Fleur Pellerin)</t>
  </si>
  <si>
    <t>166755-34T</t>
  </si>
  <si>
    <t>Other Capital Markets/Institutions*, Other Commercial Services</t>
  </si>
  <si>
    <t>Developer of a crowdfunding platform designed to provide funding facilities to other companies. The company through its platform allows contributors to finance all types of projects in the form of donations, loans, or equity participation, enabling small businesses to avail themselves of easy funding opportunities.</t>
  </si>
  <si>
    <t>Banque des Territoires</t>
  </si>
  <si>
    <t>alternative investment, crowdfunding firm, crowdfunding platform, crowdfunding space, donation platform, equity crowdfunding platform, fundraising platform, loans market, wealthtech</t>
  </si>
  <si>
    <t>118065-61T</t>
  </si>
  <si>
    <t>HWA (ETR: H9W), Jean Peyrelevade(Jean Peyrelevade), Keys REIM, Naxicap Partners</t>
  </si>
  <si>
    <t>130123-81T</t>
  </si>
  <si>
    <t>Kannelle</t>
  </si>
  <si>
    <t>Developer of a video creation platform designed to make it easy for anyone to create professional videos. The company's platform is a pocket studio that provides screenwriting, recording, editing and dressing directly in the application, enabling users to create quality videos easily and efficiently with a smartphone.</t>
  </si>
  <si>
    <t>Arts et Métiers Business Angels, Bpifrance, Link Tribe Capital</t>
  </si>
  <si>
    <t>digital marketing, social network, video creation application, video interview, video marketing, video templates</t>
  </si>
  <si>
    <t>139766-32T</t>
  </si>
  <si>
    <t>Expanso Capital, Ouest Croissance Gestion, Sofimac Investment Managers</t>
  </si>
  <si>
    <t>127384-30T</t>
  </si>
  <si>
    <t>AFUludine</t>
  </si>
  <si>
    <t>Industrial Chemicals, Other Commercial Products, Specialty Chemicals*</t>
  </si>
  <si>
    <t>Manufacturer of lubricants intended to provide customized industrial products. The company's lubricants offer innovative and non-oily lubrication systems with low viscosity and are user and environmentally friendly, enabling industrialists, individuals, and craftsmen to perform post-processing operations directly and free from the constraints of degreasing.</t>
  </si>
  <si>
    <t>BFC Croissance, Credit Agricole Entreprises (PAR: CRBP), Invest PME, Zébu Développement</t>
  </si>
  <si>
    <t>industrial lubricants, industrial product, lubricants business, lubricants oil, lubricants oils, lubricants plant, petroleum extraction</t>
  </si>
  <si>
    <t>Dole, France</t>
  </si>
  <si>
    <t>121884-31T</t>
  </si>
  <si>
    <t>Ellcie Healthy</t>
  </si>
  <si>
    <t>Developer of intelligent connected glasses designed to carry out prevention, diagnoses, follow-up, and comparisons to avoid accidents of everyday life and to carry out health surveillance. The company's specially designed eyeglasses are used as support and are equipped with sensors to trace a certain amount of information to artificial intelligence software, housed in the smartphone or other device at the service of the customer or carrier, enabling customers to track their health data information.</t>
  </si>
  <si>
    <t>123 Investment Managers, Bouygues Telecom Initiatives, Bpifrance, Région Sud Investissement, Smalt Capital(Jerome Feraud), Trail Solutions Patrimoine</t>
  </si>
  <si>
    <t>connected glass, eyeglasses firm, health data tool, health surveillance, instrumentation device, smart glasses application</t>
  </si>
  <si>
    <t>170520-67T</t>
  </si>
  <si>
    <t>117161-92T</t>
  </si>
  <si>
    <t>Télaé Design</t>
  </si>
  <si>
    <t>Clothing, Media and Information Services (B2B)*, Other Services (B2C Non-Financial)</t>
  </si>
  <si>
    <t>Operator of a textile design agency intended for professionals in their material projects. The company uses a co-creation approach to provide textiles as an innovative and strategic communication medium to accompany users from idea to delivery of products, enabling firms to attract the interest of the target by offering eco-designed products.</t>
  </si>
  <si>
    <t>design service consultancy, eco-design product, images clothing, sustainable clothing, textile design, textile solutions</t>
  </si>
  <si>
    <t>127214-65T</t>
  </si>
  <si>
    <t>Odyssee Venture(Alexandre Schanne)</t>
  </si>
  <si>
    <t>121058-74T</t>
  </si>
  <si>
    <t>xMotion</t>
  </si>
  <si>
    <t>Business/Productivity Software, Media and Information Services (B2B), Other Hardware*</t>
  </si>
  <si>
    <t>Developer of a cloud-based dashboard designed to offer real-time data on vehicle condition and trend analysis. The company's dashboard leverages vehicle data to develop condition-based vehicle health monitoring, predictive maintenance through research and development, develop proprietary algorithms and technology, enabling users to make vehicle management simple with easy-to-read indicators about the health of vehicle components and systems.</t>
  </si>
  <si>
    <t>Sente Ventures(Gerod Carfantan)</t>
  </si>
  <si>
    <t>cloud network, dashboard system, information services, vehicle data platform, vehicle data records, vehicle data software</t>
  </si>
  <si>
    <t>135941-77T</t>
  </si>
  <si>
    <t>Groupe Ponticelli Frères, Noria</t>
  </si>
  <si>
    <t>159755-68T</t>
  </si>
  <si>
    <t>Bpifrance, Groupe Bernard Hayot</t>
  </si>
  <si>
    <t>255996-46T</t>
  </si>
  <si>
    <t>Banque Publique d'Investissement, BNP Paribas (PAR: BNP), Crédit Mutuel de Bretagne</t>
  </si>
  <si>
    <t>117937-27T</t>
  </si>
  <si>
    <t>A-Venture, AngelSquare, Banque Populaire, Bourgogne Franche Comte Angels, Caisse d'Epargne, Havenrock</t>
  </si>
  <si>
    <t>136501-48T</t>
  </si>
  <si>
    <t>AgreenCulture</t>
  </si>
  <si>
    <t>Business/Productivity Software*, Other Commercial Products, Other Hardware</t>
  </si>
  <si>
    <t>Developer of an agricultural robot designed to analyze the environment. The company's robot is equipped with a high-precision geo-positioning technique and artificial intelligence that provides affordable hardware and software services that improve autonomy, safety, intelligence, and accessibility while promoting environmental efficiency, enabling farmers to overcome agriculture's economic and ecological challenges.</t>
  </si>
  <si>
    <t>Ai.Ven, Bpifrance, IRDI Capital Investissement</t>
  </si>
  <si>
    <t>agricultural equipment, agricultural robotics agency, agtech firm, autonomous agricultural technology, autonomous machine, intelligent robotics, robotics &amp; smart field equipment, smart farming kits, surveying firm</t>
  </si>
  <si>
    <t>AgTech, Robotics and Drones, SaaS</t>
  </si>
  <si>
    <t>187944-67T</t>
  </si>
  <si>
    <t>Cogito'Z</t>
  </si>
  <si>
    <t>Clinics/Outpatient Services*, Elder and Disabled Care</t>
  </si>
  <si>
    <t>Operator of a diagnostic center intended to improve the diagnosis and treatment of learning disorders. The company's center provides an assessment covering the operation mode of the child, the nature of its intelligence, strengths, weaknesses and its general psychological balance and emotional management, enabling children to overcome their learning difficulties.</t>
  </si>
  <si>
    <t>consultation center, diagnostic center, diagnostic center operator, mental wellness, neuropsychological clinic, psychological center, psychology center</t>
  </si>
  <si>
    <t>189687-70T</t>
  </si>
  <si>
    <t>Greencityzen</t>
  </si>
  <si>
    <t>Developer of a cloud-based environment management technology designed for the treatment of wastewater. The company provides sensor network services and industrial equipment monitoring, water, air, and soil management that helps in reducing wastewater and optimizing water, enabling industrial clients to continuously report performance indices on processes, increase efficiency, reduce cost and improve service to the end customer.</t>
  </si>
  <si>
    <t>W4 (Acquired 2015)</t>
  </si>
  <si>
    <t>electronics manufacturing, environment management, environment management software, environment management technology, environmental measurement, iot hardware, sustainable solutions, wastewater treatment, water monitoring system</t>
  </si>
  <si>
    <t>CleanTech, Industrials, TMT</t>
  </si>
  <si>
    <t>118011-07T</t>
  </si>
  <si>
    <t>Straton DCIM</t>
  </si>
  <si>
    <t>Provider of information systems management services intended to improve security and optimize infrastructure costs. The company's software helps in the administration of information systems, development of software interfaces and integration of infrastructures in data centers, enabling clients to diagnose their infrastructure without any intervention on their part.</t>
  </si>
  <si>
    <t>Autonomie &amp; Solidarité, Nord France Amorçage</t>
  </si>
  <si>
    <t>data center operations, data center support services, data infrastructure, it infrastructure design, it infrastructure management, it infrastructure solution, technical experts</t>
  </si>
  <si>
    <t>Louvil, France</t>
  </si>
  <si>
    <t>180414-73T</t>
  </si>
  <si>
    <t>Caisse des Depots Group, Nexity (PAR: NXI), Roland Le Roux</t>
  </si>
  <si>
    <t>117906-22T</t>
  </si>
  <si>
    <t>Sofimac Innovation(Nicolas Boulay), The Faktory(Simon Alexandre)</t>
  </si>
  <si>
    <t>117815-59T</t>
  </si>
  <si>
    <t>Agorize</t>
  </si>
  <si>
    <t>Developer of an open innovation platform designed to create new synergies between businesses and innovators. The company's platform features the ability to digitalize and bring agility, attract, source, and hire talents, and communicate to the right audience, enabling companies to collaborate and innovate with the talents from within and outside of their company.</t>
  </si>
  <si>
    <t>Capnamic Ventures, Creadev, Cyberport Hong Kong, IRIS (Private Equity)(Stéphane Pesqué), Sofiouest</t>
  </si>
  <si>
    <t>employer branding, enterprise resource planning, human capital management, management software, open innovation platform, talent competition, talent engagement tool</t>
  </si>
  <si>
    <t>102476-35T</t>
  </si>
  <si>
    <t>Carlstyl</t>
  </si>
  <si>
    <t>Provider of renovation services intended to offer durable flooring for commercial spaces. The company's services include the installation of tiling, natural stones, and the implementation of fluid screed, enabling property owners to get their floors done by professional workers.</t>
  </si>
  <si>
    <t>floor tiles, flooring installation, flooring material, natural stone, natural stone roof, renovation services, workplace design</t>
  </si>
  <si>
    <t>120377-44T</t>
  </si>
  <si>
    <t>Inyo</t>
  </si>
  <si>
    <t>Developer of a web platform designed to provide smart assistants for freelancers. The company's platform allows freelancers to automate tasks they don't like to do, often redundant and time-consuming, such as sending reminder emails to their clients, enabling customers to get rid of the struggle with organizing their schedules and setting priorities.</t>
  </si>
  <si>
    <t>Vox Capital (Luxembourg)</t>
  </si>
  <si>
    <t>freelancing assistance, freelancing portal, freelancing support, productivity insights, smart assistant service, web platform service</t>
  </si>
  <si>
    <t>109167-13T</t>
  </si>
  <si>
    <t>Breega(Benoit Marrel), Speedinvest(Guzel Gumerova), UNIQA Ventures(Andreas Nemeth)</t>
  </si>
  <si>
    <t>117836-92T</t>
  </si>
  <si>
    <t>Aglaé Ventures, Bpifrance, Crédit Mutuel Impact, Eurazeo (PAR: RF), General Atlantic(Gabriel Caillaux), Idinvest Partners(Guillaume Santamaria), Partech(Philippe Collombel), Piton Capital</t>
  </si>
  <si>
    <t>122999-68T</t>
  </si>
  <si>
    <t>Simplon</t>
  </si>
  <si>
    <t>Provider of free training services intended to offer training to people related to digital technical professions in other countries. The company's services target specific demographics, such as women, under-educated youth, the disabled, and refugees, and offer training specialized in digital creation or project management techniques, enabling users to advance in their careers.</t>
  </si>
  <si>
    <t>Abeille Impact Investing France, Amundi (PAR: AMUN), Banque des Territoires, Caisse des Depots Group, Esfin Gestion, France Active, Inco Ventures, Mirova, Phitrust Partenaires</t>
  </si>
  <si>
    <t>digital creation, digital technical services, project management, project management method, training program, training service, vocational training</t>
  </si>
  <si>
    <t>155569-51T</t>
  </si>
  <si>
    <t>Bpifrance, Région Sud Investissement, Truffle Capital(Bernard Roques)</t>
  </si>
  <si>
    <t>204529-60T</t>
  </si>
  <si>
    <t>Wanecque</t>
  </si>
  <si>
    <t>Manufacturer of metal works and structures intended to meet the demands of architects and decorators. The company supports metalworkers in the manufacturing workshop and provides a wide range of canopies, stairs, fences, portals, and joinery, enabling clients to access architectural metalwork.</t>
  </si>
  <si>
    <t>architects firm, architectural metalworking, canopy doors, fine sheet metal, metal facades, metal frame</t>
  </si>
  <si>
    <t>113281-12T</t>
  </si>
  <si>
    <t>Frichti</t>
  </si>
  <si>
    <t>Application Software, Food Products, Information Services (B2C), Other Restaurants, Hotels and Leisure*</t>
  </si>
  <si>
    <t>Developer of an online food ordering platform designed to connect consumers to restaurants. The company's platform features local restaurants with a wide range of cuisines with daily menus, enabling customers to order and enjoy a variety of food at affordable prices.</t>
  </si>
  <si>
    <t>Alven Capital Partners(Guillaume Aubin), Felix Capital, Idinvest Partners, Quentin Vacher, Verlinvest</t>
  </si>
  <si>
    <t>delivery service, food delivery app, food ecommerce, food ordering, last mile delivery, mobility tech, online food delivery, online food ordering, restaurant marketplace, supply chain tech</t>
  </si>
  <si>
    <t>FoodTech, Mobility Tech, Supply Chain Tech, TMT</t>
  </si>
  <si>
    <t>114097-78T</t>
  </si>
  <si>
    <t>Alter Equity(Fanny Picard), Econocom Group (BRU: ECONB)(Bruno Grossi), EduCapital(Marie-Christine Levet), Kima Ventures(Jean De La Rochebrochard)</t>
  </si>
  <si>
    <t>181682-11T</t>
  </si>
  <si>
    <t>Reelevant</t>
  </si>
  <si>
    <t>Developer of an email intelligence technology designed to improve the performance of each email. The company's platform improves email marketing by collecting, analyzing, and activating a wide range of real-time data at the opening time to engage customers and accelerate revenue, enabling businesses to get the messages at the right time and display the most relevant content in real time.</t>
  </si>
  <si>
    <t>Siparex Group, XAnge</t>
  </si>
  <si>
    <t>content data, digital marketing, email intelligence, email marketing, email marketing service, message marketing</t>
  </si>
  <si>
    <t>123314-41T</t>
  </si>
  <si>
    <t>Tibtop Connect</t>
  </si>
  <si>
    <t>Internet Retail, Recreational Goods*, Specialty Retail</t>
  </si>
  <si>
    <t>Manufacturer of personalized football accessories intended to gather sports data. The company's offerings include customized shin guards with intelligent and powerful electronic components, enabling athletes to measure and share their performance and help coaches to improve their training and evaluate the player's progress.</t>
  </si>
  <si>
    <t>Bpifrance, Caisse d'Epargne, Credit Agricole (PAR: ACA), Investisseurs privés, Normandie Business Angels, Normandie Participations, VentureOut (US)</t>
  </si>
  <si>
    <t>custom shin guarding, football accessories, international distribution, shin guarding, shin guarding customization, shin guarding tech, soccer accessories</t>
  </si>
  <si>
    <t>Isneauville, France</t>
  </si>
  <si>
    <t>117988-03T</t>
  </si>
  <si>
    <t>Bpifrance, Braemar Energy Ventures(Jiong Ma), CEA Investissement, Demeter Partners(Sophie Paturle-Guesnerot), Huawei, IKEA, Intel Capital(Stephen Saltzman), Sofinnova Partners, Supernova Invest, TEL Venture Capital(Takee Nemoto)</t>
  </si>
  <si>
    <t>117816-58T</t>
  </si>
  <si>
    <t>Orange Ventures(Etienne Moreau)</t>
  </si>
  <si>
    <t>117735-04T</t>
  </si>
  <si>
    <t>Bpifrance, Elaia Partners(Marc Rougier), IRDI Capital Investissement, PSL-Pepite</t>
  </si>
  <si>
    <t>114477-40T</t>
  </si>
  <si>
    <t>Dazzl</t>
  </si>
  <si>
    <t>Entertainment Software, Movies, Music and Entertainment, Multimedia and Design Software*</t>
  </si>
  <si>
    <t>Operator of a video streaming platform intended to allow capturing, editing, and distribution of live events. The company's platform offers a live facility with an editing console in the browser, multi-viewpoint narrative contents from mobiles, drones, or any live source interaction by publishing on social media and facilitating the contribution from any internet-enabled location with a smartphone, enabling communities to capture, produce and distribute live functions.</t>
  </si>
  <si>
    <t>Business Angels 35, Crédit Agricole Ille et Vilaine Expansion, Elaia Partners, IT-Translation</t>
  </si>
  <si>
    <t>broadcast media, cloud video production, content sharing tools, live production, live streaming media, video streaming platform</t>
  </si>
  <si>
    <t>118272-16T</t>
  </si>
  <si>
    <t>World Gaming Federation</t>
  </si>
  <si>
    <t>Operator of an esports marketplace intended to develop adapted services by helping each gamer to reach their objectives. The company's market adds games to users' collections and prepares them to challenge their friends, enabling clients to aim at boosting the attractiveness of their market and its players.</t>
  </si>
  <si>
    <t>Bpifrance, Mamadou Sakho(Mamadou Sakho), NCI Gestion, Normandie Participations</t>
  </si>
  <si>
    <t>entertainment marketplace, esports club, esports marketing, gaming market, gaming portal, video game community</t>
  </si>
  <si>
    <t>208821-97T</t>
  </si>
  <si>
    <t>Geneanet</t>
  </si>
  <si>
    <t>Developer of a genealogy software platform designed to enable public access to member-contributed data, fostering free exploration for interested individuals. The company provides digitized archival records, family pictures and indexes through a search engine and a blog, enabling its clients to share their genealogical information.</t>
  </si>
  <si>
    <t>family lineage, family tree application, genealogy database, genealogy platform, genealogy search, genealogy software, genealogy software service, genealogy website</t>
  </si>
  <si>
    <t>136833-40T</t>
  </si>
  <si>
    <t>Hellocare Patient</t>
  </si>
  <si>
    <t>Application Software, Clinics/Outpatient Services*</t>
  </si>
  <si>
    <t>Developer of an online health consultation application designed to offer easy-to-use telemedicine services. The company's application connects patients to doctors and offers video consultation, personalized advice, and management of medical records, enabling patients to consult a health professional quickly to take care of their health.</t>
  </si>
  <si>
    <t>Hoche Partners, Inovalis</t>
  </si>
  <si>
    <t>health consultation app, health consultation platform, health consultation service, healthcare application, telemedicine services, telemedicine system</t>
  </si>
  <si>
    <t>Cassis, France</t>
  </si>
  <si>
    <t>158807-35T</t>
  </si>
  <si>
    <t>193281-31T</t>
  </si>
  <si>
    <t>265835-80T</t>
  </si>
  <si>
    <t>Sweebi</t>
  </si>
  <si>
    <t>Operator of a visual storytelling platform intended for digital communications. The company collects and displays all social media interaction and showcases the best photos, videos, or posts in the community, enabling businesses to provide tools for better company visual storytelling.</t>
  </si>
  <si>
    <t>business tools, communication tool, digital communication tool, information tools, social media conent, visual storytelling platform</t>
  </si>
  <si>
    <t>167992-12T</t>
  </si>
  <si>
    <t>156120-58T</t>
  </si>
  <si>
    <t>reciTAL</t>
  </si>
  <si>
    <t>Developer of artificial intelligence software editor intended for intelligent document processing. The company's software is based on machine learning and deep learning models for the processing of textual data, enabling clients to transform emails, documents, and reports into a data source for analysis and decision-making.</t>
  </si>
  <si>
    <t>analytics platform, data processing system, extracting data, intelligent document automation, intelligent document-processing, language processing algorithm, language processing software, natural language technology, text conversion technology, text data processing, textual data processing, unstructured data analytics</t>
  </si>
  <si>
    <t>118314-64T</t>
  </si>
  <si>
    <t>Crédit Agricole Sud Rhône-Alpes (PAR: CRSU), Kreaxi, Rhône Dauphiné Développement</t>
  </si>
  <si>
    <t>157304-53T</t>
  </si>
  <si>
    <t>AquaBioMass</t>
  </si>
  <si>
    <t>Aquaculture*, Environmental Services (B2B), Horticulture</t>
  </si>
  <si>
    <t>Developer of an algae operations platform intended to optimize the growth of microalgae. The company's platform uses a combination of proprietary technologies to optimize the growth of microalgae including a closed-loop system to reuse water and nutrients, a controlled environment to ensure optimal growth conditions and a harvesting system for the efficient separation of microalgae from the growth medium, enabling customers to reduce their environmental impact, increase their production yields, improve the quality of their products and reduce their costs.</t>
  </si>
  <si>
    <t>OBRATORI, Olbia Invest</t>
  </si>
  <si>
    <t>algae food, algae technology solutions, aquaculture firm, microalgae biotechnology, microalgae product, operations platform</t>
  </si>
  <si>
    <t>Meounes-les-Montrieux, France</t>
  </si>
  <si>
    <t>117587-71T</t>
  </si>
  <si>
    <t>Apicap, Bpifrance(Benoit Barteau), Centre Capital Développement, Emergence (Incubation), GO Capital (France)(Herve Bachelot Lallier), Paris Biotech Sante, Sofimac Innovation(Jean-Briac Lesne)</t>
  </si>
  <si>
    <t>156245-68T</t>
  </si>
  <si>
    <t>Inventy</t>
  </si>
  <si>
    <t>Provider of SAP value management services intended to help companies to improve their SAP application performance. The company provides decision-makers the ability to identify, justify, and factually govern their technology investments, maximizing the value for their company, enabling clients to make their SAP systems secure and cost-effective.</t>
  </si>
  <si>
    <t>Entrepreneur Ventures</t>
  </si>
  <si>
    <t>sap business process optimization, sap security, sap solution, sap solution manager, sap systems, sap systems management</t>
  </si>
  <si>
    <t>Sophia-Antipolis, France</t>
  </si>
  <si>
    <t>130786-03T</t>
  </si>
  <si>
    <t>Extens, Innovation Capital (Paris), KCE Consultants, Lenapart</t>
  </si>
  <si>
    <t>175503-25T</t>
  </si>
  <si>
    <t>Crédit Agricole Alpes Provence (PAR: CRAP), EIT Climate-KIC, Région Sud Investissement</t>
  </si>
  <si>
    <t>218411-02T</t>
  </si>
  <si>
    <t>Nossa!</t>
  </si>
  <si>
    <t>Producer of healthy and authentic Brazilian açai products intended to promote the preservation of the Amazon rainforest. The company offers natural and certified organic acai pulp, sorbet, smoothies, and drinks, enabling restaurants to provide their customers with a unique and nutritious taste experience.</t>
  </si>
  <si>
    <t>Cameleon Invest, IRD Invest</t>
  </si>
  <si>
    <t>acai bowl, acai products, healthy drinks, nutritious snack, organic certification, smoothies bowl</t>
  </si>
  <si>
    <t>117222-85T</t>
  </si>
  <si>
    <t>OpenReplay</t>
  </si>
  <si>
    <t>Automation/Workflow Software, Business/Productivity Software*, IT Consulting and Outsourcing, Other Commercial Services</t>
  </si>
  <si>
    <t>Developer of a session replay tool designed to reproduce and debug web apps. The company's software is a frontend monitoring tool that assists in reproducing bugs, aggregating errors, and improving application performance, enabling developers to easily monitor issues across stacks and fix issues faster.</t>
  </si>
  <si>
    <t>deployment software, devops platform, quality analysis software, session replay, software debugging, software testing, vertical application</t>
  </si>
  <si>
    <t>Big Data, CloudTech &amp; DevOps</t>
  </si>
  <si>
    <t>131499-19T</t>
  </si>
  <si>
    <t>QuosAir</t>
  </si>
  <si>
    <t>Application Software, Electrical Equipment, Electronics (B2C)*</t>
  </si>
  <si>
    <t>Developer of electronic monitoring equipment designed to help preserve indoor air quality. The company's product measures temperature, humidity, and carbon dioxide levels, helping establishments like workplaces, homes, and nursing homes to assess, improve, and preserve indoor air quality.</t>
  </si>
  <si>
    <t>air pollution control, air quality monitoring equipment, air quality test, electronic monitoring, indoor air quality, portable instruments</t>
  </si>
  <si>
    <t>Champs-sur-Marne, France</t>
  </si>
  <si>
    <t>117562-96T</t>
  </si>
  <si>
    <t>Vivet Therapeutics</t>
  </si>
  <si>
    <t>Operator of a biotechnology firm intended to create innovative gene therapy treatments for orphan diseases. The company's therapy uses a modified AAV vector to move a truncated functional version of the ATP7B gene into the liver cells carrying the defective gene, enabling physicians to treat various inherited disorders such as Wilson disease, Progressive Familial Intrahepatic Cholestasis (PFIC), and Citrullinemia Type I (CTLN1).</t>
  </si>
  <si>
    <t>Pfizer (Pharmaceuticals) (NYS: PFE)(Mikael Dolsten)</t>
  </si>
  <si>
    <t>biotechnology firm, gene therapy, genetic disease, liver disease drugs, liver disorder, liver treatment, wilson disease</t>
  </si>
  <si>
    <t>117536-59T</t>
  </si>
  <si>
    <t>Accel(Philippe Botteri), Bpifrance, Eurazeo (PAR: RF), General Atlantic(Christopher Caulkin), Kernel Investissements</t>
  </si>
  <si>
    <t>119275-30T</t>
  </si>
  <si>
    <t>50 Partners, Alven Capital Partners(François Meteyer)</t>
  </si>
  <si>
    <t>117888-31T</t>
  </si>
  <si>
    <t>Financière Saint James, Kima Ventures, La Famiglia, Michaël Benabou, Pietro Invernizzi(Pietro Invernizzi), The Family (Financial Services), Xavier Niel(Xavier Niel)</t>
  </si>
  <si>
    <t>117158-32T</t>
  </si>
  <si>
    <t>Hesus</t>
  </si>
  <si>
    <t>Provider of pollution and waste management services designed to offer treatment of polluted waste on construction sites. The company's services include treatment for repairing drainage, poly-contamination, and polluted soils, removal, and recovery of soil, excavated material and construction waste, and the delivery of soils and materials arising from these resources, enabling site managers and contractors to get the ease of access to the various services while safeguarding the environment and stopping pollution.</t>
  </si>
  <si>
    <t>Construction Venture, Demeter Partners(Jean-Charles Scatena), SUEZ Ventures(Jean Luc Ventura)</t>
  </si>
  <si>
    <t>circular economy platform, dirt management, materials management service, pollution control, pollution management, soil management service, waste control</t>
  </si>
  <si>
    <t>Ivry Sur Seine, France</t>
  </si>
  <si>
    <t>120289-96T</t>
  </si>
  <si>
    <t>The Coop (Online Marketplace)</t>
  </si>
  <si>
    <t>Accessories, Internet Retail*, Personal Products</t>
  </si>
  <si>
    <t>Developer of an online marketplace intended to offer a wide range of lifestyle segment products. The company's marketplace offers beauty and personal care,
fashion and accessories, fitness and wellness, travel and home and household products direct from the factory to consumers, enabling consumers to save their time and money in shopping.</t>
  </si>
  <si>
    <t>Aglaé Ventures, Kima Ventures, Lise Invest</t>
  </si>
  <si>
    <t>beauty product, household product, lifestyle product, lifestyle segment, online marketplace</t>
  </si>
  <si>
    <t>205352-38T</t>
  </si>
  <si>
    <t>Financière Saint James, SGPA, XAnge</t>
  </si>
  <si>
    <t>120041-02T</t>
  </si>
  <si>
    <t>EquiSense</t>
  </si>
  <si>
    <t>Developer of an equestrian sports training sensor designed to monitor the movement and health of the horse. The company's sensors are connected with a girth that develops interaction between riders and their horses via touch technology, enabling users to get a digital riding companion to train horses and get connected in an enhanced way.</t>
  </si>
  <si>
    <t>equestrian sports training, horse health sensors, horse training, horse training sensor, iot hardware, sensors &amp; sensor system, sensors and sensor system, sports training sensor developer, training sensor</t>
  </si>
  <si>
    <t>Internet of Things, TMT, Wearables &amp; Quantified Self</t>
  </si>
  <si>
    <t>119274-94T</t>
  </si>
  <si>
    <t>121434-13T</t>
  </si>
  <si>
    <t>AdBio partners(Matthieu Coutet), Medicxi</t>
  </si>
  <si>
    <t>117420-40T</t>
  </si>
  <si>
    <t>AngelSquare, Karista (Paris)(Baudouin Hue), Serena (Paris), Siparex Group, XAnge(Guillaume Meulle)</t>
  </si>
  <si>
    <t>200375-29T</t>
  </si>
  <si>
    <t>eXo (Business/Productivity Software)</t>
  </si>
  <si>
    <t>Developer of an open-source digital collaboration software designed to create bottom-up knowledge sharing. The company's workplace software specializes in knowledge, document, content management, social engagement, and project collaboration that can be integrated into existing systems, providing companies with multiple offices to increase collaboration and improve the employee experience.</t>
  </si>
  <si>
    <t>Tunisian American Enterprise Fund</t>
  </si>
  <si>
    <t>digital workplace, digital workplace software, digital workplace system, employee engagement, employee experience, internal communication</t>
  </si>
  <si>
    <t>117729-37T</t>
  </si>
  <si>
    <t>Siga (Media and Information Services (B2B))</t>
  </si>
  <si>
    <t>Developer of a food analysis application designed to assist consumers in switching to healthy and less processed food. The company's application uses an index to assess the degree of food processing, in order to highlight the simplest recipes and identify ultra-processed foods (AUT) to be consumed sparingly in the light of the latest epidemiological studies, enabling consumers to have access to a range of healthy and less processed products.</t>
  </si>
  <si>
    <t>Bpifrance, Newfund Management</t>
  </si>
  <si>
    <t>food analysis service, food analytics technology, food ecommerce, food evaluation, food processing, food quality checker, food quality inspection, foodtech ai, restaurant marketplace</t>
  </si>
  <si>
    <t>Artificial Intelligence &amp; Machine Learning, FoodTech, LOHAS &amp; Wellness, Mobile, TMT</t>
  </si>
  <si>
    <t>119906-65T</t>
  </si>
  <si>
    <t>Daphni, Verve Ventures, Via ID</t>
  </si>
  <si>
    <t>138961-27T</t>
  </si>
  <si>
    <t>Arts et Métiers Business Angels, ESSEC Ventures, Paris Business Angels(Najette Kadri-Marouard)</t>
  </si>
  <si>
    <t>127443-88T</t>
  </si>
  <si>
    <t>Inlead</t>
  </si>
  <si>
    <t>Developer of a digital marketing platform designed to assist clients in the digitalization of their networks. The company's platform synchronizes and centralizes local web communication and combines digital expertise with detailed knowledge of the specific needs of retailer networks, enabling clients to create and deploy geolocated digital campaigns for their network.</t>
  </si>
  <si>
    <t>Arkéa Capital, Bpifrance, Epopée Gestion, Inwest Group</t>
  </si>
  <si>
    <t>content publishing, digital campaign, digital marketing, local visibility, presence management, web communication</t>
  </si>
  <si>
    <t>189885-25T</t>
  </si>
  <si>
    <t>Neurallys</t>
  </si>
  <si>
    <t>Other Devices and Supplies, Other Healthcare Technology Systems, Surgical Devices*</t>
  </si>
  <si>
    <t>Developer of a neurosurgical device designed to treat hydrocephalus. The company's device is an intelligent sensor communicating with a smartphone to monitor the intracranial pressure of patients suffering from hydrocephalus, enabling neurosurgeons to have an efficient follow-up of the pathology and improve the quality of care.</t>
  </si>
  <si>
    <t>Doliam, Erganeo, Finsify Hub, HAC Futur</t>
  </si>
  <si>
    <t>cognitive enhancement, health device, hydrocephalus care, hydrocephalus treatment, neurosurgery device, neurosurgery tools, pathology care, surgical device</t>
  </si>
  <si>
    <t>121460-41T</t>
  </si>
  <si>
    <t>Kazaden</t>
  </si>
  <si>
    <t>Operator of an online adventure travel agency intended to reconnect people with nature through adventure tours organized by local experts. The company proposes a large range of mountaineering trips, sailing cruises, surf and kitesurf trips, trekking tours and safaris with professional support, enabling users to get simple and effective methods to plan their weekends and sports holidays.</t>
  </si>
  <si>
    <t>Courtin Investment, SIDE Capital(Renaud Guillerm), Wonderbox(Fabrice Lepine)</t>
  </si>
  <si>
    <t>adventure travel agency, adventure travel company, adventure travel services, online adventure booking platform, online adventure marketplace, outdoor travel company, trip planning platform</t>
  </si>
  <si>
    <t>121151-17T</t>
  </si>
  <si>
    <t>Bleu Capital, Bpifrance, d'lle de France</t>
  </si>
  <si>
    <t>120170-44T</t>
  </si>
  <si>
    <t>Bpifrance, Crédit Agricole Loire Haute-Loire (PAR: CRLO), JEREMIE Auvergne, Région Auvergne-Rhône-Alpes, Sofimac Investment Managers</t>
  </si>
  <si>
    <t>117219-88T</t>
  </si>
  <si>
    <t>Galions</t>
  </si>
  <si>
    <t>Entertainment Software*, Movies, Music and Entertainment, Software Development Applications</t>
  </si>
  <si>
    <t>Developer of a multi-gaming platform designed to host esports tournaments. The company's platform and web TV network specialize in hosting professional players on the competitive scene for hearthstone, league of legends and overwatch, along with offering a full service of event production, enabling fans to get provided with a wide range of games to compete in.</t>
  </si>
  <si>
    <t>AngelSquare, Entrepreneur Invest, Florent Steiner, Pinou Capital</t>
  </si>
  <si>
    <t>esports company, esports games manager, esports gaming platform, esports gaming service, esports news platform, gaming platform, gaming platform software</t>
  </si>
  <si>
    <t>169823-71T</t>
  </si>
  <si>
    <t>RésidSocial</t>
  </si>
  <si>
    <t>Other Restaurants, Hotels and Leisure*, Other Services (B2C Non-Financial)</t>
  </si>
  <si>
    <t>The company transforms furnished hotels into residences for families and offers a range of services to help residents improve their living conditions and facilitate their exit from the residences, providing migrants, asylum seekers, and people in extreme poverty with shared living space.</t>
  </si>
  <si>
    <t>Abeille Impact Investing France, Amundi (PAR: AMUN), Aviva Investors Global Services, Inco Ventures, Mandarine Gestion, NovESS</t>
  </si>
  <si>
    <t>accommodation service, accommodation site, emergency accommodation, emergency shelter, homeless people, hospitality system, living space, social impact tools</t>
  </si>
  <si>
    <t>123914-98T</t>
  </si>
  <si>
    <t>Bpifrance, Truffle Capital(Bernard Roques)</t>
  </si>
  <si>
    <t>117396-73T</t>
  </si>
  <si>
    <t>Cahem</t>
  </si>
  <si>
    <t>Entertainment Software*, Leisure Facilities</t>
  </si>
  <si>
    <t>Operator of a virtual reality games studio intended to introduce various games to the general public and professionals through the technology of virtual reality. The company's studio offers an experience using the vibe pro headset, virtual Omni, and kat walk premium technology, enabling gamers to enjoy their pastime by playing real-time virtual reality games with their friends.</t>
  </si>
  <si>
    <t>Credit Agricole (PAR: ACA), FFWD Normandie, Normandie Participations</t>
  </si>
  <si>
    <t>virtual reality company, virtual reality experiences sharing platform, virtual reality games, virtual reality games developer, virtual reality park, virtual reality platform</t>
  </si>
  <si>
    <t>Mondeville, France</t>
  </si>
  <si>
    <t>155434-87T</t>
  </si>
  <si>
    <t>Datategy</t>
  </si>
  <si>
    <t>Developer of a cloud-based business platform designed to reduce average task time, and waiting time while optimizing deployment. The company's platform specializes in data science and flow analysis and uses qualitative and quantitative analytical methods to access real-time operation monitoring, improved planning as well as prediction tools, and visual statistical graphics, enabling private transport and parking operators to significantly decrease their fraud rate.</t>
  </si>
  <si>
    <t>Bpifrance, ZAM Capital</t>
  </si>
  <si>
    <t>artificial intelligence platform, business platform service, data analytics, data processing, data science firm, industrial data analytics, iot software, machine learning product, middleware, operational performance, smart city saas, vertical application</t>
  </si>
  <si>
    <t>Artificial Intelligence &amp; Machine Learning, Big Data, Internet of Things, SaaS</t>
  </si>
  <si>
    <t>165364-48T</t>
  </si>
  <si>
    <t>120073-24T</t>
  </si>
  <si>
    <t>Homeland</t>
  </si>
  <si>
    <t>Operator of a condo management platform designed to facilitate office and residential buildings. The company's platform has developed in-house tools to digitize the administrative procedures and tasks related to the management of a building intending to bring more transparency to the co-owners and free up time for the managers of the property, thereby enabling clients to reduce costs associated with property management.</t>
  </si>
  <si>
    <t>ai property management, condominiums building, condominiums management, condos association, condos insurance, enterprise asset management, enterprise resource planning</t>
  </si>
  <si>
    <t>136324-72T</t>
  </si>
  <si>
    <t>118810-00T</t>
  </si>
  <si>
    <t>Anatoly Mitroshin(Anatoly Mitroshin), Internet Initiatives Development Fund(Ilya Korolev)</t>
  </si>
  <si>
    <t>116856-82T</t>
  </si>
  <si>
    <t>83North(Laurel Bowden), Bain Capital Ventures(Scott Friend), Elaia Partners(Xavier Lazarus), Ergo Partners, Felix Capital(Frederic Court), Financière Saint James, Vintage Investment Partners</t>
  </si>
  <si>
    <t>116959-15T</t>
  </si>
  <si>
    <t>Accel(Sonali De Rycker), Bessemer Venture Partners, Cristóbal Conde, Elaia Partners(Victor Briançon-Marjollet), General Catalyst, IRIS (Private Equity)(Julien-David Nitlech)</t>
  </si>
  <si>
    <t>198763-21T</t>
  </si>
  <si>
    <t>Eurazeo PME</t>
  </si>
  <si>
    <t>117166-96T</t>
  </si>
  <si>
    <t>Chassis France</t>
  </si>
  <si>
    <t>Manufacturer of fine arts materials intended to offer a wide range of frames and paint accessories. The company's products are made by using traditional methods and a rigorous search for a marker finish for fine Arts distributors and resellers to make assurance of invaluable quality and work, enabling customers to enjoy artistic fine arts work.</t>
  </si>
  <si>
    <t>canvas art, custom frames, fine art product, fine arts supplies, manufacturing process, painting accessories, product manufacturing, wood product</t>
  </si>
  <si>
    <t>Chauny, France</t>
  </si>
  <si>
    <t>115795-99T</t>
  </si>
  <si>
    <t>Cuir Invest(Céline Lippi), Luxury Tech Fund(Céline Lippi)</t>
  </si>
  <si>
    <t>101792-80T</t>
  </si>
  <si>
    <t>Hatt et Soner</t>
  </si>
  <si>
    <t>Producer of champagne intended to preserve the purest possible expression of nature. The company's champagne house works with customers to develop private vintages from Grand Cru and Premier Cru Chardonnay grapes, enabling champagne enthusiasts to get an opportunity to be a part of the wine-making process from start to finish.</t>
  </si>
  <si>
    <t>Vecata Invest</t>
  </si>
  <si>
    <t>champagne distributor, champagne house, champagne maker, champagne producer, wine growers, wine producer, wine product</t>
  </si>
  <si>
    <t>Bergères-lès-Vertus, France</t>
  </si>
  <si>
    <t>117641-62T</t>
  </si>
  <si>
    <t>Novares Venture Capital(Pierre Boulet)</t>
  </si>
  <si>
    <t>208687-69T</t>
  </si>
  <si>
    <t>Box2home</t>
  </si>
  <si>
    <t>Developer of a delivery service platform designed to assemble and install bulky products like furnishings, appliances, and kitchen installations. The company offers assembly, commissioning, and installation services for bulky products to be delivered to the doorstep by appointment, enabling clients to avail services to transport any object instantly.</t>
  </si>
  <si>
    <t>Aplos</t>
  </si>
  <si>
    <t>assembly services, express delivery, express delivery service, furniture assembly, installation solution, kitchen installation, last mile delivery</t>
  </si>
  <si>
    <t>100394-38T</t>
  </si>
  <si>
    <t>EzyGain</t>
  </si>
  <si>
    <t>Monitoring Equipment, Other Healthcare Technology Systems, Therapeutic Devices*</t>
  </si>
  <si>
    <t>Developer of a rehabilitation treadmill designed for injured and elderly people. The company's treadmill specializes in connecting mobile monitoring applications that not only measure and share the patient's performances but also make rehabilitation more fun, enabling users' gait analyses and cognitive stimulation exercises to stay fit.</t>
  </si>
  <si>
    <t>Daffourd Invest, Scientipole Capital, Unico Partners</t>
  </si>
  <si>
    <t>gait rehabilitation, mobile monitoring, mobile monitoring application, rehabilitation device, rehabilitation product, rehabilitation products</t>
  </si>
  <si>
    <t>Life Sciences, Mobile, Wearables &amp; Quantified Self</t>
  </si>
  <si>
    <t>195679-09T</t>
  </si>
  <si>
    <t>Ouistock</t>
  </si>
  <si>
    <t>Provider of furniture storage services intended to connect owners of unused space with people who need to store goods. The company's platform helps to find suitable storage places close to home, edit contracts, automate payments, and ensure the assets are stored, enabling users to get fluid, friendly and economical storage services.</t>
  </si>
  <si>
    <t>free space renting, rent space, space rental, storage market, storage unit rental, unused space rental</t>
  </si>
  <si>
    <t>138923-74T</t>
  </si>
  <si>
    <t>Yeeld</t>
  </si>
  <si>
    <t>Developer of a financial mobile application designed to save money simply to carry out projects. The company's application helps users save by rounding their expenses to the higher euro as well as offers a free smart savings service, called optimal savings, that collects and consolidates data from user's current accounts and makes recommendations on how much they should save each week, enabling users to set goals and realize their projects.</t>
  </si>
  <si>
    <t>Adrien Schompré, Bpifrance</t>
  </si>
  <si>
    <t>banking application, digital financial bank, online bank, saving application, virtual bank, virtual piggy bank</t>
  </si>
  <si>
    <t>FinTech, Mobile, TMT</t>
  </si>
  <si>
    <t>177203-35T</t>
  </si>
  <si>
    <t>Bpifrance(Arnaud Caudoux)</t>
  </si>
  <si>
    <t>141100-84T</t>
  </si>
  <si>
    <t>Mashup Web</t>
  </si>
  <si>
    <t>Developer of a content aggregation platform designed to offer sports news. The company's platform engages in aggregating content which gathers information from different sources with the help of a technology that is equipped to list relevant sources for a specific topic, enabling users to receive personalized content and set preferable notifications.</t>
  </si>
  <si>
    <t>automation marketing platform, content aggregation application, content aggregator, database platform, news platform, social &amp; digital marketing, social media management tool, sports news</t>
  </si>
  <si>
    <t>138292-93T</t>
  </si>
  <si>
    <t>BNP Paribas Développement, Crédit Agricole Sud Rhône-Alpes (PAR: CRSU), Expansinvest, Groupe Michelin (PAR: ML), Health-angels Rhone-alpes, Kreaxi, Rhône-Alpes Création, Sofimac Innovation(Nicolas Boulay)</t>
  </si>
  <si>
    <t>116761-06T</t>
  </si>
  <si>
    <t>Idinvest Partners(Benoist Grossmann), Ventech (Paris)(Claire Houry)</t>
  </si>
  <si>
    <t>108609-04T</t>
  </si>
  <si>
    <t>123757-12T</t>
  </si>
  <si>
    <t>Webreathe</t>
  </si>
  <si>
    <t>Developer of smart people flow intelligence system designed to serve city transport systems and markets. The company's software offers real-time people flow information, people flow data analysis, and people forecasting services along with a display of geo-localized data, enabling clients to enhance their metering data.</t>
  </si>
  <si>
    <t>Finovam Gestion, IRD Invest, Nord Capital Partenaires, Picardie Investissement</t>
  </si>
  <si>
    <t>connected service, data analysis, public transportation, smart city, traffic management software, transport management software</t>
  </si>
  <si>
    <t>134470-90T</t>
  </si>
  <si>
    <t>Abeille Impact Investing France, Arkéa Capital, Bpifrance, BTP Capital Investissement, Demeter Partners, IRDI Capital Investissement, Saint-Gobain (PAR: SGO)</t>
  </si>
  <si>
    <t>186714-82T</t>
  </si>
  <si>
    <t>Crédit Agricole Nord de France (PAR: CNDF)(François Mace), Damien Deleplanque(Damien Deleplanque), Marc Reneaume(Marc Reneaume)</t>
  </si>
  <si>
    <t>188150-14T</t>
  </si>
  <si>
    <t>Ensuite</t>
  </si>
  <si>
    <t>Restaurants and Bars*, Specialty Retail</t>
  </si>
  <si>
    <t>Operator of a restaurant intended to serve a cold-pressed juice bar and seasonal cuisine. The company's restaurant offers dishes made from seasonal fruits and vegetables as well as products with high nutritional value such as goji berries and spirulina and also provides health advice depending on the seasons, diets, or different allergies and intolerances a naturopath, enabling customers to get an original experience while maintaining good health.</t>
  </si>
  <si>
    <t>brunch restaurant, food items, restaurant operator, restaurant ordering, restaurant owner, salads bar, vegan restaurant</t>
  </si>
  <si>
    <t>119862-28T</t>
  </si>
  <si>
    <t>Morphosense</t>
  </si>
  <si>
    <t>Developer of a structural health monitoring technology designed to offer a monitoring system based on sensors network and data fusion. The company's technology provides real-time, continuous monitoring for any civil engineering, railroad, maritime, or energy application and analyzes the information using signal processing, enabling clients to obtain all the information required to optimize budget and facilitate maintenance planning.</t>
  </si>
  <si>
    <t>Bouygues Développement, Construction Venture, Crédit Agricole Alpes Développement, Sofimac Innovation, Sofimac Investment Managers</t>
  </si>
  <si>
    <t>infrastructure monitoring, maintenance technology, signal processing, structural health monitoring, vibration monitoring, web architecture</t>
  </si>
  <si>
    <t>Artificial Intelligence &amp; Machine Learning, Construction Technology, Industrials</t>
  </si>
  <si>
    <t>116696-71T</t>
  </si>
  <si>
    <t>Eurazeo (PAR: RF), Financière Saint James, Global Founders Capital, Idinvest Partners(Benoist Grossmann), Kima Ventures</t>
  </si>
  <si>
    <t>126048-88T</t>
  </si>
  <si>
    <t>BNP Paribas (PAR: BNP), Pays de La Loire Development, Pays de la Loire Participations, Sodero</t>
  </si>
  <si>
    <t>118354-33T</t>
  </si>
  <si>
    <t>Credit Agricole (PAR: ACA), Didier Rousseau(Didier Rousseau), Paris Region Venture Fund, Trail Solutions Patrimoine, UI Investissement</t>
  </si>
  <si>
    <t>191675-89T</t>
  </si>
  <si>
    <t>Doliam</t>
  </si>
  <si>
    <t>121464-64T</t>
  </si>
  <si>
    <t>Financière Saint James, Geoffroy Roux de Bézieux(Geoffroy Roux de Bézieux), Guillaume Clavel, Idinvest Partners, ISAI, Kima Ventures, Pierre Kosciusko Morizet(Pierre Kosciusko Morizet)</t>
  </si>
  <si>
    <t>116567-38T</t>
  </si>
  <si>
    <t>Soitec (PAR: SOI)(Paul Boudre), Zepp Health (NYS: ZEPP)(Wang Huang)</t>
  </si>
  <si>
    <t>116483-59T</t>
  </si>
  <si>
    <t>Apoletto Managers, DST Global(Thomas Stafford), Index Ventures, Kima Ventures</t>
  </si>
  <si>
    <t>117049-96T</t>
  </si>
  <si>
    <t>Bpifrance, Grand Luminy</t>
  </si>
  <si>
    <t>117654-76T</t>
  </si>
  <si>
    <t>Metronaut</t>
  </si>
  <si>
    <t>Application Software, Entertainment Software*, Movies, Music and Entertainment</t>
  </si>
  <si>
    <t>Developer of a tailor-made musical accompaniment application designed to help musicians enjoy playing music. The company's application makes musicians personalize their performance using the speed adaptation feature, takes control over tempo and key through the automatic and quality preserving transposition, and annotates and prints the scores, enabling users to enrich their musical skills and master the performances through acoustic and studio recordings.</t>
  </si>
  <si>
    <t>Bpifrance, Daphni, Nobuyuki Idei(Nobuyuki Idei), OneRagtime(Stéphanie Hospital), Sophie Gasperment(Sophie Gasperment), Thibault Viort(Thibault Viort), Yann Le Cun(Yann Le Cun)</t>
  </si>
  <si>
    <t>audio technology, audio technology application, interactive music, live interaction, music app, music learning, music practice, music sharing app</t>
  </si>
  <si>
    <t>115877-71T</t>
  </si>
  <si>
    <t>Genymobile</t>
  </si>
  <si>
    <t>Developer of Android-based technologies designed to customize the Android system to secure the IT environment while promoting compatibility between electronic devices and mobility connections. The company's technologies customize and build software as per the requirement as well as test and deploy them to adapt testing infrastructure through mobile use, enabling enterprises to promote compatibility between mobile devices, phones, tablets, computers, and mobility connections.</t>
  </si>
  <si>
    <t>Ryan Cook(Ryan Cook)</t>
  </si>
  <si>
    <t>android application, android emulation platform, information technology platform, mobile application, mobile technology, mobile technology developer, software development application</t>
  </si>
  <si>
    <t>113554-00T</t>
  </si>
  <si>
    <t>Padoa</t>
  </si>
  <si>
    <t>Developer of medical monitoring platform designed for occupational health and prevention services. The company's platform combines technology, data analysis and a multidisciplinary medical team that allows employees to complete their medical pre-examination on a digital tablet and independently carry out pre-screenings on various connected devices before meeting with the required medical staff, enabling its clients to improve workplace safety and enhance their efficiency with informed public health policy.</t>
  </si>
  <si>
    <t>employee health monitor, employee healthcare, healthcare platform, healthcare software, medical monitoring, occupational health, occupational healthcare, occupational safety</t>
  </si>
  <si>
    <t>204335-11T</t>
  </si>
  <si>
    <t>SkinDermic</t>
  </si>
  <si>
    <t>Developer of first-in-class small-molecule drugs designed to treat infectious and inflammatory skin diseases. The company's platform uses novel, safer, and effective drug candidates, internally discovered, for the treatment of acne, kapos' sarcoma, and other HHV8-associated diseases, enabling healthcare professionals to offer patients with these conditions new treatment options that are effective and have fewer side effects than existing therapies.</t>
  </si>
  <si>
    <t>acne care, anti-inflammatory drug, drug discovery, healthcare industry, healthcare products, molecule drug, skin treatment</t>
  </si>
  <si>
    <t>116463-34T</t>
  </si>
  <si>
    <t>Normandie Participations, Open CNP(Jonathan Denais)</t>
  </si>
  <si>
    <t>104261-14T</t>
  </si>
  <si>
    <t>Alpha Anomeric</t>
  </si>
  <si>
    <t>Developer of genetic medicines intended to provide the precision tools to modulate new RNA targets and neuromuscular diseases. The company's medicines are developed by a proprietary alpha anomeric-bicyclo DNA platform that reaches unprecedented precision in RNA modulation by eliminating common side effects of current oligonucleotide chemistries and by increasing the specificity and effectiveness of treatment, enabling physicians to treat patients with severe neuromuscular diseases.</t>
  </si>
  <si>
    <t>Advent Life Sciences(Rajesh Parekh)</t>
  </si>
  <si>
    <t>gene therapy, genetic disease, genetic disease treatment, genetic medicine, genetic medicine analysis, muscular dystrophy treatment, neuromuscular disease, oligos, rna</t>
  </si>
  <si>
    <t>117097-12T</t>
  </si>
  <si>
    <t>Dear Villagers</t>
  </si>
  <si>
    <t>Developer and publishers of video games intended to help studios to distribute games worldwide. The company's games are the driving force behind many indie successes by providing expertise and the strategy for the expansion of online sales, enabling publishers to distribute and publish their games globally on PC, consoles and mobile through a network of seventy partners.</t>
  </si>
  <si>
    <t>cloud gaming, console gaming, digital distribution, gaming content, gaming developer, gaming publisher, gaming software, gaming studio, mobile gaming, pc gaming, strategic consulting</t>
  </si>
  <si>
    <t>116406-64T</t>
  </si>
  <si>
    <t>Idinvest Partners, ISAI(Jean-David Chamboredon), Serena (Paris)(Marc Fournier)</t>
  </si>
  <si>
    <t>119157-31T</t>
  </si>
  <si>
    <t>244881-73T</t>
  </si>
  <si>
    <t>Solylend</t>
  </si>
  <si>
    <t>Financial Software*, Other Capital Markets/Institutions, Other Financial Services</t>
  </si>
  <si>
    <t>Developer of a crowdfunding platform designed to offer loans dedicated to innovations from the social and solidarity economy. The company's platform connects individual lenders to companies around eco-sustainable projects assisting with the development and improvement of living conditions in emerging countries, enabling businesses to have a proper crowd lending platform for solidarity.</t>
  </si>
  <si>
    <t>Techno'Start</t>
  </si>
  <si>
    <t>crowdfunding platform, crowdfunding platform developer, crowdfunding platform service, investment provider, investment provider platform, investment providing service</t>
  </si>
  <si>
    <t>117678-07T</t>
  </si>
  <si>
    <t>AFY Partners, Crédit Agricole Centre France Développement, Crédit Agricole Création, Sofimac Investment Managers, Sofinnova Partners(Michael Krel), Supernova Capital, Valquest Partners(Fadi Noureddine)</t>
  </si>
  <si>
    <t>138829-33T</t>
  </si>
  <si>
    <t>119872-09T</t>
  </si>
  <si>
    <t>Woom (Other Restaurants, Hotels and Leisure)</t>
  </si>
  <si>
    <t>Operator of a travel and tourism platform intended to find and book leisure activities. The company's platform allows users to search, compare and book tours, activities and events classified and based on themes and weather, enabling travelers to experience new and exciting adventures.</t>
  </si>
  <si>
    <t>BNP Paribas (PAR: BNP), Bpifrance, Crédit Agricole Centre France Développement, Incit'financing, JEREMIE Auvergne, Sofimac Investment Managers</t>
  </si>
  <si>
    <t>tourism information, tourism service platform, tourism technology, travel information, travel portal, vacation information, vacation portal</t>
  </si>
  <si>
    <t>191592-46T</t>
  </si>
  <si>
    <t>Cloudshift</t>
  </si>
  <si>
    <t>Developer of a cloud services integrator platform designed to specialize integration of cloud services. The company's platform helps to optimize customer cloud SaaS spending by mapping it with real usage seamlessly provisioning the changes, and providing major cloud services integration, enabling businesses to adapt to the digital environment while optimizing investments.</t>
  </si>
  <si>
    <t>IntilaQ, United Gulf Financial Services</t>
  </si>
  <si>
    <t>cloud integration, cloud integration platform, cloud integration services, digital environment, investment outcome, web platform</t>
  </si>
  <si>
    <t>116336-89T</t>
  </si>
  <si>
    <t>Lavoir Moderne</t>
  </si>
  <si>
    <t>Provider of on-demand laundry services intended to offer ecological cleaning and delivery services. The company's range of services includes washing, steam ironing, stain removal, manual ironing, and steam anti-crease coupled with online scheduling of pickup and delivery, enabling individuals to save time on mundane and repetitive laundry tasks.</t>
  </si>
  <si>
    <t>Axel Plasse, Bpifrance, Business Angel France, Denis Duverne, HEC Paris Incubation and Acceleration Center, Industry Capital, La French Tech Rennes St Malo</t>
  </si>
  <si>
    <t>dry cleaning, drying cleaning services, laundry care, laundry delivery, laundry delivery services, laundry pickup, laundry service provider, laundry solutions</t>
  </si>
  <si>
    <t>Saint Ouen l'Aumône, France</t>
  </si>
  <si>
    <t>116323-48T</t>
  </si>
  <si>
    <t>Balderton Capital, IRIS (Private Equity)(Stéphane Pesqué), RAISE Group(Pierre-Edouard Berion)</t>
  </si>
  <si>
    <t>136304-83T</t>
  </si>
  <si>
    <t>Beendi</t>
  </si>
  <si>
    <t>Food Products*, Information Services (B2C)</t>
  </si>
  <si>
    <t>Provider of pre-packed food and mixtures of products intended to offer ready-to-cook organic vegetarian food. The company focuses on offering organic, healthy, and gourmet vegetarian cuisine with various recipe-sharing information, enabling customers to receive pre-packed food and mixtures that are free of preservatives, coloring and additives.</t>
  </si>
  <si>
    <t>Daphni, Quadia, Spice Private Equity, Triodos Investment Management</t>
  </si>
  <si>
    <t>culinary blog, food mixture, indian food, mustard seeds, organic food, pre-packed food, ready-to-cook food, vegetarian cuisine, veggie food</t>
  </si>
  <si>
    <t>116240-68T</t>
  </si>
  <si>
    <t>Dolmen</t>
  </si>
  <si>
    <t>Developer of customer marketing platform designed to collect and use the data provided by the customers and prospects. The company's tool builds regular events essential for gaining new customers and synchronizes information in centralized databases for enriched content and optimal knowledge, enabling shop owners to know their customers better and build long-lasting relationships.</t>
  </si>
  <si>
    <t>Kreaxi, Mediapost(Adèle Albano), Salesforce Ventures</t>
  </si>
  <si>
    <t>customer marketing platform, customer marketing software, customer relationship management, digital marketing, local marketing software, marketing platform</t>
  </si>
  <si>
    <t>120346-30T</t>
  </si>
  <si>
    <t>Alterval, Crédit Agricole Normandie, NFactory (Accelerator), Normandie Participations, Solar Impulse</t>
  </si>
  <si>
    <t>158318-29T</t>
  </si>
  <si>
    <t>Sparted</t>
  </si>
  <si>
    <t>Developer of a mobile microlearning platform designed to boost frontline employees' performance all year long. The company's platform permits companies to create professional training content independently on a dedicated back office and distribute it to their employees via a fully customized white-label application in accordance with the company's visual identity, enabling companies to hire, train their employees, and attain their business goals.</t>
  </si>
  <si>
    <t>AngelSquare, Sia Partners</t>
  </si>
  <si>
    <t>business training platform, corporate learning platform, digital learning, e-learning application, employee performance analysis, employee performance optimization, games learning, microlearning platform, mobile learning, peer learning, social learning</t>
  </si>
  <si>
    <t>130417-12T</t>
  </si>
  <si>
    <t>Altavia Adventures, Fernbrook Partners</t>
  </si>
  <si>
    <t>116259-58T</t>
  </si>
  <si>
    <t>Arthur Waller(Arthur Waller), Idinvest Partners(Louis Bô), Kima Ventures(Xavier Niel), Nicolas Douay(Nicolas Douay), Paris-Saclay Seed Fund, Partech(Alison Imbert), Tancrède Besnard(Tancrède Besnard)</t>
  </si>
  <si>
    <t>116197-21T</t>
  </si>
  <si>
    <t>Alven Capital Partners(François Meteyer), Bertrand Diard(Bertrand Diard), Bouygues Telecom Initiatives, Dominique Vidal(Dominique Vidal), Hi Inov</t>
  </si>
  <si>
    <t>121411-18T</t>
  </si>
  <si>
    <t>Pop Valet</t>
  </si>
  <si>
    <t>Provider of automotive logistics services intended to offer vehicle transport by valet on request. The company's services provide door-to-door logistics, valet, maintenance service, carsharing and delivery of new vehicles to buyers, enabling customers to easily pick up their cars at the garage or the dealership.</t>
  </si>
  <si>
    <t>Industria Macchine Automatiche, Ternel</t>
  </si>
  <si>
    <t>automotive logistics, automotive logistics service, automotive logistics services, valet services, vehicle delivery service, vehicle shifting service</t>
  </si>
  <si>
    <t>116162-29T</t>
  </si>
  <si>
    <t>Alchimii</t>
  </si>
  <si>
    <t>Operator of an online catering platform intended to provide custom digital catering services. The company's platform offers custom catering for each event without predefined menus to provide flexibility and creative items in an organized way, enabling clients to get individualized menus to create a tailor-made experience for their events.</t>
  </si>
  <si>
    <t>Financière Saint James(Michaël Benabou)</t>
  </si>
  <si>
    <t>catering events, catering firm, catering food, catering platform, catering service provider, ghost kitchen, meals delivery, restaurant &amp; retail tech, restaurant and retail technology</t>
  </si>
  <si>
    <t>126790-30T</t>
  </si>
  <si>
    <t>Bpifrance, Foreis, Plug and Play Tech Center, Provence Business Angels, Région Sud Investissement</t>
  </si>
  <si>
    <t>116113-06T</t>
  </si>
  <si>
    <t>Alven Capital Partners(Charles Letourneur), BlackFin Capital Partners(Julien Creuze), Christophe Cremer(Christophe Cremer), Groupe Duval, Hugues Le Bret(Hugues Le Bret), Kernel Investissements(Pierre Kosciusko Morizet), Les Business Angels des Grandes Écoles, Pierre Kosciusko Morizet(Pierre Kosciusko Morizet)</t>
  </si>
  <si>
    <t>131866-12T</t>
  </si>
  <si>
    <t>Testamento</t>
  </si>
  <si>
    <t>Information Services (B2C)*, Legal Services (B2C), Other Insurance</t>
  </si>
  <si>
    <t>Operator of a web based SaaS software intended to transform the customer experience for stakeholders in the distribution of personal insurance. The company's platform provides information and a set of services to protect the client's assets and belongings and offers services including inheritance audit, asset inventory, beneficiary clause management, last will, and testament, enabling users to make provisions efficiently and securely.</t>
  </si>
  <si>
    <t>Allianz France, Eurazeo (PAR: RF), La France Mutualiste, Malakoff Humanis</t>
  </si>
  <si>
    <t>legal service platform, legal services company, legal testimony, legaltech company, legaltech platform, legaltech services</t>
  </si>
  <si>
    <t>208651-87T</t>
  </si>
  <si>
    <t>Transméa</t>
  </si>
  <si>
    <t>120159-91T</t>
  </si>
  <si>
    <t>Graftys</t>
  </si>
  <si>
    <t>Biotechnology, Surgical Devices*, Therapeutic Devices</t>
  </si>
  <si>
    <t>Developer of synthetic bone biomaterials designed to be used for reconstructive orthopedic surgery. The company offers a range of innovative, safe, and fully injectable calcium phosphate bone graft substitutes designed to target specific clinical applications, enabling patients to get quality and standard products for bone reconstructive and trauma surgery.</t>
  </si>
  <si>
    <t>GO Capital (France), Noshaq, TCD Capital(Frederic Convent), The Innovation Fund</t>
  </si>
  <si>
    <t>bone care, bone substitute, calcium product, medical device sales, medical innovation, orthobiologics technology, orthopedic products, synthetic bone</t>
  </si>
  <si>
    <t>120161-53T</t>
  </si>
  <si>
    <t>Otherwise</t>
  </si>
  <si>
    <t>Insurance Brokers*, Other Insurance, Other Services (B2C Non-Financial)</t>
  </si>
  <si>
    <t>Operator of an insurance platform intended to offer animal insurance services. The company's platform offers transparent formulas adapted to the budget including veterinary assistance and a collaborative bonus, enabling policyholders to automatically transmit the benefits through the compulsory plan and an advance on costs.</t>
  </si>
  <si>
    <t>360 Capital, EB Finance, INDEFI, Mutualia, PBF Holding Company</t>
  </si>
  <si>
    <t>animal insurance, animal insurance agency, animal insurance service, collaborative insurance, insurance platform, insurance renewal, online insurance platform</t>
  </si>
  <si>
    <t>120042-19T</t>
  </si>
  <si>
    <t>Ovrsea</t>
  </si>
  <si>
    <t>Developer of a freight management software designed to offer real-time monitoring and analytics for shipments overseas. The company's software offers quotations, online booking, real-time tracking and transport data analytics, enabling the transport industry to manage documents and reduce their transport costs while also controlling the budget.</t>
  </si>
  <si>
    <t>Bpifrance, Eduardo Ronzano(Eduardo Ronzano), Guillaume de Ville, Kima Ventures, Patrick Dalsace, Thibaud Elziere(Thibaud Elziere)</t>
  </si>
  <si>
    <t>freight forwarding, freight management, freight management platform, freight services, shipment tracking, transport data analysis</t>
  </si>
  <si>
    <t>Artificial Intelligence &amp; Machine Learning, Mobility Tech, SaaS</t>
  </si>
  <si>
    <t>155354-95T</t>
  </si>
  <si>
    <t>136560-34T</t>
  </si>
  <si>
    <t>Aselta Nanographics</t>
  </si>
  <si>
    <t>Provider of advanced software services intended to deliver integrated chip manufacturing. The company's services reduce the lithography costs for sub-32 nm integrated circuits, enabling customers to use e-Beam lithography equipment for all advanced technology nodes.</t>
  </si>
  <si>
    <t>A Plus Finance, CEA Investissement</t>
  </si>
  <si>
    <t>advances software service, advances technologies node, data preparation solutions, e-beam machine, ic manufacturing, integrated chip manufacturing, lithography, semiconductor manufacturing</t>
  </si>
  <si>
    <t>Nanotechnology, TMT</t>
  </si>
  <si>
    <t>114550-84T</t>
  </si>
  <si>
    <t>Logpickr</t>
  </si>
  <si>
    <t>Developer of business intelligence software designed to map, explore and monitor business processes as they occur. The company's platform uses techniques of process mining, artificial intelligence and big data analysis that offer smart process mining assistance, enabling users to understand, predict and improve how actions are running and to accelerate growth and reach operational excellence.</t>
  </si>
  <si>
    <t>ai automation platform, big data analysis, business analytics system, business intelligence, business intelligence software, business management platform, business management software, monitor business process, process mining</t>
  </si>
  <si>
    <t>139747-87T</t>
  </si>
  <si>
    <t>Banque Populaire Auvergne Rhône Alpes, Bpifrance, Linksium</t>
  </si>
  <si>
    <t>120666-97T</t>
  </si>
  <si>
    <t>Anaxago(Alexandre Heraud), Bpifrance, Cedric Delorme(Cedric Delorme), Government of Wallonia, National Institute Of Allergy and Infectious Diseases, Noshaq(Hugues Wallemacq), Portail de la Wallonie, Wellcome Trust</t>
  </si>
  <si>
    <t>110136-07T</t>
  </si>
  <si>
    <t>Bpifrance, Breega, Demeter Partners(Eric Marty), Emertec Gestion, NCI Gestion, Nord Capital Partenaires, SAP.iO, Yield Lab</t>
  </si>
  <si>
    <t>115518-07T</t>
  </si>
  <si>
    <t>Amaris Group(Olivier Brourhant), Aonia Ventures(Olivier Brourhant), Aster Capital(Jean-Marc Bally), BNP Paribas Développement, Bouygues Telecom Initiatives</t>
  </si>
  <si>
    <t>123140-44T</t>
  </si>
  <si>
    <t>Caast.tv</t>
  </si>
  <si>
    <t>Developer of a live commerce experiences platform designed for businesses to promote brand impact and boost performance. The company's platform features such as live streaming, audience amplification, project coordination, and strategic support, enabling brands, e-commerce sites, and marketplaces to increase sales and customer engagement through live shopping experiences.</t>
  </si>
  <si>
    <t>Finorpa(Benjamin Fitoussi), Nord France Amorçage</t>
  </si>
  <si>
    <t>community engagement, customer acquisition, customer community, customer retention, enterprise software, live shopping</t>
  </si>
  <si>
    <t>115961-14T</t>
  </si>
  <si>
    <t>LeCiseau</t>
  </si>
  <si>
    <t>Developer of a booking platform intended to provide discounted hairdressing services. The company's platform partners with service providers to offer discounted, convenient and hygienic hairdressing, enabling users to book hair-dressing appointments at an affordable price.</t>
  </si>
  <si>
    <t>123 Investment Managers, Matmut Innovation, UL Invest</t>
  </si>
  <si>
    <t>booking service, hairdressing company, hairdressing salon, hairdressing services, online hair care, online hair salon, online hairdresser portal</t>
  </si>
  <si>
    <t>115977-34T</t>
  </si>
  <si>
    <t>Zenpark</t>
  </si>
  <si>
    <t>Developer of a parking reservation platform designed to offer a practical and economical parking service. The company's platform optimizes parking spaces and curbing urban sprawl by using them to deploy connected, shared and carbon-free immobility services, enabling customers to respond to urban mobility and traffic issues easily.</t>
  </si>
  <si>
    <t>A-Venture(André Raoul), Demeter Partners(Benjamin Wainstain), EDF Pulse Ventures, Nestadio Capital, RATP Capital Innovation(Marie-Claude Dupuis), Ternel, Verve Ventures</t>
  </si>
  <si>
    <t>collaborative parking, fleet connectivity, fleet management, online reservation, parking, parking reservation, parking services, parking space, shared parking</t>
  </si>
  <si>
    <t>136745-20T</t>
  </si>
  <si>
    <t>Bleu Capital, Canaan Partners(Michael Gilroy), Eurazeo (PAR: RF)(Virginie Morgon), H14, Highland Europe(Anthony Zappalà), Seed4Soft</t>
  </si>
  <si>
    <t>227272-33T</t>
  </si>
  <si>
    <t>Exoneo</t>
  </si>
  <si>
    <t>Other Consumer Durables, Other Devices and Supplies, Therapeutic Devices*</t>
  </si>
  <si>
    <t>Developer of a biomimetic foot prosthesis designed to provide better walking sensations to the wearer. The company uses sustainable materials and biomimicry to create a comfortable, repairable, and affordable prosthesis, enabling users in emerging countries or in conflict zones to wear an accessible prosthetic and orthotic device.</t>
  </si>
  <si>
    <t>biomimetic technology, human anatomy, medical equipment manufacturing, medtech company, orthopedic care, orthotic device</t>
  </si>
  <si>
    <t>Villebon Sur Yvette, France</t>
  </si>
  <si>
    <t>159631-12T</t>
  </si>
  <si>
    <t>GenoScreen</t>
  </si>
  <si>
    <t>Developer of a genomic information platform intended to improve life science performance level about genomic analyses. The company's platform offer gene sequencing, genotyping, bioinformatics, preparation of genetic material, and typing of microorganisms, based on new sequencing and mass genotyping technologies, enabling clients to standardize and facilitate scientific analyses and monitoring services in molecular biology analyses and bioinformatics.</t>
  </si>
  <si>
    <t>bioinformatics, dna sequencing, genetic material, genomics, genotyping services, molecular biology analysis</t>
  </si>
  <si>
    <t>120172-78T</t>
  </si>
  <si>
    <t>Tridimeo</t>
  </si>
  <si>
    <t>Developer of 3D vision robots designed to offer high-speed quality control and automated robotic guidance. The company's robots monitor the color of the products to detect undesirable elements, such as a drop of liquid on the neck of a bottle, enabling manufacturers to systematize quality control, even on high-speed channels.</t>
  </si>
  <si>
    <t>CEA Investissement, Sofimac Investment Managers(Nicolas Boulay), Supernova Invest</t>
  </si>
  <si>
    <t>3d images technology, 3d vision sensor, 3d vision software, 3d vision technology, autonomous machine, industrial data analytics, intelligent robotics, robot technology, robots systems, vertical application</t>
  </si>
  <si>
    <t>3D Printing, Advanced Manufacturing, Artificial Intelligence &amp; Machine Learning, Big Data, Robotics and Drones</t>
  </si>
  <si>
    <t>154995-67T</t>
  </si>
  <si>
    <t>OpenHealth Company</t>
  </si>
  <si>
    <t>Enterprise Systems (Healthcare), Medical Records Systems*, Other Healthcare Technology Systems</t>
  </si>
  <si>
    <t>Provider of healthcare data collection and analysis platform intends to collect health data and transform this data into actions for reasoned health. The company's platform offers the collection and analysis of health data in real-time and relies on sources like pharmacies, outpatient medical, or patient longitudinal data, enabling health authorities, industry, researchers, and the public to get marketing and clinical research information.</t>
  </si>
  <si>
    <t>Innovation Capital (Paris)(Valéry Huot), LBO France(Valéry Huot)</t>
  </si>
  <si>
    <t>data ecosystem, health data analysis, health data provider, healthcare data analysis, healthcare data platform, healthcare data system, patient data</t>
  </si>
  <si>
    <t>Big Data, Digital Health, HealthTech, TMT</t>
  </si>
  <si>
    <t>116111-35T</t>
  </si>
  <si>
    <t>Daphni, Index Ventures(Martin Mignot), Kima Ventures</t>
  </si>
  <si>
    <t>127052-83T</t>
  </si>
  <si>
    <t>Wektoo</t>
  </si>
  <si>
    <t>Developer of inventory monitoring software designed to reduce shrinkage due to expired products and control waste. The company's software guides the users to the products to be checked for their expiration date, enabling retailers to better manage their soon-to-be expired products on a daily basis for a more efficient shelf life management.</t>
  </si>
  <si>
    <t>inventory accounting, inventory information, inventory management service, inventory productivity, inventory scanning, inventory software</t>
  </si>
  <si>
    <t>120383-65T</t>
  </si>
  <si>
    <t>ClickOn (Business/Productivity Software)</t>
  </si>
  <si>
    <t>Developer of an advertising analytics platform designed to help clients enhance the effectiveness of their television advertisements. The company's platform leverages proprietary real-time ad-recognition technology and lets users validate and optimize the media choices by selecting the most suitable combinations for achieving their objectives, enabling advertisers to measure and boost the impact of their offline advertising on their online environment.</t>
  </si>
  <si>
    <t>Entrepreneur Invest, Karista (Paris), Paris Region Venture Fund, Runa Capital(Dmitry Chikhachev)</t>
  </si>
  <si>
    <t>advertising optimization, customer relationship management, digital advertising, digital campaign, tv analytics, web synchronization</t>
  </si>
  <si>
    <t>245385-82T</t>
  </si>
  <si>
    <t>Fair (Beverages)</t>
  </si>
  <si>
    <t>Operator of a liquor brand intended to produce alcohol drinks from organic quinoa and sugar cane. The company's alcohols are produced from organic materials along with berries and cocoa by master distillers and brewers, enabling users to purchase and enjoy various flavored alcohols.</t>
  </si>
  <si>
    <t>Cameleon Invest</t>
  </si>
  <si>
    <t>alcohol manufacturer, alcohol manufacturing, alcoholic beverage product, alcoholic beverages maker, brewery owner, distillery management, liquor drinks, liquor firm</t>
  </si>
  <si>
    <t>115803-46T</t>
  </si>
  <si>
    <t>Teach on Mars</t>
  </si>
  <si>
    <t>Developer of a mobile application designed for training and education. The company's application provides a learning environment that incorporates technologies for the creation, distribution and management of professional and personal development content through users' smartphones, enabling clients to get access to any training on the marketplace and curate the content.</t>
  </si>
  <si>
    <t>Olbia Invest(Marie Fauré Lambert), Omnes Capital(Xavier Brunaud), Region Provence Alpes Cote d' Azur, Région Sud Investissement, Turenne Groupe</t>
  </si>
  <si>
    <t>education platform, learning environment, learning platform, learning platform operator, learning platform software, learning platform system, mobile learning, mobile learning app</t>
  </si>
  <si>
    <t>115792-21T</t>
  </si>
  <si>
    <t>Zoov</t>
  </si>
  <si>
    <t>Application Software, Automotive*, Other Transportation</t>
  </si>
  <si>
    <t>Developer of a shared mobility platform designed to provide safe and convenient inner-city transport. The company's platform offers e-bikes that are lightweight, compact, GPS enabled, and can be parked conveniently while saving space, enabling citizens to avail themselves safe, comfortable, and affordable transport for short-distance travel.</t>
  </si>
  <si>
    <t>Banque des Territoires, BNP Paribas Développement, C4 Ventures(Pascal Cagni), Daphni(Willy Braun), Road Ventures(Patrice Crisinel)</t>
  </si>
  <si>
    <t>bikes sharing, bikes sharing platform, climate tech company, electric bikes, electric vehicle sharing, micromobility, mobility app, mobility tech</t>
  </si>
  <si>
    <t>CleanTech, LOHAS &amp; Wellness, Manufacturing, Micro-Mobility, Mobile, Mobility Tech</t>
  </si>
  <si>
    <t>127500-13T</t>
  </si>
  <si>
    <t>Induo</t>
  </si>
  <si>
    <t>Operator of a textile company intended to offer repellent and breathable cotton shirt fabrics. The company focuses on offering fabrics using invisible technology that is resistant to stains and perspiration, while preserving the same touch and comfort as any other high-end cotton by recycling complex material blends or poorly sorted apparel waste, enabling customers to wear comfortable clothes at an affordable cost.</t>
  </si>
  <si>
    <t>breathable fabrics, cotton fabrics, cotton fabrics product, fabrics seller, recycling, recycling process, textile company, textile innovation, textile recycling</t>
  </si>
  <si>
    <t>189411-76T</t>
  </si>
  <si>
    <t>NG Biotech</t>
  </si>
  <si>
    <t>Diagnostic Equipment*, Laboratory Services (Healthcare), Other Devices and Supplies</t>
  </si>
  <si>
    <t>Developer of rapid point-of-care diagnostics intended to improve decision-making processes in healthcare. The company specializes in offering rapid diagnostic devices covering antimicrobial resistance, women's health, and infectious disease that allow biomarkers analysis from a biological direct sample such as a single finger-prick drop of blood, enabling doctors to decide in the context of a medical emergency, in the laboratory and at the bedside.</t>
  </si>
  <si>
    <t>Financiere Arbevel(Louis Geslin), Kreizig Invest</t>
  </si>
  <si>
    <t>diagnostic kits, diagnostic test development, immunoassay platform, modern medicine research, rapid diagnostic, rapid diagnostic test</t>
  </si>
  <si>
    <t>Guipry-Messac, France</t>
  </si>
  <si>
    <t>119894-05T</t>
  </si>
  <si>
    <t>Retail Reload</t>
  </si>
  <si>
    <t>Developer of inventory management software designed to achieve omnichannel initiatives delivered digitally. The company's software integrates enterprise hardware for merchandising, enterprise resource planning, customer relationship management, finance, warehouse management, big data, and point-of-sale store technology, enabling retailers to achieve real-time omnichannel conversion and recharge their inventories for the maximum return on investment.</t>
  </si>
  <si>
    <t>Mainetti UK</t>
  </si>
  <si>
    <t>ecommerce inventory management, industrial data analytics, industrial iot, inventory management application, inventory management platform, inventory management system, inventory management technology, product information &amp; inventory management, product information and inventory management, retail store operation, stock management, vertical application</t>
  </si>
  <si>
    <t>Advanced Manufacturing, Artificial Intelligence &amp; Machine Learning, Big Data, Internet of Things, SaaS, Supply Chain Tech</t>
  </si>
  <si>
    <t>135331-21T</t>
  </si>
  <si>
    <t>SNCF Digital Ventures</t>
  </si>
  <si>
    <t>115725-07T</t>
  </si>
  <si>
    <t>Banque Populaire, BNF Capital, Caisse d'Epargne, Natixis(Pierre-Antoine Vacheron), Partech, Sodexo Ventures(Belen Moscoso-del-Prado), Sofina (BRU: SOF)</t>
  </si>
  <si>
    <t>115712-92T</t>
  </si>
  <si>
    <t>Aglaé Ventures, RAISE Group(François Collet)</t>
  </si>
  <si>
    <t>120354-13T</t>
  </si>
  <si>
    <t>AlgoSource</t>
  </si>
  <si>
    <t>Operator of a vertically integrated business intended for the cultivation and processing of algae. The company is involved in algae cultivation, research &amp; development related to algae cultivation and processing, and consulting and engineering services for algae producers, enabling clients to advance in the field of biotechnology and innovation.</t>
  </si>
  <si>
    <t>Crédit Maritime Atlantique, GO Capital (France), Pays de La Loire Development, Pays de la Loire Participations, Sodero</t>
  </si>
  <si>
    <t>algae cultivation technology, algae processing, clinical nutrition, microalgae farming, organic ingredients, protein complex, r&amp;d firm, strategy consulting</t>
  </si>
  <si>
    <t>Guerande, France</t>
  </si>
  <si>
    <t>192244-69T</t>
  </si>
  <si>
    <t>MyBrain Technologies</t>
  </si>
  <si>
    <t>Application Software, Electronic Equipment and Instruments*</t>
  </si>
  <si>
    <t>Developer of a health wearable designed to assist in reducing stress and maintaining mental peace by tuning in to music. The company's wearable is an application connected electronic headset that evaluates mental state in real-time by measuring brain activity, sends information regarding the brain's state of anxiety, and plays relaxing music to relieve stress, enabling users to measure and optimize brain health.</t>
  </si>
  <si>
    <t>Quadrivium Capital Partners</t>
  </si>
  <si>
    <t>anti-stress wearable, health wearable, mental health monitoring, mental stress prevention, stress analysis, stress monitor, stress monitoring, stress therapy</t>
  </si>
  <si>
    <t>117811-72T</t>
  </si>
  <si>
    <t>Schoolmouv</t>
  </si>
  <si>
    <t>Developer of an online educational platform designed to offer video courses. The company's platform facilitates online video tutoring, course and review sheets, quizzes, methodology, and exercises for training for high school, enabling students to get an alternative to private lessons easily.</t>
  </si>
  <si>
    <t>M Capital Partners, Matmut, Matmut Innovation, SWEN Capital Partners</t>
  </si>
  <si>
    <t>digital education, digital education platform, educational platform, tutoring website, video tutorials, video tutoring</t>
  </si>
  <si>
    <t>121026-61T</t>
  </si>
  <si>
    <t>Bpifrance(Edwige Kharoubi), Chantal Baudron(Chantal Baudron)</t>
  </si>
  <si>
    <t>127010-89T</t>
  </si>
  <si>
    <t>Dominique Vidal(Dominique Vidal), Prime Ventures(Pieter Welten)</t>
  </si>
  <si>
    <t>120716-38T</t>
  </si>
  <si>
    <t>Antoine Jouin(Antoine Jouin), Bpifrance(Vanessa Giraud), IRDI Capital Investissement(Benjamin Lillo)</t>
  </si>
  <si>
    <t>139080-34T</t>
  </si>
  <si>
    <t>Edenred Capital Partners, Holnest, Jean-Michel Aulas(Jean-Michel Aulas), Patrice Thiry(Patrice Thiry), Patrick Bertrand(Patrick Bertrand), Seed4Soft</t>
  </si>
  <si>
    <t>120256-57T</t>
  </si>
  <si>
    <t>Breizh Angels, Crédit Agricole Finistère, Sofimac Innovation, UI Investissement</t>
  </si>
  <si>
    <t>125880-76T</t>
  </si>
  <si>
    <t>215410-87T</t>
  </si>
  <si>
    <t>Eisox</t>
  </si>
  <si>
    <t>Business/Productivity Software, Electronic Equipment and Instruments*, Other Commercial Services, Other Equipment</t>
  </si>
  <si>
    <t>Provider of a thermostatic radiator valve intended to regulate the temperature in the building through technical management by eliminating unnecessary consumption. The company offers intelligent thermostatic heads capable of regulating the temperature in each room of the house according to its sensors, enabling users to save energy without sacrificing the comfort of a warm home thanks to artificial intelligence.</t>
  </si>
  <si>
    <t>Anjou Amorcage, Le Village by CA</t>
  </si>
  <si>
    <t>artificial intelligence chips, smart building, smart building iot, smart building system, smart thermostat product, thermostatic valves</t>
  </si>
  <si>
    <t>116821-27T</t>
  </si>
  <si>
    <t>Western Digital Capital, Western Digital Technologies (NAS: WDC)</t>
  </si>
  <si>
    <t>134415-73T</t>
  </si>
  <si>
    <t>Capitole Angels, Sofilaro</t>
  </si>
  <si>
    <t>195570-10T</t>
  </si>
  <si>
    <t>Cours des Grands</t>
  </si>
  <si>
    <t>Developer of an ed-tech platform intended to offer a good tutoring experience for prep class students. The company's platform has developed a one-to-many live virtual private tutoring service,let teachers deliver a live teaching experience to students over the internet, regardless of their location, enabling both students and teachers to benefit because of the convenience, accessibility, in terms of productivity, timing, and personal organization.</t>
  </si>
  <si>
    <t>edtech company, edtech firm, edtech platform, edtech services, edtech software, educational organization</t>
  </si>
  <si>
    <t>120355-66T</t>
  </si>
  <si>
    <t>Centre Capital Développement, GO Capital (France)</t>
  </si>
  <si>
    <t>156230-29T</t>
  </si>
  <si>
    <t>Q3 Advocacy</t>
  </si>
  <si>
    <t>Developer of a cloud-based platform designed to amplify the reviews of satisfied customers detected from the company's database. The company's platform offers tools that collect real-time customer feedback, select and promote positive customer reviews, and encourage brand supporters through promotional offers, enabling businesses to improve customer relationship management and increase the visibility of brand supporters online.</t>
  </si>
  <si>
    <t>Crédit Agricole Alpes Provence (PAR: CRAP), Turenne Groupe</t>
  </si>
  <si>
    <t>brand management tool, customer engagement, customer engagement software, customer loyalty, customer rating platform, customer reviews tracking, lawyer management platform, satisfaction surveys</t>
  </si>
  <si>
    <t>115629-04T</t>
  </si>
  <si>
    <t>HighLife</t>
  </si>
  <si>
    <t>Developer of a novel transcatheter replacement system designed to help in the treatment of mitral regurgitation. The company's system targets optimal treatment outcomes as it can be delivered through a transseptal passage via the femoral vein in a reversible manner and self-locates inside the native annulus, enabling physicians to reduce trauma to the patients while carrying out severe heart surgery procedures.</t>
  </si>
  <si>
    <t>Andera Partners(Olivier Litzka), Jose Gordo(Jose Gordo), Sectoral Asset Management(Marc-André Marcotte), Sofinnova Partners(Antoine Papiernik), U.S. Venture Partners(Casey Tansey), VI Partners</t>
  </si>
  <si>
    <t>heart valve repair, minimally invasive device, mitral regurgitation, mitral valve repair, mitral valve treatment, transcatheter technology, transcatheter treatment, transcatheter valves, valves replacement</t>
  </si>
  <si>
    <t>218461-51T</t>
  </si>
  <si>
    <t>139276-18T</t>
  </si>
  <si>
    <t>192233-62T</t>
  </si>
  <si>
    <t>Moovlab</t>
  </si>
  <si>
    <t>Educational and Training Services (B2C)*, Other Hardware</t>
  </si>
  <si>
    <t>Operator of a virtual classroom platform intended to support virtual fitness clubs, gyms, and boutiques. The company's platform offers interactive fitness circuit training using motion sensors, and algorithms embedded in dedicated wearables, which analyze fitness gestures and performance, enabling customers to automatically adapt to personalized training exercises through its application.</t>
  </si>
  <si>
    <t>Crédit Agricole Alpes Provence (PAR: CRAP), Gentian Diagnostics (OSL: GENT)</t>
  </si>
  <si>
    <t>circuit training, fitness sensor, fitness technology, motion sensor, motion tracking, sports technology</t>
  </si>
  <si>
    <t>EdTech, Mobile, Wearables &amp; Quantified Self</t>
  </si>
  <si>
    <t>Saint-Martin-d'Uriage, France</t>
  </si>
  <si>
    <t>115587-64T</t>
  </si>
  <si>
    <t>BDR Innovation et Transmission, BFC Croissance(Anthony Faurand), Groupama Banque</t>
  </si>
  <si>
    <t>115358-95T</t>
  </si>
  <si>
    <t>TalentSoft</t>
  </si>
  <si>
    <t>Developer of human resources (HR) software intended to accelerate talent transformation. The company's products provide assistance with core HR and administrative management, talent acquisition, talent management and learning, enabling clients to transform the skills and talents of their workforce with agility and purpose.</t>
  </si>
  <si>
    <t>Bpifrance, Entier Capital, Goldman Sachs Growth Equity, TempoCap(Adam Shepherd)</t>
  </si>
  <si>
    <t>hr software suite, hr tech, hr technology tools, human capital management, training support</t>
  </si>
  <si>
    <t>24433-84T</t>
  </si>
  <si>
    <t>Ordinal Software</t>
  </si>
  <si>
    <t>Developer of industrial software designed to aid clients in controlling manufacturing execution. The company's software is a collaborative operations &amp; execution technology that delivers supervisory control and data acquisition (SCADA) &amp; military engineer services (MES) features and delivers a model directly toward the material, the batches, the recipes, or the ranges, the equipment, enabling manufacturing companies to get process traceability, supervision functions, quality control, production performance analysis, and manufacturing intelligence.</t>
  </si>
  <si>
    <t>Aster Capital(Jean-Marc Bally), Sopromec Participations</t>
  </si>
  <si>
    <t>industrial platform, industrial technology, manufacturing execution software, manufacturing execution system, process management tool, software consulting, web technology</t>
  </si>
  <si>
    <t>114547-60T</t>
  </si>
  <si>
    <t>CapHorn Invest, Consensys Mesh(Shawn Cheng), Digital Currency Group, Eric Larchevêque(Eric Larchevêque), Frédéric Potter(Frédéric Potter), Investisseurs &amp; Partenaires, Nicolas Pinto, Thomas France(Thomas France), XAnge(Alexis du Peloux)</t>
  </si>
  <si>
    <t>130741-03T</t>
  </si>
  <si>
    <t>Lucky Cart</t>
  </si>
  <si>
    <t>Provider of promotional strategies and services intended to promote brands on a multi-channel basis. The company's services help online retailers increase their sales while reducing their promotional budget and offer promo gaming, enabling online retailers to offer their customers a chance to win a refund of their shopping carts immediately after purchase.</t>
  </si>
  <si>
    <t>Calao Finance, Edenred Capital Partners, FaDiese, Jean-Paul Villot(Jean-Paul Villot), Partech(Nicolas El Baze), Pleiade Venture</t>
  </si>
  <si>
    <t>analytics &amp; cdps, analytics and cdps, information services, marketing portal, marketing service, promotion service platform, purchasing behavior, shopping cart</t>
  </si>
  <si>
    <t>Artificial Intelligence &amp; Machine Learning, E-Commerce, Marketing Tech, SaaS, TMT</t>
  </si>
  <si>
    <t>121372-03T</t>
  </si>
  <si>
    <t>Wevat</t>
  </si>
  <si>
    <t>Developer of a mobile application designed to electronically reclaim value-added tax on purchases. The company's application offers to digitize tax-free shopping and electronically reclaim value-added tax on purchases, enabling users to experience transparency in their international shopping and save money.</t>
  </si>
  <si>
    <t>Andrew Phillipps(Andrew Phillipps), David Andrews(David Andrews), Entrée Capital, Firstminute Capital, Mustard (London), Nicholas Wright(Nicholas Wright), Sweet Capital, William Neale(William Neale)</t>
  </si>
  <si>
    <t>refund platform, tax free shopping, tax platform, tax refund, tax refund platform, tourist tax refund, vat refund</t>
  </si>
  <si>
    <t>160377-49T</t>
  </si>
  <si>
    <t>Aktan</t>
  </si>
  <si>
    <t>Business/Productivity Software, Consulting Services (B2B)*</t>
  </si>
  <si>
    <t>Operator of a business services company intended to propose and complement the global approach to the creation of an entrepreneurial approach. The company is involved in all stages of implementation such as outreach and mobilization, engineering equipment and strategies, and exploration and design innovations, enabling clients to anticipate and foster a desirable future.</t>
  </si>
  <si>
    <t>GO Capital (France), Pentalabbs</t>
  </si>
  <si>
    <t>business service company, business transformation, innovation management, service design, service strategy, strategic exploration</t>
  </si>
  <si>
    <t>127218-61T</t>
  </si>
  <si>
    <t>Arcure (PAR: ALCUR)</t>
  </si>
  <si>
    <t>Arcure SA is a developer of solutions for enhancing the autonomy of industrial machinery. The company offers BLAXTAIR, solutions for securing the perimeter around mobile industrial machinery and robots. The Blaxtair system is for detecting/classifying obstacles and pedestrians are the highest performing solutions on the market.</t>
  </si>
  <si>
    <t>Inocap Gestion, Inveready Asset Management, Odyssee Venture, Supernova Invest</t>
  </si>
  <si>
    <t>collision avoidance, embedded camera, object detection, pedestrian detection, video based system, video camera, video detection</t>
  </si>
  <si>
    <t>Industrials, Robotics and Drones</t>
  </si>
  <si>
    <t>132810-58T</t>
  </si>
  <si>
    <t>Kima Ventures, Pays de la Loire Participations</t>
  </si>
  <si>
    <t>210712-51T</t>
  </si>
  <si>
    <t>Bizon</t>
  </si>
  <si>
    <t>Operator of marketing software intended for brand performance on Amazon. The company specializes in making any brand, of all sizes, capable of selling its product via Amazon Marketplace, enabling businesses with all the setup and support they need in technical, logistical, administrative, accounting, search engine optimization (SEO) and multilingual management.</t>
  </si>
  <si>
    <t>data analysis, ecommerce tools, marketing agency, online brand, online product, performance analytics tool</t>
  </si>
  <si>
    <t>129185-02T</t>
  </si>
  <si>
    <t>117964-18T</t>
  </si>
  <si>
    <t>140706-55T</t>
  </si>
  <si>
    <t>Banque Populaire, China Investment Corporation, Financière de Brienne</t>
  </si>
  <si>
    <t>169844-59T</t>
  </si>
  <si>
    <t>Ethiquable</t>
  </si>
  <si>
    <t>Operator of a food-producing company intended to offer natural and healthy nutrient supplements. The company offers coffee, juice and chocolates through fair trade and at subsidized rates, enabling consumers to have natural food items at affordable prices.</t>
  </si>
  <si>
    <t>Ecofi Investissements, France Active, Inco Ventures, Mirova, NovESS</t>
  </si>
  <si>
    <t>chocolate producer, chocolate product, consumer product, food product producer, healthy nutrients, organic product</t>
  </si>
  <si>
    <t>Fleurance, France</t>
  </si>
  <si>
    <t>133427-53T</t>
  </si>
  <si>
    <t>Eventtia</t>
  </si>
  <si>
    <t>Developer of an event management platform intended to simplify the work for improved data analysis and event management. The company's platform helps to plan and manage the event from anywhere with features such as online registration, website editor, badges and check-in, program management, invoices and payment and email marketing, enabling clients to achieve the complete digitization of the event and grow their business.</t>
  </si>
  <si>
    <t>customer relationship, event management, event promotion, marketing skills, micromobility, project management, virtual event</t>
  </si>
  <si>
    <t>213673-24T</t>
  </si>
  <si>
    <t>Fluoptics</t>
  </si>
  <si>
    <t>Developer of a fluorescence imaging technology designed to optically guide cancer surgery. The company's technology is a real-time near-infrared imager that combines autofluorescence and fluorescence perfusion imaging to provide the surgeon with a perfect understanding of the location and perfusion of the parathyroid glands, enabling surgeons to secure and improve the effectiveness of the interventions.</t>
  </si>
  <si>
    <t>Supernova Invest, UI Investissement</t>
  </si>
  <si>
    <t>cancer care, clinical imaging technology, fluorescence imaging, imaging technology, infrared imaging system, oncology care</t>
  </si>
  <si>
    <t>Oncology</t>
  </si>
  <si>
    <t>165407-23T</t>
  </si>
  <si>
    <t>Galion</t>
  </si>
  <si>
    <t>Operator of a think tank intended to guide tech entrepreneurs through their startup-building process. The company's services include providing key insights on business practices and knowledge on various subjects, producing reference content for startups as well as guiding through the initial funding process, enabling startup founders to achieve collective intelligence in creating their companies.</t>
  </si>
  <si>
    <t>Daffourd Invest, Simon Dawlat</t>
  </si>
  <si>
    <t>business ideas generation, corporate responsibility initiatives, entrepreneurs support, regulatory guidance, structural analysis, tech guidance, think tank</t>
  </si>
  <si>
    <t>117966-79T</t>
  </si>
  <si>
    <t>Into The Green</t>
  </si>
  <si>
    <t>Other Consumer Durables*, Specialty Retail</t>
  </si>
  <si>
    <t>Manufacturer of garden products and accessories intended to aid in landscaping and agriculture. The company's offerings include a selection of equestrian, winery, agricultural, and gardening products like stakes, gazelles, and structures, enabling customers to avail themselves of various gardening tools at an affordable price.</t>
  </si>
  <si>
    <t>agriculture food, garden product, garden tools, gardening kits, landscaping tools, wooden accessories</t>
  </si>
  <si>
    <t>Grenay, France</t>
  </si>
  <si>
    <t>138820-06T</t>
  </si>
  <si>
    <t>Bpifrance, Ocean Participations, Pays de la Loire Participations, Volney Developpement</t>
  </si>
  <si>
    <t>125079-04T</t>
  </si>
  <si>
    <t>280407-25T</t>
  </si>
  <si>
    <t>June Chez Vous</t>
  </si>
  <si>
    <t>Operator of an online course platform designed for wellness practices. The company's platform offers a variety of courses including yoga, pilates, mindfulness, and well-being, with expert guidance from teachers and specialists, enabling individuals to practice remotely at their convenience and access a range of disciplines such as meditation, breathing exercises, naturopathy, nutrition, and personal development to enhance both physical and mental health.</t>
  </si>
  <si>
    <t>breathing exercise, experts system, meditation firm, pilates studio, posture improvement, wellness advice, yoga guide</t>
  </si>
  <si>
    <t>139270-24T</t>
  </si>
  <si>
    <t>Kizbat</t>
  </si>
  <si>
    <t>Provider of a robot fighter game created for experiencing robot games online. The company's online game helps robot enthusiasts to control robots centralized in arenas remotely in real-time directly from their web browser, enabling gamers to experience real robot fighting.</t>
  </si>
  <si>
    <t>fighter games, robots fighter games, robots gameplay, robots games, virtual world</t>
  </si>
  <si>
    <t>Gaming, Robotics and Drones, TMT, Virtual Reality</t>
  </si>
  <si>
    <t>116695-54T</t>
  </si>
  <si>
    <t>Founders Future(Victoire de Lavigne), Heartcore Capital(Yacine Ghalim), Kima Ventures</t>
  </si>
  <si>
    <t>172077-58T</t>
  </si>
  <si>
    <t>LaVilleE+</t>
  </si>
  <si>
    <t>Construction and Engineering, Consulting Services (B2B)*, Other Commercial Services</t>
  </si>
  <si>
    <t>Operator of an urban strategic consulting firm intended to help public or private clients with the co-creation of urban space. The company offers collaborative workshops, impact assessment, strategic formulation, and strategic negotiation, enabling clients to develop negotiated, less risky financed projects.</t>
  </si>
  <si>
    <t>business consulting, project management, project management assistance, strategic coaching, strategic consultation, urban project development</t>
  </si>
  <si>
    <t>118232-11T</t>
  </si>
  <si>
    <t>Les 2 Rives</t>
  </si>
  <si>
    <t>Developer of an educational software designed to offer coaching services. The company's software offers coaching programs for VAE exams in diplomas of any level or field, enabling employees, freelancers and job seekers to get personal coaching to receive the professional experience validation degree and to advance in their careers.</t>
  </si>
  <si>
    <t>Abeille Impact Investing France</t>
  </si>
  <si>
    <t>coaching classes, coaching program, education service, educational software, educational software program, professional coaching, professional education provider</t>
  </si>
  <si>
    <t>130073-77T</t>
  </si>
  <si>
    <t>118256-59T</t>
  </si>
  <si>
    <t>MobiGIS</t>
  </si>
  <si>
    <t>Deveoper of a geographic information systems software intended to improve and plan passenger transport systems. The company's software integrates with GIS space used for transportation, logistics and crisis risk prevention and outputs data in real time, enabling private and public sector organizations to improve transport facilities and cut down transportation costs.</t>
  </si>
  <si>
    <t>gis map interface, gis mapping, gis mapping software, gis routing planner, transport cost reduction</t>
  </si>
  <si>
    <t>Grenade, France</t>
  </si>
  <si>
    <t>133320-79T</t>
  </si>
  <si>
    <t>Nocnoc (Other Restaurants, Hotels and Leisure)</t>
  </si>
  <si>
    <t>Operator of a real estate management platform designed to focus on conviviality and create beautiful memories. The company's platform creates and manages advertisements on various websites, manages day-to-day prices and responsiveness to booking requests, and facilitates communication with the guest before and during the rental, enabling travelers to easily rent homes and look for accommodations, business trips, and seminars for short or long term stays.</t>
  </si>
  <si>
    <t>airbnb management, home sharing, real estate agency, rent home, rent property, seasonal rental, vacation home</t>
  </si>
  <si>
    <t>118966-69T</t>
  </si>
  <si>
    <t>Nowfashion</t>
  </si>
  <si>
    <t>Operator of an online fashion magazine intended to offer fashion show-related photos and news to customers. The company's magazine offers information regarding fashion collections in real-time, live images and streaming of fashion shows online, enabling customers to view all the collections on a global scale and stay updated about the current fashion change.</t>
  </si>
  <si>
    <t>Alain Maestracci(Alain Maestracci), Francesco Maio(Francesco Maio), Luca Ascani(Luca Ascani)</t>
  </si>
  <si>
    <t>fashion magazine, fashion magazine online, fashion news, fashion photo, fashion show, magazine app, magazine media, menswear fashion, online magazine</t>
  </si>
  <si>
    <t>118234-00T</t>
  </si>
  <si>
    <t>Octopeek</t>
  </si>
  <si>
    <t>Provider of consulting and training services intended to make big data accessible to all businesses. The company's services make it possible to collect, store, secure the data, and extract the full value through data science workflows through cleaning, enrichment, analysis, modeling, visualization, and artificial intelligence processing, enabling companies to improve business performance and productivity through artificial intelligence.</t>
  </si>
  <si>
    <t>big data collection, data analysis, data analysis service, data analysis training, data processing training, data science workflow</t>
  </si>
  <si>
    <t>Enghien les Bains, France</t>
  </si>
  <si>
    <t>181240-39T</t>
  </si>
  <si>
    <t>Oh BiBi</t>
  </si>
  <si>
    <t>Developer of mobile games designed to offer a competitive video gaming experience. The company's games include social and multiplayer games based on action and role-play with many animated characters and cartoons, enabling users to enjoy mobile games with immersive technology.</t>
  </si>
  <si>
    <t>Capza(Jean-Luc Cyrot)</t>
  </si>
  <si>
    <t>competitive gaming, game publisher, gaming content, gaming studio, mobile application, mobile games, multiplayer games, rpg games, social gaming, strategy games, video gaming</t>
  </si>
  <si>
    <t>118004-86T</t>
  </si>
  <si>
    <t>Orientoi</t>
  </si>
  <si>
    <t>Developer of an orientation assistance platform designed to improve academic and professional introduction. The company's platform uses artificial intelligence tools to assist individuals in communicating through mini-games highlighting skills, interpersonal skills, and values, enabling young people to succeed in their educational activities.</t>
  </si>
  <si>
    <t>education application, educational guidance, guidance platform, mini games, orientation platform, orientation tools</t>
  </si>
  <si>
    <t>207308-53T</t>
  </si>
  <si>
    <t>Pause V.I.Pee</t>
  </si>
  <si>
    <t>Provider of public restroom management services intended to offer an ecological approach to public toilets. The company's services include managing washrooms that are soundproofed and have automatic doors and a service hostess on-site who ensures the correct supply of toilet paper, enabling people to have access to clean washrooms.</t>
  </si>
  <si>
    <t>public restroom, public restroom management, public toilets maintenance, restroom service, toilet cleaners, washroom management</t>
  </si>
  <si>
    <t>242895-07T</t>
  </si>
  <si>
    <t>PK MED</t>
  </si>
  <si>
    <t>Developer of injectable small molecules and biodegradable micro-implants intended to improve bone marrow transplantation outcomes. The Company offers different approaches to product development, like drug reformulation &amp; repurposing, drug delivery, biomaterials design, and technology innovations, enabling the healthcare industry to provide advanced end products for tissue regeneration and local drug delivery.</t>
  </si>
  <si>
    <t>Truffle Capital(Philippe Pouletty)</t>
  </si>
  <si>
    <t>drug delivery, gout treatment, immunology, implants therapy, inflammatory pain treatment, injectable, osteoarthritis, rheumatology, rheumatology treatment, small molecule, tissue regeneration</t>
  </si>
  <si>
    <t>130016-80T</t>
  </si>
  <si>
    <t>Bpifrance, Consensys Mesh(Gabriel Anderson)</t>
  </si>
  <si>
    <t>115064-29T</t>
  </si>
  <si>
    <t>Revele</t>
  </si>
  <si>
    <t>Provider of products designed for contact sports intended to inspire and empower athletes. The company's products include women's gears that come in different sizes and can be used for different sports activities like football, rugby and boxing, amongst other sports, enabling women athletes to access soft chest protection.</t>
  </si>
  <si>
    <t>Cedre Participations, Kima Ventures</t>
  </si>
  <si>
    <t>contact sports gear, sporting goods, sports equipment maker, sports gear provider, sports protection</t>
  </si>
  <si>
    <t>118270-72T</t>
  </si>
  <si>
    <t>Scaledge</t>
  </si>
  <si>
    <t>Operator of an advertising media platform intended to transform mobile networks into active media. The company's platform is attached to network infrastructure and leverages a unique algorithm, exploiting multi-dimension datasets to generate deep user insights, enabling advertisers to deliver their message and provide their customers with a rewarding experience.</t>
  </si>
  <si>
    <t>advertising media, advertising network, advertising platform, media technology, network infrastructure, user insights</t>
  </si>
  <si>
    <t>218414-26T</t>
  </si>
  <si>
    <t>So Sample</t>
  </si>
  <si>
    <t>Operator of market research and polling sector intended to help businesses connect with their market and consumers and grow globally in Europe. The company offers services such as video content, an ambassador program and influencer campaigns, enabling users to access all supplier-centric operations.</t>
  </si>
  <si>
    <t>consumer electronic, data dashboard, digital campaign, marketing agency, multiple marketplace, product marketing, support business</t>
  </si>
  <si>
    <t>Villeneuve D'Ascq, France</t>
  </si>
  <si>
    <t>155603-80T</t>
  </si>
  <si>
    <t>Sysark</t>
  </si>
  <si>
    <t>Monitoring Equipment, Other Devices and Supplies*</t>
  </si>
  <si>
    <t>Developer of gamma-ray advanced devices intended to facilitate medical imaging and preparation of radioactive drugs. The company designs, manufactures, and markets isolated robotics and machine vision to automate the preparation, mixing, storage, and packaging of injectable drugs into nested vials, syringes, or cartridges, enabling health institutions and laboratories to research and develop safe and affordable radiopharmaceutical drugs for efficient treatment.</t>
  </si>
  <si>
    <t>drug testing tool, measuring device, medical imaging device, nuclear medicine, radioactive drug development, semiconductor measuring device</t>
  </si>
  <si>
    <t>Life Sciences, Manufacturing, Robotics and Drones</t>
  </si>
  <si>
    <t>Villers-Les-Nancy, France</t>
  </si>
  <si>
    <t>220344-22T</t>
  </si>
  <si>
    <t>Teeps</t>
  </si>
  <si>
    <t>Developer of customer management software designed to generate growth and engagement. The company provides in-house technologies to identify, engage, and activate prospects, enabling customers and ambassadors in an efficient way for business expansion.</t>
  </si>
  <si>
    <t>business expansion, business growth, customer management, data analysis, engagement marketing, engagement model</t>
  </si>
  <si>
    <t>124676-11T</t>
  </si>
  <si>
    <t>128271-43T</t>
  </si>
  <si>
    <t>118272-43T</t>
  </si>
  <si>
    <t>YBCData</t>
  </si>
  <si>
    <t>Provider of customized data-driven services to real stores intended to offer data intelligence and automation services. The company's services include data mining, data extraction, business intelligence, operations research and machine learning services, enabling businesses to extract crucial data and make informed strategic decisions, improve operational efficiency and productivity.</t>
  </si>
  <si>
    <t>ai automation platform, business intelligence data, business intelligence firm, data analysis, data analysis service, data extraction service</t>
  </si>
  <si>
    <t>121477-78T</t>
  </si>
  <si>
    <t>Yello (Financial Software)</t>
  </si>
  <si>
    <t>Developer of a payment terminal platform designed for sales and integrated marketing. The company's platform allows merchants to deliver their services in ways that are fully consistent across physical and digital channels with universal payment acceptance at an affordable price, enabling clients to accept all forms of payments digitally in a secure manner.</t>
  </si>
  <si>
    <t>Gauss Ventures, Hard Yaka</t>
  </si>
  <si>
    <t>digital payment, healthcare automation systems, kiosk application, online payment platform, payment aggregator, payment service, retail business software</t>
  </si>
  <si>
    <t>B2B Payments, FinTech, Mobile Commerce, SaaS, TMT</t>
  </si>
  <si>
    <t>126086-59T</t>
  </si>
  <si>
    <t>Zappik</t>
  </si>
  <si>
    <t>Business/Productivity Software*, Consulting Services (B2B), Media and Information Services (B2B), Other Commercial Services</t>
  </si>
  <si>
    <t>Developer of a management platform to assist clients to speed up their projects with efficiency. The company's services assist individual freelancers and businesses to perform a variety of tasks including detailed analysis, performance estimations, project management, training, possible strategy evaluation and specific execution plans, enabling clients to save time and protect their budget.</t>
  </si>
  <si>
    <t>Synexser(Laurent Péguret)</t>
  </si>
  <si>
    <t>digital transformation, freelancing management, freelancing platform, it project management, project consultation, project management tool</t>
  </si>
  <si>
    <t>117773-92T</t>
  </si>
  <si>
    <t>Rhône Finance</t>
  </si>
  <si>
    <t>110107-36T</t>
  </si>
  <si>
    <t>Bpifrance(Gilles Schang), Crédit Agricole Finistère, Crédit Maritime Atlantique, Emertec Gestion, GO Capital (France)(Jérôme Guéret), IWF Group</t>
  </si>
  <si>
    <t>213068-17T</t>
  </si>
  <si>
    <t>GwenneG, HBO</t>
  </si>
  <si>
    <t>121989-34T</t>
  </si>
  <si>
    <t>Abeille Impact Investing France, Demeter Partners</t>
  </si>
  <si>
    <t>115487-47T</t>
  </si>
  <si>
    <t>Reezocar</t>
  </si>
  <si>
    <t>Operator of an online marketplace designed for buying and selling second-hand cars. The company's marketplace specializes in the transaction of used cars through a system that secures the purchase of the seller side and that establishes a diagnosis of the car to reassure the buyer, enabling sellers to easily sell their used cars and buyers to buy their desired cars at cheaper rates and security.</t>
  </si>
  <si>
    <t>CGI Finance, French Partners, Societe Generale (PAR: GLE), Wind Capital</t>
  </si>
  <si>
    <t>car sales platform, car selling, online marketplace, used car, used car market, used car purchasing, vehicle selling platform</t>
  </si>
  <si>
    <t>120358-00T</t>
  </si>
  <si>
    <t>My-Serious-Game</t>
  </si>
  <si>
    <t>Business/Productivity Software, Education and Training Services (B2B)*, Educational Software</t>
  </si>
  <si>
    <t>Operator of a training methodology creation and consulting studio intended to develop tailor-made digital training techniques using 3D simulation. The company's studio specializes in the design and deployment of tailor-made VR/AR digital training based on a pedagogy that helps to create original, innovative and impactful digital training accessible via smartphone and VR devices, enabling organizations to deploy customized training methods to fully test and optimize the human resource available.</t>
  </si>
  <si>
    <t>A Plus Finance, Galia Gestion, GO Capital (France)(Alexis Menard)</t>
  </si>
  <si>
    <t>corporate training, digital learning platform, digital training, training consultancy, training simulator, training studio, training technology, video based learning</t>
  </si>
  <si>
    <t>157663-45T</t>
  </si>
  <si>
    <t>Happy Yours</t>
  </si>
  <si>
    <t>Producer of environmentally friendly snacks intended to offer healthy, original, and socially responsible products. The company specializes in aperitif products that preserve all the flavors, textures, and nutritional qualities of ingredients without containing any added preservatives or additives, enabling consumers to purchase sustainably created aperitif items.</t>
  </si>
  <si>
    <t>Normandie Business Angels</t>
  </si>
  <si>
    <t>aperitif crackers, beverage producer, discovery &amp; review, discovery and review, food and beverage discovery, food beverage discovery, food beverages group, food produce company, food producer company, food producer marketplace</t>
  </si>
  <si>
    <t>158715-46T</t>
  </si>
  <si>
    <t>Id4 Ventures(Herve Cuviliez)</t>
  </si>
  <si>
    <t>187798-87T</t>
  </si>
  <si>
    <t>Crédit Agricole Alpes Provence (PAR: CRAP), Région Sud Investissement</t>
  </si>
  <si>
    <t>136002-88T</t>
  </si>
  <si>
    <t>SOSav</t>
  </si>
  <si>
    <t>Computers, Parts and Peripherals*, Specialty Retail</t>
  </si>
  <si>
    <t>Developer of an online repairing platform designed to provide online repair guides for electronic equipment. The company's platform retails spare parts for a variety of devices and also provides online guides and tutorials to help repair a variety of devices like phones, tablets, smartwatches, laptops, and desktops, enabling users to repair their devices with minimal effort and cost involved.</t>
  </si>
  <si>
    <t>information platform, mobile repair service provider, online repair, online tutorial platform, repair tutorials service, spare parts retailer</t>
  </si>
  <si>
    <t>Lognes, France</t>
  </si>
  <si>
    <t>120719-17T</t>
  </si>
  <si>
    <t>TheraPanacea</t>
  </si>
  <si>
    <t>Developer of medical analysis and imaging system designed to improve brain cancer treatment. The company system leverages artificial intelligence technology to offer predictive mechanisms to assess the treatment response by curating genomics along with clinical outcomes, enabling medical practitioners to treat cancer patients with radiation therapy with improved success and lesser risks.</t>
  </si>
  <si>
    <t>Therinvest(Arnaud Gobet)</t>
  </si>
  <si>
    <t>cancer care, cancer treatment platform, healthcare data analytics, medical platform, radiation oncology, radiation therapy visualization, vertical application</t>
  </si>
  <si>
    <t>138267-91T</t>
  </si>
  <si>
    <t>Nantes Metropole, Région des Pays de la Loire</t>
  </si>
  <si>
    <t>166676-23T</t>
  </si>
  <si>
    <t>Opera Finance International</t>
  </si>
  <si>
    <t>117894-79T</t>
  </si>
  <si>
    <t>Fourseeds</t>
  </si>
  <si>
    <t>Developer of a data cloud platform designed to deliver an omnichannel experience by unifying, protecting, and managing personal data. The company's platform facilitates analysis and decision-making by connecting and unifying data from sources, increases conversions, and measures campaigns, enabling companies to transform raw data into actionable insights.</t>
  </si>
  <si>
    <t>Autonomie &amp; Solidarité, Bpifrance, IRD Invest</t>
  </si>
  <si>
    <t>cloud platform, cloud technology, data analysing, data cloud, data software, data unification</t>
  </si>
  <si>
    <t>118874-44T</t>
  </si>
  <si>
    <t>Make.org</t>
  </si>
  <si>
    <t>Provider of citizen lobbying services intended to meet the challenges of local, national, and European politics. The company accompanies the citizens in targeted lobbying actions in order to push the elected representatives to take a stand and to concretize the suggestion which is presented to them, enabling users to act as responsible citizens and add value to society.</t>
  </si>
  <si>
    <t>Esfin Gestion, OneRagtime(Stéphanie Hospital), Sofiouest</t>
  </si>
  <si>
    <t>challenge app, citizen voices, citizens portal, lobby platform, politics and economy, society help</t>
  </si>
  <si>
    <t>135931-51T</t>
  </si>
  <si>
    <t>QOS Energy</t>
  </si>
  <si>
    <t>Business/Productivity Software, Other Energy Services, Systems and Information Management*</t>
  </si>
  <si>
    <t>Operator of an energy management platform designed to maximize the performance of renewable plants and storage facilities. The company's cloud-based data intelligence platform specializes in managing the performance of alternative energy-producing infrastructures and in managing energy efficiency in all types of buildings, enabling professionals to optimize the operational performance of plants worldwide.</t>
  </si>
  <si>
    <t>ETF Partners(Fabrice Bienfait), GO Capital (France)(Jérôme Guéret)</t>
  </si>
  <si>
    <t>cloud computing solution, data monitoring services, energy information systems, energy management system, renewable energy data analysis, renewable energy management, renewable energy platform</t>
  </si>
  <si>
    <t>La-Chapelle-sur-Erdre, France</t>
  </si>
  <si>
    <t>114779-89T</t>
  </si>
  <si>
    <t>Alven Capital Partners(Guillaume Aubin), Salesforce Ventures(Alex Kayyal), Stephan Dietrich(Stephan Dietrich)</t>
  </si>
  <si>
    <t>138487-96T</t>
  </si>
  <si>
    <t>Entech Smart Energies (PAR: ALESE)</t>
  </si>
  <si>
    <t>Business/Productivity Software, Electrical Equipment, Energy Storage*</t>
  </si>
  <si>
    <t>Entech SA specializes in the design and manufacture of renewable energy such as solar and wind conversion and storage systems. In addition, the company builds and commissions ground-level and rooftop photovoltaic power stations.</t>
  </si>
  <si>
    <t>Crédit Agricole Finistère, Force 29, Unexo(Maryan Deroo)</t>
  </si>
  <si>
    <t>analytics and grid management, electrical energy, energy conservation, energy conversion solutions, energy converter, energy optimization, grid infrastructure, thermal management</t>
  </si>
  <si>
    <t>187979-86T</t>
  </si>
  <si>
    <t>Genoscience Pharma</t>
  </si>
  <si>
    <t>Operator of a healthcare platform intended to provide medicines for cancer patients. The company's approach focuses on lysosomes, a cell compartment vital for cancer cells, by utilizing small molecule drug candidates to inhibit lysosomal function, enabling healthcare providers to have access to molecule drug candidates that directly target lysosomal functions.</t>
  </si>
  <si>
    <t>Alain Azan(Alain Azan), Soaring Pine Capital</t>
  </si>
  <si>
    <t>biopharmaceutical firm, biotechnology process, cancer drug, cancer drug agent, chemistry, pharmaceuticals platform, small molecule, small molecule drug</t>
  </si>
  <si>
    <t>120926-26T</t>
  </si>
  <si>
    <t>Les Petites Pousses</t>
  </si>
  <si>
    <t>Producer of plant-based organic dairy products intended to promote the consumption of plant-based products daily and change tastes. The company's products include vegetable alternatives to yogurts and cream desserts based on gourmet almond milk and coconut milk of the first organic plant-based false yogurts, without milk &amp; soy, on a variety of gourmet bases and under its brand, enabling consumers who are lactose intolerant to have cow's milk and protein.</t>
  </si>
  <si>
    <t>Bizz Factory, Bpifrance, Capver Invest, IRD Invest, Nord Création, Nord France Amorçage, Societe Generale Ventures</t>
  </si>
  <si>
    <t>almonds milk, coconut milk, cream desserts, organic dairy product, organic yogurt, plant-based product</t>
  </si>
  <si>
    <t>181586-44T</t>
  </si>
  <si>
    <t>Marbotic</t>
  </si>
  <si>
    <t>Developer of educational toys designed to offer a hands-on learning experience to preschoolers. The company's toys are created with the interactivity of tablets that help children learn numbers and quantities from zero to hundred by mixing traditional wooden toys with pedagogy and technology, enabling parents to impart the gift of interactive learning to their children and thereby enhance their knowledge and sensitivity.</t>
  </si>
  <si>
    <t>Mirabelle (Paris)(Gilles Pierson)</t>
  </si>
  <si>
    <t>augmented toys, children toys, digital toys, educational tools, e-learning data, pedagogy training, smart toys</t>
  </si>
  <si>
    <t>Begles, France</t>
  </si>
  <si>
    <t>117040-51T</t>
  </si>
  <si>
    <t>Akeytsu</t>
  </si>
  <si>
    <t>Developer of animation software designed to accelerate the animation process. The company's software has features such as the light rig, forward kinematics solver, stacker, character animation, and production-ready keyframe system for mobile games, enabling users to optimize efficiency and ergonomics and providing them with an animation toolset.</t>
  </si>
  <si>
    <t>Alexandre Jenny(Alexandre Jenny), Bpifrance, Kreaxi(Rémi Berthier)</t>
  </si>
  <si>
    <t>3d animation, 3d animation software, 3d viewer, animation work, computer animation, computer software, entertainment tools, game designer, game developer tools, gaming development, multimedia tool</t>
  </si>
  <si>
    <t>126885-34T</t>
  </si>
  <si>
    <t>Feeligreen</t>
  </si>
  <si>
    <t>Developer of dermo-medical devices designed to combine advanced technologies in the field of life sciences. The company's devices combine microelectronics, chemistry, nanotechnologies, and life sciences and are used for a wide range of cosmetic and therapeutic applications, enabling users to beautify their skin.</t>
  </si>
  <si>
    <t>Groupe SEB (PAR: SK)</t>
  </si>
  <si>
    <t>cosmetic application, derma care, medical devices, skin products, therapeutic application</t>
  </si>
  <si>
    <t>HealthTech, Life Sciences, Nanotechnology, TMT</t>
  </si>
  <si>
    <t>120385-81T</t>
  </si>
  <si>
    <t>Bernard Mourad(Bernard Mourad), Franck Papazian(Franck Papazian), Munegu Partners, OneRagtime(Stéphanie Hospital)</t>
  </si>
  <si>
    <t>120282-76T</t>
  </si>
  <si>
    <t>A-Venture(André Raoul)</t>
  </si>
  <si>
    <t>115854-94T</t>
  </si>
  <si>
    <t>BTP Capital Investissement, Kerala Ventures(Marc Laurent), Kima Ventures(Xavier Niel), Pascal Casanova(Pascal Casanova), Pierre Kosciusko Morizet(Pierre Kosciusko Morizet)</t>
  </si>
  <si>
    <t>116164-81T</t>
  </si>
  <si>
    <t>EduCapital(Litzie Maarek), Impact Partners (Paris)(Thomas Delalande)</t>
  </si>
  <si>
    <t>188377-21T</t>
  </si>
  <si>
    <t>Groupe Elancia</t>
  </si>
  <si>
    <t>Asset Management, Construction and Engineering, Private Equity*, Real Estate Services (B2C)</t>
  </si>
  <si>
    <t>Provider of capital investing services intended to take a minority stake and provide personal capital and balance sheet investments. The company offers a variety of services including the development of luxury hotels, property management, and asset management, and focuses on green building practices, historic preservation, and community engagement, enabling businesses to deliver high-end experiences, and contributing to the revitalization of urban centers through its commitment to sustainability and urban renewal.</t>
  </si>
  <si>
    <t>alternative capital, capital investing services, capital market, early seeds startups, early stage, growth capital, property management, venture capital</t>
  </si>
  <si>
    <t>CleanTech, FinTech</t>
  </si>
  <si>
    <t>Vence, France</t>
  </si>
  <si>
    <t>116172-19T</t>
  </si>
  <si>
    <t>EduCapital, INSEAD Business Angels, Xavier Court(Xavier Court)</t>
  </si>
  <si>
    <t>194214-61T</t>
  </si>
  <si>
    <t>Neocity</t>
  </si>
  <si>
    <t>Application Software, IT Consulting and Outsourcing*</t>
  </si>
  <si>
    <t>Provider of customized mobile application services intended to create a complete mobile application to serve their citizens. The company provides advice on the most suitable functionalities, tests applications in real conditions, accesses the citizen application statistics, reviews and addresses issues reported and others, enabling businesses to ensure you receive cutting-edge services.</t>
  </si>
  <si>
    <t>Caisse des Depots Group, Sogetrel</t>
  </si>
  <si>
    <t>advice services, application developer, business service, customizable application, mobile application service, review service</t>
  </si>
  <si>
    <t>173368-72T</t>
  </si>
  <si>
    <t>Daniel Le Gal(Daniel Le Gal), KLB Group, Ovive, Supernova Invest(François Breniaux)</t>
  </si>
  <si>
    <t>117638-65T</t>
  </si>
  <si>
    <t>Idinvest Partners, Inserm Transfert, Kurma Partners(Vanessa Malier), Pontifax Venture Capital(Ohad Hammer), Sofimac Innovation</t>
  </si>
  <si>
    <t>117812-26T</t>
  </si>
  <si>
    <t>Youboox</t>
  </si>
  <si>
    <t>Application Software, Publishing*</t>
  </si>
  <si>
    <t>Developer of a digital book reading platform designed to revolutionize reading and make books more accessible. The company's platform offers e-book streaming services for classic, travel and comics-graphic novels, enabling readers to view, browse and read e-books on their iPad or on the web for free.</t>
  </si>
  <si>
    <t>books reading platform, digital book, digital book reading, ebook streaming, ebooks, online books reading</t>
  </si>
  <si>
    <t>117559-72T</t>
  </si>
  <si>
    <t>Sebbin</t>
  </si>
  <si>
    <t>Other Devices and Supplies, Other Healthcare Technology Systems, Surgical Devices, Therapeutic Devices*</t>
  </si>
  <si>
    <t>Developer of medical implant devices designed to offer products for aesthetic and reconstruction surgery. The company's devices are based on silicone implants that are custom-made by using advanced technology for thorax deformations and use long-term implantable medical grade silicones which are used in the lipo filling and breast implant market, enabling surgeons and patients to empower each person who wishes to change or restore their body as per their needs.</t>
  </si>
  <si>
    <t>Allianz Group (ETR: ALV), Capital Croissance, Eurazeo (PAR: RF), Ventech (Paris)</t>
  </si>
  <si>
    <t>aesthetic surgery, implants maker, medical implantables device, medical implants design, reconstructive surgery</t>
  </si>
  <si>
    <t>Boissy-l Aillerie, France</t>
  </si>
  <si>
    <t>114671-35T</t>
  </si>
  <si>
    <t>Fabrice Larue(Fabrice Larue), Idinvest Partners, Jacques Veyrat(Jacques Veyrat), Kima Ventures, Xavier Niel(Xavier Niel)</t>
  </si>
  <si>
    <t>112519-00T</t>
  </si>
  <si>
    <t>TeamBrain</t>
  </si>
  <si>
    <t>Developer of a business intelligence platform designed to collect and spread operational knowledge using machine learning. The company's platform uses artificial intelligence to offer up-to-date core knowledge, a user-friendly interface, statistics, and other related features, enabling clients to access their platform, improve performance, and facilitate digital transformations.</t>
  </si>
  <si>
    <t>SIDE Capital(Renaud Guillerm), Via.Io</t>
  </si>
  <si>
    <t>business framework, business intelligence, business intelligence platform, digital transformation platform, digital transformation software, natural language technology, statistics data</t>
  </si>
  <si>
    <t>161044-93T</t>
  </si>
  <si>
    <t>Diafir</t>
  </si>
  <si>
    <t>Developer of biological analytical tools designed to detect chronic liver disease, infections, or tumours and other Point of care (POC) diagnoses. The company offers infrared fiber sensor technology made by using chalcogenide glasses that offer rapid responses for chronic and infectious diseases, for better patient care and management, enabling physicians to get more accurate diagnosis results.</t>
  </si>
  <si>
    <t>biological analysis, chalcogenide glass, chronic disease detection, fiber sensor, infrared tech, infrared technology, innovative systems, liver disease, medical diagnostics</t>
  </si>
  <si>
    <t>118317-70T</t>
  </si>
  <si>
    <t>ISAI(Thierry Vandewalle), Seventure Partners(Ludovic Denis), TDR Capital</t>
  </si>
  <si>
    <t>114587-74T</t>
  </si>
  <si>
    <t>Aster Capital(Jean-Marc Bally), CapHorn Invest(Laurent Dumas-Crouzillac), Cathay Innovation(Denis Barrier), Molten Ventures (LON: GROW)(Benedict Tompkins), Salesforce Ventures(Alex Kayyal), Serena (Paris)</t>
  </si>
  <si>
    <t>136335-16T</t>
  </si>
  <si>
    <t>360 Capital, Elaia Partners</t>
  </si>
  <si>
    <t>114588-28T</t>
  </si>
  <si>
    <t>Alexis de Longevialle, Groupe Arnault, Panakes Partners(Diana Saraceni), Sham Innovation Santé, Supernova Invest(Celia Hart), Turenne Groupe(Bervin Bouani)</t>
  </si>
  <si>
    <t>170665-39T</t>
  </si>
  <si>
    <t>Winglet</t>
  </si>
  <si>
    <t>Developer of a pricing prediction tool intended to help companies save money by buying their air tickets at the right time. The company's tool applies an estimation of the revenue management rules of each airline, enabling companies to have access to exhaustive air content.</t>
  </si>
  <si>
    <t>A-Venture, François Calvino, Yves Weisselberger</t>
  </si>
  <si>
    <t>flight booking, machine learning, prediction tools, predictive demand forecasting, pricing prediction, pricing review, revenue management</t>
  </si>
  <si>
    <t>115924-42T</t>
  </si>
  <si>
    <t>Arkéa Capital, Capnamic Ventures, Creadev, IRIS (Private Equity)(Stéphane Pesqué)</t>
  </si>
  <si>
    <t>123631-75T</t>
  </si>
  <si>
    <t>Crédit Mutuel Innovation(Karine Lignel), Ventech (Paris)(Claire Houry)</t>
  </si>
  <si>
    <t>133083-19T</t>
  </si>
  <si>
    <t>Febus Optics</t>
  </si>
  <si>
    <t>Electronic Equipment and Instruments*, Fiberoptic Equipment</t>
  </si>
  <si>
    <t>Developer of an optical fiber-based sensor system designed for use in oil, gas, marine renewable energy, and civil engineering services. The company's sensor system uses optical physics to measure the temperature and strain of a structure or soil over tens of kilometers, enabling clients to have a cost-effective and easy-to-deploy service for large-scale or linear infrastructure.</t>
  </si>
  <si>
    <t>Calao Finance, Crédit Agricole Pyrénées Gascogne, GSO Innovation, Pleiade Venture</t>
  </si>
  <si>
    <t>fiber optic, linear infrastructure alternatives, optical fibre device, optical fibre sensors, renewable energy, renewable energy news, sensing system, smart sensing device</t>
  </si>
  <si>
    <t>161039-53T</t>
  </si>
  <si>
    <t>Enargia</t>
  </si>
  <si>
    <t>Electric Utilities*</t>
  </si>
  <si>
    <t>Provider of electricity services intended to offer uninterrupted and non-binding renewable energy. The company's services include supplying electricity by using energy transition in order to achieve energy independence, enabling clients to get energy that is renewable, locally produced, and marketed by the cooperative.</t>
  </si>
  <si>
    <t>Herrikoa(Marie-Claire Sallaberry)</t>
  </si>
  <si>
    <t>electricity unit, green fuel, renewable electricity generation, renewable system, semiconductor manufacturing, sustainable energy</t>
  </si>
  <si>
    <t>136503-91T</t>
  </si>
  <si>
    <t>Bpifrance, IFP Investissements</t>
  </si>
  <si>
    <t>254295-01T</t>
  </si>
  <si>
    <t>OneWealthPlace</t>
  </si>
  <si>
    <t>Developer of an asset and wealth management software designed to support its clients strategically and efficiently in their digital transformation. The company's software offers disruptive digital systems that facilitates banks to succeed in their digital strategy and to give their clients the opportunity to take an active role in managing their fortunes and also help to perfect the relationship between an adviser and his client, by providing a level of service in line with constantly evolving expectations and increasingly stringent regulations, thereby enabling clients to implement digital strategies and transform their activities.</t>
  </si>
  <si>
    <t>Financiere Tuileries Development, IVO Capital Partners</t>
  </si>
  <si>
    <t>asset management, asset management tool, business digitization, business transformation, business transformation software, enterprise resource planning, erp, software developing</t>
  </si>
  <si>
    <t>Artificial Intelligence &amp; Machine Learning, Cryptocurrency/Blockchain, FinTech, SaaS</t>
  </si>
  <si>
    <t>131681-35T</t>
  </si>
  <si>
    <t>Bpifrance, Crédit Mutuel Innovation</t>
  </si>
  <si>
    <t>124592-59T</t>
  </si>
  <si>
    <t>Kobus Tech</t>
  </si>
  <si>
    <t>Developer of a SaaS-based diagnosis platform designed to transform the way healthcare professionals diagnose and follow up with their patients. The company's platform permits physiotherapists to establish a precise health check of the patient from its scientific database, monitor and measure the progress, control treatments, involve the patient in his care and generate automatic reports, enabling medical professionals to provide their treatment more efficiently and keep track of patients more easily.</t>
  </si>
  <si>
    <t>Enowe, SIDE Capital, Tomcat Capital, Via.Io</t>
  </si>
  <si>
    <t>diagnose tools, health reporting, patient health analysis, patient progress monitoring, physiotherapy assistance, rehabilitation, saas platform</t>
  </si>
  <si>
    <t>114439-69T</t>
  </si>
  <si>
    <t>Damien Vincent(Damien Vincent), Frederic Rombaut(Frederic Rombaut), Guillaume Amblard(Guillaume Amblard), Michel Larroche(Michel Larroche), Pascal Boris(Pascal Boris), Yves Padrines(Yves Padrines)</t>
  </si>
  <si>
    <t>120288-97T</t>
  </si>
  <si>
    <t>Hotel Speaker</t>
  </si>
  <si>
    <t>Developer of an online hotel reviewing platform designed to respond to guest reviews on behalf of hotel management. The company's platform provides customized answers in the language of the hotel guest through a simple dashboard which allows hotel management to access the response and modify or validate it so that it can be rapidly posted, enabling hotel managers to focus on their core tasks and earn revenue.</t>
  </si>
  <si>
    <t>EBVBA 4F, Kima Ventures</t>
  </si>
  <si>
    <t>hotel management system, hotel rating platform, hotel review, online review platform, online review portal, revenue control</t>
  </si>
  <si>
    <t>125906-14T</t>
  </si>
  <si>
    <t>Medylink</t>
  </si>
  <si>
    <t>Developer of a digital telemedicine platform designed to let general practitioners coordinate their actions with specialists. The company's platform provides general practitioners a range of services that includes putting in touch with specialists or nurses to whom the doctor can delegate certain acts, administrative assistance, and the possibility of renting screening and diagnostic equipment and being trained in its use, enabling doctors to select the best medical devices to meet all causes of general medicine and specialty consultations.</t>
  </si>
  <si>
    <t>Daniel Calle(Daniel Calle), Majycc Esante Invest(Yves Journel), NCI Gestion</t>
  </si>
  <si>
    <t>care coordination, medical services, telemedical service, telemedicine app, telemedicine portal, telemedicine tools</t>
  </si>
  <si>
    <t>114467-32T</t>
  </si>
  <si>
    <t>Tommae</t>
  </si>
  <si>
    <t>Application Software, Beverages*</t>
  </si>
  <si>
    <t>Developer of online marketplace intended for wine professionals which allows them to negotiate and close transactions. The company offers hundreds of wines curated from different locations, providing wine connoisseurs and enthusiasts with access to a large variety of wines.</t>
  </si>
  <si>
    <t>Cabiedes &amp; Partners</t>
  </si>
  <si>
    <t>alcohol beverage industry, alcohol beverage marketing, alcoholic beverage industry, alcoholic beverage product, alcoholic beverage provider, alcoholic beverage seller, food ecommerce, online grocer</t>
  </si>
  <si>
    <t>Lormont, France</t>
  </si>
  <si>
    <t>137472-67T</t>
  </si>
  <si>
    <t>Cocoom</t>
  </si>
  <si>
    <t>Developer of a visual knowledge-sharing tool designed to align employees with the company's vision and objectives. The company's tool offers a method and an internal media to move from a linear vision to a shared vision and puts all employees at the heart of the corporate culture, enabling businesses and corporate clients to unite all employees around the vision of the company to make it a lever of commitment and performance.</t>
  </si>
  <si>
    <t>HUB612, Kreaxi, Patrick Bertrand(Patrick Bertrand)</t>
  </si>
  <si>
    <t>business management app, business management toolkit, business productivity data, business productivity tool, employee motivational program, internal communication</t>
  </si>
  <si>
    <t>114293-98T</t>
  </si>
  <si>
    <t>Agricool</t>
  </si>
  <si>
    <t>Horticulture*, Other Agriculture, Other Containers and Packaging</t>
  </si>
  <si>
    <t>Producer of fruits and vegetables intended to produce organic products in a controlled atmosphere. The company's fruits and vegetables include fruit and vegetable shipping containers with optimized growing conditions in terms of irrigation, lighting, carbon dioxide, etc., which do not use pesticides, reduce the amount of water needed by a significant percentage, and only use renewable energy sources, providing customers with locally grown and pesticide-free fruits and vegetables.</t>
  </si>
  <si>
    <t>Bpifrance, CMA CGM, Danone Manifesto Ventures, Daphni(Pierre-Eric Leibovici), Kima Ventures, Marbeuf Capital, Siparex Group, Solomon Hykes(Solomon Hykes), XAnge</t>
  </si>
  <si>
    <t>farming food, farming good, food ecommerce, fruits container, indoor agriculture, indoor farming, indoor growers, organic fruits, organic produce, restaurant marketplace, vegetables container</t>
  </si>
  <si>
    <t>AgTech, CleanTech, LOHAS &amp; Wellness, Manufacturing, Supply Chain Tech, TMT</t>
  </si>
  <si>
    <t>La Courneuve, France</t>
  </si>
  <si>
    <t>131582-62T</t>
  </si>
  <si>
    <t>Anagenesis Biotechnologies</t>
  </si>
  <si>
    <t>Developer of novel treatments designed for genetic and age-related muscle degenerative diseases. The company owns a proprietary platform technology, to guide the differentiation of pluripotent stem cells (iPSC) into paraxial mesoderm multipotent cells, which are the shared precursors of various tissues, such as skeletal muscle, ribs, vertebrae, dermis, endothelium &amp; brown fat, thereby enabling physicians to mimic the natural process of muscle formation.</t>
  </si>
  <si>
    <t>cell therapy, cell therapy technology, degenerative disease, metabolic disease, muscle disease treatment, regenerative medicine, stem cell</t>
  </si>
  <si>
    <t>131584-06T</t>
  </si>
  <si>
    <t>Boehringer Ingelheim Venture Fund(Ilka Wicke), Capital Grand Est(Jean-François Rax)</t>
  </si>
  <si>
    <t>114307-57T</t>
  </si>
  <si>
    <t>Student Pop</t>
  </si>
  <si>
    <t>Human Capital Services*, Information Services (B2C), Media and Information Services (B2B)</t>
  </si>
  <si>
    <t>Operator of an on-demand recruitment platform intended to connect students with relevant job vacancies. The company's platform selects students in individual interviews, conducts student briefing and logistical coordination, as well as provides administrative management, insurance, and payment offers live monitoring through a mobile application, enabling clients to get employees for events, marketing, sales, customer support, logistics, and administration, as well as helps students to get their desired jobs.</t>
  </si>
  <si>
    <t>EduCapital, Impact Partners (Paris)(Thomas Delalande)</t>
  </si>
  <si>
    <t>jobs on demand services, recruitment platform, student community, student job platform, student job portal, student jobs community</t>
  </si>
  <si>
    <t>166714-75T</t>
  </si>
  <si>
    <t>Panapop</t>
  </si>
  <si>
    <t>Accessories*, Other Apparel, Specialty Retail</t>
  </si>
  <si>
    <t>Operator of a digital fashion accessories brand intended to offer fashion accessories inspired by the latest trends. The company designs and sells fashion accessories such as watches, bags and shopper bags, providing users with original designs at a fair price and with seasonal collections.</t>
  </si>
  <si>
    <t>Angels Capital, BigBan Angels, Juan Roig(Juan Roig)</t>
  </si>
  <si>
    <t>designer fashion, digital fashion brand, digital fashion marketplace, ecommerce platform, fashion accessories, fashion accessories designer, fashion collection, fashion design service, fashion manufacturer, fast fashion, seasonal collection</t>
  </si>
  <si>
    <t>Valencia, France</t>
  </si>
  <si>
    <t>120170-35T</t>
  </si>
  <si>
    <t>Attractive House</t>
  </si>
  <si>
    <t>Developer of a real estate management application designed to facilitate meetings between real estate agents and landlords. The company's application offers user to simplify the formalities, accelerate the deadlines and get real-time estimates of the owner's property and criteria for selecting the right agents, enabling property owners and property agents to save time and money.</t>
  </si>
  <si>
    <t>property brokerage platform, property intermediation, real estate, real estate brokerage, real estate intermediation, real estate management</t>
  </si>
  <si>
    <t>Mobile, Real Estate Technology</t>
  </si>
  <si>
    <t>Chamalieres, France</t>
  </si>
  <si>
    <t>246559-06T</t>
  </si>
  <si>
    <t>Bam Cases</t>
  </si>
  <si>
    <t>Accessories*, Distributors/Wholesale</t>
  </si>
  <si>
    <t>Manufacturer of musical instrument cases intended to meet the needs of clients. The company designs cases for musical instruments for both winds and strings, enabling clients to get quality instrument cases.</t>
  </si>
  <si>
    <t>instruments bags, instruments casing, luggage bags, musical instrument casing, string instruments, wind instrument</t>
  </si>
  <si>
    <t>E-Commerce, Industrials, Manufacturing</t>
  </si>
  <si>
    <t>Dives-sur-Mer, France</t>
  </si>
  <si>
    <t>140594-86T</t>
  </si>
  <si>
    <t>Biodena Care</t>
  </si>
  <si>
    <t>Developer of a testing tool intended to assist in cancer screening and monitoring at the earliest stages of development. The company's tool measures progastrin levels in the blood to detect and monitor cancer therapy, enabling physicians to identify different types of cancer at early stages.</t>
  </si>
  <si>
    <t>Agileo Ventures</t>
  </si>
  <si>
    <t>cancer detection test, cancer monitor, cancer monitoring tools, cancer screening tools, cancer testing, cancer therapy monitoring</t>
  </si>
  <si>
    <t>Grabels, France</t>
  </si>
  <si>
    <t>120287-80T</t>
  </si>
  <si>
    <t>Culture Pub</t>
  </si>
  <si>
    <t>Broadcasting, Radio and Television, Media and Information Services (B2B), Movies, Music and Entertainment, Publishing*</t>
  </si>
  <si>
    <t>Operator of a media platform designed to offer brand stories. The company's platform offers brand sagas, surveys and other video formats, enabling clients to analyze society through the prism of advertising in a distant tone.</t>
  </si>
  <si>
    <t>Cameleon Invest, Idinvest Partners(Laetitia Vuitton)</t>
  </si>
  <si>
    <t>branding stories, media app, media platform, media platform provider, media platform software, news media platform</t>
  </si>
  <si>
    <t>233709-22T</t>
  </si>
  <si>
    <t>Custeed</t>
  </si>
  <si>
    <t>Developer of customer relationship management software intended specifically for mobility professionals. The company's platform integrates with the dealer management system and automotive CRM and interoperates to order vehicles, parts, organize servicing, capture leads, helping its clients to improve efficiency, customer retention and increase sales.</t>
  </si>
  <si>
    <t>automotive crm, automotive crm software, car sale service, customer relationship management software, managed services, sales management software</t>
  </si>
  <si>
    <t>93349-36T</t>
  </si>
  <si>
    <t>Edoki Academy</t>
  </si>
  <si>
    <t>Developer of educational software applications intended to help children learn while playing. The company's platform offers tutorials explaining concepts in gamified ways and provides oral instructions for non-readers, enabling parents to support education for their children while keeping them entertained.</t>
  </si>
  <si>
    <t>Elaia Partners, Smalt Capital</t>
  </si>
  <si>
    <t>child education software, education app, education application, education technology, education technology company, educational app, educational application, learning classes, teaching application</t>
  </si>
  <si>
    <t>136505-26T</t>
  </si>
  <si>
    <t>ADER Investissements, Alsace Business Angels, Capital Grand Est, IBF (France), LDE, Média-Participations</t>
  </si>
  <si>
    <t>122290-75T</t>
  </si>
  <si>
    <t>i-wantit</t>
  </si>
  <si>
    <t>Application Software, Information Services (B2C)*, Other Services (B2C Non-Financial)</t>
  </si>
  <si>
    <t>Developer of a mobile application designed to solve the problem of gifting loved ones. The company's application brings together the desires in a wishlist and helps to discover suitable gifts based on the occasion, enabling individuals to simplify the problem of selecting the right gift for people.</t>
  </si>
  <si>
    <t>Banque Populaire Aquitaine Centre Atlantique, Bpifrance, Investisseurs privés, Paca Entreprendre</t>
  </si>
  <si>
    <t>gift shopping, gifting application, online gift shop, online gifting, online gifting service, shopping tool, social network, social networking technology</t>
  </si>
  <si>
    <t>115910-92T</t>
  </si>
  <si>
    <t>Kalkin</t>
  </si>
  <si>
    <t>Provider of geolocation services intended to facilitate the digitalization of outdoor sports by combining connected objects, real-time information, video games, and maps. The company offers a set of communicating products that are equipped with a GPS autonomous system, enabling tourists and users to get access to information about the place.</t>
  </si>
  <si>
    <t>Crédit Agricole Centre France Développement, JEREMIE Auvergne, Sofimac Investment Managers(Quentin Mulaton)</t>
  </si>
  <si>
    <t>back office management, digital services, geolocation app, geolocation tools, sports tourism, tourist app</t>
  </si>
  <si>
    <t>Mobile, Virtual Reality</t>
  </si>
  <si>
    <t>130129-66T</t>
  </si>
  <si>
    <t>OurCompany</t>
  </si>
  <si>
    <t>Developer of web and mobile application intended to help people to speak up at work and participate in the transformation of their business. The company's platform provides corporate employees a way to express themselves anonymously, and to interact with coworkers, lawyers, psychologists, social workers and to employers and it also measures wellness of employees through question air, enabling clients to maintain a good atmosphere at workplaces and solve employee grievances easily.</t>
  </si>
  <si>
    <t>employee wellbeing, employee wellbeing platform, employee wellness, employee wellness platform, employee wellness service</t>
  </si>
  <si>
    <t>Chaumont en Vexin, France</t>
  </si>
  <si>
    <t>246563-02T</t>
  </si>
  <si>
    <t>Sedelka</t>
  </si>
  <si>
    <t>Operator of a real estate development company based in Caen, France. The company provides personalized living spaces with reduced notary fees and construction guarantees, enabling clients to get apartments and accommodation spaces as per their requirements and needs.</t>
  </si>
  <si>
    <t>accommodation facility, accommodation property, apartments deals, apartments project, living space, real estate development, real estate projects</t>
  </si>
  <si>
    <t>114751-27T</t>
  </si>
  <si>
    <t>Starname</t>
  </si>
  <si>
    <t>Developer of a decentralized finance platform built for the tokenization of physical and digital assets. The company's platform offers blockchain communication protocols to access autonomous blockchains, enabling users to perform all value transactions from foreign currency remittances to payments for goods and services securely and conveniently.</t>
  </si>
  <si>
    <t>Black Edge Capital, Block VC, MW Partners</t>
  </si>
  <si>
    <t>blockchain data, blockchain finance, blockchain infrastructure, blockchain platform, blockchain software, blockchain technology, decentralized financing platform, decentralized identification, financial software</t>
  </si>
  <si>
    <t>123307-84T</t>
  </si>
  <si>
    <t>Troops (Human Capital Services)</t>
  </si>
  <si>
    <t>Developer of a digital HR software designed to manage recruitments, generate employment contracts, and help sign those contracts electronically. The company's platform optimizes human resource management from hiring, payroll management, and planning e-learning training content to the digital reception of new employees or candidates, enabling businesses to generate and manage online employment contracts.</t>
  </si>
  <si>
    <t>Bpifrance, Idinvest Partners, Malakoff Humanis</t>
  </si>
  <si>
    <t>administrative management, contract generation, contract management system, digital contracts, enterprise resource planning, hr management tool, human capital management, human resource management</t>
  </si>
  <si>
    <t>165408-58T</t>
  </si>
  <si>
    <t>Unico Partners</t>
  </si>
  <si>
    <t>Private Equity*</t>
  </si>
  <si>
    <t>Operator of a venture capital company intended to acquire stakes in start-ups and small and medium-sized enterprises (SMEs). The company's platform brings value to invested companies' support, enabling start-ups and SMEs with the funding and guidance to lead their business.</t>
  </si>
  <si>
    <t>medium sized enterprise, venture capital business, venture capital company, venture capital finance, venture capital firm, venture capital funding</t>
  </si>
  <si>
    <t>120288-70T</t>
  </si>
  <si>
    <t>118146-70T</t>
  </si>
  <si>
    <t>Naxicap Partners(Eric Aveillan)</t>
  </si>
  <si>
    <t>113811-49T</t>
  </si>
  <si>
    <t>Wonda (Multimedia and Design Software)</t>
  </si>
  <si>
    <t>Operator of a virtual reality-based interactive video editing and publishing platform intended to create and share interactive experiences. The company's platform offers camera and basic video editing skills with a simple drag-and-drop option where anyone can add interactive layers instantly to create their own virtual reality experience, enabling content creators and brands to create and share engaging video experiences on any virtual reality platform.</t>
  </si>
  <si>
    <t>ConsenSys, Emerge (London), MicroVentures, Rethink Capital Partners, Rémi Rousseau</t>
  </si>
  <si>
    <t>360 degree video, collaborative app, creative storytelling, immersive media, immersive storytelling, interactive storytelling, interactive video, metaverse platform</t>
  </si>
  <si>
    <t>Artificial Intelligence &amp; Machine Learning, Augmented Reality, Mobile, Virtual Reality</t>
  </si>
  <si>
    <t>40754-08T</t>
  </si>
  <si>
    <t>MeetSYS</t>
  </si>
  <si>
    <t>Provider of consultation services intended to drive, capture and capitalize on reasoning to boost innovation. The company offers technical management services, innovation strategies, and industrial property training, as well as draws a reference to enrich the client databases that can be shared by the scientific and technical community, enabling clients to reconstruct experiences via reasoning, resulting in the efficient capitalization of tacit knowledge.</t>
  </si>
  <si>
    <t>Credit Agricole Regions Investissement, Expansinvest</t>
  </si>
  <si>
    <t>consultancy services company, industrial research, problem solving, problem solving business, r&amp;d consulting, r&amp;d services, research strategy</t>
  </si>
  <si>
    <t>160097-86T</t>
  </si>
  <si>
    <t>Quable</t>
  </si>
  <si>
    <t>Operator of a product information management platform intended to help clients centralize content and media so that teams can access it from a single repository. The company's platform collects, complements, and sends all information related to products to their e-commerce platform, marketplaces, print supports, and web portals along with providing e-commerce performance, enabling clients to embrace product data agility and build a successful omnichannel presence.</t>
  </si>
  <si>
    <t>Les Entrepreneurs Réunis, Pleiade Venture, SaaS Partners</t>
  </si>
  <si>
    <t>ecommerce inventory management, information management tool, product data services, product data sharing, product information management, product information sharing</t>
  </si>
  <si>
    <t>114179-32T</t>
  </si>
  <si>
    <t>Happytal</t>
  </si>
  <si>
    <t>Developer of a hospital services platform designed to improve the experience of patients in healthcare facilities. The company's platform allows patients to order massages, get newspapers and other items of choice delivered, have hair done and have children looked after during hospitalization, enabling patients and family members to have a comfortable hospital stay.</t>
  </si>
  <si>
    <t>Alliance Entreprendre(Romain Mistre), AXA Venture Partners(François Robinet), Compagnie d'Anjou(Oliver Dousset), Edenred Capital Partners, Galia Gestion(Christophe Douffet), Partech(Jean-Marc Patouillaud), Patrice Thiry(Patrice Thiry), Tomcat Capital</t>
  </si>
  <si>
    <t>concierge service, concierge support, healthcare platform, healthcare platform company, hospitality services, patient services</t>
  </si>
  <si>
    <t>101273-68T</t>
  </si>
  <si>
    <t>Accuracy(Christophe Leclerc), Alter Equity, Benjamin Cardoso, Creadev, Emmanuel Butstraen(Emmanuel Butstraen), Finovam Gestion, Frédéric Jousset(Frédéric Jousset), Jean-Pierre Princen(Jean-Pierre Princen), Marc-Antoine de Longevialle(Marc-Antoine de Longevialle), Matthieu Pélissié(Matthieu Pélissié), Nord Création, Nord France Amorçage, Rodolphe Carle(Rodolphe Carle), Sébastien Breteau(Sébastien Breteau), Temasek Holdings</t>
  </si>
  <si>
    <t>115838-38T</t>
  </si>
  <si>
    <t>Sereema</t>
  </si>
  <si>
    <t>Operator of a sensor technology intended for wind turbine operations and maintenance. The company's technology detects signs of non-optimization for each turbine and produces an objective, independent, and reliable diagnosis of the asset's performance, enabling wind farm owners and operators to easily optimize energy production and maintenance strategies for their wind farms and have access to optimization analysis and diagnosis.</t>
  </si>
  <si>
    <t>Afone Participations(Eric Horlait), Elaia Partners, IT-Translation</t>
  </si>
  <si>
    <t>cloud-based computing, connected data, field iot, precision ag, precision agriculture, renewable energy power, saas, wind, wind farm management, wind turbines, yield optimization</t>
  </si>
  <si>
    <t>AgTech, CleanTech, TMT</t>
  </si>
  <si>
    <t>114172-39T</t>
  </si>
  <si>
    <t>Inqom</t>
  </si>
  <si>
    <t>Developer of a SaaS-based assistance software designed to automate accounting production and generate balance sheets in real time. The company's platform provides a new generation of AI-enabled automated accounting production and generates the financial year sheets, enabling entrepreneurs to connect with chartered accountants with tools to automate the data entry of documents.</t>
  </si>
  <si>
    <t>Fusion Partners (Switzerland), GO Capital (France), Kima Ventures, Microsoft for Startups, NewAlpha Asset Management(Lior Derhy), Pentalabbs, SGH Capital(Alexandre Azoulay), The Family (Financial Services)</t>
  </si>
  <si>
    <t>accountant marketplace, accounting advisory service, accounting assistance, accounting firm, accounting platform, accounting production, financial software, it services, saas software</t>
  </si>
  <si>
    <t>Artificial Intelligence &amp; Machine Learning, FinTech, SaaS, TMT</t>
  </si>
  <si>
    <t>114382-45T</t>
  </si>
  <si>
    <t>Woleet</t>
  </si>
  <si>
    <t>Developer of a data anchoring platform designed to secure blockchain data. The company's platform offers internal and external workflow, data timestamping, and digital signing features, enabling businesses to enhance information systems with minimum integration effort.</t>
  </si>
  <si>
    <t>50 Partners, AngelSquare, Bank of the Philippine Islands (PHS: BPI), Bpifrance, OneRagtime(Stéphanie Hospital)</t>
  </si>
  <si>
    <t>bitcoin blockchain data, bitcoin data, blockchain data, digital signing, electronic signature, electronic signature api</t>
  </si>
  <si>
    <t>227273-41T</t>
  </si>
  <si>
    <t>1083</t>
  </si>
  <si>
    <t>Operator of a clothing company intended to design, manufacture, and sell jeans. The company engages in spinning, dyeing, weaving, finishing, cutting, making, and washing jeans, shoes, t-shirts, shirts, jackets, and accessories from organic cotton, enabling consumers to buy jeans that are produced sustainably.</t>
  </si>
  <si>
    <t>Abeille Impact Investing France, Crédit Agricole Sud Rhône-Alpes (PAR: CRSU), Inco Ventures</t>
  </si>
  <si>
    <t>clothing design, clothing firm, fashion style, jeans denim, jeans pants, jeans wear, sustainable clothing items, sustainable fashion wear</t>
  </si>
  <si>
    <t>Romans-Sur-Isere, France</t>
  </si>
  <si>
    <t>204532-66T</t>
  </si>
  <si>
    <t>Modetic</t>
  </si>
  <si>
    <t>Clothing, Internet Retail*, Specialty Retail</t>
  </si>
  <si>
    <t>Operator of the retail clothing platform intended to provide updated fashionable products to its customers. The company provides products that are made from eco-responsible and non-toxic materials like organic cotton and other natural fibers such as linen, hemp, or wood fibers, enabling customers to get the best fashion clothing made from eco-friendly materials at reasonable prices.</t>
  </si>
  <si>
    <t>Abeille Impact Investing France, Crédit Agricole Alpes Développement</t>
  </si>
  <si>
    <t>clothing brand, clothing fashion, clothing platform, eco-responsible fibre, fashion products, organic cotton, retail platform</t>
  </si>
  <si>
    <t>114139-00T</t>
  </si>
  <si>
    <t>OLX</t>
  </si>
  <si>
    <t>187783-21T</t>
  </si>
  <si>
    <t>Greenkub</t>
  </si>
  <si>
    <t>Other Consumer Durables, Other Restaurants, Hotels and Leisure, Real Estate Services (B2C)*</t>
  </si>
  <si>
    <t>Developer of garden studios designed to offer modular wooden constructions. The company's garden studios are made from wood from all over France with a lesser surface area to provide a personalized service included in the purchase of the turnkey studio, enabling homeowners to monetize their land to get garden studios without the requirement of a building permit.</t>
  </si>
  <si>
    <t>Booster Investment, Newfund Management</t>
  </si>
  <si>
    <t>construction company, consultant planner, garden rooms, home extensions, modular buildings, real estate services</t>
  </si>
  <si>
    <t>Castries, France</t>
  </si>
  <si>
    <t>114052-42T</t>
  </si>
  <si>
    <t>Homerez</t>
  </si>
  <si>
    <t>Application Software, Information Services (B2C)*, Other Restaurants, Hotels and Leisure, Real Estate Services (B2C)</t>
  </si>
  <si>
    <t>Developer of a rental management platform designed to offer vacation rentals and convenient booking services. The company's platform offers a centralized service for safe and simple booking of holiday rental properties and also provides a multilingual interface that assists foreign travelers, enabling tourists to have hassle-free services and owners to manage the property and booking.</t>
  </si>
  <si>
    <t>David Roche(David Roche), Entrepreneur Invest(Bertrand Folliet), Frederic Halley(Frederic Halley), Nicolas Brumelot(Nicolas Brumelot), Pablo Szefner(Pablo Szefner), Seventure Partners(Bruno Rivet), XAnge</t>
  </si>
  <si>
    <t>booking service, holiday rental booking, online booking, rental management, tourism help, vacation rental platform</t>
  </si>
  <si>
    <t>124087-69T</t>
  </si>
  <si>
    <t>Habert Dassault Finance, Urania Ventures</t>
  </si>
  <si>
    <t>114101-65T</t>
  </si>
  <si>
    <t>Cascade Global, Rewired Venture Studio, Tej Kohli(Tej Kohli)</t>
  </si>
  <si>
    <t>116350-30T</t>
  </si>
  <si>
    <t>Bergamotte</t>
  </si>
  <si>
    <t>Other Consumer Durables*, Recreational Goods, Specialty Retail</t>
  </si>
  <si>
    <t>Provider of flower delivery services intended to offer various hand-crafted bouquets of flowers to customers. The company's services focus on express delivery of seasonal flowers, plants, dried flowers and bouquets and accessories like recycled glass vases, scented candles and related products.</t>
  </si>
  <si>
    <t>RAISE Group, Siparex Group, Thibault Lougnon(Thibault Lougnon)</t>
  </si>
  <si>
    <t>bouquet seller, floral delivery service, floral supply, flowers delivery platform, online flowers delivery, seasonal flowers</t>
  </si>
  <si>
    <t>124942-15T</t>
  </si>
  <si>
    <t>VPourVerdict</t>
  </si>
  <si>
    <t>Legal Services (B2C)*, Other Services (B2C Non-Financial)</t>
  </si>
  <si>
    <t>Provider of legal services intended to allow associations and individuals to launch or join collective actions in court. The company facilitates legal action by creating a group campaign and pooling lawyers' fees from multiple individuals facing the same problem such as scams, consumer disputes, tax litigation, and other issues, enabling complainants to gather behind a lawyer with a share of the costs of proceedings, thus facilitating access to justice.</t>
  </si>
  <si>
    <t>Bpifrance, PhiTrust Impact Investors</t>
  </si>
  <si>
    <t>collective legal action, judicial service, law service, lawyer network, legal dispute, legal platform, tax litigation</t>
  </si>
  <si>
    <t>193995-01T</t>
  </si>
  <si>
    <t>TF1 Groupe (PAR: TFI)</t>
  </si>
  <si>
    <t>113900-50T</t>
  </si>
  <si>
    <t>Data Impact</t>
  </si>
  <si>
    <t>Developer of management analytics tools designed to transform complex data into simple actions. The company's tools use innovative technologies to collect and analyze billions of data per day, by category and brand and create indicators tailored to each actor's needs by using data algorithms, enabling the food retail industry to identify the priority actions to optimize their multichannel distribution and improve anticipate stockouts.</t>
  </si>
  <si>
    <t>Bpifrance, Red River West(Antoine Boulin)</t>
  </si>
  <si>
    <t>analytics &amp; cdps, analytics and cdps, big data technology, data analytics, data analytics platform, data analytics platform developer, data crossing, distribution channel, ecommerce monitoring, e-merchandising monitor tools, monitoring tools</t>
  </si>
  <si>
    <t>105928-75T</t>
  </si>
  <si>
    <t>JEM</t>
  </si>
  <si>
    <t>Operator of a jewelry boutique intended to offer fine jewelry made from ethically sourced gold. The company combines ethical awareness and commitment along with simplicity and purity to create gold jewelry pieces that are suitable for different occasions, enabling customers to have a wide range of contemporary designed ornaments.</t>
  </si>
  <si>
    <t>ethnic jewelry, gold jewelry collateral, gold jewelry maker, gold jewelry product, jewelry designer, jewelry piece</t>
  </si>
  <si>
    <t>113919-40T</t>
  </si>
  <si>
    <t>BNP Paribas Développement, Idinvest Partners, Illumina Ventures(Nicholas Naclerio), Kurma Partners(Philippe Peltier), LBO France(Philippe Chambon), Objective, Investment Banking &amp; Valuation, Paris-Saclay Seed Fund</t>
  </si>
  <si>
    <t>133752-61T</t>
  </si>
  <si>
    <t>Moonycat Entertainment</t>
  </si>
  <si>
    <t>Operator of a video game studio intended to develop adventure games for entertainment. The company's games combine poignant stories and assertive gameplay mechanics, enabling gamers to play classic poetic, adventure games for PCs and consoles.</t>
  </si>
  <si>
    <t>SuperGG</t>
  </si>
  <si>
    <t>cross-generational games, gaming studio, gaming studio operator, gaming studio platform, video game development studio, video game studio</t>
  </si>
  <si>
    <t>120161-62T</t>
  </si>
  <si>
    <t>Option Way</t>
  </si>
  <si>
    <t>Operator of an online booking platform intended to reimburse money if air ticket price falls. The company's platform provides benefits from any possible price reduction in air tickets, enabling travelers and buyers to get back their balance of air ticket money when the price of that ticket falls, either before or after the travel date.</t>
  </si>
  <si>
    <t>Les Business Angels des Grandes Écoles, Olbia Invest</t>
  </si>
  <si>
    <t>air ticketing, air ticketing books, booking app, online ticketing books, travel agency, travel help, travel services</t>
  </si>
  <si>
    <t>170338-15T</t>
  </si>
  <si>
    <t>Cameo Energy</t>
  </si>
  <si>
    <t>Provider of financing and optimization of energy efficiency projects intended for industrial enterprises, tertiary companies, communities and fitters. The company's services range from the detection of sources of energy savings to the financing of energy efficiency projects and thus support professionals in improving their industrial performance and efficiency through a team of experts dedicated to energy analysis.</t>
  </si>
  <si>
    <t>Eiffel Investment Group(Pierre-Antoine Machelon)</t>
  </si>
  <si>
    <t>energy efficiency, energy project finance, energy project financing, energy transition, project finance service, project finance specialist, project financing</t>
  </si>
  <si>
    <t>113822-20T</t>
  </si>
  <si>
    <t>Bruno Kemoun(Bruno Kemoun), Eryck Rebbouh(Eryck Rebbouh), Jaina Capital, Les Entrepreneurs Réunis(Bruno du Biest), Pierre Kosciusko Morizet(Pierre Kosciusko Morizet), Serena (Paris), Sébastien Romelot(Sébastien Romelot)</t>
  </si>
  <si>
    <t>114176-71T</t>
  </si>
  <si>
    <t>FittingBox</t>
  </si>
  <si>
    <t>Operator of a digital eyewear company intended to provide assistance to users to try on glasses in augmented reality. The company offers digital content for three-dimension compression, face detection, and an interactive platform for the eye-wear industry, enabling users to find frames that suit their body type and style.</t>
  </si>
  <si>
    <t>Fielmann Ventures(Thomas Rützel)</t>
  </si>
  <si>
    <t>ai optic software, digital eyewear, digital eyewear company, eyewear company, eyewear portal, eyewear simulator, eyewear tech</t>
  </si>
  <si>
    <t>116932-24T</t>
  </si>
  <si>
    <t>QAPE</t>
  </si>
  <si>
    <t>Provider of insurance models intended to integrate digital and physical presence and provide an insurance-insured relationship based on mutual trust. The company's models use artificial intelligence technologies to assess risk coverage needs and the insurance that exists in the market, enabling customers to have safe and economical insurance.</t>
  </si>
  <si>
    <t>BDR Innovation et Transmission, Capital Grand Est, Investisseurs privés</t>
  </si>
  <si>
    <t>contract guarantee bonds, health insurance, health insurance provider, insurance, insurance product, insurance service provider, insurance solution provider, insurance technology, insurance technology service</t>
  </si>
  <si>
    <t>Toucy, France</t>
  </si>
  <si>
    <t>122889-79T</t>
  </si>
  <si>
    <t>ABAB (Atlantic Business Angels Booster), Finple, Ouest Angels Capital, Siparex Group, Sodero, West Angels</t>
  </si>
  <si>
    <t>134078-86T</t>
  </si>
  <si>
    <t>La Valériane</t>
  </si>
  <si>
    <t>Developer of a comprehensive health preservation platform designed for professionals and individuals. The company offers personalized health assessments, expert guidance, and innovative preventive strategies, enabling individuals to safeguard their health and independence as they age.</t>
  </si>
  <si>
    <t>chronic pathology, diagnostic applications, e-health application, elderly people, health prevention platform, telemedicine tools</t>
  </si>
  <si>
    <t>Digital Health, HealthTech, Life Sciences, LOHAS &amp; Wellness, SaaS, TMT</t>
  </si>
  <si>
    <t>113679-91T</t>
  </si>
  <si>
    <t>Accel(Philippe Botteri), Baring Vostok Capital Partners, blisce/, Cabiedes &amp; Partners, Colle Capital Partners, Grape Arbor VC, GrowthUP Business Accelerator, Index Ventures(Dominique Vidal), Insight Partners(Jeffrey Horing), International Society of Angel Investors, Investments Search Friends, ISAI, Lead Edge Capital, Monkfish Equity, Omnes Capital, Otiva, Quadriplay Venture, Société Nationale des Chemins de fer Français(Guillaume Pepy), VNV Global (STO: VNV)</t>
  </si>
  <si>
    <t>114555-25T</t>
  </si>
  <si>
    <t>ScaleX Invest</t>
  </si>
  <si>
    <t>Media and Information Services (B2B)*, Other Capital Markets/Institutions, Other Financial Services</t>
  </si>
  <si>
    <t>Operator of a credit rating agency intended to provide analytical reports regarding business performances. The company evaluates the potential for growth, the quality of the management team, project potential, and the market of startups and innovative business, enabling investors to make informed decisions before investing.</t>
  </si>
  <si>
    <t>Bouygues Telecom Initiatives, CFP Energy, Fimalac Group, Kima Ventures, News Invest, Pascal Boris(Pascal Boris), Pleiade Venture, Pléiade Investissement(Emmanuelle Guez), RAISE Group</t>
  </si>
  <si>
    <t>company growth strategy, company rating services, investment analysis, rating agency service, rating service provider, strategy analysis</t>
  </si>
  <si>
    <t>114270-04T</t>
  </si>
  <si>
    <t>Sentryo</t>
  </si>
  <si>
    <t>Developer of a cyber security platform designed to manage the cyber risk of M2M networks and Industrial Control Systems (ICS). The company's platform leverages artificial intelligence and machine learning algorithms to gain real-time understanding of the state of the industrial facility, analyze alarms and control the infrastructure security, enabling corporations to ensure continuity, resilience and safety of their industrial operations.</t>
  </si>
  <si>
    <t>Alliance Entreprendre, BNP Paribas Développement, Breed Reply, GP Ace Managemnet, Kreaxi, Omnes Capital, Rhône-Alpes Création, Seventure Partners, Sopra Steria Group (PAR: SOP)(Arnaud Cailleau), Tikehau Capital (PAR: TKO)</t>
  </si>
  <si>
    <t>cyber protection, cyber security service, cyber security system, network security, operational security</t>
  </si>
  <si>
    <t>Artificial Intelligence &amp; Machine Learning, Big Data, Cybersecurity, TMT</t>
  </si>
  <si>
    <t>135345-07T</t>
  </si>
  <si>
    <t>Sillages Paris</t>
  </si>
  <si>
    <t>Manufacturer of custom perfume products intended to provide a unique fragrance as per the choice of the person. The company makes handcrafted, personalized, creative, and accessible to all perfumes by utilizing artificial intelligence and machine learning, providing users with a fine smell that is made according to their choices.</t>
  </si>
  <si>
    <t>BOLD (Business Opportunities for L'Oréal Development)</t>
  </si>
  <si>
    <t>custom perfume, fragrance manufacturer, fragrance product, perfume designer, perfume maker, perfume manufacturer, perfumes maker</t>
  </si>
  <si>
    <t>120358-18T</t>
  </si>
  <si>
    <t>Bpifrance, GO Capital (France)(David Leray), Sogescot</t>
  </si>
  <si>
    <t>113595-94T</t>
  </si>
  <si>
    <t>Parkki</t>
  </si>
  <si>
    <t>Developer of a parking space detection application designed to inform motorists of parking spots available around. The company's application is equipped with a scalable sensor system for smart cities and a data analysis system that collects this information with accurate and real-time analysis of all this data, thereby enabling motorists to solve their parking problems by knowing the free location closest to their destination.</t>
  </si>
  <si>
    <t>Finovam Gestion, Hodéfi, Via ID(Jean-François Dhinaux)</t>
  </si>
  <si>
    <t>fleet connectivity, fleet management, parking, parking data provider, parking detection platform, parking detection system, parking sensors, parking space detectors, parking system, smartcity system</t>
  </si>
  <si>
    <t>113565-16T</t>
  </si>
  <si>
    <t>Abeille Impact Investing France, Arkéa Capital, Bpifrance(Edouard Combette), ETF Partners, Sofiouest, Tupancy Capital</t>
  </si>
  <si>
    <t>226415-62T</t>
  </si>
  <si>
    <t>Plastitek</t>
  </si>
  <si>
    <t>Industrial Supplies and Parts*, Other Commercial Products, Road</t>
  </si>
  <si>
    <t>Manufacturer of plastic injections intended to provide technical and assembled parts. The company engages in the production of mono-, bi-, and tri-material plastic injection, over-molding, and the design and production of molds, enabling automotive, medical, and construction industries to get the supply of quality injection molds.</t>
  </si>
  <si>
    <t>assembly product, molds design, molds maker, plastic injection, plastics manufacturing, product design</t>
  </si>
  <si>
    <t>Bouttencourt, France</t>
  </si>
  <si>
    <t>116083-18T</t>
  </si>
  <si>
    <t>Loisirs Enchères</t>
  </si>
  <si>
    <t>Entertainment Software, Information Services (B2C), Leisure Facilities*</t>
  </si>
  <si>
    <t>Operator of an auction platform designed to place bets on famous holiday destinations. The company's platform allows choosing from offers in and around Paris and Bordeaux for good vacation plans and leisure activities, enabling users to experience the adrenaline and the luck of the game.</t>
  </si>
  <si>
    <t>Blackstone Credit and Insurance(Hubert Hamadou), Bpifrance(Xavier Deleplace), Crédit Agricole Aquitaine Expansion(Laetitia Vindevogel), Galia Gestion(Claudia Daugan), GSO Innovation</t>
  </si>
  <si>
    <t>leisure auction, leisure auction services, online tourism service, tourism ecommerce, tourism service platform, travel and tourism</t>
  </si>
  <si>
    <t>117253-63T</t>
  </si>
  <si>
    <t>Bpifrance, Credit Agricole (PAR: ACA), Créazur, Elaia Partners, IT-Translation, M Capital Partners(Yoann Bonnamour), Omnes Capital(Maximilien Fournier-Sourdille), Région Sud Investissement, SWEN Capital Partners</t>
  </si>
  <si>
    <t>113687-29T</t>
  </si>
  <si>
    <t>My Jolie Candle</t>
  </si>
  <si>
    <t>Accessories, Other Consumer Non-Durables*</t>
  </si>
  <si>
    <t>Manufacturer of scented interior products intended to enhance sensory and emotional experiences. The company is engaged in manufacturing scented candles and jewelry that are made with vegetable wax and environmentally friendly raw materials, enabling customers to create a calm and comforting atmosphere around them.</t>
  </si>
  <si>
    <t>Entrepreneur Invest(Pierre-Alexis de Vauplane), Marc Beffort(Marc Beffort)</t>
  </si>
  <si>
    <t>accessories maker, jewelry candles, jewelry candles platform, jewelry candles shops, organic candles, perfumed candles, scented candles</t>
  </si>
  <si>
    <t>114087-97T</t>
  </si>
  <si>
    <t>Touch &amp; Sell</t>
  </si>
  <si>
    <t>Developer of sales enablement platform designed to make sales representations more efficient in meetings. The company offers centralized storage of documents, personalization, offline access, content sharing, and monitoring of usage statistics, enabling clients to access information from all types of screens including tablets, smartphones, and computers.</t>
  </si>
  <si>
    <t>Alliance Entreprendre(Benoît Thiedey), Evolem(Thomas Rival)</t>
  </si>
  <si>
    <t>application service provider, data storage software, digital services, marketing software, presentation software, sales management tool, sales presentation software, sales software</t>
  </si>
  <si>
    <t>129473-38T</t>
  </si>
  <si>
    <t>Barratio</t>
  </si>
  <si>
    <t>Developer of hotel management software intended to provide a link between restaurateurs and accountants. The company's software offers integrated functionalities for administrative and tax-related works along with installation and training, enabling clients to access their software to manage accounting data and synchronize data with cash registers and stocks.</t>
  </si>
  <si>
    <t>LeadX Capital Partners, Techstars</t>
  </si>
  <si>
    <t>accounting data, cafe management, restaurant management platform, restaurant management software, restaurant management technology, restaurant management tool</t>
  </si>
  <si>
    <t>119735-02T</t>
  </si>
  <si>
    <t>Biogroupe</t>
  </si>
  <si>
    <t>Producer of plant-based beverages intended to offer a healthy and organic alternative to alcoholic and carbonated drinks. The company's beverages include fermented tea drinks, fruit flavorings as well as organic vegetable desserts which are made from organic sources and are free from preservatives, enabling consumers to enjoy flavored drinks and stay healthy at the same time.</t>
  </si>
  <si>
    <t>Calcium Capital Partners, Quadia, SWEN Capital Partners</t>
  </si>
  <si>
    <t>organic beverages, organic desserts, organic drinks, organic food, tea drinks, vegetables desserts</t>
  </si>
  <si>
    <t>Erquy, France</t>
  </si>
  <si>
    <t>132960-79T</t>
  </si>
  <si>
    <t>Jobmaker</t>
  </si>
  <si>
    <t>Application Software, Business/Productivity Software, Education and Training Services (B2B)*, Human Capital Services</t>
  </si>
  <si>
    <t>Developer of a digital career coach designed to assist in career development. The company's application provides recommendations based on employees' work experience and academics and connects them to the employer and human resource managers directly, facilitating personalized guidance for professional development, enabling job seekers to access career-based coaching and explore a range of work opportunities.</t>
  </si>
  <si>
    <t>Alain Rousselin(Alain Rousselin), Hopscotch Groupe (PAR: ALHOP), La French Tech, My Seed Cap</t>
  </si>
  <si>
    <t>career building, career counselling, career development, career development tool, career guidance app, job updates, professional development</t>
  </si>
  <si>
    <t>EdTech, HR Tech, Mobile, TMT</t>
  </si>
  <si>
    <t>192524-41T</t>
  </si>
  <si>
    <t>Péligourmet</t>
  </si>
  <si>
    <t>Operator of an online marketplace intended to discover and buy regional products from artisanal producers. The company provides a collaborative platform for short food circuit distribution that helps citizens with distance journeys to deliver products at low transport costs, enabling customers to connect with local artisans and purchase food products and improve local economic conditions.</t>
  </si>
  <si>
    <t>Groupe La Maison Bleue</t>
  </si>
  <si>
    <t>artisanal online marketplace, artisanal product, collaborative economy platform, food marketplace, marketplace model, marketplace tech</t>
  </si>
  <si>
    <t>114031-72T</t>
  </si>
  <si>
    <t>Alliance Entreprendre, Bpifrance, CapHorn Invest(Guillaume Dupont), Credit Agricole (PAR: ACA), Crédit Agricole Alpes Développement, Expansinvest, Garibaldi Participations, Grenoble Angels, Matmut, Oddo BHF Asset Management, Olivier Heckmann(Olivier Heckmann), Romain Vidal(Romain Vidal), SWEN Capital Partners, Trail Solutions Patrimoine, Vincent Gentil(Vincent Gentil), Véronique Di Benedetto(Véronique Di Benedetto)</t>
  </si>
  <si>
    <t>160424-83T</t>
  </si>
  <si>
    <t>Nettra Pan(Nettra Pan), Otium Capital</t>
  </si>
  <si>
    <t>89279-83T</t>
  </si>
  <si>
    <t>Enless Wireless</t>
  </si>
  <si>
    <t>Connectivity Products, Electronic Components, Wireless Communications Equipment*</t>
  </si>
  <si>
    <t>Developer of wireless technologies and products designed to service machine-to-machine energy applications, technical building management and smart metering. The company's wireless technologies have extreme transmission power and prolonged ranges without impacting the lifetime of the transmitters, enabling operators to monitor large buildings and industrial sites.</t>
  </si>
  <si>
    <t>building management, machine-to-machine, network operator, telecommunication, wireless communication, wireless technology</t>
  </si>
  <si>
    <t>Internet of Things, TMT</t>
  </si>
  <si>
    <t>Bruges, France</t>
  </si>
  <si>
    <t>116173-27T</t>
  </si>
  <si>
    <t>BFC Croissance, Bourgogne Franche Comte Angels</t>
  </si>
  <si>
    <t>130897-45T</t>
  </si>
  <si>
    <t>Rogervoice</t>
  </si>
  <si>
    <t>Application Software*, Communication Software</t>
  </si>
  <si>
    <t>Developer of an assistive communication platform designed to aid in connecting people with hearing problems. The company's platform offers a voice recognition system that automatically transcripts calls and an integrated speech synthesis tool to convert text into speech, enabling deaf and hard-of-hearing people, to read a phone call, communicate with others, and convey their messages.</t>
  </si>
  <si>
    <t>accessibility tools, captioning platform, communication application, speech synthesis software, text communication, transcription tools, translation app, voice recognition</t>
  </si>
  <si>
    <t>195287-59T</t>
  </si>
  <si>
    <t>Bpifrance, SATT Sayens</t>
  </si>
  <si>
    <t>134396-47T</t>
  </si>
  <si>
    <t>Sparklane</t>
  </si>
  <si>
    <t>Developer of an artificial intelligence-based platform created to support salespeople and business-to-business marketers in the digital transformation of their businesses. The company's platform identifies the sales and marketing potential and increases responsiveness by focusing on prospects with enhanced potential, thereby enabling businesses to increase revenue and efficiency.</t>
  </si>
  <si>
    <t>artificial intelligence, business intelligence platform, business responsiveness, crm solutions, market identification, marketing platform, marketing potential</t>
  </si>
  <si>
    <t>120217-33T</t>
  </si>
  <si>
    <t>360 Capital, Mode et Finance</t>
  </si>
  <si>
    <t>121660-93T</t>
  </si>
  <si>
    <t>Electra-Invest(Edouard Lameloise), Kreaxi(Gwenaël Hamon)</t>
  </si>
  <si>
    <t>189581-95T</t>
  </si>
  <si>
    <t>113333-77T</t>
  </si>
  <si>
    <t>Enerbee</t>
  </si>
  <si>
    <t>Developer of an innovative motion-based energy harvesting technology designed to generate energy from speed and movement. The company's technology delivers fully autonomous energy products that can support different functions such as speed measurement, radio communication, and onboard power for additional sensors and actuators, enabling users to save battery, energy, and money.</t>
  </si>
  <si>
    <t>360 Capital(Dominique Rencurel), Asahi Kasei Corporate Venture Capital(Takashi Morishita), Crédit Agricole Alpes Développement(Rami Hassoun), Demeter Partners(Jean-Philippe Gendre), Emertec Gestion, Robolution Capital</t>
  </si>
  <si>
    <t>energy harvesting, energy harvesting services, energy product, intelligent energy management, intelligent energy management system, radio communication, speed measurement</t>
  </si>
  <si>
    <t>CleanTech, Internet of Things, Manufacturing, TMT</t>
  </si>
  <si>
    <t>118169-20T</t>
  </si>
  <si>
    <t>Astanor Ventures, Siparex Group</t>
  </si>
  <si>
    <t>122960-53T</t>
  </si>
  <si>
    <t>113685-31T</t>
  </si>
  <si>
    <t>Intersec</t>
  </si>
  <si>
    <t>Developer of a streaming analytics software designed to provide real-time business performance data. The company's software empowers to leverage technical and business data to get actionable insights to produce real-time analyses of massive amounts of data, understand the experience of customers, follow and model population flows, correlate demographics and transactions, as well as uncover abnormal behaviors, enabling organizations to derive value from their network and IT big data and to facilitate services innovation.</t>
  </si>
  <si>
    <t>Cartagena Capital, Crédit Mutuel Innovation(Guillaume Dhee), Highland Europe(Laurence Garrett), Innovacom (Paris)(Jérôme Faul), Omnes Capital, Turenne Groupe(Charles-Henri Booter)</t>
  </si>
  <si>
    <t>analytics app, analytics model, analytics platform, business performance data, customer value management, data infrastructure, data quality tools, data solutions company, location intelligence platform, mobility data solutions, network data</t>
  </si>
  <si>
    <t>Big Data, Mobile, TMT</t>
  </si>
  <si>
    <t>115935-94T</t>
  </si>
  <si>
    <t>Kiwi Box</t>
  </si>
  <si>
    <t>Provider of a universal charging device intended to offer charge platforms for smartphones and tablets. The company's platform is adaptable to all models and brands, as well as it can charge up to 6 electronic and telephonic devices, enabling users to charge their devices anytime.</t>
  </si>
  <si>
    <t>charging station, phone charger, phone charging device, tablets charger, universal charging platform</t>
  </si>
  <si>
    <t>Manufacturing, Mobile, TMT</t>
  </si>
  <si>
    <t>113291-74T</t>
  </si>
  <si>
    <t>Birdycent</t>
  </si>
  <si>
    <t>Developer of a micro-savings platform designed to increase clients' savings potential. The company's platform is connected to French banks, helps to transfer money to the bank account and protects bank details, thereby enabling customers to be informed regarding daily expenses.</t>
  </si>
  <si>
    <t>Rising Sun Ventures</t>
  </si>
  <si>
    <t>account aggregation services, financial platform, fintech services, investment savings, piggy bank application, savings platform</t>
  </si>
  <si>
    <t>117952-30T</t>
  </si>
  <si>
    <t>Angels for Food, InVivo group, Terralia Venture</t>
  </si>
  <si>
    <t>118218-43T</t>
  </si>
  <si>
    <t>Nachos</t>
  </si>
  <si>
    <t>Operator of a Mexican fast-food brand intended to offer fresh, tasty, and balanced cuisine prepared on-site. The company's menu includes fajitas, tacos, and bowls as well as offers a cuisine full of flavor to compose according to one's desires, enabling consumers to order fresh quality foods.</t>
  </si>
  <si>
    <t>FFWD Normandie, Normandie Participations(Anthony Arsac), Turenne Groupe(Mathilde Serres)</t>
  </si>
  <si>
    <t>fast food cafe, fast food joint, fast food restaurant, fast food seller, food company, food corner, food ecommerce, restaurant marketplace</t>
  </si>
  <si>
    <t>122186-98T</t>
  </si>
  <si>
    <t>Global Innovation Fund</t>
  </si>
  <si>
    <t>113083-48T</t>
  </si>
  <si>
    <t>121378-33T</t>
  </si>
  <si>
    <t>Braineet</t>
  </si>
  <si>
    <t>Developer of an innovation management platform designed to help companies foster innovation and bring new products and services to market. The company's platform offers a comprehensive suite of tools and features to help companies manage their innovation process, from ideation to implementation, enabling customers to streamline their innovation process, improve collaboration, and make informed decisions about where to allocate their resources.</t>
  </si>
  <si>
    <t>Altavia Adventures, AngelSquare, Jacques-Antoine Granjon(Jacques-Antoine Granjon), Marc Simoncini(Marc Simoncini), Newfund Management, Xavier Niel(Xavier Niel)</t>
  </si>
  <si>
    <t>business innovation platform, crowdsourcing data, ideas sharing platform, innovation management, innovation management platform, innovation management software, innovation management system</t>
  </si>
  <si>
    <t>188074-63T</t>
  </si>
  <si>
    <t>Ecopark Adventures</t>
  </si>
  <si>
    <t>Operator of an amusement park and ecological space intended to be used for adventure and relaxation in a secure environment. The company's amusement park and ecological space provide unlimited access to tree-climbing courses, with progressive levels of difficulty designed for children, adults, and athletes, enabling tourists and visitors to do outdoor activities in a serene and peaceful environment.</t>
  </si>
  <si>
    <t>activity park, adventure activities, amusement game, amusement park, ecological park, fun games, holiday park, leisure activities, outdoor leisure activities, trees climbing activities</t>
  </si>
  <si>
    <t>113076-91T</t>
  </si>
  <si>
    <t>129221-29T</t>
  </si>
  <si>
    <t>Birds.</t>
  </si>
  <si>
    <t>Developer of a data analysis software designed to help retail players to place competitive intelligence at the heart of their commercial development strategy. The company's software collects, processes, and analyzes data, enabling distributors and retail suppliers to get decision support tools.</t>
  </si>
  <si>
    <t>Pays d'Aix Initiative, Provence Business Angels, Région Sud Investissement</t>
  </si>
  <si>
    <t>analysis platform, competitive intelligence platform, competitive intelligence software, computer software, data analysis software, data platform</t>
  </si>
  <si>
    <t>117593-02T</t>
  </si>
  <si>
    <t>Deliver.ee</t>
  </si>
  <si>
    <t>Business/Productivity Software*, Internet Retail, Logistics</t>
  </si>
  <si>
    <t>Developer of an on-demand shipping platform designed to help brands to deploy and manage their same-day delivery service. The company's platform automates and drives deliveries anywhere in the world, enabling retailers to improve the conversion rate by offering immediate delivery.</t>
  </si>
  <si>
    <t>50 Partners, Alain Sarfati(Alain Sarfati), Alex Roubinet(Alex Roubinet), Bpifrance, Charles Dunston(Charles Dunston), Francois Le Pichon(Francois Le Pichon), Raphael Labbe(Raphael Labbe), SaaS Partners, Wilco(Paris)</t>
  </si>
  <si>
    <t>delivery platform, delivery platform software, online shipping platform, same day delivery, shipping platform, shipping portal, shipping services</t>
  </si>
  <si>
    <t>Industrials, SaaS, Supply Chain Tech, TMT</t>
  </si>
  <si>
    <t>115257-97T</t>
  </si>
  <si>
    <t>iRaiser</t>
  </si>
  <si>
    <t>Developer of fundraising software designed to collect funds on the online website. The company's software offers an online donation platform for event fundraising, peer-to-peer, crowdfunding, advocacy, legacy, marketing automation and customer relationship management, enabling nonprofit organizations to raise more money by meeting the requirements of security, ethics and transparency.</t>
  </si>
  <si>
    <t>Generis Capital Partners(Thibaut de Roux), Impact Partners (Paris), Oltre Impact</t>
  </si>
  <si>
    <t>crowdfunding platform, digital fundraising, digital fundraising platform, enterprise payment, events fundraising, fundraising platform, fundraising software, payment, payment platform</t>
  </si>
  <si>
    <t>B2B Payments, FinTech, Marketing Tech, SaaS</t>
  </si>
  <si>
    <t>123636-07T</t>
  </si>
  <si>
    <t>109008-28T</t>
  </si>
  <si>
    <t>Phitrust Partenaires</t>
  </si>
  <si>
    <t>207313-30T</t>
  </si>
  <si>
    <t>Clicar</t>
  </si>
  <si>
    <t>Operator of a car-sharing rental platform intended to provide access to a fleet of rental cars. The company's platform offers a variety of hybrid and electric cars with access to vehicles with long-term rental or lease-to-own options, providing customers with sustainable and affordable transportation at an economical cost throughout the year.</t>
  </si>
  <si>
    <t>car rental, electric vehicles- utility, hybrid car, lease management, leasing renewal, rental service, utility vehicles, vehicle rental</t>
  </si>
  <si>
    <t>Car-Sharing, Mobility Tech</t>
  </si>
  <si>
    <t>112797-64T</t>
  </si>
  <si>
    <t>Bpifrance(Nicolas Herschtel), Serena (Paris)(Bertrand Diard)</t>
  </si>
  <si>
    <t>96271-12T</t>
  </si>
  <si>
    <t>Everoad</t>
  </si>
  <si>
    <t>Developer of a freight management platform intended to connect shippers and carriers in real-time. The company's platform calculates and displays the cost of loads in real-time to be monitored through a dashboard while all transport documents and invoices are digitized for instant access, enabling retail companies to find the most cost-effective shipping method.</t>
  </si>
  <si>
    <t>Clément Benoit(Clément Benoit), Earlybird Venture Capital, Hartmann Holdings, InVenture Partners, Larix, Molten Ventures (LON: GROW), Patrick Sayer, Roger Crook(Roger Crook), Romain Afflelou(Romain Afflelou)</t>
  </si>
  <si>
    <t>freight, freight books, freight management platform, freight optimization, freight technology, logistic software, shipping platform, supply chain tech, trucking logistics</t>
  </si>
  <si>
    <t>112800-52T</t>
  </si>
  <si>
    <t>Capital-E(Pascal Vanluchene), Cipio Partners(Roland Dennert), Fiparin</t>
  </si>
  <si>
    <t>103073-32T</t>
  </si>
  <si>
    <t>169817-05T</t>
  </si>
  <si>
    <t>Abeille Impact Investing France, NovESS</t>
  </si>
  <si>
    <t>112800-34T</t>
  </si>
  <si>
    <t>Aglaé Ventures, Gilles Blanchard(Gilles Blanchard), Guillaume de Ville(Guillaume de Ville), Jean-Baptiste Rudelle(Jean-Baptiste Rudelle), Thomas Landais(Thomas Landais), XAnge</t>
  </si>
  <si>
    <t>112727-35T</t>
  </si>
  <si>
    <t>Acorus Networks</t>
  </si>
  <si>
    <t>Provider of cybersecurity services intended to protect web platform infrastructure from distributed denial-of-service attacks (DDoS). The company's portal offers to visualize legitimate traffic in real time and counter attacks manually or automatically, enabling customers whose business activity relies on the Internet with safe access.</t>
  </si>
  <si>
    <t>Elaia Partners(Marc Rougier), Kima Ventures, Partech(Reza Malekzadeh)</t>
  </si>
  <si>
    <t>cyber crime, ddos protection, internet attacks, legitimate traffic identification, website protection</t>
  </si>
  <si>
    <t>116373-07T</t>
  </si>
  <si>
    <t>Hap2U</t>
  </si>
  <si>
    <t>Computers, Parts and Peripherals, Electronic Equipment and Instruments*</t>
  </si>
  <si>
    <t>Developer of a haptic feedback screen technology designed to enhance experiences in the digital world. The company's technology facilitates application designers to present users with a variety of textures and sensations, to better feel them by integrating the sense of touch in tactile devices, enabling users to interact with the dashboard or another touch interface much more securely.</t>
  </si>
  <si>
    <t>Mercedes-Benz Group (ETR: MBG)</t>
  </si>
  <si>
    <t>haptic feedback technology, haptic technology, iot hardware, sensors &amp; sensor system, sensors and sensor system, tactile interface, tactile product, touch sensor technology, user experience design</t>
  </si>
  <si>
    <t>Saint Martin d'Hères, France</t>
  </si>
  <si>
    <t>120305-35T</t>
  </si>
  <si>
    <t>Finovam Gestion(Helene Cannard), Nord France Amorçage(Guillaume Bruniaux), WiSeed(François Martin)</t>
  </si>
  <si>
    <t>120391-21T</t>
  </si>
  <si>
    <t>Epopée Gestion(Vladimir Bolze), GO Capital (France)(Jérôme Guéret), Pays de La Loire Development</t>
  </si>
  <si>
    <t>113450-68T</t>
  </si>
  <si>
    <t>112687-12T</t>
  </si>
  <si>
    <t>IRIS (Private Equity)(Erik de la Rivière)</t>
  </si>
  <si>
    <t>169820-29T</t>
  </si>
  <si>
    <t>Illusion &amp; Macadam</t>
  </si>
  <si>
    <t>Operator of a collective interest cooperative intended to promote artistic projects in the performing arts. The company helps to professionalize and structure cultural organizations that often lack administrative, managerial, and strategic expertise, enabling clients to acquire the guidance they require and grow their businesses.</t>
  </si>
  <si>
    <t>artists workshops, crowdfunding consulting, cultural workshops, funding consulting, management consulting, organization consulting, strategic consulting</t>
  </si>
  <si>
    <t>169783-93T</t>
  </si>
  <si>
    <t>44294-50T</t>
  </si>
  <si>
    <t>Agami Family Office, Banque Populaire, Bpifrance, Entrepreneurs Factory, IRDI Capital Investissement, Societe Generale &amp; Vous, Sofilaro, Soridec</t>
  </si>
  <si>
    <t>195837-49T</t>
  </si>
  <si>
    <t>Akio</t>
  </si>
  <si>
    <t>Developer of an interaction management platform designed to improve the omnichannel customer experience for call centers and service departments. The company's platform equips customer service departments, and medium and large capacity contact centers with interactive voice response (IVR), call, email, chat session, web self-service, call-back web, SMS, fax, and letter management modules, enabling clients to offer quality service with optimized productivity.</t>
  </si>
  <si>
    <t>YZi Labs</t>
  </si>
  <si>
    <t>analytics saas, business software, contact center software, customer interaction software, customer relation service, interaction management, relationship management tool</t>
  </si>
  <si>
    <t>111885-13T</t>
  </si>
  <si>
    <t>Tiamat</t>
  </si>
  <si>
    <t>Designer and manufacturer of sodium-ion batteries designed for mobility and stationary energy storage. The company's battery cells have fast-charging power capabilities with high power density, safety usage and enhanced cycle, enabling clients to receive long-life batteries for their usage.</t>
  </si>
  <si>
    <t>Centre national de la recherche scientifique, Finovam Gestion, Picardie Investissement</t>
  </si>
  <si>
    <t>batteries testing technology, battery designer, battery manufacturing, battery product, battery storage, grid infrastructure, power battery, sodium ion batteries, sodium ion technology</t>
  </si>
  <si>
    <t>133549-57T</t>
  </si>
  <si>
    <t>BNP Paribas (PAR: BNP), Bpifrance, European Metropolis of Lille</t>
  </si>
  <si>
    <t>112431-88T</t>
  </si>
  <si>
    <t>Vectaury</t>
  </si>
  <si>
    <t>Operator of a mobile programming and predictive marketing platform intended to predict customers' behavior and trends. The company's platform facilitates the provision of geo-profiling and geo-localized advertisements on mobile and analyzes activity around the points of sale while maintaining privacy, enabling retailers and brands to understand and improve their marketing activities efficiently.</t>
  </si>
  <si>
    <t>Bpifrance, Business &amp; Decision, Jolt Capital(Guillaume Girard)</t>
  </si>
  <si>
    <t>customer behavior, location intelligence based platform, marketing platform, mobile programming platform, mobile programming services, predictive marketing platform</t>
  </si>
  <si>
    <t>Marketing Tech, Mobile, TMT</t>
  </si>
  <si>
    <t>119743-30T</t>
  </si>
  <si>
    <t>Cultur'in the City</t>
  </si>
  <si>
    <t>Information Services (B2C), Movies, Music and Entertainment, Specialty Retail*</t>
  </si>
  <si>
    <t>Retailer of show cards and gift boxes intended to entertain and please the audience. The company offers a customized monthly subscription of numerous gift box shows per month in different categories of comedy, classical, dance, and opera, enabling customers to modernize and democratize access to their desired shows in France.</t>
  </si>
  <si>
    <t>CRG Partners, IRD Invest, Wonderbox</t>
  </si>
  <si>
    <t>cardstock stickers, comedy show, entertainment drama, gift boxes show, live performance show, show subscription</t>
  </si>
  <si>
    <t>191133-19T</t>
  </si>
  <si>
    <t>Blinksight</t>
  </si>
  <si>
    <t>Business/Productivity Software, Electrical Equipment, Electronic Equipment and Instruments*</t>
  </si>
  <si>
    <t>Developer of an indoor tracking and tracing technology designed to locate objects or people in space with an accuracy of a few tens of centimeters. The company's technology offers real-time information to track and trace people and objects in indoor environments, enabling clients with insights essential to meeting future standards for productivity, efficiency, quality, and safety.</t>
  </si>
  <si>
    <t>Anaxago</t>
  </si>
  <si>
    <t>impulse radio technology, indoor positioning system, indoor tracing technology, indoor tracking, indoor tracking system, industrial iot, tracing technology</t>
  </si>
  <si>
    <t>120042-01T</t>
  </si>
  <si>
    <t>Courtin Investment, Kima Ventures</t>
  </si>
  <si>
    <t>117210-88T</t>
  </si>
  <si>
    <t>112448-80T</t>
  </si>
  <si>
    <t>Manda</t>
  </si>
  <si>
    <t>Business/Productivity Software, Media and Information Services (B2B), Real Estate Services (B2C)*</t>
  </si>
  <si>
    <t>Provider of rental management services intended to access a saturated and relatively traditional market. The company's platform offers digital searching rather than virtually visiting the apartment and handles management of housing, payment, administrative and technical incidents, enabling its clients to reduce the vacancy and improve the income of the landlords significantly.</t>
  </si>
  <si>
    <t>Bpifrance(Edwige Kharoubi), Kima Ventures, Paris-Saclay Seed Fund, Partech(Alison Imbert)</t>
  </si>
  <si>
    <t>housing rental, property rental, real estate agency, real estate investment, real estate rental, rent facility, rental home, rental management, rental management platform</t>
  </si>
  <si>
    <t>130967-65T</t>
  </si>
  <si>
    <t>Aeklys By Starck</t>
  </si>
  <si>
    <t>Accessories, Electronics (B2C)*</t>
  </si>
  <si>
    <t>Developer of a secure and smart ring designed to maintain a contactless identification system. The company's ring includes patented security systems such as owner recognition and wave emission control that are fully autonomous and help to replace keys, means of payment, badges and all means of identification, enabling clients to manage and control data directly from a smartphone by replacing the entire wallet and keychain.</t>
  </si>
  <si>
    <t>FIP Neoveris Corse</t>
  </si>
  <si>
    <t>connected buildings, contactless payment, identification device, identification services, identification system, nfc technology, online identification, payment rings, payment system, smart home</t>
  </si>
  <si>
    <t>121781-44T</t>
  </si>
  <si>
    <t>Alphonse</t>
  </si>
  <si>
    <t>Provider of online collaborative services intended to help connect people looking for skilled workers, with passionate young retirees. The company's platform transfers knowledge between generations through the manual skills of experts, enabling young people to enjoy and experience skills in a friendly atmosphere.</t>
  </si>
  <si>
    <t>gift card, online collaborative platform, retirement advisory service, retirement house, retirement plan provider, skills platform</t>
  </si>
  <si>
    <t>Mouvaux, France</t>
  </si>
  <si>
    <t>134076-70T</t>
  </si>
  <si>
    <t>Banque Populaire du Sud, BNP Paribas (PAR: BNP), Bpifrance, IRDI Capital Investissement, Jeremie LR, Languedoc-Roussillon Region, Société Marseillaise de Crédit, Sofilaro, Sofimac Innovation, Soridec</t>
  </si>
  <si>
    <t>125199-19T</t>
  </si>
  <si>
    <t>Crosstalent</t>
  </si>
  <si>
    <t>Developer of human resource and business management application designed to digitize the HR function and business management. The company's application addresses all areas of the HR function, including recruitment, training, evaluations, compensation, interviews, talent management, attendance and absence management and expense report management, enabling businesses to better implement HR processes.</t>
  </si>
  <si>
    <t>Allinvest, Apicap, Investessor, SaaS.group</t>
  </si>
  <si>
    <t>business management app, business management service, business management software, employee onboarding, hr application, hr management, hr management app, talent management</t>
  </si>
  <si>
    <t>123042-88T</t>
  </si>
  <si>
    <t>Deep Belief</t>
  </si>
  <si>
    <t>Provider of self-hypnosis and positive affirmation services intended to help people overcome limiting beliefs. The company offers a diverse catalogue of audio sessions featuring a range of female or male voices and sound therapy, intended to enhance personal or professional well-being through positive suggestions and personalized affirmations, providing individuals with tools to reprogram their subconscious mind and achieve goals.</t>
  </si>
  <si>
    <t>Founders Future, Samaipata</t>
  </si>
  <si>
    <t>audio application, audio content, binaural beats, brainwave entrainment, positive change, sound healing, sound therapy, stress reduction</t>
  </si>
  <si>
    <t>123350-32T</t>
  </si>
  <si>
    <t>Les Jardins de l'Océan</t>
  </si>
  <si>
    <t>Producer of seafood products intended to specialize in the processing of quality smoked seafood. The company offers a range of products including artisanal smoked salmon, providing consumers with organic seafood products.</t>
  </si>
  <si>
    <t>Generis Capital Partners(Thibaut de Roux), Nord France Amorçage(Guillaume Bruniaux)</t>
  </si>
  <si>
    <t>fish processing, food ecommerce, restaurant marketplace, salmon producer, salmon product, seafood dishes, seafood meat, seafood product</t>
  </si>
  <si>
    <t>Le Portel, France</t>
  </si>
  <si>
    <t>125535-61T</t>
  </si>
  <si>
    <t>Siemens (ETR: SIE)</t>
  </si>
  <si>
    <t>112331-53T</t>
  </si>
  <si>
    <t>PhantomBuster</t>
  </si>
  <si>
    <t>Developer of a data automation platform designed to generate leads. The company's platform offers code-free tools to collect data from social media applications such as Instagram, Twitter, Facebook, LinkedIn, and many more, and provides prebuilt workflows through system integration and artificial intelligence, enabling clients to complete, structure, and categorize personalized outreach campaigns.</t>
  </si>
  <si>
    <t>contact enrichment, data automation, data scraping, data scraping tools, lead generation, scraping systems</t>
  </si>
  <si>
    <t>113002-84T</t>
  </si>
  <si>
    <t>Airflux, BNP Paribas (PAR: BNP)(Yann Lagalaye), Breed Reply(Emanuele Angelidis), Financière Fonds Privés(Baptiste Proveau)</t>
  </si>
  <si>
    <t>136359-91T</t>
  </si>
  <si>
    <t>Jean-Romain Lhomme(Jean-Romain Lhomme), Serge Alleyne(Serge Alleyne), Techmind</t>
  </si>
  <si>
    <t>113540-05T</t>
  </si>
  <si>
    <t>117045-55T</t>
  </si>
  <si>
    <t>Angels Santé, Arts et Métiers Business Angels, Bpifrance, Kreaxi(Sandra Dubos), Région Sud Investissement, Smalt Capital, Turenne Groupe(Amine Boukouss)</t>
  </si>
  <si>
    <t>199956-25T</t>
  </si>
  <si>
    <t>English Attack</t>
  </si>
  <si>
    <t>Developer of an online language learning platform designed for the needs of schools and corporate training as well as governmental organizations promoting multilingualism. The company's platform focuses on cognitive neuroscience that features learning units based on entertainment content and disrupts language learning with gamified short-format experiences based on entertainment content, enabling people to learn and benefit from multilingualism.</t>
  </si>
  <si>
    <t>Paris Region Venture Fund, Vivacto Developpment</t>
  </si>
  <si>
    <t>corporate training, digital education, digital language software, english language, english learning software, english tutoring services, language learner</t>
  </si>
  <si>
    <t>135254-53T</t>
  </si>
  <si>
    <t>Angels Santé, Finovam Gestion, Nord France Amorçage</t>
  </si>
  <si>
    <t>113941-90T</t>
  </si>
  <si>
    <t>Global Founders Capital, Maximilian Bittner(Maximilian Bittner), Rocket Internet (HAM: RKET)</t>
  </si>
  <si>
    <t>119873-44T</t>
  </si>
  <si>
    <t>Toot Sweet</t>
  </si>
  <si>
    <t>Operator of a local event discovery platform designed to search for places and events based on date, location and timings. The company's platform geolocates all cinemas, concerts, exhibitions, restaurants, parties and hosts of other events available immediately or soon through the mobile application, enabling users to find the entertainment venue of their choice among several clients' establishments.</t>
  </si>
  <si>
    <t>Courtin Investment, Investisseurs privés, Techmind</t>
  </si>
  <si>
    <t>event finder app, event platform, events data, exhibition event, local events discovery, outings planner</t>
  </si>
  <si>
    <t>112558-42T</t>
  </si>
  <si>
    <t>123 Investment Managers, Education Wizards Investissement(Emmanuel Mounier), Entrepreneur Invest(Bertrand Folliet)</t>
  </si>
  <si>
    <t>208495-90T</t>
  </si>
  <si>
    <t>Paris Business Angels, UI Investissement</t>
  </si>
  <si>
    <t>112527-10T</t>
  </si>
  <si>
    <t>Hubware</t>
  </si>
  <si>
    <t>Developer of a professional assistance platform intended to improve customer services. The company's platform is designed to connect to all information systems used by customer service to answer frequent questions, enabling customer service advisors with the necessary information to answer all types of requests.</t>
  </si>
  <si>
    <t>Btwinz Ventures, SIDE Capital(Renaud Guillerm), Via.Io</t>
  </si>
  <si>
    <t>artificial intelligence, customer relationship, customer service ai, digital assistant, machine learning, professional digital assistant</t>
  </si>
  <si>
    <t>120283-12T</t>
  </si>
  <si>
    <t>Finovam Gestion, GO Capital (France)(Leila Nicolas), Ouest Valorisation</t>
  </si>
  <si>
    <t>112188-43T</t>
  </si>
  <si>
    <t>Ardian</t>
  </si>
  <si>
    <t>112186-72T</t>
  </si>
  <si>
    <t>Bpifrance(Nicolas Herschtel), CEA Investissement, Dynalim, Financière Fonds Privés(Thierry de Chambure), New Science Ventures(Somasundaram Subramaniam), Philippe Tabouis(Philippe Tabouis), Sofimac Innovation</t>
  </si>
  <si>
    <t>127472-95T</t>
  </si>
  <si>
    <t>Osmia</t>
  </si>
  <si>
    <t>Developer of agricultural pollination techniques designed to increase the yields and the quality of agricultural productions. The company's techniques include palynology and entomophile anemophilous pollination research, along with engaging in the development of crop pollinators as well as offering simple and efficient pollination services for arboriculture for optimizing the yields, enabling agriculture-based industries to increase the production and quality of the fruit trees.</t>
  </si>
  <si>
    <t>AQUITI Gestion, Nouvelle Aquitaine Co-Investissement, Sowefund</t>
  </si>
  <si>
    <t>agricultural business, agricultural firm, agricultural performance, agricultural services, animal ag, animal agriculture, pollination services, pollination tech, pollination technology, production services</t>
  </si>
  <si>
    <t>Estillac, France</t>
  </si>
  <si>
    <t>118271-17T</t>
  </si>
  <si>
    <t>Bpifrance, Kima Ventures(Xavier Niel), La French Tech, Newfund Management(Ivan Michal), Publicis Groupe (PAR: PUB), SFINE</t>
  </si>
  <si>
    <t>186602-77T</t>
  </si>
  <si>
    <t>BNP Paribas Développement, Kreaxi(Isabelle Bou Antoun)</t>
  </si>
  <si>
    <t>112168-81T</t>
  </si>
  <si>
    <t>Groupcorner</t>
  </si>
  <si>
    <t>Operator of a group accommodation booking platform intended to offer booking deals. The company's search platform offers a wide range of hotel selections from economical to luxurious accommodations according to the group requirements, enabling customers to search and select hotels with reasonable deals quickly in one place and compare several hotels while booking.</t>
  </si>
  <si>
    <t>BDR Innovation et Transmission, Bpifrance, Courtin Investment, Guillaume de Marcillac(Guillaume de Marcillac), ISAI(Christophe Raynaud), Patrice Thiry(Patrice Thiry), SIDE Capital(Renaud Guillerm)</t>
  </si>
  <si>
    <t>accommodation booking service, accommodation rooms, group accommodation, hotel search, online hotel, online hotel search</t>
  </si>
  <si>
    <t>121969-45T</t>
  </si>
  <si>
    <t>Hydrao</t>
  </si>
  <si>
    <t>Developer of water conservation products intended to reduce environmental footprint while maintaining comfort and convenience. The company's products include a smart shower head and an application that facilitates the monitoring of water usage, enabling customers to foster a culture of sustainability.</t>
  </si>
  <si>
    <t>conservation product, environmental footprint reduction, green technology, industrial iot, shower heads product, water conservation, water monitoring</t>
  </si>
  <si>
    <t>CleanTech, E-Commerce, Internet of Things</t>
  </si>
  <si>
    <t>188288-83T</t>
  </si>
  <si>
    <t>Capsum</t>
  </si>
  <si>
    <t>Other Commercial Services, Personal Products*</t>
  </si>
  <si>
    <t>Developer of cosmetic innovation technologies intended to reinvent the visual appearance and sensoriality of cosmetics. The company's technologies offer to implement grouped material that is made from natural ingredients, enabling clients to make more sustainable products that use good quality ingredients and are not harmful.</t>
  </si>
  <si>
    <t>SP Investor Holdings</t>
  </si>
  <si>
    <t>clean beauty, cosmetics industry, microfluidic technology, natural ingredients, sustainable cosmetics, sustainable products</t>
  </si>
  <si>
    <t>126966-07T</t>
  </si>
  <si>
    <t>189735-85T</t>
  </si>
  <si>
    <t>Compagnie Nationale du Rhône(Elisabeth Ayrault)</t>
  </si>
  <si>
    <t>139652-11T</t>
  </si>
  <si>
    <t>Boxtal</t>
  </si>
  <si>
    <t>Developer of a cloud-based multi-carrier shipping platform designed to help e-commerce firms ease out their delivery processes. The company's transport and shipment management platform tracks cargo routes as well as communicates any change in delivery schedules as well and manages shipments across all e-commerce stores, enabling e-retailers to pack and transport parcels easily and at low cost.</t>
  </si>
  <si>
    <t>Ecomobility Ventures, Idinvest Partners</t>
  </si>
  <si>
    <t>cargo tracking, cloud shipping solution, online freight management, parcel delivery, shipment management platform, shipment tracking, shipping company, transport offers</t>
  </si>
  <si>
    <t>116078-14T</t>
  </si>
  <si>
    <t>UncharTECH</t>
  </si>
  <si>
    <t>Provider of research consultancy services intended to offer artificial intelligence support to the corporate world. The company's services include data analysis based on the application of mathematical and statistical methods that assists clients to grow with the deployed software support, enabling companies to crack highly complex problems through the use of artificial intelligence.</t>
  </si>
  <si>
    <t>artificial intelligence support, data analysis, research consultancy, research consultancy service, statistical methods</t>
  </si>
  <si>
    <t>137721-61T</t>
  </si>
  <si>
    <t>Bpifrance, Digital Dimension</t>
  </si>
  <si>
    <t>122311-63T</t>
  </si>
  <si>
    <t>Arkéa Capital(Morgan Carval), Crédit Agricole Nord de France (PAR: CNDF), Elaia Partners, GSO Innovation, IT-Translation</t>
  </si>
  <si>
    <t>115912-00T</t>
  </si>
  <si>
    <t>JEREMIE Auvergne, Sofimac Investment Managers(Cécile Thebault)</t>
  </si>
  <si>
    <t>96959-89T</t>
  </si>
  <si>
    <t>Fund+(Philippe Monteyne), GO Capital (France)(Leila Nicolas), Idinvest Partners, Kurma Partners(Thierry Laugel), Omnes Capital(Bruno Montanari), Pontifax Venture Capital(Iyona Rajkomar), Sham Innovation Santé, Turenne Groupe, V-Bio Ventures(Willem Broekaert)</t>
  </si>
  <si>
    <t>111823-12T</t>
  </si>
  <si>
    <t>AtlasInvest(Marcel Van Poecke), Cathay Capital Private Equity, Cathay Innovation(Jacobo Abitbol), Index Ventures(Dominique Vidal), JJ Sendelbach(JJ Sendelbach), Kevin Primat(Kevin Primat), Korelya Capital(Paul Degueuse), NewSpace Capital, Primwest</t>
  </si>
  <si>
    <t>158498-65T</t>
  </si>
  <si>
    <t>153567-91T</t>
  </si>
  <si>
    <t>NoMadMusic</t>
  </si>
  <si>
    <t>Developer of a music-sharing application designed to help discover and share music. The company's application promotes access to music to as wide and diverse an audience as possible, through threedimensional audio immersion, enabling users to get the taste of classical, jazz, or any other form of music.</t>
  </si>
  <si>
    <t>Banque des Territoires, Crédit Mutuel Innovation(Karine Lignel), Government of France, Renaud Capucon(Renaud Capucon), RockTech Paris</t>
  </si>
  <si>
    <t>music recording company, music sharing, music sharing app, music sharing application, musicals education, studio recording</t>
  </si>
  <si>
    <t>AudioTech, Augmented Reality, Mobile, SaaS</t>
  </si>
  <si>
    <t>113946-67T</t>
  </si>
  <si>
    <t>Behring</t>
  </si>
  <si>
    <t>Electronics (B2C)*, Environmental Services (B2B), Household Appliances</t>
  </si>
  <si>
    <t>Developer of a water fountain appliance designed to reduce daily consumption of bottled water and carboys. The company's appliance uses patented filtration technology that avoids carbon dioxide emissions related to the consumption of bottled water including bottle use, distribution, collection, and waste treatment, enabling customers to improve the voluntary hydration of water as well as their well-being by reducing the intake of gelled water or infusion.</t>
  </si>
  <si>
    <t>Alter Equity, Kreaxi</t>
  </si>
  <si>
    <t>quality water, sparkling water, water purification product, water purification system, water purifier, water purifier machine, water purifying systems</t>
  </si>
  <si>
    <t>189585-10T</t>
  </si>
  <si>
    <t>Cyleone</t>
  </si>
  <si>
    <t>Operator of a multi-sensor platform designed to collect and process industrial data. The company's platform utilizes a smartphone application to integrate sensors, connectivity, and smart data to collect heterogeneous industrial data, enabling clients to address environmental and climate-related challenges in a cost-effective way.</t>
  </si>
  <si>
    <t>Quoin</t>
  </si>
  <si>
    <t>data analysis, data management, data visualization, industrial data, sensor integration, smart sensor</t>
  </si>
  <si>
    <t>Advanced Manufacturing, Artificial Intelligence &amp; Machine Learning, Big Data, Mobile, SaaS</t>
  </si>
  <si>
    <t>Lattes, France</t>
  </si>
  <si>
    <t>136443-52T</t>
  </si>
  <si>
    <t>ADEME, BPI Group, IRDI Capital Investissement(Julien Sainte-Catherine), Soper</t>
  </si>
  <si>
    <t>112156-57T</t>
  </si>
  <si>
    <t>Grains'up</t>
  </si>
  <si>
    <t>Business/Productivity Software*, Educational Software, IT Consulting and Outsourcing</t>
  </si>
  <si>
    <t>Developer of a digital technology platform designed to assess, analyze, and transmit business skills. The company's platform comprises tailor-made training, evaluation content, a private digital space, internal evolution, savings encryption, digital educational content, and dissemination of content, enabling clients to have access to digital modules and other tools in an easy and fun-loving way.</t>
  </si>
  <si>
    <t>business skills, content themes, digital educational platform, digital educational tools, educational content, learning platform</t>
  </si>
  <si>
    <t>106573-33T</t>
  </si>
  <si>
    <t>Daphni(Pierre-Eric Leibovici), Edward Lando(Edward Lando), FJ Labs, Founders Future, Kima Ventures(Xavier Niel), Otium Capital, Salica Investments, The Family (Financial Services)(Jean De La Rochebrochard), Tomcat Capital</t>
  </si>
  <si>
    <t>111674-08T</t>
  </si>
  <si>
    <t>Delair</t>
  </si>
  <si>
    <t>Aerospace and Defense*, Electronic Equipment and Instruments, Other Commercial Services</t>
  </si>
  <si>
    <t>Developer of commercial drones designed to support defense sector decision-making via aerial imagery processing. The company's offerings include deploying unmanned aerial vehicle technology, executing technical studies, and developing drone systems and subsystems for integrated data processing service, enabling clients to monitor and digitize their physical assets from the air and turn the collected data into valuable business insights.</t>
  </si>
  <si>
    <t>Bpifrance, Intel Capital(Abdul Guefor), Intel Education Accelerator</t>
  </si>
  <si>
    <t>advances air mobility, aerial survey, aerial survey drones, drones, drones &amp; imagery analytics, drones and imagery analytics, drones logistics, evtol logistics, last mile delivery, mobility tech, post-processing services, precision ag, precision agriculture, uav system, visual intelligence</t>
  </si>
  <si>
    <t>AgTech, Industrials, Mobility Tech, Robotics and Drones</t>
  </si>
  <si>
    <t>112626-19T</t>
  </si>
  <si>
    <t>Caisse D'Epargne Alsace Capital Développement, Courtin Investment, Entrepreneur Invest(Bertrand Folliet)</t>
  </si>
  <si>
    <t>190789-30T</t>
  </si>
  <si>
    <t>Virdys</t>
  </si>
  <si>
    <t>Electronics (B2C)*, Multimedia and Design Software, Other Hardware</t>
  </si>
  <si>
    <t>Developer of a 3D animations and multi-devices designed to distribute virtual reality and augmented reality content designed for coaching, training and communication. The company's suite offers immersive and interactive 3D visualizations and simple transmission of information, enabling users to train and raise awareness of materials in a cost-effective manner.</t>
  </si>
  <si>
    <t>Samuel Braun Group</t>
  </si>
  <si>
    <t>3d creation platform, 3d creation tools, 3d development firm, 3d development platform, 3d visualization, augmented reality software, virtual reality software</t>
  </si>
  <si>
    <t>Augmented Reality, Virtual Reality, Wearables &amp; Quantified Self</t>
  </si>
  <si>
    <t>112016-35T</t>
  </si>
  <si>
    <t>BNP Paribas Développement, CapHorn Invest(Clara Audry), Corinne Leibovitch(Corinne Leibovitch), Financière Saint James, Michael Benabou(Michael Benabou), RAISE Group</t>
  </si>
  <si>
    <t>193169-17T</t>
  </si>
  <si>
    <t>Geo Comix</t>
  </si>
  <si>
    <t>Developer of a productivity tool designed for translation projects of comics and manga. The company's platform translations are gathered and synced in one place to avoid sending plenty of files, enabling the industry to translate webtoon episodes and comics.</t>
  </si>
  <si>
    <t>Aquitaine-Creation-Innovation, Nouvelle Aquitaine Co-Investissement</t>
  </si>
  <si>
    <t>manga stores, productivity tool, productivity tool developer, productivity toolkit, translation app, translation software, translation tool</t>
  </si>
  <si>
    <t>Rochelle, France</t>
  </si>
  <si>
    <t>120434-77T</t>
  </si>
  <si>
    <t>Newcy</t>
  </si>
  <si>
    <t>Developer of reusable cups designed to replace disposable cups. The company's products include reusable and recyclable cups with a life span of 12 years, enabling customers to get alternatives to limit waste production, based both on circular economy principles and on the principle of fun theory.</t>
  </si>
  <si>
    <t>Arkéa Capital(Morgan Carval), Caisse Regionale Credit Agricole Mutuel d'Ille et Vilaine (PAR: CIV), Sofimac Innovation</t>
  </si>
  <si>
    <t>eco-friendly packaging, eco-friendly product, reusable cups, reusable cups manufacturer, reusable cups provider, waste management</t>
  </si>
  <si>
    <t>117149-95T</t>
  </si>
  <si>
    <t>Snapcall</t>
  </si>
  <si>
    <t>Developer of an online communication platform designed to improve sales and online customer experience. The company's platform offers an ad-hoc button on the suppliers' websites and mobile applications to directly call a consultant through video call or chat by clicking on it, enabling clients to improve conversion and satisfaction rates, lead tracking, and anonymization of customer phone numbers.</t>
  </si>
  <si>
    <t>ISAI(Jean-David Chamboredon), Plug and Play Tech Center, Theodore Martin Martin</t>
  </si>
  <si>
    <t>analytics platform, clients relations platform, communication platform, customer service app, customer support app, customer support platform, natural language technology, screen sharing app, unstructured data analytics</t>
  </si>
  <si>
    <t>111563-56T</t>
  </si>
  <si>
    <t>Advanced Magnetic Interaction</t>
  </si>
  <si>
    <t>Electronic Equipment and Instruments*, Multimedia and Design Software</t>
  </si>
  <si>
    <t>Developer of augmented interaction technology designed to offer interactions across industries. The company combines state-of-the-art expertise in embedded systems, algorithms &amp; signal processing applied to magnetism, with strong expertise in user experiences, providing users with a new level of human-machine interaction.</t>
  </si>
  <si>
    <t>C4 Ventures(Olivier Huez), Crédit Mutuel Innovation(Stéphane Simoncini), iXO Private Equity(Alexandre Sagon), Partech(Romain Lavault), Supernova Invest</t>
  </si>
  <si>
    <t>algorithm and engineering services, algorithm and engineering support, algorithm and signal processing, algorithm support, augmented interaction company, augmented interaction developer, augmented interaction technology developer, digital technology developer, digital technology software, engineering support software</t>
  </si>
  <si>
    <t>Augmented Reality, Gaming, TMT, Virtual Reality</t>
  </si>
  <si>
    <t>Seyssinet Pariset, France</t>
  </si>
  <si>
    <t>178051-06T</t>
  </si>
  <si>
    <t>Intel Capital</t>
  </si>
  <si>
    <t>112522-96T</t>
  </si>
  <si>
    <t>Corentin Orsini(Corentin Orsini), Frederic Boyer(Frederic Boyer), Hemera, SIDE Capital(Renaud Guillerm), Via.Io</t>
  </si>
  <si>
    <t>111563-29T</t>
  </si>
  <si>
    <t>Aster Capital(Jean-Marc Bally), BNP Paribas Développement, C Entrepreneurs, Cemag Invest(Catherine Dunand), Crédit Agricole Finistère, Inven Capital(Ivo Nemejc), Sofimac Innovation, TotalEnergies Ventures</t>
  </si>
  <si>
    <t>116204-05T</t>
  </si>
  <si>
    <t>Manzalab</t>
  </si>
  <si>
    <t>Electronic Equipment and Instruments, Entertainment Software*</t>
  </si>
  <si>
    <t>Developer of an immersive and digital experience platform intended to serve all sorts of creativities. The company's platform includes motion design and cybersecurity among others, that combine collaborative virtual reality with immersive technologies, enabling clients to reinvent themselves with new experiences for training, communication, and design.</t>
  </si>
  <si>
    <t>EduCapital(Marie-Christine Levet), Move Capital, Venus Capital Management</t>
  </si>
  <si>
    <t>communication enhancement, digital gaming content, digital gaming device, external communication, motion capture, motion capture system</t>
  </si>
  <si>
    <t>Augmented Reality, Gaming, Virtual Reality</t>
  </si>
  <si>
    <t>204533-83T</t>
  </si>
  <si>
    <t>Niveales Medias</t>
  </si>
  <si>
    <t>Publisher of sports magazines intended to specialize in publishing extreme sports, outdoors and travel content. The company's magazine consists of mountain, board sports, nature and travel content, enabling sports and adventure enthusiasts to subscribe to the magazine for getting access to sports-related content.</t>
  </si>
  <si>
    <t>magazines publishing, publishing house, sports magazine, sports magazine printing, sports magazine publisher, sports magazine publishing, sports magazine subscription</t>
  </si>
  <si>
    <t>135967-87T</t>
  </si>
  <si>
    <t>Salezeo</t>
  </si>
  <si>
    <t>Developer of a lead generation platform designed to improve the decision-making process. The company's platform helps to identify, qualify and transform leads into clients so that they can crowdsource a database of prospects' contact details, enabling businesses to access crowdsourcing and web crawling tools.</t>
  </si>
  <si>
    <t>Cyril Vermeulen(Cyril Vermeulen), Grégoire Boutin(Grégoire Boutin), Kima Ventures, Michel Meyer(Michel Meyer), Xavier Gury(Xavier Gury)</t>
  </si>
  <si>
    <t>crowdsourcing and web crawling, crowdsourcing database, customer data, lead generation, lead generation tools, led generation, social network for sales professionals</t>
  </si>
  <si>
    <t>Big Data, Marketing Tech, SaaS, TMT</t>
  </si>
  <si>
    <t>111570-04T</t>
  </si>
  <si>
    <t>IRIS (Private Equity)(Gil Doukhan)</t>
  </si>
  <si>
    <t>122865-04T</t>
  </si>
  <si>
    <t>Bpifrance(Paul-Francois Fournier), DGA France(Florence Parly), NEXEYA(Philippe Gautier), Sofimac Innovation</t>
  </si>
  <si>
    <t>115206-31T</t>
  </si>
  <si>
    <t>5M Ventures, Femmes Business Angels, NCI Gestion, X-Creation</t>
  </si>
  <si>
    <t>108369-46T</t>
  </si>
  <si>
    <t>AngelSquare, Bpifrance, Idinvest Partners, Jean-Romain Lhomme(Jean-Romain Lhomme), Julien Codorniou(Julien Codorniou), Kima Ventures, Nadia Nadia(Nadia Nadia), Nardonnet, Partech(Boris Golden), Xavier Niel(Xavier Niel)</t>
  </si>
  <si>
    <t>128266-39T</t>
  </si>
  <si>
    <t>Innov'ATM</t>
  </si>
  <si>
    <t>Developer of air traffic management software designed to optimize airplane and drone operations using artificial intelligence. The company's software optimizes processes with advanced forecasting prediction model algorithms and ad hoc optimization algorithms, enabling airports and airline operators to increase the performances of air transportation, arrivals, departures, and ground movement.</t>
  </si>
  <si>
    <t>Aéroports de Paris (PAR: ADP)(Edward Arkwright), Bpifrance, IRDI Capital Investissement(Séverine Taillades)</t>
  </si>
  <si>
    <t>air traffic control, air traffic management, air traffic monitoring, airport management, airport software, autonomous machine, aviation control system, intelligent robotics</t>
  </si>
  <si>
    <t>Artificial Intelligence &amp; Machine Learning, Industrials, Mobility Tech</t>
  </si>
  <si>
    <t>111322-36T</t>
  </si>
  <si>
    <t>Deuxiemeavis.fr</t>
  </si>
  <si>
    <t>Operator of an online medical opinion service platform intended to reduce the inequality of access to expert doctors for diagnosis. The company offers medical consultation from expert doctors of pathology in a reduced time duration and in the form of a written account in case of serious or rare health problems, enabling patients to obtain a second medical opinion about their illness.</t>
  </si>
  <si>
    <t>Citizen Capital(Luis Marini-Portugal), Colam Impact, Investir &amp;+</t>
  </si>
  <si>
    <t>digital health, doctor engagement platform, health consultation service, medical second opinion, online health consultation, online medical advice, online medical care, telemedicine app, telemedicine portal</t>
  </si>
  <si>
    <t>116550-19T</t>
  </si>
  <si>
    <t>Alto Invest, Alven Capital Partners(Guillaume Aubin), Bpifrance, Innovation Capital (Paris)</t>
  </si>
  <si>
    <t>111248-83T</t>
  </si>
  <si>
    <t>Shine (Financial Software)</t>
  </si>
  <si>
    <t>Developer of a mobile banking application software designed to protect and nurture businesses. The company's application integrates a bank account with an associated MasterCard, which lets users to manage payments by card or transfers and cash directly from the application, thereby enabling businesses and startups to manage their contracts and invoices and also integrating functionalities such as administrative reminders, calculation of the charges and taxes they have to fulfill or the electronic signature.</t>
  </si>
  <si>
    <t>Daphni(Marie Ekeland), Edward Zimmerman(Edward Zimmerman), Gilles Samoun(Gilles Samoun), Siparex Group, XAnge</t>
  </si>
  <si>
    <t>bank account management, cash flow management, commercial finance, digital banking, invoice management, personal assistant app, personal banking application, software developer</t>
  </si>
  <si>
    <t>121426-03T</t>
  </si>
  <si>
    <t>3CIE, GO Capital (France), Mirai Ventures, Naeil Venture, Pays de la Loire Développement, Pays de la Loire Participations</t>
  </si>
  <si>
    <t>127155-70T</t>
  </si>
  <si>
    <t>Bpifrance(Clarisse Blandin)</t>
  </si>
  <si>
    <t>136702-63T</t>
  </si>
  <si>
    <t>Teranga Software</t>
  </si>
  <si>
    <t>Developer of elderly and disabled care software designed to offer to assist in the management of the institution. The company's platform provides traceability, signatures and prescriptions management, centralization of nursing and retirement homes to manage the business functionalities, and overtime calculator, enabling healthcare service providers to meet the business needs of internal and external stakeholders and conduct daily operations easily.</t>
  </si>
  <si>
    <t>Bpifrance, Extens</t>
  </si>
  <si>
    <t>disabled care, disabled care tools, elder care, elder nursing, elderly service, healthcare managed services</t>
  </si>
  <si>
    <t>140581-45T</t>
  </si>
  <si>
    <t>Anymania</t>
  </si>
  <si>
    <t>Operator of a discovery farm intended to provide knowledge and education about animals. The company's farm offers educational, recreational, and therapeutic leisure structures wherein animals in difficulty or destined for the slaughterhouse are collected and educated to the public about adoption through educational activities, enabling customers to have outdoor family leisure that is both fun and educational with being respectful of wildlife.</t>
  </si>
  <si>
    <t>educational activities, farming platform, leisure activities, leisure places, slaughterhouse operator, sustainable development goal</t>
  </si>
  <si>
    <t>Val-de-Reuil, France</t>
  </si>
  <si>
    <t>215675-29T</t>
  </si>
  <si>
    <t>Fludis</t>
  </si>
  <si>
    <t>Operator of a logistics platform intended to offer carbon-free urban logistic services to users. The company offers low-carbon urban logistics service systems for messaging and express messaging with the articulation of a warehouse boat, electric cargo vehicles, and an optimized delivery system, enabling businesses to get an ecological, competitive, and productive approach compared to traditional models.</t>
  </si>
  <si>
    <t>Banque des Territoires, Caisse des Dépôts et Consignations, Groupe IDEC</t>
  </si>
  <si>
    <t>cargo bikes, freight transport, logistics chain, urban logistics platform, warehouse operations, warehouse tracking</t>
  </si>
  <si>
    <t>190587-34T</t>
  </si>
  <si>
    <t>200015-29T</t>
  </si>
  <si>
    <t>Nexway</t>
  </si>
  <si>
    <t>Provider of full-service e-commerce services intended to facilitate the production of applications, sales and download of digital video games and software products. The company provides a managed set of products and services by leveraging a digital commerce platform in the cloud, enabling companies to sell software, content and services online by meeting the requirements of global payments, subscription models and growing customer needs.</t>
  </si>
  <si>
    <t>Asknet Solutions, Bpifrance, XAnge</t>
  </si>
  <si>
    <t>customer support, digital commerce, digital content, digital marketing, ecommerce platform, ecommerce solutions, marketing strategy, payment processing, subscription management</t>
  </si>
  <si>
    <t>115955-20T</t>
  </si>
  <si>
    <t>111585-97T</t>
  </si>
  <si>
    <t>Parsys Telemedicine</t>
  </si>
  <si>
    <t>Developer of a telemedicine platform designed to help patients and healthcare professionals around the clock. The company's platform captures vital patients' data to ascertain a medical diagnosis that can be accessed anywhere and offers a high range of wireless, digital, portable electrocardiographs designed to transfer high-precision traces, enabling healthcare professionals to acquire patients' data anywhere and at any time.</t>
  </si>
  <si>
    <t>Bpifrance, Credit Cooperatif, Odyssee Venture</t>
  </si>
  <si>
    <t>healthcare platform, medical equipment, online patient data, portable electrocardiograph, portable medical equipment, telemedicine portal</t>
  </si>
  <si>
    <t>177302-17T</t>
  </si>
  <si>
    <t>Jean-Romain Lhomme(Jean-Romain Lhomme), Ludovic Huraux(Ludovic Huraux), Virtual Network</t>
  </si>
  <si>
    <t>165409-39T</t>
  </si>
  <si>
    <t>Urgences Chrono</t>
  </si>
  <si>
    <t>Clinics/Outpatient Services, Other Healthcare Technology Systems*</t>
  </si>
  <si>
    <t>Developer of a healthcare application designed to locate nearby facilities in case of emergencies. The company's application optimizes the referral of patients to emergency medical services by showing all nearby reception structures and their specificity and the community gives an estimate of waiting times, enabling users to go to the appropriate reception structures as soon as possible.</t>
  </si>
  <si>
    <t>emergency medical, emergency medicare, healthcare application development, healthcare facility, medical emergency, medical services</t>
  </si>
  <si>
    <t>Bagnols-sur-Cèze, France</t>
  </si>
  <si>
    <t>140458-78T</t>
  </si>
  <si>
    <t>VOGO (Entertainment Software) (PAR: ALVGO)</t>
  </si>
  <si>
    <t>Electrical Equipment*, Wireless Communications Equipment</t>
  </si>
  <si>
    <t>VOGO SA develops sports mobile technology products that offer a viewing experience for live in-venue sports fans.</t>
  </si>
  <si>
    <t>Agileo Ventures, NextStage AM</t>
  </si>
  <si>
    <t>live matches, live sports, live streaming, mobile streaming, sporting events, sports streaming, sports viewing, technological solutions</t>
  </si>
  <si>
    <t>117633-34T</t>
  </si>
  <si>
    <t>Fitnext</t>
  </si>
  <si>
    <t>Application Software*, Information Services (B2C), Other Services (B2C Non-Financial)</t>
  </si>
  <si>
    <t>Developer of an online platform designed to give health and fitness training and coaching services. The company's platform combines personalized fitness coaching with nutritional guidance and general health and wellness information, enabling individuals to stay fit and healthy.</t>
  </si>
  <si>
    <t>3T Capital, M Capital Partners, Nestadio Capital, Tikehau Capital (PAR: TKO), Tikehau Investment Management</t>
  </si>
  <si>
    <t>fitness app, fitness application, fitness guide, fitness therapy, fitness training app, workout guide</t>
  </si>
  <si>
    <t>LOHAS &amp; Wellness, Mobile, TMT</t>
  </si>
  <si>
    <t>192122-83T</t>
  </si>
  <si>
    <t>LiveMon</t>
  </si>
  <si>
    <t>Provider of cloud-based IT services intended to help monitor the IT landscape. The company specializes in providing predictive cloud-based monitoring along with AI-powered performance and external monitoring as well as log and performance metrics management, enabling clients to optimize their IT stack, reduce downtime and have better insights into their infrastructure.</t>
  </si>
  <si>
    <t>50 Partners, Serena (Paris)</t>
  </si>
  <si>
    <t>external monitoring, external service solutions, infrastructure monitoring services, infrastructure monitoring solution, it services, it services monitoring, log management platform</t>
  </si>
  <si>
    <t>195571-81T</t>
  </si>
  <si>
    <t>252162-73T</t>
  </si>
  <si>
    <t>Carizy</t>
  </si>
  <si>
    <t>Provider of online automotive dealership services intended to simplify the sale of vehicles. The company offers new and pre-used vehicles and accessories along with financing, thereby offering clients inspected cars with a mechanical guarantee of six months.</t>
  </si>
  <si>
    <t>Matmut Innovation, Mutuelle Assurance Commerçants et Industriels France</t>
  </si>
  <si>
    <t>automotive marketplace, automotive marketplace website, car selling platform, car selling portal, car selling services, pre-owned car dealer</t>
  </si>
  <si>
    <t>93745-09T</t>
  </si>
  <si>
    <t>Stratto</t>
  </si>
  <si>
    <t>Operator of a restaurant intended to offer various Italian fast foods. The company's restaurant is based on a multi-product brand offering coffees, pastries, pizzas, pasta, ciabatta-paninis, sandwiches, pastries, and ice creams, enabling consumers to enjoy varied dishes either on the spot or in a takeaway system.</t>
  </si>
  <si>
    <t>fast food, italian cooking, italian recipes, italian restaurant, restaurant style, restaurants and cafes</t>
  </si>
  <si>
    <t>188244-01T</t>
  </si>
  <si>
    <t>ApisSys</t>
  </si>
  <si>
    <t>Aerospace and Defense, Computers, Parts and Peripherals, General Purpose Semiconductors*</t>
  </si>
  <si>
    <t>Developer of electronic cards designed to deliver standard and custom data conversion and signal and image processing. The company's electronic cards are used in the defense sector which helps in multi-channel data acquisition systems, multiprocessor, and multi-core systems, data recording, and signal and image processing, enabling clients to have quality reliable products.</t>
  </si>
  <si>
    <t>Calao Finance, Expansinvest, Grenoble Angels, Haute Savoie Demain, Rhône-Alpes Création</t>
  </si>
  <si>
    <t>data conversion services, high speed data, images processing, signal processing, signal processing software, signal processing solutions, signal processing system</t>
  </si>
  <si>
    <t>Advanced Manufacturing, Manufacturing, SaaS, TMT</t>
  </si>
  <si>
    <t>125387-65T</t>
  </si>
  <si>
    <t>Equimov</t>
  </si>
  <si>
    <t>Operator of an accommodation platform intended to book online reservations of boxes, meadows and paddocks. The company's platform users to search and book horse accommodations online by referencing users' geo-location, enabling users to discover meadows and paddocks from anywhere and book for the services.</t>
  </si>
  <si>
    <t>community web platform, online rental, online rental booking, online rental portal, online rental property, web platform</t>
  </si>
  <si>
    <t>Biozat, France</t>
  </si>
  <si>
    <t>243056-44T</t>
  </si>
  <si>
    <t>121346-92T</t>
  </si>
  <si>
    <t>Bpifrance(Gilles Schang)</t>
  </si>
  <si>
    <t>194422-24T</t>
  </si>
  <si>
    <t>Impulse Group</t>
  </si>
  <si>
    <t>140080-51T</t>
  </si>
  <si>
    <t>Citygo</t>
  </si>
  <si>
    <t>Provider of carpooling service intended to connect passengers with drivers. The company's mobile application assists users in booking a variety of vehicles using an AI algorithm that anticipates movements and ensures convenient, transparent, and quick service fulfillment as well as the passengers and drivers are connected in real-time through mobile and geolocated intelligent matching platform, enabling passengers to effectively access a convenient network of transportation anytime.</t>
  </si>
  <si>
    <t>carpool app, carpooling service, mobility tech, ridehailing platform, rides hailing, ridesharing application, ridesharing platform, urban carpooling</t>
  </si>
  <si>
    <t>Moulineaux, France</t>
  </si>
  <si>
    <t>77294-08T</t>
  </si>
  <si>
    <t>Alphalyr</t>
  </si>
  <si>
    <t>Developer of an online agile management system designed to deliver a true cross-channel view of the business through personalized e-mails. The company's system is based on decision-making that provides web analytics, customer relationship management tools, and data service for companies undergoing a digital transformation, enabling businesses to predict future results from their data and align their people and processes while forming a new culture.</t>
  </si>
  <si>
    <t>Btwinz Ventures(Bertrand Fredenucci)</t>
  </si>
  <si>
    <t>agile management, digital business, personalized emails campaign, sales progression, web analytical tool, web analytics, web data</t>
  </si>
  <si>
    <t>119781-28T</t>
  </si>
  <si>
    <t>SmartHab</t>
  </si>
  <si>
    <t>Developer of smart apartment technologies intended to optimize operations in buildings. The company's technologies, installed during the construction phase, connect various types of smart devices to automate apartment operations, enabling real estate developers to provide customers with increased comfort, security, energy, and maintenance expenses for their homes.</t>
  </si>
  <si>
    <t>Groupe Duval, Vinci Immobilier</t>
  </si>
  <si>
    <t>automated apartments operations, climate tech company, connected home, internet of things, smart building, smart home</t>
  </si>
  <si>
    <t>Climate Tech, Internet of Things, Real Estate Technology</t>
  </si>
  <si>
    <t>108825-85T</t>
  </si>
  <si>
    <t>Alven Capital Partners(Rodolphe Menegaux), Global Founders Capital, Idinvest Partners(Chloé Giard), White Star Capital</t>
  </si>
  <si>
    <t>188149-06T</t>
  </si>
  <si>
    <t>169456-33T</t>
  </si>
  <si>
    <t>LeCab</t>
  </si>
  <si>
    <t>Developer of a mobile application designed to make chauffeured transport immediately accessible to everyone. The company's application provides services such as advanced bookings, fixed prices, central payment, management of cost centers, and detailed reporting and booking for guests, enabling customers to book comfortable, high-quality chauffeured vehicles every time.</t>
  </si>
  <si>
    <t>French Partners(Emilie Buttiaux)</t>
  </si>
  <si>
    <t>cab booking, car books app, chauffeur service, chauffeured limousine service, chauffeured transportation, transport application, transport modes, transport service</t>
  </si>
  <si>
    <t>Industrials, Mobile, Mobility Tech</t>
  </si>
  <si>
    <t>190661-23T</t>
  </si>
  <si>
    <t>Zack</t>
  </si>
  <si>
    <t>Media and Information Services (B2B)*, Other Services (B2C Non-Financial)</t>
  </si>
  <si>
    <t>Provider of an online marketplace intended to sell mobile phones and similar electronics in and across Paris. The company's marketplace has a selling portal for users to click photos of their used Apple goods including iPhones, iPads, MacBooks, laptops, watches and iPods and post them online, receive the latest price deals, product information and recommendations based on compared prices and a list of interested local buyers, enabling users to sell their Apple products and make some extra money anytime anyplace.</t>
  </si>
  <si>
    <t>apple product marketplace, apple product seller, cellphone marketplace, mobile selling marketplace, online marketplace, online selling platform, secondhand goods marketplace</t>
  </si>
  <si>
    <t>121377-79T</t>
  </si>
  <si>
    <t>Ariane Group (PE), Christophe Verley(Christophe Verley), Guy Bodescot(Guy Bodescot), Jérôme Gayet(Jérôme Gayet), Mehdi Medjaoui(Mehdi Medjaoui), Pierre-Yves Aubert(Pierre-Yves Aubert)</t>
  </si>
  <si>
    <t>111435-49T</t>
  </si>
  <si>
    <t>Bernstein (Business/Productivity Software)</t>
  </si>
  <si>
    <t>Business/Productivity Software*, Media and Information Services (B2B), Network Management Software, Other Financial Services</t>
  </si>
  <si>
    <t>Developer of intellectual property management software designed to create a digital trail of records of innovation processes. The company's software uses the Bitcoin blockchain to store IP securely and tamper-proof, enabling companies to have an affordable way to protect their IP.</t>
  </si>
  <si>
    <t>Motu Ventures</t>
  </si>
  <si>
    <t>application security, intellectual property management, intellectual property protection, management software, property management software, web3 security</t>
  </si>
  <si>
    <t>Lingolsheim, France</t>
  </si>
  <si>
    <t>111500-11T</t>
  </si>
  <si>
    <t>Bpifrance, Christophe Raynaud(Christophe Raynaud), Level Equity, Partech(Bruno Crémel), Quadrille Capital, Rodolphe Menegaux(Rodolphe Menegaux), Serena (Paris), XAnge(Nicolas Rose)</t>
  </si>
  <si>
    <t>187390-99T</t>
  </si>
  <si>
    <t>Pixcake</t>
  </si>
  <si>
    <t>Provider of personalized cake decoration kits based in Paris, France. The company provides a variety of boxes, cubed cakes, cake stands, and reusable kits for cakes that can be eaten in one bite, enabling customers to decorate cakes as per their choice and preference.</t>
  </si>
  <si>
    <t>Tomcat Capital</t>
  </si>
  <si>
    <t>cakes boxes, cakes decoration, cakes pans, decorating kits, decoration kits, quick cakes, reusable stands</t>
  </si>
  <si>
    <t>119872-36T</t>
  </si>
  <si>
    <t>Poteau</t>
  </si>
  <si>
    <t>Application Software*, Entertainment Software, Information Services (B2C), Social/Platform Software</t>
  </si>
  <si>
    <t>Operator of a sporting platform intended to inhibit the practice of sports between individuals. The company's platform offers to discover and book sports events and play partners, as well as users, can register over the platform, post-event details, and get connected with players, enabling users to find partners to play easily while permitting sports enthusiasts to connect to their sports icons in real-time.</t>
  </si>
  <si>
    <t>game platform, sports community platform, sports engagement platform, sports network application, sports platform, sports services</t>
  </si>
  <si>
    <t>113641-39T</t>
  </si>
  <si>
    <t>5M Ventures, Aqua Ray, Bruno Maisonnier(Bruno Maisonnier), Jérôme Bédier(Jérôme Bédier), Michael Ingberg(Michael Ingberg)</t>
  </si>
  <si>
    <t>88384-60T</t>
  </si>
  <si>
    <t>Korelya Capital(Paul Degueuse), Omnes Capital(Xavier Brunaud), Partech(Reza Malekzadeh), XAnge</t>
  </si>
  <si>
    <t>138793-42T</t>
  </si>
  <si>
    <t>Thinkovery</t>
  </si>
  <si>
    <t>Developer of an online media platform intended to broadcast videos related to scientific subjects. The company's platform advises and responds to the client's problems to build tailor-made training courses, enabling clients to get digitalized training and build out their training brand to become a learning organization.</t>
  </si>
  <si>
    <t>digital learning, educational design research, media platform, online media, online training, scientific research</t>
  </si>
  <si>
    <t>126856-54T</t>
  </si>
  <si>
    <t>Responsage</t>
  </si>
  <si>
    <t>Provider of employee social support and motivation services intended to help employees overcome social issues that cause stress. The company helps and supports family caregivers in a caring and human way to contribute to relieving their stress and reducing presenteeism and absenteeism in the workplace, enabling human resource personnel to facilitate comprehensive social support to ensure serenity and productivity performance hence leading to proper efficiency.</t>
  </si>
  <si>
    <t>employee support, employee support services, motivation services, social support, social support platform, social support services</t>
  </si>
  <si>
    <t>HR Tech, LOHAS &amp; Wellness, SaaS</t>
  </si>
  <si>
    <t>204700-78T</t>
  </si>
  <si>
    <t>Skinlys</t>
  </si>
  <si>
    <t>Developer of skincare and makeup products designed to provide alternatives to respond to different skin needs. The company's products specialize in private-label skincare and make-up products as well as creates, develops, and produces bulk and semi-finished products, providing full-service and turn-key alternatives from product concept to delivery.</t>
  </si>
  <si>
    <t>Charente-Périgord Expansion, Nouvelle Aquitaine Co-Investissement, Nouvelle Imprimerie Laballery</t>
  </si>
  <si>
    <t>contract manufacturer, cosmetics app, cosmetics contract manufacturing, makeup care, makeup items, makeup products, personal care product, skincare products</t>
  </si>
  <si>
    <t>Lamonzie-Saint-Martin, France</t>
  </si>
  <si>
    <t>120262-60T</t>
  </si>
  <si>
    <t>WeLoveDevs.com</t>
  </si>
  <si>
    <t>Business/Productivity Software, Human Capital Services*, Information Services (B2C)</t>
  </si>
  <si>
    <t>Provider of recruitment platform intended to connect companies with the developers. The company's platform offers developers an opportunity to choose the companies in which they want to work and permits them to create an anonymous profile by answering the bot questions, enabling developers to find their dream job.</t>
  </si>
  <si>
    <t>Finovam Gestion, Hervé Van Rijn</t>
  </si>
  <si>
    <t>connect with developer, developer recruitment, employer branding, online employment platform, recruitment app, recruitment software</t>
  </si>
  <si>
    <t>118273-51T</t>
  </si>
  <si>
    <t>Watchdog System</t>
  </si>
  <si>
    <t>Application Software, Electronics (B2C)*, Security Services (B2B)</t>
  </si>
  <si>
    <t>Developer of an electronic and intelligent anti-theft system designed to detect any slightest suspicious movement and alert the owner via SMS. The company's device is a compact, ultra-resistant disc lock that provides alerts via SMS, enabling users to be safe and get an intimation of any theft attempt.</t>
  </si>
  <si>
    <t>anti-theft app, anti-theft device, anti-theft system, house protection, safety alarm, safety alerts application, security device, theft alarm, theft alerts device, theft prevention, theft protection, theft safety</t>
  </si>
  <si>
    <t>Industrials, Internet of Things, Mobile, Mobility Tech, TMT</t>
  </si>
  <si>
    <t>116675-56T</t>
  </si>
  <si>
    <t>Inventures Investment Partners</t>
  </si>
  <si>
    <t>126811-81T</t>
  </si>
  <si>
    <t>Ixaltis</t>
  </si>
  <si>
    <t>Developer of novel pharmaceutical products designed to treat disorders of the urogenital tract. The company's products include selective serotonin, reuptake inhibitor and mixed serotonin agonist-antagonist, enabling patients to improve urinary continence.</t>
  </si>
  <si>
    <t>Emergence (Incubation), iXO Private Equity, Urosphere(Philippe Lluel), Xyence(Paolo Siviero)</t>
  </si>
  <si>
    <t>chemistry, clinical product, genitourinary disease, pharmaceutical, pharmaceutical products, renal disease, small molecule, therapeutic product, urogenital disorder</t>
  </si>
  <si>
    <t>108629-20T</t>
  </si>
  <si>
    <t>Bpifrance, Financière Saint James, Global Founders Capital, Kima Ventures, Rocket Internet (HAM: RKET)</t>
  </si>
  <si>
    <t>114421-51T</t>
  </si>
  <si>
    <t>Bpifrance, Fly Ventures, Kima Ventures, Renaud Visage(Renaud Visage), Scott Chacon(Scott Chacon)</t>
  </si>
  <si>
    <t>208623-34T</t>
  </si>
  <si>
    <t>136470-79T</t>
  </si>
  <si>
    <t>Bertin Nahum(Bertin Nahum), Bpifrance, Caisse d'Epargne, IRDI Capital Investissement(Julien Sainte-Catherine), Jean-Marc Bouchet, Soper(Jean-Michel Germa), Total Quadran(Jean-Marc Bouchet)</t>
  </si>
  <si>
    <t>116550-37T</t>
  </si>
  <si>
    <t>Pandacraft</t>
  </si>
  <si>
    <t>Provider of educational and creative craft kits intended to supplement formal classroom education. The company offers do-it-yourself activities for kids, activity books, recipes, games, and craftwork based on subscriptions, enabling parents and caregivers to avail advanced and fun-based creative activities for kids.</t>
  </si>
  <si>
    <t>Elaia Partners(Pauline Roux), Id4 Ventures(Herve Cuviliez), Iron Capital., Leap Ventures(Herve Cuviliez), OTEO Investment, Spice Capital Partners, Thomas Ducrot(Thomas Ducrot)</t>
  </si>
  <si>
    <t>children activities, creative activity, educational kits, fun activities, kids education, kids stuff</t>
  </si>
  <si>
    <t>E-Commerce, EdTech, TMT</t>
  </si>
  <si>
    <t>121428-55T</t>
  </si>
  <si>
    <t>Aglaé Ventures(Antoine Loison), Founders Future, Guillaume de Ville, Lise Invest, Petit Poucet</t>
  </si>
  <si>
    <t>109719-82T</t>
  </si>
  <si>
    <t>Lemaire</t>
  </si>
  <si>
    <t>Operator of a fashion brand intended to create timeless, minimalist clothing with a modern edge. The company offers lifestyle products consisting of realistic clothing and singular pieces influenced by the cosmopolitan streets of Paris which are available online or in stores, enabling men and women to get clothes collections designed for everyday life.</t>
  </si>
  <si>
    <t>Fast Retailing Company (TKS: 9983)(Tadashi Yanai)</t>
  </si>
  <si>
    <t>clothes collection, clothing design, fashion apparel portal, fashion brand, lifestyle apparel, minimalist design, online shopping site</t>
  </si>
  <si>
    <t>124599-25T</t>
  </si>
  <si>
    <t>Crédit Agricole Ille et Vilaine Expansion, Sofimac Innovation</t>
  </si>
  <si>
    <t>202143-70T</t>
  </si>
  <si>
    <t>Yuco</t>
  </si>
  <si>
    <t>Application Software*, Educational and Training Services (B2C), Other Services (B2C Non-Financial)</t>
  </si>
  <si>
    <t>Developer of a physical exercise application designed to promote well-being and cohesion in the company. The company's application features activities such as circuit training, boot camp, muscle strengthening, yoga, pilates and boxing, enabling employees to share strong moments together and ensure maximum commitment to their internal wellness program.</t>
  </si>
  <si>
    <t>JFC Industrie(Jean-Francois Chene)</t>
  </si>
  <si>
    <t>boots camp, boxing courses, circuit training, pilates classes, self defense classes, yoga courses</t>
  </si>
  <si>
    <t>215595-64T</t>
  </si>
  <si>
    <t>135859-33T</t>
  </si>
  <si>
    <t>Pampa (PIG)</t>
  </si>
  <si>
    <t>Developer of an e-commerce platform designed to buy and sell bouquets. The company's platform offers fresh, colorful, and wild bouquets composed of varied and aesthetic flowers that are delivered by bicycle, enabling users to browse and purchase bouquets online.</t>
  </si>
  <si>
    <t>Benjamin Netter(Benjamin Netter), Founders Future, Kima Ventures</t>
  </si>
  <si>
    <t>ecommerce florist stores, florist portal, flower bouquet, fresh flowers, online florist, online florist stores</t>
  </si>
  <si>
    <t>109407-43T</t>
  </si>
  <si>
    <t>Wimi</t>
  </si>
  <si>
    <t>Developer of an online project management platform intended for collaborative work and synchronization. The company's platform backs in managing projects online, sharing documents, managing tasks, and organizing meetings as well as various other project-related tasks, enabling clients to achieve improved individual productivity with their proprietary software.</t>
  </si>
  <si>
    <t>collaborative software, files sharing, files synchronization, project management firm, project management platform, synchronization technology, synchronization tools, task management</t>
  </si>
  <si>
    <t>116527-51T</t>
  </si>
  <si>
    <t>113285-44T</t>
  </si>
  <si>
    <t>113282-02T</t>
  </si>
  <si>
    <t>Mipsology</t>
  </si>
  <si>
    <t>Developer of an AI-based accelerator designed to compute image-based neural network inference without making any changes to the existing neural network. The company's software is easy to use works on main frameworks and is easily deployed using CPU and FPGA hardware, providing clients with a plug-and-play tool that requires no retraining neural network, costs less, and delivers a longer lifespan than GPUs.</t>
  </si>
  <si>
    <t>Alven Capital Partners(Guillaume Aubin), Omnes Capital(Marc Gasser), Partech(Reza Malekzadeh), Synopsys (NAS: SNPS)</t>
  </si>
  <si>
    <t>fpga processor, fpga technology, neural networks model, parallel computing, parallel computing technology, processing acceleration, processor design, software integration</t>
  </si>
  <si>
    <t>115322-50T</t>
  </si>
  <si>
    <t>Skaleet</t>
  </si>
  <si>
    <t>Developer of a core banking platform designed to help financial institutions to meet the speed and agility challenges in financial segments. The company's platform helps financial institutions to quickly launch efficient, flexible and scalable financial services that respond to the new ways customers use technology and tools that create and deliver responsive and customized financial services within their client's ecosystem, enabling financial institutions to save time and optimize costs by bridging the gap between them and end-users expectations.</t>
  </si>
  <si>
    <t>banking application, banking application system, cash flow system, enterprise resource planning, erp, mobile financial services, mobile service platform, saas platform software</t>
  </si>
  <si>
    <t>123185-35T</t>
  </si>
  <si>
    <t>Beyond Ratings</t>
  </si>
  <si>
    <t>Provider of data analytics and financial rating services intended to help businesses to grasp investment opportunities and optimize risk exposure. The company's services offer on-demand environmental, social and governance (ESG) research reports, portfolio analysis, data feeds, index solutions and financial metrics, enabling investors to analyze complex systemic risks, anticipate market trends and invest with lesser risks.</t>
  </si>
  <si>
    <t>Alpharatz</t>
  </si>
  <si>
    <t>investment reporting, investment services, investment strategy, portfolio reporting, reporting services, research and advisory services</t>
  </si>
  <si>
    <t>116582-77T</t>
  </si>
  <si>
    <t>Move Your Buddy</t>
  </si>
  <si>
    <t>Provider of a sports activity management application intended to organize sports events at the workplace or nearby. The company's application offers a catalog of activities and a wish collection system to create a tailored program, enabling users to gather co-workers around their shared interests and strengthen their professional networks.</t>
  </si>
  <si>
    <t>event management application, sporting events application, sporting events platform, sports application, sports platform, team building games</t>
  </si>
  <si>
    <t>Dax, France</t>
  </si>
  <si>
    <t>112496-59T</t>
  </si>
  <si>
    <t>Crédit Agricole Centre France Développement, JEREMIE Auvergne, Sofimac Investment Managers</t>
  </si>
  <si>
    <t>123116-68T</t>
  </si>
  <si>
    <t>Hapik</t>
  </si>
  <si>
    <t>Operator of a chain of climbing parks intended to offer physical exercise and activities in centers. The company's parks offer a vertical playground, adventure courses, climbing walls, tree climbing, and video games, enabling young children to participate in physical activities as per their choice and stay fit and healthy.</t>
  </si>
  <si>
    <t>fun climbing park, leisure site, playground services, rock climbing training, trees climbing, vertical playground</t>
  </si>
  <si>
    <t>Le Bourg dOisans, France</t>
  </si>
  <si>
    <t>123001-93T</t>
  </si>
  <si>
    <t>115047-19T</t>
  </si>
  <si>
    <t>QualitAdd</t>
  </si>
  <si>
    <t>Developer of data management software designed to set up and monitor a data governance framework. The company's platform has a rapid configuration of Single Sign-On that authorized users to benefit from immediate access to unified and centralized management of their GRC system with a complete recovery of existing content and settings, enabling users to manage their risks, audit and internal control systems.</t>
  </si>
  <si>
    <t>M Capital Partners(Victor Chan)</t>
  </si>
  <si>
    <t>data governance management, data governance platform, data governance software, data management platform, data management sysem, data visualization platform, internal control service</t>
  </si>
  <si>
    <t>117366-22T</t>
  </si>
  <si>
    <t>Oussama Ammar(Oussama Ammar)</t>
  </si>
  <si>
    <t>112392-55T</t>
  </si>
  <si>
    <t>360 Capital(Dominique Rencurel), Ring Capital, Tikehau Capital (PAR: TKO)(Emmanuel Laillier)</t>
  </si>
  <si>
    <t>136712-44T</t>
  </si>
  <si>
    <t>Wettoncraft</t>
  </si>
  <si>
    <t>Marine*, Other Commercial Services, Recreational Goods</t>
  </si>
  <si>
    <t>Manufacturer of semi-rigid amphibious boats intended to serve as a mode of transportation on both the land and the seas. The company's boats have various features, including wheels, fast launching, a comfortable molded composite deck with smart handgrips, and uncomplicated reversing, enabling passengers to traverse from one point to another easily and reducing the time taken in transitioning from land to sea.</t>
  </si>
  <si>
    <t>boats building, boats design, sailing boat manufacturer, ship manufacturer, transportable structure, wheels boats</t>
  </si>
  <si>
    <t>95538-79T</t>
  </si>
  <si>
    <t>BNP Paribas Développement, Galia Gestion, IRDI Capital Investissement, iXO Private Equity, Omnes Capital, Sham Innovation Santé, Turenne Groupe</t>
  </si>
  <si>
    <t>204533-02T</t>
  </si>
  <si>
    <t>111077-92T</t>
  </si>
  <si>
    <t>Qucit</t>
  </si>
  <si>
    <t>Developer of a logistics optimization platform designed to build field operations of shared mobility systems. The company's platform automates the deployment and rebalancing of the fleet of vehicles, optimizes operating costs for an efficient allocation of resources and models human behaviors using a wide variety of urban data and state-of-the-art artificial intelligence algorithms, enabling companies and institutions to simplify shared mobility to make cities more livable and sustainable.</t>
  </si>
  <si>
    <t>Bpifrance, Pi2 Invest, Third Sphere, Urban-X(Micah Kotch)</t>
  </si>
  <si>
    <t>logistics supply, micromobility ecosystem, micromobility operations, operations maintenance, predictive analytics, shared mobility, urban predictive platform</t>
  </si>
  <si>
    <t>Artificial Intelligence &amp; Machine Learning, Micro-Mobility, Real Estate Technology, SaaS</t>
  </si>
  <si>
    <t>108667-90T</t>
  </si>
  <si>
    <t>DN Capital, FJ Labs, Ventech (Paris)</t>
  </si>
  <si>
    <t>109750-24T</t>
  </si>
  <si>
    <t>Bpifrance, CEA Investissement, Crédit Agricole Centre France Développement, JEREMIE Auvergne(Cécile Thebault), Sofimac Investment Managers</t>
  </si>
  <si>
    <t>108665-29T</t>
  </si>
  <si>
    <t>BNP Paribas (PAR: BNP), Daphni(Pierre-Yves Meerschman), Emmanuel Guyot(Emmanuel Guyot), Omnes Capital(Francois-Xavier Dedde)</t>
  </si>
  <si>
    <t>171869-41T</t>
  </si>
  <si>
    <t>Gred Group(René Deshays)</t>
  </si>
  <si>
    <t>90022-42T</t>
  </si>
  <si>
    <t>Angelor, Angels for Food, Invivo (US), IRDI Capital Investissement, Seventure Partners, Sofilaro, Soridec, Vivacto Developpment</t>
  </si>
  <si>
    <t>124197-85T</t>
  </si>
  <si>
    <t>Courtin Investment, Epopée Gestion(Vladimir Bolze), SWEN Capital Partners</t>
  </si>
  <si>
    <t>118358-38T</t>
  </si>
  <si>
    <t>MDoloris Medical Systems</t>
  </si>
  <si>
    <t>Developer of medical devices designed to non-invasively assess patient pain and comfort. The company offers devices that help patients who are under general anesthesia or in an unconscious state to express their pain, helping clinicians titrating analgesics to control surgical stress and improve outcomes in both occupational therapy and intensive care units.</t>
  </si>
  <si>
    <t>Seventure Partners(Isabelle de Cremoux), XAnge(Guillaume Meulle)</t>
  </si>
  <si>
    <t>medical devices, medical equipment, monitoring device, pain monitoring, pain therapy device, pain treatment, parasympathetic tone monitoring</t>
  </si>
  <si>
    <t>118133-11T</t>
  </si>
  <si>
    <t>108517-24T</t>
  </si>
  <si>
    <t>Andera Partners(Raphael Wisniewski), Bpifrance(Benoit Barteau), Idinvest Partners(Vanessa Malier), Kurma Partners(Remi Droller), Pontifax Venture Capital(Ohad Hammer)</t>
  </si>
  <si>
    <t>191391-85T</t>
  </si>
  <si>
    <t>Ekolis</t>
  </si>
  <si>
    <t>Developer of a telematics platform designed to bring transportation information together in one place. The company's platform helps to collect, transcribe, and process data from the systems of vehicle fleets and also offers carriers a multitude of services to facilitate the management of daily activities, enabling fleet managers to have an autonomous and universal alternative.</t>
  </si>
  <si>
    <t>Credit Agricole (PAR: ACA), Ker Pro</t>
  </si>
  <si>
    <t>logistics information systems, saas technology, tracking technology, transport technology, vehicle monitoring, vehicle supervision, vehicle tracking</t>
  </si>
  <si>
    <t>Micro-Mobility, Mobile, Mobility Tech, SaaS, TMT</t>
  </si>
  <si>
    <t>Servon-sur-Vilaine, France</t>
  </si>
  <si>
    <t>111528-01T</t>
  </si>
  <si>
    <t>360 Capital(Alexandre Mordacq), Armand Thiberge(Armand Thiberge), Bpifrance, IRDI Capital Investissement, Laurent Grimaldi(Laurent Grimaldi), Maud Thuaudet(Maud Thuaudet), Michele Franci(Michele Franci), SATT Paris-Saclay, Yohann Leroy(Yohann Leroy)</t>
  </si>
  <si>
    <t>100658-98T</t>
  </si>
  <si>
    <t>AngelSquare, Bpifrance, Investisseurs privés, Notus Technologies(Geoffroy Roux de Bezieux)</t>
  </si>
  <si>
    <t>134014-87T</t>
  </si>
  <si>
    <t>109048-42T</t>
  </si>
  <si>
    <t>Entrepreneur Invest(Marouane Bahri), European Investment Bank (Luxembourg), Seventure Partners(David Manjarres)</t>
  </si>
  <si>
    <t>111310-66T</t>
  </si>
  <si>
    <t>Bruce</t>
  </si>
  <si>
    <t>Application Software, Business/Productivity Software, Human Capital Services*, Information Services (B2C)</t>
  </si>
  <si>
    <t>Operator of a digital recruitment marketplace intended to match job seekers with professions based on their skills and preferences. The company's platform helps to connect companies and talents in real-time through a proprietary matching algorithm and also facilitates video interviews with the employer, enabling businesses to hire talent and job seekers to find new employment opportunities.</t>
  </si>
  <si>
    <t>Arkéa Capital, Bpifrance(Victoire Millerand), IMT Starter, Sofiouest(Patrice Hutin)</t>
  </si>
  <si>
    <t>employment opportunites, human capital management, job searching, jobs finder, recruitment app, talent marketplace</t>
  </si>
  <si>
    <t>112156-93T</t>
  </si>
  <si>
    <t>BASE Innovation</t>
  </si>
  <si>
    <t>Alternative Energy Equipment*, Other Commercial Services</t>
  </si>
  <si>
    <t>Developer of thermovoltaic solar panels designed to provide cheap solar services in building a sustainable society. The company's solar panel can produce both heat and electricity simultaneously, which can yield electricity to conventional solar panels, collect waste heat from the solar cells' operation, and transfer it to the airflow, enabling clients to have an efficient energy source with low cost.</t>
  </si>
  <si>
    <t>Abeille Impact Investing France, AQUITI Gestion, Bpifrance, Femmes Business Angels, Inco Ventures, Nouvelle Aquitaine Co-Investissement, Région Nouvelle-Aquitaine</t>
  </si>
  <si>
    <t>cleantech firm, climate tech company, heat producer, intermittent renewable energy, solar panels developer, solar technology, solar thermal</t>
  </si>
  <si>
    <t>Marcheprime, France</t>
  </si>
  <si>
    <t>123004-45T</t>
  </si>
  <si>
    <t>Betterfly Tourism</t>
  </si>
  <si>
    <t>Business/Productivity Software*, Media and Information Services (B2B), Other Services (B2C Non-Financial)</t>
  </si>
  <si>
    <t>Developer of sustainable tourism software intended to reduce operating costs, environmental impacts, and food waste. The company's software offers to book tourist accommodations, reduce restaurant food wastage, and aid communities in structuring and driving their sustainable tourism strategy, enabling professionals to reduce expenses and improve sustainability and profitability.</t>
  </si>
  <si>
    <t>cost optimization, environmental impact, environmental impact software, food waste reduction, operating costs reduction, sustainable tourism, sustainable tourism software, tourism software</t>
  </si>
  <si>
    <t>CleanTech, LOHAS &amp; Wellness, Restaurant Technology</t>
  </si>
  <si>
    <t>122796-19T</t>
  </si>
  <si>
    <t>Influence4you</t>
  </si>
  <si>
    <t>Business/Productivity Software*, Media and Information Services (B2B), Social/Platform Software</t>
  </si>
  <si>
    <t>Developer of a marketing platform designed to facilitate media marketing and analysis. The company specializes in influence marketing on social media and understands the marketing communication needed for any business, identifies fake and genuine followers, and provides detailed reports, enabling brands and agencies to manage their campaigns through strategic planning.</t>
  </si>
  <si>
    <t>Benoît Sillard(Benoît Sillard), Bpifrance, FaDiese, Fun Radio, J2 Finance</t>
  </si>
  <si>
    <t>digital marketing, influencer marketing, influencer marketing platform, marketing platform developer, social media analysis, social media statistics, social network monitoring</t>
  </si>
  <si>
    <t>Industrials, SaaS, TMT</t>
  </si>
  <si>
    <t>116620-30T</t>
  </si>
  <si>
    <t>Alexandre Berriche(Alexandre Berriche), Bastien Moreau(Bastien Moreau), Global Founders Capital, Innoport</t>
  </si>
  <si>
    <t>118226-35T</t>
  </si>
  <si>
    <t>Karver</t>
  </si>
  <si>
    <t>Manufacturer of sailing equipment intended to make sailing safe. The company offers a range of sailing gear such as furling, hooks, pulleys, winches, jammers, mast equipment, and more, enabling clients to have a large selection of sailing hardware designed to improve the sailing experience.</t>
  </si>
  <si>
    <t>boats equipment, decking equipment, marine, sailing equipment, sailing gear, ship equipment, smart systems</t>
  </si>
  <si>
    <t>Honfleur, France</t>
  </si>
  <si>
    <t>109679-23T</t>
  </si>
  <si>
    <t>MCAlpes</t>
  </si>
  <si>
    <t>Provider of construction services designed to build classic style houses, contemporary style houses, and wooden houses. The company's services include field study, delivery guarantee, work damage insurance, and builds limited energy consumption buildings, enabling customers to find a house of their choice with differentiating architecture.</t>
  </si>
  <si>
    <t>Expansinvest</t>
  </si>
  <si>
    <t>construction architects, construction work, house builder, insurance, timber frame house, timber frame housing</t>
  </si>
  <si>
    <t>Epagny, France</t>
  </si>
  <si>
    <t>113921-65T</t>
  </si>
  <si>
    <t>Pradeyrol Développement, Start Capital</t>
  </si>
  <si>
    <t>136805-86T</t>
  </si>
  <si>
    <t>Crafty.im</t>
  </si>
  <si>
    <t>Developer of tech talent-sharing platform intended to match active technology employees that have a drop-in activity with companies that have a punctual need. The company's platform offers and matches sophisticated, experienced and motivated resources for durations ranging from one day to several months, enabling companies to improve the retention of their tech talents, manage their troughs of activity and optimize their payroll.</t>
  </si>
  <si>
    <t>Founder Equity</t>
  </si>
  <si>
    <t>talent management, talent management solutions, talent search, talent search platform, talent sharing platform, tech talent hunt</t>
  </si>
  <si>
    <t>108147-88T</t>
  </si>
  <si>
    <t>Doctrine</t>
  </si>
  <si>
    <t>Developer of legal research and analytics platform designed to organize access to judicial documents. The company's platform offers a history of corporate litigation, instant search in all areas of law, and automatic formatting of decision references, enabling professionals to access legal information in real time.</t>
  </si>
  <si>
    <t>Bouygues Telecom Initiatives, Frst Capital(Bruno Raillard), Otium Capital, Pauline Guillonnet(Pauline Guillonnet), Pierre Entremont(Pierre Entremont), Xavier Niel(Xavier Niel)</t>
  </si>
  <si>
    <t>email and authoring, kms, knowledge management system, legal analytics software, legal info, legal portal, legal technology, online legal portal, online legal search</t>
  </si>
  <si>
    <t>153658-09T</t>
  </si>
  <si>
    <t>Inoviem Scientific</t>
  </si>
  <si>
    <t>Developer of pre-clinical and clinical technologies designed to improve lead compound selection and decrease attrition rates during drug development. The company's technologies provide the drug development team with valuable information about the therapeutic target, drug candidates' mode of action or side effects, enabling the public or private organizations involved in the discovery and development of innovative drugs to speed up the development of new medicines, reduce the attrition rate of drug candidates and cut development costs.</t>
  </si>
  <si>
    <t>biotech company, biotech company operator, clinical technology, drug development, new medicine development, preclinical service, target identification</t>
  </si>
  <si>
    <t>110968-66T</t>
  </si>
  <si>
    <t>BASF Venture Capital(Markus Solibieda), BNP Paribas (PAR: BNP), Credit Agricole (PAR: ACA)(Cédric Rolland), Demeter Partners(Riadh Shaiek), Emertec Gestion</t>
  </si>
  <si>
    <t>111647-44T</t>
  </si>
  <si>
    <t>Wisebatt</t>
  </si>
  <si>
    <t>Business/Productivity Software, Other Energy Services, Software Development Applications*, Systems and Information Management</t>
  </si>
  <si>
    <t>Developer of a simulation platform designed for electronic engineers developing IoT devices. The company's platform is available in the cloud and estimates the battery discharge time of a connected device from the very first steps of its design process, thereby enabling users to improve the reliability of battery-powered devices and assist designers to build more sustainable solutions faster.</t>
  </si>
  <si>
    <t>Demeter Partners, Foreis, Karista (Paris), Kima Ventures, Paris Region Venture Fund, The Refiners</t>
  </si>
  <si>
    <t>battery technology, electronic design, iot device platform, iot technology, prototype building, simulation platform, simulation platform provider, simulation platform tech</t>
  </si>
  <si>
    <t>170605-72T</t>
  </si>
  <si>
    <t>Aquitaine Science Transfert, AQUITI Gestion, SATT Paris-Saclay, Techno'Start</t>
  </si>
  <si>
    <t>116718-04T</t>
  </si>
  <si>
    <t>Limonetik</t>
  </si>
  <si>
    <t>PayFac Enablers</t>
  </si>
  <si>
    <t>Developer of a payment platform designed to address a broad range of complex payment problems. The company's platform supports multiple local payment methods in different countries, reduces the complexity of settlement by aggregating multiple financial flows into one settlement, and supports these services with comprehensive reconciliation and reporting tools all via one state-of-the-art API, enabling companies and payment providers to go global with local payments, manage marketplace and master payment facilitation.</t>
  </si>
  <si>
    <t>Ardis Group, Newfund Management</t>
  </si>
  <si>
    <t>online marketing, online payment, online payment service, payment service, platform as a service</t>
  </si>
  <si>
    <t>B2B Payments, E-Commerce, FinTech, SaaS, TMT</t>
  </si>
  <si>
    <t>192180-61T</t>
  </si>
  <si>
    <t>Mini World Lyon</t>
  </si>
  <si>
    <t>Operator of an amusement park intended to provide fun experiences to people. The company operates a theme park devoted entirely to French miniature targeting dreamers of all ages, enabling people to experience a fantasy world through miniature cities, countryside, and mountains.</t>
  </si>
  <si>
    <t>Alta Faubourg(Alta Faubourg)</t>
  </si>
  <si>
    <t>amusement park, amusement park operator, family entertainment, interactive exhibits, theme park operator, themes park</t>
  </si>
  <si>
    <t>109495-09T</t>
  </si>
  <si>
    <t>Courtin Investment, Guillaume Victor-Thomas(Guillaume Victor-Thomas), Jump Ventures, Kapinno, P.Factory, Provence Business Angels, Roland Coutas(Roland Coutas), Région Sud Investissement</t>
  </si>
  <si>
    <t>108003-25T</t>
  </si>
  <si>
    <t>Crème de la Crème</t>
  </si>
  <si>
    <t>Operator of a recruitment platform designed to connect the professional world with a selective community of freelancers. The company's platform helps to find freelancers in the fields of technology, product designing, and digital marketing who are evaluated and verified using a selection algorithm, enabling professionals to look for candidates who are skilled and match their criteria for a project.</t>
  </si>
  <si>
    <t>Alain Thibaut(Alain Thibaut), Alto Invest, Courtin Investment, Loic Le Meur(Loic Le Meur)</t>
  </si>
  <si>
    <t>career consulting service, freelancing jobs, hiring platform, jobs hunt, online headhunting, recruiting talent, recruitment app</t>
  </si>
  <si>
    <t>113810-14T</t>
  </si>
  <si>
    <t>Crosscut</t>
  </si>
  <si>
    <t>Developer of integration platform designed to transfer data to cloud applications. The company's platform aligns the digital ecosystem with business needs and provides a comprehensive enterprise platform that can expose, orchestrate, and supervise data within the extended information system, enabling businesses to modernize their information system and accelerate the pace in a sustainable, secure, and cost-effective manner.</t>
  </si>
  <si>
    <t>CapHorn Invest(Laurent Dumas-Crouzillac)</t>
  </si>
  <si>
    <t>cloud application, data infrastructure, data integration, enterprise platform, integration platform, windows azure</t>
  </si>
  <si>
    <t>Big Data, CloudTech &amp; DevOps, SaaS</t>
  </si>
  <si>
    <t>Soisy-sur-Seine, France</t>
  </si>
  <si>
    <t>107936-29T</t>
  </si>
  <si>
    <t>Dreem (Clinics/Outpatient Services)</t>
  </si>
  <si>
    <t>Developer of a sleep-tracking technology product designed to enhance sleep. The company's product is a machine headband that automatically analyzes a person's sleep stages in real-time, processes the data with machine learning algorithms to provide personalized metrics and AI-powered tips that constantly evolve based on sleeping habits, enabling users to fall fast asleep, get deep sleep and wake up refreshed.</t>
  </si>
  <si>
    <t>Bpifrance, Johnson &amp; Johnson Innovation - JJDC, Laurent Alexandre(Laurent Alexandre), MAIF, Ternel, Xavier Niel(Xavier Niel)</t>
  </si>
  <si>
    <t>ai-powered, general wellness, health coaching, machine headband, monitoring application, neuroscience technology, sleep technology, sleep tracker, wellness program</t>
  </si>
  <si>
    <t>Artificial Intelligence &amp; Machine Learning, Big Data, HealthTech, Mobile</t>
  </si>
  <si>
    <t>108073-36T</t>
  </si>
  <si>
    <t>Atomico(Mattias Ljungman), Korelya Capital(Paul Degueuse)</t>
  </si>
  <si>
    <t>131577-67T</t>
  </si>
  <si>
    <t>TOTEM mobi</t>
  </si>
  <si>
    <t>Provider of electric car rental services intended to facilitate mobility for everyone. The company offers an application that allows users to view the vehicles, their range, and their positions on the application as well as the green zones and stations where they can stop their rental and charge the vehicles, enabling customers to hire electric cars for self-service which is available throughout the day along with free parking.</t>
  </si>
  <si>
    <t>Caisse des Depots Group, CareMakers, Région Sud Investissement, SCR Provence and Corsica, Turenne Groupe</t>
  </si>
  <si>
    <t>auto commerce, car booking application, car hiring, car rental, electric car, electric vehicle-sharing, ev rental service, fleet-owned carsharing, mobility option, sustainable transport</t>
  </si>
  <si>
    <t>111993-49T</t>
  </si>
  <si>
    <t>Emosis</t>
  </si>
  <si>
    <t>Diagnostic Equipment*, Other Devices and Supplies</t>
  </si>
  <si>
    <t>Operator of a medical technology company intended for cardiovascular and cerebrovascular diseases. The company specializes in the development and commercialization of in vitro diagnostic tests for hemostasis abnormalities that cause hemorrhagic or thromboembolic manifestations, enabling patients to get neurovascular diseases, cancer, pregnancy, and pharmacological and non-pharmacological therapy management.</t>
  </si>
  <si>
    <t>cerebrovascular disease, diagnostic testing, disease testing, flow cytometry, hemostasis disorder, in vitro diagnostic, neurovascular disease treatment</t>
  </si>
  <si>
    <t>81784-99T</t>
  </si>
  <si>
    <t>ethilog</t>
  </si>
  <si>
    <t>Electrical Equipment, Logistics, Medical Supplies*</t>
  </si>
  <si>
    <t>Manufacturer of medication dispensing devices designed to reduce the workload of care workers and the overall cost of medication distribution. The company's platform develops unit dose medication dispensing technologies based on industrial concepts adapted to the specific needs of hospitals and facilitates medication return management, enabling hospitals to reduce upfront investments and eliminate the need to redesign logistics processes.</t>
  </si>
  <si>
    <t>hospital medication distribution, medical supplies, medication dispensing, medication dispensing systems, medication distribution, medication distribution system, medication logistics</t>
  </si>
  <si>
    <t>HealthTech, Manufacturing, Supply Chain Tech, TMT</t>
  </si>
  <si>
    <t>206515-00T</t>
  </si>
  <si>
    <t>187794-64T</t>
  </si>
  <si>
    <t>Péchés Gourmands</t>
  </si>
  <si>
    <t>Operator of a confectionery store intended to provide an online store to meet customers' gourmet desires. The company's products include biscuits, nougats, caramels, berlingots, and fine chocolates made from traditional recipes, enabling consumers to enjoy the taste of authentic French confectioneries and chocolates.</t>
  </si>
  <si>
    <t>2C Invest</t>
  </si>
  <si>
    <t>biscuits factory, biscuits maker, confectionaries, consumer food product, cookies food, food ecommerce, online grocery store, restaurant marketplace</t>
  </si>
  <si>
    <t>114164-02T</t>
  </si>
  <si>
    <t>Fundvisory</t>
  </si>
  <si>
    <t>Asset Management*, Financial Software, IT Consulting and Outsourcing</t>
  </si>
  <si>
    <t>Provider of white-label robo-advisory services intended to assist individual and group savings players. The company offers tools that are a set of modular, innovative, and configurable tools, ranging from customer knowledge to customized portfolio monitoring and risk profiling, allowing users to get allocation models adapted to specific constraints and needs.</t>
  </si>
  <si>
    <t>Abeille Assurances, Mutuelle Assurance Commerçants et Industriels France</t>
  </si>
  <si>
    <t>automated portfolio management, customized portfolio management, financial advisor, financial advisory service, financial service infrastructure, financial services infrastructure, financial software, portfolio management</t>
  </si>
  <si>
    <t>Artificial Intelligence &amp; Machine Learning, FinTech, TMT</t>
  </si>
  <si>
    <t>133565-32T</t>
  </si>
  <si>
    <t>GMZ &amp; Son's, Lincoln</t>
  </si>
  <si>
    <t>107073-91T</t>
  </si>
  <si>
    <t>Aglaé Ventures(Antoine Loison), Daphni(Pierre-Yves Meerschman), Eurazeo (PAR: RF)(Yann-Hervé du Rusquec), Groupe Arnault, Idinvest Partners</t>
  </si>
  <si>
    <t>175414-96T</t>
  </si>
  <si>
    <t>Ecodrop</t>
  </si>
  <si>
    <t>Provider of waste management technology services intended to collect construction site waste from building tradesmen. The company's platform connects construction craftsmen and waste handling operators to find professional partner waste reception centers around their work and to have their waste collected directly on site.</t>
  </si>
  <si>
    <t>Carolus Invest</t>
  </si>
  <si>
    <t>construction site waste, waste collection, waste drops off, waste handles, waste management, waste recycling</t>
  </si>
  <si>
    <t>120168-46T</t>
  </si>
  <si>
    <t>Axeleo, Bpifrance, Centre National d'Etudes Spatiales, Laetitia Garriott de Cayeux(Laetitia de Cayeux), Urania Ventures(Helene Huby)</t>
  </si>
  <si>
    <t>206061-40T</t>
  </si>
  <si>
    <t>Banque des Territoires, Via ID</t>
  </si>
  <si>
    <t>107764-39T</t>
  </si>
  <si>
    <t>Mensia Technologies</t>
  </si>
  <si>
    <t>Developer of research algorithms designed for the real-time processing of neurophysiological signals. The company's algorithms are used to design and develop non-invasive and non-drug medical devices for the treatment of certain brain disorders, enabling physicians to monitor brain activities as well as access non-invasive medical devices for the care of the Central Nervous System.</t>
  </si>
  <si>
    <t>Bpifrance, Health-angels Rhone-alpes, Inria</t>
  </si>
  <si>
    <t>attention deficit hyperactivity disorder, brain activity monitor, brain activity tracking, brain monitoring device, real time eeg, real time quantitative neurophysiology</t>
  </si>
  <si>
    <t>107703-73T</t>
  </si>
  <si>
    <t>117967-51T</t>
  </si>
  <si>
    <t>ExoCell (Electrical Equipment)</t>
  </si>
  <si>
    <t>Electrical Equipment*, Electronic Equipment and Instruments</t>
  </si>
  <si>
    <t>Developer of water treatment equipment designed to make industrial and infrastructure projects more sustainable. The company's equipment is patented and used to adapt to economic and environmental evolution, enabling clients to have self-contained and easy-to-use equipment while reducing water treatment costs.</t>
  </si>
  <si>
    <t>drinking water treatment, water treatment device, water treatment equipment, water treatment facility, water treatment plant, water treatment tool</t>
  </si>
  <si>
    <t>Lallaing, France</t>
  </si>
  <si>
    <t>107625-52T</t>
  </si>
  <si>
    <t>Alexis Bonillo(Alexis Bonillo), Alven Capital Partners(Rodolphe Menegaux), Antoine Martin(Antoine Martin), Eutopia(Antoine Fine), Financière Saint James, Guillaume Gibault(Guillaume Gibault), Hubert Patricot(Hubert Patricot), Kima Ventures, Senseii Ventures, Techmind</t>
  </si>
  <si>
    <t>194730-22T</t>
  </si>
  <si>
    <t>94724-20T</t>
  </si>
  <si>
    <t>Mulliez Family Association</t>
  </si>
  <si>
    <t>169816-51T</t>
  </si>
  <si>
    <t>Sinny&amp;Ooko</t>
  </si>
  <si>
    <t>Provider of third-party intermediate cultural services intended to offer a meeting place for the first players in ethical trade and the solidarity economy. The company's services provide a place of multidisciplinary and independent cultural programming projects that are involved in the revaluation of typical or unusual places and are on a mission to train future managers of third places committed to sustainable development and a regional approach, enabling customers to live better together and closer to the environment.</t>
  </si>
  <si>
    <t>Abeille Impact Investing France, Mutuelle Nationale Territoriale, NovESS(Christophe Deconinck)</t>
  </si>
  <si>
    <t>cultural events, ethical trade, innovative project, multidisciplinary consultancy, solidarity economy, sustainable development</t>
  </si>
  <si>
    <t>191732-05T</t>
  </si>
  <si>
    <t>Glowbl</t>
  </si>
  <si>
    <t>Communication Software*, Social/Platform Software</t>
  </si>
  <si>
    <t>Developer of a video conferencing platform designed to offer real-time content sharing. The company's platform offers online meeting and sharing media content, video conferences, and live broadcast events, enabling clients to leverage technology to stay connected.</t>
  </si>
  <si>
    <t>Visiativ</t>
  </si>
  <si>
    <t>content sharing, events broadcasting, real time communication, video calling, video conference, video conferencing app</t>
  </si>
  <si>
    <t>106936-03T</t>
  </si>
  <si>
    <t>5M Ventures, Breega(François Paulus), Idinvest Partners, LeanSquare, Noshaq, OneRagtime(Stéphanie Hospital), P.Factory</t>
  </si>
  <si>
    <t>107630-02T</t>
  </si>
  <si>
    <t>360 Capital, Cambon Partners, Kreos Capital, Omnes Capital, Ring Capital(Geoffroy Bragadir)</t>
  </si>
  <si>
    <t>117362-89T</t>
  </si>
  <si>
    <t>Promedeo</t>
  </si>
  <si>
    <t>Developer of healthcare technologies and devices designed to streamline hospital supply chain processes. The company's offerings include real-time inventory tracking, SaaS-based data management, and automated consumables replenishment, helping hospitals improve the traceability of medicines, automated restocking, and reporting.</t>
  </si>
  <si>
    <t>Normandie Business Angels(Marc Delatte), Normandie Participations(Anthony Arsac)</t>
  </si>
  <si>
    <t>hospital logistics management, hospital supply chain, logistics flow management, logistics management, logistics services, medical device, medical device management, supply chain processes</t>
  </si>
  <si>
    <t>134103-61T</t>
  </si>
  <si>
    <t>Qweeby</t>
  </si>
  <si>
    <t>Business/Productivity Software*, Financial Software, Other Commercial Services</t>
  </si>
  <si>
    <t>Developer of an electronic invoice transmission platform designed to produce structured data files from any PDF file. The company's platform offers alerts, reminders, and helpful indicators for the management of customer receivables and also shares PDF invoices from the billing tool, without any intervention on the systems or processes, enabling users to get a simple and fast technology that ensures the security of information and control receivables.</t>
  </si>
  <si>
    <t>Bpifrance, Caisse d'Epargne, Crédit Mutuel Innovation</t>
  </si>
  <si>
    <t>ap automation, ar automation, cfo stack, credit management, data file, dematerialized invoice, digital invoice platform, e-invoicing services, expense management, invoicing services</t>
  </si>
  <si>
    <t>107563-42T</t>
  </si>
  <si>
    <t>139353-67T</t>
  </si>
  <si>
    <t>109112-68T</t>
  </si>
  <si>
    <t>Paytweak</t>
  </si>
  <si>
    <t>Developer of a secure payment tool designed to facilitate online payments through emails and SMS. The company's tool offers universal secure payment links that convert hypertext links into digital payment channels while making emails and SMS encrypted, enabling professionals, companies, and local authorities to trigger secure payments by credit card in one click from an email or SMS and receive funds directly from the bank account without delay, intermediaries or commissions paid.</t>
  </si>
  <si>
    <t>3CIE, AngelSquare, Chalus Chegaray &amp; Cie, Plug and Play Tech Center, Vox Capital (Luxembourg)(Johann Meynet)</t>
  </si>
  <si>
    <t>digital payment, digital payment security, email payment, enterprise payment, online payment, online payment security, payment, payment platform, payment secure application, pos, secure payment platform</t>
  </si>
  <si>
    <t>Gisors, France</t>
  </si>
  <si>
    <t>118914-22T</t>
  </si>
  <si>
    <t>Arkéa Capital, Evolem, Ring Capital, Sofiouest</t>
  </si>
  <si>
    <t>117755-74T</t>
  </si>
  <si>
    <t>120485-89T</t>
  </si>
  <si>
    <t>Idinvest Partners, Kurma Partners(Thierry Laugel)</t>
  </si>
  <si>
    <t>108562-24T</t>
  </si>
  <si>
    <t>Dear Muesli</t>
  </si>
  <si>
    <t>Operator of a specialty food platform created to offer healthy and enjoyable muesli cereal. The company's retail platform offers a range muesli cereals made with variety of grains, nuts, seeds among others, with an application to discover which cereal is best suited to the taste and nutritional desires of each person, enabling consumers with organic, vegan breakfast cereal options free from refined sugars and dairy.</t>
  </si>
  <si>
    <t>Axel Adida, Eurydice, Kima Ventures</t>
  </si>
  <si>
    <t>breakfast online, breakfast ordering, healthy breakfast, healthy cereals, online breakfast, organic cereals</t>
  </si>
  <si>
    <t>141160-51T</t>
  </si>
  <si>
    <t>Bpifrance, Christophe Cador(Christophe Cador), Christophe Guir(Christophe Guir), Dominique Gretz(Dominique Gretz), Emanuel Moreau(Emanuel Moreau), Fabrice Ebner(Fabrice Ebner), Frederic Ulrich(Frederic Ulrich), Jean Pierre Bes(Jean Pierre Bes), Jean-Michel Condamin(Jean-Michel Condamin), Jos Vanschaik(Jos Vanschaik), Jérôme Cazade(Jérôme Cazade), Marc Rochet, Matthieu Pihery(Matthieu Pihery), Mourad Majoul, Philippe Rochet(Philippe Rochet), Rodolphe Marchais(Rodolphe Marchais), Sabena Technics, Samuel Nemoz(Samuel Nemoz), Thierry Baux(Thierry Baux), Yves Jobic(Yves Jobic)</t>
  </si>
  <si>
    <t>107256-07T</t>
  </si>
  <si>
    <t>Click&amp;Boat</t>
  </si>
  <si>
    <t>Operator of a yacht charter and boat rental platform designed to offer private sailing. The company's platform offers sailboats, motorboats, catamarans, inflatable boats, barges and jet skis for renting purposes.</t>
  </si>
  <si>
    <t>OLMA Capital Management, SHIFT Ventures (London)</t>
  </si>
  <si>
    <t>boats rental, digital marketplace, motorboats, peer-to-peer marketplace, rental marketplace, sailboats, yacht rental</t>
  </si>
  <si>
    <t>157721-86T</t>
  </si>
  <si>
    <t>Abeille Impact Investing France, Caisse d'Epargne Rhone Alpes, CDI Holdings, La Poste Groupe</t>
  </si>
  <si>
    <t>109487-17T</t>
  </si>
  <si>
    <t>CAAP Creation, Noria, Opalic, Provence Business Angels, Région Sud Investissement</t>
  </si>
  <si>
    <t>99590-23T</t>
  </si>
  <si>
    <t>360 Capital(François Collet), Breega, IRIS (Private Equity)(Julien-David Nitlech)</t>
  </si>
  <si>
    <t>135673-30T</t>
  </si>
  <si>
    <t>ADEME, Banque Populaire, Bpifrance, Generation Entrepreneurs Investisseurs, Région Nouvelle-Aquitaine, Social Family Group, Starquest Capital(Emmanuel Gaude)</t>
  </si>
  <si>
    <t>136698-13T</t>
  </si>
  <si>
    <t>Muhan Investment Company</t>
  </si>
  <si>
    <t>107189-02T</t>
  </si>
  <si>
    <t>BNP Paribas Développement, Idinvest Partners, Kurma Partners(Philippe Peltier), Paris-Saclay Seed Fund</t>
  </si>
  <si>
    <t>116044-84T</t>
  </si>
  <si>
    <t>It's my car</t>
  </si>
  <si>
    <t>Provider of advertising services intended to promote businesses in exchange for money, products, and invitations. The company's services offer motorist and vehicle drivers to choose the campaigns and install stickers of the advertised products on the vehicle, enabling advertisers to gain visibility and reach to their target audience.</t>
  </si>
  <si>
    <t>Marc Adamowicz(Marc Adamowicz), Olivier Mathiot(Olivier Mathiot), SIDE Capital, Thierry Petit(Thierry Petit)</t>
  </si>
  <si>
    <t>advertising service agency, advertising services, advertising space, advertising stickers, marketing services, signage display</t>
  </si>
  <si>
    <t>169387-48T</t>
  </si>
  <si>
    <t>Capital Banking Solutions</t>
  </si>
  <si>
    <t>Developer of integrated banking software intended to serve banks and financial institutions. The company's software streamlines core banking processes and provides all areas of bank staff with the intuitive tools they need to offer services like business consulting, solution architecture, implementation, support, delivery and hosting, enabling clients to spend more time focusing on customers' needs.</t>
  </si>
  <si>
    <t>Berytech(Paul Chucrallah)</t>
  </si>
  <si>
    <t>accounting tasks, banking channels, banking software, banking software platform, customer relationship, enterprise architecture, enterprise resource planning, erp, financial services infrastructure, portfolio management, risk management</t>
  </si>
  <si>
    <t>204534-82T</t>
  </si>
  <si>
    <t>HDC LAMOTTE</t>
  </si>
  <si>
    <t>Cultivation*, Food Products, Other Agriculture</t>
  </si>
  <si>
    <t>Producer of fresh fruits and vegetables intended to produce, package, and ship fresh fruit and vegetables. The company produces apricots, squashes, turnips, white leeks, and a mix of veggies and fruits, providing customers with fresh organic edibles.</t>
  </si>
  <si>
    <t>food ecommerce, fresh fruits and vegetables, fruits producers, online grocer, organic fruits, organic vegetables, vegetable producer, vegetables line</t>
  </si>
  <si>
    <t>Bren, France</t>
  </si>
  <si>
    <t>135429-94T</t>
  </si>
  <si>
    <t>Bpifrance(Chahra Louafi), Ethicapital partners, Fine Day Ventures, ISAI(Thierry Vandewalle)</t>
  </si>
  <si>
    <t>117766-81T</t>
  </si>
  <si>
    <t>Nord France Amorçage, Pleiade Venture</t>
  </si>
  <si>
    <t>117969-04T</t>
  </si>
  <si>
    <t>Studapart</t>
  </si>
  <si>
    <t>Application Software*, Information Services (B2C), Real Estate Services (B2C)</t>
  </si>
  <si>
    <t>Developer of an online house rental platform intended to make rental simpler for both students and landlords. The company's platform integrates with the intranet to search for nearby homes and brings negotiated offers with real estate agencies and student residences, enabling students to get profitable accommodation while pursuing education.</t>
  </si>
  <si>
    <t>house rental business, house rental platform, housing service, real estate agency, rental platform, student accommodation</t>
  </si>
  <si>
    <t>Osny, France</t>
  </si>
  <si>
    <t>107064-19T</t>
  </si>
  <si>
    <t>CAAP Creation, Financiere Tuileries Development, SCR Provence and Corsica(Sauveur Cascone)</t>
  </si>
  <si>
    <t>122284-09T</t>
  </si>
  <si>
    <t>Goalmap</t>
  </si>
  <si>
    <t>Application Software, Education and Training Services (B2B)*, Human Capital Services, Media and Information Services (B2B)</t>
  </si>
  <si>
    <t>Operator of a digital coaching platform intended to assist businesses in promoting employee well-being. The company's platform offers upfront wellness diagnosis, personalization of the digital wellness program, integration of physical workshops and wellness coaching through a mobile application, enabling companies to improve wellness and productivity for their employees.</t>
  </si>
  <si>
    <t>Bpifrance, Crédit Agricole Alpes Provence (PAR: CRAP), Evangelos Vatzias(Evangelos Vatzias), Michael Amar(Michael Amar), P.Factory(Bertrand Bigay), Réseau entreprendre Atlantique, Sofiane Ammar(Sofiane Ammar), Thecamp (Accelerator)</t>
  </si>
  <si>
    <t>digital coaching, digital wellness, digital wellness program, employee wellbeing, personal development app, wellness coaching, wellness diagnostics</t>
  </si>
  <si>
    <t>189796-69T</t>
  </si>
  <si>
    <t>little garden</t>
  </si>
  <si>
    <t>Producer of packaged fruit-based snacks intended to preserve the natural benefits of fruit without constraints. The company's snacks are neither fried nor cooked to keep their taste intact and best preserve vitamins and minerals, enabling consumers to have fruit sachets to add up to their gourmet meals for a balanced diet.</t>
  </si>
  <si>
    <t>children snacks, food ecommerce, food product, fruit snacks, fruits conservatives, fruits mixing, fruits sachets, healthy snacks, online grocer, packed fruits</t>
  </si>
  <si>
    <t>106868-53T</t>
  </si>
  <si>
    <t>Andera Partners, Bpifrance(Chahra Louafi), InnoBiologics(Chahra Louafi), Inserm Transfert, Morningside Group(Jason Dinges), OrbiMed(Iain Dukes), Sofimac Innovation, Sofinnova Partners(Graziano Seghezzi)</t>
  </si>
  <si>
    <t>161134-30T</t>
  </si>
  <si>
    <t>Kamax Innovative System</t>
  </si>
  <si>
    <t>Developer of non-invasive optical fiber imaging systems designed to offer a real diagnostic tool for healthcare professionals. The company's new real-time imaging system is based on the polarization of light and used to diagnose cancerous tissues, enabling health practitioners to improve their decision-making when analyzing samples.</t>
  </si>
  <si>
    <t>AQUITI Gestion, Dynalim, Limousin Participations</t>
  </si>
  <si>
    <t>cancer diagnostics, imaging system, imaging test, innovative systems, polarization equipment, polarization imaging</t>
  </si>
  <si>
    <t>Digital Health, HealthTech, Life Sciences, Manufacturing, Oncology</t>
  </si>
  <si>
    <t>Limoges Cedex, France</t>
  </si>
  <si>
    <t>189713-08T</t>
  </si>
  <si>
    <t>Kepler VO</t>
  </si>
  <si>
    <t>Developer of a vehicle fleet management software designed to manage the automotive trading business. The company's software directly publishes the stock of vehicles for sale, facilitates sales, vehicle rental, and loans intercompany, automates workshop items, and offers google calendar, and invoices, enabling clients to easily manage their car fleets.</t>
  </si>
  <si>
    <t>accounting interface, automotive management system, car fleet management, fleet management, integrated billing, vehicle management system</t>
  </si>
  <si>
    <t>128815-93T</t>
  </si>
  <si>
    <t>Firstminute Capital(Camilla Mazzolini), Julien Codorniou, Paris Business Angels, Yann LeCun(Yann LeCun)</t>
  </si>
  <si>
    <t>106853-95T</t>
  </si>
  <si>
    <t>Nanomakers</t>
  </si>
  <si>
    <t>Other Chemicals and Gases, Other Commercial Products, Specialty Chemicals*</t>
  </si>
  <si>
    <t>Developer of silicon carbide nanopowders designed to serve various industrial sectors. The company's nanopowders increase decisively the mechanical, thermal, and chemical performance of many industrial materials, enabling semiconductors, energy storage, aeronautics, space, and automotive industries to improve the energy density of lithium-ion batteries with nano-composites sic in anode material.</t>
  </si>
  <si>
    <t>Omnes Capital(Renaud Poulard), Supernova Invest(François Breniaux)</t>
  </si>
  <si>
    <t>anode material, industrial materials, nanopowders technology, nanotech solutions, nanotechnology product, silicon carbide, silicon carbide product, thermal solutions</t>
  </si>
  <si>
    <t>106932-52T</t>
  </si>
  <si>
    <t>Allianz France(Julien Martinez), Banque Wormser Freres, CIR - Compagnie Industriali Riunite, Decaux Brothers Investments, Eric Philippon(Eric Philippon), Idinvest Partners(Matthieu Baret), Matmut(Nicolas Gomart), Open CNP(Hélène Falchier), Partech(Philippe Collombel)</t>
  </si>
  <si>
    <t>106864-66T</t>
  </si>
  <si>
    <t>Felix Capital(Frederic Court), Partech(Philippe Collombel)</t>
  </si>
  <si>
    <t>112485-79T</t>
  </si>
  <si>
    <t>Armis (Business/Productivity Software)</t>
  </si>
  <si>
    <t>Developer of AI-powered advertising software designed to digitize local advertising for physical retailers in order to grow in-store traffic. The company's platform assists retailers to get online advertising technologies that promote their products, enabling businesses to compete with retail giants and attract nearby consumers.</t>
  </si>
  <si>
    <t>Brian O'Kelley(Brian O'Kelley), Criteo (NAS: CRTO), Elaia Partners, Georgian(Ashley Silver), IRIS (Private Equity)(Julien-David Nitlech), Jimmy Anidjar(Jimmy Anidjar), Michael Rubenstein(Michael Rubenstein), Philippe Finkelstein(Philippe Finkelstein), Pierre Conte(Pierre Conte), Sonorfi, Stanislas de Quercize(Stanislas Quercize)</t>
  </si>
  <si>
    <t>digital advertising platform, local advertising, marketing technology, online advertising, saas platform company, saas platform provider</t>
  </si>
  <si>
    <t>118271-71T</t>
  </si>
  <si>
    <t>Optionizr</t>
  </si>
  <si>
    <t>Developer of a payment merchant application designed to offer purchase options on any product or service. The company's application features a globalized system of options that permits merchant sites to provide options on their products and internet users to buy time before deciding as well as features a module that automatically manages both the logistical aspects of the merchants and the customer experience, enabling e-commerce, tourism, and other online-based industries to boost sales and reach their customers.</t>
  </si>
  <si>
    <t>Investessor, Newfund Management, WeLikeStartup, Wilco(Paris), Xerys Invest</t>
  </si>
  <si>
    <t>alternate payment solutions, digital options platform, enterprise payment, enterprise software, merchant application, payment app, payment methods, payment platform, purchase management software</t>
  </si>
  <si>
    <t>E-Commerce, FinTech, TMT</t>
  </si>
  <si>
    <t>89344-00T</t>
  </si>
  <si>
    <t>Linguali</t>
  </si>
  <si>
    <t>Application Software, Communication Software*, Wireless Communications Equipment</t>
  </si>
  <si>
    <t>Developer of a wireless language interpreting platform intended to replace the need for interpreting equipment at conferences, meetings, workshops, and round-table discussions. The company's platform provides services for conference organizers and interpreters that facilitate successful interpreting missions and events while reducing costs, organization and logistics, enabling clients to listen to the conference interpreter or speaker on their smartphone by replacing traditional headsets.</t>
  </si>
  <si>
    <t>interpretive software, language interpreting, language interpreting platform, language interpreting service, language interpreting software</t>
  </si>
  <si>
    <t>127142-29T</t>
  </si>
  <si>
    <t>Big Mamma</t>
  </si>
  <si>
    <t>Operator of an Italian restaurant chain intended to share the authenticity and warmth of traditional Italian trattorias across the globe. The company sources its ingredients from small Italian producers and serves affordable dishes that are homemade, enabling food lovers to enjoy authentic Italian food.</t>
  </si>
  <si>
    <t>Dentressangle, French Partners, Xavier Niel(Xavier Niel)</t>
  </si>
  <si>
    <t>hotel chain, hotel operator, italian cuisine, italian food chain, italian food restaurant, restaurant chain</t>
  </si>
  <si>
    <t>57871-45T</t>
  </si>
  <si>
    <t>Cirhyo</t>
  </si>
  <si>
    <t>Operator of a porcine co-operative intended to breed and supply pigs to the pig market. The company provides both technological and area-based support like livestock equipment and small equipment and animal health monitoring to the locals who intend to breed pigs, enabling farmers to sell their products at profitable outlets.</t>
  </si>
  <si>
    <t>Unigrains</t>
  </si>
  <si>
    <t>agricultural support, animal trading, cooperative farming, farming assistance, medical support, pigs breeding, pigs farming</t>
  </si>
  <si>
    <t>Montlucon, France</t>
  </si>
  <si>
    <t>108676-09T</t>
  </si>
  <si>
    <t>Dolead</t>
  </si>
  <si>
    <t>Provider of lead generation services intended for business growth. The company integrates with existing marketing and sales teams to run paid marketing campaigns, generate leads at a fixed cost per lead, and streamline customer data integration, providing businesses to accelerate growth and achieve a positive return on interest.</t>
  </si>
  <si>
    <t>Ring Capital(Marie-Capucine Lemetais), XAnge(Nicolas Rose)</t>
  </si>
  <si>
    <t>digital advertising, digital marketing, growth acceleration, lead generation, marketing skills, paid marketing, programmatic marketing</t>
  </si>
  <si>
    <t>AdTech, Artificial Intelligence &amp; Machine Learning, Big Data, Marketing Tech</t>
  </si>
  <si>
    <t>165411-01T</t>
  </si>
  <si>
    <t>Ma Petite Assiette</t>
  </si>
  <si>
    <t>Information Services (B2C), Other Consumer Durables*</t>
  </si>
  <si>
    <t>Operator of an infant products and services brand intended to manage well-being and serenity during family meals. The company provides virtual support and advice on dietary diversification, breastfeeding, EMR, and food allergies prepared with the help of a pediatric dietician along with games for kids, cutlery, kitchen table utilities, dentition, and orality products, enabling parents to support the development of the child efficiently.</t>
  </si>
  <si>
    <t>child care support, child development advice, child development program, food diversification, infant care services, infant development</t>
  </si>
  <si>
    <t>125473-96T</t>
  </si>
  <si>
    <t>Mapstr</t>
  </si>
  <si>
    <t>Developer of a mobile map application designed to bookmark favorite places around the world, tag them, and find them on maps to visit or revisit later. The company's application uses optical character recognition to identify the address, help to sort the places without limit, and share only the places to the desired one, enabling individuals to see and navigate all areas in the world on a unique map.</t>
  </si>
  <si>
    <t>bookmarking places, character recognition, location tags, location tracker, location tracker tools, location tracking, location tracking application, mobile application search, navigation application, optical character recognition, places information, shopping information</t>
  </si>
  <si>
    <t>118802-98T</t>
  </si>
  <si>
    <t>Morphin</t>
  </si>
  <si>
    <t>Application Software, Entertainment Software, Multimedia and Design Software*</t>
  </si>
  <si>
    <t>Developer of an image-mapping application designed to create personalized avatars for users. The company's application allows users to create a universal three-dimensional avatar for virtual reality or augmented reality-based applications and video games, enabling users and clients to have access to a single representative avatar for the virtual world.</t>
  </si>
  <si>
    <t>Betaworks Ventures, Boost VC, Founders Fund, Precursor Ventures, Shrug Capital</t>
  </si>
  <si>
    <t>animated gif, cgi animation, gif sharing, personalized animation, personalized gif, virtual animation, virtual avatar</t>
  </si>
  <si>
    <t>Augmented Reality, Gaming, Mobile</t>
  </si>
  <si>
    <t>107354-62T</t>
  </si>
  <si>
    <t>StarOfService</t>
  </si>
  <si>
    <t>Operator of an on-demand home service marketplace intended to improve access to services for individuals. The company's platform offers information and allows the hiring of photographers, tutors, contractors, legal workers, animal care providers, event organizers, and various other local service professionals, enabling users to discover and engage with professionals for their services.</t>
  </si>
  <si>
    <t>Marcel Beemsterboer(Marcel Beemsterboer), Mateusz Romanowski(Mateusz Romanowski)</t>
  </si>
  <si>
    <t>general services, local service professionals, photography tool, professional services marketplace, service booking platform, service professional</t>
  </si>
  <si>
    <t>107373-70T</t>
  </si>
  <si>
    <t>Oncrawl</t>
  </si>
  <si>
    <t>Developer of a website analyzing platform designed to offer personalized web search tools. The company's platform helps users to connect with all personal cloud services and search information like Docido, an enterprise-search service for clouds, an onsite search engine optimization, enabling users to search, collect and analyze web data.</t>
  </si>
  <si>
    <t>AQUITI Gestion(Anthony Hillion), IRDI-ICSO</t>
  </si>
  <si>
    <t>cloud search, enterprise search engine, logging analyzers, search engine optimization, semantic search, web data, website analysis</t>
  </si>
  <si>
    <t>107011-18T</t>
  </si>
  <si>
    <t>Biomodex</t>
  </si>
  <si>
    <t>Developer of a 3D-printing technology designed for patient-specific rehearsal and physicians' advanced training. The company's technology combines biomechanical and imaging properties and fluid dynamics and is fully integrated into both the imaging and procedural workflow, enabling treating physicians to increase their preparedness and confidence and ultimately reducing surgical medical errors and medical costs.</t>
  </si>
  <si>
    <t>Idinvest Partners(Luc Maruenda), InnovAllianz, Inserm Transfert(François Thomas), LBO France(Valéry Huot), UI Investissement, Wilco(Paris)</t>
  </si>
  <si>
    <t>3d printing, digital health, medical devices, medical imaging, medical modeling, medical simulation, structural heart, surgical equipment, surgical simulation, surgical tools</t>
  </si>
  <si>
    <t>3D Printing, Artificial Intelligence &amp; Machine Learning, Life Sciences, Manufacturing</t>
  </si>
  <si>
    <t>106706-26T</t>
  </si>
  <si>
    <t>Arkéa Capital, Bpifrance(Véronique Jacq), Idinvest Partners(Benoist Grossmann), Sofiouest(Patrice Hutin), White Star Capital(Eric Martineau-Fortin)</t>
  </si>
  <si>
    <t>108700-03T</t>
  </si>
  <si>
    <t>Acequia Capital, Antoine Martin(Antoine Martin), David Amsellem(David Amsellem), Jacques-Antoine Granjon(Jacques-Antoine Granjon), Jacques-Henri Eyraud(Jacques-Henri Eyraud), Kima Ventures(Jean De La Rochebrochard), Thibaud Elziere(Thibaud Elziere), Yvan Wibaux(Yvan Wibaux)</t>
  </si>
  <si>
    <t>106572-16T</t>
  </si>
  <si>
    <t>CDC International Capital(Hugo Qermane), Kingdom Holding Company (SAU: 4280), Moody's Investors Service (NYS: MCO)(Robert Fauber)</t>
  </si>
  <si>
    <t>120458-44T</t>
  </si>
  <si>
    <t>BNP Paribas Capital Partners</t>
  </si>
  <si>
    <t>165779-20T</t>
  </si>
  <si>
    <t>L'Uzyne</t>
  </si>
  <si>
    <t>Operator of a brand activation agency intended to establish a true and long-lasting connection between the brand and its customers. The company offers an activation strategy, and the development of partnerships with advertisers or organizers for activations that create lasting and engaged emotional connections in the retail, outstore, and sports territories, enabling brands to grow and also allowing them to maintain their relationships with customers.</t>
  </si>
  <si>
    <t>brand marketing, consulting agency, creative agency, marketing agency, marketing and advertising, marketing strategy</t>
  </si>
  <si>
    <t>106567-66T</t>
  </si>
  <si>
    <t>Bpifrance, Daphni(Marie Ekeland), Eurazeo (PAR: RF)</t>
  </si>
  <si>
    <t>106545-52T</t>
  </si>
  <si>
    <t>Entier Capital, Goldman Sachs Asset Management, Goldman Sachs Growth Equity, Laurent Bracco</t>
  </si>
  <si>
    <t>116506-36T</t>
  </si>
  <si>
    <t>4 Your Body</t>
  </si>
  <si>
    <t>Operator of a fitness center designed to provide fitness classes and amenities to its clients. The company's services include Zumba, cardio-training and fitness routines, enabling the clients to reach their fitness goals.</t>
  </si>
  <si>
    <t>fitness amenities, fitness equipment, functional training, workout session, zumba training</t>
  </si>
  <si>
    <t>Bousbecque, France</t>
  </si>
  <si>
    <t>106500-70T</t>
  </si>
  <si>
    <t>HrFlow.ai</t>
  </si>
  <si>
    <t>Business/Productivity Software, Human Capital Services*, Social/Platform Software</t>
  </si>
  <si>
    <t>Developer of artificial intelligence-enabled talent recognition software designed to understand people and realize their full potential. The company's platform uses deep learning and artificial intelligence technology to help the human resource department find suitable candidates by offering talent recognition tools for sharp predictions, quick setup, tailor-made models, and secure data management, enabling organizations to detect and target suitable candidates for hire.</t>
  </si>
  <si>
    <t>Dominique Vidal(Dominique Vidal), Frank Le Ouay(Frank Le Ouay), Fred Potter(Fred Potter), Jean-Baptiste Rudelle(Jean-Baptiste Rudelle), Romain Niccoli(Romain Niccoli), Thibaud Elziere(Thibaud Elziere), Xavier Niel(Xavier Niel)</t>
  </si>
  <si>
    <t>artificial intelligence firm, human capital service, human resource service, human resources ai, labor market data, talent acquisition, workforce data</t>
  </si>
  <si>
    <t>109484-74T</t>
  </si>
  <si>
    <t>Bpifrance(Victoire Millerand), Provence Business Angels, Région Sud Investissement, Turenne Groupe</t>
  </si>
  <si>
    <t>106272-46T</t>
  </si>
  <si>
    <t>Aereco, BNP Paribas Développement, Bpifrance(Laure Michel), Demeter Partners(Olivier Bordelanne), France Angels(Pascal Peru), Sofimac Innovation(Nicolas Boulay)</t>
  </si>
  <si>
    <t>106293-34T</t>
  </si>
  <si>
    <t>Benhamou Global Ventures(Eric Buatois), Eurazeo (PAR: RF)(Nathalie Kornhoff-Brüls), Hi Inov(Pierre-Henri Dentressangle), Idinvest Partners(Alban Wyniecki), Partech(Reza Malekzadeh), Patrik Backman, Riku Seppälä, SNCF Digital Ventures</t>
  </si>
  <si>
    <t>106303-24T</t>
  </si>
  <si>
    <t>Tempow</t>
  </si>
  <si>
    <t>Application Software*, Electronics (B2C), Entertainment Software</t>
  </si>
  <si>
    <t>Developer of a Bluetooth speaker application designed to stream music from a single smartphone to multiple devices. The company's software offers an updated Bluetooth protocol allowing any chip to stream audio on multiple devices like laptops, tablets, tv with simultaneous audio outputs, enabling customers to connect to multiple speakers and headphones at once.</t>
  </si>
  <si>
    <t>Balderton Capital(Lars Fjeldsoe-Nielsen), C4 Ventures(Olivier Huez), Lars Fjeldsoe-Nielsen(Lars Fjeldsoe-Nielsen), Wind Capital</t>
  </si>
  <si>
    <t>audio streaming, audio technology, bluetooth technology, earbuds technology, music player application, wireless audio</t>
  </si>
  <si>
    <t>106270-21T</t>
  </si>
  <si>
    <t>Alliance Entreprendre(Benoît Thiedey), Axeleo Capital, Crédit Agricole Création, Kreaxi, Ventech (Paris)(Audrey Soussan)</t>
  </si>
  <si>
    <t>206298-46T</t>
  </si>
  <si>
    <t>Balibaris</t>
  </si>
  <si>
    <t>Operator of a contemporary-style men's clothing platform intended to sell through online and offline channels. The company through its online and retail platform offers ready-made suits, jackets, and other clothing for men and also provides straightforward, masculine fashions with a trans-generational appeal, enabling users to shop online for multi-category fashion products for men.</t>
  </si>
  <si>
    <t>LO Capital</t>
  </si>
  <si>
    <t>apparel brand, fashion clothing, mens apparel, mens clothing, menswear labels, online fashion, online platform</t>
  </si>
  <si>
    <t>158744-53T</t>
  </si>
  <si>
    <t>122441-32T</t>
  </si>
  <si>
    <t>50 Partners, Brunet, Didier Kuhn(Didier Kuhn)</t>
  </si>
  <si>
    <t>106215-85T</t>
  </si>
  <si>
    <t>Daphni, Kima Ventures, Partech(Romain Lavault)</t>
  </si>
  <si>
    <t>106143-94T</t>
  </si>
  <si>
    <t>Dragon Investors, Julien Mangeard(Julien Mangeard), Kima Ventures, Louis Duclert(Louis Duclert), ShakeUp Factory(Nicolas Raffard), Thibaut Coulanges</t>
  </si>
  <si>
    <t>108156-25T</t>
  </si>
  <si>
    <t>Captain Wallet</t>
  </si>
  <si>
    <t>Developer of an online wallet platform designed to dematerialize loyalty cards and coupons and enhance customer retention. The company's platform integrates with native wallets of smartphones like Apple Wallet, Google Pay, or Samsung pay to transform any loyalty card, discount coupons, invitations, and order or reservation receipts with one click without the need for downloading an application, enabling businesses to attain high customer retention.</t>
  </si>
  <si>
    <t>M Capital Partners(Karim Oumoussa)</t>
  </si>
  <si>
    <t>mobile payment technology, mobile wallet app, mobile wallet payment, online wallets, payment software, smartphone wallets</t>
  </si>
  <si>
    <t>Mobile Commerce, TMT</t>
  </si>
  <si>
    <t>87252-76T</t>
  </si>
  <si>
    <t>SensorWake</t>
  </si>
  <si>
    <t>Developer of an olfactory alarm clock intended to gently awake users. The company uses fully recyclable scent cartridges stuffed with handled polymer beads which are subtle yet concentrated to wake users thus improves their quality of life and well-being.</t>
  </si>
  <si>
    <t>BNP Paribas Développement, FaDiese, Givaudan (SWX: GIVN)(Gilles Andrier), Pays de La Loire Development</t>
  </si>
  <si>
    <t>alarm clock, fragrance capsules, olfactory alarm, olfactory alarm clock, scent alarm clock, sleeping device</t>
  </si>
  <si>
    <t>116129-71T</t>
  </si>
  <si>
    <t>Easilys</t>
  </si>
  <si>
    <t>Developer of a web and multisite management software intended to allow restaurateurs to manage, supply and control their restaurants without having specific computer skills. The company's software manages the recipe cards, the supply of the food products, the analysis of the production costs and the margins, the food losses as well as the maintenance of the equipment, thereby enabling restaurant owners and international hotel groups to improve margin, drive procurement efficiencies and refocus on their core business.</t>
  </si>
  <si>
    <t>Bpifrance, GO Capital (France)(Jérôme Guéret), Restaurants et Brasseries Bocuse, Sodero(Valérie Allain-Dupre)</t>
  </si>
  <si>
    <t>catering management software, catering software, ghost kitchen, hotel management software, management software, management software product, management software system, restaurant &amp; retail tech, restaurant and retail technology, restaurant management tool, restaurant software</t>
  </si>
  <si>
    <t>La Roche sur Yon, France</t>
  </si>
  <si>
    <t>132009-49T</t>
  </si>
  <si>
    <t>ID Nest Medical</t>
  </si>
  <si>
    <t>Developer of a medical device designed to assist in the treatment of aortic arch aneurysms. The company's device restores the functionality of vascular bifurcations by resolving the connection problem, using different approaches for the parent endoprosthesis and the branches, enabling medical professionals to treat their patients suffering from aortic arch aneurysms.</t>
  </si>
  <si>
    <t>Alsace BioValley, Alsace Business Angels, Bpifrance</t>
  </si>
  <si>
    <t>aneurysm treatment, aortic repair, aortic valves treatment, medical device tools, therapeutic device, therapeutic device developer</t>
  </si>
  <si>
    <t>180003-52T</t>
  </si>
  <si>
    <t>Protifly</t>
  </si>
  <si>
    <t>Agricultural Chemicals, Other Agriculture*</t>
  </si>
  <si>
    <t>Producer of bio-organic products intended to provide animal feed and soil fertilizers. The company uses insects to convert a natural process into an efficient one with a positive environmental impact, enabling farmers and professionals with enough food stock for a growing population while limiting the carbon footprint.</t>
  </si>
  <si>
    <t>AQUITI Gestion, Famaë Impact, Nouvelle Aquitaine Co-Investissement</t>
  </si>
  <si>
    <t>ag biotech, agriculture technology, circular approach, fertilizer alternatives, fertilizers company, insects breeding, insects care, land use, organic residues, plant biotech, plant biotechnology</t>
  </si>
  <si>
    <t>Mont-de-Marsan, France</t>
  </si>
  <si>
    <t>119874-43T</t>
  </si>
  <si>
    <t>Bpifrance, Crédit Agricole Centre France Développement, JEREMIE Auvergne, Sofimac Investment Managers</t>
  </si>
  <si>
    <t>106005-88T</t>
  </si>
  <si>
    <t>Alven Capital Partners(Guillaume Aubin), Bpifrance, Citizen Capital, General Atlantic(Christopher Caulkin), NJJ Capital(Xavier Niel), Sterling Partners</t>
  </si>
  <si>
    <t>30131-20T</t>
  </si>
  <si>
    <t>Pretty Simple</t>
  </si>
  <si>
    <t>Operator of a video game studio intended to offer entertainment options in social media and social network platforms. The company's studio offers free-to-play and also includes casual games that can be played on computer, mobile and social networking platforms, enabling users to enjoy games and get an entertaining pastime.</t>
  </si>
  <si>
    <t>Idinvest Partners(Guillaume Lautour)</t>
  </si>
  <si>
    <t>casual games maker, free-to-play games, gaming content, gaming developer, gaming publisher, gaming studio, social games, video game studio operator, video games, video games maker</t>
  </si>
  <si>
    <t>108635-41T</t>
  </si>
  <si>
    <t>Global Founders Capital, Picus Capital</t>
  </si>
  <si>
    <t>115942-06T</t>
  </si>
  <si>
    <t>5M Ventures, GE Investments, Paris Business Angels</t>
  </si>
  <si>
    <t>106587-01T</t>
  </si>
  <si>
    <t>Indexima</t>
  </si>
  <si>
    <t>Developer of an analytical platform designed for data-driven companies aiming for zero-time data. The company's platform utilizes artificial intelligence and indexing for an immediate response to any structured query language queries regardless of data volume, enabling companies to access all their data to simplify and accelerate analysis and data science.</t>
  </si>
  <si>
    <t>Bpifrance, EIT Digital, Seventure Partners(Thibault Canton)</t>
  </si>
  <si>
    <t>ai automation platform, bi tools, business intelligence, carbon footprint reduction, data analyitics, data engineering tools, data science ai, governance risk, snowflake cloud</t>
  </si>
  <si>
    <t>118958-86T</t>
  </si>
  <si>
    <t>Locala</t>
  </si>
  <si>
    <t>Developer of an online advertisement platform designed to connect brands with consumers. The company's platform uses artificial intelligence and analytics tools that use an algorithm to predict, serve, measure, optimize and deliver mobile advertisement campaigns, enabling clients to identify potential customers in real time.</t>
  </si>
  <si>
    <t>Arkéa Capital, Bpifrance, Entrepreneur Invest, Lambda Alpha, Sofiouest(Patrice Hutin)</t>
  </si>
  <si>
    <t>customer relationship management, drive-to-store platform, mobile advertising, mobile advertising media, online advertisement platform, online advertisement service, online marketing platform</t>
  </si>
  <si>
    <t>107420-50T</t>
  </si>
  <si>
    <t>Axeleo Capital, Cedric Sellin(Cedric Sellin), Damien Guermonprez, Eduardo Ronzano(Eduardo Ronzano), Frédéric Montagnon, Kima Ventures, Pierre-Antoine Dusoulier(Pierre-Antoine Dusoulier), Thibaud Elziere(Thibaud Elziere)</t>
  </si>
  <si>
    <t>105855-76T</t>
  </si>
  <si>
    <t>Bpifrance, Financière Saint James, Jean-Paul Guisset(Jean-Paul Guisset), Kima Ventures, Michael Benabou(Michael Benabou), SGPA, XAnge, Xavier Niel(Xavier Niel)</t>
  </si>
  <si>
    <t>106256-17T</t>
  </si>
  <si>
    <t>Gymlib</t>
  </si>
  <si>
    <t>Operator of a fitness marketplace intended to offer gym benefit programs and improve people's lifestyles. The company's marketplace coordinates with a chain of gyms, fitness studios, swimming centers and boot camps, enabling consumers to purchase access to a network of fitness and sports centers without the commitment of membership to any specific center.</t>
  </si>
  <si>
    <t>Alyan Group, Breega(Benoit Marrel), FaDiese, Sodexo (PAR: SW)(François Podeur)</t>
  </si>
  <si>
    <t>fitness marketplace, fitness subscription, fitness tech, gym discovery, gym discovery platform, gym membership, gym pass</t>
  </si>
  <si>
    <t>104156-83T</t>
  </si>
  <si>
    <t>Index Ventures(Jan Hammer), Open CNP(Hélène Falchier), Partech(Romain Lavault), Portage, Shamit Patel(Shamit Patel), Skywood Capital, Xavier Niel(Xavier Niel)</t>
  </si>
  <si>
    <t>105851-17T</t>
  </si>
  <si>
    <t>71257-69T</t>
  </si>
  <si>
    <t>Abeille Impact Investing France, Anastasia Charalampopoulos, Angelor, Incos Invest, Mirova, PhiTrust Impact Investors, PULSE GroupeSOS</t>
  </si>
  <si>
    <t>134332-66T</t>
  </si>
  <si>
    <t>LKSpatialist</t>
  </si>
  <si>
    <t>Developer of an online geographic information system designed to assist in spatial modeling of urban networks. The company platform offers digital solutions and services to qualify and assess land potential, manage property assets, and prospect and develop land projects among others, enabling clients to save time and space at all levels.</t>
  </si>
  <si>
    <t>Sofilaro, Soridec</t>
  </si>
  <si>
    <t>geographic information system software, land design, land management service, land monitoring, online geographic information system, spatial modeling, urban network development</t>
  </si>
  <si>
    <t>117224-65T</t>
  </si>
  <si>
    <t>OpenDataSoft</t>
  </si>
  <si>
    <t>Developer of a data-sharing platform designed to offer data publishing and application programming interface management. The company's SaaS platform publishes, manages, combines, visualizes and shares data in a variety of formats for the teams to quickly create compelling digital experiences with their data, enabling clients to accelerate digital transformation and development as well as positively transform their operations efficiently.</t>
  </si>
  <si>
    <t>Aster Capital(Fabio Lancellotti), Aurinvest, Banque des Territoires, Caisse des Depots Group, Salesforce Ventures, UL Ventures(Simin Zhou)</t>
  </si>
  <si>
    <t>analytics platform, api management, business intelligence platform, data management platform, data publishing, data security platform, data sharing, data sharing platform, data sharing tools, information management platform, saas platform</t>
  </si>
  <si>
    <t>116537-95T</t>
  </si>
  <si>
    <t>165264-58T</t>
  </si>
  <si>
    <t>Brighteye Ventures, Ring Capital</t>
  </si>
  <si>
    <t>204542-83T</t>
  </si>
  <si>
    <t>La Fabrique du Ski</t>
  </si>
  <si>
    <t>Manufacturer of skis intended to provide performance and durability. The company offers handcrafted skis made from premium materials, enabling ski enthusiasts and athletes to experience exceptional craftsmanship and personalization options, ensuring a unique ski experience.</t>
  </si>
  <si>
    <t>recreational sports, ski boards mafacturer, ski product, skin model, sport equipment, winter sports equipment</t>
  </si>
  <si>
    <t>Villard-De-Lans, France</t>
  </si>
  <si>
    <t>91615-78T</t>
  </si>
  <si>
    <t>Bpifrance, Elaia Partners(Marc Rougier), Galia Gestion(Claudia Daugan), M Capital Partners(Alexandre Scherer), Tikehau Ace Capital(Fabien Rizzi)</t>
  </si>
  <si>
    <t>89552-26T</t>
  </si>
  <si>
    <t>Kalray (PAR: ALKAL)</t>
  </si>
  <si>
    <t>Application Specific Semiconductors*, Other Semiconductors</t>
  </si>
  <si>
    <t>Kalray SA is engaged in developing large-scale core processor solutions that offer high performance, low power consumption and real-time processing. Its MPPA processor family, based on its patented supercomputing on a chip many-core technology, delivers differentiated solutions for server acceleration and data center optimization, as well as for critical embedded applications in aerospace, defense and automotive.</t>
  </si>
  <si>
    <t>Alliance Ventures(Matthieu de Chanville), Bpifrance(Nicolas Dufourcq), CEA Investissement(Régis Saleur), Eurekap!(Jacques Dancer), Evolem, Héléa Financière, Inocap Gestion, Pengpai Capital, Safran Corporate Ventures(Florent Illat), Supernova Invest(Régis Saleur), Tikehau Ace Capital(Thierry Letailleur)</t>
  </si>
  <si>
    <t>cores processor, fabless semiconductor, many-core processor, signal processing, telecommunication</t>
  </si>
  <si>
    <t>135964-63T</t>
  </si>
  <si>
    <t>Foundation Asset Management</t>
  </si>
  <si>
    <t>121464-28T</t>
  </si>
  <si>
    <t>Financière Saint James, ISAI, LeStudio VC, Wind Capital</t>
  </si>
  <si>
    <t>138820-69T</t>
  </si>
  <si>
    <t>Andrée Jardin</t>
  </si>
  <si>
    <t>Manufacturer of cleaning and grooming brushes intended to match modern technical requirements. The company's products include custom-built brushes, combining different parameters such as shape, material, and fabric characteristics, enabling customers to find brushes as per their needs and necessities.</t>
  </si>
  <si>
    <t>brushes design, brushes maker, brushes manufacturer, brushes product, home accessories, house maintenance, technical brushes</t>
  </si>
  <si>
    <t>Treillieres, France</t>
  </si>
  <si>
    <t>138826-45T</t>
  </si>
  <si>
    <t>ABAB (Atlantic Business Angels Booster), Bpifrance, Le Mans Sarthe Investments, Ocean Participations, Pays de la Loire Participations</t>
  </si>
  <si>
    <t>123693-22T</t>
  </si>
  <si>
    <t>120811-42T</t>
  </si>
  <si>
    <t>Levels3D</t>
  </si>
  <si>
    <t>Developer of a Software as a service model application designed to manage three-dimensional scans. The company's application manages all of scanned data and exports it to computer-aided design (CAD) software and imports and manages point clouds from all types of scanners. allows users to scan the building in minutes and then generate a point cloud for documenting renovation projects, quick housing diagnostics, and more.</t>
  </si>
  <si>
    <t>BTP Capital Investissement, Caisse des Depots Group, Champagne Ardennes Angels, LB Conseil, WiSeed</t>
  </si>
  <si>
    <t>3d capture systems, 3d digitization, 3d scanning, augmented reality app, design software, model generation</t>
  </si>
  <si>
    <t>Augmented Reality, SaaS, Virtual Reality</t>
  </si>
  <si>
    <t>Rosières-prés-Troyes, France</t>
  </si>
  <si>
    <t>203285-80T</t>
  </si>
  <si>
    <t>AllSplann</t>
  </si>
  <si>
    <t>Electronic Equipment and Instruments, Electronics (B2C)*, Other Hardware</t>
  </si>
  <si>
    <t>Developer of a lighting technology designed to provide LED lights to consumers. The company develops designs, assembles, and markets lighting products based on a connected lighting alternative and a dynamic alternative that saves power, enabling consumers to receive LED lighting, power supplies, controllers, or accessories designed with smart lighting technologies.</t>
  </si>
  <si>
    <t>Airtable, AQUITI Gestion, Limousin Business Angels</t>
  </si>
  <si>
    <t>ceiling lamps, led lighting, led lighting technology, led lights, light bulbs, lighting design, lighting technology, wall lamps</t>
  </si>
  <si>
    <t>89155-90T</t>
  </si>
  <si>
    <t>Streamdata.io</t>
  </si>
  <si>
    <t>Business/Productivity Software, Database Software, Software Development Applications*</t>
  </si>
  <si>
    <t>Developer of an event-driven API management software intended to streamline data with event-driven infrastructure. The company's software uses machine-learning-based cache proxy that reduces bandwidth consumption for web, mobile, and Internet of Things platforms as well as develops software and infrastructure to turn content into streams that integrate into front-end and back-end systems, enabling web developers to focus on user experience as well as to reduce the server load and prevent scalability issues.</t>
  </si>
  <si>
    <t>Connecticut Innovations, Crédit Agricole Sud Rhône Alpes Capital, Expansinvest, Héléa Financière, Kreaxi, Naxicap Partners, Seventure Partners, Teamgroup Investment</t>
  </si>
  <si>
    <t>ai automation platform, api platform, application program interface, bandwidth data, developer api, machine learning</t>
  </si>
  <si>
    <t>232474-24T</t>
  </si>
  <si>
    <t>Footshake</t>
  </si>
  <si>
    <t>Operator of a phygital football gaming network based in Paris, France. The company is currently operating in Stealth mode.</t>
  </si>
  <si>
    <t>football gaming platform, game network, spectator sports, stealth business, stealth company, stealth firm</t>
  </si>
  <si>
    <t>125877-07T</t>
  </si>
  <si>
    <t>140966-92T</t>
  </si>
  <si>
    <t>Echo Studio</t>
  </si>
  <si>
    <t>Operator of an international studio intended to create documentaries and fiction in all formats. The company focuses on the production and distribution of films addressing social and environmental issues of planet earth, education, health, human rights, and peace which are covered on all formats such as cinema, TV and e-cinema, enabling citizens to view things with a different vision and have an open perspective.</t>
  </si>
  <si>
    <t>Alliance Entreprendre(Antoine Bodet)</t>
  </si>
  <si>
    <t>entertainment company, entertainment studio, entertainment studio operator, film making service, film making studio, film production</t>
  </si>
  <si>
    <t>106040-26T</t>
  </si>
  <si>
    <t>Eelway</t>
  </si>
  <si>
    <t>Provider of mobile luggage storage services intended to collect, store, and deliver luggage. The company's mobile luggage storage service offers to pick up luggage from any place at a desired time and aids in storing, transferring, tracking, and insurance of misplaced luggage, enabling customers to enjoy their trip without luggage.</t>
  </si>
  <si>
    <t>Axeleo, Bpifrance, Lambda Alpha, NCI Gestion, Normandie Participations</t>
  </si>
  <si>
    <t>innovative luggage service, insurance, luggage drops, luggage management, luggage service, luggage stores, luggage stores services</t>
  </si>
  <si>
    <t>Langrune-sur-Mer, France</t>
  </si>
  <si>
    <t>119982-70T</t>
  </si>
  <si>
    <t>Bpifrance, SOSV, WiSeed(Louise Chopinet)</t>
  </si>
  <si>
    <t>105271-93T</t>
  </si>
  <si>
    <t>Tilkee</t>
  </si>
  <si>
    <t>Developer of a data-driven sales platform designed to optimize prospect follow-up by tracking business proposals and predicting sales. The company's platform analyzes business prospects' reading behaviors to help salespeople qualify in real-time their willingness to sign the deal, enabling salesmen to increase their numbers and improve their marketing effectiveness.</t>
  </si>
  <si>
    <t>Axeleo Capital, Bouygues Telecom Initiatives, Crédit Agricole Création, Evolem, Kreaxi, Omnes Capital</t>
  </si>
  <si>
    <t>business intelligence, business intelligence software, data driven sales platform, document sharing platform, sales automation, sales prediction, sales software</t>
  </si>
  <si>
    <t>190671-49T</t>
  </si>
  <si>
    <t>Pleiade Venture, SATT Paris-Saclay</t>
  </si>
  <si>
    <t>212939-02T</t>
  </si>
  <si>
    <t>Enjoy Working Differently</t>
  </si>
  <si>
    <t>118679-86T</t>
  </si>
  <si>
    <t>Sensego</t>
  </si>
  <si>
    <t>Developer of a customer relationship management mobile application designed to anticipate customer needs for companies. The company's application offers customizable customer interactions, and commercial messages for automating and optimizing media campaigns, enabling businesses to integrate their customer services into a mobile application to understand and learn in order to adapt offers and actions as per interests.</t>
  </si>
  <si>
    <t>Courtin Investment, Takara Capital, Techmind</t>
  </si>
  <si>
    <t>advertising message, crm platform, customer relationship management, customer service, media campaigns, relationship management platform, social network app</t>
  </si>
  <si>
    <t>AdTech, Marketing Tech, Mobile, TMT</t>
  </si>
  <si>
    <t>120104-92T</t>
  </si>
  <si>
    <t>116492-86T</t>
  </si>
  <si>
    <t>Monali</t>
  </si>
  <si>
    <t>Enterprise Systems (Healthcare), Medical Records Systems*</t>
  </si>
  <si>
    <t>Developer of a medical record management software designed to connect healthcare and home professionals. The company's software helps organize hospital discharges and collaborate with private professionals as well as share the medical information of patients, enabling healthcare providers to improve the care of admitted or home-managed medical patients.</t>
  </si>
  <si>
    <t>Olbia Invest(Marie Fauré Lambert)</t>
  </si>
  <si>
    <t>healthcare management platform, healthcare professional platform, medical information, medical records, prescription benefits, remote monitoring data, remote monitoring system, teleconsultation technology</t>
  </si>
  <si>
    <t>106185-43T</t>
  </si>
  <si>
    <t>E-commerce Nation</t>
  </si>
  <si>
    <t>Media and Information Services (B2B), Publishing*</t>
  </si>
  <si>
    <t>Publisher of an online magazine and informative content intended to help entrepreneurs and e-commerce professionals enhance their skills. The company's magazine offers accessible articles, as well as attracting experts to share their knowledge with the community, and offers opportunities for the development of new businesses, enabling entrepreneurs and market players to expand their turnover with better financial knowledge.</t>
  </si>
  <si>
    <t>Bpifrance, NCI Gestion, Normandie Business Angels</t>
  </si>
  <si>
    <t>articles publishing, digital marketing, ecommerce magazine, market data, publishing services, web marketing</t>
  </si>
  <si>
    <t>104695-03T</t>
  </si>
  <si>
    <t>Flexy (Business/Productivity Software)</t>
  </si>
  <si>
    <t>Business/Productivity Software*, Other Commercial Services, Vertical Market Software</t>
  </si>
  <si>
    <t>Developer of a salon management platform intended to help hair and beauty professionals to manage their business. The company's all-in-one software platform features a cash register software, an integrated appointment manager, a dynamic timetable and a website/mobile app builder, enabling beauty salons to attract and retain their customers and increase the turnover of beauty establishments.</t>
  </si>
  <si>
    <t>Newfund Management(François Véron), Serena (Paris)</t>
  </si>
  <si>
    <t>beauty booking platform, check-out app, salon management application, salon management software, timetable maker</t>
  </si>
  <si>
    <t>Beauty, Mobile, SaaS, TMT</t>
  </si>
  <si>
    <t>117559-00T</t>
  </si>
  <si>
    <t>GenesInk</t>
  </si>
  <si>
    <t>Application Specific Semiconductors, Electrical Equipment, Industrial Supplies and Parts*</t>
  </si>
  <si>
    <t>Developer of a comprehensive range of conductive and semi-conductive inks designed to offer advanced materials for IoT and printed flexible electronics market. The company's product includes thin and flexible devices, conductivity and electrical performance and is used in printed electronics, lighting safety and environment sensors, enabling businesses to get inks that are compatible with industrial printing methods and flexible substrates for large-scale production.</t>
  </si>
  <si>
    <t>Corporatum, Supernova Invest</t>
  </si>
  <si>
    <t>conductive ink, conductive ink alternatives, conductivity, electrical, electronic market, flexible electronics, printed electronics</t>
  </si>
  <si>
    <t>123709-33T</t>
  </si>
  <si>
    <t>Neutral-IT</t>
  </si>
  <si>
    <t>Computers, Parts and Peripherals, IT Consulting and Outsourcing, Systems and Information Management*</t>
  </si>
  <si>
    <t>Operator of distributed data centers intended to offer computing power as renewable energy for a sustainable digital transition. The company's system installs mini-data centers, that provide performant and green three-dimensional rendering or disaster recovery plans for companies in the common premises of collective residential buildings and uses the heat generated from servers to heat the buildings, enabling companies to save money on heating costs.</t>
  </si>
  <si>
    <t>Abeille Impact Investing France(Philippe Taffin), Demeter Partners, Inco Ventures, PhiTrust Impact Investors(Jean-Claude Leveque)</t>
  </si>
  <si>
    <t>managed cloud services, managed cloud system, outsourcing platform, outsourcing service provider, web hosting business, web hosting company, web hosting facility, web hosting service</t>
  </si>
  <si>
    <t>CleanTech, CloudTech &amp; DevOps, LOHAS &amp; Wellness, TMT</t>
  </si>
  <si>
    <t>102694-15T</t>
  </si>
  <si>
    <t>FJ Labs, ISAI, Kerala Ventures(Antoine Freysz), Serena (Paris)</t>
  </si>
  <si>
    <t>104915-17T</t>
  </si>
  <si>
    <t>Ultra Premium Direct</t>
  </si>
  <si>
    <t>Producer of pet food products intended to make quality natural nutrition accessible for pet owners. The company's product portfolio includes croquettes composed of 70% meat-fish and 30% fruits and vegetables without any cereal, GMO(Genetically Modified Organism), and gluten which are offered to customers through a direct distribution model, enabling pet owners to offer their pet an essential amino acid for its health.</t>
  </si>
  <si>
    <t>Eutopia(Antoine Régis)</t>
  </si>
  <si>
    <t>cat food, diet food, dog food, pet food, pet food maker, pet food manufacturer</t>
  </si>
  <si>
    <t>207213-67T</t>
  </si>
  <si>
    <t>133427-98T</t>
  </si>
  <si>
    <t>Cocolabs</t>
  </si>
  <si>
    <t>Developer of a website design platform designed to launch customized service marketplaces. The company's platform offers tools for website designing, mobile and web-based application development, marketplace designing, graphic designing, web hosting, cloud hosting, server management, strategy designing, and consultancy services, enabling clients to enhance their online presence and promote the branding of products and services.</t>
  </si>
  <si>
    <t>BNP Paribas (PAR: BNP), Bpifrance, Courtin Investment, Crédit Agricole d'Ile de France (PAR: CAF), HSBC Continental Europe, Takara Capital</t>
  </si>
  <si>
    <t>application development, cloud hosting, custom website design, customized services, server management, website design, website hosting</t>
  </si>
  <si>
    <t>104542-21T</t>
  </si>
  <si>
    <t>104618-71T</t>
  </si>
  <si>
    <t>104322-88T</t>
  </si>
  <si>
    <t>360 Capital(Nader Sabbaghian), 3T Finance(Henri De Meyer), iBionext(Bernard Gilly)</t>
  </si>
  <si>
    <t>104507-83T</t>
  </si>
  <si>
    <t>Turbotech</t>
  </si>
  <si>
    <t>Developer of aeronautical propulsion systems designed to help aviation industry actors with efficient and eco-friendly flight alternatives. The company's systems use a heat exchanger that offers a fuel burn on par with piston engines, produces electricity from virtually any fuel source, and recovers energy contained in the exhaust gases, enabling the hybrid-electric aircraft industry to have regenerative turbines for aeronautical applications.</t>
  </si>
  <si>
    <t>Bpifrance, d'lle de France, GO Capital (France)(Jérôme Guéret), Safran Corporate Ventures(Nicolas Franck)</t>
  </si>
  <si>
    <t>aeronautical data, aeronautical systems, electric engine, propulsion engine, smart energy, turbine engine product, turbine power</t>
  </si>
  <si>
    <t>Toussus-Le-Noble, France</t>
  </si>
  <si>
    <t>117960-13T</t>
  </si>
  <si>
    <t>Via Terroirs</t>
  </si>
  <si>
    <t>Developer of an online farmers' marketplace designed to simplify the relationship between producers and their professional clients. The company's marketplace organizes the short circuit between producers and food professionals for effortless access to local products.</t>
  </si>
  <si>
    <t>Angelor, Angels for Food, Astanor Ventures, Kima Ventures, Union Square Ventures</t>
  </si>
  <si>
    <t>food ecommerce, food processionals, food producer, food professional network, local food producer, local supply network, marketplace, restaurant marketplace</t>
  </si>
  <si>
    <t>Sainte Marguerite, France</t>
  </si>
  <si>
    <t>123006-88T</t>
  </si>
  <si>
    <t>Waste Is More</t>
  </si>
  <si>
    <t>Consulting Services (B2B)*, Environmental Services (B2B), Recreational Goods</t>
  </si>
  <si>
    <t>Operator of a waste management laboratory intended to offer waste recovery services through designs and innovation. The company offers circular economic models intended to upcycle through artistic installations and spread awareness services for environmental issues, enabling clients to use eco-design optimization for waste management.</t>
  </si>
  <si>
    <t>Abeille Impact Investing France(Philippe Taffin)</t>
  </si>
  <si>
    <t>educational games, educational tools, greentech firm, recycled plastic product, waste management, waste recovery company, waste recovery services</t>
  </si>
  <si>
    <t>CleanTech, Gaming</t>
  </si>
  <si>
    <t>104331-43T</t>
  </si>
  <si>
    <t>ContrôleTechniqueGratuit</t>
  </si>
  <si>
    <t>Provider of automobile technical services in France. The company's services have a partnership with state-approved technical control centers, enabling individuals to register and schedule the servicing for their automobile vehicles and also monitor their automobile consumption on a daily basis.</t>
  </si>
  <si>
    <t>5M Ventures, A-Venture, Arthur Media Group, JEREMIE Auvergne</t>
  </si>
  <si>
    <t>automobile monitoring, automobile servicing, digital platform operator, service platform, vehicle servicing, vendor relationship management</t>
  </si>
  <si>
    <t>108589-96T</t>
  </si>
  <si>
    <t>Horace</t>
  </si>
  <si>
    <t>Manufacturer and retailer of men's cosmetics intended to provide care essentials and rethink the skincare experience. The company's cosmetics are natural, pleasant, easy to use and are made of ingredients with proven benefits, enabling men to access quality personal care products at reasonable prices.</t>
  </si>
  <si>
    <t>Bpifrance(Isabelle Ginestet-Naudin), Kima Ventures, Nicolas Weil, Sebastien Lucas</t>
  </si>
  <si>
    <t>grooming kits, grooming product, men's grooming product, men's hair care, men's personal care product, men's skincare product, personal product, skincare product for man</t>
  </si>
  <si>
    <t>133655-86T</t>
  </si>
  <si>
    <t>State of North Carolina</t>
  </si>
  <si>
    <t>104267-44T</t>
  </si>
  <si>
    <t>Singlespot</t>
  </si>
  <si>
    <t>Developer of a data marketing platform intended to offer predictive analysis of physical location data. The company's platform utilizes geolocalisation technology to create a database of qualified location data and analyzes mobile users' behavior based on the data, enabling clients to understand customers' behavior, increase traffic in stores, and optimize their points of sales management.</t>
  </si>
  <si>
    <t>Bpifrance, IRIS (Private Equity)(Stéphane Pesqué)</t>
  </si>
  <si>
    <t>behavior analysis, behavior analysis technology, data marketing, geolocation app, gps technology, industrial data analytics, location data, vertical application</t>
  </si>
  <si>
    <t>160982-47T</t>
  </si>
  <si>
    <t>Egan</t>
  </si>
  <si>
    <t>Environmental Services (B2B), Forestry Development/Harvesting, Other Forestry*</t>
  </si>
  <si>
    <t>Provider of forest area management services intended to care for tree felling. The company offers a range of services in the areas of aquatic and forestry works such as siltation, mowing, and pulling, bank protection, grinding, splitting and stump cracking, earthworks, and skidding, enabling clients to receive assistance in developing and managing forests.</t>
  </si>
  <si>
    <t>aquatic care, forest management, forestry consulting, forestry services firm, nature management, wildlife management</t>
  </si>
  <si>
    <t>Jatxou, France</t>
  </si>
  <si>
    <t>118423-99T</t>
  </si>
  <si>
    <t>Bpifrance, CASSIUS(Emmanuel Seuge), Next World Capital(Sebastien Lepinard), NJJ Capital(Xavier Niel)</t>
  </si>
  <si>
    <t>86136-40T</t>
  </si>
  <si>
    <t>Roofstreet</t>
  </si>
  <si>
    <t>Developer of a geolocation platform designed to anticipate travel by studying the habits of users. The company's platform provides an application-based programming interface (API) that can be used for geolocation, routing, and static proximity detection using mobile applications and smartphones, enabling users to get an open-source geolocating application that can assist them with their future locations and travel intentions.</t>
  </si>
  <si>
    <t>Bpifrance, Newfund Management, Seed4Soft</t>
  </si>
  <si>
    <t>geo marketing, geolocation app, geolocation application, geolocation software, geolocation tools, mobile location, mobility analyzis</t>
  </si>
  <si>
    <t>196443-73T</t>
  </si>
  <si>
    <t>Clarisse, Gilberte Beaux family, TDH Capital</t>
  </si>
  <si>
    <t>188140-78T</t>
  </si>
  <si>
    <t>Carcidiag Biotech</t>
  </si>
  <si>
    <t>Developer of a diagnostic tool designed to detect cancerous and precancerous cells a few times and evaluate their aggressiveness. The company's diagnostic kit provides a technology that makes it possible to detect cancer affecting the ENT sphere as well as the colorectal area, enabling clinicians to constitute a significant advance in the characterization of the different stages of cancer and treat patients effectively.</t>
  </si>
  <si>
    <t>biotechnology company, cancer detection device, cancer detection platform, cancer detection system, cancer detection tool, diagnostic tools</t>
  </si>
  <si>
    <t>Gueret, France</t>
  </si>
  <si>
    <t>118609-30T</t>
  </si>
  <si>
    <t>EnobraQ</t>
  </si>
  <si>
    <t>Industrial Chemicals*, Other Chemicals and Gases</t>
  </si>
  <si>
    <t>Developer of carbon dioxide-based fermentation processes intended to deliver bio-based alternatives to fossil fuel-derived chemicals. The company's fermentation process utilizes yeast for carbon dioxide capture and production of chemical compounds and decarbonized hydrogen to carry out customized chemical syntheses on an industrial scale, enabling industries to use carbon dioxide as an industrial fermentation feedstock.</t>
  </si>
  <si>
    <t>Elaia Partners, Sofinnova Partners(Michael Krel)</t>
  </si>
  <si>
    <t>agtech startup, biobased alternatives, biofuels, clean fuel, co2 fermentation, co2 to chemicals, commodities chemicals, plant yield improvement, yeast fermentation process</t>
  </si>
  <si>
    <t>Ramonville-Saint-Agne, France</t>
  </si>
  <si>
    <t>174906-64T</t>
  </si>
  <si>
    <t>Jaina Capital, Partnaire Venture</t>
  </si>
  <si>
    <t>105314-68T</t>
  </si>
  <si>
    <t>Ô'Poisson</t>
  </si>
  <si>
    <t>Food Products*, Internet Retail, Other Services (B2C Non-Financial), Specialty Retail</t>
  </si>
  <si>
    <t>Operator of an online fish marketplace intended to sell and deliver seafood across France. The company's platform offers fresh, local, and seasonal seafood including shellfish, crustaceans, seafood platters, canned fish, smoked fish, and seaweed-based products, enabling customers to get quality seafood delivered to their doorsteps.</t>
  </si>
  <si>
    <t>fish marketplace, food ecommerce, fresh fish, online fish stores, online seafood, restaurant marketplace, sea food delivery, sea food retail, seafood ordering application, seafood store</t>
  </si>
  <si>
    <t>104232-43T</t>
  </si>
  <si>
    <t>Bpifrance(Edwige Kharoubi), ISAI</t>
  </si>
  <si>
    <t>131732-83T</t>
  </si>
  <si>
    <t>Sagemcom Broadband</t>
  </si>
  <si>
    <t>135255-25T</t>
  </si>
  <si>
    <t>AQUITI Gestion, Bpifrance, Poitou-Charentes Innovation, Région Nouvelle-Aquitaine, Sofimac Innovation</t>
  </si>
  <si>
    <t>189275-32T</t>
  </si>
  <si>
    <t>Adagio</t>
  </si>
  <si>
    <t>Developer of a revenue-tracking platform designed to optimize connections between publishers and SSPs. The company's platform provides viewability, predictability, enhanced user experience, and insights that measure performance metrics, enabling clients to amplify revenue and profitability, for existing connections and new ones created seamlessly.</t>
  </si>
  <si>
    <t>Axeleo Capital, IRDI Capital Investissement, Occitanie Invest</t>
  </si>
  <si>
    <t>digital marketing, performance display, performance metrics system, profitability analysis, profitability model, publisher service, revenue optimization</t>
  </si>
  <si>
    <t>132821-83T</t>
  </si>
  <si>
    <t>Wi School</t>
  </si>
  <si>
    <t>Operator of an educational private nursery and elementary school intended to promote a new form of education and transmission. The company's project aims to enhance all forms of intelligence and paths of success in order to give chance to kids to reach their full potential, enabling children to develop themselves to be adaptable, creative and self-confident for meeting the challenges of today and tomorrow.</t>
  </si>
  <si>
    <t>bilingual primary school, comprehensive training, educational projects, elementary schooling, nursery school, private school</t>
  </si>
  <si>
    <t>218290-42T</t>
  </si>
  <si>
    <t>Abaque</t>
  </si>
  <si>
    <t>Operator of an international translation agency intended to provide competitive service to clients with a wide range of specialisms. The company specializes in daily translating clients' documents, in all language combinations, all file formats, and on many topics like management, marketing, economics, legal, and technical, enabling businesses and individuals to communicate effectively across borders and languages.</t>
  </si>
  <si>
    <t>interpreting data, language translator, service provider, tourism marketing services, translate document, translation agency, translation agency operator</t>
  </si>
  <si>
    <t>104959-63T</t>
  </si>
  <si>
    <t>Alliance Economie</t>
  </si>
  <si>
    <t>Operator of a construction economics company intended to contribute to construction and renovation projects. The company's services include price study to TCE economy and financial monitoring for complete control of budget commitments throughout the project's life, enabling clients to control costs at all project stages.</t>
  </si>
  <si>
    <t>Les Entrepreneurs Réunis</t>
  </si>
  <si>
    <t>construction economy, construction financial management, financial monitoring, project management assistance, renovation project, renovation project management</t>
  </si>
  <si>
    <t>105052-33T</t>
  </si>
  <si>
    <t>Finorpa, IRD Invest, Nord Capital Partenaires, Turenne Groupe, Vox Capital (Luxembourg)(Johann Meynet)</t>
  </si>
  <si>
    <t>174251-44T</t>
  </si>
  <si>
    <t>OHRE Pharma</t>
  </si>
  <si>
    <t>Drug Discovery, Other Devices and Supplies, Pharmaceuticals*</t>
  </si>
  <si>
    <t>Operator of a pharmaceutical laboratory intended to market generic drugs for hospitals. The company specializes in the manufacturing and marketing of generic drugs and medical devices in hospitals, enabling clients to receive quality drugs and facilitating the use of drugs in hospitals.</t>
  </si>
  <si>
    <t>Vatel Capital</t>
  </si>
  <si>
    <t>drugs marketing, generic drug, healthcare sector, hospital drugs, hospital sector, medical marketing, pharmaceutical, pharmaceutical laboratory</t>
  </si>
  <si>
    <t>112932-73T</t>
  </si>
  <si>
    <t>Voluntis</t>
  </si>
  <si>
    <t>Developer of a medical companion software designed to make the advancement of information technologies that will contribute to solving certain healthcare system issues. The company offers digital solutions for diabetes, respiratory diseases, cancer, anticoagulation treatments, and hemophilia and develops therapeutic digital solutions, thereby enabling healthcare companies to solve patient-centric healthcare problems.</t>
  </si>
  <si>
    <t>Debiopharm Innovation Fund(Tanja Dowe), Kreos Capital</t>
  </si>
  <si>
    <t>healthcare management, medical companion, medical companion software, medical software, patient relationship, patient support</t>
  </si>
  <si>
    <t>Digital Health, Life Sciences, Mobile, Oncology, TMT</t>
  </si>
  <si>
    <t>115952-59T</t>
  </si>
  <si>
    <t>Braave</t>
  </si>
  <si>
    <t>Provider of custom-fit breast support intended to offer made-to-measure three-dimensional printed lingerie. The company's custom-fit breast support uses 3D scanning and printing for custom-fitting bras based on the woman's individual body, which enhances their blood flow, supporting the posture of their body, enabling women to get access to comfortable lingerie.</t>
  </si>
  <si>
    <t>5M Ventures, White Shark Management</t>
  </si>
  <si>
    <t>body positivism, bra clothing platform, custom products, customized 3d model, fashion tech company, lingerie wear</t>
  </si>
  <si>
    <t>Villefranche-sur-Mer, France</t>
  </si>
  <si>
    <t>132679-00T</t>
  </si>
  <si>
    <t>Senseii Ventures</t>
  </si>
  <si>
    <t>120354-22T</t>
  </si>
  <si>
    <t>Didier Valet(Didier Valet), Emmanuel Guyot(Emmanuel Guyot), Gabriel Jarrosson(Gabriel Jarrosson), Leonis Investissement, Maximilien Nguyen(Maximilien Nguyen), Nicolas Brumelot(Nicolas Brumelot), Patrick Dalsace(Patrick Dalsace), Pierre Lavaux(Pierre Lavaux), Stephane Lee(Stephane Lee), Sylvain Zimmer(Sylvain Zimmer), The Family (Financial Services)</t>
  </si>
  <si>
    <t>104602-33T</t>
  </si>
  <si>
    <t>Crédit Agricole Ille et Vilaine Expansion, GO Capital (France)(Emmanuelle Deponge)</t>
  </si>
  <si>
    <t>103221-91T</t>
  </si>
  <si>
    <t>125322-67T</t>
  </si>
  <si>
    <t>DBI (Distributors/Wholesale)</t>
  </si>
  <si>
    <t>Beverages, Distributors/Wholesale*, Other Commercial Products</t>
  </si>
  <si>
    <t>Operator of a beverage distributor company intended to offer craft beers from independent breweries around the world. The company offers a wide selection of craft beers that are selected and then distributed or imported and act as an intermediary between the brewer and the dealer, enabling resellers to acquire alcoholic beverages.</t>
  </si>
  <si>
    <t>beer distribution firm, beverage company, beverage distributor, brewery drinks, craft beer, craft beer distribution</t>
  </si>
  <si>
    <t>141100-66T</t>
  </si>
  <si>
    <t>NCI Gestion, Végéo Capital</t>
  </si>
  <si>
    <t>116907-31T</t>
  </si>
  <si>
    <t>Walnut Algorithms</t>
  </si>
  <si>
    <t>Developer of an investment management platform intended to rethink traditional asset management. The company's platform combines advanced machine learning techniques with financial expertise to generate absolute return investment strategies to identify meaningful patterns forming in the financial markets, enabling investors to scale their assets globally and adapt to changing market conditions.</t>
  </si>
  <si>
    <t>Frst Capital(Pierre Entremont)</t>
  </si>
  <si>
    <t>capital market, data &amp; analytics, data and analytics, investment management app, investment management platform, investment management service, investment management service provider, investment management system, investment management tool</t>
  </si>
  <si>
    <t>103410-64T</t>
  </si>
  <si>
    <t>Balderton Capital, Edenred Capital Partners, SAP.iO(Emmanuel Cassimatis)</t>
  </si>
  <si>
    <t>107944-12T</t>
  </si>
  <si>
    <t>AntVoice</t>
  </si>
  <si>
    <t>Developer of a predictive targeting platform designed to help brands and merchants identify and target new clients through weak signals analysis and artificial intelligence. The company's platform offers predictive recommendation software applications that permit media, e-commerce websites, and customer relationships management software to display personalized and relevant content and products in real time by using finely-tuned behavioral analysis, powerful mathematical models, and an advanced machine learning system, enabling e-merchants, media companies, and brands to offer a personalized user experience on each touchpoint.</t>
  </si>
  <si>
    <t>Avolta Partners, CapHorn Invest(Laurent Dumas-Crouzillac), Groupe Adeo</t>
  </si>
  <si>
    <t>behavioral analysis, digital marketing, ecommerce personalization, graph database, personalized recommendations, predictive marketing, predictive recommendation, smart advertisement</t>
  </si>
  <si>
    <t>131304-88T</t>
  </si>
  <si>
    <t>Poietis</t>
  </si>
  <si>
    <t>Operator of a biotechnology company intended to bring tissue engineering therapies to patients. The company develops and produces human, customized tissues using three-dimensional bioprinting for pharmaceutical and cosmetic applications as well as develops regenerative medicine, enabling tissue engineers and researchers to get variety in the choice of biomaterials and hydrogels and enhanced versatility in research and development.</t>
  </si>
  <si>
    <t>bioprinting platform, biotechnology company, cosmetic application, regenerative medicine, tissue engineering therapy, tissue manufacturing</t>
  </si>
  <si>
    <t>106442-65T</t>
  </si>
  <si>
    <t>SmartGreenCharge</t>
  </si>
  <si>
    <t>Other Commercial Services*, Other Energy Services, Other Equipment</t>
  </si>
  <si>
    <t>Developer of an electric station designed to simplify the process of charging electric vehicles. The company's electric station utilizes renewable electricity sources produced locally and combines photovoltaics, wind power, and storage batteries to supply electricity produced on-site with a simultaneous load capacity, enabling electric vehicle owners to easily charge their electric cars, bikes, or buses.</t>
  </si>
  <si>
    <t>Innogy Innovation Hub</t>
  </si>
  <si>
    <t>climate tech company, electric charging unit, electric station, electric vehicle, electric vehicle charging, energy harvesting, intermittent renewable energy, solar photovoltaic, vehicle charging station</t>
  </si>
  <si>
    <t>Alsace, France</t>
  </si>
  <si>
    <t>103816-18T</t>
  </si>
  <si>
    <t>Bpifrance(Emmanuel Audouard), Trail Solutions Patrimoine(Guillaume Hemmerle)</t>
  </si>
  <si>
    <t>102901-24T</t>
  </si>
  <si>
    <t>Serious Factory</t>
  </si>
  <si>
    <t>Business/Productivity Software, Education and Training Services (B2B)*, Educational Software, Multimedia and Design Software</t>
  </si>
  <si>
    <t>Developer of simulators designed to assist in virtual training and sales support. The company's technology helps to create simulations and update them regularly, reduce iteration times, boost face-to-face training, and also deploy devices both online and offline, enabling businesses to independently design, distribute, and update their pedagogical content and perpetuate professional achievements through skill monitoring tools.</t>
  </si>
  <si>
    <t>Investessor, Karista (Paris)(Yvan-Michel Ehkirch), Odyssee Venture(Sébastien Sassolas), Paris Region Venture Fund</t>
  </si>
  <si>
    <t>authoring software, digital training, educational software, e-learning modules, e-learning platform, online learning platform, training and skills, virtual training</t>
  </si>
  <si>
    <t>102937-60T</t>
  </si>
  <si>
    <t>Ermeo</t>
  </si>
  <si>
    <t>Developer of a connected worker platform designed to improve the productivity of technicians and operational processes. The company's platform simplifies, standardizes and digitalizes the operational processes of operators by ridding them of unnecessary tasks, enabling businesses to control operations by standardizing operational processes for better collaboration between teams.</t>
  </si>
  <si>
    <t>Axeleo Capital, Didier Miraton(Didier Miraton), Hi Inov, Paris-Saclay Seed Fund, Partech(Alison Imbert)</t>
  </si>
  <si>
    <t>business platform, customized reporting, documentation application, documentation tools, field service management, saas platform, web platform</t>
  </si>
  <si>
    <t>107533-63T</t>
  </si>
  <si>
    <t>104509-36T</t>
  </si>
  <si>
    <t>Aglaé Ventures, Alto Invest(Franck Halley), Aster Capital(Jean-Marc Bally), Charles Egly(Charles Egly), Cofip, Eiffel Investment Group, Financière Saint James, Florian Douetteau(Florian Douetteau), Frank Le Ouay(Frank Le Ouay), Groupe Arnault, Kima Ventures, Michaël Benabou(Michaël Benabou), Monestier Capital, Xavier Niel(Xavier Niel)</t>
  </si>
  <si>
    <t>128355-67T</t>
  </si>
  <si>
    <t>3CIE, Bpifrance, TheFactory</t>
  </si>
  <si>
    <t>104204-89T</t>
  </si>
  <si>
    <t>Bpifrance, France Active</t>
  </si>
  <si>
    <t>134241-13T</t>
  </si>
  <si>
    <t>Terabee</t>
  </si>
  <si>
    <t>Electronic Equipment and Instruments*, Media and Information Services (B2B), Other Commercial Services</t>
  </si>
  <si>
    <t>Developer of sensor modules and 3D sensing technology designed to capture data in buildings. The company's sensors provide accurate data for informed decision-making and energy and cost savings, enabling customers to have a technology that reduces energy consumption with an integrated people counting alternative.</t>
  </si>
  <si>
    <t>Elysia Capital</t>
  </si>
  <si>
    <t>data gathering, digital transformation hub, drones sensors, people counting solutions, positioning system, sensor integration, sensor integration technology, thermal camera, warehouse automation, warehousing technology</t>
  </si>
  <si>
    <t>Construction Technology, Robotics and Drones, TMT</t>
  </si>
  <si>
    <t>102696-85T</t>
  </si>
  <si>
    <t>omicX</t>
  </si>
  <si>
    <t>Provider of a biodata analytics platform intended to decipher and analyze life science data. The company's platform provides information on tools for storing, processing and sharing massive volumes of biological data, with functions to post questions to the scientific community, share expertise and knowledge as well as provide feedback on tools, enabling researchers to get access to tools for performing biological analysis and connect to a network of industry professionals.</t>
  </si>
  <si>
    <t>Bpifrance, Normandie Incubation, Normandie Participations(François Guisset)</t>
  </si>
  <si>
    <t>biodata analysis, biological data analysis platform, biological data sharing, biological database, life science database</t>
  </si>
  <si>
    <t>108259-66T</t>
  </si>
  <si>
    <t>Airfit</t>
  </si>
  <si>
    <t>Application Software, Leisure Facilities*</t>
  </si>
  <si>
    <t>Operator of outdoor fitness areas intended to democratize sport for all. The company's areas are connected to a mobile sports coaching application, which permits to find the closest station to their home and choose exercises depending on their goals, enabling users to stay healthy and fit.</t>
  </si>
  <si>
    <t>exercise app, fitness center, healthy lifestyle, outdoor fitness, sports coaching app, sports space</t>
  </si>
  <si>
    <t>131216-23T</t>
  </si>
  <si>
    <t>Linksium</t>
  </si>
  <si>
    <t>103040-92T</t>
  </si>
  <si>
    <t>Brighteye Ventures, Elaia Partners(Philippe Gire), Idinvest Partners(Jonathan Userovici), Partech(Romain Lavault)</t>
  </si>
  <si>
    <t>135163-36T</t>
  </si>
  <si>
    <t>Redcore (Commercial Products)</t>
  </si>
  <si>
    <t>Aerospace and Defense, Other Commercial Products*, Other Commercial Services</t>
  </si>
  <si>
    <t>Operator of a security platform intended to develop and distribute innovative solutions for the international security and defense market. The company's armaments are computer-aided and it markets next-generation ammunition for defense weapons with reduced lethality used in neutralization and deterrence missions, enabling internal security forces, the military, and the rescue services in police and the army to tackle the defense security market effectively.</t>
  </si>
  <si>
    <t>armament company, defense market, defense marketplace, defense product, international security, international security services, less lethal weapons</t>
  </si>
  <si>
    <t>105669-73T</t>
  </si>
  <si>
    <t>Enogia (PAR: ALENO)</t>
  </si>
  <si>
    <t>ENOGIA SA is engaged in the designs and manufacturing of Organic Rankine Cycle systems, which convert heat into electricity, and air compressors for fuel cells.</t>
  </si>
  <si>
    <t>FORVIA (PAR: FRVIA)(Yves Dumoulin)</t>
  </si>
  <si>
    <t>clean energy, clean fuel, compact energy unit, electrical power plant, energy equipment, energy recovery technology, heat-to-power conversion system, mini power plant, organic rankine cycle, technology service, waste recycling, waste to fuel, waste-to-energy</t>
  </si>
  <si>
    <t>201987-91T</t>
  </si>
  <si>
    <t>Meludia</t>
  </si>
  <si>
    <t>Application Software, Educational Software*, Social/Platform Software</t>
  </si>
  <si>
    <t>Developer of a music learning application designed to bring music literacy to the world. The company's music learning application offers a web-based tool for learning music via emotions and understanding musical compositions through fun and progressive exercises that cover melody, harmony, rhythm, and much more all without the need for scores or tedious analysis, enabling professional musicians as well as total beginners to learn, adapt and compose music and connect with fellow musicians all over the world.</t>
  </si>
  <si>
    <t>Daylight Conseils</t>
  </si>
  <si>
    <t>ear training, music editing, music learning, music pedagogy, music platform, music theory, web based learning</t>
  </si>
  <si>
    <t>129255-13T</t>
  </si>
  <si>
    <t>Seald</t>
  </si>
  <si>
    <t>Developer of an email and encryption tool designed to track and control files. The company's tool automatically integrates end-to-end encryption into the applications, documents, emails, and workflows in a transparent way, enabling companies to have security and control over their data.</t>
  </si>
  <si>
    <t>50 Partners, Bpifrance(Olivier Fosse), Damien Guermonprez(Damien Guermonprez), Kaloma Capital, Laurent Delaporte(Laurent Delaporte), Sébastien Lucas(Sébastien Lucas), Thierry Vandewalle(Thierry Vandewalle), Vincent Barat(Vincent Barat), Wind Capital, Xavier Gury(Xavier Gury)</t>
  </si>
  <si>
    <t>data encryption, data encryption platform, data protection, data protection &amp; encryption, data protection and encryption, data security, data security tool, email encryption, email encryption services, email manager, encryption tools, end-to-end encryption, files manager, information security</t>
  </si>
  <si>
    <t>Bougival, France</t>
  </si>
  <si>
    <t>105911-29T</t>
  </si>
  <si>
    <t>BewellConnect</t>
  </si>
  <si>
    <t>Developer of connected healthcare devices and monitoring software designed to offer remote medical monitoring services. The company's devices integrate home care, remote consultation, and telemedicine services using a simple television screen and a traditional remote control to incorporate television at the heart of a system of digital services and technologies, enabling patients to measure and monitor changes in healthcare data on a daily basis.</t>
  </si>
  <si>
    <t>Hudson Bay Capital Management</t>
  </si>
  <si>
    <t>connected healthcare system, patient monitoring software, teleconsultation platform, teleconsultation services, telemedicine service provider, telemedicine services, telemedicine services platform</t>
  </si>
  <si>
    <t>Artificial Intelligence &amp; Machine Learning, HealthTech, Mobile</t>
  </si>
  <si>
    <t>116160-49T</t>
  </si>
  <si>
    <t>Monbanquet</t>
  </si>
  <si>
    <t>Provider of events and catering services based in Lieusaint, France. The company offers customized homemade buffets and catering services in collaboration with selected bakers and artisans, enabling clients to book catering services at affordable prices.</t>
  </si>
  <si>
    <t>FrenchFood Capital, ISAI</t>
  </si>
  <si>
    <t>catering company, catering delivery, catering firm, catering items, catering services, event services, food delivery, ghost kitchen, restaurant &amp; retail tech, restaurant and retail technology</t>
  </si>
  <si>
    <t>E-Commerce, FoodTech, Mobile, TMT</t>
  </si>
  <si>
    <t>Lieusaint, France</t>
  </si>
  <si>
    <t>102904-93T</t>
  </si>
  <si>
    <t>Alexandre Lebrun(Alexandre Lebrun), Daphni, Frank Le Ouay(Frank Le Ouay), Jacques-Antoine Granjon(Jacques-Antoine Granjon), Kima Ventures, Marc Simoncini(Marc Simoncini), Rachel Delacour(Rachel Delacour), Thibaud Elziere(Thibaud Elziere), Thierry Petit(Thierry Petit), Xavier Niel(Xavier Niel)</t>
  </si>
  <si>
    <t>102694-87T</t>
  </si>
  <si>
    <t>WebForce3</t>
  </si>
  <si>
    <t>Provider of online training services intended to combat unemployment and offer an alternative to dropouts. The company offers access to apprenticeship training sessions, engineering seminars and IT skills through projects on web development, enabling financially backward students and dropouts to gain vocational training at a reasonable cost.</t>
  </si>
  <si>
    <t>Impact Partners (Paris), Odyssee Venture</t>
  </si>
  <si>
    <t>coding program, coding training, digital training, online training, online training courses, online training service, vocational training, web development, web development school</t>
  </si>
  <si>
    <t>121872-61T</t>
  </si>
  <si>
    <t>Anterra Capital(Maarten Goossens), Capagro, Elaia Partners(Pauline Roux), FAMM Group, Idinvest Partners, InnovAllianz</t>
  </si>
  <si>
    <t>191195-11T</t>
  </si>
  <si>
    <t>Bziiit</t>
  </si>
  <si>
    <t>Developer of a marketing platform designed to transform digital marketing through physical traffic generation. The company's system specializes in digital marketing of points of sale and places open to the public, strengthens the passage in stores, and ensures the return on investment of marketing budgets by collecting, reconciling, and analyzing customer journeys in and outside the store, enabling clients to leverage their digital environment to grow their businesses.</t>
  </si>
  <si>
    <t>business growth, campaign performance, digital environment, digital marketing, digital marketing analytics, digital marketing platform</t>
  </si>
  <si>
    <t>194005-00T</t>
  </si>
  <si>
    <t>Terradona</t>
  </si>
  <si>
    <t>Developer of a climate technology platform designed for recycling and waste management. The company offers digital systems for recycling and cleaning such as improving the sorting of packaging consumed away from home, obtaining accurate data relating to packages collected, and more, providing clients an incentive system to reduce waste by keeping the environment clean, germ-free, and healthy.</t>
  </si>
  <si>
    <t>Caisse des Depots Group, Electricite de France, Plant 4.0 Startup Incubator, Région Sud Investissement, Total Developpement Regional</t>
  </si>
  <si>
    <t>connected service, green tech, recycling technology, recycling waste, sustainable development, waste dispose, waste processing</t>
  </si>
  <si>
    <t>CleanTech, Industrials, Internet of Things, LOHAS &amp; Wellness</t>
  </si>
  <si>
    <t>118763-92T</t>
  </si>
  <si>
    <t>Syllabs</t>
  </si>
  <si>
    <t>Developer of semantic text analysis tools designed to be used for text creation and content optimization. The company's tools offer text generation, semantic analysis, web mining, and language processing tools to assist websites in enriching their content, enabling organizations to optimize their search engine optimization strategy.</t>
  </si>
  <si>
    <t>BNP Paribas Développement, Epopée Gestion, Sipa-Ouest France</t>
  </si>
  <si>
    <t>content optimization, content provider, data content, data mining, language processing, natural language processing, text creation, text mining, text mining platform</t>
  </si>
  <si>
    <t>179897-68T</t>
  </si>
  <si>
    <t>TWIL</t>
  </si>
  <si>
    <t>Beverages, Internet Retail, Specialty Retail*</t>
  </si>
  <si>
    <t>Operator of an online wine retail portal intended to allow consumers to buy wine directly from the winemaker. The company's application helps identify the wines and removes intermediaries in the wine industry, enabling consumers to buy from the widest collection online.</t>
  </si>
  <si>
    <t>FarSight Capital(Toon King Wong)</t>
  </si>
  <si>
    <t>beverage product seller, online selling app, wine application, wine ecommerce site, wine industry, wine marketplace</t>
  </si>
  <si>
    <t>118213-39T</t>
  </si>
  <si>
    <t>James 1840</t>
  </si>
  <si>
    <t>Provider and designer of interior furniture intended to offer architectural and product design-build. The company's products include a range of furniture products that are designed and built using contemporary styles for luxury homes, offices, buildings, hotels, and other settings, providing customers with a large selection of furniture and interior design products.</t>
  </si>
  <si>
    <t>Bpifrance(Alexis Mahieu), Normandie Participations(John Guinet)</t>
  </si>
  <si>
    <t>contemporary furniture, furniture designer, furniture maker, interior design product, interior designer, interior furniture design</t>
  </si>
  <si>
    <t>Saint Laurent de Cuves, France</t>
  </si>
  <si>
    <t>120289-15T</t>
  </si>
  <si>
    <t>102581-47T</t>
  </si>
  <si>
    <t>Daphni(Marie Ekeland), Eduardo Ronzano(Eduardo Ronzano), Julien Codorniou(Julien Codorniou), Kima Ventures, RTA Ventures, Serena (Paris), Tomcat Capital</t>
  </si>
  <si>
    <t>102305-44T</t>
  </si>
  <si>
    <t>Geolid</t>
  </si>
  <si>
    <t>Developer of a web advertising platform designed to protect local businesses by effectively transforming their communication practices. The company's platform offers communication tools and geolocalized advertising and referencing services to help major brands digitize their network and harmonize their online presence to boost their local business, enabling franchisees and small businesses to communicate effectively with their customers under a single platform.</t>
  </si>
  <si>
    <t>Eurazeo PME, Idinvest Partners(Alban Wyniecki)</t>
  </si>
  <si>
    <t>customer relationship management, digital communication, digital ecosystem, digital marketing, geolocalized advertising, online advertisement, reputation analysis platform, retail network, web advertising services</t>
  </si>
  <si>
    <t>102363-94T</t>
  </si>
  <si>
    <t>IRDI Capital Investissement(Jean-Michel Petit), Sofinnova Partners(Denis Lucquin), Toulouse Tech Transfer</t>
  </si>
  <si>
    <t>129546-01T</t>
  </si>
  <si>
    <t>Resto Flash</t>
  </si>
  <si>
    <t>Application Software*, Financial Software, Information Services (B2C)</t>
  </si>
  <si>
    <t>Developer of a mobile payment platform designed to offer restaurant vouchers to customers via mobile phones. The company's platform offers smartphone payments at restaurants, and meal vouchers and allows to choose restaurants and get benefits from discounts and exclusive offers, enabling users to cut down on paperwork for meal vouchers.</t>
  </si>
  <si>
    <t>meals payment, mobile payment application, mobile payment system, payment platform, restaurant payment, restaurant voucher, voucher application</t>
  </si>
  <si>
    <t>Mobile Commerce, Restaurant Technology</t>
  </si>
  <si>
    <t>69007-69T</t>
  </si>
  <si>
    <t>Costockage</t>
  </si>
  <si>
    <t>Application Software*, Logistics, Other Services (B2C Non-Financial)</t>
  </si>
  <si>
    <t>Developer of an online peer-to-peer storage booking platform designed to help people to rent and share physical storage space between individuals. The company's platform helps connect idle space owners with individuals and professionals looking for a storage place, enabling users to get storage space at lower rates.</t>
  </si>
  <si>
    <t>Cyril Grislain(Cyril Grislain), Grégoire Boutin(Grégoire Boutin), Kima Ventures(Jean De La Rochebrochard), Seed4equity(Taha Ben Mrad), Wind Capital, Xavier Niel(Xavier Niel)</t>
  </si>
  <si>
    <t>collaborative consumption, collaborative consumption platform, furniture storage, furniture storage services, online storage booking, storage facility, storage marketplace, storage platform, storage space</t>
  </si>
  <si>
    <t>25918-03T</t>
  </si>
  <si>
    <t>168538-60T</t>
  </si>
  <si>
    <t>102219-31T</t>
  </si>
  <si>
    <t>Buseedo</t>
  </si>
  <si>
    <t>Developer of an online educational platform designed to provide educational and training services. The company's platform utilizes a mobile application and a full-fledged web service and works closely with professional trainers and mentors to reinforce the theory taught in universities by practice, enabling students to achieve personal and professional goals faster.</t>
  </si>
  <si>
    <t>OttoVenture(Artur Shamalov)</t>
  </si>
  <si>
    <t>educational app, educational application, educational platform, educational training, educational web services</t>
  </si>
  <si>
    <t>165789-55T</t>
  </si>
  <si>
    <t>Gaming Campus</t>
  </si>
  <si>
    <t>Provider of video game training services intended to offer education to reveal talents and develop skills. The company offers post-baccalaureate training courses to prepare talents in the video game sector, enabling students to transform passion into employability and build careers in esports.</t>
  </si>
  <si>
    <t>gaming talent, management school, student campus community, student campus marketplace, training courses, video games, video games guide, video games training</t>
  </si>
  <si>
    <t>EdTech, Esports, Gaming</t>
  </si>
  <si>
    <t>194811-49T</t>
  </si>
  <si>
    <t>InnoMed360</t>
  </si>
  <si>
    <t>Media and Information Services (B2B)*, Other Commercial Services, Other Healthcare Technology Systems</t>
  </si>
  <si>
    <t>Operator of a patient care platform designed to manage and share hospital beds in real time. The company's platform provides real-time information on the number of beds available in healthcare establishments, allowing healthcare workers to facilitate their daily lives</t>
  </si>
  <si>
    <t>Daphni, RTA Ventures, Serena (Paris), Tomcat Capital</t>
  </si>
  <si>
    <t>digital healthcare, healthcare accessibility, healthcare procurement, healthcare resource management, hospital beds finder, hospital beds provider, patient-care platform, real time information</t>
  </si>
  <si>
    <t>204134-59T</t>
  </si>
  <si>
    <t>Master The Monster</t>
  </si>
  <si>
    <t>Developer of a collaborative project management tool designed to connect brands, companies and video content production houses. The company's platform allows the production of all video, audio, photo, augmented reality (AR) and virtual reality (VR) content with production companies, which helps brands create, produce, curate and optimize all their video content, enabling production houses and companies to deliver content at optimized costs.</t>
  </si>
  <si>
    <t>audio production, collaborative project management, project management, project management firm, project management tool, video production</t>
  </si>
  <si>
    <t>AdTech, Artificial Intelligence &amp; Machine Learning, Augmented Reality, Virtual Reality</t>
  </si>
  <si>
    <t>177382-81T</t>
  </si>
  <si>
    <t>Angelina Paris</t>
  </si>
  <si>
    <t>Operator of upscale tea rooms and patisserie boutiques intended for dine-in or take-away consumption. The company features a menu of breakfast, brunch, afternoon tea, and dinner options alongside its signature pastries and hot chocolate, enabling customers to experience a luxurious Parisian atmosphere throughout the day.</t>
  </si>
  <si>
    <t>hot chocolate, pastry, pastry cakes, tea house, tea restaurant, tea rooms</t>
  </si>
  <si>
    <t>118082-26T</t>
  </si>
  <si>
    <t>Attestation Légale</t>
  </si>
  <si>
    <t>Developer of a legal documentation platform designed to simplify administrative procedures of construction companies. The company's platform collects, authenticates, stores and distributes administrative documents as well as offers online document signature, digitization, compliance check and document filing solutions, enabling clients with their administrative compliance needs.</t>
  </si>
  <si>
    <t>documentation firm, documentation system, documentation tools, legal attestation solutions, legal certification software, legal documentation, legal documentation application, legal documentation platform</t>
  </si>
  <si>
    <t>215152-39T</t>
  </si>
  <si>
    <t>50 Partners, Leap Ventures, Square Capital.</t>
  </si>
  <si>
    <t>103732-21T</t>
  </si>
  <si>
    <t>Clustaar</t>
  </si>
  <si>
    <t>Provider of natural language and query management services intended to automate responses and searches. The company's platform uses machine learning to analyze data and determine intent for use in conversational searches and chatbots, data-driven search engine optimization and internal research engines, enabling businesses to get the opportunity to understand and respond to their customers and automate responses to common queries and improve the website experience for customers.</t>
  </si>
  <si>
    <t>Alliance Entreprendre, Axeleo Capital, Finorpa, Plug and Play Tech Center</t>
  </si>
  <si>
    <t>ai automation platform, conversational intelligence, conversational intelligence platform, intelligent chatbot, natural language processing, queries management, semantic analysis</t>
  </si>
  <si>
    <t>121467-61T</t>
  </si>
  <si>
    <t>104913-01T</t>
  </si>
  <si>
    <t>E-Cycle</t>
  </si>
  <si>
    <t>Automotive*, Specialty Retail</t>
  </si>
  <si>
    <t>Operator of an online marketplace for electric bikes intended to offer mobility for private and professional customers. The company mainly focuses on offering electric bike assistance along with different models of electric bikes that are designed for all cycling practices such as mountain bikes or racing bikes, enabling users to purchase their preferred bike in an easy and cost-effective manner.</t>
  </si>
  <si>
    <t>Generis Capital Partners(Edouard Cassini)</t>
  </si>
  <si>
    <t>ecological transportation, electric assistance bikes, electric bikes, electric mobility, electric mobility vehicles, micromobility, racing bikes, vehicle supplier</t>
  </si>
  <si>
    <t>Saint-Pavace, France</t>
  </si>
  <si>
    <t>135808-12T</t>
  </si>
  <si>
    <t>Lipofabrik</t>
  </si>
  <si>
    <t>Developer of biological and biodegradable molecules designed to offer products through bio-processes based renewable resources. The company's molecules are prepared by doing research on dipeptides that are produced by a bacterial class, enabling healthcare companies to get advanced products for feeding animals and for treating diseases.</t>
  </si>
  <si>
    <t>Nord Création, Roquette Ventures</t>
  </si>
  <si>
    <t>active biological molecules, ag biotech, agriculture technology, bacterial product, biodegradable molecules, biological molecules, biotechnology company, plant biotech, plant biotechnology, purified lipopeptides</t>
  </si>
  <si>
    <t>AgTech, Life Sciences, LOHAS &amp; Wellness</t>
  </si>
  <si>
    <t>87870-70T</t>
  </si>
  <si>
    <t>GO Capital (France)(Bruno Guicheux), M Capital Partners, NCI Gestion(Jean-Marc Buchet), Normandie Business Angels, Normandie Participations, Supernova Invest</t>
  </si>
  <si>
    <t>122323-33T</t>
  </si>
  <si>
    <t>P.Factory, Provence Business Angels, Région Sud Investissement</t>
  </si>
  <si>
    <t>123778-09T</t>
  </si>
  <si>
    <t>Abeille Impact Investing France, Mandarine Gestion, NovESS</t>
  </si>
  <si>
    <t>117674-29T</t>
  </si>
  <si>
    <t>Tediber</t>
  </si>
  <si>
    <t>Provider of sleeping mattresses intended to help customers sleep right, without struggle. The company provides mattresses that are sold without intermediaries, having features like shape memory, made out of polyurethane foam and latex with resilience, enabling customers to buy mattresses at affordable prices.</t>
  </si>
  <si>
    <t>360 Capital, Eutopia(Antoine Fine), Otium Capital, R301 Capital</t>
  </si>
  <si>
    <t>bedding foam, bedding product, foam mattress, mattress beds, mattress maker, mattress product</t>
  </si>
  <si>
    <t>102250-09T</t>
  </si>
  <si>
    <t>TheAgent</t>
  </si>
  <si>
    <t>Developer of a cloud-based platform of fashion brands and e-merchants designed to develop their international e-commerce channel. The company's platform offers flow aggregation, catalog enrichment, photo shooting, translation, commercial animation, customer service, logistics, and returns management services, enabling fashion and cosmetics brands to sell on foreign marketplaces and private sales sites by taking charge of all stages of the marketing of their products.</t>
  </si>
  <si>
    <t>Bpifrance, Generis Capital Partners, Pleiade Venture, Ventech (Paris)</t>
  </si>
  <si>
    <t>crosses border logistics, distribution channel, intermediation platform, retail platform, returns management services</t>
  </si>
  <si>
    <t>118276-66T</t>
  </si>
  <si>
    <t>Antiote</t>
  </si>
  <si>
    <t>Developer of machine-to-machine (M2M) and Internet of things (IoT) products and services designed to assist industrial projects. The company's products and services include fleet management tools, medical application tools, asset management products, trailer management, professional and recreational marine applications and other products, enabling customers to increase profit and locate real-time equipment.</t>
  </si>
  <si>
    <t>container tracking system, internet of things service, internet of things system, medical emergency equipment management, trailer management, trailer management system, vehicle routing monitoring</t>
  </si>
  <si>
    <t>Yvetot, France</t>
  </si>
  <si>
    <t>102034-09T</t>
  </si>
  <si>
    <t>Idinvest Partners(Nicolas Chaudron), Jean-Pierre Rousseau(Jean-Pierre Rousseau), NFU Digital, XAnge(Mathias Flattin)</t>
  </si>
  <si>
    <t>100528-30T</t>
  </si>
  <si>
    <t>Datananas</t>
  </si>
  <si>
    <t>Developer of a SaaS-based lead relationship management software designed to generate new leads via outbound sales without cold calling. The company provides AI powered emails to generate a continuous flow of replies and appointments, enabling companies to send targeted and personalized email scenarios to their leads and set up more appointments directly to their sales team calendar.</t>
  </si>
  <si>
    <t>Bernard Kirsch(Bernard Kirsch), Cedre Participations, Christophe Cremer(Christophe Cremer), My Seed Cap, Xerys Invest</t>
  </si>
  <si>
    <t>commercial prospecting, outbound sales, outbound sales service, relationship management software, relationship management software developer, sales automation</t>
  </si>
  <si>
    <t>106848-19T</t>
  </si>
  <si>
    <t>Aster Capital(Fabio Lancellotti), Bpifrance(Laure Michel), EIT InnoEnergy</t>
  </si>
  <si>
    <t>101758-06T</t>
  </si>
  <si>
    <t>360 Capital, Bosch Ventures(Gadi Toren), iBionext(Alexia Perouse), Intel Capital(Abdul Guefor), Renault Retail Group (France), Supernova Invest</t>
  </si>
  <si>
    <t>138484-09T</t>
  </si>
  <si>
    <t>E-Mage-IN 3D</t>
  </si>
  <si>
    <t>Developer of three-dimensional (3D) imaging technology designed to offer 3D modeling and printing services. The company's technologies are based on 3D models, mobility, augmented reality, virtual reality, immersive systems, and multimedia applications, enabling businesses to have perfect services for all their needs.</t>
  </si>
  <si>
    <t>Force 29</t>
  </si>
  <si>
    <t>3d imaging tool, 3d scanning, digital services, digitization platform, multimedia agency, virtual reality platform</t>
  </si>
  <si>
    <t>3D Printing, Augmented Reality, Virtual Reality</t>
  </si>
  <si>
    <t>Camaret-sur-Mer, France</t>
  </si>
  <si>
    <t>110385-46T</t>
  </si>
  <si>
    <t>Gladiaball Gravity</t>
  </si>
  <si>
    <t>Provider of leisure facilities intended to offer a relaxation area to the people. The company's facilities operate in a trampoline park that offers a tumbling trampo, a wall trampo, an airtrack, a foam tank and a dodgeball, enabling people to have access to an acrobatic recreation room.</t>
  </si>
  <si>
    <t>acrobatic recreation, acrobatic recreation rooms, indoor activities, indoor play center, indoor playground</t>
  </si>
  <si>
    <t>Cournon-d'Auvergne, France</t>
  </si>
  <si>
    <t>224825-68T</t>
  </si>
  <si>
    <t>MicroPort Scientific (HKG: 00853), Yunfeng Capital</t>
  </si>
  <si>
    <t>102055-96T</t>
  </si>
  <si>
    <t>mirSense</t>
  </si>
  <si>
    <t>Developer of an ultra-compact gas sensor technology designed to control gas emissions and analyze biological samples. The company uses quantum cascade laser technology for applications requiring spectral purity and is made of hundreds of nanometer-scale semiconductor layers, that allow the creation of a specific electronic density of states, enabling businesses to get affordable high-performance laser spectroscopy alternatives.</t>
  </si>
  <si>
    <t>FORVIA (PAR: FRVIA), Siparex Group, Supernova Invest(François Breniaux), XAnge(Guillaume Meulle)</t>
  </si>
  <si>
    <t>air quality sensor, gas analysis, gas sensing, gas sensor, photoacoustic technology, quantum cascade laser</t>
  </si>
  <si>
    <t>115870-51T</t>
  </si>
  <si>
    <t>Seabird</t>
  </si>
  <si>
    <t>Other Commercial Products*, Other Materials</t>
  </si>
  <si>
    <t>Producer of compostable bioplastics intended to lower the impact of pollution generated by conventional plastics. The company's biodegradable products offer sustainable alternatives on an industrial scale in fisheries-related activities, oysters, and mussel farming, enabling clients to reduce the use of plastics in the marine environment.</t>
  </si>
  <si>
    <t>bioplastics solutions, compostable bioplastic, plastic engineering, pollution free, pollution sensor, sustainable alternatives technology</t>
  </si>
  <si>
    <t>Larmor-Plage, France</t>
  </si>
  <si>
    <t>105688-00T</t>
  </si>
  <si>
    <t>Smiile</t>
  </si>
  <si>
    <t>Other Services (B2C Non-Financial), Social Content, Social/Platform Software*</t>
  </si>
  <si>
    <t>Developer of a social networking website designed to facilitate neighborly relations within the commune. The company's website offers sharing facilities ranging from carpooling to garden-sharing options, also offers local mutual aid which has created concrete solutions to facilitate the act of sharing on a daily basis, enabling people to communicate via the website.</t>
  </si>
  <si>
    <t>Bouygues (PAR: EN), Bpifrance, Ternel</t>
  </si>
  <si>
    <t>collaborative services, internal communication, local events, sharing portal, social network, social networking site</t>
  </si>
  <si>
    <t>101759-41T</t>
  </si>
  <si>
    <t>Alter Equity(Fanny Picard), Bpifrance, Cyberport Hong Kong</t>
  </si>
  <si>
    <t>158868-73T</t>
  </si>
  <si>
    <t>Patrivia</t>
  </si>
  <si>
    <t>Operator of an online promotion and ticketing platform intended to discover, plan and book cultural visits throughout France and Belgium. The company's platform is a trusted community marketplace for people to list, discover and book cultural visits with a vision to safeguard the heritage and also connect people by sharing their experiences, enabling visitors to buy their tickets online.</t>
  </si>
  <si>
    <t>guided tours, online promotion, ticketing platform, tourism activities, tourism services, tourism travel</t>
  </si>
  <si>
    <t>101691-73T</t>
  </si>
  <si>
    <t>50 Partners, Alain Sarfati, Alven Capital Partners(Guillaume Aubin), Francis Nappez(Francis Nappez)</t>
  </si>
  <si>
    <t>88617-70T</t>
  </si>
  <si>
    <t>Wild Horses</t>
  </si>
  <si>
    <t>Broadcasting, Radio and Television*</t>
  </si>
  <si>
    <t>Operator of an audiovisual production company intended to create and produce visual content. The company's programs are specialized in premium content covering various genres of drama, documentaries, and kids and family programs, enabling viewers and audiences to see specialized and original programs.</t>
  </si>
  <si>
    <t>Alliance Entreprendre(Antoine Bodet), Autonomie &amp; Solidarité</t>
  </si>
  <si>
    <t>content production, family program, production company, television program, tv series, visual content</t>
  </si>
  <si>
    <t>120608-65T</t>
  </si>
  <si>
    <t>Day One Entrepreneurs &amp; Partners(Michel de Guilhermier)</t>
  </si>
  <si>
    <t>99590-86T</t>
  </si>
  <si>
    <t>Breega</t>
  </si>
  <si>
    <t>166371-13T</t>
  </si>
  <si>
    <t>GoodsID</t>
  </si>
  <si>
    <t>Application Software, Financial Software*, Other Services (B2C Non-Financial)</t>
  </si>
  <si>
    <t>Developer of a secured digital wallet designed to verify the authenticity of an item's information as provided by the seller. The company's wallet is based on a blockchain protocol, the foundation of a new model of data security, tamper-proof and completely anonymized, enabling clients to secure data relating to the ownership, the nature, value and authenticity of the item in the form of a forgery-proof digital certificate.</t>
  </si>
  <si>
    <t>blockchain technology platform, digital passport, digital wallet platform, digital wallet service, digital wallet system, secure digital wallet</t>
  </si>
  <si>
    <t>101570-23T</t>
  </si>
  <si>
    <t>DuVal Family Association, NewAlpha Asset Management(Lior Derhy), ODDO BHF Group, Open CNP(Hélène Falchier), XAnge(Cyril Bertrand)</t>
  </si>
  <si>
    <t>105478-21T</t>
  </si>
  <si>
    <t>Lorraine Regional Council, WeInvest Capital Partners</t>
  </si>
  <si>
    <t>101411-29T</t>
  </si>
  <si>
    <t>Adikteev</t>
  </si>
  <si>
    <t>Provider of performance-driven mobile marketing services intended for app publishers. The company specializes in user retention, it provides tailored strategies, creatives, user engagement, and algorithms services, helping clients to increase retention, grow in-app revenue, and build user loyalty with custom retargeting and churn prediction campaigns.</t>
  </si>
  <si>
    <t>BNP Paribas Développement, ISAI(Christophe Raynaud), Laurent Asscher(Laurent Asscher), Ring Capital(Geoffroy Bragadir), Ventech (Paris)</t>
  </si>
  <si>
    <t>advertising platform, analytics software, app retargeting platform, digital advertising, digital advertising platform, dynamic creative optimization, media service software, mobile advertising, mobile marketing platform, user engagement</t>
  </si>
  <si>
    <t>127351-81T</t>
  </si>
  <si>
    <t>Diatly</t>
  </si>
  <si>
    <t>Provider of brand integration services intended to ensure that the products are visible during searches by keywords and filters through its collaborated marketplaces. The company's services offer to manage the e-commerce value chain between brands and marketplaces such as automatic integration of their product catalog as well as data enrichment, mapping, commercial animation management, after-sales service, single billing, and logistics, enabling brands to sell their products efficiently on the french and foreign e-commerce sites.</t>
  </si>
  <si>
    <t>Breega(François Paulus), Courtin Investment(Christophe Courtin), Day One Entrepreneurs &amp; Partners(Eric Kalfon), Hugues Pitre(Hugues Pitre), M Capital Partners(Karim Oumoussa)</t>
  </si>
  <si>
    <t>branding advertising service, branding collaboration, commercial animation management, information technology, marketplace management service, marketplace service</t>
  </si>
  <si>
    <t>114256-00T</t>
  </si>
  <si>
    <t>Accuracy Partners, Alter Equity, Finovam Gestion, Nord Création, Nord France Amorçage, Olivier Duha(Olivier Duha)</t>
  </si>
  <si>
    <t>83147-50T</t>
  </si>
  <si>
    <t>PayinTech</t>
  </si>
  <si>
    <t>Developer of IoT-based cashless payment software intended to simplify transactions. The company's cashless payment software integrates monetary payments and offers an electronic bracelet that directly connects to wireless Android terminals, thereby helping players from the entertainment and tourism industries to optimize their management of financial flows and pay at concerts or events.</t>
  </si>
  <si>
    <t>Alpes Capital Innovation, Caisse des Depots Group, FaDiese, Inocap Gestion, Karista (Paris)(Yvan-Michel Ehkirch), Paris Region Venture Fund</t>
  </si>
  <si>
    <t>cashless payment, cashless payment platform, cashless payment system, digital payment, electronic payment software, payment solutions</t>
  </si>
  <si>
    <t>FinTech, Wearables &amp; Quantified Self</t>
  </si>
  <si>
    <t>101343-70T</t>
  </si>
  <si>
    <t>Studeal</t>
  </si>
  <si>
    <t>Developer of a SaaS based student association management software designed to make student's life easy. The company's software permits students to take advantage of good deals, and discounts intended, and to easily manage the different poles of their association, enabling companies to promote and distribute their special student offers.</t>
  </si>
  <si>
    <t>Bpifrance, Caisse d'Epargne, Fondation UNICE, Mutuelle Assurance Commerçants et Industriels France(Adrien Couret), P.Factory</t>
  </si>
  <si>
    <t>association management, association management service, association management software, community management, student association</t>
  </si>
  <si>
    <t>189422-20T</t>
  </si>
  <si>
    <t>Clay AIR</t>
  </si>
  <si>
    <t>Developer of a hardware-agnostic software designed to permit 3D recognition from a simple 2D lens. The company is a proprietary software solution that enables physical interaction with the digital world for a variety of mobile, XR, and other devices using computer vision and artificial intelligence specializing in gesture recognition, thereby enabling users to experience a cross-platform gesture recognition SDK on their smartphones.</t>
  </si>
  <si>
    <t>Financiere Jeulin, Plug and Play Tech Center</t>
  </si>
  <si>
    <t>3d content, 3d recognition, computer vision, gesture recognition platform, immersive experiences, motion tracking</t>
  </si>
  <si>
    <t>132673-87T</t>
  </si>
  <si>
    <t>G-Keep</t>
  </si>
  <si>
    <t>Developer of fuel-connected sensors intended to monitor fuel levels in real-time. The company's sensors coupled with an analytics application monitor consumption and optimize fuel expenses while securing it through its device consisting of a connected box fixed under the tank transmitting the data in real-time, enabling users to secure their fuel and to be alerted in real-time in the event of theft from their vehicle on construction sites or farms.</t>
  </si>
  <si>
    <t>Bpifrance(Hervé Duval), Davidson Consulting(Yann Kerguiduff), GO Capital (France)(Alexis Menard)</t>
  </si>
  <si>
    <t>fuel expense monitoring, fuel monitoring, fuel theft prevention, remote monitoring, smart sensor, vehicle fuel</t>
  </si>
  <si>
    <t>190948-87T</t>
  </si>
  <si>
    <t>AlloVoisins</t>
  </si>
  <si>
    <t>Operator of a community-based platform intended to help users with household services or rent equipment from neighbors. The company's platform allows users to post a request for an object or service and receive offers from their neighbors, enabling users to select a bid and pay for the service or product using an online platform.</t>
  </si>
  <si>
    <t>FP Invest</t>
  </si>
  <si>
    <t>community platform operator, goods rental, goods trading marketplace, rental equipment, rental goods, rental product</t>
  </si>
  <si>
    <t>114081-94T</t>
  </si>
  <si>
    <t>Hydrelis</t>
  </si>
  <si>
    <t>Developer of a water circuit breaker designed to detect leaks on various types of pipes and stop the water to prevent risks. The company's water circuit breaker responds to the growing challenges linked to quality, safety and environmental protection and offers leak management and pipeline rupture management services, enabling customers to monitor and track their water consumption.</t>
  </si>
  <si>
    <t>CapHorn Invest(Alexandre Pelletier), SUEZ Ventures(Joanna Parent)</t>
  </si>
  <si>
    <t>circuit breakers, leakage prevention, leakage protection, water consumption tracker, water leak detection, water management service</t>
  </si>
  <si>
    <t>Isques, France</t>
  </si>
  <si>
    <t>101194-21T</t>
  </si>
  <si>
    <t>Klaxit</t>
  </si>
  <si>
    <t>Developer of a carpooling application designed to meet the travel needs of workers. The company's application offers specific constraints for employees in terms of detours, variable hours, and cost-sharing and creates a local carpooling network, enabling corporate employees to find people on their daily trips.</t>
  </si>
  <si>
    <t>Abeille Impact Investing France, RATP Capital Innovation(Stéphanie Bourgeais), Sodexo Ventures, Ternel, Via ID(Yann Marteil), Wind Capital</t>
  </si>
  <si>
    <t>carpool service, carpooling application, carpooling network, carpooling platform, mobility tech, ridehailing platform, rides hailing, ridesharing app, ridesharing marketplace</t>
  </si>
  <si>
    <t>Mobile, Mobility Tech, Ridesharing, TMT</t>
  </si>
  <si>
    <t>101251-18T</t>
  </si>
  <si>
    <t>Storetail Marketing Services</t>
  </si>
  <si>
    <t>Developer of a digital retail media platform designed to recreate the physical in-store customer experience on an e-commerce site. The company's platform avails highlighting products and sales promotions, while specifically targeting those consumers who might be attracted by a given offer, providing increased visibility for advertised brands, a source of monetizing for stores and personalized commercial experience for consumers, enabling retailers to promote their goods and service on a self-service basis.</t>
  </si>
  <si>
    <t>ISAI(Jean-David Chamboredon), Ventech (Paris)(Audrey Soussan)</t>
  </si>
  <si>
    <t>crm, customer relationship management, digital commerce, digital media platform, digital retail media technology, ecommerce retailer, retail marketing platform, retail media technology, trade marketing</t>
  </si>
  <si>
    <t>E-Commerce, Marketing Tech, SaaS, TMT</t>
  </si>
  <si>
    <t>108591-85T</t>
  </si>
  <si>
    <t>Atelier Nubio</t>
  </si>
  <si>
    <t>Other Consumer Non-Durables*, Other Pharmaceuticals and Biotechnology, Specialty Retail</t>
  </si>
  <si>
    <t>Producer of detoxification supplements intended to remove toxic substances from the body for maintaining a healthy lifestyle. The company offers a wide range of products composed of fresh juices and raw vegetables that are cold-pressed, are produced through organic farming, and are high in nutritional value, enabling consumers to recharge their bodies with micronutrients while enjoying a digestive pause.</t>
  </si>
  <si>
    <t>Kima Ventures, Mouvement &amp; Finance</t>
  </si>
  <si>
    <t>detoxification supplements, healthy juices, healthy supplements, holistic beauty, juice maker, natural cosmetics, organic juice</t>
  </si>
  <si>
    <t>101063-71T</t>
  </si>
  <si>
    <t>Intuiface</t>
  </si>
  <si>
    <t>Business/Productivity Software, Multimedia and Design Software, Software Development Applications*</t>
  </si>
  <si>
    <t>Developer of a software development application designed to create touch-first digital signage without writing codes. The company's platform uses interactive technologies, multi-touch, and sensor-driven content to create, deploy, and analyze deeply immersive, personalized, multi-channel interactive digital experiences, enabling clients to improve audience engagement without any programming.</t>
  </si>
  <si>
    <t>Bpifrance, IRDI Capital Investissement(Jean-Michel Petit), M Capital Partners(Julien Charles-Lavauzelle)</t>
  </si>
  <si>
    <t>connected service, digital engagement, digital signage platform, game engine, gaming development, interactive application, interactive digital content, interactive signage, smart city, touch screen software</t>
  </si>
  <si>
    <t>123248-08T</t>
  </si>
  <si>
    <t>95252-86T</t>
  </si>
  <si>
    <t>Capagro, Caravelle (Asset Management), Danone Manifesto Ventures</t>
  </si>
  <si>
    <t>100987-39T</t>
  </si>
  <si>
    <t>The People</t>
  </si>
  <si>
    <t>Hotels and Resorts*, Other Services (B2C Non-Financial)</t>
  </si>
  <si>
    <t>Operator of a chain of hostel networks catering to families, couples, solo travelers, and co-workers across the globe. The company offers long-term stays, last-minute reservations, and contemporary hospitality, and provides space for concerts, exhibitions, workshops, and meetings, enabling clients to get accommodation at competitive prices and in convivial locations.</t>
  </si>
  <si>
    <t>Bpifrance, Extendam</t>
  </si>
  <si>
    <t>accommodation service, dorm rooms, hostel chain, hostel chain operator, hostel operator, rooms accommodation, youth hostel</t>
  </si>
  <si>
    <t>101017-90T</t>
  </si>
  <si>
    <t>50 Partners(Jerome Masurel), ISAI(Jean-David Chamboredon), Plug and Play Tech Center</t>
  </si>
  <si>
    <t>120398-05T</t>
  </si>
  <si>
    <t>BambooVentures, Pays de La Loire Development, Pays de la Loire Participations, Pick &amp; Pack</t>
  </si>
  <si>
    <t>101169-73T</t>
  </si>
  <si>
    <t>123 Investment Managers, Altana Investissements, Caisse des Depots Group, CDC International Capital, InVenture Partners(Sergey Azatyan), LeasePlan, RATP Capital Innovation(Catherine Guillouard), Société de Développement Professionnel Pierre Esnée, Weber Investissements</t>
  </si>
  <si>
    <t>177242-95T</t>
  </si>
  <si>
    <t>DejBox</t>
  </si>
  <si>
    <t>Food Products, Other Restaurants, Hotels and Leisure*, Other Services (B2C Non-Financial)</t>
  </si>
  <si>
    <t>Operator of a food delivery startup intended to deliver lunch boxes to working individuals at their offices in Paris. The company designs its own meals and works with other companies to cook them, sell them and deliver them, enabling employees to easily get ready-to-eat fresh, cooked and seasonal dishes delivered to their workplace at no charge.</t>
  </si>
  <si>
    <t>Allied Investors Group, BNP Paribas Développement, Id4 Ventures</t>
  </si>
  <si>
    <t>corporate restaurant, food delivery service, food ecommerce, lunch delivery, lunch delivery app, lunch delivery platform, lunch delivery service, lunch online, online lunch books, online lunch delivery, restaurant marketplace</t>
  </si>
  <si>
    <t>E-Commerce, FoodTech, Restaurant Technology, TMT</t>
  </si>
  <si>
    <t>Marcq-en-Baroeul, France</t>
  </si>
  <si>
    <t>107967-61T</t>
  </si>
  <si>
    <t>Driveforme</t>
  </si>
  <si>
    <t>Operator of a car rental platform intended to offer simple, fast and transparent transportation services. The company's platform offers a wide range of vehicles from economy to premium class with a flexible rental period, complete and regular maintenance as well as insurance and manufacturer's warranty, enabling professional drivers to get a comprehensive and safe vehicle rental option.</t>
  </si>
  <si>
    <t>car rent platform, car rental, car rental service, vehicle rental platform, vehicle rental service</t>
  </si>
  <si>
    <t>FinTech, Industrials, InsurTech, Mobility Tech</t>
  </si>
  <si>
    <t>176935-87T</t>
  </si>
  <si>
    <t>En Voiture Simone</t>
  </si>
  <si>
    <t>Operator of instructor discovery platform intended for driving. The company's platform helps to find driving instructors as per the requirements, thereby enabling learners to connect with instructors and learn how to drive with their help.</t>
  </si>
  <si>
    <t>Amundi (PAR: AMUN), Crédit Agricole Innovations et Territoires (CAIT), Supernova Invest</t>
  </si>
  <si>
    <t>driving instructor, driving lessons, driving lessons app, driving school, driving school company, driving school operator, instructor search</t>
  </si>
  <si>
    <t>101005-03T</t>
  </si>
  <si>
    <t>JLCD Transport Express</t>
  </si>
  <si>
    <t>Application Software, Logistics*</t>
  </si>
  <si>
    <t>Provider of transportation services intended to focus on the transport of hazardous materials. The company's services offer transportation of dangerous and radioactive materials that are used in medical centers for developing imaging and nuclear medicine, enabling companies to easily transport goods safely and organize the removal and delivery of pallets, materials, packages, letters, luggage, and bulk.</t>
  </si>
  <si>
    <t>express transport, goods transport, logistics service, transport service, transportation chemicals, transportation company</t>
  </si>
  <si>
    <t>Douvrin, France</t>
  </si>
  <si>
    <t>100502-92T</t>
  </si>
  <si>
    <t>Finovam Gestion, France Active, IRDI Capital Investissement</t>
  </si>
  <si>
    <t>108598-33T</t>
  </si>
  <si>
    <t>Spottt</t>
  </si>
  <si>
    <t>Developer of business and mapping management system intended to offer online location management and monetization. The company's system designs unique and innovative management options for events, simplifies complex processes, and builds high-performance architectures that meet every requirements customer relationship management services, collective plans, data marketing services, online payment, and contract management, enabling organizers to remain organized and manage events effortlessly.</t>
  </si>
  <si>
    <t>Bpifrance, Courtin Investment, Rhone Development Initiative</t>
  </si>
  <si>
    <t>crm system, event management tool, events data, gestion locative, location management, mapping works</t>
  </si>
  <si>
    <t>100917-91T</t>
  </si>
  <si>
    <t>Wildmoka</t>
  </si>
  <si>
    <t>Developer of a digital content creation platform designed to assist in video creation and publishing. The company's digital content creation platform develops digital marketing and monetization models, produces more content, and explores brand-new user experiences and monetization opportunities.</t>
  </si>
  <si>
    <t>Alven Capital Partners(Guillaume Aubin), Apicap(Louis Renaudin)</t>
  </si>
  <si>
    <t>audience engagement, cloud video platform, digital content access, digital content creation, digital video production, video creation, video editing platform, video interaction</t>
  </si>
  <si>
    <t>100803-43T</t>
  </si>
  <si>
    <t>ForCity</t>
  </si>
  <si>
    <t>Developer of a decision support platform designed to facilitate the process of strategic planning and operational optimization through 3D and 4D simulation. The company's platform integrates datasets on city's parameters including energy and water usage, real estate projects and land availability, uses 3D and 4D simulation to generate reports and shares the reports with municipality managers, enabling municipalities to optimize their development strategies in the field of energy, waste, land use and economic development.</t>
  </si>
  <si>
    <t>Axeleo, Caisse des Depots Group, Crédit Mutuel Equity, Omnes Capital, SWEN Capital Partners</t>
  </si>
  <si>
    <t>decision support platform, energy optimization platform, municipal data analysis, municipalities development, simulation software, strategic planning software, strategic planning tools</t>
  </si>
  <si>
    <t>126957-97T</t>
  </si>
  <si>
    <t>MashaMa</t>
  </si>
  <si>
    <t>Operator of a women's fashion brand intended to offer independently designed apparel. The company's brand offers a collection of fashion apparel showcased in beauty pageants and fashion events, enabling customers to have the latest fashion trends designed to impress.</t>
  </si>
  <si>
    <t>SU&amp;Financial Investment, Vertex Ventures China</t>
  </si>
  <si>
    <t>apparel &amp; fashion, clothing line, designer clothes, designer women's wear, women apparel, women's wear</t>
  </si>
  <si>
    <t>101068-93T</t>
  </si>
  <si>
    <t>Recommerce Group</t>
  </si>
  <si>
    <t>Information Services (B2C)*, Media and Information Services (B2B)</t>
  </si>
  <si>
    <t>Provider of buyback and re-marketing services intended to increase the sale of refurbished mobile phones. The company's services include giving second-hand market prices in real-time, short to medium-term price forecasts, and buyback commitment for leasing programs, enabling clients to have access to a variety of electronics at an affordable cost.</t>
  </si>
  <si>
    <t>Blue Fund Consulting &amp; Invest, Capza(Bruno Bonnin), Creadev(Florent Thomann), Labruyère Développement et Industries</t>
  </si>
  <si>
    <t>buyback service, optimisation engine, reconditioning device, recycling service, refurbished product, refurbished smartphones, reused product</t>
  </si>
  <si>
    <t>108278-02T</t>
  </si>
  <si>
    <t>Seiza</t>
  </si>
  <si>
    <t>Developer of recruiting marketing and automation platform designed to assist in connecting recruiters with talent on social networks. The company's platform transforms social networks into a source of quality talent, enabling enterprises to extend their employer brands, drive referrals organically and target specific profiles.</t>
  </si>
  <si>
    <t>candidate sourcing, human resources tools, job matching platform, online recruiting platform, online recruitment, recruiting automation, recruiting services, recruitment platform, social recruiting</t>
  </si>
  <si>
    <t>100706-86T</t>
  </si>
  <si>
    <t>Arnaud Crepier(Arnaud Crepier), Cody Cagnina(Cody Cagnina), Financière Saint James, Index Ventures(Dominique Vidal), Laurent Asscher(Laurent Asscher), Louis Jonckheere(Louis Jonckheere), Michael Benabou(Michael Benabou), MVC (New York), Natan Fisher(Natan Fisher), Pieterjan Bouten(Pieterjan Bouten)</t>
  </si>
  <si>
    <t>108738-73T</t>
  </si>
  <si>
    <t>Alliance Entreprendre(Bertrand Pénicaud)</t>
  </si>
  <si>
    <t>108865-00T</t>
  </si>
  <si>
    <t>Bubblz</t>
  </si>
  <si>
    <t>Developer of a cloud-based process management platform designed to streamline and make processes easier. The company's platform relies on quick and intuitive file sharing to integrate all process stakeholders into the same platform, enabling businesses to secure the execution of tasks and analyze workflows.</t>
  </si>
  <si>
    <t>BNP Paribas (PAR: BNP), ESSEC Ventures, Moovjee, Pecari Ventures(David Aschenbroich)</t>
  </si>
  <si>
    <t>business processing platform, cloud computing, no coding platform, process improvement software, project management, project management platform, project management technology</t>
  </si>
  <si>
    <t>100667-98T</t>
  </si>
  <si>
    <t>Christophe Courtin(Christophe Courtin), Day One Entrepreneurs &amp; Partners, Investessor, Jean-Marc Bouhelier</t>
  </si>
  <si>
    <t>136745-11T</t>
  </si>
  <si>
    <t>Canaan Partners(Michael Gilroy), Eurazeo (PAR: RF)(Virginie Morgon), H14, Highland Europe(Anthony Zappalà), Seed4Soft</t>
  </si>
  <si>
    <t>109112-50T</t>
  </si>
  <si>
    <t>130435-57T</t>
  </si>
  <si>
    <t>Fraichement Bon</t>
  </si>
  <si>
    <t>Supplier of fruits and vegetables intended to offer fresh food. The company offers food items that are free of additives or preservatives, ultra-fresh, and premium quality, enabling urban consumers to maintain a healthy diet.</t>
  </si>
  <si>
    <t>Alliance Entreprendre, Andros (Food Products)</t>
  </si>
  <si>
    <t>food retailing, fresh fruit, fresh vegetables, ready to serve food, ready to serve product</t>
  </si>
  <si>
    <t>Beaune, France</t>
  </si>
  <si>
    <t>108735-94T</t>
  </si>
  <si>
    <t>Skwirrel</t>
  </si>
  <si>
    <t>Automation/Workflow Software, Business/Productivity Software*, Social/Platform Software</t>
  </si>
  <si>
    <t>Developer of an energy computing platform based in Nevers, France. The company designs and offers a platform to support, monitor and control the energy consumption, enabling customers to analyze their energy consumption, identify their needs and optimize their usage, thereby contributing to the overall welfare of the society and planet.</t>
  </si>
  <si>
    <t>energy computing, energy consumption control, energy consumption software, energy management platform, platform developer</t>
  </si>
  <si>
    <t>130333-51T</t>
  </si>
  <si>
    <t>Solen (Business/Productivity Software)</t>
  </si>
  <si>
    <t>Developer of sunshine-measuring mobile application designed to measure the sunshine and the natural brightness of an apartment. The company's application is integrated with time curves and augmented reality technology which helps users to take a photo from their smartphones and quantify the exposure and the hour of sunlight in a place, taking into account its location and its immediate environment, enabling the real estate industry companies to measure the brightness of a particular area and make decisions about the architecture of buildings, apartments, houses, and rooms.</t>
  </si>
  <si>
    <t>Benoit Balloy(Benoit Balloy), Bpifrance(Edwige Kharoubi), Guillaume Lestrade(Guillaume Lestrade)</t>
  </si>
  <si>
    <t>brightness sensor, property safety, property solution, sun exposure, sunlight protection, technological solution</t>
  </si>
  <si>
    <t>Augmented Reality, Mobile, Real Estate Technology, TMT</t>
  </si>
  <si>
    <t>124449-40T</t>
  </si>
  <si>
    <t>Luneale</t>
  </si>
  <si>
    <t>Manufacturer of menstrual cup products intended to innovate the service of personal hygiene and women's health. The company's products include cup wipes, sassy mousse, and roll-ons, which are developed by cup-friendly care on-demand and in co-creation with customers, enabling women to have hours of wear without any discomfort, leakage, or smell.</t>
  </si>
  <si>
    <t>3A Venture, 5M Ventures, Investisseurs privés</t>
  </si>
  <si>
    <t>menstrual care, menstrual cups, menstrual hygiene, menstrual product, women hygiene, women hygiene product</t>
  </si>
  <si>
    <t>108346-24T</t>
  </si>
  <si>
    <t>BimBimGo</t>
  </si>
  <si>
    <t>Application Software, Food Products*, Internet Retail</t>
  </si>
  <si>
    <t>Developer of a food delivery platform designed to deliver quick meals in less than ten minutes. The company's platform offers locally cooked food with carefully selected ingredients favoring seasonal products and a daily changing menu, enabling consumers to have healthy meals anytime.</t>
  </si>
  <si>
    <t>Balderton Capital, Dragon Investors, Financière Saint James, Kima Ventures, Lise Invest, Notus Technologies</t>
  </si>
  <si>
    <t>food delivery app, free delivery, handmade dishes, healthy dishes, student catering service</t>
  </si>
  <si>
    <t>191703-70T</t>
  </si>
  <si>
    <t>Fvrther</t>
  </si>
  <si>
    <t>Educational Software*, Entertainment Software, Media and Information Services (B2B)</t>
  </si>
  <si>
    <t>Operator of a digital learning platform intended to offer e-learning facilities. The company's platform through an online gaming application helps in offering a teaching tool, enabling clients to receive a mobile and scalable learning management system platform.</t>
  </si>
  <si>
    <t>Bpifrance, La French Tech, Paris Region Venture Fund</t>
  </si>
  <si>
    <t>e-learning facility, e-learning games, gaming app, learning app, learning management system, mobile application</t>
  </si>
  <si>
    <t>95063-59T</t>
  </si>
  <si>
    <t>Allianz France, Alven Capital Partners(François Meteyer), Eurazeo (PAR: RF), Felix Capital(Antoine Nussenbaum), Via ID</t>
  </si>
  <si>
    <t>111920-59T</t>
  </si>
  <si>
    <t>Bourgogne Franche Comte Angels, Capital Grand Est(James Grivet), Kima Ventures(Xavier Niel)</t>
  </si>
  <si>
    <t>138502-54T</t>
  </si>
  <si>
    <t>125122-87T</t>
  </si>
  <si>
    <t>Eduardo Mansi(Eduardo Mansi), IFP Investissements, Parness Innov, Val de France Angels</t>
  </si>
  <si>
    <t>102614-86T</t>
  </si>
  <si>
    <t>NXVision (Financial Software)</t>
  </si>
  <si>
    <t>Developer of a mobile payment application designed to increase transparency and empower local development initiatives. The company's application leverages pooled remittances into direct payments using APIs to aggregate funds sent to network partner banks, enabling users to transact safely and securely.</t>
  </si>
  <si>
    <t>GreenTec Capital Partners</t>
  </si>
  <si>
    <t>community purchasing, consumer payment, debit &amp; p2p, group purchasing, international payment platform, microfinance platform, p2p, transfer payment platform</t>
  </si>
  <si>
    <t>FinTech, Mobile, Mobile Commerce, SaaS</t>
  </si>
  <si>
    <t>101968-03T</t>
  </si>
  <si>
    <t>Arts et Métiers Business Angels, Blue Factory ESCP, Bpifrance, Caisse d'Epargne, Expanso Capital</t>
  </si>
  <si>
    <t>100663-84T</t>
  </si>
  <si>
    <t>BNP Paribas Développement, C Entrepreneurs, Caisse d'Epargne, CapHorn Invest(Laurent Dumas-Crouzillac), Matmut</t>
  </si>
  <si>
    <t>123526-63T</t>
  </si>
  <si>
    <t>SetKeeper</t>
  </si>
  <si>
    <t>Movies, Music and Entertainment, Multimedia and Design Software*</t>
  </si>
  <si>
    <t>Developer of a production management software committed to revolutionizing the production landscape with new and empowering technologies. The company's platform provides document watermarking and distribution, script sides, and electronic signature service for operational and technical management of audiovisual projects such as films, television shows, and broadcasts, enabling its clients to coordinate the physical production process conveniently and safely.</t>
  </si>
  <si>
    <t>Pascal Viguié(Pascal Viguié)</t>
  </si>
  <si>
    <t>audio visual project, audio visual software, film production software, media software, movie production service, multimedia projects, production management, television unit</t>
  </si>
  <si>
    <t>136005-67T</t>
  </si>
  <si>
    <t>Studizen</t>
  </si>
  <si>
    <t>Developer of a learning engagement platform intended to focus on user engagement and visibly improve learning outcomes. The company's platform organizes, centralizes and modernizes applications already used by teachers, students and administration, enabling educational institutions to facilitate the implementation of the project-based approach, peer learning and reverse classroom.</t>
  </si>
  <si>
    <t>education platform, education software, e-learning app, learning engagement, peer learning platform, sharing platform</t>
  </si>
  <si>
    <t>100543-96T</t>
  </si>
  <si>
    <t>Alto Invest, Bpifrance, NFactory (Accelerator), Normandie Participations</t>
  </si>
  <si>
    <t>100443-79T</t>
  </si>
  <si>
    <t>Alzprotect</t>
  </si>
  <si>
    <t>Operator of a biotechnology company intended to specialize in neurodegeneration and tauopathies. The company focuses its research on tauopathies where neuronal degeneration is the consequence of the abnormal aggregation of hyperphosphorylated Tau proteins combined with inflammation, enabling doctors to have drug candidates for the treatment of neurodegenerative diseases including Alzheimer's disease and orphan tauopathies such as Progressive Supranuclear Palsy.</t>
  </si>
  <si>
    <t>Finovam Gestion, University of Lille Foundation, Xerys Invest(Olivier Ossipoff)</t>
  </si>
  <si>
    <t>alzheimer care, alzheimer drugs, alzheimer's disease, biologics, biotech pharma, drugs design, neurodegenerative care, neurodegenerative drugs, peptides, protein</t>
  </si>
  <si>
    <t>175413-34T</t>
  </si>
  <si>
    <t>Plant 4.0 Startup Incubator</t>
  </si>
  <si>
    <t>124019-02T</t>
  </si>
  <si>
    <t>Boundary Holding, Starquest Capital(Julien Le Drogo), Tonner Drones (PAR: ALTD)</t>
  </si>
  <si>
    <t>100649-08T</t>
  </si>
  <si>
    <t>173375-83T</t>
  </si>
  <si>
    <t>Jane de Boy</t>
  </si>
  <si>
    <t>Developer of a clothing and styling platform intended to offer multi-category fashion items. The company's platform offers fashion products for men and women across various brands and designers available at the stores and as well as online on the website, providing customers with a huge variety of fashion and lifestyle items internationally.</t>
  </si>
  <si>
    <t>designer products, designer stores, e commerce website, fashion clothing, lifestyle products, retail store</t>
  </si>
  <si>
    <t>Lège-Cap-Ferret, France</t>
  </si>
  <si>
    <t>158320-90T</t>
  </si>
  <si>
    <t>Livsty</t>
  </si>
  <si>
    <t>Brokerage*, Other Financial Services</t>
  </si>
  <si>
    <t>Operator of an investment platform intended to transform life annuity equity investing into a solution of the future, simple, open to all, and united. The company's platform helps investors to pool their risks by taking part in multiple projects within their means, enabling users to invest in annuity-free property.</t>
  </si>
  <si>
    <t>Sia Partners(Matthieu Courtecuisse)</t>
  </si>
  <si>
    <t>investment platform, investment platform service, pooled investment, property investment, real estate investing, real estate investment</t>
  </si>
  <si>
    <t>119782-90T</t>
  </si>
  <si>
    <t>Charles Petrucelli, Financière Saint James, Marc Frappier(Marc Frappier), Michael Benabou(Michael Benabou), Nicolas Weil(Nicolas Weil), Thibault Basquin</t>
  </si>
  <si>
    <t>192244-60T</t>
  </si>
  <si>
    <t>110610-19T</t>
  </si>
  <si>
    <t>Zest HACCP</t>
  </si>
  <si>
    <t>Business/Productivity Software*, Media and Information Services (B2B), Other Restaurants, Hotels and Leisure</t>
  </si>
  <si>
    <t>Developer of a food safety management platform designed to control traceability and health control plan for all traditional and self-service departments mainly in mass distribution, the agri-food industries and retail groups. The company's platform offers a cleaning plan, automated temperature reading, tailor-made traceability, DLC management, personalized labeling, stock and inventory and usage statistics, enabling food professionals to save time, reduce losses, improve hygiene and increase consumer satisfaction.</t>
  </si>
  <si>
    <t>agribusiness marketplace, agribusiness service, agrifinance &amp; ecommerce, agrifinance and ecommerce, business software provider, commercial catering, food safety management, food safety program, management service, mass distribution</t>
  </si>
  <si>
    <t>FoodTech, Manufacturing, TMT</t>
  </si>
  <si>
    <t>188270-29T</t>
  </si>
  <si>
    <t>IGO (Media and Information Services)</t>
  </si>
  <si>
    <t>Provider of real-time 3D mapping services intended to create digital models for risk management. The company's mapping services offer intuitive interface portals, collaborative platforms, digital models, and real-time 3D mapping software for accessibility to geographic information for everyone, enabling users to integrate real-time 3D geographic data for risk and infrastructure management.</t>
  </si>
  <si>
    <t>Ipso Facto</t>
  </si>
  <si>
    <t>3d geographic data, 3d mapping software, digital mapping, geographic information, geolocation data, virtual &amp; augmented reality</t>
  </si>
  <si>
    <t>100231-03T</t>
  </si>
  <si>
    <t>Boost VC, CapHorn Invest(Laurent Dumas-Crouzillac), Cathay Capital Private Equity(Ming-po Cai), Cathay Innovation(Ming-po Cai), Courtin Investment, Digital Currency Group(Barry Silbert), Draper Associates(Timothy Draper), Draper Dragon, FirstMark Capital(Matthias Turck), GDTre, Korelya Capital(Fleur Pellerin), Molten Ventures (LON: GROW)(Simon Cook), Ternel</t>
  </si>
  <si>
    <t>189796-24T</t>
  </si>
  <si>
    <t>Inter Mutuelles Assistance, Matmut, Racer (Media and Information Services)</t>
  </si>
  <si>
    <t>103044-88T</t>
  </si>
  <si>
    <t>Dominique Vidal(Dominique Vidal), Grégoire Briens(Grégoire Briens), Id4 Ventures(Herve Cuviliez), Kerala Ventures(Antoine Freysz), Pierre Kosciusko Morizet(Pierre Kosciusko Morizet), XAnge</t>
  </si>
  <si>
    <t>102458-71T</t>
  </si>
  <si>
    <t>Cenareo</t>
  </si>
  <si>
    <t>Developer of a digital signage platform designed to provide organizations with an informed approach to their communication strategies. The company's platform simplifies the creation, publication, and dissemination of interactive content on any type of screen, enabling users to manage and broadcast content with ease, from a computer, tablet, or smartphone.</t>
  </si>
  <si>
    <t>Banque Populaire Occitane, Benjamin Hardy(Benjamin Hardy), BNP Paribas Capital Partners, Bpifrance, CapHorn Invest(Marion Chanéac), Sébastien Romelot(Sébastien Romelot)</t>
  </si>
  <si>
    <t>advertising agency, cloud-based platform, content marketing, digital communication tool, digital signage network, digital signage system, saas platform provider</t>
  </si>
  <si>
    <t>160541-20T</t>
  </si>
  <si>
    <t>NeoSpheres</t>
  </si>
  <si>
    <t>Provider of human resource consulting services intended to digitize human resource functions and talent management through assistance, implementation, and technical help. The company's services include managing human resource projects and assists in the whole process from implementation to deployment, and after, enabling companies to seek assistance to hire better human capital.</t>
  </si>
  <si>
    <t>hr software, hr solutions, human resource management, human resources advisor, human resources tech</t>
  </si>
  <si>
    <t>100088-11T</t>
  </si>
  <si>
    <t>Auriga Partners (Paris)(Franck Lescure), Elaia Partners(Franck Lescure), FaDiese, GO Capital (France)(Leila Nicolas), Omnes Capital(Claire Poulard), Paris Region Venture Fund, Participations Besançon, Tikehau Ace Capital(Delphine Dinard)</t>
  </si>
  <si>
    <t>100169-38T</t>
  </si>
  <si>
    <t>Omnes Capital(Marc Gasser), Partech(Boris Golden)</t>
  </si>
  <si>
    <t>136864-36T</t>
  </si>
  <si>
    <t>Wikicampers</t>
  </si>
  <si>
    <t>Operator of a vehicle rental platform intended to allow users to book a camper for less than with a professional rental company. The company's platform offers booking of vehicles for a trip with all-risk insurance that is included in the rental, management of the security deposit, rental contracts, and also documents concerning the inventory, enabling travelers to connect with owners of furnished vehicles and have a unique travel experience, which provides an unequaled feeling of freedom.</t>
  </si>
  <si>
    <t>leisure travel, motorhomes, motorhomes rental, transport and accommodation, travel facilitator service, vehicle rental platform</t>
  </si>
  <si>
    <t>101245-42T</t>
  </si>
  <si>
    <t>Agronergy</t>
  </si>
  <si>
    <t>Operator of an alternative biomass-based renewable company intended to provide turnkey heating to residential, commercial, and public buildings and municipal district heating networks. The company designs, produces, installs, supplies, and manages the maintenance of biomass boilers for business-to-business customers such as schools, gymnasiums, or eco-districts, enabling clients to avail heating services by recycling agricultural left-over at an affordable price while becoming autonomous in hot water and heating.</t>
  </si>
  <si>
    <t>Crédit Agricole Centre Loire, Generis Capital Partners</t>
  </si>
  <si>
    <t>clean fuel, energy service provider, energy services, environmental service, gas utility, hot water, power boiler, renewable heat supplier, renewable product, waste to fuel, waste-to-energy</t>
  </si>
  <si>
    <t>103548-88T</t>
  </si>
  <si>
    <t>EcoVadis</t>
  </si>
  <si>
    <t>Provider of business sustainability ratings, intelligence and collaborative performance improvement tools focused on global supply chains. The company offers reliable and easy-to-use corporate social responsibility ratings and scorecards that give a detailed insight into environmental, social and ethical risk factors thus helping to measure and reward companies for their sustainability, enabling buyers and suppliers alike to reduce risk in their supply chains.</t>
  </si>
  <si>
    <t>Partech(Mark Menell), Zobito(Markus Roithmeier)</t>
  </si>
  <si>
    <t>ai automation platform, collaborative platform, csr assessment, enterprise resource planning, global supply chain, inventory management, performance rating, supply chain management, supply chain planning, supply chain tech, sustainability rating, sustainability reporting</t>
  </si>
  <si>
    <t>135878-77T</t>
  </si>
  <si>
    <t>WebEngineering</t>
  </si>
  <si>
    <t>Operator of an online job-matching marketplace intended to address inter-contracting problems in engineering consulting firms. The company's online marketplace promotes exchanges and communication between different players and reduces the rates and durations of inter-contracts, enabling industrial contractors, engineering consultants, and freelancers to find engineers, recruit or take on a mission, or find a job, internship, or assignment matching their skills.</t>
  </si>
  <si>
    <t>Delta Investment, My Seed Cap</t>
  </si>
  <si>
    <t>engineer recruitment, engineering consultancy, jobs matches marketplace, online marketplace, recruiting platform, telecommunication recruitment</t>
  </si>
  <si>
    <t>E-Commerce, HR Tech</t>
  </si>
  <si>
    <t>122914-81T</t>
  </si>
  <si>
    <t>EuroPass</t>
  </si>
  <si>
    <t>Information Services (B2C)*, Other Financial Services, Other Services (B2C Non-Financial)</t>
  </si>
  <si>
    <t>Operator of a digital agency intended to provide social media management and mobile payment services. The company's agency provides Chinese e-commerce, digital ticketing and mobile payment for companies based in France, the U.K., Ireland, and similar countries, enabling travellers to travel without bothering about payment methods.</t>
  </si>
  <si>
    <t>Global Blue (NYS: GB), Partech(Romain Lavault), Plug and Play Tech Center</t>
  </si>
  <si>
    <t>digital communication agency, digital ticketing, enterprise payment, international payment service, mobile payment system, online payment site, payment, payment gateway software, payment platform, pos, wechat payment service</t>
  </si>
  <si>
    <t>169776-82T</t>
  </si>
  <si>
    <t>Soonvibes</t>
  </si>
  <si>
    <t>Developer of a community platform only designed to offer electronic music. The company connects artists with fans, music professionals and other companies by allowing them access to musicians of the electronic scene and other music genres, enabling clients to develop their visibility and network.</t>
  </si>
  <si>
    <t>Investisseurs privés</t>
  </si>
  <si>
    <t>electronic music producer, electronic musicians, electronic musicians platform, music media, music portal</t>
  </si>
  <si>
    <t>140970-97T</t>
  </si>
  <si>
    <t>Terminal 9 Studios</t>
  </si>
  <si>
    <t>Broadcasting, Radio and Television, Movies, Music and Entertainment*</t>
  </si>
  <si>
    <t>Operator of a documentary production studio intended to produce various kinds of programs designed for all French distributors. The company's studio offers creation, production, and distribution in the field of television and media that makes original French creation a priority strategic development axis to propose projects with the distribution of its formats, enabling broadcasters to attain new models and collaboration schemes adapted to each of its partners.</t>
  </si>
  <si>
    <t>creative production, documentary producer, documentary production, entertainment business, entertainment shows, tv production company</t>
  </si>
  <si>
    <t>107532-73T</t>
  </si>
  <si>
    <t>Même</t>
  </si>
  <si>
    <t>Manufacturer of beauty products intended to offer dermo-cosmetic products to women affected by cancer. The company's products include moisturizing and soothing mist to calm the irritations of the scalp caused by the rubbing of a wig, gloves, and slippers soaked in care to protect the extremities, and a whole range of treatment products for the epidermis of the face and the body, enabling cancer patients to feel good about themselves while fighting the disease.</t>
  </si>
  <si>
    <t>Eutopia(Antoine Fine), Laboratoires Pierre Fabre</t>
  </si>
  <si>
    <t>beauty branding, cancer patients, dermo-cosmetics, skin problems care, skincare product, treatment products</t>
  </si>
  <si>
    <t>123118-66T</t>
  </si>
  <si>
    <t>Clément Benoit(Clément Benoit), Founders Future, Julien Codorniou(Julien Codorniou), Monoprix, Ronan Le Moal(Ronan Le Moal), The Family (Financial Services), YADAY(Romain Afflelou)</t>
  </si>
  <si>
    <t>122124-07T</t>
  </si>
  <si>
    <t>100030-96T</t>
  </si>
  <si>
    <t>Sellsy</t>
  </si>
  <si>
    <t>Developer of a customer relationship and sales management platform designed to track the customer cycle operations. The company's platform offers tools to capture visitors on the website and transform them into leads, analyze website visitors' behavior, create personalized business proposals and efficiently categorize contacts, enabling businesses to manage their sales cycle including prospecting, selling, invoicing, support and marketing.</t>
  </si>
  <si>
    <t>Alto Invest, Sofiouest(Patrice Hutin)</t>
  </si>
  <si>
    <t>crm planning, crm platform, crm software product, customer relationship management, enterprise resource planning, lead generation service, sales management platform</t>
  </si>
  <si>
    <t>104653-72T</t>
  </si>
  <si>
    <t>Cogebio</t>
  </si>
  <si>
    <t>Manufacturer of biomass energy recovery machines designed to recover energy from biomass to produce heat and electricity. The company's biomass energy recovery machine helps to replace fossil-fuel burner on furnace or boiler dryer without modification, enabling industrial sectors to satisfy their heat requirements while reducing the consumption of fossil fuels and consequently, its energy bill.</t>
  </si>
  <si>
    <t>Demeter Partners(Benjamin Wainstain), Etia Ecotechnologies, SUEZ Ventures(Eric Landais)</t>
  </si>
  <si>
    <t>biomass, energy recovery, gasification, heat production</t>
  </si>
  <si>
    <t>CleanTech, Industrials, Manufacturing, TMT</t>
  </si>
  <si>
    <t>Irigny, France</t>
  </si>
  <si>
    <t>129994-30T</t>
  </si>
  <si>
    <t>Bpifrance, SIDE Capital</t>
  </si>
  <si>
    <t>118722-88T</t>
  </si>
  <si>
    <t>Bright Pixel Capital</t>
  </si>
  <si>
    <t>99557-56T</t>
  </si>
  <si>
    <t>Bristol-Myers Squibb (NYS: BMY)(Paul von Autenried), Lundbeckfonden BioCapital(Johan Kordel), Nestlé Health Science(Grégory Behar), Omnes Capital(Bruno Montanari), Seventure Partners(Isabelle de Cremoux), Xyence(Paolo Siviero)</t>
  </si>
  <si>
    <t>108623-98T</t>
  </si>
  <si>
    <t>Kiwibook</t>
  </si>
  <si>
    <t>Internet Retail*, Other Services (B2C Non-Financial), Specialty Retail</t>
  </si>
  <si>
    <t>Developer of an online retail platform designed to purchase and sell used products. The company's platform provides an interface with the option to buy or sell second-hand books, and video games, enabling users to find appropriate resale value for their products.</t>
  </si>
  <si>
    <t>Kima Ventures(Xavier Niel), Super Capital, Xavier Niel(Xavier Niel)</t>
  </si>
  <si>
    <t>online retail platform, sports &amp; leisure, sustainable development, used books marketplace, used books retail, video games retail</t>
  </si>
  <si>
    <t>Monteux, France</t>
  </si>
  <si>
    <t>135629-20T</t>
  </si>
  <si>
    <t>Rad (Clothing)</t>
  </si>
  <si>
    <t>Operator of an online shopping website intended to provide the latest fashion apparel. The company's website focuses on trending fashion for men and women and provides t-shirts and hoodies with logos and embroidery, enabling customers to have access to fashionable clothes.</t>
  </si>
  <si>
    <t>Indigo Capital</t>
  </si>
  <si>
    <t>fashion discovery platform, fashion platform, online shopping, online shopping website, retail platform, retail service</t>
  </si>
  <si>
    <t>Cornebarrieu, France</t>
  </si>
  <si>
    <t>103121-65T</t>
  </si>
  <si>
    <t>Icohup</t>
  </si>
  <si>
    <t>Developer of detector instruments designed to measure pollution and radioactivity. The company's detection devices connect to a mobile application showing real-time measurements of the types of pollution or radioactivity sensed and use geolocation to generate a map of affected areas, providing professionals and individuals with a portable and low-cost tool to measure the safety and quality of a potentially affected area.</t>
  </si>
  <si>
    <t>AQUITI Gestion, Femmes Business Angels, Kapinno, Nouvelle Aquitaine Co-Investissement</t>
  </si>
  <si>
    <t>detection instruments, iot hardware, pollution device, pollution measurement, pollution sensor, radiation protection device, radioactivity detectors, sensor system</t>
  </si>
  <si>
    <t>Internet of Things, LOHAS &amp; Wellness, Mobile</t>
  </si>
  <si>
    <t>203310-73T</t>
  </si>
  <si>
    <t>120353-68T</t>
  </si>
  <si>
    <t>Banque Populaire Grand Ouest, GO Capital (France)</t>
  </si>
  <si>
    <t>233517-79T</t>
  </si>
  <si>
    <t>Seventure Partners(Philippe Tramoy), Weaving Invest(Idir Idjerouidene)</t>
  </si>
  <si>
    <t>133450-12T</t>
  </si>
  <si>
    <t>188236-27T</t>
  </si>
  <si>
    <t>Alcator</t>
  </si>
  <si>
    <t>Machinery (B2B), Media and Information Services (B2B), Other Commercial Services*</t>
  </si>
  <si>
    <t>Provider of rental agricultural tractors intended for the purchase of a used agricultural tractor. The company offers community, snow removal, cleaning, and vegetable tractors, enabling clients with needs to account to offer the required equipment.</t>
  </si>
  <si>
    <t>agribusiness marketplace, agricultural equipment, agricultural machinery, agricultural tractors, agrifinance &amp; ecommerce, agrifinance and ecommerce, rental services, rental tractors, vegetables tractors</t>
  </si>
  <si>
    <t>Bray-Saint-Aignan, France</t>
  </si>
  <si>
    <t>108552-52T</t>
  </si>
  <si>
    <t>Askip</t>
  </si>
  <si>
    <t>Application Software, Communication Software*</t>
  </si>
  <si>
    <t>Developer of a communication application intended to send messages and get feedback anonymously.</t>
  </si>
  <si>
    <t>anonymous communication application, anonymous communication platform, anonymous feedback application, anonymous messaging application, anonymous messenger</t>
  </si>
  <si>
    <t>Saint Mard, France</t>
  </si>
  <si>
    <t>99727-39T</t>
  </si>
  <si>
    <t>Audace</t>
  </si>
  <si>
    <t>Operator of an e-learning services platform intended to produce tools for training, evaluation, and dissemination of knowledge. The company's platform facilitates the assimilation of content, practice, and regular feedback and offers personalized support to integrate digital tools into a global training course, enabling clients to meet educational objectives and improve learning.</t>
  </si>
  <si>
    <t>digital education, digital learning, education model, e-learning services provider, learning model, online education, self-learning tools</t>
  </si>
  <si>
    <t>204535-36T</t>
  </si>
  <si>
    <t>Automatique &amp; Industrie</t>
  </si>
  <si>
    <t>Automation/Workflow Software, Business/Productivity Software, Construction and Engineering*</t>
  </si>
  <si>
    <t>Provider of artificial intelligence services intended to provide automated explication for the infrastructure industry and energy sector. The company provides specialized services in automation, revamping, cybersecurity, smart data, energy monitoring, and software maintenance including its training and assistance, enabling businesses to bring themselves closer to the customer and understand their needs and demand.</t>
  </si>
  <si>
    <t>artificial intelligence, artificial intelligence services, automation tools, engineering company, industrial automation, industrial automation firm, industrial automation service</t>
  </si>
  <si>
    <t>Advanced Manufacturing, Artificial Intelligence &amp; Machine Learning</t>
  </si>
  <si>
    <t>219529-27T</t>
  </si>
  <si>
    <t>Awaceb</t>
  </si>
  <si>
    <t>Developer of video games designed for multiplayer experiences. The company specializes in developing open-world adventure games and 3D content, enabling users to play interactive games suited for PC and console.</t>
  </si>
  <si>
    <t>Kowloon Nights</t>
  </si>
  <si>
    <t>adventure games, game developer studio, gaming content, gaming developer, gaming publisher, gaming software system, gaming studio, interactive games, online gaming</t>
  </si>
  <si>
    <t>280228-69T</t>
  </si>
  <si>
    <t>Azur Tech Concept</t>
  </si>
  <si>
    <t>Developer of sound-to-light systems intended to help people with hearing impairments. The company offers a smart ear system that transcribes sounds into light signals, alerting users to important audio events such as doorbells. alarms, and sirens, enabling deaf and hard-hearing individuals to perceive environmental sounds through visual cues.</t>
  </si>
  <si>
    <t>ear system, hearing device, hearing impairment, safety enhancement, sound alerts device, sound awareness device</t>
  </si>
  <si>
    <t>216021-88T</t>
  </si>
  <si>
    <t>Binge Audio</t>
  </si>
  <si>
    <t>Media and Information Services (B2B), Movies, Music and Entertainment*</t>
  </si>
  <si>
    <t>Operator of a podcast network intended to provide audio content. The company host variety of content which is focused on editorial questions and financial concerns and also offers understandings of the world, stories, emotions, and cultural and artistic choices, enabling users to stay aware.</t>
  </si>
  <si>
    <t>Les Échos-Le Parisien group</t>
  </si>
  <si>
    <t>audio content, editorial questions, financial concerns, media studio, podcast firm, podcast show</t>
  </si>
  <si>
    <t>179268-13T</t>
  </si>
  <si>
    <t>Bloc In Bloc</t>
  </si>
  <si>
    <t>Developer of an augmented reality-based platform intended to enable the inspection of buildings and infrastructures. The company's tool helps import and manage projects with the augmented reality mode on their mobile application at each stage, ensuring an immersive experience, exhaustive and faster control of the work to be certified and better traceability and better information sharing to reduce the risk of damage to people and structures.</t>
  </si>
  <si>
    <t>Bpifrance, Rector Lesage, Saretec</t>
  </si>
  <si>
    <t>3d modeling, 3d modeling service, augmented reality, bim, mobile application, virtual reality</t>
  </si>
  <si>
    <t>Orvault, France</t>
  </si>
  <si>
    <t>124665-67T</t>
  </si>
  <si>
    <t>Arrive Opportunities Management(Neil Sirni), European Investment Bank (Luxembourg)</t>
  </si>
  <si>
    <t>259960-78T</t>
  </si>
  <si>
    <t>Auriga Partners</t>
  </si>
  <si>
    <t>123725-44T</t>
  </si>
  <si>
    <t>Entreprise Métal Insertion</t>
  </si>
  <si>
    <t>Provider of metalwork services intended to build a sustainable socio-professional integration path. The company's services include assembly-welding production, boiler-making, locksmith-metalworking, and storekeeping, providing customers with custom metalwork to build their fences, railings, staircases, and balconies.</t>
  </si>
  <si>
    <t>boiler maker, boiler unit, industrial product, integration services, metal product, metal work, welding product, welding work</t>
  </si>
  <si>
    <t>116523-55T</t>
  </si>
  <si>
    <t>Fasterize</t>
  </si>
  <si>
    <t>Business/Productivity Software*, Internet Software</t>
  </si>
  <si>
    <t>Developer of a website acceleration platform designed to optimize and reduce the loading times of the desktop. The company's platform helps in web performance, conversion optimization, search engine optimization, and performance management ofthe site by providing detailed monitoring of performance, enabling businesses to improve the performance of the websites.</t>
  </si>
  <si>
    <t>seo optimization, site management, web page builder, website acceleration, website creation, website developer</t>
  </si>
  <si>
    <t>123470-38T</t>
  </si>
  <si>
    <t>160977-43T</t>
  </si>
  <si>
    <t>Bpifrance, GO Capital (France)</t>
  </si>
  <si>
    <t>93588-58T</t>
  </si>
  <si>
    <t>Irisiome</t>
  </si>
  <si>
    <t>Developer of dermatological devices designed for aesthetic applications. The company's devices are used for tattooing, hair removal, or erasure as well as other dermatological uses, enabling clinicians to perform aesthetic processes efficiently.</t>
  </si>
  <si>
    <t>AQUITI Gestion, Galia Gestion, IRDI Capital Investissement, Nouvelle Aquitaine Co-Investissement</t>
  </si>
  <si>
    <t>aesthetic application, dermatologist services, hair removal, laser technology, medical equipment, tattoos eraser, tattoos removal</t>
  </si>
  <si>
    <t>172076-95T</t>
  </si>
  <si>
    <t>110928-79T</t>
  </si>
  <si>
    <t>Sparkling Partners(Martin Toulemonde)</t>
  </si>
  <si>
    <t>204358-33T</t>
  </si>
  <si>
    <t>157902-49T</t>
  </si>
  <si>
    <t>155605-96T</t>
  </si>
  <si>
    <t>266102-02T</t>
  </si>
  <si>
    <t>Kairnial</t>
  </si>
  <si>
    <t>Business/Productivity Software*, Vertical Market Software</t>
  </si>
  <si>
    <t>Developer of data management and processing software intended for the construction and real estate industries. The company's platform covers the entire lifecycle of real estate assets that is from the design and construction phases to the operation and deconstruction phases and also offers a suite of modules including document management, site monitoring and controls and inspections that are adapted to operational needs, enabling clients to capture, control and share built asset data.</t>
  </si>
  <si>
    <t>building information modelling, construction project management, construction software suite, lean management software, lean management system, productivity software</t>
  </si>
  <si>
    <t>136793-08T</t>
  </si>
  <si>
    <t>Kestu</t>
  </si>
  <si>
    <t>Operator of a video production platform intended to give life to projects, stories, and brands. The company's platform specializes in the production, filming, and post-production of documentaries, institutional films, and multi-camera video recordings for better project execution and impactful results, enabling content creators to meet their needs in creating films, videos, and photos.</t>
  </si>
  <si>
    <t>advertising film production, audio visual production, creativity project, documentary film, production firm, video production</t>
  </si>
  <si>
    <t>AudioTech, Industrials</t>
  </si>
  <si>
    <t>130114-54T</t>
  </si>
  <si>
    <t>La Montgolfière</t>
  </si>
  <si>
    <t>Operator of a social club intended to offer members an environment where they can relax. The company's club organizes activities that combine sports with art, culture, and well-being, enabling guests to enjoy a combination of conviviality, hedonism, and open-mindedness.</t>
  </si>
  <si>
    <t>getaways package, osteopathy treatment, restaurant service, social activities, social club activities, social club management, wellness club</t>
  </si>
  <si>
    <t>172959-85T</t>
  </si>
  <si>
    <t>Lasotel</t>
  </si>
  <si>
    <t>Operator of a telecommunication company intended to offer stable and resilient IP and telephonic services. The company offers services like Internet connection, site interconnection, local ethernet, telephony and hosting, enabling clients to achieve digital transition by focusing on their business challenges.</t>
  </si>
  <si>
    <t>ethernet connection, telecom infrastructure, telecom infrastructure services, telecommunication infrastructure company, telecommunication infrastructure deployment, telecommunication infrastructure operator</t>
  </si>
  <si>
    <t>126184-06T</t>
  </si>
  <si>
    <t>50 Partners, Bertrand Sablier, Bpifrance, Cyril Vermeulen, Fabrice Grinda(Fabrice Grinda), Jacques Riviere, Pascal Chevalier</t>
  </si>
  <si>
    <t>260389-90T</t>
  </si>
  <si>
    <t>280394-38T</t>
  </si>
  <si>
    <t>MaSpatule</t>
  </si>
  <si>
    <t>Household Appliances, Specialty Retail*</t>
  </si>
  <si>
    <t>Operator of an e-commerce platform intended to offer kitchen utensils from medium and high-end brands. The company's shopping platform provides a range of functional kitchen utensils for cooking, enabling users to get all kitchen products in one place and cook with ease.</t>
  </si>
  <si>
    <t>cooking service, ecommerce platform, kitchen accessories, kitchen utensils, kitchen utensils product, kitchen utensils provider</t>
  </si>
  <si>
    <t>114594-94T</t>
  </si>
  <si>
    <t>Move in Med</t>
  </si>
  <si>
    <t>Developer of a healthcare management platform designed to facilitate healthcare companies in centralizing data and events related to healthcare pathways facilitates interaction and cooperation between the medico-psycho-social healthcare professionals involved in their care. The company's platform allows strategic support and offers digital tools such as a secure web platform for care coordination to streamline the care pathways of patients with chronic diseases, enabling doctors and medical professionals to provide better, faster and more effective healthcare services.</t>
  </si>
  <si>
    <t>healthcare service provider, healthcare software product, healthcare software service, healthcare software system, healthcare software tools, healthcare technology provider</t>
  </si>
  <si>
    <t>275512-60T</t>
  </si>
  <si>
    <t>Mushin(Other commercial services)</t>
  </si>
  <si>
    <t>Operator of a visual mobile and web platform intended for performance management, continuous improvement. The company offers real-time customer engagement, collaborative innovation, and a digital platform for easier co-creation between companies and their customers, enabling businesses to enhance innovation and ensure more accurate, innovative, and customer-centric products and services.</t>
  </si>
  <si>
    <t>consulting services, design management services, it service, marketing services, observation services, project management</t>
  </si>
  <si>
    <t>100564-93T</t>
  </si>
  <si>
    <t>107164-27T</t>
  </si>
  <si>
    <t>Nextories</t>
  </si>
  <si>
    <t>Operator of an online moving platform intended to help users select movers and contract transfers. The company's platform includes options for video conference meetings, transparency of offers, and customization of desired services, enabling users to discover and book price-optimized moving services online.</t>
  </si>
  <si>
    <t>Bpifrance, M Capital Partners(Karim Oumoussa)</t>
  </si>
  <si>
    <t>furnishing service, movers booking platform, movers deals, movers services, moving help, packers and movers</t>
  </si>
  <si>
    <t>112378-60T</t>
  </si>
  <si>
    <t>Charles River Laboratories International (NYS: CRL)(Greg Beattie)</t>
  </si>
  <si>
    <t>102087-28T</t>
  </si>
  <si>
    <t>David Amsellem(David Amsellem), Roger Crook(Roger Crook), Ternel</t>
  </si>
  <si>
    <t>116535-25T</t>
  </si>
  <si>
    <t>Publithings</t>
  </si>
  <si>
    <t>Media and Information Services (B2B)*, Multimedia and Design Software</t>
  </si>
  <si>
    <t>Operator of a creative media agency intended to promote brands through 3D and virtual reality videos. The company's agency focuses on developing IoT devices that create customized 360-degree videos, marketing campaigns, and robotics systems to make the audience engage with products across various virtual reality-based immersive events, enabling businesses to market their products through IoT systems and video graphics.</t>
  </si>
  <si>
    <t>360 degree video, content creator support, market consulting firm, market consulting service, media and information services, seo management, video marketing, virtual reality video, vr event management</t>
  </si>
  <si>
    <t>Artificial Intelligence &amp; Machine Learning, Big Data, Internet of Things, Virtual Reality</t>
  </si>
  <si>
    <t>195658-84T</t>
  </si>
  <si>
    <t>Speetra Fashion Tech</t>
  </si>
  <si>
    <t>Information Services (B2C), Other Commercial Services*</t>
  </si>
  <si>
    <t>Operator of the fashion studio intended to optimize the fashion production industry towards a greener and more cost-effective. The company offers digital design and three-dimensional printed textiles to complete the product, enabling designers to convert their physical process into a digital one.</t>
  </si>
  <si>
    <t>Flat6labs, Seedstars International Ventures</t>
  </si>
  <si>
    <t>designer cloth, digital design, digital design studio, fashion industry, fashion production industry, fashion studio</t>
  </si>
  <si>
    <t>116529-13T</t>
  </si>
  <si>
    <t>Studio Bartkowski</t>
  </si>
  <si>
    <t>Educational and Training Services (B2C)*, Information Services (B2C), Leisure Facilities</t>
  </si>
  <si>
    <t>Operator of a dance studio intended to teach dance and promote physical and artistic expression. The company's studio offers a variety of dance classes for all ages and levels, including classical ballet, modern jazz, contemporary dance and hip hop and also offers private lessons and workshops, enabling students of all ages to develop their dance skills and express themselves creatively.</t>
  </si>
  <si>
    <t>ballet dance classes, choreography setup platform, dance classes, dance studio, dance training school, rehearsal rooms</t>
  </si>
  <si>
    <t>106115-68T</t>
  </si>
  <si>
    <t>Tallano Technologies</t>
  </si>
  <si>
    <t>Developer of particle emission reduction systems committed to improving air quality by developing innovative technologies. The company's system reduces fine particle emissions that are harmful to the environment and public health, enabling its clients in the transformation of transport industries to reduce particle emissions impact on health during braking.</t>
  </si>
  <si>
    <t>air pollution control, brake system, brake system manufacturer, emission reduction, emission reduction system, particle emission, transport emission, vehicle brake</t>
  </si>
  <si>
    <t>179789-77T</t>
  </si>
  <si>
    <t>Justin Ziegler(Justin Ziegler), Laurent Letourmy(Laurent Letourmy), Quentin de Chivré(Quentin de Chivré), Takara Capital</t>
  </si>
  <si>
    <t>168027-76T</t>
  </si>
  <si>
    <t>Whoog</t>
  </si>
  <si>
    <t>Developer of an online platform intended for managing internal replacements based on staff volunteerism. The company's platform permits employees and voluntary temporary workers to specify the services and skills for which they wish to work and join the hospital's reinforcement team, enabling the healthcare sector with last-minute or planned replacements.</t>
  </si>
  <si>
    <t>emergency medicare, healthcare facility services, healthcare management, medical emergency response, saas platform, volunteerism &amp; service</t>
  </si>
  <si>
    <t>136432-36T</t>
  </si>
  <si>
    <t>Delphis, Panorama Capital</t>
  </si>
  <si>
    <t>125899-21T</t>
  </si>
  <si>
    <t>188262-91T</t>
  </si>
  <si>
    <t>BlackCode</t>
  </si>
  <si>
    <t>Operator of restaurant chains intended to offer delicious food. The company's restaurant chains offer culinary food per the cultural and gastronomic heritage, enabling consumers to consume quality food without affecting their health.</t>
  </si>
  <si>
    <t>Asian Invest, GDC Ventures</t>
  </si>
  <si>
    <t>asian food, culinary business, food restaurant, restaurant owner, restaurant pos, traditional food</t>
  </si>
  <si>
    <t>190783-09T</t>
  </si>
  <si>
    <t>Vaonis</t>
  </si>
  <si>
    <t>Electrical Equipment, Electronic Equipment and Instruments*, Electronics (B2C), Other Consumer Durables</t>
  </si>
  <si>
    <t>Developer of a smart telescope designed to enable photography of the sky. The company's portable telescope can be controlled using a mobile device and features automated setting up and guidance, enabling astrophotographers with faster and more efficient photography of the sky.</t>
  </si>
  <si>
    <t>astrophotography photo, camera vision, cosmos ecosystem, megapixel images, portable device system, space photography, telescope technology</t>
  </si>
  <si>
    <t>214689-88T</t>
  </si>
  <si>
    <t>KFC France</t>
  </si>
  <si>
    <t>Beverages, Food Products, Restaurants and Bars*</t>
  </si>
  <si>
    <t>Operator of a restaurant chain intended to create a culinary experience at an affordable cost. The company specializes in chickens and buckets, burgers, wraps and salads, children's menu, coffees, and drinks and desserts, providing customers with various types of offers, promotions, and food coupons.</t>
  </si>
  <si>
    <t>A Plus Finance, Turenne Groupe</t>
  </si>
  <si>
    <t>chicken burger, restaurant chain, restaurant chain company, restaurant chain firm, restaurant chain operator, restaurant ordering</t>
  </si>
  <si>
    <t>98335-45T</t>
  </si>
  <si>
    <t>A-Venture, Jean-Jacques Bertrand(Jean-Jacques Bertrand), Jérôme Bédier(Jérôme Bédier), Nestadio Capital, Polestar Capital Partners</t>
  </si>
  <si>
    <t>100393-93T</t>
  </si>
  <si>
    <t>Calao Finance, CEA Investissement, Scientipole Capital</t>
  </si>
  <si>
    <t>193234-96T</t>
  </si>
  <si>
    <t>118408-24T</t>
  </si>
  <si>
    <t>Siveo</t>
  </si>
  <si>
    <t>Automation/Workflow Software, Business/Productivity Software*, Systems and Information Management</t>
  </si>
  <si>
    <t>Developer of a cloud management platform intended to specialize in automating and industrializing IT infrastructures. The company's platform offers virtualized infrastructure automation and management tools and services for the efficient management of virtual servers, enabling clients to ensure scalability and integrate virtualization technologies.</t>
  </si>
  <si>
    <t>Paris Region Venture Fund</t>
  </si>
  <si>
    <t>cloud computing product, cloud computing software, cloud management platform, infrastructure automation platform, virtualization engine, virtualization system</t>
  </si>
  <si>
    <t>Fontainebleau, France</t>
  </si>
  <si>
    <t>100156-87T</t>
  </si>
  <si>
    <t>AppScho</t>
  </si>
  <si>
    <t>Developer of an education management application designed to help students better manage their campus activities. The company's application centralizes all campus content and services and sends real-time notifications to students, enabling users to seamlessly succeed in their studies.</t>
  </si>
  <si>
    <t>EduCapital, Karista (Paris), Paris Region Venture Fund</t>
  </si>
  <si>
    <t>academic content, digital campus engagement, education management platform, education management software, educational app, higher education</t>
  </si>
  <si>
    <t>Saint-Maur-des-Fossés, France</t>
  </si>
  <si>
    <t>135567-73T</t>
  </si>
  <si>
    <t>Aviva (Multi-line Insurance) (LON: AV.), Garrigue, NovESS</t>
  </si>
  <si>
    <t>132574-42T</t>
  </si>
  <si>
    <t>99693-10T</t>
  </si>
  <si>
    <t>Femmes Business Angels, Grenoble INP Invest</t>
  </si>
  <si>
    <t>125748-37T</t>
  </si>
  <si>
    <t>BFC Croissance, Credit Agricole (PAR: ACA)</t>
  </si>
  <si>
    <t>136280-08T</t>
  </si>
  <si>
    <t>BTK, Gestion Audem</t>
  </si>
  <si>
    <t>204503-32T</t>
  </si>
  <si>
    <t>Laiterie Gilbert</t>
  </si>
  <si>
    <t>Beverages, Distributors/Wholesale, Food Products*</t>
  </si>
  <si>
    <t>Operator of a dairy company intended to offer a wide range of creamery products. The company offers products including yogurts, white cheeses, fresh cream and fresh milk without any added preservatives, colorings and artificial flavors, with attention paid to transport and packaging to limit the carbon footprint, enabling consumers to get a variety of dairy products at affordable rates.</t>
  </si>
  <si>
    <t>cheese factory, cheese seller, creamery company, creamery goods seller, dairy company, dairy product wholesaler, dairy products, food ecommerce, online grocer</t>
  </si>
  <si>
    <t>112841-65T</t>
  </si>
  <si>
    <t>Aglaé Ventures, Bpifrance, La French Tech, RAISE Group(François Collet)</t>
  </si>
  <si>
    <t>99846-19T</t>
  </si>
  <si>
    <t>StaffMe</t>
  </si>
  <si>
    <t>Provider of staffing services intended to connect freelancers with companies. The company offers to find students to give them one-time service assistance for a few hours or several days, in areas including sales, administrative tasks, events and logistics, enabling individuals to find flexible and properly remunerated assignments on demand.</t>
  </si>
  <si>
    <t>M Capital Partners, Turenne Groupe</t>
  </si>
  <si>
    <t>civil liability, staffing advisor, staffing agency, staffing assistance, staffing firm, staffing service, staffing services, staffing services company, staffing services company operator, staffing services firm</t>
  </si>
  <si>
    <t>187582-42T</t>
  </si>
  <si>
    <t>GS</t>
  </si>
  <si>
    <t>136413-37T</t>
  </si>
  <si>
    <t>Limousin Business Angels</t>
  </si>
  <si>
    <t>192438-28T</t>
  </si>
  <si>
    <t>OCTALFA</t>
  </si>
  <si>
    <t>160386-58T</t>
  </si>
  <si>
    <t>Web2vi</t>
  </si>
  <si>
    <t>Developer of a web-based management software designed for construction. The company's platform offers quote editor tools, customer base management, automatic calculation of labor time and costs, a digital library of books, site progress management, and many more, enabling carpenters to manage their projects, quotes, and invoices.</t>
  </si>
  <si>
    <t>building management software, construction management tool, management tool software, real time inspection, site management application, site management platform</t>
  </si>
  <si>
    <t>Saint Avertin, France</t>
  </si>
  <si>
    <t>105926-68T</t>
  </si>
  <si>
    <t>Luckey Homes</t>
  </si>
  <si>
    <t>Developer of an online rental platform based in Paris, France. The company's platform includes concierge, customer support and property management services, thereby enabling property owners to more easily manage their listings and go live in 24 hours.</t>
  </si>
  <si>
    <t>Newfund Management, Nexity (PAR: NXI)(Géraldine Gion)</t>
  </si>
  <si>
    <t>home rental, house rental, real estate management, rental management, rental management service, rental platform, rental platform operator</t>
  </si>
  <si>
    <t>187797-16T</t>
  </si>
  <si>
    <t>2C Invest, Crédit Agricole Alpes Provence (PAR: CRAP), Région Sud Investissement</t>
  </si>
  <si>
    <t>204502-87T</t>
  </si>
  <si>
    <t>Colombe Investments, Lise Invest, Montgrand Wealth Partner</t>
  </si>
  <si>
    <t>173332-18T</t>
  </si>
  <si>
    <t>Kabuto</t>
  </si>
  <si>
    <t>Operator of a travel suitcase brand designed to provide backpacks for long trips where laptops and other devices are protected and charged. The company's backpacks are expandable and can double their thickness, it also comes with a fingerprint reader that is backed by a battery that charges devices inside, enabling travelers to enjoy sensor-backed backpacks with adjustable space at affordable prices.</t>
  </si>
  <si>
    <t>Bpifrance, Fabien Pierlot, Frédéric Mazzella(Frédéric Mazzella), Michel &amp; Augustin</t>
  </si>
  <si>
    <t>business travel, luggage bags, luggage storage, luxury suitcases, suitcases manufacturer, suitcases retailer, travel suitcases</t>
  </si>
  <si>
    <t>Langoiran, France</t>
  </si>
  <si>
    <t>116719-39T</t>
  </si>
  <si>
    <t>Balestier Investments, Bpifrance(Joséphine Marie)</t>
  </si>
  <si>
    <t>98980-39T</t>
  </si>
  <si>
    <t>LoginChinese</t>
  </si>
  <si>
    <t>Developer of an online platform dedicated to learning Chinese. The company's platform and mobile app combine e-learning and in-person courses or video conferencing with teachers with the help of e-learning technologies like big data, algorithms, deep-learning, enabling schools and corporates willing to teach Chinese to their students and employees.</t>
  </si>
  <si>
    <t>chinese language, chinese language-learning, language platform, online language courses, online language-learning, online learning</t>
  </si>
  <si>
    <t>Artificial Intelligence &amp; Machine Learning, Big Data, EdTech, Mobile</t>
  </si>
  <si>
    <t>115951-33T</t>
  </si>
  <si>
    <t>Paris Fait Son Cinéma</t>
  </si>
  <si>
    <t>Provider of entertainment services intended to offer information about movies, casting, and shooting experiences in a new way. The company's services recreate public events, classic movies, fashion shows, and movie shoots, enabling customers to revisit the venue of movie shoots and relive the scenes.</t>
  </si>
  <si>
    <t>entertainment experience, entertainment website, film shooting studio, movies events, movies shooting, press junket</t>
  </si>
  <si>
    <t>250063-03T</t>
  </si>
  <si>
    <t>Aniwaa</t>
  </si>
  <si>
    <t>Operator of an online additive manufacturing hardware marketplace intended to evaluate, select, and source manufacturing systems. The company offers evaluation, selection, and sourcing of additive systems, enabling companies to purchase the required systems from trusted suppliers globally.</t>
  </si>
  <si>
    <t>Smart Axiata Digital Innovation Fund(Thomas Hundt)</t>
  </si>
  <si>
    <t>3d printer sales, additives manufacturing, additives supply, hardware market, manufacturing system, product evaluation, product sourcing</t>
  </si>
  <si>
    <t>188056-54T</t>
  </si>
  <si>
    <t>Biofluides</t>
  </si>
  <si>
    <t>Developer of wastewater treatment and energy-saving technology designed to develop techniques for the descaling and disemboguing of wastewater. The company's technology includes recovery and recycling of grey wastewater, disinfection of domestic hot water installations, and performing technical follow-up and troubleshooting equipment for water treatment, enabling businesses and customers to create operational modes of sustainable energy production and consumption.</t>
  </si>
  <si>
    <t>circular economy, energy recovery, energy recycling systems, energy saving technology, hydraulic equipment, renewable energy equipment, wastewater treatment, water treatment, water treatment technology</t>
  </si>
  <si>
    <t>99248-59T</t>
  </si>
  <si>
    <t>HydroQuest</t>
  </si>
  <si>
    <t>Developer of a power turbine technology designed to produce electricity from the tides. The company's technology is based on a structure of several crossflow turbines rotating around vertical axes, making it free of any prominent central obstacles and unaffected by current direction, enabling industries to use renewable energy produced without visual and noise pollution.</t>
  </si>
  <si>
    <t>Grenoble INP Invest</t>
  </si>
  <si>
    <t>dispatchable energy sources, electricity generation, electricity project, energy plant asset, hydrokinetic turbine, hydropower, renewable energy sector, renewable energy solutions, turbine technology</t>
  </si>
  <si>
    <t>CleanTech, Climate Tech, Industrials, Infrastructure</t>
  </si>
  <si>
    <t>129159-46T</t>
  </si>
  <si>
    <t>Manawa</t>
  </si>
  <si>
    <t>Operator of an online vacation booking platform designed for outdoor sports activities. The company's platform helps users to choose a range of locations and different types of adventure sports globally and book them online, enabling users to discover and reserve slots for adventure sports through the platform.</t>
  </si>
  <si>
    <t>Bpifrance(Flavien Tiberghien), Tengelmann Ventures(Koen Lenssen)</t>
  </si>
  <si>
    <t>activities marketplace, adventure sports, adventure sports booking platform, adventure sports discovery, outdoor activities platform, sports marketplace</t>
  </si>
  <si>
    <t>120257-11T</t>
  </si>
  <si>
    <t>Wavely</t>
  </si>
  <si>
    <t>Developer of artificial intelligence-powered IoT sensors designed to classify and analyze sounds. The company's sensors continuously monitor and identify an anomaly, detect a frequency or a sound signature characteristic of a malfunction, and report them in real time through message or e-mail alerts, enabling businesses to anticipate maintenance interventions, ensure safety for operators and technicians, and reduce production losses.</t>
  </si>
  <si>
    <t>artificial intelligence, intelligent device, intelligent sensors, iot hardware, iot sensors network, iot sensors systems, machine diagnostics, machine learning, preventive maintenance, sound analysis, wireless sensor</t>
  </si>
  <si>
    <t>Artificial Intelligence &amp; Machine Learning, Internet of Things</t>
  </si>
  <si>
    <t>109825-75T</t>
  </si>
  <si>
    <t>Karma Koma</t>
  </si>
  <si>
    <t>Manufacturer of ready-to-wear women's apparel and accessories intended to provide comfortable and fashionable clothing. The company's apparel and accessories include a wide range of feminine wear like jumpsuits, jackets, and skirts along with accessories like leather goods and jewelry, enabling consumer to get their hands on trendy and fashionable clothes as per their preference.</t>
  </si>
  <si>
    <t>Apicap</t>
  </si>
  <si>
    <t>accessories product, cloth product, consumer product, fashion apparel, premium clothing, women clothing, women wear</t>
  </si>
  <si>
    <t>109825-12T</t>
  </si>
  <si>
    <t>Lebonproduitaubonendroit.com</t>
  </si>
  <si>
    <t>Media and Information Services (B2B), Other Agriculture, Other Services (B2C Non-Financial)*</t>
  </si>
  <si>
    <t>Developer of an online trading and distribution platform designed to connect food producers and consumers. The company's platform facilitates the distribution of food products from farmers to shops and restaurants in a grouped way and also manages logistics to reduce transportation costs, enabling farmers, chefs and traders to serve consumers with quality food.</t>
  </si>
  <si>
    <t>agribusiness marketplace, agricultural products, agrifinance &amp; ecommerce, agrifinance and ecommerce, food supply chain, food supply service, logistics management service, online trading platform, supply chain management tool</t>
  </si>
  <si>
    <t>103735-27T</t>
  </si>
  <si>
    <t>Capagro, Demeter Partners, OENEO (PAR: SBT)(Nicolas Dubreuil), Pro Drones Investments, WiSeed</t>
  </si>
  <si>
    <t>127430-11T</t>
  </si>
  <si>
    <t>Faciligo.fr</t>
  </si>
  <si>
    <t>Media and Information Services (B2B), Other Restaurants, Hotels and Leisure*, Other Services (B2C Non-Financial)</t>
  </si>
  <si>
    <t>Developer of a travel-based social networking platform intended to facilitate mobility among travelers. The company's platform connects passengers with mobility to other independent travelers, enabling travelers to share their transport expenses and other experience on the same route.</t>
  </si>
  <si>
    <t>Olbia Invest</t>
  </si>
  <si>
    <t>passenger mobility, social network media, social networking firm, travel network, travel networking platform, travel social network</t>
  </si>
  <si>
    <t>109703-53T</t>
  </si>
  <si>
    <t>Abeille Impact Investing France, AQUITI Gestion, BNP Paribas (PAR: BNP), Demeter Partners(Olivier Dupont), Expanso Capital, Galia Gestion, PULSE GroupeSOS</t>
  </si>
  <si>
    <t>115189-39T</t>
  </si>
  <si>
    <t>Accengage</t>
  </si>
  <si>
    <t>Developer of push notification technology intended to offer mobile engagement services. The company's technology assist necessary tools and features to send targeted, personalized and automated push notifications, enabling customer relationship management and marketing managers to accelerate the engagement of their application users and website visitors.</t>
  </si>
  <si>
    <t>application platform, customer relationship management, marketing managers, mobile engagement, mobile tracking, push notifications</t>
  </si>
  <si>
    <t>101394-01T</t>
  </si>
  <si>
    <t>Giroptic</t>
  </si>
  <si>
    <t>Developer of a panoramic camera created to communicate, capture and share their experiences. The company's panoramic camera is a digital one-shot camera that shoots in 360-degree panoramic vision, enabling people to communicate, capture and share their experiences in the most immersive way.</t>
  </si>
  <si>
    <t>SOSV(Cyril Ebersweiler)</t>
  </si>
  <si>
    <t>digital camera, oneshot camera, panorama shooting, panoramic camera, smartphone camera</t>
  </si>
  <si>
    <t>209374-48T</t>
  </si>
  <si>
    <t>Lulu dans ma rue</t>
  </si>
  <si>
    <t>Provider of concierge services specialized in housekeeping. The company offers painting homes, installing a floating floor, one-off cleaning and ironing as well as operating participatory libraries, neighborhood parties and aperitifs, workshops and cafes, thereby helping customers to take care of their homes in case of need.</t>
  </si>
  <si>
    <t>concierge agency, concierge care, concierge home services, concierge kiosk, concierge management, concierge platform, concierge service</t>
  </si>
  <si>
    <t>189184-42T</t>
  </si>
  <si>
    <t>193545-64T</t>
  </si>
  <si>
    <t>Level-Up</t>
  </si>
  <si>
    <t>111182-68T</t>
  </si>
  <si>
    <t>Captain Contrat</t>
  </si>
  <si>
    <t>Developer of a cloud-based online legal documentation platform designed to simplify and digitize the legal aspects of small businesses. The company's platform provides business owners and managers with a wide range of legal documents, which have been prepared by lawyers in their respective industries for legal services, advice, and drafting documents including statutes, employment contracts, general terms, and conditions, enabling VSEs and SMEs to effectively manage their legal documentation online.</t>
  </si>
  <si>
    <t>Bpifrance(Jean-Patrice Anciaux), CapHorn Invest(Marion Chanéac), Cyril Vermeulen(Cyril Vermeulen), La French Tech, Olivier Heckmann(Olivier Heckmann)</t>
  </si>
  <si>
    <t>document management, documentation management platform, documentation platform, legal documentation, legal documentation platform, legal software</t>
  </si>
  <si>
    <t>245385-01T</t>
  </si>
  <si>
    <t>Vasgos</t>
  </si>
  <si>
    <t>109471-06T</t>
  </si>
  <si>
    <t>Creazur France, Credit Agricole Entreprises (PAR: CRBP), Région Sud Investissement(Valérie Roché-Melin), Sofimac Innovation, Sofimac Investment Managers, Sofipaca Capital Investissement, Turenne Groupe(Marie Desportes), UI Investissement</t>
  </si>
  <si>
    <t>102124-18T</t>
  </si>
  <si>
    <t>Kima Ventures, Odyssee Venture, Xavier Niel(Xavier Niel)</t>
  </si>
  <si>
    <t>127454-50T</t>
  </si>
  <si>
    <t>Magnys</t>
  </si>
  <si>
    <t>Accessories*</t>
  </si>
  <si>
    <t>Developer of innovative glasses designed to revolutionize the optics and presbyopia market. The company's products offer immediate vision comfort and do not require a prescription, thus enabling customers to find quality eyeglasses in a quick time.</t>
  </si>
  <si>
    <t>123 Investment Managers, Bpifrance</t>
  </si>
  <si>
    <t>eyeglasses manufacturer, eyeglasses product, optics product, presbyopia correction, vision glass</t>
  </si>
  <si>
    <t>95361-58T</t>
  </si>
  <si>
    <t>3point3</t>
  </si>
  <si>
    <t>Operator of an online skincare portal intended to sell organic beauty products. The company's portal offers for a range of cosmetic products such as cleaning kit, body and vegetable serum, shampoo, oil baths, body cream and lotions, thereby providing users with natural skincare solutions.</t>
  </si>
  <si>
    <t>beauty product, cosmetic product, cosmetic product retail, cosmetic production, organic cosmetics</t>
  </si>
  <si>
    <t>204428-98T</t>
  </si>
  <si>
    <t>AQUITI Gestion, COFA Invest</t>
  </si>
  <si>
    <t>126814-06T</t>
  </si>
  <si>
    <t>Denis Gardin, Holnest, Jean-Michel Aulas, MBDA Holdings</t>
  </si>
  <si>
    <t>115507-45T</t>
  </si>
  <si>
    <t>Bpifrance, Finovam Gestion, Nord France Amorçage</t>
  </si>
  <si>
    <t>177202-81T</t>
  </si>
  <si>
    <t>Thomas Herlin(Thomas Herlin)</t>
  </si>
  <si>
    <t>89288-83T</t>
  </si>
  <si>
    <t>108606-61T</t>
  </si>
  <si>
    <t>Foucade</t>
  </si>
  <si>
    <t>Producer of fresh bakery products intended to provide delicacies and confectioneries to consumers. The company's products offer gluten-free fruit tarts, cakes, granola, and pastries among others with reduced content of saturated fats and sugars, enabling consumers to buy nutritious products without compromising on taste.</t>
  </si>
  <si>
    <t>Jacques-Antoine Granjon(Jacques-Antoine Granjon), Kima Ventures(Xavier Niel)</t>
  </si>
  <si>
    <t>bakery product, buy pastry online, cakes and pastries, fresh bakery, healthy pastry, pastry product</t>
  </si>
  <si>
    <t>100301-14T</t>
  </si>
  <si>
    <t>Golden Bees (Business/Productivity Software)</t>
  </si>
  <si>
    <t>Developer of a recruitment platform designed to offer a solution for intelligent targeting of candidates via programmatic advertising. The company's platform deploys a set of interconnected technologies to target audiences of candidates on the media, enabling clients to generate qualified applications for all types of candidate profiles faster and more efficiently.</t>
  </si>
  <si>
    <t>Bouygues Telecom Initiatives, Entrepreneur Invest</t>
  </si>
  <si>
    <t>candidate recruitment, hiring solutions, human resource management platform, recruitment platform, recruitment solutions, recruitment technology</t>
  </si>
  <si>
    <t>114793-75T</t>
  </si>
  <si>
    <t>Grytics</t>
  </si>
  <si>
    <t>Developer of data analytics software designed to help analyze a company's social media audiences and also their competitors. The company's software provides data editor analytics, website marketing, business intelligence and powerful tools to manage social media communities, enabling clients to perform a competitive analysis of their products or their competitors' products.</t>
  </si>
  <si>
    <t>competitive analysis, data analytics firm, data analytics saas, social media analytics, social media audience management, social media service</t>
  </si>
  <si>
    <t>218418-85T</t>
  </si>
  <si>
    <t>HOPPER (Transportation)</t>
  </si>
  <si>
    <t>Distributors/Wholesale, Other Transportation*</t>
  </si>
  <si>
    <t>Operator of an online vehicle platform intended to sell a variety of golf carts. The company offers a wide range of local golf carts with tailor-made layouts to the needs of the customer, enabling people to facilitate logistics management, transport of people or goods, and rapid movement within their facilities.</t>
  </si>
  <si>
    <t>cart manufacturer, electrical vehicles, golf cart, golf parts, logistics vehicle, transportation vehicles</t>
  </si>
  <si>
    <t>127622-44T</t>
  </si>
  <si>
    <t>LittleCorner</t>
  </si>
  <si>
    <t>Provider of advertising services intended to serve the digital advertising display sector, especially toilets. The company's service constructs and operates a network of connected screens located in the restrooms of the most visited venues in France, enabling enterprises to boost their communication campaigns and deliver the message to the right audience with their matching algorithm.</t>
  </si>
  <si>
    <t>Seed4equity, Wind Capital</t>
  </si>
  <si>
    <t>ad tech market, advertising services, advertising solution provider, advertising solutions platform, marketing services, marketing solutions</t>
  </si>
  <si>
    <t>117712-90T</t>
  </si>
  <si>
    <t>Oh My Cream</t>
  </si>
  <si>
    <t>Personal Products, Specialty Retail*</t>
  </si>
  <si>
    <t>Manufacturer and retailer of beauty products intended to offer healthier products for customers and the environment. The company offers face, makeup, hair, body, supplements, and beauty tools, providing clients with organic, natural, and chemical-free cosmetics.</t>
  </si>
  <si>
    <t>beauty brand, cosmetics retail, natural skin product, natural skincare, retail platform, skincare cosmetics retailer</t>
  </si>
  <si>
    <t>110479-60T</t>
  </si>
  <si>
    <t>OpenMind (Buildings and Property)</t>
  </si>
  <si>
    <t>Buildings and Property*, Consulting Services (B2B), Education and Training Services (B2B)</t>
  </si>
  <si>
    <t>Provider of co-meeting spaces intended to offer an upgrade from traditional conference rooms. The company's spaces are offered for meetings, seminars, workshops and also provides intuitive and innovative equipment, consulting and wellness services that are friendly to facilitate collective intelligence, enabling companies to have privatized spaces and make attendants feel more comfortable and at ease to exchanges.</t>
  </si>
  <si>
    <t>Apicap(Michael Azera)</t>
  </si>
  <si>
    <t>collaborative workspace, co-meeting area, co-meeting spaces, corporate meeting place, corporate meeting space, meeting place</t>
  </si>
  <si>
    <t>140460-67T</t>
  </si>
  <si>
    <t>SouthPigalle</t>
  </si>
  <si>
    <t>Developer of a conversation technology platform intended to simplify machine learning and data science capabilities to power conversations and automatization. The company's platform offers access to lead through conversational experiences and nonintrusive advertisements by aggregating compartmental behaviors and profiling and measurement, enabling brands and customers to have real-time conversations aligned to their best interests transparently and at a low cost.</t>
  </si>
  <si>
    <t>Agileo Ventures(Stéphanie Gottlib-Zeh)</t>
  </si>
  <si>
    <t>conversational software, conversational systems, data science, digital innovation, machine learning, natural language technology, technology platform</t>
  </si>
  <si>
    <t>138827-17T</t>
  </si>
  <si>
    <t>106269-04T</t>
  </si>
  <si>
    <t>JamJar Investments, Red Carpet Capital</t>
  </si>
  <si>
    <t>98104-15T</t>
  </si>
  <si>
    <t>Another Ventures, Horizon 2020 SME Instrument, Seventure Partners(Philippe Tramoy), Weaving Invest</t>
  </si>
  <si>
    <t>136246-33T</t>
  </si>
  <si>
    <t>Business at Work</t>
  </si>
  <si>
    <t>Consulting Services (B2B), IT Consulting and Outsourcing*</t>
  </si>
  <si>
    <t>Provider of digital transformation consulting services intended for organizational efficiency. The company combines business expertise with technological support at all stages of projects, including implementation, management, and optimization, enabling organizations to achieve operations through tested management services.</t>
  </si>
  <si>
    <t>Sofimac Investment Managers(Jean-Pierre Bouiller)</t>
  </si>
  <si>
    <t>business expertise, consultancy agency, digital transformation, implementation management, information systems, it process, staff sourcing</t>
  </si>
  <si>
    <t>90798-67T</t>
  </si>
  <si>
    <t>wePulse</t>
  </si>
  <si>
    <t>Connected Fitness Equipment</t>
  </si>
  <si>
    <t>Application Software, Information Services (B2C), Media and Information Services (B2B)*</t>
  </si>
  <si>
    <t>Developer of a smartphone application intended to emphasize on physical training of the user. The company's application helps the user to earn attractive vouchers from their brand partners based on the rate of workout they perform and the application also tracks the user's physical activities, enabling clients to get motivated for physical activity by tracking their own health status in real-time through the application.</t>
  </si>
  <si>
    <t>eFolio, Herrikoa</t>
  </si>
  <si>
    <t>branding partners, fitness app, fitness tracker, sedentary lifestyle, workout performance tracker</t>
  </si>
  <si>
    <t>HealthTech, LOHAS &amp; Wellness, Mobile, TMT</t>
  </si>
  <si>
    <t>82423-72T</t>
  </si>
  <si>
    <t>LiNote</t>
  </si>
  <si>
    <t>Communication Software*, Elder and Disabled Care</t>
  </si>
  <si>
    <t>Developer of a video calling application designed to share and communicate with elders. The company's application offers features like video chat, reminders, and photo sharing, enabling family members to keep a watch and take care of the elderly remotely.</t>
  </si>
  <si>
    <t>elderly care, elderly tech, reminder application, reminder tools, remote care, video calling, video communication</t>
  </si>
  <si>
    <t>Vandoeuvre-les-Nancy, France</t>
  </si>
  <si>
    <t>136506-34T</t>
  </si>
  <si>
    <t>Berkeley SkyDeck Fund, CAAP Creation, Eric Burkel(Eric Burkel), Eurazeo (PAR: RF), P.Factory, Region Provence Alpes Cote d' Azur</t>
  </si>
  <si>
    <t>97858-00T</t>
  </si>
  <si>
    <t>Bertrand Jelensperger(Bertrand Jelensperger), Bpifrance, Eurazeo (PAR: RF)(Yann-Hervé du Rusquec), Idinvest Partners</t>
  </si>
  <si>
    <t>105973-30T</t>
  </si>
  <si>
    <t>Fill Up Media (PAR: ALFUM)</t>
  </si>
  <si>
    <t>Electronics (B2C), Media and Information Services (B2B)*</t>
  </si>
  <si>
    <t>Fill Up Media SA is a major French player in external communication in gas stations. The company exploits screens on gas pumps to stream advertising and information content. Fill Up Media has a network of nearly 4,400 screens in more than 630 gas stations implanted in France.</t>
  </si>
  <si>
    <t>Bpifrance, Crédit Agricole Création, Gaetan de Sainte-Marie(Gaetan de Sainte-Marie), Guillaume Beyens(Guillaume Beyens), Matthieu Ponson(Matthieu Ponson), Philippe Grillot(Philippe Grillot)</t>
  </si>
  <si>
    <t>advertisement service, advertising service, crm, customer relationship management, digital signage, digital signage service, digital signal device, market promotion service</t>
  </si>
  <si>
    <t>139403-17T</t>
  </si>
  <si>
    <t>Arcad Software</t>
  </si>
  <si>
    <t>Business/Productivity Software, Other Commercial Services, Software Development Applications*</t>
  </si>
  <si>
    <t>Developer of application modernization software designed to serve the business and technology sectors. The company's software provides an integrated facilities range for application lifecycle management, enterprise modernization, release management, and DevOps and also specializes in multi-platform application deployment and test automation tools, providing businesses with open technology systems.</t>
  </si>
  <si>
    <t>Alto Invest(Olivier Tanneveau)</t>
  </si>
  <si>
    <t>application release automation, data anonymization, devops tools, legacy modernization software, power systems, software configuration management, test automation, version control</t>
  </si>
  <si>
    <t>100300-42T</t>
  </si>
  <si>
    <t>Aglaé Ventures, Daniel Marhely(Daniel Marhely), Dominique Romano(Dominique Romano), Financière Saint James, Korelya Capital(Paul Degueuse), Michael Benabou(Michael Benabou)</t>
  </si>
  <si>
    <t>97525-00T</t>
  </si>
  <si>
    <t>CapHorn Invest(Guillaume Dupont), Plug and Play Tech Center(Saeed Amidi)</t>
  </si>
  <si>
    <t>100556-29T</t>
  </si>
  <si>
    <t>Demeter Partners(Maureen Le Baud)</t>
  </si>
  <si>
    <t>126016-21T</t>
  </si>
  <si>
    <t>KeeeX</t>
  </si>
  <si>
    <t>Business/Productivity Software, Information Services (B2C), Media and Information Services (B2B), Network Management Software*</t>
  </si>
  <si>
    <t>Operator of a cybersecurity platform intended to restructure files, content, and documents. The company's platform leverages patented technology for embedding trust and organization inside files to secure, certify, and trace data and business processes by sealing trust and exploitation metadata, enabling clients to manage an off-line register, monitor the status of the process, and transfer the ownership or responsibility of an asset.</t>
  </si>
  <si>
    <t>Jaguar Network</t>
  </si>
  <si>
    <t>augmented data, cybersecurity ai, cybersecurity support, data protection &amp; encryption, data protection and encryption, data security, digital signature, digital signature product, files protection, vertical application, workflow traceability</t>
  </si>
  <si>
    <t>Big Data, Cryptocurrency/Blockchain, Cybersecurity, TMT</t>
  </si>
  <si>
    <t>44429-41T</t>
  </si>
  <si>
    <t>Béton Solutions Mobiles</t>
  </si>
  <si>
    <t>Raw Materials (Non-Wood)*</t>
  </si>
  <si>
    <t>Manufacturer of mixed concrete materials intended for construction of various purposes. The company offers ready-mixed concrete that has low carbon along with its logistics and delivery assistance, providing clients with eco-friendly and sustainable construction material.</t>
  </si>
  <si>
    <t>Entrepreneur Invest</t>
  </si>
  <si>
    <t>building product, concrete delivery, concrete material, concrete material science, concrete product, mixed concrete product</t>
  </si>
  <si>
    <t>103022-11T</t>
  </si>
  <si>
    <t>Citizen Capital(Mohamed Abdesslam), Elevation Capital Partners</t>
  </si>
  <si>
    <t>97462-72T</t>
  </si>
  <si>
    <t>Aster Capital(Jean-Marc Bally), SE Ventures, Serena (Paris)(Marc Fournier)</t>
  </si>
  <si>
    <t>97525-09T</t>
  </si>
  <si>
    <t>Bpifrance(Thibaut Roulon), Idinvest Partners(Vanessa Malier), Imagine Institute, Inserm Transfert(François Thomas), Kurma Partners(Vanessa Malier), Pontifax Venture Capital(Ohad Hammer), Sygnature Discovery(Simon Hirst)</t>
  </si>
  <si>
    <t>116676-82T</t>
  </si>
  <si>
    <t>Paf (Beverages)</t>
  </si>
  <si>
    <t>Producer of cold-pressed juices intended to diversify and increase the intake of fruits and vegetables. The company's juices are handcrafted with organic raw materials and after cold pressing the juices are immediately bottled to avoid any oxidation using high-pressure technology, enabling consumers to get a variety of juices delivered to their homes.</t>
  </si>
  <si>
    <t>cold juice, fruits juice bottles, fruits juice maker, fruits juice producer, organic fruits juice, vegetables juice</t>
  </si>
  <si>
    <t>122952-07T</t>
  </si>
  <si>
    <t>France Active, Mandarine Gestion, PULSE GroupeSOS</t>
  </si>
  <si>
    <t>118415-35T</t>
  </si>
  <si>
    <t>Acerde</t>
  </si>
  <si>
    <t>Developer of light rotating anodes designed to assist in light anode manufacturing and anode repair. The company's products use a high-temperature chemical vapor deposition process which facilitates the deposition of materials for applications in sectors such as nuclear, aerospace and medicine, thereby enabling X-ray medical imaging businesses to manufacture advanced medical imaging units.</t>
  </si>
  <si>
    <t>Région Auvergne-Rhône-Alpes, Truffle Capital</t>
  </si>
  <si>
    <t>anodes development, anodes manufacturer, anodes manufacturing, deposition reactor, electrolysis, light rotating anodes, medical imaging technology, rotating anodes, x-ray tubes</t>
  </si>
  <si>
    <t>Sainte-Hélène-du-Lac, France</t>
  </si>
  <si>
    <t>107496-01T</t>
  </si>
  <si>
    <t>AlloMedia</t>
  </si>
  <si>
    <t>Business/Productivity Software*, Information Services (B2C), Other Communications and Networking</t>
  </si>
  <si>
    <t>Developer of an artificial intelligence platform designed to capitalize on phone conversations between a customer and a brand. The company's AI platform offers call tracking, automatic natural language recognition, and speech analytics that link online experience to call content and integrate it into the database, enabling clients to have visibility of the marketing teams and offering a relevant response to customers' requests.</t>
  </si>
  <si>
    <t>Plug and Play Tech Center, Red River West(Marc De Kerhor), Serena (Paris), VisVires Capital(Amos Benaroch)</t>
  </si>
  <si>
    <t>analytics platform, artificial intelligence analytics, customer loyalty, customer retention, natural language, natural language technology, phone conversation, unstructured data analytics</t>
  </si>
  <si>
    <t>117763-12T</t>
  </si>
  <si>
    <t>Ogust</t>
  </si>
  <si>
    <t>Operator of a SaaS-based platform intended to offer enterprise resource planning services. The company's SaaS-based platform can be used in all aspects of a business like skill management, reporting, accounting, online signatures, planning and sales customer relationship management, enabling businesses to manage their client lists, quotes, invoices, and contracts.</t>
  </si>
  <si>
    <t>data integration, erp system, online signature, saas-based platform, saas-based platform developer, web management platform, web management software</t>
  </si>
  <si>
    <t>108087-85T</t>
  </si>
  <si>
    <t>Bernard Majoie(Bernard Majoie), Serena (Paris), Seventure Partners(Philippe Tramoy)</t>
  </si>
  <si>
    <t>97316-47T</t>
  </si>
  <si>
    <t>Frst Capital(Benjamin Teszner), Partech(Philippe Collombel), SAP.iO(Emmanuel Cassimatis)</t>
  </si>
  <si>
    <t>99589-96T</t>
  </si>
  <si>
    <t>Solendro</t>
  </si>
  <si>
    <t>Operator of an online retail platform intended to offer a marketplace for men's underwear and other undergarments. The company's platform offers different models of boxers, briefs, and underpants from various brands at different price ranges, enabling men to find comfortable clothing at an affordable rate from a single place.</t>
  </si>
  <si>
    <t>Breega(Maximilien Bacot)</t>
  </si>
  <si>
    <t>comfortable wear, men's clothing, men's underwear, online garments, online retail platform, online store</t>
  </si>
  <si>
    <t>99441-37T</t>
  </si>
  <si>
    <t>IT-Translation</t>
  </si>
  <si>
    <t>Provider of venture capital investment services intended to provide capital development and transmission. The company's investment services offer direct and fund of fund investments across all investment stages, enabling startup industries to increase their business productivity.</t>
  </si>
  <si>
    <t>Elaia Partners(Xavier Lazarus)</t>
  </si>
  <si>
    <t>capital development, capital investment, fund investment, investment management, venture capital, venture capital investment</t>
  </si>
  <si>
    <t>97283-35T</t>
  </si>
  <si>
    <t>Less (Application Software)</t>
  </si>
  <si>
    <t>Application Software, Automotive, Business/Productivity Software*</t>
  </si>
  <si>
    <t>Provider of a ride-sharing platform intended to automatically connect drivers with potential in-route riders. The company's platform connects local drivers with commuters looking for a short-distance ride within the already setup route, thereby enabling drivers to make additional earnings while helping commuters get to their destination.</t>
  </si>
  <si>
    <t>Daphni, Index Ventures</t>
  </si>
  <si>
    <t>carsharing, mobility tech, on demand application, on demand transport service, real time passenger, ride-hailing application, ridehailing platform, rides hailing, ridesharing</t>
  </si>
  <si>
    <t>80967-70T</t>
  </si>
  <si>
    <t>Mars:Hello!</t>
  </si>
  <si>
    <t>Developer of a business network platform designed to help in coordinating unforeseen events with stakeholders. The company's platform offers tools and situations, integrating contributions and showing compiled information decorated with customized alert signals on a virtual web wall, enabling clients to make informed decisions, explore their innovations and understand their crises with the help of their chosen information merged into a comprehensive synthetic view.</t>
  </si>
  <si>
    <t>IT-Translation, NAVER LABS Europe</t>
  </si>
  <si>
    <t>business decision tools, business networking platform, business process, business tools, collaborative work, digital platform, information sharing, network suites</t>
  </si>
  <si>
    <t>Montbonnot, France</t>
  </si>
  <si>
    <t>97437-43T</t>
  </si>
  <si>
    <t>Nexson Group</t>
  </si>
  <si>
    <t>Machinery (B2B), Other Commercial Products*</t>
  </si>
  <si>
    <t>Manufacturer of shell and tube heat exchangers intended to offer advanced and efficient machinery for the oil and gas sector. The company's exchangers include pressure vessels, filters and separation modules for use in oil refining, oil and gas production, petrochemical, chemical production, metallurgy and other industries as well as offer devices with self-cleaning effect, enabling clients to get service in a short time and minimize their downtime.</t>
  </si>
  <si>
    <t>Sverdlovsk Venture Fund</t>
  </si>
  <si>
    <t>chemicals production, heat exchanger equipment, heat exchangers, heat exchangers manufacturer, heat exchangers repair, heat exchangers supplier, pressure vessels</t>
  </si>
  <si>
    <t>Manufacturing, Oil &amp; Gas</t>
  </si>
  <si>
    <t>Garchizy, France</t>
  </si>
  <si>
    <t>109899-19T</t>
  </si>
  <si>
    <t>Wanteez</t>
  </si>
  <si>
    <t>Provider of home-based personal services intended to help people in their household chores. The company's services include cleaning services, gardening, and child care as well as supportive care for the elderly or disabled, enabling customers to simplify their lives and receive personal assistance in caring for every aspect of their personal life.</t>
  </si>
  <si>
    <t>Sopromec Participations</t>
  </si>
  <si>
    <t>babysitting service, cleaning service provider, domestic help services, home schooling support, hospitalization service, housekeeping services, tuition services</t>
  </si>
  <si>
    <t>Vienna, France</t>
  </si>
  <si>
    <t>128308-42T</t>
  </si>
  <si>
    <t>Bpifrance, NFactory (Accelerator)</t>
  </si>
  <si>
    <t>97109-56T</t>
  </si>
  <si>
    <t>NextStage AM, Partech(Jean-Marc Patouillaud), Tekton Ventures</t>
  </si>
  <si>
    <t>108521-11T</t>
  </si>
  <si>
    <t>Ionis Pharmaceuticals (NAS: IONS)(Brett Monia)</t>
  </si>
  <si>
    <t>113596-57T</t>
  </si>
  <si>
    <t>Motion Ride</t>
  </si>
  <si>
    <t>Industrial Supplies and Parts, Other Consumer Durables, Recreational Goods*</t>
  </si>
  <si>
    <t>Developer of an anti-dive front fork suspension technology designed to solve the problems associated with telescopic forks in mountain bikes. The company's technology uses energy from braking to automatically and instantly compensate for the forces generated by the transfer of mass that tries to compress the fork and is mounted with composite fiberglass bearings that do not lose any force or stiffness over time, enabling riders to improve handling, have better shock absorption and reduce the risk of accidents.</t>
  </si>
  <si>
    <t>FaDiese</t>
  </si>
  <si>
    <t>bicycle mechanical components, forks suspension, mechanical transport machinery, mountain bike safety, mountain bike suspension, sports safety product</t>
  </si>
  <si>
    <t>244682-56T</t>
  </si>
  <si>
    <t>Urban Algae</t>
  </si>
  <si>
    <t>Developer of decarbonized algoculture technology designed to install algofarms in urban areas. The company offers robust production technologies called photobioreactors to stimulate the photosynthetic activity of microalgae with the help of open-air basins with paddle wheels, solar panel-like flat systems and tube systems, enabling businesses to produce different genres of biomass from different microalgae.</t>
  </si>
  <si>
    <t>algae biomass, algae farming, algae production, carbon footprint reduction, microalgae cultivation, microalgae production</t>
  </si>
  <si>
    <t>119521-90T</t>
  </si>
  <si>
    <t>96607-63T</t>
  </si>
  <si>
    <t>Le reseau citiz</t>
  </si>
  <si>
    <t>Provider of car-sharing and rental services intended to offer access to vehicles on demand via mobile application. The company's services include accessibility of cars around the clock for short trips, leisure, and business trips and provide car rental booking via a mobile application, enabling customers to avail of self-rental service according to their destination needs at an affordable rate.</t>
  </si>
  <si>
    <t>Autonomie &amp; Solidarité, Caisse des Depots Group, Esfin Gestion, France Active, Inco Ventures</t>
  </si>
  <si>
    <t>car rental, carsharing network, carsharing platform, mobility services, rental service, ridehailing platform, rides hailing, ridesharing car</t>
  </si>
  <si>
    <t>Car-Sharing, Mobile, Mobility Tech, Ridesharing</t>
  </si>
  <si>
    <t>123004-18T</t>
  </si>
  <si>
    <t>Make iCi</t>
  </si>
  <si>
    <t>Buildings and Property, Media and Information Services (B2B)*</t>
  </si>
  <si>
    <t>Operator of shared, collaborative, and supportive factories designed for artisans, artists, designers, and entrepreneurs. The company provides unlimited access to shared or private workshops, a professional &amp; digital manufacturing machine park, storage spaces, assembly rooms, and a business contribution ecosystem, enabling makers to develop and manufacture their products from design to finishing.</t>
  </si>
  <si>
    <t>BNP Paribas (PAR: BNP), Fabernovel, Inco Ventures, Intuitis Investisseurs Privés, NovESS</t>
  </si>
  <si>
    <t>makerspace facility, manufacturing project, office space, professional tools, project development, shared service, working space</t>
  </si>
  <si>
    <t>108699-49T</t>
  </si>
  <si>
    <t>MedGo</t>
  </si>
  <si>
    <t>Developer of an online healthcare platform intended to provide immediate and reliable staff replacement. The company's platform uses digital tools, handles email, SMS and phone reminders and contributes to the improvement of the system as a whole, enabling healthcare professionals to save time, reduce interim costs and increase staff loyalty.</t>
  </si>
  <si>
    <t>Daniel Calle(Daniel Calle), Dominique Vidal(Dominique Vidal), Kima Ventures, Mathilde Collin(Mathilde Collin)</t>
  </si>
  <si>
    <t>caregivers database, medical replacement, recruiting healthcare staff, staff management, staff replacement, staff replacement platform</t>
  </si>
  <si>
    <t>99549-01T</t>
  </si>
  <si>
    <t>Advalo</t>
  </si>
  <si>
    <t>Developer of an individualized marketing platform designed to talk to each consumer at the moments that influence their purchase decision. The company's platform provides individualized marketing by combining data and artificial intelligence through the web by responding to consumer activities on the web, enabling marketers to create greater consumer connections through the internet.</t>
  </si>
  <si>
    <t>Arkéa Capital, Epopée Gestion, SGPA(Jean-Paul Guisset), Vasgos</t>
  </si>
  <si>
    <t>artificial intelligence based platform, cloud-based marketing software, individualized marketing platform, marketing platform, marketing platform using data intelligence, marketing software</t>
  </si>
  <si>
    <t>125064-82T</t>
  </si>
  <si>
    <t>Autonomie &amp; Solidarité, Nord Création(Florent Lestienne), Nord France Amorçage, Siparex Group</t>
  </si>
  <si>
    <t>114107-77T</t>
  </si>
  <si>
    <t>EcoMundo</t>
  </si>
  <si>
    <t>Developer of compliance and regulatory software intended to offer cosmetic, biocides, and healthcare industries. The company's software offers marketing briefs, research and development formulation, tests and evaluation, international compliance, packaging labels, and global marketing, thereby securing the marketing of products from international companies by mastering environmental regulatory procedures.</t>
  </si>
  <si>
    <t>cloud collaboration software, compliance control, plant protection product, regulation compliance, saas business model, saas software platform, toxicology services</t>
  </si>
  <si>
    <t>Issy Les Moulineaux, France</t>
  </si>
  <si>
    <t>96707-08T</t>
  </si>
  <si>
    <t>88885-81T</t>
  </si>
  <si>
    <t>Stratumn</t>
  </si>
  <si>
    <t>Developer of a financial process management platform designed to offer a digital audit trail based on blockchain technology for operational users. The company's platform automates the auditing process and eliminates errors that are cryptographically written, executed and verified, enabling networks, free organizations and individuals to connect by accessing secure processes while ensuring data privacy and reducing operational frictions and costs.</t>
  </si>
  <si>
    <t>BNP Paribas Cardif (LIM: CARDIFC1), C Entrepreneurs, Cathay Capital Private Equity(Jean-Francois Cochy), Digital Currency Group(Barry Silbert), Frst Capital(Bruno Raillard), Nasdaq Ventures, Open CNP</t>
  </si>
  <si>
    <t>cfo stack, enterprise resource planning, erp, financial management system, financial process management, financial process management platform, financial process transaction, financial processing service, financial processing services, financial processing software</t>
  </si>
  <si>
    <t>97802-92T</t>
  </si>
  <si>
    <t>Swisscom Ventures(Dominique Mégret)</t>
  </si>
  <si>
    <t>99097-21T</t>
  </si>
  <si>
    <t>Blue Frog (Hardware)</t>
  </si>
  <si>
    <t>Developer of social companion robots designed to help eldercare, healthcare, education professionals, and developers. The company's robots come with temperature sensors, obstacle detectors, ground detectors, range-finding sensors, cameras, microphones, audio output, HDMI output, WiFi, and Bluetooth features, enabling users to improve life, create social ties, assist childhood learning to watch over and take care of elders.</t>
  </si>
  <si>
    <t>Alexandre Ichaï(Alexandre Ichaï), Anne-Claude Pont(Anne-Claude Pont), Benoit de Maulmin(Benoit de Maulmin), Gilles Benhamou(Gilles Benhamou), Pegasus Tech Ventures(Anis Uzzaman)</t>
  </si>
  <si>
    <t>autonomous machine, consumer robotics, elderly nursing, ground detectors equipment, intelligent robotics, obstacle detection robots, private robots, robotics assistance, robotics companion, social robot developer, temperature sensor</t>
  </si>
  <si>
    <t>Artificial Intelligence &amp; Machine Learning, Mobile, Robotics and Drones</t>
  </si>
  <si>
    <t>97503-67T</t>
  </si>
  <si>
    <t>La Révolution Champignon</t>
  </si>
  <si>
    <t>Operator of an eco-organic mushroom farm intended to produce varieties of mushrooms, mushroom kits to grow at home, and gourmet recipes of bolo-style sauces and spreads. The company offers mushrooms that are picked by hand in a circular and sustainable logic that respects the ethical charter of organic farming, enabling customers to buy organic mushrooms produced from sustainable farming.</t>
  </si>
  <si>
    <t>alt-proteins, ecobiological mushrooms, indoor farming, indoor growers, mushroom farm, mushroom producer, mushrooms farming, plant-based protein, sustainable agriculture platform, sustainable farming, urban agriculture</t>
  </si>
  <si>
    <t>Lomme, France</t>
  </si>
  <si>
    <t>192803-23T</t>
  </si>
  <si>
    <t>CapInvest</t>
  </si>
  <si>
    <t>99551-26T</t>
  </si>
  <si>
    <t>Arkéa Capital(Morgan Carval), Breizh Invest PME, Region of Brittany, Sofimac Innovation</t>
  </si>
  <si>
    <t>107912-44T</t>
  </si>
  <si>
    <t>Izberg</t>
  </si>
  <si>
    <t>Provider of a multi-seller marketplace intended to add a whole new set of sales channels in the organization's digital strategies. The company offers cloud-based e-commerce turnkey services that help e-commerce websites, online media, distributors and mobile application to increase revenues by turning their websites into a multi-seller platform, enabling mid-size and large companies to increase their revenues, lower their costs, and offer a superior shopping experience to their customers.</t>
  </si>
  <si>
    <t>Alven Capital Partners(Raffi Kamber)</t>
  </si>
  <si>
    <t>digital marketplace, ecommerce personalization, marketplace strategy imperatives, multi-seller platform, service-oriented marketplace, technical integration, turnkey service, turnkey software</t>
  </si>
  <si>
    <t>E-Commerce, Mobile, SaaS, TMT</t>
  </si>
  <si>
    <t>123805-63T</t>
  </si>
  <si>
    <t>Officine Universelle Buly</t>
  </si>
  <si>
    <t>Manufacturer of beauty products based in Paris, France. The company offers cosmetics, perfumery, body care and oral care and provides beauty and hygiene services.</t>
  </si>
  <si>
    <t>LVMH Luxury Ventures Advisors</t>
  </si>
  <si>
    <t>beauty product, beauty products, beauty products company, beauty products producer, fragrance product, hygiene services, natural beauty products, perfumes stores, skin cosmetics</t>
  </si>
  <si>
    <t>139180-15T</t>
  </si>
  <si>
    <t>159824-89T</t>
  </si>
  <si>
    <t>Cylon Capital, M Capital Partners, Tikehau Ace Capital</t>
  </si>
  <si>
    <t>96484-24T</t>
  </si>
  <si>
    <t>Investisseurs &amp; Partenaires, Newfund Management, Normandie Participations, Philippe Perrin(Philippe Perrin)</t>
  </si>
  <si>
    <t>96655-51T</t>
  </si>
  <si>
    <t>HireSweet</t>
  </si>
  <si>
    <t>Developer of an AI-based hiring platform designed to facilitate the recruitment of developers and designers for companies. The company's platform leverages artificial intelligence to process unstructured data, such as profile descriptions, and categorizes developers depending on skills, projects, and adaptability, enabling clients to automate the hiring process and recruit the best developers efficiently.</t>
  </si>
  <si>
    <t>Bpifrance, David Bizer(David Bizer), Global Founders Capital, Kima Ventures(Xavier Niel), The Family (Financial Services), Yannis Yahiaoui(Yannis Yahiaoui), Yves Weisselberger</t>
  </si>
  <si>
    <t>candidate recruitment, developer recruitment, hiring process, hiring process automation, recruitment platform, talent database</t>
  </si>
  <si>
    <t>Les Loges-En-Josas, France</t>
  </si>
  <si>
    <t>187856-92T</t>
  </si>
  <si>
    <t>Kapteos</t>
  </si>
  <si>
    <t>Manufacturer of industrial equipment intended for electric field measurements and industrial processes. The company's products include industrial testing and measurement equipment that can be used for electromagnetic field measurements in medium and increased voltage and also provides testing and repair services as well, enabling clients to analyze and understand their electrical systems in industrial sectors.</t>
  </si>
  <si>
    <t>electric field device, electromagnetism, equipment kits, industrial equipment, industrial gadgets, iot hardware, measurement device, sensors &amp; sensor system, sensors and sensor system</t>
  </si>
  <si>
    <t>Industrials, Internet of Things, Manufacturing</t>
  </si>
  <si>
    <t>Sainte-Hélène du Lac, France</t>
  </si>
  <si>
    <t>96331-69T</t>
  </si>
  <si>
    <t>Wiztrust</t>
  </si>
  <si>
    <t>Developer of a cloud-based communications platform intended to boost corporate and financial content distribution. The company's platform helps to streamline content management, SEO, social and multichannel distribution, stakeholder relationships and performance, and assessment, in full compliance with sectoral constraints, enabling business executives to simplify stakeholder relationship management, event organization, and tracking of communication performance.</t>
  </si>
  <si>
    <t>Didier Rousseau(Didier Rousseau), FAMM Group, François Le Corno(François Le Corno), Gerard Augustin-Normand(Gerard Augustin-Normand), NewAlpha Asset Management(Lior Derhy), Pierre-Antoine Dusoulier(Pierre-Antoine Dusoulier)</t>
  </si>
  <si>
    <t>business communication platform, communication platform operator, content builder, content management platform, information network, pr management</t>
  </si>
  <si>
    <t>232489-00T</t>
  </si>
  <si>
    <t>OP2 DRUGS</t>
  </si>
  <si>
    <t>Developer of medicines and drugs platform intended to apply in cardioprotection and neuroprotection. The company's platform develops medicines and identifies them with a flexible economic model, enabling physicians to treat cardiac and neurological problems.</t>
  </si>
  <si>
    <t>biotechnology based, cardiac disorder, cardiac drugs, drug discovery unit, healthcare industry, pharmaceuticals firm</t>
  </si>
  <si>
    <t>96265-27T</t>
  </si>
  <si>
    <t>Pollen Metrology</t>
  </si>
  <si>
    <t>Developer of decision-making software designed to help in the production of high-performance materials. The company's software accelerates the growth of materials and boosts production yields by using artificial intelligence to automatically analyze metrology and defectivity data, enabling tool suppliers to improve manufacturing yields, drastically reduce research costs, and track defects from the early research stages to high-volume manufacturing.</t>
  </si>
  <si>
    <t>Kreaxi(Rémi Berthier), Rhône-Alpes Création, Siparex Group, UI Investissement, XAnge(Guilhem De Vregille)</t>
  </si>
  <si>
    <t>agile software development, decision making software, deeptech company, industrial data analytics, process control, signal processing, software editor tools, vertical application</t>
  </si>
  <si>
    <t>Advanced Manufacturing, Artificial Intelligence &amp; Machine Learning, Big Data, Nanotechnology</t>
  </si>
  <si>
    <t>96203-80T</t>
  </si>
  <si>
    <t>Air Liquide Venture Capital, Auriga Partners (Paris), Idinvest Partners, M Ventures(Roel Bulthuis), Panasonic Holdings (TKS: 6752), Samsung Venture Investment, Supernova (Cayman)</t>
  </si>
  <si>
    <t>117592-75T</t>
  </si>
  <si>
    <t>50 Partners, Unibail-Rodamco-Westfield (PAR: URW)</t>
  </si>
  <si>
    <t>95429-89T</t>
  </si>
  <si>
    <t>iAdvize</t>
  </si>
  <si>
    <t>Developer of a real-time customer engagement platform designed to manage online customer relations. The company's platform predicts and engages contact opportunities with authentic experts and converts them into business values, enabling businesses to connect with their customers and improve their conversion rate, customer satisfaction, and sales.</t>
  </si>
  <si>
    <t>Bpifrance(Jean Bertin), Eurazeo (PAR: RF), Quadrille Capital</t>
  </si>
  <si>
    <t>communication platform, conversational commerce, conversational commerce platform, customer engagement, customer satisfaction tools, customer service, generative ai</t>
  </si>
  <si>
    <t>137863-09T</t>
  </si>
  <si>
    <t>Pays de la Loire Participations, Siparex Group</t>
  </si>
  <si>
    <t>96227-38T</t>
  </si>
  <si>
    <t>OpenIO</t>
  </si>
  <si>
    <t>Computational Storage</t>
  </si>
  <si>
    <t>Developer of a next-generation open source object storage and serverless computing system designed to revolutionize the data storage landscape. The company's computing technology provides an open-source innovative architecture for building object storage infrastructures to be deployed and scale over time, enabling businesses to optimize data access and simplify complex workloads by offloading some tasks directly to the storage infrastructure.</t>
  </si>
  <si>
    <t>Elaia Partners(Marc Rougier), Nord France Amorçage, Partech(Reza Malekzadeh)</t>
  </si>
  <si>
    <t>ai automation platform, cloud native, cloudtech, computational storage, data storage technology, object storage infrastructure, object storage system</t>
  </si>
  <si>
    <t>Artificial Intelligence &amp; Machine Learning, Big Data, CloudTech &amp; DevOps, Internet of Things, SaaS, TMT</t>
  </si>
  <si>
    <t>96177-07T</t>
  </si>
  <si>
    <t>Accel(Sonali De Rycker), Elaia Partners(Philippe Gire), General Catalyst(Adam Valkin), IRIS (Private Equity)(Julien-David Nitlech)</t>
  </si>
  <si>
    <t>96482-08T</t>
  </si>
  <si>
    <t>Dejamobile</t>
  </si>
  <si>
    <t>Provider of an online financial solution platform intended for digital payment and mobile ticketing. The company offers proximity technologies such as NFC, QR code and bluetooth smart technology to assist in the fields of payment, mobility and commerce, enabling banks to offer a proximity payment service.</t>
  </si>
  <si>
    <t>François Enaud(François Enaud), Newfund Management</t>
  </si>
  <si>
    <t>bluetooth technology, financial platform, financial solutions, mobile payment app, mobile payment service, near field communication software, online banking</t>
  </si>
  <si>
    <t>Herouville Saint Clair, France</t>
  </si>
  <si>
    <t>189712-00T</t>
  </si>
  <si>
    <t>104868-37T</t>
  </si>
  <si>
    <t>BNP Paribas (PAR: BNP), Bpifrance, Kreaxi(Rémi Berthier), Pleiade Venture</t>
  </si>
  <si>
    <t>103681-90T</t>
  </si>
  <si>
    <t>C4 Ventures, CEA Investissement, HCVC(Alexis Houssou), Partech(Boris Golden)</t>
  </si>
  <si>
    <t>87735-25T</t>
  </si>
  <si>
    <t>Clickeat</t>
  </si>
  <si>
    <t>Developer of an online ordering platform designed to help restaurateurs gain visibility online. The company's platform helps to create an ordering page, visual and audible notification alerts when an order is received, modify the menu, and follow sales, enabling restaurants to have increased sales.</t>
  </si>
  <si>
    <t>food ecommerce, food ordering portal, merchant application, online food services, online ordering app, ordering online, ordering services, restaurant marketplace, seo saas</t>
  </si>
  <si>
    <t>FoodTech, Mobile, Restaurant Technology, TMT</t>
  </si>
  <si>
    <t>127472-41T</t>
  </si>
  <si>
    <t>AQUITI Gestion, Arkéa Capital(Morgan Carval), Crédit Agricole Aquitaine, Emertec Gestion, Expanso Capital, Expanso.</t>
  </si>
  <si>
    <t>95885-38T</t>
  </si>
  <si>
    <t>Papernest</t>
  </si>
  <si>
    <t>Developer of a contract management platform designed to simplify daily management and administration. The company's platform specializes in procedures related to moving out, allows to centralize, cancel, and subscribe to subscriptions in a few clicks as well as helps to find and negotiate better real estate loan rates, enabling users to simplify contractual procedures, minimize paperwork along with saving on time and costs.</t>
  </si>
  <si>
    <t>Bpifrance, Eurazeo (PAR: RF), Idinvest Partners, Kima Ventures, Partech(Philippe Collombel)</t>
  </si>
  <si>
    <t>administrative procedures, mortgage broker service, paperwork automation, paperwork management, paperwork services, subscribers management</t>
  </si>
  <si>
    <t>Legal Tech, Mobile, Mortgage Tech, Real Estate Technology, SaaS</t>
  </si>
  <si>
    <t>96070-15T</t>
  </si>
  <si>
    <t>Finorpa(Benjamin Fitoussi), Nord Création(Christophe Marechal)</t>
  </si>
  <si>
    <t>101430-91T</t>
  </si>
  <si>
    <t>Pentalabbs, SGH Capital(Alexandre Azoulay), The Family (Financial Services)</t>
  </si>
  <si>
    <t>159856-75T</t>
  </si>
  <si>
    <t>Sophie Lebreuilly</t>
  </si>
  <si>
    <t>Operator of a chain of bakeries intended to serve customers across France. The company operates a chain of restaurants offering French traditional bakery products, catering services, and snacking products, enabling people to get freshly baked bread products.</t>
  </si>
  <si>
    <t>Finorpa, Generis Capital Partners</t>
  </si>
  <si>
    <t>bakery chain, bakery firm, bakery network, bakery operator, bakery product, catering services, restaurant chain</t>
  </si>
  <si>
    <t>Etaples, France</t>
  </si>
  <si>
    <t>95879-98T</t>
  </si>
  <si>
    <t>TreasuryXpress</t>
  </si>
  <si>
    <t>Business/Productivity Software, Financial Software*, Media and Information Services (B2B), Other Financial Services</t>
  </si>
  <si>
    <t>Provider of treasury management services intended to help companies achieve comprehensive cash visibility. The company's services include cash management, liquidity and working capital management and self-service custom report, enabling organizations to make critical business decisions and improve long and short-term financial operations.</t>
  </si>
  <si>
    <t>Middle East Venture Partners, The Luxury Fund, TLF Ventures</t>
  </si>
  <si>
    <t>cash management system, financial consulting, financial management service, fintech services, treasury services</t>
  </si>
  <si>
    <t>108554-77T</t>
  </si>
  <si>
    <t>Babines</t>
  </si>
  <si>
    <t>Distributors/Wholesale, Food Products*</t>
  </si>
  <si>
    <t>Manufacturer and retailer of bakery products intended to offer items customized by 3D printing. The company's products include lollipops, shortbread cookies, chocolate cookies, ice creams and pastries which are made by artisanal methods and have ingredients that are selected over the seasons, enabling consumers to place unique orders.</t>
  </si>
  <si>
    <t>bakery items, confectionery items, custom confectionery product, lollipop maker, pastry maker</t>
  </si>
  <si>
    <t>101506-60T</t>
  </si>
  <si>
    <t>Angelor, Bpifrance, Francis-Charles Pollet(Francis-Charles Pollet), Guillaume Alabert(Guillaume Alabert), Michel Gasnier(Michel Gasnier), Rhone Development Initiative</t>
  </si>
  <si>
    <t>93527-02T</t>
  </si>
  <si>
    <t>Bpifrance(Gilles Schang), ETF Partners(Fabrice Bienfait), Frog Capital(Michael Reid), Inven Capital(Ivo Nemejc), Sumitomo (TKS: 8053)</t>
  </si>
  <si>
    <t>102637-00T</t>
  </si>
  <si>
    <t>Azoth Systems</t>
  </si>
  <si>
    <t>Developer of an electronic device designed to improve the safety of underwater diving and hyperbaric exposure safety. The company's device has an inbuilt wireless sensor that tracks Doppler signals underwater, detects obstacles, and sends warning notifications via messages or phone alarms, enabling divers to stay protected from unforeseen risks.</t>
  </si>
  <si>
    <t>Olbia Invest(Marie Fauré Lambert), Région Sud Investissement, Var Business Angels</t>
  </si>
  <si>
    <t>connected objects, diving equipment, electronic device, iot hardware, monitoring technology, sensors &amp; sensor system, sensors and sensor system, underwater diving, wireless sensor</t>
  </si>
  <si>
    <t>Ollioules, France</t>
  </si>
  <si>
    <t>117245-17T</t>
  </si>
  <si>
    <t>Etia Ecotechnologies</t>
  </si>
  <si>
    <t>Provider of thermal treatment services intended to manage waste and biomass. The company offers a heating and cooling system that provides the perfect temperatures for the treatment of spices, herbs and other food products, thereby enabling customers to treat their food products with innovative equipment.</t>
  </si>
  <si>
    <t>SUEZ Ventures(David Hansen)</t>
  </si>
  <si>
    <t>steam sterilisation, thermal processing, torrefaction equipment, torrefaction technology, waste management, waste valorisation services</t>
  </si>
  <si>
    <t>Compiegne cedex, France</t>
  </si>
  <si>
    <t>95572-36T</t>
  </si>
  <si>
    <t>109587-97T</t>
  </si>
  <si>
    <t>SYOS (Recreational Goods)</t>
  </si>
  <si>
    <t>Other Consumer Products and Services, Recreational Goods*</t>
  </si>
  <si>
    <t>Manufacturer of acoustic mouthpieces designed to help musicians to enhance their sound and technique. The company utilizes professional additive manufacturing technology to create one-of-a-kind instruments in a wide range of colours and openings, thereby enabling users to get three-dimensional-printed saxophone and clarinet mouthpieces that are fit for their characteristics and sound aesthetics.</t>
  </si>
  <si>
    <t>acoustic instruments, acoustic sound, music product, musical instrument, musical instrument stores, saxophone mouthpieces</t>
  </si>
  <si>
    <t>3D Printing, E-Commerce</t>
  </si>
  <si>
    <t>116075-26T</t>
  </si>
  <si>
    <t>Black Pepper Yachts</t>
  </si>
  <si>
    <t>Luxury Goods, Marine*, Other Services (B2C Non-Financial)</t>
  </si>
  <si>
    <t>Manufacturer of yachts intended to provide luxury vintage sailboats and cabinets. The company combines ancestral know-how with innovative and modern production techniques to manufacture luxurious tech-vintage yachts providing fine finishing and brand image, enabling clients to get stiff and light boats with low gas consumption.</t>
  </si>
  <si>
    <t>boats builder, boats construction, motorboats dealer, powerboat manufacturer, shipbuilding company, yacht builder, yacht dealer, yacht rent</t>
  </si>
  <si>
    <t>98046-64T</t>
  </si>
  <si>
    <t>MedinCell (PAR: MEDCL)</t>
  </si>
  <si>
    <t>Medincell SA is a technology-based pharmaceutical firm, aims to optimise the efficiency of medical treatments and make them accessible geographically. The company's product portfolio uses BEPO-patented technology to develop controlled, long-acting injectable medical treatments for a number of therapeutic fields. The firm has a single operating segment: ongoing research and development on processes that use biodegradable polymers to enable the controlled and prolonged release of the active principles of drugs into the human body and animals by means of injection.</t>
  </si>
  <si>
    <t>BNP Paribas Développement, Crédit Mutuel Innovation(Karine Lignel), Seventure Partners</t>
  </si>
  <si>
    <t>drugs release, injectable medicine, medicinal drugs, medicine developer, medicine manufacturer, pharmaceutical</t>
  </si>
  <si>
    <t>Jacou, France</t>
  </si>
  <si>
    <t>99948-16T</t>
  </si>
  <si>
    <t>Libheros</t>
  </si>
  <si>
    <t>Developer of an online medical platform intended to connect patients with medical requirements. The company's platform offers a network of qualified healthcare professionals in different locations and also offers tools to facilitate the management of secure health data information, enabling customers to receive healthcare at home or work.</t>
  </si>
  <si>
    <t>Air Liquide Venture Capital</t>
  </si>
  <si>
    <t>flu vaccinations, health data tool, healthcare network, medical platform, online medical appointment, online medical care</t>
  </si>
  <si>
    <t>107925-22T</t>
  </si>
  <si>
    <t>Chipsmarket</t>
  </si>
  <si>
    <t>Developer of a prescriptive data analytics platform designed to assist the electronic component supply chain complexity. The company's platform automates industrial sourcing and procurement of electronic components while taking advantage of market opportunities in real-time, enabling clients to improve margins, enabling businesses to manage shortages and overstock and accelerate delivery by automatically capturing market opportunities.</t>
  </si>
  <si>
    <t>Alven Capital Partners(Guillaume Aubin), Georges Karam(Georges Karam), Karista (Paris)(Olivier Dubuisson), Olivier Dubuisson(Olivier Dubuisson), Raffi Kamber(Raffi Kamber)</t>
  </si>
  <si>
    <t>data analysis management, data analysis service, data analytics platform, electronic components, industrial data analytics, prescriptive data analytics, supply chain management, vertical application</t>
  </si>
  <si>
    <t>Advanced Manufacturing, Big Data, SaaS</t>
  </si>
  <si>
    <t>108449-02T</t>
  </si>
  <si>
    <t>Hub-Grade</t>
  </si>
  <si>
    <t>Operator of a digital real estate agent intended to connect companies to rent workspaces. The company offers a wide range of workspace, ranging from closed offices to coworking, business centers, shared office spaces, and sublease agreements, enabling renters to submit a free advertisement on the platform that offers the opportunity to the tenants to validate rentals directly on the website, visit the premises if necessary and pay and sign the contract online.</t>
  </si>
  <si>
    <t>commercial real estate, commercial space, digital real estate, nonresidential real estate, real estate, real estate agency, real estate agent, real estate platform, shared office space</t>
  </si>
  <si>
    <t>112718-44T</t>
  </si>
  <si>
    <t>BDR Innovation et Transmission(Mathieu Perrot), BFC Croissance, Invest PME(Mathilde Faglin)</t>
  </si>
  <si>
    <t>95500-54T</t>
  </si>
  <si>
    <t>AngelSquare, ISAI</t>
  </si>
  <si>
    <t>120331-45T</t>
  </si>
  <si>
    <t>136265-32T</t>
  </si>
  <si>
    <t>Balzac Paris</t>
  </si>
  <si>
    <t>Accessories, Clothing*, Footwear, Specialty Retail</t>
  </si>
  <si>
    <t>Manufacturer of branded clothes and accessories intended to offer sustainable and feminine fashion products. The company designs bow ties, literary sweatshirts, and embroidered t-shirts by combining quality, and durability through the use of only natural materials, enabling customers to purchase clothes collections that are comfortable and fashionable.</t>
  </si>
  <si>
    <t>fashion accessories, fashion clothing, french fashion branding, limited edition clothes, online clothes stores, sustainable fashion, sweatshirts manufacturer, women wear</t>
  </si>
  <si>
    <t>204510-07T</t>
  </si>
  <si>
    <t>Novag</t>
  </si>
  <si>
    <t>Designer of no-tillage seed drills technology designed to ensure the production of quality yields with reduced costs and less soil damage. The company's technology prevents soil movement, soil erosion, and weed problems and also protects soil biology, enabling farmers to have quality yields and revenues.</t>
  </si>
  <si>
    <t>AQUITI Gestion, Banque Populaire Occitane, Bpifrance, Expanso Capital, Poitou-Charentes Innovation</t>
  </si>
  <si>
    <t>machinery maker, seed technology, seeds drill, soil degradation prevention, soil machinery, soil management</t>
  </si>
  <si>
    <t>AgTech, LOHAS &amp; Wellness, Manufacturing</t>
  </si>
  <si>
    <t>Fressines, France</t>
  </si>
  <si>
    <t>210959-74T</t>
  </si>
  <si>
    <t>ESA Space Solutions</t>
  </si>
  <si>
    <t>117009-19T</t>
  </si>
  <si>
    <t>BNP Paribas (PAR: BNP), Bpifrance, Business Angels 35, Caisse Regionale Credit Agricole Mutuel d'Ille et Vilaine (PAR: CIV), Credit Agricole (PAR: ACA), Crédit Agricole Ille et Vilaine Expansion, Crédit Mutuel Equity, UI Investissement</t>
  </si>
  <si>
    <t>96639-76T</t>
  </si>
  <si>
    <t>Toerana Habitat</t>
  </si>
  <si>
    <t>Provider of construction services intended to focus on eco-construction which brings building professionals together. The company offers administration and accounting, management of activities, certification recognized guarantor of the environment (RGE), risk prevention, and the ability to work across different trades, enabling clients to gain access to quality engineering services at affordable prices.</t>
  </si>
  <si>
    <t>biosourced materials, building contractor, building services provider, construction model, construction service facility, construction services company, contractor search, eco-construction services, sustainable building, sustainable building material</t>
  </si>
  <si>
    <t>112126-69T</t>
  </si>
  <si>
    <t>Turbiwatt</t>
  </si>
  <si>
    <t>Manufacturer of low-head hydroelectric turbines designed to improve the performances of hydroelectric machines. The company's product turbines are based on permanent magnet generators based on hydroelectric with configurations ranging from less than a kilowatt, enabling hydroelectricity companies to produce and stock hydroelectric energy at lower costs.</t>
  </si>
  <si>
    <t>Finarea(Didier Greggory)</t>
  </si>
  <si>
    <t>dispatchable energy sources, hydroelectric generator, hydroelectric turbine, hydroelectric turbine manufacturer, hydropower, low head turbine, magnetic system, turbine manufacturer</t>
  </si>
  <si>
    <t>130092-58T</t>
  </si>
  <si>
    <t>Librinova</t>
  </si>
  <si>
    <t>Developer of an online publication platform designed for authors for self-publishing. The company's platform allows authors to convert their manuscripts into digital books for selling via e-booksellers, enabling users to join the platform and multiply their chances of being spotted by a publishing house.</t>
  </si>
  <si>
    <t>Aticeo Capital, Bpifrance, CIC Lyonnaise de Banque, Investisseurs privés</t>
  </si>
  <si>
    <t>digital book, ebooks online, ebooks publishing service, online publisher, periodical publisher, publishing platform, self publishing platform</t>
  </si>
  <si>
    <t>95391-64T</t>
  </si>
  <si>
    <t>AngelSquare, Intuitis Investisseurs Privés, Via ID</t>
  </si>
  <si>
    <t>106157-62T</t>
  </si>
  <si>
    <t>Imactis</t>
  </si>
  <si>
    <t>Developer of a radiology technology designed to assist in the diagnosis and treatment of diseases. The company's technology makes multi-needles alignment easier, offers real-time treatment planning, and avoids critical structures without angular limitation, enabling medical institutions to provide improved outcomes and enhanced patient care.</t>
  </si>
  <si>
    <t>BizMedTech, BNP Paribas Développement(Nicolas Tymen), Crédit Agricole Alpes Développement(Sabrina Kouidri), Crédit Agricole Création(Emilie Richard), M Capital Partners(Yoann Bonnamour), Medevice Capital(Cécile Réal)</t>
  </si>
  <si>
    <t>3d navigation system, equipment manufacturing, imaging equipment, imaging tool, medical equipment, minimally invasive procedures, patient-care, surgery guidance application, surgery guide</t>
  </si>
  <si>
    <t>116592-40T</t>
  </si>
  <si>
    <t>95246-47T</t>
  </si>
  <si>
    <t>Bpifrance, Cemag Invest, Idinvest Partners, Innovation Capital (Paris)(Valéry Huot), LBO France(Valéry Huot), XAnge</t>
  </si>
  <si>
    <t>95920-75T</t>
  </si>
  <si>
    <t>Bouygues Telecom Initiatives, Smalt Capital</t>
  </si>
  <si>
    <t>164610-10T</t>
  </si>
  <si>
    <t>Gorgy Timing</t>
  </si>
  <si>
    <t>Electrical Equipment, Electronic Equipment and Instruments*, Network Management Software, Other Hardware</t>
  </si>
  <si>
    <t>Manufacturer of market time distribution and time synchronization systems intended to provide various time management purposes. The company develops digital clocks which are embedded with computer network technologies and ensures the security of time synchronization in the face of increasingly frequent cyberattacks on network time protocol and radiofrequency, enabling the client to overcome new challenges of cybersecurity and time traceability.</t>
  </si>
  <si>
    <t>Amundi (PAR: AMUN), Audacia (PAR: ALAUD)</t>
  </si>
  <si>
    <t>clock manufacturer, digital clock, industrial clock, network time server, security, time distribution, time synchronization</t>
  </si>
  <si>
    <t>La Mure d'Isère, France</t>
  </si>
  <si>
    <t>187949-62T</t>
  </si>
  <si>
    <t>Kronos 360</t>
  </si>
  <si>
    <t>Operator of an online watch marketplace intended to buy and sell luxury watches. The company's marketplace offers brand-new, pre-owned, and collector luxury watches from major watch brands, enabling customers to purchase different types of watches online.</t>
  </si>
  <si>
    <t>H8 Collection, OLMA Capital Management(Philippe Der Megreditchian), SHIFT Ventures (London)</t>
  </si>
  <si>
    <t>ladies watches, luxury goods, luxury watches, online retail, watches marketplace, watches seller</t>
  </si>
  <si>
    <t>139420-72T</t>
  </si>
  <si>
    <t>Expansinvest, Rhône-Alpes Création, Sofimac Innovation(Nicolas Boulay)</t>
  </si>
  <si>
    <t>95050-45T</t>
  </si>
  <si>
    <t>Seventure Partners(Isabelle de Cremoux)</t>
  </si>
  <si>
    <t>94332-43T</t>
  </si>
  <si>
    <t>Bpifrance, Khosla Ventures(Samir Kaul), Seventure Partners(Isabelle de Cremoux)</t>
  </si>
  <si>
    <t>109171-09T</t>
  </si>
  <si>
    <t>FourniResto</t>
  </si>
  <si>
    <t>Household Appliances, Other Consumer Durables, Specialty Retail*</t>
  </si>
  <si>
    <t>Operator of an e-commerce platform intended to sell professional kitchen equipment and furniture. The company's platform offers a variety of brands of kitchen furniture or electrical appliances and customer services through online chat, enabling cafes, hotels, and restaurants to acquire quality service and assistance in choosing the right catering or cooking equipment.</t>
  </si>
  <si>
    <t>Bpifrance, Elevation Capital Partners(Benjamin Cohen)</t>
  </si>
  <si>
    <t>catering equipment, ecommerce site, electrical appliances retailer, kitchen equipment, kitchen furniture retailer, online shopping</t>
  </si>
  <si>
    <t>123764-50T</t>
  </si>
  <si>
    <t>120049-48T</t>
  </si>
  <si>
    <t>Nailmatic</t>
  </si>
  <si>
    <t>Retailer of nail paints and cosmetics intended to provide beauty and care for nails for women and children. The company's cosmetics are bio-based, convenient to apply, and made without organic solvents which keeps them phthalate-free, formaldehyde-free, toluene-free, and fragrance-free, enabling women and kids to enjoy a range of faultless quality cosmetics.</t>
  </si>
  <si>
    <t>Investisseurs privés, Odyssee Venture</t>
  </si>
  <si>
    <t>beauty cosmetic, beauty product, cosmetics brand, eco-friendly product, nails care, organic products</t>
  </si>
  <si>
    <t>96637-51T</t>
  </si>
  <si>
    <t>Mérieux Equity Partners(Valérie Calenda), Région Sud Investissement, Turenne Groupe(Mounia Chaoui)</t>
  </si>
  <si>
    <t>200968-39T</t>
  </si>
  <si>
    <t>101344-15T</t>
  </si>
  <si>
    <t>Mutuelle Assurance Commerçants et Industriels France(Adrien Couret)</t>
  </si>
  <si>
    <t>102633-67T</t>
  </si>
  <si>
    <t>FemuQuì Ventures(Marie-Cécile Paoli), Pierre-Noel Luiggi, Smalt Capital</t>
  </si>
  <si>
    <t>187795-90T</t>
  </si>
  <si>
    <t>Plus Que Parfait</t>
  </si>
  <si>
    <t>Provider of recycling and industrial cleaning services intended to help businesses, communities, and condominiums. The company's services include sanitation and commercial cleaning services for premises in all sectors including offices, buildings, stores, warehouses, parking lots, public places, schools, medical environments, and food processing centers, enabling clients to have a hygienic environment in a hassle-free manner.</t>
  </si>
  <si>
    <t>cleaning services, cleanliness management, commercial cleaning, hygienic environment, industrial cleaning agent, recycling process, sanitation service</t>
  </si>
  <si>
    <t>90499-15T</t>
  </si>
  <si>
    <t>Air Liquide Venture Capital(Olivier Boucat), Centre for Studies and Research for Diabetes Treatment Intensification, Crédit Agricole Aquitaine Expansion, EIT Health, Kreaxi, Sofimac Innovation, Sofimac Investment Managers(Francois Miceli), Supernova Invest</t>
  </si>
  <si>
    <t>94902-58T</t>
  </si>
  <si>
    <t>Bpifrance(Emmanuel Audouard), Idinvest Partners(Luc Maruenda), Innovation Capital (Paris)(Chantal Parpex), LBO France(Valéry Huot)</t>
  </si>
  <si>
    <t>94807-09T</t>
  </si>
  <si>
    <t>Early Birds</t>
  </si>
  <si>
    <t>Developer of a predictive marketing platform created to optimize the customer experience in order to recommend the right offer at the right time. The company's platform leverages artificial intelligence to collect and analyze customer behavior on internet sites to customize the browsing experience for the user with automatic recommendations, enabling e-commerce sites to personalize their customer experience by analyzing in real time the behavior of the visitors on all their digital devices.</t>
  </si>
  <si>
    <t>Arts et Biens, Fred &amp; Farid Digital Investment Fund, Plug and Play Tech Center, SGPA, Vessoa Private Equity</t>
  </si>
  <si>
    <t>automatic recommendation, crm, customer relationship management, marketing platform software, personalization platform, personalized recommendations, predictive marketing platform</t>
  </si>
  <si>
    <t>108417-97T</t>
  </si>
  <si>
    <t>Newsteo</t>
  </si>
  <si>
    <t>Developer of a wireless smart sensor designed to provide measurements used for traceability, supervision, and real-time alerts. The company's sensor can transmit over various physical ranges and features lasting energy autonomy and also has the expertise and the capabilities to develop customized wireless services, enabling users to access remote supervision across a range of platforms.</t>
  </si>
  <si>
    <t>Bpifrance, Crédit Mutuel Impact(Pascal Vallanchon)</t>
  </si>
  <si>
    <t>industrial iot, monitoring web application, smart sensor, smart sensor system, wireless data logger, wireless monitoring system, wireless sensor, wireless smart sensor, wireless transmission</t>
  </si>
  <si>
    <t>121026-34T</t>
  </si>
  <si>
    <t>Bpifrance(Edwige Kharoubi), F3A Ventures</t>
  </si>
  <si>
    <t>94768-12T</t>
  </si>
  <si>
    <t>Sweetcom</t>
  </si>
  <si>
    <t>Provider of consulting, diagnosis and advisory services intended to facilitate energy-saving and self-consumption. The company's services include offering installation and maintenance of energy-saving equipment, enabling customers to control the energy budget in perpetual progression and to strive towards energy independence.</t>
  </si>
  <si>
    <t>AQUITI Gestion(Pascal Rabault), Bpifrance(Jérôme Langlade)</t>
  </si>
  <si>
    <t>energy efficiency analysis, energy efficiency consulting, energy efficiency service, energy efficiency solutions, energy management, energy management app, solar services</t>
  </si>
  <si>
    <t>Aubeterre sur Dronne, France</t>
  </si>
  <si>
    <t>95503-69T</t>
  </si>
  <si>
    <t>360 Capital, XAnge</t>
  </si>
  <si>
    <t>94659-94T</t>
  </si>
  <si>
    <t>Nathalie Roy, OLMA Capital Management, Partech(Boris Golden), Patrick Sayer, Red River West(Alban Greget), XAnge(Cyril Bertrand)</t>
  </si>
  <si>
    <t>140365-99T</t>
  </si>
  <si>
    <t>194532-94T</t>
  </si>
  <si>
    <t>88JOBS</t>
  </si>
  <si>
    <t>Provider of human resources (HR) bilingual services intended to offer recruitment services to European and Chinese companies. The company's technology allows recruiters to publish their specialized offers to bilingual candidates and applicants to demonstrate their worth through bilingual certificate badges, writing a bilingual curriculum vitae, or finding internships, helping bicultural applicants connect with demanding recruiters.</t>
  </si>
  <si>
    <t>Bpifrance, Bruno Jacquemin(Bruno Jacquemin), Investessor(Alain Ilhe), Monica Jiman(Monica Jiman), Paris Business Angels, WeLikeStartup</t>
  </si>
  <si>
    <t>bilingual jobs, chinese language, cultural services, hr tech, hr tech service, hr technology platform, human resources</t>
  </si>
  <si>
    <t>95699-89T</t>
  </si>
  <si>
    <t>Quantilia</t>
  </si>
  <si>
    <t>Developer of a financial platform designed to transform complex analytics into easy-to-understand intelligence. The company's platform offers portfolio monitoring, market screening, multi-criteria search and interactive tools, a comprehensive index, fund and market data, quanta mental and ESG research as well as powerful analytics and tools specifically developed to assist medium and long-term investors to take improved informed decisions when managing their portfolios, enabling clients to enhance their financial and non-financial performances.</t>
  </si>
  <si>
    <t>Bpifrance, Serena (Paris)</t>
  </si>
  <si>
    <t>asset management firm, enterprise architecture, esg analytics, financial services infrastructure, portfolio analytics platform, portfolio management, risk analytics management</t>
  </si>
  <si>
    <t>105730-39T</t>
  </si>
  <si>
    <t>Selenium Medical</t>
  </si>
  <si>
    <t>Other Containers and Packaging, Other Devices and Supplies*</t>
  </si>
  <si>
    <t>Producer of sterile packaging products intended to avoid infection in medical devices. The company's platform offers double-pouches, double-blisters, and double-tube packaging, enabling healthcare providers to enhance the protection of their medical devices.</t>
  </si>
  <si>
    <t>Crédit Mutuel Equity, Ocean Participations</t>
  </si>
  <si>
    <t>medical device packaging, packaging design, packaging method, surface treatment product, surface treatment service, surface treatment work</t>
  </si>
  <si>
    <t>94604-41T</t>
  </si>
  <si>
    <t>AG2R La Mondiale, Bpifrance(Jean Bertin), Credit Mutuel Arkea, Eurazeo (PAR: RF)(Elina Berrebi), Matmut, Weber Investissements, Zencap Asset Management</t>
  </si>
  <si>
    <t>108636-22T</t>
  </si>
  <si>
    <t>Global Founders Capital, Kima Ventures(Xavier Niel), Picus Capital</t>
  </si>
  <si>
    <t>94142-62T</t>
  </si>
  <si>
    <t>Bpifrance, General Atlantic(Christopher Caulkin), Partech(Philippe Collombel), Piton Capital</t>
  </si>
  <si>
    <t>94394-89T</t>
  </si>
  <si>
    <t>Balderton Capital(Bernard Liautaud)</t>
  </si>
  <si>
    <t>123600-25T</t>
  </si>
  <si>
    <t>Ecomouton</t>
  </si>
  <si>
    <t>Provider of eco-grazing services intended for businesses and communities. The company's services use sheep to maintain green spaces ecologically, avoiding the use of mechanical mowers and chemical weedkillers, depending on the climate and the configuration of the sites, enabling clients to have mechanical-free maintenance of their lawns.</t>
  </si>
  <si>
    <t>animal care, ecological management, ecological service, flocking service, green space creation, green space maintenance, landscaping care, lawn mowing service, sheep farming, sheep property</t>
  </si>
  <si>
    <t>Yebles, France</t>
  </si>
  <si>
    <t>94298-14T</t>
  </si>
  <si>
    <t>Crédit Mutuel Equity, Innovation Capital (Paris)(Ingrid Rayez), LBO France</t>
  </si>
  <si>
    <t>105789-43T</t>
  </si>
  <si>
    <t>Polyrise</t>
  </si>
  <si>
    <t>Manufacturer of nanomaterials and coatings designed to create an optical coating for the photonics industry. The company's platform creates varnishes designed to produce liquid functional coatings based on patented technology, making it possible to produce nano-structured thin-layer coatings, enabling users to enhance their application's durability, optical clarity, appearance, and cleanability.</t>
  </si>
  <si>
    <t>3A Venture, Adour Business Angels, AQUITI Gestion, Capitole Angels, Dynalim, Expanso Capital, Finaqui, Limousin Business Angels</t>
  </si>
  <si>
    <t>coating devices, functional coatings, nanomaterial product, nanomaterial support, optical coating, patent technology</t>
  </si>
  <si>
    <t>109469-08T</t>
  </si>
  <si>
    <t>Adiona Groupe</t>
  </si>
  <si>
    <t>Provider of training services intended to help, support, and broaden educational experience. The company offers internships, visa assistance, and job assistance, enabling students and young graduates to gain personal and professional experience abroad.</t>
  </si>
  <si>
    <t>internships abroad, internships assistance, jobs assistance, jobs hunt, specialized training, visa assistance</t>
  </si>
  <si>
    <t>117766-09T</t>
  </si>
  <si>
    <t>Algodone</t>
  </si>
  <si>
    <t>Operator of a turnkey security platform intended to manage networks of connected objects. The company's platform develops patented secure activation licensing technology to make precise and secure measurement of object activity possible and opens the door to usage monetization by providing life cycle management, pre-use monetization, and conditional activation, enabling clients to access secure activation, configuration, protection, and monetization of electronic system networks throughout a device life cycle and secure the IoT ecosystem.</t>
  </si>
  <si>
    <t>electronic systems, iot ecosystem, monetization strategy, protection platform, saas platform, security platform</t>
  </si>
  <si>
    <t>Cybersecurity, Internet of Things, SaaS, TMT</t>
  </si>
  <si>
    <t>94200-49T</t>
  </si>
  <si>
    <t>Idinvest Partners, Illumina Ventures(Nicholas Naclerio), Kurma Partners(Philippe Peltier), M Ventures(Andreas Jurgeit), Sofinnova Partners(Josko Bobanović)</t>
  </si>
  <si>
    <t>100900-81T</t>
  </si>
  <si>
    <t>MyNotary</t>
  </si>
  <si>
    <t>Operator of a real estate platform intended to simplify and accelerate property transactions. The company's platform helps to simplify and automate file management, streamline and digitize the sales process in off-plan sales such as rapid downloading of documents, real-time information on the progress of cases, enabling real estate agents to digitize their agency and improve their customer relationship to control, automate and secure all stages of the transaction process.</t>
  </si>
  <si>
    <t>Open CNP(Hélène Falchier)</t>
  </si>
  <si>
    <t>collaborative platform, document analysis, information technology, real estate insights, real estate platform, streamlined data</t>
  </si>
  <si>
    <t>Legal Tech, Real Estate Technology, TMT</t>
  </si>
  <si>
    <t>94302-01T</t>
  </si>
  <si>
    <t>Adour Business Angels, AQUITI Gestion, Arkéa Capital, Epopée Gestion(Sébastien Corfec), Francis Nappez(Francis Nappez), Frédéric Mazzella(Frédéric Mazzella), Groupe Duval, Herrikoa, Kernel Investissements, Pg Developpement, Pierre Kosciusko Morizet(Pierre Kosciusko Morizet), SWEN Capital Partners</t>
  </si>
  <si>
    <t>94242-88T</t>
  </si>
  <si>
    <t>SoundCharts</t>
  </si>
  <si>
    <t>Developer of a data analytics and workflow management platform designed to provide market intelligence for the music industry. The company's platform aggregates music data online by locating artists, identifying supporters, and optimizing marketing campaigns using data from charts, playlists, radio passages, and social networks, enabling artists to track their campaigns with dashboards and customizable reports.</t>
  </si>
  <si>
    <t>Alven Capital Partners(Jeremy Uzan), Global Founders Capital, Kima Ventures, Rocket Internet (HAM: RKET)</t>
  </si>
  <si>
    <t>marketing campaign, music consumption, music consumption data, music consumption data platform, music industry, music industry analytics, music industry service, online music data</t>
  </si>
  <si>
    <t>AudioTech, Mobile, SaaS</t>
  </si>
  <si>
    <t>101499-31T</t>
  </si>
  <si>
    <t>Apitrak</t>
  </si>
  <si>
    <t>Electronic Equipment and Instruments*, Other Devices and Supplies, Other Healthcare Technology Systems</t>
  </si>
  <si>
    <t>Provider of tracking and geolocation services catering to healthcare, manufacturing, mining and aviation industries. The company specializes in Real-Time Location Systems (RTLS) using a wide range of data acquisition technologies including active &amp; passive RFID, Bluetooth Low Energy (BLE), Wi-Fi and GPS that can be used for asset tracking, inventory management and personal protection applications, enabling mobile assets managers to avoid irrational capital expenditure, save huge operating costs and improve logistical efficiency.</t>
  </si>
  <si>
    <t>Angelor, Bpifrance, Crédit Agricole Alpes Développement, Investessor, Savoie Mont Blanc Angels</t>
  </si>
  <si>
    <t>asset tracking, asset tracking system, geolocation services, geolocation solutions, geolocation systems, tracking service</t>
  </si>
  <si>
    <t>94265-92T</t>
  </si>
  <si>
    <t>Awashop</t>
  </si>
  <si>
    <t>Developer of a digital ordering and payment platform designed for all places linked to catering. The company's platform offers online site development, intelligent ordering, physical and digital payment, and easily integrates with various checkout software, enabling restaurants to increase the number of orders and the average basket, boost attendance and reduce staff errors while improving the satisfaction of customers.</t>
  </si>
  <si>
    <t>Elior Group (PAR: ELIOR)(Philippe Salle)</t>
  </si>
  <si>
    <t>digital ordering platform, digital payment, intelligent ordering, payment platform, restaurant &amp; retail tech, restaurant and retail technology, restaurant ordering system, sales &amp; operations tech, sales and operations technology, sales site</t>
  </si>
  <si>
    <t>FoodTech, Mobile, Mobile Commerce</t>
  </si>
  <si>
    <t>135677-98T</t>
  </si>
  <si>
    <t>Bretagne Sud Angels, Business Angels 35, Logoden, Sofimac Innovation, Starquest Capital</t>
  </si>
  <si>
    <t>94683-70T</t>
  </si>
  <si>
    <t>Mapwize</t>
  </si>
  <si>
    <t>Indoor Mapping</t>
  </si>
  <si>
    <t>Developer of an indoor mapping platform designed to offer digital services inside buildings and events. The company's platform has a search engine that lets users locate any kind of resources on the map, a direction engine to compute the route towards a destination, and displays appropriate content in accordance with user roles, enabling clients to integrate indoor mapping within projects and digitalize existing floorplans.</t>
  </si>
  <si>
    <t>BNP Paribas (PAR: BNP), Bpifrance, Finorpa, Groupe IRD, Nord Création</t>
  </si>
  <si>
    <t>big data, indoor mapping, indoor mapping application, indoor mapping platform, mapping application, mapping platform</t>
  </si>
  <si>
    <t>Big Data, Mobile, SaaS, TMT</t>
  </si>
  <si>
    <t>88614-01T</t>
  </si>
  <si>
    <t>Aglaé Ventures, Alven Capital Partners(Rodolphe Menegaux), FJ Labs(Fabrice Grinda), Global Founders Capital, Kima Ventures(Xavier Niel), Rocket Internet (HAM: RKET), White Star Capital</t>
  </si>
  <si>
    <t>192167-02T</t>
  </si>
  <si>
    <t>Metafora</t>
  </si>
  <si>
    <t>Diagnostic Equipment, Laboratory Services (Healthcare)*, Other Healthcare Technology Systems</t>
  </si>
  <si>
    <t>Operator of a digital cytometry company intended to develop automated cytometry software for detecting abnormalities in cellular energetics. The company's platform integrates high-throughput analysis and precise biomolecular profiling, enabling researchers and healthcare professionals to efficiently conduct in-depth studies and diagnostics with increased accuracy and speed.</t>
  </si>
  <si>
    <t>ET Capital</t>
  </si>
  <si>
    <t>biotechnology research, cell detection technology, cell metabolism, cellular energetic, cellular pharmacology, data analysis, diagnostic testing</t>
  </si>
  <si>
    <t>117861-31T</t>
  </si>
  <si>
    <t>158099-77T</t>
  </si>
  <si>
    <t>A Plus Finance, Heptagon, My Seed Cap</t>
  </si>
  <si>
    <t>94166-11T</t>
  </si>
  <si>
    <t>C4 Ventures(Olivier Huez), Charles-Antoine Beyney(Charles-Antoine Beyney), Credit Agricole (PAR: ACA), Partech(Reza Malekzadeh), Supernova Invest(Christophe Desrumaux), Western Digital Capital, Western Digital Technologies (NAS: WDC)</t>
  </si>
  <si>
    <t>93953-35T</t>
  </si>
  <si>
    <t>Bpifrance, CapHorn Invest(Romain Vidal), Microsoft (NAS: MSFT), Pleiade Venture(Laurent Vernier), Serena (Paris)(Sébastien Le Roy), Wille Finance, Zenium Technology Partners</t>
  </si>
  <si>
    <t>108349-75T</t>
  </si>
  <si>
    <t>104840-02T</t>
  </si>
  <si>
    <t>CEA Investissement(Celia Hart), Grenoble Angels, Kreaxi(Gwenaël Hamon), Savoie Mont Blanc Angels(Laurent Javaudin), Xpand Investment</t>
  </si>
  <si>
    <t>158511-25T</t>
  </si>
  <si>
    <t>Guillaume Gibault(Guillaume Gibault), Hubert Patricot(Hubert Patricot), Jérémy Charoy(Jérémy Charoy), Kima Ventures, Otium Capital, Senseii Ventures</t>
  </si>
  <si>
    <t>108791-47T</t>
  </si>
  <si>
    <t>AQUITI Gestion, Dynalim, Limousin Business Angels, Nouvelle Aquitaine Co-Investissement, Nutri.Ciab(Patrick Pageard), SUEZ Ventures(Loïc Voisin)</t>
  </si>
  <si>
    <t>109800-73T</t>
  </si>
  <si>
    <t>Bpifrance, JEREMIE Auvergne</t>
  </si>
  <si>
    <t>93729-61T</t>
  </si>
  <si>
    <t>Allard Confiserie</t>
  </si>
  <si>
    <t>Distributor and wholesaler of confectionery products intended to provide a wide range of food items. The company offers products such as biscuits, chocolates, candies, and confectionery items in bulk through its online portal and offline wholesale stores, enabling customers to avail themselves of various quality confectionery products at reasonable prices.</t>
  </si>
  <si>
    <t>biscuits items, chocolate bars manufacturer, confectionery food, food ecommerce, online grocer, wholesaler market</t>
  </si>
  <si>
    <t>Lambersart, France</t>
  </si>
  <si>
    <t>93737-26T</t>
  </si>
  <si>
    <t>Block'Out</t>
  </si>
  <si>
    <t>Buildings and Property, Leisure Facilities*, Restaurants and Bars</t>
  </si>
  <si>
    <t>Operator of a chain of clubs and hotels intended to offer block climbing rooms, restaurants, bodybuilding, sauna, and hammam services. The company's clubs offer a diverse arena for climbers and French bistro restaurants, providing customers with an adventurous experience while having their favorite food while attending regular training and fitness courses.</t>
  </si>
  <si>
    <t>bouldering facilities, climbing structure, fitness club, french restaurant, relaxation area, relaxation rooms</t>
  </si>
  <si>
    <t>121387-42T</t>
  </si>
  <si>
    <t>121470-67T</t>
  </si>
  <si>
    <t>93744-37T</t>
  </si>
  <si>
    <t>La Grenouillere</t>
  </si>
  <si>
    <t>Operator of a restaurant chain intended to offer contemporary French cuisine. The company's restaurant offers a wide range of authentic French food which changes as per the seasons and festivities, enabling customers to have delicious dishes at affordable prices.</t>
  </si>
  <si>
    <t>restaurant chain business, restaurant chain company, restaurant chain management, restaurant chain operator, restaurant chain services</t>
  </si>
  <si>
    <t>La Madelaine-sous-Montreuil, France</t>
  </si>
  <si>
    <t>93744-28T</t>
  </si>
  <si>
    <t>La Souris Magique</t>
  </si>
  <si>
    <t>Operator of web agency for entrepreneurs intended to provide services of business marketing and management. The company's integrated web agency specializes in consulting and creation of websites: e- commerce site, showcase sites, mobile site, referencing, emailing, enabling entrepreneurs to optimize their presence on the web and mobile media.</t>
  </si>
  <si>
    <t>integrated web agency, mobile application developer, web agency, web agency platform, web application developer</t>
  </si>
  <si>
    <t>CloudTech &amp; DevOps, Mobile, SaaS, TMT</t>
  </si>
  <si>
    <t>114545-08T</t>
  </si>
  <si>
    <t>Citizen Capital(Pierre-Olivier Barennes), Clara Gaymard, Gonzague De Blignières(Gonzague De Blignières), Investir &amp;+, OneRagtime, SGH Capital(Alexandre Azoulay)</t>
  </si>
  <si>
    <t>93727-09T</t>
  </si>
  <si>
    <t>Obein</t>
  </si>
  <si>
    <t>Manufacturer of mechanical components intended for the fabrication of tools and wear parts in various industrial applications. The company provides a range of tailored mechanical parts, including rollers for tubes, cutting tools, and wear-resistant components, enabling industries such as metallurgy and steel production to enhance operational efficiency through quality and durable products.</t>
  </si>
  <si>
    <t>aerospace components, cutting tools, mechanical parts, precision engineering, precision mechanics, tooling parts, tools fabrication, tools maker, turning equipment</t>
  </si>
  <si>
    <t>Marpent, France</t>
  </si>
  <si>
    <t>94615-57T</t>
  </si>
  <si>
    <t>AngelSquare, Newfund Management</t>
  </si>
  <si>
    <t>93726-01T</t>
  </si>
  <si>
    <t>Unis-Vers PME</t>
  </si>
  <si>
    <t>Operator of a cooperative consultancy firm intended to provide business development advisory services. The company's services include situation assessment, strategic deployment and business development, business plan and financial structuring, management critical situations, security, optimization of profitability, diversification, search for financing and management, enabling small and mid-sized businesses to receive consulting support and training for business growth and development.</t>
  </si>
  <si>
    <t>advisory services, business development advisory services, business growth service, consultancy firm, consultancy service, consultancy services, security</t>
  </si>
  <si>
    <t>93537-82T</t>
  </si>
  <si>
    <t>Ventech (Paris)(Claire Houry)</t>
  </si>
  <si>
    <t>110780-38T</t>
  </si>
  <si>
    <t>Hans Näder(Hans Näder)</t>
  </si>
  <si>
    <t>90519-40T</t>
  </si>
  <si>
    <t>Innovacom (Paris)(Jerome LeCoeur), Safran Corporate Ventures(Florent Illat), Starquest Capital</t>
  </si>
  <si>
    <t>182795-23T</t>
  </si>
  <si>
    <t>Iguane Solutions</t>
  </si>
  <si>
    <t>Developer of a cloud-based platform-as-a-service (PaaS) software designed to offer distributed computing services. The company offers deployment and auto-scaling of cloud applications and assists businesses in getting access to the creation, scaling, clustering, and smooth updates of monolithic applications and services, enabling companies to get unified and hybrid cloud infrastructure.</t>
  </si>
  <si>
    <t>Equitis Gestion, Eric Cohen(Eric Cohen), Julien Codorniou(Julien Codorniou), Monstera Capital, NJJ Capital(Xavier Niel)</t>
  </si>
  <si>
    <t>cloud infrastructure, cloud platform, cloud provider, hybrid cloud, infrastructure management, private cloud</t>
  </si>
  <si>
    <t>93689-56T</t>
  </si>
  <si>
    <t>SnapEvent</t>
  </si>
  <si>
    <t>Operator of an event planning platform intended to organize and execute outdoor events. The company's platform assists individuals, organizations, and businesses in finding spaces to host events, with a wide variety of locations to choose from, and also provides catering and other services for events, including the option to rent a hostess, security guard, chef or valet, enabling clients to find not only all venues with the prices but also a catalog of catering services and activities.</t>
  </si>
  <si>
    <t>123 Investment Managers, 50 Partners, Cyril Vermeulen(Cyril Vermeulen), David Dayan(David Dayan), Id4 Ventures, Leap Ventures, Thierry Petit(Thierry Petit)</t>
  </si>
  <si>
    <t>catering service, event hosting company, event organizer, event organizing platform, outdoor event, security guard</t>
  </si>
  <si>
    <t>207549-46T</t>
  </si>
  <si>
    <t>Pertinence Invest</t>
  </si>
  <si>
    <t>89544-70T</t>
  </si>
  <si>
    <t>Global Founders Capital, Kerala Ventures(Antoine Freysz)</t>
  </si>
  <si>
    <t>95885-02T</t>
  </si>
  <si>
    <t>Bpifrance, Bynd Venture Capital, Hemera, ITERATE Ventures</t>
  </si>
  <si>
    <t>122276-35T</t>
  </si>
  <si>
    <t>CASSIUS, TempoCap(Olav Ostin)</t>
  </si>
  <si>
    <t>104838-49T</t>
  </si>
  <si>
    <t>MailClark</t>
  </si>
  <si>
    <t>Provider of an email integration service intended to provide external communication services. The company's services provide sourcing, pricing, booking, payment, and analytics services for private aviation as well as permit users to send and receive emails, messages directly from slack or Microsoft teams, enabling users to share their messages and emails in a convenient manner.</t>
  </si>
  <si>
    <t>Elaia Partners, IT-Translation, Kreaxi</t>
  </si>
  <si>
    <t>email integration, email software, group email, internal communication, mobile interface, multi-cultural context, social network data</t>
  </si>
  <si>
    <t>134079-67T</t>
  </si>
  <si>
    <t>Bpifrance, Sofilaro</t>
  </si>
  <si>
    <t>109594-90T</t>
  </si>
  <si>
    <t>Swello</t>
  </si>
  <si>
    <t>Developer of a social media management tool designed to publish content tailored to the audience and boost their engagement on social networks. The company's tool adapts to a firm's activities and needs through the monitoring and programming of published content, enabling enterprises to save their time and enhance their social media strategy.</t>
  </si>
  <si>
    <t>Créazur, Olbia Invest, Région Sud Investissement, Turenne Groupe, Var Business Angels</t>
  </si>
  <si>
    <t>management tool, media management, social media analysis, social media platform, social network monitoring, social networking platform</t>
  </si>
  <si>
    <t>122914-99T</t>
  </si>
  <si>
    <t>COFI., Elaia Partners, Inria, IT-Translation</t>
  </si>
  <si>
    <t>187894-99T</t>
  </si>
  <si>
    <t>Argolight</t>
  </si>
  <si>
    <t>Manufacturer of calibration tools designed to offer an all-in-one microscope quality control. The company's tools make fluorescence-based measurements precise and reliable as well as compare data across multiple systems and analyze it on a large scale, enabling manufacturers to monitor their fluorescence imaging and perform cross-system data mining.</t>
  </si>
  <si>
    <t>fluorescence cell, fluorescence imaging, fluorescence microscopy, induced-fluorescence imaging, laser induced fluorescence, measurement tool</t>
  </si>
  <si>
    <t>93529-09T</t>
  </si>
  <si>
    <t>Funny Parc</t>
  </si>
  <si>
    <t>Operator of an indoor amusement park intended to provide recreational facilities. The company's amusement park contains a labyrinth, jump-in-the-ball pools, trampolines, theme-based rides, laser tags and free Wi-Fi facilities, enabling fun enthusiasts to arrange birthday parties, school excursions and fun events in a safe and enclosed arena.</t>
  </si>
  <si>
    <t>amusement center, dinosaur themes park, games arcade, games zone, kids park, play arena</t>
  </si>
  <si>
    <t>93527-65T</t>
  </si>
  <si>
    <t>La crèche dans la ville</t>
  </si>
  <si>
    <t>Operator of a social platform intended to offer preschool learning and other activities. The company's platform provides teaching and childcare facilities through its creche services as well as other learning support in an innovative way, enabling kids to learn in an advanced fashion through playing.</t>
  </si>
  <si>
    <t>creche learning, creche operator, creche school, kids learning platform, learning platform, study tools</t>
  </si>
  <si>
    <t>93526-03T</t>
  </si>
  <si>
    <t>Lebienetre.fr</t>
  </si>
  <si>
    <t>Information Services (B2C), Other Services (B2C Non-Financial)*</t>
  </si>
  <si>
    <t>Operator of a well-being website intended to offer gifts and online voucher services. The company's online platform provides a range of gifts and professional services like spas, beauticians, massage facilities, accommodation, and reflexologists, enabling customers to send or avail gifts in the form of products and services through emails or mail in the form of vouchers.</t>
  </si>
  <si>
    <t>gift voucher, health wellness, massage facility, massage voucher, online gift, spa voucher, voucher platform, wellness provider</t>
  </si>
  <si>
    <t>109685-26T</t>
  </si>
  <si>
    <t>Qivivo</t>
  </si>
  <si>
    <t>Application Software, Household Appliances*</t>
  </si>
  <si>
    <t>Provider of energy management products intended to reduce energy consumption by up to 25%. The company's products include an intelligent thermostat that offers automation features for controlling the home heating and energy consumption and artificial intelligence to be incorporated into thermal and sanitary solutions, enabling users to get a subscription-based thermostat easily.</t>
  </si>
  <si>
    <t>energy management, heating control, programmable thermostats, thermostats</t>
  </si>
  <si>
    <t>102635-11T</t>
  </si>
  <si>
    <t>The CV Stack</t>
  </si>
  <si>
    <t>Operator of a talent booking platform intended to serve the recruitment industry. The company's platform creates CVs which are ordered based on the candidate profiles and offers features like real-time search, multiple search criteria, the option to contact the applicant, and export CV services, enabling employers to recruit the candidates based on the requirements.</t>
  </si>
  <si>
    <t>Smalt Capital(Jean Savelli)</t>
  </si>
  <si>
    <t>flexible employment, freelance job platform, job search app, management networking, recruitment service, talent booking platform</t>
  </si>
  <si>
    <t>Chiatra, France</t>
  </si>
  <si>
    <t>127452-34T</t>
  </si>
  <si>
    <t>156643-03T</t>
  </si>
  <si>
    <t>iMusic-School</t>
  </si>
  <si>
    <t>Educational and Training Services (B2C)*, Educational Software, Movies, Music and Entertainment</t>
  </si>
  <si>
    <t>Operator of an online music platform intended to offer video classes for various types of music and instruments. The company's platform facilitates music learning through video courses and live lessons accompanied by all necessary assistance such as scores, tablatures, playbacks, and courses in music theory, and harmony, enabling music enthusiasts and learners to learn their instruments on their own digitally.</t>
  </si>
  <si>
    <t>educational approach, music learning, music lessons, online music platform, online music school, video lessons</t>
  </si>
  <si>
    <t>67804-21T</t>
  </si>
  <si>
    <t>Bpifrance(Chahra Louafi), Crédit Mutuel Innovation(Karine Lignel), iBionext, Karista (Paris), Omnes Capital, Sofinnova Partners(Antoine Papiernik)</t>
  </si>
  <si>
    <t>96428-62T</t>
  </si>
  <si>
    <t>LivaNova (NAS: LIVN), Sofinnova Partners(Antoine Papiernik)</t>
  </si>
  <si>
    <t>91932-40T</t>
  </si>
  <si>
    <t>Alltricks</t>
  </si>
  <si>
    <t>Internet Retail, Other Consumer Durables, Specialty Retail*</t>
  </si>
  <si>
    <t>Retailer of cycling parts operating across Europe. The company offers bicycles, spare parts, mountain bikes, helmets, shoes, brakes, wheels, peripheral components, luggage, shoes and other accessories through an online website.</t>
  </si>
  <si>
    <t>123 Investment Managers, Entrepreneur Invest, Financiere de la Gommerie, OCP Group (Paris), Partech(Jean-Marc Patouillaud), Sonorfi</t>
  </si>
  <si>
    <t>bicycle spareparts, cycling accessories, cycling equipment, electric bikes, running shoes, swimming accessories</t>
  </si>
  <si>
    <t>97621-57T</t>
  </si>
  <si>
    <t>Consulting Services (B2B)*, Other Commercial Services, Specialized Finance</t>
  </si>
  <si>
    <t>Operator of a medical technology incubator intended to transform innovative ideas into medical realities. The company's incubator offers the creation, development, and operation of projects, turning them into new companies with both strategic and hands-on approaches, to bring them to the investment stage and commercial development, enabling clients to get incubated and build their ideas.</t>
  </si>
  <si>
    <t>Baxter International (NYS: BAX), Bpifrance, European Investment Fund, Medtronic (NYS: MDT)(Stephen Oesterle), Sofinnova Partners(Denis Lucquin)</t>
  </si>
  <si>
    <t>fund placement, incubator firm, incubator program, medical technology maker, medical technology tools, strategic relationship</t>
  </si>
  <si>
    <t>95315-68T</t>
  </si>
  <si>
    <t>Alven Capital Partners(François Meteyer), Bpifrance, Idinvest Partners(Benoist Grossmann), ISAI(Jean-David Chamboredon), Kurma Partners, Partech(Reza Malekzadeh)</t>
  </si>
  <si>
    <t>123004-27T</t>
  </si>
  <si>
    <t>249271-48T</t>
  </si>
  <si>
    <t>10-Vins</t>
  </si>
  <si>
    <t>Operator of a home-bottled wines platform intended to offer a new tasting experience with teaching and simplicity. The company specializes in wine served in the same way a sommelier would in a restaurant, enabling users with the concept of wine by the glass at their home.</t>
  </si>
  <si>
    <t>Nusantara Ventures, TwentyFirst Luxury</t>
  </si>
  <si>
    <t>alcoholic wine, drinks mixers, french wine, white wine, wine discovery, wine test</t>
  </si>
  <si>
    <t>117594-46T</t>
  </si>
  <si>
    <t>Evolem, Inocap Gestion, Petit Poucet</t>
  </si>
  <si>
    <t>110312-38T</t>
  </si>
  <si>
    <t>Corsica Emballages</t>
  </si>
  <si>
    <t>Paper Containers and Packaging*</t>
  </si>
  <si>
    <t>Provider of packaging services intended to bring flexibility, responsiveness, and competitiveness to the industry. The company's packaging services include custom box with personalized imprints that are used to pack perishable products such as fruits, vegetables, sausages, cheese, and frozen items, enabling customers to track the condition of their packaged goods and also receive after-sales service.</t>
  </si>
  <si>
    <t>custom boxes, customized packaging, fruits storage, packaging services, professional packaging, vegetables packers</t>
  </si>
  <si>
    <t>Folelli, France</t>
  </si>
  <si>
    <t>205340-05T</t>
  </si>
  <si>
    <t>Eranove</t>
  </si>
  <si>
    <t>Multi-Utilities*, Other Services (B2C Non-Financial)</t>
  </si>
  <si>
    <t>Provider of public services management, drinking water, and electricity production services intended to provide effective, successful, appropriate, and sustainable options to the African challenge of access to essential services. The company specializes in the value chain of water and electricity-related work including structuring and development of projects, production, network management, distribution, and commercialization, thereby making essential life services accessible to a larger population.</t>
  </si>
  <si>
    <t>AXA Investment Managers</t>
  </si>
  <si>
    <t>electricity sales, power distributor, power generator, public service management, public utility, water distribution</t>
  </si>
  <si>
    <t>202140-91T</t>
  </si>
  <si>
    <t>Kapinno(Julien Palmaro)</t>
  </si>
  <si>
    <t>119419-66T</t>
  </si>
  <si>
    <t>In Lusio</t>
  </si>
  <si>
    <t>Developer of real immersive games intended to offer the players an unique gaming experience. The company's games feature realistic universe, incredible scenarios, challenging atmosphere and provide real interactive sets, enabling players to experience a hyper-realistic gaming adventure.</t>
  </si>
  <si>
    <t>IDF Innov</t>
  </si>
  <si>
    <t>immersive gaming, interactive games, realistic gaming, virtual gaming, virtual immersive gaming</t>
  </si>
  <si>
    <t>90907-39T</t>
  </si>
  <si>
    <t>360 Capital, BNP Paribas Développement, DN Capital, Partech(Romain Lavault)</t>
  </si>
  <si>
    <t>120650-50T</t>
  </si>
  <si>
    <t>A&amp;A Fratelli Parodi</t>
  </si>
  <si>
    <t>98736-04T</t>
  </si>
  <si>
    <t>Context (Acquired 2021)</t>
  </si>
  <si>
    <t>Developer of face recognition technology dedicated to helping the media industry better address content classification and content monetization. The company's technology helps to recognize any celebrity on television as well as offers all the exclusive content about them in a snap with celebrity face recognition, enabling users to find information easily on biography, filmography, news and social networks without going to different search engines and scrolling different websites.</t>
  </si>
  <si>
    <t>Breega, Daphni(Mathieu Daix), Frédéric Potter(Frédéric Potter), Wind Capital</t>
  </si>
  <si>
    <t>content discovery, content media, crm, customer relationship management, digital content classification, face recognition software, facial recognition, recognition systems</t>
  </si>
  <si>
    <t>138782-17T</t>
  </si>
  <si>
    <t>Link Care Services</t>
  </si>
  <si>
    <t>Developer of home surveillance technology designed to maintain autonomy through freedom to come and go with safety. The company's technology offers video monitoring services for patients suffering from Alzheimer's disease and other degenerative diseases, enabling users to take care of their dependent loved ones.</t>
  </si>
  <si>
    <t>Bpifrance, Siparex Group, Sofimac Innovation, XAnge</t>
  </si>
  <si>
    <t>degenerative disease, home surveillance, video monitoring, video monitoring system, video surveillance</t>
  </si>
  <si>
    <t>125056-54T</t>
  </si>
  <si>
    <t>Autonomad Mobility</t>
  </si>
  <si>
    <t>Developer of an automated mobility technology designed to help people with reduced mobility. The company's technology offers electric propulsion assistance that reduces the impact on the handrail, enabling users to maneuver a pavement or roll across a lawn or gravel.</t>
  </si>
  <si>
    <t>Bpifrance, Centre national de la recherche scientifique, Eurasanté, Nord France Amorçage, Pertinence Invest</t>
  </si>
  <si>
    <t>conversion kits, electric assistance, mobility product, mobility technology, motorisation kits, wheelchair mobility, wheelchair model</t>
  </si>
  <si>
    <t>90868-69T</t>
  </si>
  <si>
    <t>Demeter Partners(Benjamin Wainstain)</t>
  </si>
  <si>
    <t>102586-96T</t>
  </si>
  <si>
    <t>Elevation Capital Partners(Benjamin Cohen), Inter Invest(Benjamin Cohen)</t>
  </si>
  <si>
    <t>133513-48T</t>
  </si>
  <si>
    <t>Kolibree</t>
  </si>
  <si>
    <t>Electronics (B2C), Other Devices and Supplies, Personal Products*</t>
  </si>
  <si>
    <t>Developer of oral health-based technologies designed to prevent dental issues. The company's electric toothbrush uses artificial intelligence to create an interactive toothbrush-ing experience that motivates users to brush and provides real-time feedback, enabling customers to improve their oral care and prevent cavities and gum disease.</t>
  </si>
  <si>
    <t>Groupe SEB (PAR: SK), Wind Capital</t>
  </si>
  <si>
    <t>dental hygiene, dental technology, electric toothbrush, oral care, preventive health care, teeth cleaning</t>
  </si>
  <si>
    <t>Artificial Intelligence &amp; Machine Learning, Digital Health, LOHAS &amp; Wellness, Mobile</t>
  </si>
  <si>
    <t>90767-62T</t>
  </si>
  <si>
    <t>106209-46T</t>
  </si>
  <si>
    <t>Unow</t>
  </si>
  <si>
    <t>Provider of online training services intended to support the strategic objectives of organizations through digital learning. The company acts as a vocational training organization offering SPOC (single point of contact), agile project management, remote management, cybersecurity and other training courses, enabling clients to receive knowledge and experience through open online courses.</t>
  </si>
  <si>
    <t>Alain Thibault(Alain Thibault), Alto Invest, Jean-Stephane Arcis(Jean-Stephane Arcis), M Capital Partners, News Invest, Paris Business Angels</t>
  </si>
  <si>
    <t>managed security services, online education portal, online training service, professional courses, professional courses provider, security operations, vocational courses, vocational training</t>
  </si>
  <si>
    <t>95354-20T</t>
  </si>
  <si>
    <t>Gwagenn</t>
  </si>
  <si>
    <t>Business/Productivity Software*, Network Management Software, Other Commercial Services, Other Communications and Networking</t>
  </si>
  <si>
    <t>Developer of a algorithms software designed for application in the electromagnetic wave propagation field. The company's algorithms are used to view the protection zones against explosive devices in real-time and neutralize malicious drones around sensitive areas such as nuclear power plants or military sites, enabling the military, navy, and other defense organizations to protect and maintain the privacy of their research and operations.</t>
  </si>
  <si>
    <t>Bpifrance, Societe Financiere Lorient Developpement</t>
  </si>
  <si>
    <t>algorithm platform, defence equipment, electromagnetic model, electromagnetic system, electromagnetic wave solutions, electromagnetic waves, electronic warfare, frequency analysis, wave propagation</t>
  </si>
  <si>
    <t>Le Rheu, France</t>
  </si>
  <si>
    <t>126066-07T</t>
  </si>
  <si>
    <t>Ownpage</t>
  </si>
  <si>
    <t>Developer of an editorial personalization platform designed to increase revenue and engagement for publishers. The company's technology and services provide the personalization of editorial content to target all readers and promote full content, enabling publishers to regain control over their broadcasting and traditional businesses.</t>
  </si>
  <si>
    <t>Bpifrance, Centre national de la recherche scientifique, I-Source Gestion(Nicolas Landrin), IT Angels, Paris Business Angels, Shéhérazade de Boisséson(Shéhérazade de Boisséson), Sofimac Innovation(Nicolas Landrin), Synexser</t>
  </si>
  <si>
    <t>broadcasting news, customer engagement, customized newsletter, marketing method, media publishing, newsletter personalization</t>
  </si>
  <si>
    <t>112774-60T</t>
  </si>
  <si>
    <t>WeProov</t>
  </si>
  <si>
    <t>Application Software, Automotive, Media and Information Services (B2B), Road*</t>
  </si>
  <si>
    <t>Operator of a car inspection platform intended to repair cars based on photo inspection reports for the automotive industry and insurance players. The company's platform inspects company vehicles, discovers damages, offers instant pre-quotation of a car accident claim, and revolutionizes policyholders' experience, enabling clients to check the condition of their fleet and be accompanied during the return process.</t>
  </si>
  <si>
    <t>Bpifrance, CarStudio.com</t>
  </si>
  <si>
    <t>accident claim, automotive industry, car inspection, car repair, repair management, vehicle inspection</t>
  </si>
  <si>
    <t>90501-13T</t>
  </si>
  <si>
    <t>Daphni(Pierre-Eric Leibovici), Edouard Petit(Edouard Petit), Grégoire Boutin(Grégoire Boutin), Henri Seydoux(Henri Seydoux), Jacques-Antoine Granjon(Jacques-Antoine Granjon), Oussama Ammar(Oussama Ammar), Thibaud Elziere(Thibaud Elziere), Willy Braun(Willy Braun), XAnge</t>
  </si>
  <si>
    <t>70294-60T</t>
  </si>
  <si>
    <t>Cogepa, IDO Investments, MBX Capital, Novalis LifeSciences</t>
  </si>
  <si>
    <t>164665-45T</t>
  </si>
  <si>
    <t>Customer Labs</t>
  </si>
  <si>
    <t>Developer of a customer relationship management (CRM) platform designed to digitize customer relations using connected tools. The company's platform collects and centralizes feedback in real-time, invites to leave their reviews online on their channels, and equips them with the ability to quickly respond to all feedback, both negative and positive, to increase customer recommendations, enabling companies to identify strengths and areas for improvement using semantic analysis.</t>
  </si>
  <si>
    <t>Banque Populaire Méditerranée, Bpifrance, IAD Investments, Montgrand Wealth Partner, Provence Business Angels</t>
  </si>
  <si>
    <t>crm platform, customer relationship tool, customer satisfaction, feedback tool, recommendations sharing, review platform</t>
  </si>
  <si>
    <t>101186-92T</t>
  </si>
  <si>
    <t>Marandin</t>
  </si>
  <si>
    <t>Automotive*, Internet Retail, Other Consumer Durables</t>
  </si>
  <si>
    <t>Provider of vehicle maintenance products and services intended to provide vehicle repair and maintenance services. The company's services include installing vehicle accessories and selling parts for motorhomes, caravans, and trailers, enabling customers to get quality maintenance services and various parts purchased under one roof.</t>
  </si>
  <si>
    <t>caravans parts, motor parts, repairing service provider, vehicle accessories installation, vehicle maintenance service, vehicle repair service, vehicle servicing</t>
  </si>
  <si>
    <t>Hallennes-Lez-Haubourdin, France</t>
  </si>
  <si>
    <t>121776-76T</t>
  </si>
  <si>
    <t>Expon Capital, WeLikeStartup</t>
  </si>
  <si>
    <t>223364-26T</t>
  </si>
  <si>
    <t>43986-25T</t>
  </si>
  <si>
    <t>My Travel Mate</t>
  </si>
  <si>
    <t>Application Software, Information Services (B2C), Leisure Facilities*</t>
  </si>
  <si>
    <t>Developer of a web-based booking tool designed to offer ticketing services for hotels. The company's tool helps receptionists and concierges of hotels to connect with each other and book favorite activities for their clients, enabling hotels to reserve places, halls, or dining spaces with a few clicks of the mouse.</t>
  </si>
  <si>
    <t>A-Venture, Bpifrance, Extendam</t>
  </si>
  <si>
    <t>booking application, concierge service, hotel reservation, leisure activities, ticketing service, ticketing service firm, ticketing system</t>
  </si>
  <si>
    <t>90448-30T</t>
  </si>
  <si>
    <t>Végétalement Provence</t>
  </si>
  <si>
    <t>Operator of a professional cosmetic brand intended to provide eco-responsible and ethical products. The company offers a range of haircare, skincare and other beauty products that have combined benefits of vegetable and essential oils, providing clients natural and organic beauty products.</t>
  </si>
  <si>
    <t>beauty product site, cosmetics brand, cosmetics company, essential oils product, natural beauty product, organic cosmetics</t>
  </si>
  <si>
    <t>Beauty, E-Commerce, LOHAS &amp; Wellness, TMT</t>
  </si>
  <si>
    <t>Saint-Remy-de-Provence, France</t>
  </si>
  <si>
    <t>90404-92T</t>
  </si>
  <si>
    <t>Foxintelligence</t>
  </si>
  <si>
    <t>Developer of a market intelligence platform designed to measure the e-commerce activity of digital brands and retailers. The company's platform collects and measures all aspects of every online purchase made by consumers through their application by which they can access users' order confirmation emails using aggregated and anonymized data, enabling the clients in e-commerce businesses to get customer insights based on market trends.</t>
  </si>
  <si>
    <t>Cyril Grislain(Cyril Grislain), Daphni(Pierre-Eric Leibovici), Global Founders Capital(Hugues de Braucourt), Grégoire Boutin(Grégoire Boutin), Hexa(Amaury Sepulchre), Iron Capital Partners, Kima Ventures, Laurence Parisot(Laurence Parisot), LeStudio VC, Norbert Furnion(Norbert Furnion), Partech(Romain Lavault), Patrice Thiry(Patrice Thiry), Philippe Dufour(Philippe Dufour), Renaud Visage(Renaud Visage), Tamim Jabr(Tamim Jabr), Thibaud Elziere(Thibaud Elziere), Willy Braun(Willy Braun)</t>
  </si>
  <si>
    <t>analytics &amp; cdps, analytics and cdps, artificial intelligence based, big data system, business intelligence, data science, ecommerce transaction, enterprise software, market intelligence, market intelligence company, market intelligence data, market intelligence firm, market intelligence software, market intelligence system, market intelligence tool, market research</t>
  </si>
  <si>
    <t>Artificial Intelligence &amp; Machine Learning, Big Data, E-Commerce, Mobile, SaaS, TMT</t>
  </si>
  <si>
    <t>89337-07T</t>
  </si>
  <si>
    <t>Hawk</t>
  </si>
  <si>
    <t>Other Commercial Services, Other Hardware*</t>
  </si>
  <si>
    <t>Operator of a company intended to provide civil drones that can be used for a wide variety of purposes. The company's services connect customers and drone operators and offer drones in the area of agriculture, infrastructure, insurance, viticulture, topography and other related businesses, enabling customers to save time and maximize revenue.</t>
  </si>
  <si>
    <t>drones deployment, drones marketplace, drones parts replacements, drones technology, drones unit, insurance</t>
  </si>
  <si>
    <t>Robotics and Drones, TMT</t>
  </si>
  <si>
    <t>171442-99T</t>
  </si>
  <si>
    <t>AddBike</t>
  </si>
  <si>
    <t>Automotive*, Other Consumer Durables</t>
  </si>
  <si>
    <t>Developer of a tilting two-wheeled chassis designed for the conversion of a classic bicycle into an urban scooter. The company's platform offers easy attachment of various modules for carrying cargo, children, or pets, enabling cyclists to utilize their bikes for a wider range of daily transportation needs.</t>
  </si>
  <si>
    <t>bicycle accessories, bicycle mobility, bikes carrier, cycle parts, transport system, urban transport</t>
  </si>
  <si>
    <t>90266-95T</t>
  </si>
  <si>
    <t>Accel(Philippe Botteri), Frst Capital(Bruno Raillard), Notus Technologies, Xavier Niel(Xavier Niel)</t>
  </si>
  <si>
    <t>96673-06T</t>
  </si>
  <si>
    <t>TestWe</t>
  </si>
  <si>
    <t>Application Software, Education and Training Services (B2B), Educational Software*</t>
  </si>
  <si>
    <t>Operator of an examination platform intended to evaluate the management process using a digital service. The company's platform is encrypted to create assessments and exams both online and offline with any multimedia content and permits candidate to use their device for assessment, enabling supervisors to make corrections directly on the platform as well as gather reports instantly.</t>
  </si>
  <si>
    <t>Benoît Sillard(Benoît Sillard), Bpifrance, FaDiese, Pleiade Venture(Laurent Vernier)</t>
  </si>
  <si>
    <t>digital exams, examination platform, online assessment, online exam, online exam portal, online test, training organization</t>
  </si>
  <si>
    <t>120615-58T</t>
  </si>
  <si>
    <t>Fundimmo</t>
  </si>
  <si>
    <t>Real Estate Crowdfunding</t>
  </si>
  <si>
    <t>Provider of a real estate crowdfunding platform intended to support real estate investments. The company's platform offers its investors to invest from small amounts in a wide range of real estate projects (residential, shops, offices, development, real estate renovation, etc.) selected by an advisory committee made up of real estate professionals, enabling professional investors and individuals to invest in real estate projects and simultaneously earn interest.</t>
  </si>
  <si>
    <t>investment platform, property investment, real estate crowdfunding, real estate funding, real estate funding platform, real estate investment</t>
  </si>
  <si>
    <t>FinTech, Real Estate Technology, TMT</t>
  </si>
  <si>
    <t>90262-27T</t>
  </si>
  <si>
    <t>Minuit Une</t>
  </si>
  <si>
    <t>Manufacturer of a new generation of lighting products designed to be used in concerts and events. The company offers products that have new generation lighting capabilities based on a very specific laser that transforms a laser source into a new kind of light that is one hundred percent controlled by DMX, enabling event managers to create a new experience for the audience with low expenses for logistics.</t>
  </si>
  <si>
    <t>Bpifrance(Xavier Deleplace), Entrepreneur Invest(Marouane Bahri)</t>
  </si>
  <si>
    <t>compact housing, concerts art, entertainment site, laser light sourcing, led headlamps, lighting design, stage design</t>
  </si>
  <si>
    <t>90214-93T</t>
  </si>
  <si>
    <t>Alven Capital Partners(Guillaume Aubin), Valar Ventures(Peter Thiel)</t>
  </si>
  <si>
    <t>90322-66T</t>
  </si>
  <si>
    <t>Worklife (Paris)</t>
  </si>
  <si>
    <t>Automation/Workflow Software, Business/Productivity Software*, Human Capital Services, Other Financial Services</t>
  </si>
  <si>
    <t>Developer of a company's benefits application intended to serve commercial employees. The company's platform provides firms with an administration interface for the HR team, that is intuitive and automated to distribute benefits and lets workers use a single card to finance meal vouchers, mobility, or personal services according to their needs, enabling companies to provide all employee benefits in one place.</t>
  </si>
  <si>
    <t>La Banque Postale, Runa Capital(Dmitry Chikhachev), Siparex Group, Sofiane Ammar(Sofiane Ammar), Stéphane Romanyszyn(Stéphane Romanyszyn), XAnge(Cyril Bertrand)</t>
  </si>
  <si>
    <t>benefits platform, benefits portal, benefits software, cfo stack, earned wage access, employee benefit card, employee benefit platform, employee benefit portal</t>
  </si>
  <si>
    <t>109484-29T</t>
  </si>
  <si>
    <t>Kapinno</t>
  </si>
  <si>
    <t>109625-41T</t>
  </si>
  <si>
    <t>Tourism Academy</t>
  </si>
  <si>
    <t>Operator of a digital training platform intended to offer online courses for professionals in the tourism industry. The company's platform publishes corporate massive open online courses dedicated to offering assistance with the skills of employees through real-time evaluations and online certifications, enabling tourism companies to train their employees from anywhere, essential to the development of their business.</t>
  </si>
  <si>
    <t>Bpifrance(Jessica Barbé), La France du Nord au Sud(Germain Lelarge)</t>
  </si>
  <si>
    <t>digital learning, digital learning portal, educational software, e-learning tools, learning platform, online courses, online education, open online courses, tourism and hospitality, tourism industry</t>
  </si>
  <si>
    <t>199957-24T</t>
  </si>
  <si>
    <t>Kima Ventures, Orefi Orientale et Financière</t>
  </si>
  <si>
    <t>113251-33T</t>
  </si>
  <si>
    <t>Lengow</t>
  </si>
  <si>
    <t>Developer of e-commerce automation platform designed to help brands and distributors improve their performance. The company's platform provides a web interface that improves the visibility of products sold by online retailers on distribution channels and helps e-commerce sites optimize and track the distribution of their product catalogs with competitors, enabling clients to automate business activity and increase online sales.</t>
  </si>
  <si>
    <t>Alven Capital Partners(Guillaume Aubin), Arkéa Capital, Bpifrance, Serena (Paris), Sofiouest</t>
  </si>
  <si>
    <t>ecommerce automation, ecommerce automation software, ecommerce expertise, ecommerce personalization, product catalog, product selling strategy, right marketing channel</t>
  </si>
  <si>
    <t>122793-94T</t>
  </si>
  <si>
    <t>Kreizig Invest, Sofimac Innovation(Stephane Lefevre-Sauli)</t>
  </si>
  <si>
    <t>129689-20T</t>
  </si>
  <si>
    <t>SynchroNext</t>
  </si>
  <si>
    <t>Automation/Workflow Software, Other Healthcare Services*</t>
  </si>
  <si>
    <t>Developer of predictive analytics system intended to prevent cases of hospitalization. The company's system combines semantic web, automatic natural language processing and machine learning, enabling clients to seamlessly have algorithms from information physics.</t>
  </si>
  <si>
    <t>natural language processing, natural language processing application, natural language technology, predictive analytics system, semantic web, semantic web technology</t>
  </si>
  <si>
    <t>94661-20T</t>
  </si>
  <si>
    <t>113589-37T</t>
  </si>
  <si>
    <t>Grand Shooting</t>
  </si>
  <si>
    <t>Developer of an e-commerce photo production platform designed to upload content that boosts sales. The company's platform scans the production and editing workflow, detects errors, and solves them automatically, it also allows renaming, retouching, or reordering visuals in batch, enabling brands and e-commerce businesses to speed up the production process while ensuring optimal image quality and reducing costs.</t>
  </si>
  <si>
    <t>ecommerce photo production, ecommerce products, images agency, photo production, photo technology, sales technology</t>
  </si>
  <si>
    <t>121492-09T</t>
  </si>
  <si>
    <t>Guillotine Vodka</t>
  </si>
  <si>
    <t>Producer of liquor intended to provide a unique, aged, and amber-colored vodka. The company's vodka is made utilizing traditional grape picking and processing techniques and is vegan, gluten-free and contains no coloring and flavoring agents, no glycerol, and no critical acid, enabling customers to experience distilled grapes-based vodka extracted from the champagne vineyard.</t>
  </si>
  <si>
    <t>liquor drinks, liquor maker, spirits cork, spirits wine, vodka brewery, white spirits, wine spirits</t>
  </si>
  <si>
    <t>113893-03T</t>
  </si>
  <si>
    <t>Iguana Yachts</t>
  </si>
  <si>
    <t>Marine*, Other Transportation</t>
  </si>
  <si>
    <t>Manufacturer of amphibious luxury boats designed to transport passengers across water and land. The company offers boats equipped with patented technology of retractable tracks that impart the feature of terrestrial mobility to boats that make them mobile on all types of beaches without hindering navigation performance, enabling consumers and coast guards to acquire seamless modes of transportation for both land and sea.</t>
  </si>
  <si>
    <t>Arts et Métiers Business Angels, Daniel Vogel(Daniel Vogel), Jean-Michel Berud, Normandie Participations, Paris Business Angels, Pierre Kosciusko Morizet(Pierre Kosciusko Morizet), Pierre-Noel Luiggi</t>
  </si>
  <si>
    <t>amphibious boats, amphibious vehicles, coast guarding, yacht manufacturing, yacht production, yacht tenders</t>
  </si>
  <si>
    <t>115960-69T</t>
  </si>
  <si>
    <t>Mathieu Cartier(Mathieu Cartier)</t>
  </si>
  <si>
    <t>140311-00T</t>
  </si>
  <si>
    <t>Qista</t>
  </si>
  <si>
    <t>Developer of mosquito repellent terminals designed to fight against mosquitoes and similar insects. The company's terminal uses a trap method to reduce the rapid growth of mosquitoes, enabling customers to rehabilitate their outdoor spaces and dramatically reduce mosquito attacks.</t>
  </si>
  <si>
    <t>Air France-KLM Group (PAR: AF), Air Liquide (PAR: AI), Bpifrance, Green Tech Verte, Thierry Dassault(Thierry Dassault), UCB Alternative Investments</t>
  </si>
  <si>
    <t>cockroach control, insect repellent control, insect repellent device, mosquito control, mosquito traps, traps system</t>
  </si>
  <si>
    <t>Senas, France</t>
  </si>
  <si>
    <t>104619-52T</t>
  </si>
  <si>
    <t>Wexity</t>
  </si>
  <si>
    <t>Database Software*, Media and Information Services (B2B)</t>
  </si>
  <si>
    <t>Provider of a digital city management platform intended to support all challenges and assist local staff forward. The company's platform monitors environmental and industrial risks, affected population, infrastructure impacts, provide prevention plan and generates reports by analyzing all urban data, enabling customers to get a nomenclature of cities.</t>
  </si>
  <si>
    <t>city management platform, data management software, digital city management, environmental risk data, environmental risk management</t>
  </si>
  <si>
    <t>118146-34T</t>
  </si>
  <si>
    <t>95435-29T</t>
  </si>
  <si>
    <t>Apitic</t>
  </si>
  <si>
    <t>Developer of a cash register software designed to improve visibility and promote products. The company's software optimizes stock management, simplifies collections, and automates accounting and can be logged in using credentials from any internet medium and is suitable for all types of equipment like touch screens, scales, tablets, terminals, and computers, enabling takeaway restaurant chains and food shops to manage cash and inventory as well as analyze their performance.</t>
  </si>
  <si>
    <t>Newfund Management(François Véron)</t>
  </si>
  <si>
    <t>automation tools, business management, cash collection software, customer database, merchant solutions, online sales tool, stock management</t>
  </si>
  <si>
    <t>93221-02T</t>
  </si>
  <si>
    <t>Abeille Impact Investing France, Arkéa Capital, BTP Capital Investissement, Credit Mutuel Arkea, Demeter Partners, IRDI Capital Investissement</t>
  </si>
  <si>
    <t>133772-05T</t>
  </si>
  <si>
    <t>189600-22T</t>
  </si>
  <si>
    <t>DoYouBuzz</t>
  </si>
  <si>
    <t>Other Services (B2C Non-Financial)*, Social/Platform Software</t>
  </si>
  <si>
    <t>Developer of an online platform to build resumes. The company develops an online platform which helps the user to create web, pdf and mobile format resume. It also allows the user to receive feedbacks and share the resume on job portals.</t>
  </si>
  <si>
    <t>developing resume, jobs hunting, visual resume</t>
  </si>
  <si>
    <t>90280-81T</t>
  </si>
  <si>
    <t>ETCHART Group, Groupe Ponticelli Frères, Noria</t>
  </si>
  <si>
    <t>196443-64T</t>
  </si>
  <si>
    <t>Clarisse, Gilberte Beaux family, Habert Dassault Finance, TDH Capital</t>
  </si>
  <si>
    <t>100159-30T</t>
  </si>
  <si>
    <t>BNP Paribas Développement(Anne Toupé), Crédit Mutuel Equity(Cyrus Contant), Crédit Mutuel Innovation(Cyrus Contant), Medevice Capital, Paris Region Venture Fund</t>
  </si>
  <si>
    <t>68629-87T</t>
  </si>
  <si>
    <t>360 Capital, AngelSquare, Damien Guermonprez, Founders Future, Nicolas Sireyjol(Nicolas Sireyjol), Thierry Petit(Thierry Petit)</t>
  </si>
  <si>
    <t>119778-31T</t>
  </si>
  <si>
    <t>105855-49T</t>
  </si>
  <si>
    <t>3T Capital, Caisse Regionale Credit Agricole Mutuel d'Ille et Vilaine (PAR: CIV), Generis Capital Partners, Kreizig Invest, Sofimac Innovation, UI Investissement, Unexo</t>
  </si>
  <si>
    <t>122789-08T</t>
  </si>
  <si>
    <t>92067-04T</t>
  </si>
  <si>
    <t>Auxivia</t>
  </si>
  <si>
    <t>Elder and Disabled Care, Electronics (B2C)*</t>
  </si>
  <si>
    <t>Dveeloper of smart connected glasses designed for monitoring and traceability of water intakes. The company's glasses light up to remind beneficiaries to drink and record the quantity of water that was actually drunk, enabling caregivers to prevent dehydration improve the quality of life for elderly people.</t>
  </si>
  <si>
    <t>Angels Santé, Cedre Participations, Femmes Business Angels, Paris Business Angels</t>
  </si>
  <si>
    <t>elderly care, elderly hydration, hydration app, hydration system, managed care, smart connected glass</t>
  </si>
  <si>
    <t>Digital Health, HealthTech, LOHAS &amp; Wellness, TMT</t>
  </si>
  <si>
    <t>116241-40T</t>
  </si>
  <si>
    <t>Belovia</t>
  </si>
  <si>
    <t>Developer of medical devices designed to help patients and carers in post-surgical hospital departments. The company's devices specialize in providing physical mobilization assistance for the elderly, stocking donner for the general public and mechatronic stocking donner for the use of patients by medical professionals, enabling medical professionals to give back dignity to the patient and pride to the caregiver.</t>
  </si>
  <si>
    <t>Bpifrance, FCDevelopment, Invest PME(Patrick Blasselle), Siparex Group</t>
  </si>
  <si>
    <t>healthcare device, hospital care devices, hospital devices, medical device design, medical stockings, stockings manufacturer</t>
  </si>
  <si>
    <t>134003-53T</t>
  </si>
  <si>
    <t>81468-46T</t>
  </si>
  <si>
    <t>Hi Inov(Nicolas Meunier), Société Nationale des Chemins de fer Français</t>
  </si>
  <si>
    <t>108235-00T</t>
  </si>
  <si>
    <t>L'Orangerie De Paris</t>
  </si>
  <si>
    <t>Provider of an automatic orange juice dispenser intended to offer a fresh glass of orange juice. The company's vending machine allows customers to see the live cutting and pressing of oranges that offer fresh juices in seconds in public places, enabling users to have a healthy alternative against junk vending machines that serve junk food.</t>
  </si>
  <si>
    <t>Seed4equity, The Family (Financial Services)</t>
  </si>
  <si>
    <t>automatic dispenser, automatic distribution, fresh juices producer, fruits juice, juice dispenser, orange juice, vending machine</t>
  </si>
  <si>
    <t>103323-25T</t>
  </si>
  <si>
    <t>A-Venture(André Raoul), Accor (PAR: AC)(Thomas Girard), Alexandre Lebrun(Alexandre Lebrun), Claire Godron(Claire Godron), François Calvino(François Calvino), François Piot(François Piot), Marc Leidelinger(Marc Leidelinger), Paris-Saclay Seed Fund, Partech(Romain Lavault), Yves Weisselberger(Yves Weisselberger)</t>
  </si>
  <si>
    <t>122758-48T</t>
  </si>
  <si>
    <t>Plazzart</t>
  </si>
  <si>
    <t>Other Consumer Durables, Recreational Goods, Specialty Retail*</t>
  </si>
  <si>
    <t>Operator of an online marketplace for fine art and antiques intended to connect buyers and sellers from around the world. The company's marketplace showcases a wide range of products in multiple categories including modern and contemporary art, design, archaeology, African arts, and jewelry, enabling art enthusiasts to choose and buy artworks and art objects according to their preferences and choices.</t>
  </si>
  <si>
    <t>XAnge</t>
  </si>
  <si>
    <t>antiques trading, art marketplace, contemporary art marketplace, contemporary art platform, contemporary artwork, fine arts market, sculpture selling</t>
  </si>
  <si>
    <t>156194-92T</t>
  </si>
  <si>
    <t>Vegehub</t>
  </si>
  <si>
    <t>Vegehub was a producer of juices in Lille, France.</t>
  </si>
  <si>
    <t>fruit juice drinks, fruit juice producer, juice company, juice maker, juice product</t>
  </si>
  <si>
    <t>108001-90T</t>
  </si>
  <si>
    <t>89339-23T</t>
  </si>
  <si>
    <t>Innoptics</t>
  </si>
  <si>
    <t>BPO/Outsource Services, Electrical Equipment*</t>
  </si>
  <si>
    <t>Manufacturer of optical and optoelectronic components intended to offer encapsulated products. The company's products include power laser heads, customized optoelectronic modules, and low-noise laser sources that are supplemented by technical expertise through packaging services, ranging from product design to contract manufacturing, enabling businesses to perform different types of welding using the same system.</t>
  </si>
  <si>
    <t>laser power sourcing, laser tools, optoelectronic devices, polymer welding laser head, power diodes, surface emitting laser, welding tech</t>
  </si>
  <si>
    <t>117998-29T</t>
  </si>
  <si>
    <t>108631-54T</t>
  </si>
  <si>
    <t>Didier Rousseau(Didier Rousseau), Jacques-Antoine Granjon(Jacques-Antoine Granjon), Kima Ventures, Thierry Gillier(Thierry Gillier)</t>
  </si>
  <si>
    <t>86026-87T</t>
  </si>
  <si>
    <t>Videdressing</t>
  </si>
  <si>
    <t>Operator of an online shopping marketplace intended to simplify the process of buying and selling previously owned clothing and fashion accessories. The company's marketplace provides extensive fashion expertise and qualitative editorial content, unlimited free listings, a strict anti-counterfeit policy, client protection and guaranteed free returns, thereby helping customers with a shopping experience of unparalleled range, curation and value for money.</t>
  </si>
  <si>
    <t>Courtin Investment, DN Capital, Earlybird Venture Capital, Generis Capital Partners, Piton Capital(Andrin Bachmann), Wind Capital</t>
  </si>
  <si>
    <t>fashion accessories, fashion marketplace, online accessories, online fashion, online social platform, social marketplace</t>
  </si>
  <si>
    <t>134724-97T</t>
  </si>
  <si>
    <t>A-Volute</t>
  </si>
  <si>
    <t>Developer of 3D audio technologies designed for entertainment purposes. The company's technology transforms the sound of your music, movies, and media into detailed real-world sound using 3D sound technology psychoacoustics, and audio signal processing, enabling gamers, soundtrack makers, and music enthusiasts to intensify the volume amplitude of the computer beyond its initial limits without any distortion for higher, intense and unique moments.</t>
  </si>
  <si>
    <t>Nord France Amorçage, Paris Business Angels, Pentagram Ventures</t>
  </si>
  <si>
    <t>3d audio technology, audio technology, audio technology platform, signal processing, sound recording, sound technology</t>
  </si>
  <si>
    <t>73690-84T</t>
  </si>
  <si>
    <t>Audacia (PAR: ALAUD), Bpifrance, SUEZ Ventures(Jean Luc Ventura)</t>
  </si>
  <si>
    <t>115870-60T</t>
  </si>
  <si>
    <t>Shopus (Internet Retail)</t>
  </si>
  <si>
    <t>Application Software, Internet Retail*, Specialty Retail</t>
  </si>
  <si>
    <t>Provider of a second hand marketplace designed to facilitate people in independently connecting with buyers and sellers online. The company's platform permits users to list product and items for sale as well as locate other products and negotiate prices, thereby enabling them to find buyers and sellers that suits their needs.</t>
  </si>
  <si>
    <t>Bpifrance(Olivier Martinez), Bretagne Sud Angels, Region of Brittany, Societe Financiere Lorient Developpement</t>
  </si>
  <si>
    <t>buy and selling app, mobile app, mobile application, online shopping app, saas app, social network, used product platform</t>
  </si>
  <si>
    <t>97743-25T</t>
  </si>
  <si>
    <t>FAMM Group, Femmes Business Angels</t>
  </si>
  <si>
    <t>115811-02T</t>
  </si>
  <si>
    <t>Axilum Robotics</t>
  </si>
  <si>
    <t>Other Devices and Supplies*, Other Hardware, Other Healthcare Technology Systems</t>
  </si>
  <si>
    <t>Developer of a medical device designed for the assistance of health care professionals with transcranial magnetic stimulation technique. The company's platform allows automation of the non-invasive, painless brain stimulation technique which is currently implemented manually, enabling physicians to automate therapeutic applications in drug-resistant psychiatric and neurological diseases like major depression, chronic pain, and stroke rehabilitation.</t>
  </si>
  <si>
    <t>Sofimac Innovation</t>
  </si>
  <si>
    <t>brain stimulation, brain stimulation therapy, medical device developer, medical robotics, robotics machinery, therapeutic application</t>
  </si>
  <si>
    <t>118508-68T</t>
  </si>
  <si>
    <t>NUMA (Education and Training Services), Pinou Capital, TF1 Groupe (PAR: TFI)</t>
  </si>
  <si>
    <t>117715-60T</t>
  </si>
  <si>
    <t>113556-07T</t>
  </si>
  <si>
    <t>108412-39T</t>
  </si>
  <si>
    <t>3P3D</t>
  </si>
  <si>
    <t>Provider of prototype printing services intended to offer three dimensional modeling and design. The company's services design 3D product with design revisions, renders images of all parts and assemblies and scanned model and also fabricating custom objects during event, enabling businesses functional prototyping of any object on product with clear 3D printing.</t>
  </si>
  <si>
    <t>Centre Capital Développement, Sofimac Innovation</t>
  </si>
  <si>
    <t>customized printing, fabrication unit, model optimization, product design, reverse engineering</t>
  </si>
  <si>
    <t>Baugy, France</t>
  </si>
  <si>
    <t>100325-17T</t>
  </si>
  <si>
    <t>Global Space Ventures, Kima Ventures</t>
  </si>
  <si>
    <t>111889-45T</t>
  </si>
  <si>
    <t>Catlante Catamarans</t>
  </si>
  <si>
    <t>Leisure Facilities, Marine*</t>
  </si>
  <si>
    <t>Operator of a cruise line intended to offer travel enthusiasts the opportunity to discover places in the world by sea. The company offers private cruises for the general public for a week across various oceans, enabling customers to discover islands on the seaside and enjoy a sublime vacation.</t>
  </si>
  <si>
    <t>123 Investment Managers(Julien Meir)</t>
  </si>
  <si>
    <t>catamaran boats, cruise line, cruise operator, cruise organizer, cruise vacation, cruise vacation packages, private cruise</t>
  </si>
  <si>
    <t>107518-24T</t>
  </si>
  <si>
    <t>Global Founders Capital, Kima Ventures, Rocket Internet (HAM: RKET)</t>
  </si>
  <si>
    <t>138827-98T</t>
  </si>
  <si>
    <t>Kraft Workwear</t>
  </si>
  <si>
    <t>Accessories, Clothing*, Footwear, Internet Retail</t>
  </si>
  <si>
    <t>Operator of an online platform intended to facilitate the management of clothing and equipment. The company's platform manages the work clothing and PPE equipment, and the retail store offers products from reliable brands emphasizing resistance, comfort, and appearance, enabling customers to avail workwear and accessories without hassle.</t>
  </si>
  <si>
    <t>online cloth retail, online clothing, personalized products, safety shoes, work clothing, workplace clothing</t>
  </si>
  <si>
    <t>Les Garennes sur Loire, France</t>
  </si>
  <si>
    <t>89138-62T</t>
  </si>
  <si>
    <t>Michael Benabou(Michael Benabou), Nopporn Suppipat(Nopporn Suppipat), Pierre Kosciusko Morizet(Pierre Kosciusko Morizet)</t>
  </si>
  <si>
    <t>89136-82T</t>
  </si>
  <si>
    <t>Snips</t>
  </si>
  <si>
    <t>Communication Software*, Software Development Applications</t>
  </si>
  <si>
    <t>Developer of an artificial intelligence-based voice platform designed to solve the problem of how humans and machines communicate with each other. The company's platform uses on-device automated speech recognition and offers hotword detection, speech recognition, natural language understanding, and dialog management, enabling developers and businesses to get an understanding of context by analyzing their location, calendar, emails, and contacts.</t>
  </si>
  <si>
    <t>Bpifrance(Jean Bertin), Eniac Ventures(Hadley Harris), Korelya Capital(Antoine Dresch), Ternel, Valor Capital Group</t>
  </si>
  <si>
    <t>dialog management system, language portal, machine communication, natural language processing, speech recognition, voice platform</t>
  </si>
  <si>
    <t>Artificial Intelligence &amp; Machine Learning, Mobile, SaaS, TMT</t>
  </si>
  <si>
    <t>119596-06T</t>
  </si>
  <si>
    <t>89256-16T</t>
  </si>
  <si>
    <t>Alexandre Ichai(Alexander Ichai), Frederic Basseto(Frederic Basseto), Frédéric Mazzella(Frédéric Mazzella), Julien Godin(Julien Godin), Olivier Mazeron(Olivier Mazeron), Ruben Nataf(Ruben Nataf), Sebastien Duclos(Sebastien Duclos), Starquest Capital(Arnaud Delattre)</t>
  </si>
  <si>
    <t>109289-89T</t>
  </si>
  <si>
    <t>Balestier Investments, Bpifrance</t>
  </si>
  <si>
    <t>242074-36T</t>
  </si>
  <si>
    <t>LULL Paris</t>
  </si>
  <si>
    <t>Operator of a cosmetic brand intended to offer skin care products to improve skin health. The company offers high-quality skincare products for the face and hands that are made with natural ingredients and are free of harmful chemicals, providing customers with an alternative to traditional high-end cosmetic care.</t>
  </si>
  <si>
    <t>luxury skincare, natural skincare, skin health care, skincare cream, skincare product, skincare tech</t>
  </si>
  <si>
    <t>Beauty, E-Commerce, FemTech, HealthTech</t>
  </si>
  <si>
    <t>114004-54T</t>
  </si>
  <si>
    <t>90586-54T</t>
  </si>
  <si>
    <t>Enovap</t>
  </si>
  <si>
    <t>Developer of a vaping device designed to help in managing and reducing nicotine consumption. The company's device includes an instant change of nicotine concentration, optimal throat hit at every puff, and flavored taste, enabling smokers looking to quit tobacco with the help of safer alternatives.</t>
  </si>
  <si>
    <t>Bpifrance, Investisseurs privés</t>
  </si>
  <si>
    <t>nicotine reduction, smoking cessation, smoking cessation product, vape product, vape product manufacturer, vaping kits</t>
  </si>
  <si>
    <t>Rosieres Pres Troyes, France</t>
  </si>
  <si>
    <t>157288-87T</t>
  </si>
  <si>
    <t>Carem Impulse</t>
  </si>
  <si>
    <t>253434-61T</t>
  </si>
  <si>
    <t>ResiliAnce</t>
  </si>
  <si>
    <t>129434-32T</t>
  </si>
  <si>
    <t>127450-81T</t>
  </si>
  <si>
    <t>Bpifrance, Starquest Capital</t>
  </si>
  <si>
    <t>89674-03T</t>
  </si>
  <si>
    <t>Youmiam</t>
  </si>
  <si>
    <t>Developer of a daily cooking application designed to promote sponsored recipes for specific targets. The company's application allows users to share food recipes with fans, friends, and followers by offering a daily tailored recommendation according to their culinary preferences and aid to master the cooking part, enabling users to cook more to live better.</t>
  </si>
  <si>
    <t>Marc Goldberg(Marc Goldberg), Maslow Capital, Metropole Television (PAR: MMT)</t>
  </si>
  <si>
    <t>cooking app, discovery &amp; review, discovery and review, food recipes network, food sharing platform, kitchen enablement software, online recipe, other platform, recipe sharing platform</t>
  </si>
  <si>
    <t>108005-77T</t>
  </si>
  <si>
    <t>Alain Thibaut(Alain Thibaut), Christophe Chausson(Christophe Chausson), Christophe Courtin(Christophe Courtin), Cyril Vermeulen(Cyril Vermeulen), Fabrice Berger Duquene(Fabrice Berger Duquene), Jean-Stephane Arcis(Jean-Stephane Arcis), Loic Le Meur(Loic Le Meur)</t>
  </si>
  <si>
    <t>88756-03T</t>
  </si>
  <si>
    <t>Serena (Paris)(Bertrand Diard)</t>
  </si>
  <si>
    <t>90352-81T</t>
  </si>
  <si>
    <t>Side (Business/Productivity Software)</t>
  </si>
  <si>
    <t>Business/Productivity Software*, Human Capital Services, Information Services (B2C)</t>
  </si>
  <si>
    <t>Developer of an online staffing platform designed to revolutionize the temporary work experience. The company's platform manages profile pre-selection, makes the initial contact, and automates the administrative process of invoicing, electronic signatures, payments, and monitoring the workers, enabling businesses and job seekers to apply for new tasks and get a response within a day.</t>
  </si>
  <si>
    <t>Aglaé Ventures, Antoine Martin(Antoine Martin), Connect Ventures (UK)(Pietro Bezza), Fly Ventures, Jacques-Antoine Granjon(Jacques-Antoine Granjon), Kima Ventures, The Family (Financial Services), Xavier Niel(Xavier Niel)</t>
  </si>
  <si>
    <t>online jobs marketplace, online staffing service platform, online staffing services, recruitment platform, temporary work marketplace, temporary work service, work platform</t>
  </si>
  <si>
    <t>102132-55T</t>
  </si>
  <si>
    <t>Ze-Watt</t>
  </si>
  <si>
    <t>Alternative Energy Equipment, Automotive*, Other Energy Services</t>
  </si>
  <si>
    <t>Provider of charging services intended to offer electric vehicle charging alternatives for businesses and their employees. The company's charging services include commercial electric vehicle charging alternatives from the electric service stations which provide access to charging points that are organized and controlled regardless of the vehicle at the workplace, enabling employees to charge their vehicles and at the same time reduce carbon dioxide emission.</t>
  </si>
  <si>
    <t>Bpifrance, Caisse regionale du Credit Agricole Toulouse Midi-Toulousain (PAR: CAT31), Credit Agricole (PAR: ACA), IRDI Capital Investissement, MPcroissance, Takara Capital</t>
  </si>
  <si>
    <t>charging services, climate tech company, electric vehicle, electric vehicle charging, ev charging, vehicle charging point, vehicle charging station</t>
  </si>
  <si>
    <t>89628-40T</t>
  </si>
  <si>
    <t>BW Ideol</t>
  </si>
  <si>
    <t>Alternative Energy Equipment, Energy Infrastructure, Energy Production*</t>
  </si>
  <si>
    <t>Designer and developer of floating wind projects intended to utilize the company's patented floating offshore wind technology and engineering capabilities for developing and operating offshore energy production systems. The company is engaged in the design, execution, and development of floating wind projects, is involved in the significant project pipeline, and is supported by developing and operating offshore energy production systems.</t>
  </si>
  <si>
    <t>Amundi Private Equity Funds(Christophe Somaini), Kanadevia (TKS: 7004), KYOSEIL AM, Région Sud Investissement(Jacques Boulesteix), Sea1 Offshore (OSL: SEA1), Sofimac Investment Managers(Pascal Voulton), SWEN Capital Partners, TERTIUM Management</t>
  </si>
  <si>
    <t>floating wind turbine, intermittent renewable energy, offshore platform, offshore wind energy, wind, wind energy, wind system, wind turbine</t>
  </si>
  <si>
    <t>88728-13T</t>
  </si>
  <si>
    <t>Clustree</t>
  </si>
  <si>
    <t>Developer of human resource management software designed to turn data into evidence-based recommendations. The company's human resource management software provides services like talent management, data management, and internal mobility strategies by using big data analysis and job sourcing, enabling companies to make better human capital decisions through machine learning.</t>
  </si>
  <si>
    <t>Alven Capital Partners(Raffi Kamber), Creandum(Carl Fritjofsson), Frédéric Montagnon, Idinvest Partners(Guillaume Durao), Jonathan Benhamou, Kima Ventures, The Family (Financial Services)</t>
  </si>
  <si>
    <t>ai career coaches, enterprise resource planning, erp, human capital management, human resource management, internal mobility, jobs sourcing, machine learning, skills sourcing</t>
  </si>
  <si>
    <t>Artificial Intelligence &amp; Machine Learning, Big Data, Industrials, TMT</t>
  </si>
  <si>
    <t>88774-30T</t>
  </si>
  <si>
    <t>Safety Line</t>
  </si>
  <si>
    <t>Developer of airline safety and efficiency software intended to meet safety, fuel economy, and environmental challenges. The company develops software and provides statistical analysis for risk management in the field of air transport, enabling airline companies to mitigate risks, optimize flight phases for increased fuel efficiency, and reduce CO2 emissions.</t>
  </si>
  <si>
    <t>ADP Group, Bpifrance(Laurent Babut), Plug and Play Tech Center, Safran Corporate Ventures(Helene de Cointet)</t>
  </si>
  <si>
    <t>air transportation, airline optimization, airline safety, airline safety advisory, airline safety services, airline security</t>
  </si>
  <si>
    <t>Big Data, TMT</t>
  </si>
  <si>
    <t>119596-15T</t>
  </si>
  <si>
    <t>Languedoc Roussillon Incubation</t>
  </si>
  <si>
    <t>31801-42T</t>
  </si>
  <si>
    <t>Step-In</t>
  </si>
  <si>
    <t>Business/Productivity Software, Consulting Services (B2B), Media and Information Services (B2B)*, Other Financial Services</t>
  </si>
  <si>
    <t>Developer of an online platform intended to provide information on various client acquisition techniques. The company offers advice from industry experts on how to get the most out of each method like email marketing, and social media campaigns, enabling businesses to find new customers through a variety of proven methods.</t>
  </si>
  <si>
    <t>ACTIPLAY, Dotcorp Private Equity(Steve Rosenblum)</t>
  </si>
  <si>
    <t>loyalty points, loyalty program, mobile app, mobile marketing, retail marketing, rewards app, rewards payment, rewards website, social network</t>
  </si>
  <si>
    <t>202098-79T</t>
  </si>
  <si>
    <t>WeFarmUp</t>
  </si>
  <si>
    <t>Operator of an online marketplace for agricultural equipment intended to make it easy and affordable for farmers to access the equipment they need. The company's platform connects farmers with owners of agricultural equipment and allows farmers to pool their means of production for extended and organized co-ownership, enabling farmers to access the equipment they need without having to purchase it outright.</t>
  </si>
  <si>
    <t>Synergis Capital</t>
  </si>
  <si>
    <t>agribusiness marketplace, agricultural equipment rental, agricultural machinery, agricultural product supplier, agricultural products trading, agricultural services, agrifinance &amp; ecommerce, agrifinance and ecommerce, rental platform</t>
  </si>
  <si>
    <t>Rondounin, France</t>
  </si>
  <si>
    <t>190637-47T</t>
  </si>
  <si>
    <t>Woody Technologies</t>
  </si>
  <si>
    <t>Developer of video processing software designed to broadcast videos from any device. The company's video processing software streamlines ingest, outgest and media processing workflows and is easy to integrate, entirely configurable, and offer highly intuitive user interfaces, enabling users to improve workflows by saving time and resources to focus on added-value tasks.</t>
  </si>
  <si>
    <t>Metallurgic Commercial Bank</t>
  </si>
  <si>
    <t>video broadcasting, video broadcasting platform, video broadcasting system, video platform, video processing, video processing software</t>
  </si>
  <si>
    <t>119143-63T</t>
  </si>
  <si>
    <t>110296-00T</t>
  </si>
  <si>
    <t>Compagnie d'Anjou, Evolem, Timezone Ventures</t>
  </si>
  <si>
    <t>136426-06T</t>
  </si>
  <si>
    <t>The HYM Investment Group</t>
  </si>
  <si>
    <t>140153-23T</t>
  </si>
  <si>
    <t>Abeille Impact Investing France, Amundi (PAR: AMUN), France Active, Phitrust Partenaires</t>
  </si>
  <si>
    <t>90818-74T</t>
  </si>
  <si>
    <t>BTP Capital Investissement(Stéphane Currenti), Kerala Ventures(Marc Laurent)</t>
  </si>
  <si>
    <t>115960-87T</t>
  </si>
  <si>
    <t>5M Ventures, NFactory (Accelerator), Normandie Participations</t>
  </si>
  <si>
    <t>95357-62T</t>
  </si>
  <si>
    <t>Difenso</t>
  </si>
  <si>
    <t>Provider of data protection services designed to ensure the protection of data on the cloud and in intranets. The company's services are ANSSI certified and offer encryption of messages and attachments, data compliance with GDPR and proprietary editor authentication, enabling businesses to have control over their data.</t>
  </si>
  <si>
    <t>Nestadio Capital, Societe Financiere Lorient Developpement</t>
  </si>
  <si>
    <t>data encryption, data protection, data security, document compliance services</t>
  </si>
  <si>
    <t>107508-52T</t>
  </si>
  <si>
    <t>Goosebump</t>
  </si>
  <si>
    <t>Communication Software*, Information Services (B2C)</t>
  </si>
  <si>
    <t>Developer of a messenger application designed to help users find live music events online. The company's application offers chatbot where information of electronic music events is available and helps in event discovery, enabling users to have knowledge about events around them.</t>
  </si>
  <si>
    <t>chatbot search, events guide, events surfing, live music show, music event information</t>
  </si>
  <si>
    <t>130447-45T</t>
  </si>
  <si>
    <t>Edward Filippi(Edward Filippi), Insight Partners</t>
  </si>
  <si>
    <t>91972-54T</t>
  </si>
  <si>
    <t>Compagnie d'Anjou, Kerala Ventures(Antoine Freysz), Kima Ventures, Partech(Alison Imbert)</t>
  </si>
  <si>
    <t>200627-47T</t>
  </si>
  <si>
    <t>PHPower</t>
  </si>
  <si>
    <t>88573-96T</t>
  </si>
  <si>
    <t>JulieDesk</t>
  </si>
  <si>
    <t>Automation/Workflow Software, Business/Productivity Software, Communication Software*</t>
  </si>
  <si>
    <t>Developer of a virtual assistant designed to plan appointments and manage the agenda of email-based scheduling. The company's assistant uses artificial intelligence to schedule one's meetings and appointments to handle all the e-mail back-and-forth regarding one's calendar, creating events, re-scheduling, and sending invitations via e-mail, enabling users to set working hours, appointment types, preferred addresses and manage agendas as per requirement.</t>
  </si>
  <si>
    <t>EIT Digital, Entrepreneur Invest, SaaS Labs, SIDE Capital(Renaud Guillerm)</t>
  </si>
  <si>
    <t>agenda management, calendar management, email assistant, event creator, meeting scheduling, virtual assistant</t>
  </si>
  <si>
    <t>109461-97T</t>
  </si>
  <si>
    <t>Keecker</t>
  </si>
  <si>
    <t>Developer of a voice-enabled multimedia robot designed to move entertainment, communication and safety into every home. The company's device can be connected with mobile and wireless devices and can also be moved and connected with all home-entertainment systems as well as smart devices in the home, enabling people to play movies with the help of the device, along with getting help in web browsing and home security.</t>
  </si>
  <si>
    <t>A Plus Finance, HCVC, SEB Alliance</t>
  </si>
  <si>
    <t>home security, homepod, homepods, media immersion, robots, security</t>
  </si>
  <si>
    <t>Internet of Things, Mobile, Robotics and Drones, TMT</t>
  </si>
  <si>
    <t>128719-18T</t>
  </si>
  <si>
    <t>Kidsplanner</t>
  </si>
  <si>
    <t>Information Services (B2C), Internet Retail, Leisure Facilities*</t>
  </si>
  <si>
    <t>Developer of a leisure booking platform designed to book and pay for children's activities and leisure activities in France. The company's platform offers activities, vacancy births and children's birthdays, enabling parents and grandparents to find an original and available activity to please their children or grandchildren.</t>
  </si>
  <si>
    <t>5M Ventures, Les Business Angels des Grandes Écoles</t>
  </si>
  <si>
    <t>leisure activities, leisure arrangement, leisure facility, leisure platform, leisure portal, leisure service</t>
  </si>
  <si>
    <t>Garches, France</t>
  </si>
  <si>
    <t>107526-88T</t>
  </si>
  <si>
    <t>Bpifrance(Jean-Patrice Anciaux), Kima Ventures</t>
  </si>
  <si>
    <t>106144-12T</t>
  </si>
  <si>
    <t>Mamie Cocotte</t>
  </si>
  <si>
    <t>Operator of a chain of restaurants and canteens intended for corporate customers. The company specializes in collective catering offering fresh products, purchased in short circuits and reducing energy consumption, enabling clients with homemade taste at low prices.</t>
  </si>
  <si>
    <t>M Capital Partners(Marc Trubert)</t>
  </si>
  <si>
    <t>canteen operator, catering business, catering company, catering outlets, catering service, restaurant chain, restaurant operator</t>
  </si>
  <si>
    <t>50555-35T</t>
  </si>
  <si>
    <t>PNY Burger</t>
  </si>
  <si>
    <t>Operator of a chain of restaurants intended to offer different varieties of burgers. The company's restaurants offer different types of burgers, hamburgers, side dishes, accompanies and desserts which are available both online and takeaways, enabling customers to order and enjoy their meals wherever and whenever they want.</t>
  </si>
  <si>
    <t>Audacia (PAR: ALAUD), Generis Capital Partners</t>
  </si>
  <si>
    <t>burgers joint, catering services, food and beverage, food industry, hamburger selling, lunch and dinner, restaurant chain firm, restaurant owner, restaurant service, take away services</t>
  </si>
  <si>
    <t>223160-77T</t>
  </si>
  <si>
    <t>Banque des Territoires, Banque Populaire Méditerranée, Caisse des Depots Group, Région Sud Investissement</t>
  </si>
  <si>
    <t>191285-20T</t>
  </si>
  <si>
    <t>Coral Biome</t>
  </si>
  <si>
    <t>Aquaculture, Biotechnology*, Drug Discovery</t>
  </si>
  <si>
    <t>Developer of live cultured corals designed for the drug discovery of infectious diseases. The company's platform gathers a unique set of competitive expertise including, aquaculture, marine biology, chemistry, cell biology, and cancerology to successfully isolate marine natural products and test their biological activity for major public health issues, enabling patients to have a product for cancer, inflammation, and multi-drug resistant.</t>
  </si>
  <si>
    <t>aquamarine corals, cultured coral, cultured corals, marine biology, marine drugs, marine natural resources</t>
  </si>
  <si>
    <t>135780-40T</t>
  </si>
  <si>
    <t>AQUITI Gestion, Damien Guermonprez, Région Nouvelle-Aquitaine</t>
  </si>
  <si>
    <t>107542-72T</t>
  </si>
  <si>
    <t>Cemag Invest, Innovacom (Paris)(Vincent Deltrieu), SEB Alliance(François-Xavier Meyer)</t>
  </si>
  <si>
    <t>119412-19T</t>
  </si>
  <si>
    <t>La Parfumerie Privée</t>
  </si>
  <si>
    <t>Luxury Goods, Personal Products*</t>
  </si>
  <si>
    <t>Developer of cosmetics platform designed to push the boundaries of luxury cosmetic care brands for leading-edge clients. The company's products include lipsticks, beauty masks, shaving preparations and make-up removal preparations in places steeped in history and innovative modernity around the world, enabling clients to discover luxury cosmetic care products.</t>
  </si>
  <si>
    <t>PPJB</t>
  </si>
  <si>
    <t>cosmetic manufacturer, cosmetic product seller, cosmetics manufacturing, luxury cosmetic seller, makeup kit manufacturer, perfume bottles</t>
  </si>
  <si>
    <t>138833-74T</t>
  </si>
  <si>
    <t>Biomedical Tissues</t>
  </si>
  <si>
    <t>Medical Supplies*, Other Devices and Supplies, Other Pharmaceuticals and Biotechnology</t>
  </si>
  <si>
    <t>Developer of synthetic resorbable membranes designed to help human tissues to regenerate quickly. The company offers implantable devices that mimic the structure of collagen fibers offering a 3D environment for cell colonization and proliferation for tissue healing, enabling doctors and medical practitioners to execute clinical procedures efficiently.</t>
  </si>
  <si>
    <t>Atlantique Business Angel, Bretagne Sud Angels, Le Mans Sarte Investissements, Pays de la Loire Participations</t>
  </si>
  <si>
    <t>implantable device, implantable medical devices, implantables device, medical device research, tissue engineering technology, tissue engineering therapy, tissue fixation</t>
  </si>
  <si>
    <t>La Chapelle sur Erdre, France</t>
  </si>
  <si>
    <t>114298-21T</t>
  </si>
  <si>
    <t>Vidata</t>
  </si>
  <si>
    <t>Operator of a communication platform intended to offer a personalized customer experience. The company's platform uses client data to offer customized and interactive videos for clients and prospects, enabling businesses to boost their customer relationship programs, performance, and return on investment.</t>
  </si>
  <si>
    <t>Alexandre Ichai(Alexander Ichai), André Saint-Mleux(André Saint-Mleux), Christophe Cremer(Christophe Cremer), Damien Grulier(Damien Grulier), Vox Capital (Luxembourg)(Johann Meynet)</t>
  </si>
  <si>
    <t>cloud communication platform, customer communication platform, customer engagement, customer relation, marketing personalization, marketing services, personalized video, video communication platform</t>
  </si>
  <si>
    <t>67020-31T</t>
  </si>
  <si>
    <t>Bpifrance, Kima Ventures, Omnes Capital, Siparex Group, XAnge</t>
  </si>
  <si>
    <t>101849-23T</t>
  </si>
  <si>
    <t>Smart Cast</t>
  </si>
  <si>
    <t>Operator of an industrial SME intended to framework technological innovation in the construction of residential buildings. The company's products include custom printed and pre-cut formwork panels that are true integrators of fluid networks incorporated in the structure of buildings, enabling customers to get simple, reliable, and economical products for the construction of residential buildings or professional buildings.</t>
  </si>
  <si>
    <t>ABAB (Atlantic Business Angels Booster), Bouygues Développement, Pays de la Loire Développement, Sodero</t>
  </si>
  <si>
    <t>construction and engineering, construction and engineering company, construction company operator, construction firm, construction system, construction technology, construction testing, constructional services, panel manufacturer</t>
  </si>
  <si>
    <t>123000-85T</t>
  </si>
  <si>
    <t>Centimeo</t>
  </si>
  <si>
    <t>Electrical Equipment*, Machinery (B2B), Other Commercial Products</t>
  </si>
  <si>
    <t>Manufacturer of vending machines designed to promote the recycling of small denomination coins. The company's machines can be installed anywhere and that allows to use of small coins for products distributed in a single format, enabling consumers to recycle cents.
.</t>
  </si>
  <si>
    <t>electronic machine, machine parts, recycled good, recycling center, vending machine, vending machine parts</t>
  </si>
  <si>
    <t>106103-53T</t>
  </si>
  <si>
    <t>InvestiGroup</t>
  </si>
  <si>
    <t>Educational and Training Services (B2C)*, Financial Software, Other Financial Services</t>
  </si>
  <si>
    <t>Developer of an online financial training platform designed to democratize financial investment. The company's platform is committed to the democratization of financial and stock market investment for individuals and also provides online training to assist the individual to take their first steps in the stock market and offers a newsletter every day directly by email, enabling clients to build a financial portfolio and access the market any time and in any place.</t>
  </si>
  <si>
    <t>financial investment, financial investment tool, financial portfolio, investment platform, investment tool, online financial platform, stock market investment, stock market news, stock market training, wealthtech</t>
  </si>
  <si>
    <t>EdTech, FinTech, TMT</t>
  </si>
  <si>
    <t>88699-51T</t>
  </si>
  <si>
    <t>SigFox (Telecommunications Service Providers)</t>
  </si>
  <si>
    <t>Communication Software, Telecommunications Service Providers*, Wireless Service Providers</t>
  </si>
  <si>
    <t>Provider of low-power wide-area IoT networking services catering to supply chain and logistics, manufacturing, utilities and energy, insurance, home and lifestyle and agriculture industries. The company's software-based communications technology offers a platform where all the network and computing complexity is managed in the cloud, enabling clients to avail themselves of the lowest energy consumption device-to-cloud connectivity.</t>
  </si>
  <si>
    <t>Khazanah Nasional</t>
  </si>
  <si>
    <t>cellular connectivity, cellular network, connectivity service, connectivity service provider, iot connectivity, low power wide area network, lpwan, network services, network services company, networking service</t>
  </si>
  <si>
    <t>88137-37T</t>
  </si>
  <si>
    <t>123 Investment Managers, Bpifrance, Day One Entrepreneurs &amp; Partners(Michel de Guilhermier), Via ID</t>
  </si>
  <si>
    <t>100169-65T</t>
  </si>
  <si>
    <t>ISAI(Thierry Vandewalle)</t>
  </si>
  <si>
    <t>88030-00T</t>
  </si>
  <si>
    <t>Alven Capital Partners(Guillaume Aubin), Felix Capital(Frederic Court), Idinvest Partners, Verlinvest(Frédéric De Mévius)</t>
  </si>
  <si>
    <t>135257-59T</t>
  </si>
  <si>
    <t>ManRos Therapeutics (Biotechnology)</t>
  </si>
  <si>
    <t>Developer of a biotechnology company designed to offer treatments against cystic fibrosis, neurodegenerative and renal diseases. The company's technology specializes in the research and development of small-molecule drugs against severe pathologies, such as solid tumors and leukemia including polycystic kidney disease, enabling medical practitioners to get molecules at a reduced cost with the collaboration of industrial experts.</t>
  </si>
  <si>
    <t>Finistere Angels, Sofimac Innovation</t>
  </si>
  <si>
    <t>biotech company operator, cellular biology, cystic fibrosis drugs, cystic fibrosis therapy, drug research process, molecular biology, pharmaceutical development</t>
  </si>
  <si>
    <t>30025-72T</t>
  </si>
  <si>
    <t>N2C</t>
  </si>
  <si>
    <t>Machinery (B2B), Other Commercial Services*</t>
  </si>
  <si>
    <t>Manufacturer of refurbished metalworking machinery designed to be customized to the needs of customers. The company gives a second long life to press brakes, shears, punching machines, rolling machines, milling machines, machining centers, and drills, enabling companies to modernize, modify, and put their systems to increase productivity, the comfort of use, and the life of the machine.</t>
  </si>
  <si>
    <t>Breizh Invest PME, Credit Agricole (PAR: ACA)</t>
  </si>
  <si>
    <t>industrial heating, machine tooling, mechanical tools, metalworking machinery, repair service, reselling machinery</t>
  </si>
  <si>
    <t>Sens de Bretagne, France</t>
  </si>
  <si>
    <t>88049-08T</t>
  </si>
  <si>
    <t>Bpifrance(Gilles Schang), Ecomobility Ventures, Elaia Partners(Marc Rougier), Idinvest Partners(Louis Bô), The Family (Financial Services)</t>
  </si>
  <si>
    <t>203406-04T</t>
  </si>
  <si>
    <t>113606-74T</t>
  </si>
  <si>
    <t>87873-04T</t>
  </si>
  <si>
    <t>Alven Capital Partners(Rodolphe Menegaux), Idinvest Partners, Korelya Capital(Paul Degueuse), Objectif Gazelles</t>
  </si>
  <si>
    <t>130438-27T</t>
  </si>
  <si>
    <t>Cecile Real(Cecile Real), Nicolas Landrin</t>
  </si>
  <si>
    <t>96530-59T</t>
  </si>
  <si>
    <t>Kinougarde</t>
  </si>
  <si>
    <t>Provider of home-based childcare services intended to simplify the life of parents by ensuring the well-being of their little ones. The company's services specialize in childcare at home and offer services like babysitting at home, accompaniment for children outside their home, maintenance of the house and housework, enabling parents to efficiently take care of their kids.</t>
  </si>
  <si>
    <t>Altur Investissement(Bertrand Cavalié)</t>
  </si>
  <si>
    <t>babysitting service, babysitting service provider, child care platform, childcare service provider, childcare services provider, children support, creche services, home child care</t>
  </si>
  <si>
    <t>108640-45T</t>
  </si>
  <si>
    <t>Lucette</t>
  </si>
  <si>
    <t>Information Services (B2C)*, Social Content</t>
  </si>
  <si>
    <t>Developer of an online platform intended to provide personalized beauty tips. The company's platform specializes in the recommendation of personalized cosmetics and beauty advice on the basis of different skin types, thereby enabling customers to get all their beauty-related queries answered at one place.</t>
  </si>
  <si>
    <t>JEREMIE Auvergne, Sofimac Investment Managers, TF1 Groupe (PAR: TFI)</t>
  </si>
  <si>
    <t>beauty coaching site, personalized beauty coaching, personalized beauty platform, personalized care platform, personalized cosmetics review</t>
  </si>
  <si>
    <t>136624-33T</t>
  </si>
  <si>
    <t>Egidium Technologies</t>
  </si>
  <si>
    <t>Developer of 3D supervision software designed for sensitive site security and safety. The company's software connects with on-site sensors and security subsystems like video surveillance, access control, intrusion detection, alarm systems, geolocation, and telephony services to correlate their data in real time, enabling clients to assess and react to any incident and to report comprehensively and automatically.</t>
  </si>
  <si>
    <t>Aéroports de Paris (PAR: ADP)</t>
  </si>
  <si>
    <t>application security, cybersecurity tool, events security, security device, security information management, security management, security network, security supervision, situational awareness, supervision software, web application protection</t>
  </si>
  <si>
    <t>102397-60T</t>
  </si>
  <si>
    <t>Bourgogne Franche Comte Angels, Bpifrance, Crédit Agricole Nord de France (PAR: CNDF), Crédit Agricole Sud Rhône-Alpes (PAR: CRSU), Health-angels Rhone-alpes, Kreaxi</t>
  </si>
  <si>
    <t>138833-11T</t>
  </si>
  <si>
    <t>Teester</t>
  </si>
  <si>
    <t>Developer of a video-based customer feedback platform intended to serve brands. The company's platform allows customers to become brand ambassadors by creating videos on the products and services offered by a company and sharing them on social media, thereby enabling businesses to provide their new customers with convincing content to increase conversion rate and sales.</t>
  </si>
  <si>
    <t>ABAB (Atlantic Business Angels Booster), Bpifrance, Pays de la Loire Participations</t>
  </si>
  <si>
    <t>advocacy marketing, digital strategy, saas b2b platform, user generated content, user generated media, user generated video, viral marketing</t>
  </si>
  <si>
    <t>87719-95T</t>
  </si>
  <si>
    <t>Talent.io</t>
  </si>
  <si>
    <t>Developer of a digital recruitment platform intended to help candidates find jobs in various companies. The company's platform offers tailored job offers where no CV or cover letter is needed to apply for jobs and users can decide on which profiles they want to apply, enabling job seekers to create profiles that are visible to the company's human resource managers.</t>
  </si>
  <si>
    <t>Alven Capital Partners(Guillaume Aubin), Ventech (Paris)</t>
  </si>
  <si>
    <t>headhunting agency, online recruitment, recruiting market, recruitment platform, tech recruiting, tech recruiting platform</t>
  </si>
  <si>
    <t>87689-44T</t>
  </si>
  <si>
    <t>Easyrecrue</t>
  </si>
  <si>
    <t>Business/Productivity Software*, Communication Software, Human Capital Services</t>
  </si>
  <si>
    <t>Developer of a SaaS video recruitment platform designed to assist recruitment professionals with the applicant pre-screening and short-listing process. The company's platform provides the facility to hold interviews with applicants and assess them in non-real-time as well as allows companies to optimize and organize the time allocated to applicant pre-screening, enabling clients to identify quality profiles using video interviews and improve the quality of their recruitment.</t>
  </si>
  <si>
    <t>Bpifrance(Marion Aubry), Elaia Partners(Pauline Roux), Entrepreneur Invest(Marouane Bahri)</t>
  </si>
  <si>
    <t>digital recruitment platform, pre-recorded video interview, talent experience platform, video interview, video recruitment platform</t>
  </si>
  <si>
    <t>HR Tech, Industrials, SaaS, TMT</t>
  </si>
  <si>
    <t>135580-69T</t>
  </si>
  <si>
    <t>Indigo Capital, Sham Innovation Santé</t>
  </si>
  <si>
    <t>93689-02T</t>
  </si>
  <si>
    <t>Leap Ventures, Partech</t>
  </si>
  <si>
    <t>94313-53T</t>
  </si>
  <si>
    <t>Eclypsia</t>
  </si>
  <si>
    <t>Developer of an information platform designed to offer information about video games. The company's platform offers news, tests, guides, videos, and analysis of gaming industries from their specialists, journalists, and professional players, enabling users to stay updated about the whereabouts of the gaming world.</t>
  </si>
  <si>
    <t>games news center, guide platform, information platform, news platform, video game information, video games news</t>
  </si>
  <si>
    <t>Gaming, TMT</t>
  </si>
  <si>
    <t>85745-98T</t>
  </si>
  <si>
    <t>138917-44T</t>
  </si>
  <si>
    <t>Bpifrance, NFactory (Accelerator), Normandie Participations, Plant 4.0 Startup Incubator, Trace Software International(Étienne Mullie)</t>
  </si>
  <si>
    <t>107428-33T</t>
  </si>
  <si>
    <t>Brand Analytics</t>
  </si>
  <si>
    <t>Developer of a business intelligence tool designed to facilitate real-time monitoring of products at an online retailer store. The company's tool monitors business product availability and customer reviews for all online stores on which their products are listed, enabling businesses to manage the demand and supply of their products to retail outlets.</t>
  </si>
  <si>
    <t>Astir Ventures, Bpifrance, Kima Ventures</t>
  </si>
  <si>
    <t>b2b tracking tools, crm, customer relationship management, customer reviews tracking, data analytics, data collection, online product tracker, product availability tracker, product tracking tools, real time monitoring</t>
  </si>
  <si>
    <t>Big Data, E-Commerce, SaaS, TMT</t>
  </si>
  <si>
    <t>108118-81T</t>
  </si>
  <si>
    <t>GO Capital (France)(Leila Nicolas)</t>
  </si>
  <si>
    <t>122789-62T</t>
  </si>
  <si>
    <t>Wild &amp; The Moon</t>
  </si>
  <si>
    <t>Beverages, Food Products, Restaurants and Bars*, Specialty Retail</t>
  </si>
  <si>
    <t>Operator of a vegan restaurant intended to serve organic food and juices to its customers. The company's restaurant offers a selection of cold-pressed juices, vegetable drinks, smoothies, salads, soups, desserts, super bowls and snacks that are made from fruits, vegetables, herbs, wild roots and plants, nuts, seeds, and spices, enabling customers to have plant-based and gluten-free food.</t>
  </si>
  <si>
    <t>Daphni, DigitalFoodLab, Financière Saint James, Guibor</t>
  </si>
  <si>
    <t>organic food items, restaurant chain, vegan beverages, vegan food company, vegan food restaurant, vegan restaurant</t>
  </si>
  <si>
    <t>101505-25T</t>
  </si>
  <si>
    <t>Ameublys</t>
  </si>
  <si>
    <t>Other Commercial Services*, Other Financial Services</t>
  </si>
  <si>
    <t>Developer of a furniture rental platform designed to offer furniture, kitchens, and household appliances for rent. The company's platform offers tailor-made ranges of furniture to meet the specific needs of customers throughout the furniture chain, kitchens as well as household appliances, and multimedia, enabling customers to transform an empty property into an equipped apartment.</t>
  </si>
  <si>
    <t>Angelor, Bpifrance, Widoowin</t>
  </si>
  <si>
    <t>furnished rental, furniture rental platform, furniture renting platform, interior design advice, kitchen designer, rental of furniture</t>
  </si>
  <si>
    <t>252139-24T</t>
  </si>
  <si>
    <t>87562-72T</t>
  </si>
  <si>
    <t>Demeter Partners, Emertec Gestion, GO Capital (France)</t>
  </si>
  <si>
    <t>87246-91T</t>
  </si>
  <si>
    <t>Columbus Venture Partners(Javier García), Eurazeo (PAR: RF), HealthCap(Johan Christenson), Idinvest Partners(Vanessa Malier), Kurma Partners(Vanessa Malier), Novartis Venture Fund(Florent Gros), Roche Venture Fund(Carole Nuechterlein), Ysios Capital(Karen Wagner)</t>
  </si>
  <si>
    <t>87518-08T</t>
  </si>
  <si>
    <t>1001 Salles</t>
  </si>
  <si>
    <t>Operator of an online listing platform intended for wedding reception venues. The company's platform has an inbuilt searchable database that displays a range of vacant event spaces available for meetings, weddings and social, corporate and cultural gatherings, enabling users to find and reserve event spaces at a given time and venue.</t>
  </si>
  <si>
    <t>Cap Horn Finance, Rives Croissance</t>
  </si>
  <si>
    <t>event space listings, event space search, events space-booking, meeting space-booking, online space-booking platform, wedding space-booking</t>
  </si>
  <si>
    <t>87190-21T</t>
  </si>
  <si>
    <t>QuiToque</t>
  </si>
  <si>
    <t>Provider of recipe basket delivery services intended to provide healthy meals all week long. The company's delivery services ensure a varied and balanced diet, by picking fresh and seasonal products from organic or sustainable farming, enabling customers to subscribe weekly box containing all necessary ingredients for cooking.</t>
  </si>
  <si>
    <t>360 Capital, ISAI(Jean-David Chamboredon), NCI Gestion, Nicolas d'Audiffret(Nicolas d'Audiffret)</t>
  </si>
  <si>
    <t>cooking videos, food delivery portal, food delivery service, food ecommerce, grocery selling platform, meal kit, recipe kits</t>
  </si>
  <si>
    <t>87129-46T</t>
  </si>
  <si>
    <t>Boehringer Ingelheim Venture Fund(Detlev Mennerich), EQT Life Sciences(Vincent Brichard), Gimv (BRU: GIMB)(Karl Naegler), Idinvest Partners, Kurma Partners(Remi Droller)</t>
  </si>
  <si>
    <t>72851-32T</t>
  </si>
  <si>
    <t>Aditu</t>
  </si>
  <si>
    <t>Business/Productivity Software, IT Consulting and Outsourcing*, Media and Information Services (B2B), Systems and Information Management</t>
  </si>
  <si>
    <t>Developer of a digital platform designed to offer data flow management and hosting. The company's platform provides data distribution and management services, web messaging and website hosting, network management, and server maintenance, enabling businesses to avail specialized expertise to perform better in the market.</t>
  </si>
  <si>
    <t>data flow management, digital data management, digital services, it solutions company, it solutions tools, network management system, web hosting</t>
  </si>
  <si>
    <t>105728-32T</t>
  </si>
  <si>
    <t>Aptiko</t>
  </si>
  <si>
    <t>Developer of online interactive touch screen display software designed to create and distribute interactive presentations on multi-touch screens and tactile displays. The company's software integrates a simple and intuitive creation that permits users to design their own interactive content for the touch screen and its software embeds a user rights management system that permits them to define who has the right to create or broadcast on a touch screen, enabling clients to manage the delivery of their interactive content on a touchscreen or across their display fleet directly from their website browser.</t>
  </si>
  <si>
    <t>interactive touch screen, interactive touch screen interface developer, interactive touch screening technology, touch screen developer, touch screen display, touch screen solutions</t>
  </si>
  <si>
    <t>73034-20T</t>
  </si>
  <si>
    <t>Bpifrance, Xerys Invest(Jacques Simonnet)</t>
  </si>
  <si>
    <t>156202-03T</t>
  </si>
  <si>
    <t>DomRaider</t>
  </si>
  <si>
    <t>Developer of a domain name auctioning platform designed to bridge the gap between the world of assets and the potential of open-source blockchain. The company's platform reserves newly dropped domain names and sells them at auction, offers an open-source blockchain dedicated to the decentralization of auctions in real-time, live auctioneers, escrow, appraisal experts, and delivery services, enabling auction providers to join the network, provide their services and add value to the blockchain.</t>
  </si>
  <si>
    <t>Banque Populaire, Bpifrance, CIC (Media and Information Services (B2B)), Credit Agricole (PAR: ACA), Credit Industriel et Commercial, KrowdMentor</t>
  </si>
  <si>
    <t>blockchain technology, domain auction platform, domain name auction, domain name bidding, domain name seller, search engine</t>
  </si>
  <si>
    <t>103321-18T</t>
  </si>
  <si>
    <t>Geoffroy De Becdelièvre(Geoffroy De Becdelièvre), Global Blue (NYS: GB)(Jacques Stern), Partech(Romain Lavault), SwiftPass</t>
  </si>
  <si>
    <t>140593-15T</t>
  </si>
  <si>
    <t>Evosens</t>
  </si>
  <si>
    <t>Industrial Supplies and Parts*, Media and Information Services (B2B), Other Hardware</t>
  </si>
  <si>
    <t>Developer of a photonic system designed to specialize in optronics on behalf of the companies. The company designs optical systems for a portfolio of companies and governmental laboratories acting in various markets as industry, environment, food industry, life science, lighting, defense and security, aeronautic, spatial, cosmetic, enabling clients to have integration of custom photonic systems.</t>
  </si>
  <si>
    <t>photonics sensor, photonics system, photonics system designer, photonics systems, photonics tech, photonics tools</t>
  </si>
  <si>
    <t>138838-06T</t>
  </si>
  <si>
    <t>GEO.3L</t>
  </si>
  <si>
    <t>Provider of concierge services intended to assist real estate agencies in their relocation and installation. The company offers personalized services for moving and installation assistance, boosted by a website, a mobile application, and a telephone concierge, enabling brands and retailers with a wide range of moving services.</t>
  </si>
  <si>
    <t>Bamboo Capital Partners, Ouest Angels Capital, Pays de la Loire Participations</t>
  </si>
  <si>
    <t>customer loyalty, customer relation, mobile applications, moving services, real estate, real estate agency, real estate network</t>
  </si>
  <si>
    <t>134164-72T</t>
  </si>
  <si>
    <t>Myopowers</t>
  </si>
  <si>
    <t>Developer of artificial muscle technology designed to restore and improve muscle functioning. The company's technology is applied to some indications in the GI, cardiology, or urology area as well as it develops implantable medical devices that can be placed around the urethra to assist sphincter closing that is individually actionable and adjustable with remote control for the treatment of severe stress urinary incontinence, enabling patients to get assistance in unmet medical needs.</t>
  </si>
  <si>
    <t>medical implants, muscle care, therapeutic support, urinary incontinence, urinary incontinence care, urology care</t>
  </si>
  <si>
    <t>118270-09T</t>
  </si>
  <si>
    <t>Otimo Group</t>
  </si>
  <si>
    <t>Food Products, Logistics*, Plastic Containers and Packaging</t>
  </si>
  <si>
    <t>Operator of carrot packaging and storage company intended to serve the food sector. The company engages in running its operations in food production, storage, management, and distribution, providing companies with industrial buildings with positive cold storage capacities and all the modern equipment necessary for the industrial packaging of carrots.</t>
  </si>
  <si>
    <t>Nord Capital Partenaires(Charles Francois)</t>
  </si>
  <si>
    <t>cold storage, food cold storage, food storage, storage center, vegetable packaging, vegetables storage</t>
  </si>
  <si>
    <t>Brebieres, France</t>
  </si>
  <si>
    <t>109362-16T</t>
  </si>
  <si>
    <t>Sombox</t>
  </si>
  <si>
    <t>Manufacturer of mobile cabins intended to provide rest at the heart of the most frequented spaces. The company offers micro rooms for people in transit, through a system of cabins with comfort, security, cleanliness, autonomy, electrical outlet, and network access, enabling travelers to get optimized rest and experience, for several hours.</t>
  </si>
  <si>
    <t>Bpifrance, FFWD Normandie, NextMove (Normandy), NFactory (Accelerator), Normandie Participations, Normandy Frenchtech, Peugeot Design Lab, Region Normandie, Réseau entreprendre Atlantique, Société Nationale des Chemins de fer Français, Total Developpement Regional</t>
  </si>
  <si>
    <t>cabins stay, hotel stay services, mobile cabins, relaxation rooms, relaxation service, resting place provider</t>
  </si>
  <si>
    <t>106040-17T</t>
  </si>
  <si>
    <t>Soyhuce</t>
  </si>
  <si>
    <t>Developer of performance optimization software designed for digital transformation consultations. The company's software leverages data through proprietary artificial intelligence (AI) algorithms to derive essential data insights to facilitate the implementation of tools by utilizing big data technology orchestration, enabling businesses to make smart decisions swiftly, automate repetitive tasks, and increase their productivity.</t>
  </si>
  <si>
    <t>Bpifrance, CoMentis (Drug Discovery), FFWD Normandie, Normandie Participations, Supernova Invest</t>
  </si>
  <si>
    <t>ai automation platform, algorithm technology, analytical approach, business consulting service, data value enhancer, digital transformation solutions, orchestration platform</t>
  </si>
  <si>
    <t>89289-91T</t>
  </si>
  <si>
    <t>Spark Lasers</t>
  </si>
  <si>
    <t>Manufacturer of picosecond and femtosecond lasers intended for micromachining and life-science applications. The company's platform includes pulse parameters, frequency conversion, supercontinuum generation, fluorescence imaging, and spectroscopy systems, enabling businesses to use them for glass cutting and medical applications for eye surgery or dermatology.</t>
  </si>
  <si>
    <t>AQUITI Gestion, Gravitation, Starquest Capital(Chloé Cohen-Aknine)</t>
  </si>
  <si>
    <t>eye surgery equipment, glass cutting equipment, industrial engineering, picosecond laser, spectroscopy data, ultrafast lasers</t>
  </si>
  <si>
    <t>Martillac, France</t>
  </si>
  <si>
    <t>103111-03T</t>
  </si>
  <si>
    <t>Spartoo (PAR: ALSPT)</t>
  </si>
  <si>
    <t>Spartoo is engaged in the manufacturing, purchase, and sale of footwear, ready-to-wear, leather goods, and related accessories. The company has developed its e-commerce platform on which it offers customers a wide range of fashion items which include Jeans, Trousers, Sports Shoes, Shorts &amp; Bermudas, Coats, and T-shirts &amp; Polos among others.</t>
  </si>
  <si>
    <t>Alice Besomi(Alice Besomi), Highland Europe(Fergal Mullen), Irena Goldenberg(Irena Goldenberg)</t>
  </si>
  <si>
    <t>fashion accessories, online accessories, online shopping, shopping portal, shopping site</t>
  </si>
  <si>
    <t>87228-28T</t>
  </si>
  <si>
    <t>Superquinquin</t>
  </si>
  <si>
    <t>Department Stores*</t>
  </si>
  <si>
    <t>Operator of a co-operative supermarket chain facility intended to offer various range of consumer products. The company's co-operative supermarket offers a range of quality products including organic food, beverage, cleaning, and beauty products while respecting the margin of the producers and promoting the social bond, enabling users to purchase a variety of products at an affordable rate.</t>
  </si>
  <si>
    <t>Autonomie &amp; Solidarité, NovESS</t>
  </si>
  <si>
    <t>market chain, market stores, supermarket chain facility, supermarket chain operator, supermarket chain store, supermarket unit</t>
  </si>
  <si>
    <t>92047-33T</t>
  </si>
  <si>
    <t>Contextor</t>
  </si>
  <si>
    <t>Robotic Process Automation</t>
  </si>
  <si>
    <t>Developer of automation software designed to help people to focus on added-value tasks as well as leverage their talent and human skills. The company's software uses robotic process automation to address the problem of data entry into multiple legacy applications across different mainframes, as well as client-server and web architectures, enabling firms to become more professional, streamline their business processes, and automate repetitive tasks.</t>
  </si>
  <si>
    <t>automation software, business process design, business process tools, client-server, legacy application, robotics process automation, web architecture</t>
  </si>
  <si>
    <t>130718-80T</t>
  </si>
  <si>
    <t>87034-33T</t>
  </si>
  <si>
    <t>Bridgestone (TKS: 5108)(Paolo Ferrari), Cofip, TotalEnergies Ventures, Via ID(Yann Marteil)</t>
  </si>
  <si>
    <t>100976-50T</t>
  </si>
  <si>
    <t>Prodways Group (PAR: PWG)</t>
  </si>
  <si>
    <t>Business/Productivity Software, Other Commercial Products*, Printing Services (B2B)</t>
  </si>
  <si>
    <t>Prodways Group SA is a France-based company engaged in providing 3D printing solutions. The company offers printing machinery for jewelry, footwear, industrial design, architecture, engineering and construction, and automotive sectors. It operates through two business segments: Products and Systems. The system segment includes Prodways, Prodways Americas, Prodways Materials, Deltamed, Exceltec, Prodways Rapid Additive Forging, Groupe Avenao and Solidscape. The product segment includes Initial, Cristal, Podo 3d, Prodways Conseil, Interson Protac, Varia 3d and Dentosmile. It generates maximum revenue from the Systems segment.</t>
  </si>
  <si>
    <t>BNP Paribas Développement, Bpifrance, Fimalac Entertainment, Safran Corporate Ventures(Helene de Cointet)</t>
  </si>
  <si>
    <t>3d printer, 3-d printer, 3d printing, 3-d printing, 3-d printing technology, 3d technology printer, printer</t>
  </si>
  <si>
    <t>3D Printing, Advanced Manufacturing, Industrials, Manufacturing, TMT</t>
  </si>
  <si>
    <t>105309-37T</t>
  </si>
  <si>
    <t>Daphni, Quadia</t>
  </si>
  <si>
    <t>112242-25T</t>
  </si>
  <si>
    <t>WeFix</t>
  </si>
  <si>
    <t>Electronics (B2C), Other Services (B2C Non-Financial)*</t>
  </si>
  <si>
    <t>Operator of an online marketplace built for smartphone repairing. The company's platform offers repair services for the screen, battery, buttons, microphone and other smartphone and tablet parts and accessories, providing smart device owners to get repairs done in a convenient and hassle-free manner.</t>
  </si>
  <si>
    <t>Frédéric Jousset(Frédéric Jousset), Groupe Galeries Lafayette, Iron Capital., Motier, Olivier Duha(Olivier Duha)</t>
  </si>
  <si>
    <t>auto stores, mobile repair, online marketplace, phone repair, reconditioning, refurbished smartphones, repair marketplace, tablets repair</t>
  </si>
  <si>
    <t>87276-70T</t>
  </si>
  <si>
    <t>MagiCats Builder</t>
  </si>
  <si>
    <t>Developer of a gaming platform designed to be used to create customized games as per user's choice. The company's platform lets users create their own game in the different genre along with specific IA games trough visual programming, enabling users to challenge their friends and enjoy the gaming experience.</t>
  </si>
  <si>
    <t>Bpifrance, Cedre Participations(Jean-Francois Lambert)</t>
  </si>
  <si>
    <t>artificial intelligence games, creative game developer, creative games, customized games, gaming platform, visual programming</t>
  </si>
  <si>
    <t>Artificial Intelligence &amp; Machine Learning, EdTech, Gaming, TMT</t>
  </si>
  <si>
    <t>194821-48T</t>
  </si>
  <si>
    <t>Parc Spirou</t>
  </si>
  <si>
    <t>Leisure Facilities*, Other Restaurants, Hotels and Leisure, Other Services (B2C Non-Financial)</t>
  </si>
  <si>
    <t>Operator of a family leisure park designed for families to enjoy a quality fun time. The company develops projects for the construction and operation of amusement and theme parks based around comics with rides, food and beverages, a shopping facility, and a host of other fun activities, enabling customers to discover entertainment with their families all year round.</t>
  </si>
  <si>
    <t>Média-Participations, Veymont Participations</t>
  </si>
  <si>
    <t>activity center, amusement park, leisure park, leisure park facility, park rides, theme park</t>
  </si>
  <si>
    <t>219461-50T</t>
  </si>
  <si>
    <t>139751-20T</t>
  </si>
  <si>
    <t>Groupe Prunay</t>
  </si>
  <si>
    <t>206420-68T</t>
  </si>
  <si>
    <t>Mirabelle (Paris)</t>
  </si>
  <si>
    <t>135707-05T</t>
  </si>
  <si>
    <t>Banque Populaire Auvergne Rhône Alpes, CEA Investissement</t>
  </si>
  <si>
    <t>86637-79T</t>
  </si>
  <si>
    <t>Kleuster</t>
  </si>
  <si>
    <t>Manufacturer of electric-assisted utility vehicles based in Venissieux, France. The company offers dry cell, refrigeration cell, food cell, tray cell and waste bin cell vehicles that feature front and rear hydraulic braking, hydraulic suspension, driver's seat pressure sensor and LED lights, enabling clients to reduce carbon dioxide emissions.</t>
  </si>
  <si>
    <t>Bpifrance, Credit Lyonnais, Crédit Agricole Création</t>
  </si>
  <si>
    <t>commercial vehicle, eco-friendly vehicles, electric utility company, electric utility market, electric utility product, electric utility sector, electric utility vehicles, electric-assisted vehicles, environmental friendly vehicle, utility vehicles</t>
  </si>
  <si>
    <t>CleanTech, Industrials, Manufacturing, Mobility Tech</t>
  </si>
  <si>
    <t>86695-30T</t>
  </si>
  <si>
    <t>Bpifrance(Marion Aubry), Seventure Partners</t>
  </si>
  <si>
    <t>134774-02T</t>
  </si>
  <si>
    <t>Seventure Partners(Thibault Canton)</t>
  </si>
  <si>
    <t>86511-88T</t>
  </si>
  <si>
    <t>Bpifrance, Capital Grand Est(Jean-François Rax), Strasbourg Eurometropole</t>
  </si>
  <si>
    <t>188044-39T</t>
  </si>
  <si>
    <t>ReproPharm Vet</t>
  </si>
  <si>
    <t>Animal Husbandry, Biotechnology*, Other Healthcare Services</t>
  </si>
  <si>
    <t>Developer of tools for livestock breeding management intended to promote sustainable agriculture. The company offers easy-to-use products designed for farmers, scientists, insemination technicians, and veterinarians, both on farms and in laboratories, these tools address economic competitiveness, workload reduction, environmental protection, animal welfare, and consumer demands, enabling professionals in the livestock breeding market to achieve efficient and responsible breeding practices.</t>
  </si>
  <si>
    <t>Centre Capital Développement, SWEN Capital Partners</t>
  </si>
  <si>
    <t>animal welfare, biotechnology process, clinical research firm, livestock breeding, research and developmental, vet clinics</t>
  </si>
  <si>
    <t>103304-80T</t>
  </si>
  <si>
    <t>FGP Capital</t>
  </si>
  <si>
    <t>86178-79T</t>
  </si>
  <si>
    <t>BNP Paribas (PAR: BNP), Bosch Ventures(Cyril Vancura), Bpifrance(Anne-Sophie Carrese), Cisco Investments, Creadev(Florent Thomann), Eurazeo (PAR: RF), Foxconn Technology (TAI: 2354), Ginko Ventures(Dominique Pitteloud), Hon Hai Precision (TAI: 2317)(Fang-Ming Lu), Idinvest Partners, Inmarsat(William Germain), KPN Ventures(Herman Kienhuis), Orange Ventures(Etienne Moreau), Swisscom Ventures(Stefan Kuentz), Truffle Capital(Jean Francois Fourt), William Germain(William Germain)</t>
  </si>
  <si>
    <t>107338-78T</t>
  </si>
  <si>
    <t>Aglaé Ventures(Antoine Loison), Daphni(Pierre-Yves Meerschman), Eurazeo (PAR: RF)(Yann-Hervé du Rusquec)</t>
  </si>
  <si>
    <t>86191-12T</t>
  </si>
  <si>
    <t>Balthazar de Lavergne(Balthazar de Lavergne), Breega(Maximilien Bacot), Daphni(Pierre-Yves Meerschman), Elaia Partners(Samantha Jérusalmy), Tekton Ventures</t>
  </si>
  <si>
    <t>68986-90T</t>
  </si>
  <si>
    <t>TargEDys</t>
  </si>
  <si>
    <t>Developer of microbe mechanism designed to control the metabolic disease by modulating the appetite through intervention. The company's mechanism of appetite regulation involves bacterial, hormonal mimetic, proteins that are found naturally in the gut microbiome which moderate the appetite of overweight people and restore the appetite of elderly, cachexia, or anorexic people, enabling people to regulate their eating behavior.</t>
  </si>
  <si>
    <t>Biocodex(Virginie Husson), Empower AI, NCI Gestion(Laurie Périé), Onxy Developpement, Pontifax Venture Capital(Tomer Kariv), Seventure Partners(Isabelle de Cremoux), Zaluvida Holdings(Christoph Staeuble)</t>
  </si>
  <si>
    <t>appetite regulation, bacteriotherapy, biotech drugs, drug products, emerging therapy, metabolic disease, microbe mechanism, probiotics drugs, regulate appetite</t>
  </si>
  <si>
    <t>Longjumeau, France</t>
  </si>
  <si>
    <t>68242-69T</t>
  </si>
  <si>
    <t>Alven Capital Partners(Guillaume Aubin), Celine Lazorthes(Celine Lazorthes), Celine Orjubin(Celine Orjubin), Idinvest Partners, Pierre Valade(Pierre Valade)</t>
  </si>
  <si>
    <t>113143-15T</t>
  </si>
  <si>
    <t>LesHabitués</t>
  </si>
  <si>
    <t>Developer of a merchant application designed to make payments convenient and fast. The company's platform assists in opening a prepaid account with the merchants and purchases are debited automatically from the account without the need to take out the wallet or spend time paying, enabling customers to connect with their dealers by shopping through a pre-paid account and receive benefits.</t>
  </si>
  <si>
    <t>Up Coop</t>
  </si>
  <si>
    <t>geomarketing tools, loyalty program, merchant account, payment portal, prepaid account, shopping app</t>
  </si>
  <si>
    <t>89238-43T</t>
  </si>
  <si>
    <t>Les Bateaux Bordelais</t>
  </si>
  <si>
    <t>Cruise Lines*, Leisure Facilities, Other Restaurants, Hotels and Leisure</t>
  </si>
  <si>
    <t>Provider of river cruising services intended to offer cruise facilities in Bordeaux and on the Gironde estuary. The company's services include meals along the port of the moon, wine cruises combining relaxation and wine tasting, and cultural cruises to meet the islands of the estuary, enabling family, friends, or groups to discover the médoc grands crus classés alongside passionate sailors.</t>
  </si>
  <si>
    <t>AQUITI Gestion, Bernard Magrez(Bernard Magrez)</t>
  </si>
  <si>
    <t>cruise line, cruise operator, private cruise, river cruise, river tourism, travel arrangements services</t>
  </si>
  <si>
    <t>Cruise Lines</t>
  </si>
  <si>
    <t>121321-72T</t>
  </si>
  <si>
    <t>Panoply City</t>
  </si>
  <si>
    <t>Provider of an online fashion platform intended to offer subscription packages to rent clothing from leading fashion designers. The company's platform offers luxury fashion apparel for women under various categories including casual, office, party, wedding and travel from an ongoing collection of more than 30 fashion designers on a subscription basis which includes the cost of dry cleaning and delivery, enabling customers to wear luxury clothing for special occasions.</t>
  </si>
  <si>
    <t>clothing rental, dress rental app, fashion, fashion rental, fashion rental platform, fashion rental sites, french rental fashion, online fashion</t>
  </si>
  <si>
    <t>91589-68T</t>
  </si>
  <si>
    <t>Entrepreneur Invest(Charles Fossey), XAnge(Guilhem De Vregille)</t>
  </si>
  <si>
    <t>85869-73T</t>
  </si>
  <si>
    <t>VeriCampus</t>
  </si>
  <si>
    <t>Educational Software, Information Services (B2C), Social/Platform Software*</t>
  </si>
  <si>
    <t>Provider of a messaging platform intended to make education universally accessible and affordable. The company's platform provides schools access to the products, services, and information they need to help students succeed as well as increase engagement across all aspects of the educational value chain, enabling educational institutions to provide a high level of personalized service at a low cost.</t>
  </si>
  <si>
    <t>education community, education consulting, education management, school management, school management app, school management software</t>
  </si>
  <si>
    <t>116306-47T</t>
  </si>
  <si>
    <t>Bpifrance(Nicolas Dufourcq), Frédéric De Belloy(Frédéric De Belloy), Xavier Niel(Xavier Niel)</t>
  </si>
  <si>
    <t>109494-82T</t>
  </si>
  <si>
    <t>Novathings</t>
  </si>
  <si>
    <t>Application Software, Electronics (B2C), Systems and Information Management*</t>
  </si>
  <si>
    <t>Developer of a secure cloud network intended to synchronize and protect digital media. The company's network automatically backups and encrypts all the devices, computers, tablets and smartphones as well as facilitates secure sharing of contents privately, enabling users to secure their personal data and access them remotely.</t>
  </si>
  <si>
    <t>Bpifrance, CAAP Creation, Crédit Mutuel Innovation, INNOV8 Group, Provence Business Angels, Région Sud Investissement</t>
  </si>
  <si>
    <t>automatic data backup, cloud hardware, cloud storage, data backup gadgets, data encryption</t>
  </si>
  <si>
    <t>Saint-Cannat, France</t>
  </si>
  <si>
    <t>85889-35T</t>
  </si>
  <si>
    <t>Phenix Groupe</t>
  </si>
  <si>
    <t>Media and Information Services (B2B)*, Publishing</t>
  </si>
  <si>
    <t>Operator of outdoor media networks, web content publisher and developer of technological services intended to connect people and places through innovative media experiences. The company offers a blend of physical and digital media, enabling customers to reach targeted audiences through out-of-home advertising, engaging web content and interactive technological services.</t>
  </si>
  <si>
    <t>Crédit Mutuel Equity(Stephane Vermot-Desroches)</t>
  </si>
  <si>
    <t>advertising solutions platform, media analytics, multichannel marketing, outdoor media and advertising, outdoor media service, web content management platform</t>
  </si>
  <si>
    <t>82658-17T</t>
  </si>
  <si>
    <t>XP Digit</t>
  </si>
  <si>
    <t>Business/Productivity Software, Electronic Equipment and Instruments, IT Consulting and Outsourcing*</t>
  </si>
  <si>
    <t>Developer of a location-based mobile application and connected devices designed to serve the working and tourism industry. The company offers connected objects that communicate with each other in order to create virtual security barriers to protect workers on the worksite and also offers personalized, interactive visit experiences for the tourism sector, providing clients with connected technology to improve their daily lives.</t>
  </si>
  <si>
    <t>Autonomie &amp; Solidarité, Finovam Gestion, Nord France Amorçage</t>
  </si>
  <si>
    <t>analysis software, concierge app, concierge platform, concierge portal, data analytics firm, personalized marketing application</t>
  </si>
  <si>
    <t>86322-79T</t>
  </si>
  <si>
    <t>Beepeers</t>
  </si>
  <si>
    <t>Developer of event management software intended to support event organizers in their digital transformation. The company's platform allows event planners to distribute and manage their content via a single back-office platform on all digital communication channels, enabling event managers to improve coordination with the team and community during the events and increase engagement.</t>
  </si>
  <si>
    <t>2C Invest, Inria</t>
  </si>
  <si>
    <t>event management system, event management tool, event organizer, event organizing platform, events organisation service, networking platform</t>
  </si>
  <si>
    <t>86811-94T</t>
  </si>
  <si>
    <t>Clic'n Bio</t>
  </si>
  <si>
    <t>Application Software, Food Products, Information Services (B2C), Internet Retail*, Other Consumer Non-Durables</t>
  </si>
  <si>
    <t>Provider of an online e-commerce platform intended to facilitate the purchase of organic products. The company's platform offers the opportunity to locate organic partner stores, shop online via mobile applications on smartphones and pick them up in retail outlets, enabling users with a modernized and a new way to shop their desired organic product without wasting time at the store.</t>
  </si>
  <si>
    <t>click and collect, ecommerce site, marketplace, organic product market, organic product retailer, organic product stores, product shopping</t>
  </si>
  <si>
    <t>82813-51T</t>
  </si>
  <si>
    <t>AQUITI Gestion, Bpifrance, Herrikoa, SIDE Capital, Thomas Dadashi(Thomas Dadashi)</t>
  </si>
  <si>
    <t>106039-90T</t>
  </si>
  <si>
    <t>Crédit Agricole Normandie, Normandie Participations, SIBA Sinay 2017</t>
  </si>
  <si>
    <t>136506-25T</t>
  </si>
  <si>
    <t>Tracktl</t>
  </si>
  <si>
    <t>Developer of a social playlist application designed to connect venues and their audience. The company's application facilitates connecting to the playlist of an event directly from their smartphones, voting for songs already in the shared playlist, or adding their favorite tracks, enabling users to interact with the music of a location from their smartphones.</t>
  </si>
  <si>
    <t>5M Ventures, Novaris Equity, Provence Business Angels</t>
  </si>
  <si>
    <t>collaborative playlist, interactive music, playlist sharing, playlist synchronization, social application, social playlist</t>
  </si>
  <si>
    <t>Meudon, France</t>
  </si>
  <si>
    <t>77294-80T</t>
  </si>
  <si>
    <t>AngelSquare, Btwinz Ventures, CTO Partners</t>
  </si>
  <si>
    <t>160024-51T</t>
  </si>
  <si>
    <t>90399-61T</t>
  </si>
  <si>
    <t>Polène</t>
  </si>
  <si>
    <t>Manufacturer of leather fashion products intended to offer various types of leather goods. The company provides different types of leather bags, backpacks, tote bags, and pouches, enabling women to access hand-made artisan goods.</t>
  </si>
  <si>
    <t>Eutopia(Antoine Fine), Otium Capital</t>
  </si>
  <si>
    <t>bags maker, female accessories, jewelry wear, leather backpacks, leather pouches, online shopping, purse and bags</t>
  </si>
  <si>
    <t>117711-37T</t>
  </si>
  <si>
    <t>Bepatient</t>
  </si>
  <si>
    <t>Developer of a patient-centric e-health platform designed to empower patients and promote continuity of care. The company's platform offers risk assessments, remote monitoring, social network, e-Learning, personal health record, care coordination, registries, and clinical studies available in several languages, enabling healthcare service providers to build their own custom digital health programs, perfectly adapted to patient's needs.</t>
  </si>
  <si>
    <t>Remora Biotech, Savipharm</t>
  </si>
  <si>
    <t>clinical care, digital health platform, e-health platform, health database management, patient centric care, patient engagement platform, personalized care program</t>
  </si>
  <si>
    <t>201978-37T</t>
  </si>
  <si>
    <t>Drust</t>
  </si>
  <si>
    <t>Application Software, Automotive*, Road</t>
  </si>
  <si>
    <t>Developer of a driver-centric platform designed for predictive maintenance and driver behavior detection. The company provides drivers with added-value services via a mobile application, enabling drivers to check the mechanical data generated by the vehicle engine and save on fuel costs.</t>
  </si>
  <si>
    <t>Mutuelle Assurance Commerçants et Industriels France</t>
  </si>
  <si>
    <t>automotive software, behavior detection, dongle based services, driver-centric solutions, equipment manufacturer, predictive maintenance, predictive maintenance software, real time feedback</t>
  </si>
  <si>
    <t>96285-16T</t>
  </si>
  <si>
    <t>Fenotek</t>
  </si>
  <si>
    <t>Manufacturer of video wireless doorbells intended to monitor home security. The company specializes in wireless high-performance video streaming connected to the internet featuring two-way voice communication, enabling users to care for their home anywhere and anytime with just a tablet or smartphone.</t>
  </si>
  <si>
    <t>Bpifrance, CAAP Creation, Global Founders Capital, P.Factory, Provence Business Angels, Rocket Internet (HAM: RKET), Région Sud Investissement, Sofimac Innovation(Jean-Philippe Zoghbi)</t>
  </si>
  <si>
    <t>domestic security, doorbell device, doorbell security system, home monitoring product, smart home, video doorbell</t>
  </si>
  <si>
    <t>85652-29T</t>
  </si>
  <si>
    <t>BHB Network(Gabriele Domenichini), CapHorn Invest(Laurent Dumas-Crouzillac), Digital Currency Group(Barry Silbert), GDTre, Kima Ventures, Libertus Capital(Pamir Gelenbe), Nicolas Pinto, Ternel, The Whittemore Collection, Wicklow Capital, XAnge(Cyril Bertrand)</t>
  </si>
  <si>
    <t>85684-06T</t>
  </si>
  <si>
    <t>Bpifrance, Breega(Maximilien Bacot), Kima Ventures, Xavier Niel(Xavier Niel)</t>
  </si>
  <si>
    <t>81094-42T</t>
  </si>
  <si>
    <t>Index Ventures(Dominic Jacquesson), Lord Browne, Marcel Van Poecke</t>
  </si>
  <si>
    <t>86274-73T</t>
  </si>
  <si>
    <t>Realytics</t>
  </si>
  <si>
    <t>Developer of an advertising analysis platform designed to bring offline advertising into the digital age. The company's platform measures and analyzes the impact of TV advertising campaigns via their digital environment and targets the best audience to boost the efficiency of the advertising message by calculating the ROI, enabling advertisers and brands to analyze and understand consumer behavior.</t>
  </si>
  <si>
    <t>BNP Paribas Développement, Elaia Partners(Pauline Roux), News Invest(Stéphane Moity)</t>
  </si>
  <si>
    <t>advertising analysis, advertising analysis platform, advertising campaigns, advertising company, analysis platform, television advertising</t>
  </si>
  <si>
    <t>204576-67T</t>
  </si>
  <si>
    <t>Smartox Biotechnology</t>
  </si>
  <si>
    <t>Developer of therapeutic peptides designed to discover novel drugs from animal venoms. The company's peptides combine a compound library dedicated to high-throughput screening programs and hit-to-lead services and offer a range of animal peptide toxins active on several membrane receptors, including ion channels, enabling medical professionals to use peptides from animal venoms for health treatment.</t>
  </si>
  <si>
    <t>biotechnology research, neuroscience drugs, peptides synthesis, pharmacology services, synthetic peptide, therapeutic peptides, therapeutic peptides drugs</t>
  </si>
  <si>
    <t>85622-50T</t>
  </si>
  <si>
    <t>Travelaer</t>
  </si>
  <si>
    <t>Provider of a travel based online platform intended to transform the travel industry. The company's platform combines Internet Booking Engine and NDC platform to offer booking facilities, enabling its partners to improve customer experience on the web and across all digital channels.</t>
  </si>
  <si>
    <t>Alderville Holding, Calypso Capital, Entrepreneur Invest(Charles Fossey), Pleiade Venture</t>
  </si>
  <si>
    <t>crm, customer relationship management, digital commerce, in flight information, ticketing booking platform, ticketing booking portal, ticketing portal, travel platform</t>
  </si>
  <si>
    <t>159877-54T</t>
  </si>
  <si>
    <t>Alexandre Grux(Alexandre Grux), Bpifrance, Judith Milgrom(Judith Milgrom), Pierre Kosciusko Morizet(Pierre Kosciusko Morizet), Thibaud Elziere</t>
  </si>
  <si>
    <t>85497-13T</t>
  </si>
  <si>
    <t>Alto Invest(Benoit Thiedey), Auriga Partners (Paris)(Franck Lescure), Bpifrance, Elaia Partners, Kreaxi(Gwenaël Hamon), UI Investissement</t>
  </si>
  <si>
    <t>75334-78T</t>
  </si>
  <si>
    <t>85773-70T</t>
  </si>
  <si>
    <t>Wheeliz</t>
  </si>
  <si>
    <t>Operator of a peer-to-peer car rental platform intended to provide wheelchair-accessible vehicles for rent. The company's platform provides rental cars for people in wheelchairs, insurance for drivers and passengers as well as replacement of damaged cars, enabling owners to earn money from their vehicle by renting it out to someone who needs it.</t>
  </si>
  <si>
    <t>Bouygues Telecom Initiatives, Francis Nappez(Francis Nappez), Keolis(Laurent Kocher), Ternel</t>
  </si>
  <si>
    <t>auto commerce, car rental, car rental app, car rental platform, p2p carsharing, vehicle platform, wheelchair vehicle platform, wheelchair-accessible, wheelchair-accessible vehicles</t>
  </si>
  <si>
    <t>Car-Sharing, Industrials, Mobility Tech, TMT</t>
  </si>
  <si>
    <t>88630-93T</t>
  </si>
  <si>
    <t>97462-99T</t>
  </si>
  <si>
    <t>100181-26T</t>
  </si>
  <si>
    <t>Compagnie Generale De Cablage</t>
  </si>
  <si>
    <t>Provider of communication networking services intended to offer products like high-speed fiber optic cables. The company's communication networking services assist the customers in the study, design and realization of the installation of networks, enabling its clients to receive support for the installation of cabling system.</t>
  </si>
  <si>
    <t>Leia</t>
  </si>
  <si>
    <t>cable network, optic cable connection, optic cable network, optic cable system</t>
  </si>
  <si>
    <t>Villeparisis, France</t>
  </si>
  <si>
    <t>203563-63T</t>
  </si>
  <si>
    <t>96632-29T</t>
  </si>
  <si>
    <t>Ubleam</t>
  </si>
  <si>
    <t>Developer of a technical operations platform designed to connect all products using augmented reality. The company's platform provides access to information in the field, interactive codes to affix to objects and a web platform to configure and exploit data on products and incorporates the principle of barcodes and combines the 3D detection performance by patented identification technology, enabling clients to configure all product and equipment settings.</t>
  </si>
  <si>
    <t>Air Liquide Venture Capital, Alto Invest, Trail Solutions Patrimoine</t>
  </si>
  <si>
    <t>asset management, industrial iot, mobile reading application, mobile remote control, operations optimization, remote control app, smart tags</t>
  </si>
  <si>
    <t>Advanced Manufacturing, Augmented Reality, Internet of Things, Mobile</t>
  </si>
  <si>
    <t>131751-46T</t>
  </si>
  <si>
    <t>ARK Ecosystem</t>
  </si>
  <si>
    <t>Developer of decentralized blockchain networks designed to quickly and easily leverage blockchain technology. The company's services offer tools and resources to build software, enabling individuals, developers, and startups to apply blockchain technology as a foundation for their own projects, applications, and ideas.</t>
  </si>
  <si>
    <t>NueValue</t>
  </si>
  <si>
    <t>blockchain creation tools, blockchain development, build blockchain, custom blockchain, eight-second blocks, leverage blockchain technology</t>
  </si>
  <si>
    <t>88137-91T</t>
  </si>
  <si>
    <t>INSEAD Business Angels, NCI Gestion, NFactory (Accelerator)</t>
  </si>
  <si>
    <t>85154-23T</t>
  </si>
  <si>
    <t>Teemo</t>
  </si>
  <si>
    <t>Developer of a drive-to-store marketing platform intended to serve retail advertising market. The company offers performance tracking and optimization and valuable insights about customers.</t>
  </si>
  <si>
    <t>Greg Coleman(Greg Coleman), Index Ventures(Dominique Vidal), ISAI, Mosaic Ventures, Pascal Gauthier(Pascal Gauthier)</t>
  </si>
  <si>
    <t>mobile advertising platform, mobile advertising service, mobile marketing campaign, performance-based mobile advertising, predictive insights, predictive marketing platform</t>
  </si>
  <si>
    <t>107064-82T</t>
  </si>
  <si>
    <t>Alizee Investment, SCR Provence and Corsica(Sauveur Cascone)</t>
  </si>
  <si>
    <t>85092-58T</t>
  </si>
  <si>
    <t>Advicenne (PAR: ALDVI)</t>
  </si>
  <si>
    <t>Advicenne SA is a late-stage biopharmaceutical company. The company is engaged in the development of paediatric friendly therapeutics for the treatment of orphan renal diseases and niche neurology indications. Its goal is to improve the lives of patients from early childhood through adulthood.</t>
  </si>
  <si>
    <t>Bpifrance(Philippe Boucheron), CDC Enterprises, Cemag Invest, IRDI Capital Investissement(Jean-Michel Petit), iXO Private Equity(Renaud du Lac), MI Care, Soridec</t>
  </si>
  <si>
    <t>biopharmaceutical, childhood renal disease, nephrological disorder, orphan renal disease, pediatric drugs, pediatrics</t>
  </si>
  <si>
    <t>85148-83T</t>
  </si>
  <si>
    <t>Alven Capital Partners(Guillaume Aubin), John Queffélec(John Queffélec), Jérémie Berrebi(Jérémie Berrebi), Partech(Reza Malekzadeh)</t>
  </si>
  <si>
    <t>123908-23T</t>
  </si>
  <si>
    <t>AppsCie</t>
  </si>
  <si>
    <t>Provider of computer programming services intended for digital marketing and transformation. The company offers various services such as website creation and redesign, mobile application, online collaboration, third-party application maintenance, and big data management services, enabling businesses to expand their presence on search engines and social networks.</t>
  </si>
  <si>
    <t>JMYX Holding</t>
  </si>
  <si>
    <t>digital marketing service, information technology, it consulting, it services, mobile application designer, website designer</t>
  </si>
  <si>
    <t>127833-04T</t>
  </si>
  <si>
    <t>85016-44T</t>
  </si>
  <si>
    <t>MultiX</t>
  </si>
  <si>
    <t>Developer of advanced spectrometric X-ray detectors designed for material discrimination applications. The company's spectrometric X-ray detection technology is utilized for the identification of materials in general, non-destructive testing, and the detection of explosives in luggage and packages in particular, enabling integrator clients to reconcile efficient control of baggage, lower operating costs for airports, and ensure the comfort of passengers.</t>
  </si>
  <si>
    <t>Alto Invest(Benoit Thiedey), Evolem, H3C Technologies, Héléa Financière, Kreaxi, Omnes Capital, Supernova Invest, Thales Corporate Ventures(Thomas Got)</t>
  </si>
  <si>
    <t>inspection system, scanning systems, spectrometric equipment, x-ray sensor, x-ray technology</t>
  </si>
  <si>
    <t>116244-91T</t>
  </si>
  <si>
    <t>Invest PME, Siparex Group, UI Investissement</t>
  </si>
  <si>
    <t>120259-99T</t>
  </si>
  <si>
    <t>Archireport</t>
  </si>
  <si>
    <t>Business/Productivity Software*, Construction and Engineering, Media and Information Services (B2B)</t>
  </si>
  <si>
    <t>Developer of a construction site application designed to assist in managing work easily. The company's application features an online dashboard to view, list, and resolve snags and remarks during site inspections, splits the project into work packages and sub-work packages, centralizes all documents, and makes it easy for team members to access the files as and when required via multiple devices connected to the cloud, enabling architects and general contractors to save time and cope with compliance, costs, and deadlines.</t>
  </si>
  <si>
    <t>London Business Angels, Sofimac Innovation</t>
  </si>
  <si>
    <t>architects software, construction industry, construction project monitoring, construction site monitoring, construction site platform, project management, site inspections, site management, site monitoring, site monitoring software</t>
  </si>
  <si>
    <t>Chateaugiron, France</t>
  </si>
  <si>
    <t>93584-44T</t>
  </si>
  <si>
    <t>Jellynote</t>
  </si>
  <si>
    <t>Educational and Training Services (B2C)*, Social/Platform Software</t>
  </si>
  <si>
    <t>Provider of an online community platform designed to redefine how to learn and practice music. The company's online platform is an AI-powered learning platform that provides tutorials and lessons for musicians, enabling musicians to access a huge library of interactive music, tabs and chords to master their artful style.</t>
  </si>
  <si>
    <t>Nordic Eye Venture Capital(Jens-Otto Paludan), Partech</t>
  </si>
  <si>
    <t>music community platform, music creating platform, music education, music learning platform, online music learning</t>
  </si>
  <si>
    <t>84947-77T</t>
  </si>
  <si>
    <t>Chronotruck</t>
  </si>
  <si>
    <t>Provider of logistics services intended to offer geo-tagged vehicles for real-time tracking of shipments. The company helps reduce empty journeys for carriers and is the reference platform for transport orders for shippers, thereby helping shippers increase their profitability by receiving delivery offers located around their empty vehicles and creating a marketplace that promotes the direct link between customers and service providers</t>
  </si>
  <si>
    <t>Bpifrance, Seventure Partners</t>
  </si>
  <si>
    <t>logistic tracker, logistics app, logistics platform, logistics service, logistics service company, logistics service firm</t>
  </si>
  <si>
    <t>Industrials, Mobile, TMT</t>
  </si>
  <si>
    <t>171227-98T</t>
  </si>
  <si>
    <t>Effipilot</t>
  </si>
  <si>
    <t>Business/Productivity Software*, Other Energy, Other Energy Services</t>
  </si>
  <si>
    <t>Developer of software intended for improving the energy and operational efficiency of commercial buildings. The company's software specializes in reducing the energy consumption of tertiary buildings and increases the occupants' comfort, thereby enabling building owners to efficiently run the buildings.</t>
  </si>
  <si>
    <t>Banque Populaire, BNP Paribas (PAR: BNP), Bpifrance, Nord France Amortization, Noria</t>
  </si>
  <si>
    <t>energy efficiency control, energy performance software, energy software, software application, software publishing</t>
  </si>
  <si>
    <t>158235-22T</t>
  </si>
  <si>
    <t>Kap Code</t>
  </si>
  <si>
    <t>Developer of a digital health system designed to improve the management of chronic diseases. The company's system is based on artificial intelligence and natural language processing methods to monitor the patient experience by extracting data on quality of life, care pathways and unmet medical needs, enabling patients to learn and strengthen their knowledge of their chronic pathologies and improve the patient-physician relationship.</t>
  </si>
  <si>
    <t>digital healthcare, health data platform, health information data, medical analysis, medical social services, patient data, therapeutic pathway</t>
  </si>
  <si>
    <t>Artificial Intelligence &amp; Machine Learning, Big Data, Digital Health, HealthTech</t>
  </si>
  <si>
    <t>106371-46T</t>
  </si>
  <si>
    <t>Bpifrance, Courtin Investment(Christophe Courtin), Day One Entrepreneurs &amp; Partners(Michel de Guilhermier), Groupe Santiane, Julien Cuvelier, Julien Morel(Julien Morel), Takara Capital(Thomas Le Forestier), The Field(Erwan Punelle)</t>
  </si>
  <si>
    <t>115803-73T</t>
  </si>
  <si>
    <t>Bpifrance, The Family (Financial Services)</t>
  </si>
  <si>
    <t>103409-65T</t>
  </si>
  <si>
    <t>122955-22T</t>
  </si>
  <si>
    <t>Auticiel</t>
  </si>
  <si>
    <t>Assistive Tech</t>
  </si>
  <si>
    <t>Developer of an assistive platform designed to improve the social inclusion of people with cognitive disabilities. The company's platform facilitates communication through symbols, pictures, and text, assists in learning and skill development, helps understand schedules, manages tasks, and develops time-awareness skills, enabling people with cognitive and mental impairments to enhance learning, independence, and social integration.</t>
  </si>
  <si>
    <t>Abeille Impact Investing France, Bpifrance, Investir &amp;+, My Seed Cap, Scientipole Capital</t>
  </si>
  <si>
    <t>assistive technology, cognitive assistance application, cognitive development, disability support, independent living, social interaction</t>
  </si>
  <si>
    <t>85266-19T</t>
  </si>
  <si>
    <t>Coalescence Investor, Credit Agricole de la Touraine et du Poitou (PAR: CRTO), Crédit Mutuel Innovation(Emilie Lidome), Finistere Ventures(Patrick Franchet), Sofimac Innovation</t>
  </si>
  <si>
    <t>84471-22T</t>
  </si>
  <si>
    <t>Bpifrance(Marion Aubry), CapHorn Invest(Guillaume Dupont), Guy Lacroix(Guy Lacroix), Hi Inov(Nicolas Meunier), Ventech (Paris)(Jean Bourcereau)</t>
  </si>
  <si>
    <t>84514-78T</t>
  </si>
  <si>
    <t>Idinvest Partners(Julien Mialaret)</t>
  </si>
  <si>
    <t>85406-32T</t>
  </si>
  <si>
    <t>191134-18T</t>
  </si>
  <si>
    <t>Brother Tongue</t>
  </si>
  <si>
    <t>Developer of a language acquisition platform designed to help users learn new languages. The company's platform boosted by artificial intelligence helps users to learn languages through conversations with experienced teachers via instant messaging, enabling customers to acquire new linguistics easily.</t>
  </si>
  <si>
    <t>ABCapital</t>
  </si>
  <si>
    <t>administration program, instant messaging, language acquisition, language lesson, language study, linguistic education</t>
  </si>
  <si>
    <t>83761-39T</t>
  </si>
  <si>
    <t>Angels Santé, Femmes Business Angels(Anne-Claude Pont), Paris Business Angels, UI Investissement</t>
  </si>
  <si>
    <t>87784-93T</t>
  </si>
  <si>
    <t>Eqinov</t>
  </si>
  <si>
    <t>Energy Marketing, Other Energy Services*</t>
  </si>
  <si>
    <t>Provider of energy efficiency services intended to accelerate the energy transition of companies. The company's services include energy audit, energy-saving action and financial planning to reduce the consumption of electricity, thereby enabling companies to actively manage their electricity usage and move towards energy excellence.</t>
  </si>
  <si>
    <t>electrical consumption management, electricity management services, energy consumption control, energy efficiency service, energy management service, energy transition services</t>
  </si>
  <si>
    <t>CleanTech, Industrials, LOHAS &amp; Wellness, TMT</t>
  </si>
  <si>
    <t>84260-53T</t>
  </si>
  <si>
    <t>50 Partners(Raphael Labbe), Block (NYS: XYZ), Leap Ventures</t>
  </si>
  <si>
    <t>108614-17T</t>
  </si>
  <si>
    <t>Mimitika</t>
  </si>
  <si>
    <t>Developer of sun protection products intended to protect the skin against the harmful effects of the sun. The company's products are alcohol-free, free from artificial colors, and formulated to limit allergic reactions, enabling customers to have a natural tan on their skin.</t>
  </si>
  <si>
    <t>Kima Ventures(Xavier Niel), Michel de Rovira(Michel de Rovira)</t>
  </si>
  <si>
    <t>sun protection, sun protection cream, sunscreen cream, sunscreen manufacturer, sunscreen product, sunscreen spray</t>
  </si>
  <si>
    <t>174389-14T</t>
  </si>
  <si>
    <t>NY's Jump</t>
  </si>
  <si>
    <t>Operator of a trampoline park based in Merignac, France. The company's indoor trampoline park located in Bordeaux as the jumping facility that provides a recreational experience for all ages.</t>
  </si>
  <si>
    <t>jumping park, trampoline market, trampoline park, trampoline park operator, trampoline park owner</t>
  </si>
  <si>
    <t>120566-71T</t>
  </si>
  <si>
    <t>Gazelle Tech</t>
  </si>
  <si>
    <t>Manufacturer of fuel-efficient composite cars designed to reduce the environmental impact of vehicles while maintaining comfort and safety. The company's cars are made of lightweight components incorporating composite chassis technology which can be assembled in mini-factories made of fitted-out shipping containers, enabling users to reduce fuel consumption and use vehicles produced locally via micro-production plants.</t>
  </si>
  <si>
    <t>Bpifrance, EIT Climate-KIC, Réseau Entreprendre Aquitaine, Techno'Start</t>
  </si>
  <si>
    <t>automobile car, automotive manufacturer, environmental safely, fuel reduction technology, lightweight automobile, mobility technology, sustainable mobility</t>
  </si>
  <si>
    <t>117693-91T</t>
  </si>
  <si>
    <t>Societe Generale (PAR: GLE)</t>
  </si>
  <si>
    <t>127131-76T</t>
  </si>
  <si>
    <t>Proactive Academy</t>
  </si>
  <si>
    <t>Provider of vocational training services intended to support professionals in initial training and work-study programs. The company's services offer a wide range of themes and programs to companies and training organizations also promotes professional integration and secures the career path, enabling employees to achieve their development objectives.</t>
  </si>
  <si>
    <t>employee training, management training, professional advice, professional training, training and coaching, vocational training courses, vocational training service</t>
  </si>
  <si>
    <t>121425-94T</t>
  </si>
  <si>
    <t>93484-18T</t>
  </si>
  <si>
    <t>Culture Vélo</t>
  </si>
  <si>
    <t>Operator of a sports bicycle retail store intended to lease and sell sports gear for a triathlon. The company's store specializes in providing products related to sports such as cycling, running, and swimming, enabling consumers to get sports products for training purposes.</t>
  </si>
  <si>
    <t>biking accessory, cycle stores, retail store, sports bicycles provider, swimming gear, triathlon gear</t>
  </si>
  <si>
    <t>L'Isle-Jourdain, France</t>
  </si>
  <si>
    <t>86323-42T</t>
  </si>
  <si>
    <t>GO Capital (France), Nestadio Capital</t>
  </si>
  <si>
    <t>90245-71T</t>
  </si>
  <si>
    <t>Carrera Capital, Financiere Tuileries Development, Financière Fonds Privés, MK Invest</t>
  </si>
  <si>
    <t>130206-88T</t>
  </si>
  <si>
    <t>Reuniwatt</t>
  </si>
  <si>
    <t>Developer of a solar irradiation and forecasting technology designed to offer accurate wind power forecasts and predictions to overcome climate change. The company's technology gives solar irradiation forecasting, monitoring data and quality all-sky images for renewable energy, atmospheric sciences and defense and space applications, enabling clients to predict the climate and act accordingly.</t>
  </si>
  <si>
    <t>Compass Venture Capital, Equitable Ventures</t>
  </si>
  <si>
    <t>climate forecast, cloud observation, forecasting system, forecasting technology, intermittent renewable energy, renewable energy, solar energy cell, solar photovoltaic</t>
  </si>
  <si>
    <t>CleanTech, Climate Tech, Space Technology</t>
  </si>
  <si>
    <t>86345-29T</t>
  </si>
  <si>
    <t>C3P Capital, CapHorn Invest(Romain Vidal), FaDiese, Karista (Paris), Paris Region Venture Fund(Jérôme Snollaerts)</t>
  </si>
  <si>
    <t>68095-00T</t>
  </si>
  <si>
    <t>TravelCar</t>
  </si>
  <si>
    <t>Provider of a peer-to-peer car-sharing platform intended to help travelers manage their vehicles easily. The company's platform offers Mobility-as-a-Service to let travelers rent their vehicles while they are away, thereby enabling them to earn extra money while they are busy doing their own work.</t>
  </si>
  <si>
    <t>PSA Groupe(Brigitte Courtehoux)</t>
  </si>
  <si>
    <t>auto commerce, car rent, car rental, car rental app, car rental platform, car rental service, carsharing, carsharing platform, mobility tech, p2p carsharing</t>
  </si>
  <si>
    <t>Industrials, LOHAS &amp; Wellness, Mobility Tech, TMT</t>
  </si>
  <si>
    <t>101920-33T</t>
  </si>
  <si>
    <t>Angus.ai</t>
  </si>
  <si>
    <t>Developer of a software platform designed to turn cameras into a new generation of monitoring and alerting tools. The company's platform offers audience analytics to measure audience in front of digital display and out-of-stock detection tools to get instant notifications when products are out of stock, enabling companies to boost staff efficiency and reduce out-of-stock products which have a direct positive impact on revenue.</t>
  </si>
  <si>
    <t>Barefoot&amp;Co, Plug and Play Tech Center, Sparkling Partners, Talis Equity</t>
  </si>
  <si>
    <t>audience analytics, inventory management, retail analysis tool, retail software platform, stock detection, video stream analysis</t>
  </si>
  <si>
    <t>122951-44T</t>
  </si>
  <si>
    <t>Abeille Impact Investing France, Le Comptoir</t>
  </si>
  <si>
    <t>189422-11T</t>
  </si>
  <si>
    <t>Financiere Jeulin, Jean-Luc Lénart(Jean-Luc Lénart), SFINE</t>
  </si>
  <si>
    <t>82636-84T</t>
  </si>
  <si>
    <t>Famoco</t>
  </si>
  <si>
    <t>Business/Productivity Software*, Electronics (B2C), Other Hardware</t>
  </si>
  <si>
    <t>Developer of android-based transactional devices designed to support businesses in their digital transformation. The company's devices are based on mobile that has zero-street-value and protects businesses' privacy, are remotely manageable from one software platform, and integrate smart card security coupled with a secure version that is compatible with selected Android devices, enabling businesses to deploy their business-critical applications on other types of devices and manage them remotely.</t>
  </si>
  <si>
    <t>Aurinvest(Geoffroy Bragadir), BNP Paribas (PAR: BNP), BNP Paribas Développement, Bpifrance(Jocelyne Cerasa), Hi Inov(Valerie Gombart), Idinvest Partners(Pierre-Edouard Berion), Orange Ventures(Antoine Maurel), Société Nationale des Chemins de fer Français(Benoit Tiers)</t>
  </si>
  <si>
    <t>business application system, digital transaction, iot hardware, mobile-based software, near field communication, saas-based, secure transaction, sensors &amp; sensor system, sensors and sensor system, transactional data</t>
  </si>
  <si>
    <t>82997-29T</t>
  </si>
  <si>
    <t>Demooz</t>
  </si>
  <si>
    <t>Provider of collaborative marketing and sales services intended to facilitate product trials. The company operates a community-based consumption platform intended to support and advise consumers in the process of purchasing a product on the internet, allowing consumers to buy smart and retailers to significantly improve their customer acquisition.</t>
  </si>
  <si>
    <t>Bpifrance, SIDE Capital, The Field, Via.Io</t>
  </si>
  <si>
    <t>ambassador program, collaborative marketing, consumer platform, consumer research platform, online platform, user generated content</t>
  </si>
  <si>
    <t>78872-23T</t>
  </si>
  <si>
    <t>AntsRoute</t>
  </si>
  <si>
    <t>Developer of a comprehensive platform designed for managing last-mile field service and delivery operations. The company's platform offers intelligent scheduling of appointments, construction of optimized tours, real-time monitoring of the tours, and analysis of the realized route compared to the planned, enabling businesses to reduce delivery times and costs while improving operational efficiency.</t>
  </si>
  <si>
    <t>Finovam Gestion, IT-Translation(Benoît Georis)</t>
  </si>
  <si>
    <t>appointment scheduling, comprehensive platform, delivery planning, route optimization, route optimization platform, tour managment</t>
  </si>
  <si>
    <t>SaaS, Supply Chain Tech, TMT</t>
  </si>
  <si>
    <t>100179-37T</t>
  </si>
  <si>
    <t>Fluo</t>
  </si>
  <si>
    <t>Financial Software*, Property and Casualty Insurance</t>
  </si>
  <si>
    <t>Developer of a mobile application designed to compare and purchase insurance and related assurance products. The company's platform analyzes insurance requirements of users and matches them with available plans, enabling users to minimize costs and providers to improve sales and customer satisfaction.</t>
  </si>
  <si>
    <t>Credit Mutuel Arkea(Dominique Andro), Evolem(Bruno Rousset)</t>
  </si>
  <si>
    <t>insurance analysis, insurance comparison, insurance notice, insurance optimization, online insurance, online insurance platform</t>
  </si>
  <si>
    <t>FinTech, InsurTech, Mobile</t>
  </si>
  <si>
    <t>88104-97T</t>
  </si>
  <si>
    <t>Profonia</t>
  </si>
  <si>
    <t>Developer of a healthcare mobile application designed to offer early hearing screening that can detect the beginnings of hearing loss. The company's application test the hearing capability, measure noise and offers information and advice on prevention of hearing loss, enabling patients to protect their hearing and stay fit.</t>
  </si>
  <si>
    <t>Sofimac Innovation, Sofimac Investment Managers(Francois Miceli)</t>
  </si>
  <si>
    <t>audible capabilities, hearing aids, hearing aids app, hearing aids online, hearing device, hearing loss prevention</t>
  </si>
  <si>
    <t>86547-79T</t>
  </si>
  <si>
    <t>365c</t>
  </si>
  <si>
    <t>Provider of hairstyling services intended to offer women quick and fashion hairstyles. The company's hairstyling services help women change their hairstyles every day without haircuts or shampooing, providing them with a well-defined hairstyle.</t>
  </si>
  <si>
    <t>Cedre Participations(Grégory Nouchi), Femmes Business Angels, Francis-Charles Pollet(Francis-Charles Pollet)</t>
  </si>
  <si>
    <t>fashion hairstyle, hair salon, hair style service, hair styling, hair styling services</t>
  </si>
  <si>
    <t>88136-29T</t>
  </si>
  <si>
    <t>90025-84T</t>
  </si>
  <si>
    <t>119921-77T</t>
  </si>
  <si>
    <t>AQUITI Gestion, Financière Saint James</t>
  </si>
  <si>
    <t>135970-03T</t>
  </si>
  <si>
    <t>124127-56T</t>
  </si>
  <si>
    <t>Medevice Capital</t>
  </si>
  <si>
    <t>117558-10T</t>
  </si>
  <si>
    <t>Force A</t>
  </si>
  <si>
    <t>Electrical Equipment, Other Agriculture, Production (Semiconductors)*</t>
  </si>
  <si>
    <t>Developer of optical sensors designed to be used for agricultural crop assessment. The company's sensors are mainly diagnostic tools for plants based on portable and embedded optical sensors, thereby enabling agricultural customers to get information regarding physiology and field phenotyping processes of their crops.</t>
  </si>
  <si>
    <t>Capagro, GoGreen Capital(Timothy Vander Elst)</t>
  </si>
  <si>
    <t>ag biotech, agricultural firm, agricultural information, agriculture technology, crop assessment, crop health, optical sensor, optical sensor equipment, plant data &amp; analysis, plant data and analysis</t>
  </si>
  <si>
    <t>AgTech, Industrials, Supply Chain Tech</t>
  </si>
  <si>
    <t>90022-87T</t>
  </si>
  <si>
    <t>BioEnTech</t>
  </si>
  <si>
    <t>Developer of integrated data analytics platform intended to optimize the performance and safety of biogas plants. The company's platform provides remote surveillance that keeps processes under permanent control for better optimization and reactive control, enabling clients to improve the robustness and performance of anaerobic digesters.</t>
  </si>
  <si>
    <t>Bpifrance, Credit Agricole (PAR: ACA), IRDI Capital Investissement, Sofilaro, Soridec</t>
  </si>
  <si>
    <t>ag biotech, agriculture technology, anaerobic digestion analysis, anaerobic digestion service, biogas monitoring, biogas plant management, biological reactor, biomaterials, operational support</t>
  </si>
  <si>
    <t>258664-15T</t>
  </si>
  <si>
    <t>Holi.io (Business/Productivity Software)</t>
  </si>
  <si>
    <t>Developer of a productivity and knowledge assistant designed to help workers gather resources for their jobs and harness the power of knowledge graphs to make insightful decisions. The company leverages artificial intelligence and corporate collective intelligence to offer a discovery engine to recommend feeds of information curated by experts and empower users and teams with a knowledge graph boosted by visualization and algorithms, enabling workers to explore, analyze and generate insights from their knowledge hub.</t>
  </si>
  <si>
    <t>Financière Fonds Privés</t>
  </si>
  <si>
    <t>artificial intelligence, collective intelligence technology, data intelligence platform, enterprise knowledge management, generative ai, knowledge graph-as-a-service, knowledge management tool, productivity assistant, workflow integration</t>
  </si>
  <si>
    <t>108736-12T</t>
  </si>
  <si>
    <t>82112-32T</t>
  </si>
  <si>
    <t>251620-93T</t>
  </si>
  <si>
    <t>Auteuil Invest</t>
  </si>
  <si>
    <t>82438-66T</t>
  </si>
  <si>
    <t>Neo-nomade</t>
  </si>
  <si>
    <t>Business/Productivity Software, Media and Information Services (B2B)*, Real Estate Services (B2C)</t>
  </si>
  <si>
    <t>Operator of a real estate platform designed to facilitate employee nomadism and make real estate facilities more flexible. The company's platform specializes in the organization of hybrid work which consists of combining remote work and presence in the office and offers cafes, shared spaces, and meeting facilities, enabling business professionals to find workplaces according to their needs and location and promote the development of flexible workspaces to avoid hours of transport every day.</t>
  </si>
  <si>
    <t>My Seed Cap, Sodexo Ventures</t>
  </si>
  <si>
    <t>employee nomadism, meeting facilities, real estate business, real estate platform, shared space, shared spaces</t>
  </si>
  <si>
    <t>Industrials, Real Estate Technology, TMT</t>
  </si>
  <si>
    <t>109242-19T</t>
  </si>
  <si>
    <t>Sequoia (Services (B2C Non-Financial))</t>
  </si>
  <si>
    <t>Provider of dry cleaning services intended to provide environmentally friendly dry cleaning. The company's services include using green earth liquid silicone technology to provide universal laundry services, enabling customers with quality dry cleaning services that are safe for the environment at competitive prices.</t>
  </si>
  <si>
    <t>Nef Capital Ethique Management</t>
  </si>
  <si>
    <t>cleaning industry, cleaning process, dry cleaning services, dry cleaning store, housekeeping product, laundry service provider</t>
  </si>
  <si>
    <t>72706-06T</t>
  </si>
  <si>
    <t>ARMESA, Karista (Paris)(Catherine Boule)</t>
  </si>
  <si>
    <t>82109-89T</t>
  </si>
  <si>
    <t>Care Labs</t>
  </si>
  <si>
    <t>Financial Software*, Other Healthcare Services, Other Healthcare Technology Systems</t>
  </si>
  <si>
    <t>Provider of Web based payment services designed to facilitate fitness and well-being. The company's services include designing, deploying and managing health complementary businesses and communities, payment platforms and health-dedicated services, enabling healthcare institutions to increase return on investment.</t>
  </si>
  <si>
    <t>Daffourd Invest, iXO Private Equity(Remi Cheriaux), Sofilaro, Sofimac Innovation, Soridec(Julien Catherine)</t>
  </si>
  <si>
    <t>enterprise payment, health payment, health prevention, healthcare payment, health-dedicated service, management social, medical finance, payment platform, payment service, pos, web and payment service</t>
  </si>
  <si>
    <t>FinTech, HealthTech</t>
  </si>
  <si>
    <t>115586-56T</t>
  </si>
  <si>
    <t>Groupama Banque</t>
  </si>
  <si>
    <t>157882-69T</t>
  </si>
  <si>
    <t>Aqua Asset Management</t>
  </si>
  <si>
    <t>Provider of asset management services intended to invest in SMEs active in the energy transition. The company's investments are focused on medium-sized listed companies, specializing in the ecological transition sector, and provide access to a unique range of investment opportunities, enabling investors to achieve their financial goals while also supporting the transition to a sustainable future.</t>
  </si>
  <si>
    <t>FinanceCom, Marignan Gestion</t>
  </si>
  <si>
    <t>capital investment management, ecological transition services, environmental investment, institutional asset management, institutional capital, investment fund management, private companies investment, sustainable investment services</t>
  </si>
  <si>
    <t>83064-43T</t>
  </si>
  <si>
    <t>Aston iTF</t>
  </si>
  <si>
    <t>Developer of a digital credit management platform designed to reduce payment delays, control customer risk, and improve efficiency. The company's platform covers all the order-to-cash processes and optimizes the sources of cash by decreasing the terms of payment, covering the non-payment risk and funding through performance analysis, customer scoring, follow-up automation, and traceability of disputes, enabling clients to increase and manage cash and short-term financing.</t>
  </si>
  <si>
    <t>ap automation, ar automation, cash collection software, credit management platform, credit risk management, digital credit management, expense management, invoice management, receivables management, reverse factoring, supply chain tech</t>
  </si>
  <si>
    <t>81558-10T</t>
  </si>
  <si>
    <t>Accel(Philippe Botteri), Bpifrance, Ludwig Klitzsch(Ludwig Klitzsch), Nicolas Brusson, Pierre Kosciusko Morizet(Pierre Kosciusko Morizet)</t>
  </si>
  <si>
    <t>117637-93T</t>
  </si>
  <si>
    <t>Thierry Morin</t>
  </si>
  <si>
    <t>81902-44T</t>
  </si>
  <si>
    <t>Wity</t>
  </si>
  <si>
    <t>Developer of a digital accounting platform designed to make accounting easy and accessible for entrepreneurs. The company's platform uses artificial intelligence and a personal assistant to offer accounting and legal advisory and consultancy services, enabling entrepreneurs to have access to the latest accounting knowledge and expertise.</t>
  </si>
  <si>
    <t>account assistant, accounting tools, administrative management, cfo stack, digital accounting platform, payroll management, public accounting, strategy consulting, taxation tools</t>
  </si>
  <si>
    <t>82851-04T</t>
  </si>
  <si>
    <t>VINCI Construction UK(Jérôme Stubler)</t>
  </si>
  <si>
    <t>78868-90T</t>
  </si>
  <si>
    <t>AccelaD</t>
  </si>
  <si>
    <t>Developer of a designing software intended to offer electronic design. The company's software has feathers for capturing an electronic diagram, scanning electronic products and drafting specifications of designs, and also artificial intelligence and symbolic computation replace usual matrix solving, enabling clients to improve efficiency in their designing processes.</t>
  </si>
  <si>
    <t>IRDI Capital Investissement, IT-Translation</t>
  </si>
  <si>
    <t>design software, electric design, multimedia and design, multimedia design, software editor</t>
  </si>
  <si>
    <t>112166-74T</t>
  </si>
  <si>
    <t>AdBack</t>
  </si>
  <si>
    <t>Developer of a platform designed to monetize the AdBlock audience. The company's platform allows to understand the relation between users and advertising and adapt techniques to the specific audiences, display non-intrusive ads, display a message to its users to propose them alternatives to access the content, amongst other features, enabling businesses and internet branding professionals to overcome the actual blocking while creating value on the web.</t>
  </si>
  <si>
    <t>advertisers, advertising, data analytics, ecommerce, monetization, online brand building</t>
  </si>
  <si>
    <t>184754-26T</t>
  </si>
  <si>
    <t>Cryolog</t>
  </si>
  <si>
    <t>Electrical Equipment*, Other Business Products and Services</t>
  </si>
  <si>
    <t>Developer of electrical tools designed to offer traceability of product freshness. The company's tools provide time-temperature integrators that make it possible to check at a glance and over the life span of the product, whether the storage conditions have maintained the freshness of the products, enabling the cold chain food industry to get a decision-making check-point about food safety.</t>
  </si>
  <si>
    <t>Capagro</t>
  </si>
  <si>
    <t>chain management, electrical tools, food quality checking, food safety, product freshness, storage technology</t>
  </si>
  <si>
    <t>94365-55T</t>
  </si>
  <si>
    <t>Eutopia(Antoine Fine), Senseii Ventures(François Blum)</t>
  </si>
  <si>
    <t>82504-63T</t>
  </si>
  <si>
    <t>Kima Ventures, Via.Io</t>
  </si>
  <si>
    <t>165414-07T</t>
  </si>
  <si>
    <t>Laboratoire Renascor</t>
  </si>
  <si>
    <t>Personal Products*, Pharmaceuticals</t>
  </si>
  <si>
    <t>Manufacturer of hair products intended to fight against alopecia. The company's products promote post-chemo hair regrowth, enabling patients to get proper treatments and regain dense and even hair more quickly.</t>
  </si>
  <si>
    <t>alopecia solution, hair fall product, hair products, hair regrowth treatment, hair serum, hair treatment</t>
  </si>
  <si>
    <t>Beauty, Life Sciences, LOHAS &amp; Wellness, Manufacturing</t>
  </si>
  <si>
    <t>82069-39T</t>
  </si>
  <si>
    <t>Novigo (Building renovation works)</t>
  </si>
  <si>
    <t>Provider of building maintenance and facade painting services created to provide interior and exterior maintenance facilities. The company's building maintenance and facade painting services offer three teams of workers who are engaged in interior and facade work also facilitated with high-end tooling.</t>
  </si>
  <si>
    <t>building maintenance, facades painting, facades painting services, interior and facades work, interior decoration</t>
  </si>
  <si>
    <t>Saint-Léonard, France</t>
  </si>
  <si>
    <t>96134-59T</t>
  </si>
  <si>
    <t>Credit Agricole (PAR: ACA), Davycrest Nominees, Elaia Partners, IT-Translation</t>
  </si>
  <si>
    <t>138421-54T</t>
  </si>
  <si>
    <t>81844-48T</t>
  </si>
  <si>
    <t>Credit Mutuel Arkea, Iéna Venture</t>
  </si>
  <si>
    <t>90432-82T</t>
  </si>
  <si>
    <t>Elior Group (PAR: ELIOR)</t>
  </si>
  <si>
    <t>83053-09T</t>
  </si>
  <si>
    <t>Tixelia</t>
  </si>
  <si>
    <t>Designer, manufacturer and distributor of closet doors and sliding partitions to make the customized interior fittings accessible to as many people as possible. The company operates a website that allows customers to design and purchase interior home furnishings such as closet doors, partitions and decorative panels, enabling them to simply create their products online and ensure a quick shipment of orders.</t>
  </si>
  <si>
    <t>Coulidoor(Arnaud Visse)</t>
  </si>
  <si>
    <t>decorative panels, interior fittings, slides cabinets doors, slides partitions</t>
  </si>
  <si>
    <t>91680-49T</t>
  </si>
  <si>
    <t>Abeille Impact Investing France, AngelSquare, Badge network, Bpifrance, Citizen Capital, IéS - Initiatives pour une Économie Solidaire</t>
  </si>
  <si>
    <t>82501-84T</t>
  </si>
  <si>
    <t>Sensing Labs</t>
  </si>
  <si>
    <t>Developer of wireless sensor technology designed to improve energy efficiency in buildings and assist the emergence of smart agriculture. The company's technology combines hardware, firmware, and software and is easy to integrate into a final end-to-end explication, enabling clients to access data through a single API or standard IoT platform protocols.</t>
  </si>
  <si>
    <t>BCR Finances, Bouygues Telecom Initiatives, Bpifrance, Capitole Angels, Cedre Participations, Créalia, Provence Business Angels(Jacques Meler)</t>
  </si>
  <si>
    <t>agricultural sensors, building energy efficiency, built environment, energy meter, industrial sensors, sensor data, temperature sensor, wireless sensor, wireless sensor technology</t>
  </si>
  <si>
    <t>99617-95T</t>
  </si>
  <si>
    <t>Yatedo</t>
  </si>
  <si>
    <t>Developer of a human resource platform designed to offer talent search engine services. The company's platform offers a candidate search engine which transforms the Web into a talent pool that extracts, synthesizes and structures public information from all over the Internet into easy to read profiles, enabling recruiters to to find and the select the right talent as per their requirements.</t>
  </si>
  <si>
    <t>contact person, people search, search engine platform, talent search, talent search platform</t>
  </si>
  <si>
    <t>189646-57T</t>
  </si>
  <si>
    <t>Fortia</t>
  </si>
  <si>
    <t>Developer of artificial intelligence software designed for meeting the compliance requirements of businesses. The company's compliance management platform helps asset managers and asset owners ensure they have the right controls in place to monitor the compliance of their funds with local and international regulatory requirements, enabling fund managers to meet rising compliance requirements and manage volumes of data.</t>
  </si>
  <si>
    <t>Accurafy4, BNP Paribas Securities Services</t>
  </si>
  <si>
    <t>business compliance, business process monitoring, compliance management, compliance monitor, compliance software, regtech vertical, regulatory management</t>
  </si>
  <si>
    <t>81614-71T</t>
  </si>
  <si>
    <t>122787-37T</t>
  </si>
  <si>
    <t>Financière Saint James, Jean-Paul Guisset, Michael Benabou(Michael Benabou)</t>
  </si>
  <si>
    <t>196443-55T</t>
  </si>
  <si>
    <t>Habert Dassault Finance, Inventures Investment Partners, TDH Capital</t>
  </si>
  <si>
    <t>124337-26T</t>
  </si>
  <si>
    <t>Hoomano</t>
  </si>
  <si>
    <t>Developer of a digital assistant platform designed to enhance social robots with more human-like interactions and improved personalization. The company's platform provides strategic advice for the deployment of digital assistants and offers emotional intelligence technology aligned with business objectives, enabling enterprises to generate instant reports, receive suggested action plans, and save time and energy.</t>
  </si>
  <si>
    <t>artificial intelligence research, autonomous machine, business tools, digital assistant platform, intelligent robotics, orchestration engine, productivity data, robotics software</t>
  </si>
  <si>
    <t>Artificial Intelligence &amp; Machine Learning, Robotics and Drones, SaaS</t>
  </si>
  <si>
    <t>105538-69T</t>
  </si>
  <si>
    <t>Iron Capital.</t>
  </si>
  <si>
    <t>211460-50T</t>
  </si>
  <si>
    <t>NGE</t>
  </si>
  <si>
    <t>81494-74T</t>
  </si>
  <si>
    <t>Advance Venture Partners, Eurazeo (PAR: RF)(Yann-Hervé du Rusquec), Idinvest Partners(Matthieu Baret), Luxury Tech Fund, Vitruvian Partners</t>
  </si>
  <si>
    <t>139197-79T</t>
  </si>
  <si>
    <t>Proxidom Services, Via.Io</t>
  </si>
  <si>
    <t>82215-55T</t>
  </si>
  <si>
    <t>BioSCO</t>
  </si>
  <si>
    <t>Developer of decision support tools designed to help companies working in the agro-resources sector. The company's tools optimize the logistics performance of customers by reducing the costs and environmental impact of biomass operation, enabling clients to make informed decisions.</t>
  </si>
  <si>
    <t>Finovam Gestion(Riadh Shaiek), Picardie Investissement</t>
  </si>
  <si>
    <t>agricultural software, agricultural software tools, agro based software tools, agro-based software tools, decision support tool, farm management software, precision ag, precision agriculture, supply chain support</t>
  </si>
  <si>
    <t>AgTech, Artificial Intelligence &amp; Machine Learning, SaaS, TMT</t>
  </si>
  <si>
    <t>Venette, France</t>
  </si>
  <si>
    <t>81490-42T</t>
  </si>
  <si>
    <t>Qapa</t>
  </si>
  <si>
    <t>Developer of a digital recruitment platform designed to connect job seekers and recruiters. The company's platform uses a matching algorithm that compares available jobs posted with candidates' skills to ensure that the right candidate is offered the right job as well as sends alerts when a job offer matches their profile, enabling job seekers to land on their desired job without any hassle.</t>
  </si>
  <si>
    <t>360 Capital(Francois Tison), Index Ventures(Dominique Vidal), OCP Group (Paris), Partech(Philippe Collombel)</t>
  </si>
  <si>
    <t>digital recruitment, digital recruitment platform, employment portal, enterprise resource planning, erp, human capital management, online recruitment, recruitment platform, recruitment portal, work assignments</t>
  </si>
  <si>
    <t>HR Tech, Industrials, Mobile, TMT</t>
  </si>
  <si>
    <t>89315-20T</t>
  </si>
  <si>
    <t>AQUITI Gestion, Bpifrance, Caisse d'Epargne</t>
  </si>
  <si>
    <t>73774-09T</t>
  </si>
  <si>
    <t>Partech(Romain Lavault), Ternel</t>
  </si>
  <si>
    <t>81219-16T</t>
  </si>
  <si>
    <t>Brian O'Kelley(Brian O'Kelley), Elaia Partners, IRIS (Private Equity)(Julien-David Nitlech), Michael Rubenstein(Michael Rubenstein), Philippe Ait-Yahia(Philippe Ait-Yahia), Philippe Finkelstein(Philippe Finkelstein), Sonorfi, Tatiana Jama(Tatiana Jama)</t>
  </si>
  <si>
    <t>82015-84T</t>
  </si>
  <si>
    <t>Aspic Technologies</t>
  </si>
  <si>
    <t>Developer of audio tools designed to improve the sound experience in video games and virtual reality applications. The company's tools use real-time physics engine and rely on state-of-the-art sound propagation algorithms that offer 3D data and audio materials to dynamically generate impulse response, enabling content creators to create enhanced audio immersion with audio middleware products and professional services.</t>
  </si>
  <si>
    <t>A-Volute, Autonomie &amp; Solidarité, Hodéfi, Nord Création(Florent Lestienne)</t>
  </si>
  <si>
    <t>3d audio, audio optimization, audio technology, sound processing, vr audio</t>
  </si>
  <si>
    <t>AudioTech, Virtual Reality</t>
  </si>
  <si>
    <t>81216-10T</t>
  </si>
  <si>
    <t>Frederic Chevance, Nicolas Pinto, Renaud Visage(Renaud Visage), Serena (Paris), Springboard Enterprises</t>
  </si>
  <si>
    <t>232284-79T</t>
  </si>
  <si>
    <t>IPSA group (France)</t>
  </si>
  <si>
    <t>80513-65T</t>
  </si>
  <si>
    <t>Lylo Media Group</t>
  </si>
  <si>
    <t>Operator of a post production company intended to offer localization and digital distribution services. The company's cloud-based distributing platform offers full localization services including dubbing, subtitling and audio services for international broadcast television, streaming OTT and theatrical content, enabling users to substantially increase the work speed and reduce costs.</t>
  </si>
  <si>
    <t>audio visual post production, cinematographic post production, digital distribution service, dubbing &amp; post synchro, subtitling service</t>
  </si>
  <si>
    <t>81413-02T</t>
  </si>
  <si>
    <t>81392-86T</t>
  </si>
  <si>
    <t>Ugloo</t>
  </si>
  <si>
    <t>Developer of a data back-up and storage platform designed to secure important and vital information. The company's platform makes it possible to upgrade the available spaces of the infrastructure in the form of a virtual bay, thereby enabling businesses to send and share large files across platforms.</t>
  </si>
  <si>
    <t>Karista (Paris), Picardie Investissement</t>
  </si>
  <si>
    <t>cloud backup, data backup, data storage, files sharing, server synchronization</t>
  </si>
  <si>
    <t>224566-48T</t>
  </si>
  <si>
    <t>131057-11T</t>
  </si>
  <si>
    <t>Ma P'tite Culotte</t>
  </si>
  <si>
    <t>Operator of an e-commerce platform intended to sell clothes and lingerie in France. The company's platform sells a range of innerwear, clothes and accessories with matching headbands and a line of cocoon wear, enabling women to avail themselves of a wide variety of comfortable lingerie options online.</t>
  </si>
  <si>
    <t>clothing platform, lingerie collection, lingerie selling website, lingerie wear, online apparel, online marketplace</t>
  </si>
  <si>
    <t>106191-37T</t>
  </si>
  <si>
    <t>Bpifrance, Caisse d'Epargne, NCI Gestion</t>
  </si>
  <si>
    <t>81476-74T</t>
  </si>
  <si>
    <t>Eulerian</t>
  </si>
  <si>
    <t>Developer of a customer data platform designed to provide the real-time optimization of marketing actions. The company's platform offers real-time analysis, automation, and optimization for e-marketing operations, enabling businesses to get reliable tools that adapt to their ever-changing needs.</t>
  </si>
  <si>
    <t>ISAI(Paul Strachman), Isatis Capital</t>
  </si>
  <si>
    <t>data decision platform, marketing attribution tools, marketing automation tool, optimization model, optimization process, real time analysis, web analytics</t>
  </si>
  <si>
    <t>199876-60T</t>
  </si>
  <si>
    <t>Compufirst</t>
  </si>
  <si>
    <t>Computers, Parts and Peripherals, Information Services (B2C), Other Hardware, Specialty Retail*</t>
  </si>
  <si>
    <t>Developer of an online marketplace designed to generate new information technology (IT) infrastructures and bring about new consumption patterns of computer hardware. The company's platform specializes in the online distribution of IT products to consumers and businesses including storage services, desktop computers, telephone network accessories, and miscellaneous IT accessories, enabling customers to get advanced electronic peripherals at their doorstep at a low cost.</t>
  </si>
  <si>
    <t>Alliance Capital, Entrepreneur Invest</t>
  </si>
  <si>
    <t>computer equipment, computer hardware, digital marketplace, electronic peripheral, hardware accessory, it equipment, it equipment service, online electronic marketplace</t>
  </si>
  <si>
    <t>104371-57T</t>
  </si>
  <si>
    <t>MicroDON</t>
  </si>
  <si>
    <t>Business/Productivity Software, Communication Software, Financial Software*</t>
  </si>
  <si>
    <t>Developer of solidarity mobilization and corporate social responsibility facilitation tools based in Paris, France. The company's tools facilitate solidarity commitment daily as well as ease the fundraising process, thereby enabling users to make donations simpler.</t>
  </si>
  <si>
    <t>Esfin Gestion, MAIF(Annick Valette), Mandarine Gestion, XAnge</t>
  </si>
  <si>
    <t>collection portal, donation collection, fundraising agency, fundraising company, fundraising firm, fundraising platform, fundraising portal, fundraising startup</t>
  </si>
  <si>
    <t>80942-77T</t>
  </si>
  <si>
    <t>CommerzVentures(Patrick Meisberger), Generation NewTech, Omnes Capital</t>
  </si>
  <si>
    <t>86352-22T</t>
  </si>
  <si>
    <t>Finoptim</t>
  </si>
  <si>
    <t>Manufacturer of an open fireplace equipment outlet intended to offer an efficient and ecological heating system. The company's system consists of chimneys of various ranges that recover and restore the heat usually lost during combustion, reducing pollution and reusing the existing chimney, enabling customers to install the heating systems within their houses.</t>
  </si>
  <si>
    <t>Crédit Mutuel Impact, Kreaxi</t>
  </si>
  <si>
    <t>fireplace model, fireplace setup, heating system, household appliances, open fireplace, outdoor fireplace</t>
  </si>
  <si>
    <t>Fontaine, France</t>
  </si>
  <si>
    <t>93688-03T</t>
  </si>
  <si>
    <t>Keakr</t>
  </si>
  <si>
    <t>Application Software, Entertainment Software, Movies, Music and Entertainment*</t>
  </si>
  <si>
    <t>Operator of a social media platform intended to create a music video by using the in-app recording studio. The company's platform helps to create and share hip-hop videos with video filers, and vocal effects and automatically mixes and masters the videos that can be shared with rappers, beatmakers, singers, dancers and disc jockeys, record the song and compete with other artists, enabling users to listen to music from different artists and genres and challenge others on fun battles.</t>
  </si>
  <si>
    <t>Daphni(Mathieu Daix), Kima Ventures, Leap Ventures, Partech</t>
  </si>
  <si>
    <t>crm, customer relationship management, digital commerce, music recording apps, music recording company, recording media, recording music, recording studio, social media platform</t>
  </si>
  <si>
    <t>80781-85T</t>
  </si>
  <si>
    <t>Aster Capital(Jean-Marc Bally), BNP Paribas Développement(Nicolas Tymen), Bouygues Telecom Initiatives(Georges Passet), Witold Marais(Witold Marais)</t>
  </si>
  <si>
    <t>85831-03T</t>
  </si>
  <si>
    <t>Nickel (Charenton-Le-Pont)</t>
  </si>
  <si>
    <t>Application Software, Consumer Finance, Financial Software*</t>
  </si>
  <si>
    <t>Operator of an online platform intended to provide electronic payment management services. The company's online platform offers consulting and advisory plans and outcomes relating to finance, investment, savings and protection insurance, enabling clients to make financial transactions easily and use their money as simply and economically as possible.</t>
  </si>
  <si>
    <t>crm, customer relationship management, digital commerce, electronic payment, enterprise payment, financial payment service, financial transaction, monetary intermediation, online payment, payment platform, pos</t>
  </si>
  <si>
    <t>FinTech, InsurTech, TMT</t>
  </si>
  <si>
    <t>Charenton-Le-Pont, France</t>
  </si>
  <si>
    <t>94994-02T</t>
  </si>
  <si>
    <t>Arts et Métiers Business Angels, Finorpa, IDF Capital(Patrick Rizzo), Noria(Christophe Guillaume), Pertinence Invest</t>
  </si>
  <si>
    <t>87765-85T</t>
  </si>
  <si>
    <t>Ma Petite Sponso</t>
  </si>
  <si>
    <t>Developer of a fund management platform designed to manage the financing of sports associations. The company's platform helps to build funds by purchasing products through e-commerce websites, enabling sports associations to disseminate the commercial offers of their companies and partners to the families of their members.</t>
  </si>
  <si>
    <t>AQUITI Gestion, Bpifrance, Dynalim, Expanso Capital, Herrikoa, Limousin Business Angels</t>
  </si>
  <si>
    <t>financing platform, fund management, fund management platform, fundraising platform, sporting events, sports associations financing, sports marketing</t>
  </si>
  <si>
    <t>82335-88T</t>
  </si>
  <si>
    <t>1Check</t>
  </si>
  <si>
    <t>Developer of a cloud-based management platform designed to cater to the needs of the hospitality sector. The company's platform allows managers to create and organize the schedule of cleaning and maintenance teams for accommodation spaces and tourism activities with complete local support and guidance, enabling the hospitality sector to improve customer service quality and increase the team's productivity.</t>
  </si>
  <si>
    <t>A-Venture, Bpifrance, Créazur, Jean-François Richardoz(Jean-François Richardoz), Olbia Invest, Partner Ventures, Region Provence Alpes Cote d' Azur, Région Sud Investissement</t>
  </si>
  <si>
    <t>accommodation books, hospitality platform, hotel managing platform, outdoor accommodation, quality control, saas platform, service optimization, tourist residence</t>
  </si>
  <si>
    <t>190689-31T</t>
  </si>
  <si>
    <t>Ad-Venta</t>
  </si>
  <si>
    <t>Manufacturer of storage systems intended for the storage and distribution of pressurized gases. The company's products include small-footprint pressure regulators, cost-effective pressure management devices, fail-safe gas handling devices, and integrated gas tank bulkheads, enabling the nascent hydrogen vehicle market to improve latex production.</t>
  </si>
  <si>
    <t>electric vehicle, gas tank monitoring, hydrogen storage system, pressure management device, pressurized gas system, storage system</t>
  </si>
  <si>
    <t>Climate Tech, Manufacturing, Mobility Tech, Oil &amp; Gas</t>
  </si>
  <si>
    <t>219234-97T</t>
  </si>
  <si>
    <t>Artedrone</t>
  </si>
  <si>
    <t>Developer of a micro-robotic platform designed for interventional neuroradiologists to remotely guide micro-robots into the patient's cerebral vasculature to treat stroke. The company's platform specializes in remote-controlled microrobots using external magnetic fields, controlled by multidimensional imaging techniques and a Global Positioning System to allow medical professionals to unblock cerebral arteries, enabling medical professionals to treat cerebral arterial malformations, unblock cerebral arteries, deeply embolize vascular networks of tumors and deliver drugs as close as possible to their therapeutic target.</t>
  </si>
  <si>
    <t>autonomous robots, cerebral vasculature, interventional neuroradiology devices, ischemic stroke, mechanical thrombectomy, medical robots, micro-robotics, neuroradiology, neuroradiology imaging, neurovascular</t>
  </si>
  <si>
    <t>Nanotechnology, Robotics and Drones</t>
  </si>
  <si>
    <t>82019-62T</t>
  </si>
  <si>
    <t>Atavik</t>
  </si>
  <si>
    <t>Operator of a pet food company intended to provide natural and grain-free pet food. The company's products include dry and canned food for dogs and cats as well as dried treats and natural food supplements, enabling customers to acquire pet food that suits their pet's diet and overall well-being.</t>
  </si>
  <si>
    <t>cat food, dog food, dog food product, pet food company, pet food items, pet food shop</t>
  </si>
  <si>
    <t>Brillon, France</t>
  </si>
  <si>
    <t>118840-15T</t>
  </si>
  <si>
    <t>Bureaux A Partager</t>
  </si>
  <si>
    <t>Operator of an office renting platform intended to offer co-working spaces. The company's platform offer tools to manage a community and simplify the administrative follow-up of a shared space, enabling businesses and other corporate entities to rent out their extra space for business co-working purposes.</t>
  </si>
  <si>
    <t>Elevation Capital Partners, Fluxus Ventures, Inter Invest(Julien Hugot)</t>
  </si>
  <si>
    <t>co-working space, office rental, office sharing, space rental, working space rental</t>
  </si>
  <si>
    <t>106382-35T</t>
  </si>
  <si>
    <t>Charme &amp; Traditions</t>
  </si>
  <si>
    <t>Information Services (B2C)*, Other Restaurants, Hotels and Leisure</t>
  </si>
  <si>
    <t>Operator of an online travel booking platform designed to bring together owners and tourists to promote rural tourism. The company's platform aggregates a number of properties and generates traffic by offering a wide selection of guest houses, cottages, charming hotels, and restaurants, enabling tourists to conveniently book travel products and services.</t>
  </si>
  <si>
    <t>Iron Capital.(Julien Foussard)</t>
  </si>
  <si>
    <t>metasearch engine, online hotel books, online restaurant search, online vacation platform, online vacation rental</t>
  </si>
  <si>
    <t>100553-59T</t>
  </si>
  <si>
    <t>Claranor</t>
  </si>
  <si>
    <t>Manufacturer of in-line packaging sterilization equipment for dairy, beverage, food, pharmaceutical, and cosmetic industries. The company offers decontamination equipment that is entirely designed, assembled, and commissioned as well as supplies of spare parts, delivering efficient and adapted sterilization solutions that preserve health and natural resources.</t>
  </si>
  <si>
    <t>Demeter Partners(Eric Marty)</t>
  </si>
  <si>
    <t>packaging equipment, sterilization device, sterilization equipment, sterilization product, sterilization technique, sterilization tools</t>
  </si>
  <si>
    <t>139278-97T</t>
  </si>
  <si>
    <t>Concilio</t>
  </si>
  <si>
    <t>Developer of a healthcare service platform designed to assess and improve personal health. The company's platform offers personalized healthcare recommendations and medical consultation on personal health and helps to connect with respective experts for curated advice, enabling users to obtain reliable information or to quickly access the right doctors adapted to their health problems.</t>
  </si>
  <si>
    <t>healthcare coaching services, healthcare consulting, healthcare service company, healthcare service platform, healthcare services, medical consultant</t>
  </si>
  <si>
    <t>227282-23T</t>
  </si>
  <si>
    <t>153861-94T</t>
  </si>
  <si>
    <t>DynAdmic</t>
  </si>
  <si>
    <t>Operator of a digital video advertising marketplace intended for advertisers to serve personalized video advertisements to their target audience. The company curates digital video advertising inventory based on its audio content and categorizes it into topics and keywords from global websites by utilizing smart targeting, activating brand safety and fraud security, enabling clients to achieve results on brand advertising objectives.</t>
  </si>
  <si>
    <t>audio targeting, digital advertising, in-stream advertisement, online advertisement space, overlays advertisement, security, video ads inventory, video ads network, video inventory</t>
  </si>
  <si>
    <t>120257-38T</t>
  </si>
  <si>
    <t>Crédit Agricole Finistère, Finistere Angels, Sofimac Innovation</t>
  </si>
  <si>
    <t>120850-84T</t>
  </si>
  <si>
    <t>Euveka</t>
  </si>
  <si>
    <t>Developer of mannequin robots designed to offer correct fitting and reduce the ecological footprint. The company develops scalable robot mannequins for display and advertising use in the textile, retail, and apparel industries, allowing reliable fit in all sizes from production to retail, enabling its clients to save time by preselecting clothes directly based on their measurements.</t>
  </si>
  <si>
    <t>electronic robots, industrial machinery, mannequin display, mannequin manufacturer, robotic technology, robots manufacturer</t>
  </si>
  <si>
    <t>Saint Marcel Lès Valence, France</t>
  </si>
  <si>
    <t>75946-96T</t>
  </si>
  <si>
    <t>Fx Solutions (France)</t>
  </si>
  <si>
    <t>Manufacturer of orthopedic products intended to improve patient outcomes during orthopedic surgical procedures. The company specializes in designing and developing new implants, instruments, and surgical techniques for shoulder surgery, enabling surgeons and doctors to provide effective remedies for difficult surgical procedures.</t>
  </si>
  <si>
    <t>Esfin Gestion, Kreaxi, Rhône-Alpes Création(Isabelle Bou Antoun), Viscogliosi Bros.</t>
  </si>
  <si>
    <t>degenerative treatment, orthopedic surgery device, planning tools, prosthetic product, shoulder surgery device, surgical solutions, traumatic treatment</t>
  </si>
  <si>
    <t>Viriat, France</t>
  </si>
  <si>
    <t>136792-09T</t>
  </si>
  <si>
    <t>Gesadour</t>
  </si>
  <si>
    <t>BPO/Outsource Services*, Other Healthcare Services</t>
  </si>
  <si>
    <t>Provider of telephone reception and management services intended to assist in managing appointments. The company's services include a secretary service to answer calls and take messages, real-time access to the calendar on the computer, tablet, or smartphone, a mobile agenda service and a patient appointment online service, enabling medical professionals to manage their reception effortlessly.</t>
  </si>
  <si>
    <t>patient appointment, patient appointment scheduler, secretary services, switchboards management, telephone management, telephone reception</t>
  </si>
  <si>
    <t>135347-50T</t>
  </si>
  <si>
    <t>250832-08T</t>
  </si>
  <si>
    <t>Solved Development</t>
  </si>
  <si>
    <t>93740-50T</t>
  </si>
  <si>
    <t>K-Horse Diffusion</t>
  </si>
  <si>
    <t>Accessories*, Animal Textiles</t>
  </si>
  <si>
    <t>Manufacturer and distributor of equestrian products intended to serve equestrian dealers. The company manufactures brands and manufactures products for some other brands on the equestrian market, enabling customers to find and shop for equestrian products in a hassle-free manner.</t>
  </si>
  <si>
    <t>equestrian product, equestrian product dealer, leather hub, leather product, odm manufacturer, oem manufacturer, product supplier</t>
  </si>
  <si>
    <t>Condette, France</t>
  </si>
  <si>
    <t>126079-75T</t>
  </si>
  <si>
    <t>Lemonride</t>
  </si>
  <si>
    <t>Developer of digital onboard entertainment software based in France. The company's software digitalizes the journey by delivering connected services onboard, offers broadcast, onboard e-commerce and other services, enabling companies to improve passengers traveling experience and get customized services.</t>
  </si>
  <si>
    <t>Synexser</t>
  </si>
  <si>
    <t>entertainment software, on-board entertainment, on-board entertainment service, onboarding services, onboarding technology, wireless &amp; internet, wireless port</t>
  </si>
  <si>
    <t>117202-24T</t>
  </si>
  <si>
    <t>88588-81T</t>
  </si>
  <si>
    <t>Make It Happen Studio</t>
  </si>
  <si>
    <t>Operator of a production house intended to specialize in the production of drama series content. The company's production house works with global broadcasters, partners, and talents to produce an eclectic raft of drama and fiction-driven content for international marketplaces, enabling viewers to indulge in a range of leisure material.</t>
  </si>
  <si>
    <t>audio visual technology, drama series producer, drama studio, media production, media production house, production studio, tv drama, tv serials producer</t>
  </si>
  <si>
    <t>116296-12T</t>
  </si>
  <si>
    <t>Martxuka</t>
  </si>
  <si>
    <t>Leisure Facilities, Restaurants and Bars*</t>
  </si>
  <si>
    <t>Operator of a shop and tea room intended to provide expo-sale creations of local artists. The company offers home-made smoothies, fruit juices, beers, and alcohols from the Basque Country along with creations made by talented local creators such as jewels, ceramics, décoration and all kinds of accessories, enabling customers to relax and shop at the same time and place.</t>
  </si>
  <si>
    <t>boutique firm, coffee shop cafe, designer boutique, furniture studio, tea rooms, tea rooms operator, tea serving, workshops platform</t>
  </si>
  <si>
    <t>Saint Jean de Luz, France</t>
  </si>
  <si>
    <t>125128-00T</t>
  </si>
  <si>
    <t>Crédit Agricole Loire Haute-Loire (PAR: CRLO)</t>
  </si>
  <si>
    <t>167743-90T</t>
  </si>
  <si>
    <t>Metabolys</t>
  </si>
  <si>
    <t>Drug Discovery*, Other Healthcare Services</t>
  </si>
  <si>
    <t>Operator of a clinical research firm intended to predict the safety and efficacy of test compounds. The company's services specialize in developing cellular metabolomics and antidiabetic medication for evaluating brain metabolism and the effects of new treatments for neurodegenerative diseases, thereby helping researchers with the selection and development of compound tests.</t>
  </si>
  <si>
    <t>Newton BioCapital</t>
  </si>
  <si>
    <t>antidiabetic drugs, antidiabetic medication, cellular therapy, clinical research firm, compound formula, metabolomics platform</t>
  </si>
  <si>
    <t>155636-11T</t>
  </si>
  <si>
    <t>Mind</t>
  </si>
  <si>
    <t>Operator of a digital market intelligence company intended to offer help in understanding the challenges of digital transformation. The company specializes in the economic intelligence of digital transformation and provides an accessible, expert, and tailor-made alternative to a specific need for analysis, and research of non-market information, enabling businesses to make efficient decisions based on the research and analysis.</t>
  </si>
  <si>
    <t>economic intelligence, economic intelligence company, economic intelligence service, market analysis, market information, market research service</t>
  </si>
  <si>
    <t>280397-44T</t>
  </si>
  <si>
    <t>Monsieur Marguerite</t>
  </si>
  <si>
    <t>Retailer of seasonal flowers and plant catering in France. The company specializes in delivering locally grown seasonal and dried flowers, bouquets and gardens on a subscription basis, enabling customers to get the same day or next day delivery as per their location.</t>
  </si>
  <si>
    <t>flower retailer, flower store, flowers company, flowers online, flowers sales, flowers supply</t>
  </si>
  <si>
    <t>223565-23T</t>
  </si>
  <si>
    <t>136858-51T</t>
  </si>
  <si>
    <t>Needle Concept</t>
  </si>
  <si>
    <t>Developer of injection technologies intended to launch and distribute innovative medical techniques in the field of needles. The company specializes in developing a flexible needle that doesn't puncture the skin like regular needles and handles liquids of any viscosity, enabling practitioners to administer botox and related services with an efficient and comfortable alternative.</t>
  </si>
  <si>
    <t>botox cosmetic, botox injection, botox needle, botox surgeries, botox treatment, medical materials</t>
  </si>
  <si>
    <t>204495-31T</t>
  </si>
  <si>
    <t>Pan Europeenne Air Service</t>
  </si>
  <si>
    <t>Provider of air transport service intended to provide tailor-made air transport. The company specializes in business charter flights and VIP air taxi flights and also runs an Embraer-certified maintenance shop, enabling passengers to avail air transport facilities with safety and comfort.</t>
  </si>
  <si>
    <t>air taxi, air taxi flight, air transport, air transport service, charter flight services, charter flights</t>
  </si>
  <si>
    <t>Viviers-du-lac, France</t>
  </si>
  <si>
    <t>173262-88T</t>
  </si>
  <si>
    <t>97523-74T</t>
  </si>
  <si>
    <t>Rose Betterave</t>
  </si>
  <si>
    <t>Food Products*, Other Restaurants, Hotels and Leisure</t>
  </si>
  <si>
    <t>Operator of organic food products store intended to offer healthy cuisine products. The company's shop operates as a restaurant-cum-shop where people can eat, follow workshops, do local shopping, exchange food tips as well as have lunch, enabling customers to purchase healthy food made from locally souced nutritious products at an affordable price.</t>
  </si>
  <si>
    <t>Autonomie &amp; Solidarité, Cicada Innovations</t>
  </si>
  <si>
    <t>cuisine food, food ecommerce, local shopping store, locally produced food, nutritious cuisine, nutritious cuisine product, organic product, restaurant marketplace</t>
  </si>
  <si>
    <t>Armentieres, France</t>
  </si>
  <si>
    <t>139524-04T</t>
  </si>
  <si>
    <t>Paris Initiative Enterprises</t>
  </si>
  <si>
    <t>191980-36T</t>
  </si>
  <si>
    <t>noa (London)</t>
  </si>
  <si>
    <t>138790-99T</t>
  </si>
  <si>
    <t>Arkéa Capital</t>
  </si>
  <si>
    <t>280396-09T</t>
  </si>
  <si>
    <t>Shoji ( Home Furnishings)</t>
  </si>
  <si>
    <t>Provider of bedding products, designed to enhance sleep quality. The company offers expert advice, sleep accessories, and unbiased reviews, enabling customers to improve their sleep health and well-being.</t>
  </si>
  <si>
    <t>beds design, mattress beds, sleep accessories, sleep disorder care, sleep improvement, sleep products</t>
  </si>
  <si>
    <t>127498-24T</t>
  </si>
  <si>
    <t>93736-00T</t>
  </si>
  <si>
    <t>Talent's Bio</t>
  </si>
  <si>
    <t>Operator of an information platform intended to offer information about various aspects from profession to wellbeing. The company offers an in-depth analysis of various topics that include environment, feed, diet, and organic health, enabling users to gain information.</t>
  </si>
  <si>
    <t>analysis work, care and wellbeing, information link, information platform, information portal, organic health</t>
  </si>
  <si>
    <t>93736-63T</t>
  </si>
  <si>
    <t>Team Square</t>
  </si>
  <si>
    <t>Buildings and Property*, Other Services (B2C Non-Financial)</t>
  </si>
  <si>
    <t>Operator of a multi-leisure and event complex designed to offer rental of rooms for personal and professional events. The company's complex offers a site for indoor and outdoor activities for all ages, reception areas, as well as space for events such as bachelor's parties and birthday parties, enabling users to get spaces for indoor and outdoor leisure activities.</t>
  </si>
  <si>
    <t>Autonomie &amp; Solidarité(Bruno Dupont)</t>
  </si>
  <si>
    <t>business events location, leisure center, reception rooms, rooms rental, team building, works councils</t>
  </si>
  <si>
    <t>Hénin-Beaumont, France</t>
  </si>
  <si>
    <t>89261-29T</t>
  </si>
  <si>
    <t>Ubiwan</t>
  </si>
  <si>
    <t>Developer of fleet and asset management software intended to optimize fleet management, control costs and time and make equipment profitable. The company's software is adapted to any type of activity that includes construction, logistics, industry, supply chain, services and SMEs that interprets the data collected by the geolocation sensors, thereby enabling clients to be provided with a reliable, efficient and innovative fleet management alternative for professional vehicles.</t>
  </si>
  <si>
    <t>Aquitaine Amorage, AQUITI Gestion, Bpifrance, Michelin Development</t>
  </si>
  <si>
    <t>construction software, fleet management, logistics hardware, logistics management service, resource management platform, resource management technology</t>
  </si>
  <si>
    <t>Construction Technology, Industrials, Mobile, Supply Chain Tech, TMT</t>
  </si>
  <si>
    <t>100119-43T</t>
  </si>
  <si>
    <t>Us We Share</t>
  </si>
  <si>
    <t>Media and Information Services (B2B), Real Estate Services (B2C), Social/Platform Software*</t>
  </si>
  <si>
    <t>Developer of a contributory platform designed to work-study participants to exchange their apartment. The company's platform offers work-study and future job-seekers information on the dates and places of supply and demand for their apartments, pay only one rent in one city and that are mobile in the other by using the apartment of an alternating periodically releasing, enabling users to share apartments to minimize cost.</t>
  </si>
  <si>
    <t>apartments exchange, apartments exchange network, apartments sharing, contributory platform, contributory platform developer</t>
  </si>
  <si>
    <t>115556-32T</t>
  </si>
  <si>
    <t>133425-73T</t>
  </si>
  <si>
    <t>120519-37T</t>
  </si>
  <si>
    <t>Visiperf</t>
  </si>
  <si>
    <t>Operator of digital advertising services platform intended to offer local campaign purchasing and data visualization services. The company's services include advertising, and website campaigns and helps networks easily manage the transformation of the digital marketing of their points of sale, enabling brands to manage the digital marketing transition of their retail outlets.</t>
  </si>
  <si>
    <t>BDR Innovation et Transmission, BDR Invest, BFC Croissance, Bpifrance, Crédit Agricole Franche-Comté, Generis Capital Partners, Invest PME, La Poste Groupe, UI Investissement</t>
  </si>
  <si>
    <t>advertisement market, advertisement portal, advertisement tracking, digital advertising, digital marketing, search engine marketing, search engine optimization</t>
  </si>
  <si>
    <t>135525-43T</t>
  </si>
  <si>
    <t>First Risk Capital</t>
  </si>
  <si>
    <t>202632-40T</t>
  </si>
  <si>
    <t>Zephalto</t>
  </si>
  <si>
    <t>Space Tourism</t>
  </si>
  <si>
    <t>Developer of a balloon aircraft technology designed to fly without interruption with solar energy. The company provides low-carbon space flights and offers stratospheric balloon capsules built with the comfort of passengers in mind with an interior that allows them to discover an infinite landscape, enabling pilots to fly at an altitude and approach travel in the stratosphere.</t>
  </si>
  <si>
    <t>aeronautical data, air flight, aircraft developer, aircraft product, space flight, space tourism, stratospheric balloon</t>
  </si>
  <si>
    <t>Le Pouget, France</t>
  </si>
  <si>
    <t>82218-16T</t>
  </si>
  <si>
    <t>248780-89T</t>
  </si>
  <si>
    <t>Cafinvest</t>
  </si>
  <si>
    <t>79856-83T</t>
  </si>
  <si>
    <t>Bpifrance(Gilles Schang), Clay Capital (Singapore)(Matthieu Vermersch), Demeter Partners, Emertec Gestion, Future Positive Capital(Sofia Hmich), Quadia(Eric Archambeau)</t>
  </si>
  <si>
    <t>77975-11T</t>
  </si>
  <si>
    <t>EasyTransac</t>
  </si>
  <si>
    <t>Developer of an online payment platform designed to assist customers in making smartphone credit card payments. The company's platform helps professionals instantly accept credit card payments without using additional devices, enabling customers to avoid the rental costs of conventional payment terminals and simplify transactions through simple, secure, and accessible collection services.</t>
  </si>
  <si>
    <t>5M Ventures, XLR Capital</t>
  </si>
  <si>
    <t>credit card payment, enterprise payment, mobile banking, mobile payment system, online payment app, paperless payment, payment platform, payment terminal, pos</t>
  </si>
  <si>
    <t>123650-38T</t>
  </si>
  <si>
    <t>Edelweiss Air</t>
  </si>
  <si>
    <t>205712-02T</t>
  </si>
  <si>
    <t>Balestier Investments, Bpifrance(Joséphine Marie), MD Start(Gerard Hascoet)</t>
  </si>
  <si>
    <t>121355-02T</t>
  </si>
  <si>
    <t>FAMM Group(Didier Rousseau)</t>
  </si>
  <si>
    <t>126446-23T</t>
  </si>
  <si>
    <t>Big Moustache</t>
  </si>
  <si>
    <t>Internet Retail, Other Services (B2C Non-Financial), Personal Products*</t>
  </si>
  <si>
    <t>Producer of hair care products intended to improve the daily life of men through new products and services. The company's products offer various shaving items in the form of boxes and subscriptions, depending on the needs of each individual, enabling consumers to receive all materials for their shaving needs at affordable prices.</t>
  </si>
  <si>
    <t>Anaxago Capital, Bourez Bourez(Bourez Bourez), Day One Entrepreneurs &amp; Partners, Nicolas Feraudy(Nicolas Feraudy), Sia Partners(Elsa Martineau)</t>
  </si>
  <si>
    <t>consumer goods, grooming items, hair care kit, mens's grooming, moustache care product, shaving club</t>
  </si>
  <si>
    <t>Epernon, France</t>
  </si>
  <si>
    <t>117633-07T</t>
  </si>
  <si>
    <t>3T Capital, Guillaume Multrier(Guillaume Multrier), M Capital Partners, Nestadio Capital, Tikehau Investment Management</t>
  </si>
  <si>
    <t>90086-59T</t>
  </si>
  <si>
    <t>Financiere Norbert Dentressangle, Newfund Management, Orkos Capital</t>
  </si>
  <si>
    <t>71839-90T</t>
  </si>
  <si>
    <t>Belledonne</t>
  </si>
  <si>
    <t>Producer of bakery products intended to offer organic bread, biscuits, and confectionery. The company uses local and solidarity flours to make bread, chocolate, and sugar used in the workshops come from equitable sectors and assist the sustainable development of organic and family farming in the producing countries, enabling customers to enjoy bakes made from organic ingredients and farmers to improve their standard of living.</t>
  </si>
  <si>
    <t>Alpes Capital Innovation(Olivier Rollin)</t>
  </si>
  <si>
    <t>bakery business, bakery firm, bakery service, confectionery food, food ecommerce, organic bakery, organic bread, restaurant marketplace, snack food</t>
  </si>
  <si>
    <t>La Croix de la Rochette, France</t>
  </si>
  <si>
    <t>128453-86T</t>
  </si>
  <si>
    <t>NeedHelp</t>
  </si>
  <si>
    <t>Operator of a service exchange platform intended to help people and companies post jobs or find experts for their work. The company's platform helps users to describe their needs and provides available and competent jobbers to offer their services such as gardening, mechanical works, moving and packing among others while evaluating through customer satisfaction surveys, thereby enabling users to find and access reliable professional services at affordable costs.</t>
  </si>
  <si>
    <t>Maus Frères, Ternel</t>
  </si>
  <si>
    <t>home improvement, home services professional, home services provider, home services software, service exchange platform, service professional platform</t>
  </si>
  <si>
    <t>114368-32T</t>
  </si>
  <si>
    <t>Squadrone System</t>
  </si>
  <si>
    <t>Manufacturer of an autonomous drone intended to transform how people use it safely and autonomously. The company's flying drones specialize in computerization via an application that helps to control the system, enabling clients to capture any data without any piloting involved.</t>
  </si>
  <si>
    <t>Living Water Investment</t>
  </si>
  <si>
    <t>aerial robotics, aerospace product, drones tech, it consulting service, navigation control system, smart tools</t>
  </si>
  <si>
    <t>Industrials, Manufacturing, Robotics and Drones, TMT</t>
  </si>
  <si>
    <t>122911-84T</t>
  </si>
  <si>
    <t>123743-17T</t>
  </si>
  <si>
    <t>Geoide</t>
  </si>
  <si>
    <t>Aerospace and Defense, Electronic Equipment and Instruments, Wireless Communications Equipment*</t>
  </si>
  <si>
    <t>Developer of mobile communication and geolocation equipment designed to optimize urban services. The company's equipment combines innovative technologies with highly secure services that locate places, correlate information, and provide optimized routes, enabling users and armed forces to get leveraged data to make critical decisions.</t>
  </si>
  <si>
    <t>Invest PME, UI Investissement</t>
  </si>
  <si>
    <t>electronic data, embedded computing, geolocation data, mobile communication, mobile communication platform, optimized routing, wireless communication, wireless data</t>
  </si>
  <si>
    <t>102622-33T</t>
  </si>
  <si>
    <t>Batiwiz</t>
  </si>
  <si>
    <t>Social/Platform Software, Specialty Retail*</t>
  </si>
  <si>
    <t>Developer of a private sales website created to provide building products at discounted prices. The company's website offers a range of name-brand products from tools and floor coverings to outdoor landscaping and insulation supplies, providing professional builders and individuals with quality products at deep discounts and reliable service.</t>
  </si>
  <si>
    <t>Crosscall, TF1 Groupe (PAR: TFI), Trail Solutions Patrimoine</t>
  </si>
  <si>
    <t>building materials seller, construction materials, discounted building materials, discounted tools, online seller</t>
  </si>
  <si>
    <t>113553-82T</t>
  </si>
  <si>
    <t>106857-55T</t>
  </si>
  <si>
    <t>Ally Bridge Group(Frank Yu)</t>
  </si>
  <si>
    <t>69416-47T</t>
  </si>
  <si>
    <t>Global Founders Capital, Kima Ventures, The Family (Financial Services), Via ID</t>
  </si>
  <si>
    <t>88146-82T</t>
  </si>
  <si>
    <t>Yelloan</t>
  </si>
  <si>
    <t>Consumer Finance*, Financial Software</t>
  </si>
  <si>
    <t>Developer of a bank deposit system designed to access credit via a participatory guarantee of friends. The company's system includes participatory financing that allows credit availability through a deposit system provided by relatives or friends, enabling customers to access credit requirements based on the trust of relatives.</t>
  </si>
  <si>
    <t>Seventure Partners(Ludovic Denis)</t>
  </si>
  <si>
    <t>alternative lending, bank credit, bank deposits, bank loan, deposit system, loan service, participatory financing, retail lending</t>
  </si>
  <si>
    <t>117715-42T</t>
  </si>
  <si>
    <t>FabZat</t>
  </si>
  <si>
    <t>Internet Retail, Recreational Goods*</t>
  </si>
  <si>
    <t>Developer of a custom merchandising platform designed to offer gamers a way to order custom 3D printed gaming characters. The company's platform enables gamers to select, customize and order a game item 3D printed in colours and a full range of customized physical goods, enabling gamers to easily get access to custom merchandises of their favourite gaming characters.</t>
  </si>
  <si>
    <t>Alderville Holding, Laurent Delaporte(Laurent Delaporte), Nestadio Capital</t>
  </si>
  <si>
    <t>3d printing, custom merchandise, customized figurines, gaming character, in-app merchandising, online merchandising, personalized merchandise, personalized merchandising</t>
  </si>
  <si>
    <t>3D Printing, E-Commerce, Gaming, TMT</t>
  </si>
  <si>
    <t>88449-13T</t>
  </si>
  <si>
    <t>Alliance Entreprendre(Bertrand Pénicaud), Andros (Food Products), Bpifrance</t>
  </si>
  <si>
    <t>79946-11T</t>
  </si>
  <si>
    <t>ISAI(Jean-David Chamboredon), Serena (Paris)</t>
  </si>
  <si>
    <t>77526-01T</t>
  </si>
  <si>
    <t>Aster Capital(Fabio Lancellotti), Aurinvest, Salesforce Ventures</t>
  </si>
  <si>
    <t>88162-75T</t>
  </si>
  <si>
    <t>Sezam (Financial Software)</t>
  </si>
  <si>
    <t>Accessories, Financial Software*</t>
  </si>
  <si>
    <t>Developer of a digital payments platform designed to make payments with ease. The company's platform uses smart technology to permit making payments by using the bracelet thereby saving time, enabling users to make digital payments in a fast and secure way.</t>
  </si>
  <si>
    <t>Bpifrance, JEREMIE Auvergne, Sofimac Investment Managers</t>
  </si>
  <si>
    <t>connecting technology, digital experience, events tracker, intelligent device, intelligent sensors, intelligent sensors &amp; devices, intelligent sensors and devices, iot wearable device, smart bracelets, smart technology bracelets</t>
  </si>
  <si>
    <t>FinTech, TMT, Wearables &amp; Quantified Self</t>
  </si>
  <si>
    <t>75618-19T</t>
  </si>
  <si>
    <t>Stootie</t>
  </si>
  <si>
    <t>Home Furnishings, Information Services (B2C), Publishing*</t>
  </si>
  <si>
    <t>Operator of an online publishing platform intended to provide information regarding living space. The company's platform provides information, advice, and tips for house, DIY, gardening, and decoration categories, enabling users to get assistance at the time of their need.</t>
  </si>
  <si>
    <t>Bpifrance(Edouard Combette), Karista (Paris)(Jérôme Snollaerts), MAIF, Ternel</t>
  </si>
  <si>
    <t>decoration, gardening service, information service, online communication, online publishing, publishing platform</t>
  </si>
  <si>
    <t>79887-88T</t>
  </si>
  <si>
    <t>RTL Group (ETR: RRTL)</t>
  </si>
  <si>
    <t>206296-30T</t>
  </si>
  <si>
    <t>Experienced Capital Partners</t>
  </si>
  <si>
    <t>79825-24T</t>
  </si>
  <si>
    <t>82654-84T</t>
  </si>
  <si>
    <t>Finovam Gestion, Nord France Amorçage</t>
  </si>
  <si>
    <t>75810-52T</t>
  </si>
  <si>
    <t>Jooxter</t>
  </si>
  <si>
    <t>Developer of an online workplace management platform designed to make effective use of office spaces. The company's platform offers scheduled optimization of meeting rooms and real-time analytics of occupancy rates to find the nearest available meeting rooms or hot desks and locates and tracks collaborative spaces with the assistance of a mobile application and SaaS software, enabling companies to improve workplace efficiency daily including smart building integration capabilities via APIs.</t>
  </si>
  <si>
    <t>Newfund Management(Ivan Michal)</t>
  </si>
  <si>
    <t>connected buildings, facility management, occupancy data, online workplace, smart building, workplace management services, workplace technologies</t>
  </si>
  <si>
    <t>204705-82T</t>
  </si>
  <si>
    <t>67608-01T</t>
  </si>
  <si>
    <t>Andromede</t>
  </si>
  <si>
    <t>80077-96T</t>
  </si>
  <si>
    <t>Breega(Maximilien Bacot), Internet Attitude, Phillimore, Thierry Lernon(Thierry Lernon)</t>
  </si>
  <si>
    <t>79826-41T</t>
  </si>
  <si>
    <t>Talentoday</t>
  </si>
  <si>
    <t>Application Software*, Business/Productivity Software, Information Services (B2C)</t>
  </si>
  <si>
    <t>Developer of a social and data-driven career guidance application designed to improve career success by delivering personal insights based on psychometric and predictive analytics. The company provides a free assessment for individuals and a cloud-based framework for career and human resource experts, enabling HR professionals to optimize job placement.</t>
  </si>
  <si>
    <t>Adecco Group (SWX: ADEN)</t>
  </si>
  <si>
    <t>career guidance, career guidance application, cloud-based framework, soft skill assessment, soft skill training platform, soft skills assessment software, talent development</t>
  </si>
  <si>
    <t>93477-88T</t>
  </si>
  <si>
    <t>Groww (Information Services)</t>
  </si>
  <si>
    <t>Developer of an online gardening coach application designed to help users with gardening. The company offers services from the identification of plants in neuronal networks to personalized cultivation tips accomplishing the gardener throughout the seasons, enabling gardeners to monitor the maintenance of their plants and receive maintenance alerts and reminders.</t>
  </si>
  <si>
    <t>Autonomie &amp; Solidarité, Bpifrance, Caisse Solidaire, Hodéfi</t>
  </si>
  <si>
    <t>gardening application, gardening space, gardening tips, online gardening product, plant information</t>
  </si>
  <si>
    <t>Neuville en Ferrain, France</t>
  </si>
  <si>
    <t>68987-26T</t>
  </si>
  <si>
    <t>Cherry Tree Investments, Chesterfield, Idinvest Partners, Mikhail Fridman, Sky Startup Investments &amp; Partnerships, TDF Group(Olivier Huart)</t>
  </si>
  <si>
    <t>133001-74T</t>
  </si>
  <si>
    <t>François Legros(François Legros), Soridec</t>
  </si>
  <si>
    <t>79556-86T</t>
  </si>
  <si>
    <t>Biboard</t>
  </si>
  <si>
    <t>Developer of a business intelligence platform designed for collaborative applications and big data. The company's business intelligence platform helps companies to share or broadcast data internally to their employees, integrates through a portal environment and share their dashboards with clients, suppliers and partners, enabling companies to offer data visualization, predictive modeling, database access, dashboard sharing and data analysis services.</t>
  </si>
  <si>
    <t>Alps Capital (Other Capital Markets/Institutions), Entrepreneurs Factory, Expansinvest(Yvan Noble), Kreaxi(Rémi Berthier), Rhône-Alpes Création(Rémi Berthier), Trail Solutions Patrimoine(Guillaume Hemmerle)</t>
  </si>
  <si>
    <t>business intelligence, business intelligence platform, business intelligence program, business intelligence software product, data presentation, database access, database research</t>
  </si>
  <si>
    <t>Vaulx-Milieu, France</t>
  </si>
  <si>
    <t>97265-62T</t>
  </si>
  <si>
    <t>Aston Sem</t>
  </si>
  <si>
    <t>Manufacturer of orthopedic implants and accessories intended for the hip, knee, and shoulder. The company offers hip, knee, and shoulder prostheses, as well as their associated ancillary kits that are developed in-house, and can be enhanced based on medical and technical progress and on comments from users, enabling healthcare facilities and their patients to get optimum service and instrumentation that are inspected, prepared and shipped from a single site.</t>
  </si>
  <si>
    <t>Altur Investissement, Sofimac Investment Managers, Trail Solutions Patrimoine</t>
  </si>
  <si>
    <t>ancillary kits, equipment monitoring, orthopedic accessories, orthopedic device, orthopedic implants, orthopedic implants company, prosthetic maker, shoulder prosthesis</t>
  </si>
  <si>
    <t>79416-28T</t>
  </si>
  <si>
    <t>Baudouin Jolly(Baudouin Jolly), Françoise Jolly-de Vaucleroy(Françoise Jolly-de Vaucleroy), Investsud, Jean-Paul Prieels(Jean-Paul Prieels), Noshaq(Marc Foidart), Parness, Riccardo Cortese(Riccardo Cortese), Serge Goblet(Serge Goblet)</t>
  </si>
  <si>
    <t>90683-56T</t>
  </si>
  <si>
    <t>360&amp;1</t>
  </si>
  <si>
    <t>Developer of a hotel marketing platform intended to assist e-travel companies in properly managing their sales with artificial intelligence and big data technologies. The company's platform offers integrated advertising management and a digital performance analysis system linking behavioral data on and off-site, enabling firms to get access to raw data at all times, to avoid the burden of managing logs, parsing, storing, and indexing, curating, correlating, and serving.</t>
  </si>
  <si>
    <t>advertising automation platform, advertising management software, data management platform, data visualization, digital performance analysis, web marketing platform</t>
  </si>
  <si>
    <t>62574-40T</t>
  </si>
  <si>
    <t>EIT Climate-KIC, Truffle Capital(Alexandre Ouimet-Storrs)</t>
  </si>
  <si>
    <t>118002-07T</t>
  </si>
  <si>
    <t>SeniorAdom</t>
  </si>
  <si>
    <t>Elder and Disabled Care*, Other Healthcare Technology Systems</t>
  </si>
  <si>
    <t>Provider of remote assistance services available day and night intended to protect and reassure elderly and disabled people. The company's assistance includes automatic detection of an abnormal absence of movement in the beneficiary's home, alert care providers on emergencies, communication, detection of falls or behavioral anomalies, and others as such, enabling users to stay safe and avoid mishaps at home.</t>
  </si>
  <si>
    <t>123 Investment Managers, Caisse des Depots Group, Groupe VYV, IdiCo</t>
  </si>
  <si>
    <t>connected healthcare, connected service, disabled care, disabled people monitoring, elderly help, fall detection, remote assistance, remote assistance services</t>
  </si>
  <si>
    <t>79292-80T</t>
  </si>
  <si>
    <t>OLMA Capital Management</t>
  </si>
  <si>
    <t>86896-72T</t>
  </si>
  <si>
    <t>HedgeGuard</t>
  </si>
  <si>
    <t>Developer of a portfolio analytics system designed to provide a full suite of investment management tools. The company's system offers real-time price feeds, portfolio simulation and modeling, series accounting, trade settlement, and risk reporting, enabling clients to have portfolio analysis and compliance setup for the front office comprehensive trade and cash management, and reporting tools for the middle and back office.</t>
  </si>
  <si>
    <t>Leap Ventures(Herve Cuviliez)</t>
  </si>
  <si>
    <t>asset management technology, crypto portfolio manager, crypto portfolio tracking, financial outsourcing services, portfolio management, portfolio management software, portfolio management system, trade settlement platform</t>
  </si>
  <si>
    <t>204524-56T</t>
  </si>
  <si>
    <t>67307-50T</t>
  </si>
  <si>
    <t>Arflex</t>
  </si>
  <si>
    <t>Construction and Engineering*, Home Furnishings</t>
  </si>
  <si>
    <t>Provider of finished modular bathrooms intended to offer manufacture and installation services of prefabricated bathrooms. The company's bathrooms are ready-to-use bathroom modules that are made to measure or can be chosen and configured from a very wide range that adapts to construction projects, enabling users to save precious time on construction.</t>
  </si>
  <si>
    <t>Finarea</t>
  </si>
  <si>
    <t>bathroom, bathroom module, construction services, interiors, prefabricated bathroom</t>
  </si>
  <si>
    <t>79121-71T</t>
  </si>
  <si>
    <t>Asahi Kasei Corporate Venture Capital, Innovacom (Paris)(Vincent Deltrieu)</t>
  </si>
  <si>
    <t>83068-03T</t>
  </si>
  <si>
    <t>95418-28T</t>
  </si>
  <si>
    <t>AngelSquare, Autonomie &amp; Solidarité, Dan Tyre(Dan Tyre), Kaloma Capital, Nord France Amorçage</t>
  </si>
  <si>
    <t>79227-37T</t>
  </si>
  <si>
    <t>360 Capital(François Collet), Breega</t>
  </si>
  <si>
    <t>78924-88T</t>
  </si>
  <si>
    <t>MeilleursAgents</t>
  </si>
  <si>
    <t>Developer of an online real estate platform designed to offer property evaluation and brokerage services. The company's online platform refines relevant agencies, discover and compare real estate prices and estimates property market value, enabling sellers and buyers to sell or buy properties and to get a precise estimated price of their property.</t>
  </si>
  <si>
    <t>Alven Capital Partners(Guillaume Aubin), Bpifrance, Piton Capital</t>
  </si>
  <si>
    <t>project valuation, property prices, property tools, real estate evaluation, real estate services, residential property</t>
  </si>
  <si>
    <t>89463-61T</t>
  </si>
  <si>
    <t>Smart Traffik</t>
  </si>
  <si>
    <t>Developer of a web-to-store platform intended to improve traffic at points of sale and improve customer knowledge. The company's SaaS-based omnichannel platform helps in the development and implementation of digital strategies and meeting cross-channel consumer requirements, enabling retailers and brands to drive store traffic, and sales and enrich the shopping experience.</t>
  </si>
  <si>
    <t>Alliance Entreprendre(Mathieu Rouxel), Crédit Mutuel Equity(Jean-Marie Giannettini)</t>
  </si>
  <si>
    <t>customer knowledge, omnichannel platform, online strategy, shoppers experience, shopping experience, web traffic</t>
  </si>
  <si>
    <t>108698-50T</t>
  </si>
  <si>
    <t>Jacques-Antoine Granjon(Jacques-Antoine Granjon), Kima Ventures(Xavier Niel), Thibaud Elziere(Thibaud Elziere), Yvan Wibaux(Yvan Wibaux)</t>
  </si>
  <si>
    <t>79288-75T</t>
  </si>
  <si>
    <t>Alinto</t>
  </si>
  <si>
    <t>Developer of email management software designed to offer unified cloud-based email technology to clients. The company's platform provides direct access to mail, calendars, contacts, and files and offers unification, mobility, PIM tools, security, and diffusor services, enabling clients to enhance their productivity through efficient email management.</t>
  </si>
  <si>
    <t>Advenis, CIC Lyonnaise de Banque, Promelys Participations, Rhône-Alpes Création, Siparex Group</t>
  </si>
  <si>
    <t>business communication, cloud email services, cloud email system, email content, email management, email management platform, email software, email synchronization, email technology</t>
  </si>
  <si>
    <t>123351-04T</t>
  </si>
  <si>
    <t>E6</t>
  </si>
  <si>
    <t>Business/Productivity Software*, Energy Marketing, Media and Information Services (B2B)</t>
  </si>
  <si>
    <t>Developer of an energy management platform designed to manage electricity generated by renewable installations. The company's platform offers different tools for renewable producers to monitor their energy sales, optimize their maintenance, and assess their production forecasts and industrial performance, enabling renewable power producers to have access to power markets.</t>
  </si>
  <si>
    <t>TotalEnergies Ventures</t>
  </si>
  <si>
    <t>analytics and grid management, energy management platform, energy trading platform, grid infrastructure, industrial power, power production, production monitoring platform, renewable energy management, renewable power</t>
  </si>
  <si>
    <t>212748-04T</t>
  </si>
  <si>
    <t>Zeendoc</t>
  </si>
  <si>
    <t>Developer of an enterprise platform intended to digitize and manage all documents in a single system. The company's platform helps businesses to process and manage their records through a centralized and secure cloud-based system, meeting their needs for archiving, information research and optimization of all of their document processes.</t>
  </si>
  <si>
    <t>centralized database, data management software, document management platform, document management system, electronic document, electronic document control, electronic document storage, electronic information</t>
  </si>
  <si>
    <t>79080-94T</t>
  </si>
  <si>
    <t>Bpifrance, CDC International Capital, Chesterfield, Crédit Mutuel Equity(Caroline Pasquet), Ginko Ventures(Jean-Francois Baril), Hon Hai Precision (TAI: 2317)(Tai-ming Gou), Korelya Capital(Fleur Pellerin), Luxury Tech Fund, Naver (KRX: 035420), Playground Global, Qatar Investment Authority, Renault (PAR: RNO)(Carlos Ghosn), Roc Nation(Jay Brown), Sharp</t>
  </si>
  <si>
    <t>83008-54T</t>
  </si>
  <si>
    <t>Christophe Courtin(Christophe Courtin), Jean-Fabrice Mathieu(Jean-Fabrice Mathieu), Justin Ziegler(Justin Ziegler), SIDE Capital(Renaud Guillerm)</t>
  </si>
  <si>
    <t>68157-28T</t>
  </si>
  <si>
    <t>PayCar</t>
  </si>
  <si>
    <t>Automotive, Financial Software*, Information Services (B2C), Road</t>
  </si>
  <si>
    <t>Developer of a payment platform intended to simplify and secure the payment of used cars. The company's platform verifies both sellers and buyers and ensures seamless transactions between the two parties along with offering a payment portal, enabling buyers to deposit the purchase amount with the company where the transfer to the seller takes place only when the buyer authorizes it.</t>
  </si>
  <si>
    <t>BNP Paribas (PAR: BNP)(Jacques D'Estais), C Entrepreneurs, Cathay Innovation</t>
  </si>
  <si>
    <t>car payment, digital payment, e-payment, payment platform service, transaction processing, used car</t>
  </si>
  <si>
    <t>FinTech, Mobility Tech, TMT</t>
  </si>
  <si>
    <t>79424-74T</t>
  </si>
  <si>
    <t>ISAI(Christophe Raynaud)</t>
  </si>
  <si>
    <t>72748-27T</t>
  </si>
  <si>
    <t>RiderValley</t>
  </si>
  <si>
    <t>Accessories, Automotive, Clothing, Recreational Goods*</t>
  </si>
  <si>
    <t>Retailer of motorcycle gear and equipment intended to cater to the needs of users of two-wheeled motor vehicles. The company designs and markets motorcycle helmets, clothing, motorcycle shoes, gloves, shoes, jeans, and jackets, enabling motorists to buy quality goods that meet their requirements.</t>
  </si>
  <si>
    <t>iXO Private Equity(Renaud du Lac)</t>
  </si>
  <si>
    <t>biker helmets, biker jeans, bikers gloves, bikes gear, bikes gloves, motorcycle apparel, motorcycle gloves, motorcycle helmets, motorist protection</t>
  </si>
  <si>
    <t>84952-72T</t>
  </si>
  <si>
    <t>Cedre Participations, Crédit Mutuel Equity, Crédit Mutuel Innovation, Foreis, INSEAD Business Angels, Sofimac Innovation</t>
  </si>
  <si>
    <t>79129-99T</t>
  </si>
  <si>
    <t>Fifadev.eco, Financiere de la Gommerie, Halley Participations, Partech(Jean-Marc Patouillaud)</t>
  </si>
  <si>
    <t>79412-05T</t>
  </si>
  <si>
    <t>Bpifrance, Crédit Agricole Finistère, Crédit Maritime Atlantique, Demeter Partners(Eric Marty), Emertec Gestion(Eric Marty), Farinia Group, GO Capital (France), IWF Group</t>
  </si>
  <si>
    <t>116698-69T</t>
  </si>
  <si>
    <t>Bpifrance, Crédit Agricole Atlantique Vendée, IDEE (Other Commercial Products), Pays de la Loire Participations, Région des Pays de la Loire, Sodero</t>
  </si>
  <si>
    <t>78818-59T</t>
  </si>
  <si>
    <t>Daphni(Pierre-Eric Leibovici), Global Founders Capital(Hugues de Braucourt), Kima Ventures, Partech(Romain Lavault), Renaud Visage(Renaud Visage), Rocket Internet (HAM: RKET), Tamim Jabr(Tamim Jabr), The Studio, Tomcat Capital</t>
  </si>
  <si>
    <t>67392-64T</t>
  </si>
  <si>
    <t>Cyril Grislain(Cyril Grislain), Daphni(Pierre-Eric Leibovici), Henri Seydoux(Henri Seydoux), Jean-Daniel Guyot(Jean-Daniel Guyot), Kima Ventures, La Famiglia</t>
  </si>
  <si>
    <t>78683-50T</t>
  </si>
  <si>
    <t>Bpifrance, Orange Ventures(Antoine Maurel), SGH Capital(Alexandre Azoulay), Sodexo Ventures(Belen Moscoso-del-Prado), Sofina (BRU: SOF)</t>
  </si>
  <si>
    <t>86996-53T</t>
  </si>
  <si>
    <t>SamBoat</t>
  </si>
  <si>
    <t>Operator of an online boat rental platform based in Bordeaux, France. The company's online platform connects owners and tenants to the aspects of boat renting, thereby enabling users to rent boats for transportation purposes.</t>
  </si>
  <si>
    <t>boat renting platform, boat renting service, boats facilities, boats rent, boats rental, boats rental platform</t>
  </si>
  <si>
    <t>Industrials, Mobility Tech</t>
  </si>
  <si>
    <t>116506-72T</t>
  </si>
  <si>
    <t>CChiri Laser Solutions</t>
  </si>
  <si>
    <t>Industrial Supplies and Parts*, Other Commercial Services</t>
  </si>
  <si>
    <t>Manufacturer of metal parts intended to serve small and medium-sized businesses. The company's metal parts include various technically and economically convenient metalwork, boiler work, laser cutting, wiring, mechanical welding, galvanizing, zinc plating, and painting, enabling craftsmen, tradesmen, and private individuals to meet their needs and adapting quickly to their demands.</t>
  </si>
  <si>
    <t>cabling services, laser cutting service provider, laser solutions, mechanical welding services, welding mechanics, welding service provider, welding solutions</t>
  </si>
  <si>
    <t>Thiant, France</t>
  </si>
  <si>
    <t>76770-28T</t>
  </si>
  <si>
    <t>Air Liquide (PAR: AI), Alto Invest, Bpifrance(Paul-Francois Fournier), Elliott Investment Management(Franck Tuil), Henri Seydoux(Henri Seydoux), Idinvest Partners, Intel Capital(Abdul Guefor), International Finance Corporation, iXO Private Equity(Renaud du Lac), Khazanah Nasional, Salesforce Ventures, SWEN Capital Partners, Tamer Group, TotalEnergies Ventures</t>
  </si>
  <si>
    <t>78684-49T</t>
  </si>
  <si>
    <t>BNP Paribas Développement(Arnaud Lavril), Bouygues Développement, CapHorn Invest(Laurent Dumas-Crouzillac), Linkcity, Matmut, NCI Gestion, nfactory</t>
  </si>
  <si>
    <t>255125-17T</t>
  </si>
  <si>
    <t>CERENE (Clinics/Outpatient Services)</t>
  </si>
  <si>
    <t>Clinics/Outpatient Services*, Educational and Training Services (B2C), Other Healthcare Services</t>
  </si>
  <si>
    <t>Operator of neuropsychological diagnostic centers intended for dyslexia, dyspraxia, dysorthography, dyscalculia, dysphasia, and attention and executive disorders. The company offers services such as presentation of the centers, neuropsychological assessment, parent workshops, supporting homework, conferences, and training.</t>
  </si>
  <si>
    <t>Eutopia(Antoine Fine)</t>
  </si>
  <si>
    <t>diagnostic center, diagnostic center management, diagnostic center operator, neuropsychological analysis, neuropsychological assessment, neuropsychological clinic, neuropsychological evaluation, neuropsychological rehabilitation, neuropsychological testing</t>
  </si>
  <si>
    <t>78602-05T</t>
  </si>
  <si>
    <t>Fidzup</t>
  </si>
  <si>
    <t>Provider of a local marketing platform designed to reinvent local markets. The company's local marketing platform combines the power of Wi-Fi and GPS to detect the behavior of mobile users at the point of sale and capitalize on the movements of mobile users outside of the point of sale, enabling retailers to collect data and analyze consumer behavior and send personalized advertisements to customers through their mobile phones.</t>
  </si>
  <si>
    <t>CapHorn Invest(Romain Vidal), Paris Region Venture Fund, Petit Poucet, Philippe Besnard(Philippe Besnard), Turenne Groupe</t>
  </si>
  <si>
    <t>advertisement campaign management, clients data, consumer behavior, local marketing, local marketing platform, personalized advertisement, retail marketing</t>
  </si>
  <si>
    <t>109425-16T</t>
  </si>
  <si>
    <t>Bpifrance, NextMove (Normandy), Region Normandie, Réseau entreprendre Atlantique, Société Nationale des Chemins de fer Français, Total Developpement Regional</t>
  </si>
  <si>
    <t>87705-28T</t>
  </si>
  <si>
    <t>Capagro, Elaia Partners(Pauline Roux), FAMM Group, InnovAllianz</t>
  </si>
  <si>
    <t>81683-20T</t>
  </si>
  <si>
    <t>Cedre Participations, Courtin Investment, Techmind</t>
  </si>
  <si>
    <t>78506-38T</t>
  </si>
  <si>
    <t>b2venture, Bpifrance(Marie-Laure Garrigues), CEA Investissement(Celia Hart), CITA Investissement, Supernova Invest(Celia Hart), Wellington Partners(Rainer Strohmenger)</t>
  </si>
  <si>
    <t>131997-52T</t>
  </si>
  <si>
    <t>WhiteQuest</t>
  </si>
  <si>
    <t>Developer of digital tools intended to train staff working in industrial companies more efficiently and quickly. The company offers digital sales tools, interactive 3D user manuals, mobile diagnostic and troubleshooting applications and virtual simulation to train staff, enabling companies to optimize their sales and maintenance tools and improve customer service.</t>
  </si>
  <si>
    <t>Alsace Business Angels, Bpifrance</t>
  </si>
  <si>
    <t>3d user manuals, digital tools, interactive 3d training, mobile diagnostics application, simulation training, troubleshooting application, virtual reality training</t>
  </si>
  <si>
    <t>Erstein, France</t>
  </si>
  <si>
    <t>93382-03T</t>
  </si>
  <si>
    <t>Iron Capital., NCI Gestion</t>
  </si>
  <si>
    <t>120483-46T</t>
  </si>
  <si>
    <t>Advanced Perfusion Diagnostics</t>
  </si>
  <si>
    <t>Developer of patient monitoring systems designed to provide early indicators of tissue perfusion impairments. The company's monitoring system allows physicians to assess intestinal tissue perfusion, serves as a guide for novel circulatory therapies and target new approaches of resuscitation, enabling healthcare providers to reduce patient complications and treatment cost.</t>
  </si>
  <si>
    <t>Idinvest Partners, Kurma Partners, Sofimac Investment Managers, Sofinnova Partners</t>
  </si>
  <si>
    <t>circulatory therapy, hemodynamic monitor, hemodynamic patient monitoring, intestinal tissue perfusion, patient monitoring device, patient monitoring platform, patient monitoring technology, tissue perfusion</t>
  </si>
  <si>
    <t>130156-39T</t>
  </si>
  <si>
    <t>PopMyDay</t>
  </si>
  <si>
    <t>Provider of on-demand beauty services intended to offer in-home beauty and wellness services from a network of vetted professionals. The company's beauty application brings beauty professionals to the doorsteps of the users and provides a variety of services, enabling clients to get customized services from hand-selected, trained, and approved professionals to meet their beauty, event needs, and personal expectations.</t>
  </si>
  <si>
    <t>W Investments, W3 Corporate(Jean Pons)</t>
  </si>
  <si>
    <t>beauty platform, manicure service, massage therapy, personal recommendation, personal training, wellness services</t>
  </si>
  <si>
    <t>Beauty, Mobile</t>
  </si>
  <si>
    <t>123222-07T</t>
  </si>
  <si>
    <t>500 Global, Cyril Grislain(Cyril Grislain), Kima Ventures, Michel Meyer(Michel Meyer), Newfund Management, Xavier Gury(Xavier Gury)</t>
  </si>
  <si>
    <t>90394-75T</t>
  </si>
  <si>
    <t>Laboté</t>
  </si>
  <si>
    <t>Manufacturer of cosmetics and beauty products intended to give both men and women a beauty experience. The company's products include day creams, serums and night creams made from unique and personalized formulas to meet custom skincare needs, enabling consumers to experience a modern and natural way to treat skin problems and enhance their beauty.</t>
  </si>
  <si>
    <t>beauty products, cosmetic producer, cosmetics firm, essential oils, night cream, skin analysis, skincare and beauty</t>
  </si>
  <si>
    <t>Beauty, E-Commerce, Manufacturing</t>
  </si>
  <si>
    <t>80832-52T</t>
  </si>
  <si>
    <t>Axegaz Trading &amp; Technologies</t>
  </si>
  <si>
    <t>Gas Utilities*</t>
  </si>
  <si>
    <t>Provider of sustainable energy alternatives intended to make LNG (liquefied natural gas) and bio-LNG available to everybody. The company's offerings include liquefied natural gas with the required energy infrastructure to monitor consumption remotely and in real-time and also anticipate tank deliveries, enabling industries to exploit LNG sources to improve their environmental footprint and achieve operational savings.</t>
  </si>
  <si>
    <t>123 Investment Managers, Caisse des Depots Group</t>
  </si>
  <si>
    <t>biomass energy, biomass power, clean conventional fuel, clean fuel, natural gas fuel, sustainable energy alternatives, sustainable energy product, sustainable fuel</t>
  </si>
  <si>
    <t>Gas Utilities</t>
  </si>
  <si>
    <t>CleanTech, Climate Tech, Industrials, Oil &amp; Gas</t>
  </si>
  <si>
    <t>126626-41T</t>
  </si>
  <si>
    <t>117175-06T</t>
  </si>
  <si>
    <t>Commanders Act</t>
  </si>
  <si>
    <t>Developer of a cloud-based data protection platform designed to collect, match and activate data. The company's platform permits standardized data collection at the source and transforming it into actionable strategies to send the right message, at the right time, to every single one of their clients and prospects, whatever their preferred channel, and improve the relevance and optimize their media budget, enabling businesses to have access to reliable data to evaluate the performance of their marketing tactics.</t>
  </si>
  <si>
    <t>Bpifrance, Hi Inov(Pierre-Henri Dentressangle), Made For All, XAnge</t>
  </si>
  <si>
    <t>analytics &amp; business intelligence, analytics and business intelligence, analytics platform, digital analytics, marketing analytics, online marketing platform, point marketing, privacy management, tags management</t>
  </si>
  <si>
    <t>116169-85T</t>
  </si>
  <si>
    <t>INSEAD Business Angels, Xavier Court</t>
  </si>
  <si>
    <t>194125-60T</t>
  </si>
  <si>
    <t>Tipeee</t>
  </si>
  <si>
    <t>Financial Software*, Other Financial Services, Social Content</t>
  </si>
  <si>
    <t>Operator of a crowdfunding platform intended to allow creators to receive financial support. The company's participative financing platform helps to concentrate on the content work, without depending solely on advertising revenues, enabling content communities to remain in control of the quality and pace of their content.</t>
  </si>
  <si>
    <t>content community, crowdfunding model, crowdfunding site, finance partnering, money raising platform, tips payment</t>
  </si>
  <si>
    <t>78199-30T</t>
  </si>
  <si>
    <t>Bustronome</t>
  </si>
  <si>
    <t>Automotive, Restaurants and Bars*</t>
  </si>
  <si>
    <t>Operator of a chain of mobile restaurants and tourist buses intended for travelers to discover French and English gastronomy while traveling through landmarks. The company's mobile restaurant is based on a custom-designed double-decker bus with its top deck serving as an aesthetically pleasing dining room, created using wood paneling, designer chairs, carefully chosen cutlery, and glassware, enabling tourists and travelers to enjoy an exquisite dining experience while enjoying the scenic beauty and architectural heritage of Paris and London.</t>
  </si>
  <si>
    <t>mobile hotel, mobile restaurant, restaurant technology, tour bus service, tour operator, tourist bus</t>
  </si>
  <si>
    <t>191688-31T</t>
  </si>
  <si>
    <t>Family Twist</t>
  </si>
  <si>
    <t>Provider of luxury family travel services intended to offer family vacation experiences in Europe for families with children of all ages. The company offers private, entertaining and educational activities, tailored to each family's specific needs and interests, enabling customers to create lasting memories with their loved ones in some of the iconic destinations in the world.</t>
  </si>
  <si>
    <t>Didier Chambard(Didier Chambard), Jean Gore(Jean Gore)</t>
  </si>
  <si>
    <t>family travel guide, family travel services, tour packages booking, tour packages provider, travel guide, vacation guide</t>
  </si>
  <si>
    <t>132639-04T</t>
  </si>
  <si>
    <t>Ekotrip</t>
  </si>
  <si>
    <t>Developer of a business travel platform designed to optimize the professional travel of employees. The company's platform helps to manage travel programs in automatic mode, without micromanagement and customized spending limits allowing and viewing travel expenses in real-time, enabling businesses to book, optimize, and manage business trips.</t>
  </si>
  <si>
    <t>business travel info, cost reduction travel, relevant travel option, travel management, travel policy, travel software</t>
  </si>
  <si>
    <t>78076-45T</t>
  </si>
  <si>
    <t>Bpifrance(Philippe Boucheron), Medtronic (NYS: MDT), Novo Holdings(Emmanuelle Coutanceau), Seventure Partners, Sofinnova Partners(Antoine Papiernik), Ysios Capital(Josep Sanfeliu)</t>
  </si>
  <si>
    <t>78879-43T</t>
  </si>
  <si>
    <t>IRD Invest, Re-Sources Capital, Siparex Group(Stephane Agaësse)</t>
  </si>
  <si>
    <t>77955-67T</t>
  </si>
  <si>
    <t>Bpifrance(Mailys Ferrere), Jean-François Carré(Jean-François Carré), Marc Jalabert(Marc Jalabert), Martin Solveig(Martin Solveig), Stephane Bohbot(Stephane Bohbot), XLR Capital</t>
  </si>
  <si>
    <t>79558-84T</t>
  </si>
  <si>
    <t>WINGiT</t>
  </si>
  <si>
    <t>Provider of an online mobile-based application designed to help users to find social events. The company's application provides in real time all the events posted on social networks by local insiders, enabling users to search for events or activities which are going to happen in nearby locations and to share it with their friends.</t>
  </si>
  <si>
    <t>5M Ventures, Banexi Ventures Partners</t>
  </si>
  <si>
    <t>content discovery, location-based software, online event search, social app, social event app</t>
  </si>
  <si>
    <t>87787-09T</t>
  </si>
  <si>
    <t>Idinvest Partners(Vanessa Malier), Kurma Partners(Remi Droller)</t>
  </si>
  <si>
    <t>132574-78T</t>
  </si>
  <si>
    <t>99440-56T</t>
  </si>
  <si>
    <t>Flash BioSolutions</t>
  </si>
  <si>
    <t>Biotechnology*, Drug Delivery</t>
  </si>
  <si>
    <t>Manufacturer of gene transfer tools intended to develop cellular and animal models for validating candidate genes and drug screening. The company produces highly concentrated and purified viral vectors and develops predictive experimental cellular models and genetically modified animals using its patented non-integrative technology and integrative lentiviral vectors.</t>
  </si>
  <si>
    <t>Angel Investors Consortium, Elaia Partners(Franck Lescure), FaDiese(Isabelle de Baillenx), Galia Gestion(Claudia Daugan), Viva Biotech (HKG: 01873)</t>
  </si>
  <si>
    <t>gene therapeutics, gene therapeutics technology, gene therapy, genetic disease, innovative drugs, lentiviral vectors</t>
  </si>
  <si>
    <t>114016-33T</t>
  </si>
  <si>
    <t>ISAI, Notus Technologies</t>
  </si>
  <si>
    <t>121465-81T</t>
  </si>
  <si>
    <t>211602-43T</t>
  </si>
  <si>
    <t>WIT France</t>
  </si>
  <si>
    <t>Manufacturer of glass tube containers intended to offer wines to be stored in individual formats. The company's containers are sealed with crimped screw caps with the same guarantee of quality and preservation as in traditional bottles, enabling consumers to consume wines and spirits even in small formats.</t>
  </si>
  <si>
    <t>Agoranov</t>
  </si>
  <si>
    <t>container delivery, container maker, container manufacturer, container product, containers and packaging, wine container</t>
  </si>
  <si>
    <t>132977-17T</t>
  </si>
  <si>
    <t>Xyt</t>
  </si>
  <si>
    <t>Automotive, Other Commercial Services, Road*</t>
  </si>
  <si>
    <t>Developer of modular electric vehicles designed to offer urban logistics services. The company's modular vehicles can accommodate several types of load to perform rotations including swap bodies used in heavy logistics, and have a multitude of business applications, enabling clients to get tailor-made last-mile delivery services.</t>
  </si>
  <si>
    <t>ACG (investor)</t>
  </si>
  <si>
    <t>automotive manufacturer, climate tech company, electric vehicle, last mile mobility, logistics service, mobility services</t>
  </si>
  <si>
    <t>125346-79T</t>
  </si>
  <si>
    <t>Music &amp; Opera</t>
  </si>
  <si>
    <t>Operator of a ticket booking platform intended to let customers choose good performances of artists and book tickets. The company's platform offers an overview of the opera, dance, and classical concert seasons every year consisting of numerous performances in various countries, enabling customers to get privileged contact with the theaters and advice on the best tickets.</t>
  </si>
  <si>
    <t>booking platform, booking platform company, classical concerts, classical music, entertainment guide, ticket booking site</t>
  </si>
  <si>
    <t>190948-42T</t>
  </si>
  <si>
    <t>135217-72T</t>
  </si>
  <si>
    <t>Château Puech-Haut</t>
  </si>
  <si>
    <t>Beverages*, Restaurants and Bars, Specialty Retail</t>
  </si>
  <si>
    <t>Producer of wine and alcoholic beverages based in Saint-Drézéry, France. The company's beverages include a wide range of liquor and wine and also operates a tasting room with paintings for social gatherings and events, enabling consumers to enjoy premium quality wine.</t>
  </si>
  <si>
    <t>alcohol retail service, consumer product, languedoc wine, wine barrels, wine growing, wine plant, wine retailer</t>
  </si>
  <si>
    <t>77519-35T</t>
  </si>
  <si>
    <t>360 Capital, Bosch Ventures(Gadi Toren), CEA Investissement, iBionext(Alexia Perouse), Intel Capital(Marcos Battisti), Nicolas Autret(Nicolas Autret), Renault Retail Group (France), Supernova Invest</t>
  </si>
  <si>
    <t>117516-52T</t>
  </si>
  <si>
    <t>Angyal</t>
  </si>
  <si>
    <t>82220-23T</t>
  </si>
  <si>
    <t>CIP sysTems</t>
  </si>
  <si>
    <t>Manufacturer of an industrial system designed to offer cleaning and decontamination facilities for patented surfaces. The company's system provides conveyor belt cleaning services during the production phases while providing substantial gains on the consumption of water, energy, and running costs, thereby enabling businesses to get an environmentally friendly and energy-efficient cleaning process.</t>
  </si>
  <si>
    <t>cleaning device, cleaning process, cleaning product, ultrasonic cleaners, ultrasonic systems</t>
  </si>
  <si>
    <t>CleanTech, Manufacturing, TMT</t>
  </si>
  <si>
    <t>73695-25T</t>
  </si>
  <si>
    <t>123 Investment Managers, Alain Afflelou, Altana Investissements, BluePrint Partners (Belgium), Caisse des Depots Group, LeasePlan, Société de Développement Professionnel Pierre Esnée, Tech Invest Group (WAR: ERA), Weber Investissements</t>
  </si>
  <si>
    <t>80136-46T</t>
  </si>
  <si>
    <t>Dynamo (Paris)</t>
  </si>
  <si>
    <t>Provider of fitness classes through indoor cycling studios intended to offer a complete workout that connects body and mind in rhythm with the music. The company's classes enable users to perform full cardio workouts using indoor cycling, yoga and boxing with the guidance of various sports coaches.</t>
  </si>
  <si>
    <t>Eutopia(Camille Kriebitzsch), Otium Capital</t>
  </si>
  <si>
    <t>body workout, boutique fitness, boutique fitness studio, cycling classes, cycling facility, fitness classes platform, fitness studio, indoor bikes rides, indoor cycling</t>
  </si>
  <si>
    <t>105550-93T</t>
  </si>
  <si>
    <t>Gustave et Rosalie</t>
  </si>
  <si>
    <t>Developer of an online content-sharing application designed to discover Paris and its point of interest. The company's application specializes in publishing social content such as love stories, tours and travel journals, romantic weekend tour schedules, and similar lifestyle updates, enabling couples to share their experiences and assist other users via a mobile application.</t>
  </si>
  <si>
    <t>Iron Capital., Kima Ventures</t>
  </si>
  <si>
    <t>media content management, media group, media publishing platform, online content sharing, online magazine publisher, social content sharing</t>
  </si>
  <si>
    <t>77627-17T</t>
  </si>
  <si>
    <t>77621-77T</t>
  </si>
  <si>
    <t>Accel(Luciana Lixandru), AngelSquare, Julien Codorniou(Julien Codorniou), Kima Ventures, Thierry Petit(Thierry Petit)</t>
  </si>
  <si>
    <t>116871-13T</t>
  </si>
  <si>
    <t>Spartacus3D</t>
  </si>
  <si>
    <t>Industrial Supplies and Parts, Machinery (B2B), Other Commercial Services*</t>
  </si>
  <si>
    <t>Manufacturer of printing devices intended to produce and sell 3D printed metal parts. The company's devices are produced using metal additive manufacturing techniques, enabling clients to maximize the potential for the production of parts using selective laser melting or electron beam melting process.</t>
  </si>
  <si>
    <t>3d printer, 3d printing devices, additives manufacturing, electronic printing product, industrial additives manufacturing, manufacturing, metal additive manufacturing, printing technology center</t>
  </si>
  <si>
    <t>77769-19T</t>
  </si>
  <si>
    <t>Brighteye Ventures, Paris Business Angels, UI Investissement</t>
  </si>
  <si>
    <t>77562-28T</t>
  </si>
  <si>
    <t>Adyoulike</t>
  </si>
  <si>
    <t>Developer of a native advertising exchange platform designed to provide standard advertising experience. The company's platform leverages technology like artificial intelligence and semantic targeting to integrate the advertisement directly into the editorial content and also provides bespoke servicing, enabling clients to find the right choice, quality, and scale of ads to drive results.</t>
  </si>
  <si>
    <t>BNP Paribas Développement, Bpifrance, Kreaxi(Philippe Herbert)</t>
  </si>
  <si>
    <t>ad exchange platform, crm, customer relationship management, editorial content, illegible character, native advertising network, native classic, online advertising</t>
  </si>
  <si>
    <t>AdTech, Artificial Intelligence &amp; Machine Learning, Marketing Tech, TMT</t>
  </si>
  <si>
    <t>78777-73T</t>
  </si>
  <si>
    <t>Boehringer Ingelheim Venture Fund(Detlev Mennerich), Idinvest Partners, Kurma Partners(Remi Droller)</t>
  </si>
  <si>
    <t>93756-70T</t>
  </si>
  <si>
    <t>VetoTech</t>
  </si>
  <si>
    <t>Diagnostic Equipment*, Therapeutic Devices</t>
  </si>
  <si>
    <t>Developer of a technical radiotherapy equipment designed to permit every vet to fight cancer with efficiency. The company's equipment focuses on shared veterinary imaging for animal health, enabling animal health and researchers to treat their animals and to improve the research in veterinary and human cancer.</t>
  </si>
  <si>
    <t>Autonomie &amp; Solidarité, Groupe IRD, Nord France Amorçage</t>
  </si>
  <si>
    <t>animal health care, animal healthcare, radiation therapy, radiotherapy, radiotherapy service, therapeutic platform, veterinary cancer treatment, veterinary imaging</t>
  </si>
  <si>
    <t>Life Sciences, Oncology, TMT</t>
  </si>
  <si>
    <t>126455-86T</t>
  </si>
  <si>
    <t>Romy.</t>
  </si>
  <si>
    <t>Developer of cosmetic products intended to provide tailor-made skincare to customers. The company's products deal with personal skincare that releases the encapsulated active ingredients at the last minute and integrate them into the chosen skincare base, enabling customers to create an effective, freshly formulated skincare regime.</t>
  </si>
  <si>
    <t>cosmetic goods, cosmetic products, cosmetic products online, skincare product, skincare technology, tailoring made skincare</t>
  </si>
  <si>
    <t>126539-20T</t>
  </si>
  <si>
    <t>108692-20T</t>
  </si>
  <si>
    <t>ESSEC Alumni Business Angel, Paris Business Angels</t>
  </si>
  <si>
    <t>78672-07T</t>
  </si>
  <si>
    <t>77447-80T</t>
  </si>
  <si>
    <t>NewOxatis</t>
  </si>
  <si>
    <t>Developer of e-commerce software based in Marseille, France. The company provides e-commerce solutions for the creation and management of commercial sites allowing small and medium-sized businesses, craftsmen, merchants, or self-employed to create and manage their sites, enabling clients to avail the solution for smooth e-commerce business without any disruption.</t>
  </si>
  <si>
    <t>A Plus Finance(Niels Court-Payen), Arkéa Capital, Omnes Capital(Renaud Poulard), Sofiouest, TempoCap</t>
  </si>
  <si>
    <t>cloud technology, commercial site, ecommerce software, ecommerce software platform, ecommerce software solutions, ecommerce website, saas</t>
  </si>
  <si>
    <t>77445-10T</t>
  </si>
  <si>
    <t>CapInvest, Eutopia(Camille Kriebitzsch), Otium Capital</t>
  </si>
  <si>
    <t>77494-24T</t>
  </si>
  <si>
    <t>RefundMyTicket.Net</t>
  </si>
  <si>
    <t>Operator of an online platform intended to provide traveling reimbursement. The company's platform identifies, checks, validates, and launches the refund processes, enabling air passengers suffering from delays, cancellations, and overbooking to claim their rights to compensation.</t>
  </si>
  <si>
    <t>A-Venture(André Raoul), Abeille Assurances, Bpifrance</t>
  </si>
  <si>
    <t>compensation care, legal tech platform, refund service, reimbursement claims, reimbursement service, travel reimbursement</t>
  </si>
  <si>
    <t>Legal Tech, Mobility Tech, TMT</t>
  </si>
  <si>
    <t>136745-02T</t>
  </si>
  <si>
    <t>Bleu Capital, Carson Private Capital, Eurazeo (PAR: RF)(Virginie Morgon), H14, Highland Europe(Anthony Zappalà), Kohlberg Kravis Roberts (NYS: KKR), Seed4Soft</t>
  </si>
  <si>
    <t>89261-74T</t>
  </si>
  <si>
    <t>Displayce</t>
  </si>
  <si>
    <t>Operator of a programmatic advertising platform intended to help advertisers to set up geolocated and contextual campaigns. The company's platform allows users to purchase automated and targeted advertising spaces on digital screens, enabling advertisers to optimize purchasing, impact, and quality of advertising broadcasts on digital panels.</t>
  </si>
  <si>
    <t>3A Venture, Aquitaine Development Innovation, AQUITI Gestion, Boss Corp, Bpifrance, Finaqui, Région Nouvelle-Aquitaine</t>
  </si>
  <si>
    <t>advertising campaigns, advertising platform, advertising space provider, digital advertising, digital panels, programmatic advertising platform</t>
  </si>
  <si>
    <t>88160-59T</t>
  </si>
  <si>
    <t>Matahi</t>
  </si>
  <si>
    <t>Beverages*, Food Products</t>
  </si>
  <si>
    <t>Producer of natural baobab energy drink intended to serve across Africa. The company offers drinks, chili purees, flour, semolina, mango, pineapple and guava jams.</t>
  </si>
  <si>
    <t>Capagro, Sofilaro</t>
  </si>
  <si>
    <t>bio-engineered food, energy drink, energy drink business, energy drink company, fruit drink producer, functional food, medicinal property, natural ingredients, organic beverages</t>
  </si>
  <si>
    <t>116756-83T</t>
  </si>
  <si>
    <t>Orson.io</t>
  </si>
  <si>
    <t>Developer of website creation tool intended to create multi-device websites. The company's software integrates all the technical parts including hosting, storage, domain name and hypertext transfer protocol secure and also permits customization of a sublime professional template with the desired content, enabling website developers to create a professional website with ease.</t>
  </si>
  <si>
    <t>Bpifrance, Groupe Positive(Mathieu Tarnus)</t>
  </si>
  <si>
    <t>customized website, website builder, website builder software, website creation, website creation services, website creation software, website creation tool</t>
  </si>
  <si>
    <t>Vic-sur-Cère, France</t>
  </si>
  <si>
    <t>77289-04T</t>
  </si>
  <si>
    <t>Elior Group (PAR: ELIOR), Jacques-Antoine Granjon(Jacques-Antoine Granjon), Marc Simoncini(Marc Simoncini), Thibaud Elziere(Thibaud Elziere), Xavier Niel(Xavier Niel)</t>
  </si>
  <si>
    <t>126543-97T</t>
  </si>
  <si>
    <t>TribloO</t>
  </si>
  <si>
    <t>Operator of a travel booking platform intended to offer information about diving courses around the world for all levels. The company's platform facilitates the discovery of the right dive destinations and dive centers and allows online booking of scuba diving sessions from a wide selection of independently reviewed and quality-labeled centers, enabling divers to review and select the dive centers according to their preferences.</t>
  </si>
  <si>
    <t>diving platform, diving services, scuba diving, scuba diving courses, scuba diving information, travel arrangements, travel booking service</t>
  </si>
  <si>
    <t>125597-44T</t>
  </si>
  <si>
    <t>Upfit (France)</t>
  </si>
  <si>
    <t>Developer of software intended to help find ideal size during a purchase of clothing. The company's software plug-in uses customer data like age, height, weight and shape to offer size recoomendations, enabling customers to significantly reduces the return rate and get desired sizes for clothes.</t>
  </si>
  <si>
    <t>cloth sizing solution, clothing sizing advisor, clothing sizing recommendations, digital mastering tapes, fittings service</t>
  </si>
  <si>
    <t>113335-03T</t>
  </si>
  <si>
    <t>True.</t>
  </si>
  <si>
    <t>77839-03T</t>
  </si>
  <si>
    <t>Benoît Sillard(Benoît Sillard), Fa Sharp(Fa Sharp), FaDiese, Financière Saint James, Guibor, St James Capital Partners</t>
  </si>
  <si>
    <t>77479-84T</t>
  </si>
  <si>
    <t>Extens(Arnaud Houette), Innovation Capital (Paris)(Franck Noiret), KCE Consultants, LBO France(Franck Noiret), Lenapart</t>
  </si>
  <si>
    <t>77126-32T</t>
  </si>
  <si>
    <t>TrackInsight</t>
  </si>
  <si>
    <t>Developer of an exchange-traded funds analysis platform designed to help professionals make better investment decisions. The company's platform offers global investors information about financial metrics, daily returns, flows, the risk incurred, and rating, enabling investors to search, compare, and select among the funds listed in Europe, North America, and Asia.</t>
  </si>
  <si>
    <t>Abeille Assurances(Hugues Sévérac), NewAlpha Asset Management(Jonathan Sabban)</t>
  </si>
  <si>
    <t>data analysis, etf analysis, exchange traded fund, financial data, investment analysis, investment analyst, portfolio managment</t>
  </si>
  <si>
    <t>84833-83T</t>
  </si>
  <si>
    <t>77082-58T</t>
  </si>
  <si>
    <t>Hi Inov, SNCF Digital Ventures</t>
  </si>
  <si>
    <t>129499-39T</t>
  </si>
  <si>
    <t>Colisweb</t>
  </si>
  <si>
    <t>Developer of a shipping platform designed to streamline urban logistics. The company's platform instantly selects the suitable courier to complete the delivery in only a few hours or by appointment, all at traditional shipping prices, enabling customers to get delivery of their items quickly in an affordable manner.</t>
  </si>
  <si>
    <t>Bpifrance, Nord France Amorçage, The Field</t>
  </si>
  <si>
    <t>customized delivery, delivery service, home delivery service, intra-city delivery, scm, shipping service provider, shipping services, supply chain management</t>
  </si>
  <si>
    <t>122789-71T</t>
  </si>
  <si>
    <t>75146-14T</t>
  </si>
  <si>
    <t>MATHYM</t>
  </si>
  <si>
    <t>Developer of nano-dispersions catering to dental, fine ceramics, photonics, displays, biomedical and semiconductor manufacturing industries. The company's nano-dispersions bring or reinforce critical properties within medical devices that ensure a steady and homogeneous dispersion of nanoparticles in liquid, thereby enabling researchers to research in an enhanced way.</t>
  </si>
  <si>
    <t>Banexi Ventures Partners, InnovationFund, Kreaxi, OCTALFA(Gilles Alberici), Ravenala, Rhône-Alpes Création, The Innovation Fund</t>
  </si>
  <si>
    <t>biomedical application, custom products, fine ceramic, nano dispersions, nanoparticle product, semiconductor application</t>
  </si>
  <si>
    <t>Life Sciences, Nanotechnology, TMT</t>
  </si>
  <si>
    <t>Champagne-Au-Mont-D'Or, France</t>
  </si>
  <si>
    <t>77082-13T</t>
  </si>
  <si>
    <t>Bpifrance, LivaNova (NAS: LIVN), Medtronic (NYS: MDT)(Stephen Oesterle), Sofinnova Partners(Denis Lucquin)</t>
  </si>
  <si>
    <t>129576-61T</t>
  </si>
  <si>
    <t>Nestadio Capital</t>
  </si>
  <si>
    <t>84832-66T</t>
  </si>
  <si>
    <t>Bagel Corner</t>
  </si>
  <si>
    <t>Operator of a fast-food restaurant chain intended to provide bagels using takeaway facilities. The company offers bagels and salads using fresh ingredients imported from different parts of Europe, enabling consumers to receive bagel products quickly for delivery, takeaway, or dine-in.</t>
  </si>
  <si>
    <t>David Borgel(David Borgel), Francis Viriot(Francis Viriot), Starquest Capital(Arnaud Delattre)</t>
  </si>
  <si>
    <t>bagels chain, bagels delivery, bagels shops, bagels stores, fast food, fast food chain, fast food restaurant</t>
  </si>
  <si>
    <t>77009-68T</t>
  </si>
  <si>
    <t>CapHorn Invest(Marion Chanéac), Ecomobility Ventures, Idinvest Partners(Louis Bô)</t>
  </si>
  <si>
    <t>44161-39T</t>
  </si>
  <si>
    <t>CentrExpert</t>
  </si>
  <si>
    <t>Distributors/Wholesale*, Electrical Equipment, Machinery (B2B)</t>
  </si>
  <si>
    <t>Provider of machines and equipment conversion services intended to be used for explosive atmospheres, more commonly known as atmosphere explosible (ATEX) zones. The company's services provide an onboard gas-detection system, certified for use in the ATEX zone to assess the risk and minimize the danger, enabling businesses to get consulting in the world of ATEX compliance, without a calibration bottle.</t>
  </si>
  <si>
    <t>Crédit Mutuel Impact, Kreaxi, Rhône Dauphiné Développement</t>
  </si>
  <si>
    <t>equipment conversion, explosives safety, gas detection, gas detection system, gas detector, security audit, security level</t>
  </si>
  <si>
    <t>Industrials, Oil &amp; Gas</t>
  </si>
  <si>
    <t>Chasse Sur Rhone, France</t>
  </si>
  <si>
    <t>76944-43T</t>
  </si>
  <si>
    <t>Coorpacademy</t>
  </si>
  <si>
    <t>Developer of a learning experience platform designed to revolutionize digital learning for employees. The company's platform has a catalog of training courses with short sessions that are accessible at any time and on any medium, enabling users to get customized content tailored to their needs.</t>
  </si>
  <si>
    <t>Après-demain, NextStage AM, Serena (Paris)(Philippe Hayat)</t>
  </si>
  <si>
    <t>digital learning, learning platform, online courses, online learning platform, online learning services, professional training, vocational training</t>
  </si>
  <si>
    <t>121308-49T</t>
  </si>
  <si>
    <t>Allianz France, Bpifrance, Hi Inov, Idinvest Partners, InnovAllianz, SNCF Digital Ventures</t>
  </si>
  <si>
    <t>97094-26T</t>
  </si>
  <si>
    <t>76883-05T</t>
  </si>
  <si>
    <t>Banexi Ventures Partners, BNP Paribas Développement, Karista (Paris), Kreaxi, Orkos Capital(Dominique Rencurel), Paris Region Venture Fund, Trail Solutions Patrimoine</t>
  </si>
  <si>
    <t>79004-35T</t>
  </si>
  <si>
    <t>Maison Kitsuné</t>
  </si>
  <si>
    <t>Clothing, Movies, Music and Entertainment, Restaurants and Bars, Specialty Retail*</t>
  </si>
  <si>
    <t>Operator of an online shopping platform intended to offer a diverse range of products. The company's platform offers inspirational fashion, music and coffee shops along with quality men's and women's wear, enabling consumers to access quality products at affordable rates.</t>
  </si>
  <si>
    <t>Siparex Group, Stripe International</t>
  </si>
  <si>
    <t>clothing branding, lifestyle brand, online clothing store, online shopping, shopping platform, shopping portal</t>
  </si>
  <si>
    <t>76881-43T</t>
  </si>
  <si>
    <t>Frst Capital(Bruno Raillard), Geoffroy Roux de Bézieux(Geoffroy Roux de Bézieux), Jean-Daniel Guyot(Jean-Daniel Guyot), Oleg Tscheltzoff(Oleg Tscheltzoff), Otium Capital, The Family (Financial Services)(Oussama Ammar), Xavier Niel(Xavier Niel)</t>
  </si>
  <si>
    <t>76899-97T</t>
  </si>
  <si>
    <t>Celine Lazorthes(Celine Lazorthes), Damien Guermonprez, Eduardo Ronzano(Eduardo Ronzano), Kima Ventures(Xavier Niel), Nicolas Steegmann(Nicolas Steegmann), Thibaud Elziere(Thibaud Elziere)</t>
  </si>
  <si>
    <t>111330-73T</t>
  </si>
  <si>
    <t>PACT Pharma, Remora Biotech</t>
  </si>
  <si>
    <t>77422-96T</t>
  </si>
  <si>
    <t>Pichon Industries</t>
  </si>
  <si>
    <t>Manufacturer of agricultural equipment intended to provide a wide range of liquid and solid spreaders. The company offers agricultural machinery including slurry tankers, manure spreaders, and articulated loaders for small- and medium-sized farms and medium-sized contractors.</t>
  </si>
  <si>
    <t>Bpifrance, Unexo, Unigrains</t>
  </si>
  <si>
    <t>agricultural equipment, agricultural equipment firm, agricultural equipment supplier, agricultural machinery, manure spreaders, precision ag, precision agriculture, robotics &amp; smart field equipment, robotics and smart field equipment, slurry tankers</t>
  </si>
  <si>
    <t>Landivisiau, France</t>
  </si>
  <si>
    <t>194012-47T</t>
  </si>
  <si>
    <t>123000-40T</t>
  </si>
  <si>
    <t>1D Lab</t>
  </si>
  <si>
    <t>Operator of a collective interest cooperative society intended to strengthen the dissemination and remuneration of independent creations. The company identifies concrete avenues and imagines new ecosystems to defend cultural diversity, territories, and fair streaming for a new sharing of value in the digital age, enabling clients to have a public innovative ecosystem for discovering independent creations.</t>
  </si>
  <si>
    <t>Abeille Impact Investing France, Bpifrance, MAIF Investissement Social et Solidaire, PULSE GroupeSOS</t>
  </si>
  <si>
    <t>cooperative society, cultural mediation, digital product, digital services, mobile application, streaming platform</t>
  </si>
  <si>
    <t>117592-48T</t>
  </si>
  <si>
    <t>50 Partners, Brunet, SGH Capital(Alexandre Azoulay)</t>
  </si>
  <si>
    <t>86309-20T</t>
  </si>
  <si>
    <t>Proxem</t>
  </si>
  <si>
    <t>Provider of big data semantic analysis technologies designed to help businesses convert information into comprehensive language. The company's technologies combine linguistics and artificial intelligence in order to collect, analyze and mine textual data, enabling businesses to monitor real time global information gathering for better decision making.</t>
  </si>
  <si>
    <t>data monitoring, decision making service, global information systems, natural language technology, semantic analysis, textual data analysis, textual data processing</t>
  </si>
  <si>
    <t>51408-10T</t>
  </si>
  <si>
    <t>ViewPay</t>
  </si>
  <si>
    <t>Developer of a sustainable video and display ads platform intended to reunite video advertising and payment in a useful approach. The company's digital tools allow users to make digital payments through their advertising attention and help editors monetize their audience, media agencies, advertisers, and announcers to reach engaged and active people, enabling clients to get easy free access to extended premium content.</t>
  </si>
  <si>
    <t>Breega(François Paulus), Femmes Business Angels, Fred &amp; Farid Digital Investment Fund</t>
  </si>
  <si>
    <t>ad network, advertising work, audience monetization, digital advertisement, media agency, mobile applications, payment integration, user engagement, video advertising service</t>
  </si>
  <si>
    <t>188890-93T</t>
  </si>
  <si>
    <t>Angers Loire Development, Bpifrance, Ouest Croissance Gestion, Région des Pays de la Loire, Sodero</t>
  </si>
  <si>
    <t>89138-53T</t>
  </si>
  <si>
    <t>Financière Saint James, Michael Benabou(Michael Benabou), Nopporn Suppipat(Nopporn Suppipat), Pierre Kosciusko Morizet(Pierre Kosciusko Morizet)</t>
  </si>
  <si>
    <t>136912-24T</t>
  </si>
  <si>
    <t>Bpifrance(Delphine Garcia), Investisseurs privés, Thierry Petit(Thierry Petit)</t>
  </si>
  <si>
    <t>79017-58T</t>
  </si>
  <si>
    <t>Exotic Systems</t>
  </si>
  <si>
    <t>Electronic Equipment and Instruments*, IT Consulting and Outsourcing</t>
  </si>
  <si>
    <t>Manufacturer of connected electronic products intended to provide support and frugal sensors that are fit for hostile environments. The company's products include electronic hardware, network protocols, data gathering, software programming, and website applications, enabling clients to optimize the effectiveness of a project and drive projects from idea to structure with ease.</t>
  </si>
  <si>
    <t>Groupe Michelin (PAR: ML)(Emmanuel Ladent), Limagrain(Sebastien Vidal)</t>
  </si>
  <si>
    <t>data gathering, electronic hardware, electronic product, iot hardware, network protocol, software programming</t>
  </si>
  <si>
    <t>116203-24T</t>
  </si>
  <si>
    <t>Other Financial Services*, Private Equity</t>
  </si>
  <si>
    <t>Operator of a crowdfunding platform intended to provide participative financing. The company's platform specializes in venture capital, analyzes the files, and supports startups in their fundraising efforts, investment advisory, and quality company financing, enabling investors to diversify portfolios in order to mitigate risks.</t>
  </si>
  <si>
    <t>Angels Santé, Bernard Kirsch(Bernard Kirsch), Cedre Participations, Didier Valet(Didier Valet), ESSEC Alumni Business Angel, Fabio Mondini(Fabio Mondini), INSEAD Business Angels, ISEP Alumni, IT Angels, Paris Business Angels</t>
  </si>
  <si>
    <t>alternative capital, capital market, capital needs, crowdfunding platform, equity crowdfunding, funding access, investment risk, startup investment</t>
  </si>
  <si>
    <t>126454-06T</t>
  </si>
  <si>
    <t>Etudinfo</t>
  </si>
  <si>
    <t>Provider of educational services designed to dedicate to student orientation. The company's platform provides students to find their way in the jungle of formations, schools, as well as diplomas, enabling students to be provided with sources of information that are both comprehensive and relevant to inform their decisions.</t>
  </si>
  <si>
    <t>access training, educational service platform, educational services, guidance service, jungle of formation, student orientation</t>
  </si>
  <si>
    <t>81782-11T</t>
  </si>
  <si>
    <t>Capagro, ESSEC Ventures, Mulliez Family Association, Takara Capital</t>
  </si>
  <si>
    <t>111908-53T</t>
  </si>
  <si>
    <t>Dhatim</t>
  </si>
  <si>
    <t>Developer of an AI platform designed to provide management alternatives. The company's platform offers a cloud-based platform for energy, telecom, software, content, human resource, and finance applications, enabling businesses to reduce their costs and save time and money.</t>
  </si>
  <si>
    <t>Amundi Private Equity Funds, Bouygues Telecom Initiatives</t>
  </si>
  <si>
    <t>ai automation platform, ai platform, ai platform developer, ai platform service, business analytics, enterprise efficiency, network optimization, telecom software</t>
  </si>
  <si>
    <t>136336-78T</t>
  </si>
  <si>
    <t>Bold+Beyond(Julien Subit), Eefficiency(Jean-Jacques Jurus)</t>
  </si>
  <si>
    <t>80739-91T</t>
  </si>
  <si>
    <t>EasyBroadcast</t>
  </si>
  <si>
    <t>Developer of a video content delivery platform designed to provide an end-to-end over-the-top streaming service. The company's platform is based on the optimization of the bandwidth consumed by the broadcasters of audio and video content in streaming VOD, SVOD, and internet services while improving the quality of the video and audio content, enabling broadcasters and enterprises to monetize content with custom banner ads and reach more audiences on more devices.</t>
  </si>
  <si>
    <t>bandwidth optimization, broadcasting services, delivery model, streaming service, video content platform, video management</t>
  </si>
  <si>
    <t>AdTech, SaaS, TMT</t>
  </si>
  <si>
    <t>120133-99T</t>
  </si>
  <si>
    <t>Envisol</t>
  </si>
  <si>
    <t>Provider of consulting and engineering services intended to focus on polluted sites and soils. The company's services provide a diagnosis of soil and groundwater pollution, enabling nuclear, petroleum, chemical, and naval industries to decrease their environmental impacts.</t>
  </si>
  <si>
    <t>Expansinvest, Garibaldi Participations, Rhône-Alpes PME Gestion, Siparex Group</t>
  </si>
  <si>
    <t>groundwater pollution control, groundwater testing, groundwater treatment, soil analysis, soil diagnostics, soil research</t>
  </si>
  <si>
    <t>La Tour du Pin, France</t>
  </si>
  <si>
    <t>86817-97T</t>
  </si>
  <si>
    <t>F-Reg</t>
  </si>
  <si>
    <t>Manufacturer of a stormwater management system designed to minimize the damage caused by floods. The company's system offers a smart flow control valve that uses pipelines as a buffer water storage and acts as both a collector nozzle and a security overflow, enabling users to avoid the need for additional land while regulating the run-off water and limiting the flooding caused by the hardscaping of urban developments and roadways.</t>
  </si>
  <si>
    <t>Angel's Bay Invest, Bpifrance, Entrepreneurship Network, Réseau entreprendre Atlantique</t>
  </si>
  <si>
    <t>flood protection, flood protection system, flow control valves, sewerage network, stormwater management, water management control, water management system</t>
  </si>
  <si>
    <t>120047-86T</t>
  </si>
  <si>
    <t>Bpifrance, Partech(Romain Lavault)</t>
  </si>
  <si>
    <t>76837-33T</t>
  </si>
  <si>
    <t>Mental Apps</t>
  </si>
  <si>
    <t>Application Software, Clinics/Outpatient Services, Other Healthcare Services*, Other Healthcare Technology Systems</t>
  </si>
  <si>
    <t>Developer of a mobile application designed to treat mental disorders. The company's application helps physicians to improve the lives of the patients suffering from depression, enabling healthcare providers to monitor treatment, sleep quality, mood, and anxiety attacks.</t>
  </si>
  <si>
    <t>health monitoring application, mental care, mental disorder treatment, monitor mental health, tele health treatment, tele patient-care</t>
  </si>
  <si>
    <t>122947-93T</t>
  </si>
  <si>
    <t>Inco Ventures, Weaving Family Office</t>
  </si>
  <si>
    <t>76847-68T</t>
  </si>
  <si>
    <t>Caisse des Depots Group(Gabrielle Gauthey)</t>
  </si>
  <si>
    <t>135251-02T</t>
  </si>
  <si>
    <t>Guides-Shopping</t>
  </si>
  <si>
    <t>Developer of product visibility platform designed to boost online sales. The company's platform undertakes search engine optimization (SEO) to highlight products through purchasing guides and directing visitors to increase their customer base, enabling e-merchants to increase their product visibility resulting in higher sales.</t>
  </si>
  <si>
    <t>online advertising provider, online sales, online sales support, product visibility, seo services, visibility services</t>
  </si>
  <si>
    <t>190276-57T</t>
  </si>
  <si>
    <t>Phi Square Holdings</t>
  </si>
  <si>
    <t>192803-50T</t>
  </si>
  <si>
    <t>CapInvest, Trefilia Capital</t>
  </si>
  <si>
    <t>76399-66T</t>
  </si>
  <si>
    <t>Belcube, DuVal Family Association, NewAlpha Asset Management(Lior Derhy), ODDO BHF Group, Siparex Group, XAnge(Cyril Bertrand)</t>
  </si>
  <si>
    <t>76334-32T</t>
  </si>
  <si>
    <t>Arkéa Capital, Cyrill Karray(Cyrill Karray), Kima Ventures, Sofiouest(Patrice Hutin), White Star Capital(Eric Martineau-Fortin), Xavier Gury(Xavier Gury), Xavier Niel(Xavier Niel)</t>
  </si>
  <si>
    <t>88135-39T</t>
  </si>
  <si>
    <t>SUEZ Ventures(Eric Landais)</t>
  </si>
  <si>
    <t>75670-57T</t>
  </si>
  <si>
    <t>Boehringer Ingelheim Venture Fund(Frank Kalkbrenner), Bpifrance(Chahra Louafi), Inserm Transfert(François Thomas), Karista (Paris)(Catherine Boule), Pontifax Venture Capital(Ohad Hammer), Sofimac Innovation</t>
  </si>
  <si>
    <t>76703-32T</t>
  </si>
  <si>
    <t>MediaSchool Group</t>
  </si>
  <si>
    <t>Provider of higher education and continuous training intended for the communication, digital and media fields. The company engages in educational programs and practices through internships and work-study programs, enabling students to get their proper education, for a brighter future.</t>
  </si>
  <si>
    <t>123 Investment Managers, Financière Saint James</t>
  </si>
  <si>
    <t>education institution, higher education institution, journalism training, media training, private higher education institutional services, professional hub for education, secondary educational services</t>
  </si>
  <si>
    <t>76380-76T</t>
  </si>
  <si>
    <t>Emertec Gestion(Olivier Bordelanne), François-Xavier Anscutter(François-Xavier Anscutter), Karista (Paris)(Olivier Dubuisson)</t>
  </si>
  <si>
    <t>86633-38T</t>
  </si>
  <si>
    <t>Vivienne Investissement</t>
  </si>
  <si>
    <t>Operator of an asset management platform intended to provide a rigorous and disciplined asset management process to its clients. The company's platform focuses on providing investment management services through innovation, research, and systematic models helping in the design of strategies based on the dynamic control of risks, enabling clients to build and assemble strategies within a management process based on dynamic risk control.</t>
  </si>
  <si>
    <t>Credit Mutuel Arkea</t>
  </si>
  <si>
    <t>asset management, asset management company, asset management firm, asset management process, asset management system, investment research, portfolio construction, stock market</t>
  </si>
  <si>
    <t>76242-61T</t>
  </si>
  <si>
    <t>Zenly</t>
  </si>
  <si>
    <t>Developer of a mobile-based location-sharing application designed to let users see where their friends currently are on a map. The company's platform leverages users' sensor and location data and provides an in-app messaging platform,thereby enabling users to socialize with friends and family whilst simultaneously sharing locations.</t>
  </si>
  <si>
    <t>Benchmark Capital Holdings(Peter Fenton), Idinvest Partners, Insight Partners(Jeffrey Horing), Jerry Murdock(Jerry Murdock), Xavier Niel(Xavier Niel)</t>
  </si>
  <si>
    <t>gps locator, location data, location sharing, location sharing application, location sharing platform, location technology, navigation system</t>
  </si>
  <si>
    <t>130127-41T</t>
  </si>
  <si>
    <t>Bpifrance, Juvamed, Medicen, OHMK Medical Technology</t>
  </si>
  <si>
    <t>201927-25T</t>
  </si>
  <si>
    <t>81354-52T</t>
  </si>
  <si>
    <t>Starquest Capital(Julien Le Drogo)</t>
  </si>
  <si>
    <t>101452-42T</t>
  </si>
  <si>
    <t>Charles-Hubert de Chaudenay(Charles-Hubert de Chaudenay), Damien Vincent(Damien Vincent), Iron Capital., Julien Foussard(Julien Foussard), Michael Benabou(Michael Benabou), Pierre Kosciusko Morizet(Pierre Kosciusko Morizet)</t>
  </si>
  <si>
    <t>76282-57T</t>
  </si>
  <si>
    <t>75878-11T</t>
  </si>
  <si>
    <t>FoodChéri</t>
  </si>
  <si>
    <t>Operator of a food tech company intended to help companies in Paris and Ile-de-France improve their employees' lunch breaks. The company's food ordering platform offers a wide range of meals starting from starters to main courses to desserts and beverages from multiple cuisines around the world, enabling customers to choose meals from a wide range of choices from the comfort of their home through a mobile application.</t>
  </si>
  <si>
    <t>360 Capital, Ambrosia Investments, Breega, Samaipata(Jose del Barrio)</t>
  </si>
  <si>
    <t>food application, food delivery app, food delivery application, food ordering app, food ordering platform, food tech, food technology, ghost kitchen, restaurant &amp; retail tech, restaurant and retail technology, virtual restaurant</t>
  </si>
  <si>
    <t>117594-91T</t>
  </si>
  <si>
    <t>Bpifrance, Genoa Ventures, Kurma Partners(Thierry Laugel)</t>
  </si>
  <si>
    <t>70131-52T</t>
  </si>
  <si>
    <t>Andrea Piccioni(Andrea Piccioni), Francis Nappez(Francis Nappez), Frédéric Mazzella(Frédéric Mazzella), Kaya VC, Klaus Nyengaard(Klaus Nyengaard), Mariusz Gralewski(Mariusz Gralewski), Point Nine Capital(Mathias Ockenfels), Protos Venture Capital, Silvio Pagliani(Silvio Pagliani)</t>
  </si>
  <si>
    <t>76453-57T</t>
  </si>
  <si>
    <t>AngelSquare, Bpifrance, Leap Ventures(Herve Cuviliez)</t>
  </si>
  <si>
    <t>77793-67T</t>
  </si>
  <si>
    <t>Damien Grulier(Damien Grulier), Ternel, The Family (Financial Services), Wind Capital</t>
  </si>
  <si>
    <t>76294-63T</t>
  </si>
  <si>
    <t>Adot</t>
  </si>
  <si>
    <t>Developer of a cross-device marketing platform designed to generate qualified traffic on sites. The company's platform identifies and builds similar audiences using exclusive data and meets communication objectives, from optimizing the awareness score to generating leads, enabling clients to meet their communication objectives.</t>
  </si>
  <si>
    <t>Veepee (Online Retail Store)</t>
  </si>
  <si>
    <t>advertising technology, marketing analysis platform, marketing insights provider, media activation, mobile advertising network, online marketing analytics</t>
  </si>
  <si>
    <t>109963-36T</t>
  </si>
  <si>
    <t>Cutie Pie</t>
  </si>
  <si>
    <t>Manufacturer and retailer of food preparation kits designed to permit kids to bake and cook. The company's kits use only natural dyes and are free from palm oil and offer participation options for children of all ages, enabling children and families to engage in a fun, tasty, and rewarding activity.</t>
  </si>
  <si>
    <t>Bpifrance, Invest PME(Patrick Blasselle)</t>
  </si>
  <si>
    <t>baking product, cooking kits, food kits, food preparation, food preparation firm, food preparation kits, food product manufacturer, food products</t>
  </si>
  <si>
    <t>Dijon Cedex, France</t>
  </si>
  <si>
    <t>83111-23T</t>
  </si>
  <si>
    <t>Calao Finance, CEA Investissement, Crédit Mutuel Equity(Stéphane Simoncini), Safran Corporate Ventures(Helene de Cointet)</t>
  </si>
  <si>
    <t>110271-34T</t>
  </si>
  <si>
    <t>Investessor, Timezone Ventures, WeLikeStartup</t>
  </si>
  <si>
    <t>93737-71T</t>
  </si>
  <si>
    <t>Mimesys</t>
  </si>
  <si>
    <t>Communication Software*, Multimedia and Design Software</t>
  </si>
  <si>
    <t>Provider of a hologram teleconferencing software designed to help increasingly-disperse modern workforces to communicate and collaborate in real-time more seamlessly. The company's software captures people in real time and in 3D, to stream those images over the internet after which the images are placed in a virtual world with another virtual reality or augmented reality- equipment such as the Oculus Rift or the Microsoft Hololens, enabling its users to hold meetings and communicate with people.</t>
  </si>
  <si>
    <t>Frank Bekkers(Frank Bekkers), Jan Van Gael(Jan Van Gael), Koen Desmedt(Koen Desmedt), LRM, Theodoor Vanheusden(Theodoor Vanheusden)</t>
  </si>
  <si>
    <t>holographic communication, holographic meeting platform, holographic platform, holographic systems, video camera</t>
  </si>
  <si>
    <t>158146-30T</t>
  </si>
  <si>
    <t>SeDomicilier</t>
  </si>
  <si>
    <t>Legal Services (B2B)*, Media and Information Services (B2B)</t>
  </si>
  <si>
    <t>Provider of business domiciliation services intended to help free companies, associations, freelancers, and liberal professions from administrative tasks involved in traditional domiciliation. The company's services offer different addresses to set up as a head office along with other virtual office services such as mail management, office, and meeting room rental, virtual secretary, and hotline, enabling clients to save time, and effort and get transparent rates.</t>
  </si>
  <si>
    <t>OCP Group (Paris)</t>
  </si>
  <si>
    <t>business consulting, commercial domiciliation, company domiciliation, meeting rooms rental, office rental search, office rental space</t>
  </si>
  <si>
    <t>134979-40T</t>
  </si>
  <si>
    <t>Les Nouveaux Ateliers</t>
  </si>
  <si>
    <t>Operator of a network of fashion boutiques intended to offer designer clothing for men. The company's boutiques offer clothing service which includes a line of made-to-measure suits and linen shirts using 3D body scanning technology which digitally rebuilds the body in less than one second, enabling men to purchase a three-piece suit for any kind of occasion at reasonable prices.</t>
  </si>
  <si>
    <t>apparel and fashion, apparel and fashion products, customized clothing, designer clothing, men's clothing, online fashion store, retail apparel</t>
  </si>
  <si>
    <t>134436-34T</t>
  </si>
  <si>
    <t>Nomad Education</t>
  </si>
  <si>
    <t>Developer of an educational platform designed for students to learn on the go. The company's platform allows users to review courses on their mobile regardless of their academic and social level, enabling middle and high school students to keep up to date with their academics.</t>
  </si>
  <si>
    <t>Alain Rausher(Alain Rausher), Bpifrance, Damien Guermonprez, Philippe Yonnet(Philippe Yonnet), Samuel Tual(Samuel Tual), Vessoa Private Equity</t>
  </si>
  <si>
    <t>administration program, education administration, education system, educational content, language test, school programs</t>
  </si>
  <si>
    <t>201129-67T</t>
  </si>
  <si>
    <t>Agro Invest(Delphine Nicolas-Tucou), France Agrimer, Occitanie Invest</t>
  </si>
  <si>
    <t>75691-45T</t>
  </si>
  <si>
    <t>Abeille Assurances, Atoga, Bpifrance(Emmanuel Audouard), Innovation Capital (Paris)(Valéry Huot), LBO France, Open CNP</t>
  </si>
  <si>
    <t>75561-31T</t>
  </si>
  <si>
    <t>BrainVectis</t>
  </si>
  <si>
    <t>Developer of a gene therapy intended for neuro-degenerative diseases. The company develops gene therapy treatments for Alzheimer's and Huntington's diseases by restoring cholesterol metabolism in the brain, providing medical practitioners with treatments for neurodegenerative diseases by targeting the cholesterol pathway in the brain.</t>
  </si>
  <si>
    <t>biotech company, gene therapy technology, gene therapy treatment, neurodegenerative diseases treatment, restoring cholesterol metabolism</t>
  </si>
  <si>
    <t>75553-66T</t>
  </si>
  <si>
    <t>Alven Capital Partners(Guillaume Aubin), Bpifrance, Citizen Capital, NJJ Capital(Xavier Niel)</t>
  </si>
  <si>
    <t>75548-98T</t>
  </si>
  <si>
    <t>TVTY</t>
  </si>
  <si>
    <t>Operator of a television attribution company and advertising monitoring company intended to improve campaign execution. The company brings a wide range of outcomes capabilities and provides marketing and advertising solutions, enabling advertisers and agencies to seamlessly optimize their spending based on the outcomes most important to their business.</t>
  </si>
  <si>
    <t>360 Capital(Francois Tison), ESSEC Ventures, Partech(Philippe Collombel), Raphaël Zier(Raphaël Zier), Serena (Paris)(Xavier Lorphelin)</t>
  </si>
  <si>
    <t>affiliate agency, marketing platform, marketing world, moment marketing, real time tv data, television advertisement</t>
  </si>
  <si>
    <t>75528-37T</t>
  </si>
  <si>
    <t>Unilend</t>
  </si>
  <si>
    <t>Developer of a crowdlending platform designed to directly finance SMEs. The company's platform offers the easy realization of funds, collateral-free investments, requires no insurance fees or personal deposits, enabling businesses to have seamless access to capital.</t>
  </si>
  <si>
    <t>Black Mamba Ventures, NewAlpha Asset Management(Lior Derhy)</t>
  </si>
  <si>
    <t>alternative lending, crowdlending marketplace, crowdlending service, debt financing, marketplace lending, sme loans, startup financing</t>
  </si>
  <si>
    <t>Dommartemont, France</t>
  </si>
  <si>
    <t>120386-89T</t>
  </si>
  <si>
    <t>My Video Place</t>
  </si>
  <si>
    <t>Developer of a video syndication and monetization platform designed to create geolocated and tailored advertisement campaigns. The company's platform hosts, exchanges, and monetizes videos produced and broadcast by the media, enabling clients to enrich their video content and broadcast advertising in their territory.</t>
  </si>
  <si>
    <t>Credit Agricole (PAR: ACA), Finovam Gestion, Sofilaro</t>
  </si>
  <si>
    <t>advertising agency, advertising services, media services, monetization platform, video content sharing, video syndication</t>
  </si>
  <si>
    <t>75307-96T</t>
  </si>
  <si>
    <t>Cathay Capital Private Equity(Ming-po Cai), Cathay Innovation(Jacobo Abitbol), Index Ventures(Dominique Vidal), Partech(Romain Lavault), SEB Alliance(François-Xavier Meyer), Serena (Paris)(Xavier Lorphelin)</t>
  </si>
  <si>
    <t>75614-32T</t>
  </si>
  <si>
    <t>Gasolead</t>
  </si>
  <si>
    <t>Application Software, Business/Productivity Software*, Social/Platform Software</t>
  </si>
  <si>
    <t>Developer of a smart engine lead generation platform designed to find leads that fits in the market. The company's platform offers a big data based online application, enabling marketing managers and businesses to find highly targeted lists of targeted companies, relevant people and verified emails.</t>
  </si>
  <si>
    <t>big data based online application, canvassing platform, smart engine led generation platform, verified email</t>
  </si>
  <si>
    <t>75265-75T</t>
  </si>
  <si>
    <t>BIM Investments, Global Innovation Fund, Orange Ventures, Proparco</t>
  </si>
  <si>
    <t>55036-99T</t>
  </si>
  <si>
    <t>Accel(Philippe Botteri), Baring Vostok Capital Partners, blisce/, Colle Capital Partners, Deepak Goyal(Deepak Goyal), Elbrus Capital, Grape Arbor VC, GrowthUP Business Accelerator, Insight Partners(Jeffrey Horing), ISAI, Jean Kouri(Jean Kouri), Ken Belotsky(Ken Belotsky), Lead Edge Capital, Lux Capital, Michael Jarmuz(Michael Jarmuz), Otiva, Quadrille Capital, Shana Smeets(Shana Smeets), VNV Global (STO: VNV), Willy Braun(Willy Braun)</t>
  </si>
  <si>
    <t>81394-21T</t>
  </si>
  <si>
    <t>Blokiwood</t>
  </si>
  <si>
    <t>Developer of a modular wall system designed to build single-family homes while ensuring improved energy performance. The company's system is made by directly integrating the structural and thermal parameters of the wall into a single product, enabling home builders to avail of thermal resistance virtually in any type of architecture while speeding up construction.</t>
  </si>
  <si>
    <t>ADEME, Bpifrance, EIT InnoEnergy, Garrigue</t>
  </si>
  <si>
    <t>built environment, construction project design, construction system, ecological solutions, fabrication unit, green construction, wall systems manufacturer</t>
  </si>
  <si>
    <t>Chapareillan, France</t>
  </si>
  <si>
    <t>122838-58T</t>
  </si>
  <si>
    <t>IAD Investments</t>
  </si>
  <si>
    <t>75804-94T</t>
  </si>
  <si>
    <t>OCRvet</t>
  </si>
  <si>
    <t>Operator of a contract research platform intended to accelerate the development of new human and pet treatments for serious chronic diseases. The company's platform specializes in the conception and management of clinical trials on dogs and cats models with naturally occurring pathologies for efficacy assessment of drug candidates, enabling clients to avail clinical trials benefit from new therapies developed for human.</t>
  </si>
  <si>
    <t>Autonomie &amp; Solidarité, Newfund Management, Nord France Amorçage, Reseau Entreprendre 92</t>
  </si>
  <si>
    <t>animal research, biotech research services, clinical research, clinical research lab, drug development program, veterinary medicine</t>
  </si>
  <si>
    <t>192368-98T</t>
  </si>
  <si>
    <t>Optimiz.Me</t>
  </si>
  <si>
    <t>Developer of a search engine optimization software designed to track positioning against your competitors. The company's software manages SEO campaigns by centralizing the management of keywords and recommending changes in real-time, enabling businesses to manage the referencing of their website on Google.</t>
  </si>
  <si>
    <t>Crédit Agricole Création, Rhône-Alpes Création</t>
  </si>
  <si>
    <t>marketing consultant, marketing software, marketing software platform, search engine, search engine optimization, seo firm, seo software</t>
  </si>
  <si>
    <t>123864-85T</t>
  </si>
  <si>
    <t>Primelis</t>
  </si>
  <si>
    <t>Provider of search engine optimization services focused on the creation of innovative acquisition strategies fueled by scientific analysis. The company offers services catering to reputation management, search engine optimization audits, content strategy, link building as well as training, resulting in increased brand awareness, lead generation, and sales.</t>
  </si>
  <si>
    <t>Effective Capital</t>
  </si>
  <si>
    <t>branding awareness, content strategy, reputation management, search engine optimization, seo agency, seo training</t>
  </si>
  <si>
    <t>120461-32T</t>
  </si>
  <si>
    <t>Archionline</t>
  </si>
  <si>
    <t>Provider of an architectural platform for connecting local people, architects, and craftspeople who specialize in the construction, extension, and renovation of apartments, houses, and offices. The platform's service offerings include providing designs, architect plans, building permits, renovation of apartments, new construction, enabling a business to build projects, property damage insurance, and site supervision within the price range of their architecture plan.</t>
  </si>
  <si>
    <t>Bpifrance, Cedre Participations, Efficiency France, Entrepreneurs Factory</t>
  </si>
  <si>
    <t>architectural platform, architectural platform provider, architectural product solution, architectural services, development of premises, interior architecture, office architecture</t>
  </si>
  <si>
    <t>87498-55T</t>
  </si>
  <si>
    <t>Goom</t>
  </si>
  <si>
    <t>Provider of media production services intended to let online broadcasters create custom radio brands and broadcast their audio content. The company's services combine the power of audio with the interactivity of digital technology in order to provide the audience with engaging content, enabling music fans to enjoy audio podcast services.</t>
  </si>
  <si>
    <t>Partech(Philippe Collombel), Wellington Partners(Eric Archambeau)</t>
  </si>
  <si>
    <t>internet radio service, media production service, online radio, radio branding, radio broadcast, radio service</t>
  </si>
  <si>
    <t>108201-25T</t>
  </si>
  <si>
    <t>James Blouzard, Kima Ventures(Xavier Niel), Stéphane Treppoz, Thierry Vandewalle(Thierry Vandewalle), Xavier Gury(Xavier Gury)</t>
  </si>
  <si>
    <t>133886-26T</t>
  </si>
  <si>
    <t>75167-02T</t>
  </si>
  <si>
    <t>Eutopia(Camille Kriebitzsch), Otium Capital, The Family (Financial Services)</t>
  </si>
  <si>
    <t>135770-95T</t>
  </si>
  <si>
    <t>Banque Populaire Auvergne Rhône Alpes, Crédit Agricole Sud Rhône-Alpes (PAR: CRSU), Pertinence Invest</t>
  </si>
  <si>
    <t>87006-88T</t>
  </si>
  <si>
    <t>AB Box, Bpifrance, Femmes Business Angels, Ternel</t>
  </si>
  <si>
    <t>87477-76T</t>
  </si>
  <si>
    <t>SoBook</t>
  </si>
  <si>
    <t>Printing Services (B2B)*, Publishing</t>
  </si>
  <si>
    <t>Operator of a printing company intended to produce paper books with the same assets as digital books. The company's services are specialized in the on-demand printing of books in small quantities from a copy, which can be tracked in real-time through a web portal that can transmit the manuscript and control the specifications of orders, enabling publishers to personalize orders and operate without or with minimal inventory.</t>
  </si>
  <si>
    <t>book printing services provider, books printing, books printing services, printing books, printing services, publisher service, publishing agency</t>
  </si>
  <si>
    <t>Linselles, France</t>
  </si>
  <si>
    <t>52834-78T</t>
  </si>
  <si>
    <t>Adevinta(Marc Brandsma), AG2R La Mondiale, Credit Mutuel Arkea, Eurazeo (PAR: RF), Idinvest Partners, Karnell (STO: KARNEL B), Kima Ventures(Xavier Niel), Pierre Kosciusko Morizet(Pierre Kosciusko Morizet), Schibsted Ventures(Marine Desbans), Weber Investissements</t>
  </si>
  <si>
    <t>140731-39T</t>
  </si>
  <si>
    <t>Toutilo</t>
  </si>
  <si>
    <t>Manufacturer of an electric tool holder machine intended to be used for agricultural activities. The company's tool designs assembles, and markets mechatronic services for working in agricultural fields and gardens that adapt to different sizes of plant crops, are electrically powered, and can be used in any season in a greenhouse or in open fields, enabling farmers to increase the quantity and quality of production.</t>
  </si>
  <si>
    <t>Credit Agricole (PAR: ACA), France Active, Transméa</t>
  </si>
  <si>
    <t>agriculture assets, agriculture machinery, agriculture tools, agriculture tractors, gardening needs, horticulture tools, mechanical works, precision ag, precision agriculture, robotics &amp; smart field equipment, robotics and smart field equipment</t>
  </si>
  <si>
    <t>AgTech, Industrials, Manufacturing</t>
  </si>
  <si>
    <t>Rumilly, France</t>
  </si>
  <si>
    <t>93587-59T</t>
  </si>
  <si>
    <t>Ekylibre</t>
  </si>
  <si>
    <t>Business/Productivity Software*, Media and Information Services (B2B), Other Agriculture, Other Commercial Services</t>
  </si>
  <si>
    <t>Developer of farm management software designed to simplify farm operations. The company's open-source management software offers services such as accounting, production traceability, plot management, inventory management, customers, and partner relationship management by collecting data from many sources like connected objects, enabling farmers to make proper decisions as per the data received and thus increase their productivity and improve the management of their farm.</t>
  </si>
  <si>
    <t>agriculture data, agriculture management, farm management software, operational management, precision agriculture, sustainable agriculture platform</t>
  </si>
  <si>
    <t>AgTech, SaaS, TMT</t>
  </si>
  <si>
    <t>Saint-Porchaire, France</t>
  </si>
  <si>
    <t>133621-57T</t>
  </si>
  <si>
    <t>58331-71T</t>
  </si>
  <si>
    <t>Kayo (Business/Productivity Software)</t>
  </si>
  <si>
    <t>Developer of an event marketing application designed to centralize all the information about trade shows. The company's application helps to integrate digital communications at events that provide for improved interaction with potential clients through customizable questionnaires and qualification forms as per the requirements of particular events and individual attendees, enabling marketers to increase communication opportunities with potential customers.</t>
  </si>
  <si>
    <t>event marketing app, event marketing application, event marketing company, event marketing service, event marketing software, marketing, marketing software, paperless marketing</t>
  </si>
  <si>
    <t>75890-80T</t>
  </si>
  <si>
    <t>Connit</t>
  </si>
  <si>
    <t>Business/Productivity Software, Connectivity Products*, Other Communications and Networking</t>
  </si>
  <si>
    <t>Provider of autonomous Internet of things (IoT) services intended to help in industrial use. The company's services are offered through its online platform that helps in aggregation, storage, reporting, and analysis of IoT datasets, enabling clients to create their connected connection in an enhanced way.</t>
  </si>
  <si>
    <t>Demeter Partners, Emertec Gestion, ENGIE New Ventures(Julien Coudy), Sainte-Lizaigne</t>
  </si>
  <si>
    <t>autonomous iot, data visualization, digital transformations, iot analysis, stores information</t>
  </si>
  <si>
    <t>76065-13T</t>
  </si>
  <si>
    <t>CEA Investissement, ENGIE New Ventures(Julien Coudy), Groupe Michelin (PAR: ML)(Laurent Noual)</t>
  </si>
  <si>
    <t>120506-86T</t>
  </si>
  <si>
    <t>Isula Distribution</t>
  </si>
  <si>
    <t>Beverages, Distributors/Wholesale*</t>
  </si>
  <si>
    <t>Wholesaler of beverages intended to offer quality distribution services. The company's services are engaged in the wholesaling and distribution of alcoholic and non-alcoholic beverages as well as frozen food products, enabling cafés, hotels, and restaurants to avail quick and emergency delivery of their supplies.</t>
  </si>
  <si>
    <t>alcohol distribution, alcohol distributor, beverage supplier, beverages wholesaler, food ecommerce, online grocer, supply chain, wholesaler service</t>
  </si>
  <si>
    <t>73540-54T</t>
  </si>
  <si>
    <t>Aereco, Bpifrance(Laure Michel), Demeter Partners(Olivier Bordelanne), Emertec Gestion(Olivier Bordelanne), Femmes Business Angels, France Angels(Pascal Peru), Sofimac Innovation(Nicolas Boulay), Sofimac Investment Managers</t>
  </si>
  <si>
    <t>88700-05T</t>
  </si>
  <si>
    <t>187879-33T</t>
  </si>
  <si>
    <t>Azameo</t>
  </si>
  <si>
    <t>Developer of an advertisement platform designed to create a website, mobile, and social advertisement campaigns. The company's platform permits customers to set up social media search, shopping, and retargeting campaigns in a few clicks, as well as optimize the return on investment automatically and offer self-service campaigns for e-merchants and managed campaigns for extensive accounts, enabling businesses to grow site traffic and increase sales.</t>
  </si>
  <si>
    <t>Booost Incubator, Starquest Capital</t>
  </si>
  <si>
    <t>advertisement media, advertisement platform, automated advertising, facebook ads, google adwords, mobile advertising, social advertisement</t>
  </si>
  <si>
    <t>Le Rouret, France</t>
  </si>
  <si>
    <t>84832-30T</t>
  </si>
  <si>
    <t>Bpifrance, Fondation Voir et Entendre, Foundation Fighting Blindness-National Neurovision Research Institute</t>
  </si>
  <si>
    <t>69907-06T</t>
  </si>
  <si>
    <t>360 Capital, Eutopia(Antoine Fine), R301 Capital</t>
  </si>
  <si>
    <t>24457-24T</t>
  </si>
  <si>
    <t>Casanova</t>
  </si>
  <si>
    <t>Cable Service Providers*, Connectivity Products, Electronic Equipment and Instruments</t>
  </si>
  <si>
    <t>Developer of multimedia communication networks designed to provide digital technologies in housing. The company's network provides the interconnectivity of digital technologies by installing the communication network in the house, enabling users with combining comfort and new technologies, and receive sustainable and integrated communication infrastructures while respecting the environment.</t>
  </si>
  <si>
    <t>Aster Capital(Jean-Marc Bally)</t>
  </si>
  <si>
    <t>cabling systems, communication network, communication network systems, connectivity device, multimedia communication network, residential multimedia communication</t>
  </si>
  <si>
    <t>Cable Service Providers</t>
  </si>
  <si>
    <t>95222-17T</t>
  </si>
  <si>
    <t>Laboratoire EffiNov</t>
  </si>
  <si>
    <t>Food Products*, Personal Products, Specialty Retail</t>
  </si>
  <si>
    <t>Producer of food supplements and dietary products intended to provide an overall nutritional response combining a personalized nutritional balance. The company utilizes ingredients of natural origin in compliance with European regulations guaranteeing the absence of toxicity and respecting the proper functioning of the cell, enabling consumers to optimize their health and vitality.</t>
  </si>
  <si>
    <t>GO Capital (France)(Bertrand Distinguin), Picama, Societe Financiere Lorient Developpement</t>
  </si>
  <si>
    <t>dietary product, discovery &amp; review, discovery and review, food product, food supplements, healthy food, nutritional balances, nutritional product, personal product, personalized nutrition</t>
  </si>
  <si>
    <t>136856-80T</t>
  </si>
  <si>
    <t>Mytrendymarket</t>
  </si>
  <si>
    <t>Operator of a multi-brand fashion store intended to offer clothes and accessories which belong to different brands. The company's store offers a selection of clothing, accessories for women, men, and children chosen with passion by the stylists to offer users trendy and creative brands at a discounted price throughout the year, enabling customers to buy products in vogue.</t>
  </si>
  <si>
    <t>AQUITI Gestion, Herrikoa, Patrick Despagnet(Patrick Despagnet)</t>
  </si>
  <si>
    <t>boutique stores, branding products, ecommerce fashion platform, fashion products, online retail, online shopping</t>
  </si>
  <si>
    <t>114081-76T</t>
  </si>
  <si>
    <t>Bpifrance, CapHorn Invest(Guillaume Dupont), Trail Solutions Patrimoine</t>
  </si>
  <si>
    <t>117765-37T</t>
  </si>
  <si>
    <t>BioAxial</t>
  </si>
  <si>
    <t>Developer of high-resolution imaging instruments designed to help in imaging of live cells. The company's fluorescence microscopy workflow is based on a beam shaper with localized light patterns used to scan biological samples with low photo-toxicity and photo-bleaching, thereby enabling clinicians and physicists to access extended imaging of live cells with an improved resolution.</t>
  </si>
  <si>
    <t>cell imaging, fluorescence microscopy, microscopy, microscopy tools, monitoring equipment, monitoring equipment health</t>
  </si>
  <si>
    <t>213089-05T</t>
  </si>
  <si>
    <t>EasyKost</t>
  </si>
  <si>
    <t>Business/Productivity Software*, Database Software, Financial Software, Media and Information Services (B2B)</t>
  </si>
  <si>
    <t>Developer of a product cost management software designed to provide estimation and data mining systems. The company uses artificial intelligence and machine learning technology to explore data and create accurate assessments, enabling businesses to evaluate prices for industrial products, investments, and services.</t>
  </si>
  <si>
    <t>artificial intelligence software, cost estimating, cost estimation tools, cost management tool, data mining solution, database design, machine learning data, product design tool</t>
  </si>
  <si>
    <t>72259-57T</t>
  </si>
  <si>
    <t>360 Capital, Eric La Bonnardiere(Eric La Bonnardiere), R301 Capital</t>
  </si>
  <si>
    <t>138833-29T</t>
  </si>
  <si>
    <t>Atlantique Business Angel</t>
  </si>
  <si>
    <t>73255-69T</t>
  </si>
  <si>
    <t>Jechange</t>
  </si>
  <si>
    <t>Developer of a financial information platform designed to track payments and pay bills. The company's platform offers comparison among a multitude of suppliers and finds the offer that suits all the needs at a reduced price, enabling businesses to reduce their electricity bills, mobile phone, or insurance costs.</t>
  </si>
  <si>
    <t>comparison service, electricity bills savings, financial information, financial information platform, information platform, purchasing power</t>
  </si>
  <si>
    <t>84990-43T</t>
  </si>
  <si>
    <t>Johes, Noria, Starquest Capital</t>
  </si>
  <si>
    <t>239462-47T</t>
  </si>
  <si>
    <t>Kandbaz</t>
  </si>
  <si>
    <t>Business/Productivity Software*, Legal Services (B2B), Other Commercial Services</t>
  </si>
  <si>
    <t>Operator of a business management platform intended to offer domiciliation services to businesses. The company's platform specializes in offering services including online business creation, office rental, legal formalities, and online contract preparation, enabling businesses to obtain domiciliation contracts quickly, economically, and in efficient way.</t>
  </si>
  <si>
    <t>business management platform, commercial domiciliation, legal services, mail management, office rental space, telephone prospecting, website creation</t>
  </si>
  <si>
    <t>79466-32T</t>
  </si>
  <si>
    <t>ChargeMap</t>
  </si>
  <si>
    <t>Application Software, Information Services (B2C)*, Media and Information Services (B2B)</t>
  </si>
  <si>
    <t>Developer of a route mapping application designed to offer a comprehensive database of charging stations across Europe. The company's map and tools help drivers of electric vehicles to find charging stations quickly and easily and its payment solution makes it easy to pay for charging without having to carry multiple cards or apps, enabling drivers to find, plan, and pay for charging without any hassle.</t>
  </si>
  <si>
    <t>Capital Grand Est(Rémi Berthier)</t>
  </si>
  <si>
    <t>charging station, charging station map, electric mobility, electromobility application, payment solutions, route mapping</t>
  </si>
  <si>
    <t>73172-98T</t>
  </si>
  <si>
    <t>Matignon Investissement et Gestion, Mi3 Venture Partners, NextStage AM</t>
  </si>
  <si>
    <t>113588-11T</t>
  </si>
  <si>
    <t>76157-38T</t>
  </si>
  <si>
    <t>Aster Capital(Jean-Marc Bally), CapHorn Invest(Laurent Dumas-Crouzillac), Serena (Paris)(Nicolas Louvet)</t>
  </si>
  <si>
    <t>72853-66T</t>
  </si>
  <si>
    <t>BliNK Biomedical</t>
  </si>
  <si>
    <t>Developer of a B cell technology platform designed to assist in the selection and isolation of specific antibody-producing cells. The company's platform specializes to constitute an efficient and deep mining process that isolates antibody-producing cells for difficult targets from B cells of many species, such as men, mice, rabbits, and dogs, enabling researchers to identify unique therapeutic antibodies.</t>
  </si>
  <si>
    <t>antibody screening, antibody treatment, cell technology, cell technology development, deep mining, therapeutic services</t>
  </si>
  <si>
    <t>81741-34T</t>
  </si>
  <si>
    <t>Stokkly</t>
  </si>
  <si>
    <t>Provider of a B2B platform intended to manage and sell excess inventory. The company's platform adapts to the specificities of companies and allows private sales of unsold products, enabling brands, manufacturers and distributors to increase the profitability of their residual stock sales network.</t>
  </si>
  <si>
    <t>Bpifrance, CAAP Creation, Grand Delta Angels, Région Sud Investissement</t>
  </si>
  <si>
    <t>b2b marketplace, inventory management, residual stock sales, stock management</t>
  </si>
  <si>
    <t>72613-54T</t>
  </si>
  <si>
    <t>GO Capital (France)(Leila Nicolas), Omnes Capital, Sham Innovation Santé</t>
  </si>
  <si>
    <t>56679-76T</t>
  </si>
  <si>
    <t>Balderton Capital, Condé Nast(Jonathan Newhouse), Eurazeo (PAR: RF)(Yann-Hervé du Rusquec), Idinvest Partners(Matthieu Baret), Ventech (Paris)(Claire Houry)</t>
  </si>
  <si>
    <t>72823-15T</t>
  </si>
  <si>
    <t>Azur Drones</t>
  </si>
  <si>
    <t>Developer an autonomous drone system designed for safety and security applications. The company's drone offers an increased vision and mobility that are directly integrated with the existing security system and is managed from a single interface that reduces the user role to two simple functions mission launch and camera feedback control, enabling security teams to enhance their operational efficiency without increasing their workload.</t>
  </si>
  <si>
    <t>aerospace technology, autonomous drone systems, autonomous flight, electrical equipment design, surveillance drones, video surveillance</t>
  </si>
  <si>
    <t>72753-22T</t>
  </si>
  <si>
    <t>Bruno Kemoun(Bruno Kemoun), Christophe Chausson(Christophe Chausson), Emmanuel Brunet(Emmanuel Brunet), Eryck Rebbouh(Eryck Rebbouh), ISAI(Jean-David Chamboredon), Thierry Petit(Thierry Petit)</t>
  </si>
  <si>
    <t>75425-68T</t>
  </si>
  <si>
    <t>BNP Paribas (PAR: BNP)(Jean-Laurent Bonnafe), Citizen Capital(Laurence Mehaignerie), MAIF(Thierry Couret), Ternel</t>
  </si>
  <si>
    <t>72502-39T</t>
  </si>
  <si>
    <t>Adents</t>
  </si>
  <si>
    <t>Developer of serialization and traceability software intended to assist businesses to control their supply chain and minimize counterfeiting. The company's software uses a 2D platform for management, data processing, pharmaceutical tracking, and anti-counterfeiting purposes as well as assists to identify every manufactured product, enabling clients to deliver critical information and create new marketing channels.</t>
  </si>
  <si>
    <t>CapHorn Invest(Guillaume Dupont), Naxicap Partners(Antoine Le Masson), Omnes Capital, Romain Vidal(Romain Vidal)</t>
  </si>
  <si>
    <t>asset tracking &amp; management, asset tracking and management, data processing, data traceability, enterprise supply chain management, identification software, product identification, serialization software, serialization technology, supply chain tech</t>
  </si>
  <si>
    <t>Antony, France</t>
  </si>
  <si>
    <t>87730-84T</t>
  </si>
  <si>
    <t>Kima Ventures, Rocket Internet (HAM: RKET)</t>
  </si>
  <si>
    <t>102518-11T</t>
  </si>
  <si>
    <t>Bamboo Capital (STC: BCG), Nusantara Ventures, TwentyFirst Luxury</t>
  </si>
  <si>
    <t>72271-27T</t>
  </si>
  <si>
    <t>SmartAngels</t>
  </si>
  <si>
    <t>Operator of a digital financing platform intended to offer equity crowdfunding services. The company's platform consists of identifying direct investment opportunities in SME capital, selecting and validating the interest of the operations and subsequently proposing these investment dossiers to its members, enabling retail and professional investors to finance their start-ups in equities or bonds in an efficient manner.</t>
  </si>
  <si>
    <t>Elaia Partners(Xavier Lazarus), Groupe Duval(Eric Duval), Idinvest Partners</t>
  </si>
  <si>
    <t>crowdfunding platform, equity crowdfunding, equity crowdfunding platform, financial assistance, online funding platform</t>
  </si>
  <si>
    <t>126071-29T</t>
  </si>
  <si>
    <t>120383-56T</t>
  </si>
  <si>
    <t>Entrepreneur Invest, Kerala Ventures(Antoine Freysz)</t>
  </si>
  <si>
    <t>81388-00T</t>
  </si>
  <si>
    <t>73696-87T</t>
  </si>
  <si>
    <t>Educlever</t>
  </si>
  <si>
    <t>Educational and Training Services (B2C), Educational Software*, Media and Information Services (B2B)</t>
  </si>
  <si>
    <t>Developer of an educational platform designed to provide educational innovation with digital technology. The company's platform offers adaptive learning and proposes learning activities, and remedial and evaluation activities according to the learner's needs, enabling students to understand educational content in a creative way and teachers to improve the skill of their students.</t>
  </si>
  <si>
    <t>5M Ventures, Entrepreneur Invest, PhiTrust Impact Investors</t>
  </si>
  <si>
    <t>digital educational content, digital educational services, educational materials software, educational platform, educational software, educational software developer, online educational application, online educational platform</t>
  </si>
  <si>
    <t>EdTech, LOHAS &amp; Wellness, SaaS, TMT</t>
  </si>
  <si>
    <t>103326-67T</t>
  </si>
  <si>
    <t>Angels Santé, Compagnie d'Anjou(Oliver Dousset), Partech(Jean-Marc Patouillaud)</t>
  </si>
  <si>
    <t>76797-46T</t>
  </si>
  <si>
    <t>AXA Venture Partners, Aymard De Scorbiac(Aymard De Scorbiac), Benoit Delestre(Benoit Delestre), Bpifrance, JMYX Holding(Jean Losco), Pedro Abrantes(Pedro Abrantes), Total Regional Development</t>
  </si>
  <si>
    <t>80530-48T</t>
  </si>
  <si>
    <t>WayKonect</t>
  </si>
  <si>
    <t>Provider of software for managing a corporate fleet. The company offers connected car software which is an equipment with Internet access and usually with a wireless local area network. This allows the car to share internet access with other devices both inside as well as outside the vehicle.</t>
  </si>
  <si>
    <t>360 Capital, AngelSquare, Breega, EuraTechnologies, Olivier Mathiot(Olivier Mathiot), Partech(Boris Golden)</t>
  </si>
  <si>
    <t>car internet service, connected car, corporate fleet, vehicles web connection</t>
  </si>
  <si>
    <t>122282-65T</t>
  </si>
  <si>
    <t>Aroma Therapeutics</t>
  </si>
  <si>
    <t>Biotechnology*, Other Devices and Supplies, Other Healthcare Services</t>
  </si>
  <si>
    <t>Producer of clinical aromatherapy products designed to prevent brain diseases. The company mainly focuses on offering scent diffusion technologies for deep-brain stimulation used for pain relief, memory improvement, and prevention of Alzheimer's disease, enabling healthcare organizations to improve patients' well-being simply and naturally.</t>
  </si>
  <si>
    <t>Crédit Agricole Alpes Provence (PAR: CRAP), P.Factory(Patrick Siri), Région Sud Investissement</t>
  </si>
  <si>
    <t>aromatherapy oil, clinical technology, diffusion aromatherapy, natural therapy, non-medicinal therapy, sleep enhancement</t>
  </si>
  <si>
    <t>E-Commerce, HealthTech, Life Sciences, LOHAS &amp; Wellness</t>
  </si>
  <si>
    <t>Saint-Pierre-de-Vassols, France</t>
  </si>
  <si>
    <t>90398-80T</t>
  </si>
  <si>
    <t>136657-63T</t>
  </si>
  <si>
    <t>A Plus Finance, Belcube, Concentric(Kjartan Rist)</t>
  </si>
  <si>
    <t>88457-68T</t>
  </si>
  <si>
    <t>Alto Invest, Bouygues Développement(Renaud Trnka), CEA Investissement(François Breniaux), CIB Développement, Inocap Gestion, Tikehau Ace Capital(Gilles Daguet)</t>
  </si>
  <si>
    <t>76835-35T</t>
  </si>
  <si>
    <t>72349-03T</t>
  </si>
  <si>
    <t>WorkIT Software</t>
  </si>
  <si>
    <t>Developer of an e-commerce monitoring intelligence software designed to manage channel issues and competitive situations. The company's software offers web-crawling and product-matching technology that offers relevant information to maximize their success by delivering actionable insights, enabling customers to get innovative analysis and alerts to manage the prices of the products.</t>
  </si>
  <si>
    <t>Audacia (PAR: ALAUD)(François Terrier)</t>
  </si>
  <si>
    <t>actionable insights, competitive situation analysis, innovative analysis, monitoring intelligence, web-crawling technology</t>
  </si>
  <si>
    <t>79407-01T</t>
  </si>
  <si>
    <t>INNOTHERA</t>
  </si>
  <si>
    <t>123969-88T</t>
  </si>
  <si>
    <t>Interdit au Public</t>
  </si>
  <si>
    <t>Home Furnishings, Other Consumer Durables, Specialty Retail*</t>
  </si>
  <si>
    <t>Operator of an e-commerce platform intended to offer home decorating and renovating products. The company offers a wide range of home furnishing, home electronics, bathroom wares, gardening tools and equipment, kitchen wares, and other home essentials, enabling homeowners to decorate their homes as per their choice and taste.</t>
  </si>
  <si>
    <t>building tools, diy tools, home electronics, home furnishing, home improvement, kitchen wares</t>
  </si>
  <si>
    <t>89388-19T</t>
  </si>
  <si>
    <t>AQUITI Gestion, Mathieu Lefèvre(Mathieu Lefèvre)</t>
  </si>
  <si>
    <t>44834-14T</t>
  </si>
  <si>
    <t>Terresens</t>
  </si>
  <si>
    <t>Hotels and Resorts, Real Estate Services (B2C)*</t>
  </si>
  <si>
    <t>Operator of a real estate portal designed to offer managed property searches and bookings. The company's portal offers a range of real estate services and has numerous options of properties to choose from for purchase, joint ownership, and booking for a holiday and tour, enabling individuals and investors to build a property portfolio and also book luxury residences for a short stay.</t>
  </si>
  <si>
    <t>Kreaxi, Rhône-Alpes Création</t>
  </si>
  <si>
    <t>land property, managed property, property management, property search, real estate offering, residential service</t>
  </si>
  <si>
    <t>89315-29T</t>
  </si>
  <si>
    <t>U'rself</t>
  </si>
  <si>
    <t>Developer of brand management software designed to make all communication media available to a seller's points of sale. The company's software provides control and compliance with the graphic charter and an integrated printing plant that is equipped with a state-of-the-art machine park that supports the production of paper formats, enabling clients to federate, simplify, and boost marketing operational networks.</t>
  </si>
  <si>
    <t>AQUITI Gestion, Bpifrance, Expanso Capital</t>
  </si>
  <si>
    <t>brand management company, brand management firm, brand management platform, digital platform, marketing technology product, operational marketing</t>
  </si>
  <si>
    <t>74989-81T</t>
  </si>
  <si>
    <t>Easybike</t>
  </si>
  <si>
    <t>Electronics (B2C), Other Transportation*</t>
  </si>
  <si>
    <t>Manufacturer of electric cycles designed to offer an eco-friendly mode of transport to a large audience. The company's cycles are easy, smart, and clean urban means of transport with battery power and come with varied speed and range attributes, enabling customers to take daily trips with ease and fold and store them at home.</t>
  </si>
  <si>
    <t>company fleet, cycle manufacturer, electric bicycle, electric bikes, electric cycle, electric cycle manufacturer, micromobility, vehicle supplier</t>
  </si>
  <si>
    <t>72400-96T</t>
  </si>
  <si>
    <t>Michel &amp; Augustin</t>
  </si>
  <si>
    <t>Producer and distributor of specialized food intended to serve the gourmet food sectors. The company offers a premium range of biscuits, dairy products, fresh desserts and beverages that are made with healthy ingredients, enabling customers to consume authentic French desserts sitting in their homes.</t>
  </si>
  <si>
    <t>Danone Manifesto Ventures(Jean-Francois Hurel)</t>
  </si>
  <si>
    <t>baked cookies, chocolate spreads, dairy products, food products retail, gourmet food, specialized food</t>
  </si>
  <si>
    <t>121322-17T</t>
  </si>
  <si>
    <t>83005-84T</t>
  </si>
  <si>
    <t>Techni Drone</t>
  </si>
  <si>
    <t>Aerospace and Defense, Education and Training Services (B2B)*</t>
  </si>
  <si>
    <t>Provider of training services intended for drone remote pilots. The company offers logistical resources, fully equipped training rooms, practical teaching sites, training materials and e-learning tools, thereby enabling its customers to be provided with quality services at a competitive price.</t>
  </si>
  <si>
    <t>Bpifrance, Rhone Dauphiné Développement, Rhône-Alpes Création, Siparex Group</t>
  </si>
  <si>
    <t>aeronautical product, drones remote pilot, professional training, theoretical drones training, training center, training materials</t>
  </si>
  <si>
    <t>EdTech, Industrials, Robotics and Drones, TMT</t>
  </si>
  <si>
    <t>136559-71T</t>
  </si>
  <si>
    <t>A Plus Finance</t>
  </si>
  <si>
    <t>187949-80T</t>
  </si>
  <si>
    <t>193062-07T</t>
  </si>
  <si>
    <t>Quividi</t>
  </si>
  <si>
    <t>Developer an artificial intelligence and computer vision-based platform designed to measure real-time audience and shopper engagement. The company's platform provides high-fidelity footfall and engagement analytics that analyze many anonymous shoppers across screens and points of purchase, enabling businesses to optimize conversion by trading their inventory using traditional and programmatic channels at key touchpoints.</t>
  </si>
  <si>
    <t>Media 6 (PAR: EDI)</t>
  </si>
  <si>
    <t>audience measurement, audience measurement platform, branding performance, engagement analytics platform, retail metrics, shoppers engagement</t>
  </si>
  <si>
    <t>52088-41T</t>
  </si>
  <si>
    <t>Bpifrance(Anne-Sophie Carrese), Braemar Energy Ventures(Jiong Ma), CEA Investissement, Demeter Partners(Sophie Paturle-Guesnerot), Ingka GreenTech(Christian Ehrenborg), Ingka Investments, Sofinnova Partners(Alessio Beverina), Valeo (Paris) (PAR: FR)(Maurizio Martinelli)</t>
  </si>
  <si>
    <t>72125-56T</t>
  </si>
  <si>
    <t>Citizen Capital, Demeter Partners, Emertec Gestion, Hi Inov(Nicolas Meunier), Société Nationale des Chemins de fer Français(Yves Tyrode)</t>
  </si>
  <si>
    <t>103819-42T</t>
  </si>
  <si>
    <t>Bpifrance(Emmanuel Audouard), Med-Innov (Bordeaux), Trail Solutions Patrimoine</t>
  </si>
  <si>
    <t>123581-17T</t>
  </si>
  <si>
    <t>Synthelis Biotech</t>
  </si>
  <si>
    <t>Developer of protein targets designed to assist the development of vaccines, biologics, enzymes, engineered proteins, diagnostic tools, and high throughput molecule or ligand screening. The company's proprietary cell-free expression technology provides new socio-economic horizons for the development and production of innovative health products by designing biomolecules for pharmaceutical, biomedical, and biotechnological research organizations and academic laboratories, enabling medicine developers to assist in structural studies or functional and electrophysiological studies.</t>
  </si>
  <si>
    <t>enzymes discovery tools, protein array, protein biomarker, protein delivery, protein development, protein discovery, protein optimization, protein purification</t>
  </si>
  <si>
    <t>96150-07T</t>
  </si>
  <si>
    <t>Bizmeeting</t>
  </si>
  <si>
    <t>Provider of an online platform intended to offer booking services for seminars and professional meetings. The company's online platform publishes technological services to help people find locations for workspaces, study days, residential seminars, business lunches, conferences, trade shows, workshops, conventions, conferences, etc, enabling clients to book rooms as well as to centralize and optimize the cost of seminars and business meetings.</t>
  </si>
  <si>
    <t>Aurinvest, Bpifrance, CAAP Creation</t>
  </si>
  <si>
    <t>meeting rooms, meeting rooms facilities, meeting rooms management, meeting rooms services, working space</t>
  </si>
  <si>
    <t>75537-82T</t>
  </si>
  <si>
    <t>Fast Lease</t>
  </si>
  <si>
    <t>Automotive*, Road</t>
  </si>
  <si>
    <t>Operator of an online vehicle rental platform intended to rent cars and two-wheelers. The company's platform offers integrated micro-fleets management services including vehicle management after accidents, management of maintenance and repairs, replacement vehicles, and many more, enabling clients not to immobilize capital in the purchase of vehicles whose value depreciates over time.</t>
  </si>
  <si>
    <t>Apicap(Alexandre Rossoz)</t>
  </si>
  <si>
    <t>leasing service, online vehicle rental, rental car, rental service, vehicle management, vehicle rental platform</t>
  </si>
  <si>
    <t>107009-92T</t>
  </si>
  <si>
    <t>Abeille Impact Investing France, Fair West, Femmes Business Angels, Le Comptoir, Phitrust Partenaires</t>
  </si>
  <si>
    <t>124063-39T</t>
  </si>
  <si>
    <t>Soundsgood</t>
  </si>
  <si>
    <t>Entertainment Software, Publishing, Social/Platform Software*</t>
  </si>
  <si>
    <t>Developer of a platform designed for music influencers to create and share their music playlists. The company's platform distributes playlists to millions of followers and grows its base by letting them get featured on their website and social networks by universal music players, thereby enabling music lover users to share their track-lists on various music platforms and gain popularity.</t>
  </si>
  <si>
    <t>LeanSquare, Noshaq, NUMA (Education and Training Services)</t>
  </si>
  <si>
    <t>music stream, music tracklist, online playlist, personalized playlist, playlist sharing platform</t>
  </si>
  <si>
    <t>136827-46T</t>
  </si>
  <si>
    <t>WeeSurf</t>
  </si>
  <si>
    <t>Developer of a surf-based application designed to provide waves and wind updates with an enhanced user experience. The company's application recommends when and where one can go surfing, kitesurfing, windsurfing, and sailing, based on reliable weather forecasts, location, and level, enabling users to stay updated and become a part of the community to follow friends, meet new people and share sessions together.</t>
  </si>
  <si>
    <t>Herrikoa, Région Nouvelle-Aquitaine</t>
  </si>
  <si>
    <t>travel guidance app, weather analysis, weather forecast tools, weather news, weather reporting application, wind forecast application</t>
  </si>
  <si>
    <t>79021-72T</t>
  </si>
  <si>
    <t>Alven Capital Partners(Rodolphe Menegaux), Benoît Sillard(Benoît Sillard), FaDiese, Jean Losco(Jean Losco), JMYX Holding</t>
  </si>
  <si>
    <t>78051-97T</t>
  </si>
  <si>
    <t>Brand and Celebrities</t>
  </si>
  <si>
    <t>Developer of an influence marketing platform designed to improve the brand-building process. The company's platform provides a celebrity endorsement application that offers a curated list of social influencers one can choose from, enabling users to avail assistance in creating a brand image, raising brand awareness, promoting new products, increasing web traffic and brand repositioning.</t>
  </si>
  <si>
    <t>CapHorn Invest(Romain Vidal), Jacques-Antoine Granjon(Jacques-Antoine Granjon), Kima Ventures, SGPA, SPMS, Xavier Niel(Xavier Niel)</t>
  </si>
  <si>
    <t>branding repositioning, celebrity endorsement platform, celebrity marketing, influence marketing tool, social influencer marketing</t>
  </si>
  <si>
    <t>116297-74T</t>
  </si>
  <si>
    <t>PSA Groupe(Brigitte Courtehoux), Ternel</t>
  </si>
  <si>
    <t>73698-13T</t>
  </si>
  <si>
    <t>La Thé Box</t>
  </si>
  <si>
    <t>Provider of tea subscription services intended to deliver a selection of teas and infusions from major tea houses. The company's services are monthly subscription-based boxes where one can select from a variety of tea brands from the online portal, enabling people to enjoy great classics or taste new things and flavors from the comfort of their homes.</t>
  </si>
  <si>
    <t>La Financière de l'Echiquier, Weber Investissements</t>
  </si>
  <si>
    <t>flavoured tea, monthly subscription package, product subscription, subscription service, tea branding, tea subscription service</t>
  </si>
  <si>
    <t>75312-55T</t>
  </si>
  <si>
    <t>CEA Investissement</t>
  </si>
  <si>
    <t>86622-49T</t>
  </si>
  <si>
    <t>Innovacom (Paris)(Jerome LeCoeur), Starquest Capital</t>
  </si>
  <si>
    <t>86276-89T</t>
  </si>
  <si>
    <t>Abeille Impact Investing France, BNP Paribas Asset Management, Investir &amp;+, PVL Capital Management</t>
  </si>
  <si>
    <t>72606-43T</t>
  </si>
  <si>
    <t>Maison Standards</t>
  </si>
  <si>
    <t>Operator of a clothing brand intended to redefine wardrobe staples through timeless design and ethical production. The company offers elevated basics and essential pieces crafted from rare materials, enabling customers to build a durable and conscious wardrobe that reflects their style.</t>
  </si>
  <si>
    <t>Experienced Capital Partners(Frederic Biousse)</t>
  </si>
  <si>
    <t>accessories shopping, apparel shopping, clothing ecommerce platform, online apparel shopping, online apparel store, winter clothing</t>
  </si>
  <si>
    <t>120104-74T</t>
  </si>
  <si>
    <t>92691-64T</t>
  </si>
  <si>
    <t>Anticafe</t>
  </si>
  <si>
    <t>Operator of coworking cafe space intended to entertain clients while working. The company's shop offers coffee, tea, snacks, and fruits and additionally provides access to high-speed Wi-Fi, a projector, printer, scanner, and board games, enabling customers to work on their projects prepare for exams, advance their start-up, or find new team members.</t>
  </si>
  <si>
    <t>Extendam</t>
  </si>
  <si>
    <t>cafe operator, co working space, coffee bar, co-working space, coworking-cafe, local cafe</t>
  </si>
  <si>
    <t>97462-36T</t>
  </si>
  <si>
    <t>Serena (Paris)</t>
  </si>
  <si>
    <t>71607-16T</t>
  </si>
  <si>
    <t>Nightswapping</t>
  </si>
  <si>
    <t>Developer of a peer-to-peer accommodation exchange platform designed to swap nights and stay for free at other's home. The company's accommodation exchange platform offers a tool where one can choose to either convert into real money or use to travel for free in over 160 countries, enabling tourists to use the home of hosting members to gain nights and stay there for free.</t>
  </si>
  <si>
    <t>6ème Sens Participation, Bpifrance, Groupe Duval, Kreaxi</t>
  </si>
  <si>
    <t>accommodation exchange, accommodation service, home exchange, tourism service, travel accommodation</t>
  </si>
  <si>
    <t>87085-09T</t>
  </si>
  <si>
    <t>86628-16T</t>
  </si>
  <si>
    <t>ederna</t>
  </si>
  <si>
    <t>Beverages, Food Products, Other Commercial Services*</t>
  </si>
  <si>
    <t>Developer of next-generation cold concentration technology intended to revolutionize the production of food and beverage ingredients. The company's cold concentration process provides an innovative and cost-effective alternative to thermal evaporation for the concentration of liquids in the biotechnology and food and beverage industries, enabling clients to develop natural and functional food ingredients with high added value at a lesser production cost.</t>
  </si>
  <si>
    <t>Pleiade Venture, Starquest Capital</t>
  </si>
  <si>
    <t>evaporation technique, evaporation technology, food and beverage, liquid concentration equipment, liquid concentration technology, preservation technology</t>
  </si>
  <si>
    <t>123462-19T</t>
  </si>
  <si>
    <t>129563-74T</t>
  </si>
  <si>
    <t>Sensee (Accessories)</t>
  </si>
  <si>
    <t>Accessories*, Catalog Retail, Internet Retail</t>
  </si>
  <si>
    <t>Provider of online eye-wear shopping platform based in Paris, France. The company's online eye-wear shopping platform provides a variety of eyeglasses, sunglasses and contact lenses.</t>
  </si>
  <si>
    <t>contact lenses distributor, discount retailer, eyewear retailer, eyewear shopping platform, online eyewear shopping, online glass</t>
  </si>
  <si>
    <t>174903-67T</t>
  </si>
  <si>
    <t>Jaina Capital, Laurent Termignon(Laurent Termignon), Marc-William ATTIÉ</t>
  </si>
  <si>
    <t>71485-57T</t>
  </si>
  <si>
    <t>Innovacom (Paris)(Jérôme Faul), Seed4Soft, Ternel</t>
  </si>
  <si>
    <t>71478-10T</t>
  </si>
  <si>
    <t>Siparex Group, TradeDoubler (STO: TRAD)(Matthias Stadelmeyer), XAnge</t>
  </si>
  <si>
    <t>204690-07T</t>
  </si>
  <si>
    <t>Flex-On</t>
  </si>
  <si>
    <t>Manufacturer of horse riding saddles intended to practice riding flexibly. The company's saddles are designed in such a way that they absorb vibration and reduce fatigue to the joints, reduce wear and tear on the muscles, promote a good saddle position, adapt to the rider's style of riding, and can also be personalized for each discipline and needs, enabling horse riders to ease their riding experience.</t>
  </si>
  <si>
    <t>horse riding, horse riding gear, horse riding saddles, saddlery product, saddles manufacturing, saddles pads</t>
  </si>
  <si>
    <t>Morlaas, France</t>
  </si>
  <si>
    <t>127515-34T</t>
  </si>
  <si>
    <t>Maison Nô</t>
  </si>
  <si>
    <t>Hotels and Resorts*, Leisure Facilities</t>
  </si>
  <si>
    <t>Operator of a hotel chain intended to provide a luxurious and comfortable stay to tourists. The company's hotels offer a private lounge, a restaurant and a bar with over a hundred seats at the top of the hotel overlooking the fourvière and the dome of the opera house, a fitness room, sauna and various other facilities, enabling tourists to enjoy a cozy and pleasant stay.</t>
  </si>
  <si>
    <t>123 Investment Managers, Bézix family</t>
  </si>
  <si>
    <t>hotel bar, hotel building, hotel operator, hotel restaurant, hotel rooms, hotels and motels, hotels and resorts chain, hotels and restaurants service</t>
  </si>
  <si>
    <t>71479-99T</t>
  </si>
  <si>
    <t>A Plus Finance, Anaxago, Anne-Charlotte Auvray(Anne-Charlotte Auvray), Bourez Bourez(Bourez Bourez), Bpifrance, Day One Entrepreneurs &amp; Partners, Matthew Chereau(Matthew Chereau), Olivier Brengues(Olivier Brengues), Peter Doherty(Peter Doherty)</t>
  </si>
  <si>
    <t>77911-75T</t>
  </si>
  <si>
    <t>AI4R</t>
  </si>
  <si>
    <t>Developer of digital real-time autoradiography systems designed for imaging radioactive substances. The company's technology is based on a new generation of gas detectors that combine speed, precision, and sensitivity in locating radio-labeled molecules over a wide field of view, enabling researchers in the life sciences and medical imaging to obtain high-quality images of radioactively labeled samples in real time.</t>
  </si>
  <si>
    <t>Pays de la Loire Développement, Pertinence Invest, Sodero</t>
  </si>
  <si>
    <t>clinical use, digital acquisition, gas detector product, imaging technology product, imaging tool, preclinical research</t>
  </si>
  <si>
    <t>140156-11T</t>
  </si>
  <si>
    <t>Base10</t>
  </si>
  <si>
    <t>Operator of a workspace management platform intended to find and rent unused office spaces. The company's platform offers office and co-working spaces, and meeting rooms that are underused in companies, communities, and third-party locations, enabling professionals, freelancers, and entrepreneurs to develop their businesses and network.</t>
  </si>
  <si>
    <t>Maan Ventures</t>
  </si>
  <si>
    <t>co-working space, meeting rooms, meeting space, office services, office space, one-off meeting</t>
  </si>
  <si>
    <t>118602-55T</t>
  </si>
  <si>
    <t>73607-41T</t>
  </si>
  <si>
    <t>AQUITI Gestion, Bpifrance, Impact Partners (Paris)</t>
  </si>
  <si>
    <t>86606-92T</t>
  </si>
  <si>
    <t>Starquest Capital(Chloé Cohen-Aknine)</t>
  </si>
  <si>
    <t>79402-24T</t>
  </si>
  <si>
    <t>77614-57T</t>
  </si>
  <si>
    <t>Dynalim, Siparex Group, WiSeed</t>
  </si>
  <si>
    <t>78146-38T</t>
  </si>
  <si>
    <t>Bixi</t>
  </si>
  <si>
    <t>Electronics (B2C)*, Information Services (B2C)</t>
  </si>
  <si>
    <t>Developer of a portable gesture control device designed to help drivers to use their smartphones while driving. The company's device offers a hardware interface-driven connected-car platform that helps in touch-free and glance-free interaction with the smartphone, enabling customers to safely use their smartphone for calls, navigation, music, e-mails, and other essential functions while driving.</t>
  </si>
  <si>
    <t>Sofimac Innovation(Nicolas Boulay)</t>
  </si>
  <si>
    <t>device controllers, drives assistant, electronic tools, gesture controlling device, glance-free interaction</t>
  </si>
  <si>
    <t>116519-23T</t>
  </si>
  <si>
    <t>Key Infuser Technology</t>
  </si>
  <si>
    <t>Provider of customer engagement systems intended to offer robotics, embedded computing, connected objects, and 3D printing services. The company's systems offer embedded computing and connected objects that interact with other objects through a robotized arm to enhance retail sales, enabling clients to maximize sales and increase revenues.</t>
  </si>
  <si>
    <t>3d printing, clients engagement, customer engagement system, embedded computing, in-store branding, retail sales</t>
  </si>
  <si>
    <t>95515-48T</t>
  </si>
  <si>
    <t>Proximis</t>
  </si>
  <si>
    <t>Developer of a digital unified commerce platform designed to offer natively an order management system to manage orders. The company's platform offers the customers a seamless experience by unifying the online and in-store buying and selling journeys into a single experience, enabling the retailers to respond efficiently to the expectation of the customers.</t>
  </si>
  <si>
    <t>3T Capital(Nicolas Tcherdakoff), Capital Grand Est(Valérie Geiger), Entrepreneur Invest(Bertrand Folliet), M Capital Partners(Karim Oumoussa), Naxicap Partners(Nicolas Sebille)</t>
  </si>
  <si>
    <t>management unit, multichannel retail, online-to-offline, retail performance, retail software developer, retail software system, web analytics</t>
  </si>
  <si>
    <t>E-Commerce, SaaS, TMT</t>
  </si>
  <si>
    <t>85608-28T</t>
  </si>
  <si>
    <t>57866-32T</t>
  </si>
  <si>
    <t>110 Bourgogne</t>
  </si>
  <si>
    <t>Distributor of agricultural products intended to promote a green economy. The company's products are made through organic farming and are used for fertilization and crop protection, as well as animal feed, enabling farmers and consumers to focus on the sustainable development of agriculture</t>
  </si>
  <si>
    <t>agricultural cooperative, agricultural cooperative farming, agricultural cooperative operator, agricultural product, animal feed, crop protection</t>
  </si>
  <si>
    <t>75891-07T</t>
  </si>
  <si>
    <t>Chatelles</t>
  </si>
  <si>
    <t>Operator of an online shopping platform intended to come up with flats shoes as an alternative to heels, loafers, and ballerinas. The company's platform provides customizable slippers in various colors and embroidered initials providing comfort and is designed to be worn either for a special event or for everyday life, enabling customers to avail a range of personalized slippers at an affordable price.</t>
  </si>
  <si>
    <t>fashion retail, fashion retail outlets, footwear retail, online shoes, shoe retail platform, shoe retailer</t>
  </si>
  <si>
    <t>115960-06T</t>
  </si>
  <si>
    <t>Bpifrance, Crédit Agricole Normandie, Normandie Business Angels</t>
  </si>
  <si>
    <t>57871-54T</t>
  </si>
  <si>
    <t>Sofiproteol, Unigrains</t>
  </si>
  <si>
    <t>73055-26T</t>
  </si>
  <si>
    <t>Frisquet SA(François Frisquet)</t>
  </si>
  <si>
    <t>75229-12T</t>
  </si>
  <si>
    <t>Ekiho</t>
  </si>
  <si>
    <t>Provider of passive construction services intended to offer economical and ecological housing. The company's services use solar radiation and internal heat inputs and offer interior and exterior insulation and filtration of pollen, dust and particles, enabling clients to have a negligible heating bill and low maintenance cost for their accommodation.</t>
  </si>
  <si>
    <t>Finorpa, Kensington Investment Company, Noria</t>
  </si>
  <si>
    <t>construction layouts, construction services, ecological housing structure, modular housing, passive housing, sustainable construction methods</t>
  </si>
  <si>
    <t>Industrials, Real Estate Technology</t>
  </si>
  <si>
    <t>Sailly-lez-Lannoy, France</t>
  </si>
  <si>
    <t>57955-96T</t>
  </si>
  <si>
    <t>EMC2</t>
  </si>
  <si>
    <t>Distributors/Wholesale, Other Agriculture*</t>
  </si>
  <si>
    <t>Provider of multi-business cooperative services intended to specialize in the agri-food sector. The company's services are engaged in activities of farming, livestock, cultivation of seeds, procurement, herd management, and distribution of agricultural machinery, enabling clients to produce and distribute crops efficiently.</t>
  </si>
  <si>
    <t>agricultural machinery, agricultural machinery parts, agriculture finance, agriculture insurance, agrifinance &amp; ecommerce, agrifinance and ecommerce, cooperative firm, cooperative service, cultivation of seeds, herd management</t>
  </si>
  <si>
    <t>Verdun Cedex, France</t>
  </si>
  <si>
    <t>130171-96T</t>
  </si>
  <si>
    <t>Faaaster</t>
  </si>
  <si>
    <t>Business/Productivity Software*, IT Consulting and Outsourcing, Software Development Applications, Systems and Information Management</t>
  </si>
  <si>
    <t>Developer of a web hosting platform designed for optimized performance. The company's platform provides hosting and management services for cloud and encryption sites as well as offers a centralized site management interface, enabling clients to monitor the health of their site regularly and alert them about problems in advance.</t>
  </si>
  <si>
    <t>Axeleo, Bpifrance, Davidson Consulting, Investessor</t>
  </si>
  <si>
    <t>application layer, docker developer, internet company, iot software, management service, monitoring and alerts, web designer, wordpress hosting, wordpress hosting services</t>
  </si>
  <si>
    <t>113398-93T</t>
  </si>
  <si>
    <t>Huski (Restaurants, Hotels and Leisure)</t>
  </si>
  <si>
    <t>Provider of food delivery services for holiday-makers intended to offer mountain meals in all weather conditions. The company's services focus on delivering a mix of tried-and-tested vegetable dishes that cater to all tastes, food, and drink preferences, enabling skiers and mountain visitors who want to eat and drink at home without the hassle of shopping/cooking/cleaning.</t>
  </si>
  <si>
    <t>Ruffena Capital</t>
  </si>
  <si>
    <t>catering delivery, drinks delivery, food delivery, food delivery business, food ecommerce, food production, readymade meals, restaurant marketplace, self catering, ski tourism</t>
  </si>
  <si>
    <t>Bourg Saint Maurice, France</t>
  </si>
  <si>
    <t>107966-26T</t>
  </si>
  <si>
    <t>177891-76T</t>
  </si>
  <si>
    <t>PayPlug</t>
  </si>
  <si>
    <t>Developer of an online payment platform designed specifically for small-medium enterprises. The company's platform partners with local banks to offer online payments, enabling sellers to easily accept payments online and increase conversion rates while predicting fraud risks at scale.</t>
  </si>
  <si>
    <t>ACE Ventures (Geneva), Anaxago, CapHorn Invest</t>
  </si>
  <si>
    <t>credit card payment, mobile payment, payment pages, payment software, payment system, secure management</t>
  </si>
  <si>
    <t>93414-07T</t>
  </si>
  <si>
    <t>Qualtera</t>
  </si>
  <si>
    <t>Developer of an analytics platform intended to help increase yield rates. The company's platform utilises statistical analysis, machine learning, and predictive modeling techniques to extract actionable insights insights from manufacturing data to identify patterns, correlations, and anomalies that impact yield, quality, and efficiency, enabling semiconductor manufacturers to optimize production processes.</t>
  </si>
  <si>
    <t>Omnes Capital(Francois-Xavier Dedde), Serena (Paris)(Marc Fournier), Welsh, Carson, Anderson &amp; Stowe</t>
  </si>
  <si>
    <t>actionable insights, analytics platform, anomaly detection, predictive modeling, process optimization, statistical analysis</t>
  </si>
  <si>
    <t>Advanced Manufacturing, Artificial Intelligence &amp; Machine Learning, Big Data, TMT</t>
  </si>
  <si>
    <t>114368-23T</t>
  </si>
  <si>
    <t>140365-72T</t>
  </si>
  <si>
    <t>71006-41T</t>
  </si>
  <si>
    <t>Anaxago, Angelor, Beyond Impact, Blue Horizon (Private Equity)(Regina Hecker), Bpifrance, European Commission, Horizons Ventures(Ka-Shing Li), Jaina Capital, VegInvest</t>
  </si>
  <si>
    <t>81783-46T</t>
  </si>
  <si>
    <t>89656-21T</t>
  </si>
  <si>
    <t>Wizzvet</t>
  </si>
  <si>
    <t>Application Software, Business/Productivity Software, Media and Information Services (B2B)*, Other Healthcare Technology Systems</t>
  </si>
  <si>
    <t>Operator of an interactive and pedagogical platform intended to promote continuous training and the exchange of know-how within the veterinary community. The company's platform helps to post queries and communicate through different elements such as photos, sampling results, scanners, radios, and MRIs and their assumptions, enabling isolated veterinarians to get aid from online expert colleges when complex cases arise and require technical advice or medical sharing.</t>
  </si>
  <si>
    <t>Angels Santé, Bpifrance, Caisse D'Epargne Alsace Capital Développement, Capital Grand Est(Rémi Berthier), Femmes Business Angels, Invest PME, MCH Gestion</t>
  </si>
  <si>
    <t>medical information platform, online training, pedagogical model, social network, veterinary platform, veterinary telemedicine</t>
  </si>
  <si>
    <t>93506-68T</t>
  </si>
  <si>
    <t>Manfield Partners(Adam Shaw)</t>
  </si>
  <si>
    <t>70973-20T</t>
  </si>
  <si>
    <t>Crédit Mutuel Equity(Emilie Lidome), GO Capital (France)(Jérôme Guéret), Participations Besançon(Pierre Besançon), Remiges Ventures(Taro Inaba)</t>
  </si>
  <si>
    <t>70820-29T</t>
  </si>
  <si>
    <t>IRDI Capital Investissement(Jean-Michel Petit), iXO Private Equity, Pierre-Olivier Goineau(Pierre-Olivier Goineau), Sofimac Innovation(Jean-Briac Lesne), Sofimac Investment Managers(Mario Caria), Xyence(Paolo Siviero)</t>
  </si>
  <si>
    <t>70906-51T</t>
  </si>
  <si>
    <t>Demeter Partners(Benjamin Wainstain), KYOSEIL AM, Sofimac Innovation(Pascal Voulton), TERTIUM Management, Turenne Groupe</t>
  </si>
  <si>
    <t>74367-91T</t>
  </si>
  <si>
    <t>Le New Black</t>
  </si>
  <si>
    <t>Developer of digital showroom and sales tools designed to empower creative brands. The company's platform offers a set of tools for smart lead and sales management, order processing, B2B showrooms, and round-the-clock retailer access and aids to optimize fashion weeks and visits to tradeshows and showrooms, enabling fashion brands to browse digital line sheets and receive tracking and simplify inventory management to increase revenue.</t>
  </si>
  <si>
    <t>Danaos (NYS: DAC), Zalando (ETR: ZAL)</t>
  </si>
  <si>
    <t>fashion trade show, inventory control, inventory management, online showroom, sales toolkit, wholesale efficiency</t>
  </si>
  <si>
    <t>Marketing Tech, Supply Chain Tech</t>
  </si>
  <si>
    <t>81741-79T</t>
  </si>
  <si>
    <t>Alhena</t>
  </si>
  <si>
    <t>Provider of digital strategy and consulting services intended to enhance market reach. The company's services include website designing, development and web-marketing through various community spaces like blogs, forums and social media platforms, enabling clients to optimize customer base and engagement.</t>
  </si>
  <si>
    <t>digital agency service, digital marketing, digital strategy consulting, social media marketing strategy, web development, web marketing</t>
  </si>
  <si>
    <t>73143-82T</t>
  </si>
  <si>
    <t>L'Occitane International</t>
  </si>
  <si>
    <t>72484-30T</t>
  </si>
  <si>
    <t>Breega, Frédéric Mazzella(Frédéric Mazzella), Jean-Baptiste Rudelle(Jean-Baptiste Rudelle), Julien Codorniou, KOIS(Charles-Antoine Janssen), Olivier Mathiot(Olivier Mathiot), Paul Duan(Paul Duan), Pierre Kosciusko Morizet(Pierre Kosciusko Morizet)</t>
  </si>
  <si>
    <t>188341-84T</t>
  </si>
  <si>
    <t>Murgier</t>
  </si>
  <si>
    <t>Producer and wholesaler of wine and beer intended to serve the people of France. The company's wine and beer are produced and distilled along with bottling in the plant, enabling consumers to enjoy different kinds of wine and beer from all across the globe.</t>
  </si>
  <si>
    <t>Bpifrance, Calixte Investissement</t>
  </si>
  <si>
    <t>alcohol delivery, alcohol drinks, beverages making, food ecommerce, online grocer, wine and beer, wine market, wine producer</t>
  </si>
  <si>
    <t>La Boisse, France</t>
  </si>
  <si>
    <t>193253-32T</t>
  </si>
  <si>
    <t>Stimulab</t>
  </si>
  <si>
    <t>Developer of a behavior change technology designed to offer digital therapeutics. The company's technology offers individualized guidance, diet charts and training routines to improve health conditions and fight chronic disease, enabling users with healthcare guidance to improve the health and lifestyle of individuals and reduce healthcare costs.</t>
  </si>
  <si>
    <t>3F Investments</t>
  </si>
  <si>
    <t>chronic disease cure, health tracking app, healthcare guidance, healthcare guidance application, healthcare program, personalized healthcare</t>
  </si>
  <si>
    <t>HealthTech, Mobile, TMT, Wearables &amp; Quantified Self</t>
  </si>
  <si>
    <t>50869-36T</t>
  </si>
  <si>
    <t>PIQ Sport Intelligence</t>
  </si>
  <si>
    <t>Producer of wearable fitness sensor products designed to track exact game performances via mobile application. The company's products measure speed, strength, or precision to generate metrics from a variety of sporting activities, enabling users to increase movement efficiency and performance.</t>
  </si>
  <si>
    <t>360 Capital, Almaz Capital(Alexander Galitsky), FIH Mobile (HKG: 02038), Ginko Ventures, Hon Hai Precision (TAI: 2317), Orkos Capital, Robolution Capital, Swisscom Ventures(Stefan Kuentz)</t>
  </si>
  <si>
    <t>fitness sensor, fitness sensor technology, wearable fitness sensor, wearable fitness tracker, wearable sensor</t>
  </si>
  <si>
    <t>E-Commerce, Mobile, Wearables &amp; Quantified Self</t>
  </si>
  <si>
    <t>81716-23T</t>
  </si>
  <si>
    <t>Locat'Me</t>
  </si>
  <si>
    <t>Provider of rental services intended to provide advertisements on real estate sites of individuals. The company's platform provides detailed information about all the web advertisements through a single application and reinvents the principles of property leasing by matching supply and demand by rental affinities, enabling application users to find safe and secure accommodation more quickly and confidently.</t>
  </si>
  <si>
    <t>apartment finder website, apartments rental, real estate site, rental platform, rental service, tenants portal</t>
  </si>
  <si>
    <t>70607-62T</t>
  </si>
  <si>
    <t>NED (Distributors/Wholesale)</t>
  </si>
  <si>
    <t>Alternative Energy Equipment, Distributors/Wholesale*</t>
  </si>
  <si>
    <t>Distributor of renewable-energy products intended to offer comprehensive support for solar-energy needs. The company distributes solar panels, micro-inverters, electrical panels, thermodynamic balloons, heat pumps, and integration kits as well as provides complete energy services, enabling clients to access all kinds of energy equipment and services.</t>
  </si>
  <si>
    <t>renewable energy, renewable energy product, solar distributor, solar panels, solar panels seller, thermodynamic balloon</t>
  </si>
  <si>
    <t>Chaponost, France</t>
  </si>
  <si>
    <t>70395-76T</t>
  </si>
  <si>
    <t>Accel(Sonali De Rycker), Elaia Partners(Philippe Gire), IRIS (Private Equity)(Julien-David Nitlech)</t>
  </si>
  <si>
    <t>80089-84T</t>
  </si>
  <si>
    <t>Geekstore</t>
  </si>
  <si>
    <t>Operator of an online brand intended to pop culture articles on the web and boutiques. The company's brand offers games, goodies, and many other themed accessories geeks, enabling customers to discover and buy products of their choice.</t>
  </si>
  <si>
    <t>board games, boutique, online accessories, pop culture articles, themed product</t>
  </si>
  <si>
    <t>134806-96T</t>
  </si>
  <si>
    <t>81660-07T</t>
  </si>
  <si>
    <t>Arioneo</t>
  </si>
  <si>
    <t>Developer of equine performance and health analytics technologies designed to improve equine health and performance for all horses. The company's devices use sensors to measure, monitor, and analyze the health and fitness of athlete horses, enabling owners and veterinarians to track the performance and health of athletes' horses.</t>
  </si>
  <si>
    <t>JumpFive, Paris Business Angels, Sofimac Innovation, UI Investissement</t>
  </si>
  <si>
    <t>animal health, animal health monitoring, animal wearable, horse health monitoring, monitoring services, physiological monitor, vet services</t>
  </si>
  <si>
    <t>LOHAS &amp; Wellness, TMT, Wearables &amp; Quantified Self</t>
  </si>
  <si>
    <t>170662-87T</t>
  </si>
  <si>
    <t>Consulting Services (B2B), Education and Training Services (B2B), Other Financial Services, Private Equity*</t>
  </si>
  <si>
    <t>Operator of an accelerator intended to help start-ups benefit from personalized mentoring to accelerate their development. The company assists in fundraising, consulting, media for equity, and space purchase and also operates an investment fund dedicated to products of mass consumption, enabling start-ups to succeed through tailor-made programs.</t>
  </si>
  <si>
    <t>A-Venture, Fred &amp; Farid Digital Investment Fund, NovX Capital</t>
  </si>
  <si>
    <t>acceleration program, accelerator firm, fundraising site, fundraising support, investment entity, investment fund, personalized mentoring</t>
  </si>
  <si>
    <t>70131-43T</t>
  </si>
  <si>
    <t>Bpifrance, ISAI(Christophe Raynaud), Serena (Paris), XAnge</t>
  </si>
  <si>
    <t>71334-91T</t>
  </si>
  <si>
    <t>Kima Ventures, Pentalabbs, SGH Capital(Alexandre Azoulay), The Family (Financial Services)</t>
  </si>
  <si>
    <t>92164-60T</t>
  </si>
  <si>
    <t>Sparkow</t>
  </si>
  <si>
    <t>Business/Productivity Software, IT Consulting and Outsourcing*, Media and Information Services (B2B), Social/Platform Software</t>
  </si>
  <si>
    <t>Developer of a data analysis software designed to optimize the customer experience by combining business rules and behavioral analysis. The company's software helps to personalize the customer's journey and optimize online navigation and product search, maximize product merchandising, regardless of channel or mode of access and facilitate the structuring and management of the Web catalog, enabling users to master and propose a digital experience that is adapted, homogeneous and unique to their consumers.</t>
  </si>
  <si>
    <t>Aria Capital Management, Bpifrance, Sofimac Innovation(Didier Moret), XAnge(Cyril Bertrand)</t>
  </si>
  <si>
    <t>behavioural analysis, catalogue, customer experience, e-merchandising, navigation</t>
  </si>
  <si>
    <t>89399-98T</t>
  </si>
  <si>
    <t>Shinken Enterprise</t>
  </si>
  <si>
    <t>Developer of IT monitoring software designed to be effective for every business need. The company's software aids business activity, supervises information systems, and detects and prevents failures to reduce the time of unavailability in services, enabling IT managers in charge of managing complex infrastructures to guarantee the continuity and performance of the business activity of their company.</t>
  </si>
  <si>
    <t>information technology software, it monitoring, it monitoring services, monitoring system, server provider, system administrator</t>
  </si>
  <si>
    <t>75803-23T</t>
  </si>
  <si>
    <t>SBSG</t>
  </si>
  <si>
    <t>Electronic Equipment and Instruments, Other Commercial Products, Security Services (B2B)*</t>
  </si>
  <si>
    <t>Provider of end-to-end security systems intended to serve various workstations and computer servers. The company's security systems include electronic systems, information technology applications, site securitization and encrypted communication technologies.</t>
  </si>
  <si>
    <t>encrypted communication, end-to-end security system, security consulting, security system</t>
  </si>
  <si>
    <t>Security Services (B2B)</t>
  </si>
  <si>
    <t>69859-45T</t>
  </si>
  <si>
    <t>Bpifrance(Delphine Garcia), Smalt Capital(Arnaud Chiocca)</t>
  </si>
  <si>
    <t>109022-23T</t>
  </si>
  <si>
    <t>Karista (Paris)</t>
  </si>
  <si>
    <t>72921-88T</t>
  </si>
  <si>
    <t>Myelefant</t>
  </si>
  <si>
    <t>Developer of a mobile messaging platform designed to promote marketing through messaging campaigns. The company's platform helps to communicate with consumers using rich content and manage hyper-personalized mobile content to distribute through all mobile messaging channels, enabling brands to optimize their mobile messaging budgets and maximize their return on investment.</t>
  </si>
  <si>
    <t>crm, customer interaction, customer relationship management, marketing campaign, marketing services, messaging platform, mobile marketing, mobile message</t>
  </si>
  <si>
    <t>86025-79T</t>
  </si>
  <si>
    <t>DN Capital, FJ Labs</t>
  </si>
  <si>
    <t>116544-70T</t>
  </si>
  <si>
    <t>ByPath</t>
  </si>
  <si>
    <t>Developer of enterprise intelligence platform designed to leverage big data to support professionals at every stage of the sales cycle. The company's applications crawl data from social networks, and blogs, to detect new opportunities or threats and deliver capital business information regarding customer industry, targets, and competition, enabling sales professionals to get meaningful and critical information to help grow their business.</t>
  </si>
  <si>
    <t>Bouygues Telecom Initiatives, Kompass France</t>
  </si>
  <si>
    <t>b2b sales, business intelligence solutions, crm integration, lead generation service, lead generation tools, sales intelligence, social selling</t>
  </si>
  <si>
    <t>85977-46T</t>
  </si>
  <si>
    <t>C-way</t>
  </si>
  <si>
    <t>Communication Software, Electronics (B2C)*</t>
  </si>
  <si>
    <t>Developer of a connected device designed to contact and assist children with their parents. The company's device offers free voicemail, air quality monitoring and provides an innovative way for communication, playing games and manage the day-to-day tasks for children, enabling kids to have fun, learn and manage daily life.</t>
  </si>
  <si>
    <t>BNP Paribas (PAR: BNP)</t>
  </si>
  <si>
    <t>air quality monitoring, air quality monitoring tools, alarm clock, alarm clock and messenger, connected alarm clock, software platform</t>
  </si>
  <si>
    <t>33350-86T</t>
  </si>
  <si>
    <t>SOGAT Groupe</t>
  </si>
  <si>
    <t>Industrial Supplies and Parts, Machinery (B2B)*, Other Commercial Products</t>
  </si>
  <si>
    <t>Manufacturer of lifting and processing equipment intended to provide machinery for lifting and handling of heavy loads and smoke treatment. The company's equipment is used in heavy industry, including rail, waste-treatment plants, and industrial plants, and the services include engineering and design of equipment as well as fabrication, delivery, and maintenance, enabling clients to get products at a reasonable rate.</t>
  </si>
  <si>
    <t>Re-Sources</t>
  </si>
  <si>
    <t>industrial machinery, lifting equipment supplier, lifting tools, machine fabrication, machinery maker, machinery manufacturing, mechanical assembly</t>
  </si>
  <si>
    <t>Gondecourt, France</t>
  </si>
  <si>
    <t>64064-35T</t>
  </si>
  <si>
    <t>CapHorn Invest, Dental Investment Group for Health, Innovacom (Paris)(Vincent Deltrieu), SEB Alliance, SOSV(Cyril Ebersweiler)</t>
  </si>
  <si>
    <t>89375-95T</t>
  </si>
  <si>
    <t>75800-08T</t>
  </si>
  <si>
    <t>Argosim</t>
  </si>
  <si>
    <t>Developer of a system requirements validation software designed to assist organizations in validating real time embedded systems. The company's software simulates the complete system specification as a whole and finds specification errors before the design phase while generating many execution traces that satisfy system specifications, providing clients with powerful debugging features to analyze requirements simulation and offers an improved test-driven development process.</t>
  </si>
  <si>
    <t>Alpes Capital Innovation, Elaia Partners, IT-Translation(Daniel Pilaud), Kreaxi, Rhône-Alpes Création(Gwenaël Hamon)</t>
  </si>
  <si>
    <t>automatic test-case generation, real time system, software tools, system requirements validation tools, system validation, system validation tools</t>
  </si>
  <si>
    <t>CloudTech &amp; DevOps, TMT</t>
  </si>
  <si>
    <t>69519-97T</t>
  </si>
  <si>
    <t>Drivy (Automotive)</t>
  </si>
  <si>
    <t>Provider of peer-to-peer car-rental services intended to help people to hire a car. The company's platform offers information about renting cars in a simpler, quicker, and easiest way as well as it also offers local renting information and driving laws, enabling private car owners to rent out their cars in a hassle-free way.</t>
  </si>
  <si>
    <t>Bpifrance, Cathay Capital Private Equity, Cathay Innovation(Jacobo Abitbol), Index Ventures(Martin Mignot), NGP Capital(Bo Ilsøe), Via ID</t>
  </si>
  <si>
    <t>auto commerce, car rent, car rental, car rental platform, car rental service, carsharing platform, mobility tech, p2p carsharing</t>
  </si>
  <si>
    <t>Car-Sharing, Mobility Tech, SaaS</t>
  </si>
  <si>
    <t>108622-81T</t>
  </si>
  <si>
    <t>NumWorks</t>
  </si>
  <si>
    <t>Manufacturer of an open graphing calculator intended to facilitate numerical and mathematical calculations. The company offers products equipped with an improved resolution color screen, emulator and modern math engine that precisely computes math expressions, enabling students and users to get access to a graphing calculator that lets them solve numerical problems conveniently.</t>
  </si>
  <si>
    <t>Bpifrance, Fred Potter(Fred Potter), Jean-David Chamboredon(Jean-David Chamboredon), Jean-Fabrice Mathieu(Jean-Fabrice Mathieu), Kima Ventures(Xavier Niel), Pierre Kosciusko Morizet(Pierre Kosciusko Morizet)</t>
  </si>
  <si>
    <t>calculator application, calculator technology, graphing analytics, mathematical analysis, mathematical concepts, numerical methods, scientific calculator</t>
  </si>
  <si>
    <t>EdTech, Manufacturing</t>
  </si>
  <si>
    <t>122930-65T</t>
  </si>
  <si>
    <t>Target First</t>
  </si>
  <si>
    <t>Operator of a multichannel customer engagement platform intended to boost conversion rate and sales. The company's platform offers calling, chatbox, push marketing, and messaging with real-time identification and analysis of a customer journey, enabling clients to get an appropriate response from customers and improve their experiences resulting in loyalty and customer satisfaction.</t>
  </si>
  <si>
    <t>Bouygues Telecom Initiatives, Sofimac Innovation</t>
  </si>
  <si>
    <t>ai cores, analytics platform, customer engagement analysis, customer engagement platform, customer engagement system, customer engagement tool, multichannel management, multichannel marketing</t>
  </si>
  <si>
    <t>Plerin, France</t>
  </si>
  <si>
    <t>80149-24T</t>
  </si>
  <si>
    <t>MIP Robotics</t>
  </si>
  <si>
    <t>Manufacturer of industrial robotics intended to offer robots for manufacturing purposes. The company's technology specializes in making industrial robotics accessible to all, for small or medium serial production and also for people without computers or programming knowledge, enabling companies of all sizes to improve their business performances in order to be more competitive in this globalized world.</t>
  </si>
  <si>
    <t>NCI Gestion, Scientipole Capital</t>
  </si>
  <si>
    <t>control software, electronic motor, industrial robotics, industrial robotics platform, industrial robotics products, industrial robots</t>
  </si>
  <si>
    <t>116906-59T</t>
  </si>
  <si>
    <t>Kima Ventures, Mobivia Group</t>
  </si>
  <si>
    <t>69551-20T</t>
  </si>
  <si>
    <t>Seventure Partners(Didier Piccino)</t>
  </si>
  <si>
    <t>55292-05T</t>
  </si>
  <si>
    <t>AskAnna</t>
  </si>
  <si>
    <t>Provider of a mobile-based fashion application intended to bring together fashion information. The company's application offers real-time information services on fashion, enabling users to exchange and share fashion tips with people and fashion influencers easily.</t>
  </si>
  <si>
    <t>Athena Capital Partners (Beverly Hills), Courtin Investment, Fashion Capital Partners, M6 Web</t>
  </si>
  <si>
    <t>fashion application, fashion information, fashion portal, fashion services, fashion site</t>
  </si>
  <si>
    <t>69556-06T</t>
  </si>
  <si>
    <t>BnbSitter</t>
  </si>
  <si>
    <t>Operator of an online platform designed to offer mobility leases for the temporary rental of housing to people on the move. The company's platform offers tenant search, inventory and signing of the lease, cleaning and linen between two rentals, maintenance management and other related servcies.</t>
  </si>
  <si>
    <t>Boost Heroes, Bpifrance, Frédéric Mazzella(Frédéric Mazzella), IT Angels, Paris Region Venture Fund</t>
  </si>
  <si>
    <t>concierge portal, concierge service, hospitality services books, housekeeping portal, mobility leasing, web based portal</t>
  </si>
  <si>
    <t>69398-02T</t>
  </si>
  <si>
    <t>Decaux Brothers Investments, Matmut(Nicolas Gomart), Open CNP(Hélène Falchier), Partech(Philippe Collombel), Sycomore Asset Management, Weber Investissements(Christian Gueugnier), Zencap Asset Management</t>
  </si>
  <si>
    <t>208756-36T</t>
  </si>
  <si>
    <t>IMF Industrie</t>
  </si>
  <si>
    <t>Manufacturer of scooters and electric vehicles based in Nieuil-l'Espoir, France. The company specializes in manufacturing thermal scooters, senior electric scooters and electric cars, enabling customers with modular and customized vehicles.</t>
  </si>
  <si>
    <t>automobile manufacturer, automotive vehicles, electric car, electric scooter, scooter dealer, two wheeler, vehicle manufacturer</t>
  </si>
  <si>
    <t>Nieuil-l'Espoir, France</t>
  </si>
  <si>
    <t>69140-17T</t>
  </si>
  <si>
    <t>INRAE (France), Lundbeckfonden BioCapital(Johan Kordel), Nestlé Health Science(Grégory Behar), Seventure Partners(Isabelle de Cremoux), Shire</t>
  </si>
  <si>
    <t>118292-68T</t>
  </si>
  <si>
    <t>Guibor, SGPA</t>
  </si>
  <si>
    <t>87200-02T</t>
  </si>
  <si>
    <t>Apizee</t>
  </si>
  <si>
    <t>Developer of a cloud-based platform designed to simplify the use of teleconferencing. The company's platform is based on a disruptive communication technology that helps teams to collaborate through Web-based messaging, audio and video calls, video conferences, documents, screens, and file sharing, enabling businesses to build better digital customer relationships and more efficient enterprise collaboration.</t>
  </si>
  <si>
    <t>Bouygues Telecom Initiatives, Bpifrance, Breizh Angels, European Union, Sofimac Innovation(Nicolas Landrin)</t>
  </si>
  <si>
    <t>communication model, customer engagement, customer interaction, files sharing platform, video communication, video conference</t>
  </si>
  <si>
    <t>69174-46T</t>
  </si>
  <si>
    <t>Babbler</t>
  </si>
  <si>
    <t>Developer of a social media platform designed to simplify press relations and media services. The company's platform is based on social communication where press officers can instantly broadcast news, content, and messages to targeted viewers, enabling journalists and public relations professionals to connect with their audience easily.</t>
  </si>
  <si>
    <t>Crédit Mutuel Impact(Stéphane Pesqué), Omnes Capital</t>
  </si>
  <si>
    <t>communication platform, journalism courses, media communication, media network, media work, press relation, press relation platform</t>
  </si>
  <si>
    <t>68989-51T</t>
  </si>
  <si>
    <t>120619-54T</t>
  </si>
  <si>
    <t>Bpifrance, Région Sud Investissement, SATT Sud-Est</t>
  </si>
  <si>
    <t>98661-34T</t>
  </si>
  <si>
    <t>Yestudent</t>
  </si>
  <si>
    <t>Information Services (B2C), Social Content, Social/Platform Software*</t>
  </si>
  <si>
    <t>Developer of a social platform designed to find friends to stay with while travelling. The company's platform connects users with their preferred local hosts in the cities they are travelling to, provides with places to stay in and makes travel itinerary, enabling students to travel cheap to new places and make new friends.</t>
  </si>
  <si>
    <t>Bpifrance, Capitole Angels, Réseau entreprendre Atlantique</t>
  </si>
  <si>
    <t>airbnb platform, friends discovery platform, social platform, travel itineraries planner, travel platform</t>
  </si>
  <si>
    <t>68922-64T</t>
  </si>
  <si>
    <t>Hawk (Media and Information Services B2B)</t>
  </si>
  <si>
    <t>Operator of an advertising platform designed to offer an innovative open-stack mobile platform. The company's platform leverages technology to offer web marketing, discovery platforms, advertising campaigns, and online advertising services, enabling advertisers and agencies the ability to manage their entire purchasing process and mobile creative production, in one single ad-tech stack.</t>
  </si>
  <si>
    <t>Ardian(Romain Chiudini), Generis Capital Partners(Edouard Cassini)</t>
  </si>
  <si>
    <t>advertising campaigns, advertising platform, advertising tech, digital advertising, digital audio platform, digital billboards, digital media, discovery platform, media agency, mobile platform, online advertising, web marketing</t>
  </si>
  <si>
    <t>AdTech, Mobile</t>
  </si>
  <si>
    <t>71516-80T</t>
  </si>
  <si>
    <t>Fizen</t>
  </si>
  <si>
    <t>Developer of accounting and financial management software designed to aid proprietors in managing their businesses. The company's software offers a cloud-based application providing a real-time dashboard to manage accounts easily from a computer or mobile phone, enabling businesses to track receipts and disbursements, customer invoices, and awaiting settlements.</t>
  </si>
  <si>
    <t>Bpifrance, GO Capital (France)(Aude Kermarrec), IDEE (Other Commercial Products)</t>
  </si>
  <si>
    <t>accounting software, business financial management, customer invoice, financial dashboard, financial management software, manage business</t>
  </si>
  <si>
    <t>68791-15T</t>
  </si>
  <si>
    <t>David Roche(David Roche), Entrepreneur Invest(Bertrand Folliet), Frederic Halley(Frederic Halley), Nicolas Brumelot(Nicolas Brumelot), Pablo Szefner(Pablo Szefner), Siparex Group, XAnge(Bartosz Jakubowski)</t>
  </si>
  <si>
    <t>80049-07T</t>
  </si>
  <si>
    <t>Imeon Energy (PAR: MLIME)</t>
  </si>
  <si>
    <t>Imeon Energy SA a French manufacturer of solar inverters, has developed IMEON, an innovative electronic system that makes a home autonomous through the intelligent use of a solar installation coupled with batteries. The developed solution makes solar energy compatible with domestic or tertiary use by increasing the efficiency of photovoltaic installations and lowering the cost of the kWh of electricity generated.</t>
  </si>
  <si>
    <t>Breizh Invest PME, Ouest Croissance Gestion(Adeline Drogou), Pleiade Venture</t>
  </si>
  <si>
    <t>climate tech company, photovoltaic energy sources, photovoltaic inverters, renewable energy, solar battery, solar inverter</t>
  </si>
  <si>
    <t>70027-39T</t>
  </si>
  <si>
    <t>Innovation Capital (Paris)(Valéry Huot), Inserm Transfert(François Thomas), Kima Ventures, LBO France(Valéry Huot)</t>
  </si>
  <si>
    <t>68488-93T</t>
  </si>
  <si>
    <t>ESSEC Ventures, Takara Capital</t>
  </si>
  <si>
    <t>94001-68T</t>
  </si>
  <si>
    <t>G2Mobility</t>
  </si>
  <si>
    <t>Provider of smart charging infrastructure products and services intended to be used for electric vehicles. The company's smart charging infrastructure products and services offer a choice of charging stations for electric vehicles, enabling users to manage complete networks of charge points in one single place.</t>
  </si>
  <si>
    <t>Bpifrance, Innovacom (Paris), Nexans (PAR: NEX), Vermeer Energy</t>
  </si>
  <si>
    <t>charging station, electric vehicle, electrical mobility, ev charging, mobility tech, smart charging, smart charging infrastructure, smart charging solutions, smart charging systems</t>
  </si>
  <si>
    <t>Velizy, France</t>
  </si>
  <si>
    <t>70028-83T</t>
  </si>
  <si>
    <t>CapHorn Invest(Romain Vidal), Nord France Amorçage</t>
  </si>
  <si>
    <t>68761-54T</t>
  </si>
  <si>
    <t>Bpifrance, CEA Investissement(Celia Hart), Mérieux Equity Partners(Valérie Calenda)</t>
  </si>
  <si>
    <t>68690-62T</t>
  </si>
  <si>
    <t>MedDay Pharmaceuticals</t>
  </si>
  <si>
    <t>Developer of novel therapeutics intended to focus on the treatment of nervous system disorders. The company's therapeutics offers neuroprotective and neuro repair treatment by investigating brain metabolism to address neurodegenerative diseases, enabling patients to get a recovery from nervous system disorders.</t>
  </si>
  <si>
    <t>Andera Partners(Raphael Wisniewski), Bpifrance(Chahra Louafi), InnoBiologics(Chahra Louafi), Sofinnova Partners(Rafaele Tordjman)</t>
  </si>
  <si>
    <t>brain metabolism, brain treatment, chemistry, nervous system disorder, nervous system disorder treatment, neuro repair treatment, neurodegenerative diseases treatment, neuropsychiatric disease treatment, small molecule</t>
  </si>
  <si>
    <t>68962-51T</t>
  </si>
  <si>
    <t>360player</t>
  </si>
  <si>
    <t>Developer of a photo capture application designed to make pictures easy to capture and display. The company's application uses vision technologies to tag images automatically and provides immersive images, and videos, enabling clients to integrate enhanced visuals on their website.</t>
  </si>
  <si>
    <t>News Invest</t>
  </si>
  <si>
    <t>images sensing device, mobile photography, photo capturing application, photo capturing platform, photo sharing, picture post</t>
  </si>
  <si>
    <t>70126-93T</t>
  </si>
  <si>
    <t>Demeter Partners(Benjamin Wainstain), Frédéric Mazzella(Frédéric Mazzella), Ternel</t>
  </si>
  <si>
    <t>82708-30T</t>
  </si>
  <si>
    <t>Hikob</t>
  </si>
  <si>
    <t>Other Commercial Services*, Other Consumer Products and Services, Other Information Technology</t>
  </si>
  <si>
    <t>Developer of a wireless data acquisition system designed to collect complex data and support advanced data processing algorithms. The company's wireless data acquisition system generates strategic data and information on physical resources and assets, enabling users to get the opportunity to integrate the power and benefits of IoT technologies by developing innovative OEM products and co-designing and deploying their personalized monitoring projects to better anticipate, maintain, operate their industrial assets .</t>
  </si>
  <si>
    <t>Alpes Capital Innovation, Crédit Agricole Création, Crédit Agricole Sud Rhône-Alpes (PAR: CRSU), IT-Translation, Kreaxi, Rhône-Alpes Création</t>
  </si>
  <si>
    <t>civil engineering structure monitoring, data acquisition systems, data system, other information technology, wireless sensor network</t>
  </si>
  <si>
    <t>Advanced Manufacturing, TMT</t>
  </si>
  <si>
    <t>67407-76T</t>
  </si>
  <si>
    <t>Innov+</t>
  </si>
  <si>
    <t>Business/Productivity Software*, Electronic Equipment and Instruments, Road</t>
  </si>
  <si>
    <t>Developer of innovative face-tracking technologies designed to provide driver vigilance assistance. The company's technology offers an active safety system that leverages artificial intelligence to alert the driver at the first signs of drowsiness or distraction to reduce the risk of accidents related to hypervigilance, enabling users to detect a change in the driver's behaviour and reduce the number of accidents due to drowsiness and distraction at the wheel.</t>
  </si>
  <si>
    <t>automotive electronics, drivers assistance, drivers assistance system, face tracking, facial recognition technology, tracking device</t>
  </si>
  <si>
    <t>Artificial Intelligence &amp; Machine Learning, Mobility Tech</t>
  </si>
  <si>
    <t>120982-78T</t>
  </si>
  <si>
    <t>Bernard Magrez(Bernard Magrez)</t>
  </si>
  <si>
    <t>74614-78T</t>
  </si>
  <si>
    <t>Navendis</t>
  </si>
  <si>
    <t>Provider of car rental services intended to offer help in daily commutation. The company's services offer taxis at fixed and reasonable rates, as well as offer all the services of a business car, enabling users to make comfortable trips from one place to another at pocket friendly fares.</t>
  </si>
  <si>
    <t>Reseau Entreprendre 92, Transdev Group(Jean-Marc Janaillac)</t>
  </si>
  <si>
    <t>car rental application, chauffeured vehicles, online car booking, passenger transport</t>
  </si>
  <si>
    <t>70082-47T</t>
  </si>
  <si>
    <t>Alven Capital Partners(Charles Letourneur), CapHorn Invest(Laurent Dumas-Crouzillac), Leroy Merlin, Nestadio Capital</t>
  </si>
  <si>
    <t>75793-60T</t>
  </si>
  <si>
    <t>68799-25T</t>
  </si>
  <si>
    <t>Openfleet</t>
  </si>
  <si>
    <t>Application Software, Automotive, Business/Productivity Software*, Other Commercial Services</t>
  </si>
  <si>
    <t>Developer of an online car rental platform designed to revolutionize the self-service car market. The company's platform offers tenants access to vehicle owners without key exchange and also without signing any contract, enabling car owners to rent out cars for precise slots of time and rationalize vehicle fleets.</t>
  </si>
  <si>
    <t>Claude Mathieu, PSA Groupe, Ternel</t>
  </si>
  <si>
    <t>auto commerce, car rental portal, car rental tools, carsharing application, carsharing platform, fleet management, online car rental, p2p carsharing, public administration</t>
  </si>
  <si>
    <t>Car-Sharing, Industrials, Mobile, Mobility Tech, SaaS, TMT</t>
  </si>
  <si>
    <t>116087-23T</t>
  </si>
  <si>
    <t>SUNiBrain</t>
  </si>
  <si>
    <t>Manufacturer of cooling photovoltaic panels designed to enhance the performance and efficiency of power generation. The company's panels boost efficiency by collecting and recycling rainwater to cool the solar panels and prevent them from overheating, enabling owners with more energy generation and lower maintenance costs.</t>
  </si>
  <si>
    <t>Bpifrance, Galia Gestion, WiSeed</t>
  </si>
  <si>
    <t>heat management, overheating control, performance booster, photovoltaic panels, solar panels, solar power generation</t>
  </si>
  <si>
    <t>211221-01T</t>
  </si>
  <si>
    <t>Aurinvest</t>
  </si>
  <si>
    <t>252164-44T</t>
  </si>
  <si>
    <t>Biosims Technologies</t>
  </si>
  <si>
    <t>Biotechnology*, Other Healthcare Technology Systems, Other Pharmaceuticals and Biotechnology</t>
  </si>
  <si>
    <t>Developer and manufacturer of high-performance analytical tools for life science industries. The company's Dynaxi detection platform, its software and kits allows extremely low amounts of targets in a sample to be monitored, at a level never reached so far on a chip device.</t>
  </si>
  <si>
    <t>bioassays, biomarker, multiplex quantification</t>
  </si>
  <si>
    <t>Life Sciences, Manufacturing, TMT</t>
  </si>
  <si>
    <t>74296-90T</t>
  </si>
  <si>
    <t>DialOnce</t>
  </si>
  <si>
    <t>Developer of a visual interactive voice response technology designed for companies to improve customer journeys through all communication channels. The company offers an IVR interface that eases access to omnichannel self-care and also provides the same level of service overall contact points, enabling customers to find answers to their questions without having to go through an operator.</t>
  </si>
  <si>
    <t>Benhamou Global Ventures(Eric Buatois), Ventech (Paris)(Jean Bourcereau)</t>
  </si>
  <si>
    <t>customer relationship, interactive voice response, ivr technology, voice response, voice response system, voice response technology</t>
  </si>
  <si>
    <t>120287-53T</t>
  </si>
  <si>
    <t>Domainiac</t>
  </si>
  <si>
    <t>Systems and Information Management*</t>
  </si>
  <si>
    <t>Operator of a cloud computing company. The company is currently operating in Stealth mode.</t>
  </si>
  <si>
    <t>cloud compute, cloud computing, cloud computing company, cloud computing service, cloud computing system, cloud computing tools, stealth business, stealth company, stealth platform, stealth product</t>
  </si>
  <si>
    <t>74016-28T</t>
  </si>
  <si>
    <t>Swabbl</t>
  </si>
  <si>
    <t>Consulting Services (B2B), Social/Platform Software*</t>
  </si>
  <si>
    <t>Developer of a collaborative platform designed to offer business development services. The company's collaborative platform shares business opportunities, business needs and develops business synergies between the members, enabling organizations to join business teams and organize business circles for sharing opportunities.</t>
  </si>
  <si>
    <t>business circle organization, business collaborative platform, business development firm, business opportunities platform, collaborative platform</t>
  </si>
  <si>
    <t>88168-24T</t>
  </si>
  <si>
    <t>Valbiotis (PAR: ALVAL)</t>
  </si>
  <si>
    <t>Valbiotis SA is a research &amp; development company. It is engaged in scientific innovation for preventing and combating metabolic diseases. Valbiotis has adopted an approach, aiming to revolutionize healthcare by developing a new class of Nutrition Health products designed to reduce the risk of major metabolic diseases, based on a multi-target approach by the use of plant-based ingredients.</t>
  </si>
  <si>
    <t>AQUITI Gestion, Bpifrance, Nestadio Capital, Sofimac Innovation, Sofimac Investment Managers</t>
  </si>
  <si>
    <t>chronic irreversible disease, non-alcoholic steatohepatitis, nutrition health, nutrition healthcare, nutritional support, type 2 diabetes</t>
  </si>
  <si>
    <t>Perigny, France</t>
  </si>
  <si>
    <t>68458-78T</t>
  </si>
  <si>
    <t>Bpifrance, Crédit Mutuel Impact, Leon Ge(Leon Ge), Partech(Philippe Collombel), Piton Capital</t>
  </si>
  <si>
    <t>68335-93T</t>
  </si>
  <si>
    <t>Expway</t>
  </si>
  <si>
    <t>Provider of a platform designed to offer LTE broadcast services. The company's platform offer complete, end-to-end, LTE broadcast services and provide products, tools, expertise, and advices that are needed to broadcast project and helps users to monetize on the mobile video explosion opportunity, enabling mobile carriers and public safety organizations to migrate broadcast and make their mission-critical communications reach the target audience.</t>
  </si>
  <si>
    <t>Innovation Capital (Paris)(Valéry Huot), Isatis Capital, NTT Docomo Ventures, Sofimac Innovation(Nicolas Boulay), SWEN Capital Partners, TechFund Europe(Francoise Lohezic)</t>
  </si>
  <si>
    <t>broadcast messaging, broadcasting service, carrier, lte broadcast</t>
  </si>
  <si>
    <t>126091-54T</t>
  </si>
  <si>
    <t>Fluid-e</t>
  </si>
  <si>
    <t>Developer of a cloud-based platform designed to support and facilitate the strategic management of the supply chain. The company's platform responds simultaneously and in real-time to optimize logistics processes for all players in the supply chain, from the manufacturer to the point of sale, enabling retailers and manufacturers to conduct collaborative planning, continuous performance monitoring, and supply chain management.</t>
  </si>
  <si>
    <t>Odyssee Venture(Florent Violette)</t>
  </si>
  <si>
    <t>cloud platform, cloud platform firm, supply chain management platform, supply chain management software, supply chain management solutions, supply chain management system, supply chain monitoring, supply chain orchestration platform</t>
  </si>
  <si>
    <t>187562-44T</t>
  </si>
  <si>
    <t>68329-36T</t>
  </si>
  <si>
    <t>Simcom Aviation Training Europe</t>
  </si>
  <si>
    <t>Education and Training Services (B2B)*, Social/Platform Software</t>
  </si>
  <si>
    <t>Provider of simulator training services intended to offer personalized training for pilots. The company's services utilize the latest technology in a wide-screen visual system to deliver a realistic sensation of motion, enabling users to learn quickly at an affordable cost.</t>
  </si>
  <si>
    <t>Newfund Management, SIMCOM Aviation Training</t>
  </si>
  <si>
    <t>jet training, pilot training, simulator training, simulator training service, training organization</t>
  </si>
  <si>
    <t>Villepinte, France</t>
  </si>
  <si>
    <t>68374-63T</t>
  </si>
  <si>
    <t>Biocodex(Jean-Marie Lefevre), Crédit Mutuel Innovation(Karine Lignel), INRAE (France), Seventure Partners(Isabelle de Cremoux)</t>
  </si>
  <si>
    <t>71219-44T</t>
  </si>
  <si>
    <t>LeCab ( Automotive)</t>
  </si>
  <si>
    <t>Provider of an online ride-hailing platform intended to offer cheap transportation. The company's offerings include car rental services through a mobile application, phone call and website which with an immediate reservation service or in advance at a fixed rate is accessible anytime and anywhere thereby, enabling users to get a convenient network of transportation anytime.</t>
  </si>
  <si>
    <t>Keolis</t>
  </si>
  <si>
    <t>car booking, car rental sites, car service books, mobility tech, online car booking, ridehailing platform, rides hailing, rides tracking</t>
  </si>
  <si>
    <t>69008-86T</t>
  </si>
  <si>
    <t>Le chocolat des Français</t>
  </si>
  <si>
    <t>Developer of an online platform intended to offer a variety of french chocolate bars to people. The company's platform offers customized paper cases of chocolate bars as per celebration and events, bars are made from french cocoa dark chocolate with caramel, enabling customers to get their chocolate of their choice.</t>
  </si>
  <si>
    <t>Kima Ventures, Spice Capital Partners</t>
  </si>
  <si>
    <t>chocolate bars seller, chocolate seller, dark chocolate, french chocolate, online chocolate retail</t>
  </si>
  <si>
    <t>69069-79T</t>
  </si>
  <si>
    <t>189906-94T</t>
  </si>
  <si>
    <t>KF20 Capital</t>
  </si>
  <si>
    <t>67309-57T</t>
  </si>
  <si>
    <t>Bastien Cadeac, Damien Morin, Edward Bouygues, Idinvest Partners, Kima Ventures, Maxime Prades, Olivier Thomas, OneRagtime(Stéphanie Hospital), Romain Cottard(Romain Cottard), Solomon Hykes(Solomon Hykes), Tony Jamous(Tony Jamous), Xavier Niel(Xavier Niel)</t>
  </si>
  <si>
    <t>117962-02T</t>
  </si>
  <si>
    <t>204575-41T</t>
  </si>
  <si>
    <t>Mecalac</t>
  </si>
  <si>
    <t>Manufacturer of a variety of construction equipment intended to innovate urban railway and utility construction sites. The company offers an extensive range of innovative construction vehicles like excavators, loaders, dumpers, and other machinery, allowing the construction industry to work more efficiently and have advanced construction equipment and vehicles.</t>
  </si>
  <si>
    <t>construction equipment, construction vehicles, construction work, urban railway industry, utility construction, vehicle industry</t>
  </si>
  <si>
    <t>102250-00T</t>
  </si>
  <si>
    <t>Les Entrepreneurs Réunis(Martin Genot)</t>
  </si>
  <si>
    <t>203291-56T</t>
  </si>
  <si>
    <t>Demmos</t>
  </si>
  <si>
    <t>Electrical Equipment*, Industrial Supplies and Parts, Machinery (B2B), Other Agriculture</t>
  </si>
  <si>
    <t>Operator of a research and development company in electromagnetic energies intended for industrial applications. The company's platform optimize energy consumption, reduce production costs, and improve product quality, enabling customers to enhance their sustainability and competitiveness in the agro-industrial sector.</t>
  </si>
  <si>
    <t>electromagnetic system, energy consumption, industrial equipment manufacturer, industrial equipment supply, industrial innovation, industrial machinery maker</t>
  </si>
  <si>
    <t>AgTech, CleanTech, FoodTech</t>
  </si>
  <si>
    <t>Saint Medard De Mussidan, France</t>
  </si>
  <si>
    <t>67930-12T</t>
  </si>
  <si>
    <t>67453-03T</t>
  </si>
  <si>
    <t>Cisco Investments, Cisco Systems (NAS: CSCO), Crédit Mutuel Innovation(Guillaume Dhee), Highland Europe(Laurence Garrett), Innovacom (Paris)(Jérôme Faul), Omnes Capital</t>
  </si>
  <si>
    <t>186581-44T</t>
  </si>
  <si>
    <t>190650-34T</t>
  </si>
  <si>
    <t>Xooloo</t>
  </si>
  <si>
    <t>Application Software, Education and Training Services (B2B), Information Services (B2C)*</t>
  </si>
  <si>
    <t>Developer of a digital coaching mobile application designed to create digital services that empower kids to use and understand the positive side of technology. The company's platform records the applications children use on their phones and how much time they spend on them, enabling parents to connect, assist and accompany their children at every stage of their digital life.</t>
  </si>
  <si>
    <t>SCP Europe</t>
  </si>
  <si>
    <t>digital coaching, digital coaching application, digital coaching platform, digital coaching system, digital coaching tool, software development</t>
  </si>
  <si>
    <t>89264-26T</t>
  </si>
  <si>
    <t>Ehtrace</t>
  </si>
  <si>
    <t>Developer of a multidisciplinary software technology designed to boost the corporate performance and profitability of medical device manufacturers. The company's technology focuses on process optimization and cost management, enabling healthcare businesses to generate financial resilience and real-time supply chain traceability for medical facilities.</t>
  </si>
  <si>
    <t>automated replenishment, computing software, healthcare establishment, healthcare software, inventory management, multidisciplinary software, process optimization software</t>
  </si>
  <si>
    <t>67341-52T</t>
  </si>
  <si>
    <t>YouShould</t>
  </si>
  <si>
    <t>Developer of an online booking platform designed to book bars and pubs for events and parties. The company's online booking platform helps people to compare the rents and fares for booking a restaurant or a pub where they want to throw a party or organize an event and also privatize a free bar and get discounts on the drinks, enabling users to experience their special moments in their desired places.</t>
  </si>
  <si>
    <t>Kima Ventures, Seier Capital, The Family (Financial Services), Via.Io</t>
  </si>
  <si>
    <t>bar finder, party application, party booking, pub books, restaurant books</t>
  </si>
  <si>
    <t>69007-33T</t>
  </si>
  <si>
    <t>Hilaire Le Gouellec de Schwarz(Hilaire Le Gouellec de Schwarz), Kima Ventures</t>
  </si>
  <si>
    <t>69008-41T</t>
  </si>
  <si>
    <t>Kick Club, Kima Ventures, Seed4equity, The Family (Financial Services), Via ID</t>
  </si>
  <si>
    <t>67186-99T</t>
  </si>
  <si>
    <t>Sun'R</t>
  </si>
  <si>
    <t>Developer of photovoltaic energy production plants based in Paris, France. The company develops, builds and operates power generation plants with the help of a team of engineers, doctors, mathematicians and computer scientists who develop in-house operational and piloting skills, optimization software and storage technologies as per the requirements of the environment.</t>
  </si>
  <si>
    <t>photovoltaic energy production, photovoltaic panels, photovoltaic plant operator, photovoltaic power, photovoltaic power plant, power generation plant, renewable energy, solar power plant</t>
  </si>
  <si>
    <t>69009-67T</t>
  </si>
  <si>
    <t>Alexis Bonillo(Alexis Bonillo), Antoine Martin(Antoine Martin), David Amsellem(David Amsellem), Fabrice Grinda(Fabrice Grinda), FJ Labs, Iron Capital., Jacques Veyrat(Jacques Veyrat), Kima Ventures, Thibault Elziere(Thibault Elziere), Via.Io</t>
  </si>
  <si>
    <t>67114-72T</t>
  </si>
  <si>
    <t>Augment (Paris)</t>
  </si>
  <si>
    <t>Develper of an augmented reality platform designed to create and manage 3D models. The company's platform allows for hassle-free development of deployable mobile 3D and AR product visualizations for eCommerce, field sales, and education, enabling businesses to merge physical and virtual experiences.</t>
  </si>
  <si>
    <t>Hatcher+, Salesforce Ventures, Vinteor</t>
  </si>
  <si>
    <t>3d modeling, ar animation, augmented reality, augmented reality app, augmented reality platform, ecommerce search, field sales solutions, product visualization</t>
  </si>
  <si>
    <t>3D Printing, Augmented Reality, Mobile, TMT, Virtual Reality</t>
  </si>
  <si>
    <t>76290-76T</t>
  </si>
  <si>
    <t>Boho Green Make-Up</t>
  </si>
  <si>
    <t>Retailer of natural cosmetics products based in Lyon, France. The company's platform offers conventional make-up products that help in avoiding hormone-dependent cancers, cardiovascular diseases and fertility disorders, thereby enabling users to use products based on organic ingredients.</t>
  </si>
  <si>
    <t>cosmetics, makeup product, natural cosmetics, organic cosmetic product, organic cosmetics, organic cosmetics ingredient, organic cosmetics product</t>
  </si>
  <si>
    <t>120493-72T</t>
  </si>
  <si>
    <t>Carre'ment Gourmand Mouguerre</t>
  </si>
  <si>
    <t>Producer of cooked and frozen bakery products intended for the France market. The company's produces gluten-free frozen and semi-baked breads, pizzas, focaccias and prepared meals for restaurant and supermarket channels, enabling consumers to get fresh bakery products at an affordable price.</t>
  </si>
  <si>
    <t>bakery cookies, bakery product, fresh bakery, frozen bakery goods, frozen bakery product, pizza bread</t>
  </si>
  <si>
    <t>Urt, France</t>
  </si>
  <si>
    <t>123958-00T</t>
  </si>
  <si>
    <t>Centric(Karim Henkens)</t>
  </si>
  <si>
    <t>89357-59T</t>
  </si>
  <si>
    <t>Entomo Farm</t>
  </si>
  <si>
    <t>Producer of insect-based products created to provide traceable and sustainable alternatives to existing options. The company offers insect flours, insect oils and insect fertilizers through an eco-industrial insect breeding system, enabling companies in the food, cosmetic and agriculture sectors to get access to a 100% traceable product without any trace of pollutant</t>
  </si>
  <si>
    <t>AQUITI Gestion, Jean-Philippe Bour(Jean-Philippe Bour), Stéphane Zittoun(Stéphane Zittoun)</t>
  </si>
  <si>
    <t>animal nutrition, animal nutrition product, animal nutritional supplements, animal protein, bio-engineered food, feed, livestock feed, livestock feed producer, novel ingredients, plant nutrition</t>
  </si>
  <si>
    <t>115935-76T</t>
  </si>
  <si>
    <t>107564-05T</t>
  </si>
  <si>
    <t>127597-33T</t>
  </si>
  <si>
    <t>82663-93T</t>
  </si>
  <si>
    <t>Johanna Wikberg</t>
  </si>
  <si>
    <t>Consulting Services (B2B), Human Capital Services*, Other Commercial Services</t>
  </si>
  <si>
    <t>Operator of a luxury concierge agency intended to recruit and train high-end home staff. The company's agency specializes in the recruitment and training of high-profile domestic staff and yacht crew for French and international clientele and offers tailor-made private event planning services, enabling clients to avail special staff for their homes and simplify their daily lives.</t>
  </si>
  <si>
    <t>2C Invest, Sunflower Capital.</t>
  </si>
  <si>
    <t>concierge service, home concierge, housekeeping training, housework training, human resources, janitorial services</t>
  </si>
  <si>
    <t>66872-62T</t>
  </si>
  <si>
    <t>Kemiwatt</t>
  </si>
  <si>
    <t>Developer of an energy storage system designed to offer renewable energy sources. The company's system includes redox flow batteries for stationary energy storage and paves the way to a reliable, affordable, and versatile way to store energy in large amounts, enabling customers to get environment-friendly energy storage for their purposes that can be used in times of crisis.</t>
  </si>
  <si>
    <t>Demeter Partners, Emertec Gestion, GO Capital (France)(Leila Nicolas), Ouest Valorisation(Cyrille Chapon), Pierre-Yves Divet(Pierre-Yves Divet)</t>
  </si>
  <si>
    <t>battery technology, eco-friendly battery, electrolyte battery, redox flow batteries, renewable electricity, renewable energy storage, stationary energy storage solutions</t>
  </si>
  <si>
    <t>62717-50T</t>
  </si>
  <si>
    <t>Abeille Impact Investing France, Bpifrance, Extendam, Femmes Business Angels, Les Entrepreneurs Réunis, PULSE GroupeSOS</t>
  </si>
  <si>
    <t>69013-72T</t>
  </si>
  <si>
    <t>Demeter Partners(Benjamin Wainstain), Emertec Gestion</t>
  </si>
  <si>
    <t>204569-38T</t>
  </si>
  <si>
    <t>Truckonline</t>
  </si>
  <si>
    <t>Business/Productivity Software*, Consulting Services (B2B), Software Development Applications</t>
  </si>
  <si>
    <t>Developer of a fleet management platform designed to enter on-board computing in trucks without risk. The company's platform offers fleet geolocation, communication flow management, eco-driving, social management, trailer monitoring, and pre-payment, and allows exchanging of all types of data in software, enabling truck drivers to automatically and remotely download legal data.</t>
  </si>
  <si>
    <t>fleet management business, fleet management platform, fleet management service, fleet management software, fleet management system, fleet management tool</t>
  </si>
  <si>
    <t>133196-32T</t>
  </si>
  <si>
    <t>Greenspector</t>
  </si>
  <si>
    <t>Business/Productivity Software*, Environmental Services (B2B), IT Consulting and Outsourcing</t>
  </si>
  <si>
    <t>Provider of measurement and analysis tools designed to reduce the environmental impact of mobile and web applications. The company offers technology and a robust impact model, developed through years of research and development, which allows for real-world measurements to optimize performance and minimize environmental impact, enabling clients to experience longer battery life while reducing the environmental impact of digital technologies</t>
  </si>
  <si>
    <t>application testing platform, energy consumption reduction, energy efficiency measurement, ghg reduction technology, green it, industrial iot, it software solutions, saas product, testing software</t>
  </si>
  <si>
    <t>44086-78T</t>
  </si>
  <si>
    <t>Olygose</t>
  </si>
  <si>
    <t>Biotechnology*, Food Products</t>
  </si>
  <si>
    <t>Developer and producer of prebiotic ingredients using unique extraction and purification technologies. The company manufacturers a range of patented ingredients extracted from various dietary plant-based raw materials such as processed heat-stable, sweet-tasting soluble fiber syrups of natural origin with full of nutritional benefits for the food and health industries.</t>
  </si>
  <si>
    <t>Capagro(Jerome Samson), Emertec Gestion(Eric Marty), Vives Fund(Philippe Durieux)</t>
  </si>
  <si>
    <t>bacteria, bio-engineered food, microbiome, microbiota, novel ingredients, nutrition health, peas plant, protein product, vegetables extraction, weight management</t>
  </si>
  <si>
    <t>71519-95T</t>
  </si>
  <si>
    <t>BocaMexa</t>
  </si>
  <si>
    <t>Operator of a restaurant chain intended to offer freshly cooked Mexican and traditional food. The company's restaurants offer burritos, quesadillas, tacos, and salads which are prepared with handpicked ingredients, enabling customers to enjoy fresh and healthy foods whenever they want.</t>
  </si>
  <si>
    <t>Arts et Biens, Finarea</t>
  </si>
  <si>
    <t>food restaurant, food truck, fresh food, mexican cuisine, street food, street food chain</t>
  </si>
  <si>
    <t>66746-08T</t>
  </si>
  <si>
    <t>IKO System</t>
  </si>
  <si>
    <t>Provider of a predictive sales automation software. The company offers a software that enables sales organizations to use digital social networks for sales lead generation and customer relationship management.</t>
  </si>
  <si>
    <t>3T Capital(Nicolas Tcherdakoff), Bpifrance, Naxicap Partners(Antoine Le Masson)</t>
  </si>
  <si>
    <t>email engagement platform, led generation software, predictive analytics, sales automation</t>
  </si>
  <si>
    <t>66944-53T</t>
  </si>
  <si>
    <t>63390-52T</t>
  </si>
  <si>
    <t>GoBeep (Media and Information Services (B2B))</t>
  </si>
  <si>
    <t>Operator of an ad tech company intended to increase sales in shops and eCommerce sites for businesses. The company offers a drive-to-purchase platform based on gamification that entails customers signing up for the platform through a gaming experience, visiting the store for purchasing and after payment, redeeming a code to find out what is won, enabling clients to generate more revenue and sales.</t>
  </si>
  <si>
    <t>AQUITI Gestion, Bouygues Telecom Initiatives, Femmes Business Angels, Guillaume Paoli(Guillaume Paoli)</t>
  </si>
  <si>
    <t>ad tech, ad tech firm, advertising work, customer engagement, customer interaction, marketing service</t>
  </si>
  <si>
    <t>AdTech, Mobile, TMT</t>
  </si>
  <si>
    <t>86310-19T</t>
  </si>
  <si>
    <t>Odyssee Venture(Francois Sion)</t>
  </si>
  <si>
    <t>106208-74T</t>
  </si>
  <si>
    <t>Bpifrance, News Invest</t>
  </si>
  <si>
    <t>104547-79T</t>
  </si>
  <si>
    <t>Weekendesk</t>
  </si>
  <si>
    <t>Operator of an online tourism management platform intended to offer travel plans. The company's platform offers thematic short weekend travel packages, enabling customers to enjoy vivid travel experiences.</t>
  </si>
  <si>
    <t>Otium Capital(Stanislas Niox-Chateau)</t>
  </si>
  <si>
    <t>tourism app, tourism system, travel agent, travel arrangements services, travel content, travel firm</t>
  </si>
  <si>
    <t>66346-48T</t>
  </si>
  <si>
    <t>KissKissBankBank</t>
  </si>
  <si>
    <t>Operator of an online crowdfunding platform intended to foster connections between projects creators and potential contributors passionate about creativity. The company facilitates fundraising for individuals and businesses, enables creators to develop fundraising campaigns for their projects and to offer innovative rewards to their contributors, providing them with support their project.</t>
  </si>
  <si>
    <t>Orange Ventures(Antoine Maurel), XAnge(Cyril Bertrand)</t>
  </si>
  <si>
    <t>crowdfunding, crowdfunding platform, crowdfunding platform operator, fundraising, fundraising platform, online crowdfunding</t>
  </si>
  <si>
    <t>66196-45T</t>
  </si>
  <si>
    <t>Bernard Kirsch(Bernard Kirsch), Bpifrance, Clément Cézard(Clément Cézard), Creadev(Alexandre Neuveglise), Leroy Merlin, SEPFI(Yves de Villeguerin)</t>
  </si>
  <si>
    <t>77615-65T</t>
  </si>
  <si>
    <t>Finovam Gestion(Helene Cannard), Siparex Group(Priscille Clement)</t>
  </si>
  <si>
    <t>242487-37T</t>
  </si>
  <si>
    <t>Réseau Entreprendre Nord</t>
  </si>
  <si>
    <t>66134-62T</t>
  </si>
  <si>
    <t>Tellmeplus</t>
  </si>
  <si>
    <t>Developer of a prescriptive analytics platform designed to leverage underutilized data assets. The company's platform improves the outcome of business and industrial processes through actionable customer and asset intelligence, as well as leverages machine learning and big data to automate the discovery of
heterogeneous data, enabling clients to augment human experts for accurate predictions that leverage all available data, without selection bias.</t>
  </si>
  <si>
    <t>Matmut Innovation, Mutuelle Assurance Commerçants et Industriels France, Runa Capital(Dmitry Chikhachev), Siparex Group, Soridec, Ventech (Paris)(Alain Caffi), XAnge</t>
  </si>
  <si>
    <t>ai automation platform, assets intelligence, predictive objects, predictive targeting, prescriptive analytics, prescriptive maintenance</t>
  </si>
  <si>
    <t>169399-99T</t>
  </si>
  <si>
    <t>81768-79T</t>
  </si>
  <si>
    <t>Angélique Gérard(Angélique Gérard), Bpifrance, Francis Nappez(Francis Nappez), Gonzague de la Tournelle(Gonzague de la Tournelle), Id4 Ventures(Herve Cuviliez), Siparex Group, XAnge</t>
  </si>
  <si>
    <t>168597-28T</t>
  </si>
  <si>
    <t>242831-44T</t>
  </si>
  <si>
    <t>Incub'ethic</t>
  </si>
  <si>
    <t>Construction and Engineering, Consulting Services (B2B)*, Environmental Services (B2B)</t>
  </si>
  <si>
    <t>Operator of a consultation platform intended to support energy transition and sustainable performance to companies and local authorities. The company offers a wide range of services including modal shift process, waste management, monitoring system, and installation process, enabling companies to be more energy efficient and sustainable.</t>
  </si>
  <si>
    <t>Equisol, Schneider Electric (Electrical Equipment) (PAR: SU)</t>
  </si>
  <si>
    <t>consultation platform, consulting services, energy management, environmental services, ethical practice, project management, sustainable development</t>
  </si>
  <si>
    <t>Cormeilles en Parisis, France</t>
  </si>
  <si>
    <t>64353-97T</t>
  </si>
  <si>
    <t>Beepings</t>
  </si>
  <si>
    <t>Application Software, Electronics (B2C), Other Hardware*</t>
  </si>
  <si>
    <t>Developer of a location-tracking device designed to aid people to geolocate and search anywhere in Europe. The company's device operates with an application that provides real global positioning system (GPS) locations even in remote places, aiding to follow the route, delimit perimeters and manage several people at the same time, enabling users to connect to the smartphone that can secure people, animals, and objects with autonomy that can last up to a year and can track and search location at a minimal time.</t>
  </si>
  <si>
    <t>Cedre Participations, Francois Garcia(Francois Garcia)</t>
  </si>
  <si>
    <t>geolocation application, location sharing, location tracker, location tracking device, mobile location data, tracking device</t>
  </si>
  <si>
    <t>116486-02T</t>
  </si>
  <si>
    <t>Homunity</t>
  </si>
  <si>
    <t>Operator of a crowdlending platform specialized exclusively in real estate in France. The company helps investors build up a rental property portfolio or diversify their existing assets by combining return and added-value by charging just 1000 Euros.</t>
  </si>
  <si>
    <t>Aquarelle.com, Petit Poucet</t>
  </si>
  <si>
    <t>crowdfunding platform, crowdfunding platform operator, crowdlending platform, real estate, real estate crowdfunding, real estate crowdfunding platform, real estate investment, real estate investment firm</t>
  </si>
  <si>
    <t>65811-34T</t>
  </si>
  <si>
    <t>La Belle Assiette</t>
  </si>
  <si>
    <t>Other Restaurants, Hotels and Leisure, Other Services (B2C Non-Financial)*</t>
  </si>
  <si>
    <t>Developer of a private chef booking platform designed to bring the restaurant experience to people's homes. The company's platform provides an online marketplace where users can book and shop, for cooking, cleaning, and serving services with different price ranges and customized menus, enabling customers to hire chefs for an event.</t>
  </si>
  <si>
    <t>Alecla7, Angel Capital Management, Anya Capital, Benoît Bassi(Benoît Bassi), Cabiedes &amp; Partners, Elior Group (PAR: ELIOR), Francois Bergerault(Francois Bergerault), Frédéric de Bourguet(Frédéric de Bourguet), Guillaume Cussac(Guillaume Cussac), Guillaume Cuvelier(Guillaume Cuvelier), Jean Sébastien Bompoil(Jean Sébastien Bompoil), Kima Ventures, Laurent Benhamou(Laurent Benhamou), Laurent Plantier(Laurent Plantier), Nicolas Bergerault(Nicolas Bergerault), Nicolas Bourdin(Nicolas Bourdin), Shizen Capital, Stephen Judson(Stephen Judson), Thibaud Elziere(Thibaud Elziere), U-Start</t>
  </si>
  <si>
    <t>chef services, concierge service, delivery of grocery, discovery &amp; review, discovery and review, food and beverage discovery, food beverage discovery, online booking, online menu, private chef booking, restaurant franchisor</t>
  </si>
  <si>
    <t>FoodTech, SaaS</t>
  </si>
  <si>
    <t>65810-62T</t>
  </si>
  <si>
    <t>360 Capital, ISAI(Jean-David Chamboredon), NCI Gestion, Nicolas d'Audiffret(Nicolas d'Audiffret), Sébastien Forest(Sébastien Forest)</t>
  </si>
  <si>
    <t>65654-83T</t>
  </si>
  <si>
    <t>Bpifrance(Chahra Louafi), InnoBiologics(Chahra Louafi), Morningside Group(Jason Dinges), Sofinnova Partners(Rafaele Tordjman)</t>
  </si>
  <si>
    <t>116949-43T</t>
  </si>
  <si>
    <t>133540-84T</t>
  </si>
  <si>
    <t>Green Creative</t>
  </si>
  <si>
    <t>Manufacturer of waste treatment machines designed to enhance waste recovery. The company offers innovative design and engineering expertise to turn waste into useful resources, enabling businesses focused on sustainability to improve efficiency and reduce environmental impact.</t>
  </si>
  <si>
    <t>Alter Equity(Guez Emmanuelle)</t>
  </si>
  <si>
    <t>biogas treatment, biowaste recycling, waste management firm, waste processing, waste recovery, waste recycling equipment, waste recycling machines, waste treatment</t>
  </si>
  <si>
    <t>Sucy-en-Brie, France</t>
  </si>
  <si>
    <t>116760-61T</t>
  </si>
  <si>
    <t>Pleiade Venture, PPJB</t>
  </si>
  <si>
    <t>49781-71T</t>
  </si>
  <si>
    <t>LivePepper</t>
  </si>
  <si>
    <t>Developer of an online ordering platform intended to offer ordering services for independent chains and restaurants. The company's platform creates white-label online ordering modules with options to manage them and also change the menu according to the seasons, enabling restaurants to work efficiently and develop their own tools such as mobile applications or a website to manage their customer's orders.</t>
  </si>
  <si>
    <t>Alain Tingaud Innovations(Alain Tingaud)</t>
  </si>
  <si>
    <t>digital marketplace, mobile application development, online menu, online payment processing, ordering services, restaurant &amp; retail tech, restaurant and retail technology, restaurant delivery, restaurant service, sales &amp; operations tech, sales and operations technology</t>
  </si>
  <si>
    <t>Mobile, Restaurant Technology</t>
  </si>
  <si>
    <t>129303-01T</t>
  </si>
  <si>
    <t>Monkey Locky</t>
  </si>
  <si>
    <t>Provider of key storage service intended to manage access to home safely. The company's service offers the possibility of storing keys in a smart locker, at a local merchant, to remotely manage access to safe accommodation, enabling users to simply share their code and be notified whenever keys are removed.</t>
  </si>
  <si>
    <t>connected buildings, connected commercial real estate, keys management, keys management system, keys storage, keys storage services, smart lockers, smart lockers service</t>
  </si>
  <si>
    <t>73170-01T</t>
  </si>
  <si>
    <t>Air-Lynx</t>
  </si>
  <si>
    <t>Manufacturer of a professional radio networks designed to merge traditional radio network with the IP world to open the field of possibilities. The company's new-generation radio networks offers 4G infrastructure for professional and private users with open architecture combined with high level services, enabling clients to have their own secure broadband network anywhere and in any point of time.</t>
  </si>
  <si>
    <t>Innovacom (Paris)(Frederic Humbert)</t>
  </si>
  <si>
    <t>4g services, lte network, radio network services, radio operations, radiocommunication</t>
  </si>
  <si>
    <t>72114-22T</t>
  </si>
  <si>
    <t>DATA4(Olivier Micheli)</t>
  </si>
  <si>
    <t>66321-55T</t>
  </si>
  <si>
    <t>Alain Laidet(Alain Laidet), Bpifrance</t>
  </si>
  <si>
    <t>65477-89T</t>
  </si>
  <si>
    <t>Alliance Miniere Responsable</t>
  </si>
  <si>
    <t>Aluminum Mining*, Other Materials, Other Metals, Minerals and Mining</t>
  </si>
  <si>
    <t>Provider of mining services intended for the production of bauxite for industrial applications. The company identifies bauxite resources, undertakes studies, and develops mining projects according to internationally recognized technical methods and practices, enabling clients to meet raw material needs related to aluminum and other metal production.</t>
  </si>
  <si>
    <t>Alain Mallart(Alain Mallart), Anne Lauvergeon(Anne Lauvergeon), Edouard Louis-Dreyfus(Edouard Louis-Dreyfus), NJJ Capital(Xavier Niel), Samfi Invest, Yannick Naud(Yannick Naud)</t>
  </si>
  <si>
    <t>bauxite extraction, bauxite metal, bauxite mineral, bauxite mining, bauxite mining company, bauxite ore, bauxite reserves, bauxite resources</t>
  </si>
  <si>
    <t>Aluminum Mining</t>
  </si>
  <si>
    <t>70708-51T</t>
  </si>
  <si>
    <t>68000-68T</t>
  </si>
  <si>
    <t>AQUITI Gestion, Broadview Ventures(Maria Berkman), Galia Gestion, IRDI Capital Investissement, M Capital Partners, UI Investissement</t>
  </si>
  <si>
    <t>67482-64T</t>
  </si>
  <si>
    <t>MyJobCompany</t>
  </si>
  <si>
    <t>Developer of a social job recruitment platform designed to match the recruiters with the correct job seekers. The company's platform is a modern player and leader in the market of participative recruitment and helps each headhunter to follow its activity in real-time to instantly measure the match between a talent and a position, enabling clients to find the right candidate to fill their vacancies.</t>
  </si>
  <si>
    <t>Alain Sarfati(Alain Sarfati), Bpifrance, Didier Negiar(Didier Negiar), Orbium(Alfred Auer)</t>
  </si>
  <si>
    <t>e-placement, jobs recruitment platform, participative recruitment, recruitment app, recruitment software, social recruitment</t>
  </si>
  <si>
    <t>70519-78T</t>
  </si>
  <si>
    <t>Eficia</t>
  </si>
  <si>
    <t>Application Software, Business/Productivity Software*, Other Energy Services</t>
  </si>
  <si>
    <t>Developer of an energy management technology designed to focus on the profitability and performance of buildings. The company's technology offers tools to control the buildings and increase consumption and comfort, enabling clients to analyze and manage energy stock and optimize the energy and economic performance of buildings in real-time.</t>
  </si>
  <si>
    <t>Alter Equity, Aster Capital(Jean-Marc Bally)</t>
  </si>
  <si>
    <t>energy efficient building, energy monitoring tools, environmental services, facility management, manage energy stock, management technology systems, sustainable development</t>
  </si>
  <si>
    <t>CleanTech, LOHAS &amp; Wellness, Mobile, TMT</t>
  </si>
  <si>
    <t>82872-01T</t>
  </si>
  <si>
    <t>Eikeo</t>
  </si>
  <si>
    <t>Developer of digital signage technologies. The company's technology offers digital furniture with aesthetic design for any type of environment including urban transport, shopping centers, showcases, exterior, with industrial reliability electronics and fully tele-managed and advanced interactivity and marketing tools, enabling advertising agencies and brands to develop smart advertising campaigns that mix smartphone interaction, face recognition, and individual behavior measurement.</t>
  </si>
  <si>
    <t>Extendam, Startup Avenue, Trail Solutions Patrimoine</t>
  </si>
  <si>
    <t>business intelligence service, digital business intelligence, digital signage, digital signage platform</t>
  </si>
  <si>
    <t>89701-57T</t>
  </si>
  <si>
    <t>A-Venture, AngelSquare, Bpifrance, Fonds Venture Numérique Lorrain, Lorraine Regional Council</t>
  </si>
  <si>
    <t>117595-72T</t>
  </si>
  <si>
    <t>Capital Partners (Istanbul), Investessor, Pentalabbs, Techmind, WeLikeStartup</t>
  </si>
  <si>
    <t>65142-64T</t>
  </si>
  <si>
    <t>Adix</t>
  </si>
  <si>
    <t>Provider of consulting services intended for the food industry, agricultural cooperatives, distribution, retail, and e-commerce industries. The company offers to define, structure, manage, and implement projects by the grouping of structures, reorganization of branches of activity, and the evolution of the information systems, enabling companies the transform their organization and information system.</t>
  </si>
  <si>
    <t>Finorpa, Sopromec Participations</t>
  </si>
  <si>
    <t>agricultural cooperative, consultant firm, consulting agency, consulting firm, consulting group, consulting service, consulting tools, management consulting</t>
  </si>
  <si>
    <t>82138-51T</t>
  </si>
  <si>
    <t>Arthur Waller(Arthur Waller), Compagnie d'Anjou, Cyril Vermeulen(Cyril Vermeulen), Didier Kuhn, François Diéval(François Diéval), ISAI, Jean-Claude Boulet(Jean-Claude Boulet), Jean-Philippe Couturier, Olivier Dousset(Olivier Dousset), Pierre Kosciusko Morizet(Pierre Kosciusko Morizet), Pierre Valade(Pierre Valade), Quentin de Metz(Quentin de Metz), Tancrède Besnard(Tancrède Besnard), Yves Grandmontagne</t>
  </si>
  <si>
    <t>65215-18T</t>
  </si>
  <si>
    <t>MesDocteurs</t>
  </si>
  <si>
    <t>Provider of a health information application designed to offer health-based advice. The company's application allows the user to ask general practitioners, specialists, and midwives any questions anonymously via the website or through a face-to-face visit, thereby enabling users to be updated and have answers to health issues at their convenience.</t>
  </si>
  <si>
    <t>Delta Assurances, Omnes Capital, Partech(Romain Lavault)</t>
  </si>
  <si>
    <t>doctor connection platform, healthcare application, healthcare information, medical platform, online health advice</t>
  </si>
  <si>
    <t>81174-07T</t>
  </si>
  <si>
    <t>Poly-Shape</t>
  </si>
  <si>
    <t>Manufacturer of functional prototype parts catering to additive laser sintering device. The company's platform engages in the rapid design and manufacture of functional prototype parts and in the production of small series, thereby enabling customers to avail advanced technology products in the field of additive manufacturing.</t>
  </si>
  <si>
    <t>Air Liquide Venture Capital, LDR Holding(Christophe Lavigne)</t>
  </si>
  <si>
    <t>additives laser, additives manufacturing, additives manufacturing platform, industrial engineering, laser fusion, mechanical engineering, prototyping technologies, selective laser melting</t>
  </si>
  <si>
    <t>3D Printing, TMT</t>
  </si>
  <si>
    <t>Salon-de-Provence, France</t>
  </si>
  <si>
    <t>65035-99T</t>
  </si>
  <si>
    <t>Eurazeo (PAR: RF)(Chloé Giard), Idinvest Partners(Benoist Grossmann), Ventech (Paris)(Claire Houry)</t>
  </si>
  <si>
    <t>64933-57T</t>
  </si>
  <si>
    <t>Deezer (PAR: DEEZR)</t>
  </si>
  <si>
    <t>Deezer SA is an independent music streaming platform providing access to lossless HiFi audio, innovative recommendation technology and industry-defining features. The company brings artists and fans together on a scalable and global platform, to unlock the potential of music through technology. The company is based in France, Germany, the UK, Brazil and the US.</t>
  </si>
  <si>
    <t>Access Technology Ventures, Orange (Telecommunications Service Providers) (PAR: ORA)</t>
  </si>
  <si>
    <t>free music, music software, music streaming, music streaming service, music website, online music, subscription software</t>
  </si>
  <si>
    <t>212864-05T</t>
  </si>
  <si>
    <t>BBG</t>
  </si>
  <si>
    <t>Application Software, Specialty Retail*</t>
  </si>
  <si>
    <t>Operator of an organic grocery platform intended to offer a range of quality products at a fair price. The company's platform offers fresh fruits, vegetables, groceries, meat, drinks, and other related products, and also provides home delivery and in-store pick-up services, enabling consumers to buy staples of their own choice, easily and at reasonable rates.</t>
  </si>
  <si>
    <t>Finorpa, Re-Sources Capital</t>
  </si>
  <si>
    <t>food distribution, fresh food, organic food, organic shopping, retail company, retail store</t>
  </si>
  <si>
    <t>120494-98T</t>
  </si>
  <si>
    <t>The Roof</t>
  </si>
  <si>
    <t>Operator of indoor climbing spaces created to learn or practice vertical sports. The company is an urban space for recreation and freedom, enabling toddlers and adults to learn and practice climbing on blocks and other cultural activities.</t>
  </si>
  <si>
    <t>cultural activities, indoor sports, indoor sports platform, rock climbing activity, rock climbing area, rock climbing rooms</t>
  </si>
  <si>
    <t>64698-49T</t>
  </si>
  <si>
    <t>Cyril Vermeulen(Cyril Vermeulen), Geoffroy Roux de Bézieux(Geoffroy Roux de Bézieux), ISAI, Justin Ziegler(Justin Ziegler), Notus Technologies, Pierre Kosciusko Morizet(Pierre Kosciusko Morizet), Tomcat Capital</t>
  </si>
  <si>
    <t>65276-47T</t>
  </si>
  <si>
    <t>Dominique Vidal(Dominique Vidal), Frédéric Halley(Frédéric Halley), Partech(Boris Golden), Siparex Group, XAnge(Cyril Bertrand)</t>
  </si>
  <si>
    <t>78153-13T</t>
  </si>
  <si>
    <t>MarieQuantier</t>
  </si>
  <si>
    <t>Developer of a financial advisory platform designed to help financial markets to make their own investing decision. The company's platform offers an online tool that provides quantitative global macro analysis and risk management services, enabling clients to invest independently through real time risk management on mobile devices.</t>
  </si>
  <si>
    <t>financial advisory, financial advisory platform, financial investment, investment platform, investment tool, macro analysis, real time risk management, wealthtech</t>
  </si>
  <si>
    <t>117766-72T</t>
  </si>
  <si>
    <t>64687-87T</t>
  </si>
  <si>
    <t>Sunpartner Technologies</t>
  </si>
  <si>
    <t>Developer of solar energy technologies and products intended to protect the environment. The company's products are specialized in photovoltaic technologies for mobile &amp; connected devices, building, transportation and smart cities, enabling clients to harness the power of solar energy.</t>
  </si>
  <si>
    <t>A Capital(André Loesekrug-Pietri)</t>
  </si>
  <si>
    <t>energy technology, photovoltaic film, renewable energy, solar energy product, solar energy technology, sustainable energy</t>
  </si>
  <si>
    <t>64509-04T</t>
  </si>
  <si>
    <t>Dayuse</t>
  </si>
  <si>
    <t>Application Software, Information Services (B2C), Other Restaurants, Hotels and Leisure*, Other Services (B2C Non-Financial)</t>
  </si>
  <si>
    <t>Operator of a hotel reservation platform intended for booking daytime hotel experiences. The company's platform allows hotel operators to rent their unoccupied rooms at discounted rates and offer the opportunity to enjoy a hotel room during the day for travelers in transit, business trips, daycations, interviews, photo shoots, and special events, enabling hoteliers to generate incremental revenue by creating a complementary offering to overnight stays.</t>
  </si>
  <si>
    <t>Cedric Barbier(Cedric Barbier), Charles Petruccelli(Charles Petruccelli), Christophe Chausson(Christophe Chausson), Eurazeo PME, Idinvest Partners(Pierre-Edouard Berion), Partech(Jean-Marc Patouillaud), Paul Dubrule(Paul Dubrule)</t>
  </si>
  <si>
    <t>booking portal, hotel booking app, hotel reservation, hotel reservation platform, hotel rooms, hotel service, hotelier service</t>
  </si>
  <si>
    <t>190681-48T</t>
  </si>
  <si>
    <t>Accuwatt</t>
  </si>
  <si>
    <t>Aerospace and Defense, Alternative Energy Equipment, Energy Storage, Other Commercial Services*</t>
  </si>
  <si>
    <t>Manufacturer of lithium batteries. The company deals in the design, development, integration, marketing, and maintenance of products for managing power distribution on light boats used mainly for ocean races, motor boats, and military vehicles.</t>
  </si>
  <si>
    <t>cobalt electrode, lithium batteries production, lithium battery, maintenance products, military vehicle, ocean racing</t>
  </si>
  <si>
    <t>46007-29T</t>
  </si>
  <si>
    <t>Dictanova</t>
  </si>
  <si>
    <t>Provider of a customer experience software designed to offer a semantic analysis engine that combines IA, machine learning and big data. The company's software focuses on satisfaction surveys of customers and helps businesses in managing customers experience feedback, enabling users to analyze verbatim in a simple, accurate and quick way.</t>
  </si>
  <si>
    <t>GO Capital (France), IT-Translation(Sophie Pellat), Julien Hervouët(Julien Hervouët)</t>
  </si>
  <si>
    <t>customer experience platform, customer experience tools, customer satisfaction, natural language technology, qualitative analysis, text mining</t>
  </si>
  <si>
    <t>207991-18T</t>
  </si>
  <si>
    <t>Ijinus</t>
  </si>
  <si>
    <t>Electronic Components, Wireless Communications Equipment*</t>
  </si>
  <si>
    <t>Manufacturer of process control and metrology instruments designed for wireless remote management and remote monitoring. The company's products include instruments and components as sensors, recorders, transmitters and other communication interfaces used for transmission of multi-protocol data, thereby enabling clients to record measures and transmit them via a global system for mobile.</t>
  </si>
  <si>
    <t>Arkéa Capital, Synergie (PAR: SDG)</t>
  </si>
  <si>
    <t>measurement sensors, process control, product tracing, remote monitoring, sensors, transmission, wireless remote management</t>
  </si>
  <si>
    <t>Manufacturing, SaaS, TMT</t>
  </si>
  <si>
    <t>Mellac, France</t>
  </si>
  <si>
    <t>78876-91T</t>
  </si>
  <si>
    <t>Bpifrance, IT-Translation</t>
  </si>
  <si>
    <t>85828-06T</t>
  </si>
  <si>
    <t>Auriga Partners (Paris)(Franck Lescure), Elaia Partners(Franck Lescure), Galia Gestion</t>
  </si>
  <si>
    <t>64702-72T</t>
  </si>
  <si>
    <t>Fioulreduc</t>
  </si>
  <si>
    <t>Operator of an online retail platform intended for ordering domestic fuel oil and Non-Road Diesel (GNR). The company's platform allows payment options when ordering or on delivery according to the method of one's convenience, guarantees a refund for the fuel prices cheaper than theirs as well as offers service for replacing an oil boiler with a hybrid boiler, enabling users to avail the benefit of online fuel ordering at competitive prices.</t>
  </si>
  <si>
    <t>Day One Entrepreneurs &amp; Partners, Generis Capital Partners, Network Finances(Gilles Enguehard), Thierry Roussel(Thierry Roussel)</t>
  </si>
  <si>
    <t>domestic fuel, fuel distribution, fuel retail, fuel usage, oil distributor, oil system</t>
  </si>
  <si>
    <t>64208-26T</t>
  </si>
  <si>
    <t>90397-09T</t>
  </si>
  <si>
    <t>218674-81T</t>
  </si>
  <si>
    <t>3clics.com</t>
  </si>
  <si>
    <t>Operator of a digital marketing and web developing agency intended to grow the online reach of businesses. The company offers website creation, an online store, natural referencing SEO, motion design as well as video creation, enabling real estate, the automotive industry, and businesses to improve their digital brand presence via web analytics.</t>
  </si>
  <si>
    <t>digital marketing, motion design, natural referencing, search engine optimisation, video creating, web developing agency, website creation</t>
  </si>
  <si>
    <t>80152-12T</t>
  </si>
  <si>
    <t>Skeyecode</t>
  </si>
  <si>
    <t>Developer of a malware proof security software designed to offer cybersecurity services. The company's software fixes the leaks to protect secret data exchanges such as sensitive information and money transactions, as well as to provide an infallible alternative to the login/password, without the need of physical secure element, enabling users protection against malware, ransomware and cyber threats.</t>
  </si>
  <si>
    <t>Scientipole Capital, Smart Equity (Paris), Wilco(Paris)</t>
  </si>
  <si>
    <t>cryptographic obfuscation, cryptography technology, cybersecurity services, ecommerce security, financial transaction, online security, security software</t>
  </si>
  <si>
    <t>167183-02T</t>
  </si>
  <si>
    <t>Axido</t>
  </si>
  <si>
    <t>Provider of IT services intended to help clients in their digital transformation. The company offers consulting to managed services including outsourcing, security, network, and hosted services, enabling companies to perform better by achvieing availability, scalability and security of their infrastructures.</t>
  </si>
  <si>
    <t>digital transformation, hosting services, it infrastructure, it services, managed security services, outsourcing services, security operations, service provider</t>
  </si>
  <si>
    <t>274274-20T</t>
  </si>
  <si>
    <t>Cliple</t>
  </si>
  <si>
    <t>Operator of an audiovisual creation agency intended to offer professional video production services. The company's services encompass a variety of video formats including corporate videos, marketing videos, and social media videos, enabling businesses to create videos to promote their products, services, and events.</t>
  </si>
  <si>
    <t>advertising services, audio visual production, commercial video, customer engagement, employer branding, video production</t>
  </si>
  <si>
    <t>Wasquehal, France</t>
  </si>
  <si>
    <t>120288-16T</t>
  </si>
  <si>
    <t>95357-53T</t>
  </si>
  <si>
    <t>194530-06T</t>
  </si>
  <si>
    <t>Fibercryst</t>
  </si>
  <si>
    <t>Manufacturer of optical components intended to provide great matter surface in grooving and drilling cylindrical or inverted cone holes through metal. The company specializes in using single-crystal fiber technology for services in the field of optical components from single-crystal material to laser systems, enabling businesses to process polymers and carbon fiber-reinforced plastic.</t>
  </si>
  <si>
    <t>Veymont Participations</t>
  </si>
  <si>
    <t>crystal fiber, laser systems, optical components, optical fibre equipment, optical fibre technology, optical materials, single-crystal materials</t>
  </si>
  <si>
    <t>Industrials, Manufacturing, TMT</t>
  </si>
  <si>
    <t>Décines-Charpieu, France</t>
  </si>
  <si>
    <t>187876-72T</t>
  </si>
  <si>
    <t>Robert Duggan(Robert Duggan)</t>
  </si>
  <si>
    <t>89322-40T</t>
  </si>
  <si>
    <t>GetLandy</t>
  </si>
  <si>
    <t>Business/Productivity Software, Multimedia and Design Software*, Software Development Applications</t>
  </si>
  <si>
    <t>Developer of a landing page creation platform designed to create efficient pages suitable for all devices without any information technology knowledge. The company's platform offers free positioning, content grouping, and original effects as well as provides creative features for formatting on internet pages such as registration of colors of graphics charts and distances between elements through subscription-based policies, enabling business entities to boost their advertising campaigns.</t>
  </si>
  <si>
    <t>AQUITI Gestion, Bpifrance, Région Nouvelle-Aquitaine</t>
  </si>
  <si>
    <t>advertising campaigns, content data, creation platform, graphics charting, landing page editor, website creation</t>
  </si>
  <si>
    <t>88173-28T</t>
  </si>
  <si>
    <t>127693-00T</t>
  </si>
  <si>
    <t>Innerspace VR</t>
  </si>
  <si>
    <t>Entertainment Software*, Software Development Applications</t>
  </si>
  <si>
    <t>Operator of a virtual reality (VR) creation studio intended to leverage the power of VR to build games and entertainment with a creative identity. The company creates gaming mechanics, worlds and stories for casual VR users along with custom development frameworks for VR content, enabling game developers to develop quality games and create enjoyable and immersive virtual reality experiences for their customers.</t>
  </si>
  <si>
    <t>Colopl Next, Rothenberg Ventures, Seahorn Capital Group(Marc Jackson)</t>
  </si>
  <si>
    <t>creation studio, virtual reality software, vr content creation, vr development framework, vr development studio, vr studio</t>
  </si>
  <si>
    <t>Esports, Gaming, TMT, Virtual Reality</t>
  </si>
  <si>
    <t>85547-44T</t>
  </si>
  <si>
    <t>Leka</t>
  </si>
  <si>
    <t>Other Hardware, Recreational Goods*</t>
  </si>
  <si>
    <t>Developer of robot toys designed to educate children with developmental disorders. The company's robot toys offer adaptable sensory-simulations with colors, sounds, vibrations, emotions and movements that engage children in social activities and simultaneously track their progress, enabling children with developmental disorders to interact socially and assist them to increase motor, cognitive and emotional skills.</t>
  </si>
  <si>
    <t>Bernard Kirsch(Bernard Kirsch), Right Side Capital Management, Wilco(Paris)</t>
  </si>
  <si>
    <t>child development toys, children toys, educational robot, motor skills development, robotics toys, smart toys</t>
  </si>
  <si>
    <t>27594-82T</t>
  </si>
  <si>
    <t>Maison Villevert</t>
  </si>
  <si>
    <t>Operator of an alcohol distillery intended to sell wine and spirits. The company's distillery specializes in the creation and development of liquids, combining traditional and modern methods, enabling consumers to avail international brands of premium spirits in their purest form.</t>
  </si>
  <si>
    <t>Galia Gestion, Ouest Croissance Gestion</t>
  </si>
  <si>
    <t>alcohol distributor, alcohol drinks, cocktails product, premium spirits, wine distributor, wines and spirit distributor</t>
  </si>
  <si>
    <t>Merpins, France</t>
  </si>
  <si>
    <t>89349-76T</t>
  </si>
  <si>
    <t>Mc MA Solutions</t>
  </si>
  <si>
    <t>Developer of energy management systems designed to define and implement integrated methods to reduce costs and energy demand. The company offers consulting services for the operational implementation of energy strategy, and its systems are meant to collect, qualify, analyze, evaluate, and plan energy performance actions for purchases, master plans, and financing of multiannual investment plans, enabling building and assets managers or groups and purchasers to meet the major challenges of energy performance, adapted to the economic constraints of organizations.</t>
  </si>
  <si>
    <t>AQUITI Gestion(Camille Larsabal), Bpifrance(Constance Fingonnet), Crédit Agricole Nord de France (PAR: CNDF)(Fabrice Pomade), Mondi (LON: MNDI)</t>
  </si>
  <si>
    <t>energy conservation consulting, energy management system, energy purchasing, energy related technology, energy savings systems, energy services firm, energy strategy</t>
  </si>
  <si>
    <t>80874-37T</t>
  </si>
  <si>
    <t>Mood Messenger</t>
  </si>
  <si>
    <t>Developer of an instant messaging application designed to help users communicate over text messages. The company's application offers predictive text technology, provides emoticons with predictive and instinctive writing, switches any conversation to private mode and hides it from the conversation list displayed, enabling users to chat, share media files with other users instantly and customize each of the conversations.</t>
  </si>
  <si>
    <t>emoji application, messaging app, messaging application, messaging engine, messaging system, predictive text technology</t>
  </si>
  <si>
    <t>65041-93T</t>
  </si>
  <si>
    <t>Netheos</t>
  </si>
  <si>
    <t>Developer of remote identity verification and customer onboarding solutions based in Montpellier, France. The company offers solutions for customers onboarding online, providing an integrated platform for identity verification, document check and digital agreement automation, enabling maximization of customer conversion rates and a reliable and secure process that minimizes the risk of fraud and meets the strictest compliance requirements in regulated industries such as financial services and fintech, insurance and real estate.</t>
  </si>
  <si>
    <t>AXA Venture Partners(Manish Agarwal)</t>
  </si>
  <si>
    <t>computer vision, customer onboarding, digital agreement, document verification, identity verification, identity verification product, identity verification system, identity verification tech, identity verifications</t>
  </si>
  <si>
    <t>101733-13T</t>
  </si>
  <si>
    <t>Oasis Smart Sim</t>
  </si>
  <si>
    <t>Application Specific Semiconductors*, Connectivity Products, Electronic Equipment and Instruments, Other Commercial Products</t>
  </si>
  <si>
    <t>Provider of sim card products intended for end-to-end and customized services for the deployment of global USIM technology connectivity and management. The company provides products and solutions that include a range of network software for remote management of eSIM and SIM content supplied from GSMA-certified secure data centers, as well as high-end SIM and eSIM operating systems deployable on a wide range of hardware and software configuration to mobile operators and device makers, thereby helping them enable 4G and 5G connectivity on IoT, M2M and Consumer Devices.</t>
  </si>
  <si>
    <t>Aries Capital Partners</t>
  </si>
  <si>
    <t>5g connectivity solutions, mobile solutions, network connectivity, sim card chips, sim card management, sim card product, sim card seller</t>
  </si>
  <si>
    <t>Saint Germain en Laye, France</t>
  </si>
  <si>
    <t>107273-26T</t>
  </si>
  <si>
    <t>120494-35T</t>
  </si>
  <si>
    <t>Philippe Roy</t>
  </si>
  <si>
    <t>Operator of a bakery-based shop in Hendaye, France. The company offers customized cakes and pastries for various occasions, enabling customers to access confections and baked goods as per their requirements.</t>
  </si>
  <si>
    <t>bakery items, bakery product, cakes maker, cakes shops, confectionaries producer, pastry producer</t>
  </si>
  <si>
    <t>Hendaye, France</t>
  </si>
  <si>
    <t>226082-80T</t>
  </si>
  <si>
    <t>Puy Du Fou</t>
  </si>
  <si>
    <t>Operator of a theme park intended to provide a new generation of parks with a unique artistic concept. The company offers parks and shows, night shows, accommodations, restaurants, and other services, providing friends or family with multi-award-winning shows packed with stunts and special effects.</t>
  </si>
  <si>
    <t>amusement park, leisure hotel, night show, park area, theme park company, theme park resort, themes park, themes park operator</t>
  </si>
  <si>
    <t>Les Epesses, France</t>
  </si>
  <si>
    <t>126855-10T</t>
  </si>
  <si>
    <t>Babilou(Rodolphe Carle)</t>
  </si>
  <si>
    <t>126964-72T</t>
  </si>
  <si>
    <t>Sewan</t>
  </si>
  <si>
    <t>Provider of telecommunication services intended to simplify the use of communications essential to corporations and businesses. The company offers services including fixed phone, mobile telephony, computer networking via the internet, messaging and internet data along with hosting and cloud services, enabling corporates to connect with each other in a hassle-free manner.</t>
  </si>
  <si>
    <t>cloud services, collaboration model, communication data, communication service provider, hosting services, internet access, telecommunication service company, unified communications</t>
  </si>
  <si>
    <t>133428-97T</t>
  </si>
  <si>
    <t>Sharepay</t>
  </si>
  <si>
    <t>Developer of a virtual payment card intended to help split shared expenses instantly. The company's payment card controls and configures personal spending limits and instantly split payments into two by debiting the payment cards associated with the help of the financial platform, enabling consumers to keep track of their own transactions in a secure manner.</t>
  </si>
  <si>
    <t>digital financial card, generative ai, payment card, payment processing, payment split option, payment technology</t>
  </si>
  <si>
    <t>80149-42T</t>
  </si>
  <si>
    <t>Frst Capital(Bruno Raillard), Kerala Ventures(Antoine Freysz), LeStudio VC(Arthur Waller), Otium Capital, SAP (ETR: SAP), Wilco(Paris)</t>
  </si>
  <si>
    <t>107324-29T</t>
  </si>
  <si>
    <t>Unowhy</t>
  </si>
  <si>
    <t>Developer of specialized touch tablets designed for the kitchen and education industry. The company's touchpad devices consist of practical kitchen-friendly design and exclusive content and all education applications, enabling people to learn the art of cooking and to get education in an easier way.</t>
  </si>
  <si>
    <t>digital education, digital education app, e-learning market, e-learning product, foodtech solution, tablets pc, tablets system, touchpad devices</t>
  </si>
  <si>
    <t>205327-90T</t>
  </si>
  <si>
    <t>Uplab (IT Consulting and Outsourcing)</t>
  </si>
  <si>
    <t>Provider of technical and data support services intended for e-commerce to function smoothly. The company offers web development, data handling, data science, and data operation services dedicated, enabling e-commerce firms to launch technical innovation projects internally and develop avant-garde tools for as many people as possible.</t>
  </si>
  <si>
    <t>data handling services, data science, data support services, technical support service, web development, web development solutions</t>
  </si>
  <si>
    <t>25524-37T</t>
  </si>
  <si>
    <t>CDC Enterprises, FSI Régions, ILP Group</t>
  </si>
  <si>
    <t>93952-00T</t>
  </si>
  <si>
    <t>Zenium Technology Partners</t>
  </si>
  <si>
    <t>89317-36T</t>
  </si>
  <si>
    <t>Vitirover</t>
  </si>
  <si>
    <t>Manufacturer of autonomous industrial mower robots designed to maintain the vegetation in large agricultural and industrial areas, replacing glyphosate and plowing. The company's robots are lightweight and are powered with solar energy that uses GPS signals to find their way, make rounds through the rows of vines, and trim the grassy areas where necessary, enabling users to maintain large grassy areas and substitute the weed-killing processes.</t>
  </si>
  <si>
    <t>CleanTech, Manufacturing, Robotics and Drones, TMT</t>
  </si>
  <si>
    <t>Saint Emilion, France</t>
  </si>
  <si>
    <t>109809-64T</t>
  </si>
  <si>
    <t>Whisperies</t>
  </si>
  <si>
    <t>Operator of a digital library platform intended to offer children animated books and original stories. The company's platform offers books from multiple authors and illustrators as well as audiobooks and immersive animations, enabling parents, children, and all readers to get access to creative stories to enjoy reading.</t>
  </si>
  <si>
    <t>JEREMIE Auvergne(Yoann Ribay), Olivier Bernasson(Olivier Bernasson), Pierre Ourliac, Sofimac Investment Managers</t>
  </si>
  <si>
    <t>animated books app, animated stories, digital library operator, digital library platform, digital stories, library books, library storage</t>
  </si>
  <si>
    <t>82846-72T</t>
  </si>
  <si>
    <t>Zurlan</t>
  </si>
  <si>
    <t>Forestry Processing*, Home Furnishings, Other Services (B2C Non-Financial), Wood/Hard Products</t>
  </si>
  <si>
    <t>Provider of wood carpentry services intended to offer all types of woodworking and carpentry requirements for customers. The company provides various range of carpentry and installation services ranging from insulation, wood frame roofing, tiling, and interior furnishing works, enabling customers to get specialty carpentry services of optimum quality and designs at affordable prices.</t>
  </si>
  <si>
    <t>carpentry services provider, carpentry work, wood carpentry services, wood mill, woodworking company, woodworking service</t>
  </si>
  <si>
    <t>Saint Etienne De Baigorry, France</t>
  </si>
  <si>
    <t>60291-91T</t>
  </si>
  <si>
    <t>RED Technologies</t>
  </si>
  <si>
    <t>Connectivity Products, Telecommunications Service Providers*</t>
  </si>
  <si>
    <t>Developer of spectrum-sharing technologies designed to address increasing spectrum shortages and demand for accessible and affordable services. The company's technologies offer a cloud-based spectrum access system that allows spectrum sharing according to a three-tier hierarchy, enabling clients to provide proper sharing and protection for users in the multi-tiered spectrum sharing framework.</t>
  </si>
  <si>
    <t>dynamic spectrum, dynamic spectrum access, radio spectrum, sas technology, spectrum sharing technology, telecommunications-service, wireless network management</t>
  </si>
  <si>
    <t>Infrastructure, SaaS</t>
  </si>
  <si>
    <t>121576-42T</t>
  </si>
  <si>
    <t>81775-36T</t>
  </si>
  <si>
    <t>Sensewaves</t>
  </si>
  <si>
    <t>Developer of an artificial intelligence-powered analytics platform designed to analyze and optimize electricity and energy usage. The company's platform facilitates the owners of industrial-connected devices with impactful insights into their connected assets, enabling businesses to transform raw sensor data into meaningful information.</t>
  </si>
  <si>
    <t>Momenta Ventures(Kenneth Forster), Paris&amp;Co Incubateurs</t>
  </si>
  <si>
    <t>ai-powered analytics, big data analytics, industrial data analytics, industrial iot, iot platform, smart data, time series analytics, vertical application, web services analytics</t>
  </si>
  <si>
    <t>80796-16T</t>
  </si>
  <si>
    <t>Angels Santé, Centre national de la recherche scientifique, Coalescence Investor, Femmes Business Angels(Anne-Claude Pont), Inserm Transfert, Paris Business Angels, Sophia Business Angels, UI Investissement</t>
  </si>
  <si>
    <t>191971-99T</t>
  </si>
  <si>
    <t>Immersive Robotics</t>
  </si>
  <si>
    <t>Developer of robots intended to improve customer experience. The company manufactures robots capable of transmitting sound and image as a stereoscopic video, that can be used in areas such as shops, malls, and hotels to welcome customers, enabling clients to improve customer experience and reduce tension.</t>
  </si>
  <si>
    <t>Robot Capital</t>
  </si>
  <si>
    <t>customer service robots, robot technology, robotics company, robots developer, robots manufacturer, service robots</t>
  </si>
  <si>
    <t>67311-19T</t>
  </si>
  <si>
    <t>The Beautyst by Feelunique</t>
  </si>
  <si>
    <t>Internet Retail, Personal Products*, Social/Platform Software</t>
  </si>
  <si>
    <t>Provider of an online marketplace for beauty products. The company provides a social e-commerce platform for users to purchase cosmetics and beauty products.</t>
  </si>
  <si>
    <t>beauty community, cosmetics retailer, online retail marketplace, social commerce site</t>
  </si>
  <si>
    <t>122951-08T</t>
  </si>
  <si>
    <t>Mooven (Clinics/Outpatient Services)</t>
  </si>
  <si>
    <t>Provider of physical activity services intended to help everyone move better in order to live better. The company's services include designing and carrying out physical research activities through their medical research centers, enabling patients to move better, live better, and see the world differently.</t>
  </si>
  <si>
    <t>adapted physical activity, physical activity, physical activity campaign, physical activity center, physical activity program, physical therapy</t>
  </si>
  <si>
    <t>82882-90T</t>
  </si>
  <si>
    <t>Synectique</t>
  </si>
  <si>
    <t>Developer of a software analysis tool designed to offer a suite for software management, maintenance, evolution, and migration. The company's tool offers a large spectrum of analyses for software maintenance and evolution such as architecture extraction, impact analysis, evolution trends, and bug and history data, among others, enabling IT managers and developers to streamline their maintenance processes and reduce maintenance costs.</t>
  </si>
  <si>
    <t>analysis tool developer, data migration, historic data, maintenance costs, software analysis, software migration</t>
  </si>
  <si>
    <t>70562-53T</t>
  </si>
  <si>
    <t>Nepting</t>
  </si>
  <si>
    <t>Developer of an electronic payment system designed to hold up businesses in their payment services. The company's electronic payment system brings a skill, a culture, and an innovative offer for all existing, emerging, and future payment methods as well as equips all types of points of acceptance with its multi-channel and multi-vendor electronic payment system, enabling clients to manage all mobile receipts and make payments in a safe and secured banking interface.</t>
  </si>
  <si>
    <t>IRDI Capital Investissement, Soridec</t>
  </si>
  <si>
    <t>banking interface, electronic payment, electronic payment software, finance sector, money transfer, payment system</t>
  </si>
  <si>
    <t>140135-95T</t>
  </si>
  <si>
    <t>Limousin Participations</t>
  </si>
  <si>
    <t>188341-21T</t>
  </si>
  <si>
    <t>Lelivrescolaire.fr</t>
  </si>
  <si>
    <t>Educational and Training Services (B2C), Educational Software, Publishing*</t>
  </si>
  <si>
    <t>Operator of a publishing platform of paper and digital textbooks intended to open up access to teaching resources and reduce inequalities. The company's platform offers textbooks to its users to read e-books on subjects such as history, geography, and mathematics, enabling users to access educational content over the web.</t>
  </si>
  <si>
    <t>David Lederer(David Lederer), Groupe La Centrale, Michel Picot(Michel Picot), Starquest Capital, WeLikeStartup</t>
  </si>
  <si>
    <t>digital book, digital book publisher, digital content, digital textbook platform, educational content, educational publishing, textbooks publisher</t>
  </si>
  <si>
    <t>78993-91T</t>
  </si>
  <si>
    <t>Alexis Frentz, IT-Translation</t>
  </si>
  <si>
    <t>188165-35T</t>
  </si>
  <si>
    <t>SurTec</t>
  </si>
  <si>
    <t>Electronic Equipment and Instruments*, Other Commercial Products, Security Services (B2B)</t>
  </si>
  <si>
    <t>Manufacturer of electronic security equipment intended for property protection. The company develops anti-intrusion alarms and innovative products backed up by a dedicated R&amp;D department using different processes and technologies to protect houses, construction sites, scaffolding, storage areas, campsites, buildings (against squats), car parks, and all types of industrial sites, enabling businesses and residences to lead a safe and secure life with lesser chances of break-in or trespassing.</t>
  </si>
  <si>
    <t>Auxitex, Finnovatech, Trail Solutions Patrimoine</t>
  </si>
  <si>
    <t>intrusion detectors, remote programming, security alerts, security device, security system, wireless alarm system</t>
  </si>
  <si>
    <t>80145-55T</t>
  </si>
  <si>
    <t>ADAccess</t>
  </si>
  <si>
    <t>Provider of automotive instrumentation, vehicle prototyping and test bench services intended to help engineers to manage their projects, from POC to operational demonstration. The company's services specialize in the offering of experimental data for research and development teams in the field of the construction of hybrid and electric vehicles, enabling clients to have high added value while pursuing a cost and time-controlled policy.</t>
  </si>
  <si>
    <t>Bpifrance, Investessor, Scientipole Capital</t>
  </si>
  <si>
    <t>automotive instrumentation, vehicle instrumentation, vehicle prototyping, vehicle research and development, vehicle testing services</t>
  </si>
  <si>
    <t>Conflans-Sainte-Honorine, France</t>
  </si>
  <si>
    <t>227277-64T</t>
  </si>
  <si>
    <t>Alyl</t>
  </si>
  <si>
    <t>Provider of free job search support intended to connect businesses with qualified employees and reduce recruitment costs. The company offers personalized support to job seekers of any background or field, including soft skills training and mentorship, enabling candidates to act on their career path and their professional destiny, and businesses to pre-selecting and validate potential candidates and provide support during the integration period.</t>
  </si>
  <si>
    <t>career training, interpersonal skills, job searching, professional planning, recruitment, recruitment program</t>
  </si>
  <si>
    <t>63138-79T</t>
  </si>
  <si>
    <t>Alto Invest, Andera Partners(Gilles Nobecourt), Bpifrance(Philippe Boucheron), IRDI Capital Investissement(Jean-Michel Petit), iXO Private Equity</t>
  </si>
  <si>
    <t>63322-75T</t>
  </si>
  <si>
    <t>Cisco Systems (NAS: CSCO)(Frederic Rombaut)</t>
  </si>
  <si>
    <t>188342-02T</t>
  </si>
  <si>
    <t>Mobendi</t>
  </si>
  <si>
    <t>Developer of solar charging stations designed to intelligently recharge electric cars and bicycles. The company's stations offer smart charging points for cars and e-bikes and turnkey self-service e-bike services for private, public, and tourist sites, enabling businesses to make mobility more sustainable, intelligent, and economical.</t>
  </si>
  <si>
    <t>WiCAP S'Tile</t>
  </si>
  <si>
    <t>charging station, electric bicycle assistance, electric mobility, solar charging, solar charging facilities, sustainable mobility, vehicle supplier</t>
  </si>
  <si>
    <t>Carros, France</t>
  </si>
  <si>
    <t>71664-13T</t>
  </si>
  <si>
    <t>CAAP Creation(Armand Perrin), Nestadio Capital, Région Sud Investissement, Turenne Groupe</t>
  </si>
  <si>
    <t>196443-28T</t>
  </si>
  <si>
    <t>Habert Dassault Finance, TDH Capital</t>
  </si>
  <si>
    <t>59325-76T</t>
  </si>
  <si>
    <t>ECA Group, Innovation Capital (Paris)(Valéry Huot)</t>
  </si>
  <si>
    <t>39047-41T</t>
  </si>
  <si>
    <t>Bouygues Telecom Initiatives, Bpifrance, Partech(Romain Lavault)</t>
  </si>
  <si>
    <t>76429-72T</t>
  </si>
  <si>
    <t>Capital-E(Pascal Vanluchene), Cipio Partners(Roland Dennert)</t>
  </si>
  <si>
    <t>62881-39T</t>
  </si>
  <si>
    <t>Alven Capital Partners(Guillaume Aubin), Elaia Partners(Xavier Lazarus), ISAI(Jean-David Chamboredon)</t>
  </si>
  <si>
    <t>173305-36T</t>
  </si>
  <si>
    <t>Smartfizz</t>
  </si>
  <si>
    <t>Provider of web and mobile development services intended to digitize various business processes. The company's professionals leverage technology to provide digitization alternatives like menu consultation, order taking, and even card payment directly on the consumer's smartphone, enabling businesses to offer contactless options.</t>
  </si>
  <si>
    <t>ILP Group, Lorraine Digital Venture Fund</t>
  </si>
  <si>
    <t>it development, mobile development services, software development, web developer, web development services, web fraud</t>
  </si>
  <si>
    <t>88138-00T</t>
  </si>
  <si>
    <t>62576-74T</t>
  </si>
  <si>
    <t>Clem'</t>
  </si>
  <si>
    <t>Developer of a web-based car-sharing platform intended to help in the management of charging stations and carpooling for companies, communities, and homes. The company's platform offers a car-sharing operator of electric vehicles as well as a user interface that helps in sharing routes and the associated costs between passengers, enabling clients to have access to a platform that helps with car booking, car-sharing, charging, carpooling, and shuttle.</t>
  </si>
  <si>
    <t>Ben Franklin Technology Partners of Southeastern Pennsylvania, Caisse des Depots Group, CareMakers, Investessor(Alain Ilhe), Karista (Paris), Paris Region Venture Fund</t>
  </si>
  <si>
    <t>auto commerce, car pooling, electric vehicle, electric vehicle rental, electric vehicle service, electromobility service, p2p carsharing, vehicle management</t>
  </si>
  <si>
    <t>62527-33T</t>
  </si>
  <si>
    <t>Feeligo</t>
  </si>
  <si>
    <t>Provider of stickers designed to engage and monetize audience. The company's online stickers are virtual goods like animated figures, enabling brands to interact with their audiences and monetize online communities.</t>
  </si>
  <si>
    <t>animated stickers, animation clips, interactive application, stickers, virtual good</t>
  </si>
  <si>
    <t>120355-48T</t>
  </si>
  <si>
    <t>Transvideo</t>
  </si>
  <si>
    <t>Computers, Parts and Peripherals*, Wireless Communications Equipment</t>
  </si>
  <si>
    <t>Developer of digital video enhancement equipment designed to offer multi-format monitors for display enhancement. The company's equipment includes flat-panel monitors, video-assist accessories, format converters, wireless video-transmission systems, and camera accessories powered by three-dimensional stereography, enabling filmmakers to get compatible with the latest industry standards in the cinema and broadcast industries, improve the way they shoot motion picture and enhance the quality of digital filmmaking.</t>
  </si>
  <si>
    <t>camera accessories, cinematography equipment, digital cinematography, display monitoring, electric supply, panel monitoring, video transmission system</t>
  </si>
  <si>
    <t>106491-34T</t>
  </si>
  <si>
    <t>Oxalide, SGPA</t>
  </si>
  <si>
    <t>108188-02T</t>
  </si>
  <si>
    <t>Street Bangkok</t>
  </si>
  <si>
    <t>Operator of a restaurant chain intended to offer Thai cuisine. The company's restaurant chain offers hand-cooked dishes especially Thai, Pan-Asia and Chinese cuisines that are prepared with herbs, organic spice blends and all-natural ingredients which are safe, healthy and served fresh, enabling customers to find and order handmade snacks, roasted and grilled delicacies at affordable costs.</t>
  </si>
  <si>
    <t>grilled delicacies, mobile restaurant, multi-cuisine restaurant, restaurant chain, thai cuisine, thai dishes, thai restaurant</t>
  </si>
  <si>
    <t>75410-65T</t>
  </si>
  <si>
    <t>Clément Benoit(Clément Benoit), David Amsellem(David Amsellem), Kima Ventures(Xavier Niel), Philippe Carle(Philippe Carle), Thibaud Elziere(Thibaud Elziere), Xavier Niel(Xavier Niel)</t>
  </si>
  <si>
    <t>114155-20T</t>
  </si>
  <si>
    <t>OilSystem</t>
  </si>
  <si>
    <t>Electrical Equipment*, Industrial Supplies and Parts</t>
  </si>
  <si>
    <t>Developer of fluid transfer technology designed to efficiently and safely remove engine oils. The company's technology offers products and services which include drain cleaning, coolant filtration and fluid distribution options with ongoing maintenance support and providing automotive, enabling rail and heavy machine industries to have a quick, secure and safe way to empty, filter and dispense oils.</t>
  </si>
  <si>
    <t>Novencia Group(Arnaud Zilliox), Vox Capital (Luxembourg)(Johann Meynet)</t>
  </si>
  <si>
    <t>distribution solution, drain product, filtration solutions, fluid analysis system, fluid transfer product, fluid transfer systems</t>
  </si>
  <si>
    <t>117799-84T</t>
  </si>
  <si>
    <t>Amplitude Laser</t>
  </si>
  <si>
    <t>Manufacturer of laser products intended for scientific, medical and industrial applications. The company specializes in femtosecond laser products, nanosecond, beam management and pulse management equipment mainly used for scientific applications such as physics and chemistry research, applied research, ophthalmology, electronic components and semiconductors, thereby assisting its clients with products as per their requirement.</t>
  </si>
  <si>
    <t>Mirae Asset Venture Investment (KRX: 100790), Samsung Venture Investment(Nathan Han), SJ Investment Partners</t>
  </si>
  <si>
    <t>advances laser systems, laser product, modular laser, nanosecond laser, nanosecond laser module, pulses management</t>
  </si>
  <si>
    <t>101500-57T</t>
  </si>
  <si>
    <t>Angelor, Bpifrance, GMZ &amp; Son's</t>
  </si>
  <si>
    <t>89697-43T</t>
  </si>
  <si>
    <t>FizzUp</t>
  </si>
  <si>
    <t>Developer of an online fitness training application designed to make physical activity accessible to everyone. The company's application offers a personalized workout program and does not require a gym membership or the use of weights and physical activity and sports as personal emancipation, enabling customers to get back in shape seamlessly.</t>
  </si>
  <si>
    <t>Alsace Creation, Capital Grand Est</t>
  </si>
  <si>
    <t>fitness health, fitness software platform, mobile fitness application, online workout routine, personal fitness training, workout application</t>
  </si>
  <si>
    <t>Colmar, France</t>
  </si>
  <si>
    <t>85565-35T</t>
  </si>
  <si>
    <t>70027-93T</t>
  </si>
  <si>
    <t>Point Nine Capital, Runa Capital(Dmitry Chikhachev)</t>
  </si>
  <si>
    <t>62403-58T</t>
  </si>
  <si>
    <t>Bouygues (PAR: EN), EuraTechnologies, Finovam Gestion, Nord Capital Partenaires, Nord Création, Nord France Amorçage, Phitrust Partenaires, Siparex Group, Suez Eau France, SUEZ Ventures</t>
  </si>
  <si>
    <t>108621-46T</t>
  </si>
  <si>
    <t>Marks</t>
  </si>
  <si>
    <t>Application Software*, Information Services (B2C), Social/Platform Software</t>
  </si>
  <si>
    <t>Developer of a food discovery application designed to find the best places to dine. The company's application helps users to discover trending cafes and resto-bars through its algorithm which analyzes food curators check-ins on social media and constantly updates the map, enabling food enthusiasts to enjoy good food at the most happening restaurants in the city.</t>
  </si>
  <si>
    <t>Cécile Lazorthes, Daniel Marhely(Daniel Marhely), Jean-David Blanc(Jean-David Blanc), Kima Ventures, Simon Istolainen</t>
  </si>
  <si>
    <t>dining application, food discovery platform, foodies application, foodies platform, foodtech, restaurant locator</t>
  </si>
  <si>
    <t>FoodTech, Restaurant Technology, TMT</t>
  </si>
  <si>
    <t>64702-90T</t>
  </si>
  <si>
    <t>Mazeberry</t>
  </si>
  <si>
    <t>Developer of a multitouch analytics platform designed to assess web advertisers with total control over their marketing spend. The company's multitouch analytics platform offers a decision-making tool and provides analysis and recommendation for improving marketing performance, enabling clients to know to buy processes of web users through different marketing channels.</t>
  </si>
  <si>
    <t>EuraTechnologies, Generis Capital Partners, Network Finances(Gilles Enguehard)</t>
  </si>
  <si>
    <t>analytics platform, analytics platform operator, decision making tools, marketing performance, multi touch analytics</t>
  </si>
  <si>
    <t>76275-19T</t>
  </si>
  <si>
    <t>Miremont Biarritz</t>
  </si>
  <si>
    <t>Food Products*, Internet Retail, Restaurants and Bars</t>
  </si>
  <si>
    <t>Producer of confectionary products intended to offer authentic French flavor. The company's products include teas, chocolate, pastries, cakes, assortments of milk and dark chocolates, ganaches, sugared almonds, and marzipan, enabling consumers to get french delicacies online as well as offline.</t>
  </si>
  <si>
    <t>cakes maker, chocolate producer, confectionery product producer, food processing, food product sale, pastry producer</t>
  </si>
  <si>
    <t>88185-97T</t>
  </si>
  <si>
    <t>Reverse Magnet</t>
  </si>
  <si>
    <t>Electronics (B2C), Home Furnishings*</t>
  </si>
  <si>
    <t>Manufacturer of an invisible magnetic fastener designed to hang everything on walls without restriction. The company's invisible magnetic fastener consists of two elements, a wall bracket which is fixed to the wall by means of an adhesive system and a magnetic part which is fixed to a frame and by means of two lugs is positioned on the wall support to which it adheres, using magnets, enabling users to fix frames by magnetism and without a tool, a hole or a trace.</t>
  </si>
  <si>
    <t>Sofimac Investment Managers(Yoann Ribay)</t>
  </si>
  <si>
    <t>adhesives wall decor, magnetic fastener, magnetic wall fixer, magnets fixation, wall decor mechanism</t>
  </si>
  <si>
    <t>Saint Julien Chapteuil, France</t>
  </si>
  <si>
    <t>81794-26T</t>
  </si>
  <si>
    <t>Finovam Gestion, Fonds de Modernisation des Equipementiers Automobiles, Nord France Amorçage</t>
  </si>
  <si>
    <t>81700-84T</t>
  </si>
  <si>
    <t>93813-67T</t>
  </si>
  <si>
    <t>Vivat</t>
  </si>
  <si>
    <t>Information Services (B2C)*, Other Services (B2C Non-Financial), Social/Platform Software</t>
  </si>
  <si>
    <t>Operator of an online services booking platform intended to offer housekeeping services and personal care. The company's platform offers home care and housing maintenance services accessible twenty-four hours a day, seven days a week, enabling users to receive home services carried out by small autonomous teams.</t>
  </si>
  <si>
    <t>b2c services, home help service, household care, household help, housekeeping service provider, housekeeping staff, services booking platform</t>
  </si>
  <si>
    <t>87770-35T</t>
  </si>
  <si>
    <t>Animaute</t>
  </si>
  <si>
    <t>Information Services (B2C), Media and Information Services (B2B), Other Services (B2C Non-Financial)*</t>
  </si>
  <si>
    <t>Operator of a petcare platform created to connect pet owners with certified pet sitters. The company's platform offers several services including pet sitting, walking, and visits, all facilitated by a network of vetted caregivers certified by veterinarians, enabling pet owners to ensure quality care for their animals while providing peace of mind through reliable support and communication.</t>
  </si>
  <si>
    <t>50 Partners, Limousin Business Angels</t>
  </si>
  <si>
    <t>animal care, animal safety, care services, cat sitting, dog walking service, pet care, pet sitting</t>
  </si>
  <si>
    <t>Pet Technology, TMT</t>
  </si>
  <si>
    <t>Saulgond, France</t>
  </si>
  <si>
    <t>62125-75T</t>
  </si>
  <si>
    <t>Bpifrance, Crédit Agricole des Savoie, Expansinvest, SAS Armataffet, Turenne Groupe</t>
  </si>
  <si>
    <t>62145-46T</t>
  </si>
  <si>
    <t>Accor (PAR: AC), Bouygues Telecom Initiatives, Jaina Capital, Patricia Barbizet(Patricia Barbizet), Serena (Paris)</t>
  </si>
  <si>
    <t>86991-85T</t>
  </si>
  <si>
    <t>114090-94T</t>
  </si>
  <si>
    <t>Financiere Mirabeau</t>
  </si>
  <si>
    <t>64356-04T</t>
  </si>
  <si>
    <t>Kiwatch</t>
  </si>
  <si>
    <t>Security Services (B2B)*, Wireless Communications Equipment</t>
  </si>
  <si>
    <t>Developer of video monitoring surveillance platform designed for video surveillance. The company's video monitoring platform allows its customers with WiFi video monitoring of premises through a computer or smartphone.</t>
  </si>
  <si>
    <t>Delta Dore(Marcel Torrents), Fair West, FP Invest</t>
  </si>
  <si>
    <t>electronic components, home security, outdoor camera, remote monitoring, security services, security services company, security services firm, video monitoring</t>
  </si>
  <si>
    <t>118036-18T</t>
  </si>
  <si>
    <t>83202-67T</t>
  </si>
  <si>
    <t>MyMusicTeacher</t>
  </si>
  <si>
    <t>Developer of an online music learning application intended to make learning music more accessible. The company's application takes the form of a video game crossed over to a social network that provides a step-by-step learning path, video lessons, practical exercises with automatic correction, enabling users to learn playing the guitar by themselves.</t>
  </si>
  <si>
    <t>Fonds Venture Numérique Lorrain, ILP Group</t>
  </si>
  <si>
    <t>guitar learning, guitar teacher, music learning, music learning application, music learning platform</t>
  </si>
  <si>
    <t>EdTech, Gaming, TMT</t>
  </si>
  <si>
    <t>Sarrebourg, France</t>
  </si>
  <si>
    <t>95694-85T</t>
  </si>
  <si>
    <t>RadioShop</t>
  </si>
  <si>
    <t>Business/Productivity Software, Consulting Services (B2B)*, Media and Information Services (B2B)</t>
  </si>
  <si>
    <t>Operator of a sound design agency intended to create sound-print of international brands from fashion or luxury to retail. The company's agency operates as a sound communication consultancy and implements sound strategies that respond to all the musical issues of brands on all of their sound contact points, sound identity, musical atmosphere, sync, spoken communication, and brand music content, enabling businesses with music marketing to reach out to its target audience in a simplified way.</t>
  </si>
  <si>
    <t>advertising services, audio broadcasting, consultancy agency, marketing consultant, music marketing, musicals content, sound design agency, sound design service</t>
  </si>
  <si>
    <t>Saint-Jean-de-Védas, France</t>
  </si>
  <si>
    <t>61340-68T</t>
  </si>
  <si>
    <t>Stuart</t>
  </si>
  <si>
    <t>Operator of an on-demand urban logistics platform intended to connect restaurants, grocers, and retailers with local couriers. The company connects businesses across all industries and of all sizes to high-quality independent couriers to offer customized delivery solutions, thereby helping businesses with smarter transportation models.</t>
  </si>
  <si>
    <t>DPD</t>
  </si>
  <si>
    <t>delivery service, goods delivery platform, last mile delivery, logistical platform, logistics application, logistics marketplace, logistics platform, logistics tools, supply chain tech, urban logistics application</t>
  </si>
  <si>
    <t>67413-61T</t>
  </si>
  <si>
    <t>Agenium Scale</t>
  </si>
  <si>
    <t>Provider of a technology intended to meet the demand for software performance. The company's technology combines advanced algorithms, advanced processor knowledge and advanced programming techniques, enabling users to get access to software performance and to fully exploit the power of their hardware.</t>
  </si>
  <si>
    <t>advances algorithm, advances processor, algorithmic programming, computer programming, embedded language</t>
  </si>
  <si>
    <t>79887-97T</t>
  </si>
  <si>
    <t>60909-49T</t>
  </si>
  <si>
    <t>CodinGame</t>
  </si>
  <si>
    <t>Business/Productivity Software, Education and Training Services (B2B), Educational Software*, Human Capital Services</t>
  </si>
  <si>
    <t>Developer of a game-based training platform committed to letting programmers improve their coding skills by solving problems and learning new concepts. The company's platform offers new coding concepts with fun challenges in multiple languages as well as provides hiring solutions for online pre-employment technical tests to shortlist developers quickly and fairly, helping programmers to improve their skills and organizations to effectively source, screen and retain tech talent.</t>
  </si>
  <si>
    <t>ISAI, Nestadio Capital, Seed4Soft, Venise Invest</t>
  </si>
  <si>
    <t>coding game software, coding games, coding learning platform, coding systems, programming skills, software programming</t>
  </si>
  <si>
    <t>75723-04T</t>
  </si>
  <si>
    <t>Domoscio</t>
  </si>
  <si>
    <t>Developer of an adaptive learning and memorization software designed to connect cognitive science and big data to improve learning outcomes. The company's platform generates algorithms that combine cognitive science with the power of big data to provide learning paths adapted to each person and create smart learning paths as well as boost skill development, enabling publishers, academic institutions and e-learning platforms to personalize learning and follow their students' progress efficiently.</t>
  </si>
  <si>
    <t>Global Inventures, Inventures Investment Partners</t>
  </si>
  <si>
    <t>adaptive learning, adaptive learning software, ai cores, cognitive science software, cognitive science technology, digital learning, e-learning tools, learning analytics, skills development application</t>
  </si>
  <si>
    <t>134547-49T</t>
  </si>
  <si>
    <t>Partnering Robotics</t>
  </si>
  <si>
    <t>Electronic Equipment and Instruments*, Electronics (B2C), Household Appliances</t>
  </si>
  <si>
    <t>Developer of an air quality purifier designed to eliminate pollution inside rooms. The company's purifier is equipped with artificial intelligence and moves around on its own by analyzing the composition of indoor air using integrated sensors and then treats the ambient air, enabling customers to get cost-saving equipment that can replace the numerous air purification systems present in various spaces, while making sure users are comfortable.</t>
  </si>
  <si>
    <t>Mauritius Commercial Bank (XMAU: MCBG)(Pierre Noel)</t>
  </si>
  <si>
    <t>air purification system, air purifier, air quality purifier, artificial intelligence, autonomous machine, autonomous robotics solutions, chemicals pollution, intelligent robotics</t>
  </si>
  <si>
    <t>60993-01T</t>
  </si>
  <si>
    <t>Créazur, IT-Translation, KYOSEIL AM, Région Sud Investissement, Var Business Angels</t>
  </si>
  <si>
    <t>60408-01T</t>
  </si>
  <si>
    <t>Day One Entrepreneurs &amp; Partners, Edenred Capital Partners, Elaia Partners(Samantha Jérusalmy), Kima Ventures, Siparex Group, Techstars, XAnge(Cyril Bertrand)</t>
  </si>
  <si>
    <t>61382-44T</t>
  </si>
  <si>
    <t>ElsaLys Biotech</t>
  </si>
  <si>
    <t>Operator of a clinical-stage immuno-oncology company based in Lyon, France. The company designs and develops a new generation of therapeutic antibodies that target tumors and their immune and/or vascular microenvironment.</t>
  </si>
  <si>
    <t>Credit Agricole (PAR: ACA), Institut Mérieux(Dominique Takizawa), Sofimac Innovation</t>
  </si>
  <si>
    <t>biotechnology company, cancer therapy center, immuno-oncology company, monoclonal antibody, oncology cure, therapeutic antibodies</t>
  </si>
  <si>
    <t>60264-73T</t>
  </si>
  <si>
    <t>AXA Venture Partners(Minh Tran)</t>
  </si>
  <si>
    <t>44020-09T</t>
  </si>
  <si>
    <t>CapHorn Invest(Guillaume Dupont), Riverbed Technology(Phil Harris), Ventech (Paris)(Jean Bourcereau)</t>
  </si>
  <si>
    <t>86175-10T</t>
  </si>
  <si>
    <t>Irlynx</t>
  </si>
  <si>
    <t>Electrical Equipment*, Media and Information Services (B2B), Other Hardware</t>
  </si>
  <si>
    <t>Designer and manufacturer of advanced human activity sensing modules intended to offer interactive products to sense, understand, and characterize the motion and behavior of their users in the perimeter of their systems. The company's modules use disruptive technology with thermal vision capability in its optoelectronic module that includes an infrared reactive matrix combined with optics and embedded processing that provide information on activities like presence, gravity center position, motion direction, and the number of people in the field, enabling clients to measure the occupancy limit of their workspaces.</t>
  </si>
  <si>
    <t>Demeter Partners, Foreis, PhiTrust Impact Investors</t>
  </si>
  <si>
    <t>disruptive technology, electronics manufacturing, electronics manufacturing company, infrared sensing modules, optoelectronic module, people counting, sensing modules</t>
  </si>
  <si>
    <t>Industrials, Internet of Things, Manufacturing, TMT</t>
  </si>
  <si>
    <t>Isere, France</t>
  </si>
  <si>
    <t>60610-33T</t>
  </si>
  <si>
    <t>Netatmo</t>
  </si>
  <si>
    <t>Manufacturer of consumer connected devices catering to individual home owners and real estate developers. The company offers smart door locks, home weather station, indoor camera, thermostat that can be contolled by ios and android phones, thereby enabling customers to monitor environment, keep and eye on property, optimize energy use and secure access to home.</t>
  </si>
  <si>
    <t>Bpifrance(Frederic Le Brun), IRIS (Private Equity)(Guillaume Meulle), Legrand (PAR: LR), Pascal Cagni(Pascal Cagni)</t>
  </si>
  <si>
    <t>consumer electronics, data transmitter, electronics, electronics goods, monitoring equipment, weather measurement</t>
  </si>
  <si>
    <t>Internet of Things, Manufacturing, Mobile, TMT</t>
  </si>
  <si>
    <t>61662-52T</t>
  </si>
  <si>
    <t>Alma Learning Group</t>
  </si>
  <si>
    <t>Operator of an education and learning platform designed as a response to the twenty first century private education. The company designs individualized and structured, content, methods and technologies including e-learning tools that leverage proprietary learning management system, big data and machine learning to offer a more personalized and relevant curriculum that respects the individual's strength and willingness to learn, enabling students from kindergarten to high school to discover and make the most of their abilities and talents.</t>
  </si>
  <si>
    <t>distance learning, educational services, online learning, personalized curriculum</t>
  </si>
  <si>
    <t>100036-99T</t>
  </si>
  <si>
    <t>Capital Grand Est, Centre europeen d'etude du Diabete, Fonds Lorrain des Materiaux</t>
  </si>
  <si>
    <t>55962-10T</t>
  </si>
  <si>
    <t>Auriga Partners (Paris), Robert Bickel(Robert Bickel), XAnge</t>
  </si>
  <si>
    <t>116129-44T</t>
  </si>
  <si>
    <t>Aquitaine Regional Council, Bpifrance(Xavier Deleplace)</t>
  </si>
  <si>
    <t>60695-92T</t>
  </si>
  <si>
    <t>Foreis, SATT Lutech, Seventure Partners</t>
  </si>
  <si>
    <t>80147-80T</t>
  </si>
  <si>
    <t>Sensories Lab</t>
  </si>
  <si>
    <t>Application Software, Media and Information Services (B2B)*, Multimedia and Design Software</t>
  </si>
  <si>
    <t>Provider of large-scale digital installations catering to public and private spaces. The company's platform operates an online media portal that provides services to companies, local authorities, agencies and architects worldwide, thereby enabling them to create digital events, exhibitions and installations.</t>
  </si>
  <si>
    <t>digital art, digital event organizer, digital events, events website, exhibition organize, online media platform</t>
  </si>
  <si>
    <t>59869-00T</t>
  </si>
  <si>
    <t>Goldman Sachs Growth Equity, Highland Europe(Anthony Zappalà)</t>
  </si>
  <si>
    <t>73890-64T</t>
  </si>
  <si>
    <t>Twido</t>
  </si>
  <si>
    <t>Manufacturer of water heater systems based in Rennes, France. The company products include modular electric water heaters which are equipped with a multi-compartment system for heating only the necessary volume of water, it also offers a mobile application to set energy and water consumption rates, with alerts when thresholds are exceeded.</t>
  </si>
  <si>
    <t>CAAP Creation, Crédit Mutuel Impact</t>
  </si>
  <si>
    <t>electric water system, heater systems, multi-compartment system, water heater, water heater distributor, water heater manufacturer, water heater system</t>
  </si>
  <si>
    <t>81477-37T</t>
  </si>
  <si>
    <t>Alliansys, Finorpa(Antoine Harleaux), Groupe IRD</t>
  </si>
  <si>
    <t>193227-67T</t>
  </si>
  <si>
    <t>46152-64T</t>
  </si>
  <si>
    <t>Oridao</t>
  </si>
  <si>
    <t>Developer of Radio Frequency microwave systems designed to help in industrial wireless identification. The company's Radio-frequency identification (RFID) system on chip (SoC) platform offer RF products for offline and online secure process tracking, enabling clients to access industrial field data and wireless services.</t>
  </si>
  <si>
    <t>Soridec, Starquest Capital</t>
  </si>
  <si>
    <t>data monitoring, industrial wireless service, microwave system, radio frequency identification</t>
  </si>
  <si>
    <t>Advanced Manufacturing, Industrials, Internet of Things, TMT</t>
  </si>
  <si>
    <t>187944-04T</t>
  </si>
  <si>
    <t>AS Industries</t>
  </si>
  <si>
    <t>Aerospace and Defense, Business/Productivity Software, Media and Information Services (B2B)*</t>
  </si>
  <si>
    <t>Developer of an online platform designed to simplify purchases and outsource operations. The company's platform support manufacturers in their approach to maximize purchases, and provide services like mechanical design, storage options to make supplies flexible, and product delivery, enabling manufacturers to rebuild lost margins over time and remain competitive in their markets.</t>
  </si>
  <si>
    <t>electronic connectors, industrial parts, industrial product, industrial subcontracting, industrial subcontracting company, international trade, maximize purchasing, outsource operations</t>
  </si>
  <si>
    <t>67795-66T</t>
  </si>
  <si>
    <t>Vente Du Diable</t>
  </si>
  <si>
    <t>Operator of an online electronic retail platform intended to sell off refurbished electronic equipment to customers. The company's platform offer a wide variety of products and brands for members to access products of famous brands for competitive prices, enabling suppliers to sell their stocks and grow in terms of revenue.</t>
  </si>
  <si>
    <t>Remade (Other Services (B2C Non-Financial))</t>
  </si>
  <si>
    <t>electronic retail company, electronic retailing service, online electronic retail, online retail market, online retail site, refurbished computer equipment</t>
  </si>
  <si>
    <t>113810-95T</t>
  </si>
  <si>
    <t>190947-97T</t>
  </si>
  <si>
    <t>50479-57T</t>
  </si>
  <si>
    <t>Electronics (B2C), Other Services (B2C Non-Financial)*, Specialty Retail</t>
  </si>
  <si>
    <t>Provider of refurbishing services intended to extend the life of an iPhone in a responsible and sustainable way. The company's services include the detection and treatment of all electronic failures, industrial reprocessing of the original LCD layer, and chemical treatment of the manufacturer's component, enabling customers to control the environmental footprint and help preserve the planet.</t>
  </si>
  <si>
    <t>Alter Equity, Eurazeo (PAR: RF), Idinvest Partners, TempoCap</t>
  </si>
  <si>
    <t>mobile repair, phone maintenance, refurbished devices, refurbishing service, remanufacturing program, repair service</t>
  </si>
  <si>
    <t>Poilley, France</t>
  </si>
  <si>
    <t>131657-50T</t>
  </si>
  <si>
    <t>Alcynoe</t>
  </si>
  <si>
    <t>Manufacturer of eyeglass frames intended to offer traditional eye gear and trendy frames. The company's frames are designed with removable, interchangeable lenses, rims, and temple pieces, helping people look fashionable and classy.</t>
  </si>
  <si>
    <t>Karavan Partners</t>
  </si>
  <si>
    <t>eye frames manufacturer, eyeglasses manufacturer, eyewear design, eyewear items, optical product, spectacle casing</t>
  </si>
  <si>
    <t>92727-37T</t>
  </si>
  <si>
    <t>Invoxia</t>
  </si>
  <si>
    <t>Wireless Communications Equipment*</t>
  </si>
  <si>
    <t>Developer of GPS tracking tools and devices designed to connect and track objects for communication purposes. The company's tools work with low-consumption networks, have long battery life, and facilitate tracking of vehicle fleets, parcels, and equipment, enabling users to monitor and protect their devices, vehicles, and other valuables with improved efficiency.</t>
  </si>
  <si>
    <t>Amazon Alexa Fund(Zain Gulamali)</t>
  </si>
  <si>
    <t>gps tracking, gps tracking app, gps tracking device, gps tracking tools, intelligent device, intelligent sensors, intelligent sensors &amp; devices, intelligent sensors and devices, iot hardware, sensors &amp; sensor system, sensors and sensor system, telecommunication equipment, telecommunication product designer, telecommunication product manufacturer</t>
  </si>
  <si>
    <t>59288-14T</t>
  </si>
  <si>
    <t>30271-33T</t>
  </si>
  <si>
    <t>Eval&amp;GO</t>
  </si>
  <si>
    <t>Business/Productivity Software*, Internet Software, Media and Information Services (B2B), Multimedia and Design Software</t>
  </si>
  <si>
    <t>Developer of an online survey software designed to create, publish and analyze questionnaires, and quizzes. The company's software provides all the necessary steps to create online surveys for advanced reporting, analysis and contact management, enabling businesses to question customers and transform reviews, opinions and suggestions into business decisions.</t>
  </si>
  <si>
    <t>IRDI Capital Investissement, Philippe Darses(Philippe Darses), Soridec, Venise Invest</t>
  </si>
  <si>
    <t>customer opinions, data analysis, market research, market study, reporting process, satisfaction surveys, software consulting, survey software</t>
  </si>
  <si>
    <t>67282-93T</t>
  </si>
  <si>
    <t>Kima Ventures(Jean De La Rochebrochard), Thibaud Elziere(Thibaud Elziere)</t>
  </si>
  <si>
    <t>194695-48T</t>
  </si>
  <si>
    <t>Samfi Invest</t>
  </si>
  <si>
    <t>60275-17T</t>
  </si>
  <si>
    <t>Zify</t>
  </si>
  <si>
    <t>Automotive*, Social/Platform Software</t>
  </si>
  <si>
    <t>Developer of a carpooling application designed to offer an alternate mode of daily travel option that is comfortable and affordable. The company's application facilitates dynamic ride-sharing between car-owners with empty seats and passengers traveling in the same direction, enabling users to get rides on demand.</t>
  </si>
  <si>
    <t>Brand Capital</t>
  </si>
  <si>
    <t>carpool platform, carpooling application, commute sharing, mobility tech, ridehailing platform, rides hailing, ridesharing app</t>
  </si>
  <si>
    <t>Artificial Intelligence &amp; Machine Learning, Mobile, Mobility Tech, Ridesharing, TMT</t>
  </si>
  <si>
    <t>210469-33T</t>
  </si>
  <si>
    <t>67282-66T</t>
  </si>
  <si>
    <t>Quanta IO</t>
  </si>
  <si>
    <t>Developer of analytical software designed to improve website performance and increase conversion rate. The company's platform measures every step giving actionable insights into optimizing the performance and return on investment and improving customer experience, and scenario-based monitoring with real-time alerting, enabling e-commerce managers to get assistance and understand their performance and efficiently communicate with their web agency and hosting partners.</t>
  </si>
  <si>
    <t>Btwinz Ventures, Denis Lafont-Trévisan(Denis Lafont-Trévisan), Guillaume Alabert(Guillaume Alabert), Kima Ventures(Xavier Niel)</t>
  </si>
  <si>
    <t>actionable insights, analytical services, application profiling, improve customer experience, increase conversion rated, web performance, website performance</t>
  </si>
  <si>
    <t>74414-71T</t>
  </si>
  <si>
    <t>BiBoViNo</t>
  </si>
  <si>
    <t>Operator of a wine subscription platform intended for the sale of good quality wines to customers. The company's platform offers a collection of quality, sustainable wines accurately matched to consumers' tastes, enabling consumers to purchase their desired wine products at affordable prices.</t>
  </si>
  <si>
    <t>food ecommerce, online grocer, online wine retail, online wine store, organic wine, wine seller, wine subscription service</t>
  </si>
  <si>
    <t>88187-77T</t>
  </si>
  <si>
    <t>ADEME, Conseil Régional d'Auvergne, European Regional Development Fund (Brandenburg), Sofimac Investment Managers, Sofinnova Partners(Michael Krel)</t>
  </si>
  <si>
    <t>59151-79T</t>
  </si>
  <si>
    <t>Accel(Philippe Botteri), Kerala Ventures(Olivier Occelli)</t>
  </si>
  <si>
    <t>102622-42T</t>
  </si>
  <si>
    <t>Océinde, Trail Solutions Patrimoine</t>
  </si>
  <si>
    <t>35816-14T</t>
  </si>
  <si>
    <t>DPS&amp;Co, Elaia Partners(Pauline Roux), Fides+Ratio, Leap Ventures(Herve Cuviliez), Margaret Milan(Margaret Milan), OTEO Investment</t>
  </si>
  <si>
    <t>78873-76T</t>
  </si>
  <si>
    <t>AnatoScope</t>
  </si>
  <si>
    <t>Developer of a digital imaging software designed to automatically build and simulate 3D digital images based on medical images of patients. The company's software constructs the anatomical image of a given person by combining a canonical avatar with medical images of the person through CT, MRI, optical 3D scans, and 2D radiology, enabling healthcare institutions to visualize, quantify movements, and produce personalized braces and orthosis by 3D printing.</t>
  </si>
  <si>
    <t>3d digital image, anatomical images, digital avatar, digital imaging software, medical image, radiology imaging</t>
  </si>
  <si>
    <t>3D Printing, Digital Health, HealthTech, TMT</t>
  </si>
  <si>
    <t>248824-63T</t>
  </si>
  <si>
    <t>Delitoon</t>
  </si>
  <si>
    <t>Developer of a comics licensing platform intended to connect comic book creators with potential licensees. The company's platform streamlines the licensing process for both sides, potentially increasing opportunities for creators and expanding the availability of comics content for licensing purposes, enabling creators to showcase their work and businesses to discover and acquire licensing rights</t>
  </si>
  <si>
    <t>Kidari Studio (KRX: 020120)</t>
  </si>
  <si>
    <t>cartoon series, comic book, content license, digital magazine, licensing platform, licensing process, webcomics series</t>
  </si>
  <si>
    <t>77293-72T</t>
  </si>
  <si>
    <t>Merchandising.Io</t>
  </si>
  <si>
    <t>Developer of a merchandising's platform designed to change the way merchants connect to their data. The company's platform visualizes products, brings together the data in an understandable interface, enabling merchants to save time and cost and have a clear view of how they are selling their products online.</t>
  </si>
  <si>
    <t>Btwinz Ventures</t>
  </si>
  <si>
    <t>application platform, e-merchant, merchandise application, online merchandise, time analysis</t>
  </si>
  <si>
    <t>200129-23T</t>
  </si>
  <si>
    <t>Evioo</t>
  </si>
  <si>
    <t>Accessories*, Application Software, Specialty Retail</t>
  </si>
  <si>
    <t>Operator of an online eyewear platform intended to retail sunglasses and spectacles. The company's platform offers sunglasses and prescription glasses, providing customers with a variety of glasses and sunglasses as per their requirements.</t>
  </si>
  <si>
    <t>Aramis Group (PAR: ARAMI), Groupe Rosin</t>
  </si>
  <si>
    <t>eyewear frames, eyewear lenses, eyewear retail, eyewear retailer, eyewear sales, eyewear store</t>
  </si>
  <si>
    <t>59651-47T</t>
  </si>
  <si>
    <t>NUMA (Education and Training Services)</t>
  </si>
  <si>
    <t>Consulting Services (B2B), Education and Training Services (B2B)*, Other Commercial Services</t>
  </si>
  <si>
    <t>Operator of an entrepreneurship hub for companies intended to conduct training and coaching courses. The company's services provide community events, startup acceleration, and innovation programs for startups that enhance the methodologies and skills of startups in the service of digital transformation, enabling clients to be provided with management training and acceleration services that will improve their business.</t>
  </si>
  <si>
    <t>accelerator program, e-learning tools, innovation programs, management training, marketing training, professional training</t>
  </si>
  <si>
    <t>28329-40T</t>
  </si>
  <si>
    <t>Bpifrance, CDC Enterprises, Crédit Mutuel Impact(Stéphane Pesqué), Idinvest Partners, Turenne Groupe, XAnge</t>
  </si>
  <si>
    <t>93493-18T</t>
  </si>
  <si>
    <t>Elicityl</t>
  </si>
  <si>
    <t>Biotechnology*, Drug Discovery, Laboratory Services (Healthcare)</t>
  </si>
  <si>
    <t>Operator of a biotechnology agency intended to focus on complex life science engineering and production. The company's agency specializes in the supply of oligosaccharides and polysaccharides for biological applications targeting plant health, pharmacy, nutraceuticals and cosmetics, enabling clients to innovative industrial methods of production.</t>
  </si>
  <si>
    <t>biotechnology agency, biotechnology product, complex sugar, complex sugar engineering, laboratory services, plant health, plant healthcare, sugar engineering</t>
  </si>
  <si>
    <t>82775-71T</t>
  </si>
  <si>
    <t>Bpifrance, Expanso Capital, Herrikoa</t>
  </si>
  <si>
    <t>86993-11T</t>
  </si>
  <si>
    <t>MesDépanneurs.FR</t>
  </si>
  <si>
    <t>Application Software, Media and Information Services (B2B)*, Other Services (B2C Non-Financial)</t>
  </si>
  <si>
    <t>Operator of technical assistance platform intended to help with emergency troubleshooting service. The company's platform provides a marketplace for emergency troubleshooting services at home and offices like plumbing, locksmithing, glazing, electricity, heating, and appliances, enabling customers to connect with professionals in the field of emergency home repairs and beautification work.</t>
  </si>
  <si>
    <t>emergency repair, home emergency service, plumbing service, technical assistance services, technical assistance solution, troubleshooting service</t>
  </si>
  <si>
    <t>62401-06T</t>
  </si>
  <si>
    <t>AngelSquare, Karista (Paris)</t>
  </si>
  <si>
    <t>24560-02T</t>
  </si>
  <si>
    <t>Mimesis Republic</t>
  </si>
  <si>
    <t>Application Software, Entertainment Software*, Social/Platform Software</t>
  </si>
  <si>
    <t>Designer, developer and operator of teenage games. The company's products include Mamba Nation, a 3D virtual framework embedded into the social networks in which anyone can create cool characters and chat with friends.</t>
  </si>
  <si>
    <t>Artemis Ventures, Jérémie Berrebi(Jérémie Berrebi), Kima Ventures(Xavier Niel)</t>
  </si>
  <si>
    <t>social network, teenage games</t>
  </si>
  <si>
    <t>58043-53T</t>
  </si>
  <si>
    <t>Creadev(Florent Thomann)</t>
  </si>
  <si>
    <t>40743-73T</t>
  </si>
  <si>
    <t>Alcuin Software</t>
  </si>
  <si>
    <t>Education and Training Services (B2B)*, Educational and Training Services (B2C), Educational Software, Human Capital Services</t>
  </si>
  <si>
    <t>Developer of training and human resources management software designed for corporate and educational training. The company's software offers training and education management for businesses, training organizations and higher education institutions, thereby helping clients tackle issues of HR training and management comprehensively and synergistically.</t>
  </si>
  <si>
    <t>CITA Investissement(Jean-Stephane Bonneton), GO Capital (France)(Eric Cozanet), LBcie</t>
  </si>
  <si>
    <t>education management, hr management software, human capital management, interview management, software publisher, talent assessment, training software</t>
  </si>
  <si>
    <t>Beaucouze, France</t>
  </si>
  <si>
    <t>86606-11T</t>
  </si>
  <si>
    <t>Ysé</t>
  </si>
  <si>
    <t>Provider of online lingerie products intended to offer lingerie and swimsuits without padding. The company designs unpadded lingerie sets which naturally emphasises the shape of women with every body type and natural enhancement with underwiring, enabling women to get optimal comfort.</t>
  </si>
  <si>
    <t>lingerie collection, lingerie items, lingerie sets, lingerie shopping, swimwear product, unpadded lingerie</t>
  </si>
  <si>
    <t>57930-94T</t>
  </si>
  <si>
    <t>Innovation Capital (Paris)(Valéry Huot), Isatis Capital, Sofimac Innovation(Nicolas Boulay), TechFund Europe(Francoise Lohezic)</t>
  </si>
  <si>
    <t>57863-62T</t>
  </si>
  <si>
    <t>Alven Capital Partners(Charles Letourneur), Bpifrance(Véronique Jacq), IRIS (Private Equity)(Sophie Dingreville)</t>
  </si>
  <si>
    <t>85136-05T</t>
  </si>
  <si>
    <t>57841-30T</t>
  </si>
  <si>
    <t>BA06(Georges Dao), Bpifrance(Gilles Schang), ETF Partners(Fabrice Bienfait), Incubator Provence Côte d'Azur, More Management Council, Opus Group(Michel Gondolo), Région Sud Investissement</t>
  </si>
  <si>
    <t>120654-55T</t>
  </si>
  <si>
    <t>Generis Capital Partners(Edouard Cassini), Holnest, ICMI, Jean-Louis Alloin, Jean-Michel Aulas, Plantin Participations</t>
  </si>
  <si>
    <t>27608-23T</t>
  </si>
  <si>
    <t>Escaliers Flin</t>
  </si>
  <si>
    <t>Home Furnishings*, Wood/Hard Products</t>
  </si>
  <si>
    <t>Manufacturer of wooden staircases catering to residential houses. The company's product portfolio includes a range of designer stairs as well as railings for stairs, spiral staircases and open staircases, enabling customers to avail beautiful staircases that complement the interior decor of a house.</t>
  </si>
  <si>
    <t>Arkéa Capital, Ouest Croissance Gestion</t>
  </si>
  <si>
    <t>designer stairs, open staircase, spiral staircase, staircase, wooden staircase, wooden stairs</t>
  </si>
  <si>
    <t>Languenan, France</t>
  </si>
  <si>
    <t>60350-86T</t>
  </si>
  <si>
    <t>Anthony Ravau(Anthony Ravau), Breega, Geoffroy De Becdelièvre, Jacques Veyrat, Paluel-Marmont family</t>
  </si>
  <si>
    <t>57750-49T</t>
  </si>
  <si>
    <t>A Plus Finance(Jean-Michel Pimont), Bpifrance, Capza(Jean-Luc Cyrot), Hi Inov(Valerie Gombart), Time For Growth(Jean-Luc Cyrot)</t>
  </si>
  <si>
    <t>116589-43T</t>
  </si>
  <si>
    <t>Bosch Ventures(Gadi Toren), CEA Investissement, iBionext(Alexia Perouse)</t>
  </si>
  <si>
    <t>66473-20T</t>
  </si>
  <si>
    <t>Bpifrance(Nicolas Dufourcq), Frédéric De Belloy(Frédéric De Belloy), Kima Ventures, Xavier Niel(Xavier Niel)</t>
  </si>
  <si>
    <t>75084-85T</t>
  </si>
  <si>
    <t>CEA Investissement(François Breniaux), Crédit Mutuel Innovation(Clement Combal), Safran Corporate Ventures(Florent Illat), Scientipole Capital(Jean-Pierre Humbert)</t>
  </si>
  <si>
    <t>109720-90T</t>
  </si>
  <si>
    <t>Bpifrance, Mode et Finance</t>
  </si>
  <si>
    <t>51795-28T</t>
  </si>
  <si>
    <t>Breizh Angels, Crédit Agricole Finistère, Femmes Business Angels, Force 29</t>
  </si>
  <si>
    <t>57503-98T</t>
  </si>
  <si>
    <t>Financial Idac, HGDLMA Holding, Hugues Le Bret, La Confédération National des Buralistes de France, Partech(Philippe Collombel), Ryad Boulanouar</t>
  </si>
  <si>
    <t>58423-24T</t>
  </si>
  <si>
    <t>#adm Ventures, Alven Capital Partners(Charles Letourneur), DN Capital, Fabrice Grinda(Fabrice Grinda), FJ Labs, Flight Ventures, FoundersGuild, Gil Penchina(Gil Penchina), Idinvest Partners(Guillaume Durao), Julien Coustaury(Julien Coustaury), Raine Ventures(Gordon Rubenstein), Tectonic Capital</t>
  </si>
  <si>
    <t>57283-57T</t>
  </si>
  <si>
    <t>Calao Finance, XAnge, Xerys Invest</t>
  </si>
  <si>
    <t>86992-84T</t>
  </si>
  <si>
    <t>Morning (Financial Software)</t>
  </si>
  <si>
    <t>Developer of an online mobile payment platform intended to provide a secured mode of money transfer. The company's online mobile payment platform is an all in one payment platform, enabling users to declare and pay all services between individuals.</t>
  </si>
  <si>
    <t>Elevation Capital Partners, Ternel</t>
  </si>
  <si>
    <t>fintech platform, individual payment, mobile payment, mobile payment platform, online payment, payment platform, personal payment</t>
  </si>
  <si>
    <t>168859-54T</t>
  </si>
  <si>
    <t>AQUITI Gestion, Disco Corporation (TKS: 6146), ECM Technologies, Emertec Gestion, Regional Council of Poitou-Charentes, Sergies, WiCAP S'Tile</t>
  </si>
  <si>
    <t>57209-50T</t>
  </si>
  <si>
    <t>Biom'Up</t>
  </si>
  <si>
    <t>Biotechnology*, Other Pharmaceuticals and Biotechnology, Surgical Devices</t>
  </si>
  <si>
    <t>Biom'Up SA is engaged in designing, developing, manufacturing, and selling collagen-based absorbable medical devices for biosurgery in France. It offers products under the Hemoblast and Hemosnow names for surgical specialties, such as orthopedic, spine, cardiothoracic, general, maxillofacial, and dental surgeries.</t>
  </si>
  <si>
    <t>Apicap(Emmanuelle Deponge), Bpifrance(Laurent Higueret), CDC Enterprises(Thibaut Roulon), Euroainvest, Gimv (BRU: GIMB)(Karl Naegler), InnoBiologics, Kreos Capital, L'Ameliane(François-Régis Ory), La Financiere viveris, Lundbeckfonden BioCapital(Casper Breum), Mérieux Equity Partners(Thierry Chignon), Sham, Smalt Capital(Jerome Feraud), Sobera Capital, Sofimac Innovation, Sofimac Investment Managers</t>
  </si>
  <si>
    <t>absorbable implants, biomaterial, medical implants, membrane, surgical application</t>
  </si>
  <si>
    <t>58709-53T</t>
  </si>
  <si>
    <t>Azendoo</t>
  </si>
  <si>
    <t>Business/Productivity Software*, Social/Platform Software</t>
  </si>
  <si>
    <t>Developer of a work collaboration platform intended for companies to assign tasks, comment, and attach files in a unified interface. The company's messaging application, consisting of integrations, and numerous bots, among others, are used by remote teams and can be available both on desktop and mobile, enabling clients to collaborate better, and faster and to get things done together seamlessly.</t>
  </si>
  <si>
    <t>Arnaud Vinciguerra, The Family (Financial Services)</t>
  </si>
  <si>
    <t>collaboration platform, collaboration platform app, collaboration platform network, messaging application, web application, work collaboration, work collaboration platform, work collaboration software</t>
  </si>
  <si>
    <t>57178-18T</t>
  </si>
  <si>
    <t>SunTrade Travel</t>
  </si>
  <si>
    <t>Media and Information Services (B2B), Other Restaurants, Hotels and Leisure, Social/Platform Software*</t>
  </si>
  <si>
    <t>Provider of an online travel platform designed to offer personalized tour planning. The company's platform automatically builds its holiday packages at best prices and releases it to distribution partners with prices and availability on real time basis, enabling users to track and plan their tours as per budget and convenience.</t>
  </si>
  <si>
    <t>books service, international travel, tour planning, travel services</t>
  </si>
  <si>
    <t>61501-60T</t>
  </si>
  <si>
    <t>Target2Sell</t>
  </si>
  <si>
    <t>Developer of a Saas-based predictive marketing tool designed to offer a personalized recommendation engine for e-commerce sites. The company's platform offers customized product and media recommendations, custom recommendations for direct and reverse emails, and custom sorting of list pages, enabling businesses to boost their conversion and performance.</t>
  </si>
  <si>
    <t>Internet Attitude</t>
  </si>
  <si>
    <t>e commerce website, ecommerce personalization, marketing software, marketing tool, media recommendation, personalized recommendation, recommendation engine, saas-based marketing</t>
  </si>
  <si>
    <t>58454-56T</t>
  </si>
  <si>
    <t>PeopleDoc</t>
  </si>
  <si>
    <t>Developer of an online document storage platform designed to store and share daily life administrative documents in a personal digital vault. The company's online document storage platform stores data using symmetric-based encryption, enabling the client to get the highest form of security.</t>
  </si>
  <si>
    <t>Accel(Philippe Botteri), Alven Capital Partners(Charles Letourneur), Eurazeo (PAR: RF)(Yann-Hervé du Rusquec), Kernel Investissements, OCP Group (Paris)</t>
  </si>
  <si>
    <t>cloud services, document storage, enterprise resource planning, erp, hr services, human capital management, online document storage, secure storage platform, storage platform</t>
  </si>
  <si>
    <t>56704-24T</t>
  </si>
  <si>
    <t>Paymium</t>
  </si>
  <si>
    <t>Operator of a cryptocurrency exchange intended to help individuals and investors buy and sell bitcoins. The company offers merchant and bitcoin-central exchange services using the Bitcoin transaction processing network, enabling investors to conduct streamlined trades in compliance with trading regulations.</t>
  </si>
  <si>
    <t>Galitt Group, Kima Ventures, Makers Camp, Newfund Management, Stephane Philipakis(Stephane Philipakis)</t>
  </si>
  <si>
    <t>bitcoin exchange, bitcoin trade, bitcoin wallet, crypto trading, crypto-market, financial solutions, financial trading, merchant payment, trading equity</t>
  </si>
  <si>
    <t>56620-72T</t>
  </si>
  <si>
    <t>Geraldine Le Meur(Geraldine Le Meur), Truffle Capital(Bernard Roques)</t>
  </si>
  <si>
    <t>84834-37T</t>
  </si>
  <si>
    <t>Starquest Capital(Emmanuel Gaude)</t>
  </si>
  <si>
    <t>73399-42T</t>
  </si>
  <si>
    <t>Artheos Group</t>
  </si>
  <si>
    <t>Manufacturer of lighting design intended to offer indoor or outdoor lighting. The company's lights provide lighting design for retail and the process includes creation of the concept to its complete execution, thus creating an identity specific to each client, enabling retailers to purchase lighting designs suited to their preferences, reduce power consumption and also save electricity.</t>
  </si>
  <si>
    <t>Crédit Mutuel Impact, Kreaxi, Rhône-Alpes Création(Gwenaël Hamon)</t>
  </si>
  <si>
    <t>indoor lighting, indoor lighting design, light manufacturing company, outdoor lighting, outdoor lighting design</t>
  </si>
  <si>
    <t>Brignais, France</t>
  </si>
  <si>
    <t>107327-89T</t>
  </si>
  <si>
    <t>Crazy Voyages</t>
  </si>
  <si>
    <t>Operator of a party organizer company intended to offer part and festive holiday-related packages. The company's agency provides services that include designing and organizing parties and handling airport transfers, flights, activities, accommodation, and payment in several destinations in Europe, enabling clients to enjoy customized stag or hen parties during their vacation at different locations.</t>
  </si>
  <si>
    <t>event management, holiday planning, online travel agency, party planner, travel agency service, travel arrangements, travel planning</t>
  </si>
  <si>
    <t>58627-63T</t>
  </si>
  <si>
    <t>Airbus (France), Aquitaine Regional Council, Arnaud Vinciguerra(Arnaud Vinciguerra), Bpifrance, Hape Holding</t>
  </si>
  <si>
    <t>109813-24T</t>
  </si>
  <si>
    <t>SPVIE Assurances</t>
  </si>
  <si>
    <t>Operator of a multi-line brokerage group offering personal and property insurance. The company's brokerage group offers a variety of services including technical studies, pricing, underwriting, administrative management, claims management, reporting and financial management, enabling companies to provide competitive insurance packages for their employees</t>
  </si>
  <si>
    <t>Elevation Capital Partners, K Partners(Alexis Collon)</t>
  </si>
  <si>
    <t>group insurance product, insurance broker, insurance broker firm, insurance brokerage, insurance broking, insurance broking consultancy</t>
  </si>
  <si>
    <t>56666-44T</t>
  </si>
  <si>
    <t>A Plus Finance(Alexandre Villet), Pleiade Venture(Laurent Vernier)</t>
  </si>
  <si>
    <t>38170-27T</t>
  </si>
  <si>
    <t>61485-13T</t>
  </si>
  <si>
    <t>Actvt</t>
  </si>
  <si>
    <t>Developer of a video editing application designed to break the barriers of social videos. The company's video editing application lets users effortlessly select highlights from their footage and automatically generate short edits on-the-go, enabling users to turn long videos into short-form content that is fun to watch and share.</t>
  </si>
  <si>
    <t>Bpifrance, Karista (Paris)(Yvan-Michel Ehkirch), Paris Region Venture Fund</t>
  </si>
  <si>
    <t>mobile video, movies editing, storytelling, video editing, video editing app, video editing application</t>
  </si>
  <si>
    <t>204712-21T</t>
  </si>
  <si>
    <t>AQUITI Gestion, Expanso Capital, Finaqui</t>
  </si>
  <si>
    <t>119740-96T</t>
  </si>
  <si>
    <t>109238-05T</t>
  </si>
  <si>
    <t>SGH Capital(Alexandre Azoulay)</t>
  </si>
  <si>
    <t>116812-90T</t>
  </si>
  <si>
    <t>Network Finances, Pierre-Antoine Durgeat(Pierre-Antoine Durgeat)</t>
  </si>
  <si>
    <t>56619-28T</t>
  </si>
  <si>
    <t>Alven Capital Partners(Guillaume Aubin), Bpifrance, Serena (Paris)</t>
  </si>
  <si>
    <t>171849-61T</t>
  </si>
  <si>
    <t>Orent.</t>
  </si>
  <si>
    <t>Home Furnishings*, Household Appliances</t>
  </si>
  <si>
    <t>Operator of a furniture rental platform intended to provide necessary pieces for houses or apartments. The company's platform offers a catalog to the customers to help them to find the ideal product and provides delivery of the items to their doorstep, enabling customers to rent furniture of their choice at an affordable rate.</t>
  </si>
  <si>
    <t>furniture rental, furniture rental platform, furniture rental service, furniture rental service provider, rental appliance, rental platform</t>
  </si>
  <si>
    <t>84978-91T</t>
  </si>
  <si>
    <t>Edelices</t>
  </si>
  <si>
    <t>Provider of an e-commerce platform intended to facilitate the retail of gourmet products. The company's e-commerce platform sells various gourmets like grocery items, vegetables, cakes and desserts, enabling customers to place their orders and get it delivered at the comfort of their homes.</t>
  </si>
  <si>
    <t>ecommerce platform, gourmet product, grocery items, online gourmet food, online grocery</t>
  </si>
  <si>
    <t>36340-03T</t>
  </si>
  <si>
    <t>Oxxa</t>
  </si>
  <si>
    <t>Provider of plastic-recycling services. The company is engaged in the processing of plastic waste into tubes and granules.</t>
  </si>
  <si>
    <t>Auvergne Business Angels, Entrepreneur Invest</t>
  </si>
  <si>
    <t>plastic recycling, recycled tubes, waste recycling</t>
  </si>
  <si>
    <t>36391-33T</t>
  </si>
  <si>
    <t>Startinvest</t>
  </si>
  <si>
    <t>Operator of a business financing fund intended to make equity investments in the B2B media sector. The company's fund assists in mergers and acquisitions, strategy, marketing and editorial expertise support, enabling companies to get the required financing for their operations.</t>
  </si>
  <si>
    <t>business investment, equity fund, equity investment, investment fund, strategy support</t>
  </si>
  <si>
    <t>36413-74T</t>
  </si>
  <si>
    <t>Valosun</t>
  </si>
  <si>
    <t>Manufacturer of roof-integrated photovoltaic systems. The company's capabilities specialize in the development of solar roofs for the purpose of producing electricity.</t>
  </si>
  <si>
    <t>integrated roof, photovoltaic roof, roof installation, roof-integrated photovoltaic systems, solar, solar roof</t>
  </si>
  <si>
    <t>36426-34T</t>
  </si>
  <si>
    <t>Agoranov, Entrepreneur Invest, Siparex Group, XAnge</t>
  </si>
  <si>
    <t>210606-76T</t>
  </si>
  <si>
    <t>BNP Paribas Développement, Sofilaro</t>
  </si>
  <si>
    <t>133429-33T</t>
  </si>
  <si>
    <t>Graphinium</t>
  </si>
  <si>
    <t>Developer of a marketing platform designed to offer customer relationship management onboarding services. The company's platform ensures universal connectors for synchronization with all the technologies in the market, exact matching for a guarantee of targeting real customers, and offers optimized matching for real-time results and free setting of cookie freshness, enabling businesses to find the cookies of offline customers to make improved marketing strategies for relevance and optimize the return on investment.</t>
  </si>
  <si>
    <t>analytics saas, big data access, customer data mapping, customer insights, marketing strategy, web based platform</t>
  </si>
  <si>
    <t>Big Data, Marketing Tech, SaaS</t>
  </si>
  <si>
    <t>187891-66T</t>
  </si>
  <si>
    <t>Bpifrance, Finovam Gestion, Lorraine Active</t>
  </si>
  <si>
    <t>77173-84T</t>
  </si>
  <si>
    <t>AQUITI Gestion, Capagro(Jerome Samson), Caravelle (Asset Management)</t>
  </si>
  <si>
    <t>57664-09T</t>
  </si>
  <si>
    <t>123 Investment Managers, AG2R La Mondiale, IdiCo, SEB Alliance</t>
  </si>
  <si>
    <t>57841-21T</t>
  </si>
  <si>
    <t>BA06(Georges Dao), Equitis Gestion, Incubator Provence Côte d'Azur, Société Nationale des Chemins de fer Français</t>
  </si>
  <si>
    <t>62710-75T</t>
  </si>
  <si>
    <t>Bpifrance(Thibaut Roulon), Idinvest Partners(Vanessa Malier), Inserm Transfert(François Thomas)</t>
  </si>
  <si>
    <t>54245-71T</t>
  </si>
  <si>
    <t>117765-28T</t>
  </si>
  <si>
    <t>CEA Investissement, Inserm Transfert(François Thomas), Smalt Capital</t>
  </si>
  <si>
    <t>43993-90T</t>
  </si>
  <si>
    <t>HoliMetrix</t>
  </si>
  <si>
    <t>Provider of media and marketing services intended to promote television and Internet media campaigns. The company's services offer convergence analytics that helps work on the duplicated data between various marketing channels and the data collected directly by the companies, enabling clients to optimize their advertising investments and generate their marketing productivity gains.</t>
  </si>
  <si>
    <t>A Plus Finance, D-bi, IRIS (Private Equity), Jaina Capital, Siparex Group, XAnge</t>
  </si>
  <si>
    <t>advertising investment, convergence analytics, de duplicated data, marketing channel, media campaigns promotion</t>
  </si>
  <si>
    <t>84890-62T</t>
  </si>
  <si>
    <t>Diverchim</t>
  </si>
  <si>
    <t>Developer of small quantities molecules designed to offer an organic synthesis of original molecules offering it's expertise and capabilities to customers. The company's molecules help in the detection of active molecules and synthesize screening drugs, chemical templates and virtual mummers for medicinal applications, thereby enabling the pharmaceutical, cosmetic and biotechnology industries to carry out their drug discovery.</t>
  </si>
  <si>
    <t>medicinal chemistry, molecular drug delivery, molecular research, molecule development, molecule drug, research organisation</t>
  </si>
  <si>
    <t>Roissy-en-France, France</t>
  </si>
  <si>
    <t>85279-96T</t>
  </si>
  <si>
    <t>Inspeer</t>
  </si>
  <si>
    <t>Provider of an insurance platform designed to revolutionize the insurance industry. The company's collaborative platform inspects rewards and returns a cashback if the community is more responsible than initially priced, enabling individuals to optimize contracts based on a solitary and responsible community.</t>
  </si>
  <si>
    <t>collaborative insurance, collaborative insurance platform, insurance management, optimize contract, p2p insurance, peer-to-peer software</t>
  </si>
  <si>
    <t>53540-29T</t>
  </si>
  <si>
    <t>Mailjet</t>
  </si>
  <si>
    <t>Provider of management and reporting software intended to accelerate business growth with email. The company's software offers a real-time cloud emailing platform that offers to send and receive newsletters, applications and transactional emails, enabling clients to communicate in an enhanced way.</t>
  </si>
  <si>
    <t>Alven Capital Partners(Raffi Kamber), Entrepreneur Invest, IRIS (Private Equity)(Guillaume Meulle), Seventure Partners, Thibaud Elziere(Thibaud Elziere)</t>
  </si>
  <si>
    <t>cloud email, management software, management software system, reporting software, reporting software tools, transactional email</t>
  </si>
  <si>
    <t>53368-03T</t>
  </si>
  <si>
    <t>500 Global, David Maruani, Jean-David Blanc(Jean-David Blanc), Laurent Gerbi, Oleg Tscheltzoff(Oleg Tscheltzoff), Richard Dunn</t>
  </si>
  <si>
    <t>53475-67T</t>
  </si>
  <si>
    <t>Air Liquide Venture Capital, Auriga Partners (Paris), CEA Investissement, Idinvest Partners, Panasonic Ventures</t>
  </si>
  <si>
    <t>92046-52T</t>
  </si>
  <si>
    <t>Elevation Capital Partners, K Partners (Australia)</t>
  </si>
  <si>
    <t>50555-98T</t>
  </si>
  <si>
    <t>53213-23T</t>
  </si>
  <si>
    <t>1001Pharmacies</t>
  </si>
  <si>
    <t>Internet Retail*, Other Healthcare Services, Personal Products</t>
  </si>
  <si>
    <t>Operator of an online pharmacy portal designed to improve the pharma sector by completely digitizing the process. The company's portal offers health, beauty and well-being products, such as instant foods, medical equipment, cosmetics, hygiene, sexuality, cosmetics, essential oils, slimming treatments and veterinary products.</t>
  </si>
  <si>
    <t>Angelor, Crédit Mutuel Impact, Founders Future, Newfund Management, Olivier Mathiot(Olivier Mathiot), Pierre Kosciusko Morizet(Pierre Kosciusko Morizet), The Family (Financial Services), Xaviel Niel(Xaviel Niel)</t>
  </si>
  <si>
    <t>health product, healthcare service, healthcare services firm, medical equipment, online pharmacy, prescription delivery service</t>
  </si>
  <si>
    <t>53389-63T</t>
  </si>
  <si>
    <t>Clic and Walk</t>
  </si>
  <si>
    <t>Developer of a business insights platform designed to be used for collecting data and customer insights. The company's platform offers reliable field marketing data in real-time, by linking photos, geolocation, and reviews from consumers, enabling brands to check and follow their marketing actions in stores with photos sent by consumers who are then paid in real money.</t>
  </si>
  <si>
    <t>Bpifrance, Breega(François Paulus), CITA Investissement</t>
  </si>
  <si>
    <t>application platform, customer insights, customer insights monitoring, field marketing, free mobile, links photo</t>
  </si>
  <si>
    <t>54277-48T</t>
  </si>
  <si>
    <t>Easypropriétaire</t>
  </si>
  <si>
    <t>Developer of an online platform designed to offer simplicity at every stage of real estate purchase. The company's platform helps to search and purchase apartments and other real estate properties, enabling users to get reinsurance from the hassle of administrative procedures of real estate purchase.</t>
  </si>
  <si>
    <t>apartments purchasing, apartments search, online property, real estate projects management, real estate search platform</t>
  </si>
  <si>
    <t>53227-81T</t>
  </si>
  <si>
    <t>Alven Capital Partners(Raffi Kamber), Bpifrance</t>
  </si>
  <si>
    <t>116010-64T</t>
  </si>
  <si>
    <t>Alexander Ichai(Alexander Ichai), News Invest(Stéphane Moity), RAISE Group</t>
  </si>
  <si>
    <t>86242-96T</t>
  </si>
  <si>
    <t>Air Liquide Venture Capital, Ovive(Amaury Bierent), Starquest Capital(Arnaud Delattre)</t>
  </si>
  <si>
    <t>53200-54T</t>
  </si>
  <si>
    <t>GenSight Biologics (PAR: SIGHT)</t>
  </si>
  <si>
    <t>Biotechnology*, Therapeutic Devices</t>
  </si>
  <si>
    <t>Gensight Biologics SA is a clinical-stage biotechnology group discovering and developing novel therapies for neurodegenerative retinal diseases and diseases of the central nervous system. The company's pipeline leverages two core technology platforms, the Mitochondrial Targeting Sequence, and Optogenetics, to help preserve or restore vision in patients suffering from severe degenerative retinal diseases. The group's focus is on ophthalmology where it develops product candidates to restore eyesight to patients suffering from retinal diseases. The product candidate, LUMEVOQ, was developed using the MTS technology platform and is designed to treat LHON by restoring the function of retinal diseases resulting from mutations.</t>
  </si>
  <si>
    <t>Discovery Ventures, Fidelity Investments, HealthCap, iBionext(Bernard Gilly), Jennison Associates, Perceptive Advisors, Sofinnova Partners, Sphera Funds Management</t>
  </si>
  <si>
    <t>gene replacement, gene therapy, ophthalmology, optogenetic therapy, pharmaceutical therapeutic, vision therapy</t>
  </si>
  <si>
    <t>88208-74T</t>
  </si>
  <si>
    <t>Indatech</t>
  </si>
  <si>
    <t>Discovery Tools (Healthcare)*, Other Pharmaceuticals and Biotechnology, Pharmaceuticals</t>
  </si>
  <si>
    <t>Developer of optical sensors intended to address real-time online control issues. The company's sensors are used in the aspect of spectroscopy that is capable of simultaneously measuring in real time the physical and chemical properties of complex products, enabling clients in the pharmacy, biotechnology, agri-food, and petrochemical industries to receive service related to optics and data processing</t>
  </si>
  <si>
    <t>Sofimac Innovation, Sofimac Investment Managers, Soridec</t>
  </si>
  <si>
    <t>optical sensor developer, optical sensor equipment, optical sensor technology, optics sensor, spectroscopy, spectroscopy system</t>
  </si>
  <si>
    <t>53056-36T</t>
  </si>
  <si>
    <t>63036-10T</t>
  </si>
  <si>
    <t>6Wind</t>
  </si>
  <si>
    <t>Business/Productivity Software*, Other Communications and Networking</t>
  </si>
  <si>
    <t>Developer of virtualized networking software designed to offer networking and telecommunications services. The company's software provides packet processing tools to meet both the wire-speed performance and time-to-market requirements of mobile infrastructure, network security, and elevated-frequency trading, enabling network vendors in telecom, enterprise, and cloud infrastructure markets to enhance operational performance and solve time-to-market challenges.</t>
  </si>
  <si>
    <t>Cisco Investments(Frederic Rombaut)</t>
  </si>
  <si>
    <t>commercial networking, commercial networking platform, mobile infrastructure, multi-core software, network security, secure networking, wireless service</t>
  </si>
  <si>
    <t>93715-30T</t>
  </si>
  <si>
    <t>53128-72T</t>
  </si>
  <si>
    <t>Aurinvest(Geoffroy Bragadir), Bpifrance(Jocelyne Cerasa), Hi Inov(Valerie Gombart)</t>
  </si>
  <si>
    <t>101196-37T</t>
  </si>
  <si>
    <t>203383-54T</t>
  </si>
  <si>
    <t>207993-34T</t>
  </si>
  <si>
    <t>Polyplus (Biotechnology)</t>
  </si>
  <si>
    <t>Developer of gene and cell therapy technologies for the delivery of nucleic acids in research, bio-production, and therapeutics. The company offers a proprietary range of reagents for the transfection of genes, oligonucleotides, and siRNA for in vivo, in vitro, and ex vivo delivery of nucleic acids, enabling scientists to develop breakthrough nucleic acid-based therapies as a treatment to improve human health.</t>
  </si>
  <si>
    <t>Alsace Inter Regio Fonds d'Investissement, Crédit Mutuel Equity, Promelys Participations</t>
  </si>
  <si>
    <t>biotechnology based, cell culture, gene expressions, genome editing, life science, protein production technology, reagents, testing ingredients, therapy technology</t>
  </si>
  <si>
    <t>53010-10T</t>
  </si>
  <si>
    <t>Alven Capital Partners(Guillaume Aubin), Celine Lazorthes(Celine Lazorthes), Elaia Partners(Pauline Roux), Fotolia(Oleg Tscheltzoff), SRP Groupe (PAR: SRP), Ventech (Paris)</t>
  </si>
  <si>
    <t>93591-37T</t>
  </si>
  <si>
    <t>138543-13T</t>
  </si>
  <si>
    <t>Maddyness</t>
  </si>
  <si>
    <t>Operator of a business magazine company intended to provide information on French startups. The company's magazine provides news related to key players in various fields like business, finance, media, new technologies, and innovations with the latest financial trends and data analysis, enabling readers to explore the future of new businesses.</t>
  </si>
  <si>
    <t>Fred &amp; Farid Digital Investment Fund</t>
  </si>
  <si>
    <t>business information, business magazine, business news, digital economy, startup information, startup news</t>
  </si>
  <si>
    <t>86614-66T</t>
  </si>
  <si>
    <t>Milanamos</t>
  </si>
  <si>
    <t>Developer of a travel data and analytics platform intended to help the aviation sector develop data-centric travel plans and strategies. The company's platform provides valuable insights and a KPI dashboard that makes data flow fast and easy for airline organizations to benchmark their performance against competitors, enabling clients to identify, implement, and increase profits for their business easily.</t>
  </si>
  <si>
    <t>Aria Venture Capital, Starquest Capital</t>
  </si>
  <si>
    <t>aviation analytics, data analytics dashboard, market intelligence platform, network planning platform, travel data analytics, travel planning</t>
  </si>
  <si>
    <t>Artificial Intelligence &amp; Machine Learning, Big Data, E-Commerce, SaaS</t>
  </si>
  <si>
    <t>Les Issambres, France</t>
  </si>
  <si>
    <t>52986-70T</t>
  </si>
  <si>
    <t>123 Investment Managers, Public Investment Bank</t>
  </si>
  <si>
    <t>177527-62T</t>
  </si>
  <si>
    <t>Finsquare</t>
  </si>
  <si>
    <t>Operator of an online P2B lending platform intended for SMEs. The company's platform connects businesses with a network of lenders that offers loans and crowdfunding services to enterprises, enabling small and medium-sized businesses to find the financing they need.</t>
  </si>
  <si>
    <t>Allianz Group (ETR: ALV), AngelSquare, Aviva Life Insurance Company India, Edenred Capital Partners, HiPay (PAR: ALHYP), Sparkling Partners, Virtual Network</t>
  </si>
  <si>
    <t>financial transaction, lending platform, peer-to-business, peer-to-business crowdfunding platform, short term loan</t>
  </si>
  <si>
    <t>53997-40T</t>
  </si>
  <si>
    <t>83North(Laurel Bowden), Anthony Deighton(Anthony Deighton), Carsten Thoma(Carsten Thoma), Dave Strohm(Dave Strohm), Ed Coke(Ed Coke), Elaia Partners(Xavier Lazarus), Felix Capital(Frederic Court), Laurent Dassault(Laurent Dassault), Thomas Ebling(Thomas Ebling)</t>
  </si>
  <si>
    <t>53875-36T</t>
  </si>
  <si>
    <t>Novitact</t>
  </si>
  <si>
    <t>Developer of sensory wristbands designed to help people to communicate in an enhanced way. The company's wristbands offer to communicate using the vibration mode and the sense of touch, enabling users to communicate simple information without talking, writing, or reading a screen.</t>
  </si>
  <si>
    <t>Bpifrance, Credit Industriel et Commercial, European Regional Development Fund (FEDER), FaDiese, Femmes Business Angels, Picardie Regional Council, Reseau Entreprendre 92</t>
  </si>
  <si>
    <t>haptic technologies, haptic technology, smart watch, wearable device, wearable device developer, wristband device</t>
  </si>
  <si>
    <t>53011-36T</t>
  </si>
  <si>
    <t>86551-03T</t>
  </si>
  <si>
    <t>Serena (Paris)(Marc Fournier)</t>
  </si>
  <si>
    <t>72514-72T</t>
  </si>
  <si>
    <t>Banque Populaire du Sud, Bpifrance, Société Marseillaise de Crédit, Sofilaro, Sofimac Innovation, Sofimac Investment Managers, Soridec</t>
  </si>
  <si>
    <t>77576-32T</t>
  </si>
  <si>
    <t>CDO Innov</t>
  </si>
  <si>
    <t>Manufacturer of hydrostatic devices intended for serving the sensitive environment. The company's device specializes in the production and maintenance of agricultural machinery and offers service of invasive grasses with the BPH range, enabling companies to have access to patented and adaptable machinery to each geographic configuration.</t>
  </si>
  <si>
    <t>Pays de la Loire Participations, Siparex Group, Sodero</t>
  </si>
  <si>
    <t>agricultural machinery, custom-made boats, custom-made machine, equipment maintenance, equipment manufacturer, precision ag, precision agriculture, robotics &amp; smart field equipment, robotics and smart field equipment</t>
  </si>
  <si>
    <t>Machecoul, France</t>
  </si>
  <si>
    <t>67475-35T</t>
  </si>
  <si>
    <t>Cocooncenter</t>
  </si>
  <si>
    <t>Internet Retail*, Other Pharmaceuticals and Biotechnology, Personal Products</t>
  </si>
  <si>
    <t>Retailer of an e-commerce pharmacy platform intended to serve the people of France and Europe. The company's online drugstore offers exclusive promotions all year round with discounted prices and gives professional advice and guidance, thereby enabling customers to make better purchases.</t>
  </si>
  <si>
    <t>ecommerce marketplace, ecommerce pharmacy, ecommerce portal, online drugs marketplace, online pharmacy, pharmaceutical, pharmacy</t>
  </si>
  <si>
    <t>E-Commerce, HealthTech, TMT</t>
  </si>
  <si>
    <t>La Veuve, France</t>
  </si>
  <si>
    <t>64756-45T</t>
  </si>
  <si>
    <t>Banexi Ventures Partners, Kreaxi</t>
  </si>
  <si>
    <t>52758-91T</t>
  </si>
  <si>
    <t>Alderville Holding, AQUITI Gestion, Crédit Agricole Aquitaine Expansion, Expanso Capital, Kima Ventures(Jérémie Berrebi), Laurent Delaporte(Laurent Delaporte), Nestadio Capital</t>
  </si>
  <si>
    <t>81818-11T</t>
  </si>
  <si>
    <t>Horizontal Software</t>
  </si>
  <si>
    <t>Business/Productivity Software*, Human Capital Services, Publishing</t>
  </si>
  <si>
    <t>Developer of a software platform designed to offer real-time resource management and cloud architecture. The company's platform offers time management, activity management, recruitment planning, and training evaluation, enabling clients to control the payroll, and have efficient services, attractiveness, planning, and skill development.</t>
  </si>
  <si>
    <t>Autonomie &amp; Solidarité, Finovam Gestion, Nord France Amorçage, Truffle Capital(Bernard Roques)</t>
  </si>
  <si>
    <t>cloud architecture, healthcare recruiting platform, recruiting platform, recruiting software, saas app, saas modes</t>
  </si>
  <si>
    <t>Gières, France</t>
  </si>
  <si>
    <t>36304-84T</t>
  </si>
  <si>
    <t>Jardins d'Epicure</t>
  </si>
  <si>
    <t>Food Products, Internet Retail, Restaurants and Bars*</t>
  </si>
  <si>
    <t>Operator of a fast food restaurant intended to deliver meal trays inspired by traditional French cuisine. The company offers food baskets, buffets, lunch bags, and gourmet breakfasts and uses fresh products based on seasonality and utilizes biodegradable materials for the packaging, allowing consumers to enjoy healthy meals delivered to their doorstep.</t>
  </si>
  <si>
    <t>cart service, fast food restaurant, food delivery, food ecommerce, food trays, gourmet food, lunch bags, meals trays, restaurant marketplace</t>
  </si>
  <si>
    <t>E-Commerce, FoodTech, LOHAS &amp; Wellness, Restaurant Technology, TMT</t>
  </si>
  <si>
    <t>36443-17T</t>
  </si>
  <si>
    <t>Kobaltt</t>
  </si>
  <si>
    <t>Provider of recruitment services intended to connect candidates with compatible jobs. The company's service respects selection methods that permit a perfect match between profile and position, enabling people to get a position in middle or senior management in construction, building and engineering, information technology, telecommunications, accountancy and finance sectors.</t>
  </si>
  <si>
    <t>Crédit Mutuel Impact</t>
  </si>
  <si>
    <t>job search tool, management recruitment, online jobs hunt, recruitment service company, recruitment service firm, recruitment services, recruitment specialist</t>
  </si>
  <si>
    <t>35896-15T</t>
  </si>
  <si>
    <t>LeDiet</t>
  </si>
  <si>
    <t>Information Services (B2C)*, Other Healthcare Services, Social/Platform Software</t>
  </si>
  <si>
    <t>Operator of an online platform designed to offer nutritional counseling services. The company's online platform offers diet counseling, assistance for weight issues, hair and nail health and disease management information, enabling users to stay healthy and fit.</t>
  </si>
  <si>
    <t>Matignon Investissement et Gestion(Guillaume Connan)</t>
  </si>
  <si>
    <t>diet planning, health counseling platform, health counseling services, nutritional counseling platform, weight loss</t>
  </si>
  <si>
    <t>36328-96T</t>
  </si>
  <si>
    <t>Métropole Biomass Energy</t>
  </si>
  <si>
    <t>Energy Production*, Environmental Services (B2B), Other Utilities</t>
  </si>
  <si>
    <t>Producer of wood energy from the environment sectors, forest and recycling of waste. The company engages in production and distribution of bio-fuels and bio-mass energy for industrial companies, local authorities and energy companies operators.</t>
  </si>
  <si>
    <t>biomass energy, waste recovery, wood energy, wood fuel</t>
  </si>
  <si>
    <t>35336-26T</t>
  </si>
  <si>
    <t>My Dress Code</t>
  </si>
  <si>
    <t>Accessories*, Clothing, Specialty Retail</t>
  </si>
  <si>
    <t>Operator of an online retail platform intended to offer women's ready-to-wear apparel and other accessories. The company's platform specializes in showing a video presentation of its products worn and showcased by its own models and provides a variety of clothes that include shirts, coats, dresses, sweaters, jackets, lingerie and jewelry, enabling consumers to buy desired products online at a reasonable rate.</t>
  </si>
  <si>
    <t>fashion house, online clothes, online shopping, retail items, shopping platform, womens clothes</t>
  </si>
  <si>
    <t>Beaujeu, France</t>
  </si>
  <si>
    <t>62396-56T</t>
  </si>
  <si>
    <t>Howtank</t>
  </si>
  <si>
    <t>Developer of a social networking platform designed to bring brands and their users around common interests with a view of sharing and mutual aid. The company's platform can be accessed through both mobile applications as well as web-based browsers for interacting with other members, enabling individuals to share thoughts, ideas and feelings online with like-minded people.</t>
  </si>
  <si>
    <t>community platform, discussion platform, interactive chat room, social interaction, social media application, social media site, social networking forum</t>
  </si>
  <si>
    <t>136341-73T</t>
  </si>
  <si>
    <t>Crédit Mutuel Innovation, Karista (Paris), Omnes Capital</t>
  </si>
  <si>
    <t>46917-55T</t>
  </si>
  <si>
    <t>Web Geo Services</t>
  </si>
  <si>
    <t>Developer of a cloud-based geolocation platform intended to assist e-commerce, retail, finance, smart mobility, travel and hospitality businesses. The company's platform develops geographic collaborative portals for communities and businesses to create their own community to communicate, automatically recommend the relevant collection point for their customers, as well as share documents within and outside their organization, enabling clients to get a tool to engage with their customers and drive conversion thereby increasing their revenue.</t>
  </si>
  <si>
    <t>Ludovic Denis(Ludovic Denis), Paris Region Venture Fund, Seventure Partners(David Manjarres), Soridec</t>
  </si>
  <si>
    <t>api tool, cloud-based solutions, geo mapping services, geofencing services, geolocation services, geomarketing service, location-based services, mapping application, store locator software</t>
  </si>
  <si>
    <t>187886-26T</t>
  </si>
  <si>
    <t>Medgicnet</t>
  </si>
  <si>
    <t>Operator of an online medical information and data management platform intended to manage online data. The company's platform helps to manage medical records, communicate with each other, and learn about a file, enabling nursing homes to securely manage the admission, medical and billing procedures and access information on their computer.</t>
  </si>
  <si>
    <t>Nestadio Capital, Pleiade Venture</t>
  </si>
  <si>
    <t>hospital information software, medical information portal, medical information record, medical information systems, nursing home software, online medical information</t>
  </si>
  <si>
    <t>71297-29T</t>
  </si>
  <si>
    <t>Open Ocean</t>
  </si>
  <si>
    <t>Developer of a decision making oceanography software designed for industrial marine activities. The company's software analyzes metocean data and provides display tools for installations and maintenance of offshore projects, enabling businesses to get online decision-making tool for industrial marine activities.</t>
  </si>
  <si>
    <t>Bpifrance, Crédit Agricole Finistère, EIT Climate-KIC, Karista (Paris), Seventure Partners</t>
  </si>
  <si>
    <t>decision making service, decision making software, marine data, oceanographic data, offshore development, statistical analysis</t>
  </si>
  <si>
    <t>Big Data, CleanTech, SaaS</t>
  </si>
  <si>
    <t>82817-74T</t>
  </si>
  <si>
    <t>Ride O' Meter</t>
  </si>
  <si>
    <t>Provider of innovative media monitoring services designed to offer clients with analytic reports. The company's services offer analytic reports on the media exposure through brand, riders, products and events, enabling businesses to track, value and analyze media content from international print magazines, websites, video platforms and social networks.</t>
  </si>
  <si>
    <t>Bpifrance, Herrikoa, Omnes Capital</t>
  </si>
  <si>
    <t>boardsports exposure analysis, marketing consultancy, media and marketing, media consultancy, media exposure, media exposure analysis, media monitoring</t>
  </si>
  <si>
    <t>51492-79T</t>
  </si>
  <si>
    <t>CapHorn Invest(Guillaume Dupont), Naxicap Partners(Antoine Le Masson), Omnes Capital(Michel de Lempdes)</t>
  </si>
  <si>
    <t>89700-85T</t>
  </si>
  <si>
    <t>Infinite Vision Optics</t>
  </si>
  <si>
    <t>Developer of adjustable intraocular lenses designed to replace the eye's natural lens for cataract patients. The company's adjustable intraocular lenses technology is customizable for each individual patient throughout his or her life, enabling cataract patients to have lens presbyopic and astigmatic corrections negating the need for total lens explanation.</t>
  </si>
  <si>
    <t>Capital Grand Est(Jean-François Rax), Invest PME, Remora Biotech(Jean-Marc Le Doussal)</t>
  </si>
  <si>
    <t>cataract care, cataract lenses, cataract surgery, cataract treatment, intraocular lense</t>
  </si>
  <si>
    <t>101715-76T</t>
  </si>
  <si>
    <t>Finadvance, Région Sud Investissement, Societe en Capital Risque Provençale et Corse, Turenne Groupe</t>
  </si>
  <si>
    <t>52415-02T</t>
  </si>
  <si>
    <t>TextMaster</t>
  </si>
  <si>
    <t>Provider of translation services based in Paris, France. The company operates software and offers online, marketing, video and technical translation, content writing services like branding, SEO, web, e-commerce and fashion content and professional proofreading services, thereby ensuring the highest quality and optimal turnaround times.</t>
  </si>
  <si>
    <t>Alven Capital Partners(Rodolphe Menegaux), Cédric Siré, Fabrice Grinda(Fabrice Grinda), Serena (Paris)(Jean-Baptiste Dumont)</t>
  </si>
  <si>
    <t>content editing, content editing application, content editing software, content translation, content translation platform, copywriting, editing content, professional translation agency, proofreading</t>
  </si>
  <si>
    <t>115810-93T</t>
  </si>
  <si>
    <t>Inserm Transfert</t>
  </si>
  <si>
    <t>52306-93T</t>
  </si>
  <si>
    <t>138862-18T</t>
  </si>
  <si>
    <t>Jussieu Secours</t>
  </si>
  <si>
    <t>Automotive*, Other Healthcare Services</t>
  </si>
  <si>
    <t>Provider of a paramedical ambulance and private taxi services intended to offer transport and patient mobility. The company's vehicles are specially adapted and equipped to allow the transport of sick, injured or parturient to a hospital, a clinic or simply to a unit of specialized care and their taxis are used for transport of passengers and their luggage for business trips, personal and private travel and professional seated transport, enabling users to get all types of transport locally.</t>
  </si>
  <si>
    <t>ambulance fleet, ambulance fleet operator, ambulance service, medical transport, paramedical care, passenger transportation</t>
  </si>
  <si>
    <t>Saint-Michel-en-l'Herm, France</t>
  </si>
  <si>
    <t>52315-03T</t>
  </si>
  <si>
    <t>44211-07T</t>
  </si>
  <si>
    <t>L.A.C. International, NTT Docomo Ventures, Société de Participation et de Gestion(Denis Pettiaux), Tomcat Capital</t>
  </si>
  <si>
    <t>52326-46T</t>
  </si>
  <si>
    <t>Advanced Accelerator Applications</t>
  </si>
  <si>
    <t>Developer of nuclear medicine focused on delivering targeted radioligand therapies and precision imaging radioligands for oncology. The company's medicine focuses on neuroendocrine and prostate cancer and is engaged in developing and delivering medicines and therapies used in clinical oncology, cardiology, neurology, and infectious or inflammatory diseases.</t>
  </si>
  <si>
    <t>Adage Capital Management, HBM Partners, Rock Springs Capital, T. Rowe Price Group (NAS: TROW)</t>
  </si>
  <si>
    <t>clinical oncology, molecular imaging, neurology, personalized medicine, radio pharmaceutical, therapeutic product</t>
  </si>
  <si>
    <t>54232-03T</t>
  </si>
  <si>
    <t>Exagan</t>
  </si>
  <si>
    <t>Electrical Equipment*, General Purpose Semiconductors</t>
  </si>
  <si>
    <t>Manufacturer of a gallium nitride (GaN) power device intended to accelerate the adoption of power conversion. The company offers GaN-based, fast-switching power devices for the next generation of electrical converters in consumer, smart building, IT electronics markets, industrial and automotive, enabling clients to achieve greater efficiency and reduce costs through power integration.</t>
  </si>
  <si>
    <t>CEA Investissement, Crédit Mutuel Innovation(Stéphane Simoncini), Innovacom (Paris)(Vincent Deltrieu), IRDI Capital Investissement(Jean-Michel Petit), Soitec (PAR: SOI)(Paul Boudre), Supernova Invest</t>
  </si>
  <si>
    <t>control materials technology, conversion system, electrical automotive, electrical converter, gan power chips, manufacturing, transistors, transistors device</t>
  </si>
  <si>
    <t>78803-74T</t>
  </si>
  <si>
    <t>IT Angels, Paris Business Angels, Sofimac Innovation(Jean-Philippe Zoghbi)</t>
  </si>
  <si>
    <t>129576-52T</t>
  </si>
  <si>
    <t>A Plus Finance, Julien Drogo, Nestadio Capital, Starquest Capital, Trail Solutions Patrimoine</t>
  </si>
  <si>
    <t>71924-32T</t>
  </si>
  <si>
    <t>La Maison Champs Élysées</t>
  </si>
  <si>
    <t>Operator of a boutique hotel intended to offer a luxurious stay for guests. The company's The company's hotel comprises of guest rooms and apartment suites along with food and beverage outlets, 24-hour room service, comprehensive room amenities, business facilities, a health center, a swimming pool, banquet and conference facilities, enabling guests to have a comfortable and relaxing stay.</t>
  </si>
  <si>
    <t>5-star hotel, boutique hotel, boutique hotel rooms, club house, hospitality experience, luxury hotel</t>
  </si>
  <si>
    <t>87905-62T</t>
  </si>
  <si>
    <t>Mobile Angelo</t>
  </si>
  <si>
    <t>Provider of on-demand mobile phone repair services intended to offer infrastructure for the proximity repair of mobiles and tablets. The company's services assist users to order repairs to smartphones and tablets and have a technician visit them to repair devices at the place, enabling users to get devices repaired immediately anytime and from anywhere.</t>
  </si>
  <si>
    <t>Bpifrance, Groupe IRD, Hodéfi, IRIS Informatique, Réseau Entreprendre Nord</t>
  </si>
  <si>
    <t>mobile servicing, phone repair, repair service, smartphone repair, smartphone servicing, tablets repair</t>
  </si>
  <si>
    <t>104955-22T</t>
  </si>
  <si>
    <t>52116-49T</t>
  </si>
  <si>
    <t>Cheerz</t>
  </si>
  <si>
    <t>Provider of photo printing application designed for live photo printing via connected terminals. The company's printing application helps to print photos from Facebook, Instagram or phone and choose styles like classic, square or retro print for printing and provides other decorations that have a design, quality and simplicity, enabling users to make printing efficient and simple as possible.</t>
  </si>
  <si>
    <t>A Plus Finance(Tuan Tran), Amco Investments, Iron Capital., Julien Codorniou(Julien Codorniou), Kima Ventures, Serena (Paris), Xavier Niel(Xavier Niel)</t>
  </si>
  <si>
    <t>digital photography, fridge magnets, photo calendar, photo printing, printing application, video cards</t>
  </si>
  <si>
    <t>52024-78T</t>
  </si>
  <si>
    <t>Jacques-Antoine Granjon(Jacques-Antoine Granjon), Marc Simoncini(Marc Simoncini), Xavier Niel(Xavier Niel)</t>
  </si>
  <si>
    <t>60446-80T</t>
  </si>
  <si>
    <t>GoCreditPro</t>
  </si>
  <si>
    <t>Operator of a financial aid platform intended to find suitable financing options for businesses. The company's platform offers professional credit, aids and grants, fundraising and taxation, enabling small and medium-sized businesses to be connected with a network of lenders to find the financing they need.</t>
  </si>
  <si>
    <t>AngelSquare, Aviva (Multi-line Insurance) (LON: AV.), Damien Guermonprez, Edenred Capital Partners(Norbert Furnion), H2O Participations(Jean-Baptiste Lacoste), Virtual Network</t>
  </si>
  <si>
    <t>business financing platform, business loans, business loans marketplace, crowdlending platform, financial transaction, loans lending platform</t>
  </si>
  <si>
    <t>Feytiat, France</t>
  </si>
  <si>
    <t>52002-01T</t>
  </si>
  <si>
    <t>5M Ventures, Rhône-Alpes Création</t>
  </si>
  <si>
    <t>71022-88T</t>
  </si>
  <si>
    <t>Adour Business Angels, AQUITI Gestion, Damien Grulier(Damien Grulier), Francis Nappez(Francis Nappez), Frédéric Mazzella(Frédéric Mazzella), Herrikoa, Kernel Investissements</t>
  </si>
  <si>
    <t>51861-16T</t>
  </si>
  <si>
    <t>Bpifrance(Anne-Sophie Carrese), Eurazeo (PAR: RF), Ginko Ventures(Dominique Pitteloud), Hon Hai Precision (TAI: 2317)(Fang-Ming Lu), KPN Ventures(Herman Kienhuis), Orange Ventures(Etienne Moreau), Swisscom (SWX: SCMN)(Jean-Paul de Weck), Truffle Capital(Jean Francois Fourt)</t>
  </si>
  <si>
    <t>56495-53T</t>
  </si>
  <si>
    <t>Jean Roquette, Letartre Bertrand, Lucien Lesaffre, Nord France Amorçage, Siparex Group</t>
  </si>
  <si>
    <t>51868-90T</t>
  </si>
  <si>
    <t>Felix Capital(Frederic Court), Lisa Gansky(Lisa Gansky), Martin Mignot(Martin Mignot), Quadia, Union Square Ventures(Frederick Wilson)</t>
  </si>
  <si>
    <t>51279-40T</t>
  </si>
  <si>
    <t>72030-34T</t>
  </si>
  <si>
    <t>Plug and Play Tech Center, Starquest Capital</t>
  </si>
  <si>
    <t>188074-36T</t>
  </si>
  <si>
    <t>Bio Jag</t>
  </si>
  <si>
    <t>Operator of a healthcare company intended to provide medical services. The company is currently operating under stealth mode.</t>
  </si>
  <si>
    <t>Sofimac Investment Managers, Trianon Corporate Finance</t>
  </si>
  <si>
    <t>health care tech, health facility, health process, health services, healthcare sector, medical services, medical solutions</t>
  </si>
  <si>
    <t>105069-88T</t>
  </si>
  <si>
    <t>EOS Innovation</t>
  </si>
  <si>
    <t>Electronic Equipment and Instruments*, Industrial Supplies and Parts</t>
  </si>
  <si>
    <t>Provider of robotic equipment designed to offer mobile surveillance services. The company's equipment offers security robots that provide surveillance services, enabling industrial sites, logistics platforms and warehouses to ensure safety and security.</t>
  </si>
  <si>
    <t>Parrot Drones (PAR: PARRO)(Henri Seydoux)</t>
  </si>
  <si>
    <t>mobile surveillance robots, mobile surveillance services, supply chain tech, surveillance device, surveillance platform, surveillance tools, warehouse automation, warehousing technology</t>
  </si>
  <si>
    <t>Robotics and Drones, Supply Chain Tech, TMT</t>
  </si>
  <si>
    <t>76753-99T</t>
  </si>
  <si>
    <t>Helioclim</t>
  </si>
  <si>
    <t>Developer of a solar power plant system designed to provide environmentally friendly solutions to fulfill the needs in hot and cold temperatures. The company's plant offers innovative solar concentrators that provide renewable energy-based solar-powered air-conditioning services and provide heat to small isolated industrial sites, enabling users to fulfill the air conditioning and heating functions of their commercial and residential buildings.</t>
  </si>
  <si>
    <t>2C Invest, Arts and Crafts Business Angels, Kreaxi, R2V funds Créazur, Rhône-Alpes Création, Région Sud Investissement, Sofipaca Capital Investissement</t>
  </si>
  <si>
    <t>air conditioning service, climate tech company, solar air conditioning, solar concentrator, thermal panels, water heating</t>
  </si>
  <si>
    <t>CleanTech, Climate Tech, Infrastructure, Manufacturing, TMT</t>
  </si>
  <si>
    <t>Mandelieu la Napoule, France</t>
  </si>
  <si>
    <t>102548-35T</t>
  </si>
  <si>
    <t>Moulins Waast</t>
  </si>
  <si>
    <t>Operator of a grain mill intended to produce food products from uncommon grains and cereals. The company offers sustainable and locally sourced products including flours, cereals, and grain mixes, enabling food processors and retailers to purchase a wide variety of exotic grains from local sources.</t>
  </si>
  <si>
    <t>flour mill, flour mixing, grain mill, grain milling, grain mixing, mill operator, organic flour, wheat flour</t>
  </si>
  <si>
    <t>Mons En Pevele, France</t>
  </si>
  <si>
    <t>194012-38T</t>
  </si>
  <si>
    <t>Caisse D'Epargne Alsace Capital Développement, Innovation Capital (Paris)</t>
  </si>
  <si>
    <t>44360-83T</t>
  </si>
  <si>
    <t>Apicap, Mobile First Alliance</t>
  </si>
  <si>
    <t>59162-05T</t>
  </si>
  <si>
    <t>International Technology Solutions(Adrian Diaconu)</t>
  </si>
  <si>
    <t>51641-83T</t>
  </si>
  <si>
    <t>Smallable</t>
  </si>
  <si>
    <t>Operator of an e-commerce platform intended to offer designer clothes for kids and other fashion accessories and products. The company's platform sells cosmetics, clothes, shoes, fashion accessories, toys, books, baby products, and other accessories, enabling customers to discover a range of cosmetics and beauty products for the whole family.</t>
  </si>
  <si>
    <t>Alven Capital Partners(Rodolphe Menegaux), Aurinvest, Trail Solutions Patrimoine(Guillaume Hemmerle)</t>
  </si>
  <si>
    <t>baby product, designer clothes, ecommerce platform, fashion accessories, kidswear retail, wall decoration</t>
  </si>
  <si>
    <t>64922-50T</t>
  </si>
  <si>
    <t>CapHorn Invest(Romain Vidal), Pleiade Venture(Laurent Vernier)</t>
  </si>
  <si>
    <t>85099-06T</t>
  </si>
  <si>
    <t>Weather Measures</t>
  </si>
  <si>
    <t>Environmental Services (B2B)*, Media and Information Services (B2B)</t>
  </si>
  <si>
    <t>Provider of precision meteorology services intended to provide observations per kilometer and forecasts on all meteorological parameters. The company offers spatialized weather forecasts by integrating and enhancing multi-source meteorological data, thereby providing clients with alerts and data particularly affected by weather risks, flood zones and dry areas.</t>
  </si>
  <si>
    <t>agribusiness marketplace, agrifinance &amp; ecommerce, agrifinance and ecommerce, agrometeorology, data forecast, environmental service, meteorological data analysis, meteorological data processing, precision weather service</t>
  </si>
  <si>
    <t>190636-75T</t>
  </si>
  <si>
    <t>ACG Group, Arcole (Other Commercial Services), GLOME Holdings (TKS: 8938)</t>
  </si>
  <si>
    <t>112040-65T</t>
  </si>
  <si>
    <t>Oledcomm</t>
  </si>
  <si>
    <t>Connectivity Products*, IT Consulting and Outsourcing, Wireless Communications Equipment</t>
  </si>
  <si>
    <t>Developer of light fidelity (LiFi) network interface devices designed to offer green wireless communication. The company's optical networking product offers high-speed wireless data communication in the telecom, datacom, personal electronics, and industrial markets and conversion of information into binary data, just like an optical Morse code, enabling businesses to transmit and receive information at greater speed, greater security, and mobility wherever radio waves are not desired.</t>
  </si>
  <si>
    <t>Bee Family Office(Philippe Bresson)</t>
  </si>
  <si>
    <t>high speed internet, lifi network, lifi technology, light fidelity, optical communication, wireless communication, wireless communication technology</t>
  </si>
  <si>
    <t>CleanTech, Internet of Things, TMT</t>
  </si>
  <si>
    <t>53028-19T</t>
  </si>
  <si>
    <t>FaDiese, Karista (Paris)(Yvan-Michel Ehkirch), Paris Region Venture Fund, Paris&amp;Co Incubateurs</t>
  </si>
  <si>
    <t>52542-73T</t>
  </si>
  <si>
    <t>Finorpa, Groupe IRD</t>
  </si>
  <si>
    <t>103191-94T</t>
  </si>
  <si>
    <t>192271-51T</t>
  </si>
  <si>
    <t>NaturalPad</t>
  </si>
  <si>
    <t>Developer of a wellness platform intended for telemedicine and movement-based games for physical activity adapted for rehabilitation and prevention. The company's platform improves therapeutic compliance through video games by using motivational mechanics to engage in a better lifestyle and transmit key messages of prevention, enabling patients to improve their functional autonomy and movement capacities.</t>
  </si>
  <si>
    <t>Easy Invest</t>
  </si>
  <si>
    <t>rehabilitation activities, rehabilitation care, rehabilitation program, telemedicine firm, wellness platform, wellness platform developer</t>
  </si>
  <si>
    <t>Gaming, HealthTech</t>
  </si>
  <si>
    <t>Prades-Le-Lez, France</t>
  </si>
  <si>
    <t>122958-01T</t>
  </si>
  <si>
    <t>La Boîte à Champignons</t>
  </si>
  <si>
    <t>Provider of mushroom farming services intended for cultivating oyster mushrooms. The company's services include designing and developing U Farm, a farming module that transforms used coffee grounds into mushrooms and transforms the coffee grounds, enabling customers to eat fresh and healthy mushrooms.</t>
  </si>
  <si>
    <t>coffee grounds, farming module, mushroom farming, mushrooms farming, mushrooms food, mushrooms growers, oyster mushroom</t>
  </si>
  <si>
    <t>51585-40T</t>
  </si>
  <si>
    <t>Qowisio</t>
  </si>
  <si>
    <t>Developer of a low bandwidth Internet of Things (IoT) system designed to offer enhanced connectivity for wireless devices. The company's systems use low cost and low energy consumption for integrating the object, connectivity and data applications, enabling clients to create new revenue streams and enhance their productivity at a rapid rate.</t>
  </si>
  <si>
    <t>Anjou Amorcage, BNP Paribas Développement, GO Capital (France), Ouest Croissance Gestion, Pays de la Loire Développement, Sodero</t>
  </si>
  <si>
    <t>iot network infrastructure, iot security, low bandwidth, low energy consumption, network security, networking technology, wireless service</t>
  </si>
  <si>
    <t>CleanTech, Cybersecurity, Internet of Things, TMT</t>
  </si>
  <si>
    <t>Verrieres-En-Anjou, France</t>
  </si>
  <si>
    <t>51983-47T</t>
  </si>
  <si>
    <t>Soridec, Venise Invest</t>
  </si>
  <si>
    <t>54156-70T</t>
  </si>
  <si>
    <t>Bpifrance, Femmes Business Angels, Investessor, Karista (Paris)(Yvan-Michel Ehkirch), Paris Business Angels, Paris Region Venture Fund</t>
  </si>
  <si>
    <t>188279-11T</t>
  </si>
  <si>
    <t>90498-70T</t>
  </si>
  <si>
    <t>Olympia Le-Tan</t>
  </si>
  <si>
    <t>Operator of a fashion brand intended to offer artisanal clutches and accessories. The company's brand adapts literary classics, art pieces, film covers, and other cultural pieces into handbags full of wit, enabling customers to own hand-embroidered accessories with French savoir-faire.</t>
  </si>
  <si>
    <t>clutch design, fashion accessories, fashion brand, fashion house, handbags and accessories, ready-to-wear collection, women accessories</t>
  </si>
  <si>
    <t>51278-14T</t>
  </si>
  <si>
    <t>Bpifrance(Nicolas Iordanov), Entrepreneur Invest(Bertrand Folliet)</t>
  </si>
  <si>
    <t>51203-98T</t>
  </si>
  <si>
    <t>GP Bullhound(Per Roman), Siparex Group, TCV(John Rosenberg), Ventech (Paris), XAnge(Rodolphe Menegaux)</t>
  </si>
  <si>
    <t>51427-63T</t>
  </si>
  <si>
    <t>INNOV8 Group</t>
  </si>
  <si>
    <t>Computers, Parts and Peripherals, Distributors/Wholesale*, Electronics (B2C)</t>
  </si>
  <si>
    <t>Provider of distribution services designed to transform the distribution of consumer telecom products. The company offers a large selection of products like smartphones, connected objects, and accessories and also has its own brand that manufactures smartphone accessories that are made of eco-friendly, materials, enabling enterprises to procure a variety of telecom products and accessories and avail distribution services at a reasonable cost.</t>
  </si>
  <si>
    <t>BNP Paribas (PAR: BNP)(Nicolas Destang), BNP Paribas Développement(Willy Bruggeman), Crédit Mutuel Equity(Philippe Pedro)</t>
  </si>
  <si>
    <t>cloud computing, distribution services, distributor firm, online portal, scalable cloud platform, telecom distribution services, telecom product distributor</t>
  </si>
  <si>
    <t>77641-93T</t>
  </si>
  <si>
    <t>Nord France Amorçage, Siparex Group</t>
  </si>
  <si>
    <t>134164-54T</t>
  </si>
  <si>
    <t>Gran Plasa, Novartis Venture Fund(Florent Gros), Truffle Capital(Philippe Pouletty)</t>
  </si>
  <si>
    <t>45031-69T</t>
  </si>
  <si>
    <t>34095-88T</t>
  </si>
  <si>
    <t>à la table de Mathilde</t>
  </si>
  <si>
    <t>Operator of e-commerce site intended to offer gourmet recipes and products. The company's site offer recipes of various delicacies including cocktail aperitifs, meals and desserts and offers products including, oils, sauces, biscuits, vinegar etc., enabling users to get all the necessary ingredients required to prepare various cuisines.</t>
  </si>
  <si>
    <t>Starquest Capital, Trail Solutions Patrimoine(Guillaume Hemmerle)</t>
  </si>
  <si>
    <t>cooking product, ecommerce site, foie gras, gourmet food, gourmet recipes</t>
  </si>
  <si>
    <t>89250-40T</t>
  </si>
  <si>
    <t>Actiforest</t>
  </si>
  <si>
    <t>Forestry Development/Harvesting*, Other Commercial Services, Wood/Hard Products</t>
  </si>
  <si>
    <t>Provider of forest management services intended to offer services specific to agriculture and the management of pastoral farms. The company's services are diversified as well as offer cloud technology with simple, powerful, and affordable tools for environmental and landscape constraints, enabling clients to avail of various products for forestry and agricultural activities and create maps from a browser or a smartphone.</t>
  </si>
  <si>
    <t>forest management application, forest management company, forest management service, forest management tool, forest managing app, forests mapping online, mapping forests online</t>
  </si>
  <si>
    <t>Forestry Development/Harvesting</t>
  </si>
  <si>
    <t>Esperaza, France</t>
  </si>
  <si>
    <t>113097-52T</t>
  </si>
  <si>
    <t>ContentZa</t>
  </si>
  <si>
    <t>Developer of an advertising platform designed to improve the monetization of websites. The company's platform displays content specifically targeted to visitors and offers widgets and access to audiences, enabling publishers and advertisers to maximize revenue.</t>
  </si>
  <si>
    <t>advertising site, content monetization, customer advertising platform, monetization model, publishing platform, targeted advertising</t>
  </si>
  <si>
    <t>71380-72T</t>
  </si>
  <si>
    <t>Defacto Technologies</t>
  </si>
  <si>
    <t>Developer of a chip design software designed to enhance integration, verification, and signoff of intellectual property cores and systems on the chip. The company's software assists industries such as automotive, mobile, virtual reality, artificial intelligence, and other similar industries, enabling clients to require systems on chips with greater functionality, performance, and much lower consumption.</t>
  </si>
  <si>
    <t>Crédit Mutuel Equity, Grenoble INP Invest, Innovacom (Paris)(Jerome LeCoeur)</t>
  </si>
  <si>
    <t>chip design software, chips design software, design verification, design verification technology, design verification testing, ip cores product, ip integration</t>
  </si>
  <si>
    <t>Artificial Intelligence &amp; Machine Learning, Virtual Reality</t>
  </si>
  <si>
    <t>35272-45T</t>
  </si>
  <si>
    <t>Desmarques</t>
  </si>
  <si>
    <t>Operator of a stock management system. The company provides a system which examines the requirement of user for stocking, analyze data of internal sale and store and analyze sale performance.</t>
  </si>
  <si>
    <t>stock management, stores capacity</t>
  </si>
  <si>
    <t>34175-98T</t>
  </si>
  <si>
    <t>Latoxan</t>
  </si>
  <si>
    <t>Developer of venoms and toxins designed to sell to pharmaceutical companies, medical research laboratories and drug discovery units throughout the world. The company's venoms and toxins are produced under controlled conditions from animals, plant compounds and other similar pharmacological tools, enabling clients to develop medicinal products and drugs with natural compounds.</t>
  </si>
  <si>
    <t>IRD Invest, Rhône-Alpes Création</t>
  </si>
  <si>
    <t>animal venoms, medicinal product, pharmaceutical, purified toxins, therapeutic potential peptides, venom production</t>
  </si>
  <si>
    <t>Portes-lès-Valence, France</t>
  </si>
  <si>
    <t>99043-39T</t>
  </si>
  <si>
    <t>Main Forte</t>
  </si>
  <si>
    <t>Logistics*, Road</t>
  </si>
  <si>
    <t>Provider of logistics service intended to serve the transport traders. The company's service offers social reintegration through employment in the regional road transportation sector, enabling job seekers with professional and social difficulties by assisting them to acquire the skills and experience necessary in the transport trades.</t>
  </si>
  <si>
    <t>logistic services, logistics firm, logistics provider, logistics support, logistics transportation, transportation service platform</t>
  </si>
  <si>
    <t>E-Commerce, Industrials, Mobility Tech</t>
  </si>
  <si>
    <t>Harnes, France</t>
  </si>
  <si>
    <t>33391-09T</t>
  </si>
  <si>
    <t>Milestro</t>
  </si>
  <si>
    <t>Operator of a musical equipment operating platform intended to deliver high quality backline and services. The company's platform delivers equipment to local, national and international artists and bands and also offers sought-after products in guitars, basses, keyboards, organs, pianos, drums, percussion and amplification, enabling customers to avail quality instruments at a reasonable price range in France.</t>
  </si>
  <si>
    <t>Battery Ventures, General Catalyst</t>
  </si>
  <si>
    <t>music rental service, musicals equipment provider, musicals equipment rental, rental services, stage equipment</t>
  </si>
  <si>
    <t>Pointe-à-Pitre, France</t>
  </si>
  <si>
    <t>33245-38T</t>
  </si>
  <si>
    <t>Moteur Incentive</t>
  </si>
  <si>
    <t>Automotive, Business/Productivity Software, Media and Information Services (B2B)*, Other Commercial Services</t>
  </si>
  <si>
    <t>Provider of mobile event services intended to offer clients event logistics, technical management, and rental of traveling structures. The company organizes rallies and shows, offers technical management, rental of itinerant structures, vehicle fleet, specialized staffing, and provides complete services of maintenance of the vehicles and provision of experienced drivers, enabling companies and their products to make an impression.</t>
  </si>
  <si>
    <t>Gemmes Venture</t>
  </si>
  <si>
    <t>brand promotion, event marketing, logistical management, motorsport events, show management, space planning, space planning service, street marketing, technical management service</t>
  </si>
  <si>
    <t>Truyes, France</t>
  </si>
  <si>
    <t>85837-78T</t>
  </si>
  <si>
    <t>Habert Dassault Finance, TELEMEDINVEST</t>
  </si>
  <si>
    <t>26318-53T</t>
  </si>
  <si>
    <t>Publishroom Factory</t>
  </si>
  <si>
    <t>Application Software, Media and Information Services (B2B), Publishing*</t>
  </si>
  <si>
    <t>Operator of a digital publishing platform intended to provide publishing and dissemination services. The company's platform helps to create, edit and distribute interactive digital works, guides, brochures and also transforms printed content into embedded digital content, enabling authors to self-publish their work in various suitable formats.</t>
  </si>
  <si>
    <t>AQUITI Gestion, Grand Sud Ouest Capital, iXO Private Equity, Seed Capital Bizkaia</t>
  </si>
  <si>
    <t>blog writing, creative writing, digital book publisher, digital publishing, digital publishing service, digital works</t>
  </si>
  <si>
    <t>Orthez, France</t>
  </si>
  <si>
    <t>33246-01T</t>
  </si>
  <si>
    <t>SADIR Assistance</t>
  </si>
  <si>
    <t>Enterprise Systems (Healthcare)*, Other Healthcare Services</t>
  </si>
  <si>
    <t>Developer of a healthcare platform designed to provide medical and technical care of the patient at home. The company's platform specializes in home respiratory therapies including oxygen, ventilation, aerosol and airway pressure, treatment of sleep apnea syndrome, perfusion, nutrition, insulin, accompanying return and home maintenance, enabling patients to get treatment from their homes.</t>
  </si>
  <si>
    <t>home healthcare, home healthcare assistant, home healthcare system, medical care, medical service, respiratory therapy, sleep apnea, ventilation</t>
  </si>
  <si>
    <t>69512-41T</t>
  </si>
  <si>
    <t>Vocalyx</t>
  </si>
  <si>
    <t>Developer of a communication platform intended to overcome speech-language disorder. The company's platform utilizes images, text, and voice synthesis to provide a means to communicate with people who have aphasia, alzheimer's, autism, intellectual and related disabilities, enabling individuals with speech and communication disabilities to communicate with their peers frequently, convey their feeling and have effective communication.</t>
  </si>
  <si>
    <t>Bpifrance, European Regional Development Fund (Brandenburg)</t>
  </si>
  <si>
    <t>communication application, communication service, disability service, interaction platform, interaction services, speech language therapy</t>
  </si>
  <si>
    <t>Evreux, France</t>
  </si>
  <si>
    <t>81474-04T</t>
  </si>
  <si>
    <t>Finovam Gestion, Nord France Amorçage, Paris Business Angels</t>
  </si>
  <si>
    <t>51225-49T</t>
  </si>
  <si>
    <t>Picardie Investissement(Patrick Colin)</t>
  </si>
  <si>
    <t>38130-67T</t>
  </si>
  <si>
    <t>VitamFero</t>
  </si>
  <si>
    <t>Developer of anti-infective vaccines intended to offer treatment to the people in France. The company's vaccines are based on a patented technology that designs, develops, registers and commercializes it, enabling physicians to offer remedy against pests of the family Apicomplexa.</t>
  </si>
  <si>
    <t>ACI Industrie, Anjou Amorcage(Jean-Guy Sarrazin), Capagro(Jean-Baptiste Cuisinier), G1J Ile-de-France, GO Capital (France)(Leila Nicolas), Karista (Paris)(Catherine Boule), Pradeyrol Developpement(Alexandre Le Vert), Val de France Angels</t>
  </si>
  <si>
    <t>anti-infectious vaccines, anti-parasitic vaccines, infection care, vaccination</t>
  </si>
  <si>
    <t>53216-11T</t>
  </si>
  <si>
    <t>2C Invest, Smalt Capital</t>
  </si>
  <si>
    <t>50858-74T</t>
  </si>
  <si>
    <t>Sublime (Media and Information Services)</t>
  </si>
  <si>
    <t>Operator of an advertising agency intended to offer skin-based advertising services to clients. The company's services offer programmatic advertising and branding for advertisers and publishers while offering actionable statistics and transparent insights in real time, enabling clients to easily host efficient advertisement campaigns for their various products in the market.</t>
  </si>
  <si>
    <t>Frédéric Montagnon(Frédéric Montagnon), ISAI(Pierre Martini)</t>
  </si>
  <si>
    <t>advertising agency, advertising agency operator, advertising agency service, advertising campaigning, advertising firm, skin advertising</t>
  </si>
  <si>
    <t>70559-02T</t>
  </si>
  <si>
    <t>Freeness</t>
  </si>
  <si>
    <t>Leisure Facilities*, Other Healthcare Services</t>
  </si>
  <si>
    <t>Operator of fitness centers intended to offer gym facilities around the clock. The company's fitness centers include a chain of fitness and sports facilities that offers exercise equipment and various workout options for the purpose of physical exercise, enabling users to get personalized coaching services in order to stay fit and healthy.</t>
  </si>
  <si>
    <t>Bpifrance(Alexis Mahieu), Soridec(Christophe Camilleri)</t>
  </si>
  <si>
    <t>cardio training, exercise tips, fitness and wellbeing, fitness center, fitness facility, gym, gym training, health and wellness, monitoring and assessment, physical fitness</t>
  </si>
  <si>
    <t>89191-54T</t>
  </si>
  <si>
    <t>Pydio</t>
  </si>
  <si>
    <t>Developer of an open-source file-sharing platform designed to share and collaborate documents and data. The company's platform provides secured access to vital company files on a premise server or private cloud, enabling enterprises to have control over their files and decide how they want to roll out their files.</t>
  </si>
  <si>
    <t>Fabien Potencier(Fabien Potencier), Philippe Bourcier(Philippe Bourcier), XLR Capital</t>
  </si>
  <si>
    <t>cloud workplace, files management, files sharing, files sharing platform, files sharing services, open source sharing, open source technology</t>
  </si>
  <si>
    <t>65161-45T</t>
  </si>
  <si>
    <t>GO Capital (France)(Bruno Guicheux), Scientific Analysis Instruments</t>
  </si>
  <si>
    <t>50645-98T</t>
  </si>
  <si>
    <t>81422-83T</t>
  </si>
  <si>
    <t>Fides+Ratio</t>
  </si>
  <si>
    <t>218392-03T</t>
  </si>
  <si>
    <t>Music Story</t>
  </si>
  <si>
    <t>Provider of international music data provider intended to offer high-value B2B services based on strong digital music expertise. The company provides a connection to reliable music data and increases audience engagement, it offers value-added B2B services based on solid expertise in digital music, combining high technical skills with in-depth knowledge of music, enabling customers with metadata enrichment, digital curation, and editorial prioritization of data.</t>
  </si>
  <si>
    <t>audience engagement, data processing, digital music service, international music, music data, music metadata, royalty collection</t>
  </si>
  <si>
    <t>54645-31T</t>
  </si>
  <si>
    <t>SITES</t>
  </si>
  <si>
    <t>Provider of engineering and preventive surveillance services to nuclear, transport infrastructure, energy, defense, and research center, and building and living environment sectors. The company specializes in the performance and optimization of the lifespan of infrastructures and other exceptional structural assets and offers engineering and sustainability studies, monitoring and instrumentation, visits and inspections of structures, tests, checks, readings, and measurement services, enabling clients to effective, reliable interventions and independent results.</t>
  </si>
  <si>
    <t>civil engineering, engineering service, engineering services, preventive surveillance, surveillance service provider, surveillance services, transport infrastructure</t>
  </si>
  <si>
    <t>50523-22T</t>
  </si>
  <si>
    <t>ISAI(Jean-David Chamboredon), Jérôme Caille(Jérôme Caille)</t>
  </si>
  <si>
    <t>52975-99T</t>
  </si>
  <si>
    <t>Minka Therapeutics</t>
  </si>
  <si>
    <t>Developer of immune-based drugs designed to treat infectious chronic diseases. The company's drugs are based on a peptide-based therapy that specializes in the research and development of a vaccine that can generate high levels of human polyclonal antibodies against the selected peptide antigen, enabling physicians to treat HIV and suggesting numerous antigens according to different disease settings.</t>
  </si>
  <si>
    <t>FaDiese, G1J Ile-de-France, Paris Region Venture Fund, Pradeyrol Developpement(Alexandre Le Vert)</t>
  </si>
  <si>
    <t>diagnostic service, drug developer company, hiv cure, hiv preventive medication, hiv therapies developer, hiv/aids cure technology, infectious disease treatment, oncology treatment</t>
  </si>
  <si>
    <t>116520-85T</t>
  </si>
  <si>
    <t>Partner Talent</t>
  </si>
  <si>
    <t>Developer of a ticketing and access control software intended to streamline event management. The company offers a fully web-based platform that includes features such as customizable ticketing, online sales, real-time reporting, and integration with accounting systems, enabling event organizers to efficiently manage their operations, enhance customer experience, and optimize revenue generation.</t>
  </si>
  <si>
    <t>Alliansys, Autonomie &amp; Solidarité</t>
  </si>
  <si>
    <t>accounting system, commercial management software, planning software, sales management software, sports club management, tourism platform</t>
  </si>
  <si>
    <t>117756-55T</t>
  </si>
  <si>
    <t>Bpifrance, GO Capital (France)(Bruno Guicheux)</t>
  </si>
  <si>
    <t>71184-88T</t>
  </si>
  <si>
    <t>GoFitness</t>
  </si>
  <si>
    <t>Operator of a health and fitness club intended to meet the fitness demands of athletes. The company offers bodybuilding, fitness training, cardio activities, cross-training, and related services, enabling athletes to receive fitness services from professional coaches at a cost-effective rate.</t>
  </si>
  <si>
    <t>cardio center, fitness center chain, fitness club, fitness service provider, fitness training, gym operator, gymnasium facility</t>
  </si>
  <si>
    <t>Puiseux-Pontoise, France</t>
  </si>
  <si>
    <t>50571-10T</t>
  </si>
  <si>
    <t>Kobojo</t>
  </si>
  <si>
    <t>Developer of online games and applications designed to engage mid-core players. The company's games are multi-platform games for mid-core players that utilize hand-drawn two-dimensional (2D) graphics, enabling players to get artistic flair experiences.</t>
  </si>
  <si>
    <t>BluePrint Partners (Belgium), Endeavour Vision(Dominique Pitteloud), Guillaume Lautour(Guillaume Lautour), Oxford Capital Partners(Martyn Holman), Scottish Enterprise(Kerry Sharp)</t>
  </si>
  <si>
    <t>game studio, game studio operator, game studio platform, gaming and app, gaming content, gaming developer, gaming publisher, gaming studio, multiplatform games, online games, social gaming experience</t>
  </si>
  <si>
    <t>53868-34T</t>
  </si>
  <si>
    <t>Adipsys</t>
  </si>
  <si>
    <t>Business/Productivity Software*, Internet Service Providers, Systems and Information Management</t>
  </si>
  <si>
    <t>Developer of a secured Wi-Fi hotspot technology designed to monetize business-to-consumer internet access. The company's technology provides features such as radius requests, captive portals, authentication modes, and functions all stored in the cloud through technical performance and service monetization, providing commercial internet providers and companies with public-facing hotspots to control and optimize web access.</t>
  </si>
  <si>
    <t>FaDiese, Nestadio Capital, Région Sud Investissement</t>
  </si>
  <si>
    <t>cloud solutions, hotspot management, hotspot network, networking technology, wifi deployment, wifi technology, wireless network management</t>
  </si>
  <si>
    <t>86282-83T</t>
  </si>
  <si>
    <t>Femmes Business Angels, Phitrust Partenaires</t>
  </si>
  <si>
    <t>75323-35T</t>
  </si>
  <si>
    <t>Bpifrance(Chahra Louafi), iBionext(Christophe Bancel), InnoBiologics(Chahra Louafi), Turenne Groupe</t>
  </si>
  <si>
    <t>101902-51T</t>
  </si>
  <si>
    <t>Bpifrance, Demeter Partners</t>
  </si>
  <si>
    <t>122999-50T</t>
  </si>
  <si>
    <t>Antropia, Investir &amp;+</t>
  </si>
  <si>
    <t>51699-07T</t>
  </si>
  <si>
    <t>Femmes Business Angels, Investessor, Paris Region Venture Fund</t>
  </si>
  <si>
    <t>50868-46T</t>
  </si>
  <si>
    <t>Twenga</t>
  </si>
  <si>
    <t>Developer of an online shopping search platform designed to offer international and local products at a reasonable price. The company's platform offers to find various products, compare prices, and search for products in various categories such as fashion, houseware products, games, sports, home improvement, and gardening, enabling clients to get advanced audience acquisition on the top online advertising marketplaces.</t>
  </si>
  <si>
    <t>international shopping, online advertising technology, online shopping app, product search engine, reasonable prices, shopping search</t>
  </si>
  <si>
    <t>52562-62T</t>
  </si>
  <si>
    <t>Gamping</t>
  </si>
  <si>
    <t>Application Software*, Other Restaurants, Hotels and Leisure</t>
  </si>
  <si>
    <t>Developer of a social platform intended to offer booking services for camping spaces. The company's platform offers an online social hub where individuals can search and book their desired location for camping and outdoor exploration, enabling people to easily rent land on someone's private property anywhere in the world and earn money.</t>
  </si>
  <si>
    <t>101Projets</t>
  </si>
  <si>
    <t>booking app, budget books, camping info, camping space, camping space-booking, camping spaces, social platform</t>
  </si>
  <si>
    <t>198688-78T</t>
  </si>
  <si>
    <t>35033-68T</t>
  </si>
  <si>
    <t>AMGC (Commercial Services)</t>
  </si>
  <si>
    <t>Marine, Other Commercial Products, Other Commercial Services*</t>
  </si>
  <si>
    <t>Manufacturer of machine parts and mechanical welded structures designed to offer shipping equipment and gear bridges. The company's structures are developed using electrical hydraulic components and in-built corrosion protections, enabling users to access minimum maintenance equipment.</t>
  </si>
  <si>
    <t>mechanical weld, mechanical weld structure, mechanical welding, shipping equipment, shipping gear</t>
  </si>
  <si>
    <t>132696-28T</t>
  </si>
  <si>
    <t>Edouard Nattée(Edouard Nattée), Kima Ventures</t>
  </si>
  <si>
    <t>116214-40T</t>
  </si>
  <si>
    <t>70885-09T</t>
  </si>
  <si>
    <t>Dartagnan</t>
  </si>
  <si>
    <t>Developer of a content development e-platform intended to offer digital marketing services. The company's platform develops a cross-channel and cross-platform digital strategy which includes designing and developing websites and email campaigns using web programming technologies, enabling businesses to avail cross-channel experiences tailored to meet the needs and requirements of the customers.</t>
  </si>
  <si>
    <t>Finorpa, Nord France Amorçage, Siparex Group</t>
  </si>
  <si>
    <t>content design platform, content development platform, digital marketing service, digital marketing strategist, mobile marketing platform, web programming</t>
  </si>
  <si>
    <t>61125-13T</t>
  </si>
  <si>
    <t>Defacto (Multimedia and Design Software)</t>
  </si>
  <si>
    <t>Developer of a three-dimensional software platform designed for aircraft cabin customization. The company's platform offers its integrated software called Factory 3D, consisting of a suite and a digital warehouse that improves all the operations of integration and management of repetitive three-dimensional jobs, enabling clients to experience drastically reduced costs during the development process and deal with the setting up of new standards of digital integration in aeronautics.</t>
  </si>
  <si>
    <t>3d prototyping, 3d software, aerospace modeling, aircraft cabin, digital asset, software platform</t>
  </si>
  <si>
    <t>76274-92T</t>
  </si>
  <si>
    <t>33349-51T</t>
  </si>
  <si>
    <t>Klege</t>
  </si>
  <si>
    <t>Automotive*, Other Commercial Products</t>
  </si>
  <si>
    <t>Manufacturer of refrigeration units designed to transport goods under controlled temperatures. The company's units have protected bodywork with isothermal metals for light commercial vehicles and trucks, enabling clients to transfer their goods at a desired temperature.</t>
  </si>
  <si>
    <t>refrigerated vehicles bodies, refrigeration, refrigeration devices, refrigeration product, refrigeration unit</t>
  </si>
  <si>
    <t>Bapaume, France</t>
  </si>
  <si>
    <t>64759-78T</t>
  </si>
  <si>
    <t>Resolution Spectra Systems</t>
  </si>
  <si>
    <t>Developer of electronic technology designed to offer smart optical sensing. The company's technology offers deployed Process Analytics Technology (PAT) that are used in the bio-production of vaccines and biomedicines, enabling doctors to transform spectrometer for laser characterization through data processing algorithms.</t>
  </si>
  <si>
    <t>Banexi Ventures Partners(Philippe Mere), Kreaxi</t>
  </si>
  <si>
    <t>data processing, electronic technology, medical technology, optical sensing, precision agriculture, process analytics technology</t>
  </si>
  <si>
    <t>218412-64T</t>
  </si>
  <si>
    <t>68176-63T</t>
  </si>
  <si>
    <t>Bpifrance, GO Capital (France)(Bruno Guicheux), NCI Gestion(Stéphane Becker)</t>
  </si>
  <si>
    <t>54522-28T</t>
  </si>
  <si>
    <t>204431-05T</t>
  </si>
  <si>
    <t>Bonnin</t>
  </si>
  <si>
    <t>Manufacturer of metal bars intended for customer areas such as automobiles, household appliances and electric equipment. The company provides machining in large series, which consists of automatic machines from steel, stainless steel or brass bars, and mechanical sub-assemblies, enabling clients to turn bars with a high-technology choice of robotics to ensure precision.</t>
  </si>
  <si>
    <t>automatic machine, bar turning, camera vision, machining work, mechanical subassemblies, robotics precision</t>
  </si>
  <si>
    <t>Saint-Maixent, France</t>
  </si>
  <si>
    <t>77178-43T</t>
  </si>
  <si>
    <t>Amundi Private Equity Funds, Capagro(Jean-Baptiste Cuisinier), GoGreen Capital(Timothy Vander Elst)</t>
  </si>
  <si>
    <t>39458-53T</t>
  </si>
  <si>
    <t>82998-46T</t>
  </si>
  <si>
    <t>Bpifrance, Reseau Entreprendre Bruxelles, Région Nouvelle-Aquitaine</t>
  </si>
  <si>
    <t>71159-14T</t>
  </si>
  <si>
    <t>Centre National d'Etudes Spatiales, European Space Agency, M Capital Partners, Telespace Participation</t>
  </si>
  <si>
    <t>125625-16T</t>
  </si>
  <si>
    <t>117811-90T</t>
  </si>
  <si>
    <t>Pierre Fabre</t>
  </si>
  <si>
    <t>49159-09T</t>
  </si>
  <si>
    <t>GO Capital (France), ISAI(Pierre Martini)</t>
  </si>
  <si>
    <t>89695-72T</t>
  </si>
  <si>
    <t>70868-71T</t>
  </si>
  <si>
    <t>Sponsorise.me</t>
  </si>
  <si>
    <t>Financial Software*, Social/Platform Software</t>
  </si>
  <si>
    <t>Provider of an online crowdfunding platform intended to offer sport projects. The company's platform offers sports project funding, enabling athletes, clubs and projects to realize their dreams.</t>
  </si>
  <si>
    <t>Coca-Cola Ventures</t>
  </si>
  <si>
    <t>crowd fundraising, crowdfunding portal, online crowdfunding platform, sports crowdfunding</t>
  </si>
  <si>
    <t>54770-68T</t>
  </si>
  <si>
    <t>V-Motech</t>
  </si>
  <si>
    <t>Computers, Parts and Peripherals, Construction and Engineering*, Other Commercial Services, Road</t>
  </si>
  <si>
    <t>Provider of mechanical engineering and testing services designed to perform unique engine and vehicle tests. The company's powertrain testing and research and development services develop innovative products meeting specific criteria, namely mobility, modularity, and mutualization in the automotive sector, enabling automotive manufacturers and suppliers access to reliable services and technical expertise while maintaining control of their investments.</t>
  </si>
  <si>
    <t>climatic chassis dynamometer, exhaust emission, mechanics, powertrain, powertrain performance, powertrain testing, vehicle calibration, vehicle environmental data</t>
  </si>
  <si>
    <t>Linas-Montlhéry, France</t>
  </si>
  <si>
    <t>49032-91T</t>
  </si>
  <si>
    <t>Bpifrance, Entrepreneurs Factory, Expansinvest(Yvan Noble), Rhône-Alpes Création(Rémi Berthier), Trail Solutions Patrimoine(Guillaume Hemmerle)</t>
  </si>
  <si>
    <t>45120-43T</t>
  </si>
  <si>
    <t>88014-52T</t>
  </si>
  <si>
    <t>Apte</t>
  </si>
  <si>
    <t>Manufacturer of plastic engineering parts intended to process plastic sheets. The company's engineering parts are produced by thermoforming, bending and machining plastics materials to form handling trays, automotive parts, technical parts, displays and signs, enabling clients to have access to customized and diverse plastic parts.</t>
  </si>
  <si>
    <t>Sofimac Investment Managers(Emmanuel Tissier)</t>
  </si>
  <si>
    <t>plastic automotive parts, plastic engineering, plastic engineering services, plastic supply parts, plastic technical parts, thermoforming plastic</t>
  </si>
  <si>
    <t>La Bussiere, France</t>
  </si>
  <si>
    <t>133513-57T</t>
  </si>
  <si>
    <t>CapHorn Invest, Innovacom (Paris), SEB Alliance</t>
  </si>
  <si>
    <t>78394-15T</t>
  </si>
  <si>
    <t>Woufbox</t>
  </si>
  <si>
    <t>Provider of an online platform designed to offer monthly subscription boxes for pets in Europe. The company offers pet-care products including hygiene food, accessories, training aids, toys and treats especially for pets, thereby helping to introduce new products to its subscribers each month in a fun and innovative way.</t>
  </si>
  <si>
    <t>AngelSquare, Day One Entrepreneurs &amp; Partners, Europexpo, Network Finances, Reseau Entreprendre 92</t>
  </si>
  <si>
    <t>monthly subscription, monthly subscription box, pet accessories, pet boxes, pet care product, pet technology vertical</t>
  </si>
  <si>
    <t>E-Commerce, Pet Technology, TMT</t>
  </si>
  <si>
    <t>51249-88T</t>
  </si>
  <si>
    <t>Air Liquide Venture Capital(Aurélie Schwartzmann), Banque Populaire Auvergne Rhône Alpes(Yvan Noble), CEA Investissement(François Breniaux), Demeter Partners(Julien Coudy), Emertec Gestion(Olivier Bordelanne), ENGIE New Ventures(Laurent Rambaud), Rhône-Alpes Création(Mathieu Viallard), UI Investissement</t>
  </si>
  <si>
    <t>89400-52T</t>
  </si>
  <si>
    <t>Robotics Industry</t>
  </si>
  <si>
    <t>Electronic Equipment and Instruments, Other Commercial Products*, Other Hardware</t>
  </si>
  <si>
    <t>Developer of robotic products designed to assist professionals in aerial inspection and analysis missions for both civilian and military areas. The company's products are autonomous aerial, maritime, and terrestrial drones that are integrated with sensors including cameras, electronic nose, and sonar along with geolocation capabilities and on-board intelligence, enabling civil and military domains to cover a wide range of missions involving surveillance, protection of people and doubts raised in hazardous areas that are difficult to access.</t>
  </si>
  <si>
    <t>Aquitaine Développement Innovation, AQUITI Gestion, Techno'Start</t>
  </si>
  <si>
    <t>automotive systems, autonomous systems, robotic products, robotics and drones, robotics surveillance, surveillance drones</t>
  </si>
  <si>
    <t>48313-63T</t>
  </si>
  <si>
    <t>Alliance Entreprendre(Mathieu Rouxel), Bpifrance, Credit Industriel et Commercial, Trail Solutions Patrimoine</t>
  </si>
  <si>
    <t>78875-92T</t>
  </si>
  <si>
    <t>Brasserie Boris</t>
  </si>
  <si>
    <t>Operator of a restaurant chain intended to offer delicious dishes to people. The company's restaurant specializes in producing cuisines made up of beef and includes homemade burgers and fries, as well as grilled meats and salads, accompanied by fine wines in a vintage bistro setting with banquettes, enabling customers to enjoy their favorite food in a luxurious ambiance.</t>
  </si>
  <si>
    <t>Audacia (PAR: ALAUD)(Alexis Dyèvre)</t>
  </si>
  <si>
    <t>beef burgers, food ecommerce, homemade burgers, restaurant chain, restaurant food, restaurant marketplace, restaurant operator, restaurant space, restaurants and hotels</t>
  </si>
  <si>
    <t>54344-62T</t>
  </si>
  <si>
    <t>Kwaga</t>
  </si>
  <si>
    <t>Application Software, Automation/Workflow Software*, Social/Platform Software</t>
  </si>
  <si>
    <t>Provider of e-mail and contact-management software. The company offers Evercontact, a platform that enables users to create and update their address books and CRM software through semantic analysis of their e-mail.</t>
  </si>
  <si>
    <t>email assistance, semantic analysis</t>
  </si>
  <si>
    <t>Automation/Workflow Software</t>
  </si>
  <si>
    <t>67807-36T</t>
  </si>
  <si>
    <t>Cyclife</t>
  </si>
  <si>
    <t>Application Software*, Other Commercial Services, Other Software</t>
  </si>
  <si>
    <t>The company's software develops and markets decision-aid software in the control of building site of restoration or deconstruction of nuclear and industrial installations and provides nuclear dismantling support services and radioactive waste management services, thereby minimizing risks and reducing nuclear wastes.</t>
  </si>
  <si>
    <t>Banque Populaire, CEA Investissement, Créalia, Orano, Soridec</t>
  </si>
  <si>
    <t>business application, decision aids software, industrial software, nuclear dismantling, radioactive waste management, restoration or deconstruction, simulation software developer, simulation software product</t>
  </si>
  <si>
    <t>188269-21T</t>
  </si>
  <si>
    <t>51101-20T</t>
  </si>
  <si>
    <t>Albert Learning</t>
  </si>
  <si>
    <t>Developer of an online learning platform designed to help users learn various languages. The company's platform offers e-learning courses and language training for multiple global languages, enabling students to learn the language which helps them to deal with all the situations in organizations.</t>
  </si>
  <si>
    <t>5M Ventures(Christophe Montague)</t>
  </si>
  <si>
    <t>english courses, english learning online, english learning platform, english lessons, online english courses, virtual classes</t>
  </si>
  <si>
    <t>71650-54T</t>
  </si>
  <si>
    <t>RendezvousCheznous</t>
  </si>
  <si>
    <t>Application Software*, Information Services (B2C), Other Restaurants, Hotels and Leisure</t>
  </si>
  <si>
    <t>Providers of online portal intended to provide information related to leisure activities. The company's online portal connect visitors with specific know-how to discover and perpetuate the authenticity of the places, provide new features to discover and rediscover regional talents, by proposing authentic activities, enabling visitors to gain knowledge of places and share their experiences.</t>
  </si>
  <si>
    <t>CAAP Creation, Région Sud Investissement, SCR Provence and Corsica(Sauveur Cascone), Turenne Groupe(Marie Desportes)</t>
  </si>
  <si>
    <t>community marketplace, leisure activities, tourism app, tourism guide, tourism portal, travel and tourism services</t>
  </si>
  <si>
    <t>67444-30T</t>
  </si>
  <si>
    <t>Credit Agricole (PAR: ACA)(Adam Lee), Crédit Agricole Sud Rhône-Alpes (PAR: CRSU), Expansinvest, Héléa Financière, Naxicap Partners(Alban Sarie), Rhône-Alpes Création, Seventure Partners(Bruno Rivet), Teamgroup Investment, Trail Solutions Patrimoine</t>
  </si>
  <si>
    <t>208621-63T</t>
  </si>
  <si>
    <t>47782-45T</t>
  </si>
  <si>
    <t>Alven Capital Partners(Jeremy Uzan), Bpifrance, Index Ventures, Phoenix Court, Via ID</t>
  </si>
  <si>
    <t>47368-99T</t>
  </si>
  <si>
    <t>ClimateSecure</t>
  </si>
  <si>
    <t>Other Financial Services, Other Insurance*</t>
  </si>
  <si>
    <t>Provider of weather-related risk management services intended to ensure the safety of the people from natural disasters. The company's services offer insurance and risk management that helps people to understand, mitigate and transfer financial losses caused by weather anomalies, enabling clients to anticipate any natural calamity and insure the risks that might occur.</t>
  </si>
  <si>
    <t>climate risk, insurance, insurance services, natural calamity, weather risk management, weather sensitive</t>
  </si>
  <si>
    <t>35533-27T</t>
  </si>
  <si>
    <t>CliniDom</t>
  </si>
  <si>
    <t>Clinics/Outpatient Services, Hospitals/Inpatient Services*, Other Healthcare Services</t>
  </si>
  <si>
    <t>Provider of home care services designed to give continuous and coordinated medical and paramedical care in the patient's home. The company's home care services associate with the hospital doctor, the attending physician, all paramedical and social professionals to support patients of all ages, with severe, acute or chronic pathologies, enabling patients to avail the hospital type treatment in home with minimum cost.</t>
  </si>
  <si>
    <t>Altur Investissement, Turenne Groupe</t>
  </si>
  <si>
    <t>home care, home care services, hospitalization, patient-care</t>
  </si>
  <si>
    <t>Hospitals/Inpatient Services</t>
  </si>
  <si>
    <t>27407-89T</t>
  </si>
  <si>
    <t>DURIEZ &amp; Fils</t>
  </si>
  <si>
    <t>Operator of a food platform intended to wholesale food grain and crops. The company offers collection and trading services of cereals, tobacco, seeds, animal feeds, and other services related to agro-supply, providing farmers with various cereals collection centers located throughout France.</t>
  </si>
  <si>
    <t>cereals collection center, cereals crop, cereals food, food grains and crop, food grains supply, food grains wholesale, grain and crop, grain and food</t>
  </si>
  <si>
    <t>Eperlecques, France</t>
  </si>
  <si>
    <t>80573-14T</t>
  </si>
  <si>
    <t>EC'eau Concept</t>
  </si>
  <si>
    <t>Provider of wastewater treatment services based in Ernée, France. The company offers apparatus, machines and installations for the purification and softening of industrial waste water.</t>
  </si>
  <si>
    <t>wastewater purification, wastewater treatment, wastewater treatment plant, wastewater treatment separator, water softening</t>
  </si>
  <si>
    <t>CleanTech, Industrials, Infrastructure, TMT</t>
  </si>
  <si>
    <t>Ernee, France</t>
  </si>
  <si>
    <t>53232-22T</t>
  </si>
  <si>
    <t>35549-92T</t>
  </si>
  <si>
    <t>Forum d'entreprises de Revel</t>
  </si>
  <si>
    <t>Provider of office and workshop spaces designed ton provide assistance in creation of a company. The company's office and workshop spaces are secured and equipped with broadband, provide shared services within the nursery to facilitate daily life, facilitate access to all the local, regional or national networks that promote development, enabling businesses to get accompanied by the development of their journey.</t>
  </si>
  <si>
    <t>business park, modern premises, office space, sharing services, workshops space</t>
  </si>
  <si>
    <t>Revel, France</t>
  </si>
  <si>
    <t>98769-07T</t>
  </si>
  <si>
    <t>Bpifrance, Crédit Agricole des Savoie, Grenoble INP Invest, Leonis Investissement, Savoie Angels</t>
  </si>
  <si>
    <t>47662-39T</t>
  </si>
  <si>
    <t>Balyo (PAR: BALYO)</t>
  </si>
  <si>
    <t>Balyo SA designs, develops and markets material handling robots. The robots are used by industrialists and logisticians to reduce their pallet handling costs by robotizing their equipment and improving the security of the spaces in which it operates. Balyo's range of robots covers a wide range of logistics applications including storage, supply and removal, loading and unloading, logistics trains, stock line scanning, and barcode scanning.</t>
  </si>
  <si>
    <t>Bpifrance, Linde Material Handling, Paris&amp;Co Incubateurs, Robolution Capital, Seventure Partners(Sebastien Groyer)</t>
  </si>
  <si>
    <t>equipment maintenance service, handles robots, logistics support, material handling machines, process control, warehouse management technology, work automation</t>
  </si>
  <si>
    <t>Ivry-Sur-Seine, France</t>
  </si>
  <si>
    <t>47710-81T</t>
  </si>
  <si>
    <t>Kima Ventures(Jérémie Berrebi), Klaus Nyengaard(Klaus Nyengaard), Oleg Tscheltzoff(Oleg Tscheltzoff), Point Nine Capital(Mathias Ockenfels), Ralph Werner(Ralph Werner), RTA Ventures, TPC (California)</t>
  </si>
  <si>
    <t>47600-83T</t>
  </si>
  <si>
    <t>Augure</t>
  </si>
  <si>
    <t>Developer of influencer marketing software designed to manage databases and daily activities of Communication. The company's solution helps to attract relevant audiences, manage their campaigns, improve the efficiency of the activities, and boost the media positioning and reputation, enabling clients to improve public relations and public affairs.</t>
  </si>
  <si>
    <t>Amundi Private Equity Funds, Apicap, Bpifrance, Serena (Paris)(Xavier Lorphelin), Seventure Partners, Ventech (Paris)(Alain Caffi)</t>
  </si>
  <si>
    <t>audience growth, influencer marketing software, marketing analytics, marketing application, media and information services, reputation management platform</t>
  </si>
  <si>
    <t>37721-71T</t>
  </si>
  <si>
    <t>MyFox</t>
  </si>
  <si>
    <t>Application Software*, Electronics (B2C), Network Management Software</t>
  </si>
  <si>
    <t>Developer of application-based home security and control system. The company offers a smart system for home security cameras, motion monitors and lighting that can be controlled through a mobile application.</t>
  </si>
  <si>
    <t>Blue Heron Ventures, Cogepa(Daniel Bendavid), Daphni, ISAI, Jaina Capital, Orkos Capital(John-Jacques Bertrand)</t>
  </si>
  <si>
    <t>app security, home control, security, security control system</t>
  </si>
  <si>
    <t>48236-23T</t>
  </si>
  <si>
    <t>Easy Cartouche</t>
  </si>
  <si>
    <t>Computers, Parts and Peripherals*, Internet Retail, Other Consumer Durables</t>
  </si>
  <si>
    <t>Operator of an online retail platform intended to offer printer ink and toner cartridges. The company's platform offers ink cartridges, laser toners, thermal ribbons and photo papers, with easy next-day delivery options, enabling customers to buy cartridges and laser toners at low rates and save on their consumables.</t>
  </si>
  <si>
    <t>5M Ventures, NextRadioTV(Alain Weill)</t>
  </si>
  <si>
    <t>online printer ink retail, online purchasing, online retail platform, printer ink, printing service, retail platform</t>
  </si>
  <si>
    <t>Cagnes-sur-Mer, France</t>
  </si>
  <si>
    <t>56780-65T</t>
  </si>
  <si>
    <t>Allianz France, Alven Capital Partners(François Meteyer), Felix Capital, Kima Ventures, Via ID</t>
  </si>
  <si>
    <t>67091-32T</t>
  </si>
  <si>
    <t>Decaux Brothers Investments, Jean-Philippe Cartier, Wormser Frères Banque</t>
  </si>
  <si>
    <t>53869-06T</t>
  </si>
  <si>
    <t>Orthodidacte</t>
  </si>
  <si>
    <t>Educational and Training Services (B2C), Educational Software*, Social/Platform Software</t>
  </si>
  <si>
    <t>Operator of an e-learning online platform designed to learn spellings and improve the quality of writing. The company's platform offers face-to-face training and guarantees pedagogical progression through individualized coaching with dynamic and enriched content from the business language, enabling companies to train their employee to spell and write fluently in the trained language.</t>
  </si>
  <si>
    <t>Alpes Capital Innovation, Bpifrance, Crédit Agricole Sud Rhône-Alpes (PAR: CRSU), FaDiese(Isabelle de Baillenx), PhiTrust Impact Investors(Jean-Claude Leveque)</t>
  </si>
  <si>
    <t>e-learning online platform, e-learning portal, language improvement platform, language trainer, learning spellings, spelling and writing</t>
  </si>
  <si>
    <t>47083-33T</t>
  </si>
  <si>
    <t>360 Capital, Bpifrance, JMYX Holding, Ventech (Paris)(Jean Bourcereau)</t>
  </si>
  <si>
    <t>72516-52T</t>
  </si>
  <si>
    <t>Melies Business Angels, Quadran, Soridec</t>
  </si>
  <si>
    <t>210564-01T</t>
  </si>
  <si>
    <t>Klubb Group</t>
  </si>
  <si>
    <t>Manufacturer of vehicle-mounted access platforms. The company engages in the manufacturing of vehicle-mounted elevators and platforms for various types of commercial vehicles and trucks, enabling users to seamlessly carry out their tasks.</t>
  </si>
  <si>
    <t>Bpifrance, Fonds d'Investissements de Proximité</t>
  </si>
  <si>
    <t>aerial platform, commercial vehicle, elevation track, lifting gear, motor parts</t>
  </si>
  <si>
    <t>Ferrières-en-Brie, France</t>
  </si>
  <si>
    <t>82818-28T</t>
  </si>
  <si>
    <t>Marbrerie Retegui</t>
  </si>
  <si>
    <t>Manufacturer of marble craftworks intended to offer tailor-made marble furniture, tables, shelves, and accessories. The company's craftworks combine marble with composite materials such as complex bonding, digitally-controlled milling, aluminum honeycomb core assembly, and glass fiber or carbon combinations, enabling architects and designers to get the stone considerably lightened while at the same time ensuring great solidity and strength.</t>
  </si>
  <si>
    <t>craftwork sales, furniture firm, marble craft works, marble product, marble tables, marble work</t>
  </si>
  <si>
    <t>Saint Jean De Luz, France</t>
  </si>
  <si>
    <t>119160-82T</t>
  </si>
  <si>
    <t>3D EVOLUTION (Vénissieux)</t>
  </si>
  <si>
    <t>Office Electronics*</t>
  </si>
  <si>
    <t>Manufacturer of large format printing equipment designed for the communication sector and graphic arts. The company specializes in the marketing of equipment for design offices, graphic arts, computer and document management, providing the users with a complete solution at every stage of the customer's needs.</t>
  </si>
  <si>
    <t>Fonds Régional d'Investissement Auvergne Rhône-Alpes</t>
  </si>
  <si>
    <t>cutting plotters, electronic document management software, planning folding machine, printer product, printing services, scanner module</t>
  </si>
  <si>
    <t>87963-85T</t>
  </si>
  <si>
    <t>Eydo Pharma</t>
  </si>
  <si>
    <t>Developer of a biopharmaceutical platform intended to focus on research and development of nanomedicine technologies for antibacterial resistance control. The company's platform offers nano-encapsulated essential oil compounds and natural plant molecules, enabling patients to get antimicrobial therapies required to cure their illness.</t>
  </si>
  <si>
    <t>Bpifrance, Sofimac Innovation, Sofimac Investment Managers</t>
  </si>
  <si>
    <t>antibiotic product, antimicrobial therapy, bacterial infection solution, chemistry, natural antibiotics, pharmaceutical, small molecule</t>
  </si>
  <si>
    <t>Chartres, France</t>
  </si>
  <si>
    <t>270335-98T</t>
  </si>
  <si>
    <t>Bpifrance, Business Angels, Coface (PAR: COFA), Jérémie Rosseli(Jérémie Rosseli), Soridec</t>
  </si>
  <si>
    <t>47094-94T</t>
  </si>
  <si>
    <t>Auriga Partners (Paris)(Emmanuelle Coutanceau), Tikehau Ace Capital(Delphine Dinard)</t>
  </si>
  <si>
    <t>47050-30T</t>
  </si>
  <si>
    <t>Alizé Pharma</t>
  </si>
  <si>
    <t>Biotechnology, Drug Discovery, Pharmaceuticals*</t>
  </si>
  <si>
    <t>Developer of biopharmaceutical drugs, proteins and peptides. The company's biopharmaceutical drugs, proteins and peptides identifies unacylated ghrelin, a gastrointestinal peptide hormone, as a new therapeutic class, providing therapeutic products for the treatment of diabetes, cancer and metabolic diseases.</t>
  </si>
  <si>
    <t>CEMA, Credit Agricole (PAR: ACA), Kreaxi, OCTALFA(Gilles Alberici), Rhône-Alpes Création, Sham, Sofimac Innovation, Tab Consulting(Thierry Abribat)</t>
  </si>
  <si>
    <t>diabetes treatment, metabolic disease, oncology treatment, pharmaceutical</t>
  </si>
  <si>
    <t>121499-20T</t>
  </si>
  <si>
    <t>CEMA, Crédit Agricole Création, OCTALFA, Rhône-Alpes Création, Sham Innovation Santé, Sofimac Investment Managers, Tab Consulting(Thierry Abribat)</t>
  </si>
  <si>
    <t>211063-60T</t>
  </si>
  <si>
    <t>Adomik</t>
  </si>
  <si>
    <t>Developer of a data analytics platform designed to provide advertising analytics to turn insights into revenue. The company's platform automatically collects advertising data from all monetization partners and normalizes and enriches it with data science to provide holistic reporting, price management, lead generation, and dynamic troubleshooting, enabling clients to improve their business performance and grow their revenue.</t>
  </si>
  <si>
    <t>Denis Barrier, Elaia Partners(Xavier Lazarus), Samantha Jerusalmy</t>
  </si>
  <si>
    <t>advertising data, advertising database, digital advertising, digital advertising platform, digital advertising tool, sales intelligence, sales strategy</t>
  </si>
  <si>
    <t>115840-54T</t>
  </si>
  <si>
    <t>46982-08T</t>
  </si>
  <si>
    <t>Selectionnist</t>
  </si>
  <si>
    <t>Developer of a search application designed to find various exclusive fashion products. The company's search application assists online consumers to get access to selected products in different media channels, enabling them to purchase various fashion products that are spotted in various magazines or journals.</t>
  </si>
  <si>
    <t>Conegliano Ventures, Elaia Partners(Pauline Roux)</t>
  </si>
  <si>
    <t>application software company, fashion product, online search tool, search application, search application developer</t>
  </si>
  <si>
    <t>47212-75T</t>
  </si>
  <si>
    <t>3D Sound Labs</t>
  </si>
  <si>
    <t>Manufacturer of 3D audio headphones intended to offer an enhance listening experience. The company's headphones and gadgets are offered with integrated motion sensors that pushes the realism of experience, enabling users to avail immersive and realistic audio experiences.</t>
  </si>
  <si>
    <t>Business Angels 35, Femmes Business Angels, Sofimac Innovation</t>
  </si>
  <si>
    <t>3d audio, 3d audio headphones, 3d sound, headphones, headset</t>
  </si>
  <si>
    <t>AudioTech, Manufacturing, TMT</t>
  </si>
  <si>
    <t>46826-20T</t>
  </si>
  <si>
    <t>360 Capital(Francois Tison), Demeter Partners(Jean-Philippe Gendre), Emertec Gestion(Jean-Philippe Gendre), Grenoble INP Invest, Robolution Capital</t>
  </si>
  <si>
    <t>87087-34T</t>
  </si>
  <si>
    <t>Electricite de France</t>
  </si>
  <si>
    <t>51781-24T</t>
  </si>
  <si>
    <t>Elaia Partners(Pauline Roux), FAMM Group, Olivier Mathiot(Olivier Mathiot)</t>
  </si>
  <si>
    <t>46806-67T</t>
  </si>
  <si>
    <t>Francis Nappez(Francis Nappez), Frank Le Ouay(Frank Le Ouay), Index Ventures(Dominique Vidal), Laurent Amouyal, Partech(Romain Lavault), Renaud Visage(Renaud Visage), SEB Alliance(François-Xavier Meyer)</t>
  </si>
  <si>
    <t>64147-78T</t>
  </si>
  <si>
    <t>Bpifrance, Charles Petruccelli(Charles Petruccelli), David Rodriguez, Entrepreneur Invest, HPC capital, Jacques-Antoine Granjon(Jacques-Antoine Granjon), Trail Solutions Patrimoine</t>
  </si>
  <si>
    <t>46877-32T</t>
  </si>
  <si>
    <t>Bpifrance(Marion Aubry), Elaia Partners(Pauline Roux)</t>
  </si>
  <si>
    <t>62969-59T</t>
  </si>
  <si>
    <t>Effimune</t>
  </si>
  <si>
    <t>Developer of drug candidates for transplantation and immune-mediated diseases. The company is engaged in the research and development of biological drug candidates targeting cells of the immune system to restore the balance between effector and regulatory mechanisms.</t>
  </si>
  <si>
    <t>Debiopharm Innovation Fund, Inserm Transfert</t>
  </si>
  <si>
    <t>autoimmunity, drugs candidates, immune regulation, transplantation</t>
  </si>
  <si>
    <t>71668-36T</t>
  </si>
  <si>
    <t>WannagoGuide</t>
  </si>
  <si>
    <t>Developer of an application designed to provide travel related information. The company's application provide information and tips related to the tourist offices situated at various places, events, activities, cultural sites, offer good deals from the tourist offices and helps in promoting tourism, enabling users to discover the leisure activities, outings in the city and information related to various travel plans.</t>
  </si>
  <si>
    <t>EADS Development, Groupe BPCE, Orano, Région Sud Investissement</t>
  </si>
  <si>
    <t>leisure activities, tourist information service, tourist office, travel application, travel planning</t>
  </si>
  <si>
    <t>46740-79T</t>
  </si>
  <si>
    <t>Xotelia</t>
  </si>
  <si>
    <t>Operator of an all-in-one property management platform intended to manage bed-and-breakfast, apartments, guesthouses, vacation and other rentals.The company's property management platform connects to online travel agencies and peer-to-peer platforms via a real-time, two-way interface, enabling tourist accommodation establishments to update their offers in real time on more than 50 short-term rental websites and travel agencies.</t>
  </si>
  <si>
    <t>home rental, online booking management, property management platform, rental platform, rental services, vacation rental management</t>
  </si>
  <si>
    <t>46740-25T</t>
  </si>
  <si>
    <t>Search'XPR</t>
  </si>
  <si>
    <t>Application Software*, Business/Productivity Software</t>
  </si>
  <si>
    <t>Developer of an application programming interface (API) designed to offer data search and recommendation. The company's application programming interface (API) uses algorithm which integrates psycho-cognitive principles into software applications, enabling companies to transform how they understand online consumer's motivations and behaviours, but also how to create more interaction and loyalty between consumers and e-commerce vendors.</t>
  </si>
  <si>
    <t>data search, recommendation software, search application</t>
  </si>
  <si>
    <t>46545-13T</t>
  </si>
  <si>
    <t>Netwave</t>
  </si>
  <si>
    <t>Developer of an artificial intelligence technology designed to individualize interactions between a website and its visitors. The company's platform offers real-time personalization (product recommendation, content, advertising) that helps in increasing revenue and outperforms traditional machine learning systems, enabling clients to develop their business efficiently and promote their relationships with their customers.</t>
  </si>
  <si>
    <t>Banexi Ventures Partners(Philippe Herbert)</t>
  </si>
  <si>
    <t>artificial intelligence technology, behavioral analytics, content personalization, customer relationship management, predictive analytics, vertical application</t>
  </si>
  <si>
    <t>Artificial Intelligence &amp; Machine Learning, Big Data, Marketing Tech, TMT</t>
  </si>
  <si>
    <t>60557-68T</t>
  </si>
  <si>
    <t>WatchFrog</t>
  </si>
  <si>
    <t>Biotechnology*, Environmental Services (B2B), Laboratory Services (Healthcare)</t>
  </si>
  <si>
    <t>Developer of biotechnological tools designed to measure the effects of endocrine disruptors on the living. The company's tools detect pollutants and contaminants in drinking water by using amphibian and fish larvae which become fluorescent in the presence of endocrine disruptors, heavy metals, or other pollutants in the water, enabling industrial clients and local communities to monitor the presence and level of pollutants in their products or in plant discharges.</t>
  </si>
  <si>
    <t>Groupe Chevrillon, Karista (Paris)(Catherine Boule)</t>
  </si>
  <si>
    <t>biomonitoring system, endocrine treatment, genetic detection, micropollutants separator, pollutants detection, pollutants detection tool, pollution monitoring, water contamination</t>
  </si>
  <si>
    <t>49451-77T</t>
  </si>
  <si>
    <t>Bien à la Maison</t>
  </si>
  <si>
    <t>Provider of personal assistance services. The company specializes in home support services for elderly and persons with disabilities, with a network of over 50 agencies.</t>
  </si>
  <si>
    <t>specialized home help</t>
  </si>
  <si>
    <t>72621-10T</t>
  </si>
  <si>
    <t>Bpifrance, Jean-Pascal Conduzorgues(Jean-Pascal Conduzorgues)</t>
  </si>
  <si>
    <t>138801-25T</t>
  </si>
  <si>
    <t>GO Capital (France)(Bertrand Distinguin), Pays de la Loire Participations, Ventures West Capital</t>
  </si>
  <si>
    <t>79407-19T</t>
  </si>
  <si>
    <t>Kazal</t>
  </si>
  <si>
    <t>Construction and Engineering*, Other Consumer Durables</t>
  </si>
  <si>
    <t>Designer and manufacturer of modular wood-frame homes. The company offers predesigned single-story homes that are energy efficient, modern and finalized based on a client's preferences as well as operates a production facility for producing timbre frames.</t>
  </si>
  <si>
    <t>Starquest Capital, SWEN Capital Partners</t>
  </si>
  <si>
    <t>home builder</t>
  </si>
  <si>
    <t>Bressuire, France</t>
  </si>
  <si>
    <t>76333-69T</t>
  </si>
  <si>
    <t>Bpifrance(Véronique Jacq)</t>
  </si>
  <si>
    <t>52014-07T</t>
  </si>
  <si>
    <t>Idinvest Partners, Oleg Tscheltzoff(Oleg Tscheltzoff)</t>
  </si>
  <si>
    <t>60718-87T</t>
  </si>
  <si>
    <t>Overade</t>
  </si>
  <si>
    <t>Accessories, Other Consumer Durables*</t>
  </si>
  <si>
    <t>Manufacturer of safety and comfort products for urban riders intended to make commuting safe, flexible and elegant. The company offers a variety of products, including folding helmets, lights, bags and accessories that are designed to make urban cycling and scooter riding safe and comfortable, enabling customers to make their journeys enjoyable and secure.</t>
  </si>
  <si>
    <t>Club Invest 77(Gilles Vacher), Investessor(Alain Ilhe), Paris Business Angels, Trianon Angels</t>
  </si>
  <si>
    <t>bike helmets, bike light, helmets accessory, helmets manufacturer, helmets product, helmets safety technology</t>
  </si>
  <si>
    <t>122790-07T</t>
  </si>
  <si>
    <t>130729-78T</t>
  </si>
  <si>
    <t>Sailendra</t>
  </si>
  <si>
    <t>Developer of a predictive marketing platform designed to monitor and analyze the behavior of users. The company's platform analyzes the behavior of each visitor in real-time to facilitate their recommendations and improve their search by leveraging artificial intelligence technology, allowing enterprises to improve their brand and overall sales hassle-free.</t>
  </si>
  <si>
    <t>artificial intelligence platform, behavioral analysis, consumer data analysis, marketing analysis platform, marketing data analytics, web optimization</t>
  </si>
  <si>
    <t>46385-38T</t>
  </si>
  <si>
    <t>Shogunmoto</t>
  </si>
  <si>
    <t>Developer of an e-commerce platform designed to sell motorcycle spare parts and accessories. The company's platform sells spare parts and accessories for two-wheelers such as helmets, tires, lubricants, batteries, exhausts and workshop wear, enabling customers to purchase their desired items from various kinds of products that are showcased on the platform and get them delivered at their doorstep.</t>
  </si>
  <si>
    <t>Bpifrance, Entrepreneur Invest(Michel Claret)</t>
  </si>
  <si>
    <t>bike accessories, biking gear, ecommerce platform, motorcycle parts, rides materials, riding gear</t>
  </si>
  <si>
    <t>E-Commerce, Manufacturing, Mobility Tech</t>
  </si>
  <si>
    <t>Pré-en-Pail-Saint-Samson, France</t>
  </si>
  <si>
    <t>67474-81T</t>
  </si>
  <si>
    <t>Biomae</t>
  </si>
  <si>
    <t>Electronic Equipment and Instruments, Environmental Services (B2B)*</t>
  </si>
  <si>
    <t>Developer of biomonitoring tools designed to analyze the toxicity of pollutants present in aquatic environments. The company's tool can be used to analyze contamination levels in aquatic environments by observing and monitoring a specific sentinel species, enabling researchers to address the issue of diagnosis for monitoring of environmental quality.</t>
  </si>
  <si>
    <t>Alpes Capital Innovation, Kreaxi, Pertinence Invest, Rhône-Alpes Création</t>
  </si>
  <si>
    <t>aquatic environment, toxicity testing, water contaminant, water pollution, water quality testing, water testing</t>
  </si>
  <si>
    <t>Chateau Gaillard, France</t>
  </si>
  <si>
    <t>93722-05T</t>
  </si>
  <si>
    <t>Extens(Arnaud Houette), Seventure Partners</t>
  </si>
  <si>
    <t>46201-96T</t>
  </si>
  <si>
    <t>Calixar</t>
  </si>
  <si>
    <t>Operator of a biotechnology company intended to preserve the original structure and function of membrane protein operations. The company engages in the production, extraction, stabilization, purification, and crystallization of functional membrane proteins and antigens, by isolating them in a native conformation without mutations or deletions, enabling biotechnology companies to develop conformational antibodies and formulate new vaccines efficiently.</t>
  </si>
  <si>
    <t>Banque Populaire, Bpifrance, Grenoble Angels, Grenoble INP Invest, Health-angels Rhone-alpes, Savoie Angels, Siparex Group, Veymont Participations, XAnge</t>
  </si>
  <si>
    <t>drugs design, membrane protein, membrane protein operations, membrane protein treatment, molecular test, protein crystallization, protein purification tools, vaccines discovery</t>
  </si>
  <si>
    <t>61108-48T</t>
  </si>
  <si>
    <t>Mobeye</t>
  </si>
  <si>
    <t>Developer of a mobile application designed to carry out inspections in the neighborhood. The company's application helps to earn money by working for major trademark and performing product reviews or by taking pictures in stores nearby via their smartphone, verify the shelf display of a given product in a supermarket, check the promotions, on-site advertising and pricing information are conveniently placed, enabling brands to easily gain valuable insights, analyzes this data and provide insightful advice to its client retailers.</t>
  </si>
  <si>
    <t>Aurinvest, Philippe Reboul(Philippe Reboul), Vincent Robert</t>
  </si>
  <si>
    <t>inspection data, mobile app, mobile application, product placement, product review, retail information, retail review</t>
  </si>
  <si>
    <t>66816-46T</t>
  </si>
  <si>
    <t>123137-74T</t>
  </si>
  <si>
    <t>Love &amp; Green</t>
  </si>
  <si>
    <t>Manufacturer of hygiene products designed to protect the health of babies and women. The company offers products including nappies, nappy pants, wipes and other baby care items as well as provides feminine hygiene and bladder weakness products, thereby enabling customers to get a wide variety of personal items all of which have been certified as eco-friendly.</t>
  </si>
  <si>
    <t>baby diapers product, baby hygiene products, diapers maker, health care products, hygiene care, hygiene needs, hygiene products, hygiene wipes</t>
  </si>
  <si>
    <t>204575-59T</t>
  </si>
  <si>
    <t>60474-52T</t>
  </si>
  <si>
    <t>Calao Finance, DS Participations, OLMA Capital Management, The Luxury Fund(Nizar El Hachem)</t>
  </si>
  <si>
    <t>50007-52T</t>
  </si>
  <si>
    <t>Optinvent</t>
  </si>
  <si>
    <t>Developer of advanced smart AR headphones designed to offer instruments for optics and audio. The company's headphones include a smart augmented reality headphone that blends mobile audio with a visual experience, and a wearable glass platform for mobile augmented reality and wearable computing, enabling customers to use hands-free mobile computing for logistics, remote maintenance, and medical fields.</t>
  </si>
  <si>
    <t>Investessor, Roger Craig</t>
  </si>
  <si>
    <t>mobile computing product, remote assistance gadgets, smart headphones, wearable computing technology, wearable glass platform</t>
  </si>
  <si>
    <t>Augmented Reality, TMT, Wearables &amp; Quantified Self</t>
  </si>
  <si>
    <t>55306-72T</t>
  </si>
  <si>
    <t>PreCouture</t>
  </si>
  <si>
    <t>Provider of an e-commerce platform designed to retail women's fashion clothing. The company's e-commerce platform enables users to pre-order clothing and accessories from their favorite fashion designers straight after the runway fashion shows, enabling customers to receive products before they arrive in stores.</t>
  </si>
  <si>
    <t>clothing and accessories, ecommerce, fashion accessories, fashion ecommerce platform, online fashion store</t>
  </si>
  <si>
    <t>45844-03T</t>
  </si>
  <si>
    <t>PriceMatch</t>
  </si>
  <si>
    <t>Business/Productivity Software, Financial Software*, Information Services (B2C)</t>
  </si>
  <si>
    <t>Developer of a revenue management platform intended to offer cloud-based data and analytics solutions for hotels. The company develops econometric algorithms forecasting demand and feeding price recommendations to hoteliers, helping them adjust room prices to demand and thus trying to increase revenue.</t>
  </si>
  <si>
    <t>Partech(Romain Lavault), Tekton Ventures</t>
  </si>
  <si>
    <t>analytics solution, data and analytics, data and analytics solution, dynamic pricing, revenue management, revenue management platform, yield management</t>
  </si>
  <si>
    <t>157785-22T</t>
  </si>
  <si>
    <t>Annapurna Therapeutics</t>
  </si>
  <si>
    <t>Biotechnology, Drug Discovery*, Therapeutic Devices</t>
  </si>
  <si>
    <t>Operator of a biotechnology firm headquartered in Paris, France. The company specializes in gene therapy for rare diseases, including Friedreich's ataxia, which combines progressive neurodegenerative disease, heart damage, and increased risk of diabetes.</t>
  </si>
  <si>
    <t>gene technology, gene therapy company, gene therapy patent, gene therapy solutions, genetic disorder</t>
  </si>
  <si>
    <t>45696-07T</t>
  </si>
  <si>
    <t>Air Liquide (PAR: AI), Air Liquide Venture Capital, Bpifrance(Pierre-René Lemas), Elaia Partners(Philippe Gire), Elliott Investment Management(Franck Tuil), ENGIE New Ventures, Eutelsat Group (PAR: ETL), Idinvest Partners, Intel Capital(Marcos Battisti), iXO Private Equity(Renaud du Lac), NTT Docomo Ventures, Omnes Capital, Partech(Jean-Marc Patouillaud), Samsung Electronics (KRX: 005930), SK Telecom (KRX: 017670), Telefónica (MAD: TEF), Zouk Capital(Samer Salty)</t>
  </si>
  <si>
    <t>77580-64T</t>
  </si>
  <si>
    <t>Autonomie &amp; Solidarité, Nord France Amorçage, Noria, Siparex Group</t>
  </si>
  <si>
    <t>53545-78T</t>
  </si>
  <si>
    <t>KelBillet</t>
  </si>
  <si>
    <t>Information Services (B2C)*, Internet Software, Other Restaurants, Hotels and Leisure</t>
  </si>
  <si>
    <t>Operator of a metasearch engine designed for travelers to find cheap ticket options. The company's multimodal search engine aggregates and compares available options for a trip between two cities for all the transportation modes like train, bus, plane, car, and ride-sharing, enabling users to find new and second-hand tickets for cheap at no additional cost.</t>
  </si>
  <si>
    <t>Bpifrance, Business Angels 35, Credit Industriel et Commercial, West Angels</t>
  </si>
  <si>
    <t>bus booking, multimodal booking, online ticketing, public mobility solutions, shuttle and multimodal booking, ticketing app, ticketing portal, ticketing search, travel search, travel search engine</t>
  </si>
  <si>
    <t>45206-92T</t>
  </si>
  <si>
    <t>EyeBrain</t>
  </si>
  <si>
    <t>Manufacturer of eye trackers for the early diagnosis of neurological diseases. The company's technology helps neurologists to diagnose neurodegenerative diseases such as Parkinson's.</t>
  </si>
  <si>
    <t>Paris Region Venture Fund(Jérôme Snollaerts)</t>
  </si>
  <si>
    <t>eye tracker, neurodegenerative, neurological, neurological disease, neurology, parkinson plus syndrome</t>
  </si>
  <si>
    <t>86626-90T</t>
  </si>
  <si>
    <t>Socomore, Sofimac Innovation</t>
  </si>
  <si>
    <t>45305-83T</t>
  </si>
  <si>
    <t>i-Run</t>
  </si>
  <si>
    <t>Operator of a sports goods e-commerce platform intended for men and women. The company offers athletic apparel related to running and fitness along with all other sporting equipment and accessories, enabling customers to buy cost-efficient goods.</t>
  </si>
  <si>
    <t>Bpifrance(Christine Busque), Eximium, Groupe MACSF, iXO Private Equity(Jean-Luc Riviere)</t>
  </si>
  <si>
    <t>online platform, sporting good, sports accessories, sports good retailer, sports shoes, sports shopping</t>
  </si>
  <si>
    <t>Castelnau d'Estretefonds, France</t>
  </si>
  <si>
    <t>49347-73T</t>
  </si>
  <si>
    <t>Edenred Capital Partners, FaDiese, Kima Ventures, Partech(Nicolas El Baze), Pleiade Venture, Pleiades Capital</t>
  </si>
  <si>
    <t>45173-71T</t>
  </si>
  <si>
    <t>Simpulse</t>
  </si>
  <si>
    <t>Telecommunications Service Providers, Wireless Communications Equipment*</t>
  </si>
  <si>
    <t>Developer of embedded software-defined radio modems intended to offer innovative professional communication systems. The company's services offer secure and powerful data and video transmissions, enabling clients to avail flexibility and integration to advanced signal processing algorithms that improve robustness in the presence of interferences and mobile channels.</t>
  </si>
  <si>
    <t>Alizée Innovation, Bpifrance, Reseau Entreprendre 92, Scientipole Capital, Starquest Capital, Systematic (Aarhus)</t>
  </si>
  <si>
    <t>communication system, digital signal, digital signal processing, intelligent device, intelligent sensors, intelligent sensors &amp; devices, intelligent sensors and devices, signal processing, signal processing service, software defined radio</t>
  </si>
  <si>
    <t>140403-16T</t>
  </si>
  <si>
    <t>Alexandre Ichaï(Alexandre Ichaï)</t>
  </si>
  <si>
    <t>48975-49T</t>
  </si>
  <si>
    <t>WIKA-TECH</t>
  </si>
  <si>
    <t>Developer of fluidic properties sensing technologies designed to monitor liquids and gases. The company's embedded fluid property sensors help in the patterning of resonating sensing elements, sensor operation firmware and miniature packaging, enabling clients to reduce their environmental footprint.</t>
  </si>
  <si>
    <t>Air Liquide Venture Capital, Bpifrance, Demeter Partners(Benjamin Wainstain), TotalEnergies Ventures</t>
  </si>
  <si>
    <t>gas monitoring, liquid monitoring, sensing tech, sensing tools, sensor operations, sensor technology</t>
  </si>
  <si>
    <t>CleanTech, Industrials, Oil &amp; Gas</t>
  </si>
  <si>
    <t>28648-36T</t>
  </si>
  <si>
    <t>Cadet Résidence</t>
  </si>
  <si>
    <t>Operator of a hotel designed to offer spacious and designer apartments to customers. The company's hotel offers the convenience of full hotel services with the intimacy of an unusually spacious place, enabling tourists to avail luxurious and comfortable accommodations at a reasonable rate.</t>
  </si>
  <si>
    <t>apartments, comfortable accommodations, hotel chain, hotel reservation, luxurious hotel, online books</t>
  </si>
  <si>
    <t>45694-81T</t>
  </si>
  <si>
    <t>BIM Investments, Orange Ventures(Gregoire De Padirac)</t>
  </si>
  <si>
    <t>72433-09T</t>
  </si>
  <si>
    <t>Atelier Cologne</t>
  </si>
  <si>
    <t>Manufacturer of natural fragrance colognes catering to men and women. The company provides a marketplace to sell perfumes, perfumed soaps, shower gels and body lotions, thereby offering customers perfumes made from natural products with restricted chemical elements.</t>
  </si>
  <si>
    <t>Extendam, Phoenix Court, Wind Capital</t>
  </si>
  <si>
    <t>beauty vertical, cologne, cologne product, cologne spray, e-marketplace, pure perfume</t>
  </si>
  <si>
    <t>Beauty, E-Commerce, Manufacturing, TMT</t>
  </si>
  <si>
    <t>30529-54T</t>
  </si>
  <si>
    <t>Aurélie Bidermann</t>
  </si>
  <si>
    <t>Designer of jewelry and accessories intended to offer sophisticated fashion wearables for women. The company creates designer jewelry that is distributed through its website and multi-brand retailers, including multi-brand fashionable jewelry, enabling customers to purchase and wear their desired fashion options and receive shipping returns.</t>
  </si>
  <si>
    <t>Audacia (PAR: ALAUD), Jet Luxe</t>
  </si>
  <si>
    <t>accessories collection, jewelry design, jewelry designer, jewelry manufacturing, jewelry retailer, neck-piece, rings</t>
  </si>
  <si>
    <t>45066-25T</t>
  </si>
  <si>
    <t>EZ-Wheel</t>
  </si>
  <si>
    <t>Developer of electric traction equipment designed to handle tools and light vehicles. The company's equipment provides electric traction to handle equipment and transport of loads to light vehicles and medical equipment, enabling clients to boost the performance of material handling equipment.</t>
  </si>
  <si>
    <t>360 Capital, Alto Invest(Franck Halley), AQUITI Gestion, Bpifrance(Anne-Sophie Carrese), Charente-Périgord Expansion, Crédit Agricole Charente-Périgord(Thierry Vayssier), Ecomobility Ventures(Andreas Richter), Orkos Capital, Robolution Capital</t>
  </si>
  <si>
    <t>electric drive vehicle, electric motor, electric traction, electric traction system, electric wheel, material handles equipment</t>
  </si>
  <si>
    <t>Charente, France</t>
  </si>
  <si>
    <t>54755-47T</t>
  </si>
  <si>
    <t>POM Monitoring</t>
  </si>
  <si>
    <t>Publisher of software for piloting the operational performance of information systems. The company's software platform allows organizations of all sizes to control whether their internal or hybrid information systems meet the quality and performance levels expected by top management, operational departments and users, enabling them to measure IT's contribution to business performance and value creation.</t>
  </si>
  <si>
    <t>it operations, it service, operational intelligence, software publisher, software publishing</t>
  </si>
  <si>
    <t>188070-94T</t>
  </si>
  <si>
    <t>Etoffe.com</t>
  </si>
  <si>
    <t>Operator of an upholstery platform designed to offer home decor items. The company's platform includes a curated selection of fabrics, wallpaper, cushions, and carpets from a wide range of luxury brands, enabling users to purchase items for home decor in one place.</t>
  </si>
  <si>
    <t>home decor, home decoration platform, interior decorating, interior products, online home decoration, wall design items</t>
  </si>
  <si>
    <t>45029-80T</t>
  </si>
  <si>
    <t>Kiwup</t>
  </si>
  <si>
    <t>Provider of e-mail marketing services catering to small and medium-sized businesses. The company offers applications enabling businesses to create, deliver and analyze real-time newsletters and automatic e-mails and manage contact lists.</t>
  </si>
  <si>
    <t>Kima Ventures(Jérémie Berrebi), Nestadio Capital, XAnge</t>
  </si>
  <si>
    <t>business mail, email, email marketing, email marketing application, marketing, newsletter</t>
  </si>
  <si>
    <t>Chessy, France</t>
  </si>
  <si>
    <t>126451-36T</t>
  </si>
  <si>
    <t>Day One Entrepreneurs &amp; Partners, Investessor, SV Stars Venture Capital</t>
  </si>
  <si>
    <t>44997-22T</t>
  </si>
  <si>
    <t>Demeter Partners(Benjamin Wainstain), HPC capital, IO Group., Région Sud Investissement(Jacques Boulesteix), Sofimac Innovation(Pascal Voulton), Turenne Groupe</t>
  </si>
  <si>
    <t>44702-47T</t>
  </si>
  <si>
    <t>Ardian(Laurent Foata)</t>
  </si>
  <si>
    <t>44810-74T</t>
  </si>
  <si>
    <t>Seventure Partners(Jonathan Sabban)</t>
  </si>
  <si>
    <t>58402-00T</t>
  </si>
  <si>
    <t>A-Venture(André Raoul), Demeter Partners(Benjamin Wainstain), Nestadio Capital, Pole Capital</t>
  </si>
  <si>
    <t>29886-13T</t>
  </si>
  <si>
    <t>Dhimyotis</t>
  </si>
  <si>
    <t>Developer and provider of signature authentication service platform designed to provide a trusted space on the Internet. The company offers authentication, encryption, electronic signature, time stamping and storage of probative value, thereby enabling users to prove their identity on the Internet, to sign dematerialized documents and to make information confidential.</t>
  </si>
  <si>
    <t>authentication service, authentication service provider, certification authority, encryption, signature authentication, signature authentication service</t>
  </si>
  <si>
    <t>58327-93T</t>
  </si>
  <si>
    <t>Laselec</t>
  </si>
  <si>
    <t>Business/Productivity Software, Electrical Equipment, Machinery (B2B)*</t>
  </si>
  <si>
    <t>Provider of laser wire-marking technology based in Toulouse, France. The company's laser wire-marking technology offers wire marking, wire and cable processing equipment, wiring harness assembly accessories as well as laser wire markers, laser wire-stripping systems, interactive wire harness boards and laser diode drivers, thereby enabling clients to have machines that meet all their demands out on the field.</t>
  </si>
  <si>
    <t>Komax Holding (SWX: KOMN)(Matijas Meyer)</t>
  </si>
  <si>
    <t>electric equipment, electrical equipment, laser diode drivers, laser wire, wire marking machines, wire processing equipment</t>
  </si>
  <si>
    <t>44689-42T</t>
  </si>
  <si>
    <t>Sensorion (PAR: ALSEN)</t>
  </si>
  <si>
    <t>Sensorion SA is a France-based clinical-stage biotech company dedicated to the development of therapies to restore, treat, and prevent hearing loss. The company's product is in phase 2a clinical development, SENS-401 (Arazasetron) in Sudden Sensorineural Hearing Loss (SSNHL). SENS-401 is being developed to treat cochlear pathologies. The Company does business in a single operating segment: conducting research and development to discover drugs to treat inner ear disorders with a view to their future marketing. The company's pipeline programs are SENS-401 SSNHL, SENS-401 CIO, GJB2-GT, GJB2-GT, SENS-401 Cochlear, and others.</t>
  </si>
  <si>
    <t>Bpifrance(Thibaut Roulon), Inserm Transfert(Matthieu Coutet), Sofimac Innovation, Sofinnova Partners</t>
  </si>
  <si>
    <t>biotech company, cochlear hearing implants, ear treatment, gene therapy, hearing aids, hearing care, hearing disorder treatment, therapeutic tools</t>
  </si>
  <si>
    <t>46486-18T</t>
  </si>
  <si>
    <t>Kapten</t>
  </si>
  <si>
    <t>Operator of a ride-hailing platform intended for on-demand cab service. The company's platform allows an individual to order a car directly from their smartphone at a location of their choice, enabling passengers to get a convenient network of transportation anytime.</t>
  </si>
  <si>
    <t>Crédit Mutuel Impact(François Collet), Siparex Group, XAnge(Cyril Bertrand)</t>
  </si>
  <si>
    <t>cab service, cab service provider, mobility tech, online cab, online cab booking, online cab rental, online car booking, ridehailing platform, rides hailing</t>
  </si>
  <si>
    <t>45069-31T</t>
  </si>
  <si>
    <t>Bpifrance, GO Capital (France)(Bertrand Distinguin), Laurent Calvez(Laurent Calvez), Xiang-Hua Zhang(Xiang-Hua Zhang)</t>
  </si>
  <si>
    <t>101504-89T</t>
  </si>
  <si>
    <t>NeoMedLight</t>
  </si>
  <si>
    <t>Developer of medical devices designed to limit side effects and increase therapeutic efficiency in cancer treatment. The company's device utilizes the emission of light through the woven optic fiber to treat and prevent oral mucositis, radiodermatitis and dermatitis, enabling patients to be treated safely with precise control of treatment parameters and in a reproducible and consistent manner.</t>
  </si>
  <si>
    <t>Angelor, Health-angels Rhone-alpes, Smalt Capital</t>
  </si>
  <si>
    <t>medical equipment developer, medical equipment maker, phototherapy device, phototherapy system, phototherapy technology, phototherapy treatment</t>
  </si>
  <si>
    <t>44506-72T</t>
  </si>
  <si>
    <t>Bpifrance, GO Capital (France), Saint-Gobain (PAR: SGO)</t>
  </si>
  <si>
    <t>50959-63T</t>
  </si>
  <si>
    <t>Elea2</t>
  </si>
  <si>
    <t>Developer of licensed products designed to help schools and other related educational activities. The company's products serve both for educational use and regular use and help to develop basic skills, enabling students to learn while having fun and building a strong educational base.</t>
  </si>
  <si>
    <t>Nord Capital Partenaires</t>
  </si>
  <si>
    <t>durable developer, durable school product, educational activities, educational product, educational tools, learning content</t>
  </si>
  <si>
    <t>65432-98T</t>
  </si>
  <si>
    <t>Larecolte.fr</t>
  </si>
  <si>
    <t>Operator of an online selling platform designed to provide consumables and small agricultural equipment. The company's platform offers farming equipment, pesticides, manure and farming clothing, enabling farmers to get all their agriculture needs at one stop.</t>
  </si>
  <si>
    <t>Finorpa, Nord Création, Sopromec Participations, Starquest Capital</t>
  </si>
  <si>
    <t>agricultural equipment, agriculture product, cloth product, online agriculture market, online retail platform, pesticides product</t>
  </si>
  <si>
    <t>126537-31T</t>
  </si>
  <si>
    <t>Réassurez-moi</t>
  </si>
  <si>
    <t>Operator of an insurance management platform designed to revolutionize credit insurance. The company's platform offers travel insurance, work damage insurance, life insurance, motorcycle insurance, animal insurance, and other related insurance.</t>
  </si>
  <si>
    <t>Bpifrance, Day One Entrepreneurs &amp; Partners, Optimum Developpement</t>
  </si>
  <si>
    <t>insurance advisor, insurance brokers services, insurance comparison platform, insurance comparison software, insurance management system, insurance solutions</t>
  </si>
  <si>
    <t>44179-39T</t>
  </si>
  <si>
    <t>Genkyotex</t>
  </si>
  <si>
    <t>Developer of small molecule therapeutics designed for the treatment of chronic diseases. The company engaged in the business of research, study, manufacturing, and distribution of medicines, drugs, and health products in the field of human and animal health and the development of immunotherapies and therapeutic vaccines, thereby enabling patients to cure harmful diseases.</t>
  </si>
  <si>
    <t>Andera Partners(Gilles Nobecourt), BioMedPartners, Eclosion Ventures(Jesús Martin-Garcia), NeoMed Management(Claudio Nessi), Vesalius Biocapital Partners(Stéphane Verdood), VI Partners, Wellington Partners</t>
  </si>
  <si>
    <t>antioxidants therapy, chronic disease, diabetic hypertension, diabetic nephropathy, myocardial infarction, oxidative stress, therapeutics</t>
  </si>
  <si>
    <t>Saint-Julien- en-Genevois, France</t>
  </si>
  <si>
    <t>76758-49T</t>
  </si>
  <si>
    <t>IN'OYA Laboratoire</t>
  </si>
  <si>
    <t>Developer of cosmetic and skin care products designed for dark and olive skin tones. The company's products focus on the treatment of hyperpigmentation spots that include serums and moisturizers without side effects, which take genes into account, enabling women to tackle all their skin-related issues.</t>
  </si>
  <si>
    <t>Banque Populaire de l'Ouest, Banque Populaire Méditerranée, Bpifrance, CAAP Creation(Armand Perrin), European Regional Development Fund (Brandenburg), KYOSEIL AM, Pays d'Aix Développement, Région Sud Investissement, Réseau entreprendre Atlantique, SCR Provence and Corsica, Total Developpement Regional</t>
  </si>
  <si>
    <t>beauty products, cosmetic product, moisturizer product, skin cosmetics, skin treatment, skincare product</t>
  </si>
  <si>
    <t>71657-02T</t>
  </si>
  <si>
    <t>Editag</t>
  </si>
  <si>
    <t>Business/Productivity Software, Electronic Equipment and Instruments*, Other Commercial Services</t>
  </si>
  <si>
    <t>Developer of an IoT alternative technology designed to locate, monitor, track, trace, and secure critical assets across the industrial performance. The company's technology offers complete, secure, and adapted alternatives to processes monitoring to locate, trace, and protect material flows and material resources throughout the cycle of industrial use, enabling clients to supervise high-value objects, and industrial flows, manage production, improve inventories and industrial performance with elementary and agile IoT alternatives.</t>
  </si>
  <si>
    <t>CAAP Creation, Région Sud Investissement, SCR Provence and Corsica(Sauveur Cascone), Turenne Groupe(Marie Desportes), Var Business Angels(Alexandre Lorenzi)</t>
  </si>
  <si>
    <t>assets tracking system, connected objects system, indoor location, iot sensors, iot technology, rfid sensors, sensor tags</t>
  </si>
  <si>
    <t>44142-04T</t>
  </si>
  <si>
    <t>Widoowin</t>
  </si>
  <si>
    <t>53220-88T</t>
  </si>
  <si>
    <t>28042-84T</t>
  </si>
  <si>
    <t>NeoMAD</t>
  </si>
  <si>
    <t>Developer of a mobile application development platform intended to deploy mobile digital strategy on all equipment respecting their native behavior, while optimizing costs and deadlines. The company's platform creates and industrializes native applications for mobiles, tablets, and connected objects with a single code for multiple targets and formats, enabling clients to create applications faster while reducing costs.</t>
  </si>
  <si>
    <t>Herrikoa, Omnes Capital, Pays de L'adour</t>
  </si>
  <si>
    <t>mobile application development, mobile digital strategy, port solutions, software developer tools, software publishing, software vendor management, software vendor solutions</t>
  </si>
  <si>
    <t>136059-04T</t>
  </si>
  <si>
    <t>Anyces</t>
  </si>
  <si>
    <t>Developer of home automation systems designed for users to interact with their environment from their phones. The company provides automation devices that let users control and manage electrical gadgets using Bluetooth, mobile phones and digital pads, enabling them to interact with objects around them remotely.</t>
  </si>
  <si>
    <t>Bouygues Développement, Crédit Agricole Création</t>
  </si>
  <si>
    <t>ambient intelligence, automation devices, consumer electronics, electrical gadgets, home automation system, remote object control</t>
  </si>
  <si>
    <t>88117-21T</t>
  </si>
  <si>
    <t>Big Fernand</t>
  </si>
  <si>
    <t>Operator of a restaurant chain focused on selling gourmet burgers. The company's restaurant chain offers burgers with herbs and fresh bread, made from meat, cooked from raw to charred, thereby enabling people to get freshly prepared sizzling hamburgers.</t>
  </si>
  <si>
    <t>Audacia (PAR: ALAUD), CapInvest, Extendam, Riccobono</t>
  </si>
  <si>
    <t>burger restaurant, burgers chain, fast food chain, food joint, hamburger joint, hamburger seller, restaurant chain, restaurant chain operator, restaurant outlet</t>
  </si>
  <si>
    <t>108864-73T</t>
  </si>
  <si>
    <t>ESSEC Ventures, Investisseurs privés</t>
  </si>
  <si>
    <t>96483-70T</t>
  </si>
  <si>
    <t>120074-41T</t>
  </si>
  <si>
    <t>Deskopolitan</t>
  </si>
  <si>
    <t>Construction and Engineering, Media and Information Services (B2B), Other Commercial Services*</t>
  </si>
  <si>
    <t>Provider of co-working spaces intended to offer an ideal work environment. The company's spaces offer a full range of services that emphasize well-being at work and user comfort and also include cafes, an artist studio, health &amp; beauty suites, phone booths, personal lockers, an external courtyard, and pockets of greenery inside, enabling startups and small businesses to work in a creative and flexible workspace environment.</t>
  </si>
  <si>
    <t>Groupe Chevrillon</t>
  </si>
  <si>
    <t>co-working area, co-working campus, co-working hub, co-working office, co-working service, co-working space, office space area</t>
  </si>
  <si>
    <t>138484-72T</t>
  </si>
  <si>
    <t>50432-23T</t>
  </si>
  <si>
    <t>EMN</t>
  </si>
  <si>
    <t>Provider of conventional cleaning services intended to perform all routine household maintenance and cleaning of professional premises. The company's services include relamping, plumbing repair, paintings, lawn mowing, weeding, and other small development works like cleaning offices, meeting rooms, and break rooms, enabling clients to maintain indoor and outdoor spaces to promote their well-being and efficiency and enhance the image of the company.</t>
  </si>
  <si>
    <t>cleaning service, conventional cleaning, household maintenance, lawn mowing, plumbing repair, upkeep services</t>
  </si>
  <si>
    <t>Brix, France</t>
  </si>
  <si>
    <t>84933-19T</t>
  </si>
  <si>
    <t>En Direct Des Eleveurs</t>
  </si>
  <si>
    <t>Animal Husbandry*, Beverages, Food Products</t>
  </si>
  <si>
    <t>Operator of dairy farms intended to provide cow milk and related products. The company's dairy farms produce, process, and supply healthy and ecological dairy products in a direct chain from the producer to the consumer traceable to the farm of origin in environmentally friendly packaging, enabling consumers to access fresh, nutritious, and organic milk products and support the local community.</t>
  </si>
  <si>
    <t>dairy farmers, dairy farming, dairy manufacturing, dairy operator, milk distribution, milk farming, milk producer, milk product</t>
  </si>
  <si>
    <t>Remouille, France</t>
  </si>
  <si>
    <t>223563-70T</t>
  </si>
  <si>
    <t>Fiduceo</t>
  </si>
  <si>
    <t>Provider of software services for managing personal finances. The company develops computer tools to simplify the management of the life financial of individuals as well as professionals and administrative.</t>
  </si>
  <si>
    <t>administrative software, financial software, personal finance management, software company, software developer, software service</t>
  </si>
  <si>
    <t>Alfortville, France</t>
  </si>
  <si>
    <t>107924-23T</t>
  </si>
  <si>
    <t>Evolem(Bruno Rousset)</t>
  </si>
  <si>
    <t>135177-31T</t>
  </si>
  <si>
    <t>Framboise</t>
  </si>
  <si>
    <t>Operator of a chain of restaurants intended to offer raspberry pancakes. The company's restaurants specializes in handmade crêpes and other pancakes made from buckwheat paste and wheat flour which can be ordered online and from retail outlets, enabling consumers to enjoy gluten-free fresh baked desserts and cakes.</t>
  </si>
  <si>
    <t>cafe, cakes and pastries, crepe, french bakery, pancake</t>
  </si>
  <si>
    <t>84765-07T</t>
  </si>
  <si>
    <t>Goodeed</t>
  </si>
  <si>
    <t>Provider of solidarity advertising services catering to advertisers and non-profits. The company offers direct activation, media buying, campaign optimization, project management, socially responsible activations, events and landing pages and enabling brands to leverage their advertising budget to support environmental or social projects and thus take advantage of the opportunity to promote their values and commitments directly to their target audiences.</t>
  </si>
  <si>
    <t>Bleu Capital(Jean-Pierre Chessé), Devoid, Interlace Ventures</t>
  </si>
  <si>
    <t>campaign optimization, donation app, online donation, philanthropy, project management, social action</t>
  </si>
  <si>
    <t>AdTech, FinTech, TMT</t>
  </si>
  <si>
    <t>124196-32T</t>
  </si>
  <si>
    <t>ABAB (Atlantic Business Angels Booster), Day One Entrepreneurs &amp; Partners</t>
  </si>
  <si>
    <t>125338-60T</t>
  </si>
  <si>
    <t>235173-79T</t>
  </si>
  <si>
    <t>Inovfruit</t>
  </si>
  <si>
    <t>Producer of chestnuts intended to serve people with natural products. The company offers services and support to members, training, and assistance with food development and distribution and provides a range of chestnut bags, enabling people to get various flavors and gluten-free chestnuts.</t>
  </si>
  <si>
    <t>AQUITI Gestion, Bpifrance, Finaqui</t>
  </si>
  <si>
    <t>chestnut product, chestnuts food product, chestnuts production, food products firm, health product, nutrition products</t>
  </si>
  <si>
    <t>Saint-Medard-De-Mussidan, France</t>
  </si>
  <si>
    <t>116048-08T</t>
  </si>
  <si>
    <t>Le Bus 26</t>
  </si>
  <si>
    <t>Operator of an open-air restaurant intended to offer customers a gourmet escape. The company's restaurant is a double-decker bus that has a customer reception and kitchen on the ground floor and a seating room with a panoramic view of the surrounding nature upstairs, enabling customers to enjoy the food at a new location every month with seasonal dishes.</t>
  </si>
  <si>
    <t>Auvergne Business Angels(Eric Borias)</t>
  </si>
  <si>
    <t>gourmet restaurant, open-air restaurant, restaurant chain, restaurant chain business, restaurant operator, restaurant service</t>
  </si>
  <si>
    <t>Chatel-guyon, France</t>
  </si>
  <si>
    <t>126327-43T</t>
  </si>
  <si>
    <t>Mirage Holograms</t>
  </si>
  <si>
    <t>Developer of a holographic display platform intended to optimize the commercial performance of sales locations and other public venues. The company's platform helps to create intuitive interactive interfaces and fast integration of content and information systems and can be centralized with remote control, enabling clients to showcase their products by introducing features and details to are visually appealing and also challenge the perception of reality.</t>
  </si>
  <si>
    <t>holographic display, holographic display designer, holographic media, holographic reality, holographic video display, interactive display, interactive display system</t>
  </si>
  <si>
    <t>Augmented Reality, Marketing Tech, SaaS</t>
  </si>
  <si>
    <t>127429-39T</t>
  </si>
  <si>
    <t>Nelio</t>
  </si>
  <si>
    <t>Application Software, Distributors/Wholesale (B2C), Food Products, Internet Retail*</t>
  </si>
  <si>
    <t>Developer of a grocery delivery application designed to connect grocery stores with consumers. The company's application connects users with grocery stores nearby and allows them to order products through the mobile or over website, enabling consumers to avail variety of fruits, vegetables &amp; groceries in their own time.</t>
  </si>
  <si>
    <t>grocery delivery, grocery delivery application, grocery delivery business, grocery delivery platform, grocery delivery service</t>
  </si>
  <si>
    <t>200949-40T</t>
  </si>
  <si>
    <t>Orphalan</t>
  </si>
  <si>
    <t>Developer of treatments for rare diseases intended to improve the lives of patients. The company uses a global network of experts including scientists, academic institutions, and companies with innovative technologies to provide support, enabling healthcare workers to provide treatments and services that work for patients.</t>
  </si>
  <si>
    <t>Advent Life Sciences(Kaasim Mahmood), Advent Venture Partners, Alain Rodermann(Alain Rodermann), Bpifrance, Kreos Capital</t>
  </si>
  <si>
    <t>disease treatment, drug testing, innovative treatment, product development, rare disease treatment, treatment therapy</t>
  </si>
  <si>
    <t>99215-56T</t>
  </si>
  <si>
    <t>Pollen AM</t>
  </si>
  <si>
    <t>Business/Productivity Software, Machinery (B2B)*</t>
  </si>
  <si>
    <t>Manufacturer of industrial 3D printers with additive manufacturing technology intended to offer metallic and ceramic additive manufacturing assistance. The company's printers use a micro-extrusion process adapted to 3D printing applications using already existing industrial pellet materials, enabling design offices, laboratories, and general industries to benefit from a production tool adaptable to project and material needs.</t>
  </si>
  <si>
    <t>3d printer, 3d printer systems, additives manufacturing, manufacturing solution provider, manufacturing solutions, metal additive manufacturing</t>
  </si>
  <si>
    <t>3D Printing, Advanced Manufacturing, Industrials, TMT</t>
  </si>
  <si>
    <t>Ivry sur Seine, France</t>
  </si>
  <si>
    <t>87368-95T</t>
  </si>
  <si>
    <t>Bpifrance, Jérémie Berrebi, Kima Ventures, Nestadio Capital, XAnge</t>
  </si>
  <si>
    <t>78685-39T</t>
  </si>
  <si>
    <t>Kima Ventures, NCI Gestion, The Family (Financial Services), Végéo Capital</t>
  </si>
  <si>
    <t>125888-41T</t>
  </si>
  <si>
    <t>TENEVIA</t>
  </si>
  <si>
    <t>Developer of environment monitoring systems designed to anticipate and mitigate extreme climate events. The company offers environment surveillance data accessible in the form of business software, sensors, simulators, and online services, enabling clients and government agencies to forecast and work towards the prevention of natural risks.</t>
  </si>
  <si>
    <t>Bpifrance, EIT Climate-KIC</t>
  </si>
  <si>
    <t>climate change data, computer vision, environment data, environmental monitoring, flood forecasting, flood warning, hydrological modeling</t>
  </si>
  <si>
    <t>72794-62T</t>
  </si>
  <si>
    <t>The Assets</t>
  </si>
  <si>
    <t>Application Software, Building Products, Construction and Engineering*, Social/Platform Software</t>
  </si>
  <si>
    <t>Provider of an online asset platform. The company's platform deals in sell or purchase business assets which are tangible or intangible, enabling entrepreneurs and investor to index or search for verified asset deals.</t>
  </si>
  <si>
    <t>Alexandre Mironesco(Alexandre Mironesco), GoBeyond</t>
  </si>
  <si>
    <t>assets deals, assets platform</t>
  </si>
  <si>
    <t>107319-25T</t>
  </si>
  <si>
    <t>The Oz</t>
  </si>
  <si>
    <t>Operator of an e-retail digital partner agency based in Paris, France. The company operates as a partner for brands in the establishment, development, and management of their internet sales channels, providing services like site creation, content management and merchandising, logistics, customer service, and e-marketing, enabling organizations in fully exploit their digital sales potential by developing unique expertise in omnichannel e-commerce.</t>
  </si>
  <si>
    <t>ecommerce consulting, ecommerce developer, ecommerce strategy, omnichannel strategy, online store management, sales consulting firm</t>
  </si>
  <si>
    <t>85171-96T</t>
  </si>
  <si>
    <t>Bpifrance, European Union, Region Bourgogne Franche Comté, Réseau Entreprendre Bourgogne, Starquest Capital</t>
  </si>
  <si>
    <t>61659-28T</t>
  </si>
  <si>
    <t>Active Membrane System</t>
  </si>
  <si>
    <t>Provider of healthcare services. The company caters to the medical industry and offers its services in France.</t>
  </si>
  <si>
    <t>Sagona Capital</t>
  </si>
  <si>
    <t>commercial services, membrane, membrane care, membrane curing services</t>
  </si>
  <si>
    <t>125794-99T</t>
  </si>
  <si>
    <t>40328-20T</t>
  </si>
  <si>
    <t>#adm Ventures, Alven Capital Partners(Charles Letourneur), DN Capital, Fabrice Grinda(Fabrice Grinda), Paul Holliman(Paul Holliman)</t>
  </si>
  <si>
    <t>160541-02T</t>
  </si>
  <si>
    <t>86606-83T</t>
  </si>
  <si>
    <t>43952-23T</t>
  </si>
  <si>
    <t>Eribel</t>
  </si>
  <si>
    <t>Manufacturer of fire-resistant glazed products designed to develop entrance halls and automatic opening doors to facilitate safety. The company's products are made with fire-resistant, burglar-resistant closures, and bulletproof equipment ensuring the protection of people and property, while combining light, aesthetics, and comfort, enabling customers to upgrade their security systems.</t>
  </si>
  <si>
    <t>Bpifrance(Ronan Frefield), ILP Group, Lorraine Institute participation</t>
  </si>
  <si>
    <t>building construction, construction service, fire doors, fire resistance, fire safety door, fire-resistant, project management, security equipment</t>
  </si>
  <si>
    <t>Saint-Michel-sur-Meurthe, France</t>
  </si>
  <si>
    <t>40698-73T</t>
  </si>
  <si>
    <t>Angelor, Auvergne Business Angels(Eric Borias), FaDiese, JEREMIE Auvergne, OSEO Innovation, Sofimac Investment Managers(Francois Miceli)</t>
  </si>
  <si>
    <t>119472-22T</t>
  </si>
  <si>
    <t>49507-39T</t>
  </si>
  <si>
    <t>Bpifrance, Karista (Paris)(Olivier Dubuisson)</t>
  </si>
  <si>
    <t>43862-59T</t>
  </si>
  <si>
    <t>50436-82T</t>
  </si>
  <si>
    <t>Enaco (France)</t>
  </si>
  <si>
    <t>Developer of an educational platform intended to train professionals and leaders. The company primarily operates an online educational institute offering various courses in engineering and management and also offers an online platform for course materials and case studies, thereby providing companies with recruitment assistance and tailor-made support.</t>
  </si>
  <si>
    <t>business school, continuing education, distance learning, distance training, e-learning services, engineering institute, online business school, online learning platform, professional retraining</t>
  </si>
  <si>
    <t>Roubaix Cedex, France</t>
  </si>
  <si>
    <t>78988-96T</t>
  </si>
  <si>
    <t>GRAVIT Innovation, Inria, Inserm Transfert, IT-Translation</t>
  </si>
  <si>
    <t>45004-33T</t>
  </si>
  <si>
    <t>AQUITI Gestion, Demeter Partners(Olivier Dupont), Expanso Capital, Galia Gestion, PULSE GroupeSOS</t>
  </si>
  <si>
    <t>40550-41T</t>
  </si>
  <si>
    <t>Clay Capital (Singapore)(Matthieu Vermersch), Demeter Partners, Emertec Gestion</t>
  </si>
  <si>
    <t>188340-94T</t>
  </si>
  <si>
    <t>Two notes Audio Engineering</t>
  </si>
  <si>
    <t>Electronics (B2C)*, Multimedia and Design Software</t>
  </si>
  <si>
    <t>Developer of an audio engineering device designed to manufacture and sell audio products. The company's device specializes in developing solid-state amplifier base technology, enabling studio and live sound professionals to modify existing sound output according to one's requirements.</t>
  </si>
  <si>
    <t>audio engineering, audio technology, bass technology, music technology, sound engineering, sound engineering technology</t>
  </si>
  <si>
    <t>Saint-Gély-du-Fesc, France</t>
  </si>
  <si>
    <t>47255-59T</t>
  </si>
  <si>
    <t>Cancer Research Horizons, Idinvest Partners, Kurma Partners(Thierry Laugel), Valneva (PAR: VLA)(Franck Grimaud)</t>
  </si>
  <si>
    <t>86487-94T</t>
  </si>
  <si>
    <t>Vertex Ventures China</t>
  </si>
  <si>
    <t>131845-06T</t>
  </si>
  <si>
    <t>39826-72T</t>
  </si>
  <si>
    <t>Ader Finance, Capnamic Ventures(Christian Siegele), IRIS (Private Equity)(Sophie Dingreville), Orange Fab France, Publicis Groupe (PAR: PUB)</t>
  </si>
  <si>
    <t>40243-15T</t>
  </si>
  <si>
    <t>45004-24T</t>
  </si>
  <si>
    <t>Aster Capital(Jean-Marc Bally), Trail Solutions Patrimoine</t>
  </si>
  <si>
    <t>110777-59T</t>
  </si>
  <si>
    <t>Bpifrance, El Camino Resources, Pleiade Venture</t>
  </si>
  <si>
    <t>40016-08T</t>
  </si>
  <si>
    <t>Trainline (UK)</t>
  </si>
  <si>
    <t>Online seller of train tickets. The company provides a booking site to buy train tickets from multiple rail providers serving 19 countries in Europe.</t>
  </si>
  <si>
    <t>Alven Capital Partners(Jeremy Uzan), Crédit Mutuel Impact, Index Ventures(Martin Mignot), Phoenix Court, The Family (Financial Services), Xavier Niel(Xavier Niel)</t>
  </si>
  <si>
    <t>online ticketing, ticketing books</t>
  </si>
  <si>
    <t>121411-27T</t>
  </si>
  <si>
    <t>Arteum</t>
  </si>
  <si>
    <t>Manufacturer and distributor of cultural and touristic products for gift shops and bookshops-gift shops of fine art museums. The company offers carefully sourced and produced assortments specific to each site and exhibition brand, with an eco-friendly approach and expertise in enhancing museum heritage and creativity, enabling cultural enthusiasts to enrich their experience and support museum influence.</t>
  </si>
  <si>
    <t>art retail, art retail stores, art retailer, bookshop management, boutique management, cultural product, touristic product</t>
  </si>
  <si>
    <t>69437-98T</t>
  </si>
  <si>
    <t>BioFilm Control</t>
  </si>
  <si>
    <t>Operator of a biotechnology company intended to detect the biofilm behavior of microorganisms. The company's technology includes innovative services for in vitro diagnostics tests and offers studies to detect the susceptibility of bacteria to antibiotics, both in planktonic and biofilm populations, enabling clients to operate with advanced biotechnical methods and help them characterize and optimize the activity of their products on micro-organisms.</t>
  </si>
  <si>
    <t>Entrepreneur Invest, Medical Innovative Plastic Investments, Merieux Nutrisciences, Sofimac Investment Managers</t>
  </si>
  <si>
    <t>biofilms formation, biotechnology process, medical analysis, microorganisms detection, microscope system, proprietary technology</t>
  </si>
  <si>
    <t>Saint-Beauzire, France</t>
  </si>
  <si>
    <t>121534-21T</t>
  </si>
  <si>
    <t>Caviar Ulteria</t>
  </si>
  <si>
    <t>Operator of a caviar food based in Paris, France. The company's primary product range includes a variety of caviar that comes from a rare sturgeon fish whose origins are from the Adriatic Sea and that has a distinct taste, texture, and color, enabling customers to taste the traditional delicacy.</t>
  </si>
  <si>
    <t>alt-proteins, caviar product, cultivated protein, fish product, food product company, traditional food</t>
  </si>
  <si>
    <t>55293-49T</t>
  </si>
  <si>
    <t>Fashion Capital Partners, Headbangers Publishing, NellyRodi</t>
  </si>
  <si>
    <t>85006-99T</t>
  </si>
  <si>
    <t>Neowave</t>
  </si>
  <si>
    <t>Computers, Parts and Peripherals, Network Management Software, Storage (IT)*</t>
  </si>
  <si>
    <t>Provider of security products intended to offer protection to computer data. The company's products protect the digital heritage of companies and users through strong authentication technologies based on secure components and digital certificates as well as address the cybersecurity, digital trust, and identity of management markets, enabling users to avail of security products that facilitate strong authentication and secure transactions.</t>
  </si>
  <si>
    <t>Banque Populaire Méditerranée, Bpifrance, CAAP Creation(Armand Perrin), Paca Entreprendre, Pays d'Aix Développement, Region Provence Alpes Cote d' Azur, Semaphores, Starquest Capital, Total Developpement Regional</t>
  </si>
  <si>
    <t>data authentication, data encryption, data security, digital security, iot security, iot software, network security, security software, smart card technology</t>
  </si>
  <si>
    <t>51665-95T</t>
  </si>
  <si>
    <t>Niland</t>
  </si>
  <si>
    <t>Media and Information Services (B2B)*, Social/Platform Software</t>
  </si>
  <si>
    <t>Provider of music search and recommendation engines designed to solve search and recommendation problems for music companies. The company's music search and recommendation engines makes recommendation for music based on a technology by using machine learning techniques and analyzing the acoustic signal, create playlists tailored to the tastes or find a song for a movie or an advertisement from specific criteria or demo, enabling music companies to build a new generation of intelligent music applications.</t>
  </si>
  <si>
    <t>music recommendation, music search engine, music search platform, playlist, songs finding</t>
  </si>
  <si>
    <t>Artificial Intelligence &amp; Machine Learning, AudioTech, TMT</t>
  </si>
  <si>
    <t>86634-55T</t>
  </si>
  <si>
    <t>AQUITI Gestion, Pertinence Invest, Starquest Capital</t>
  </si>
  <si>
    <t>101129-23T</t>
  </si>
  <si>
    <t>Autonomie &amp; Solidarité, Caisse Solidaire, Nord Création, Nord France Amorçage</t>
  </si>
  <si>
    <t>26126-83T</t>
  </si>
  <si>
    <t>Breizh Invest PME, OSEO Innovation</t>
  </si>
  <si>
    <t>71852-59T</t>
  </si>
  <si>
    <t>171158-95T</t>
  </si>
  <si>
    <t>Gerard Keraval(Gerard Keraval), John Queffélec(John Queffélec)</t>
  </si>
  <si>
    <t>128758-24T</t>
  </si>
  <si>
    <t>Skilvioo</t>
  </si>
  <si>
    <t>Developer of a SaaS platform intended to offer skill-set training to learners. The company's repository has several features, including training content clarification, self-assessment, and structured blocks for skills, thereby enabling customers to increase the visibility of their training offer.</t>
  </si>
  <si>
    <t>academic platform, educational application, educational platform, learning platform, training platform, training services</t>
  </si>
  <si>
    <t>35483-41T</t>
  </si>
  <si>
    <t>AQUITI Gestion, Bpifrance(Mailys Ferrere), CEA Investissement, Dynalim, Grenoble Angels, Limousin Participations, Savoie Angels, Siparex Group, Sofimac Innovation</t>
  </si>
  <si>
    <t>51793-12T</t>
  </si>
  <si>
    <t>Kerala Ventures(Olivier Occelli)</t>
  </si>
  <si>
    <t>39827-53T</t>
  </si>
  <si>
    <t>Belcube, DuVal Family Association, Grégoire de Streel, Harold Mechelynck(Harold Mechelynck), Jean Zurstrassen(Jean Zurstrassen), XAnge(Cyril Bertrand)</t>
  </si>
  <si>
    <t>39771-19T</t>
  </si>
  <si>
    <t>Melijoe.com</t>
  </si>
  <si>
    <t>Operator of an online fashion retail platform based in Paris, France. The company's platform offers clothes, shoes, and accessories for children that include products from top designers and famous brands, thereby enabling parents to get a one-stop shop for their kids.</t>
  </si>
  <si>
    <t>Crédit Mutuel Equity, Crédit Mutuel Impact(Stéphane Pesqué), Gimv (BRU: GIMB)</t>
  </si>
  <si>
    <t>children accessories, children wear, fashion accessories, online clothing, online retail platform, virtual marketplace</t>
  </si>
  <si>
    <t>68031-64T</t>
  </si>
  <si>
    <t>Serena (Paris)(Marc Fournier), Sofilaro</t>
  </si>
  <si>
    <t>135201-16T</t>
  </si>
  <si>
    <t>Vigilio</t>
  </si>
  <si>
    <t>Information Services (B2C), Monitoring Equipment*</t>
  </si>
  <si>
    <t>Developer of a monitoring device designed to detect the movement of elderly people. The company offers a wearable electronic biosensor that emits a warning via radio transmitter if the person who is wearing it falls, enabling users to monitor patient safety.</t>
  </si>
  <si>
    <t>application platform, biosensor, fall detection patch, fall detection technology, monitoring device, safety monitor, senior care</t>
  </si>
  <si>
    <t>136767-70T</t>
  </si>
  <si>
    <t>Bpifrance, Investisseurs privés, McCain Foods</t>
  </si>
  <si>
    <t>39682-27T</t>
  </si>
  <si>
    <t>VidCoin</t>
  </si>
  <si>
    <t>Provider of proprietary pre-cached video services intended to facilitate the selling of mobile in-app inventory in RTB exchanges in the same. The company offers asynchronous video services optimized for mobile, via real-time exchanges developed for desktop display, thereby enabling advertisers to access pre-cached video inventory easily than buying it directly</t>
  </si>
  <si>
    <t>Kima Ventures, Virtual Network</t>
  </si>
  <si>
    <t>advertising technology, in games advertisement, mobile advertising, video ads, video advertising, video services, video services provider, video services software</t>
  </si>
  <si>
    <t>AdTech, Mobile, SaaS, TMT</t>
  </si>
  <si>
    <t>77179-42T</t>
  </si>
  <si>
    <t>MonEden</t>
  </si>
  <si>
    <t>Other Consumer Durables, Specialty Retail*</t>
  </si>
  <si>
    <t>Operator of an online shopping platform intended to offer plants and garden items. The company's platform offers plants, gardening tips as well as outdoor garden products like barbecue grills, outdoor furniture, garden sheds and lighting, enabling users to decorate their garden.</t>
  </si>
  <si>
    <t>Capagro(Jean-Baptiste Cuisinier), NCI Gestion</t>
  </si>
  <si>
    <t>cleaning product, garden care, garden cleaning product, garden furniture, garden maintenance product, garden maintenance tools</t>
  </si>
  <si>
    <t>Genicourt, France</t>
  </si>
  <si>
    <t>77666-14T</t>
  </si>
  <si>
    <t>VF Bioscience</t>
  </si>
  <si>
    <t>Biotechnology, Food Products*, Other Pharmaceuticals and Biotechnology</t>
  </si>
  <si>
    <t>Producer of probiotic-based food supplements intended to provide new probiotic strains, active bacterial metabolites, and fermentation products. The company's products include the prevention of cardiovascular and metabolic disorders, immune system, improvement of mood, cognitive function, and bone health maintenance, enabling clients to consume healthy and tasty food supplements made out of patented plant extracts.</t>
  </si>
  <si>
    <t>Finovam Gestion, Nord France Amorçage, Siparex Group</t>
  </si>
  <si>
    <t>bio-engineered food, bioscience products, bone health, fermentation system, food supplements, food supplements items, functional food, probiotics food</t>
  </si>
  <si>
    <t>39392-65T</t>
  </si>
  <si>
    <t>FinSight Ventures, Generis Capital Partners, John Donovan(John Donovan), Sancus Lending Group (LON: LEND)(Geoffrey Miller), SGH Capital(Alexandre Azoulay)</t>
  </si>
  <si>
    <t>44554-24T</t>
  </si>
  <si>
    <t>Vimies</t>
  </si>
  <si>
    <t>Developer of a mobile music sharing application designed to discover and share music with friends. The company's mobile music sharing application matches users with their musical soulmates to build their musical graph, enabling them to discover and share music on social networking sites like Instagram, WhatsApp and more.</t>
  </si>
  <si>
    <t>Frst Capital, Kima Ventures, Sofimac Innovation</t>
  </si>
  <si>
    <t>mobile music, mobile music sharing, music application, music sharing, music sharing application, musicals graphing, musicals soulmates</t>
  </si>
  <si>
    <t>AudioTech, Mobile, TMT</t>
  </si>
  <si>
    <t>123642-91T</t>
  </si>
  <si>
    <t>easyLi</t>
  </si>
  <si>
    <t>Electrical Equipment, Energy Storage*</t>
  </si>
  <si>
    <t>Operator of an electronics manufacturing company intended to provide battery storage. The company provides lithium-ion technologies for electromobility, onboard and off-grid energy, and smart building, enabling electric vehicles, logistics, and robotics industries to improve their energy performance.</t>
  </si>
  <si>
    <t>AQUITI Gestion, IFP Energies Nouvelles(Éric Lafargue), Poitou-Charentes Innovation(Joel Mazet)</t>
  </si>
  <si>
    <t>battery storage solutions, electronics manufacturing, energy solutions, energy storage, lithium battery systems, lithium ions, stationary storage</t>
  </si>
  <si>
    <t>Chasseneuil-Du-Poitou, France</t>
  </si>
  <si>
    <t>39204-19T</t>
  </si>
  <si>
    <t>Après-demain, NextStage AM</t>
  </si>
  <si>
    <t>50820-85T</t>
  </si>
  <si>
    <t>Innovacom (Paris)(Vincent Deltrieu), SEB Alliance(François-Xavier Meyer)</t>
  </si>
  <si>
    <t>39118-78T</t>
  </si>
  <si>
    <t>Altice France, Crédit Mutuel Innovation(Guillaume Dhee), Highland Europe(Laurence Garrett), Innovacom (Paris)(Jérôme Faul)</t>
  </si>
  <si>
    <t>209605-24T</t>
  </si>
  <si>
    <t>Bam Karaoke Box</t>
  </si>
  <si>
    <t>Operator of a chain of Karaoke bars intended to revolutionize the perception of karaoke. The company offers several private rooms of different sizes and with different atmospheres, as well as a catalog of several titles, decorations, state-of-the-art technology and the cocktail bar key elements, enabling its customers to get a liberating and enhanced experience with singularity.</t>
  </si>
  <si>
    <t>cocktail bar service, entertainment house, entertainment needs, karaoke bar, karaoke boxes, karaoke club, karaoke rooms service, private karaoke rooms</t>
  </si>
  <si>
    <t>39082-51T</t>
  </si>
  <si>
    <t>Menlook Group</t>
  </si>
  <si>
    <t>Accessories, Clothing, Information Services (B2C), Specialty Retail*</t>
  </si>
  <si>
    <t>Operator of an online marketplace designed to offer content dedicated to men's lifestyle and fashion. The company's marketplace combines a wide selection of ready-to-wear, shoes and accessories with editorial content and magazines with all topics of interest to men, from fashion to high-tech, including culture, cars, travel and good food, enabling users to accurately transcribes the masculine lifestyle spirit.</t>
  </si>
  <si>
    <t>123 Investment Managers(Olivier Goy), Acton Capital, Bpifrance, Idinvest Partners(Benoist Grossmann), Kreos Capital, Orkos Capital(Dominique Rencurel), Partech(Philippe Collombel), Solorun</t>
  </si>
  <si>
    <t>man accessories, man fashion media, media service, media services, online apparel</t>
  </si>
  <si>
    <t>39125-62T</t>
  </si>
  <si>
    <t>Eurazeo (PAR: RF), Marc Menasé, Partech(Philippe Collombel), Weber Investissements(Christian Gueugnier)</t>
  </si>
  <si>
    <t>40746-88T</t>
  </si>
  <si>
    <t>Carlina Technologies</t>
  </si>
  <si>
    <t>Developer of nano medicines designed to relieve patients suffering from many diseases. The company's medicines utilize innovative non-denaturing drug delivery technologies for therapeutic proteins, peptides and other types of drugs, enabling patients to improve compliance and quality of life.</t>
  </si>
  <si>
    <t>GO Capital (France)(Bertrand Distinguin), Siparex Group</t>
  </si>
  <si>
    <t>analytical methods, biologics, improve compliance, nanoemulsions, nanomedicine, nanomedicine technology, peptides, protein</t>
  </si>
  <si>
    <t>118683-01T</t>
  </si>
  <si>
    <t>IMAO</t>
  </si>
  <si>
    <t>Provider of aerial mapping services focused on offering optimized flight and data capture strategy. The company is specialized in the acquisition of cartographic and topographic data by aerial means including vertical or oblique metric aerial shots and acquisitions of digital terrain and surface models, providing the aviation industry with photogrammetric imagery for mapping, cartography, and digital terrain and surface models.</t>
  </si>
  <si>
    <t>AQUITI Gestion, XAnge</t>
  </si>
  <si>
    <t>aerial mapping service, aerial photography, data acquisition, digital imagery, photogrammetric imagery, remote sensing imagery</t>
  </si>
  <si>
    <t>71851-60T</t>
  </si>
  <si>
    <t>SatisFactory</t>
  </si>
  <si>
    <t>Developer of a feedback management platform designed to assist companies in gathering opinions and surveys. The company's platform integrates big data and artificial intelligence to administer routes, manage sources of feedback, and analyze data, enabling businesses and operational teams to improve customer relationships.</t>
  </si>
  <si>
    <t>Generis Capital Partners, Reseau Entreprendre 92</t>
  </si>
  <si>
    <t>customer satisfaction data, data sharing software, data sharing tools, employee survey, feedback management, feedback management tool, online survey</t>
  </si>
  <si>
    <t>88167-07T</t>
  </si>
  <si>
    <t>Bpifrance, Sofimac Investment Managers</t>
  </si>
  <si>
    <t>39105-64T</t>
  </si>
  <si>
    <t>Agence42</t>
  </si>
  <si>
    <t>Operator of a digital and creative communications agency intended to offer digital economic modeling. The company offers services that include digital communication strategies, development of digital fame, animation, management and development of the social media community, personal branding and cleaning of unwanted links, enabling companies to get noticed in the increasingly competitive and successful environment.</t>
  </si>
  <si>
    <t>Oak Invest(Stephane Traumat)</t>
  </si>
  <si>
    <t>brand communication agency, content marketing agency, content marketing system, digital marketing system, web communication, web development services</t>
  </si>
  <si>
    <t>45302-05T</t>
  </si>
  <si>
    <t>SafeRail</t>
  </si>
  <si>
    <t>Construction and Engineering*, Consulting Services (B2B), Electrical Equipment</t>
  </si>
  <si>
    <t>Provider of project management and assistance services intended to focus on the maintenance of control-command and signaling systems for urban and mainline guided transport. The company specializes in engineering, consulting, training, scrutineering, testing, and outlining projects of metro, sidings, industrial, and port railway networks, enabling clients to receive services that cover all phases of the life cycle of control command and signaling projects.</t>
  </si>
  <si>
    <t>Bpifrance(Marc Prevot)</t>
  </si>
  <si>
    <t>port railway network, project management, rail safety, rail service, rail service provider, signaling service, train equipment</t>
  </si>
  <si>
    <t>88142-32T</t>
  </si>
  <si>
    <t>Wizypay</t>
  </si>
  <si>
    <t>Information Services (B2C), Other Financial Services*</t>
  </si>
  <si>
    <t>Provider of e-gifting services intended to integrate prepaid and gift card technology into information systems. The company's platform offers a mobile payment terminal by credit card and a reader via smartphone which is simple to use and secured, enabling marketplaces and merchant sites to easily manage gift card or e-wallet programs.</t>
  </si>
  <si>
    <t>Computer Software Holding Company</t>
  </si>
  <si>
    <t>card services platform, e-gifting, e-gifting platform, e-merchant payment, gift card, online credit payment</t>
  </si>
  <si>
    <t>FinTech, Mobile Commerce, SaaS</t>
  </si>
  <si>
    <t>76761-28T</t>
  </si>
  <si>
    <t>Do Tours</t>
  </si>
  <si>
    <t>Developer of a travel guide application designed to offer information on old heritage and tourist spots. The company's application aggregates data and history on places, attractions, events, retail and transport of various locations, and also offers editorial content on travel, enabling users to generate personalized discovery tours in real-time based on their present location.</t>
  </si>
  <si>
    <t>BA06(Georges Dao), Business Angel France, Finapere Capital, Région Sud Investissement</t>
  </si>
  <si>
    <t>digital tourism, digital tourism services, mobile media, tourist guide, travel app, travel data, travel data platform</t>
  </si>
  <si>
    <t>47246-32T</t>
  </si>
  <si>
    <t>Remix Community</t>
  </si>
  <si>
    <t>Buildings and Property*, Consulting Services (B2B)</t>
  </si>
  <si>
    <t>Operator of an entrepreneurial community designed to provide workspaces and establish healthy relationships between coworkers. The company's community hosts several events each week including workshops, brainstorming sessions, expert consultations, openings, and cocktails, enabling individuals and entrepreneurs to avail workspaces and co-working zones for building up their startup ideas.</t>
  </si>
  <si>
    <t>Alexandre Battle(Alexandre Battle), Evelyne Kuoh(Evelyne Kuoh), Financière Saint James(Michaël Benabou), Florian Sauvin(Florian Sauvin), Guibor, Olfa Zorgati(Olfa Zorgati)</t>
  </si>
  <si>
    <t>community space, co-working hub, co-working office, co-working space, entrepreneurial community, entrepreneurial space, shared office</t>
  </si>
  <si>
    <t>182869-21T</t>
  </si>
  <si>
    <t>Nauticom</t>
  </si>
  <si>
    <t>Electronic Equipment and Instruments*, Marine</t>
  </si>
  <si>
    <t>Provider of electronic and computer equipment intended for the nautical sector. The company specializes in the online sale of marine communication and IT equipment, comfort accessories, and water sports, enabling clients to get an installation of tools wherever on the French coast.</t>
  </si>
  <si>
    <t>comfort accessories, computer equipment installation, electronic equipment, marine communication device, marine equipment, marine service provider, nautical sector, remote service</t>
  </si>
  <si>
    <t>88208-92T</t>
  </si>
  <si>
    <t>Oticr</t>
  </si>
  <si>
    <t>Paper Containers and Packaging*, Wood Containers and Packaging</t>
  </si>
  <si>
    <t>Manufacturer of flat cardboard packaging intended to provide packaging to pharmaceutical, food and industrial products. The company specializes in printed cardboard packaging and adhesive label printing, providing businesses with cost-friendly packaging solutions.</t>
  </si>
  <si>
    <t>cardboard packaging, cardboard product, packaging company, packaging product, packaging solutions, packaging systems</t>
  </si>
  <si>
    <t>Chatillon-en-Michaille, France</t>
  </si>
  <si>
    <t>45031-24T</t>
  </si>
  <si>
    <t>117228-88T</t>
  </si>
  <si>
    <t>Bonitasoft</t>
  </si>
  <si>
    <t>Developer of a process management software designed to create multidisciplinary business applications. The company's platform provides robotic automation, low code application development, case management, information and support covering various product-related issues that occur while designing, developing, deploying and delivering the application, enabling its clients in education, energy, healthcare, financial and retail sector to get efficient digital transformation.</t>
  </si>
  <si>
    <t>Auriga Partners (Paris)(Philippe Granger), Bpifrance, CDC Enterprises, Serena (Paris), Ventech (Paris)(Claire Houry)</t>
  </si>
  <si>
    <t>automation platform, bpm platform, business process management, business process tools, digital transformation, open source provider, open source software, process improvement, workflow software solutions</t>
  </si>
  <si>
    <t>35862-04T</t>
  </si>
  <si>
    <t>BulkyPix</t>
  </si>
  <si>
    <t>Application Software, Entertainment Software*, Publishing</t>
  </si>
  <si>
    <t>Developer of video games intended to publish games for mobile market. The company's video games include virtual reality games and enhanced gaming applications for smartphones, social networks, tablets and computers, enabling users to avail games in a hassle free way and have an enhanced gaming experience.</t>
  </si>
  <si>
    <t>application publishing, digital application, digital entertainment, video games publishing</t>
  </si>
  <si>
    <t>Mobile, SaaS, TMT, Virtual Reality</t>
  </si>
  <si>
    <t>89249-77T</t>
  </si>
  <si>
    <t>C2A</t>
  </si>
  <si>
    <t>Other Commercial Products*, Other Commercial Services, Other Financial Services</t>
  </si>
  <si>
    <t>Operates a payment and fuel card designed for the transport industry. The company's payment card combines the advantages of a bank card and a fuel card and gives access to a multitude of sales outlets, products, and professional services with expenditure control, fleet management, and savings, enabling businesses to streamline payments and potentially reduce fuel costs.</t>
  </si>
  <si>
    <t>business travel, corporate card, credit card, enterprise payment, expense management, fleet management, payment card</t>
  </si>
  <si>
    <t>55301-32T</t>
  </si>
  <si>
    <t>Fashion Capital Partners(Céline Lippi)</t>
  </si>
  <si>
    <t>50449-87T</t>
  </si>
  <si>
    <t>Eurovanille</t>
  </si>
  <si>
    <t>Cultivation, Distributors/Wholesale, Food Products*</t>
  </si>
  <si>
    <t>Operator of a food processing firm intended to cultivate and distribute natural vanilla. The company cultivates vanilla and produces its powder, extracts natural ingredients, aromas and concentrates and makes organic products, providing chefs and restaurants with vanilla pods direct from the source.</t>
  </si>
  <si>
    <t>Audacia (PAR: ALAUD), Nord Capital Partenaires</t>
  </si>
  <si>
    <t>food production, vanilla pods, vanilla pods provider, vanilla processing company, vanilla product, vanilla provider</t>
  </si>
  <si>
    <t>Gouy-Saint-André, France</t>
  </si>
  <si>
    <t>116805-61T</t>
  </si>
  <si>
    <t>New Imaging Technologies</t>
  </si>
  <si>
    <t>Application Specific Semiconductors, Computers, Parts and Peripherals, Electronic Equipment and Instruments*</t>
  </si>
  <si>
    <t>Developer of short-wave infrared and hdr imaging technologies designed to meet the requirements of a wide range of applications in the industrial and defense fields. The company's technologies offer imaging sensors and cameras that operate over dynamic range, are useful for machine vision, automobile and autonomous driving, biometrics, security and surveillance and provide sensor design with complete camera engineering, enabling clients to get a complete portfolio of cameras and detectors with visible, intensified and SWIR technology.</t>
  </si>
  <si>
    <t>BlueBird Venture, Sony (TKS: 6758)</t>
  </si>
  <si>
    <t>autonomous driving, cmos imaging sensors, imaging sensors, imaging technology, imaging technology systems, machine vision</t>
  </si>
  <si>
    <t>Verrières le Buisson, France</t>
  </si>
  <si>
    <t>33236-29T</t>
  </si>
  <si>
    <t>Gemmes Venture, Paris&amp;Co Incubateurs</t>
  </si>
  <si>
    <t>67839-22T</t>
  </si>
  <si>
    <t>Pharmaleads</t>
  </si>
  <si>
    <t>Developer of non-opiate medicines designed to be used for the treatment of acute and chronic pain. The company's medicines are based on enkephalins, a key element of the physiological pain modulation system, enabling healthcare institutions and patients suffering from severe chronic and acute pain to avail improved pain relief without the side effects associated with other classes of analgesics.</t>
  </si>
  <si>
    <t>iXCore(Jean-Pierre Kinet)</t>
  </si>
  <si>
    <t>disease detection, disease inhibition, dual enkephalinase inhibitors, healthcare research, innovative non-opiate medicine, pain relief medicine, pain treatment</t>
  </si>
  <si>
    <t>38644-48T</t>
  </si>
  <si>
    <t>Alven Capital Partners(Raffi Kamber), Florian Douetteau, Xavier Niel(Xavier Niel)</t>
  </si>
  <si>
    <t>51794-83T</t>
  </si>
  <si>
    <t>Sabooj</t>
  </si>
  <si>
    <t>Operator of a communication consulting agency intended to create social responsibility value. The company's agency specializes in the production of print, multimedia, web, video, and photo media services including editing, animation, photography, and illustration that combine personal convictions and economic performance to produce wealth, creativity, and differentiation, enabling businesses to avail enhanced business communication services.</t>
  </si>
  <si>
    <t>Impact Partners (Paris)(Mathieu Cornieti)</t>
  </si>
  <si>
    <t>business communication, communication service, communications agency, consulting agency, corporate communication service, multimedia service, visual creation, visual identity</t>
  </si>
  <si>
    <t>57422-62T</t>
  </si>
  <si>
    <t>SecludIT</t>
  </si>
  <si>
    <t>Internet Software, Network Management Software*</t>
  </si>
  <si>
    <t>Developer of a cloud-based platform designed to provide data security services. The company's services offers security and vulnerability services in cloud security and develops a comprehensive range of alarm systems to detect automatically the scope of secure infrastructure and associated security vulnerabilities, providing businesses and managed services providers with risk management for their data, servers and networks as well as to keep their current infrastructures secured and safely move towards virtualization and cloud technologies adoption.</t>
  </si>
  <si>
    <t>Equitis Gestion, Région Sud Investissement</t>
  </si>
  <si>
    <t>data security service, infrastructure security, network infrastructure security, security software</t>
  </si>
  <si>
    <t>26430-76T</t>
  </si>
  <si>
    <t>Key Neurosciences</t>
  </si>
  <si>
    <t>Consulting Services (B2B)*, Specialized Finance</t>
  </si>
  <si>
    <t>Provider of incubation services designed to act as an integrator and catalyzer of neurosciences opportunities. The company's services include scouting of promising projects, investment in the selected projects, and incubation to accelerate the development, enabling clients to get the expertise to transform discoveries into successful products and technologies.</t>
  </si>
  <si>
    <t>Kurma Partners(Giacomo Bastianelli)</t>
  </si>
  <si>
    <t>incubated startups program, incubator platform, neuroscience company incubation, neuroscience company incubation services, startup incubation provider</t>
  </si>
  <si>
    <t>38277-64T</t>
  </si>
  <si>
    <t>Cyril Vermeulen(Cyril Vermeulen), ISAI(Christophe Raynaud), Jean Canzoneri, Kennet Partners, Marc Sounigo(Marc Sounigo), Natixis Private Equity, Pentagram Ventures, Philippe Besnard(Philippe Besnard), Thomas Pasquet(Thomas Pasquet), Ventech (Paris)</t>
  </si>
  <si>
    <t>46060-12T</t>
  </si>
  <si>
    <t>Auriga Partners (Paris)</t>
  </si>
  <si>
    <t>38179-45T</t>
  </si>
  <si>
    <t>Bpifrance, Hi Inov(Valerie Gombart), Siparex Group, XAnge(Rodolphe Menegaux)</t>
  </si>
  <si>
    <t>130681-27T</t>
  </si>
  <si>
    <t>Valwin</t>
  </si>
  <si>
    <t>Information Services (B2C)*, Other Healthcare Services, Other Healthcare Technology Systems</t>
  </si>
  <si>
    <t>Operator of an online healthcare platform intended to offer information on medications and illnesses. The company's platform provides verified information and prognosis data about patient conditions and also lets people make an appointment with the pharmacy team or even reserve medications, enabling patients to receive health advice online to practice good health.</t>
  </si>
  <si>
    <t>Bpifrance, Perouse Medical</t>
  </si>
  <si>
    <t>healthcare platform, healthcare professionals, medication use, online health advisory, online health education, online healthcare platform</t>
  </si>
  <si>
    <t>46299-79T</t>
  </si>
  <si>
    <t>39060-37T</t>
  </si>
  <si>
    <t>45553-96T</t>
  </si>
  <si>
    <t>Élues Locales</t>
  </si>
  <si>
    <t>Developer of an online training software designed to provide courses in order to master the essential areas of political life and succeed in their mandate. The company's platform focuses on the improvement of french politics and runs a national forum and also offers an ambitious and demanding educational approach, videos, and practice sheets for the mandate and preventing the growing legal insecurity of local elected representatives, enabling women to remove obstacles to their political involvement and get access to equal responsibilities.</t>
  </si>
  <si>
    <t>Newfund Management(Patrick Malka)</t>
  </si>
  <si>
    <t>online training courses, online training platform, online training platform operator, political education, professional training firm, social entrepreneurship platform</t>
  </si>
  <si>
    <t>109827-46T</t>
  </si>
  <si>
    <t>Gaïa</t>
  </si>
  <si>
    <t>Alternative Energy Equipment*, Other Equipment</t>
  </si>
  <si>
    <t>Manufacturer of photovoltaic cells and solar water heaters intended to provide end-to-end control in homes and businesses. The company offers solar panels, water heaters and air conditioning equipment that utilize and operate on solar energy, thereby enabling clients to optimize energy consumption and minimize their carbon footprint.</t>
  </si>
  <si>
    <t>alternative energy, alternative energy equipment, climate tech company, energy equipment, equipment monitoring, green energy, green technology, solar energy, solar energy plant, solar equipment, solar equipment installation</t>
  </si>
  <si>
    <t>CleanTech, Climate Tech, LOHAS &amp; Wellness, Manufacturing, TMT</t>
  </si>
  <si>
    <t>Piton Saint Leu, France</t>
  </si>
  <si>
    <t>36284-86T</t>
  </si>
  <si>
    <t>GigaTribe</t>
  </si>
  <si>
    <t>Developer of file-sharing software designed to share comprehensive files with no limitations on file size or quantity. The company's software permits users to create their own private file-sharing network that lets them upload files instantly and effectively in their original format, enabling clients to share videos, photos, music and documents privately on the internet.</t>
  </si>
  <si>
    <t>file sharing, file sharing app, files sharing software, files transfer, shares video, usb flash drive</t>
  </si>
  <si>
    <t>71855-56T</t>
  </si>
  <si>
    <t>136272-88T</t>
  </si>
  <si>
    <t>92084-50T</t>
  </si>
  <si>
    <t>47039-05T</t>
  </si>
  <si>
    <t>Arkéa Investment Services, Breizh Invest PME, Starquest Capital</t>
  </si>
  <si>
    <t>38008-27T</t>
  </si>
  <si>
    <t>Plyce</t>
  </si>
  <si>
    <t>Application Software, Information Services (B2C), Internet Retail*</t>
  </si>
  <si>
    <t>Developer of a geolocalised shopping platform designed to help shoppers to discover good deals. The company's platform offers a mobile social network that helps users to discover and share their favorite places, pictures and publish their feedback, enabling users to satisfy their desires in terms of pleasure shopping, anywhere and anytime.</t>
  </si>
  <si>
    <t>Bpifrance, Caloga</t>
  </si>
  <si>
    <t>geolocalized shopping platform, online deals, pleasure shopping, shopping deals, shopping platform provider</t>
  </si>
  <si>
    <t>37960-12T</t>
  </si>
  <si>
    <t>Alven Capital Partners(Guillaume Aubin)</t>
  </si>
  <si>
    <t>66337-93T</t>
  </si>
  <si>
    <t>D-Engage</t>
  </si>
  <si>
    <t>Developer and provider of a digital loyalty application intended to design and run your loyalty program. The company offers a multi-channel loyalty tool, thereby allowing brands to offer gifts to all prospects, customers and influencers in connection with the company.</t>
  </si>
  <si>
    <t>animation campaign, loyalty platform, loyalty program gift, loyalty tools, rewards app, rewards platform</t>
  </si>
  <si>
    <t>120456-73T</t>
  </si>
  <si>
    <t>GOV</t>
  </si>
  <si>
    <t>Developer of a mobile application designed to collect polls and opinions. The company's application provides real-time public opinions which allow governments to offer its users the opportunity to vote every day for all politicians of the government and the opposition and allows them to offer their own polls, enabling citizens to express them freely.</t>
  </si>
  <si>
    <t>communication application, community relationship, opinions poll, participatory debating platform, real time opinions measurement</t>
  </si>
  <si>
    <t>38493-73T</t>
  </si>
  <si>
    <t>CogniK</t>
  </si>
  <si>
    <t>Developer of a content discovery platform intended to offer personalize content discovery. The company's platform provides articles on various topics including recommendations, with comparisons and reviews of different services, enabling clients to make informed decisions about online security and access.</t>
  </si>
  <si>
    <t>Bouygues Telecom Initiatives, Vincent Tauzia(Vincent Tauzia)</t>
  </si>
  <si>
    <t>content discovery platform, content discovery tools, online tipping, personalized tv channel, recommendation platform, vpn services</t>
  </si>
  <si>
    <t>132268-69T</t>
  </si>
  <si>
    <t>ImmuSmol</t>
  </si>
  <si>
    <t>Developer of antibodies intended for staining applications for lab tests and immunoassay development. The company's product target small or low molecular weight molecules and are used in research, diagnostic and therapeutic applications, enabling healthcare professionals visualize, quantify, and modulate monoclonal antibodies interfering with endogenous small molecules involved in cancer and central nervous system disorders.</t>
  </si>
  <si>
    <t>antibodies developer, biotechnology firm, cancer study, molecule study, small molecule therapeutic, therapeutic monoclonal antibody</t>
  </si>
  <si>
    <t>46122-76T</t>
  </si>
  <si>
    <t>IT-Translation(Laurent Kott)</t>
  </si>
  <si>
    <t>37916-11T</t>
  </si>
  <si>
    <t>37752-76T</t>
  </si>
  <si>
    <t>Lineazen</t>
  </si>
  <si>
    <t>Building Products, Other Commercial Products, Wood/Hard Products*</t>
  </si>
  <si>
    <t>Operator of a wood manufacturing platform designed to offer wood building products. The company's platform manufactures cross-laminated timber made of bamboo and beech for buildings, enabling the urban construction market to respond efficiently to the strong demand for wood products.</t>
  </si>
  <si>
    <t>Capagro(Jerome Samson), Emertec Gestion</t>
  </si>
  <si>
    <t>bamboo, bamboo and beech, crosses laminated timber, wood construction, wooden building</t>
  </si>
  <si>
    <t>44865-10T</t>
  </si>
  <si>
    <t>Axeleo Capital, Kreaxi, Pertinence Invest, Rhône-Alpes Création</t>
  </si>
  <si>
    <t>109486-27T</t>
  </si>
  <si>
    <t>Bpifrance, CAAP Creation, Noria, Opalic, Provence Business Angels</t>
  </si>
  <si>
    <t>109517-59T</t>
  </si>
  <si>
    <t>BA06(Georges Dao), Group Convergence, Jump Ventures, M Couturier, Olbia Invest, Paris Business Angels, Region Provence Alpes Cote d' Azur, Région Sud Investissement</t>
  </si>
  <si>
    <t>37945-90T</t>
  </si>
  <si>
    <t>MyFeelBack</t>
  </si>
  <si>
    <t>Developer of an online customer survey and feedback platform designed to collect feedback from the customers. The company's platform assists the companies to capture the customer insights that they need to make data-driven decisions, identify areas of improvement and spot trends impacting revenue, enabling businesses to increase their revenue and improve their growth.</t>
  </si>
  <si>
    <t>Bpifrance, Herve Didier(Herve Didier), Jean-Philippe Baert(Jean-Philippe Baert)</t>
  </si>
  <si>
    <t>customer insights, customer survey, customer survey platform, feedback analysis, online survey</t>
  </si>
  <si>
    <t>113452-12T</t>
  </si>
  <si>
    <t>Rhône Dauphiné Développement, Rhône-Alpes Création</t>
  </si>
  <si>
    <t>37620-28T</t>
  </si>
  <si>
    <t>84871-81T</t>
  </si>
  <si>
    <t>BrainPlotting</t>
  </si>
  <si>
    <t>Developer of human blood-brain barrier (BBB) models designed to predict molecule concentration in the human brain parenchyma from preclinical stages data. The company's models use fresh human brain tissues and provide service with fresh human blood-brain barrier models, toxicological testing, and pharmacological testing, enabling medical institutions and researchers to better understand the unbound fraction within the brain parenchyma in the center and extracellular compartments.</t>
  </si>
  <si>
    <t>brain activity measurement, brain blood flow diagnostics, brain cell protection, brain diagnostics, cell culture, human brain algorithm, neurological research</t>
  </si>
  <si>
    <t>45147-25T</t>
  </si>
  <si>
    <t>3T Capital, Kreizig Invest, Logoden</t>
  </si>
  <si>
    <t>37701-28T</t>
  </si>
  <si>
    <t>PeGast</t>
  </si>
  <si>
    <t>Other Restaurants, Hotels and Leisure, Other Services (B2C Non-Financial), Restaurants and Bars*</t>
  </si>
  <si>
    <t>Operator of a fast-food restaurant chain intended to offer delicious food. The company's fast-food restaurants offer a wide range of sandwiches and salads based on traditional French recipes, cooked on-site every morning, enabling consumers to enjoy quality food without affecting their health.</t>
  </si>
  <si>
    <t>Crédit Mutuel Impact(Pascal Vallanchon)</t>
  </si>
  <si>
    <t>fast food chain, fast food restaurant, food delivery service, food restaurant, food service chain, restaurant chain</t>
  </si>
  <si>
    <t>45680-23T</t>
  </si>
  <si>
    <t>Fair West, Pays de la Loire Participations, Siparex Group, Sodero</t>
  </si>
  <si>
    <t>46965-34T</t>
  </si>
  <si>
    <t>Ad-hoc Invest, Bpifrance, CapHorn Invest(Guillaume Dupont), Laurent Metzger(Laurent Metzger), Michel Meyer(Michel Meyer), Trail Solutions Patrimoine</t>
  </si>
  <si>
    <t>44181-01T</t>
  </si>
  <si>
    <t>Aguila</t>
  </si>
  <si>
    <t>Provider of travel agency services intended to offer opportunities for tours and travels around the world. The company's services offer photography internship courses and trips photography services thereby guiding participants to learn photo shooting techniques, enabling travelers to capture the moments in a skillful manner.</t>
  </si>
  <si>
    <t>photo shooting technique, photography internships, photography services, photography training, trip photography</t>
  </si>
  <si>
    <t>Lunel, France</t>
  </si>
  <si>
    <t>132019-75T</t>
  </si>
  <si>
    <t>BA06, Banque Populaire Méditerranée</t>
  </si>
  <si>
    <t>61501-51T</t>
  </si>
  <si>
    <t>235247-86T</t>
  </si>
  <si>
    <t>37465-57T</t>
  </si>
  <si>
    <t>Bpifrance(Olivier Martinez), CEMA, OCTALFA(Gilles Alberici), Sham, Tab Consulting(Thierry Abribat)</t>
  </si>
  <si>
    <t>37425-25T</t>
  </si>
  <si>
    <t>Bpifrance, Credit Agricole (PAR: ACA), Credit Agricole Regions Investissement</t>
  </si>
  <si>
    <t>29296-36T</t>
  </si>
  <si>
    <t>Poxel (PAR: POXEL)</t>
  </si>
  <si>
    <t>Poxel SA is a biopharmaceutical company. It is focused on the development of novel treatments for metabolic diseases, including type 2 diabetes and liver diseases, such as nonalcoholic steatohepatitis (NASH) and rare disorders (ALD/AMN). It has developed a portfolio of drug candidates, including its candidates: Imeglimin, for the treatment of type 2 diabetes, and PXL770 and PXL065, for the treatment of NASH.</t>
  </si>
  <si>
    <t>Andera Partners(Raphael Wisniewski), Bpifrance(Mailys Ferrere), CDC Enterprises, Credit Agricole (PAR: ACA)(Bruno Montanari), Kreos Capital, Omnes Capital(Bruno Montanari)</t>
  </si>
  <si>
    <t>diabetes, drug development, glycemic control, innovative drugs, metabolic disease, non-alcoholic steatohepatitis, pharmaceutical</t>
  </si>
  <si>
    <t>54180-91T</t>
  </si>
  <si>
    <t>Vapio</t>
  </si>
  <si>
    <t>IT Consulting and Outsourcing*, Other Healthcare Services, Other Services (B2C Non-Financial)</t>
  </si>
  <si>
    <t>Provider of electronic cigarettes designed to synchronize automatically with users' smartphones. The company's electronic cigarettes comes with nicotine free liquid and it connects with the application in smartphone of the user which supports in tracking smoking habits, enabling users to monitor their smoking consumption, check the e-cigarette's battery levels and even adjust the amount of vapour they get with each puff.</t>
  </si>
  <si>
    <t>Alven Capital Partners(Raffi Kamber), Frank Zorn(Frank Zorn), Fred Potter, Jean-David Benichou, Via.Io</t>
  </si>
  <si>
    <t>e-cigarette, nicotine free liquid, smoking, track smoking habit</t>
  </si>
  <si>
    <t>39032-11T</t>
  </si>
  <si>
    <t>CEA Investissement, Truffle Capital</t>
  </si>
  <si>
    <t>45118-54T</t>
  </si>
  <si>
    <t>Podbox</t>
  </si>
  <si>
    <t>Automation/Workflow Software*, Database Software, Media and Information Services (B2B)</t>
  </si>
  <si>
    <t>Developer of an integration platform as a service (iPaaS) software designed to provide the best integration as a marketing service. The company's software offers built-in application connectors to choose from, a field mapping and bi-directional sync in near real time, enabling users to get automatic two-way synchronization to their integrate email marketing, e-commerce and CRM applications.</t>
  </si>
  <si>
    <t>GO Capital (France), LTF Invest</t>
  </si>
  <si>
    <t>crm, crm integration, email marketing, integration data, integration platform, ipaas, marketing automation, paradigm cloud, sugarcrm integration</t>
  </si>
  <si>
    <t>37322-65T</t>
  </si>
  <si>
    <t>Banque Populaire Auvergne Rhône Alpes, Crédit Agricole Sud Rhône-Alpes (PAR: CRSU), Expansinvest, France Angels, Kreaxi, Rhône-Alpes Création, Savoie Angels, Sofimac Innovation(Nicolas Boulay), Sofimac Investment Managers(Nicolas Boulay)</t>
  </si>
  <si>
    <t>37211-23T</t>
  </si>
  <si>
    <t>Vigiglobe</t>
  </si>
  <si>
    <t>Provider of a social media analytics platform designed to maximize the impact of marketing campaigns. The company's Wizr technology offers relevant content and image interpretation, enabling consumers to leverage the power of social media content in real-time.</t>
  </si>
  <si>
    <t>Bpifrance, Kima Ventures, KYOSEIL AM, Région Sud Investissement, Starquest Capital</t>
  </si>
  <si>
    <t>marketing campaign, social content, social media analytics</t>
  </si>
  <si>
    <t>52921-45T</t>
  </si>
  <si>
    <t>Muses</t>
  </si>
  <si>
    <t>Designer and manufacturer of electric-powered delivery vehicles. The company designs a range of small electric utility vehicles which offer specific functions for urban-delivery services.</t>
  </si>
  <si>
    <t>Be Angels, GoBeyond, Scientipole Capital</t>
  </si>
  <si>
    <t>delivery, delivery vehicles, electric car, electric power vehicle</t>
  </si>
  <si>
    <t>38022-49T</t>
  </si>
  <si>
    <t>Be-Bound</t>
  </si>
  <si>
    <t>Connectivity Products, Internet Software*, Wireless Communications Equipment</t>
  </si>
  <si>
    <t>Developer of a low data consuming application intended to bring connectivity to everyone at every places. The company's applications utilize proprietary algorithms that compresses data and automatically select the suitable transport layer to reduce traffic generation, enabling users to stay connected to the internet on smartphones even with limited or no data access.</t>
  </si>
  <si>
    <t>Global Corporate Investment Holdings, Gonzague De Blignières(Gonzague De Blignières)</t>
  </si>
  <si>
    <t>connectivity service, internet coverage, low data application, mobile internet access, network coverage</t>
  </si>
  <si>
    <t>56649-61T</t>
  </si>
  <si>
    <t>ChicTypes</t>
  </si>
  <si>
    <t>Clothing, Internet Retail*</t>
  </si>
  <si>
    <t>Developer of an online retail platform designed to offer customized clothing for men. The company's platform offers personal shopping service for men's specific needs curated by personal shoppers based on customers' tastes and are sent to their home for free, enabling users to purchase their desired clothing at an affordable price from a single marketplace.</t>
  </si>
  <si>
    <t>360 Capital, C4 Ventures, Pascal Cagni(Pascal Cagni), Pierre Kosciusko Morizet(Pierre Kosciusko Morizet)</t>
  </si>
  <si>
    <t>men's apparel, men's clothing, men's fashion, personal shopping, shopping service</t>
  </si>
  <si>
    <t>116539-75T</t>
  </si>
  <si>
    <t>BLOOMR IMPULSE</t>
  </si>
  <si>
    <t>Education and Training Services (B2B)*, Educational Software, Human Capital Services</t>
  </si>
  <si>
    <t>Operator of a training company intended to help people develop their skills and careers. The company's platform leverages digital technology to offer a variety of online courses and programs to facilitate professional development and identify career aspirations, enabling businesses to make employees job-ready and boost their productivity.</t>
  </si>
  <si>
    <t>education platform, employee development, employee education, human development, online learning, online learning platform, training platform, training program</t>
  </si>
  <si>
    <t>EdTech, HR Tech</t>
  </si>
  <si>
    <t>89268-85T</t>
  </si>
  <si>
    <t>EMSFACTORY</t>
  </si>
  <si>
    <t>Provider of online electronics prototyping service intended to facilitate efficient small-scale electronic manufacturing. The company downloads the parts details, lists, and produces files and automatically asks suppliers to find the best price and evaluate lead time during project construction, enabling electronic board designers to produce their products in a simple and fast way.</t>
  </si>
  <si>
    <t>automatic encryption, electronic manufacturing, electronic prototyping, electronics factory, manufacturing project, prototyping service</t>
  </si>
  <si>
    <t>53604-28T</t>
  </si>
  <si>
    <t>37034-02T</t>
  </si>
  <si>
    <t>MinuteBuzz</t>
  </si>
  <si>
    <t>Information Services (B2C), Internet Software, Movies, Music and Entertainment*, Social/Platform Software</t>
  </si>
  <si>
    <t>Developer of social media website. The company develops a social media platform that offers news content services online using algorithmically-controlled feeds to optimize advertisement revenue generation.</t>
  </si>
  <si>
    <t>branding content, entertainment media, social media platform</t>
  </si>
  <si>
    <t>44239-60T</t>
  </si>
  <si>
    <t>Corpo'Events</t>
  </si>
  <si>
    <t>Provider of an event management platform intended to help clients to save time, promote the brand, obtain live statistics and collect data. The company's platform assists in organizing seminars, product launches, conventions, roadshows, trade fairs, conferences, incentive travel, conferences, and corporate events, enabling companies to have well-organized corporate events.</t>
  </si>
  <si>
    <t>corporate events, corporate events company, corporate events management, event management, event planning service, management platform, product launch service</t>
  </si>
  <si>
    <t>50421-16T</t>
  </si>
  <si>
    <t>Axalys</t>
  </si>
  <si>
    <t>Manufacturer of aluminum and PVC hardware joinery materials intended to produce original, aesthetic, and patented products for its clients. The company offers a range of metal products including sliding doors, blockers, trollies, spoils, and door handles for industrial and domestic uses, enabling customers to carry out fitting works easily.</t>
  </si>
  <si>
    <t>aluminum accessories, aluminum carpentry, polyvinyl chloride joinery, slides fittings, slides locks, slides trolleys</t>
  </si>
  <si>
    <t>Saint-André-de-Sangonis, France</t>
  </si>
  <si>
    <t>118277-92T</t>
  </si>
  <si>
    <t>David Roche(David Roche), Nicolas Brumelot(Nicolas Brumelot), Pablo Szefner(Pablo Szefner), Siparex Group</t>
  </si>
  <si>
    <t>85003-39T</t>
  </si>
  <si>
    <t>98926-03T</t>
  </si>
  <si>
    <t>Tiniloo</t>
  </si>
  <si>
    <t>Other Consumer Durables, Personal Products*, Recreational Goods, Specialty Retail</t>
  </si>
  <si>
    <t>Manufacturer of gift boxes intended to offer products without harmful substances for babies. The company provides a wide range of fun educational products related to health and hygiene like organic, hypoallergenic diapers and books dedicated to children with playful ideas for pampering, as per the tailor-made subscriptions, enabling customers to purchase hygienic personalized products.</t>
  </si>
  <si>
    <t>baby products, childrens toys, gift boxes, hygiene product, online products, online shop</t>
  </si>
  <si>
    <t>31624-21T</t>
  </si>
  <si>
    <t>Thetya</t>
  </si>
  <si>
    <t>Business/Productivity Software, Other Commercial Services*, Other Software</t>
  </si>
  <si>
    <t>Provider of software for distribution of water. The company develops and markets software for presentation and distribution of spring water to hotels and upscale restaurants.</t>
  </si>
  <si>
    <t>Fonds Lorrain des Materiaux</t>
  </si>
  <si>
    <t>distribution software, springs water delivery, water service</t>
  </si>
  <si>
    <t>31618-54T</t>
  </si>
  <si>
    <t>Valorene</t>
  </si>
  <si>
    <t>Energy Production*, Industrial Supplies and Parts, Other Commercial Products</t>
  </si>
  <si>
    <t>Provider of recycling services. The company specializes in providing recovery and recycling services for waste materials to make recycled raw materials.</t>
  </si>
  <si>
    <t>Fonds Lorrain des Materiaux, Michelin Development</t>
  </si>
  <si>
    <t>commercial service, recycling of waste material, recycling service</t>
  </si>
  <si>
    <t>Arrondissement of Toul, France</t>
  </si>
  <si>
    <t>33245-65T</t>
  </si>
  <si>
    <t>Vivalib</t>
  </si>
  <si>
    <t>Provider of engineering services designed to offer housing and residential options for older people. The company's services specialize in creating and engineering connected living spaces for older people, thereby enabling senior citizens to receive comfortable accomodations.</t>
  </si>
  <si>
    <t>architecture, consulting services, elderly housing, housing, housing space, senior housing</t>
  </si>
  <si>
    <t>50430-61T</t>
  </si>
  <si>
    <t>Eficium</t>
  </si>
  <si>
    <t>Provider of industrial cleaning services intended to maintain a clean and healthy professional environment. The company's services offer management of containers, guard replacement, maintenance of green areas, and ecological washing services, enabling industrial clients to have a clean workplace.</t>
  </si>
  <si>
    <t>cleaning service business, cleaning services, ecological cleaning, ecological washing, guarding replacement, hygiene maintenance</t>
  </si>
  <si>
    <t>128441-80T</t>
  </si>
  <si>
    <t>Origin Investing</t>
  </si>
  <si>
    <t>Provider of a private equity financing platform intended to provide financing for SME's. The company's investment services are authorized to provide companies with financing by corporate bonds with no limit of the amount per transaction or investor, which are digital and have long maturities, enabling SME's to simply finance their growth and investors to invest in the real economy.</t>
  </si>
  <si>
    <t>business development loan, financing of intangible assets, fixed interest rated, loans to sme, private placement for sme, sme funding</t>
  </si>
  <si>
    <t>126540-55T</t>
  </si>
  <si>
    <t>BA06</t>
  </si>
  <si>
    <t>50426-38T</t>
  </si>
  <si>
    <t>Cité Hôtels Groupe</t>
  </si>
  <si>
    <t>Hotels and Resorts*, Information Services (B2C), Restaurants and Bars</t>
  </si>
  <si>
    <t>Operator of a hotel and restaurant chain intended to offer a luxury stay and dining experience. The company's chain offers hotels and restaurants that have exquisite interiors blending historic and medieval periods with services like spas and bars, it also offers a variety of cuisines to enjoy, enabling customers to have a relaxing time and enjoy vacations.</t>
  </si>
  <si>
    <t>catering service, hospitality services, hotel interior, hotel service, restaurant operator, spa service</t>
  </si>
  <si>
    <t>89865-10T</t>
  </si>
  <si>
    <t>FamilyWall</t>
  </si>
  <si>
    <t>Developer of a social platform designed to connect family members through messaging services. The company's platform offers people to access a private cloud to know the whereabouts of their loved ones, exchange messages, organize various family events, and share important contacts with all the members, enabling family members and acquaintances to remain updated about regular family matters.</t>
  </si>
  <si>
    <t>family app, family communication platform, family organizer, family platform, messaging platform, social platform</t>
  </si>
  <si>
    <t>126457-30T</t>
  </si>
  <si>
    <t>Vinotrip</t>
  </si>
  <si>
    <t>Provider of oenological stays intended to promote wine tourism. The company specializes in meeting winemakers, wine tasting, business trips, and corporate events, enabling customers to explore the wine routes across France.</t>
  </si>
  <si>
    <t>vineyard estate, vineyard information, vineyard trip, wine growers, wine tasting, wine tours</t>
  </si>
  <si>
    <t>208645-93T</t>
  </si>
  <si>
    <t>Sovéa Groupe</t>
  </si>
  <si>
    <t>Provider of disaster management services intended to serve France. The company offers fire decontamination, water damage, asbestos removal, air treatment, industrial management and work involving difficult access, enabling clients to get affordable maintenance services to keep their buildings and houses neat and clean.</t>
  </si>
  <si>
    <t>cleaning services, disaster management, disaster management services, disaster management solutions, disaster recovery, disaster recovery service, facilities cleaning, facilities management company, facilities repair, facility maintenance</t>
  </si>
  <si>
    <t>39166-93T</t>
  </si>
  <si>
    <t>3Dduo</t>
  </si>
  <si>
    <t>Developer of online gaming platform designed for the general public as well as for professionals. The company's platform uses interactive three-dimensional software and diverse graphics environments for enriched visual effects, enabling users to play online interactive and multiuser games with ease.</t>
  </si>
  <si>
    <t>casual games, cross-media video games, gambling, game developer studio, gaming content, gaming portal, online games, online gaming platform, video games, virtual gaming, web gaming</t>
  </si>
  <si>
    <t>89362-45T</t>
  </si>
  <si>
    <t>Mugen</t>
  </si>
  <si>
    <t>Developer of middleware software designed to serve companies developing and using connected systems. The company's software consists of a communication capability and an interface creation tool that facilitates interaction with one or more connected systems regardless of the hardware or communication protocol used, enabling users to have a real-time, multi-user monitoring system that can be controlled from a computer, smartphone or tablet.</t>
  </si>
  <si>
    <t>application connectors, connected objects system, interaction software, internet of things, internet of things service, intervention force, smart building iot, software solutions</t>
  </si>
  <si>
    <t>77624-29T</t>
  </si>
  <si>
    <t>Shortways</t>
  </si>
  <si>
    <t>Developer of a business application software designed to provide a digital assistant for the digitalization of work. The company's platform specializes in publishing software for businesses to optimize their usage of business applications such as Oracle, Sap, Salesforce, and Microsoft Dynamics, enabling large organizations to save time and get efficient assistance for the adoption of digital technology.</t>
  </si>
  <si>
    <t>Bpifrance, Pays de la Loire Participations, Siparex Group, Sodero</t>
  </si>
  <si>
    <t>business application, business application software, digital adoption, digital adoption platform, digital adoption software, software publisher</t>
  </si>
  <si>
    <t>49450-42T</t>
  </si>
  <si>
    <t>86175-55T</t>
  </si>
  <si>
    <t>125928-46T</t>
  </si>
  <si>
    <t>Golaem</t>
  </si>
  <si>
    <t>Developer of an animation platform designed to develop artist-friendly tools to animate digital characters. The company uses a synthetic-vision-based steering approach for crowd simulation that creates animated digital human-like characters or avatars and brings life to commercials, episodic productions, feature films, and games, enabling artists to make it easy and affordable to populate 3D scenes with directable characters or objects.</t>
  </si>
  <si>
    <t>animation firm, animation software, crowd simulation, digital character, human behavior, software platform, vfx and animation</t>
  </si>
  <si>
    <t>Augmented Reality, SaaS, TMT, Virtual Reality</t>
  </si>
  <si>
    <t>70347-88T</t>
  </si>
  <si>
    <t>Bpifrance, Kick Club, Kima Ventures, Newfund Management, Seed4equity, Wilco(Paris)</t>
  </si>
  <si>
    <t>102089-62T</t>
  </si>
  <si>
    <t>Incubator Provence Côte d'Azur, Starquest Capital</t>
  </si>
  <si>
    <t>51986-89T</t>
  </si>
  <si>
    <t>Isotropix</t>
  </si>
  <si>
    <t>Operator of a software development platform intended to deliver images for feature films. The company's platform streamlines the workflow of graphics artists to let them work and constantly interact on their final image with full effects, enabling users to improve their productivity.</t>
  </si>
  <si>
    <t>Venise Invest</t>
  </si>
  <si>
    <t>3d software development, animation software, design software, graphics software developer, software development, software development firm</t>
  </si>
  <si>
    <t>102480-58T</t>
  </si>
  <si>
    <t>35702-11T</t>
  </si>
  <si>
    <t>EuraTechnologies, Nord France Amorçage, Pleiade Venture, Siparex Group</t>
  </si>
  <si>
    <t>36510-22T</t>
  </si>
  <si>
    <t>Balinea</t>
  </si>
  <si>
    <t>Developer of an online salon booking platform designed to offer vouchers for beauty services. The company's platform offers an address book containing information about beauty salons and hairdressers, enabling consumers to book appointments at the beauty and hairdressing salons, spas and fitness facilities.</t>
  </si>
  <si>
    <t>beauty treatment, body spa, hairdressing salon, massage spa, salon books, salon books application, salon books solutions</t>
  </si>
  <si>
    <t>103328-02T</t>
  </si>
  <si>
    <t>Compagnie d'Anjou, Femmes Business Angels</t>
  </si>
  <si>
    <t>40641-85T</t>
  </si>
  <si>
    <t>Playtem</t>
  </si>
  <si>
    <t>Developer of a video game monetization platform designed to connect a massive audience of gamers to the brands they love. The company's platform creates an emotional link between the players and the brands to create experiences in the new in-game native formats, enabling gaming brands to engage with players daily on the web and mobile.</t>
  </si>
  <si>
    <t>FaDiese, Karista (Paris)</t>
  </si>
  <si>
    <t>digital advertisement, digital monetization, game developer, gaming advertising, gaming experience, gaming monetization, native ads, video game platform</t>
  </si>
  <si>
    <t>AdTech, Gaming, Marketing Tech, Mobile, TMT</t>
  </si>
  <si>
    <t>54734-05T</t>
  </si>
  <si>
    <t>Dassault Développement, Newfund Management</t>
  </si>
  <si>
    <t>85174-39T</t>
  </si>
  <si>
    <t>Typlume &amp; Graphine</t>
  </si>
  <si>
    <t>Developer of a customized media platform intended to offer access to augmented narrativity. The company's platform offers viral marketing of the brand throughout social networks by combining participative advertising, storytelling, customization, and gamification and offers a centralized technology for the creation and management of customized media production, enabling consumers to stage stories on different media.</t>
  </si>
  <si>
    <t>augmented narrativity, customized media, customized media platform, gamification, media production, participative advertising, storytelling</t>
  </si>
  <si>
    <t>Augmented Reality, Marketing Tech, TMT</t>
  </si>
  <si>
    <t>44434-63T</t>
  </si>
  <si>
    <t>Tesalys</t>
  </si>
  <si>
    <t>Environmental Services (B2B), Machinery (B2B)*</t>
  </si>
  <si>
    <t>Manufacturer of waste material recycling equipment designed to treat biomedical waste on site. The company manufactures equipment that is offered to laboratories, hemodialysis centers, hospitals and medical facilities for the treatment of bio-contaminated waste materials, enabling clients to reuse waste materials.</t>
  </si>
  <si>
    <t>Entrepreneur Invest, European Regional Development Fund (FEDER), Languedoc-Roussillon Region</t>
  </si>
  <si>
    <t>biomedical waste treatment, waste renewable technology, waste renewal service, waste treatment, waste treatment firm, waste treatment machine</t>
  </si>
  <si>
    <t>37084-96T</t>
  </si>
  <si>
    <t>Numvision</t>
  </si>
  <si>
    <t>Developer of a cloud-based software designed to offer industrial synchronization and file backup services. The company's software offers security and adaptability to the needs of companies, enabling businesses to back up, outsource, synchronize, share and collaborate information.</t>
  </si>
  <si>
    <t>Bouygues Telecom Initiatives, Orevon Partners, Veymont Participations</t>
  </si>
  <si>
    <t>cloud storage, cloud-based software, collaborative information, data backup, data synchronization, files backup</t>
  </si>
  <si>
    <t>47875-69T</t>
  </si>
  <si>
    <t>gumi (TKS: 3903)(Hironao Kunimistu), Jonathan Denais, Time For Growth(Jean-Luc Cyrot)</t>
  </si>
  <si>
    <t>35357-50T</t>
  </si>
  <si>
    <t>Quintessence Paris</t>
  </si>
  <si>
    <t>Accessories, Internet Retail, Luxury Goods, Other Consumer Durables*</t>
  </si>
  <si>
    <t>Operator of an e-commerce platform intended to provide scented luxury candles and related products. The company's platform provides products such as scented candles, interior fragrances, scented soaps, scented tubes, and tissues, enabling individuals to avail of premium scented products.</t>
  </si>
  <si>
    <t>candles maker, candles store, interior fragrance, perfumes product, scented candles, scented candles supplier, scented product, scented tubes, wax candles</t>
  </si>
  <si>
    <t>113209-57T</t>
  </si>
  <si>
    <t>Jean Roquette(Jean Roquette), Letartre Bertrand(Letartre Bertrand), Lucien Lesaffre(Lucien Lesaffre), Nord France Amorçage</t>
  </si>
  <si>
    <t>49153-60T</t>
  </si>
  <si>
    <t>1001PNEUS</t>
  </si>
  <si>
    <t>Retailer of automobile parts and accessories intended to provide an extensive selection of tires for various vehicles. The company offers car, utility, heavy vehicle, and motorcycle tires, snow chains, and accessories as well as tire-fitting services, enabling customers to discover and choose the right tire for their vehicle.</t>
  </si>
  <si>
    <t>Alain Tingaud Innovations, Entrepreneur Invest, Grand Sud Ouest Capital, iXO Private Equity</t>
  </si>
  <si>
    <t>auto parts dealer, auto parts shops, car tires, motorcycle tires, online tires, tire-fitting services, vehicle product</t>
  </si>
  <si>
    <t>35257-42T</t>
  </si>
  <si>
    <t>Accel(Philippe Botteri), Index Ventures(Dominique Vidal), ISAI(Jean-David Chamboredon), Lead Edge Capital</t>
  </si>
  <si>
    <t>31776-94T</t>
  </si>
  <si>
    <t>Catalysair</t>
  </si>
  <si>
    <t>Energy Production, Industrial Chemicals, Industrial Supplies and Parts*</t>
  </si>
  <si>
    <t>Developer of procedures which improves the combustion of industrial boilers. The company provides technology that improves the combustion in fossil fuel power plants.</t>
  </si>
  <si>
    <t>CM-CIC Asset Management, Oddo BHF Asset Management</t>
  </si>
  <si>
    <t>combustion of industrial boilers, fossil fuel, industrial chemicals</t>
  </si>
  <si>
    <t>Industrials, Infrastructure</t>
  </si>
  <si>
    <t>38617-48T</t>
  </si>
  <si>
    <t>Auriga Partners (Paris), Elephants &amp; Ventures, Investessor, Scientipole Capital</t>
  </si>
  <si>
    <t>84945-07T</t>
  </si>
  <si>
    <t>GreenPriz</t>
  </si>
  <si>
    <t>Developer of consumption monitoring platform designed to monitor and optimize electrical consumption for commercial buildings. The company's platform uses a range of meters and actuators that measure consumption but also control electrical circuits, from the molded boxes to the wall outlets of buildings, enabling clients to bring in a simple, effective and affordable way to answer to the problems of monitoring, management and optimization of electricity consumption.</t>
  </si>
  <si>
    <t>electricity consumption, electricity monitoring, electricity optimization, power consumption, power management</t>
  </si>
  <si>
    <t>La Colle sur Loup, France</t>
  </si>
  <si>
    <t>103516-12T</t>
  </si>
  <si>
    <t>La Compagnie</t>
  </si>
  <si>
    <t>Operator of a business-class boutique airline intended to offer air transportation services at affordable prices. The company's aircraft are equipped with an all-business class cabin with multiple seats that can be converted to angled flatbeds and also offer food served in a two-course meal and in-flight entertainment on tablet devices, enabling passengers to have a relaxing transportation experience.</t>
  </si>
  <si>
    <t>airline lounge, airline operator, airline services, business classes airline, in flight services, loyalty points</t>
  </si>
  <si>
    <t>135256-42T</t>
  </si>
  <si>
    <t>French Unique Interministerial Fund (FUI)</t>
  </si>
  <si>
    <t>61382-80T</t>
  </si>
  <si>
    <t>Meteo Protect</t>
  </si>
  <si>
    <t>Provider of insurance brokerage services intended to protect business against unavoidable circumstances. The company offers financial services that protect companies and institutions when weather conditions adversely affect their business, profits and generate additional costs, providing enterprises with insurance against natural calamities.</t>
  </si>
  <si>
    <t>Keiretsu Forum</t>
  </si>
  <si>
    <t>financial product, insurance, insurance brokerage service, insurance company, insurance reinsurance, insurance service, weather insurance, weather insurance broker</t>
  </si>
  <si>
    <t>104378-86T</t>
  </si>
  <si>
    <t>Crédit Municipal de Paris</t>
  </si>
  <si>
    <t>31505-86T</t>
  </si>
  <si>
    <t>Netconstat</t>
  </si>
  <si>
    <t>Provider of online authentication services. The company offers an online platform that demonstrates the presence of a web content at a given time stored in the form of screenshots.</t>
  </si>
  <si>
    <t>Jérémie Berrebi(Jérémie Berrebi), Kima Ventures(Xavier Niel), Starquest Capital</t>
  </si>
  <si>
    <t>certified evidence, digital offense, screenshots observation, web content</t>
  </si>
  <si>
    <t>61289-20T</t>
  </si>
  <si>
    <t>Savoie Angels</t>
  </si>
  <si>
    <t>39047-23T</t>
  </si>
  <si>
    <t>Truffle Capital(Alexandre Ouimet-Storrs)</t>
  </si>
  <si>
    <t>35190-82T</t>
  </si>
  <si>
    <t>KelDoc</t>
  </si>
  <si>
    <t>Opertator of a healthcare platform intended to connect patients with doctors more efficiently. The company allows patients to access information on the doctor, tariffs, payment methods available and directly make an appointment with doctors online, enabling users to connect with healthcare practitioners around the clock and reduce the time between appointments.</t>
  </si>
  <si>
    <t>Alven Capital Partners(Jeremy Uzan), Bart Dessaint, Pascal Mercier(Pascal Mercier)</t>
  </si>
  <si>
    <t>doctor information, healthcare appointment management, healthcare consultant, healthcare professional network, healthcare professionals portal, online appointment, telemedicine</t>
  </si>
  <si>
    <t>215775-91T</t>
  </si>
  <si>
    <t>Midual</t>
  </si>
  <si>
    <t>Manufacturer of motorcycles based in Les Garennes sur Loire, France. The company helps to provide personalized bikes that can be fully customized from body finish, base colors, and leather to instrument panels, enabling clients to get the motorbike according to their choice.</t>
  </si>
  <si>
    <t>automotive assistance, automotive market, motorbike manufacturer, motorcycle company, motorcycle wheels, vehicle electrification</t>
  </si>
  <si>
    <t>43868-80T</t>
  </si>
  <si>
    <t>Bpifrance, Emertec Gestion(Eric Marty), Farinia Group, GO Capital (France), Groupe CMI, Société GEOFINANCIERE</t>
  </si>
  <si>
    <t>50428-18T</t>
  </si>
  <si>
    <t>Clasico Argentino</t>
  </si>
  <si>
    <t>Operator of a restaurant group intended to offer Argentinian recipes. The company's services combine the Argentine culinary tradition, empanadas and homemade ice cream, catering services, and many more, enabling customers to get delicious dishes at an affordable price.</t>
  </si>
  <si>
    <t>argentine dishes, catering services, food dishes, food ecommerce, french palate flavors, recipes and cuisine, restaurant group, restaurant marketplace</t>
  </si>
  <si>
    <t>47043-10T</t>
  </si>
  <si>
    <t>TeVolution</t>
  </si>
  <si>
    <t>Other Hardware, Telecommunications Service Providers*</t>
  </si>
  <si>
    <t>Provider of television access via a decoder connected both on television and the internet. The company offers content sourcing, video platform, CDN, user interface, content promotion and subscriber management system, providing users with a combination of terrestrial reception of the French free-to-air TNT HD bouquets and a number of OTT bouquets.</t>
  </si>
  <si>
    <t>Aurinvest, Bpifrance, LCTVI</t>
  </si>
  <si>
    <t>cable television, subscribers management system, television access, television streaming service, video platform</t>
  </si>
  <si>
    <t>35144-29T</t>
  </si>
  <si>
    <t>Viadeo</t>
  </si>
  <si>
    <t>Other Commercial Services*, Social/Platform Software</t>
  </si>
  <si>
    <t>Operator of an online networking site for professionals. The company is a developer of a platform that helps its users to find clients, suppliers, business partners, jobs and employees online.</t>
  </si>
  <si>
    <t>A Capital</t>
  </si>
  <si>
    <t>jobs search, networking site, professional network</t>
  </si>
  <si>
    <t>44883-19T</t>
  </si>
  <si>
    <t>Zoomici</t>
  </si>
  <si>
    <t>Operator of an e-commerce platform intended to sell consumer essentials and related goods. The company's platform offers an online marketplace where people can buy clothing, home appliances, beauty products, furniture, and sportswear and has a separate section for kids, enabling consumers to avail their daily essentials on one platform.</t>
  </si>
  <si>
    <t>Esfin Gestion(Philippe Céas), Kreaxi(Isabelle Bou Antoun)</t>
  </si>
  <si>
    <t>ecommerce platform, internet marketplace, logistics platform, online product retail, product catalog management, product distribution platform, web marketplace</t>
  </si>
  <si>
    <t>38254-42T</t>
  </si>
  <si>
    <t>Nicolas Louvet, Serena (Paris)(Nicolas Louvet)</t>
  </si>
  <si>
    <t>35006-86T</t>
  </si>
  <si>
    <t>E-Blink</t>
  </si>
  <si>
    <t>Connectivity Products*, Telecommunications Service Providers</t>
  </si>
  <si>
    <t>Developer of mobile network deployment products designed to solve the connection problems some operators face. The company's products consist of a wireless link that connects the antenna to any base station supporting 2G, 3G and LTE and eliminates the need for fiber or coaxial cables, providing operators to cut operating and capital costs by reducing the amount of time spent on zoning, negotiation and installation.</t>
  </si>
  <si>
    <t>Lucent Asset Management</t>
  </si>
  <si>
    <t>mobile network base station, mobile networking product, network antenna, network connection, radio link network</t>
  </si>
  <si>
    <t>Saint-Antoine, France</t>
  </si>
  <si>
    <t>49528-00T</t>
  </si>
  <si>
    <t>CEA Investissement, Davaniere Capital, Demeter Partners, EIT InnoEnergy, KYOSEIL AM, Opus Technologies, Région Sud Investissement, Turenne Groupe</t>
  </si>
  <si>
    <t>50443-93T</t>
  </si>
  <si>
    <t>Esprit Sushi</t>
  </si>
  <si>
    <t>Developer of an online food ordering platform designed to offer various Japanese delicacies. The company's platform offers fresh sushi that resembles the original creation of the restaurant chain and specializes in different niches of Japanese food, enabling customers to get authentic Japanese food at a reasonable rate.</t>
  </si>
  <si>
    <t>food ecommerce, food ordering platform, japanese food, japanese sushi, online food ordering, online meals, restaurant marketplace, restaurant technology platform</t>
  </si>
  <si>
    <t>E-Commerce, FoodTech, Restaurant Technology</t>
  </si>
  <si>
    <t>50541-76T</t>
  </si>
  <si>
    <t>L2V Ascenseurs</t>
  </si>
  <si>
    <t>Provider of lift maintenance services intended to ensure the performance of elevators. The company's services include installation, restoration, maintenance and repair services for elevators, enabling customers to organize the complex implementations and maintain safety.</t>
  </si>
  <si>
    <t>elevator installation service, elevator maintenance, elevator maintenance service, lift maintenance, lift maintenance services, lift restoration</t>
  </si>
  <si>
    <t>Bonneuil Sur Marne, France</t>
  </si>
  <si>
    <t>57051-19T</t>
  </si>
  <si>
    <t>Qwant</t>
  </si>
  <si>
    <t>Operator of an online search engine intended to respect users' privacy without tracking their data. The company's platform offers search results that are based on its own indexing algorithm, which takes into account the user's search query, location and language preferences as well as provides features such as instant answers, autocomplete and suggested searche, thereby helping its users find what they are looking for accurately and conveniently.</t>
  </si>
  <si>
    <t>Axel Springer Digital Ventures</t>
  </si>
  <si>
    <t>algorithm based, internet search engine, online search engine, search engine, search engine operator, search engine system, user privacy, web search</t>
  </si>
  <si>
    <t>252467-74T</t>
  </si>
  <si>
    <t>138742-66T</t>
  </si>
  <si>
    <t>Christophe Dumoulin(Christophe Dumoulin)</t>
  </si>
  <si>
    <t>50483-98T</t>
  </si>
  <si>
    <t>DV France</t>
  </si>
  <si>
    <t>Producer of gourmet products intended to offer gourmet delicacy as regional food products for professionals. The company's products include sweets, biscuits, confectionery, caramel, meat tins, and soups and also offers food souvenir gifts, enabling consumers to enjoy quality gourmet products delivered directly at home.</t>
  </si>
  <si>
    <t>food producer, gourmet manufacturer, gourmet meals delivery, gourmet product, gourmet product production, gourmet products, gourmet snacks producer, regional producer</t>
  </si>
  <si>
    <t>50558-59T</t>
  </si>
  <si>
    <t>Vertigo (Restaurants and Bars)</t>
  </si>
  <si>
    <t>Operator of a chain of stores intended to serve various foods. The company's stores include restaurants, bakeries, and wine wholesaling serving organic wine and organic bread, providing customers with have a wide range of intercontinental food.</t>
  </si>
  <si>
    <t>hotels and restaurants, organic food, restaurant chain, restaurant operator, restaurants and cafes, seasonal fruits, seasonal vegetables</t>
  </si>
  <si>
    <t>76196-08T</t>
  </si>
  <si>
    <t>Actilev</t>
  </si>
  <si>
    <t>Industrial Supplies and Parts, Internet Retail*</t>
  </si>
  <si>
    <t>Operator of industrial supplies and equipment-based retail platform intended to specialize in the sale of technical materials and equipment for businesses and communities. The company's platform offers equipment associated with the e-commerce activity like storage, weighing machines, electric hoists, tools, and furniture, which can be bought from the company's online site itself, enabling businesses and communities to get their appropriate industrial supplies at affordable prices.</t>
  </si>
  <si>
    <t>industrial equipment, industrial furniture, industrial supplier, industrial supplies and equipment, industrial supplies retailer, technical materials</t>
  </si>
  <si>
    <t>34856-92T</t>
  </si>
  <si>
    <t>188072-38T</t>
  </si>
  <si>
    <t>56148-85T</t>
  </si>
  <si>
    <t>Wallix Group (PAR: ALLIX)</t>
  </si>
  <si>
    <t>Wallix Group SA is a cybersecurity software company based in France. The company offers a range of solutions, including WALLIX Bastion, WALLIX Trustelem, WALLIX Best Safe, and WALLIX INSIDE. Its geographical segments include France and international, with the majority of its revenue coming from France.</t>
  </si>
  <si>
    <t>Access2net, Alliance Entreprendre, Seventure Partners</t>
  </si>
  <si>
    <t>access management, computer security software, cybersecurity software, data breach detection, enterprise application system, identity &amp; access management, identity access management, identity and access management, it asset management, it security software</t>
  </si>
  <si>
    <t>81465-94T</t>
  </si>
  <si>
    <t>Finovam Gestion(Philippe Moons), Nord France Amorçage</t>
  </si>
  <si>
    <t>34619-23T</t>
  </si>
  <si>
    <t>MesMateriaux.com</t>
  </si>
  <si>
    <t>Building Products, Internet Retail*</t>
  </si>
  <si>
    <t>Operator of an e-commerce platform intended to sell building materials. The company offers a wide range of building materials such as electric wires, switches, plumbing materials and bathroom fittings among the others along with offering advice from specialists, enabling constructors to construct buildings in a hassle-free manner.</t>
  </si>
  <si>
    <t>CapHorn Invest(Hugues Joubert), Entrepreneur Invest, Northern idea, Siparex Group, Venture Ontario</t>
  </si>
  <si>
    <t>building material retailer, construction materials, construction materials retailer, online building materials, plumbing material</t>
  </si>
  <si>
    <t>34557-04T</t>
  </si>
  <si>
    <t>Alven Capital Partners(Rodolphe Menegaux), Cédric Siré, Hexa</t>
  </si>
  <si>
    <t>36556-12T</t>
  </si>
  <si>
    <t>Orange (Telecommunications Service Providers) (PAR: ORA), ProSiebenSat.1 Media (ETR: PSM), Xavier Niel(Xavier Niel)</t>
  </si>
  <si>
    <t>45730-18T</t>
  </si>
  <si>
    <t>Prestodiag</t>
  </si>
  <si>
    <t>Developer of pathogen detection systems designed to detect microbiological pathogens in food and healthcare industry. The company's systems help in the early detection of multiple pathogenic bacteria in complex matrices, enabling businesses to increase the shelf life of the final product.</t>
  </si>
  <si>
    <t>CEA Investissement(Celia Hart), GoBeyond, Karista (Paris)(Catherine Boule), Karl Naim(Karl Naim), Kreizig Invest</t>
  </si>
  <si>
    <t>bacteria detection, microbe detection technology, microbiological analysis, microbiology, optical instrumentation</t>
  </si>
  <si>
    <t>123843-43T</t>
  </si>
  <si>
    <t>Action Civile</t>
  </si>
  <si>
    <t>Provider of an online civil justice platform intended to help consumers who have been harmed by abusive companies to assert their rights collectively.
 The company's platform uses the processes of industrial seizure of the courts of the company Ask Justice whose validity was confirmed by a judgment of the Criminal Court of Paris, enabling a maximum of plaintiffs against the same company in order to obtain compensation for each of them.</t>
  </si>
  <si>
    <t>compensation for victims collectively, criminal court of paris, industrial seizure, online civil justice platform, online justice platform</t>
  </si>
  <si>
    <t>129499-93T</t>
  </si>
  <si>
    <t>Click2Buy</t>
  </si>
  <si>
    <t>Developer of an omnichannel shopping platform intended to give brands visibility on e-commerce sites. The company's platform permits brands to install a call-to-action on their digital communication mediums to offer consumers the list of retailers who have their product in stock, available for delivery, for pick-up, or at a physical store, enabling retailers and brands to bring consumers closer for service and exchange.</t>
  </si>
  <si>
    <t>digital advertising platform, digital media platform, digital shopping service, omnichannel marketing, online-to-offline, product information, shoppable video</t>
  </si>
  <si>
    <t>AdTech, E-Commerce, SaaS</t>
  </si>
  <si>
    <t>Lomme Lille, France</t>
  </si>
  <si>
    <t>34508-89T</t>
  </si>
  <si>
    <t>Innovacom (Paris)(Jérôme Faul), Patrick Bertrand(Patrick Bertrand), Seed4Soft</t>
  </si>
  <si>
    <t>29630-44T</t>
  </si>
  <si>
    <t>BedyCasa</t>
  </si>
  <si>
    <t>Developer of an online community platform designed to bring together travelers across the globe. The company's platform provides a common digital space to discuss on topics like different ways of travelling, more authentic accommodation and economical tours, enabling members to get an early insight of locations where they are planning to go.</t>
  </si>
  <si>
    <t>Bpifrance, CITA Investissement, Kuwait Investment Authority</t>
  </si>
  <si>
    <t>expedition, tour guidance service, travel information, travelers communication, travelers forum</t>
  </si>
  <si>
    <t>234096-40T</t>
  </si>
  <si>
    <t>Alven Capital Partners, Kima Ventures</t>
  </si>
  <si>
    <t>82367-29T</t>
  </si>
  <si>
    <t>Muquans</t>
  </si>
  <si>
    <t>Manufacturer of new generation ultra-high precision measurement instruments designed to measure quantum manipulation of cold atoms. The company's product portfolio includes the Absolute Quantum Gravimeter (AQG), capable of measuring gravity with extreme sensibility and accuracy; MuClock, offering time measurements with unprecedented stability and accuracy, and a large range of research-grade laser systems and laser components dedicated to atom or ion cooling and manipulation, quantum information sciences, and high-resolution spectroscopy, enabling scientists, researchers and quantum computing companies to observe and perform high precision measurements.</t>
  </si>
  <si>
    <t>AQUITI Gestion, IRDI Capital Investissement, Tikehau Ace Capital, Tikehau Capital (PAR: TKO)</t>
  </si>
  <si>
    <t>atomic clock, cold atoms, geophysics, gravity measurement, laser spectroscopy, metrology tools, precision measurement instrument, quantum gravimeter, quantum information sciences, spectroscopy system</t>
  </si>
  <si>
    <t>76290-58T</t>
  </si>
  <si>
    <t>50423-41T</t>
  </si>
  <si>
    <t>50544-46T</t>
  </si>
  <si>
    <t>Co-Nect (Media and Information Services (B2B))</t>
  </si>
  <si>
    <t>Media and Information Services (B2B)*, Other Commercial Services, Other Services (B2C Non-Financial)</t>
  </si>
  <si>
    <t>Provider of event management services intended to assist people in organizing events and trade fairs. The company's services specialize in the design, set up,s and decoration of events, exhibitions, and stands by gathering human, technical and logistic skills required for it, enabling clients to make their events memorable.</t>
  </si>
  <si>
    <t>event management agency, event management firm, event organizing company, event organizing firm, event organizing service, general installation, traditional stands</t>
  </si>
  <si>
    <t>Peujard, France</t>
  </si>
  <si>
    <t>65919-70T</t>
  </si>
  <si>
    <t>Eplaque</t>
  </si>
  <si>
    <t>Developer of an online car registration platform intended to simplify the procedures for motorists. The company allows motorists to complete their gray card procedures easily with powerful technology and human expertise and offer a clear and transparent private alternative to public services, enabling drivers to save time and money with personalized procedures.</t>
  </si>
  <si>
    <t>car registration, motorist assistance, motorist assistance application, online registration, registration plates, registration platform</t>
  </si>
  <si>
    <t>Epinay-sous-Senart, France</t>
  </si>
  <si>
    <t>190993-51T</t>
  </si>
  <si>
    <t>121365-19T</t>
  </si>
  <si>
    <t>La Maison Plisson</t>
  </si>
  <si>
    <t>Food Products, Restaurants and Bars*, Specialty Retail</t>
  </si>
  <si>
    <t>Operator of food stores and restaurants based in Paris, France. The company's food hall comprises a butcher shop, a wine cave, a fruit and vegetable stand, a cheese shop and food corners along with a bakery and restaurant, thereby providing customers with an all-day French menu.</t>
  </si>
  <si>
    <t>butcher shops, food hall, food store chain, food store operator, french bakery, french restaurant, restaurant chain, restaurant operator</t>
  </si>
  <si>
    <t>30537-73T</t>
  </si>
  <si>
    <t>Le Moulin de la Vierge</t>
  </si>
  <si>
    <t>Operator of a chain of bakeries designed to offer cakes to the consumers of Paris. The company's bakeries offer breads, muffins, pastries and other confectioneries, enabling consumers to consume fresh and sweet treats.</t>
  </si>
  <si>
    <t>bread, cakes, confectionaries, muffins and pastry, pastry</t>
  </si>
  <si>
    <t>50544-28T</t>
  </si>
  <si>
    <t>Les Brasérades</t>
  </si>
  <si>
    <t>Producer of meat products intended to offer meat for cooking or grilling. The company's products include cooked meat, smoked meat, pork, and sausages, enabling consumers to avail freshly processed meat for any occasion.</t>
  </si>
  <si>
    <t>catering business, cold cuts, cooked meat, pork, sausages, smoked meat</t>
  </si>
  <si>
    <t>Le Cres, France</t>
  </si>
  <si>
    <t>78721-30T</t>
  </si>
  <si>
    <t>Alven Capital Partners(Guillaume Aubin), Hi Inov(Pierre-Henri Dentressangle), ISAI, Justin Ziegler(Justin Ziegler), OpenOcean (Helsinki)</t>
  </si>
  <si>
    <t>35553-88T</t>
  </si>
  <si>
    <t>Greenweez</t>
  </si>
  <si>
    <t>Environmental Services (B2B), Internet Retail, Other Commercial Services, Other Services (B2C Non-Financial)*</t>
  </si>
  <si>
    <t>Operator of an online platform for providing organic and environmentally friendly products. The company operates an e-commerce website offering household fixtures, food products, cosmetics and healthcare items.</t>
  </si>
  <si>
    <t>Christophe Bach, d'Actaris, Karim Ganem, Patrice Giami, Promelys Participations, Thierry Bouillet, Trail Solutions Patrimoine</t>
  </si>
  <si>
    <t>cosmetics, ecommerce, environmentally-friendly products, e-retail platform, food products, organic product</t>
  </si>
  <si>
    <t>Saint Jorioz, France</t>
  </si>
  <si>
    <t>34980-67T</t>
  </si>
  <si>
    <t>IMS Innovation &amp; Measurement Systems</t>
  </si>
  <si>
    <t>Manufacturer of integrated radiation measurement products designed to be used for detection, localization, and radionuclides identification. The company's products help in developing, producing, and commercializing radioprotection and radiation measurement alternatives that include miniature detectors, electronic interfaces, and communication protocols, enabling users to ensure improved accuracy, efficiency, and reduced errors.</t>
  </si>
  <si>
    <t>Banexi Ventures Partners, Pegase Croissance</t>
  </si>
  <si>
    <t>nuclear measurement, radiation detection, radiation monitoring, radiation protection, radioisotopes identification, radionuclides, radioprotection technology, spectrometer</t>
  </si>
  <si>
    <t>188362-18T</t>
  </si>
  <si>
    <t>Oxylio</t>
  </si>
  <si>
    <t>Operator of an online car platform intended to offer a wide range of vehicles and automobile services. The company's platform provides a marketplace to distribute new and used vehicles directly from the manufacturers of leading brands, enabling buyers and sellers to meet directly in a transparent way.</t>
  </si>
  <si>
    <t>Intellect Capital Ventures</t>
  </si>
  <si>
    <t>auto commerce, auto dealer, car dealer, car search, used vehicle, vehicle marketplace</t>
  </si>
  <si>
    <t>50703-49T</t>
  </si>
  <si>
    <t>Bpifrance, Jules Vo-Dinh, Kima Ventures</t>
  </si>
  <si>
    <t>37092-97T</t>
  </si>
  <si>
    <t>ActiveEon</t>
  </si>
  <si>
    <t>Developer of workload automation software designed to provide workload orchestration. The company's software provides innovative open source solutions for IT automation, acceleration and scalability, big data, distributed computing, and application orchestration, enabling businesses to accelerate their go-to-market to get a competitive advantage.</t>
  </si>
  <si>
    <t>BA06, John Queffélec(John Queffélec), Kima Ventures, Nestadio Capital(Bertrand Begin), Région Sud Investissement</t>
  </si>
  <si>
    <t>automation solutions provider, jobs scheduling, scheduling software, workflow automation platform, workflow automation software, workflow orchestration platform</t>
  </si>
  <si>
    <t>34232-95T</t>
  </si>
  <si>
    <t>Delfmems</t>
  </si>
  <si>
    <t>Supplier of radio frequency systems designed to offer enhanced connectivity and increasing data demand from next generation 4G and 5G handsets. The company's radio frequency systems provides low voltage RF MEMS switching technology with stand-alone components, high performances and hot switching operations, enabling clients to avail increase bandwidth and bit rates for handing high volumes of data.</t>
  </si>
  <si>
    <t>Aria Capital Management, Banque Populaire Auvergne Rhône Alpes, Bpifrance(Frederic Le Brun), Business Angels Club Berlin-Brandenburg, Eurekap!, Finovam Gestion(Helene Cannard), Groupe IRD, Héléa Financière, IRIS (Private Equity)(Guillaume Meulle), Rhône-Alpes Création, Vives Fund(André Vandemeulebroecke)</t>
  </si>
  <si>
    <t>radio frequency, rf hardware, rf mems, switching application, switching technology</t>
  </si>
  <si>
    <t>Sainghin-en-Mélantois, France</t>
  </si>
  <si>
    <t>66157-39T</t>
  </si>
  <si>
    <t>FamiHero</t>
  </si>
  <si>
    <t>Developer of a babysitter and homecare service finding platform designed to connect parents with nannies, babysitters, and tutors. The company's platform helps the users to register on the portal to avail of a range of services including tutoring, housekeeping, home care, gardening, and pet care, enabling users to manage their home and their family in a proper manner without any hesitation and worry.</t>
  </si>
  <si>
    <t>Day One Entrepreneurs &amp; Partners, Jaina Capital</t>
  </si>
  <si>
    <t>babysitters finding platform, babysitting, gardening and pet care, home management services, housekeeping</t>
  </si>
  <si>
    <t>67903-30T</t>
  </si>
  <si>
    <t>Naxicap Partners, NextStage AM, NGE</t>
  </si>
  <si>
    <t>34136-74T</t>
  </si>
  <si>
    <t>360 Capital(Francois Tison), Business Angels Club Berlin-Brandenburg, Partech(Philippe Collombel)</t>
  </si>
  <si>
    <t>35554-06T</t>
  </si>
  <si>
    <t>BIO-UV Group (PAR: ALTUV)</t>
  </si>
  <si>
    <t>BIO-UV Group is a manufacturer of ultraviolet (UV) water treatment equipment in France. It designs, manufactures and markets systems and concepts of disinfection by ultraviolet light (UV-C) adapted to the number of applications. The company offers products for disinfecting swimming pools and private and collective hot tubs, treating wastewater, producing drinking water, treating bilge water from ships and water from aquariums.</t>
  </si>
  <si>
    <t>Tikehau Ace Capital</t>
  </si>
  <si>
    <t>ultraviolet, ultraviolet treatment, ultraviolet water treatment, uv treatment, water treatment, water treatment product, water treatment tech</t>
  </si>
  <si>
    <t>89321-14T</t>
  </si>
  <si>
    <t>AQUITI Gestion(Bernard Estienne), WiSeed</t>
  </si>
  <si>
    <t>34072-12T</t>
  </si>
  <si>
    <t>Lysogene</t>
  </si>
  <si>
    <t>Lysogene SA is a biotechnology company. It is engaged in research and clinical development of gene therapy for neurodegenerative disorders. The group is organization is based in France and is focused on developing AAV vectors which have demonstrated their effectiveness in delivering genetic material to the central nervous system. The company's clinical program includes mucopolysaccharidosis IIIA and GM1 gangliosidosis.</t>
  </si>
  <si>
    <t>Bpifrance(Chahra Louafi), Lux Capital, Novo Holdings(Henrijette Richter), Sofinnova Partners</t>
  </si>
  <si>
    <t>cerebral gene therapy, gene therapy, gene therapy drug, gene therapy product, intra-cerebral gene therapy, single dose treatment</t>
  </si>
  <si>
    <t>127836-37T</t>
  </si>
  <si>
    <t>Aster Capital, Sofimac Investment Managers, TotalEnergies Ventures</t>
  </si>
  <si>
    <t>50544-55T</t>
  </si>
  <si>
    <t>Maison Malartre</t>
  </si>
  <si>
    <t>Operator of an online retail platform intended to offer culinary specialties from Lyon tradition. The company's platform offers authentic and gastronomic products and canned products, dumplings, cardoons, natural or cooked snails, and sauces, enabling individuals to enjoy authentic delicacies made with respect for tradition.</t>
  </si>
  <si>
    <t>authentic product, canned product, culinary app, food ecommerce, food product retailer, online food ordering, online platform, online retail platform, restaurant marketplace, seafood meat, traditional recipes</t>
  </si>
  <si>
    <t>E-Commerce, FoodTech, SaaS, TMT</t>
  </si>
  <si>
    <t>50553-46T</t>
  </si>
  <si>
    <t>Quatorze-IG</t>
  </si>
  <si>
    <t>Operator of a construction and restructuring firm intended to develop projects as per energy and environmental requirements. The company's services include construction and rebuilding in commercial, office, retail, logistics, hospitality, health, and housing, enabling building engineers to have enhanced and modern interiors within their budget.</t>
  </si>
  <si>
    <t>architectural planning, construction economics, construction firm, construction firm operator, construction work, design service, interior design, restructuring service, restructuring service provider, technical consultancy</t>
  </si>
  <si>
    <t>33989-32T</t>
  </si>
  <si>
    <t>BNP Paribas (PAR: BNP), Caisse des Depots Group, Paris Initiative Enterprises</t>
  </si>
  <si>
    <t>35016-85T</t>
  </si>
  <si>
    <t>Auriga Partners (Paris)(Franck Lescure), Elaia Partners(Franck Lescure), Kreaxi(Gwenaël Hamon), Rhône-Alpes Création(Mathieu Viallard), Trail Solutions Patrimoine(Guillaume Hemmerle)</t>
  </si>
  <si>
    <t>117637-39T</t>
  </si>
  <si>
    <t>Crédit Mutuel Equity(Delphine Cardi)</t>
  </si>
  <si>
    <t>52195-87T</t>
  </si>
  <si>
    <t>Accel(Philippe Botteri), Alven Capital Partners(Charles Letourneur), Kernel Investissements</t>
  </si>
  <si>
    <t>86612-95T</t>
  </si>
  <si>
    <t>Babyloan</t>
  </si>
  <si>
    <t>Developer of an online interest-free lending platform designed to fund projects through crowdfunding. The company offers a crowdfunding platform specializing in solidarity lending by connecting lenders and micro-entrepreneurs excluded from the banking system, allowing individuals to lend money to micro-entrepreneurs in 18 countries around the world, by financing online all or part of the loan they need to develop a small economic activity.</t>
  </si>
  <si>
    <t>BRED Banque Populaire, Caisse des Depots Group, Credit Cooperatif, Crédit Municipal de Paris, Neuflize OBC, Omnes Capital</t>
  </si>
  <si>
    <t>alternative lending, crowdfunding company, crowdfunding portal, crowdfunding site, marketplace lending, microcredit finance, microcredit platform, microfinance lender, microfinance site, microfinancing firm</t>
  </si>
  <si>
    <t>121804-75T</t>
  </si>
  <si>
    <t>Fealinx</t>
  </si>
  <si>
    <t>Provider of assistance services intended to improve the product development process. The company's services develop computer-aided design and product lifecycle management software, enabling businesses to improve their product design and process development.</t>
  </si>
  <si>
    <t>design software, process development, product design, product development assistance, product development process, product lifecycle management</t>
  </si>
  <si>
    <t>87412-06T</t>
  </si>
  <si>
    <t>LH Aviation</t>
  </si>
  <si>
    <t>Developer of two-seater aircraft and drones designed to offer aerial vehicle flexibility for a low cost. The company's technology offers carbon fiber bodies that can be fitted with rockets and sensor turrets permitting the international aerial and surveillance sector to fulfill a variety of roles, both civilian and military, such as pilot training, surveillance and armed reconnaissance, enabling clients to utilize drones and aircraft for surveillance.</t>
  </si>
  <si>
    <t>A Plus Finance, Club Invest 77</t>
  </si>
  <si>
    <t>aircraft design, aircraft developer, aviation manufacturing, aviation manufacturing company, drones design, drones developer, fighter aircraft</t>
  </si>
  <si>
    <t>Limoges-Fourches, France</t>
  </si>
  <si>
    <t>33871-87T</t>
  </si>
  <si>
    <t>Wheretoget</t>
  </si>
  <si>
    <t>Operator of an online fashion marketplace intended to offer a platform to share, discover, and shop beauty and lifestyle products. The company's platform offers various categories and options of fashion accessories, clothes, and other lifestyle products that are curated by user-generated content, enabling users to get a variety of products all in one online store.</t>
  </si>
  <si>
    <t>Alven Capital Partners(Guillaume Aubin), Fabrice Grinda(Fabrice Grinda), FJ Labs, Jean-Francois Caillard(Jean-Francois Caillard), Jose Marin(Jose Marin), Louis Chevant(Louis Chevant), Serge Alleyne(Serge Alleyne), Virginie Gretz(Virginie Gretz)</t>
  </si>
  <si>
    <t>apparel online, fashion markeplace, fashion platform, fashion product, lifestyle wear, online shopping, shoes online</t>
  </si>
  <si>
    <t>25388-83T</t>
  </si>
  <si>
    <t>Orega Biotech</t>
  </si>
  <si>
    <t>Developer of monoclonal antibodies designed to transform scientific insights in the field of tumor immunology into improved responses to cancer immunotherapies. The company's antibodies deal with therapeutic strategies for cancer, focus on the tumor microenvironment and also develop antibodies for modulating regulatory cell activities in cancers, enabling researchers to facilitate improved anticancer strategies, response rates, and patient survival.</t>
  </si>
  <si>
    <t>Inserm Transfert, Kreaxi(Isabelle Bou Antoun), OCTALFA, Rhône-Alpes Création, Sham, Turenne Groupe(Bervin Bouani), UI Investissement</t>
  </si>
  <si>
    <t>antibody, biologics, cancer immunology, cancer immunotherapy research, cancer therapy, immuno-oncology product, monoclonal antibody, tumor immunology</t>
  </si>
  <si>
    <t>55956-97T</t>
  </si>
  <si>
    <t>Convertigo</t>
  </si>
  <si>
    <t>Developer of a low or no-code mobile and website development platform designed to build and run enterprise-grade mobile, tablet, and desktop applications. The company's platform focus to connect enterprise data using a wide range of connectors, while building, enriching, optimizing, sharing, and exposing new or existing processes and logic and automated tests, reports, and notifications on the server, enabling organizations to design, develop, deploy, distribute and manage a portfolio of numerous mobile applications.</t>
  </si>
  <si>
    <t>application management, cloud data services, enterprise mashups, mobile application development, mobile enterprise, mobile enterprise app, scraping technology</t>
  </si>
  <si>
    <t>47246-77T</t>
  </si>
  <si>
    <t>Dailymotion</t>
  </si>
  <si>
    <t>Entertainment Software, Social Content, Social/Platform Software*</t>
  </si>
  <si>
    <t>Developer of video sharing platform intended to help video-makers share their content with the world and connect with the audience. The company offers a mix of professional content, and contextual advertising and pays content producers including companies and individuals, enabling viewers to get entertained.</t>
  </si>
  <si>
    <t>online advertising, online video, recent news, social network profiling, uploading video, video content, video media, video sharing platform</t>
  </si>
  <si>
    <t>35121-97T</t>
  </si>
  <si>
    <t>Agoranov, Bpifrance, CDC Climat, Innovacom (Paris)</t>
  </si>
  <si>
    <t>48833-56T</t>
  </si>
  <si>
    <t>Alto Invest</t>
  </si>
  <si>
    <t>77612-95T</t>
  </si>
  <si>
    <t>35591-59T</t>
  </si>
  <si>
    <t>CEA Investissement, Groupe Michelin (PAR: ML)(Prashant Prabhu), IPSA( Asset Management)(Thomas Balland)</t>
  </si>
  <si>
    <t>48828-79T</t>
  </si>
  <si>
    <t>OpenField Technology</t>
  </si>
  <si>
    <t>Application Specific Semiconductors, Oil and Gas Equipment*</t>
  </si>
  <si>
    <t>Manufacturer of wireless micro-sensors intended to improve efficiency, reliability, ease of use and the accessibility of sensing technologies for harsh conditions at the bottom of wells. The company's sensors offer micro-instruments and expertise to provide data that can enable enhanced recovery capabilities and safe operations, enabling well operators to save lives and earn profits.</t>
  </si>
  <si>
    <t>TotalEnergies Ventures(Christophe Tonion), Vermeer Energy</t>
  </si>
  <si>
    <t>memory gauge, mems technology, micro-sensor devices, monitoring sensors, smart sensor, wireless sensor</t>
  </si>
  <si>
    <t>Manufacturing, Oil &amp; Gas, TMT</t>
  </si>
  <si>
    <t>33597-73T</t>
  </si>
  <si>
    <t>Alven Capital Partners(Jeremy Uzan), Index Ventures(Martin Mignot)</t>
  </si>
  <si>
    <t>35554-24T</t>
  </si>
  <si>
    <t>Crédit Mutuel Impact, FCPI BPI Amorcage, GPPM Invest, Grant &amp; Partners, Masseran Innovation, Select (Financial Services), Seventure Partners</t>
  </si>
  <si>
    <t>33500-62T</t>
  </si>
  <si>
    <t>Lundbeckfonden BioCapital(Johan Kordel), Omnes Capital(Bruno Montanari), Seventure Partners(Isabelle de Cremoux)</t>
  </si>
  <si>
    <t>30537-19T</t>
  </si>
  <si>
    <t>Kusmi Tea</t>
  </si>
  <si>
    <t>Producer of organic and blended tea products based in Paris, France. The company offers black tea, green tea, white tea, organic blends, herbal teas, matcha and other related tea flavors for customers across Europe.</t>
  </si>
  <si>
    <t>flavored tea, green tea, organic infusion, organic tea, tea, tea pots, tea set, teapot</t>
  </si>
  <si>
    <t>30536-74T</t>
  </si>
  <si>
    <t>Le 48</t>
  </si>
  <si>
    <t>Owner and operator of chain of stores and bakeries. The company operates bakeries dedicated to the production and sale of baked goods such as cakes, breads, pies, desserts and chocolates. It also produces rice puddings, risotto and other types of stews.</t>
  </si>
  <si>
    <t>food bakery, rice pudding, risotto</t>
  </si>
  <si>
    <t>30540-25T</t>
  </si>
  <si>
    <t>Malafosse</t>
  </si>
  <si>
    <t>Operator of restaurant intended to offer a range of menus and platters. The company's restaurant is set up in an old station housing for more than 70 years, enabling people to dine in a luxurious royal setup.</t>
  </si>
  <si>
    <t>brasserie, eatery, food platters, menu, restaurant</t>
  </si>
  <si>
    <t>218407-15T</t>
  </si>
  <si>
    <t>Moulin de Païou</t>
  </si>
  <si>
    <t>Producer and seller of bread intended to provide of pieces of bread and pastries. The company offers bread, pastries, arteries, and cakes through a network of franchised bakeries, providing customers with freshly baked products.</t>
  </si>
  <si>
    <t>bakery unit, bread bags, bread product, food processing, food products retail, franchised bakery</t>
  </si>
  <si>
    <t>Chalon-sur-Saône, France</t>
  </si>
  <si>
    <t>30727-09T</t>
  </si>
  <si>
    <t>Munic (PAR: ALMUN)</t>
  </si>
  <si>
    <t>Munic SA is a vehicle data collection, processing and monetization company in Europe and North America. The company designs intelligent solutions in vehicles which collect data using the Munic box directly connected to the heart of the vehicle's electronic network via a universal socket, process such data locally within the Munic box; transmit and analyze such data on a proprietary artificial intelligence platform Munic.io; and allow B-to-B third parties to integrate their commercial applications on Munic.io to monetize the data collected. Its products include Munic Max V4, Munic V6 and Munic V6+ and V7+.</t>
  </si>
  <si>
    <t>Innovacom (Paris), Odyssee Venture</t>
  </si>
  <si>
    <t>edge computing, fleet operator, telematics, telematics operating devices, vertical integrator</t>
  </si>
  <si>
    <t>76276-99T</t>
  </si>
  <si>
    <t>Nutrivet</t>
  </si>
  <si>
    <t>Other Consumer Non-Durables*, Specialty Retail</t>
  </si>
  <si>
    <t>Producer of pet nutrition products created to offer quality pet food tailored to every kind of dog and cat. The company's platform offers different types of cat and dog food along with other food supplements that boost the immune system, aids digestion and protein absorption, and care that help in the metabolism of the animals concerned, enabling pet owners to avail of enriched pet food products at a fair price range.</t>
  </si>
  <si>
    <t>CITA Investissement, Galia Gestion</t>
  </si>
  <si>
    <t>animal food, animal food product, food supplements, online retail, online retail shop, pet food, pet food products, pet food shop, veterinary care</t>
  </si>
  <si>
    <t>Sainte Colombe en Bruilhois, France</t>
  </si>
  <si>
    <t>30138-13T</t>
  </si>
  <si>
    <t>Smart Tag Software</t>
  </si>
  <si>
    <t>Business/Productivity Software, Other Commercial Services*, Other Hardware</t>
  </si>
  <si>
    <t>Provider of software and hardware services for service companies deploying Internet of Things projects. The company operates as an e-commerce agency which helps in drafting of specifications, functional specifications and development of commercial sites using RFID and Near Field Communication (NFC) technology.</t>
  </si>
  <si>
    <t>OSEO Innovation</t>
  </si>
  <si>
    <t>drafting service, hardware service, rfid, traceability</t>
  </si>
  <si>
    <t>Brece, France</t>
  </si>
  <si>
    <t>30540-61T</t>
  </si>
  <si>
    <t>Société d'Exploitation des Etablissements Martel</t>
  </si>
  <si>
    <t>Construction and Engineering*, Other Services (B2C Non-Financial)</t>
  </si>
  <si>
    <t>Provider of public work and transportation services. The company specializes in public works and transport of indivisible masses. It provides transport service for professionals working with machinery or masses, intervenes for roadworks, sanitation and earthworks, offering teams of professionals to put their know-how and years of experience at service.</t>
  </si>
  <si>
    <t>earthworks, indivisible masses, public works, solid masses, transportation service provider</t>
  </si>
  <si>
    <t>Saint-Laurent-de-Mure, France</t>
  </si>
  <si>
    <t>30539-53T</t>
  </si>
  <si>
    <t>Sopartex</t>
  </si>
  <si>
    <t>Industrial Supplies and Parts, Internet Retail*, Specialty Retail</t>
  </si>
  <si>
    <t>Operator and retailer of spare parts retail platform intended to serve garden and automotive professionals. The company offers motor vehicle parts, supplies, accessories, tools, and equipment at very competitive prices, enabling clients to purchase quality products at a cheap price.</t>
  </si>
  <si>
    <t>gardening spare parts, gardening tools provider, spare parts, spare parts business, spare parts dealer, spare parts provider, spare parts retail, spare parts seller</t>
  </si>
  <si>
    <t>30146-50T</t>
  </si>
  <si>
    <t>Sotraco</t>
  </si>
  <si>
    <t>Provider of online bookstore retail services intended to provide resale of unsold books and magazines at a cheap price to customers. The company's services offer a range of unsold children's books, comics, magazines, and many more for resale which are delivered through their own distribution system, enabling customers to buy and sell old books with a short delivery time.</t>
  </si>
  <si>
    <t>bookstore market, bookstore retail, bookstore retail service, bookstore services, old books reseller, online bookstore</t>
  </si>
  <si>
    <t>30165-22T</t>
  </si>
  <si>
    <t>Timbropresse</t>
  </si>
  <si>
    <t>Provider of philatelic publication services intended to offer colorful stamps and notebooks. The company's services include the delivery of monthly information on current stamps and design magazines that provide news from around the world, enabling customers to gather knowledge from the magazines and keep notes in notebooks.</t>
  </si>
  <si>
    <t>design magazine, notebooks maker, philatelic collection, publication services, stamping collector, stamping magazine</t>
  </si>
  <si>
    <t>30164-59T</t>
  </si>
  <si>
    <t>TMI-Orion</t>
  </si>
  <si>
    <t>Business/Productivity Software, Electronic Equipment and Instruments*, Industrial Supplies and Parts</t>
  </si>
  <si>
    <t>Manufacturer of tools designed to use in validation and control of industrial processes. The company's tools and measurement systems include electronic data loggers for the control and validation of industrial processes, enabling industries to get accountable measurement accuracy and a series of application-driven software packages.</t>
  </si>
  <si>
    <t>data logger device, electronic casing, electronic data, electronic manufacturing, industrial process, measurement system</t>
  </si>
  <si>
    <t>30165-40T</t>
  </si>
  <si>
    <t>Tourneville Securex Gestion</t>
  </si>
  <si>
    <t>Provider of printing services intended to offer a variety of colourful labels for different companies. The company's services include the printing of small cartons, cardboard and adhesive labels to areas of cosmetics, luxury and wine industries, enabling clients to get designs for their products that assist them in attracting customers and thereby growing in their corresponding market.</t>
  </si>
  <si>
    <t>cardboard printing, carton printing, label printing service, labels printing, printing</t>
  </si>
  <si>
    <t>30326-05T</t>
  </si>
  <si>
    <t>Alain Tingaud Innovations(Alain Tingaud), Eurazeo (PAR: RF), Sofinnova Partners(Nicolas Autret)</t>
  </si>
  <si>
    <t>29797-30T</t>
  </si>
  <si>
    <t>Voxler</t>
  </si>
  <si>
    <t>Developer of musical games designed to make karaoke nights fun. The company specializes in building strong track lists and taking care of music rights clearance with chart-topping hits adapted to the audience and marketing strategy, enabling users to make their leisure time interactive.</t>
  </si>
  <si>
    <t>IncubAlliance, Scientipole Capital</t>
  </si>
  <si>
    <t>digital signal, game development, music game, process technology, signal processing, singing games engine</t>
  </si>
  <si>
    <t>30540-79T</t>
  </si>
  <si>
    <t>VS Distribution</t>
  </si>
  <si>
    <t>Provider of frozen fruits and vegetables to food industry. The company specializes in the logistics and technical treatment of locally purchased products.</t>
  </si>
  <si>
    <t>frozen food, frozen fruits, vegetables</t>
  </si>
  <si>
    <t>La Chapelle-sur-Erdre, France</t>
  </si>
  <si>
    <t>29776-33T</t>
  </si>
  <si>
    <t>Xambox</t>
  </si>
  <si>
    <t>Application Software, Database Software, Information Services (B2C)*</t>
  </si>
  <si>
    <t>Developer of an online document management platform intended to centralize all documents in one place. The company's platform automatically stores paper documents, emails and electronic documents and provides access to documents from an Internet and mobile, enabling users to gather, store and retrieve documents online using a cloud platform without the fear of losing them.</t>
  </si>
  <si>
    <t>document management platform, document management service, document management software solutions, document management system, document management technology</t>
  </si>
  <si>
    <t>40773-88T</t>
  </si>
  <si>
    <t>Celenys</t>
  </si>
  <si>
    <t>Developer of hyaluronic acid based scaffolds designed for 3D cell culture. The company's hyaluronic acid based scaffolds are based on 3D study model for oncology and stem cell culture.</t>
  </si>
  <si>
    <t>GO Capital (France)(Bruno Guicheux), NCI Gestion</t>
  </si>
  <si>
    <t>3d cell culture, cell culture, drugs screening, stem cell culture</t>
  </si>
  <si>
    <t>25694-38T</t>
  </si>
  <si>
    <t>Leosphere</t>
  </si>
  <si>
    <t>Maniufacturer of remote-sensing instruments intended to observe atmospheric conditions and measure wind characteristics. The company's instruments utilize LIDAC (Light Detection and Ranging) technology, consisting of a light ray which measures the movement of particles in the air, enabling aviation and weather companies to detect turbulence, wind energy, wind speed, aerosol characteristics and weather in a simplified manner.</t>
  </si>
  <si>
    <t>Idinvest Partners, Oraxys</t>
  </si>
  <si>
    <t>air monitoring and measurement system, atmospheric conditions monitoring, remote sensing instruments, remote sensing technology, wind characteristics measurement</t>
  </si>
  <si>
    <t>33521-95T</t>
  </si>
  <si>
    <t>Bpifrance(Marie Zwarg)</t>
  </si>
  <si>
    <t>34177-06T</t>
  </si>
  <si>
    <t>Amoeba (PAR: ALMIB)</t>
  </si>
  <si>
    <t>Amoeba SA is a France-based company engaged in developing, producing, and commercializing a biological biocide for use in the industrial sector. It develops Biomeba, a green biocide that harnesses the biocidal properties of Willaertia magna, which is used to treat cooling towers.</t>
  </si>
  <si>
    <t>Auriga Partners (Paris)(Franck Lescure), Crédit Mutuel Impact(Nicolas Meunier), Eurekap!(Jacques Dancer), Evolem, EZUS Lyon, Héléa Financière, Kreaxi, LFP Selection Innovation, MYROPOLA, Rhône-Alpes Création, Siparex Group, XAnge</t>
  </si>
  <si>
    <t>biocides producer, biocontrol product, biological treatment, ecological solutions, phytosanitary management, plant biotech</t>
  </si>
  <si>
    <t>Chassieu, France</t>
  </si>
  <si>
    <t>37208-80T</t>
  </si>
  <si>
    <t>OUAT Entertainment</t>
  </si>
  <si>
    <t>Operator of a gaming studio intended to create and edit video games. The company's gaming studio offers Web animated series for kids, teenagers and young adults, enabling game enthusiasts to play games.</t>
  </si>
  <si>
    <t>Entrepreneurs Partners(Bruno Deschamps), Kima Ventures(Xavier Niel), Nestadio Capital(Florent de Kersauson)</t>
  </si>
  <si>
    <t>facebook marketing, games, gaming studio, social games, video games</t>
  </si>
  <si>
    <t>33404-50T</t>
  </si>
  <si>
    <t>Bpifrance(Jean Bertin), Crédit Mutuel Innovation(Emilie Lidome), Innovation Capital (Paris)(Franck Noiret), Karista (Paris)(Olivier Dubuisson), LBO France(Franck Noiret), Oxeon Partners, Qualcomm Ventures, Sanofi Ventures, Sham Innovation Santé, Vesalius Biocapital Partners(Alain Parthoens)</t>
  </si>
  <si>
    <t>37721-98T</t>
  </si>
  <si>
    <t>ArchiDeco</t>
  </si>
  <si>
    <t>Home Furnishings*, Multimedia and Design Software, Other Services (B2C Non-Financial)</t>
  </si>
  <si>
    <t>Developer of a virtual home staging tool designed to offer an innovative and efficient service for real estate. The company's tool offers the possibility of enhancing a property, revealing its potential, proposing new developments, and optimizing space, without moving, without work, and in four days on average, enabling potential purchasers to gain the possibility of visualizing and decision-making to carry it out and a detailed sheet mentioning the furniture and decoration references.</t>
  </si>
  <si>
    <t>architectural, decoration design, home staging services, home staging tools, real estate, virtual home design, virtual home staging</t>
  </si>
  <si>
    <t>Neuilly Plaisance, France</t>
  </si>
  <si>
    <t>160583-41T</t>
  </si>
  <si>
    <t>Ecomiam (PAR: ALECO)</t>
  </si>
  <si>
    <t>Ecomiam SA is engaged in distribution of frozen products. The company's products include Aperitifs; Meats; Fish &amp; Seafood; Vegetables &amp; Potato; Culinary aids; On the go; Breads &amp; Pastries; Desserts; and Organic.</t>
  </si>
  <si>
    <t>Arkéa Investment Services, Force 29, UI Investissement</t>
  </si>
  <si>
    <t>food industry, food retailer, food wholesale, frozen product, retail service</t>
  </si>
  <si>
    <t>51797-44T</t>
  </si>
  <si>
    <t>Shopiles</t>
  </si>
  <si>
    <t>Developer of a parcel-delivery platform designed to deliver any kind of parcel from anywhere to anywhere in the world, hassle-free. The company's platform offers overseas parcel-delivery services through its website, enabling users to book the service and state the pickup and delivery spot, without any confusion and get their packages delivered at the right time and at the right place.</t>
  </si>
  <si>
    <t>delivery platform, logistics company, logistics platform, logistics service, parcel delivery, postage optimization</t>
  </si>
  <si>
    <t>246442-42T</t>
  </si>
  <si>
    <t>Eklo Hotels</t>
  </si>
  <si>
    <t>Operator of a chain of hotels located in Bordeaux, France. The company offers a combination of hotel and youth hostels providing a warm and design-oriented living space that is open to all with 24/7 reception, an environmentally friendly approach, and affordable prices, enabling budget-conscious travelers to discover various destinations in France.</t>
  </si>
  <si>
    <t>Paul Dubrule(Paul Dubrule)</t>
  </si>
  <si>
    <t>chain hotels, hotel operator, hotel service, hotels resorts, leisure hotel, living space, youth hostel</t>
  </si>
  <si>
    <t>33348-61T</t>
  </si>
  <si>
    <t>Elaia Partners(Xavier Lazarus), Idinvest Partners, Jacques-Antoine Granjon(Jacques-Antoine Granjon), Jaina Capital, Marc Simoncini(Marc Simoncini), Olivier Mathiot(Olivier Mathiot), Pierre Kosciusko Morizet(Pierre Kosciusko Morizet), XAnge, Xavier Niel(Xavier Niel)</t>
  </si>
  <si>
    <t>44348-50T</t>
  </si>
  <si>
    <t>WEDA (Medical Records Systems)</t>
  </si>
  <si>
    <t>Developer of an online medical records platform intended to offer healthcare professionals with patient records management services. The company's platform provides secure access and exchange of data by health organizations for consultation, patient file management, prescription, billing and coordination, enabling clients to manage their patients' health records.</t>
  </si>
  <si>
    <t>data exchange, files management, medical records, online medical records, patient data, patient records, patient records software</t>
  </si>
  <si>
    <t>Digital Health, HealthTech, SaaS, TMT</t>
  </si>
  <si>
    <t>214047-10T</t>
  </si>
  <si>
    <t>47045-26T</t>
  </si>
  <si>
    <t>Terre d'Embruns</t>
  </si>
  <si>
    <t>Producer and retailer of sweets and bakery products based in Brest, France. The company operates sweet shops and offers cake, chocolate chips, pastries, pies, biscuits and regional specialties.</t>
  </si>
  <si>
    <t>bakery products, cakes and pastries, choco chips, cookies and cakes, food ecommerce, local bakery, restaurant marketplace, sweets and pastry</t>
  </si>
  <si>
    <t>84848-68T</t>
  </si>
  <si>
    <t>WeCook WeCare</t>
  </si>
  <si>
    <t>Educational and Training Services (B2C), Information Services (B2C)*</t>
  </si>
  <si>
    <t>Provider of culinary and nutritional information services intended to assist in planning meals. The company's platform offers meal plans each week at a monthly subscription charge, thereby assisting users in weight loss through the choice of meals from a collection of different menus.</t>
  </si>
  <si>
    <t>IT Angels, Paris Region Venture Fund(Catherine Ball)</t>
  </si>
  <si>
    <t>culinary platform, culinary service, meal-plan, meals planner, meals planning, nutritional coaching</t>
  </si>
  <si>
    <t>FoodTech, LOHAS &amp; Wellness, Mobile, TMT</t>
  </si>
  <si>
    <t>76735-27T</t>
  </si>
  <si>
    <t>Les Petits Frenchies</t>
  </si>
  <si>
    <t>Operator of a digital media and online shopping platform designed to offer information regarding garments, accessories, household, childcare products, shoes, and cosmetics. The company's platform offers information regarding garments, accessories, household, childcare products, shoes and cosmetics from different brands.</t>
  </si>
  <si>
    <t>Leonardo Ventures</t>
  </si>
  <si>
    <t>digital media, digital media platform, digital media service, online shopping, online shopping store, shopping platform</t>
  </si>
  <si>
    <t>52356-16T</t>
  </si>
  <si>
    <t>E-Loue</t>
  </si>
  <si>
    <t>Developer of a rental platform intended to connect individuals or professionals throughout France. The company's platform offers a social hub where users can post and view advertisements related to fashion accessories, automobiles, home decor and other goods, enabling people to buy and sell transparently.</t>
  </si>
  <si>
    <t>5M Ventures, Business &amp; Decision, Easyflirt, Olivier Schatz(Olivier Schatz), Patrick Hoffstette(Patrick Hoffstette), Philippe Brizon(Philippe Brizon), Philippe Marchessaux</t>
  </si>
  <si>
    <t>consumer goods rental, online rental platform, rental marketplace, rental mediator, rental platform, rental portal</t>
  </si>
  <si>
    <t>125561-80T</t>
  </si>
  <si>
    <t>Financière Saint James, Partech</t>
  </si>
  <si>
    <t>33127-30T</t>
  </si>
  <si>
    <t>Matrix(Dana Stalder), Pinnacle Ventures, Serena (Paris)(Xavier Lorphelin)</t>
  </si>
  <si>
    <t>31617-82T</t>
  </si>
  <si>
    <t>Capital Grand Est, Centre europeen d'etude du Diabete, CTTM, Emertec Gestion, Fonds Lorrain des Materiaux, Statice France</t>
  </si>
  <si>
    <t>33046-21T</t>
  </si>
  <si>
    <t>Chahra Louafi(Chahra Louafi), Francois Thomas(Francois Thomas), Gianni Gromo(Gianni Gromo), Inserm Transfert(Matthieu Coutet), Versant Ventures(Thomas Woiwode)</t>
  </si>
  <si>
    <t>110737-63T</t>
  </si>
  <si>
    <t>Inocap Gestion, Siparex Group, XAnge</t>
  </si>
  <si>
    <t>35764-39T</t>
  </si>
  <si>
    <t>Atlanthera</t>
  </si>
  <si>
    <t>Developer of a drug discovery platform designed to treat bone tumors and metastases. The company's platform offers new chemical molecules based on the vectorization of active pharmaceutical ingredients to bone tissue, enabling doctors to use novel treatments that specifically target bone tumors and are able to locally deliver high concentrations of active molecules and limit systemic adverse effects.</t>
  </si>
  <si>
    <t>Fair West, GO Capital (France)(Bertrand Distinguin)</t>
  </si>
  <si>
    <t>bone cancer, bone metastasis, bone therapeutic, chemistry, drug discovery, drug discovery company, pharmaceutical ingredients, small molecule</t>
  </si>
  <si>
    <t>27892-54T</t>
  </si>
  <si>
    <t>Credit Agricole (PAR: ACA), Davaniere Capital, Eurowatt Partenaire(Roland Rémondet), Gravitation, Trail Solutions Patrimoine(Guillaume Hemmerle)</t>
  </si>
  <si>
    <t>58411-18T</t>
  </si>
  <si>
    <t>AirMems</t>
  </si>
  <si>
    <t>Application Specific Semiconductors*, Computers, Parts and Peripherals, Electrical Equipment</t>
  </si>
  <si>
    <t>Manufacturer of radio frequency electronic circuits intended to reduce power consumption and improve the electrical performances of circuits. The company's circuits exhibit better performance than conventional technologies, saving power consumption with micro relay-based products, enabling electronic engineers to significantly improve performance, reduce power consumption, and decrease the size of their devices.</t>
  </si>
  <si>
    <t>AQUITI Gestion, Dynalim, Limousin Business Angels, Limousin Participations</t>
  </si>
  <si>
    <t>electromechanical system, electronic circuit, electronic circuit design, electronic switches, power reduction, radio frequency circuit</t>
  </si>
  <si>
    <t>34956-55T</t>
  </si>
  <si>
    <t>Banexi Ventures Partners, Innovation Capital (Paris)(Michel Desbard), Kreaxi, LBO France</t>
  </si>
  <si>
    <t>85081-60T</t>
  </si>
  <si>
    <t>ROK Solution</t>
  </si>
  <si>
    <t>Automation/Workflow Software, Business/Productivity Software, Software Development Applications*</t>
  </si>
  <si>
    <t>Developer of a collaborative intelligence platform designed to digitize documents and manage digital transformation solutions. The company's platform helps business teams to easily manage users, create workflows, document and assign specific responsibilities without any information technology help, enabling companies to tackle their challenges of both reliability and agility.</t>
  </si>
  <si>
    <t>Alain Portmann(Alain Portmann), Fausto Geromel(Fausto Geromel), Jean-Christophe Lorrain(Jean-Christophe Lorrain), Olivier Vaysse(Olivier Vaysse), Pierre Schick(Pierre Schick), Starquest Capital(Emmanuel Gaude), Xavier Leveugle(Xavier Leveugle)</t>
  </si>
  <si>
    <t>collaborative process, corporate governance, digital document, risk analysis, risk management, software publisher</t>
  </si>
  <si>
    <t>35842-24T</t>
  </si>
  <si>
    <t>CEA Investissement(Régis Saleur), Eurekap!(Jacques Dancer), Tikehau Ace Capital(Thierry Letailleur)</t>
  </si>
  <si>
    <t>44243-74T</t>
  </si>
  <si>
    <t>Matooma</t>
  </si>
  <si>
    <t>Business/Productivity Software, Other Communications and Networking*</t>
  </si>
  <si>
    <t>Developer of an object management software designed to offer universal SIM card connectivity service. The company's software simplifies deployments and speeds productivity of every IoT project, thereby enabling clients to use their fleet of connected devices all while only having a single point of contact for all of their processes.</t>
  </si>
  <si>
    <t>connectivity services, device connectivity, enterprise management, machine-to-machine, software developer, software product</t>
  </si>
  <si>
    <t>32720-50T</t>
  </si>
  <si>
    <t>Crédit Mutuel Equity, Crédit Mutuel Impact(Nicolas Meunier)</t>
  </si>
  <si>
    <t>32716-99T</t>
  </si>
  <si>
    <t>SP3H</t>
  </si>
  <si>
    <t>Developer of smart optical sensor technology designed to reduce and control pollutant emissions in factories. The company's technology utilizes optical sensors that use the near-infrared system to identify the molecular structure of any liquid fuel in-vehicle by adjusting settings according to fuel quality data derived by the sensor, enabling clients to attain improved combustion efficiencies from the fuel that they use.</t>
  </si>
  <si>
    <t>Truffle Capital(Jean Francois Fourt)</t>
  </si>
  <si>
    <t>control testing, industrial data analytics, industrial iot, near-infrared technology, optical sensor tracking, pollutant filters, quality assurance, sensor equipment, vertical application</t>
  </si>
  <si>
    <t>Artificial Intelligence &amp; Machine Learning, CleanTech, Climate Tech, Internet of Things</t>
  </si>
  <si>
    <t>30533-41T</t>
  </si>
  <si>
    <t>2C Comm</t>
  </si>
  <si>
    <t>Operator of a communications agency intended to convey high-quality images on communication media. The company's agency provides multimedia designing, communication, advertising, and web designing services to bring together skills and values to work in the line with various projects for dynamism, notoriety, and development, enabling marketing or communication managers to get a complete diagnosis in the preparation, establishment, and management of their communication projects.</t>
  </si>
  <si>
    <t>advertising firm, business advertisement, business communication, communication media, multimedia design, web design</t>
  </si>
  <si>
    <t>30529-72T</t>
  </si>
  <si>
    <t>3LI Business Solutions</t>
  </si>
  <si>
    <t>Provider of a business intelligence platform designed to offer consulting, publishing and integrating enterprise resource planning (ERP) and customer relationship management (CRM) services. The company's business intelligence platform helps to develop original skills by combining technical know-how and business knowledge, reinforced by an international dimension, enabling small-to-medium enterprises looking to invest in a strategic tool with business expertise, project management and service sense.</t>
  </si>
  <si>
    <t>business intelligence platform, business knowledge, cereals cooperatives, customer relation, customer relationship management, project management platform, strategic tools</t>
  </si>
  <si>
    <t>La Plaine Saint-Denis, France</t>
  </si>
  <si>
    <t>30331-63T</t>
  </si>
  <si>
    <t>Acretion</t>
  </si>
  <si>
    <t>Developer of a collaborative platform designed to generate commitment through shared values. The company's platform brings out a consensus
through innovative social technology to define a common framework, unite behavior, and commit through values, thereby enabling businesses to build a culture of engagement.</t>
  </si>
  <si>
    <t>collaborative digital platform, collaborative platform, engagement flow, engagement platorm, software publishing, software publishing service</t>
  </si>
  <si>
    <t>30270-16T</t>
  </si>
  <si>
    <t>Athéor</t>
  </si>
  <si>
    <t>Other Commercial Services, Printing Services (B2B)*</t>
  </si>
  <si>
    <t>Provider of glass grafting technology intended to provide unique and tamper-proof printing for the identification of goods. The company's technology offers reliable traceability, unique glass marking, and production monitoring of glass products, enabling customers to fight against counterfeiting and parallel markets.</t>
  </si>
  <si>
    <t>glass graft, glass graft technology, glass inspection tool, glass printing, printing unit, tamper-proofing system</t>
  </si>
  <si>
    <t>30529-99T</t>
  </si>
  <si>
    <t>Atlantis Television</t>
  </si>
  <si>
    <t>Provider of audiovisual programs and services intended to evolve the television industry. The company's audiovisual services primarily focus on providing technical services for professional broadcast television and post-production services such as video shooting, equipment rental, mixing, and calibration, enabling clients to build their presence on the program grids and grow their business.</t>
  </si>
  <si>
    <t>audio visual programs, audio visual services, equipment rental, media production, shooting equipment</t>
  </si>
  <si>
    <t>29840-77T</t>
  </si>
  <si>
    <t>C3T</t>
  </si>
  <si>
    <t>Business/Productivity Software, Other IT Services, Telecommunications Service Providers*</t>
  </si>
  <si>
    <t>Developer of a multimedia communication system intended to replace traditional corporate telecommunication infrastructure. The company's system is entirely based on information technologies, software, and IP communications, enabling users to operate in heterogeneously distributed architectures' capacity.</t>
  </si>
  <si>
    <t>adc server, communication product, communication solutions, communication system, open telecommunication infrastructure, telecommunication items</t>
  </si>
  <si>
    <t>30332-44T</t>
  </si>
  <si>
    <t>Cash Express</t>
  </si>
  <si>
    <t>Department Stores*, Internet Retail</t>
  </si>
  <si>
    <t>Operator of a chain of online and offline franchise stores intended to buy and sell used products. The company's stores offer used musical instruments, video games, old jewelry and watches, used phones, home cinema, image sound products and used household appliances, enabling people to purchase second-hand products immediately without prior appointment and pay by cash or cheque.</t>
  </si>
  <si>
    <t>SambrInvest</t>
  </si>
  <si>
    <t>franchise store chain, franchise stores, secondhand goods, used goods, used goods marketplace, used product</t>
  </si>
  <si>
    <t>29851-39T</t>
  </si>
  <si>
    <t>Céramic Technology</t>
  </si>
  <si>
    <t>Industrial Supplies and Parts, Other Materials*</t>
  </si>
  <si>
    <t>Manufacturer of ceramics intended to develop and industrialize an operational medium for gas catalysis. The company's products are used for filtration, separation, and processing of gases, liquids, and particles, biological or chemical catalysis, and production of renewable energy, enabling green technology industries to get ceramic membrane materials for high-temperature applications.</t>
  </si>
  <si>
    <t>ceramic parts, ceramic products, ceramic wares, environmental technical ceramics, gas catalysis, micro and ultra filtration</t>
  </si>
  <si>
    <t>Salindres, France</t>
  </si>
  <si>
    <t>29859-76T</t>
  </si>
  <si>
    <t>CLL Pharma</t>
  </si>
  <si>
    <t>Developer of generic drugs intended to improve treatment acceptance and compliance. The company's products include formulations that help in developing medicines for better treatment acceptance and compliance, enabling healthcare professionals to offer advanced treatment to their patients.</t>
  </si>
  <si>
    <t>HealthCap, Medicis Capital, Omega Funds, Smalt Capital, Sofimac Investment Managers, Soridec</t>
  </si>
  <si>
    <t>better treatment, drug developer, galenical formulation, generic medicines, healthcare products, medication compliance, medicine development, pharmaceutical development</t>
  </si>
  <si>
    <t>29882-53T</t>
  </si>
  <si>
    <t>Des Petits Hauts</t>
  </si>
  <si>
    <t>Manufacturer of contemporary and comfortable apparel intended to create enduring fashion pieces. The company's platform offers a range of fashionable tops that feature distinctive designs and quality materials, enabling a diverse clientele to express their individuality through fashion while enjoying comfort and elegance in everyday wear.</t>
  </si>
  <si>
    <t>M Capital Partners, Nord Capital Partenaires</t>
  </si>
  <si>
    <t>casual wear, fashionable clothing, feminine clothing, trendy apparel, women apparel manufacturer, women clothes, women garments</t>
  </si>
  <si>
    <t>29890-54T</t>
  </si>
  <si>
    <t>L-A Finances, Rhône-Alpes Création</t>
  </si>
  <si>
    <t>82671-04T</t>
  </si>
  <si>
    <t>Eko etik</t>
  </si>
  <si>
    <t>Operator of an online platform intended to help in local products trade. The company's platform offers to purchase products and services from the producers of the North Basque Country and Seignanx without any intervention of the intermediaries, enabling clients to limit the environmental impact of consumption in the territory and grow on terms of revenue.</t>
  </si>
  <si>
    <t>consumer product, local product, local product trade, self buy platform</t>
  </si>
  <si>
    <t>29901-34T</t>
  </si>
  <si>
    <t>Elsys Design</t>
  </si>
  <si>
    <t>Electronic Components, Operating Systems Software, Other Commercial Services*</t>
  </si>
  <si>
    <t>Developer of electronic system products designed to imagine and design tomorrow's electronic systems. The company's electronic system products serve a variety of areas within the electronics industry including miniaturization of components, integration of systems, real-time OS, standardization of communication protocols and the increasing of computing power.</t>
  </si>
  <si>
    <t>Crédit Mutuel Impact, TriNova</t>
  </si>
  <si>
    <t>communication protocol, electronic components design, electronic components device, electronic components product, electronic components supply, system integration</t>
  </si>
  <si>
    <t>30533-23T</t>
  </si>
  <si>
    <t>Gest'Hotel</t>
  </si>
  <si>
    <t>Operator of a chain of hotels and restaurants. The company's chain of hotels and restaurants offers luxurious and comfortable bedrooms, foods and recreational facilities and services, enabling travelers and individuals to enjoy a pleasant stay with natural scenic beauty.</t>
  </si>
  <si>
    <t>hotel booking, hotel chain, hotel group, hotel service, hotel space</t>
  </si>
  <si>
    <t>Bourges, France</t>
  </si>
  <si>
    <t>30273-31T</t>
  </si>
  <si>
    <t>Greenfeel</t>
  </si>
  <si>
    <t>Horticulture*, Other Consumer Durables</t>
  </si>
  <si>
    <t>Producer of decorative plants intended to integrate the natural beauty of plants in living spaces. The company's plants are maintenance-free as they develop harmoniously on a natural gel composed of water, mineral salts, and sugar and are used for decorating receptions, meeting rooms, and offices, enabling clients to improve the working environment of their employees.</t>
  </si>
  <si>
    <t>agribusiness marketplace, agrifinance &amp; ecommerce, agrifinance and ecommerce, decoration items, decoration services, decorative plants, maintenance free plant, plant decoration, plant decoration product, plant store, veterinary product</t>
  </si>
  <si>
    <t>AgTech, E-Commerce, Life Sciences</t>
  </si>
  <si>
    <t>30537-10T</t>
  </si>
  <si>
    <t>Groupe Almage</t>
  </si>
  <si>
    <t>Provider of healthcare and care-taking services intended to look after the elderly people in France. The company's services offer nursing homes and residential homes that take care of elderly people suffering from neurodegenerative disorders and Alzheimer's, enabling elderly patients to get assistance from experienced healthcare professionals.</t>
  </si>
  <si>
    <t>alzheimer care, are taking service, care taking services, elder care, elderly patient assistance, elderly people, nursing home</t>
  </si>
  <si>
    <t>Saint-Pierre-Les-Nemours, France</t>
  </si>
  <si>
    <t>30533-32T</t>
  </si>
  <si>
    <t>Groupe LGMH</t>
  </si>
  <si>
    <t>Operator of a hotel group in France. The company's hotel group includes several hotels and restaurants.</t>
  </si>
  <si>
    <t>food and lodging, hotel chain operator, hotel group, hotel group operator, restaurant group</t>
  </si>
  <si>
    <t>29956-78T</t>
  </si>
  <si>
    <t>Imprimerie Léonce Deprez</t>
  </si>
  <si>
    <t>Provider of printing press services designed to offer printing and publishing services. The company's services specialize in press printing and also offers subscription management, delivery to distributors, printing, finishing, routing, planning and paper stocking, enabling customers to read magazines, brochures, catalog and tabloid.</t>
  </si>
  <si>
    <t>paper stock, press printing, printing industry, printing press, printing service, publishing service</t>
  </si>
  <si>
    <t>Wancourt, France</t>
  </si>
  <si>
    <t>29980-45T</t>
  </si>
  <si>
    <t>Laboratoires Martin Privat Santé</t>
  </si>
  <si>
    <t>Producer of beauty and nutrition products designed to offer health and wellness options to the people. The company's products include health and fitness substances like nutrition, diet, food supplements and protein products, enabling customers to get healthy nutrients at a lower price.</t>
  </si>
  <si>
    <t>beauty product, cosmetology, food supplements, healthy nutrients, protein product</t>
  </si>
  <si>
    <t>29983-06T</t>
  </si>
  <si>
    <t>Promelys Participations</t>
  </si>
  <si>
    <t>29983-15T</t>
  </si>
  <si>
    <t>LastInfos</t>
  </si>
  <si>
    <t>Provider of information on new products. The company operates a website that specializes in presenting information about new products related to games, music, videos, business finances and fashion.</t>
  </si>
  <si>
    <t>TriNova</t>
  </si>
  <si>
    <t>new product, product information, product survey</t>
  </si>
  <si>
    <t>Sannois, France</t>
  </si>
  <si>
    <t>29992-69T</t>
  </si>
  <si>
    <t>Logimine</t>
  </si>
  <si>
    <t>IT Consulting and Outsourcing*, Logistics</t>
  </si>
  <si>
    <t>Developer of fleet management systems designed to offer real-time monitoring of mining vehicles. The company's systems offer a technology that is suitable to open cast mines, production management, and quality control technologies in the mining industry, enabling clients to maximize operational productivity, reduce production and maintenance costs and optimize quality control and stockpile homogenization.</t>
  </si>
  <si>
    <t>fleet control, mine fleet management, mine vehicle monitoring, mining software, quality control technology</t>
  </si>
  <si>
    <t>29992-15T</t>
  </si>
  <si>
    <t>Lokad</t>
  </si>
  <si>
    <t>Developer of a SaaS platform designed for supply chain optimization. The company's optimization platform leverages cloud and machine learning that automates supply chains and gives management the control of future possibilities, enabling companies to optimize supply chains in a rational way.</t>
  </si>
  <si>
    <t>cloud computing, demand planning, sales forecasting, supply chain management, supply chain management software</t>
  </si>
  <si>
    <t>29711-71T</t>
  </si>
  <si>
    <t>MABLife</t>
  </si>
  <si>
    <t>Developer of antibody-based therapeutics. The company's products are designed to treat cancer, ophthalmic diseases, autoimmune &amp; inflammatory disorders and nosocomial infections.</t>
  </si>
  <si>
    <t>iXCore</t>
  </si>
  <si>
    <t>antibody-based therapeutic, healthcare service</t>
  </si>
  <si>
    <t>30116-71T</t>
  </si>
  <si>
    <t>Maison Rivière</t>
  </si>
  <si>
    <t>Producer of canned dishes intended to offer authentic French foods. The company's regional cuisines are cooked with selected fresh ingredients according to French traditions, enabling customers to enjoy rural French cuisine at an affordable cost.</t>
  </si>
  <si>
    <t>Sofipaca Capital Investissement, Soridec</t>
  </si>
  <si>
    <t>canned food, canned food items, canned food product, canned product, french cuisine, french food</t>
  </si>
  <si>
    <t>29774-80T</t>
  </si>
  <si>
    <t>Nanoplas</t>
  </si>
  <si>
    <t>Application Specific Semiconductors*, General Purpose Semiconductors, Other Semiconductors</t>
  </si>
  <si>
    <t>Provider of plasma-processing equipment for the semiconductor industry. The company offers radical flux systems for front end wafer processing, wafer level packaging, integrated circuit (IC) packaging and printed circuit board manufacturing.</t>
  </si>
  <si>
    <t>circuit board, integrated circuit, manufacturing, plasma processing</t>
  </si>
  <si>
    <t>29876-50T</t>
  </si>
  <si>
    <t>Nomadia Group</t>
  </si>
  <si>
    <t>Developer of mobile business software intended to improve productivity and profitability through better real-time monitoring. The company's software for smartphones and tablets addresses the daily needs of mobile professionals such as technicians, sales representatives and delivery drivers, thereby helping clients to improve their productivity and profitability through better real-time monitoring or communication within the company while optimizing work efficiency.</t>
  </si>
  <si>
    <t>application developer, crm platform, email and authoring, internal communication, knowledge management system, mobile business software, operational service</t>
  </si>
  <si>
    <t>30052-18T</t>
  </si>
  <si>
    <t>Oceasoft</t>
  </si>
  <si>
    <t>Designer and manufacturer of sensor products intended to develop solutions for monitoring and traceability of temperature. The company designs, calibrates and markets intelligent and connected sensors to monitor physical parameters such as temperature, humidity, CO2 levels and differential pressure for the life sciences and agri-food markets.</t>
  </si>
  <si>
    <t>Credit Agricole (PAR: ACA), iXO Private Equity, Sofilaro, Soridec</t>
  </si>
  <si>
    <t>cold chain management, humidity monitoring, sensor monitoring, sensor product, temperature monitoring, thermal sensitive</t>
  </si>
  <si>
    <t>30051-19T</t>
  </si>
  <si>
    <t>Online Business Entreprises</t>
  </si>
  <si>
    <t>Business Equipment and Supplies, Distributors/Wholesale*</t>
  </si>
  <si>
    <t>Distributor of office supplies intended to offer business consumables. The company's supplies contain all consumables that are required for daily operations, enabling companies to gte their consumables whenever they want.</t>
  </si>
  <si>
    <t>business consumables, business supplies, office supplies</t>
  </si>
  <si>
    <t>Houdan, France</t>
  </si>
  <si>
    <t>30001-33T</t>
  </si>
  <si>
    <t>PhotoAlto</t>
  </si>
  <si>
    <t>Media and Information Services (B2B)*, Other Media, Publishing</t>
  </si>
  <si>
    <t>Operator of an online photo library. The company holds exclusive distribution rights on images used by news organizations and publishing professionals, including CD-ROMs containing digital photos on various areas such as people and lifestyles, healthcare and beauty, food and gastronomy and typography concepts.</t>
  </si>
  <si>
    <t>E-Merge(Laurent Drion)</t>
  </si>
  <si>
    <t>collage, online photography, photo library</t>
  </si>
  <si>
    <t>30094-12T</t>
  </si>
  <si>
    <t>Phylogene</t>
  </si>
  <si>
    <t>Biotechnology*, Laboratory Services (Healthcare)</t>
  </si>
  <si>
    <t>Provider of a genetic identification technology intended to help develop applications of identification and authentication using the DNA molecule and protein. The company's technology uses deoxyribonucleic acid (DNA) from old as well as current species, genomics, transcriptomics, proteomics, metabolomics, and associated bioinformatics for identification and authentication applications or to demonstrate biological effects, thereby enabling researchers to get analysis and expertise on allergen detection, microbiology and species identification.</t>
  </si>
  <si>
    <t>allergens detection, authentication application, deoxyribonucleic acid, dna identification, genetic identification, identification technology, species identification</t>
  </si>
  <si>
    <t>Bernis, France</t>
  </si>
  <si>
    <t>30097-18T</t>
  </si>
  <si>
    <t>Plastiques de Haute Normandie</t>
  </si>
  <si>
    <t>Manufacturer of plastic injection parts intended to serve various industrial sectors. The company's parts are used in the development, decoration, assembly, tool design and plastic injection molding, enabling industries to avail enhanced molding part completion and assembly functions.</t>
  </si>
  <si>
    <t>molding product, parts molding, plastic injection moulding, plastic injection moulds, plastic manufacturing facility</t>
  </si>
  <si>
    <t>Blangy-sur-Bresle, France</t>
  </si>
  <si>
    <t>29808-19T</t>
  </si>
  <si>
    <t>Quadria</t>
  </si>
  <si>
    <t>Business/Productivity Software, Other IT Services, Printing Services (B2B), Systems and Information Management*</t>
  </si>
  <si>
    <t>Provider of business integration and information systems services designed to offer a coherent geographical network with a local services strategy. The company's services helps with the integration of network infrastructure, cloud computing, management services for SMEs, as well as offers printing services along with data backup and archiving, enabling clients to adopt a serene and simplified management in everyday life.</t>
  </si>
  <si>
    <t>business integration, information systems services, it virtualization, printing solutions, professional software</t>
  </si>
  <si>
    <t>30112-75T</t>
  </si>
  <si>
    <t>Régime Dukan</t>
  </si>
  <si>
    <t>Developer of an online diet coaching platform designed to assist people to lose weight. The company's platform provides support in terms of food, physical activity, and motivation to find a harmonious silhouette, lose belly fat, and bloom in shape, enabling users to stay fit, healthy, and fight obesity.</t>
  </si>
  <si>
    <t>Jaina Capital(Marie-Christine Levet)</t>
  </si>
  <si>
    <t>diet coaching program, diet planning, diet program, dieting advice, fitness coaching, weight loss services</t>
  </si>
  <si>
    <t>44190-01T</t>
  </si>
  <si>
    <t>Roomlala</t>
  </si>
  <si>
    <t>Operator of an online peer-to-peer marketplace intended for rental accommodations. The company's platform offers three types of accommodation that are empty rental rooms, flatshare ads, and serviced rental accommodation, thereby allowing users to list their properties and advertisements on the platform for free and property seekers to browse for properties for both short and long-term stays.</t>
  </si>
  <si>
    <t>accommodation service, housing service, rental accommodations platform, rooms rental, rooms rental service, vacation rental</t>
  </si>
  <si>
    <t>Mobile, Real Estate Technology, TMT</t>
  </si>
  <si>
    <t>30120-31T</t>
  </si>
  <si>
    <t>SaasValue</t>
  </si>
  <si>
    <t>Business/Productivity Software*, Education and Training Services (B2B), IT Consulting and Outsourcing</t>
  </si>
  <si>
    <t>Provider of training management tools. The company provides retail chains with a Web-based platform that helps them to organize and manage their internal training.</t>
  </si>
  <si>
    <t>electronic learning, planning software, retail training</t>
  </si>
  <si>
    <t>29854-00T</t>
  </si>
  <si>
    <t>Spiriit</t>
  </si>
  <si>
    <t>Operator of a technology platform intended to offer digital communication services. The company's technology platform provides services ranging from consulting, to creation, web design and development as well as the levers of web marketing, enabling clients to avail premium digital communication services through any devices.</t>
  </si>
  <si>
    <t>consulting, digital communication, digital communication service, internet portal, technology platform, web agency</t>
  </si>
  <si>
    <t>29707-21T</t>
  </si>
  <si>
    <t>The Wind Power</t>
  </si>
  <si>
    <t>Media and Information Services (B2B)*, Other Energy Services</t>
  </si>
  <si>
    <t>Operator of a wind energy market intended to provide a database for people working in the wind turbine sector. The company offers verified and updated quantitative and qualitative data at least twice a year to illustrate and document the main aspects of the wind sector, enabling clients with a database to satisfy their needs for cross-tabulation and multifactorial analysis.</t>
  </si>
  <si>
    <t>Sodical Instituto Financiero de Castilla y León</t>
  </si>
  <si>
    <t>database firm, energy services, environmental services, renewable energy, tracking tools, wind energy, wind farming, wind turbine sector</t>
  </si>
  <si>
    <t>Tournefeuille, France</t>
  </si>
  <si>
    <t>30530-89T</t>
  </si>
  <si>
    <t>Trudon</t>
  </si>
  <si>
    <t>Manufacturer of a variety of wax-based products and perfumes intended to be sold as house fragrances, personal perfumes and scented candles. The company's perfumes are handmade and mixed with molten wax to form a candle that is inspected and packaged by hand, enabling customers to buy better quality handmade scented candles, each with its own unique fragrance.</t>
  </si>
  <si>
    <t>candle manufacturer, decorative candles, house fragrances, perfumed candles, perfumes maker, scented candles</t>
  </si>
  <si>
    <t>29930-68T</t>
  </si>
  <si>
    <t>Vigitower</t>
  </si>
  <si>
    <t>Developer of electronic security technology. The company specializes in the development of mobile video surveillance platform for real-time management and video surveillance of construction sites.</t>
  </si>
  <si>
    <t>Succès Europe</t>
  </si>
  <si>
    <t>electronic security technology, site monitoring, site monitoring software, surveillance platform, surveillance systems</t>
  </si>
  <si>
    <t>68294-35T</t>
  </si>
  <si>
    <t>Wattmobile</t>
  </si>
  <si>
    <t>Provider of electronic automobile rental services. The company is a self-service electric scooter and car operator, that offers electric scooters and cars on a rental basis for business centers, hotels and companies.</t>
  </si>
  <si>
    <t>Airbus Group (PAR: AIR), CCI Marseille Provence, Credit Cooperatif, FullCharger International(Marc Büker), Orano, Région Sud Investissement, Société Nationale des Chemins de fer Français, TotalEnergies Ventures</t>
  </si>
  <si>
    <t>automobile rental service, electric scooter, electronic automobile</t>
  </si>
  <si>
    <t>29713-51T</t>
  </si>
  <si>
    <t>X-GIL Lab</t>
  </si>
  <si>
    <t>Operator of a multidisciplinary and cross-channel digital agency based in Meylan, France. The company's platform offers powerful technologies to create, manage, and animate branding and marketing on mobile, tablet and social networks, thereby enabling clients to increase their customer base and generate more earnings.</t>
  </si>
  <si>
    <t>branding, digital agency company, digital agency firm, digital agency service, digital marketing firm, home security, mobile multimedia, software platform</t>
  </si>
  <si>
    <t>48341-26T</t>
  </si>
  <si>
    <t>Shoptimise</t>
  </si>
  <si>
    <t>Provider of purchasing engine intended for e-grocery business. The company's platform allows for optimizing shopping in real-time in order to save time and money and brands can push their offers via targeted ads and promotions, enabling consumers to have better transparency on the pricing of everyday goods across various outlets.</t>
  </si>
  <si>
    <t>Amaury Amaury(Amaury Amaury), Karim Helal(Karim Helal)</t>
  </si>
  <si>
    <t>e-grocery purchasing, everyday goods, online grocer, purchasing engine, shopping offers, shopping search</t>
  </si>
  <si>
    <t>34747-21T</t>
  </si>
  <si>
    <t>Eduardo Ronzano(Eduardo Ronzano), Kima Ventures</t>
  </si>
  <si>
    <t>171213-40T</t>
  </si>
  <si>
    <t>PopUp Immo</t>
  </si>
  <si>
    <t>Operator of an online marketplace designed to offer short-term rental services. The company's marketplace connects brands with retail spaces for the purpose of pop-up shops, showrooms, product launches, and other events, thus providing businesses with short-term leases.</t>
  </si>
  <si>
    <t>Spark Capital(Moshe Koyfman)</t>
  </si>
  <si>
    <t>commercial space, sales space, space owner, space rental, space rental service</t>
  </si>
  <si>
    <t>32610-07T</t>
  </si>
  <si>
    <t>Bpifrance(Pierre-René Lemas), Elaia Partners(Philippe Gire), Idinvest Partners, Intel Capital(Marcos Battisti), iXO Private Equity(Renaud du Lac), Partech(Jean-Marc Patouillaud)</t>
  </si>
  <si>
    <t>39544-30T</t>
  </si>
  <si>
    <t>Cook Angels</t>
  </si>
  <si>
    <t>Provider of cooking kits designed to deliver fruits and vegetables already cut. The company's cooking kits help users to choose recipes and also purchase the ingredients required for cooking, enabling users to save time and cook tasty dishes.</t>
  </si>
  <si>
    <t>Elaia Partners(Samantha Jérusalmy), Olivier Mathiot(Olivier Mathiot), Paul Biondi(Paul Biondi)</t>
  </si>
  <si>
    <t>cooking, cooking ingredients, cooking kits, cooking recipes, ecommerce platform, meat-kit supplier</t>
  </si>
  <si>
    <t>66814-84T</t>
  </si>
  <si>
    <t>199779-76T</t>
  </si>
  <si>
    <t>M Capital Partners, Netangels</t>
  </si>
  <si>
    <t>53541-28T</t>
  </si>
  <si>
    <t>Alven Capital Partners(Raffi Kamber), Hexa(Quentin Nickmans)</t>
  </si>
  <si>
    <t>53214-13T</t>
  </si>
  <si>
    <t>MyGaloo</t>
  </si>
  <si>
    <t>Provider of a social service platform intended to offer online ticketing, crowdfunding and cashing services. The company's social service platform offers an online directory for clubs, associations, groups and communities, enabling them to regroup and manage over one million association and their members.</t>
  </si>
  <si>
    <t>2C Invest, CAAP Creation, Région Sud Investissement, Turenne Groupe</t>
  </si>
  <si>
    <t>club and associations, online directory, online information, service platform</t>
  </si>
  <si>
    <t>116754-49T</t>
  </si>
  <si>
    <t>TCF Industrie</t>
  </si>
  <si>
    <t>stealth business, stealth company, stealth entity, stealth firm, stealth operations</t>
  </si>
  <si>
    <t>Hazebrouck, France</t>
  </si>
  <si>
    <t>105232-33T</t>
  </si>
  <si>
    <t>Taqt</t>
  </si>
  <si>
    <t>Developer of facility management software designed to optimize waste collections and utilize energy. The company's platform offers a specific sensor that gives a complete view of each waste container filling rate in real-time to manage the waste collection, optimize the logistical process, and reduce costs, enabling clients to monitor and optimize energy easily.</t>
  </si>
  <si>
    <t>DDIDF, Gastón Bilder(Gastón Bilder), Investessor(Alain Ilhe), Vermeer Energy(Franck Bruneau)</t>
  </si>
  <si>
    <t>cleantech firm, electric sensor, facility management firm, iot solutions developer, iot systems, smart bins, waste dispose, waste management tool</t>
  </si>
  <si>
    <t>CleanTech, Internet of Things, SaaS, TMT</t>
  </si>
  <si>
    <t>77174-65T</t>
  </si>
  <si>
    <t>Aquitaine Développement Innovation, Caravelle (Asset Management)</t>
  </si>
  <si>
    <t>32252-14T</t>
  </si>
  <si>
    <t>A Plus Finance(Niels Court-Payen), Omnes Capital(Renaud Poulard), PME Innovation, Sofiouest</t>
  </si>
  <si>
    <t>32299-84T</t>
  </si>
  <si>
    <t>YellowKorner</t>
  </si>
  <si>
    <t>Operator of an online platform intended to democratize art photography and making it accessible to all. The company's online platform offers art photographs in limited and numbered editions via art galleries, online websites as well as retail outlets, enabling photographers to exhibit their talent worldwide.</t>
  </si>
  <si>
    <t>Audacia (PAR: ALAUD)(Charles Beigbeder), Kernel Investissements, Latour Capital, Middlebury College Endowment</t>
  </si>
  <si>
    <t>art photography, art platform, art retail, online art gallery, online art stores, photographs library</t>
  </si>
  <si>
    <t>32230-90T</t>
  </si>
  <si>
    <t>Andera Partners(Gilles Nobecourt), BioMedPartners, Inserm Transfert(François Thomas), Sofimac Innovation, Sofinnova Partners(Graziano Seghezzi)</t>
  </si>
  <si>
    <t>82193-23T</t>
  </si>
  <si>
    <t>webshell</t>
  </si>
  <si>
    <t>Provider of a cloud-based programming platform intended to make applications faster by saving 80% of time. The company's platform provides a cloud-based API programming platform for fast API consumption and implementation with amazing tools for saving time, catalyzing mashup development and sharing scripts, enabling developers to integrate, authenticate and script APIs in Javascript.</t>
  </si>
  <si>
    <t>api cloud integrations, api connectivity services, api programming, cloud-based api, cloud-based programming</t>
  </si>
  <si>
    <t>54448-21T</t>
  </si>
  <si>
    <t>MonsieurDrive</t>
  </si>
  <si>
    <t>Internet Retail, Media and Information Services (B2B)*</t>
  </si>
  <si>
    <t>Provider of an online grocery comparison platform designed to save customers's money and time. The company's online grocery comparison platform allows consumers to shop online at local hypermarkets enabling them to compose their basket by checking availability and prices of the groceries in different shops of their choice.</t>
  </si>
  <si>
    <t>50 Partners, Lara Rouyres(Lara Rouyres), Schibsted Ventures(Marc Brandsma)</t>
  </si>
  <si>
    <t>grocery comparison, grocery shopping platform, online grocery, online grocery comparison</t>
  </si>
  <si>
    <t>32166-82T</t>
  </si>
  <si>
    <t>VeryLastRoom</t>
  </si>
  <si>
    <t>Provider of a mobile application designed to offer discount hotel-booking service. The company's application offers booking focusing on hotel's last unsold rooms for the same evenings, enabling users to book on the phone and present their voucher when they arrive at their hotel.</t>
  </si>
  <si>
    <t>A Plus Finance, Extend Capital, Trail Solutions Patrimoine</t>
  </si>
  <si>
    <t>hotel mobile book, hotel-booking application, last second books</t>
  </si>
  <si>
    <t>32088-61T</t>
  </si>
  <si>
    <t>Banexi Ventures Partners, Orkos Capital(Dominique Rencurel), Trail Solutions Patrimoine</t>
  </si>
  <si>
    <t>32013-01T</t>
  </si>
  <si>
    <t>PrestaShop</t>
  </si>
  <si>
    <t>Developer of an open-source electronic commerce platform designed to assist businesses to flourish online through open source innovation. The company's software provides store templates, website builders, mobile response, and online payment options, enabling website owners to manage commercial websites all by themselves.</t>
  </si>
  <si>
    <t>Serena (Paris)(Marc Fournier), Seventure Partners, Siparex Group, XAnge</t>
  </si>
  <si>
    <t>ecommerce-as-a-service, electronic commerce platform, online shop development, open source software, shops customisation software, website creation software, website design, website development software</t>
  </si>
  <si>
    <t>56842-66T</t>
  </si>
  <si>
    <t>31974-76T</t>
  </si>
  <si>
    <t>Agoranov, Demeter Partners, EIT Climate-KIC, Emertec Gestion, Happiness Capital, ID Capital, Wilco(Paris)</t>
  </si>
  <si>
    <t>53213-14T</t>
  </si>
  <si>
    <t>Bpifrance, Fabrice Couturier(Fabrice Couturier), Jean Bego(Jean Bego), Marc Adamowicz(Marc Adamowicz), Olivier Mathiot(Olivier Mathiot), Sebastian Steinmetz(Sebastian Steinmetz), Sonorfi</t>
  </si>
  <si>
    <t>44117-38T</t>
  </si>
  <si>
    <t>35717-86T</t>
  </si>
  <si>
    <t>Alto Invest(Emilie Da Silva)</t>
  </si>
  <si>
    <t>29808-28T</t>
  </si>
  <si>
    <t>Actaur</t>
  </si>
  <si>
    <t>BPO/Outsource Services, Computers, Parts and Peripherals, Electrical Equipment*, Electronic Components</t>
  </si>
  <si>
    <t>Provider of outsourced manufacturing services. The company specializes in the research and manufacture of electromechanical and computer components for multiple industries, including industrial, telecom, rail, military, aerospace and medical.</t>
  </si>
  <si>
    <t>computer components, electromechanical</t>
  </si>
  <si>
    <t>Marvejols, France</t>
  </si>
  <si>
    <t>29735-47T</t>
  </si>
  <si>
    <t>AKpartners</t>
  </si>
  <si>
    <t>Business/Productivity Software, Consulting Services (B2B)*, Other Business Products and Services</t>
  </si>
  <si>
    <t>Developer of a software platform designed to provide organizational benefits. The company's platform specializes in providing advice, consulting, training and communication services in sales and marketing strategy and organization structures, enabling clients to undergo efficient management of a commercial process and achieve success in their projects.</t>
  </si>
  <si>
    <t>digital performance, management and process, marketing strategy, organization structure, organizational benefits</t>
  </si>
  <si>
    <t>29710-27T</t>
  </si>
  <si>
    <t>Aldivia</t>
  </si>
  <si>
    <t>Other Chemicals and Gases*, Other Commercial Products</t>
  </si>
  <si>
    <t>Producer of lipids for cosmetic and industrial applications. The company develops lipids from plants and vegetables for cosmetic and industrial applications.</t>
  </si>
  <si>
    <t>green technology, plant lipid</t>
  </si>
  <si>
    <t>29806-84T</t>
  </si>
  <si>
    <t>Ammriac</t>
  </si>
  <si>
    <t>Beverages, Machinery (B2B)*</t>
  </si>
  <si>
    <t>Manufacturer of equipment designed to make wine from fresh fruits and grapes. The company's equipment such as presses, piping, steel tanks and chillers stores wine safely for years without getting contaminated, enabling consumers to consume quality wine.</t>
  </si>
  <si>
    <t>wine aging, wine chillers, wine container, wine machine, wine making tools, wine storage</t>
  </si>
  <si>
    <t>Vestric et Candiac, France</t>
  </si>
  <si>
    <t>29710-72T</t>
  </si>
  <si>
    <t>BluePIM</t>
  </si>
  <si>
    <t>Developer of a consumer goods software designed to simplify and optimize how they manage product information. The company's software updates product database organizes and also offers accurate and rich automated data exchange with commercial partners, enabling businesses with a centralized database for rendering and reporting product data.</t>
  </si>
  <si>
    <t>catalog management, control transmission, mastering data management, product information management, product information management platform, product information management software</t>
  </si>
  <si>
    <t>29479-33T</t>
  </si>
  <si>
    <t>Flach Film</t>
  </si>
  <si>
    <t>Provider of film production and distribution services intended to give financial support to a film's direction and production. The company's services work with new talents while working with artists both in France and abroad, enabling film directors to get their movies financed and produced for film lovers.</t>
  </si>
  <si>
    <t>IRIS (Private Equity)(Pierre de Fouquet)</t>
  </si>
  <si>
    <t>distribution service, film distribution service, film production, film production service provider, movies financing, tv production</t>
  </si>
  <si>
    <t>118299-07T</t>
  </si>
  <si>
    <t>iFeelSmart</t>
  </si>
  <si>
    <t>Developer of advanced user experience (UX) and viewer interface technology designed for set-top box and multiscreen applications. The company's platform offers features like catalog management, predictive video search, customized video recommendations, adult content restrictions, subtitles for multiple languages, and metadata management, enabling television companies to ensure balanced and enhanced viewing experiences.</t>
  </si>
  <si>
    <t>television experience, television interface, television solutions, television technology, user experience development, user experience service, user experience software</t>
  </si>
  <si>
    <t>CloudTech &amp; DevOps, Industrials, TMT</t>
  </si>
  <si>
    <t>25324-57T</t>
  </si>
  <si>
    <t>Bouygues Telecom Initiatives, CDC Enterprises, I-Source Gestion, Siparex Group, Sofimac Innovation(Didier Moret)</t>
  </si>
  <si>
    <t>61118-29T</t>
  </si>
  <si>
    <t>SeFaireAider.com</t>
  </si>
  <si>
    <t>Operator of an online service booking platform designed to connect people with private service professionals. The company's platform connects individuals with professionals such as locksmiths, plumbers, electricians, housework, painters, carpenters, and home help, among several other general services, enabling customers to make their day-to-day life easy.</t>
  </si>
  <si>
    <t>5M Ventures, Alain de Mendonça(Alain de Mendonça), Amal Amar(Amal Amar), André Saint-Mleux(André Saint-Mleux), Claude Léoni(Claude Léoni), Financière Fonds Privés, Gilles Blanchard(Gilles Blanchard), Kima Ventures, Luc Lechelle(Luc Lechelle), Patrice Pichet(Patrice Pichet), Région Sud Investissement, Turenne Groupe, Xavier Niel(Xavier Niel)</t>
  </si>
  <si>
    <t>digital marketing service, odd jobs, online trading platform, personal service, professional services, service booking platform</t>
  </si>
  <si>
    <t>Ensues La Redonne, France</t>
  </si>
  <si>
    <t>27271-27T</t>
  </si>
  <si>
    <t>Uniformatic</t>
  </si>
  <si>
    <t>Connectivity Products*, Electronic Equipment and Instruments, Internet Retail</t>
  </si>
  <si>
    <t>Manufacturer of connectivity products intended to simplify the implementation of network technologies. The company's products are used for the infrastructure of local networks and connectivity around the workstation, and include cords, connectors, peripherals, cables, network connectors, internet connection devices, switches, storage devices, accessories, and other functional parts of computers, enabling customers to avail products adapted to the creation of their network, information technology, and telecom infrastructure.</t>
  </si>
  <si>
    <t>IDF Capital</t>
  </si>
  <si>
    <t>computer accessories, connectivity cable, ecommerce platform, electronics manufacturing, electronics manufacturing company, optical cables product</t>
  </si>
  <si>
    <t>E-Commerce, Manufacturing, SaaS, TMT</t>
  </si>
  <si>
    <t>31906-09T</t>
  </si>
  <si>
    <t>CEA Investissement(Celia Hart), Demeter Partners(Benjamin Wainstain), IRDI Capital Investissement, Sofimac Innovation, Sofimac Investment Managers, Soridec, Supernova Invest</t>
  </si>
  <si>
    <t>29637-28T</t>
  </si>
  <si>
    <t>Omnes Capital(Francois-Xavier Dedde), Serena (Paris)(Marc Fournier)</t>
  </si>
  <si>
    <t>82674-64T</t>
  </si>
  <si>
    <t>Teclib</t>
  </si>
  <si>
    <t>Developer of an open-source software editor platform designed to offer a range of fully integrated open-source technology packages. The company's open and collaborative ecosystem connects partners, customers, and contributors (IT experts), to build secure, flexible, and innovative tools together, enabling businesses to utilize open-source IT assets and service management in a single ecosystem.</t>
  </si>
  <si>
    <t>business management, business management software, digital software, digital solutions, digital solutions provider, open source tool</t>
  </si>
  <si>
    <t>31694-95T</t>
  </si>
  <si>
    <t>IJENKO</t>
  </si>
  <si>
    <t>Developer of home energy management platform designed to develop a new collaborative link with residential consumer base around smart energy services. The company's home energy management platform combines the value of the Internet of Energy and offers downstream and upstream applications on energy efficiency, demand response, electric vehicle charging control and adaptive smart heating, enabling clients to benefit end customers and enrich the business value.</t>
  </si>
  <si>
    <t>Bpifrance(Gilles Schang), Emertec Gestion(Eric Marty)</t>
  </si>
  <si>
    <t>energy consumption management, energy efficiency, energy management, energy management platform, home energy management</t>
  </si>
  <si>
    <t>31651-57T</t>
  </si>
  <si>
    <t>Carpefin, Dompé, Expansinvest, HBM Healthcare Investments (SWX: HBMN)(Andreas Wicki), Life Sciences Capital, Naxicap Partners, Preon Capital Partners, SEAC, Sergio Dompé, Seventure Partners(Sebastien Groyer), Tamburi Investment Partners (MIL: TIP), Vivo Capital</t>
  </si>
  <si>
    <t>31679-83T</t>
  </si>
  <si>
    <t>Demeter Partners(Benjamin Wainstain), Emertec Gestion(Jean-Philippe Gendre), Entrepreneur First</t>
  </si>
  <si>
    <t>31887-82T</t>
  </si>
  <si>
    <t>OuiCar</t>
  </si>
  <si>
    <t>Operator of an online portal of car rental services designed to help guests book any car they want. The company helps the users to book rides with detailed price information, enabling users to save on fuel costs and make mobility more accessible.</t>
  </si>
  <si>
    <t>Ecomobility Ventures(Fabienne Herlaut), Jaina Capital(Marc Simoncini), TotalEnergies Ventures</t>
  </si>
  <si>
    <t>car rent firm, car rent platform, car rental, car service portal, online car hiring, rental service</t>
  </si>
  <si>
    <t>44864-74T</t>
  </si>
  <si>
    <t>Foodpartners France</t>
  </si>
  <si>
    <t>Food Products*, Other Commercial Services</t>
  </si>
  <si>
    <t>Provider of catering services intended to offer packed food products. The company's services make special meals for catering, along with offering meal boxes that are suitable for all kinds of transport such as trains, airplanes, and motorways as well as for hotels and vending machines, enabling consumers to get their desired kind of meals.</t>
  </si>
  <si>
    <t>Trail Solutions Patrimoine(Patrick Ndoung)</t>
  </si>
  <si>
    <t>catering company, catering food, catering service, food logistics, food online, food service, packed meal</t>
  </si>
  <si>
    <t>46395-82T</t>
  </si>
  <si>
    <t>Rhenovia</t>
  </si>
  <si>
    <t>Operator of biotech company intended to create computational models that simulate the condition of healthy persons. The company's modeling technology makes it possible to reproduce on computers the cellular and molecular mechanisms of the brain and the neuronal transmission, enabling clients to decrease new drug development timelines while reducing risks and associated costs.</t>
  </si>
  <si>
    <t>Alsace Business Angels, SODIV Alsace</t>
  </si>
  <si>
    <t>biotech company, biotech company operator, molecular mechanisms, nervous system, neuronal transmission, psychiatric disorder</t>
  </si>
  <si>
    <t>Mulhouse, France</t>
  </si>
  <si>
    <t>31527-28T</t>
  </si>
  <si>
    <t>DealCircle (Other Financial Services)</t>
  </si>
  <si>
    <t>Other Financial Services*, Social/Platform Software</t>
  </si>
  <si>
    <t>Owner and operator of a platform to manage investments in a private investor network. The company offers its services to angels, accelerators, corporate ventures and family offices.</t>
  </si>
  <si>
    <t>Alexander Aghassipour(Alexander Aghassipour), Karl Hampus Jakobsson(Karl Hampus Jakobsson), Klaus Nyengaard(Klaus Nyengaard), Seed Capital (Denmark)(Niels Carlsen), Startupbootcamp</t>
  </si>
  <si>
    <t>financial platform, investor network</t>
  </si>
  <si>
    <t>30534-85T</t>
  </si>
  <si>
    <t>Groupe Hôtelier Alladins</t>
  </si>
  <si>
    <t>Provider of hospitality services designed to offer standard food and lodging facilities in France. The company's services are available in various hotels and restaurants in France, enabling clients to enjoy a quality hospitality service.</t>
  </si>
  <si>
    <t>food and lodging, hospitality services, hotel industry, hotel service, leisure service facility, lodging facility</t>
  </si>
  <si>
    <t>33237-19T</t>
  </si>
  <si>
    <t>Ecoslops (PAR: ALESA)</t>
  </si>
  <si>
    <t>Energy Production, Energy Refining, Environmental Services (B2B)*</t>
  </si>
  <si>
    <t>Ecoslops SA develops technology to transform oil residues from shipping (slops and sludge) into new recycled marine fuels. The company distinguishes between 3 sources of income: The sale of refined products which include Gasoline, Naphtha, Diesel, Fuel Oil, and Light Bitumen. The Sale of port services. and The sale of industrial equipment (Scarabox). The majority of its revenue is generated from The sale of refined products.</t>
  </si>
  <si>
    <t>A Plus Finance(Alexandre Villet), BNP Paribas Développement, Gemmes Venture(Philippe Monnot), PhiTrust Impact Investors</t>
  </si>
  <si>
    <t>energy refining, oil waste processing, refining petroleum, refining products, residue recycling, waste management</t>
  </si>
  <si>
    <t>CleanTech, Oil &amp; Gas, TMT</t>
  </si>
  <si>
    <t>252318-88T</t>
  </si>
  <si>
    <t>Startup Avenue</t>
  </si>
  <si>
    <t>31467-25T</t>
  </si>
  <si>
    <t>33841-18T</t>
  </si>
  <si>
    <t>Kerala Ventures(Olivier Occelli), Maxime Forgeot(Maxime Forgeot)</t>
  </si>
  <si>
    <t>31386-79T</t>
  </si>
  <si>
    <t>Wisembly</t>
  </si>
  <si>
    <t>Communication Software*</t>
  </si>
  <si>
    <t>Developer of a collaborative communication platform designed to maximize interaction during meetings and events in real-time. The company's platform increases productivity and engagement with intuitive and inclusive communications during meetings and events at any scale by offering Q&amp;As, emoji reactions, and media-sharing features, enabling users to actively take part in an event in real-time via their mobile phones.</t>
  </si>
  <si>
    <t>communication platform, corporate meeting, document sharing, interaction analysis, meeting software, web meeting</t>
  </si>
  <si>
    <t>51797-08T</t>
  </si>
  <si>
    <t>Securiview</t>
  </si>
  <si>
    <t>Business/Productivity Software, Network Management Software, Systems and Information Management*</t>
  </si>
  <si>
    <t>Provider of managed security services intended to serve the people in France.The company's services are offered through a software for monitoring and managing the information systems of organizations, enabling clients to remotely monitor and manage the security.</t>
  </si>
  <si>
    <t>firewall management, managed security, managed security services</t>
  </si>
  <si>
    <t>Cybersecurity, Industrials, SaaS, TMT</t>
  </si>
  <si>
    <t>28613-62T</t>
  </si>
  <si>
    <t>Audebert</t>
  </si>
  <si>
    <t>Manufacturer of thermoplastic products designed to respond efficiently and quickly to prototype testing. The company's products include elastomer and plastic pieces for technical use as well as various types of pipes that can be used for various purposes like compressed air, welding, suction and transportation of liquids, enabling clients to work with technically advanced and efficient thermoplastic products.</t>
  </si>
  <si>
    <t>Trail Solutions Patrimoine(Pascal Fite)</t>
  </si>
  <si>
    <t>compressed air, elastomer parts, elastomer processing, elastomer sheets, technical parts manufacturer, thermoplastic molding</t>
  </si>
  <si>
    <t>28630-09T</t>
  </si>
  <si>
    <t>Choyou</t>
  </si>
  <si>
    <t>Developer of a marketing and public relations agency platform designed to serve with expertise in international engagement and growth. The company's platform is driven by specialists from the tech industry and also has consolidated a portfolio of clients ranging from software developers to integrators, resellers to distributors, start-ups to major vendors running lead generation oriented campaigns, enabling clients to build marketing plans that increase their business and bottom-line.</t>
  </si>
  <si>
    <t>marketing agency, marketing planning software, marketing platform service, public relations agency, public relations company</t>
  </si>
  <si>
    <t>28530-82T</t>
  </si>
  <si>
    <t>Infoway</t>
  </si>
  <si>
    <t>Information Services (B2C), IT Consulting and Outsourcing*, Media and Information Services (B2B), Social/Platform Software</t>
  </si>
  <si>
    <t>Provider of multi-channel public-information services. The company provides hardware, software and content-management services for outdoor screen signage used by cinemas and restaurants.</t>
  </si>
  <si>
    <t>magazine publishing, online ticketing, product promotion</t>
  </si>
  <si>
    <t>28532-89T</t>
  </si>
  <si>
    <t>INIT Marketing</t>
  </si>
  <si>
    <t>Provider of market research services intended to provide the valuation of customer capital. The company's services primarily engaged in providing services for measuring customer relationship, satisfaction and loyalty, enabling clients to get customer research news ranking through project design and engineering, statistical and graphical enhancements.</t>
  </si>
  <si>
    <t>customer feedback, customer loyalty, customer satisfaction, market research, market research firm, market research news, market research service, market research service firm, market researchers</t>
  </si>
  <si>
    <t>28530-64T</t>
  </si>
  <si>
    <t>Jaune De Chrome</t>
  </si>
  <si>
    <t>Designer and manufacturer of porcelain products. The company offers contemporary and classic porcelain like the cracked, mats or iridescent glazes materials. The company provides porcelain dinnerware and tableware.</t>
  </si>
  <si>
    <t>dinnerware, porcelain product, tableware</t>
  </si>
  <si>
    <t>60654-07T</t>
  </si>
  <si>
    <t>JobAroundMe</t>
  </si>
  <si>
    <t>Developer of a job-search application designed for employment opportunities in France. The company's job-search application enables job seekers to search for and apply for jobs all from their mobile device and using their social media information, providing them with a platform to connect with employers.</t>
  </si>
  <si>
    <t>jobs search, jobs search application, online recruitment, online recruitment portal, recruitment site</t>
  </si>
  <si>
    <t>28531-36T</t>
  </si>
  <si>
    <t>La Revue Parlementaire</t>
  </si>
  <si>
    <t>Operator of a publishing company intended to offer magazine reports. The company's publishing services includes French parliamentary journal that reports on government initiatives, European projects, enabling users to know the work of parliamentarians and the life of local communities.</t>
  </si>
  <si>
    <t>data publishing, parliamentary magazine, political journals, publishing data, publishing news</t>
  </si>
  <si>
    <t>132211-99T</t>
  </si>
  <si>
    <t>Nestadio Capital, Sepamat(Denis Maure)</t>
  </si>
  <si>
    <t>107967-16T</t>
  </si>
  <si>
    <t>28550-26T</t>
  </si>
  <si>
    <t>OpinionWay</t>
  </si>
  <si>
    <t>Provider of market research services intended to offer information regarding brand strategy and product. The company's market research services include market awareness, employee satisfaction, and service development, enabling clients to analyze markets with the help of proper information.</t>
  </si>
  <si>
    <t>Trail Solutions Patrimoine(Emmanuel Simonneau)</t>
  </si>
  <si>
    <t>branding awareness, marketing research, online community, product development, qualitative research, quantitative research, social media research</t>
  </si>
  <si>
    <t>28552-15T</t>
  </si>
  <si>
    <t>Oralys Group</t>
  </si>
  <si>
    <t>Manufacturer of dental, medical and personal care products. The company's products include oral care accessories, medical devices etc.</t>
  </si>
  <si>
    <t>dental care, oral care accessories, personal care, toothbrush</t>
  </si>
  <si>
    <t>28750-87T</t>
  </si>
  <si>
    <t>Road Plaisance</t>
  </si>
  <si>
    <t>Automotive*, Internet Retail, Other Services (B2C Non-Financial)</t>
  </si>
  <si>
    <t>Operator of online motorhome equipment platform intended to sell campervan, caravan, van, and van accessories. The company offers caravan materials, equipment, and accessories and also provides van fitting-out projects or fitting accessories to leisure vehicles, enabling customers to find quality parts and camping equipment at affordable prices.</t>
  </si>
  <si>
    <t>automotive accessories seller, car accessories distributor, car accessories portal, car accessories retailer, car accessories seller, motorhomes equipment</t>
  </si>
  <si>
    <t>Vigneux-de-Bretagne, France</t>
  </si>
  <si>
    <t>28562-77T</t>
  </si>
  <si>
    <t>SUCX</t>
  </si>
  <si>
    <t>Manufacturer and retailer of sweets and beverages. The company manufactures, markets and retails candies and energy drinks from its network of 18 stores in France and abroad.</t>
  </si>
  <si>
    <t>IRPAC Gestion, Trail Solutions Patrimoine(Guillaume Hemmerle)</t>
  </si>
  <si>
    <t>adolescents, candy, selling sweets</t>
  </si>
  <si>
    <t>28582-03T</t>
  </si>
  <si>
    <t>Will-Bridge</t>
  </si>
  <si>
    <t>Developer of bridge game software designed to be used on iPad, PC, and mac tablets. The company's platform specializes in the design and editing of free bridge games in the form of courses, software, and tournaments, enabling recreational players or competitive players to enjoy playing bridge games.</t>
  </si>
  <si>
    <t>BNP Paribas (PAR: BNP)(Robert Lattès), Trail Solutions Patrimoine(Emmanuel Simonneau)</t>
  </si>
  <si>
    <t>bridges games, game software, games training, gaming platform, gaming site, online games</t>
  </si>
  <si>
    <t>28586-17T</t>
  </si>
  <si>
    <t>WordAppeal</t>
  </si>
  <si>
    <t>Application Software, Consulting Services (B2B), Media and Information Services (B2B), Other Commercial Services*</t>
  </si>
  <si>
    <t>Provider of online editorial consultancy services. The company offers various communication strategies for its clients including enterprise social networking, forecasting and benchmarking, image tracking, strategic messaging, portals, communication plans and other graphic and editorial charter. It also provides other editorial and project management platforms.</t>
  </si>
  <si>
    <t>editorial, editorial gateway, enterprise social networking</t>
  </si>
  <si>
    <t>251976-25T</t>
  </si>
  <si>
    <t>CDC Enterprises, iXO Private Equity</t>
  </si>
  <si>
    <t>207990-19T</t>
  </si>
  <si>
    <t>28564-12T</t>
  </si>
  <si>
    <t>Nestadio Capital, Starquest Capital, Trail Solutions Patrimoine(Guillaume Hemmerle)</t>
  </si>
  <si>
    <t>89327-08T</t>
  </si>
  <si>
    <t>Go GeoEngineering</t>
  </si>
  <si>
    <t>Developer of a geoengineering platform designed to bring to the oil and gas industry the power of the true integration of geology, geophysics, and geomechanics. The company's platform provides intelligent engineering tools to place the pads at the optimal surface locations, land the horizontals at the right depth, guide the steering of the wells, and provide the optimal fracing locations along the wellbore, enabling clients to enhance productivity and improve the efficiency of oil and gas extraction.</t>
  </si>
  <si>
    <t>gas extraction software, multi line mining company, oil and gas drilling, oil extraction software, productivity software, software platform tools</t>
  </si>
  <si>
    <t>25828-48T</t>
  </si>
  <si>
    <t>Braemar Energy Ventures(Jiong Ma), CEA Investissement, Demeter Partners(Sophie Paturle-Guesnerot), Sofinnova Partners(Alessio Beverina)</t>
  </si>
  <si>
    <t>71652-88T</t>
  </si>
  <si>
    <t>Bpifrance, Région Sud Investissement, Starquest Capital</t>
  </si>
  <si>
    <t>35155-36T</t>
  </si>
  <si>
    <t>A Plus Finance, Belcube, Supremum Capital</t>
  </si>
  <si>
    <t>34278-31T</t>
  </si>
  <si>
    <t>31077-91T</t>
  </si>
  <si>
    <t>Alpes Capital Innovation, Banque Populaire Auvergne Rhône Alpes, Celertis Finance, Crédit Agricole Sud Rhône-Alpes (PAR: CRSU), Floralis, INRAE (France), INSERM, Kreaxi(Sandra Dubos), Rhône-Alpes Création, Savoie Angels, Viaduc</t>
  </si>
  <si>
    <t>31141-45T</t>
  </si>
  <si>
    <t>Telerama Vodkaster</t>
  </si>
  <si>
    <t>Developer of a video streaming platform based in Paris, France. The company's video streaming platform acts as a social network to connect with movie stars and moviegoers.</t>
  </si>
  <si>
    <t>3T Capital, Elaia Partners(Samantha Jérusalmy), Partech(Romain Lavault), SIRS Business Angels</t>
  </si>
  <si>
    <t>motion picture and tv show, movies video, video streaming firm, video streaming platform, video streaming platform development, video streaming service, video streaming solution</t>
  </si>
  <si>
    <t>77981-95T</t>
  </si>
  <si>
    <t>Freemens</t>
  </si>
  <si>
    <t>Application Specific Semiconductors*, Business/Productivity Software</t>
  </si>
  <si>
    <t>Provider of battery management systems intended to provide electrochemical storage for lithium-ion batteries. The company's battery management systems include suitable electrochemical storage, enabling users to get the best storage management devices which ensures durability and availability at the best cost.</t>
  </si>
  <si>
    <t>battery management system, electrochemical storage system, lithium cell, long battery life</t>
  </si>
  <si>
    <t>Saint-Martin d'Heres, France</t>
  </si>
  <si>
    <t>44348-14T</t>
  </si>
  <si>
    <t>Nosibay</t>
  </si>
  <si>
    <t>Developer of desktop and mobile marketing applications designed to enhance marketing strategy. The company's applications enable editors of mass and professional websites to personalize the content broadcast to its individual users, enabling publishers, advertisers and software editors a direct and unique communication channel with internet users worldwide.</t>
  </si>
  <si>
    <t>customer acquisition, customer loyalty, customer retention, desktop application, marketing application, marketing software, widgets</t>
  </si>
  <si>
    <t>67495-51T</t>
  </si>
  <si>
    <t>Nadra Technologies</t>
  </si>
  <si>
    <t>Application Software, Business/Productivity Software*, Systems and Information Management</t>
  </si>
  <si>
    <t>Provider of a publishing information system and infrastructure management created to manage dispersed IT infrastructures and heterogeneous equipment. The company's software helps the companies to meet their metrology needs beyond the monitoring and supervision functions, by working on the optimization and anticipation of infrastructure developments, enabling businesses to connect with the service users and also optimize management information systems.</t>
  </si>
  <si>
    <t>activity recovery planning, capacity planning, cloud infrastructure migration, heterogeneous equipment, infrastructure migration, performance management tool</t>
  </si>
  <si>
    <t>39186-46T</t>
  </si>
  <si>
    <t>Utilites Performance</t>
  </si>
  <si>
    <t>Provider of water cycle optimization services intended to offer energy conservation technologies. The company's services offer audit, diagnosis training, coaching, and management assistance for the purpose of water management and energy optimization for the public authorities, enabling clients to promote sustainable development through renewable energy management.</t>
  </si>
  <si>
    <t>Andera Partners(Alexandre Foulon)</t>
  </si>
  <si>
    <t>coaching services, diagnostics training, energy optimization, water conservation, water cycle network, water management</t>
  </si>
  <si>
    <t>Avrille, France</t>
  </si>
  <si>
    <t>30890-89T</t>
  </si>
  <si>
    <t>ISAI(Christophe Raynaud), Siparex Group, XAnge(Rodolphe Menegaux)</t>
  </si>
  <si>
    <t>44926-66T</t>
  </si>
  <si>
    <t>Invaders</t>
  </si>
  <si>
    <t>Provider of photo printing application based in Paris, France. The company provides an application that allows its users to print their photos directly from their phones and receive the prints a few days after ordering them.</t>
  </si>
  <si>
    <t>mobile commerce, photo printing, photo printing app, photo printing application, photo printing platform, photo printing product, photo printing service</t>
  </si>
  <si>
    <t>204829-84T</t>
  </si>
  <si>
    <t>Crédit Agricole Sud Rhône Alpes Capital</t>
  </si>
  <si>
    <t>48766-33T</t>
  </si>
  <si>
    <t>Drive (Automotive)</t>
  </si>
  <si>
    <t>Operator of an online ride-hailing platform intended to offer luxury transportation service in France. The company's application lists a fleet of Mercedes cars which can be rented by an user at a fixed price upfront, enabling passengers to get a convenient network of transportation anytime.</t>
  </si>
  <si>
    <t>car reservation, online car booking, reservation service, vehicle reservation service</t>
  </si>
  <si>
    <t>71890-84T</t>
  </si>
  <si>
    <t>NEC-K</t>
  </si>
  <si>
    <t>Environmental Services (B2B)*, Information Services (B2C), Other Utilities</t>
  </si>
  <si>
    <t>Manufacturer of a monitoring equipment designed to measure the quality of air. The company's monitoring equipment inspect air, analyze and provides various information like pollution percent, oxygen availability and other facts, enabling clients to inspect the environment of their surroundings.</t>
  </si>
  <si>
    <t>Banque Populaire Auvergne Rhône Alpes, InnovaFonds, Rhône Dauphiné Développement</t>
  </si>
  <si>
    <t>air inspection, air pollution, air quality monitoring, air quality test, air-quality system</t>
  </si>
  <si>
    <t>53216-38T</t>
  </si>
  <si>
    <t>IXARYS Solutions</t>
  </si>
  <si>
    <t>Developer of audit and consulting service platform designed to assist clients in anticipating their business needs. The company's platform offers services through traceability intelligence performance software that helps regular data collection and allows one to anticipate the next activity cycle assists in the implementation, perseverance, and safeguarding of data, enabling clients to improve their competence in traceability and IT skills.</t>
  </si>
  <si>
    <t>2C Invest, Créazur, Var Business Angels(Alexandre Lorenzi)</t>
  </si>
  <si>
    <t>auditing service, consulting services, financing trade, traceability service, traceability software, traceability system</t>
  </si>
  <si>
    <t>Draguignan, France</t>
  </si>
  <si>
    <t>186691-51T</t>
  </si>
  <si>
    <t>Sparknews</t>
  </si>
  <si>
    <t>Operator of an impact journalism platform intended to amplify positive impact initiatives and illuminate positive solution-based stories. The company is a community of like-minded journalists, social entrepreneurs and individuals motivated to spot and evaluate innovations with social and environmental impact, work with leading media institutions to foster the creation of solutions-based news pieces, and develop business networks around positive social and environmental innovation, thereby empowering individuals and entrepreneurs to focus on funds and solutions and build a more inclusive world.</t>
  </si>
  <si>
    <t>impact journalism, journalism platform, media agency, media platform, social entrepreneurship, solution journalism</t>
  </si>
  <si>
    <t>84834-10T</t>
  </si>
  <si>
    <t>BIOLIE</t>
  </si>
  <si>
    <t>Biotechnology, Other Commercial Products, Specialty Chemicals*</t>
  </si>
  <si>
    <t>Developer of plant-based natural ingredients designed to serve the cosmetics and nutrition-health industries. The company's ingredients are extracted using a solvent-free enzyme-assisted aqueous technology that can be applied to all types of vegetals, enabling clients to make authentic and healthy products that have Nutri-functional values.</t>
  </si>
  <si>
    <t>extraction technology, industrial companies, oil extraction, plant extraction, vegetable oil extraction, vegetables extracts, white biotechnology</t>
  </si>
  <si>
    <t>27108-73T</t>
  </si>
  <si>
    <t>Aldébarande</t>
  </si>
  <si>
    <t>Business/Productivity Software, Consulting Services (B2B)*, Other Commercial Services</t>
  </si>
  <si>
    <t>Provider of consulting services intended to assist businesses to adapt to the constraints of the market. The company's services are specialized in improving operational and strategic performance and developing the human capital of business, enabling clients to create a corporate culture to increase efficiency and profitability using suitable tools.</t>
  </si>
  <si>
    <t>business consultancy, business tools, developing human capital, improve operational performance, lean management, project management</t>
  </si>
  <si>
    <t>27773-74T</t>
  </si>
  <si>
    <t>Alkar</t>
  </si>
  <si>
    <t>Building Products, Construction and Engineering*, Industrial Supplies and Parts</t>
  </si>
  <si>
    <t>Manufacturer of a metal frame intended to focus on the construction of buildings and fabricated metal products. The company's products and services accommodate complex industrial and tertiary projects leveraging years of expertise from in-house specialists, offering a qualitative and eco-sustainable approach to construction, enabling industrial clients to design and strengthen their buildings, plants, and other infrastructures effectively.</t>
  </si>
  <si>
    <t>agricultural buildings, fabricating metal, facades manufacturer, industrial metal, metal construction, metal product</t>
  </si>
  <si>
    <t>Construction Technology, Industrials, Manufacturing</t>
  </si>
  <si>
    <t>Mauleon-Licharre, France</t>
  </si>
  <si>
    <t>27519-40T</t>
  </si>
  <si>
    <t>Alu Inov</t>
  </si>
  <si>
    <t>Building Products*, Other Consumer Durables</t>
  </si>
  <si>
    <t>Manufacturer of aluminum joineries designed to provide innovative and advanced products for windows, doors and roof tops. The company's joineries can be customized according to preferences, enabling clients to avail the products in a reasonable price.</t>
  </si>
  <si>
    <t>Ouest Croissance Gestion</t>
  </si>
  <si>
    <t>aluminum joinery, aluminum product, metal windows, slides, windows pane</t>
  </si>
  <si>
    <t>Moutiers-sous-Argenton, France</t>
  </si>
  <si>
    <t>35135-29T</t>
  </si>
  <si>
    <t>Ambitio</t>
  </si>
  <si>
    <t>Provider of consultancy services intended to offer the market a group of innovative and independent companies to keep all the assets of an SME with the foundation and financial guarantees of a recognized group. The company's services offer financial security and other benefits to keep all the assets of an SME with small-scale industry businesses, enabling a group of innovative and independent companies to grow and expand.</t>
  </si>
  <si>
    <t>business expansion, business growth, experts advising, financial advisory group, financial support, security</t>
  </si>
  <si>
    <t>Guichen, France</t>
  </si>
  <si>
    <t>27787-51T</t>
  </si>
  <si>
    <t>Ambulance de l'Océan</t>
  </si>
  <si>
    <t>Provider of transportation services intended to offer ambulances and taxis to transport patients. The company's transportation services have comfortable vehicles adapted for transport, enabling patients to have safe medical transportation in vehicles that are well maintained and equipped to provide first-aid for emergency situations.</t>
  </si>
  <si>
    <t>ambulance service, ambulance service provider, medical transport, medical transport company, medical transport service, patient transportation</t>
  </si>
  <si>
    <t>Jard-sur-Mer, France</t>
  </si>
  <si>
    <t>101504-62T</t>
  </si>
  <si>
    <t>Simba Talents</t>
  </si>
  <si>
    <t>27787-60T</t>
  </si>
  <si>
    <t>Antxeta</t>
  </si>
  <si>
    <t>Other Consumer Products and Services, Other Services (B2C Non-Financial)*, Publishing</t>
  </si>
  <si>
    <t>Provider of editing services. The company provides postcard editing services.</t>
  </si>
  <si>
    <t>editing, editing service, postcards, postcards editing</t>
  </si>
  <si>
    <t>Mouguerre, France</t>
  </si>
  <si>
    <t>27222-31T</t>
  </si>
  <si>
    <t>Apprographic</t>
  </si>
  <si>
    <t>Business/Productivity Software*, Multimedia and Design Software, Printing Services (B2B)</t>
  </si>
  <si>
    <t>Developer of an editorial software intended to facilitate the production management of printing customers. The company's editorial software helps in printing brochures, forms, flyers, business cards, stationery, labels and hoardings, enabling customers to place their orders over the internet in a hassle free way.</t>
  </si>
  <si>
    <t>editorial software, e-printing, graphic arts market, publishing software, software integration</t>
  </si>
  <si>
    <t>Plaisir, France</t>
  </si>
  <si>
    <t>27548-83T</t>
  </si>
  <si>
    <t>BA2i Technologies</t>
  </si>
  <si>
    <t>Manufacturer of metal doors intended to offer technical flexible doors. The company's doors are designed, manufactured and installed for industrial applications, customizable to suit building types, available in a wide range of colors and various materials, and also has specific options and accessories to adapt to specific functions, enabling clients from automotive, metal, steel, retail and agricultural industries to avail the products at a reasonable rate.</t>
  </si>
  <si>
    <t>metal doors installation, metal doors manufacturer, metal doors producer, metal doors provider, overheads doors</t>
  </si>
  <si>
    <t>L'Aigle, France</t>
  </si>
  <si>
    <t>27788-68T</t>
  </si>
  <si>
    <t>Baby J</t>
  </si>
  <si>
    <t>Other Business Products and Services, Other Commercial Services, Other Services (B2C Non-Financial)*</t>
  </si>
  <si>
    <t>stealth business, stealth company, stealth entity, stealth firm, stealth operations, stealth organization</t>
  </si>
  <si>
    <t>84833-74T</t>
  </si>
  <si>
    <t>43971-94T</t>
  </si>
  <si>
    <t>Biogi</t>
  </si>
  <si>
    <t>Operator of a bakery pastry shop based in Anglet, France. The company is currently operating in stealth mode.</t>
  </si>
  <si>
    <t>bakery chain, bakery firm, bakery good, food ecommerce, food mart, pastry items, pastry shop, restaurant marketplace</t>
  </si>
  <si>
    <t>27554-50T</t>
  </si>
  <si>
    <t>Bonnel</t>
  </si>
  <si>
    <t>Operator of a masonry company intended to offer general construction services. The masonry company engages in structural works such as the restructuring of buildings, cleaning, stone carving, restoration of ancient heritage, new construction and rehabilitation, enabling clients to conserve local heritage sites.</t>
  </si>
  <si>
    <t>GF Financial Markets (UK)</t>
  </si>
  <si>
    <t>construction engineering, rehabilitation work, restoration work, restructuring buildings, stone carving, structural work</t>
  </si>
  <si>
    <t>Champigne, France</t>
  </si>
  <si>
    <t>28628-29T</t>
  </si>
  <si>
    <t>CBS France</t>
  </si>
  <si>
    <t>Business Equipment and Supplies*, Other Commercial Products</t>
  </si>
  <si>
    <t>Supplier of furniture and office equipment. The company offers various products for local authorities which include signage and road equipments, waste collection products, games, outdoor and school furniture and other supplies for communities.</t>
  </si>
  <si>
    <t>office furniture, office supplies, outdoor furniture</t>
  </si>
  <si>
    <t>49622-41T</t>
  </si>
  <si>
    <t>Celyatis</t>
  </si>
  <si>
    <t>Other Healthcare Services, Specialty Retail*</t>
  </si>
  <si>
    <t>Operator of an e-commerce platform designed to trade health and well-being products. The company's platform offers marketing and distribution of health and well-being products, enabling users to order their required products from the company's online site itself by paying for them through the company's online payment platform and getting those products delivered to their doorstep.</t>
  </si>
  <si>
    <t>Holger Wiemann(Holger Wiemann), Network Finances</t>
  </si>
  <si>
    <t>ecommerce platform, health product, healthcare services, wellbeing product, wellbeing program, wellness product</t>
  </si>
  <si>
    <t>27577-81T</t>
  </si>
  <si>
    <t>Chantier Naval de la Ville Audrain</t>
  </si>
  <si>
    <t>Marine*, Other Services (B2C Non-Financial)</t>
  </si>
  <si>
    <t>Provider of nautical services intended to meet all needs regarding boats. The company's services include the sale of new or used boats, boat rentals, maintenance and repair, installation of electronic equipment, anti-fouling, outboard, and inboard mechanics, enabling customers to get all boat relating services under one roof.</t>
  </si>
  <si>
    <t>boat rental, boats seller, nautical market, sailboats purchasing, used boats</t>
  </si>
  <si>
    <t>199043-11T</t>
  </si>
  <si>
    <t>Coldep Development</t>
  </si>
  <si>
    <t>Developer of water treatment technology designed for the field of water treatment. The company's multifunctional and patented process makes it possible to carry out both the vacuum extraction of microparticles from water, the transfer of matter by gas/liquid exchange and the circulation of water. water by airlift pumping, enabling businesses to purify water, recycle it or adapt it to the needs of an industrial process.</t>
  </si>
  <si>
    <t>marine microalgae, water delivery, water disposal, water mineral, water program, water recycler</t>
  </si>
  <si>
    <t>214605-37T</t>
  </si>
  <si>
    <t>40726-18T</t>
  </si>
  <si>
    <t>Docoon (Acquired)</t>
  </si>
  <si>
    <t>Provider of IT consulting services intended to boost productivity and develop commercial efficiency. The company offers digitization of communications including transaction messages, management of alerts and critical flows and campaign management as well as the dematerialization of processes including electronic invoicing, HR dematerialization and electronic signature, providing efficient and innovative services that allow simplifying and optimization of document exchanges, communication and customer relationship.</t>
  </si>
  <si>
    <t>Calao Finance, Siparex Group, XAnge</t>
  </si>
  <si>
    <t>communication platform developer, communication platform operator, communication platform service, dematerialization operations, multichannel communication, multichannel communication service, multichannel communication software</t>
  </si>
  <si>
    <t>27803-71T</t>
  </si>
  <si>
    <t>Don Quichosse</t>
  </si>
  <si>
    <t>Operator of a footwear museum store intended to provide old and unique traditionally hand-crafted espadrilles. The company's store creates hand-stitched shoes based on the traditional Basque espadrille footwear model and displays them for trade, enabling customers to get shoes that are crafted in a traditional form along with having a finish that resembles today's latest trend.</t>
  </si>
  <si>
    <t>espadrilles shoes, handcrafted shoes, hand-stitched shoes, internet retail-market, shoe manufacturer, traditionally made footwear</t>
  </si>
  <si>
    <t>Mauléon-Licharre, France</t>
  </si>
  <si>
    <t>71675-92T</t>
  </si>
  <si>
    <t>Eden Games</t>
  </si>
  <si>
    <t>Developer of gaming software specialized in the design and production of racing games designed for Play Stations. The company has developed racing-based games for personal computers and PlayStations.</t>
  </si>
  <si>
    <t>Idinvest Partners, Monster Venture Partners</t>
  </si>
  <si>
    <t>gaming, gaming content, gaming developer, gaming publisher, gaming software, gaming studio, racing cars games, racing game developer, racing games</t>
  </si>
  <si>
    <t>85515-31T</t>
  </si>
  <si>
    <t>Tonner Drones (PAR: ALTD)(Jerome Gacoin)</t>
  </si>
  <si>
    <t>27882-37T</t>
  </si>
  <si>
    <t>Espace Lumiere</t>
  </si>
  <si>
    <t>Electronics (B2C), Home Furnishings*, Household Appliances</t>
  </si>
  <si>
    <t>Manufacturer of contemporary lighting based in Paris, France. The company offers floor and table lamps, wall, ceiling and pendant lights and chandeliers for living, dining rooms, bedrooms, bathrooms and kitchens.</t>
  </si>
  <si>
    <t>chandeliers, contemporary lighting, lighting design, lighting products, picture lighting, table lamp</t>
  </si>
  <si>
    <t>27590-68T</t>
  </si>
  <si>
    <t>Estar System</t>
  </si>
  <si>
    <t>Developer of electronic systems intended to be used during management of electronic projects. The company's electronic systems use analogical, numerical, radio frequency and microwave fields, enabling users to carry out controls and measurements automatically on various electric elements while ensuring traceability.</t>
  </si>
  <si>
    <t>automatic measurement, electronic project, electronic systems, global project management, radio frequency tools, substantial system</t>
  </si>
  <si>
    <t>La Richardais, France</t>
  </si>
  <si>
    <t>27591-94T</t>
  </si>
  <si>
    <t>Étao Géoressources</t>
  </si>
  <si>
    <t>Manufacturer and designer of heat pumps. The company uses all modes of capture- aerothermal and geothermal by horizontal sensor in vertical geothermal drilling and aqua therm of water wells. It combines three trades- geothermal manufacturing, installation and drilling.</t>
  </si>
  <si>
    <t>aerothermal, geothermal, manufacturing</t>
  </si>
  <si>
    <t>Bouffere, France</t>
  </si>
  <si>
    <t>198690-40T</t>
  </si>
  <si>
    <t>52462-63T</t>
  </si>
  <si>
    <t>Gen.Orph</t>
  </si>
  <si>
    <t>Developer of generic orphan drugs designed to treat rare diseases in children. The company's drugs offer patients and medical teams worldwide generic orphan medicines that are affordable and effective at curing rare diseases as well as drugs that are neglected by the pharmaceutical industry despite their medical efficiency, enabling patients to get treatment for rare diseases at affordable costs.</t>
  </si>
  <si>
    <t>generic drug supplier, generics orphan drug, generics orphan healthcare, generics orphan medicine, generics orphan treatment, orphan drug products, pharmaceutical</t>
  </si>
  <si>
    <t>43984-18T</t>
  </si>
  <si>
    <t>Genetrix (Recreational Goods)</t>
  </si>
  <si>
    <t>Manufacturer of nautical outdoor sports equipment designed to offer safe and protective kiteboarding experience. The company's sports equipment develops kites, gears and depowers control straps which are verified and modified by the professional designer, enabling consumers to get a stylish and reliable kiteboard.</t>
  </si>
  <si>
    <t>gear, kite, kiteboard, nautical leisure equipment, nautical sports, sports product</t>
  </si>
  <si>
    <t>27238-78T</t>
  </si>
  <si>
    <t>Gete Construction</t>
  </si>
  <si>
    <t>Provider of home construction services. The company specializes in the sale of standard single-family homes for customers.</t>
  </si>
  <si>
    <t>IDF Capital(Thomas Galloro)</t>
  </si>
  <si>
    <t>construction project, home, home builder, home construction</t>
  </si>
  <si>
    <t>81884-17T</t>
  </si>
  <si>
    <t>GSF Bouresmau</t>
  </si>
  <si>
    <t>Department Stores*, Distributors/Wholesale, Other Services (B2C Non-Financial), Specialty Retail</t>
  </si>
  <si>
    <t>Operator of a departmental store intended to offer various household items. The company offers products that include a wide range of fixtures, household electronic goods, crockery sets and specific equipment like wine cellars and refrigerators, enabling customers to find their desired product in a hassle-free manner.</t>
  </si>
  <si>
    <t>departmental store, electronic goods, home electronics, household appliances, household electronics, household items stores</t>
  </si>
  <si>
    <t>131556-16T</t>
  </si>
  <si>
    <t>Home Concept France (PAR: MLHCF)</t>
  </si>
  <si>
    <t>Home Concept France SA operates in the construction industry. The company builds, sells, and rents residential properties.</t>
  </si>
  <si>
    <t>exterior insulation, home insulation, vinyl slides, wood grain</t>
  </si>
  <si>
    <t>Fontenay-sous-Bois, France</t>
  </si>
  <si>
    <t>141391-99T</t>
  </si>
  <si>
    <t>Honore Paris</t>
  </si>
  <si>
    <t>Manufacturer and retailer of clothing products intended to offer comfortable apparel. The company's products are handmade and made from natural fabrics which are comfortable to wear and look classy thereby being suitable to wear in every occasion, enabling their customers to try designer dresses in a pocket friendly way.</t>
  </si>
  <si>
    <t>Crystal Horse</t>
  </si>
  <si>
    <t>apparel brand, clothing, clothing goods, designer dresses, dress-maker</t>
  </si>
  <si>
    <t>27942-13T</t>
  </si>
  <si>
    <t>Imprimerie Marcos</t>
  </si>
  <si>
    <t>Provider of printing services intended to offer paper designs and carry out printed communication projects. The company offers services that include designing, creating logos and offering other related services for packaging boxes, leaflets, platelets, catalogs, brochures, banners, calendars, cards and other purposes, enabling people to get their ideas printed in paperwork or emails, anytime and from anywhere.</t>
  </si>
  <si>
    <t>banners print, business cards print, flyers printing, logo design, printing calendar, printing service, printing technology firm, printing works</t>
  </si>
  <si>
    <t>51055-75T</t>
  </si>
  <si>
    <t>86637-70T</t>
  </si>
  <si>
    <t>Bpifrance, Crédit Agricole Création</t>
  </si>
  <si>
    <t>82694-62T</t>
  </si>
  <si>
    <t>Kom On</t>
  </si>
  <si>
    <t>Operator of a communication agency. The company's communication consulting and strategy platform offers graphic creation, web design, training and marketing strategy services and respond to all your communication needs in a comprehensive approach, it also create and follow-up of brand, enabling businesses to manage brand image and actions in a consistent and efficient way.</t>
  </si>
  <si>
    <t>branding images, branding positioning, communication consulting, communications agency, marketing strategy service, target audience identification, web design</t>
  </si>
  <si>
    <t>112850-47T</t>
  </si>
  <si>
    <t>La Nouvelle</t>
  </si>
  <si>
    <t>Consulting Services (B2B), Media and Information Services (B2B)*, Other Commercial Services</t>
  </si>
  <si>
    <t>Operator of a marketing agency intended to provide business blogging and social media services. The company's agency provides information services in media culture, communication, and digital marketing for different types of audiences for the branding of the products, enabling companies to get customers through social media, strategies, training, and ongoing maintenance.</t>
  </si>
  <si>
    <t>business blogging, digital marketing, marketing agency, media culture, media marketing service, social media marketing</t>
  </si>
  <si>
    <t>82789-21T</t>
  </si>
  <si>
    <t>Laboratoires de Biarritz</t>
  </si>
  <si>
    <t>Manufacturer of skincare and beauty products intended to offer organic, natural, and dermo-cosmetic products to customers. The company's products utilize organic ingredients with real health benefits that help to preserve the future of the skin, enabling consumers to use beauty products and protective sunscreens of optimum quality with no harmful side effects.</t>
  </si>
  <si>
    <t>beauty product company, beauty product seller, skincare product provider, skincare product range, skincare product retailer, sun protection</t>
  </si>
  <si>
    <t>282047-77T</t>
  </si>
  <si>
    <t>Franck Rougeau(Franck Rougeau)</t>
  </si>
  <si>
    <t>27652-87T</t>
  </si>
  <si>
    <t>LPA Enseignes</t>
  </si>
  <si>
    <t>Operator of a marketing platform intended to provide digital marketing along with online signatures. The company's platform creates and installs signs for buildings and vehicles, with expertise in neon signage and screen-printed, digitally printed or vinyl-printed billboards and storefront banners, enabling customers to get assistance regarding their marketing techniques and technology.</t>
  </si>
  <si>
    <t>advertising materials, digital marketing platform, marketing platform, marketing techniques and technology, platform for digital signature</t>
  </si>
  <si>
    <t>La Fleche, France</t>
  </si>
  <si>
    <t>274294-09T</t>
  </si>
  <si>
    <t>Lunch Corner</t>
  </si>
  <si>
    <t>Other Commercial Services, Other Services (B2C Non-Financial), Restaurants and Bars*</t>
  </si>
  <si>
    <t>Provider of takeaway services intended to provide convenient meal options for companies without canteens. The company is currently operating in stealth mode.</t>
  </si>
  <si>
    <t>Kaloma Capital(Mathieu Tarnus)</t>
  </si>
  <si>
    <t>stealth firm, stealth platform, stealth product, takeaway counter, takeaway food, takeaway services</t>
  </si>
  <si>
    <t>50526-10T</t>
  </si>
  <si>
    <t>Maison Albar Hotel</t>
  </si>
  <si>
    <t>Operator of hotel and leisure facilities intended to offer a suitable resting place for the tourists. The company's services offer a four-star vintage hotel that offers facilities ranging from playground, gourmet restaurant, spa, pool among others, enabling travelers and families to get an affordable convenient place to stay while they are away from their home.</t>
  </si>
  <si>
    <t>gourmet restaurant, hotel chain, hotel group, hotel service, hotel space, leisure service, urban resort</t>
  </si>
  <si>
    <t>27610-84T</t>
  </si>
  <si>
    <t>Martineau</t>
  </si>
  <si>
    <t>Accessories*, Other Consumer Durables</t>
  </si>
  <si>
    <t>Operator of a jewelry crafting company intended to connect humans to their ideal and bring communities together through meaningful objects. The company offers custom-made religious jewelry, metallic souvenirs, and badges, enabling customers to get unique custom-crafted jewelry that suits their tastes.</t>
  </si>
  <si>
    <t>Credit Mutuel Arkea, OSEO Innovation, Ouest Croissance Gestion</t>
  </si>
  <si>
    <t>armed metal badges, artistic jewllery, jewllery maker, leather jewelry, metal plaques, personalized badges, personalized souvenir, polyester resins statuary, religious items, religious jewllery</t>
  </si>
  <si>
    <t>Saumur, France</t>
  </si>
  <si>
    <t>27768-61T</t>
  </si>
  <si>
    <t>Murat Participations</t>
  </si>
  <si>
    <t>Provider of financial services. The company offers financial services activities and investment services.</t>
  </si>
  <si>
    <t>Bpifrance, FSI Régions</t>
  </si>
  <si>
    <t>financial investment, investment, investment services</t>
  </si>
  <si>
    <t>27686-35T</t>
  </si>
  <si>
    <t>Oger Groupe</t>
  </si>
  <si>
    <t>Manufacturer of mechanical components intended to offer precision mechanics. The company's components include turning centers, milling, welding, assembly, conveyor systems and 3D inspection tools which are used in various industrial applications, enabling manufacturing companies to work efficiently and effectively.</t>
  </si>
  <si>
    <t>manufacturing, mechanical components, mechanical devices, mechanics parts, precision machined equipment, precision mechanics</t>
  </si>
  <si>
    <t>86621-59T</t>
  </si>
  <si>
    <t>120496-51T</t>
  </si>
  <si>
    <t>Partage (Business/Productivity Software)</t>
  </si>
  <si>
    <t>Developer of a real estate software suite designed to offer a combination of skills and cross-expertise in the fields of the web and real estate. The company provides a customer relationship management (CRM) platform, web service application programming interface (API), and business software solutions, enabling real estate professionals to manage their various projects.</t>
  </si>
  <si>
    <t>crm management platform, customer relation management, publishing model, real estate market, real estate product, real estate segment</t>
  </si>
  <si>
    <t>Marketing Tech, Real Estate Technology</t>
  </si>
  <si>
    <t>Mauleon, France</t>
  </si>
  <si>
    <t>51733-45T</t>
  </si>
  <si>
    <t>Phonotonic</t>
  </si>
  <si>
    <t>Electronics (B2C)*, Entertainment Software</t>
  </si>
  <si>
    <t>Developer of smart application and hardware designed to compose live music. The company's application includes a wearable tool that communicates with the software via bluetooth and measures every movement using inertial sensors, enabling customers to create and control the music in real-time just with their moves.</t>
  </si>
  <si>
    <t>Anne-Laure Constanza(Anne-Laure Constanza), IT-Translation, Jean-David Chamboredon(Jean-David Chamboredon)</t>
  </si>
  <si>
    <t>dance application, motion sensor, music app, music application, music composition, real time app</t>
  </si>
  <si>
    <t>AudioTech, Mobile, TMT, Wearables &amp; Quantified Self</t>
  </si>
  <si>
    <t>110266-75T</t>
  </si>
  <si>
    <t>Sézane</t>
  </si>
  <si>
    <t>Manufacturer of clothes and accessories designed to improve quality and creativity. The company offers a full range of ready-to-wear dresses, footwear and accessories, as well as other lifestyle products, which are built using quality fabrics, enabling customers to get premium clothing at competitive prices.</t>
  </si>
  <si>
    <t>direct-to-consumer company, fashion brand, fashion branding, fashion cloth, french dresser manufacturer, french fashion branding, premium clothing, ready-to-wear fashion, women's clothing, womens fashion branding</t>
  </si>
  <si>
    <t>267691-60T</t>
  </si>
  <si>
    <t>93693-70T</t>
  </si>
  <si>
    <t>85105-09T</t>
  </si>
  <si>
    <t>Snowite</t>
  </si>
  <si>
    <t>Media and Information Services (B2B)*, Movies, Music and Entertainment, Social/Platform Software</t>
  </si>
  <si>
    <t>Developer of a cross-platform digital-media platform designed to manage musical contents. The company's cross-platform digital-media platform is an interface between record companies and music-website editors through any platform type, providing editors with music files, and guaranteeing the securing of files as well as analytics reports for music-record companies and content industries.</t>
  </si>
  <si>
    <t>branding streaming platform, digital media platform, digital music platform, media content management, music streaming</t>
  </si>
  <si>
    <t>AudioTech, Mobile, SaaS, TMT</t>
  </si>
  <si>
    <t>51222-70T</t>
  </si>
  <si>
    <t>Spreading Apps</t>
  </si>
  <si>
    <t>Developer of customer relationship management tools designed to make life easier for marketing professionals. The company's customer relationship management platform offers marketing automation services, crm marketing, loyalty program and enables organizations to create marketing campaigns on social networks, enabling them to increase their conversions and customer retention.</t>
  </si>
  <si>
    <t>campaign management, campaign marketing, customer engagement, customer loyalty program, customer relationship management platform, digital media marketing, marketing automation</t>
  </si>
  <si>
    <t>44006-68T</t>
  </si>
  <si>
    <t>Sysveo</t>
  </si>
  <si>
    <t>Developer of drones designed to be used for aerial work services for multiple commercial applications. The company's drones permit professional to secure a new workspace in the third dimension by innovative aerial work solutions from the drone, enabling customers to meet the key requirements of the DGAC, the control of a reliable homologated drone, the competence of the remote pilots, and the integration of their activities in the airspace.</t>
  </si>
  <si>
    <t>Banque Publique, Herrikoa, l'European Space Agency</t>
  </si>
  <si>
    <t>aerial work, aerial work equipment, application integrator, drone manufacturer, drones, maintenance assistance</t>
  </si>
  <si>
    <t>Augmented Reality, Robotics and Drones, TMT</t>
  </si>
  <si>
    <t>43995-25T</t>
  </si>
  <si>
    <t>TeamBask</t>
  </si>
  <si>
    <t>Logistics, Other Commercial Services*, Social/Platform Software</t>
  </si>
  <si>
    <t>Provider of consultancy and outsourced logistics services. The company offers warehouse management services and an e-logistics platform for reception, storage, preparation, packaging, shipping, delivery and cross docking.</t>
  </si>
  <si>
    <t>cold storage, logistic services, logistics platform</t>
  </si>
  <si>
    <t>72794-53T</t>
  </si>
  <si>
    <t>GoBeyond</t>
  </si>
  <si>
    <t>27271-45T</t>
  </si>
  <si>
    <t>Théâtre à la Carte</t>
  </si>
  <si>
    <t>Education and Training Services (B2B)*, Educational and Training Services (B2C), Movies, Music and Entertainment</t>
  </si>
  <si>
    <t>Provider of theater production and consultancy services intended to teach the art of communication. The company's services use theatrical techniques, audiovisual and teaching to design, build and facilitate communication actions, cohesion and behavioral training, enabling students to learn various sensitive and convincing ways to change an attitude, thereby improving performance, human relations and employee well-being.</t>
  </si>
  <si>
    <t>behavioral training, communication training, consultancy service, corporate theatre, theatre production</t>
  </si>
  <si>
    <t>50559-58T</t>
  </si>
  <si>
    <t>Vigilis</t>
  </si>
  <si>
    <t>Provider of hospitality services intended to serve the people in France. The company specializes in operating a group of four 3-star Ibis hotels located in Brittany and Mayenne, enabling clients to avail enhanced and quality experience of traveling.</t>
  </si>
  <si>
    <t>hospitality services, hospitality services company, hospitality services provider, hotel arrangement, leisure portal, travel experience</t>
  </si>
  <si>
    <t>132268-78T</t>
  </si>
  <si>
    <t>Virgo Learning</t>
  </si>
  <si>
    <t>Education and Training Services (B2B)*, Educational Software, Entertainment Software</t>
  </si>
  <si>
    <t>Developer of multimedia applications designed to offer a new knowledge mediation for training purposes and cognitive remediation. The company's applications has developed an immersive virtual platform, enabling organizations with team and content management as well as distance learning.</t>
  </si>
  <si>
    <t>analytics formatting, business community animation, business community platform, customizable virtual center, progress tracker</t>
  </si>
  <si>
    <t>30533-68T</t>
  </si>
  <si>
    <t>30529-36T</t>
  </si>
  <si>
    <t>Airstar (Electrical Equipment)</t>
  </si>
  <si>
    <t>Manufacturer of lighting balloons designed to offer light for events, movies, industry and safety markets. The company's lighting balloons back thermal insulation for satellites, lighting heating inventions, lighting and decor services for events as well as light sources for cinema, television and photography shootings, enabling the lighting industries with light-inspired experiences through special projects and other lighting services.</t>
  </si>
  <si>
    <t>electric airships, film industry, inflatables technology, lighting balloon, lighting services</t>
  </si>
  <si>
    <t>Manufacturing, Space Technology, TMT</t>
  </si>
  <si>
    <t>Le Champ-près-Froges, France</t>
  </si>
  <si>
    <t>30531-79T</t>
  </si>
  <si>
    <t>Comptoir du Cacao</t>
  </si>
  <si>
    <t>Operator of an artisan chocolate factory intended to produce pure origin chocolates in the tradition of the artisanal know-how of chocolatiers. The company's platform offers a variety of chocolate products with cacao butter, candied fruits, salted butter caramel and fruit pastes, enabling consumers to get chocolates that are unique with new flavors and delicious taste.</t>
  </si>
  <si>
    <t>artisan chocolate seller, cacao butter chocolate, chocolate producer, milk chocolate, white chocolate</t>
  </si>
  <si>
    <t>60778-45T</t>
  </si>
  <si>
    <t>Good Spot</t>
  </si>
  <si>
    <t>Developer of an online platform for connecting travel guides. The company caters to the hospitality industry and develops a digital platform that helps travelers to contact local guides.</t>
  </si>
  <si>
    <t>Business Angels 35, David Rouxel, Mircea Caratas(Mircea Caratas), Paris Business Angels, Philippe Develotte(Philippe Develotte)</t>
  </si>
  <si>
    <t>local guidebook, site discovery services, travel guide</t>
  </si>
  <si>
    <t>24521-50T</t>
  </si>
  <si>
    <t>Lucibel</t>
  </si>
  <si>
    <t>Lucibel SA designs and manufactures LED lighting products and solutions.</t>
  </si>
  <si>
    <t>Aster Capital(Jean-Marc Bally), Bpifrance(Nicolas Dufourcq), Crédit Mutuel Impact(Emilia Lidome), Newbury Ventures, Roham Gharegozlou(Roham Gharegozlou)</t>
  </si>
  <si>
    <t>led product, led strips, lighting design, lighting fixtures, lighting needs, lighting product</t>
  </si>
  <si>
    <t>Barentin, France</t>
  </si>
  <si>
    <t>77611-78T</t>
  </si>
  <si>
    <t>Finorpa(Philippe Moons), Finovam Gestion(Helene Cannard), Siparex Group(Priscille Clement)</t>
  </si>
  <si>
    <t>30531-25T</t>
  </si>
  <si>
    <t>C2F Implants</t>
  </si>
  <si>
    <t>Other Devices and Supplies, Surgical Devices*, Therapeutic Devices</t>
  </si>
  <si>
    <t>Manufacturer of implants and prostheses designed to meet surgeons' needs while performing surgery. The company's implants and prostheses fit different indications and problems met by surgeons, including primary care, revision, difficult cases and huge deviations, thereby enabling patients to have knee and hip surgery without any complications.</t>
  </si>
  <si>
    <t>hip prosthesis, implants product, knee prosthesis, medical implants, medical prosthetics, surgical device, surgical implants technology</t>
  </si>
  <si>
    <t>Nogent-sur-Marne, France</t>
  </si>
  <si>
    <t>30403-99T</t>
  </si>
  <si>
    <t>Cooltech Applications</t>
  </si>
  <si>
    <t>Construction and Engineering, Consulting Services (B2B)*, Household Appliances</t>
  </si>
  <si>
    <t>Provider of a refrigeration systems designed to offer magnetic refrigeration services. The company's refrigeration systems develop a unique clean-tech service, based on the magnetocaloric effect and provide a compression-less, gas-free, energy efficient and environment friendly appliance, enabling users to use appliances that leaves less carbon footprints.</t>
  </si>
  <si>
    <t>123 Investment Managers(Marc Guittet), Dassault Group, Demeter Partners(Sophie Paturle-Guesnerot), Erasteel, Omnes Capital(Michel de Lempdes), SEMIA Incubateur d' Alsace, SODIV Alsace, TechFund Europe(Jean-Michel Barbier), Tikehau Ace Capital</t>
  </si>
  <si>
    <t>caloric system, cooling system, magnetic refrigeration service, refrigeration, refrigeration service</t>
  </si>
  <si>
    <t>Holtzheim, France</t>
  </si>
  <si>
    <t>30381-58T</t>
  </si>
  <si>
    <t>A Plus Finance(Jean-Michel Pimont), CapHorn Invest(Alexandre Pelletier), Dardel Industries</t>
  </si>
  <si>
    <t>45117-46T</t>
  </si>
  <si>
    <t>35779-15T</t>
  </si>
  <si>
    <t>Fair West, FP Invest</t>
  </si>
  <si>
    <t>135786-34T</t>
  </si>
  <si>
    <t>114923-26T</t>
  </si>
  <si>
    <t>Sodero(Valérie Allain-Dupre)</t>
  </si>
  <si>
    <t>30305-89T</t>
  </si>
  <si>
    <t>SensioLabs</t>
  </si>
  <si>
    <t>Provider of an open-source software and SaaS editor designed to push hypertext preprocessor (PHP) language limits. The company's software suite and editor offer a PHP language tool development framework, enabling clients to build custom frameworks based on their needs around a structure and shared standards.</t>
  </si>
  <si>
    <t>editing software, open source software, php development, software development company, software development firm, software publisher</t>
  </si>
  <si>
    <t>Asnieres Sur Seine, France</t>
  </si>
  <si>
    <t>53044-66T</t>
  </si>
  <si>
    <t>Privowny</t>
  </si>
  <si>
    <t>Application Software, Business/Productivity Software, Network Management Software*</t>
  </si>
  <si>
    <t>Developer of a digital platform intended to give users control over their personal data. The company's platform securely stores and retrieve login credentials to generate strong passwords, curate trackers and block unwanted ads and other specific tracker categories, provide a record of the data left behind online, and provide users with insight, enabling customers to protect themselves and help clients to control and secure their customer's personal data online.</t>
  </si>
  <si>
    <t>Mobile Value Partners(Tanya Field)</t>
  </si>
  <si>
    <t>data manager, data privacy, data protection, data security, digital platform, personal data, spam control</t>
  </si>
  <si>
    <t>34321-78T</t>
  </si>
  <si>
    <t>Axess Vision Technology</t>
  </si>
  <si>
    <t>Diagnostic Equipment*, Other Commercial Products</t>
  </si>
  <si>
    <t>Developer of disposable endoscopes designed to improve and facilitate the work of medical practitioners. The company's disposable endoscopes are sterile single-use medical applications, enabling medical practitioners to improve their work and medical outcomes by providing safety and comfort to their patients.</t>
  </si>
  <si>
    <t>Apicap, Centre Capital Développement, Karista (Paris)(Catherine Boule), Smalt Capital, Sofimac Innovation, Sofimac Investment Managers</t>
  </si>
  <si>
    <t>medical application, sterile</t>
  </si>
  <si>
    <t>Saint-Pierre-des-Corps, France</t>
  </si>
  <si>
    <t>77389-93T</t>
  </si>
  <si>
    <t>Cases Home</t>
  </si>
  <si>
    <t>Building Products, Other Commercial Products*, Other Consumer Products and Services, Wood/Hard Products</t>
  </si>
  <si>
    <t>Provider of modular buildings. The company is engaged in construction of offices, kindergartens, schools or homes with constructive timber.</t>
  </si>
  <si>
    <t>constructive timber, modular buildings, timber space</t>
  </si>
  <si>
    <t>Nieul sur Mer, France</t>
  </si>
  <si>
    <t>39001-96T</t>
  </si>
  <si>
    <t>Deolan</t>
  </si>
  <si>
    <t>Air, Business/Productivity Software*, Database Software</t>
  </si>
  <si>
    <t>Developer of passenger and flight data management platform based in Mérignac, France. The company's platform delivers solutions for operational, communication and digitization challenges the air transport ecosystem, thereby enabling users to document, share and access customer and flight information quickly and efficiently.</t>
  </si>
  <si>
    <t>Angels Capital, CapHorn Invest(Guillaume Dupont), Incubateur Régional d'Aquitaine, Paris Business Angels</t>
  </si>
  <si>
    <t>data management, fight passenger data, flight data, flight data management platform, flight data management service, telex formatting</t>
  </si>
  <si>
    <t>77620-24T</t>
  </si>
  <si>
    <t>208375-93T</t>
  </si>
  <si>
    <t>Biodéal</t>
  </si>
  <si>
    <t>Producer of organic dairy products for wholesalers, resellers, organic shops and organic departments. The company offers varieties of flavoured yoghurt, cheese and butter made from cow, sheep and goat's milk, enabling its customers to get fresh milk products.</t>
  </si>
  <si>
    <t>Biocoop, Esfin Gestion</t>
  </si>
  <si>
    <t>butter manufacturer, cheese and milk, dairy business, dairy product, milk distributor, milk seller, organic diary product</t>
  </si>
  <si>
    <t>30271-87T</t>
  </si>
  <si>
    <t>Venise Invest(Philippe Darses)</t>
  </si>
  <si>
    <t>77482-18T</t>
  </si>
  <si>
    <t>Entrepreneur Invest(Michel Claret)</t>
  </si>
  <si>
    <t>136298-35T</t>
  </si>
  <si>
    <t>Sofialys</t>
  </si>
  <si>
    <t>Operator of a digital marketing platform intended to offer mobile advertising and marketing services. The company's platform offers advertising and marketing tools for publishers, operators, agencies, ad networks, application developers, and advertisers, including interactive agencies and brands, enabling businesses with several options to target and reach their relevant mobile audience.</t>
  </si>
  <si>
    <t>Creathor Ventures(Gert Köhler), Quadriplay Venture</t>
  </si>
  <si>
    <t>digital marketing, direct marketing tool, marketing platform, media consulting, mobile marketplace, sms campaign, store locator</t>
  </si>
  <si>
    <t>36276-13T</t>
  </si>
  <si>
    <t>FLRJO</t>
  </si>
  <si>
    <t>Provider of commercial dispenser machines in France. The company provides vending machines for freshly squeezed orange juice and also provides machines to operators of high-traffic areas, including hospitals, schools, movie theaters, government offices and fitness centers.</t>
  </si>
  <si>
    <t>Crédit Mutuel Impact(Franck Thouroude)</t>
  </si>
  <si>
    <t>orange juice, vending machine</t>
  </si>
  <si>
    <t>32438-35T</t>
  </si>
  <si>
    <t>EndoControl</t>
  </si>
  <si>
    <t>Developer of robotic assistance systems designed for laparoscopic surgery. The company's systems offer a motorized robotic endoscopic positioner for laparoscopy via voice or foot control and an ultra-compact motorized uterus positioner with access to intra-abdominal areas and robotic needle holder, enabling surgeons to perform robotic-assisted surgery at the operating room table instead of working from a modular work station placed away from the patient.</t>
  </si>
  <si>
    <t>Crédit Mutuel Equity, Seventure Partners, Smalt Capital</t>
  </si>
  <si>
    <t>endoscopic surgery, laparoscopic surgery, minimal invasive surgery, robotics instruments, robotics optical navigation system, robotics surgery</t>
  </si>
  <si>
    <t>HealthTech, Robotics and Drones, TMT</t>
  </si>
  <si>
    <t>34794-19T</t>
  </si>
  <si>
    <t>Dotcorp Private Equity, Justin Ziegler(Justin Ziegler), Kima Ventures(Xavier Niel), Steve Rosenblum(Steve Rosenblum), Thierry Lunati(Thierry Lunati)</t>
  </si>
  <si>
    <t>30066-40T</t>
  </si>
  <si>
    <t>360 Capital(Francois Tison), Bpifrance(Xavier Deleplace), Capital-E(Pascal Vanluchene), Seventure Partners(David Manjarres), Sofimac Innovation(Nicolas Landrin)</t>
  </si>
  <si>
    <t>30064-06T</t>
  </si>
  <si>
    <t>Mister-Auto</t>
  </si>
  <si>
    <t>Automotive, Distributors/Wholesale, Specialty Retail*</t>
  </si>
  <si>
    <t>Retailer of car parts and accessories. The company sells various car products online from various brands including Bosch, Delphi, Contitech and Castrol.</t>
  </si>
  <si>
    <t>Bpifrance(Francis Estellat), IRIS (Private Equity)(Curt Gunsenheimer)</t>
  </si>
  <si>
    <t>car components retailer, car parts</t>
  </si>
  <si>
    <t>E-Commerce, Mobility Tech, TMT</t>
  </si>
  <si>
    <t>36398-98T</t>
  </si>
  <si>
    <t>Trend Corner</t>
  </si>
  <si>
    <t>Operator of an online retail store intended to serve the community with trendy and nifty products. The company's store offers household, gardening, and personal products as well as gift items, health and beauty wellness, enabling customers to avail of all sorts of products at a reasonable price.</t>
  </si>
  <si>
    <t>Bpifrance, Entrepreneur Invest</t>
  </si>
  <si>
    <t>gardening kits, lifestyle goods, online shop, online shopping, personal products, retail stores, shopping portal, shopping site</t>
  </si>
  <si>
    <t>40779-73T</t>
  </si>
  <si>
    <t>79021-27T</t>
  </si>
  <si>
    <t>Alven Capital Partners(Rodolphe Menegaux), FaDiese, Oleg Tscheltzoff(Oleg Tscheltzoff)</t>
  </si>
  <si>
    <t>26119-27T</t>
  </si>
  <si>
    <t>BlueKanGo</t>
  </si>
  <si>
    <t>Operator of a digital transformation company designed to offer business process management services. The company integrates a document management system, a business intelligence unit (BI) to follow up on interesting reports and keys performance indicators (KPIs), a single global action plan regardless of the number of employees and production sites, and an ergonomic information portal: customizable interface to broadcast information to the users, a flowcharting application to map strategic positions, processes, and human organization, enabling businesses to improve sustainable operational performance.</t>
  </si>
  <si>
    <t>Bpifrance, Breizh Invest PME, OSEO Innovation, Sodero</t>
  </si>
  <si>
    <t>business process management, digital transformation company, improve performance, it advisory services, operational management, qhse management dedicated software</t>
  </si>
  <si>
    <t>76268-17T</t>
  </si>
  <si>
    <t>Cafe de la Plage</t>
  </si>
  <si>
    <t>Operator of a chain of restaurant cafes intended to offer seafood meals and cuisines. The company's cafes are located on the seafront with a seating facility on the terrace and also offer breakfast and lunch options, enabling guests and customers to experience a meal with a beach view.</t>
  </si>
  <si>
    <t>french cafe, french cuisine, french restaurant, restaurant cafe, seafood restaurant</t>
  </si>
  <si>
    <t>Arcachon, France</t>
  </si>
  <si>
    <t>26272-81T</t>
  </si>
  <si>
    <t>CityBird</t>
  </si>
  <si>
    <t>Developer of a moto taxi booking application intended to make online reservations for motorcycles and taxis. The company offers motorcycles, taxis, and limousines with all equipment necessary for protection during motorcycle cab rides along with chauffeurs and drivers to accompany users on the rides.</t>
  </si>
  <si>
    <t>IDF Capital, Trail Solutions Patrimoine</t>
  </si>
  <si>
    <t>electric scooter, motorcycle gear, professional drivers, taxi booking, traffic jam tracker, transportation options</t>
  </si>
  <si>
    <t>39043-36T</t>
  </si>
  <si>
    <t>Bpifrance(Philippe Boucheron), Medtronic (NYS: MDT), Seventure Partners, Sofinnova Partners(Antoine Papiernik)</t>
  </si>
  <si>
    <t>85648-51T</t>
  </si>
  <si>
    <t>Courrier Plus</t>
  </si>
  <si>
    <t>IT Consulting and Outsourcing, Logistics, Media and Information Services (B2B), Other Commercial Services*</t>
  </si>
  <si>
    <t>Provider of private postal services intended to help companies with the daily management of their mail via multi-year contracts. The company's services include single and daily transport, sorting, and postage delivery within France as well as across international borders, along with mail audit services, enabling customers to get delivery in their preferred time and reduce their postal budget.</t>
  </si>
  <si>
    <t>courier service, freight delivery, freight services, mail outsourcing, parcel service, postal industry, postal service, postal service company, postal service delivery, postal service firm</t>
  </si>
  <si>
    <t>Industrials, Supply Chain Tech</t>
  </si>
  <si>
    <t>30149-20T</t>
  </si>
  <si>
    <t>Dymant</t>
  </si>
  <si>
    <t>Accessories, Internet Retail, Luxury Goods*</t>
  </si>
  <si>
    <t>Provider of an online platform designed to offer luxurious products. The company's platform offers tote bags, passport holder, card holders and notebooks, enabling customers to buy products of their own choice.</t>
  </si>
  <si>
    <t>Idinvest Partners, Partech(Romain Lavault)</t>
  </si>
  <si>
    <t>designer product, handcrafted, leather craftsmen, online retail, totes bags</t>
  </si>
  <si>
    <t>26296-75T</t>
  </si>
  <si>
    <t>GCI Construction Habitat</t>
  </si>
  <si>
    <t>Provider of a residential home building services designed to develop specific activities related to the construction of individual houses. The company's residential home building services offer construction of homes and services of thermo renovation along with construction of wooden frame buildings, enabling clients to avail construction needs meet up within specified budget.</t>
  </si>
  <si>
    <t>building trade, frames construction, home construction, residential building, residential home building</t>
  </si>
  <si>
    <t>111966-85T</t>
  </si>
  <si>
    <t>Gedeon Media Group</t>
  </si>
  <si>
    <t>Operator of an audiovisual production platform intended to publish magazines, documentary films, news, shorts, and fillers. The company's platform specializes in the production and distribution of scientific documentary programs for television, films, and businesses, enabling viewers to study, search, and explore various different aspects through documentaries.</t>
  </si>
  <si>
    <t>broadcast media company, documentaries film, documentaries show, documentary production platform, media campaigns, media tool</t>
  </si>
  <si>
    <t>30538-54T</t>
  </si>
  <si>
    <t>Nîmotel</t>
  </si>
  <si>
    <t>Operator of a three-star hotel intended to offer superior hospitality services for tourists in France. The company's hotel offers bridal suites, business rooms, and family rooms with restaurants and all modern facilities like swimming pools, a bar, etc, enabling tourists to have a luxurious and comfortable staying experience.</t>
  </si>
  <si>
    <t>Audacia (PAR: ALAUD), M Capital Partners</t>
  </si>
  <si>
    <t>hospitality services, hotel network, hotel operator, hotel operator company, hotel rooms booking, hotel service, three star hotel</t>
  </si>
  <si>
    <t>207328-15T</t>
  </si>
  <si>
    <t>29954-08T</t>
  </si>
  <si>
    <t>CEA Investissement(Celia Hart), Inserm Transfert(Matthieu Coutet), Smalt Capital(Jerome Feraud)</t>
  </si>
  <si>
    <t>48826-00T</t>
  </si>
  <si>
    <t>Demeter Partners(Benjamin Wainstain), TotalEnergies Ventures</t>
  </si>
  <si>
    <t>29954-26T</t>
  </si>
  <si>
    <t>Hi Inov(Pierre-Henri Dentressangle)</t>
  </si>
  <si>
    <t>29892-25T</t>
  </si>
  <si>
    <t>Pixium Vision (PINX: PXMVF)</t>
  </si>
  <si>
    <t>Pixium Vision SA is engaged in the business of developing implantable medical devices to treat blindness resulting from the degeneration of retinal photoreceptor cells.</t>
  </si>
  <si>
    <t>Abingworth, Bpifrance(Chahra Louafi), iBionext, Kreos Capital, Omnes Capital(Alexia Perouse), Seventure Partners, Sofinnova Partners</t>
  </si>
  <si>
    <t>bionics vision, blindness treatment, neural engineering, retina blindness, retinal dystrophy, vision treatment, vision treatment product</t>
  </si>
  <si>
    <t>85183-39T</t>
  </si>
  <si>
    <t>ZETA Pellet</t>
  </si>
  <si>
    <t>Developer of a waste management technology designed to transform green vegetal waste into pellets that can be burnt efficiently in boilers. The company's technology aims to produce a green and clean source of energy where negligible waste material remains after the pellets are burnt, enabling users to get access to raw materials without any ecological side effects and where rudimentary vegetal waste becomes a fuel.</t>
  </si>
  <si>
    <t>biofuel energy, ecological product, pellets fuel, pellets manufacturing, waste management solutions, waste management tech, waste management tool</t>
  </si>
  <si>
    <t>29833-57T</t>
  </si>
  <si>
    <t>BIME Analytics</t>
  </si>
  <si>
    <t>Developer of business intelligence software designed to help data-driven organizations integrate, visualize, and share data that matters most. The company offers cloud-based software that integrates data from various sources and creates custom metrics, reports and dashboards without any SQL enabling businesses to analyze and monitor their business data and turn them into valuable insights and actionable information.</t>
  </si>
  <si>
    <t>Alven Capital Partners(Jeremy Uzan), SIRS Business Angels</t>
  </si>
  <si>
    <t>bi tools, business data, business intelligence software, data import, data integration, data metrics</t>
  </si>
  <si>
    <t>54741-88T</t>
  </si>
  <si>
    <t>Edicia</t>
  </si>
  <si>
    <t>Developer of an urban security software designed for public safety. The company's software helps to manage various aspects of urban safety, such as traffic monitoring, speed checks, regulations, compliance with traffic standards, parking, and transport payment monitoring, enabling law enforcers to organize daily missions and anticipate risks.</t>
  </si>
  <si>
    <t>city security, risk detection, security software, security software product, smart police, traffic monitoring software</t>
  </si>
  <si>
    <t>56332-72T</t>
  </si>
  <si>
    <t>AmigoCAT</t>
  </si>
  <si>
    <t>Developer of a computer-assisted translation tool designed to change the translation format with new technology. The company's computer-assisted translation tool utilizes a global translation memory of more than 70 billion words in all major languages and offers a translation platform that is completely keyboard operated and can be used in real-time with online collaboration activities, enabling users to translate data and PDF files of any format.</t>
  </si>
  <si>
    <t>Jérémie Berrebi(Jérémie Berrebi), Kima Ventures</t>
  </si>
  <si>
    <t>computer-assisted translation, data translation, translating software, translating tools</t>
  </si>
  <si>
    <t>78991-21T</t>
  </si>
  <si>
    <t>AQUITI Gestion, Finaqui, Pertinence Invest</t>
  </si>
  <si>
    <t>29886-40T</t>
  </si>
  <si>
    <t>Flayr (Internet Retail)</t>
  </si>
  <si>
    <t>Accessories, Application Software, Clothing, Internet Retail*</t>
  </si>
  <si>
    <t>Developer of an online shopping platform designed to discover latest fashion and trends. The company's platform shows different brands and influencers and offer the option to match their style and shop those looks, enabling users to style themselves according to trend and share their discoveries with their friends.</t>
  </si>
  <si>
    <t>C3P Capital, Candel and Partners, Merifin Capital(Simona Heidempergher)</t>
  </si>
  <si>
    <t>fashion information, fashion knowledge, fashion product, influencer shopping, shopping portal</t>
  </si>
  <si>
    <t>63347-68T</t>
  </si>
  <si>
    <t>Wilogo</t>
  </si>
  <si>
    <t>Information Services (B2C), Other Media, Social Content*</t>
  </si>
  <si>
    <t>Provider of a crowd-sourced design community intended to connect graphic designers with companies. The company's crowd-sourced design community helps to outsource logo designs for business cards, web sites, packaging and others, enabling users to find designers to design logos of their choice.</t>
  </si>
  <si>
    <t>design community, logotypes</t>
  </si>
  <si>
    <t>St-Chamond, France</t>
  </si>
  <si>
    <t>30534-04T</t>
  </si>
  <si>
    <t>74379-70T</t>
  </si>
  <si>
    <t>Peoplestay</t>
  </si>
  <si>
    <t>Entertainment Software, Other Media, Social/Platform Software*</t>
  </si>
  <si>
    <t>Provider of an online rewards and loyalty platform intended to increase sales and popularity. The company's platform offers rewards to consumers in the form of vouchers and coupons, enabling businesses to gain popularity among customers and in time increase revenue.</t>
  </si>
  <si>
    <t>Club Invest 77, SIRS Business Angels</t>
  </si>
  <si>
    <t>get voucher, online loyalty platform, online rewards platform, rewards platform</t>
  </si>
  <si>
    <t>29658-43T</t>
  </si>
  <si>
    <t>Day One Entrepreneurs &amp; Partners, Elaia Partners(Samantha Jérusalmy), Franck Lefeuvre(Franck Lefeuvre), Gilles Samoun(Gilles Samoun), Jeremie Le Febvre(Jeremie Le Febvre), Nicolas Baudy(Nicolas Baudy)</t>
  </si>
  <si>
    <t>29621-98T</t>
  </si>
  <si>
    <t>Elaia Partners(Xavier Lazarus), ISAI(Jean-David Chamboredon)</t>
  </si>
  <si>
    <t>89265-52T</t>
  </si>
  <si>
    <t>Blitzr</t>
  </si>
  <si>
    <t>Provider of a music platform intended to unify music with semnatic technologies. The company's music platform specializes in processing, enrichment and harmonization of music metadata with smart data and B2B services, enabling users to stream all the music for free, learn about, discover and buy everything related to music in one easy click.</t>
  </si>
  <si>
    <t>music platform, music streaming app, music streaming service, music website</t>
  </si>
  <si>
    <t>53711-92T</t>
  </si>
  <si>
    <t>Caloga(Antoine Dureault)</t>
  </si>
  <si>
    <t>188155-18T</t>
  </si>
  <si>
    <t>HA PLUS SME</t>
  </si>
  <si>
    <t>Provider of non-strategic purchasing pooling services intended to provide economies of scale on purchases. The company's services include accessing key account rates by pooling purchases and referring to national and regional suppliers to propose remedies, enabling VES/SMEs to receive supplies and equipment at negotiated rates.</t>
  </si>
  <si>
    <t>business supplies, pooling investment, price monitoring, price negotiation, purchasing optimization, purchasing pooling</t>
  </si>
  <si>
    <t>Toussus-le-Noble, France</t>
  </si>
  <si>
    <t>35417-80T</t>
  </si>
  <si>
    <t>IDRA Environnement</t>
  </si>
  <si>
    <t>Provider of water treatment services intended to control water pollution by using dredging and sediment management technology. The company's services offer sludge management by combining cost optimization compliance with regulatory requirements, enabling local authorities, industrialists, construction and real estate professionals to avail safe and secure water for their locality.</t>
  </si>
  <si>
    <t>cost optimization compliance, sediment management, sedimentation, sludge management, water infrastructure, water purification, water treatment services</t>
  </si>
  <si>
    <t>186581-62T</t>
  </si>
  <si>
    <t>Cepic, Picardie Investissement, Renaud Dutreuil(Renaud Dutreuil)</t>
  </si>
  <si>
    <t>29535-22T</t>
  </si>
  <si>
    <t>AG2R La Mondiale, Credit Mutuel Arkea, Credit Mutuel Ocean, Kima Ventures(Xavier Niel), Schibsted Ventures, Weber Investissements</t>
  </si>
  <si>
    <t>29654-02T</t>
  </si>
  <si>
    <t>3T Capital(Nicolas Tcherdakoff), Ilan Benhaim(Ilan Benhaim), Jacques-Antoine Granjon(Jacques-Antoine Granjon), Manuel Zebeida(Manuel Zebeida), Naxicap Partners(Antoine Le Masson)</t>
  </si>
  <si>
    <t>30714-40T</t>
  </si>
  <si>
    <t>Calao Finance, Champagne Ardennes Angels, Didier Herrmann(Didier Herrmann), Smalt Capital</t>
  </si>
  <si>
    <t>126490-69T</t>
  </si>
  <si>
    <t>Ceanothe</t>
  </si>
  <si>
    <t>Developer of an online photograph-selling retail portal designed to offer urban photography printed on quality mountings. The company's portal offers photographs by themes, formats, colors or cities, enabling clients to avail various ranges of photographs that can be used for interior decoration purposes.</t>
  </si>
  <si>
    <t>Day One Entrepreneurs &amp; Partners(Michel de Guilhermier), Pascal Launay</t>
  </si>
  <si>
    <t>art selling, online art gallery, online photographs, online photography, retailing portal, wall decoration services</t>
  </si>
  <si>
    <t>25371-64T</t>
  </si>
  <si>
    <t>Ennov</t>
  </si>
  <si>
    <t>Business/Productivity Software*, Other Healthcare Technology Systems</t>
  </si>
  <si>
    <t>Developer of a content management platform designed to enrich the entire life sciences product life cycle. The company's platform offers comprehensive quality management tools for capturing and managing clinical trial information streamlines, regulatory content, and information management software as well as pharmacovigilance tools, enabling leading pharmaceutical companies and emerging biotech to assist their clients while making use of their information assets and improving performance.</t>
  </si>
  <si>
    <t>Windcrest Partners</t>
  </si>
  <si>
    <t>clinical trial management software, content management platform, information management software, pharmacovigilance management, quality management system, regulatory compliance software</t>
  </si>
  <si>
    <t>25504-30T</t>
  </si>
  <si>
    <t>Kizoo Technology Capital(Michael Greve)</t>
  </si>
  <si>
    <t>25394-86T</t>
  </si>
  <si>
    <t>kdgenergy</t>
  </si>
  <si>
    <t>Alternative Energy Equipment, Distributors/Wholesale*, Energy Exploration, Machinery (B2B)</t>
  </si>
  <si>
    <t>Designer and manufacturer of photovoltaic panels. The company offers solar products, equipment and services for professionals and photovoltaic buildings.</t>
  </si>
  <si>
    <t>energy equipment, solar, solar product</t>
  </si>
  <si>
    <t>114111-28T</t>
  </si>
  <si>
    <t>Mensquare</t>
  </si>
  <si>
    <t>Provider of online media services intended to provide content production, advertising distribution and amplification on social networks. The company's platform features editing of sites and magazines, mobile formatting and video streaming integrated with content, enabling clients to amplify the scope of advertising content with the communities of the influences.</t>
  </si>
  <si>
    <t>Hi Inov</t>
  </si>
  <si>
    <t>media advertising network, media content creation, online media agency, social advertising network, social advertising service</t>
  </si>
  <si>
    <t>25677-64T</t>
  </si>
  <si>
    <t>Nina</t>
  </si>
  <si>
    <t>Operator of media software designed to make data safe and accessible. The company's software offers broadcast automation and digital asset management, offline and live to the subtitle, enabling clients to have a complete range of software dedicated to broadcasting.</t>
  </si>
  <si>
    <t>broadcasting services, broadcasting software, data processing, data processing unit, media software services, tv broadcast</t>
  </si>
  <si>
    <t>25696-81T</t>
  </si>
  <si>
    <t>Skiset</t>
  </si>
  <si>
    <t>Other Restaurants, Hotels and Leisure*, Recreational Goods</t>
  </si>
  <si>
    <t>Operator of a snowboard rental store chain intended to offer a variety of modern and popular equipment. The company's chain offers private cruises in over 80 destinations worldwide with a large range of boats to rent and also instructors for training and helps in choosing the right ski or snowboard equipment, enabling winter-sports enthusiasts to choose their skiing holidays online and to book completely stress-free at a reasonable cost.</t>
  </si>
  <si>
    <t>Innovacom (Paris)(Jerome LeCoeur)</t>
  </si>
  <si>
    <t>ski rental, ski training, skiing equipment, skiing sports, snowboarding product, snowboarding rental, snowboarding rental store</t>
  </si>
  <si>
    <t>25460-47T</t>
  </si>
  <si>
    <t>Transatel</t>
  </si>
  <si>
    <t>Other Communications and Networking, Telecommunications Service Providers*</t>
  </si>
  <si>
    <t>Provider of cloud-based connectivity management services intended to deliver an unique set of machine to machine product and service capabilities in Europe. The company's platform offers cellular connectivity services for standard MVNO businesses and for the IoT (Internet of Things) sector which is based on their technical architecture and the leveraging of a multi-local network code, enabling mobile operators and device manufacturers to generate new sources of revenues.</t>
  </si>
  <si>
    <t>cellular connectivity, cellular connectivity services, cloud-based connectivity management service, mobile telecommunication, mobile virtual network, telecommunication service provider</t>
  </si>
  <si>
    <t>54749-71T</t>
  </si>
  <si>
    <t>Cyphoma</t>
  </si>
  <si>
    <t>Developer of an online advertising platform designed to serve island communities and overseas territories. The company's platform offers innovative features, such as multi-zone searches, multi-town searches, transparent language management, currencies, metric systems, creating local relations and more, enabling users to buy, sell, and trade without hassle.</t>
  </si>
  <si>
    <t>Francesco Maio(Francesco Maio), Generis Capital Partners</t>
  </si>
  <si>
    <t>advertisement posting, advertising platform, advertising services, classified services, classifieds platform, classifieds site</t>
  </si>
  <si>
    <t>AdTech, E-Commerce, TMT</t>
  </si>
  <si>
    <t>Gustavia, France</t>
  </si>
  <si>
    <t>48833-47T</t>
  </si>
  <si>
    <t>47028-25T</t>
  </si>
  <si>
    <t>Aurinvest(Geoffroy Bragadir), SEED Innovations (Guernsey) (LON: SEED)</t>
  </si>
  <si>
    <t>219294-82T</t>
  </si>
  <si>
    <t>Bpifrance, KCE Consultants, XAnge</t>
  </si>
  <si>
    <t>30531-88T</t>
  </si>
  <si>
    <t>Experimental Group</t>
  </si>
  <si>
    <t>Operator of hotels and restaurants designed to offer contemporary hospitality services. The company operates signature speakeasies, wine bars, restaurants and hotels.</t>
  </si>
  <si>
    <t>eatery chain operator, food chain, hospitality services, hotels resorts company, luxury food, restaurant chain, restaurants bars</t>
  </si>
  <si>
    <t>29276-11T</t>
  </si>
  <si>
    <t>FlexyCore</t>
  </si>
  <si>
    <t>Application Software*, Vertical Market Software</t>
  </si>
  <si>
    <t>Developer of software products to optimize smartphones. The company provides Ispectrum (for iPhone) and droidBooster (for Android) to boost performance of the devices in terms of speed and battery.</t>
  </si>
  <si>
    <t>Sochrastem</t>
  </si>
  <si>
    <t>android devices performance, android smartphones, efficient battery, software accelerator, user friendly</t>
  </si>
  <si>
    <t>29301-40T</t>
  </si>
  <si>
    <t>News Republic</t>
  </si>
  <si>
    <t>Provider of a mobile media and publishing application. The company's news aggregator portal leverages editorial, algorithmic and community intelligence to offer perspective on the world by ramping relevance and discoverability in custom news flows.</t>
  </si>
  <si>
    <t>Creathor Ventures(Gert Köhler), Intel Capital(Marcos Battisti), Kreos Capital, XAnge(Cyril Bertrand)</t>
  </si>
  <si>
    <t>mobile media, news aggregator, news application, world news</t>
  </si>
  <si>
    <t>51359-32T</t>
  </si>
  <si>
    <t>MorningCroissant</t>
  </si>
  <si>
    <t>Operator of an online property marketplace intended to offer short and long-term accommodation rentals. The company's marketplace connects tenants looking for a place to rent with homeowners of furnished accommodation facilities, enabling professionals, students and individuals to easily book fully-furnished accommodation online.</t>
  </si>
  <si>
    <t>Express Ventures, GoBeyond, Ranjith Cherickel(Ranjith Cherickel)</t>
  </si>
  <si>
    <t>accommodation rental platform, business accommodation, student accommodation, student accommodation service, travel accommodation</t>
  </si>
  <si>
    <t>29222-20T</t>
  </si>
  <si>
    <t>NovaWatt</t>
  </si>
  <si>
    <t>Developer of decentralized electricity production park designed to create and manage a diversified and significant production base. The company's park is used to manage a fleet of co-generation plants and diesel generators, selling power to the wholesale markets at opportune times of power consumption, enabling energy clients to get renewable energy that is produced locally to avoid wastage due to transport.</t>
  </si>
  <si>
    <t>Alternative Power, Alto Invest, Apicap, Backbone Capital, Siparex Group, XAnge(Dominique Agrech)</t>
  </si>
  <si>
    <t>alternative electricity, alternative energy, decentralized power, electricity producer, energy production service, energy production service provider, generation fleet</t>
  </si>
  <si>
    <t>40132-54T</t>
  </si>
  <si>
    <t>La Confédération National des Buralistes de France</t>
  </si>
  <si>
    <t>29224-00T</t>
  </si>
  <si>
    <t>FGP Capital, Financière IDAT, Tethys S.A.S.</t>
  </si>
  <si>
    <t>44864-29T</t>
  </si>
  <si>
    <t>Twiister Systems</t>
  </si>
  <si>
    <t>Application Software*, Network Management Software</t>
  </si>
  <si>
    <t>Developer of traceability system platform designed to be used for the logistics markets. The company's platform designs and develops traceability systems and RFID portals, enabling logistics markets and warehouse industries to get anti-theft and complex locking systems.</t>
  </si>
  <si>
    <t>Credit Agricole Regions Investissement, Rhône-Alpes Création, Sofimac Investment Managers</t>
  </si>
  <si>
    <t>anti-theft system, traceability system, traceability system platform</t>
  </si>
  <si>
    <t>204183-82T</t>
  </si>
  <si>
    <t>Fadev</t>
  </si>
  <si>
    <t>Other Capital Markets/Institutions*, Other Financial Services</t>
  </si>
  <si>
    <t>Operator of a solidarity investment fund intended to support entrepreneurs who create activities and jobs in Africa. The company allows growing micro, small, and medium-sized enterprises to benefit from financial, technical, and technological support coupled with local support provided by the local partners in order to sustain their activities and their development on the continent, enabling African entrepreneurs to contribute to social and economic dynamics of their countries.</t>
  </si>
  <si>
    <t>capital market, investment fund, investment fund manager, micro investment, solidarity investment, venture capital</t>
  </si>
  <si>
    <t>79721-83T</t>
  </si>
  <si>
    <t>smartINST</t>
  </si>
  <si>
    <t>Designer and manufacturer of measuring equipment using embedded sensors for a variety of sectors. The company offers wireless technology sensors for a wide range of applications such as wireless measurements, scale up and down, and process optimization.</t>
  </si>
  <si>
    <t>Bpifrance, Credit Agricole (PAR: ACA)</t>
  </si>
  <si>
    <t>embedded sensors, measuring equipment, wireless technology</t>
  </si>
  <si>
    <t>36445-06T</t>
  </si>
  <si>
    <t>SteamOne</t>
  </si>
  <si>
    <t>Manufacturer of steamers and vertical steaming tools designed to press all fabrics easily. The company's steamers do not burn the natural and synthetic fibers, enabling users to decontaminate couches, mattresses, curtains and carpets.</t>
  </si>
  <si>
    <t>clothes press, handheld steamer, steam tools, steamer technology, vertical steam tools</t>
  </si>
  <si>
    <t>29667-79T</t>
  </si>
  <si>
    <t>Visibrain</t>
  </si>
  <si>
    <t>Developer of a social media monitoring platform designed to provide brand image protection and crisis prevention services. The company's platform features influencers detection and content analysis to monitor data circulating on the internet in real-time and alert the users, enabling public relation and communications professionals to quickly and easily detect risks and opportunities across the web.</t>
  </si>
  <si>
    <t>3T Capital(Gilles Debuchy), Bouygues Telecom Initiatives(Tanguy Moillard)</t>
  </si>
  <si>
    <t>marketing application, monitoring tools, online media marketing, online media monitoring, real time monitoring, social media monitoring, social media monitoring platform</t>
  </si>
  <si>
    <t>69336-73T</t>
  </si>
  <si>
    <t>Comiteo</t>
  </si>
  <si>
    <t>Business/Productivity Software*, IT Consulting and Outsourcing, Other Commercial Services</t>
  </si>
  <si>
    <t>Developer of a business productivity software platform designed to simplify daily management, provide numerous benefits to employees and communicate effectively. The company's software helps employees to benefit from exceptional offers and promotions on many brands, via a unique, simple and intuitive platform, as well as manages both the accounting and the budget of works council, thereby helping clients to keep their employees happy and grow in terms of revenue.</t>
  </si>
  <si>
    <t>FaDiese, Paris Region Venture Fund(Jérôme Snollaerts)</t>
  </si>
  <si>
    <t>business integration, business productivity, business promotion, central purchasing, integrated subsidized platform, it consulting, it consulting firm</t>
  </si>
  <si>
    <t>54730-99T</t>
  </si>
  <si>
    <t>WNP 909</t>
  </si>
  <si>
    <t>Media and Information Services (B2B), Social/Platform Software*</t>
  </si>
  <si>
    <t>Operator of online social media management software designed to help brads and their social media strategies. The company's software allows community managers to manage, from a single interface, all the interactions between a brand and its customers which includes post, moderation, analysis and e-reputation, integrating most social networks on a one-stop-shop platform, enabling them to strengthen their customer relations.</t>
  </si>
  <si>
    <t>media management, single interface moderation, social media management, social media management software</t>
  </si>
  <si>
    <t>36443-44T</t>
  </si>
  <si>
    <t>Oliverstore</t>
  </si>
  <si>
    <t>Operator of an online marketplace intended to offer home furnishing products. The company's marketplace offers a range of tailor-made projects including interior and exterior blinds, mosquito nets, shutters and windows.</t>
  </si>
  <si>
    <t>glass film, home furnishing product dealer, home furnishing products, mosquito frames, mosquito traps, windows film</t>
  </si>
  <si>
    <t>28979-83T</t>
  </si>
  <si>
    <t>Financiere Norbert Dentressangle, Newfund Management(Charles-Antoine Morand), Orkos Capital(Pierre-Eric Leibovici)</t>
  </si>
  <si>
    <t>129633-04T</t>
  </si>
  <si>
    <t>Tactys</t>
  </si>
  <si>
    <t>Manufacturer of computer equipment intended to offer touch-sensitive keyboards, carts and batteries. The company's equipment includes glass keyboards, touchpads, medical carts, computer stations and trolleys, removable and mobile batteries and other hygiene oriented IT products, enabling hospitals, laboratories and medical clinics to work in an enhanced way.</t>
  </si>
  <si>
    <t>NCI Management</t>
  </si>
  <si>
    <t>computer station, glass keyboard, keyboard manufacturer, medical cart, touch keyboard, touchpad, wireless mouse</t>
  </si>
  <si>
    <t>Orbigny, France</t>
  </si>
  <si>
    <t>28956-43T</t>
  </si>
  <si>
    <t>3T Capital(Daniel Caclin), ISAI(Jean-David Chamboredon), Jérôme Traisnel(Jérôme Traisnel), Luc Hardy(Luc Hardy), Paris&amp;Co Incubateurs, Patrick Ponsolle(Patrick Ponsolle), Sacha Doliner(Sacha Doliner)</t>
  </si>
  <si>
    <t>136295-11T</t>
  </si>
  <si>
    <t>IRIS (Private Equity)</t>
  </si>
  <si>
    <t>24553-63T</t>
  </si>
  <si>
    <t>Dreamzer</t>
  </si>
  <si>
    <t>Developer of an online gaming platform designed to entertain users by providing online games for free. The company's platform offers games for people of all ages, available in various languages along with virtual chatting, enabling game enthusiasts to play games and keep themselves entertained.</t>
  </si>
  <si>
    <t>animal games, browser games, game publisher, gaming platform, online games, online games provider, video games</t>
  </si>
  <si>
    <t>24554-53T</t>
  </si>
  <si>
    <t>Everteam</t>
  </si>
  <si>
    <t>Developer of integrated enterprise content management software designed to improve customer experience and streamline business processes. The company offers a complete content services platform for Information Governance software to optimize records management and adhere to compliance requirements, thereby enabling enterprises to build and manage content-driven processes that support a range of business opportunities.</t>
  </si>
  <si>
    <t>Advent Venture Partners, Alpana Ventures, AXA (PAR: CS), BNP Paribas (PAR: BNP), Idinvest Partners, Partech</t>
  </si>
  <si>
    <t>content management software, enterprise business process, enterprise content, enterprise content management, information governance, records management, streamline business process</t>
  </si>
  <si>
    <t>24692-95T</t>
  </si>
  <si>
    <t>Grand Crus Classes</t>
  </si>
  <si>
    <t>Seller of wine designed to help people to consume good quality of wine. The company's wine are sold and distributed through its website, catalog and telemarketing, enabling consumers to enjoy with their friends and family.</t>
  </si>
  <si>
    <t>Ventech (Paris)</t>
  </si>
  <si>
    <t>alcohol, food ecommerce, online grocer, online ordering, wine, wine seller, wine vintage</t>
  </si>
  <si>
    <t>119774-62T</t>
  </si>
  <si>
    <t>Weroom</t>
  </si>
  <si>
    <t>Operator of a social network for flat sharing. The company provides a social platform that helps people in finding flats and flatmates in Europe.</t>
  </si>
  <si>
    <t>Nexity (PAR: NXI)</t>
  </si>
  <si>
    <t>community platform, flats search platform, flats sharing platform</t>
  </si>
  <si>
    <t>28895-50T</t>
  </si>
  <si>
    <t>Bpifrance, CDC Enterprises(Philippe Boucheron), FCP Innovacion SP, iXO Private Equity, LFB Group(Jean-François Prost)</t>
  </si>
  <si>
    <t>29736-01T</t>
  </si>
  <si>
    <t>Créalia</t>
  </si>
  <si>
    <t>28886-95T</t>
  </si>
  <si>
    <t>Prodealcenter.fr</t>
  </si>
  <si>
    <t>Operator of an online marketplace intended to sell agricultural tractor accessories and spare parts. The company's products include tractor parts, motorized vehicle parts, agricultural equipment, lubricants, and agricultural materials, enabling farmers to purchase quality parts for their agricultural machinery.</t>
  </si>
  <si>
    <t>Omnes Capital(Serge Savasta)</t>
  </si>
  <si>
    <t>agribusiness marketplace, agricultural accessories, agricultural equipment retailer, agricultural equipment store, agricultural parts, agricultural tools, agrifinance &amp; ecommerce, agrifinance and ecommerce, tractors accessories</t>
  </si>
  <si>
    <t>Rambouillet, France</t>
  </si>
  <si>
    <t>34776-82T</t>
  </si>
  <si>
    <t>Neelogy</t>
  </si>
  <si>
    <t>Developer of non-retentive magnetic sensors designed to meet the needs of energy metering, energy conversion, real-time fault detection and diagnostics. The company's sensors measure innovative electric currents across the field that is space-saving, maintenance-free and recalibration-free, enabling clients to accurately measure a DC component.</t>
  </si>
  <si>
    <t>ac/dc sensors, current sensors, electrical conductors, energy management, smart grid sensor</t>
  </si>
  <si>
    <t>Saint-Avertin, France</t>
  </si>
  <si>
    <t>28933-66T</t>
  </si>
  <si>
    <t>Cap Cinema</t>
  </si>
  <si>
    <t>Operator of a cinema theater and opera based in Blois, France. The company through cinema theater offers on-display, scheduled and short movies, events, entertainment and drama.</t>
  </si>
  <si>
    <t>cinema theater, cinema theater company, movies, movies multiplex, movies theater operator, multiplex</t>
  </si>
  <si>
    <t>28777-96T</t>
  </si>
  <si>
    <t>Fermentalg (PAR: ALGAE)</t>
  </si>
  <si>
    <t>Fermentalg SA is an industrial biotechnology company engaged in producing natural cooking oils, animal nutrition products and chemicals using micro-algae.</t>
  </si>
  <si>
    <t>Bpifrance(Gilles Schang), Demeter Partners, Emertec Gestion, Galia Gestion, IRDI Capital Investissement, Picoty Algo Carburant, Smalt Capital, Sofiproteol, Tikehau Ace Capital</t>
  </si>
  <si>
    <t>algae, algae food, algae product, alt-proteins, biotech, biotechnology, fermented protein, microalgae, microalgae product</t>
  </si>
  <si>
    <t>FoodTech, Life Sciences, Manufacturing</t>
  </si>
  <si>
    <t>35108-56T</t>
  </si>
  <si>
    <t>Grenoble Angels, Savoie Angels, Sofimac Innovation(Nicolas Boulay), Viaduc</t>
  </si>
  <si>
    <t>28796-59T</t>
  </si>
  <si>
    <t>Daniel Marhely(Daniel Marhely), Entrepreneur Invest</t>
  </si>
  <si>
    <t>28802-08T</t>
  </si>
  <si>
    <t>5M Ventures, Atlas Editions, Gilbert Deininger(Gilbert Deininger), Jean-Michel Rosaz(Jean-Michel Rosaz), Keiretsu Forum, Laurent Benhamou(Laurent Benhamou), Philippe Dian(Philippe Dian)</t>
  </si>
  <si>
    <t>40756-51T</t>
  </si>
  <si>
    <t>Investessor, Paris Region Venture Fund</t>
  </si>
  <si>
    <t>29886-49T</t>
  </si>
  <si>
    <t>28745-65T</t>
  </si>
  <si>
    <t>Ezakus</t>
  </si>
  <si>
    <t>Provider of a data management platform for audience targeting services. The company matches advertiser data with publisher data to predictively target a brand's best potential customers across the web and across screens.</t>
  </si>
  <si>
    <t>data management platform, real time profiling, segmentation, social profiling</t>
  </si>
  <si>
    <t>38667-52T</t>
  </si>
  <si>
    <t>Groupe Argus, Hi Inov, Holding Loste</t>
  </si>
  <si>
    <t>192381-49T</t>
  </si>
  <si>
    <t>Opinews</t>
  </si>
  <si>
    <t>Operator of an informative platform intended for audiovisual news. The company's website organizes and manages live video events, enabling audiences to interact by asking questions, publishing content on social networks, and even participating in live videos.</t>
  </si>
  <si>
    <t>Arkeon Management</t>
  </si>
  <si>
    <t>audio visual news, information sharing, informative platform, newsfeeds, publishing content, video screening</t>
  </si>
  <si>
    <t>40694-23T</t>
  </si>
  <si>
    <t>C3P Capital, FaDiese, Paris Region Venture Fund(Jérôme Snollaerts)</t>
  </si>
  <si>
    <t>52115-68T</t>
  </si>
  <si>
    <t>A Plus Finance, Serena (Paris)</t>
  </si>
  <si>
    <t>30537-82T</t>
  </si>
  <si>
    <t>Kerensen Consulting</t>
  </si>
  <si>
    <t>Provider of business consulting services. The company provides management consulting, business solutions, and technology services to manage the business challenges and technological complexity.</t>
  </si>
  <si>
    <t>Audacia (PAR: ALAUD), Salesforce Ventures</t>
  </si>
  <si>
    <t>cloud computing, cloud consulting, cloud technology</t>
  </si>
  <si>
    <t>34173-28T</t>
  </si>
  <si>
    <t>Itris Automation Square</t>
  </si>
  <si>
    <t>Automation/Workflow Software, Software Development Applications*</t>
  </si>
  <si>
    <t>Provider of development tools intended to help companies improve development processes and deliver quality programs. The company's development tools offer a platform and language independent technological framework to write programs and turn them into high-level abstraction, thereby enabling clients to avail real business benefits through lower-cost programming.</t>
  </si>
  <si>
    <t>Eurekap!, Expansinvest, Kreaxi, Rhône-Alpes Création(Gwenaël Hamon), Siparex Group, XAnge</t>
  </si>
  <si>
    <t>automation company, code review platform, coding, plc conversion, plc development tool, plc programming</t>
  </si>
  <si>
    <t>28617-49T</t>
  </si>
  <si>
    <t>Bpifrance, Highland Europe(Anthony Zappalà)</t>
  </si>
  <si>
    <t>28875-25T</t>
  </si>
  <si>
    <t>Icape Group (PAR: ALICA)</t>
  </si>
  <si>
    <t>IT Consulting and Outsourcing, Other Hardware*</t>
  </si>
  <si>
    <t>Icape Holding SA specializes in the manufacture and marketing of printed circuit boards and custom technical parts.</t>
  </si>
  <si>
    <t>InnovaFonds(Anthony Dubut)</t>
  </si>
  <si>
    <t>circuit board, custom-made circuit board, industrial circuit board</t>
  </si>
  <si>
    <t>Fontenay Aux Roses, France</t>
  </si>
  <si>
    <t>30538-72T</t>
  </si>
  <si>
    <t>Les Petites Canailles</t>
  </si>
  <si>
    <t>Provider of nursery services intended to help working parents take care of their children while they are busy with their profession. The company's services include providing care and primary education for children aged 0 to 3 years old, enabling working parents not to worry about their kids during the day, along getting their kids to develop their educational skills.</t>
  </si>
  <si>
    <t>childcare service provider, family services, kindergarten, nursery care, nursery educational services, nursery service</t>
  </si>
  <si>
    <t>36296-47T</t>
  </si>
  <si>
    <t>Images Corp</t>
  </si>
  <si>
    <t>Printing Services (B2B)*, Social/Platform Software</t>
  </si>
  <si>
    <t>Operator of an online platform intended to offer print on demand services. The company's platform offers object customization, production and marketing services, enabling clients to avail tailor-made services as per their requirement at a reasonable price range.</t>
  </si>
  <si>
    <t>Entrepreneur Invest, iXO Private Equity</t>
  </si>
  <si>
    <t>customization services, object customization, print on demand, print on demand services, textile printing, volume printing</t>
  </si>
  <si>
    <t>76838-05T</t>
  </si>
  <si>
    <t>Kylii Kids</t>
  </si>
  <si>
    <t>Provider of a digital playground intended to attract, entertain, and retain kids. The company's digital playground offers a personalized interactive children's area and interactive floor through video projectors and a 3D sensor, enabling kids and families to create personalized interactive kids' corners and maintain their children's interest in sports.</t>
  </si>
  <si>
    <t>augmented reality 3d, digital games platform, digital kids ecosystem, digital learning, digital playground, interactive learning, interactive playspace, kids entertainment, kids entertainment service, kids play</t>
  </si>
  <si>
    <t>28306-27T</t>
  </si>
  <si>
    <t>61498-81T</t>
  </si>
  <si>
    <t>Benoît Georis, Frédéric Aries(Frédéric Aries), Hubert Catanese(Hubert Catanese), Thomas Herlin(Thomas Herlin), Xavier Jacopy(Xavier Jacopy)</t>
  </si>
  <si>
    <t>28277-02T</t>
  </si>
  <si>
    <t>Advance Venture Partners, Balderton Capital, Condé Nast(Jonathan Newhouse), Idinvest Partners(Matthieu Baret), James Bilefield(James Bilefield), Ventech (Paris)(Claire Houry)</t>
  </si>
  <si>
    <t>29558-98T</t>
  </si>
  <si>
    <t>3T Capital(Nicolas Tcherdakoff), M Capital Partners, Nestadio Capital, Tikehau Investment Management</t>
  </si>
  <si>
    <t>94423-24T</t>
  </si>
  <si>
    <t>Bpifrance, Crédit Mutuel Impact</t>
  </si>
  <si>
    <t>29564-29T</t>
  </si>
  <si>
    <t>Izypeo</t>
  </si>
  <si>
    <t>Operator of a collaborative digital platform intended to structure and manage quality, safety, and environment (QSE) and corporate social responsibility processes. The company offers a tools and services to automate data collection, consolidation, and calculation of indicators' specific requirements that realize carbon footprint and control energy consumption, reducing the risk of error and saving time, enabling businesses to manage actions in favor of a sustainable development approach.</t>
  </si>
  <si>
    <t>3T Capital(Daniel Caclin), Bpifrance</t>
  </si>
  <si>
    <t>carbon footprint, collaborative digital platform, corporate analysis, csr management, energy management, environmental project, ergonomic software, qhse software</t>
  </si>
  <si>
    <t>35286-58T</t>
  </si>
  <si>
    <t>Eleneo</t>
  </si>
  <si>
    <t>Developer of cloud-based energy-management software designed to assist organizations in consuming less energy. The company's software guides organizations to understand and anticipate changes in the global energy market, and engineer new behavioral and business approaches to energy, enabling organizations to implement energy-management plans.</t>
  </si>
  <si>
    <t>cost management, energy conservation platform, energy efficiency, energy management, energy management software, energy prevention, energy saving, portfolio management</t>
  </si>
  <si>
    <t>25555-60T</t>
  </si>
  <si>
    <t>DN Capital, Earlybird Venture Capital, Generis Capital Partners, Piton Capital(Pradeep Raman)</t>
  </si>
  <si>
    <t>53218-36T</t>
  </si>
  <si>
    <t>Steripure</t>
  </si>
  <si>
    <t>Provider of saturated steam pasteurization services intended to preserve all the characteristics of processed products. The company's services are effective in microbial reduction even at relatively low temperatures, enabling importers and processors of food ingredients to increase consumer expectations with a particular focus on the microbiological quality of products.</t>
  </si>
  <si>
    <t>2C Invest, CAAP Creation, Credit Agricole (PAR: ACA), Région Sud Investissement, SCR Provence and Corsica</t>
  </si>
  <si>
    <t>food contamination, food service, food treatment, microbial reduction, pasteurization service, pasteurization services, saturated steam, saturated steam pasteurization, steam pasteurization</t>
  </si>
  <si>
    <t>28304-38T</t>
  </si>
  <si>
    <t>Crédit Agricole Sud Rhône Alpes Capital, Héléa Financière, Naxicap Partners(Alban Sarie), Rhône-Alpes Création, Seventure Partners(Bruno Rivet), Trail Solutions Patrimoine(Guillaume Hemmerle)</t>
  </si>
  <si>
    <t>34182-01T</t>
  </si>
  <si>
    <t>Techlimed</t>
  </si>
  <si>
    <t>Application Software*, Other Consumer Products and Services</t>
  </si>
  <si>
    <t>Provider of a language processing software. The company specializes in the content analysis of Arabic language.</t>
  </si>
  <si>
    <t>Ad-hoc Invest, Crealys, Credit Agricole Regions Investissement, Eurekap!, IT-Translation, Rhône-Alpes Création(Sebastien Touvron)</t>
  </si>
  <si>
    <t>language processing, linguistic</t>
  </si>
  <si>
    <t>109237-15T</t>
  </si>
  <si>
    <t>Martin Bouygues, Nef Capital Ethique Management, Pascal Negre, SCDM Domaines</t>
  </si>
  <si>
    <t>36350-20T</t>
  </si>
  <si>
    <t>Power Solutions (Alternative Energy Equipment)</t>
  </si>
  <si>
    <t>Developer of energy recovery systems designed to use the excess heat emitted into usable energy. The company's systems are pre-insulated steel tubes, pipes, and accessories for heat networks that capture unused heat released during energy consumption, enabling users to save energy and avoid the wastage of excess electricity.</t>
  </si>
  <si>
    <t>energy efficiency, energy equipment, heat energy recovery, heat trapping system, heating energy, heating system</t>
  </si>
  <si>
    <t>215607-70T</t>
  </si>
  <si>
    <t>Poitou-Charentes Innovation</t>
  </si>
  <si>
    <t>116810-92T</t>
  </si>
  <si>
    <t>Pierre-Antoine Durgeat(Pierre-Antoine Durgeat)</t>
  </si>
  <si>
    <t>204604-75T</t>
  </si>
  <si>
    <t>Société Beaurain Frères</t>
  </si>
  <si>
    <t>189691-39T</t>
  </si>
  <si>
    <t>GreenLeaf (Other Hardware)</t>
  </si>
  <si>
    <t>Application Software, Other Hardware*</t>
  </si>
  <si>
    <t>Provider of hardware and software solutions intended for smart buildings. The company's platform accelerates the development of IoT home automation, enabling consumers to create and personalize their home automation projects within minutes.</t>
  </si>
  <si>
    <t>connected buildings, internet of things, knx installation, smart building tech, smart home, software solutions product</t>
  </si>
  <si>
    <t>Construction Technology, Internet of Things</t>
  </si>
  <si>
    <t>204429-34T</t>
  </si>
  <si>
    <t>Apinov</t>
  </si>
  <si>
    <t>Operator of a beekeeping research and training platform designed to help beekeepers live better lives on the job. The company provides training courses and advice on bee health and genetic selection, enabling beekeepers to maintain a healthy beehive.</t>
  </si>
  <si>
    <t>adviser services, beekeeper platform, beekeeper tools, beekeeping management, beekeeping service, training platform</t>
  </si>
  <si>
    <t>116550-28T</t>
  </si>
  <si>
    <t>Elaia Partners(Pauline Roux)</t>
  </si>
  <si>
    <t>27891-37T</t>
  </si>
  <si>
    <t>Compagnie Photovoltaïque de l'Est, Credit Agricole (PAR: ACA), Eurowatt Partenaire(Roland Rémondet), Région Sud Investissement, Starquest Capital(Arnaud Delattre), Turenne Groupe</t>
  </si>
  <si>
    <t>29418-22T</t>
  </si>
  <si>
    <t>AlephD</t>
  </si>
  <si>
    <t>Business/Productivity Software, Consulting Services (B2B)*, Database Software</t>
  </si>
  <si>
    <t>Developer of a real time bidding platform for publishers. The company provides real-time yield management technology InstantPredict and InventoryLab, an integrated software suite to help publishers to make decisions based on data analysis and business intelligence tools.</t>
  </si>
  <si>
    <t>A Plus Finance, Karista (Paris), Partech(Romain Lavault)</t>
  </si>
  <si>
    <t>algorithmic decisioning, real time segmentation, web publisher</t>
  </si>
  <si>
    <t>AdTech, Industrials, SaaS, TMT</t>
  </si>
  <si>
    <t>51842-62T</t>
  </si>
  <si>
    <t>Wrung</t>
  </si>
  <si>
    <t>Operator of an e-commerce platform intended to offer a wide range of apparel and urban clothing wear. The company's platform leverages online and local stores to provide manufactured caps, t-shirts, jackets, and other related accessories and products, enabling customers to experience the urban lifestyle and fashion through clothes, music, art, photography, and collaborations.</t>
  </si>
  <si>
    <t>Impact Partners (Paris)(Abderzak Sifer)</t>
  </si>
  <si>
    <t>clothing product, clothing wear, lifestyle platform, street wear, street wear clothing, textile product, urban lifestyle</t>
  </si>
  <si>
    <t>L'Haÿ-les-Roses, France</t>
  </si>
  <si>
    <t>88204-42T</t>
  </si>
  <si>
    <t>27275-50T</t>
  </si>
  <si>
    <t>360 Capital(Emanuele Levi), Bpifrance(Nicolas Dufourcq), Eurazeo (PAR: RF), Idinvest Partners(Benoist Grossmann), Ventech (Paris)(Jean Bourcereau)</t>
  </si>
  <si>
    <t>46964-44T</t>
  </si>
  <si>
    <t>Bpifrance, Credit Agricole (PAR: ACA), Expansinvest, Grenoble Angels, Olivier Heckmann(Olivier Heckmann), Vincent Gentil(Vincent Gentil), Véronique Di Benedetto(Véronique Di Benedetto)</t>
  </si>
  <si>
    <t>34181-02T</t>
  </si>
  <si>
    <t>Boa Concept (PAR: ALBOA)</t>
  </si>
  <si>
    <t>Boa Concept SA is engaged in the provision of intralogistics. The company offers a range of intelligent Plug-and-Carry modular conveyors for light and heavy loads as well as a robotic Plug-and-Store storage system.</t>
  </si>
  <si>
    <t>Kreaxi, NextStage AM, Rhône Dauphiné Développement(Bernard Vey), Rhône-Alpes Création(Mathieu Viallard)</t>
  </si>
  <si>
    <t>conveyor, flow simulation, intelligent device, intelligent sensors, intelligent sensors &amp; devices, intelligent sensors and devices, modular elements, ordering picking, retail ordering</t>
  </si>
  <si>
    <t>37752-31T</t>
  </si>
  <si>
    <t>Emertec Gestion</t>
  </si>
  <si>
    <t>34135-57T</t>
  </si>
  <si>
    <t>Sojeans</t>
  </si>
  <si>
    <t>Operator of an online shopping platform designed to sell types of denim and jeans. The company's platform offers a range of products such as bags, shoes, denims, and accessories both for men and women, enabling users to buy products of their own choice.</t>
  </si>
  <si>
    <t>360 Capital(Carlalberto Guglielminotti), Entrepreneur Invest(Alain Beaulac), Ventech (Paris)(Alain Caffi)</t>
  </si>
  <si>
    <t>jeans, jeans platform, jeans stores, online retail, online shopping platform, shopping platform</t>
  </si>
  <si>
    <t>Hermanville Sur Mer, France</t>
  </si>
  <si>
    <t>76266-73T</t>
  </si>
  <si>
    <t>BMIA</t>
  </si>
  <si>
    <t>Developer of a software management platform intended to manage projects and associated documents optimally through a single software. The company's platform offers ERP collective performance that permits users to manage projects, collect documents and improve business performance and also offers interactive 3-dimensional simulators to manage communication support, enabling clients to get expertise in the field of intelligent mobility, water treatment and energy distribution.</t>
  </si>
  <si>
    <t>AQUITI Gestion, Galia Gestion</t>
  </si>
  <si>
    <t>automation software, computer engineering, data processing software, industrial data processing, software management, software management platform</t>
  </si>
  <si>
    <t>Le Bouscat, France</t>
  </si>
  <si>
    <t>204446-53T</t>
  </si>
  <si>
    <t>31400-92T</t>
  </si>
  <si>
    <t>Crossject (PAR: ALCJ)</t>
  </si>
  <si>
    <t>Drug Delivery, Medical Supplies*</t>
  </si>
  <si>
    <t>CROSSJECT manufactures and markets needle-free drug self-injection system.</t>
  </si>
  <si>
    <t>A Plus Finance, Gemmes Venture, Keensight Capital, Sofimac Investment Managers</t>
  </si>
  <si>
    <t>general medical supplies, injection system, injection system manufacturing, medical pharmaceutical, needle-free injection, single-use devices</t>
  </si>
  <si>
    <t>86610-07T</t>
  </si>
  <si>
    <t>FretBay</t>
  </si>
  <si>
    <t>Operator of an online and real-time service platform designed to connect shippers with moving or transport companies. The company's platform connects shippers of bulky or heavy objects with carriers via a reverse auction system that encourages the filling of trucks, enabling individuals to reduce the cost of transporting their items and carriers to consolidate freight distribution.</t>
  </si>
  <si>
    <t>carrier advertisement, commercial transportation markets, freight distribution, moving platform, moving services, moving services platform, realtime platform, service platform, shippers advertisement, transportation services</t>
  </si>
  <si>
    <t>AdTech, E-Commerce</t>
  </si>
  <si>
    <t>71537-68T</t>
  </si>
  <si>
    <t>Each x Other</t>
  </si>
  <si>
    <t>Manufacturer of unisex fashion apparel and accessories intended to provide unique style attire. The company operates as a clothing brand and publishing house for fashion-related products offering clothes, and design objects using raw materials and natural fabrications in order to provide timeless, ageless, genderless designs, providing artists, stylists, poets, musicians, filmmakers, and fashion designers with a collaborative lifestyle fashion.</t>
  </si>
  <si>
    <t>CDC Enterprises</t>
  </si>
  <si>
    <t>fashion accessories, fashion apparel, fashion clothing, unisex accessories, unisex apparel, women's fashion clothing</t>
  </si>
  <si>
    <t>181492-30T</t>
  </si>
  <si>
    <t>Investir &amp;+, Investisseurs &amp; Partenaires</t>
  </si>
  <si>
    <t>55962-64T</t>
  </si>
  <si>
    <t>Firalis</t>
  </si>
  <si>
    <t>Biotechnology, Diagnostic Equipment*, Drug Discovery</t>
  </si>
  <si>
    <t>Developer of novel biomarkers designed to improve inflammatory autoimmune disease outcomes. The company's biomarkers improve disease outcomes, patient comfort, and therapeutic decisions, enabling patients to have affordable healthcare treatment.</t>
  </si>
  <si>
    <t>Alsace Amorçage, Auriga Partners (Paris)(Bernard Daugeras), Capital Grand Est, Natixis Private Equity, SODIV Alsace</t>
  </si>
  <si>
    <t>biomarker services, cdmo service, cro services, diagnostic kits manufacturer, disease outcome, patient comfort</t>
  </si>
  <si>
    <t>Huningue, France</t>
  </si>
  <si>
    <t>30532-69T</t>
  </si>
  <si>
    <t>29439-73T</t>
  </si>
  <si>
    <t>5M Ventures, Olivier Mathiot(Olivier Mathiot)</t>
  </si>
  <si>
    <t>59321-17T</t>
  </si>
  <si>
    <t>CMG Advisory, Innovation Capital (Paris)(Valéry Huot), Kima Ventures(Xavier Niel)</t>
  </si>
  <si>
    <t>138862-90T</t>
  </si>
  <si>
    <t>Ardoiz</t>
  </si>
  <si>
    <t>Developer of a touch screen tablet intended to serve senior people with the benefits of the internet world. The company provides easy-to-use ergonomic touch tablets, which benefit from the security, automated backup, reception services, and targeted content, and is delivered by a postman who sets up the tablet for the user, providing customers with a communication solution with little or no connection to the Internet.</t>
  </si>
  <si>
    <t>consumer solution, mobile application development, security, software editor, support services, web platform</t>
  </si>
  <si>
    <t>34142-05T</t>
  </si>
  <si>
    <t>Breega(François Paulus)</t>
  </si>
  <si>
    <t>160591-78T</t>
  </si>
  <si>
    <t>FIBandCO</t>
  </si>
  <si>
    <t>Construction and Engineering, Environmental Services (B2B), Other Forestry*, Wood/Hard Products</t>
  </si>
  <si>
    <t>Manufacturer of sustainable and exotic veneer products intended to offer a clean alternative to wood. The company offers sustainable, high-performance made from-banana plant trunks that come as sheets and are made from the transformation process of the trunks and do not require the use of any chemical components, providing customers with wood alternative products that are clean, green, and environmentally sustainable.</t>
  </si>
  <si>
    <t>architectural materials, banana plant recycling, circular materials, construction fibre, construction material, innovative design material, natural veneer, plant-based veneer, wood alternative</t>
  </si>
  <si>
    <t>Ducos, France</t>
  </si>
  <si>
    <t>27190-45T</t>
  </si>
  <si>
    <t>Aurinvest(Jean-Pascal Beaufret), Idinvest Partners, Kurma Partners(Thierry Laugel)</t>
  </si>
  <si>
    <t>71895-16T</t>
  </si>
  <si>
    <t>Uaredesign</t>
  </si>
  <si>
    <t>Home Furnishings*, Internet Retail, Specialty Retail</t>
  </si>
  <si>
    <t>Provider of an online store intended to specialize in design furniture and interior design. The company's marketplace offers furniture, light fixtures and decorative objects for residential and commercial purposes, enabling amateurs, connoisseurs, collectors and professionals to get their desired products at a reasonable rate.</t>
  </si>
  <si>
    <t>decorative items, designer furniture seller, furniture, home decoration, housekeeping</t>
  </si>
  <si>
    <t>27048-16T</t>
  </si>
  <si>
    <t>eNovance</t>
  </si>
  <si>
    <t>Provider of open source cloud computing and multi cloud management services. The company provides managed services for a number of public clouds, such as google compute engine and also integrates and operates open source cloud computing infrastructures.</t>
  </si>
  <si>
    <t>BNP Paribas (PAR: BNP)(Jean-Marie Fabre), Entrepreneur Invest(Bertrand Folliet), Odyssee Venture(Julien Andrieux), OSEO Innovation(Benjamin Py)</t>
  </si>
  <si>
    <t>cloud computing, multi cloud</t>
  </si>
  <si>
    <t>28362-43T</t>
  </si>
  <si>
    <t>Alto Invest(Olivier Tanneveau), Turenne Groupe(François Picarle)</t>
  </si>
  <si>
    <t>35618-32T</t>
  </si>
  <si>
    <t>Coldway Technologies</t>
  </si>
  <si>
    <t>Manufacturer of solid-gas refrigeration units intended to make heating and cooling energy available on demand, regardless of available power sources. The company uses a patented sorption system to create its products, which are built into isothermal containers used to transport thermo-sensitive products, thereby enabling the agri-food, medical, logistics and transport industry to control the traceability of temperatures and meet absolute sanitary requirements.</t>
  </si>
  <si>
    <t>Bpifrance(Gilles Schang), CDC Enterprises, Crédit Mutuel Innovation, Demeter Partners, Emertec Gestion, Smalt Capital, Sudinnova</t>
  </si>
  <si>
    <t>cold storage, commercial application, industrial cold, prototyping, refrigeration machinery</t>
  </si>
  <si>
    <t>Pia, France</t>
  </si>
  <si>
    <t>49827-34T</t>
  </si>
  <si>
    <t>26661-07T</t>
  </si>
  <si>
    <t>Felix Capital, Frederic Court, Idinvest Partners, Index Ventures(Martin Mignot), Nicolas Weil, Phoenix Court</t>
  </si>
  <si>
    <t>30531-07T</t>
  </si>
  <si>
    <t>Côté Optique</t>
  </si>
  <si>
    <t>Provider of optical products intended to take special care of the user's eyes. The company's optical products offer a range of optical and sunglass collections from various brands, enabling customers to buy products of their own choice.</t>
  </si>
  <si>
    <t>Audacia (PAR: ALAUD)(Charles Beigbeder), BNP Paribas (PAR: BNP)(Marc Serizay)</t>
  </si>
  <si>
    <t>glass, optical product, sunglass</t>
  </si>
  <si>
    <t>225372-70T</t>
  </si>
  <si>
    <t>Greenpharma</t>
  </si>
  <si>
    <t>The company offers a wide range of products, services, and active ingredients such as Atophylline, Centellane, Dumaflorine, Hibamorine, Hinoline, and more, and also offers several types of microplates in 96-well format for biological screening, and more, enabling pharmaceutical, cosmetics, plant health, agri-food, petrochemical, and more industries to the development of a formulation for cosmetic and dermo-cosmetic products.</t>
  </si>
  <si>
    <t>active ingredients, active ingredients chemicals, active ingredients developer, active ingredients manufacturer, active ingredients solutions, research solutions</t>
  </si>
  <si>
    <t>26671-15T</t>
  </si>
  <si>
    <t>Crédit Mutuel Impact, Index Ventures(Martin Mignot)</t>
  </si>
  <si>
    <t>40711-78T</t>
  </si>
  <si>
    <t>Alpwise</t>
  </si>
  <si>
    <t>Connectivity Products, Wireless Communications Equipment*</t>
  </si>
  <si>
    <t>Developer of wireless connected objects designed to permit users to integrate Bluetooth technology into their products. The company's objects offer radio technologies with low power, embedded applications, and connected sensors, enabling clients to add connectivity to their products by providing protocol stack, modules, and development kit.</t>
  </si>
  <si>
    <t>Crédit Agricole Alpes Développement, Crédit Agricole Sud Rhône Alpes Capital, Expansinvest, Sofimac Investment Managers</t>
  </si>
  <si>
    <t>bluetooth module, bluetooth technology, embedded system, wireless connected objects, wireless product, wireless system</t>
  </si>
  <si>
    <t>28795-33T</t>
  </si>
  <si>
    <t>Marco Vasco</t>
  </si>
  <si>
    <t>Operator of an online travel agency intended to offer tailor-made holidays and tours. The company's online travel agency offers personalized trips and tour suggestions on faced urban and tropical jungles, exotic local specialties, local guides and custom trips as well as access to a complete itinerary of the trip, country guide of the destinations, detail of each of activities and rating of the activities and accommodations of trips, thereby making it easier for clients to get info and make a booking.</t>
  </si>
  <si>
    <t>Gimv (BRU: GIMB)(Geoffroy Dubus), IRIS (Private Equity)(Erik de la Rivière)</t>
  </si>
  <si>
    <t>online travel agency, personalized trip, tour books, tourism, travel agency, travel arrangements</t>
  </si>
  <si>
    <t>30539-35T</t>
  </si>
  <si>
    <t>Optitec</t>
  </si>
  <si>
    <t>Construction and Engineering, Industrial Chemicals*</t>
  </si>
  <si>
    <t>Provider of surface treatment intended to offer automatic application of thermosetting powder paint. The company's treatment includes application of powder and liquid industrial paints as well as processes materials such as aluminum, steel, wood, or plastic and provides durable aesthetic finishes with technical and functional coatings, enabling customers to get treatment and protection of metals through different surface treatment techniques.</t>
  </si>
  <si>
    <t>automatic application, cosmetic painting, industrial painting, powder paints, surface treatment, thermosetting powder</t>
  </si>
  <si>
    <t>Vendargues, France</t>
  </si>
  <si>
    <t>88456-96T</t>
  </si>
  <si>
    <t>Alto Invest, Inocap Gestion, Tikehau Ace Capital, Tikehau Capital (PAR: TKO)</t>
  </si>
  <si>
    <t>28751-41T</t>
  </si>
  <si>
    <t>Sejourning</t>
  </si>
  <si>
    <t>Other Restaurants, Hotels and Leisure, Real Estate Services (B2C)*</t>
  </si>
  <si>
    <t>Operator of an online platform for apartment rental services. The company facilitates individuals to rent their primary residence to travelers. It also offers a platform for networking between owners and renters.</t>
  </si>
  <si>
    <t>A-Venture(Stéphane Thioly), Angelor, Simba Talents</t>
  </si>
  <si>
    <t>apartments rent, online accommodation, online network, online rent</t>
  </si>
  <si>
    <t>85247-83T</t>
  </si>
  <si>
    <t>Viareport</t>
  </si>
  <si>
    <t>Developer of a financial management software intended to serve the financial teams of different companies. The company offers consolidated accounts automation, consolidated reporting, management of rental contracts and management of tax proofs enabling businesses to improve their productivity and finance professionals to improve the efficiency, quality, and consistency of financial reporting.</t>
  </si>
  <si>
    <t>IDF Capital(Adrien Bagard), Perspectives &amp; Participations(José Pantaleao)</t>
  </si>
  <si>
    <t>cloud-based financial reporting, financial decisions making, financial forecasting, financial reporting, management reporting software, software</t>
  </si>
  <si>
    <t>43994-35T</t>
  </si>
  <si>
    <t>Jaina Capital(Marc Simoncini)</t>
  </si>
  <si>
    <t>76729-42T</t>
  </si>
  <si>
    <t>Groupe Rosin, Philippe Bouvier(Philippe Bouvier)</t>
  </si>
  <si>
    <t>30540-34T</t>
  </si>
  <si>
    <t>Oracom</t>
  </si>
  <si>
    <t>Information Services (B2C), Internet Retail, Media and Information Services (B2B)*, Publishing</t>
  </si>
  <si>
    <t>Provider of publishing and advertising services intended to develop a portfolio of several brands. The company's services help to bring out information regarding well-being and personal development, professional markets, IT and digital, history, general culture, science, and wildlife, enabling clients to attract and bring together various readers and numerous committed customers.</t>
  </si>
  <si>
    <t>advertising service, content creation, content knowledge, digital knowledge, magazine retail, publishing project</t>
  </si>
  <si>
    <t>85068-82T</t>
  </si>
  <si>
    <t>30541-24T</t>
  </si>
  <si>
    <t>Wanderlust Street Food</t>
  </si>
  <si>
    <t>Leisure Facilities, Other Services (B2C Non-Financial), Restaurants and Bars*</t>
  </si>
  <si>
    <t>Provider of a hybrid Parisian venue services intended to offer both musical and lifestyle programming. The company's venue operates a club and restaurant serving food, offering musical evenings in the open air, outdoor cinema, sports, and yoga facilities, enabling customers to enjoy and relax as well as consume delicious street food.</t>
  </si>
  <si>
    <t>Audacia (PAR: ALAUD), Recruit Strategic Partners</t>
  </si>
  <si>
    <t>healthy lifestyle, lifestyle content, lifestyle programming, musicals program, street food, yoga services</t>
  </si>
  <si>
    <t>29732-68T</t>
  </si>
  <si>
    <t>Soridec, Sud PME Croissance</t>
  </si>
  <si>
    <t>39171-88T</t>
  </si>
  <si>
    <t>Amorcage Rhone-Alpes, Grenoble INP Invest, Truffle Capital(Jean Francois Fourt)</t>
  </si>
  <si>
    <t>31979-53T</t>
  </si>
  <si>
    <t>Habert Dassault Finance(Benoit Habert), Simon Gazikian(Simon Gazikian), SOFICAM Entreprises</t>
  </si>
  <si>
    <t>84908-53T</t>
  </si>
  <si>
    <t>Vigimilia</t>
  </si>
  <si>
    <t>Developer of marketing analysis tool designed to offer services for the tourism industry. The company's tool offers competitive positioning aid for decision-making marketing to satisfy the price, availability and opinion of Internet users, enabling users to highlight different offers to differentiate from the competition and determine the period to value the content of the catalog and identify the suitable offers.</t>
  </si>
  <si>
    <t>Alexandra Garai, Bpifrance, FiNELOG-BiSEUM</t>
  </si>
  <si>
    <t>competitive intelligence platform, innovation marketing, market analysis and strategy, market analysis service, market analysis technology, marketing analysis platform, marketing analysis service</t>
  </si>
  <si>
    <t>30541-15T</t>
  </si>
  <si>
    <t>Happee Services</t>
  </si>
  <si>
    <t>Manufacturer of sanitary and hygiene equipment intended to offer sanitary facilities to customers. The company's equipment includes the rental of self or connectable mobile toilets, sanitary equipment for the construction industry, and dry toilets for sporting and social events, enabling users to have tailor-made and personalized hygiene services anywhere.</t>
  </si>
  <si>
    <t>hygiene and safety, hygiene services, mobile toilet, rental toilet, sanitary equipment, sanitary items</t>
  </si>
  <si>
    <t>Drancy, France</t>
  </si>
  <si>
    <t>26425-00T</t>
  </si>
  <si>
    <t>Gemmyo</t>
  </si>
  <si>
    <t>Provider of a jewelry retailing platform intended to reflect the uniqueness of beautiful gems. The company's platform specializes in customized jewelry such as rings, earrings, bangles and pendants according to predetermined preferences, enabling customers to get modern and elegant gem jewelry.</t>
  </si>
  <si>
    <t>Alven Capital Partners(Rodolphe Menegaux), Kevin D'Silva(Kevin D'Silva)</t>
  </si>
  <si>
    <t>custom jewelry, jewelry art, jewelry seller, jewelry selling platform, online jewelry selling</t>
  </si>
  <si>
    <t>26368-21T</t>
  </si>
  <si>
    <t>Bpifrance(Frederic Le Brun), C4 Ventures(Olivier Huez), CDC Enterprises(Véronique Jacq), IRIS (Private Equity)(Guillaume Meulle), Pascal Cagni(Pascal Cagni)</t>
  </si>
  <si>
    <t>35807-86T</t>
  </si>
  <si>
    <t>Terra Eco</t>
  </si>
  <si>
    <t>Information Services (B2C), Media and Information Services (B2B), Publishing*</t>
  </si>
  <si>
    <t>Publisher of an ecology magazine. The company specializes in publishing a monthly magazine which provides information about climate change and globalization in Europe.</t>
  </si>
  <si>
    <t>Fair West, Siparex Group</t>
  </si>
  <si>
    <t>climate change, ecology magazine, environmental magazine, monthly magazine</t>
  </si>
  <si>
    <t>212103-91T</t>
  </si>
  <si>
    <t>Transarc (Transportation)</t>
  </si>
  <si>
    <t>Provider of transportation services intended to serve both commercial and domestic purposes. The company offers services for the student's excursions through coaches and buses as well as urban transport, individualized and industrial transport and transport on-demand, ensuring professional and private traveler's comfort and safety.</t>
  </si>
  <si>
    <t>JFC Industrie</t>
  </si>
  <si>
    <t>bus service, coaches trip, tourism bus, tourism industry, transport truck, transportation marketplace</t>
  </si>
  <si>
    <t>118257-94T</t>
  </si>
  <si>
    <t>Nomadic Solutions</t>
  </si>
  <si>
    <t>Automotive*, Electronics (B2C)</t>
  </si>
  <si>
    <t>Developer of sustainable mobility products designed to monitor and evaluates driving attitude. The company's offers a range of driving aids such as vehicle tracking, GPS cameras, embedded displays, eco-driving, as well as tracking indoor and outdoor locations, traceability and non-sedentary staff security applications, enabling customers to evaluate their driving skills with kilometers traveled, estimated fuel consumption, gas emissions, along with speed, acceleration and brake monitoring.</t>
  </si>
  <si>
    <t>Bouygues Telecom Initiatives, UP Ultra Phylum</t>
  </si>
  <si>
    <t>embedded systems, embedded systems company, geolocation app, geolocation tracking, mobility product, nomadic devices, outdoor track</t>
  </si>
  <si>
    <t>Limoges Fourches, France</t>
  </si>
  <si>
    <t>26554-96T</t>
  </si>
  <si>
    <t>Achatdesign.com</t>
  </si>
  <si>
    <t>Operator of an online furniture-selling portal intended to offer an exclusive range of collections. The company's portal offers retail furniture for households and businesses at a reasonable rate, enabling customers to buy furniture with easy return and refund options.</t>
  </si>
  <si>
    <t>Alliance Entreprendre(Bertrand Pénicaud), Finorpa, Groupe IRD, Nord Capital Partenaires, Turenne Groupe</t>
  </si>
  <si>
    <t>contemporary furniture, furniture, furniture firm, furniture sales, furniture supply, modern furniture, office furniture, online market, online portal</t>
  </si>
  <si>
    <t>46899-19T</t>
  </si>
  <si>
    <t>Gastón Bilder(Gastón Bilder), Investessor, IT Angels, Paris Region Venture Fund, Petit Poucet</t>
  </si>
  <si>
    <t>29231-92T</t>
  </si>
  <si>
    <t>Miliboo (PAR: ALMLB)</t>
  </si>
  <si>
    <t>Miliboo SA manufactures and designs furniture products. The products include sofa &amp; armchair, chair &amp; stool, dining table, desk, TV cabinet, among others.</t>
  </si>
  <si>
    <t>Auriga Partners (Paris)(Jacques Chatain), Naxicap Partners(Antoine Le Masson), Trail Solutions Patrimoine(Guillaume Hemmerle)</t>
  </si>
  <si>
    <t>garden furniture, virtual marketplace, web marketing, web retail platform</t>
  </si>
  <si>
    <t>45031-06T</t>
  </si>
  <si>
    <t>38959-03T</t>
  </si>
  <si>
    <t>CellProthera</t>
  </si>
  <si>
    <t>Operator of a medical biotech company intended to develop cell therapies for heart muscles. The company offers a treatment alternative based on the structural and functional regeneration of heart muscle damaged by a severe myocardial infarction, enabling patients to recover faster and stay healthier.</t>
  </si>
  <si>
    <t>cardiac care, cardiac therapy, cell therapy, healthy aging, heart therapy, internal organs, myocardial infarction, stem cell</t>
  </si>
  <si>
    <t>178191-28T</t>
  </si>
  <si>
    <t>Korilog</t>
  </si>
  <si>
    <t>Developer of bioinformatics software designed for the analysis, alignment, and comparison of genetics and genomics sequences. The company offers a bank-to-bank sequence similarity search tool and plugin that facilitates bringing out similarities among genetics, genomics sequences, and NSG data, enabling scientists to efficiently and visually interpret their sequence, expression, and metabolic data, accelerating time-to-discovery.</t>
  </si>
  <si>
    <t>bioinformatics data, bioinformatics platform, comparative analysis, genetic data analytics, genomic datasets, probiotics research</t>
  </si>
  <si>
    <t>Questembert, France</t>
  </si>
  <si>
    <t>29193-31T</t>
  </si>
  <si>
    <t>Crédit Mutuel Impact(Emilia Lidome), Crédit Mutuel Innovation, Sudinnova</t>
  </si>
  <si>
    <t>30541-06T</t>
  </si>
  <si>
    <t>RAL Diagnostics</t>
  </si>
  <si>
    <t>Developer of medical instruments designed to offer global services to healthcare facilities. The company's instruments industrialize biological dyes that provides fast and accurate biological diagnosis, enabling healthcare facilities to improve their performance and productivity by creating innovative products.</t>
  </si>
  <si>
    <t>diagnostics reagents, healthcare system, hematology laboratory, hematology product, vitro diagnostic</t>
  </si>
  <si>
    <t>29767-87T</t>
  </si>
  <si>
    <t>Kerlink (PAR: ALKLK)</t>
  </si>
  <si>
    <t>Connectivity Products, Consulting Services (B2B), Other Communications and Networking*</t>
  </si>
  <si>
    <t>Kerlink SA is involved in provides end-to-end network solutions for the Internet of things (IoT) market. Its offering includes solutions (software, hardware, and services) for historical and alternative operators, businesses, and utilities. Its product portfolio includes network equipment, devices and sensors, and Lorawan AWS starter kits among others. The services offered by the company cover client needs including network planning, network performance optimization, remote network management, and GPS-free location. The company generates revenue in the form of sales of equipment, and services. The majority of the revenue is generated from the sale of equipment. Geographically, the company generates a majority of its revenue from EMEA (Europe, Middle East and Africa) region.</t>
  </si>
  <si>
    <t>Crédit Mutuel Innovation, Sudinnova</t>
  </si>
  <si>
    <t>communication equipment distributor, communication system, iot services, iot solution, machine communication, mobility tech, remote equipment</t>
  </si>
  <si>
    <t>Internet of Things, Mobility Tech, TMT</t>
  </si>
  <si>
    <t>Thorigné-Fouillard, France</t>
  </si>
  <si>
    <t>28029-88T</t>
  </si>
  <si>
    <t>Label Park</t>
  </si>
  <si>
    <t>Internet Retail, Social/Platform Software*</t>
  </si>
  <si>
    <t>Developer of an online platform for private sales. The company offers a Web-based marketplace platform that allows users to access, search, browse and purchase sportswear and accessories.</t>
  </si>
  <si>
    <t>Capitole Angels, Herrikoa, Omnes Capital</t>
  </si>
  <si>
    <t>online sales, online sales site, private sales, slides sports, sportswear</t>
  </si>
  <si>
    <t>29070-91T</t>
  </si>
  <si>
    <t>Demeter Partners(Benjamin Wainstain), Suez Environment</t>
  </si>
  <si>
    <t>29077-84T</t>
  </si>
  <si>
    <t>StickyADS.tv</t>
  </si>
  <si>
    <t>Provider of a multi-screen advertising network. The company provides a network of advertisers to advertise instream videos delivered on computers, smartphones, tablets, and connected televisions.</t>
  </si>
  <si>
    <t>ISAI, Pentagram Ventures, Ventech (Paris)(Claire Houry)</t>
  </si>
  <si>
    <t>advertising network, advertising network services, multi-screen advertising, online video advertising, online video advertising platform, programmatic directing, programmatic video</t>
  </si>
  <si>
    <t>76292-92T</t>
  </si>
  <si>
    <t>Zoomalia</t>
  </si>
  <si>
    <t>Operator of an online pet store designed to offer quality products and accessories for various pet animals. The company's store offers pet food products, medicines and supplies for all types of commercially available pets, enabling clients to get every item under a common platform and at affordable prices.</t>
  </si>
  <si>
    <t>livestock feed, online pet food, online pet store, pet accessories, pet food, pet product platform, pet product retailer, pet supplies, veterinary product</t>
  </si>
  <si>
    <t>Saint Geours de Maremne, France</t>
  </si>
  <si>
    <t>28622-26T</t>
  </si>
  <si>
    <t>Biotex</t>
  </si>
  <si>
    <t>Designer and manufacturer of innovative bedding products intended to decorate beds. The company's bedding products consist of 100% natural latex, and are based on rubber milk and vegetal viscoelastic foam based on castor oil, enabling people to decorate their bed in their own way,</t>
  </si>
  <si>
    <t>M Capital Partners, Trail Solutions Patrimoine(Géraud de Ferrières)</t>
  </si>
  <si>
    <t>bedding product, beds mattress, foam pillows, natural latex, rubber milk pillow</t>
  </si>
  <si>
    <t>La Primaube, France</t>
  </si>
  <si>
    <t>188070-49T</t>
  </si>
  <si>
    <t>123522-94T</t>
  </si>
  <si>
    <t>LoungeUp</t>
  </si>
  <si>
    <t>Developer of a guest relationship and data management platform intended for hotels to maximize interactions with guests. The company's platform collects, structures, and enriches guest data and provides access to entertainment content, help desk, social communication, and even restaurant recommendations, enabling hoteliers to increase their revenue and improve their guest satisfaction through the smart use of data.</t>
  </si>
  <si>
    <t>Cambon Partners</t>
  </si>
  <si>
    <t>digital hospitality, guests relationship management, hospitality software, hospitality-partner, hotel hospitality management, hotel hospitality services, hotel industry, hotel industry management, hotel industry service</t>
  </si>
  <si>
    <t>45951-04T</t>
  </si>
  <si>
    <t>BNP Paribas (PAR: BNP), IT-Translation, Paris Business Angels, Starquest Capital(Emmanuel Gaude)</t>
  </si>
  <si>
    <t>33237-10T</t>
  </si>
  <si>
    <t>A Plus Finance(Alexandre Villet), BNP Paribas Développement, Gemmes Venture(Philippe Monnot)</t>
  </si>
  <si>
    <t>213949-27T</t>
  </si>
  <si>
    <t>Effidence</t>
  </si>
  <si>
    <t>Business/Productivity Software, Electronic Equipment and Instruments, Logistics, Other Hardware*</t>
  </si>
  <si>
    <t>Developer of autonomous robotic systems designed to optimize workflows involved with logistics, industry, and last-mile delivery markets. The company's systems are created using computer vision, signal processing, and fusion of multi-sensor data to provide logistic assistance for multiple uses in many sectors of activity as well as video surveillance, enabling clients with the automatic follow-up of person, control on plot, and conveyance and intuitive teleoperation for remote spraying.</t>
  </si>
  <si>
    <t>automatic guided vehicles, automation machinery, autonomous driving, autonomous machine, autonomous mobile robot, autonomous navigation, autonomous robots, collaborative robots, intelligent robotics, logistic assistant, mobility tech</t>
  </si>
  <si>
    <t>Artificial Intelligence &amp; Machine Learning, Robotics and Drones, TMT</t>
  </si>
  <si>
    <t>Romagnat, France</t>
  </si>
  <si>
    <t>51747-76T</t>
  </si>
  <si>
    <t>Apicap, Groupe IRD, Philippe Lourenço</t>
  </si>
  <si>
    <t>44688-88T</t>
  </si>
  <si>
    <t>Bpifrance(Thibaut Roulon), Inserm Transfert(Matthieu Coutet)</t>
  </si>
  <si>
    <t>38606-41T</t>
  </si>
  <si>
    <t>Aqoba</t>
  </si>
  <si>
    <t>Developer of payment services for white label clients. The company specializes in personalized bank affinity cards for white label clients.</t>
  </si>
  <si>
    <t>Edenred Group (PAR: EDEN)</t>
  </si>
  <si>
    <t>affinity card, payment service, personalized bank</t>
  </si>
  <si>
    <t>29161-45T</t>
  </si>
  <si>
    <t>Sofimac Innovation, Transgene Biotek (BOM: 526139)</t>
  </si>
  <si>
    <t>27217-54T</t>
  </si>
  <si>
    <t>Credit Cooperatif, Grand Sud Ouest Capital, PULSE GroupeSOS</t>
  </si>
  <si>
    <t>25998-58T</t>
  </si>
  <si>
    <t>Auriga Partners (Paris)(Philippe Granger), Bpifrance, CDC Enterprises(Jocelyne Cerasa), Serena (Paris), Ventech (Paris)(Claire Houry)</t>
  </si>
  <si>
    <t>30539-08T</t>
  </si>
  <si>
    <t>Silvant</t>
  </si>
  <si>
    <t>Provider of luxury metallic products designed to offer accessories and luxury items. The company's products include jewelry, watches, leather accessories and other luxury items which are designed with precious stones and metals, enabling customers to get a variety of products to choose from.</t>
  </si>
  <si>
    <t>accessories, jewelry, leather accessories, luxury items, watches</t>
  </si>
  <si>
    <t>Serre-les-Sapins, France</t>
  </si>
  <si>
    <t>108455-95T</t>
  </si>
  <si>
    <t>Vactec</t>
  </si>
  <si>
    <t>Household Appliances, Household Products*</t>
  </si>
  <si>
    <t>Developer of vacuum technology designed for protection against fire. The company's vacuum system includes control valves, a vacuum pump, a control panel and an FLX-PC vacuum controller that incorporates the use of corrosion prevention and mesh type pipe networks, enabling users to get strong fire prevention and extinguishing system.</t>
  </si>
  <si>
    <t>Sofimac Innovation, Sofimac Investment Managers</t>
  </si>
  <si>
    <t>fire extinguishing system, firefighting gear, firefighting systems, fm approved, vacuum sprinkler system</t>
  </si>
  <si>
    <t>St-Florent-sur-Cher, France</t>
  </si>
  <si>
    <t>30531-61T</t>
  </si>
  <si>
    <t>Asian Invest, Audacia (PAR: ALAUD), GDC Ventures</t>
  </si>
  <si>
    <t>43862-41T</t>
  </si>
  <si>
    <t>26102-35T</t>
  </si>
  <si>
    <t>Aterovax</t>
  </si>
  <si>
    <t>Diagnostic Equipment, Laboratory Services (Healthcare)*, Medical Supplies</t>
  </si>
  <si>
    <t>Developer of diagnostic products for the treatment of atherosclerosis. The company develops diagnostic tests for cardiovascular risk prediction by assessing the level of patients' atherosclerosis plaque development.</t>
  </si>
  <si>
    <t>FaDiese, Paris Region Venture Fund, Turenne Groupe</t>
  </si>
  <si>
    <t>atherosclerosis, cardiovascular disease, diagnostic tools</t>
  </si>
  <si>
    <t>187883-83T</t>
  </si>
  <si>
    <t>Nestadio Capital(Florent de Kersauson), Pleiade Venture(François Poirier)</t>
  </si>
  <si>
    <t>35057-35T</t>
  </si>
  <si>
    <t>3G</t>
  </si>
  <si>
    <t>Leisure Facilities*, Other Commercial Services, Recreational Goods</t>
  </si>
  <si>
    <t>Provider of a beauty and wellness platform designed to offer new packaging concepts for the beauty and wellness. The company's beauty and wellness platform provides the value added services for beauty and wellness engaged business.</t>
  </si>
  <si>
    <t>beauty and wellness, beauty services, packaging concept, value-added service</t>
  </si>
  <si>
    <t>Distre, France</t>
  </si>
  <si>
    <t>60707-98T</t>
  </si>
  <si>
    <t>NPMedia</t>
  </si>
  <si>
    <t>Media and Information Services (B2B), Multimedia and Design Software*, Other Software</t>
  </si>
  <si>
    <t>Developer of 3D modeling technologies designed to help in website development. The company's 3D modeling technologies offer educational and commercial animated tutorials, as well as produces advertising brochures, enabling clients to monetize internet traffic.</t>
  </si>
  <si>
    <t>Fondelia</t>
  </si>
  <si>
    <t>3d modeling, animated tutorials, website creation</t>
  </si>
  <si>
    <t>119771-11T</t>
  </si>
  <si>
    <t>Safe Orthopaedics</t>
  </si>
  <si>
    <t>SAFE, formerly SAFE Orthopaedics SA is engaged in the medical industry. The company manufactures implants used for spine correction surgeries.</t>
  </si>
  <si>
    <t>Kurma Partners(Thierry Laugel)</t>
  </si>
  <si>
    <t>implants maker, orthopedic implants, single use medical devices, spinal fracture treatment, sterilized medical instruments, surgical kits</t>
  </si>
  <si>
    <t>Fleurieux sur L'Arbresle, France</t>
  </si>
  <si>
    <t>218396-26T</t>
  </si>
  <si>
    <t>Floracos</t>
  </si>
  <si>
    <t>Operator of a fragrance brand intended to provide customers with home perfumes and natural scented candles. The company's products are made from extracted vegetables and are without GMOs or palm oil, the braided cotton wicks are also leather-free, enabling customers to avail self-care products at reasonable prices.</t>
  </si>
  <si>
    <t>Alliansys, IRD Invest</t>
  </si>
  <si>
    <t>candles bar, candles wax, fragrance wear, perfume brand, perfumes maker, wax bar, wax process</t>
  </si>
  <si>
    <t>Roncq, France</t>
  </si>
  <si>
    <t>109964-62T</t>
  </si>
  <si>
    <t>Neo Technologies (Challans)</t>
  </si>
  <si>
    <t>Provider of engineering services intended to analyze, prototype and industrialize the projects. The company's services include engineering, software development, mechanics, prototyping, production, sourcing, logistics, packaging services and complete support on economic and legal matters, enabling clients to save time and streamline the process.</t>
  </si>
  <si>
    <t>Dawn Capital, Pays de La Loire Development, Pays de la Loire Participations, Siparex Group</t>
  </si>
  <si>
    <t>electronic services, machine tools, mechatronics services, production services, project advisor, project management</t>
  </si>
  <si>
    <t>Challans, France</t>
  </si>
  <si>
    <t>81280-72T</t>
  </si>
  <si>
    <t>Pica Boum</t>
  </si>
  <si>
    <t>Provider of digital games intended to serve all age groups. The company's platform provides a range of original, music and fun games that can be played on social networks, mobile platforms and mobiles.</t>
  </si>
  <si>
    <t>Orkos Capital, Trail Solutions Patrimoine</t>
  </si>
  <si>
    <t>digital games, music gaming, original and fun games</t>
  </si>
  <si>
    <t>27611-29T</t>
  </si>
  <si>
    <t>Seico (Electrical Equipment)</t>
  </si>
  <si>
    <t>Provider of electronic subcontracting designed to meet companies' needs in manufacturing products. The company manufactures and supplies cable management systems and accessories for the industrial, IoT, security, automotive, energy sectors, enabling companies to implement testing of electronic cards, cabling and precision integration.</t>
  </si>
  <si>
    <t>electronic assembly, electronic cards, electronic manufacturing, electronic subcontracting, test benches design, test benches development</t>
  </si>
  <si>
    <t>Malville, France</t>
  </si>
  <si>
    <t>29759-86T</t>
  </si>
  <si>
    <t>Actimed</t>
  </si>
  <si>
    <t>Provider of investment services based in health sector. The company aims to offer investments in the sector of high-performance materials related to health, enabling material firms with financial support.</t>
  </si>
  <si>
    <t>Nord Capital Partenaires, Turenne Groupe(Benoit Pastour)</t>
  </si>
  <si>
    <t>investment aspect, investment design, investment model, investment risk, investment services, material sector, materials business, materials management</t>
  </si>
  <si>
    <t>FinTech, Impact Investing</t>
  </si>
  <si>
    <t>Dondues, France</t>
  </si>
  <si>
    <t>28792-00T</t>
  </si>
  <si>
    <t>Alven Capital Partners(Jeremy Uzan), Gérard Leduc, Oleg Tschetzoff</t>
  </si>
  <si>
    <t>29187-91T</t>
  </si>
  <si>
    <t>A-Venture, Generis Capital Partners</t>
  </si>
  <si>
    <t>29736-82T</t>
  </si>
  <si>
    <t>Banque Populaire, CEA Investissement, Orano, Soridec</t>
  </si>
  <si>
    <t>30140-74T</t>
  </si>
  <si>
    <t>Soben</t>
  </si>
  <si>
    <t>Other Commercial Products, Road*</t>
  </si>
  <si>
    <t>Producer of shock absorbers intended to provide complete integration for damping or anti-vibration issues. The company's shock absorbers have pneumatic springs and dynamic attitude correction that keep vehicle tires in contact with the road surface by controlling the rebound of its suspension springs, enabling customers to keep the vehicle in control and prevent it from bouncing down the road.</t>
  </si>
  <si>
    <t>Méliès, XMP Business Angelis</t>
  </si>
  <si>
    <t>aeronautics parts, pneumatic springs, shocks absorbent, shocks absorber, vehicle parts, vehicle tyres</t>
  </si>
  <si>
    <t>Fontanes, France</t>
  </si>
  <si>
    <t>48013-21T</t>
  </si>
  <si>
    <t>Day One Entrepreneurs &amp; Partners(Michel de Guilhermier), Europexpo, Network Finances(Gilles Enguehard)</t>
  </si>
  <si>
    <t>36443-53T</t>
  </si>
  <si>
    <t>Crédit Mutuel Impact(Stéphane Pesqué)</t>
  </si>
  <si>
    <t>28515-61T</t>
  </si>
  <si>
    <t>Genticel</t>
  </si>
  <si>
    <t>Genkyotex SA is a biopharmaceutical company. It is engaged in the business of research, study, manufacturing and distribution of medicines, drug and health products in the field of human and animal health. The firm is involved in the development of immunotherapies and therapeutic vaccines designed to treat women for cervical cancer. Its products include vaxiclase technological platform and GTL001 and GTL002. The company has the Development of immunotherapies segment.</t>
  </si>
  <si>
    <t>Amundi Private Equity Funds, Andera Partners(Thierry Hercend), Idinvest Partners(Alain Munoz), InnoBiologics(Chahra Louafi), IRDI Capital Investissement, Kurma Partners, Wellington Partners(Rainer Strohmenger)</t>
  </si>
  <si>
    <t>human papillomavirus, immunotherapeutics, pharmaceutical, ribonucleic acid, therapeutic vaccine, therapeutic vaccine maker</t>
  </si>
  <si>
    <t>Labège-Innopole, France</t>
  </si>
  <si>
    <t>53208-46T</t>
  </si>
  <si>
    <t>Atoll Energy</t>
  </si>
  <si>
    <t>Alternative Energy Equipment*, Other Utilities</t>
  </si>
  <si>
    <t>Designer and developer of environmentally friendly combined heat and power systems. The company offers thermal recovery and smart regulation systems which provides energy savings for off-grid customers.</t>
  </si>
  <si>
    <t>2C Invest, Incubateur Impulse, Région Sud Investissement, SCR Provence and Corsica</t>
  </si>
  <si>
    <t>power systems, smart regulation, thermal recovery</t>
  </si>
  <si>
    <t>31093-75T</t>
  </si>
  <si>
    <t>CapHorn Invest(Marion Chanéac)</t>
  </si>
  <si>
    <t>29760-04T</t>
  </si>
  <si>
    <t>Alizés Pressing</t>
  </si>
  <si>
    <t>Provider of laundry services intended to offer steam pressing and dry cleaning of clothes. The company, through its network of dry cleaners, offers a one-stop place for people where they can give their used clothes for washing and pressing, enabling customers to keep their apparel tidy even in their busy schedules.</t>
  </si>
  <si>
    <t>Finorpa(Eric Prigent), Nord Capital Partenaires, Turenne Groupe</t>
  </si>
  <si>
    <t>cloth washing, clothes cleaning, drying cleaners, laundry chain, laundry operator, laundry service, washing service</t>
  </si>
  <si>
    <t>Argonay, France</t>
  </si>
  <si>
    <t>45920-98T</t>
  </si>
  <si>
    <t>CapHorn Invest(Guillaume Dupont)</t>
  </si>
  <si>
    <t>25841-89T</t>
  </si>
  <si>
    <t>SpineVision</t>
  </si>
  <si>
    <t>Developer of implants and instrumentation for spinal treatment. The company designs and markets products for a variety of spinal conditions, including deformities, lumbar degenerative disc diseases, cervical disorders, trauma and tumors, enabling doctors with high-grade interbodies.</t>
  </si>
  <si>
    <t>Alto Invest, M Capital Partners, Omega Funds(Renee Julie Elisabeth Aguiar-Lucander), Rhea Capital Management</t>
  </si>
  <si>
    <t>implants, medical equipment manufacturing, spinal deformity, spinal device, spinal technologies, spinal treatment</t>
  </si>
  <si>
    <t>29193-76T</t>
  </si>
  <si>
    <t>Demeter Partners(Benjamin Wainstain), Sofimac Innovation(Pascal Voulton), Soridec(Julien Catherine)</t>
  </si>
  <si>
    <t>25489-09T</t>
  </si>
  <si>
    <t>Boehringer Ingelheim Venture Fund(Frank Kalkbrenner), CDC Enterprises, InnoBiologics(Chahra Louafi), Inserm Transfert(François Thomas), Karista (Paris)(Catherine Boule)</t>
  </si>
  <si>
    <t>35360-65T</t>
  </si>
  <si>
    <t>Redman</t>
  </si>
  <si>
    <t>Operator of a real estate business intended to help in building a low-carbon and inclusive city. The company's business provides construction support, real estate development and reconstructing, planning, and urban redevelopment services, enabling people to find suitable and environmentally friendly habitats.</t>
  </si>
  <si>
    <t>construction company, construction support, eco-friendly city, real estate, real estate market, urban development</t>
  </si>
  <si>
    <t>28515-79T</t>
  </si>
  <si>
    <t>Carnet de Mode</t>
  </si>
  <si>
    <t>Operator of an online marketplace intended to offer a wide range of fashion products. The company's marketplace features apparel, accessories and home decor items designed by independent designers and retailers along with personal care, consumer electronics and kitchen products, enabling customers to buy fresh fashion products and designers to get their products featured and sold.</t>
  </si>
  <si>
    <t>Claude Rameau(Claude Rameau), Elaia Partners(Samantha Jérusalmy), Eric Pinot(Eric Pinot), Gaël Duval(Gaël Duval), Xavier Dura(Xavier Dura)</t>
  </si>
  <si>
    <t>ecommerce, fashion marketplace, online apparel retailer, online fashion, online fashion platform</t>
  </si>
  <si>
    <t>29226-16T</t>
  </si>
  <si>
    <t>123 Investment Managers(Marc Guittet), Demeter Partners(Sophie Paturle-Guesnerot), Tikehau Capital (PAR: TKO)</t>
  </si>
  <si>
    <t>29191-24T</t>
  </si>
  <si>
    <t>XOR.MOTORS</t>
  </si>
  <si>
    <t>Energy Storage, Other Transportation*</t>
  </si>
  <si>
    <t>Designer and manufacturer of electric scooters intended to be loaded with features that are environment-friendly. The company manufactures and sells several models of high performance electric scooters and rechargeable batteries and also offers battery-rental services, providing customers with affordable scooters that are compact and available in a wide range of choices.</t>
  </si>
  <si>
    <t>Newfund Management(Charles-Antoine Morand)</t>
  </si>
  <si>
    <t>battery, battery rental, battery rental service, electric scooter, electric scooter seller, electric vehicle firm, e-scooter, evp, micromobility, vehicle supplier</t>
  </si>
  <si>
    <t>CleanTech, LOHAS &amp; Wellness, Manufacturing, Mobility Tech</t>
  </si>
  <si>
    <t>25460-38T</t>
  </si>
  <si>
    <t>Abingworth(Genghis Lloyd-Harris), Agoranov, Fidelity Management &amp; Research Company, Index Ventures(Francesco De Rubertis), Novartis Venture Fund(Florent Gros), Versant Ventures(Guido Magni), Vitavest</t>
  </si>
  <si>
    <t>25415-56T</t>
  </si>
  <si>
    <t>CDC Enterprises(Christian Deblaye), InnoBiologics(Chahra Louafi), Sofinnova Partners(Rafaele Tordjman)</t>
  </si>
  <si>
    <t>88206-31T</t>
  </si>
  <si>
    <t>Soeman</t>
  </si>
  <si>
    <t>Developer of a range of interconnected applications designed to facilitate the management and organization of the daily activities of small and medium businesses. The company's applications optimize administrative and regulatory management to better assist the employees, use simple tools to facilitate
daily time management and automate the processing of key business data to facilitate strategic decision-making, enabling businesses to save time in process management.</t>
  </si>
  <si>
    <t>JEREMIE Auvergne, Sofimac Investment Managers(Yoann Ribay)</t>
  </si>
  <si>
    <t>business information integrator, crm and web software, crm application, daily management system, enterprise software, strategic management, time management</t>
  </si>
  <si>
    <t>29214-19T</t>
  </si>
  <si>
    <t>Brazeco</t>
  </si>
  <si>
    <t>Environmental Services (B2B), Forestry Processing*, Wood/Hard Products</t>
  </si>
  <si>
    <t>Producer of compressed wood intended to offer ecological firewood. The company's wood is made from sawdust and shavings from sawmills, parquet, and cooperages in the region, enabling customers to avail themselves of a source of green energy which produces less smoke and is eco-friendly.</t>
  </si>
  <si>
    <t>ecological logging, green energy, green energy company, recycled wood, renewable energy, wood processing</t>
  </si>
  <si>
    <t>Soulac sur mer, France</t>
  </si>
  <si>
    <t>25455-79T</t>
  </si>
  <si>
    <t>InstantLuxe.com</t>
  </si>
  <si>
    <t>Application Software, Luxury Goods, Other Services (B2C Non-Financial), Specialty Retail*</t>
  </si>
  <si>
    <t>Provider of an online marketplace for buying second-hand luxury goods. The company offers an e-commerce site in France specializing in the trading of pre-owned luxury goods.</t>
  </si>
  <si>
    <t>IRIS (Private Equity)(Sophie Dingreville), ISAI(Jean-David Chamboredon)</t>
  </si>
  <si>
    <t>leather goods, luxury branding, luxury goods, online sales</t>
  </si>
  <si>
    <t>27000-37T</t>
  </si>
  <si>
    <t>SuperSonic Imagine</t>
  </si>
  <si>
    <t>Developer of ultrasound medical imaging system designed for measuring and visualizing tissue elasticity. The company designs, develops, and markets Aixplorer, an ultrasound system used for general imaging purposes, breast cancer, hepatology or gastroenterology, vascular exams, and research activities, enabling doctors to perform a wider range of examinations with greater ease and confidence</t>
  </si>
  <si>
    <t>Alto Invest, Andera Partners(Olivier Litzka), Auriga Partners (Paris)(Bernard Daugeras), CDC Enterprises, Fonds Strategique d'Investissement, IdiCo, IRDI Capital Investissement, iXO Private Equity, Kuwait Life Sciences Company, Mérieux Equity Partners(Thierry Chignon), NBGI Private Equity, Omnes Capital, Wellington Partners(Erich Schlick)</t>
  </si>
  <si>
    <t>breast cancer, imaging equipment, imaging tool, medical imaging data, medical imaging system, research activities, ultrasound equipment, ultrasound wave</t>
  </si>
  <si>
    <t>218399-41T</t>
  </si>
  <si>
    <t>Fromages Philippe Olivier</t>
  </si>
  <si>
    <t>Distributors/Wholesale (B2C)*, Food Products</t>
  </si>
  <si>
    <t>Operator of a cheese distribution company intended to sell good quality cheese. The company strives to ensure the collection of dairy products, mainly cheeses, selected and collected from producers, primarily farmers, and craftsmen all in respect of traditions, the natural environment, and health standards, offering customers the pleasure of tasting and discovering, even rediscovering, genuine and authentic cheeses.</t>
  </si>
  <si>
    <t>cheese distribution, cheese shops, cheese supplier, dairy products, delivery service, online supply, raw milk cheese</t>
  </si>
  <si>
    <t>Distributors/Wholesale (B2C)</t>
  </si>
  <si>
    <t>Boulogne sur Mer, France</t>
  </si>
  <si>
    <t>51635-71T</t>
  </si>
  <si>
    <t>RwayTech</t>
  </si>
  <si>
    <t>Electrical Equipment*, Machinery (B2B), Other Commercial Services</t>
  </si>
  <si>
    <t>Manufacturer of heavy electronics intended to offer the design and development of specific products and packages. The company's electronics include protection relays, wheel flange lubrication tools, circuit breakers, and other heavy systems, enabling companies to regulate, monitor, protect, and fix electromechanical components.</t>
  </si>
  <si>
    <t>Banque Populaire Auvergne Rhône Alpes, Crédit Agricole Alpes Développement, Crédit Agricole des Savoie, Expansinvest, OSEO Innovation, Savoie Angels</t>
  </si>
  <si>
    <t>circuit breakers producer, electrical components, electrical equipment, electromechanical products, heavy machines parts, industrial electronics, railway electronics</t>
  </si>
  <si>
    <t>116636-95T</t>
  </si>
  <si>
    <t>29737-90T</t>
  </si>
  <si>
    <t>Cogepa(Daniel Bendavid), Jaina Capital(Charles-Henry Tranie), Orkos Capital(John-Jacques Bertrand)</t>
  </si>
  <si>
    <t>35806-15T</t>
  </si>
  <si>
    <t>Noteo</t>
  </si>
  <si>
    <t>Provider of an online product recommendation platform for consumers. The company's platform recommends product in four areas such as health, environment, social and budget by rating. It also allows consumers to analyze and compare the products.</t>
  </si>
  <si>
    <t>Fair West, GO Capital (France), Humus Capital Partners, IDEA Fund Partners, Siparex Group</t>
  </si>
  <si>
    <t>product grading, product information, recommendation application</t>
  </si>
  <si>
    <t>29226-70T</t>
  </si>
  <si>
    <t>Levisys</t>
  </si>
  <si>
    <t>Electrical Equipment*, Energy Storage</t>
  </si>
  <si>
    <t>Provider of flywheel-based energy storage system intended to meet both industrial and private needs from a small to a large scale. The company's energy storage system specializes in the design, development, production and marketing of flywheels and develops energy storage services, enabling electrical power grid operators and the environment sectors to use storage systems for renewable energy plants and grid energy applications.</t>
  </si>
  <si>
    <t>Demeter Partners(Gregoire Aladjidi), IRPAC Gestion</t>
  </si>
  <si>
    <t>energy storage application, energy storage batteries, energy storage plant, energy storage system, energy storage tools, power grid operator</t>
  </si>
  <si>
    <t>Rosières Près Troyes, France</t>
  </si>
  <si>
    <t>36331-12T</t>
  </si>
  <si>
    <t>Meseo</t>
  </si>
  <si>
    <t>Provider of a marketplace for home equipment and garden pools based in Sarreguemines, France. The company's online platform retails a variety of swimming pools and related accessories.</t>
  </si>
  <si>
    <t>Entrepreneur Invest, Rhône-Alpes PME Gestion, Savoie Angels</t>
  </si>
  <si>
    <t>garden tools, swimming pool, swimming pool care, swimming pool design, swimming pool kits, swimming pool maker, swimming pool parts, swimming pool service</t>
  </si>
  <si>
    <t>24657-85T</t>
  </si>
  <si>
    <t>Cellnovo</t>
  </si>
  <si>
    <t>Medical Supplies, Monitoring Equipment*</t>
  </si>
  <si>
    <t>Cellnovo Group SA is engaged in the development of a system for diabetes management. The product portfolio includes cordless micro-pump, an integrated monitoring device and a cellular handset with a touch screen with an embedded blood glucose meter.</t>
  </si>
  <si>
    <t>Advent Life Sciences(Rajesh Parekh), Andera Partners(Raphael Wisniewski), Auriga Partners (Paris)(Philippe Peltier), Forbion(Bart Bergstein), HealthCare Ventures(John Littlechild), Kreos Capital, NBGI Private Equity(John Milad), Nesta(Alexander Hook), Omnes Capital(Alexia Perouse)</t>
  </si>
  <si>
    <t>diabetes management, diabetes tracking, insulin injection, medical technology, mobile health technology</t>
  </si>
  <si>
    <t>153628-48T</t>
  </si>
  <si>
    <t>28012-60T</t>
  </si>
  <si>
    <t>Gora (Other Commercial Services)</t>
  </si>
  <si>
    <t>Aerospace and Defense, Other Commercial Services*</t>
  </si>
  <si>
    <t>Provider of welding services intended to cater to the aircraft industry. The company's services specialize in manual tungsten inert gas welding with hot parts of the engine by assembling all types of metals and special alloys to ensure their physical and mechanical properties, enabling aircraft and engine manufacturers to get technical expertise and high-precision welding for their parts.</t>
  </si>
  <si>
    <t>aircraft welding, aircraft welding services, fabricating metal, metal welding, metal welding services, welding sets, welding systems</t>
  </si>
  <si>
    <t>Lahonce, France</t>
  </si>
  <si>
    <t>71005-96T</t>
  </si>
  <si>
    <t>Bpifrance, ECM Technologies, Fraunhofer Venture, Machines Dubuit, Regional Council of Poitou-Charentes, Région Nouvelle-Aquitaine, Sergies</t>
  </si>
  <si>
    <t>55361-98T</t>
  </si>
  <si>
    <t>Emertec Gestion, NEC-K(Pascal Kaluzny), SEB Alliance(Bertrand Neuschwander)</t>
  </si>
  <si>
    <t>29228-05T</t>
  </si>
  <si>
    <t>AQUITI Gestion, Demeter Partners(Olivier Dupont), Techno'Start</t>
  </si>
  <si>
    <t>121249-81T</t>
  </si>
  <si>
    <t>La Chambre aux Confitures</t>
  </si>
  <si>
    <t>Producer and marketer of jams based in Paris, France. The company offers savory spreads, sauces, jams and chutneys which are prepared from a variety of ingredients such as seasonal fruits, chocolates, caramels, honey and salts.</t>
  </si>
  <si>
    <t>caramels jam, chutneys, confectionaries, french confectioners, jam and jelly, jam producer, raspberry jam, sauces, spreads</t>
  </si>
  <si>
    <t>40747-87T</t>
  </si>
  <si>
    <t>GO Capital (France)(Bertrand Distinguin), Pays de la Loire Participations</t>
  </si>
  <si>
    <t>29251-18T</t>
  </si>
  <si>
    <t>Green Communications</t>
  </si>
  <si>
    <t>Business/Productivity Software, Media and Information Services (B2B), Other Communications and Networking, Wireless Communications Equipment*</t>
  </si>
  <si>
    <t>Developer of networking systems intended to answer the connectivity challenges of Internet saturation and sustainability. The company's networking equipment includes wireless networks and low carbon impact Internet for setting up high-speed energy-saving private radio networks for communication, data, and internet service access, enabling clients to deploy on-demand internet infrastructure that can be deployed in few minutes to provide secure and high-speed connectivity to mobile units.</t>
  </si>
  <si>
    <t>embedded wireless network, emergency network, high bandwidth, internet of things, internet service access, low-carbon impact, lte network extensions, secure networking, white spots</t>
  </si>
  <si>
    <t>125640-55T</t>
  </si>
  <si>
    <t>Aquitaine Regional Council, Bpifrance</t>
  </si>
  <si>
    <t>36347-59T</t>
  </si>
  <si>
    <t>Zengularity</t>
  </si>
  <si>
    <t>Developer of enterprise applications and digital platforms. The company's services involve engaging user experiences, infinite scalability, and rigorous security, enabling enterprises to connect digital innovation to their existing heritage.</t>
  </si>
  <si>
    <t>BNP Paribas Capital Partners(Laurent Baudino), Entrepreneur Invest(Bertrand Folliet), Isatis Capital</t>
  </si>
  <si>
    <t>digital platform, enterprise application, software development, web application</t>
  </si>
  <si>
    <t>128130-40T</t>
  </si>
  <si>
    <t>Esioox</t>
  </si>
  <si>
    <t>Developer of an e-commerce site intended to offer the purchase and sale of gift cards for a discount. The company's platform helps internet users to redeem the gift cards that they haven't used yet via a marketplace and also takes care of reselling them online at a discount, enabling sellers to exchange them for another voucher from another brand and buyers receive their gift card at home within 48 hours of purchase.</t>
  </si>
  <si>
    <t>buy gift card, gift card, sales of gift card, voucher scheme</t>
  </si>
  <si>
    <t>25550-11T</t>
  </si>
  <si>
    <t>Ad Valem Technologies</t>
  </si>
  <si>
    <t>Broadcasting, Radio and Television, Database Software, Internet Service Providers, Systems and Information Management*</t>
  </si>
  <si>
    <t>Provider of data storage and broadcasting services. The company specializes in the broadcasting and management of audiovisual content via its fiber optics distribution software targeting on TV networks, production companies, internet service providers and rights managers.</t>
  </si>
  <si>
    <t>A Plus Finance, Ventech (Paris)(Jean Bourcereau)</t>
  </si>
  <si>
    <t>data storage, distribution software, production house</t>
  </si>
  <si>
    <t>25413-49T</t>
  </si>
  <si>
    <t>Région Sud Investissement, Seventure Partners(David Manjarres), Trail Solutions Patrimoine</t>
  </si>
  <si>
    <t>26759-62T</t>
  </si>
  <si>
    <t>Monbento</t>
  </si>
  <si>
    <t>Designer and manufacturer of bento lunchboxes intended to offer durable and fashionable lunchboxes. The company's lunchboxes and water bottles are developed with the use of various materials like plastic, steel and wood, enabling users to get stylish and long-lasting lunchboxes.</t>
  </si>
  <si>
    <t>bento boxes, dining accessory, food carrier, food containers, innovative food products, lunchbox, lunchbox provider</t>
  </si>
  <si>
    <t>53221-96T</t>
  </si>
  <si>
    <t>Vedalis</t>
  </si>
  <si>
    <t>Developer of a knowledge management platform intended to provide concrete answers to organizations wishing to develop their intangible capital. The company's platform helps in understanding and analyzing the project's priorities that provide methods and technology to meet the challenges of compartmentalization of knowledge, fight against information overload, and organizing networks, enabling clients to increase their productivity and boost up their performance.</t>
  </si>
  <si>
    <t>2C Invest(Michelle Sallerin), OSEO Innovation, Région Sud Investissement, Var Business Angels(Alexandre Lorenzi)</t>
  </si>
  <si>
    <t>collective intelligence, knowledge management platform, knowledge management service, knowledge management software, knowledge management solutions, knowledge management tool</t>
  </si>
  <si>
    <t>40742-92T</t>
  </si>
  <si>
    <t>33850-09T</t>
  </si>
  <si>
    <t>Quertech Ingenierie</t>
  </si>
  <si>
    <t>Provider of a metal surface treatment technology. The company's metal surface treatment technology engages in the treatment of metals using microphone accelerators through ion implantation directed at a surface of a material, with high energy embed themselves in the material.</t>
  </si>
  <si>
    <t>GO Capital (France)(Eric Cozanet)</t>
  </si>
  <si>
    <t>metal surface, metal surface treatment technology, microphone accelerator, powder metallurgy, surface treatment</t>
  </si>
  <si>
    <t>29563-66T</t>
  </si>
  <si>
    <t>Innes</t>
  </si>
  <si>
    <t>Business/Productivity Software, Electronic Equipment and Instruments*, Electronics (B2C), Entertainment Software</t>
  </si>
  <si>
    <t>Developer of audio-visual hardware intended for digital and multimedia signage. The company's hardware makes it accessible for system integrators to deploy projects even in the most demanding environments, enabling users to use the hardware in digital signage, Web TV and Internet protocol (IP) TV.</t>
  </si>
  <si>
    <t>3T Capital(Gilles Debuchy), Sodero</t>
  </si>
  <si>
    <t>aggregator software, audio visual, audio visual equipment, audio visual hardware, audio visual software, digital signage, web tv</t>
  </si>
  <si>
    <t>24698-71T</t>
  </si>
  <si>
    <t>Camping-Car Park</t>
  </si>
  <si>
    <t>Automotive, Leisure Facilities, Other Services (B2C Non-Financial)*, Recreational Goods</t>
  </si>
  <si>
    <t>Provider of car parking sites intended to assist camping cars to park throughout France. The company's car parking sites have basic facilities for travelers including Wi-Fi, water supply, and waste disposal services, enabling users to access parking areas with access cards throughout the year.</t>
  </si>
  <si>
    <t>camping space, camping vehicles, motorhomes rental, motorhomes vehicles, parking area, parking booking, vehicle parking</t>
  </si>
  <si>
    <t>Pornic, France</t>
  </si>
  <si>
    <t>29235-25T</t>
  </si>
  <si>
    <t>Aria Capital Management, Bpifrance, CDC Enterprises, Siparex Group, Sofimac Innovation(Didier Moret), XAnge(Cyril Bertrand)</t>
  </si>
  <si>
    <t>29658-34T</t>
  </si>
  <si>
    <t>Jérémie Berrebi(Jérémie Berrebi), Kima Ventures, Serge Alleyne(Serge Alleyne)</t>
  </si>
  <si>
    <t>44118-01T</t>
  </si>
  <si>
    <t>Bpifrance, CEA Investissement(François Breniaux), Crédit Mutuel Innovation(Clement Combal), Scientipole Capital(Jean-Pierre Humbert)</t>
  </si>
  <si>
    <t>50451-13T</t>
  </si>
  <si>
    <t>Financière Bon</t>
  </si>
  <si>
    <t>Operator of a restaurant chain intended to offer dining options for the people. The company's services offer restaurants in different cities of France that provide multi-cuisine dishes, enabling customers to have their favorite food at an affordable price.</t>
  </si>
  <si>
    <t>dining options, discovery &amp; review, discovery and review, food and beverage discovery, food beverage discovery, food services, french food, french restaurant, restaurant reservation, restaurant service</t>
  </si>
  <si>
    <t>107911-63T</t>
  </si>
  <si>
    <t>28516-87T</t>
  </si>
  <si>
    <t>Bouygues Telecom Initiatives(Pierre Marfaing), CDC Enterprises(Laurent Arthaud), Sofimac Innovation(Nicolas Landrin)</t>
  </si>
  <si>
    <t>208749-70T</t>
  </si>
  <si>
    <t>Leetchi</t>
  </si>
  <si>
    <t>Operator of an online fundraising platform intended to help raise funds for a gift or a group cause. The company's platform allows users to create and personalize a fundraiser and provides several partners with easier fund transfers for a small tariff, thereby helping clients raise funds in an efficient and easy manner.</t>
  </si>
  <si>
    <t>360 Capital, Idinvest Partners, Kima Ventures, Oleg Tscheltzoff(Oleg Tscheltzoff)</t>
  </si>
  <si>
    <t>crowdfunding platform, crowdfunding services, financial service, financial services, funding platform, fundraiser platform, fundraising solution</t>
  </si>
  <si>
    <t>31093-39T</t>
  </si>
  <si>
    <t>Magic Recycle</t>
  </si>
  <si>
    <t>Electronics (B2C), Other Commercial Services, Other Services (B2C Non-Financial)*</t>
  </si>
  <si>
    <t>Developer of an e-commerce platform for selling used mobile phones in order to develop circular commerce and recovery. The company operates a website for the collection, recovery, repair and resale of smartphones, providing customers with a great way to change their old phones, recycle and earn money.</t>
  </si>
  <si>
    <t>mobile recycling, recycled items, recycling services, smartphones repair, smartphones resale, used mobile phone</t>
  </si>
  <si>
    <t>Le Chesnay, France</t>
  </si>
  <si>
    <t>218395-18T</t>
  </si>
  <si>
    <t>autoDrive Lavage</t>
  </si>
  <si>
    <t>Provider of car wash services intended for economic and anti-scratch facilities. The company offers exterior wash and interior cleaning with high-pressure technology fitted with textile brushes, enabling car owners with subscription-based service and discounts for affordability.</t>
  </si>
  <si>
    <t>car cleaning, car exterior washing, car interiors cleaning, car wash center, car washing firm, car washing service</t>
  </si>
  <si>
    <t>24680-98T</t>
  </si>
  <si>
    <t>A Plus Finance(Jean-Michel Pimont), Promelys Participations</t>
  </si>
  <si>
    <t>214912-09T</t>
  </si>
  <si>
    <t>Bpifrance, Nicolas Pitance(Nicolas Pitance)</t>
  </si>
  <si>
    <t>211459-78T</t>
  </si>
  <si>
    <t>24588-46T</t>
  </si>
  <si>
    <t>Oxxius</t>
  </si>
  <si>
    <t>Developer of laser modules intended to bring forward disruptive bio-photonics innovations. The company's laser modules leverages an innovative, patented solid-state laser architecture to emit in the green, blue and ultraviolet range of the spectrum, enabling research and industry customers to use it in numerous applications like bio-photonics, metrology, spectroscopy and other analytics and instrumentation applications.</t>
  </si>
  <si>
    <t>laser diode, laser diode modules, laser module product, metrology solutions, precision laser systems, spectroscopy tools</t>
  </si>
  <si>
    <t>28516-60T</t>
  </si>
  <si>
    <t>3T Capital(Gilles Debuchy), Bouygues Telecom Initiatives, Bpifrance(Xavier Deleplace), CDC Enterprises, Opalic, Seventure Partners(Bruno Rivet)</t>
  </si>
  <si>
    <t>30158-47T</t>
  </si>
  <si>
    <t>Talent Plug</t>
  </si>
  <si>
    <t>Human Capital Services*, Social/Platform Software</t>
  </si>
  <si>
    <t>Provider of a talent acquisition platform designed to connect recruiters and job seekers. The company's talent acquisition platform is a multi-channel talent acquisition process that offers a multicasting service that integrates with human resource software.</t>
  </si>
  <si>
    <t>Nord Capital Partenaires, OSEO Innovation, Pleiade Venture</t>
  </si>
  <si>
    <t>jobs posting, jobs search, recruitment software, talent acquisition, talent acquisition platform, talent acquisition software</t>
  </si>
  <si>
    <t>133305-13T</t>
  </si>
  <si>
    <t>Incubator Provence Côte d'Azur, Sophia Business Angels, Var Business Angels</t>
  </si>
  <si>
    <t>38419-66T</t>
  </si>
  <si>
    <t>Finorpa, Noria(Christophe Guillaume)</t>
  </si>
  <si>
    <t>30174-22T</t>
  </si>
  <si>
    <t>FaDiese(Thierry Bardon), FJ investissements, Galia Gestion(Claudia Daugan)</t>
  </si>
  <si>
    <t>24554-26T</t>
  </si>
  <si>
    <t>87962-14T</t>
  </si>
  <si>
    <t>28789-12T</t>
  </si>
  <si>
    <t>26140-51T</t>
  </si>
  <si>
    <t>Scala (IT Consulting and Outsourcing)</t>
  </si>
  <si>
    <t>Provider of information systems services based in Marseille, France. The company offers customers its strategic vision to assist them in their digital transformation.</t>
  </si>
  <si>
    <t>digital transformation, information systems, information systems planning, information systems staff, information systems support, it consulting</t>
  </si>
  <si>
    <t>44117-29T</t>
  </si>
  <si>
    <t>Scientipole Capital(Jean-Pierre Humbert)</t>
  </si>
  <si>
    <t>29748-97T</t>
  </si>
  <si>
    <t>207986-86T</t>
  </si>
  <si>
    <t>Rhône-Alpes Création</t>
  </si>
  <si>
    <t>38479-96T</t>
  </si>
  <si>
    <t>Vstory</t>
  </si>
  <si>
    <t>Application Software, Multimedia and Design Software*, Social/Platform Software</t>
  </si>
  <si>
    <t>Provider of an image recognition based augmented reality platform intended to connect the physical and digital worlds easily. The company's platform focuses on ease-of-use and dynamic content, enabling users to transform physical objects to reach multimedia content.</t>
  </si>
  <si>
    <t>GoBeyond, Rhodium(Daniel Recanati)</t>
  </si>
  <si>
    <t>augmented reality platform, computer vision, gmented reality, multimedia content</t>
  </si>
  <si>
    <t>AdTech, Artificial Intelligence &amp; Machine Learning, Augmented Reality, Mobile, TMT</t>
  </si>
  <si>
    <t>Saint-Julien-en-Genevois, France</t>
  </si>
  <si>
    <t>29805-31T</t>
  </si>
  <si>
    <t>SOGEMED</t>
  </si>
  <si>
    <t>Other Commercial Services*, Other Devices and Supplies</t>
  </si>
  <si>
    <t>Operator of a healthcare company designed to distribute medical equipment. The company offers medical equipment such as medical bed, scanner and other similar necessary equipment, enabling hospitals to use these types of equipment for the treatment of their patients.</t>
  </si>
  <si>
    <t>diagnostic equipment, medical equipment, medical equipment rental, medical equipment rental service, medical equipment supply</t>
  </si>
  <si>
    <t>Pontcharra-sur-Turdine, France</t>
  </si>
  <si>
    <t>118473-94T</t>
  </si>
  <si>
    <t>Sophim</t>
  </si>
  <si>
    <t>Other Chemicals and Gases, Other Commercial Products*</t>
  </si>
  <si>
    <t>Manufacturer of vegetable squalene intended for the cosmetic industry. The company's squalene is made up of oils and natural ingredients extracted directly from olive oil fatty acids which are certified and approved by COSMOS, providing clients with natural and sustainable alternatives.</t>
  </si>
  <si>
    <t>La Financiere viveris, M Capital Partners</t>
  </si>
  <si>
    <t>cosmetic product, natural ingredients supplier, organic product, squalene harvesting, squalene manufacturing, sustainable cosmetics</t>
  </si>
  <si>
    <t>Peyruis, France</t>
  </si>
  <si>
    <t>26323-30T</t>
  </si>
  <si>
    <t>Squoring Technologies</t>
  </si>
  <si>
    <t>Developer of business intelligence tools designed to evaluate and monitor software and systems development projects. The company specializes in the evaluation and management of software and systems development projects in the aeronautics, aerospace, automotive, railway, and other sectors.</t>
  </si>
  <si>
    <t>Grand Sud Ouest Capital, IRDI Capital Investissement</t>
  </si>
  <si>
    <t>business intelligence tool, business intelligence tool developer, enterprise software, monitoring software, monitoring software product, process automation, system product</t>
  </si>
  <si>
    <t>28516-96T</t>
  </si>
  <si>
    <t>A Plus Finance(Jean-Michel Pimont), CDC Enterprises, Hi Inov(Valerie Gombart)</t>
  </si>
  <si>
    <t>28189-18T</t>
  </si>
  <si>
    <t>Innocap(Other Commercial Services), Tikehau Ace Capital(Thierry Letailleur)</t>
  </si>
  <si>
    <t>24738-22T</t>
  </si>
  <si>
    <t>McPhy Energy (PAR: ALMCP)</t>
  </si>
  <si>
    <t>McPhy Energy SA is a designer, manufacturer and integrator of hydrogen equipment. Its product range features two main categories: Electrolyzers (hydrogen production equipment) of allcapacities and hydrogen refueling stations (refueling/distribution equipment) for hydrogen-powered mobility.</t>
  </si>
  <si>
    <t>Air Liquide Venture Capital, CDC Enterprises, Clipperton, Demeter Partners, Emertec Gestion, Gimv (BRU: GIMB)(Robert Gallenberger), Sofinnova Partners(Alessio Beverina)</t>
  </si>
  <si>
    <t>clean fuel, clean technology, energy storage, hydrogen, hydrogen equipment, hydrogen storage, hydrogen storage technology</t>
  </si>
  <si>
    <t>71929-81T</t>
  </si>
  <si>
    <t>Patrick Meshano</t>
  </si>
  <si>
    <t>Provider of bakery products. The company produces a variety of cakes, pastries, chocolates and macaroons.</t>
  </si>
  <si>
    <t>bakery cakes, cakes maker, pastry mixing</t>
  </si>
  <si>
    <t>Beaulieu-sur-Mer, France</t>
  </si>
  <si>
    <t>86312-62T</t>
  </si>
  <si>
    <t>Onsen Conseil</t>
  </si>
  <si>
    <t>Provider of business consultancy services intended to offer support to managers of small and mid-cap companies in their strategic decision-making. The company's services include strategy and coaching of managers, International development, risk management, crisis management, and exit coaching strategies, enabling small and medium-sized businesses to grow toward success.</t>
  </si>
  <si>
    <t>business consultancy, business consulting, consultancy services, consultancy services company, international development, management consulting, strategic decisions making</t>
  </si>
  <si>
    <t>Cambo les Bains, France</t>
  </si>
  <si>
    <t>25416-28T</t>
  </si>
  <si>
    <t>AppGratis</t>
  </si>
  <si>
    <t>Developer of an application discovery platform created to makes it easier for consumers to discover quality applications in a crowded App Store. The company's application discovery platform offers a unique and validated approach to application discovery, regularly sending featured apps to the top five and beyond in the App Store and provides feedback buttons and advanced algorithms to improve recommendations over time to accommodate each consumer's personal preferences, enabling consumers to discover the best apps of the AppStore and allows publishers to distribute their application to subscribers around the world.</t>
  </si>
  <si>
    <t>IRIS (Private Equity)(Sophie Dingreville)</t>
  </si>
  <si>
    <t>app discovery, application discovery platform, free apps service, mobile app discovery</t>
  </si>
  <si>
    <t>35675-56T</t>
  </si>
  <si>
    <t>Exaqtworld</t>
  </si>
  <si>
    <t>Developer of an electronic surveillance system designed to track and trace goods through the distribution chain. The company's system is a multi-tech product that simultaneously detects multiple electronic article surveillance (EAS) frequencies, reduces shrinkage, and maintains stock accuracy and multi-sales optimization, enabling retailers to improve on-shelf availability and sales of products with effective technological aids along with improvement in on-shelf availability and sales.</t>
  </si>
  <si>
    <t>anti-shoplifting, anti-theft, electronic surveillance, electronic surveillance product, security system, surveillance systems</t>
  </si>
  <si>
    <t>26502-49T</t>
  </si>
  <si>
    <t>AMAC (France)</t>
  </si>
  <si>
    <t>Owner of holiday resorts and campsites in Europe. The company operates capm sites and resorts located along seaside or in the mountains offering exclusive premium and personalized services thus enabling tourists to relax and enjoy.</t>
  </si>
  <si>
    <t>Vermeer Capital(Jean-Louis Detry)</t>
  </si>
  <si>
    <t>campsites, holiday resort, resort, seaside</t>
  </si>
  <si>
    <t>76750-93T</t>
  </si>
  <si>
    <t>Innovative Concepts in Drug Development</t>
  </si>
  <si>
    <t>Provider of proprietary screening platforms designed to achieve targeted research to accelerate drug development and bring greater benefits to the patient. The company's platform helps to reduce product development costs by developing and making available the appropriate decision-making tools and product development technologies, enabling researchers to tackle some of the more difficult to treat diseases that are associated with high overall costs to society, such as neurodegenerative diseases.</t>
  </si>
  <si>
    <t>CDPS, Grand Delta Angels, Région Sud Investissement, Var Business Angels</t>
  </si>
  <si>
    <t>development and data modeling, healthcare research, mitochondrial biology, mitostream, proprietary screening platform</t>
  </si>
  <si>
    <t>Gemenos, France</t>
  </si>
  <si>
    <t>26502-22T</t>
  </si>
  <si>
    <t>Alliansys, Alpes Capital Innovation, Banque Populaire Auvergne Rhône Alpes, CDC Enterprises(Frederic Le Brun), Finorpa, Inovam Brasil, IRIS (Private Equity)(Guillaume Meulle), Rhône-Alpes Création, Vives Fund(André Vandemeulebroecke)</t>
  </si>
  <si>
    <t>131205-97T</t>
  </si>
  <si>
    <t>MADEA</t>
  </si>
  <si>
    <t>Manufacturer of aquatic leisure equipment intended to make the practice of sliding sports accessible to a large extent. The company specializes in the manufacture and installation of water attractions, wave rides, and surfing machines and develops board sports simulators, enabling clients to offer enriched water fun activities.</t>
  </si>
  <si>
    <t>Investessor, Novaris, XMP Business Angelis</t>
  </si>
  <si>
    <t>aquatic solutions, aquatic sports, cruise ship, equipment manufacturer, leisure equipment, sports equipment</t>
  </si>
  <si>
    <t>84978-64T</t>
  </si>
  <si>
    <t>iBovin</t>
  </si>
  <si>
    <t>Food Products, Internet Retail*, Social/Platform Software</t>
  </si>
  <si>
    <t>Provider of a web-based platform intended to transact live cattle and meat. The company's web-based platform offers agricultural professionals to buy and sell live cattle for fattening, breeding and also for slaughterhouses.</t>
  </si>
  <si>
    <t>cattle transactions, online beef, online beef marketplace, online cattle trading</t>
  </si>
  <si>
    <t>Saint Etienne du Rouvray, France</t>
  </si>
  <si>
    <t>218674-63T</t>
  </si>
  <si>
    <t>25687-90T</t>
  </si>
  <si>
    <t>Investessor, Paris Region Venture Fund, SIRS Business Angels, XMP Business Angelis</t>
  </si>
  <si>
    <t>129682-99T</t>
  </si>
  <si>
    <t>NeTHIS - New TeraHertz Imaging Systems</t>
  </si>
  <si>
    <t>Manufacturer of industrial multi-spectral vision instruments. The company industrializes and commercializes optical and laser beam meteorology camera for 2D and 3D imaging of insulating materials that can be used in aeronautics and construction industries.</t>
  </si>
  <si>
    <t>laser equipment, meteorology instruments, optical camera</t>
  </si>
  <si>
    <t>74596-96T</t>
  </si>
  <si>
    <t>SEB Alliance(François-Xavier Meyer)</t>
  </si>
  <si>
    <t>84905-20T</t>
  </si>
  <si>
    <t>Alveos</t>
  </si>
  <si>
    <t>Developer of a software-as-a-service (SaaS) marketing platform designed to assist in the marketing of resource management. The company's DAM software allows to draw substantial benefits such as time savings which is equal to productivity gains, reinforcement of collaborative work, limitation of duplicate work or increased consistency of communication supports at all levels of the organization and supports the creation and central distribution of graphic bibles for all communication media within networks, enabling institutions to centralize and manage their assets</t>
  </si>
  <si>
    <t>api access, application mobile, digital archiving service, digital asset management software, intelligence artificielle, pim software, saas software</t>
  </si>
  <si>
    <t>84831-85T</t>
  </si>
  <si>
    <t>Autopink</t>
  </si>
  <si>
    <t>Internet Retail, Media and Information Services (B2B), Social/Platform Software, Specialty Retail*</t>
  </si>
  <si>
    <t>Provider of an online-dealership services for used cars designed to sell used car safely. The company's Autopink, third-party market place identifies and targets 3 market segments: the corporate fleet, retail / retail and trading and streamlines the relationship between used car seller's and buyer's to raise the buying experience, enabling private individuals and fleets who want to sell their car with an instant online quote based on information submitted via an online form.</t>
  </si>
  <si>
    <t>automotive distribution, car dealer, car dealership, car estimate, car hiring, car purchasing, car recovery, car seller, car selling, retail trade service, used car, used vehicle</t>
  </si>
  <si>
    <t>86609-26T</t>
  </si>
  <si>
    <t>33203-17T</t>
  </si>
  <si>
    <t>Bank of Poker</t>
  </si>
  <si>
    <t>Operator of online poker site designed to play online poker games. The company's online poker site offers game which are free to play and pays cash awards, enabling game enthusiasts to play games.</t>
  </si>
  <si>
    <t>Clément Benoit(Clément Benoit), Jacques-Antoine Granjon(Jacques-Antoine Granjon), Jean-David Blanc(Jean-David Blanc), Kima Ventures(Xavier Niel), Xavier Niel(Xavier Niel)</t>
  </si>
  <si>
    <t>e-gaming portal, games, gaming, gaming platform, online poker, poker</t>
  </si>
  <si>
    <t>126446-77T</t>
  </si>
  <si>
    <t>Beepjob</t>
  </si>
  <si>
    <t>Developer of a flash recruitment platform designed to facilitate to facilitate the connection between recruiters and candidates. The company's recruitment platform offers location-based ads and candidates to create emergency and proximity recruitment, enabling candidates to reply instantly to recruiters' announcements.</t>
  </si>
  <si>
    <t>flash recruitment platform, human resources app, human staffing platform, recruitment platform, talent acquisition platform</t>
  </si>
  <si>
    <t>43972-75T</t>
  </si>
  <si>
    <t>Carre'ment Gourmand</t>
  </si>
  <si>
    <t>Producer of bakery products intended to serve the catering industry. The company's products include pastries and other confectionery products, enabling customers to enjoy their favorite sweet dishes.</t>
  </si>
  <si>
    <t>bakery operator, cake shop, food products, online bakery service, pastry product, pastry-seller</t>
  </si>
  <si>
    <t>84875-77T</t>
  </si>
  <si>
    <t>Crep'eat</t>
  </si>
  <si>
    <t>Operator of a restaurant fast-food chain intended to sell pancakes. The company offers rapid preparation in front of the customer, practicality with Breton tradition, and emphasizes the quality of the food, enabling customers to have pancakes of their choice.</t>
  </si>
  <si>
    <t>desserts menu, fast food branding, fast food restaurant, food menu choices, pancake house, salads bar</t>
  </si>
  <si>
    <t>Velizy-Villacoublay, France</t>
  </si>
  <si>
    <t>131528-98T</t>
  </si>
  <si>
    <t>Autonomie &amp; Solidarité, Nord France Amorçage, Noria</t>
  </si>
  <si>
    <t>137595-52T</t>
  </si>
  <si>
    <t>NellyRodi</t>
  </si>
  <si>
    <t>108666-55T</t>
  </si>
  <si>
    <t>Kima Ventures, SATT Lutech</t>
  </si>
  <si>
    <t>204188-14T</t>
  </si>
  <si>
    <t>Farinez-vous</t>
  </si>
  <si>
    <t>Operator of a food-producing company intended to provide bakery products. The company offers a range of bakery products such as wheat and rye pieces of bread, croissants, sandwiches, pastries, and desserts through its hotel chain, enabling individuals to get a range of fast food bakery items as an option.</t>
  </si>
  <si>
    <t>bakery product, bakery product distribution, bakery product maker, bakery production, bakery products maker, bread producer, desserts food, fast food</t>
  </si>
  <si>
    <t>118077-31T</t>
  </si>
  <si>
    <t>Immorox</t>
  </si>
  <si>
    <t>Developer of a video streaming application designed for interactive live property visits. The company's application offers real-time video streaming solutions, enabling the user to visit the property remotely from his computer or smartphone while simultaneously interacting with the owner or agent.</t>
  </si>
  <si>
    <t>live streaming, online property visits, video calling, video calling application, video calling service</t>
  </si>
  <si>
    <t>149120-65T</t>
  </si>
  <si>
    <t>Innobiochips</t>
  </si>
  <si>
    <t>Developer of multiplex diagnostic technology intended for the healthcare sector. The company's technology uses a surface functionalization method that can be implemented on standard laboratory equipment, enabling clients to run up many tests using a single biological sample for accurate and quick results.</t>
  </si>
  <si>
    <t>Finorpa, Inovam Brasil, Nord France Amorçage</t>
  </si>
  <si>
    <t>diagnostic technology, diagnostic technology device, infectious disease testing, laboratory equipment, medical industry, oncology diagnostics</t>
  </si>
  <si>
    <t>43978-33T</t>
  </si>
  <si>
    <t>Jean-Vier</t>
  </si>
  <si>
    <t>Accessories, Clothing, Home Furnishings, Plant Textiles*</t>
  </si>
  <si>
    <t>Manufacturer of linen fiber products intended to make home textiles for every room in the house. The company's products include a premium range of home linen and furniture like bags, curtains, sofas, and ottomans which come in exquisite colors and striped patterns that are long-lasting, anti-stain, and water-repellent and are sold through an online platform, enabling customers to get quality household products delivered at their doorstep.</t>
  </si>
  <si>
    <t>hand towels, home decor, home textile, household linen, household product manufacturer, household products, kitchen towels, textile manufacturing</t>
  </si>
  <si>
    <t>Saint-Pée-sur-Nivelle, France</t>
  </si>
  <si>
    <t>179526-61T</t>
  </si>
  <si>
    <t>131728-15T</t>
  </si>
  <si>
    <t>Medappcare</t>
  </si>
  <si>
    <t>Provider of accreditation services intended to evaluate mobile health applications. The company's services include certification of mobile applications related to health, disability, loss of autonomy and animal health and carries out an assessment on digital security, protection of personal data, quality of content and ergonomics, thereby enabling users to download the mobile applications which are safe and have better security.</t>
  </si>
  <si>
    <t>Bpifrance, Fondation de France</t>
  </si>
  <si>
    <t>accreditation service, mobile application, mobile health, mobile health data, mobile health platform, security</t>
  </si>
  <si>
    <t>30538-45T</t>
  </si>
  <si>
    <t>Merci Jérôme</t>
  </si>
  <si>
    <t>Operator of a fast-food restaurant chain intended to offer small bistro dishes. The company's restaurant chain offers on-site food or takeaway services as well as catering and outdoor seating services, enabling food lovers to enjoy the quality French menu which is updated every week.</t>
  </si>
  <si>
    <t>Audacia (PAR: ALAUD), Charles Dunston</t>
  </si>
  <si>
    <t>bakery cafe restaurant, bakery store chain, catering service business, catering service provider, restaurant chain business, restaurant chain operator</t>
  </si>
  <si>
    <t>35640-82T</t>
  </si>
  <si>
    <t>Smalt Capital(Arnaud Chiocca)</t>
  </si>
  <si>
    <t>60679-45T</t>
  </si>
  <si>
    <t>Belcube, OSEO Innovation</t>
  </si>
  <si>
    <t>85015-09T</t>
  </si>
  <si>
    <t>Proxipi</t>
  </si>
  <si>
    <t>Developer of a pedestrian detection system designed to help prevent collision between machines and pedestrians in industrial and logistical environments. The company's system specializes in the research, manufacture, and sale of new security system that designs and markets dynamic safety devices for industry, logistics, and public works, its lift truck or pedestrian detection system makes use of magnetic field variation associated with badges carried by the operators, enabling construction companies to prevent fatal accidents.</t>
  </si>
  <si>
    <t>accident prevention device, avoidance collision system, collision system, dynamic safety devices, pedestrian detection system, safety devices</t>
  </si>
  <si>
    <t>85106-89T</t>
  </si>
  <si>
    <t>Seareka</t>
  </si>
  <si>
    <t>Electrical Equipment, Electronics (B2C)*, Recreational Goods</t>
  </si>
  <si>
    <t>Provider of geolocation equipment intended to track and geo-locate vessels whether on the surface or underwater. The company's products include geolocation equipments used to detect and position an underwater diver or man who has fallen into the sea and the device can also be used to track, alert and rescue any vessel in danger, enabling boaters and professionals to detect the position in real-time men and marine equipment that have fallen overboard.</t>
  </si>
  <si>
    <t>geolocated services, track location, tracking technology, tracking tools, water safety</t>
  </si>
  <si>
    <t>Montagny, France</t>
  </si>
  <si>
    <t>51789-25T</t>
  </si>
  <si>
    <t>33830-92T</t>
  </si>
  <si>
    <t>Waarde Capital(Ays Sharaev)</t>
  </si>
  <si>
    <t>26110-54T</t>
  </si>
  <si>
    <t>IRIS (Private Equity)(Guillaume Meulle), M Capital Partners</t>
  </si>
  <si>
    <t>194733-46T</t>
  </si>
  <si>
    <t>Groupe NAP</t>
  </si>
  <si>
    <t>Recreational Goods*, Specialty Retail</t>
  </si>
  <si>
    <t>Manufacturer and distributor of toys and games specializing in local commerce in France. The company offers books, stationery, snacks, phone, gifts, magnets, multimedia, beauty and hygienic products through its independent stores in Benelux areas, enabling retailers to get everything at an affordable rate.</t>
  </si>
  <si>
    <t>Grand Sud Ouest Capital, M Capital Partners</t>
  </si>
  <si>
    <t>magnets, stationery product, toy distributor, toys, toys and games, toys stores</t>
  </si>
  <si>
    <t>40774-87T</t>
  </si>
  <si>
    <t>33348-07T</t>
  </si>
  <si>
    <t>200544-94T</t>
  </si>
  <si>
    <t>117812-62T</t>
  </si>
  <si>
    <t>Noria</t>
  </si>
  <si>
    <t>28793-35T</t>
  </si>
  <si>
    <t>Alec Oxenford(Alec Oxenford), Alven Capital Partners(Rodolphe Menegaux), Fabrice Grinda(Fabrice Grinda), FJ Labs, Thibaud Elziere(Thibaud Elziere)</t>
  </si>
  <si>
    <t>23497-57T</t>
  </si>
  <si>
    <t>Sensorly</t>
  </si>
  <si>
    <t>Network Management Software*, Other Communications and Networking</t>
  </si>
  <si>
    <t>Developer of network quality improvement application software based in Paris, France. The company offers an application for Android and Apple iOS devices that offers coverage maps of various countries covering various wireless technologies that range from 2G to 4G, as well as Wifi.</t>
  </si>
  <si>
    <t>coverage maps, network management software, network optimization software, network quality, network quality optimization, online service</t>
  </si>
  <si>
    <t>63286-75T</t>
  </si>
  <si>
    <t>Zoe Majeste</t>
  </si>
  <si>
    <t>Accessories, Internet Retail, Social/Platform Software*</t>
  </si>
  <si>
    <t>Provider of an online selling platform. The company offers an e-commerce platform for selling designer and branded jewelry for women.</t>
  </si>
  <si>
    <t>Jaina Capital</t>
  </si>
  <si>
    <t>bracelets, designer branding, earrings</t>
  </si>
  <si>
    <t>23497-48T</t>
  </si>
  <si>
    <t>ePawn</t>
  </si>
  <si>
    <t>Application Software, Entertainment Software*, Recreational Goods</t>
  </si>
  <si>
    <t>Provider of real-time object-tracking technology intended to seamlessly link physical games and digital applications. The company's technology captures everything that happens on the game board and feeds digital applications with information.</t>
  </si>
  <si>
    <t>Elaia Partners(Philippe Gire)</t>
  </si>
  <si>
    <t>digital application, game board, internet games, object-tracking, object-tracking technology, physical games, real time interaction</t>
  </si>
  <si>
    <t>Gaming, Internet of Things, TMT, Virtual Reality</t>
  </si>
  <si>
    <t>32185-36T</t>
  </si>
  <si>
    <t>Tidalys</t>
  </si>
  <si>
    <t>Manufacturer of tidal turbines intended to minimize costs of operation as well as maintenance. The company specializes in the designing, development, industrialization, and commercialization of turnkey tidal turbines and related equipment, enabling clients to deliver renewable energy at low costs keeping in mind environmental safety.</t>
  </si>
  <si>
    <t>Dutch Expansion Capital(Eric Van Den Eijnden)</t>
  </si>
  <si>
    <t>alternate energy, energy company, marine current, tidal power, turbine design, turbine manufacturing</t>
  </si>
  <si>
    <t>Cherbourg-En-Cotentin, France</t>
  </si>
  <si>
    <t>84872-26T</t>
  </si>
  <si>
    <t>Cardata</t>
  </si>
  <si>
    <t>Operator of a relationship marketing agency intended to assist companies to increase their business. The company provides performance-based customer acquisition services across all business segments and helps to identify and connect with qualified prospects with high-added value, enabling automotive and consumer market clients to benefit from a measurable and immediately profitable sales development model.</t>
  </si>
  <si>
    <t>Montefiore Investment, Starquest Capital</t>
  </si>
  <si>
    <t>automotive solutions, conquest marketing, consumer goods solutions, data marketing platform, marketing agency services, publishing and advertising</t>
  </si>
  <si>
    <t>40746-70T</t>
  </si>
  <si>
    <t>25683-04T</t>
  </si>
  <si>
    <t>39302-29T</t>
  </si>
  <si>
    <t>CYTOO</t>
  </si>
  <si>
    <t>Developer of cell analysis technology designed to control the cellular microenvironment. The company's technology focuses on the life sciences research community and the culture platform that significantly enhances the physiological relevance of cellular models in comparison to standard techniques used by most laboratories, enabling clients to simply convert poorly predictable and low throughput assays, into reliable and data-rich high content screening efforts.</t>
  </si>
  <si>
    <t>cardiomyocytes, cell analysis, cellular model, drug discovery, high content screening, kidney disease, neuromuscular disorder</t>
  </si>
  <si>
    <t>35130-61T</t>
  </si>
  <si>
    <t>Iena</t>
  </si>
  <si>
    <t>Consulting Services (B2B)*, Media and Information Services (B2B), Other Financial Services</t>
  </si>
  <si>
    <t>Provider of consulting services intended to assist businesses with their financial transformation. The company's services include performance management and business intelligence along with controlling and accounting to organizations to improve their operational performance, enabling clients to optimize their budget and improve their profitability.</t>
  </si>
  <si>
    <t>business intelligence, financial performance, financial performance management, profitability analysis, reporting and planning, statutory reporting</t>
  </si>
  <si>
    <t>82881-82T</t>
  </si>
  <si>
    <t>Firstheberg.com</t>
  </si>
  <si>
    <t>IT Consulting and Outsourcing, Systems and Information Management*</t>
  </si>
  <si>
    <t>Provider of shared hosting services intended to offer reliability, security and flexibility required to house IT infrastructure. The company offers dedicated hosting solutions, VPS and servers that support the hosting of web infrastructure, enabling professionals to optimally meet their crucial IT needs.</t>
  </si>
  <si>
    <t>Autonomie &amp; Solidarité, Finovam Gestion, Inovam Brasil</t>
  </si>
  <si>
    <t>data hosting, data storage, shared hosting, vps hosting, web hosting platform, web infrastructure services</t>
  </si>
  <si>
    <t>Marly, France</t>
  </si>
  <si>
    <t>31094-65T</t>
  </si>
  <si>
    <t>miLibris</t>
  </si>
  <si>
    <t>Business/Productivity Software*, Media and Information Services (B2B), Publishing</t>
  </si>
  <si>
    <t>Developer of a digital content distribution platform designed to support the digital strategy of content publishers. The company's platform automates the ingestion, transformation, securing, enrichment and monetization of publications, enabling publishers to offer access to its catalog of publications under its own brand, with an optimal browsing experience.</t>
  </si>
  <si>
    <t>content distribution, digital broadcasting, digital distribution, digital publishing, news publishing platform</t>
  </si>
  <si>
    <t>29311-12T</t>
  </si>
  <si>
    <t>V3D</t>
  </si>
  <si>
    <t>Business/Productivity Software, Network Management Software*, Other Information Technology</t>
  </si>
  <si>
    <t>Developer of an independent software vendor platform designed to deliver services for monitoring the operator network using smartphones. The company's platform helps carrier network operators to better understand their customers by providing valuable information about Customer Experience and thus to optimize satisfaction of their end-user's, enabling mobile operators to take control of mobile network performance campaigns and services.</t>
  </si>
  <si>
    <t>IRIS (Private Equity)(Guillaume Meulle), Rhône-Alpes Création, Siparex Group(Michel Faure), XAnge</t>
  </si>
  <si>
    <t>measurement software, mobile network performance, network performance analysis, quality-of-service measurement, wireless network</t>
  </si>
  <si>
    <t>26216-47T</t>
  </si>
  <si>
    <t>Airtek Capital Group, Cyril Vermeulen(Cyril Vermeulen), High-Tech Gründerfonds, Philippe Besnard(Philippe Besnard), Ventech (Paris)</t>
  </si>
  <si>
    <t>67534-93T</t>
  </si>
  <si>
    <t>77927-50T</t>
  </si>
  <si>
    <t>27748-90T</t>
  </si>
  <si>
    <t>ATG (France)</t>
  </si>
  <si>
    <t>Provider of events related services intended for the purpose of setting up live concerts, performances and other cultural events. The company's services involve installation of structures, lighting and stages, setting up spaces for musical expression or any other show, and deploying information technology tool necessary to prepare technical sheets that include light creation, lighting plan, stage plan, enabling event organizers to acquire all the necessary equipment required to host any event as per their preferences.</t>
  </si>
  <si>
    <t>event planning service, light and sound equipment, lighting design, performance stage, sound service, stage sets</t>
  </si>
  <si>
    <t>Espelette, France</t>
  </si>
  <si>
    <t>29369-26T</t>
  </si>
  <si>
    <t>Investisseurs privés, Newfund Management(François Véron)</t>
  </si>
  <si>
    <t>36442-36T</t>
  </si>
  <si>
    <t>httv</t>
  </si>
  <si>
    <t>Cable Service Providers, Software Development Applications*</t>
  </si>
  <si>
    <t>Provider of technology-based services for televisions designed to focus on conventional breaking. The company's services develop software products for TV operators and provide broadcast networks to monitor and consolidate audience and viewer behavior, enabling TV operators to provide better network service.</t>
  </si>
  <si>
    <t>broadcasting network, digital tv, technology-based service, television service</t>
  </si>
  <si>
    <t>29328-31T</t>
  </si>
  <si>
    <t>Bruno Emsens(Bruno Emsens), Clarisse(François de Maublanc), Gilberte Beaux family, Habert Dassault Finance(Benoit Habert), Herve Didier(Herve Didier), Inventures Investment Partners, IRIS (Private Equity)(Sophie Dingreville), Philippe Oddo, TDH Capital(Thierry Dassault)</t>
  </si>
  <si>
    <t>26502-04T</t>
  </si>
  <si>
    <t>LivaNova (NAS: LIVN), Sorin(André-Michel Ballester)</t>
  </si>
  <si>
    <t>28517-05T</t>
  </si>
  <si>
    <t>Airtek Capital Group, Alven Capital Partners(Raffi Kamber), Hexa</t>
  </si>
  <si>
    <t>27316-54T</t>
  </si>
  <si>
    <t>Sangamo Therapeutics France</t>
  </si>
  <si>
    <t>Developer of unique cellular immunotherapy platforms intended to offer treatment of severe inflammatory and autoimmune diseases with high unmet medical need. The company's platforms are based on regulatory T lymphocytes, which is used for the treatment of transplantation as well as a range of autoimmune diseases (both T-Cell and B-Cell mediated) such as multiple sclerosis, rheumatoid arthritis, inflammatory bowel diseases or inflammatory skin diseases.</t>
  </si>
  <si>
    <t>Auriga Partners (Paris)(Bernard Daugeras), Bpifrance(Laurent Arthaud), Innovation Capital (Paris), Inserm Transfert, Seventure Partners(Emmanuel Fiessinger)</t>
  </si>
  <si>
    <t>immunotherapy, inflammatory disease, t-cell immunotherapy</t>
  </si>
  <si>
    <t>36388-99T</t>
  </si>
  <si>
    <t>29800-18T</t>
  </si>
  <si>
    <t>The Elyssom Group</t>
  </si>
  <si>
    <t>Machinery (B2B)*, Other Communications and Networking</t>
  </si>
  <si>
    <t>Provider of machine-to-machine services through its subsidiary companies. The company designs and markets machine-to-machine services through Erco &amp; Gener and Sedimap respectively.</t>
  </si>
  <si>
    <t>InnovaFonds</t>
  </si>
  <si>
    <t>machinery services, machinery technology, machine-to-machine</t>
  </si>
  <si>
    <t>24556-69T</t>
  </si>
  <si>
    <t>28517-23T</t>
  </si>
  <si>
    <t>Elaia Partners(Xavier Lazarus), Xavier Niel(Xavier Niel)</t>
  </si>
  <si>
    <t>252573-13T</t>
  </si>
  <si>
    <t>3Green Invest, FCPI BPI Amorcage, First Delaware 2003 Investment Trust, GPPM Invest, Grant &amp; Partners, Second Delaware 2003 Investment Trust</t>
  </si>
  <si>
    <t>35037-55T</t>
  </si>
  <si>
    <t>ATN</t>
  </si>
  <si>
    <t>Manufacturer of aerial work platforms intended to meet the needs and requirements of rental companies. The company's aerial work platforms offer lifting booms including vertical mast booms, articulated booms and scissor lifts that require easy maintenance, few technical skills and time, enabling rental companies to save money and make the most out of their equipment.</t>
  </si>
  <si>
    <t>Entrepreneur Invest(Bruno Jacquot)</t>
  </si>
  <si>
    <t>aerial work, aerial work platform, articulated boom lifts, articulated booms, lifting platform, tracked lift</t>
  </si>
  <si>
    <t>Fauillet, France</t>
  </si>
  <si>
    <t>29567-26T</t>
  </si>
  <si>
    <t>Cafeyn</t>
  </si>
  <si>
    <t>Operator of a digital media streaming platform designed to help readers to stay cultivated and entertained. The company's platform uses a new format for optimal reading on smartphones which requires no zooming and makes reading simple and easy across B2C, B2B2C and B2B channels, enabling readers to easily stay updated.</t>
  </si>
  <si>
    <t>CDC Enterprises, Crédit Mutuel Impact</t>
  </si>
  <si>
    <t>digital magazine, digital news, digital newsstand application, information streaming, information streaming platform, magazine platform, online magazine purchasing</t>
  </si>
  <si>
    <t>153567-73T</t>
  </si>
  <si>
    <t>Cedreo</t>
  </si>
  <si>
    <t>Business/Productivity Software, Multimedia and Design Software*, Other Commercial Services</t>
  </si>
  <si>
    <t>Developer of a three-dimensional home design software designed to empower people to build better environments. The company's software features drawing floor plans, selecting wall openings, downloading floor plans and customizing, instantaneous visualizations, and predefined setup for 3D rendering, enabling housing professionals to assist their clients in envisioning the project before it is built and facilitating communication.</t>
  </si>
  <si>
    <t>3d design, 3d visualization software, home building software, home design software, home interior design, real estate software</t>
  </si>
  <si>
    <t>29634-22T</t>
  </si>
  <si>
    <t>Envolure</t>
  </si>
  <si>
    <t>Biotechnology, Environmental Services (B2B)*, Specialty Chemicals</t>
  </si>
  <si>
    <t>Developer and provider of a biological, enzymatic and chemical catalog for the characterization of waste water and organic waste. The company offers a range of biological, enzymatic and chemical ecoanalyses on environmental matrices.</t>
  </si>
  <si>
    <t>chemicals catalog, enzymatic, organic waste</t>
  </si>
  <si>
    <t>Industrials, Life Sciences</t>
  </si>
  <si>
    <t>85277-80T</t>
  </si>
  <si>
    <t>I-Dispo</t>
  </si>
  <si>
    <t>Business/Productivity Software*, Other Commercial Services, Other Services (B2C Non-Financial)</t>
  </si>
  <si>
    <t>Provider of appointment management services intended to book appointments online. The company's appointment services include booking face to face appointments in real-time with service providers, enabling restaurants, medical centers and other service providers to manage their appointments and bookings with their clients.</t>
  </si>
  <si>
    <t>Annie Eyt(Annie Eyt), Fabrice Grinda(Fabrice Grinda), FJ Labs, Jacques-Antoine Granjon(Jacques-Antoine Granjon), Kima Ventures(Jérémie Berrebi)</t>
  </si>
  <si>
    <t>appointment booking platform, appointment books, appointment management, online appointment service, online books</t>
  </si>
  <si>
    <t>29429-38T</t>
  </si>
  <si>
    <t>XAnge(Rodolphe Menegaux)</t>
  </si>
  <si>
    <t>29885-86T</t>
  </si>
  <si>
    <t>25667-83T</t>
  </si>
  <si>
    <t>Ventes-Responsables.com</t>
  </si>
  <si>
    <t>Accessories, Internet Retail*, Other Consumer Durables</t>
  </si>
  <si>
    <t>Provider of an online platform for private sales of ethical and fair trade products. The company provides different types of products such as cosmetics, accessories, kitchenware, decorative items, childcare and toys.</t>
  </si>
  <si>
    <t>Generis Capital Partners, Trail Solutions Patrimoine</t>
  </si>
  <si>
    <t>consumption, fair trade product, kitchenware</t>
  </si>
  <si>
    <t>172181-08T</t>
  </si>
  <si>
    <t>Myphotoagency</t>
  </si>
  <si>
    <t>Provider of corporate photography services through a network of professional photographers in France and Europe. The company offers property, retail, headshot, packshot, food and other photography services by providing a single price per project and the same level of quality, thereby maintaining budget and time constraints.</t>
  </si>
  <si>
    <t>corporate photography, food photography, headshot photography, photography services, property photography, retail photography</t>
  </si>
  <si>
    <t>25610-14T</t>
  </si>
  <si>
    <t>360 Capital, Seventure Partners(Sebastien Groyer)</t>
  </si>
  <si>
    <t>30374-83T</t>
  </si>
  <si>
    <t>Eram</t>
  </si>
  <si>
    <t>92851-75T</t>
  </si>
  <si>
    <t>ART-Fi</t>
  </si>
  <si>
    <t>Electronic Equipment and Instruments, Wireless Communications Equipment*</t>
  </si>
  <si>
    <t>Developer of an electromagnetism measurement system designed to accelerate wireless regulatory compliance across development and production phases. The company's system uses a patented vector probe-array technology (D-Phase) to precisely measure the phase and amplitude of the electromagnetic field absorbed by human tissue, enabling clients to reduce radio frequency exposure in daily life by improving the measurement methods.</t>
  </si>
  <si>
    <t>Financière Boscary</t>
  </si>
  <si>
    <t>assessment system, human exposure, measurement instrumentation, radiation measurement, radio frequency testing, rf measurement</t>
  </si>
  <si>
    <t>129511-27T</t>
  </si>
  <si>
    <t>Sunflow.</t>
  </si>
  <si>
    <t>Developer of cloud-based software designed to provide consumer data consultancy services. The company's software offers multi-source B2C data collection, data qualification, counting and targeting, and management of multichannel campaigns, providing clients with monitoring, consulting, and reporting of customer data.</t>
  </si>
  <si>
    <t>Caisse des Depots Group, Martin Toulemonde, Stratefib</t>
  </si>
  <si>
    <t>directing marketing, marketing clients repository, marketing database, marketing database platform, marketing referral, relational marketing</t>
  </si>
  <si>
    <t>120034-99T</t>
  </si>
  <si>
    <t>Teem Photonics</t>
  </si>
  <si>
    <t>Provider of Q-switched microlasers designed to offer photonics integrated circuits based in Meylan, France. The company offers Q-switched microlasers that result in sources distinctive for subnanosecond, high peak power pulses, generated from compact packages at high repetition rates, enabling users to outstanding performance and reliability.</t>
  </si>
  <si>
    <t>integrated optics circuit, lightwave circuit, micro laser, microchip laser, optical components, q-switched lenses, q-switched micro laser</t>
  </si>
  <si>
    <t>28212-85T</t>
  </si>
  <si>
    <t>Apicap(Emmanuelle Deponge), Aquasourca(Stephane Gay), CDC Enterprises(Thibaut Roulon), Euroainvest, L'Ameliane(François-Régis Ory), Mérieux Equity Partners(Thierry Chignon), R Capital Technologies, Sham(Olivier Szymkowiak), Smalt Capital(Jerome Feraud), Sofimac Innovation</t>
  </si>
  <si>
    <t>24604-66T</t>
  </si>
  <si>
    <t>A Plus Finance, Crédit Mutuel Equity, Crédit Mutuel Impact(Stéphane Pesqué), Endeavour Vision(Bernard Vogel), Highland Europe, Sofina (BRU: SOF), TempoCap</t>
  </si>
  <si>
    <t>35086-06T</t>
  </si>
  <si>
    <t>Olea Medical</t>
  </si>
  <si>
    <t>Developer of a medical imaging applications intended for diagnostic processes and treatment evaluation. The company provides advanced MR and CT perfusion imaging post-processing, designs medical imaging applications improving diagnostic processes, thereby enabling the enhancement of diagnosis and treatment of fatal diseases.</t>
  </si>
  <si>
    <t>EMAL(Jean Gouverneyre), Innovacom (Paris)(Vincent Deltrieu)</t>
  </si>
  <si>
    <t>ct perfusion, diagnostics, medical image, medical imaging, medical imaging software, treatment evaluation</t>
  </si>
  <si>
    <t>29351-08T</t>
  </si>
  <si>
    <t>ShoorK</t>
  </si>
  <si>
    <t>Provider of social media analytics tools for brands, community managers and agencies. The company allows users to analyse the statistics from their social media pages, to optimize the management of their relationship with their fans and to analyse the social media strategies of their competitors.</t>
  </si>
  <si>
    <t>Jérémie Berrebi(Jérémie Berrebi), Kima Ventures(Xavier Niel)</t>
  </si>
  <si>
    <t>customer relationship management, social media analytics</t>
  </si>
  <si>
    <t>La Roche-Chalais, France</t>
  </si>
  <si>
    <t>85144-60T</t>
  </si>
  <si>
    <t>Tracers Technology</t>
  </si>
  <si>
    <t>Application Software*, Other Business Products and Services, Other IT Services</t>
  </si>
  <si>
    <t>Provider of a cold chain monitoring platform intended to control and trace cold supply chain environments. The company's cold chain monitoring platform is used for the transportation of frozen goods and products without the use of any refrigeration vehicle through enabling the users to cost-effectively transport goods while watching over the contents rather than the container.</t>
  </si>
  <si>
    <t>asset tracking &amp; management, asset tracking and management, cold chain, cold chain logistic, cold chain management, cold chain transportation, cold storage, enterprise supply chain management</t>
  </si>
  <si>
    <t>Mobile, Supply Chain Tech, TMT</t>
  </si>
  <si>
    <t>Fontenay-le-Comte, France</t>
  </si>
  <si>
    <t>40514-59T</t>
  </si>
  <si>
    <t>Enviro Plus</t>
  </si>
  <si>
    <t>Developer of second work tool cleaning technologies designed to be used for replacing petroleum solvents with bio-based and biodegradable products. The company's technologies offer techniques-based products for cleaning, stripping, and degreasing, enabling customers to get cleaners that are an acetone resin gel coat substitution for cleaning paint rollers.</t>
  </si>
  <si>
    <t>IRPAC Gestion</t>
  </si>
  <si>
    <t>biodegradable cleaning product, biodegradable product, cleaning solvent, closed circuit, paint rollers cleaners, washing station</t>
  </si>
  <si>
    <t>Dormans, France</t>
  </si>
  <si>
    <t>29358-46T</t>
  </si>
  <si>
    <t>Alven Capital Partners(Charles Letourneur)</t>
  </si>
  <si>
    <t>39060-01T</t>
  </si>
  <si>
    <t>Polaar</t>
  </si>
  <si>
    <t>Operator of a skincare-based retail platform intended to sell various seasonal products for women and men. The company's platform offer facial cremes and products, body care products for men and women made from arctic plants, enabling customers to get instant soothing care to keep their skin healthy.</t>
  </si>
  <si>
    <t>Seventure Partners(Emmanuel Fiessinger)</t>
  </si>
  <si>
    <t>body care product, face scrub, facial cremes, online shopping platform, skincare product, skincare soap, sun care product</t>
  </si>
  <si>
    <t>27454-78T</t>
  </si>
  <si>
    <t>34171-39T</t>
  </si>
  <si>
    <t>Alto Invest(Benoit Thiedey), Eurekap!(Guy Rigaud), Expansinvest, Héléa Financière, Rhône-Alpes Création, Thales Corporate Ventures(Thomas Got), Tikehau Ace Capital(Gilles Daguet)</t>
  </si>
  <si>
    <t>26534-98T</t>
  </si>
  <si>
    <t>AQUITI Gestion, Ecomobility Ventures(Fabienne Herlaut)</t>
  </si>
  <si>
    <t>26566-03T</t>
  </si>
  <si>
    <t>Ecomobility Ventures(Fabienne Herlaut), Idinvest Partners, Jaina Capital(Marc Simoncini)</t>
  </si>
  <si>
    <t>29349-01T</t>
  </si>
  <si>
    <t>PlanMeUp</t>
  </si>
  <si>
    <t>Operator of an online platform intended to offer information about nearby events. The company provides a list of nearby recreational and entertainment activities based on the users' geographic location, enabling individuals to easily discover new activities and things to do.</t>
  </si>
  <si>
    <t>3T Capital(Gilles Debuchy), Nestadio Capital</t>
  </si>
  <si>
    <t>entertainment activities, entertainment app, event application platform, nearby event finder</t>
  </si>
  <si>
    <t>29369-53T</t>
  </si>
  <si>
    <t>Crédit Mutuel Equity, G1JIDF, Karista (Paris)(Catherine Boule), OCTALFA(Gilles Alberici), Sudinnova</t>
  </si>
  <si>
    <t>36443-35T</t>
  </si>
  <si>
    <t>Lemon Curve</t>
  </si>
  <si>
    <t>Catalog Retail, Clothing, Internet Retail*, Social/Platform Software</t>
  </si>
  <si>
    <t>Provider of online lingerie marketplace. The company operates as online retailer that sells European brands of women's underwear.</t>
  </si>
  <si>
    <t>e-shopping, inner wear, online retailing, online underwear</t>
  </si>
  <si>
    <t>71657-65T</t>
  </si>
  <si>
    <t>Bpifrance, European Union, Financités, Positive Planet, Provence Business Angels, Région Sud Investissement, Societe en Capital Risque Provençale et Corse</t>
  </si>
  <si>
    <t>21806-47T</t>
  </si>
  <si>
    <t>Access Technology Ventures, Idinvest Partners(Guillaume Lautour)</t>
  </si>
  <si>
    <t>25609-87T</t>
  </si>
  <si>
    <t>Bouygues Telecom Initiatives, Capital Croissance, CDC Enterprises, Ecotechnologies Fund, Paris&amp;Co Incubateurs, Truffle Capital(Jean Francois Fourt)</t>
  </si>
  <si>
    <t>31093-21T</t>
  </si>
  <si>
    <t>CapHorn Invest, Promelys Participations, Starquest Capital</t>
  </si>
  <si>
    <t>235247-77T</t>
  </si>
  <si>
    <t>35058-43T</t>
  </si>
  <si>
    <t>Entrepreneur Invest, Medical Innovative Plastic Investments, Merieux Nutrisciences, R Capital Technologies, Sofimac Investment Managers</t>
  </si>
  <si>
    <t>49652-92T</t>
  </si>
  <si>
    <t>Network Finances(Thierry Roussel)</t>
  </si>
  <si>
    <t>70673-05T</t>
  </si>
  <si>
    <t>22382-56T</t>
  </si>
  <si>
    <t>Criteo (NAS: CRTO)</t>
  </si>
  <si>
    <t>Criteo SA is an ad-tech company in the digital advertising market. Its technology, allows retailer advertisers to launch multichannel and cross-device marketing campaigns in real time. With real-time return on investment analysis of the ads, the firm's clients can adjust their marketing strategies dynamically. The firm also provides technology allowing retailers to effectively manage their ad inventories and improve yield optimization.</t>
  </si>
  <si>
    <t>Adams Street Partners, Bessemer Venture Partners(Byron Deeter), Kreaxi, Sapphire Ventures, SoftBank Capital, YJ Capital</t>
  </si>
  <si>
    <t>advertisement platform, content portal, marketing platform, marketing platform software, retail media services</t>
  </si>
  <si>
    <t>29377-09T</t>
  </si>
  <si>
    <t>Biophytis (PAR: ALBPS)</t>
  </si>
  <si>
    <t>Drug Discovery*, Other Pharmaceuticals and Biotechnology</t>
  </si>
  <si>
    <t>Biophytis SA is a France-based biotechnology company focused on the development of therapeutics that slow the degenerative processes associated with aging and improve functional outcomes for patients suffering from age-related diseases. Its drug candidate BIO101, is an orally administered small molecule in development for the treatment of neuromuscular diseases, including sarcopenia and DMD.</t>
  </si>
  <si>
    <t>Crédit Mutuel Impact(Alexandre Micouleau), Metabrain Research(Valérie Autier), Seventure Partners(Isabelle de Cremoux)</t>
  </si>
  <si>
    <t>aging therapy, biotechnology, degenerative disease, food supplements, metabolic disorders medicine, nutraceutical</t>
  </si>
  <si>
    <t>27553-87T</t>
  </si>
  <si>
    <t>Bodet</t>
  </si>
  <si>
    <t>Manufacturer of industrial clocks designed to assist in measuring and managing time. The company's clocks consist of a wide range of tower clocks, dials, and hands, to suit every kind of building, enabling clients to be aware of time irrespective of temperature.</t>
  </si>
  <si>
    <t>BNP Paribas (PAR: BNP), Crédit Mutuel Equity, Ouest Croissance Gestion(Anne Jacquinet-Sulger)</t>
  </si>
  <si>
    <t>bells tower, church bells tower, clock seller, clock timer, industrial clock, led display system, tower clocks</t>
  </si>
  <si>
    <t>26348-50T</t>
  </si>
  <si>
    <t>Bouygues Telecom Initiatives, Marc Simoncini(Marc Simoncini), Nicolas Plisson, Patricia Barbizet(Patricia Barbizet), Serena (Paris)</t>
  </si>
  <si>
    <t>51792-04T</t>
  </si>
  <si>
    <t>Recyc Matelas Europe</t>
  </si>
  <si>
    <t>Environmental Services (B2B)*, Home Furnishings, Other Consumer Durables</t>
  </si>
  <si>
    <t>Provider of mattress recycling services based in Colombes, France. The company's products use mattresses and box springs which are produced from the recovery of materials and waste, enabling organizations to reuse the plastic and aluminum to make useful products.</t>
  </si>
  <si>
    <t>circular economy, mattress recycling, recycled mattress, recycling service, waste recovery, waste recovery services</t>
  </si>
  <si>
    <t>26424-82T</t>
  </si>
  <si>
    <t>Erik Eliason(Erik Eliason), Kevin D'Silva(Kevin D'Silva)</t>
  </si>
  <si>
    <t>25409-89T</t>
  </si>
  <si>
    <t>Karista (Paris)(Yvan-Michel Ehkirch), Seventure Partners(David Manjarres), Soridec</t>
  </si>
  <si>
    <t>88506-28T</t>
  </si>
  <si>
    <t>Atlantico</t>
  </si>
  <si>
    <t>Operator of a news publication company intended to provide updates and information locally. The company's platform publishes articles that have vital information related to many fields does not charge for access and is financed through advertisements, enabling readers to be aware of the present condition of the state.</t>
  </si>
  <si>
    <t>Gerard Lignac(Gerard Lignac)</t>
  </si>
  <si>
    <t>french media, news content, news website, online news, online news site, political news</t>
  </si>
  <si>
    <t>31092-22T</t>
  </si>
  <si>
    <t>Avob</t>
  </si>
  <si>
    <t>Developer of an energy management platform designed to manage and reduce the energy consumption of commercial buildings and IT equipment. The company's SaaS platform facilitates maintenance, improves availability, and reduces the energy consumption of equipment, enabling enterprises, communities, and energy suppliers to improve their technical and energy performance.</t>
  </si>
  <si>
    <t>energy bill, energy consumption, energy management, energy management service, energy management system, energy software, maintenance optimization</t>
  </si>
  <si>
    <t>25693-57T</t>
  </si>
  <si>
    <t>IT Angels, Karista (Paris), Paris Region Venture Fund(Catherine Ball)</t>
  </si>
  <si>
    <t>31618-27T</t>
  </si>
  <si>
    <t>Magpie Polymers</t>
  </si>
  <si>
    <t>Other Business Products and Services, Other Commercial Services*, Other Metals, Minerals and Mining</t>
  </si>
  <si>
    <t>Developer of metal-capturing filtration resins. The company developed an advanced, patented technology of selective filtration for the recovery of precious metals and also markets the technology which uses coordination chemistry to selectively remove metals such as cadmium, lead, uranium or gold from industrial waste water, as well as to enables extraction of these metals from the earth.</t>
  </si>
  <si>
    <t>Fonds Lorrain des Materiaux(Laurent Bocahut)</t>
  </si>
  <si>
    <t>coordination chemistry, filtration resins, filtration technology, metal extraction, metal recovery</t>
  </si>
  <si>
    <t>Saint-Pierre-lès-Nemours, France</t>
  </si>
  <si>
    <t>45073-63T</t>
  </si>
  <si>
    <t>Diwel</t>
  </si>
  <si>
    <t>Connectivity Products*, Electronic Equipment and Instruments</t>
  </si>
  <si>
    <t>Designer and marketer of wireless transmission systems. The company designs and markets transmission systems for the transmission of sound and video from a source to as many distribution points as required.</t>
  </si>
  <si>
    <t>sound transmission, transmission system, wireless transmission</t>
  </si>
  <si>
    <t>26321-68T</t>
  </si>
  <si>
    <t>Satmos</t>
  </si>
  <si>
    <t>Provider of satellite communication services intended to offer data transmission and critical reliability in diverse sectors. The company's satellite communication services provide bi-directional satellite connections between various remote sites wherever they may be situated geographically, allowing sensitive facilities, industrial installations, and environmental sites to be monitored and controlled, enabling businesses to increase operating efficiency in remote monitoring and control of industrial sites.</t>
  </si>
  <si>
    <t>AQUITI Gestion, Grand Sud Ouest Capital, iXO Private Equity</t>
  </si>
  <si>
    <t>data transmission, remote monitoring, satellite communication, satellite communication service, satellite telecommunication, satellite telecommunication technology, telemetry control</t>
  </si>
  <si>
    <t>Billere Cedex, France</t>
  </si>
  <si>
    <t>22307-68T</t>
  </si>
  <si>
    <t>Clara Shih, Matrix(Dana Stalder), Steven Pogorzelski(Steven Pogorzelski), Yuri Milner(Yuri Milner)</t>
  </si>
  <si>
    <t>28648-72T</t>
  </si>
  <si>
    <t>NCI Gestion(Stéphane Becker)</t>
  </si>
  <si>
    <t>28751-23T</t>
  </si>
  <si>
    <t>A-Venture(Stéphane Thioly)</t>
  </si>
  <si>
    <t>26111-44T</t>
  </si>
  <si>
    <t>Carre de Bœuf</t>
  </si>
  <si>
    <t>Developer of an online ecommerce platform intended to offer meat products. The company's platform offers sausages, yogurt, cheese, pork meat, duck meat, fruits and vegetables, enabling customers to purchase fresh meats and groceries, and get them home-delivered.</t>
  </si>
  <si>
    <t>Crédit Mutuel Impact, FaDiese, Paris Business Angels</t>
  </si>
  <si>
    <t>ecommerce site, food ecommerce, meat product, meat seller, online food store, online grocer, online grocery, online grocery seller</t>
  </si>
  <si>
    <t>24631-84T</t>
  </si>
  <si>
    <t>Elaia Partners(Philippe Gire), Intel Capital(Marcos Battisti), iXO Private Equity(Renaud du Lac), Partech(Jean-Marc Patouillaud)</t>
  </si>
  <si>
    <t>28615-96T</t>
  </si>
  <si>
    <t>Xivo</t>
  </si>
  <si>
    <t>Communication Software*, Other Communications and Networking, Telecommunications Service Providers</t>
  </si>
  <si>
    <t>Developer of a business communication software designed to reinvent telephony for a controlled budget. The company's platform is offered along with IP telephony and other open-source telecommunication services and engages in every phase of the process including designing, installation, assistance, support, and training, enabling clients to avail of the product that adapts existing business and support the development.</t>
  </si>
  <si>
    <t>Bpifrance, CDC Enterprises(Véronique Jacq), InnovaFonds(Véronique Jacq), Trail Solutions Patrimoine(Guillaume Hemmerle)</t>
  </si>
  <si>
    <t>interaction platform, ip telephony system, telephony platform, telephony software, voice over ip, voip platform</t>
  </si>
  <si>
    <t>256759-75T</t>
  </si>
  <si>
    <t>ITS Ibelem</t>
  </si>
  <si>
    <t>Developer of an enterprise mobility management platform intended to streamline information technology (IT) management processes. The company's platform offers a central dashboard for administrators to manage and monitor devices, applications, networks, and security policies, automates the processes of enrolling new devices into the management system, and centrally manages and orchestrates their wide area network (WAN) infrastructure using software-defined networking technology, enabling organizations to enhance security and compliance, improve workforce productivity, and adapt to the evolving needs of the digital workplace.</t>
  </si>
  <si>
    <t>ITS Group(Philippe Sauve)</t>
  </si>
  <si>
    <t>device management, enterprise mobility management, infrastructure optimization, network management, network orchestration, workplace optimization</t>
  </si>
  <si>
    <t>26382-07T</t>
  </si>
  <si>
    <t>Kadrige</t>
  </si>
  <si>
    <t>Developer of a SaaS based eDetailing and multi-channel promotional software designed for training, management, promotion and information. The company's SaaS based eDetailing and multi-channel promotional software offer e-detailing and e-conferencing services, thereby enabling health care professionals avail effective, compliant and stable e-detailing and collaborative services.</t>
  </si>
  <si>
    <t>Amundi Private Equity Funds, Crédit Mutuel Impact, Matignon Investissement et Gestion, Unicorn Bio Tutors</t>
  </si>
  <si>
    <t>coaching services, communication service, medical promotion, promotional software, remote management, software solutions</t>
  </si>
  <si>
    <t>La Defense, France</t>
  </si>
  <si>
    <t>35381-62T</t>
  </si>
  <si>
    <t>Opus Finance</t>
  </si>
  <si>
    <t>Consulting Services (B2B)*, Media and Information Services (B2B), Specialized Finance</t>
  </si>
  <si>
    <t>Provider of financial advisory and management consulting services based in Paris, France. The company's services specializing in the field of finance and banking risk management and also offers information system and project management services, enabling banking institutions to get the desired assistance for their projects.</t>
  </si>
  <si>
    <t>advisory service, consulting service provider, consulting services firm, financial advice, financial management</t>
  </si>
  <si>
    <t>51401-26T</t>
  </si>
  <si>
    <t>AD &amp; Partners, Femmes Business Angels</t>
  </si>
  <si>
    <t>70754-14T</t>
  </si>
  <si>
    <t>ZeWaow</t>
  </si>
  <si>
    <t>Developer of a social application created to meet people. The company's social application discovers desires and not let them go, enabling users to meet people who can help them with their projects and let them participate and donate to meaningful causes.</t>
  </si>
  <si>
    <t>Benoit Tesson(Benoit Tesson), Habert Dassault Finance, Jean-Marc Potdevin, Olivier Mathiot(Olivier Mathiot), Yann Borgstedt</t>
  </si>
  <si>
    <t>discover desire, online networking platform, social application, social donation platform</t>
  </si>
  <si>
    <t>30715-48T</t>
  </si>
  <si>
    <t>Calao Finance, Expansinvest, Grenoble Angels, Haute Savoie Demain, Kreaxi, Rhône-Alpes Création</t>
  </si>
  <si>
    <t>156047-59T</t>
  </si>
  <si>
    <t>BFC Croissance</t>
  </si>
  <si>
    <t>107111-35T</t>
  </si>
  <si>
    <t>Ariana Pharma</t>
  </si>
  <si>
    <t>AI-powered Drug Discovery</t>
  </si>
  <si>
    <t>Developer of biomarker data insights and diagnostic testing technology designed to accelerate drug discovery and development. The company's technology provides Knowledge Management and Extraction (KEM), a decision support system for testing and providing insights on multi-parametric and multi-objective data, enabling clients to access intelligent data insights and consultancy to go beyond conventional statistics and enrich clinical processes.</t>
  </si>
  <si>
    <t>OSEO Innovation(Agnés Laurent)</t>
  </si>
  <si>
    <t>ai-powered drug discovery, biomarker test, biomarkers detectors, clinical trials study, data analytics, multi objective analysis, multi parametric analysis</t>
  </si>
  <si>
    <t>Artificial Intelligence &amp; Machine Learning, Big Data, Digital Health, HealthTech, TMT</t>
  </si>
  <si>
    <t>26141-14T</t>
  </si>
  <si>
    <t>252111-43T</t>
  </si>
  <si>
    <t>85079-53T</t>
  </si>
  <si>
    <t>Bpifrance, Starquest Capital(Emmanuel Gaude)</t>
  </si>
  <si>
    <t>45171-10T</t>
  </si>
  <si>
    <t>Echoes Labs</t>
  </si>
  <si>
    <t>Business/Productivity Software*, Other Software</t>
  </si>
  <si>
    <t>Provider of an online application improvement platform. The company offers development teams with services enabling them to control and improve the quality and integrity of their applications.</t>
  </si>
  <si>
    <t>application improvement, architecture integrity, improve coding quality, online application, technical debt</t>
  </si>
  <si>
    <t>28685-53T</t>
  </si>
  <si>
    <t>28517-41T</t>
  </si>
  <si>
    <t>Celsius X VI II</t>
  </si>
  <si>
    <t>Electronics (B2C)*, Luxury Goods, Other Consumer Products and Services</t>
  </si>
  <si>
    <t>Developer of digital watches and cell phones. The company has developed Celsius X VI II LeDIX which includes 600 mechanical components. It also developes cell phones.</t>
  </si>
  <si>
    <t>human energy, mechanical phone, micromechanical, mobile phone</t>
  </si>
  <si>
    <t>École-Valentin, France</t>
  </si>
  <si>
    <t>22087-90T</t>
  </si>
  <si>
    <t>Movea</t>
  </si>
  <si>
    <t>Provider of motion processing and data fusion software. The company enables customers and partners to add motion intelligence to their products.</t>
  </si>
  <si>
    <t>Gimv (BRU: GIMB)(Geoffroy Dubus), Huntington Ventures, Intel Capital(Erik Jorgensen), Lake Street Capital, Sofimac Innovation(Nicolas Boulay)</t>
  </si>
  <si>
    <t>data fusion, motion intelligence, motion sensing software, sensor fusion</t>
  </si>
  <si>
    <t>40367-44T</t>
  </si>
  <si>
    <t>AFC Stab</t>
  </si>
  <si>
    <t>Manufacturer of molds for composite parts casting intended to assist customers in making the prototype to the final product stage. The company processes soft materials for the manufacture of stable performance molds as well as wood tools for the production of technical parts in composite materials in the aeronautic, defense, and telecommunications sectors, enabling companies to control the entire manufacturing process in-house and respond to the specific needs of the client.</t>
  </si>
  <si>
    <t>Pays de la Loire Participations, Siparex Group, Starquest Capital</t>
  </si>
  <si>
    <t>composite materials, composites coating, composites machining, composites parts casting, digital machining, machining tool</t>
  </si>
  <si>
    <t>Saint-Hilaire-de-Chaléons, France</t>
  </si>
  <si>
    <t>85001-50T</t>
  </si>
  <si>
    <t>37329-40T</t>
  </si>
  <si>
    <t>Almateos</t>
  </si>
  <si>
    <t>Provider of an online gaming platform designed to match players and building skill betting. The company's online gaming platform matchmaking system based on an algorithm considering not only player's skill but also many parameters such as victory streaks, bankeroll size and all the betting habits, enabling players to get the opportunity to win money by playing fantasy football.</t>
  </si>
  <si>
    <t>3T Capital</t>
  </si>
  <si>
    <t>matching players, multiplayer games, virtual football game, virtual games</t>
  </si>
  <si>
    <t>61088-77T</t>
  </si>
  <si>
    <t>Quaelead</t>
  </si>
  <si>
    <t>Developer and provider of vertical search engines for online shopping. The company develops custom and specialized search engines to offer on its e-commerce buying guides.</t>
  </si>
  <si>
    <t>Provence Business Angels, Région Sud Investissement, Turenne Groupe, Var Business Angels</t>
  </si>
  <si>
    <t>electronic commerce, shopping search engine, vertical search engine</t>
  </si>
  <si>
    <t>24637-06T</t>
  </si>
  <si>
    <t>AIRFI Conseil, Alsace Creation, Auriga Partners (Paris)(Bernard Daugeras), Capital Grand Est, Sam Eletr, Seventure Partners, SODIV Alsace</t>
  </si>
  <si>
    <t>82403-83T</t>
  </si>
  <si>
    <t>Neotek</t>
  </si>
  <si>
    <t>Developer of electric instruments and technologies designed for the measurement, positioning, transmission, and processing of data in the marine fields. The company's instruments measure conductivity, temperature, and depth, as well as transmission factor, fluorescence, and other properties of water such as turbidity, pH, and quantity of dissolved oxygen, enabling marine industries to detect and locate obstacles or targets and transmit signals and messages.</t>
  </si>
  <si>
    <t>Octave II, Societe Financiere Lorient Developpement, Tikehau Ace Capital, Tikehau Capital (PAR: TKO)</t>
  </si>
  <si>
    <t>acoustic materials, data recorder, data transmission, signal reception, underwater acoustic, water depth</t>
  </si>
  <si>
    <t>26422-84T</t>
  </si>
  <si>
    <t>Ouest Croissance Gestion, Pays de la Loire Développement</t>
  </si>
  <si>
    <t>25690-60T</t>
  </si>
  <si>
    <t>Club Invest 77, Karista (Paris)(Yvan-Michel Ehkirch), Paris Region Venture Fund</t>
  </si>
  <si>
    <t>27102-61T</t>
  </si>
  <si>
    <t>Arkéa Capital, Crédit Mutuel Innovation(Emilie Lidome), Finistere Ventures(Patrick Franchet), Inserm Transfert(Matthieu Coutet)</t>
  </si>
  <si>
    <t>21344-50T</t>
  </si>
  <si>
    <t>Ventealapropriete</t>
  </si>
  <si>
    <t>Beverages, Specialty Retail*</t>
  </si>
  <si>
    <t>Retailer of an online marketplace intended to sell wine. The company's marketplace offers wines, champagnes, gins, whiskey and rum, thereby providing customers with a one-stop shop for alcoholic beverages as per their needs.</t>
  </si>
  <si>
    <t>123 Investment Managers, Partech(Jean-Marc Patouillaud)</t>
  </si>
  <si>
    <t>alcoholic beverages, champagne marketplace, online wine, private wine sales, spirits marketplace, wine marketplace, wine selling</t>
  </si>
  <si>
    <t>25681-15T</t>
  </si>
  <si>
    <t>BePrem's</t>
  </si>
  <si>
    <t>Internet Software*, Other Commercial Services, Real Estate Services (B2C)</t>
  </si>
  <si>
    <t>Developer of an internet platform designed to assist in constitution and verification of records of tenants. The company's platform offers services for the collection and verification of records built in around business and regulatory constraints and assists in digitizing legal documents, enabling clients to securely archive data.</t>
  </si>
  <si>
    <t>Paris Region Venture Fund, SIRS Business Angels</t>
  </si>
  <si>
    <t>digitizing document, real estate rental, record checking, regulatory constraints, verification records</t>
  </si>
  <si>
    <t>59685-40T</t>
  </si>
  <si>
    <t>Shopping Mail</t>
  </si>
  <si>
    <t>Developer of an online coupon exchange platform designed to allow e-merchants to exchange discount coupons via their transactional e-mails. The company's online coupon exchange platform develops a network of online retailers, enabling them to exchange coupons through their customers.</t>
  </si>
  <si>
    <t>Kima Ventures(Jérémie Berrebi)</t>
  </si>
  <si>
    <t>coupons, coupons exchange, discount coupons</t>
  </si>
  <si>
    <t>106805-62T</t>
  </si>
  <si>
    <t>Koelis</t>
  </si>
  <si>
    <t>Developer of imaging systems designed to guide and map urological interventions in hospitals. The company's platform is equipped with organ-based tracking technology and multiparametric image fusion that creates a digitized three-dimensional (3D) patient-specific prostate map providing end-to-end prostate cancer management services, enabling urologists and radiologists with increased diagnostic precision and higher cancer detection rate.</t>
  </si>
  <si>
    <t>Medevice Capital(Cécile Réal)</t>
  </si>
  <si>
    <t>3d imaging, image-guided surgery, imaging equipment, imaging system, imaging tool, medical device, prostate cancer care, prostate cancer detection, prostate cancer diagnostics, prostate cancer screening, prostate treatment</t>
  </si>
  <si>
    <t>35034-67T</t>
  </si>
  <si>
    <t>29760-40T</t>
  </si>
  <si>
    <t>Groupe Advitam</t>
  </si>
  <si>
    <t>Animal Husbandry, Cultivation, Other Agriculture*</t>
  </si>
  <si>
    <t>Provider of agricultural services and products intended to improve agriculture. The company's services include trading and distribution of agricultural products and supplies, enabling farmers to get technical innovations for sustainable production.</t>
  </si>
  <si>
    <t>Credit Agricole (PAR: ACA), IDIA Capital Investissement, Nord Capital Partenaires, Sofiproteol, Unigrains</t>
  </si>
  <si>
    <t>agri supplies, agricultural services, agricultural services company, agricultural services firm, agricultural trade service, animal feed, garden product, precision ag, precision agriculture, robotics &amp; smart field equipment, robotics and smart field equipment</t>
  </si>
  <si>
    <t>Saint-Laurent-Blangy, France</t>
  </si>
  <si>
    <t>29602-09T</t>
  </si>
  <si>
    <t>3Mundi</t>
  </si>
  <si>
    <t>Provider of a travel management platform for businesses. The company offers optimization tools, booking portals, expense management and other related tools and services for travel management industries.</t>
  </si>
  <si>
    <t>Nord Capital Partenaires, Turenne Groupe(Béatrice Vernet)</t>
  </si>
  <si>
    <t>business tour management, expense management, travel management platform, travel optimization</t>
  </si>
  <si>
    <t>24326-47T</t>
  </si>
  <si>
    <t>Cytheris</t>
  </si>
  <si>
    <t>Developer of therapies for immune modulation. The company offers drugs focused for lymphopenic patients. The company's product helps to enhance the immune system of cancer and chronic viral patients.</t>
  </si>
  <si>
    <t>Ardian(Dominique Senequier), Bioam Gestion(Olivier Martinez), CDC Enterprises, Forbion(Bart Bergstein), Innovation Capital (Paris)(Chantal Parpex), Le Centre CDP Capital, OSEO Innovation</t>
  </si>
  <si>
    <t>immune modulation, oncology</t>
  </si>
  <si>
    <t>Technopolis, France</t>
  </si>
  <si>
    <t>50545-99T</t>
  </si>
  <si>
    <t>John Paul</t>
  </si>
  <si>
    <t>Hotels and Resorts, Leisure Facilities, Other Consumer Products and Services, Other Services (B2C Non-Financial)*</t>
  </si>
  <si>
    <t>Provider of concierge services based in Paris, France. The company offers personalized support as well as travel, leisure and everyday services to large customer groups.</t>
  </si>
  <si>
    <t>Habert Dassault Finance</t>
  </si>
  <si>
    <t>concierge service, concierge service company, concierge service platform, concierge service provider, customer relationship management, leisure service</t>
  </si>
  <si>
    <t>88238-08T</t>
  </si>
  <si>
    <t>Mu-TEST</t>
  </si>
  <si>
    <t>Electronic Equipment and Instruments*, Other Semiconductors</t>
  </si>
  <si>
    <t>Developer of automated test equipment designed to serve the semiconductor industry. The company's automated test equipment is a complete software covering test program development, advanced debug functionalities, and test operations, enabling the semiconductor companies to have reduced cost of test.</t>
  </si>
  <si>
    <t>automated test equipment, eating semiconductors, high end tester equipment, semiconductor services, semiconductor testing</t>
  </si>
  <si>
    <t>Saint Just Malmont, France</t>
  </si>
  <si>
    <t>85003-66T</t>
  </si>
  <si>
    <t>Nomalys</t>
  </si>
  <si>
    <t>Developer of mobile sales enablement software intended to facilitate access to customer data on all types of mobile devices. The company's software interconnects various business software to mobile devices through an intuitive graphical user interface and endless access to customer data, enabling clients to generate business by improving their knowledge of the customer base.</t>
  </si>
  <si>
    <t>Investessor(Alain Ilhe), Starquest Capital</t>
  </si>
  <si>
    <t>business application, business information, editing software, intuitive interface, sales enablement, sales enablement platform</t>
  </si>
  <si>
    <t>76354-57T</t>
  </si>
  <si>
    <t>Santessima</t>
  </si>
  <si>
    <t>Distributors (Healthcare), Internet Retail*, Social/Platform Software</t>
  </si>
  <si>
    <t>Provider of an e-commerce website for drugs and healthcare products. The company provides health products, beauty, wellness and cosmetic product along with eye care products like contact lens through an online retail platform.</t>
  </si>
  <si>
    <t>Calao Finance, Seventure Partners, Starquest Capital</t>
  </si>
  <si>
    <t>cosmetics, health care product, healthcare product, online retail platform</t>
  </si>
  <si>
    <t>66286-09T</t>
  </si>
  <si>
    <t>sigrenEa</t>
  </si>
  <si>
    <t>Developer of a software for wireless data collection and transmission based in Orleans, France. The company provides wireless data transmission for waste collection at drop-off points, enabling clients to avail quality connected sensor solutions.</t>
  </si>
  <si>
    <t>Blue Orange(Bernard Guirkinger), Centre Capital Développement, Sofimac Investment Managers(Catherine Le Marec)</t>
  </si>
  <si>
    <t>data collection, data transmission, e-waste management, sensor, sensor solutions, wireless data, wireless data collection</t>
  </si>
  <si>
    <t>129545-65T</t>
  </si>
  <si>
    <t>Roell Prüfsysteme</t>
  </si>
  <si>
    <t>188053-57T</t>
  </si>
  <si>
    <t>188069-95T</t>
  </si>
  <si>
    <t>36429-40T</t>
  </si>
  <si>
    <t>Weendeal</t>
  </si>
  <si>
    <t>Information Services (B2C)*, Other Financial Services</t>
  </si>
  <si>
    <t>Operator of a comparison platform intended to assist users to compare, choose and save on insurance and credits. The company's platform offers comparisons on insurance policy, credit policy and trade policy of different vendors, enabling clients to compare the suitable financing offers on the market.</t>
  </si>
  <si>
    <t>comparison platform, comparison services, comparison site, insurance policy, price relation, tax exemption tools</t>
  </si>
  <si>
    <t>27241-84T</t>
  </si>
  <si>
    <t>IdealCO</t>
  </si>
  <si>
    <t>Developer of a social learning platform designed to help people attend online seminars. The company's social learning platform helps local authorities meet their daily needs by developing training communities through training seminars and creating community networks, enabling clients to share knowledge over the internet in a single platform.</t>
  </si>
  <si>
    <t>IDF Capital, XAnge</t>
  </si>
  <si>
    <t>collaborative platform, knowledge network, local authorities, online community, social learning, training service</t>
  </si>
  <si>
    <t>Le Kremlin-Bicètre, France</t>
  </si>
  <si>
    <t>28761-58T</t>
  </si>
  <si>
    <t>The Green Link</t>
  </si>
  <si>
    <t>Provider of logistic services. The company's services include logistics and supply chain services using ecological vehicles such as electric assisted cargo bikes and small electric vans.</t>
  </si>
  <si>
    <t>eco-friendly logistic, freight services, logistic services, logistics firm</t>
  </si>
  <si>
    <t>29379-97T</t>
  </si>
  <si>
    <t>Aztec (Machinery (B2B))</t>
  </si>
  <si>
    <t>Electrical Equipment, Machinery (B2B)*</t>
  </si>
  <si>
    <t>Manufacturer of snow-grooming types of equipment based in Chamonix-Mont-Blanc, France. The company designs and produces snow-groomers for ski runs as well as develops partnerships with distributors to sell its products in the North American, Russian, Korean and Chinese markets, enabling snow groomers to develop innovative solutions with high added value for users.</t>
  </si>
  <si>
    <t>Amundi Private Equity Funds, Inocap Gestion, Jaina Capital(Marc Simoncini), Siparex Group</t>
  </si>
  <si>
    <t>fuel savings, grooming equipment, grooming machine, production tool, public works machinery, snow groomer</t>
  </si>
  <si>
    <t>Chamonix-Mont-Blanc, France</t>
  </si>
  <si>
    <t>26113-24T</t>
  </si>
  <si>
    <t>Neli</t>
  </si>
  <si>
    <t>Broadcasting, Radio and Television*, Other Communications and Networking</t>
  </si>
  <si>
    <t>Provider of distribution services intended to offer digital terrestrial television services. The company's services design a system for giving access to DTT (digital terrestrial television) from anywhere in a house and on any type of TV set, enabling users to get reception of digital television via power outlets.</t>
  </si>
  <si>
    <t>Breizh Invest PME(Frank Stephan), FaDiese</t>
  </si>
  <si>
    <t>digital television, digital terrestrial television, distribution services, powerlines communication, television service</t>
  </si>
  <si>
    <t>25309-63T</t>
  </si>
  <si>
    <t>Ad-hoc Invest, Crealys, Grenoble Angels, Grenoble INP Invest, Health-angels Rhone-alpes, Savoie Angels, Siparex Group, Veymont Participations</t>
  </si>
  <si>
    <t>110738-89T</t>
  </si>
  <si>
    <t>Inocap Gestion</t>
  </si>
  <si>
    <t>25333-93T</t>
  </si>
  <si>
    <t>MAINtag</t>
  </si>
  <si>
    <t>Developer of a radio frequency identification software intended to facilitate the aerospace industry. The company develops RIFD tags, labels, readers and other related technologies and embedded systems and components of airbuses and aeroplanes.</t>
  </si>
  <si>
    <t>Entrepreneur Invest, Idinvest Partners, Valuation Development and Marketing of Innovation</t>
  </si>
  <si>
    <t>aerospace industry, aviation technology, embedded systems, radio frequency identification, radio technology, rfid tags</t>
  </si>
  <si>
    <t>25372-72T</t>
  </si>
  <si>
    <t>Solareo</t>
  </si>
  <si>
    <t>Developer of solar photovoltaic plants designed to produce solar energy and its equipment. The company's plants provide clean energy and help organizations in solar energy potential roof equipment set up, enabling organizations to develop unused roofs within their budget.</t>
  </si>
  <si>
    <t>FSI Régions</t>
  </si>
  <si>
    <t>energy conservation, energy efficiency, photovoltaics, solar energy, solar energy plant</t>
  </si>
  <si>
    <t>Noisy-le-Roi, France</t>
  </si>
  <si>
    <t>25344-73T</t>
  </si>
  <si>
    <t>Andera Partners(Gilles Nobecourt), Eclosion Ventures(Jesús Martin-Garcia), Fondation d'Aide aux Entreprises, MP Healthcare Venture Management(Takahiro Mukohira), SEFTI SGAM, Vesalius Biocapital Partners(Stéphane Verdood)</t>
  </si>
  <si>
    <t>116809-03T</t>
  </si>
  <si>
    <t>26760-70T</t>
  </si>
  <si>
    <t>77915-44T</t>
  </si>
  <si>
    <t>Carnot ARTS Institute, Grenoble INP Invest</t>
  </si>
  <si>
    <t>25262-29T</t>
  </si>
  <si>
    <t>Auriga Partners (Paris)(Jacques Chatain), TDF Ventures</t>
  </si>
  <si>
    <t>27410-32T</t>
  </si>
  <si>
    <t>FRED &amp; FRED</t>
  </si>
  <si>
    <t>Developer of an optical glass technology designed to capture the exterior light and restoring inside a volume in the form of an image. The company's platform provides luxury lighting products that can be customized with color, images and video and specialize in optical light processing in the field of design and interior design, enabling clients ranging from hotels, fashion houses and corporates involved with interior decoration to redesign the ways in which they illuminate the living and workspaces.</t>
  </si>
  <si>
    <t>Finorpa, Finovam Gestion</t>
  </si>
  <si>
    <t>interior lighting, lighting product, optical glasses manufacturer, optical lighting, optical technology</t>
  </si>
  <si>
    <t>25479-82T</t>
  </si>
  <si>
    <t>PHAXIAM Therapeutics (PAR: PHXM)</t>
  </si>
  <si>
    <t>PHAXIAM Therapeutics SA is a clinical-stage biopharmaceutical company developing therapies for severe forms of cancer and orphan diseases. Its platform uses a novel technology to encapsulate therapeutic drug substances inside erythrocytes, or red blood cells, or RBC. It is developing a pipeline of product candidates for patients with high unmet medical needs. Its product candidate eryaspase, also referred to as GRASPA, targets the metabolism of cancer cells by depriving the cells of asparagine, an amino acid necessary for their survival and critical in maintaining the cells' rapid growth rate. The company is developing for the treatment of severe tumors, including pancreatic cancer, acute lymphoblastic leukemia, or ALL, and triple-negative breast cancer, or TNBC.</t>
  </si>
  <si>
    <t>HBM Healthcare Investments (SWX: HBMN), Kreaxi, Kurma Partners(Vanessa Malier), OSEO Innovation, Sofimac Innovation</t>
  </si>
  <si>
    <t>biopharmaceutical, biopharmaceuticals, cancer therapy, therapeutic drug, therapeutic drug developer, therapeutic drug development</t>
  </si>
  <si>
    <t>26793-28T</t>
  </si>
  <si>
    <t>Yummypets</t>
  </si>
  <si>
    <t>Operator of a social networking website intended to unite pets and pet lovers around the world. The company's social networking website offers a communication platform where pet owners can create a profile of their pets and upload their photos and videos online, enabling pet lovers and owners to share and view the photos and videos of their pets online.</t>
  </si>
  <si>
    <t>pet, pet owners community, pet platform, pet profiling, pet technology vertical, social networking, social networking firm</t>
  </si>
  <si>
    <t>Elven, France</t>
  </si>
  <si>
    <t>25304-68T</t>
  </si>
  <si>
    <t>CEMA, OCTALFA(Gilles Alberici), Sham, Tab Consulting</t>
  </si>
  <si>
    <t>33348-25T</t>
  </si>
  <si>
    <t>Atylia</t>
  </si>
  <si>
    <t>Provider of a portal designed to offer online furniture shopping. The company's portal operates an online retail store that offers furniture, home decors and other furnishing products with a contemporary styling, enabling users to choose from a wide varieties of furnishing products according to their interior design.</t>
  </si>
  <si>
    <t>design objects, furniture shopping, online furniture shopping, original furniture</t>
  </si>
  <si>
    <t>21611-89T</t>
  </si>
  <si>
    <t>Ividence</t>
  </si>
  <si>
    <t>Operator of an email marketing company intended to transform the standalone email advertising market. The company provides an email acquisition network that connects owners and managers and publishers with advertisers and marketers, thereby enabling campaign optimization for lead generation and customer conversion.</t>
  </si>
  <si>
    <t>360 Capital, A Plus Finance(Jean-Michel Pimont), Omnes Capital, Sofimac Innovation</t>
  </si>
  <si>
    <t>customer acquisition, customer acquisition app, customer conversion, email advertising, email marketing, email marketing agency, email marketing network, email marketing service, email marketing technology, programmatic advertising</t>
  </si>
  <si>
    <t>86575-51T</t>
  </si>
  <si>
    <t>178198-48T</t>
  </si>
  <si>
    <t>Cinatis</t>
  </si>
  <si>
    <t>Developer of transport control tower solutions intended to improve transport performance. The company offers flow management, traceability, pooling, and reverse logistics, and provides traceability and notification of events through electronic data interchange (EDI) and a mobile application, helping distributors, manufacturers, and logistics providers in their digital transformation.</t>
  </si>
  <si>
    <t>logistics technology, reverse logistics network, traceability system, transport tracking platform, transportation data</t>
  </si>
  <si>
    <t>28649-71T</t>
  </si>
  <si>
    <t>DirectStreams</t>
  </si>
  <si>
    <t>Business/Productivity Software*, Media and Information Services (B2B), Other Communications and Networking</t>
  </si>
  <si>
    <t>Operator of a hospitality company intended to specialize in digital hotel services. The company provides software and hospitality services for hotels and offers centralized management, creation, and distribution of multimedia interactive documents and also provides innovative functions in rooms and common areas for the distribution of digital content, enabling hotel owners to give their customers a digital experience of living.</t>
  </si>
  <si>
    <t>A Plus Finance, Trail Solutions Patrimoine(Thibault Pellequer)</t>
  </si>
  <si>
    <t>customer-based software, digital hotel service, hospitality technology, hospitality technology platform, hotel information, hotel software, hotel technology</t>
  </si>
  <si>
    <t>84944-71T</t>
  </si>
  <si>
    <t>Green Evenements</t>
  </si>
  <si>
    <t>Consulting Services (B2B)*, Environmental Services (B2B), Media and Information Services (B2B)</t>
  </si>
  <si>
    <t>Provider of consultancy services intended to offer sustainable events and tourism. The company's services specialize in sustainable strategic approaches related to event management offers training and advice in order to bring agencies and venues into compliance with the ISO 20121 standard, enabling businesses to build a sustainable model for strategies and management systems.</t>
  </si>
  <si>
    <t>consultation service, exhibition planner, sustainable development strategy, sustainable management system, sustainable performance consulting</t>
  </si>
  <si>
    <t>29566-09T</t>
  </si>
  <si>
    <t>Karawan Authentic</t>
  </si>
  <si>
    <t>Accessories, Internet Retail, Personal Products*</t>
  </si>
  <si>
    <t>Operator of an online marketplace intended to sell bathing and hospitality products. The company's marketplace sells sustainably sourced and organically made merchandise which includes wellness products, fashion accessories, and hand-made decorative items from countries on the ancient silk road, enabling customers to get natural and traditional products.</t>
  </si>
  <si>
    <t>Promelys Participations, Rhône-Alpes Création, Rhône-Alpes PME Gestion, Siparex Group</t>
  </si>
  <si>
    <t>ayurvedic care, bath care product, fashion accessories, hand made decoration, hospitality product, natural ingredients, wellness product</t>
  </si>
  <si>
    <t>132213-16T</t>
  </si>
  <si>
    <t>88216-30T</t>
  </si>
  <si>
    <t>Apicap, Centre Capital Développement, UI Investissement</t>
  </si>
  <si>
    <t>85174-30T</t>
  </si>
  <si>
    <t>49715-92T</t>
  </si>
  <si>
    <t>Vodeclic</t>
  </si>
  <si>
    <t>Provider of new generation video courses and desktop training services. The company provides cloud-based service, online training, e-education, desktop training, Microsoft office and e-learning services.</t>
  </si>
  <si>
    <t>cloud-based platform, desktop training service, online training</t>
  </si>
  <si>
    <t>48008-98T</t>
  </si>
  <si>
    <t>Witty Editions</t>
  </si>
  <si>
    <t>Operator of a website which aims to create a space linked to the world of board games and community edition. The site is intended for visitors and members to enable them to discover new gaming companies.</t>
  </si>
  <si>
    <t>board games, community edition, software technology</t>
  </si>
  <si>
    <t>40682-62T</t>
  </si>
  <si>
    <t>Equisol, Esfin Gestion, France Active, FundRaising Lab, SCR Group, SIFA (Logistics), Siparex Group</t>
  </si>
  <si>
    <t>31208-59T</t>
  </si>
  <si>
    <t>Ardian(Antoine Lacour)</t>
  </si>
  <si>
    <t>28532-44T</t>
  </si>
  <si>
    <t>Les Nuages</t>
  </si>
  <si>
    <t>Application Software, Consulting Services (B2B)*, Information Services (B2C), Social/Platform Software</t>
  </si>
  <si>
    <t>Operator of a platform that manages web marketing and social media. The company offers a platform that deals in marketing services to deploy business visibility in the mobile and convergence of marketing materials and at the same time, manages application development services, marketing performance and routine e-mail.</t>
  </si>
  <si>
    <t>Promelys Participations, Trail Solutions Patrimoine(Patrick Ndoung)</t>
  </si>
  <si>
    <t>application management, cloud marketing, marketing materials, web marketing</t>
  </si>
  <si>
    <t>CloudTech &amp; DevOps, Industrials, Mobile, TMT</t>
  </si>
  <si>
    <t>24781-69T</t>
  </si>
  <si>
    <t>123 Investment Managers(Olivier Goy), Ardian, Orkos Capital(Dominique Rencurel), Partech(Philippe Collombel)</t>
  </si>
  <si>
    <t>25378-75T</t>
  </si>
  <si>
    <t>Netino</t>
  </si>
  <si>
    <t>Application Software, Business/Productivity Software, Social/Platform Software, Systems and Information Management*</t>
  </si>
  <si>
    <t>Provider of an online platform for social content moderation and customer relationship management services. The company specializes in the technical implementation of forums for dialogue on websites and ensures appropriate responses on a round the clock basis.</t>
  </si>
  <si>
    <t>customer relationship management, moderation software, social content moderation, user generated content</t>
  </si>
  <si>
    <t>211470-58T</t>
  </si>
  <si>
    <t>Récréa</t>
  </si>
  <si>
    <t>Operator of public leisure facilities intended to provide water sport and leisure activities. The company manages public leisure facilities which include swimming pools and aquatic centers, enabling its users to develop physical activities and keep fit and relax through the use of facilities.</t>
  </si>
  <si>
    <t>Gilbert (Pharmaceuticals), NCI Gestion</t>
  </si>
  <si>
    <t>aquatic center, leisure facilities, leisure facilities company, leisure facilities management, sports and leisure industry, water park</t>
  </si>
  <si>
    <t>21629-62T</t>
  </si>
  <si>
    <t>Maeglin Software</t>
  </si>
  <si>
    <t>Business/Productivity Software, Information Services (B2C), Storage (IT)*</t>
  </si>
  <si>
    <t>Developer of peer-to-peer software services designed to liberate mobile life by developing and marketing high-value mobile services. The company's peer-to-peer software services offer to share online mobile content, as well as to access and share backed-up contacts, pictures, videos and documents through Web and mobile internet, enabling users to protect mobile data and controls costs.</t>
  </si>
  <si>
    <t>Innovation Capital (Paris)(Franck Noiret), Karista (Paris)</t>
  </si>
  <si>
    <t>contact sharing, media sharing, mobile content sharing, online mobile content, protect mobile data</t>
  </si>
  <si>
    <t>36012-43T</t>
  </si>
  <si>
    <t>Nutrialys Medical Nutrition</t>
  </si>
  <si>
    <t>Food Products*, Other Pharmaceuticals and Biotechnology</t>
  </si>
  <si>
    <t>Developer of nutritional products designed to support healthcare professionals with their malnourished patients suffering from cancer or chronic pain. The company specializes in the development of dietary supplements and formulas which are low in polyamines and offers nutritional support to patients suffering from cancer and chronic pain who may be seeing unintended weight loss due to nausea from treatments, metabolic disturbances and changes in taste and smell, thereby enabling them to maintain a proper nutritional balance while limiting polyamine intake.</t>
  </si>
  <si>
    <t>Olga</t>
  </si>
  <si>
    <t>dietary drinks, dietary supplements, dietary supplements maker, nutritional formulas, nutritional medical product, nutritional products</t>
  </si>
  <si>
    <t>24542-11T</t>
  </si>
  <si>
    <t>AG2R La Mondiale, Credit Mutuel Arkea, Credit Mutuel Ocean, Kima Ventures(Xavier Niel), Weber Investissements</t>
  </si>
  <si>
    <t>25397-38T</t>
  </si>
  <si>
    <t>Primaveris, Truffle Capital(Adrian Field)</t>
  </si>
  <si>
    <t>52442-02T</t>
  </si>
  <si>
    <t>TazTag</t>
  </si>
  <si>
    <t>Developer of multi-application contactless products designed to bring customizable biometric devices to professionals. The company's products are based on contactless communication technologies meant for easy and strong multi-factor authentication, enabling users to communicate effectively.</t>
  </si>
  <si>
    <t>Business Angels 35, Nestadio Capital(Bertrand Begin)</t>
  </si>
  <si>
    <t>biometric authentication, contactless communication, contactless connectivity technology, contactless product, fingerprinting sensor, secure mobile appliance</t>
  </si>
  <si>
    <t>Noyal-Chatillon, France</t>
  </si>
  <si>
    <t>28517-59T</t>
  </si>
  <si>
    <t>Finarea, Siparex Group, XAnge(Nicolas Rose)</t>
  </si>
  <si>
    <t>24234-22T</t>
  </si>
  <si>
    <t>Idinvest Partners, Jaina Capital, Orkos Capital, Partech(Jean-Marc Patouillaud)</t>
  </si>
  <si>
    <t>253355-59T</t>
  </si>
  <si>
    <t>Alven Capital Partners, FaDiese, Oleg Tscheltzoff(Oleg Tscheltzoff)</t>
  </si>
  <si>
    <t>59517-46T</t>
  </si>
  <si>
    <t>Trinnov Audio</t>
  </si>
  <si>
    <t>Manufacturer of electronic products intended for studios and commercial theaters. The company specializes in the research and development of advanced audio technologies including 3D sound and uses a speaker calibration system to provide speakers, audio systems, sound processors and other audio components, thereby offering unprecedented flexibility in placement and compensating for imperfections.</t>
  </si>
  <si>
    <t>GoBeyond, Investessor, Paris Business Angels, SIRS Business Angels, Trianon Angels, WeLikeStartup, XMP Business Angelis</t>
  </si>
  <si>
    <t>3d sound, audio components, audio supervision, audio system, audio system manufacturer, electronic manufacturing, rooms equalization, speakers manufacturer</t>
  </si>
  <si>
    <t>Neuilly-Plaisance, France</t>
  </si>
  <si>
    <t>27395-74T</t>
  </si>
  <si>
    <t>Autonomie &amp; Solidarité, Finorpa, Siparex Group</t>
  </si>
  <si>
    <t>27165-52T</t>
  </si>
  <si>
    <t>Ubeeqo</t>
  </si>
  <si>
    <t>Road*, Social/Platform Software, Vertical Market Software</t>
  </si>
  <si>
    <t>Provider of on-demand car-sharing services in France. The company provides an online booking platform for car-sharing services, geared to the business community. The company provides access to a pool of vehicles that includes electrical vehicles (EVs) as well as conventional gas-powered cars.</t>
  </si>
  <si>
    <t>Movi (Consumer Finance)</t>
  </si>
  <si>
    <t>car rental, carsharing, rental vehicle</t>
  </si>
  <si>
    <t>Car-Sharing, Industrials, LOHAS &amp; Wellness, Mobility Tech, TMT</t>
  </si>
  <si>
    <t>50550-58T</t>
  </si>
  <si>
    <t>26792-47T</t>
  </si>
  <si>
    <t>Tageos</t>
  </si>
  <si>
    <t>Manufacturer of radio-frequency identification (RFID) inlays and tags intended to help clients identify, authenticate, track, trace and complement their product offerings. The company's tags are used for identifying high volumes of products, such as textiles, jewelry and cosmetics and identifying high volumes of containers, such as palettes and boxes, enabling retailers, brand owners and industrial manufacturers to get access to tags that are significantly lower in cost yet match the performance of alternative plastic inlay-based tags.</t>
  </si>
  <si>
    <t>electronics manufacturing, product identification, product tracking, rfid labels, rfid labels manufacturing, rfid tags</t>
  </si>
  <si>
    <t>25326-28T</t>
  </si>
  <si>
    <t>High Performance Computing - Simulation Acceleration</t>
  </si>
  <si>
    <t>Operator of a software development company intended to develop thermal simulation software. The company is expert in simulation modeling using raytracing and offers ArchiWizard software that enables architects and construction professionals to map a building's energy consumption from the initial drawing stage.</t>
  </si>
  <si>
    <t>CDC Climat, Emertec Gestion</t>
  </si>
  <si>
    <t>energy consumption, energy management, raytracing, simulation software, software development company, thermal simulation, thermal simulation software</t>
  </si>
  <si>
    <t>171413-29T</t>
  </si>
  <si>
    <t>30271-96T</t>
  </si>
  <si>
    <t>31094-83T</t>
  </si>
  <si>
    <t>CapHorn Invest(Hugues Joubert), Entrepreneur Invest, Northern idea, Venture Ontario</t>
  </si>
  <si>
    <t>26504-92T</t>
  </si>
  <si>
    <t>Abingworth, Global Life Science Ventures, InnoBiologics, Omnes Capital(Alexia Perouse), PolyTechnos Venture-Partners</t>
  </si>
  <si>
    <t>35314-93T</t>
  </si>
  <si>
    <t>Inop's</t>
  </si>
  <si>
    <t>Provider of information technology solutions and business consulting services intended to streamline connections between all digital players. The company offers cybersecurity, dematerialization, independence, big data, smart cities, extended enterprises, the Internet of things, platforms and large accounts, thereby helping clients with sustainable management of connections with SMEs, VSE and freelance partners.</t>
  </si>
  <si>
    <t>business consulting, corporate communication, information technology, information technology consulting, intellectual services, interaction platform</t>
  </si>
  <si>
    <t>Big Data, Cybersecurity, Internet of Things, TMT</t>
  </si>
  <si>
    <t>24483-34T</t>
  </si>
  <si>
    <t>Thefork</t>
  </si>
  <si>
    <t>Operator of a dining reservation platform intended to facilitate restaurant bookings and promotions. The company's platform offers a comprehensive selection of restaurants, user reviews, and special discounts, enabling users to discover culinary experiences tailored to their preferences and occasions.</t>
  </si>
  <si>
    <t>Partech(Philippe Collombel), Serena (Paris), Solorun, Wisenext</t>
  </si>
  <si>
    <t>books tables, dining booking, dining reservation, reservation platform, restaurant booking, restaurant reservation</t>
  </si>
  <si>
    <t>35143-30T</t>
  </si>
  <si>
    <t>MCGroup</t>
  </si>
  <si>
    <t>Provider of telecommunications service intended to focus on strengthening client's network infrastructure. The company's service specializes in convergent telecommunication services for businesses and provides infrastructure networks and fixed and mobile telecommunication services, enabling clients to increase their communication efficiency.</t>
  </si>
  <si>
    <t>communication infrastructure, communication tower, convergent telecommunication services, fixed line network, infrastructure network</t>
  </si>
  <si>
    <t>Infrastructure, TMT</t>
  </si>
  <si>
    <t>25345-54T</t>
  </si>
  <si>
    <t>Forsitec &amp; Cisif</t>
  </si>
  <si>
    <t>Provider of IT infrastructure and consulting services intended to support businesses in their development and transformation. The company's IT infrastructure provides consulting, projects, expertise, support, and outsourcing services, thereby enabling corporations and businesses to increase their revenue and develop their business.</t>
  </si>
  <si>
    <t>consulting service, data processing, it consulting, it infrastructure, it services, technical assistance</t>
  </si>
  <si>
    <t>25354-54T</t>
  </si>
  <si>
    <t>Bpifrance(Thibaut Roulon), CDC Enterprises(Thibaut Roulon), Inserm Transfert</t>
  </si>
  <si>
    <t>25668-28T</t>
  </si>
  <si>
    <t>Vis-Ma-Ville</t>
  </si>
  <si>
    <t>Internet Retail*, Social/Platform Software</t>
  </si>
  <si>
    <t>Operator of an online platform intended to sell household and personal electronic products. The company's platform offers a social hub where people can buy home appliances, phones, tablets and related products, enabling individuals to avail good quality genuine products at discounted rates and offers.</t>
  </si>
  <si>
    <t>A Plus Finance, Generis Capital Partners</t>
  </si>
  <si>
    <t>online shopping platform, personal electronics</t>
  </si>
  <si>
    <t>28029-79T</t>
  </si>
  <si>
    <t>50568-31T</t>
  </si>
  <si>
    <t>PurchEase</t>
  </si>
  <si>
    <t>Developer of a loyalty program application designed to rebuild a direct link with the consumers through a loyalty program. The company's application connects brands directly with end-users of their products and offers loyalty rewards in the form of a product or an item after several purchases, enabling businesses to establish a direct connection with customers and help them earn rewards.</t>
  </si>
  <si>
    <t>3T Capital, François Paulus(François Paulus)</t>
  </si>
  <si>
    <t>customer engagement, customer insights, customer loyalty app, customer loyalty card, customer loyalty program, loyalty program, loyalty program application</t>
  </si>
  <si>
    <t>25222-42T</t>
  </si>
  <si>
    <t>Eptica</t>
  </si>
  <si>
    <t>Developer of a customer interaction software designed to offer multi-channel engagement management services. The company's software provides an e- customer relationship management tool which offers social customer service, email management, chat, fax-letter- short message service and knowledge management, enabling organizations to improve engagement with customers, increase efficiency and drive sales by delivering personalized responses to customers' queries.</t>
  </si>
  <si>
    <t>Auriga Partners (Paris), Omnes Capital</t>
  </si>
  <si>
    <t>customer engagement management, digital customer engagement, email management, knowledge management, multichannel customer engagement, natural language processing</t>
  </si>
  <si>
    <t>25387-93T</t>
  </si>
  <si>
    <t>Imaxio</t>
  </si>
  <si>
    <t>Biotechnology, Decision/Risk Analysis, Drug Discovery*</t>
  </si>
  <si>
    <t>Developer of medicinal products and vaccines designed to treat human leptospirosis. The company's preclinical-stage products are based on an antigen re-engineering platform to improve immunogenicity, enabling patients to improve their immune response to immunogenic antigens.</t>
  </si>
  <si>
    <t>Pradeyrol Developpement(Alexandre Le Vert)</t>
  </si>
  <si>
    <t>clinical trials, human leptospirosis, immunogenicity, immunotherapy, leptospirose, public health issues, tropical disease</t>
  </si>
  <si>
    <t>24525-37T</t>
  </si>
  <si>
    <t>Jet Metal Technologies</t>
  </si>
  <si>
    <t>Developer and manufacturer of liquid metallization intended for metallic coatings, decoration and electromagnetic shielding applications. The company specializes in surface treatment by metallization and offers a green and cost-effective alternative against traditional metallization techniques including electroplating and evaporation, providing clients with a more efficient, less hazardous and more versatile approach.</t>
  </si>
  <si>
    <t>Aster Capital(Jean-Marc Bally), Kreaxi, Naxicap Partners(Dominique Louy), Rhône-Alpes Création(Mathieu Viallard), Smalt Capital, Sofimac Investment Managers</t>
  </si>
  <si>
    <t>electromagnetic shielding, green technology, metal plates, metallic coating, metallic film, metallization technology</t>
  </si>
  <si>
    <t>Champagne au Mont d'Or, France</t>
  </si>
  <si>
    <t>27416-26T</t>
  </si>
  <si>
    <t>KTM Advance</t>
  </si>
  <si>
    <t>Developer of an e-learning and gaming platform intended to provide professional training courses. The company's platform offers online training through distance-learning packages on CD ROM and DVDs by creating 3D and real-time platforms, thereby enabling clients to overcome pedagogical issues and develop professional skills.</t>
  </si>
  <si>
    <t>Finorpa, Fonds national pour la société numérique</t>
  </si>
  <si>
    <t>distance learning, e-learning, e-learning firm, e-learning games, e-learning platform, gaming platform, professional training, web based learning</t>
  </si>
  <si>
    <t>25682-95T</t>
  </si>
  <si>
    <t>27003-43T</t>
  </si>
  <si>
    <t>Allianz Bank, Fonds Strategique d'Investissement(Jean D'Arthuys), Idinvest Partners(Benoist Grossmann), Jefferies Financial Group (NYS: JEF), Ventech (Paris)(Alain Caffi)</t>
  </si>
  <si>
    <t>210168-10T</t>
  </si>
  <si>
    <t>FaDiese, FJ investissements</t>
  </si>
  <si>
    <t>27480-43T</t>
  </si>
  <si>
    <t>Dynalim, Limousin Participations, Picardie Investissement, Siparex Group</t>
  </si>
  <si>
    <t>241146-19T</t>
  </si>
  <si>
    <t>Vivalians</t>
  </si>
  <si>
    <t>Operator of a consulting and training organization intended to prevent risks for the safety of people and property. The company's services include risk prevention, regulatory training, and team management, enabling clients to get cost-effective and creative services.</t>
  </si>
  <si>
    <t>business productivity, business productivity company, business productivity service, regulatory training, regulatory training service, risk prevention, security industry</t>
  </si>
  <si>
    <t>53232-58T</t>
  </si>
  <si>
    <t>Andelia</t>
  </si>
  <si>
    <t>Manufacturer and designer of touch screen information kiosks. The company specializes in the design and marketing of tactile information kiosks for the tourism, local government, hospitalitly and cinema industries.</t>
  </si>
  <si>
    <t>2C Invest, Région Sud Investissement</t>
  </si>
  <si>
    <t>kiosk, marketing, touch screen</t>
  </si>
  <si>
    <t>Barcelonnette, France</t>
  </si>
  <si>
    <t>32477-59T</t>
  </si>
  <si>
    <t>Arterial Remodeling Technologies</t>
  </si>
  <si>
    <t>Developer of next generation bioresorbable scaffolds designed to promote the natural remodeling of an injured artery after vascular angioplasty. The company's bioresorbable scaffold utilize unique, proprietary PLA platform technology with tunable dismantling, material preserving transformation processes with precise and secure crimping, enabling patients to recover from coronary and peripheral arterial disease.</t>
  </si>
  <si>
    <t>angioplasty, bioresorbable peripheral, bioresorbable scaffold, coronary polymer stent, natural remodeling</t>
  </si>
  <si>
    <t>25391-35T</t>
  </si>
  <si>
    <t>AQUITI Gestion, Blackstone Credit and Insurance, EPI, IRDI Capital Investissement(Jean-Michel Petit), iXO Private Equity, Seventure Partners(Isabelle de Cremoux)</t>
  </si>
  <si>
    <t>28591-84T</t>
  </si>
  <si>
    <t>Bpifrance, OSEO Innovation, Trail Solutions Patrimoine</t>
  </si>
  <si>
    <t>118167-31T</t>
  </si>
  <si>
    <t>Bioam Gestion</t>
  </si>
  <si>
    <t>29807-38T</t>
  </si>
  <si>
    <t>ABO Diag</t>
  </si>
  <si>
    <t>Diagnostic Equipment*, Medical Supplies</t>
  </si>
  <si>
    <t>Provider of research and development facilities dedicated to blood transfusion and more widely to immuno-haematology. The company works to develop and market in vitro diagnostic reagents and healthcare facilities through medical devices dedicated to blood transfusion.</t>
  </si>
  <si>
    <t>AQUITI Gestion, Succès Europe</t>
  </si>
  <si>
    <t>blood diagnostics, blood transfusion, healthcare facility</t>
  </si>
  <si>
    <t>29859-31T</t>
  </si>
  <si>
    <t>Ascendi, Naxicap Partners(Dominique Francès), Région Sud Investissement</t>
  </si>
  <si>
    <t>25304-32T</t>
  </si>
  <si>
    <t>360 Capital(Francois Tison), Alven Capital Partners(Guillaume Aubin), Fonds pour la Societe Numerique, Masseran Gestion, Sofimac Innovation(François-René Letourneur)</t>
  </si>
  <si>
    <t>29464-48T</t>
  </si>
  <si>
    <t>Progexia</t>
  </si>
  <si>
    <t>Business/Productivity Software*, Other Healthcare Technology Systems, Practice Management (Healthcare)</t>
  </si>
  <si>
    <t>Developer of a business management software designed to support digital innovation approaches in the management of third-party payment and prevention. The company's software provides technical, comprehensive, pragmatic and differentiating solutions, enabling businesses to optimize prevention programs and strengthen the proximity to collective customers and streamline and secure third-party payment management.</t>
  </si>
  <si>
    <t>complementary healthcare, health insurance, healthcare management, policy entitlements, policyholder, smart card</t>
  </si>
  <si>
    <t>88619-86T</t>
  </si>
  <si>
    <t>Snap And Go</t>
  </si>
  <si>
    <t>Building Products, Home Furnishings*, Other Consumer Durables</t>
  </si>
  <si>
    <t>Manufacturer of garden fittings designed to develop clip-on products compatible with any material. The company develops a wide and varied range of innovative, practical and decorative garden fitting products including composites, synthetic grass and teak wood panels,enabling its customers to decorate their garden beautifully.</t>
  </si>
  <si>
    <t>clip-on tiles, decorative material, garden decoration material, garden design, garden fittings</t>
  </si>
  <si>
    <t>30716-02T</t>
  </si>
  <si>
    <t>251963-20T</t>
  </si>
  <si>
    <t>25510-60T</t>
  </si>
  <si>
    <t>Alto Invest, CDC Enterprises, Fonds pour la Societe Numerique, Seventure Partners(Marion Aubry)</t>
  </si>
  <si>
    <t>25041-70T</t>
  </si>
  <si>
    <t>Capptain</t>
  </si>
  <si>
    <t>Developer of response marketing tool designed to engage users and constant customer interaction. The company allows marketers and custom relationship manager of mobile and web apps to engage their users and enter a constant customer interaction by analyzing in details their user's behavior, finely segment their users based on how they interact with the application and respond, enabling clients to improve their ROI on mobile and web apps.</t>
  </si>
  <si>
    <t>Bouygues Telecom Initiatives, ESSEC Ventures, Lior Investissements, Runa Capital(Dmitry Chikhachev)</t>
  </si>
  <si>
    <t>application management, customer care, engage paradigm, marketing, real time location, real time monitoring, user behavior</t>
  </si>
  <si>
    <t>25900-75T</t>
  </si>
  <si>
    <t>Paragon ID (PAR: ASK)</t>
  </si>
  <si>
    <t>Designer and developer of contactless identification solutions aimed to securely connect and locate people, products, and things. The company offers magnetic tickets, contactless tickets, RFID encoding, technical labels, security labels, NFC tags, and other track and trace solutions, enabling identification solutions, in particular in the e-ID, transport and smart cities, traceability and brand protection, and payment sectors.</t>
  </si>
  <si>
    <t>Ad_Astra, Advent Venture Partners, Innovation Capital (Paris)(Valéry Huot), Kreos Capital, Siparex Group, Smalt Capital</t>
  </si>
  <si>
    <t>access control, contactless card, contactless sensors, electronic document, nfc tags, rfid tags</t>
  </si>
  <si>
    <t>Manufacturing, SaaS</t>
  </si>
  <si>
    <t>Argent-sur-Sauldre, France</t>
  </si>
  <si>
    <t>25022-89T</t>
  </si>
  <si>
    <t>Danone (PAR: BN), INRAE (France), Lundbeckfonden BioCapital(Johan Kordel), Omnes Capital(Bruno Montanari), Seventure Partners(Isabelle de Cremoux), Shire</t>
  </si>
  <si>
    <t>25499-26T</t>
  </si>
  <si>
    <t>20928-70T</t>
  </si>
  <si>
    <t>Creathor Ventures(Gert Köhler), XAnge(Cyril Bertrand)</t>
  </si>
  <si>
    <t>52195-78T</t>
  </si>
  <si>
    <t>Alven Capital Partners(Charles Letourneur), Kernel Investissements</t>
  </si>
  <si>
    <t>36352-81T</t>
  </si>
  <si>
    <t>Groupe Partir Ensemble</t>
  </si>
  <si>
    <t>Automotive, Road*</t>
  </si>
  <si>
    <t>Provider of transportation services intended to help travelers travel in France. The company's transportation services offer bus transportation services for tourism, city and school transport, enabling travelers to explore new places.</t>
  </si>
  <si>
    <t>bus transport, tourism transport, transport, transport service, travel</t>
  </si>
  <si>
    <t>34986-25T</t>
  </si>
  <si>
    <t>Choisir.com</t>
  </si>
  <si>
    <t>Information Services (B2C)*, Other Commercial Services</t>
  </si>
  <si>
    <t>Operator of a vertical comparison website designed to provide objective information about a product. The company engages in gathering all the product information for the industry, organizing that data and keeping it up to date, thereby allowing users to choose better before buying.</t>
  </si>
  <si>
    <t>Banexi Ventures Partners</t>
  </si>
  <si>
    <t>comparison platform, comparison website, connecting platform, pay-for-results, vertical market, virtual marketplace</t>
  </si>
  <si>
    <t>53465-77T</t>
  </si>
  <si>
    <t>Feedbooks</t>
  </si>
  <si>
    <t>Operator of an e-book platform intended to distribute books to the community of readers. The company's platform offers e-books in the categories of romance, mystery, detective, juvenile, erotica, science fiction, fantasy, historical, literary and thrillers, enabling readers to have access to a variety of books.</t>
  </si>
  <si>
    <t>A Plus Finance, TempoCap</t>
  </si>
  <si>
    <t>books retailer, ebook app, ebook platform, ebook system, ebookstore</t>
  </si>
  <si>
    <t>210173-14T</t>
  </si>
  <si>
    <t>Action Logement, AG2R La Mondiale, BNP Paribas Asset Management, Credit Agricole Entreprises (PAR: CRBP), ENGIE Rassembleurs d'Energies(Jérôme Broutin), Investir &amp;+, Le Barramundi, Mirova, Mutuelle Assurance Commerçants et Industriels France, Noiret Patrimoine, NovESS, Terrevent Foundation</t>
  </si>
  <si>
    <t>35057-53T</t>
  </si>
  <si>
    <t>Saumon d'Isigny</t>
  </si>
  <si>
    <t>Operator of a fishing farm intended to provide fresh fish. The company's fishing farm organizes and collects marine water fish, especially Salmon, from the shores and sells them to the local market or customers, enabling fish sellers and fish eaters to avail live and fresh fish at a reasonable rate.</t>
  </si>
  <si>
    <t>aquaculture assets, aquaculture farm, aquaculture sector, fish cultivation, fish farming, fresh fish, salmon farming</t>
  </si>
  <si>
    <t>Gefosse-Fontenay, France</t>
  </si>
  <si>
    <t>194345-74T</t>
  </si>
  <si>
    <t>Wiztivi</t>
  </si>
  <si>
    <t>Developer of User Interfaces (UIs) and multiscreen in the Internet of Things multiverse designed to bring the internet onto TVs. The company offers advanced HTML5 User Interfaces to answer device fragmentation dilemma by offering one base of development, manufacturers high-end, cross-platform, and embedded experiences, and products named "Witzivi Gaming" for cloud gaming, enabling clients to interact anywhere, anytime, and on any device.</t>
  </si>
  <si>
    <t>SFR Développement</t>
  </si>
  <si>
    <t>cloud gaming es, game developer tools, gaming development, live tv management, multiscreen video platform, online video distribution, online video distribution platform, user interface product, user interface system</t>
  </si>
  <si>
    <t>Gaming, Internet of Things</t>
  </si>
  <si>
    <t>39919-96T</t>
  </si>
  <si>
    <t>Insavalor, IT-Translation</t>
  </si>
  <si>
    <t>36427-24T</t>
  </si>
  <si>
    <t>WNP</t>
  </si>
  <si>
    <t>Provider of digital brand and marketing consultancy services dedicated to the transformation of marketing and brands. The company specializes in offering data-powered strategies, integrated communications and creative content, thereby helping national and international advertisers succeed in their essential transition effectively.</t>
  </si>
  <si>
    <t>Entrepreneur Invest, TempoCap</t>
  </si>
  <si>
    <t>business consultancy, consulting agency, consulting services, data marketing, digital marketing, integrated communications, marketing investment, social media data</t>
  </si>
  <si>
    <t>50736-25T</t>
  </si>
  <si>
    <t>Cosyforyou</t>
  </si>
  <si>
    <t>Provider of an online retail platform for home furnishings. The company allows users to choose linens and curtains through the online platform.</t>
  </si>
  <si>
    <t>furnishing platform, home furnishing, linen selection</t>
  </si>
  <si>
    <t>27749-17T</t>
  </si>
  <si>
    <t>Animaderm</t>
  </si>
  <si>
    <t>Manufacturer of dermatological products intended to provide plant and mineral-based products for horses. The company's products include serum, balm, insect removal lotion, and other skin care creams, enabling individuals to take good care of their horses.</t>
  </si>
  <si>
    <t>AQUITI Gestion, Herrikoa</t>
  </si>
  <si>
    <t>animal dermatological product, dermatological products, horse care, horse health, horse medicine, horse treatment</t>
  </si>
  <si>
    <t>31400-83T</t>
  </si>
  <si>
    <t>Gemmes Venture, Institut de Developpement Economique de Bourgogne, Rothschild &amp; Co, Rubis Capital Bourgogne</t>
  </si>
  <si>
    <t>25748-56T</t>
  </si>
  <si>
    <t>360 Capital(Emanuele Levi), Emanuele Levi(Emanuele Levi), Idinvest Partners, Oleg Tscheltzoff(Oleg Tscheltzoff), Patrick Chassany</t>
  </si>
  <si>
    <t>28622-53T</t>
  </si>
  <si>
    <t>Brand Online</t>
  </si>
  <si>
    <t>Provider of brand management services intended to make strategies for brands. The company's services efficiently balance and design into the e-commerce practices, in order to deliver strong results while respecting brand codes and values, enabling clients to fulfill their online sales target.</t>
  </si>
  <si>
    <t>BNP Paribas Capital Partners(Nicolas Schwindenhammer), Trail Solutions Patrimoine(Pascal Fite)</t>
  </si>
  <si>
    <t>brand management, brand management service, branding manager, e-marketing services, management services, online service</t>
  </si>
  <si>
    <t>29792-17T</t>
  </si>
  <si>
    <t>Nutrivercell</t>
  </si>
  <si>
    <t>Operator of a biotechnology center intended to develop nutritional supplements. The company's center develops nutritional supplements based on plant polyphenols, specifically those related to cranberry, zinc and propolis, enabling users to effectively regain better health conditions.</t>
  </si>
  <si>
    <t>Angels Santé, Initial Capital, Paris Business Angels, Scientipole Capital, Trianon Angels, WeLikeStartup, XMP Business Angelis</t>
  </si>
  <si>
    <t>biotechnology, dietary supplements, nutritional supplements, nutritional supplements distributor, polyphenol, virulence bacteria</t>
  </si>
  <si>
    <t>76278-61T</t>
  </si>
  <si>
    <t>24812-02T</t>
  </si>
  <si>
    <t>Middle East Venture Partners, Trail Solutions Patrimoine</t>
  </si>
  <si>
    <t>30018-16T</t>
  </si>
  <si>
    <t>MonShowroom</t>
  </si>
  <si>
    <t>Accessories, Catalog Retail, Clothing, Footwear, Internet Retail*</t>
  </si>
  <si>
    <t>Retailer of fashions for men, women and children. The company is an online retailer of French-inspired clothing and accessories.</t>
  </si>
  <si>
    <t>Alven Capital Partners(Nicolas Celier), Netangels, Omnes Capital</t>
  </si>
  <si>
    <t>ready-to-wear, women trend</t>
  </si>
  <si>
    <t>Carnoux-en-Provence, France</t>
  </si>
  <si>
    <t>29585-44T</t>
  </si>
  <si>
    <t>Luceor</t>
  </si>
  <si>
    <t>Business/Productivity Software, Connectivity Products, Wireless Communications Equipment*</t>
  </si>
  <si>
    <t>Developer of wireless technology designed to connect strategic and mission-critical applications and redesign mobile broadband. The company's technology offers an advanced operating system and wireless networking equipment that are fast to deploy and can be used in a prompt, enabling clients to ensure communication security and connectivity for mobile infrastructure in large cities.</t>
  </si>
  <si>
    <t>3T Capital(Nicolas Tcherdakoff), Orkos Capital(John-Jacques Bertrand)</t>
  </si>
  <si>
    <t>port operations, wireless network solutions, wireless networking equipment, wireless security, wireless security system, wireless technology company, wireless technology product, wireless technology service</t>
  </si>
  <si>
    <t>36318-16T</t>
  </si>
  <si>
    <t>Elynes</t>
  </si>
  <si>
    <t>Provider of cooking stoves and kitchen equipment intended to combine noble and natural materials to create an exclusive place in home. The company's cooking stoves and kitchen equipment are offered along with various culinary equipment including wooden stoves, wood pellet stoves, cookers, hoods, log table and other kitchen appliances, enabling clients to avail the product at a reasonable rate.</t>
  </si>
  <si>
    <t>Crédit Mutuel Impact(François Collet), XAnge(Dominique Agrech)</t>
  </si>
  <si>
    <t>kitchen equipment, kitchen product</t>
  </si>
  <si>
    <t>Eragny sur Oise, France</t>
  </si>
  <si>
    <t>29603-17T</t>
  </si>
  <si>
    <t>Allobebe</t>
  </si>
  <si>
    <t>Operator of an online retail platform intended to offer products, services and information to future parents, parents as well as all those around the baby. The company's platform provides a multi-brand retailer of baby products including safety seats, tableware, diapers, clothing and consumables, enabling customers to buy baby products for the little ones and make child-rearing a memorable experience.</t>
  </si>
  <si>
    <t>Nord Capital Partenaires, Turenne Groupe</t>
  </si>
  <si>
    <t>baby product, baby product accessories, baby product e-retailer, baby product platform, baby product retailing, online retail platform</t>
  </si>
  <si>
    <t>Saint Martin Boulgone, France</t>
  </si>
  <si>
    <t>47722-78T</t>
  </si>
  <si>
    <t>Cashmerestores</t>
  </si>
  <si>
    <t>Manufacturer of woolen garments intended to primarily create and sell sweaters, scarfs, ponchos, gloves, and other products.</t>
  </si>
  <si>
    <t>apparel maker, clothes wear, garments maker, sweaters company, wool garments, woolen apparel</t>
  </si>
  <si>
    <t>25480-18T</t>
  </si>
  <si>
    <t>FaDiese, G1J Ile-de-France, Paris Region Venture Fund</t>
  </si>
  <si>
    <t>29713-96T</t>
  </si>
  <si>
    <t>Pearltrees</t>
  </si>
  <si>
    <t>Developer of a collaborative curation tool designed to permit users to organize, explore and share any URL they find online as well as to upload personal photos, files and notes. The company's tool offers to collect, organize and share all required data in one place which can be accessed through computers, tablets and smartphones, enabling users to retrieve valuable information without any hassle.</t>
  </si>
  <si>
    <t>group accueil</t>
  </si>
  <si>
    <t>curation tool, mobile application, organize data, saving photo, shared interest</t>
  </si>
  <si>
    <t>26184-79T</t>
  </si>
  <si>
    <t>Pharnext (PAR: ALPHA)</t>
  </si>
  <si>
    <t>Pharnext SA is a biopharmaceutical company developing treatments targeting neurodegenerative diseases. The company also develop a Pleotherapy technology platform. Its product in the pipeline includes SYNGILITY; PXT3003 and PXT864. The company's only segment being research and development on new pharmaceutical therapies based on Pleotherapy.</t>
  </si>
  <si>
    <t>Gravitation(Charles Beigbeder), Kreos Capital, La Financiere Pierre 1er de Serbie, Parinvest Financial, Truffle Capital(Christian Pierret)</t>
  </si>
  <si>
    <t>biopharmaceutical company, biopharmaceutical company operator, biopharmaceutical services, biotechnology, biotechnology services, pharmaceutical, pharmaceuticals and biotechnology</t>
  </si>
  <si>
    <t>64320-13T</t>
  </si>
  <si>
    <t>Eurial</t>
  </si>
  <si>
    <t>Producer of dairy products based in Nantes, France. The company collects traditional and organically farmed cow's and goat's milk and processes into dairy products and specialty ingredients such as milk, cheese and other dairy products.</t>
  </si>
  <si>
    <t>Credit Agricole (PAR: ACA), IDIA Capital Investissement(Philippe Pedro), Sofiproteol(Claire Maingon), Unigrains</t>
  </si>
  <si>
    <t>cheese producer, dairy company, dairy company operator, dairy product, dairy product maker, goat milk cheese</t>
  </si>
  <si>
    <t>168921-19T</t>
  </si>
  <si>
    <t>Ceil-in (Building Products)</t>
  </si>
  <si>
    <t>Building Products*, Construction and Engineering, Other Commercial Products</t>
  </si>
  <si>
    <t>Manufacturer of architectural products intended to offer ceiling and modular wall fixing alternatives. The company's products are fire-resistant, offer fast and flexible installation and visual masking of the metalware, enabling clients to use it for both new constructions and renovation with color customization.</t>
  </si>
  <si>
    <t>false ceiling, false ceiling designer, modular design, modular wall systems, wall fixation</t>
  </si>
  <si>
    <t>Saint-Germain-Laprade, France</t>
  </si>
  <si>
    <t>113073-85T</t>
  </si>
  <si>
    <t>160741-54T</t>
  </si>
  <si>
    <t>Groupe Artemis</t>
  </si>
  <si>
    <t>28750-42T</t>
  </si>
  <si>
    <t>A-Venture(Stéphane Thioly), Paris&amp;Co Incubateurs</t>
  </si>
  <si>
    <t>26757-10T</t>
  </si>
  <si>
    <t>Izeos</t>
  </si>
  <si>
    <t>Consulting Services (B2B), Educational and Training Services (B2C), Other Healthcare Services*, Other Healthcare Technology Systems</t>
  </si>
  <si>
    <t>Operator of an online platform for the nursing community. The company operates a website that provides information and resources for nurses, nursing students and applicants to nursing assistance.</t>
  </si>
  <si>
    <t>healthcare platform, healthcare professionals portal, nursing books, nursing website, online courses, online nursing resources</t>
  </si>
  <si>
    <t>EdTech, Industrials, TMT</t>
  </si>
  <si>
    <t>25251-22T</t>
  </si>
  <si>
    <t>Auriga Partners (Paris), Bpifrance, Cathay Capital Private Equity(Edouard Moinet), CDC Enterprises, Mérieux Equity Partners</t>
  </si>
  <si>
    <t>24555-52T</t>
  </si>
  <si>
    <t>Induct</t>
  </si>
  <si>
    <t>Automotive*, Other Software, Other Transportation</t>
  </si>
  <si>
    <t>Provider of mobility tools using telematics and vehicle automation. The company offers robotized passenger shuttle for transportation in pedestrian areas and private campuses.</t>
  </si>
  <si>
    <t>Mangrove Capital Partners(Hugo Mahieu)</t>
  </si>
  <si>
    <t>mobility solutions, vehicle automation</t>
  </si>
  <si>
    <t>29634-49T</t>
  </si>
  <si>
    <t>Insight SiP</t>
  </si>
  <si>
    <t>Manufacturer of electronic components designed to be integrated into portable devices. The company's components are offered to meet the wireless and portable device space requirements based on radio frequency circuit miniaturization and system-in-package technologies, enabling consumer manufacturers to create smaller, efficient, and feature-rich devices.</t>
  </si>
  <si>
    <t>Primaveris(Jean-Paul Albanese), Région Sud Investissement, Succès Europe</t>
  </si>
  <si>
    <t>connectivity device, device components, electronic components developer, integrated circuit, integration technology, iot hardware, rf circuit, wireless components</t>
  </si>
  <si>
    <t>20968-03T</t>
  </si>
  <si>
    <t>Accel(Philippe Botteri), Cabiedes &amp; Partners, Corpfin Capital, ISAI(Jean-David Chamboredon)</t>
  </si>
  <si>
    <t>25415-65T</t>
  </si>
  <si>
    <t>Apicap, Seventure Partners, Smalt Capital</t>
  </si>
  <si>
    <t>29569-51T</t>
  </si>
  <si>
    <t>A Plus Finance(Jean-Michel Pimont), CEA Investissement, Supernova Invest</t>
  </si>
  <si>
    <t>29565-46T</t>
  </si>
  <si>
    <t>Jobintree</t>
  </si>
  <si>
    <t>Developer of a web portal designed to list various job opportunities. The company's portal offers online employment opportunities to job seekers and suitable candidates to employers and matches the available jobs to relevant jobseekers, enabling employers to get the right candidates for their job profiles.</t>
  </si>
  <si>
    <t>123 Investment Managers, Alven Capital Partners(Charles Letourneur), Business Angels Club Berlin-Brandenburg</t>
  </si>
  <si>
    <t>career and training, employment portal, job portal operator, job portal platform, recruitment platform</t>
  </si>
  <si>
    <t>76310-29T</t>
  </si>
  <si>
    <t>Kiamo</t>
  </si>
  <si>
    <t>Developer of a cloud-based omnichannel software designed for businesses to drive a unified customer strategy. The company's software prioritizes and distributes all multimedia flows depending on business rules, availability, and employee skills as well as responds to the problems of customer relations managers who need a unified customer strategy, enabling businesses to improve the efficiency of their customer relationships.</t>
  </si>
  <si>
    <t>Finaqui, Galia Gestion(Vincent Schifano), OSEO Innovation</t>
  </si>
  <si>
    <t>contact management software, customer interaction, customer relationship management, enterprise software, interaction management, omnichannel solution</t>
  </si>
  <si>
    <t>24318-19T</t>
  </si>
  <si>
    <t>Operator of a technology transfer platform intended to support research units and researchers in translating scientific discoveries into practical applications. The company's platform offers patents for therapeutic and diagnostic technologies, proprietary materials, animal models, software, R&amp;D collaborations, and health data, enabling industrial partners to access tools and technologies backed by research institutions dedicated to human health.</t>
  </si>
  <si>
    <t>AbbVie Ventures, Boehringer Ingelheim Venture Fund, Bpifrance(Benjamin Paternot), CDC Enterprises, DFO Management, GSK (LON: GSK)(Ashley Grist), Ipsen (Pharmaceuticals) (PAR: IPN)(Susheel Surpal), Sanofi Genzyme</t>
  </si>
  <si>
    <t>academic research, clinical stage program, human health issues, life science company, medical consultancy firm, research laboratory services</t>
  </si>
  <si>
    <t>44646-67T</t>
  </si>
  <si>
    <t>Weezevent</t>
  </si>
  <si>
    <t>Operator of an online ticketing and registration platform intended for event organizers. The company provides online event registration and ticketing services and venues for events of all kinds such as concerts, exhibitions, galas, parties, and festivals.</t>
  </si>
  <si>
    <t>event ticketing solutions, events registration, online ticketing, online ticketing sales, self services online ticketing, ticketing application, ticketing service</t>
  </si>
  <si>
    <t>36345-61T</t>
  </si>
  <si>
    <t>Piridion</t>
  </si>
  <si>
    <t>Beverages, Food Products*, Specialty Retail</t>
  </si>
  <si>
    <t>Producer of apple juice and apple pulp products intended to provide healthy, natural food and cosmetic products. The company's products are developed from apple extract and other natural ingredients, enabling clients to readily purchase natural fruit-based healthy products for daily utilization.</t>
  </si>
  <si>
    <t>apple cosmetic, apple juice, apple pulp, natural food product, organic drinks</t>
  </si>
  <si>
    <t>130104-19T</t>
  </si>
  <si>
    <t>Metabrain Research</t>
  </si>
  <si>
    <t>Operator of research and drug discovery company intended to cure metabolic diseases. The company develops preventive and therapeutic solutions to cure pathologies linked to metabolic aging, obesity, diabetes, NASH, sarcopenia, depression, and cognitive decline, enabling pharmaceutical and food industries to develop drug and nutraceutical compounds through contract research and research collaborations.</t>
  </si>
  <si>
    <t>Amundi Private Equity Funds, BNP Paribas Fortis Private Equity, Bpifrance, HSBC Holdings (LON: HSBA)</t>
  </si>
  <si>
    <t>chemistry, drug discovery, drug discovery firm, metabolic disease, metabolic disease cure, nutraceutic compound, preclinical research, small molecule</t>
  </si>
  <si>
    <t>20245-78T</t>
  </si>
  <si>
    <t>Neolane</t>
  </si>
  <si>
    <t>Application Software, Internet Software, Publishing*</t>
  </si>
  <si>
    <t>Provider of conversational marketing technology. The company's suite of produces allow organizations to build and sustain one-to-one lifetime dialogues, which helps to increase revenue and marketing efficiency.</t>
  </si>
  <si>
    <t>Auriga Partners (Paris), Battery Ventures(Morad Elhafed), W Capital Partners, XAnge</t>
  </si>
  <si>
    <t>automated led generation, cross-channel marketing, enterprise marketing, marketing software</t>
  </si>
  <si>
    <t>29641-06T</t>
  </si>
  <si>
    <t>Pradeo</t>
  </si>
  <si>
    <t>Application Software, Network Management Software*</t>
  </si>
  <si>
    <t>Developer of a mobile security technology designed to protect phones, tablets, and applications from data theft. The company's technology utilizes artificial intelligence to manage application security by employing its trust-revealing technology for determining malicious behaviors and blocking them as per the enterprise's policy, enabling users to protect their mobile devices and data privacy from threats.</t>
  </si>
  <si>
    <t>Business Angels Club Berlin-Brandenburg, IRDI Capital Investissement, Jeremie LR, Soridec</t>
  </si>
  <si>
    <t>application security, endpoint security, iot security, iot/ot security, mobile device management, mobile security, mobile security management, mobile security software, mobile security technology, ot security</t>
  </si>
  <si>
    <t>Artificial Intelligence &amp; Machine Learning, Cybersecurity, Mobile, SaaS</t>
  </si>
  <si>
    <t>24631-21T</t>
  </si>
  <si>
    <t>29810-17T</t>
  </si>
  <si>
    <t>Happlink</t>
  </si>
  <si>
    <t>Provider of authentification and digital services. The company develops custom products according to the needs of different businesses.</t>
  </si>
  <si>
    <t>InVenture Partners(Anton Inshutin)</t>
  </si>
  <si>
    <t>authentification, company administration, security services</t>
  </si>
  <si>
    <t>91591-84T</t>
  </si>
  <si>
    <t>28034-47T</t>
  </si>
  <si>
    <t>1910 Lartigue</t>
  </si>
  <si>
    <t>Accessories*, Internet Retail, Plant Textiles</t>
  </si>
  <si>
    <t>Developer of an online retail platform designed to offer linen products. The company's platform offers products such as linen bags, bed covers, table mats, and pillow covers, thereby enabling consumers to avail premium products made from linen.</t>
  </si>
  <si>
    <t>linen beds cover, linen garments, linen pillow cover, linen retail service, linen tables mats</t>
  </si>
  <si>
    <t>Ascain, France</t>
  </si>
  <si>
    <t>33350-41T</t>
  </si>
  <si>
    <t>Aquilab</t>
  </si>
  <si>
    <t>Developer of quality assurance and evaluation software intended to optimize the treatment of patients. The company's software provides an automated quality control tool that facilitates the recognition for quality assurance of medical imaging and radiotherapy equipment including computerized tomography (CT), magnetic resonance imaging (MRI), nuclear medicine and radiology, helping healthcare professionals to improve the quality and precision of diagnostic imaging and radiotherapy treatments.</t>
  </si>
  <si>
    <t>Eurostars, Re-Sources</t>
  </si>
  <si>
    <t>evaluation software, evaluation software developer, grc, grc and quality assurance, quality assurance platform, quality assurance software, quality assurance system, quality assurance testing, quality assurance tool</t>
  </si>
  <si>
    <t>28029-97T</t>
  </si>
  <si>
    <t>Art of Soule</t>
  </si>
  <si>
    <t>Manufacturer of footwear intended to offer products made from natural materials. The company's footwear collection includes sneakers, shoes, and slippers that are comfortable and durable, enabling customers to purchase footwear that can be bought from their online store at an affordable rate.</t>
  </si>
  <si>
    <t>footwear design, footwear maker, natural leather shoes, shoes, slippers, sneakers</t>
  </si>
  <si>
    <t>68775-40T</t>
  </si>
  <si>
    <t>Jean Michel Benard(Jean Michel Benard), Michel Kubler(Michel Kubler), Nicolas Machard(Nicolas Machard), Soridec, Yves Peis(Yves Peis)</t>
  </si>
  <si>
    <t>35018-65T</t>
  </si>
  <si>
    <t>Celeste</t>
  </si>
  <si>
    <t>Internet Service Providers, Telecommunications Service Providers*</t>
  </si>
  <si>
    <t>Provider of digital infrastructure services intended to serve business-to-business (B2B) organizations in France. The company specializes in internet access, multiprotocol label switching (MPLS) and fiber optic interconnection, internet protocol (IP) telephony and ecological data-center hosting services, enabling clients to get improved services to communicate faster and safely.</t>
  </si>
  <si>
    <t>Crédit Mutuel Impact(Nicolas Meunier)</t>
  </si>
  <si>
    <t>broadband connection, data center hosting, fiber optic, internet connection, network detection &amp; response, network security</t>
  </si>
  <si>
    <t>28006-03T</t>
  </si>
  <si>
    <t>Clinique D'Ursuya</t>
  </si>
  <si>
    <t>Clinics/Outpatient Services*, Hospitals/Inpatient Services</t>
  </si>
  <si>
    <t>Operator of a sub-acute care and rehabilitation center intended to provide rehabilitative facilities. The company's center offers multipurpose follow-up care specializing in disorders of the digestive, metabolic and endocrine systems, as well as geriatric follow-up care, enabling patients to manage obesity and pathologies related to obesity.</t>
  </si>
  <si>
    <t>digestive follow up care, healthcare facility, medical center, metabolic care, rehabilitation center, rehabilitation center operator</t>
  </si>
  <si>
    <t>28063-09T</t>
  </si>
  <si>
    <t>Eurl Philippe Trounday</t>
  </si>
  <si>
    <t>Construction and Engineering*, Industrial Supplies and Parts, Other Commercial Services</t>
  </si>
  <si>
    <t>Manufacturer and supplier of PVC joineries and wooden frames intended to specialize in wood and pvc joinery work. The company's frames and materials are used mainly in the construction industry for interior fittings, enabling users with proper household and office wooden frame fittings.</t>
  </si>
  <si>
    <t>building construction, interior fittings, pvc joinery, wooden frames, wooden yarn</t>
  </si>
  <si>
    <t>Osses, France</t>
  </si>
  <si>
    <t>25413-04T</t>
  </si>
  <si>
    <t>Footways</t>
  </si>
  <si>
    <t>Environmental Services (B2B)*, Other Agriculture</t>
  </si>
  <si>
    <t>Provider of pesticide risk assessment and management services. The company offers pesticide fate models which helps agricultural and environmental professionals to evaluate the risks of pesticides transferred to ground and surface water resources.</t>
  </si>
  <si>
    <t>Seventure Partners, Sofimac Investment Managers</t>
  </si>
  <si>
    <t>environmental risk assessment, pesticides, pesticides fate model, pesticides risk</t>
  </si>
  <si>
    <t>54728-65T</t>
  </si>
  <si>
    <t>Karot Capital, Newfund Management(François Véron)</t>
  </si>
  <si>
    <t>95792-68T</t>
  </si>
  <si>
    <t>Gekko (Travel Portals)</t>
  </si>
  <si>
    <t>Operator of business travel portals. The company offers cutting-edge technology along with search and reservation provision via an interface connected to more than 500,000 hotels worldwide and ranging them from budget to luxury, enabling business travelers to manage their online payments and offering them the option of tracking and optimising their costs.</t>
  </si>
  <si>
    <t>BPI Group, Entrepreneur Invest, Groupe HLD, Le Comptoir Financier</t>
  </si>
  <si>
    <t>hotel reservation, hotel reservation platform, reservation portal, travel portal</t>
  </si>
  <si>
    <t>27892-27T</t>
  </si>
  <si>
    <t>Graffiti ( Media Services )</t>
  </si>
  <si>
    <t>Provider of media services in the form of external marking and the digital printing. The company provides media printing services which is eco-friendly in nature.</t>
  </si>
  <si>
    <t>digital printing, external marking, media printing</t>
  </si>
  <si>
    <t>280401-76T</t>
  </si>
  <si>
    <t>Izipizi</t>
  </si>
  <si>
    <t>Manufacturer of sunglasses and eyewear intended to serve consumers online and retail distribution channels. The company's offerings include glasses that are colorful, classic and innovative, thereby providing customers with products for reading, sun protection and screen protection.</t>
  </si>
  <si>
    <t>eyewear sales, sunglass shops, sunglasses eyewear, sunglasses provider, sunglasses retail, sunglasses seller</t>
  </si>
  <si>
    <t>36336-70T</t>
  </si>
  <si>
    <t>MultiToll Solutions</t>
  </si>
  <si>
    <t>Machinery (B2B), Other Commercial Products, Other Commercial Services*</t>
  </si>
  <si>
    <t>Provider of toll collection equipment, systems and services. The company provides toll collection equipment, systems and services such as ticket issuing machine, magnetic card payment, coin machine, toll booth and toll maxi-booth for electronic road pricing, urban tolls, parking, vehicle management and fare collection management.</t>
  </si>
  <si>
    <t>electronic payment, electronic road pricing, toll booth, toll collection equipment, toll collection system</t>
  </si>
  <si>
    <t>86618-53T</t>
  </si>
  <si>
    <t>Newscape Technology</t>
  </si>
  <si>
    <t>Developer of software designed to allow CAD programs to be run on mobile devices. The company's software offers a system where traditional 3D mapping programs can be run on mobile devices, enabling user to view and alter large industrial models.</t>
  </si>
  <si>
    <t>cad, mobile cad, mobile modeling, software application, software program</t>
  </si>
  <si>
    <t>128538-37T</t>
  </si>
  <si>
    <t>Noratest</t>
  </si>
  <si>
    <t>Developer of molecular diagnostic test tools intended to detect Alzheimer's disease. The company's tools can discriminate patients with Alzheimer's disease from those suffering from other neurodegenerative diseases, by measuring specific blood biomarkers, enabling the medical industry to detect Alzheimer's disease by just a simple blood test.</t>
  </si>
  <si>
    <t>alzheimer's treatment, diagnostic equipment, diagnostic test kits, diagnostic test results, diagnostic test tools, molecular diagnostic test</t>
  </si>
  <si>
    <t>166510-54T</t>
  </si>
  <si>
    <t>Openways</t>
  </si>
  <si>
    <t>Business/Productivity Software, IT Consulting and Outsourcing*, Other Commercial Products, Security Services (B2B)</t>
  </si>
  <si>
    <t>Developer of mobile-based access-management technology intended to ensure optimum security. The company's mobile-key platform and technology ensure secure issuance and delivery of access rights and keys process via any cell phone operating on any network, enabling hoteliers to deploy a secure way to access hotel rooms.</t>
  </si>
  <si>
    <t>Femmes Business Angels, LMA Invest</t>
  </si>
  <si>
    <t>access management, access rights, hotel security product, hotel solutions, rooms security, security services</t>
  </si>
  <si>
    <t>Feucherolles, France</t>
  </si>
  <si>
    <t>35798-86T</t>
  </si>
  <si>
    <t>Opuntias</t>
  </si>
  <si>
    <t>Operator of an innovative technology platform intended to offer recycling and sanitary water treatment systems. The company's platform engages in designing and manufacturing of treatment systems for the treatment of water from sewage, wells and rain, enabling clients to avail enhanced systems to treat water efficiently.</t>
  </si>
  <si>
    <t>Fair West</t>
  </si>
  <si>
    <t>sanitary water, soapy water, treatment system, water filtration, water treatment system</t>
  </si>
  <si>
    <t>Vannes cedex, France</t>
  </si>
  <si>
    <t>55850-05T</t>
  </si>
  <si>
    <t>Bernard Espannet(Bernard Espannet), Saint Aubin Participations, Sofimac Investment Managers</t>
  </si>
  <si>
    <t>36347-14T</t>
  </si>
  <si>
    <t>Pinel &amp; Pinel</t>
  </si>
  <si>
    <t>Accessories*, Luxury Goods, Other Consumer Durables</t>
  </si>
  <si>
    <t>Operator of a chain of retail outlets intended to offer luxury products and leather goods. The company's chain of retail outlets design manufactures and sells luxury and fashion goods which include bags, leather goods, and smart trunks, enabling individuals to avail themselves of anti-theft and modern luggage trunks.</t>
  </si>
  <si>
    <t>leather bags, leather goods, leather shoes, luxury trunk, smart trunk</t>
  </si>
  <si>
    <t>28055-89T</t>
  </si>
  <si>
    <t>SDT</t>
  </si>
  <si>
    <t>Operator of telecommunication networks based in Anglet, France. The company is currently operating in stealth mode.</t>
  </si>
  <si>
    <t>communication network, communication service, internet connectivity, telecom network, telecommunication, telecommunication network</t>
  </si>
  <si>
    <t>51221-35T</t>
  </si>
  <si>
    <t>27111-34T</t>
  </si>
  <si>
    <t>Square Solutions</t>
  </si>
  <si>
    <t>Developer of a multi-channel customer relationship management tool intended or the insurance industry. The company offers a single interface for both for front office and back office records on contact details, family, contracts, claims and quotes and integrates with the user's business software, enabling insurance companies to better manage their business.</t>
  </si>
  <si>
    <t>customer relationship management, insurance clients information, insurance management, insurance software, open source software, relationship management tool, software for health insurance</t>
  </si>
  <si>
    <t>InsurTech, SaaS, TMT</t>
  </si>
  <si>
    <t>93604-78T</t>
  </si>
  <si>
    <t>Stevia Natura</t>
  </si>
  <si>
    <t>Producer of plant food additives and sugar substitutes created to replace sugar and high-calorie products. The company's products include markets dietary supplements and sweeteners that cater to food processing companies, enabling customers to replace sugar in their diet and control disease which includes phenylketonuria (PKU), diabetes and blood pressure.</t>
  </si>
  <si>
    <t>bio-engineered food, diabetes management system, dietary health product, dietary supplements, food additives, novel ingredients, sugar substitute</t>
  </si>
  <si>
    <t>27890-74T</t>
  </si>
  <si>
    <t>Eurowatt Partenaire(Roland Rémondet), Starquest Capital(Arnaud Delattre)</t>
  </si>
  <si>
    <t>99223-39T</t>
  </si>
  <si>
    <t>Systancia</t>
  </si>
  <si>
    <t>Developer of global independent cybersecurity software designed to propose the next generation of infrastructure for providing security and user-centered applications. The company's software specializes in desktop and application virtualization, cloud computing and remote access security services, enabling users to simplify the management of identities and authorizations.</t>
  </si>
  <si>
    <t>access software, application virtualization, desktop virtualization, network security, remote access security, secure networking, software publisher, software publishing service</t>
  </si>
  <si>
    <t>Sausheim, France</t>
  </si>
  <si>
    <t>35125-12T</t>
  </si>
  <si>
    <t>The Full Room Agency</t>
  </si>
  <si>
    <t>Operator of a three-dimensional and CGI visual content agency intended to transform the content strategies and customer experience. The company's content is primarily focused on lifestyle scenes and three-dimensional video animations which are used in the sectors of decoration, household equipment, housing, and luxury, enabling retailers to bolster their visual content strategy as part of the digital transformation process.</t>
  </si>
  <si>
    <t>3d visualization, content strategy, decoration film, digital transformation, video animation, visual content agency</t>
  </si>
  <si>
    <t>Augmented Reality, TMT, Virtual Reality</t>
  </si>
  <si>
    <t>64203-76T</t>
  </si>
  <si>
    <t>TiA (Industrial Supplies and Parts)</t>
  </si>
  <si>
    <t>Operator of a customized membrane filtration platform intended to provide a sustainable solution for industrial water treatment. The company's platform offers a customized membrane filtration that uses a rotating propeller to unclog membranes, which allows for continuous filtration and prevents the need for costly downtime in order to meet the specific needs of industrial water treatment plants, enabling industrial water treatment plants to save money and improve efficiency by providing a sustainable solution for water treatment.</t>
  </si>
  <si>
    <t>membrane filtration, membrane filtration equipment, membrane filtration expertise, membrane filtration systems, water filtration device, water filtration solutions, water filtration system, water filtration technology</t>
  </si>
  <si>
    <t>Bollene, France</t>
  </si>
  <si>
    <t>85182-85T</t>
  </si>
  <si>
    <t>Visimmo 3D</t>
  </si>
  <si>
    <t>Developer of a modeling software designed to offer 3D marketing and communication tools. The company's software provides publishing of interactive digital services for marketing and sales with its high-end 3D realizations and 3D digitization of virtual shows, enabling businesses to communicate to their customers in more interactive and innovative way and boasting ROI of their customers.</t>
  </si>
  <si>
    <t>3d digitization, 3d modeling software, modeling software, virtual show, visual marketing software</t>
  </si>
  <si>
    <t>138539-35T</t>
  </si>
  <si>
    <t>Wezzoo</t>
  </si>
  <si>
    <t>Application Software*, Other Consumer Durables</t>
  </si>
  <si>
    <t>Developer of application software designed to provide real-time local and social weather status. The company's platform provides users with weather maps and services on multiple platforms that include web, mobile and desktop from wherever they are in the world, thereby enabling users to share their local weather along with favorite pictures on the platform.</t>
  </si>
  <si>
    <t>Covéa, Fred &amp; Farid Digital Investment Fund</t>
  </si>
  <si>
    <t>local weather, weather application, weather detection, weather product, weather sensor, weather technology</t>
  </si>
  <si>
    <t>84936-97T</t>
  </si>
  <si>
    <t>102110-86T</t>
  </si>
  <si>
    <t>36321-58T</t>
  </si>
  <si>
    <t>Maxicoffee (Acquired)</t>
  </si>
  <si>
    <t>Distributors/Wholesale*, Household Appliances, Other Commercial Products, Specialty Retail</t>
  </si>
  <si>
    <t>Distributor and retailer of tea and coffee machines based in La Teste de Buch, France. The company offers a wide range of espresso machines, capsule machines, coffee makers and espresso grinders to clients.</t>
  </si>
  <si>
    <t>Entrepreneur Invest(Frédéric Zablocki)</t>
  </si>
  <si>
    <t>coffee packaging, distributor, espresso machines, online coffee experts, retailer, tea &amp; coffee, tea maker</t>
  </si>
  <si>
    <t>La Teste de Buch, France</t>
  </si>
  <si>
    <t>87971-32T</t>
  </si>
  <si>
    <t>Guilde des Orfèvres</t>
  </si>
  <si>
    <t>Accessories*, Internet Retail, Luxury Goods, Specialty Retail</t>
  </si>
  <si>
    <t>Operator of jewelry stores intended to provide various luxury jewelry products. The company's jewelry stores offer precious metals, diamonds, earrings, and rings among others, enabling customers to avail themselves of jewelry products and accessories at a reasonable rate.</t>
  </si>
  <si>
    <t>Centre Capital Développement, Sofimac Investment Managers</t>
  </si>
  <si>
    <t>diamond business, diamond jewelry, jewelry maker, jewelry sales, jewelry shop, jewelry store</t>
  </si>
  <si>
    <t>26424-91T</t>
  </si>
  <si>
    <t>Cyril Vermeulen(Cyril Vermeulen)</t>
  </si>
  <si>
    <t>29766-34T</t>
  </si>
  <si>
    <t>Activ Travaux</t>
  </si>
  <si>
    <t>Information Services (B2C), Other Commercial Services, Real Estate Services (B2C)*</t>
  </si>
  <si>
    <t>Provider of real estate renovation services intended to carry out any building project for all trades. The company's services include renovation for all trades such as house extension, attic development, energy renovation, home makeover, renovation of second homes, office, and retail layouts as well as renovation of professional premises, enabling customers and general contractors to avail the opportunity to develop within a network with recognized know-how.</t>
  </si>
  <si>
    <t>design service, home decor product, interior decor, interior design, real estate, real estate renovation, renovation works company</t>
  </si>
  <si>
    <t>28906-84T</t>
  </si>
  <si>
    <t>Hexa</t>
  </si>
  <si>
    <t>25750-09T</t>
  </si>
  <si>
    <t>Shoette</t>
  </si>
  <si>
    <t>Operator of an online retail platform designed to sell ballet shoes. The company's platform specializes in the distribution and retail services of flat shoes made from fine cotton and silk materials, enabling individuals to avail of premium shoes for ballet dancing at a reasonable price range.</t>
  </si>
  <si>
    <t>dance shoes, footwear care, online retail platform, premium shoe seller, shoe retail company, shoes platform</t>
  </si>
  <si>
    <t>28542-16T</t>
  </si>
  <si>
    <t>Viavoo</t>
  </si>
  <si>
    <t>Developer of sentiment and text analytics software designed to help organizations leverage customer voices to optimize their marketing efforts. The company's software delivers real-time customer intelligence by using natural language processing technology for real-time analysis of consumer feedback to gain insight into their online or point-of-sale shopping experience, enabling businesses to improve customer experiences and increase profitability.</t>
  </si>
  <si>
    <t>Omnes Capital(Xavier Brunaud)</t>
  </si>
  <si>
    <t>conversational systems, customer data, customer intelligence, customer management, language processing, social crm, text analytics, text analytics software</t>
  </si>
  <si>
    <t>AdTech, Artificial Intelligence &amp; Machine Learning, Marketing Tech, SaaS, TMT</t>
  </si>
  <si>
    <t>33984-64T</t>
  </si>
  <si>
    <t>SK Surgical</t>
  </si>
  <si>
    <t>Manufacturer of surgical implants designed to be used in surgeries. The company's instruments include screws and implants are used in orthopaedic surgery, enabling clinicians to cure ailing patients.</t>
  </si>
  <si>
    <t>orthopedic surgery, surgical device company, surgical implants, surgical implants company, surgical parts</t>
  </si>
  <si>
    <t>Florange, France</t>
  </si>
  <si>
    <t>29628-73T</t>
  </si>
  <si>
    <t>Alliance Telecom</t>
  </si>
  <si>
    <t>BPO/Outsource Services, Telecommunications Service Providers*</t>
  </si>
  <si>
    <t>Provider of telecommunication services designed to assist organizations with call center requirements. The company's telecommunication services specialize in VOIP and IP telephony installations with the help of optical fiber, enabling clients to get assured high-speed internet connectivity.</t>
  </si>
  <si>
    <t>call center service, internet connectivity, telecommunication server, telephony installation, voip service, voip services</t>
  </si>
  <si>
    <t>27991-81T</t>
  </si>
  <si>
    <t>Bascophone</t>
  </si>
  <si>
    <t>Provider of a telecommunication network in France. The company offers plans to customer based on their requirements for telephone, mobile phones, internet, fax and other services as well as provides direct customer service by providing a referrer, who accompanies the user from the start.</t>
  </si>
  <si>
    <t>internet service provider, telecom operator, telephone operator</t>
  </si>
  <si>
    <t>167615-56T</t>
  </si>
  <si>
    <t>Develop'invest</t>
  </si>
  <si>
    <t>Provider of outsourced professional training services intended to manage and optimize training plans. The company offers training management in terms of training policy, management of performance indicators and comparative analysis with the market, thus helping companies establish a relevant training plan in accordance with their strategy and regulations.</t>
  </si>
  <si>
    <t>Finapere Capital(Jean-Pierre Miège), Proencia(Christine Cerrato)</t>
  </si>
  <si>
    <t>human resources, professional training course, professional training service, training guide, training management service, training system</t>
  </si>
  <si>
    <t>28005-13T</t>
  </si>
  <si>
    <t>Garro</t>
  </si>
  <si>
    <t>Producer of vegetables. The company is engaged in the production and cultivation of organic vegetables.</t>
  </si>
  <si>
    <t>organic farming, organic vegetables</t>
  </si>
  <si>
    <t>Mendionde, France</t>
  </si>
  <si>
    <t>40779-19T</t>
  </si>
  <si>
    <t>25696-72T</t>
  </si>
  <si>
    <t>MicroEJ</t>
  </si>
  <si>
    <t>Developer of an IoT platform designed to provide cost-driven technology for embedded and IoT devices. The company's platform leverages both software and cloud innovations to produce more powerful devices fitting various market requirements, it provides device manufacturers with secure products in markets where software applications require high performance, compact size, energy efficiency, and cost-effective development, enabling device manufacturers to run their applications on a simulator that provides decent performance.</t>
  </si>
  <si>
    <t>Innovacom (Paris)(Vincent Deltrieu)</t>
  </si>
  <si>
    <t>computing software, consumer electronics, edge computing, embedded device, home appliances software, iot software, middleware, smart home software, sustainable consumption</t>
  </si>
  <si>
    <t>28555-03T</t>
  </si>
  <si>
    <t>Pates De Reims</t>
  </si>
  <si>
    <t>Manufacturer and distributor of food products. The company specializes in the manufacturing and marketing of pastas.</t>
  </si>
  <si>
    <t>AG2J, Haute Marne Fonds Propres, IRPAC Gestion, Trail Solutions Patrimoine</t>
  </si>
  <si>
    <t>pasta, pasta distributor, pasta manufacturer</t>
  </si>
  <si>
    <t>Saint-Dizier, France</t>
  </si>
  <si>
    <t>69434-83T</t>
  </si>
  <si>
    <t>Provepharm</t>
  </si>
  <si>
    <t>Operator of a biopharmaceutical company intended for the revitalization of known molecules. The company specializes in antidotes, coloring agents, injectable vitamins, and neurosciences, thereby developing and marketing drugs made from pharmaceutical active substances.</t>
  </si>
  <si>
    <t>Région Sud Investissement, Smalt Capital, Sofipaca Capital Investissement, Turenne Groupe</t>
  </si>
  <si>
    <t>biopharmaceutical company, biopharmaceutical company development, biopharmaceutical company operator, life science research, pharmaceutical development, pharmaceutical discovery</t>
  </si>
  <si>
    <t>24519-16T</t>
  </si>
  <si>
    <t>Amundi Private Equity Funds, Apicap, GO Capital (France)(Thomas Gubler), Serena (Paris)(Xavier Lorphelin), Ventech (Paris)(Alain Caffi)</t>
  </si>
  <si>
    <t>53210-44T</t>
  </si>
  <si>
    <t>Faldes</t>
  </si>
  <si>
    <t>Environmental Services (B2B), Specialty Chemicals*</t>
  </si>
  <si>
    <t>Manufacturer of air and water disinfection, decontamination and ultra-porous photocatalytic materials intended for water treatment, air pollution control and hydrogen production. The company's materials act on bacteria, organic or mineral pollutants and control pollution, improve air and water quality, providing users with a healthy environment.</t>
  </si>
  <si>
    <t>2C Invest, Région Sud Investissement, Var Business Angels</t>
  </si>
  <si>
    <t>air pollution control, air pollution control product, air purification, electrochemical treatment, polluted air purification, polluted water treatment</t>
  </si>
  <si>
    <t>85147-12T</t>
  </si>
  <si>
    <t>Financiere d'Uzes, Financière Boscary, Starquest Capital</t>
  </si>
  <si>
    <t>54627-04T</t>
  </si>
  <si>
    <t>PIXinBIO</t>
  </si>
  <si>
    <t>Designer and developer of potable devices for diagnosis. The company develops a portable device for diagnosis using a disposable chip, for analyzes of biological samples.</t>
  </si>
  <si>
    <t>2C Invest, Cap Creation, Evisem, Région Sud Investissement</t>
  </si>
  <si>
    <t>biochip, optical sensor</t>
  </si>
  <si>
    <t>87359-95T</t>
  </si>
  <si>
    <t>A Little Market</t>
  </si>
  <si>
    <t>Application Software, Internet Retail*, Other Services (B2C Non-Financial)</t>
  </si>
  <si>
    <t>Provider of an online shopping platform designed to buy and sell handmade creations. The company's online shopping platform operates as a community website dedicated to the sale and purchase of goods including jewelry, clothing, and a set of home-made accessories or crafts, enabling creators and artisans to reveal their collections.</t>
  </si>
  <si>
    <t>Oleg Tscheltzoff(Oleg Tscheltzoff), Trémolières Pierre(Trémolières Pierre), XAnge</t>
  </si>
  <si>
    <t>handmade craft, handmade item, online shopping, online shopping app, online shopping platform, shopping platform, shopping platform network</t>
  </si>
  <si>
    <t>51788-08T</t>
  </si>
  <si>
    <t>Artere</t>
  </si>
  <si>
    <t>Consulting Services (B2B)*, Media and Information Services (B2B), Other Commercial Services</t>
  </si>
  <si>
    <t>Provider of e-commerce consulting services intended to ensure the development of business. The company offers an analysis of the business in the competitive environment and provides assistance in defining a suitable e-commerce strategy, enabling clients for e-commerce development by implementing e-business strategies and optimizing performance.</t>
  </si>
  <si>
    <t>consulting service provider, consulting services, digital commerce, ecommerce business, ecommerce consulting, ecommerce service, ecommerce strategy</t>
  </si>
  <si>
    <t>25260-58T</t>
  </si>
  <si>
    <t>Auriga Partners (Paris)(Franck Lescure), Entrepreneurs Fund(Maciek Drozdz), OSEO Innovation, Sham(Olivier Szymkowiak)</t>
  </si>
  <si>
    <t>86830-75T</t>
  </si>
  <si>
    <t>uPulse</t>
  </si>
  <si>
    <t>Provider of fitness coaching services designed to assist sports and health professionals to industrialize their coaching. The company's services provides a virtual coaching application for members, coaches and managers, comes up with lessons which brings dynamism and commitment to clubs, enabling health professional to motivate their clients to stay fit and enhance customer retention.</t>
  </si>
  <si>
    <t>fitness coaching, fitness coaching services, fitness coaching technology, fitness consultation, sports coaching</t>
  </si>
  <si>
    <t>Digital Health, Mobile, SaaS, TMT</t>
  </si>
  <si>
    <t>252139-96T</t>
  </si>
  <si>
    <t>116636-86T</t>
  </si>
  <si>
    <t>39173-41T</t>
  </si>
  <si>
    <t>79820-65T</t>
  </si>
  <si>
    <t>Adeunis RF (PAR: ALARF)</t>
  </si>
  <si>
    <t>IT Consulting and Outsourcing, Other Commercial Services*, Other Communications and Networking</t>
  </si>
  <si>
    <t>Adeunis RF SA is engaged in the manufacture of connected devices and the development of ready-to-use wireless solutions.</t>
  </si>
  <si>
    <t>A Plus Finance(Alexandre Villet)</t>
  </si>
  <si>
    <t>audio conference system, radio system, transmission system, wireless radio, wireless solutions</t>
  </si>
  <si>
    <t>211815-55T</t>
  </si>
  <si>
    <t>Smile&amp;Pay</t>
  </si>
  <si>
    <t>Electrical Equipment, Financial Software*</t>
  </si>
  <si>
    <t>Developer of mobile electronic payment software intended for professionals, merchants, and associations. The company offers a credit card reader designed to be attached to smartphones to track and manage accounts and transactions through the Internet, enabling clients to accept card payments from customers in the field without having to use the traditional payment terminal.</t>
  </si>
  <si>
    <t>Holdings Incubatrices, Truffle Capital</t>
  </si>
  <si>
    <t>card payment, mobile card payment, mobile electronic payment, mobile payment, mobile payment tools, payment terminal, payment terminal device</t>
  </si>
  <si>
    <t>25410-43T</t>
  </si>
  <si>
    <t>Crédit Agricole Sud Rhône Alpes Capital, Expansinvest, Héléa Financière, Naxicap Partners(Alban Sarie), Rhône-Alpes Création(Guy Rigaud), Seventure Partners(Bruno Rivet), Teamgroup Investment</t>
  </si>
  <si>
    <t>25262-20T</t>
  </si>
  <si>
    <t>Auriga Partners (Paris)(Jacques Chatain), FSI Régions, TDH Capital(Thierry Dassault)</t>
  </si>
  <si>
    <t>29077-75T</t>
  </si>
  <si>
    <t>27548-11T</t>
  </si>
  <si>
    <t>Authentic</t>
  </si>
  <si>
    <t>Developer of distribution management software designed to promote a set of value-added information technology services. The company's software offers dematerialized invoices with authentic processes and assists in enterprise resource planning projects, enabling clients to increase productivity and business process effectiveness.</t>
  </si>
  <si>
    <t>dematerialized invoice, distribution management tool, electronic invoicing, erp project, information systems, management software</t>
  </si>
  <si>
    <t>211638-88T</t>
  </si>
  <si>
    <t>26721-64T</t>
  </si>
  <si>
    <t>Finorpa(Eric Prigent)</t>
  </si>
  <si>
    <t>25388-11T</t>
  </si>
  <si>
    <t>Clipso</t>
  </si>
  <si>
    <t>Building Products*, Other Commercial Services, Other Services (B2C Non-Financial)</t>
  </si>
  <si>
    <t>Manufacturer of ceiling and wall coverings intended to redesign homes, offices, and public spaces. The company's products are made of technical fabric that comes in acoustic, translucent, printed, and anti-bacterial materials, enabling customers to choose from a range of stretch ceilings and walls.</t>
  </si>
  <si>
    <t>Fonds Lorrain des Materiaux, ILP Group</t>
  </si>
  <si>
    <t>ceiling coverings, ceiling decoration, false ceiling, redesigning services, stretch wall, wall coverings</t>
  </si>
  <si>
    <t>Vieux Thann, France</t>
  </si>
  <si>
    <t>51831-10T</t>
  </si>
  <si>
    <t>STS Communication Visuelle</t>
  </si>
  <si>
    <t>Provider of adhesive films, tarpaulins and signage installation services intended to facilitate clients in their advertising campaigns. The company specializes in the installation of directional plates, promotional displays, adhesives and solar films on shop windows, vehicles and buildings as a communication tool for various organizations, thus enabling the clients to increase brand visibility and attract customers.</t>
  </si>
  <si>
    <t>multi-carrier adhesives, promotional film, promotional film install, solar, vinyl films install, vinyl films system, visual communication film</t>
  </si>
  <si>
    <t>Nery, France</t>
  </si>
  <si>
    <t>27048-07T</t>
  </si>
  <si>
    <t>29685-97T</t>
  </si>
  <si>
    <t>121696-03T</t>
  </si>
  <si>
    <t>LMK Energy</t>
  </si>
  <si>
    <t>Forestry Processing*, Wood/Hard Products</t>
  </si>
  <si>
    <t>Manufacturer of densified and torrefied biomass committed to helping lower the carbon footprint. The company manufactures roasted wood for fuel purposes in the form of wafers, logs and pellets, enabling clients to maintain a balance between economic and environmental growth.</t>
  </si>
  <si>
    <t>Finorpa(Isabelle Spender), Groupe IRD(Laurent Hau)</t>
  </si>
  <si>
    <t>biocoal production, biodegradable energy product, clean fuel production, energy sector, fire wood, green fuel product, natural energy, wood chips fuel</t>
  </si>
  <si>
    <t>Mazingarbe, France</t>
  </si>
  <si>
    <t>24557-59T</t>
  </si>
  <si>
    <t>Newsring</t>
  </si>
  <si>
    <t>Provider of a platform for online debates. The company facilitates debates orchestrated by professional journalists on a large range of topics.</t>
  </si>
  <si>
    <t>Idinvest Partners, Ventech (Paris), XAnge</t>
  </si>
  <si>
    <t>platform software, social content</t>
  </si>
  <si>
    <t>84882-70T</t>
  </si>
  <si>
    <t>DiliTrust (Acquired 2014)</t>
  </si>
  <si>
    <t>Application Software, Database Software*, Network Management Software</t>
  </si>
  <si>
    <t>Provider of sensitive document sharing platform intended to securely exchange confidential information related to B2B transactions. The company's sensitive document sharing platform implements software tools, servers and supports services to fully secure document access and market enabling industries to securely trade information in a simple and cost-effective way.</t>
  </si>
  <si>
    <t>document sharing, document sharing platform, secure communication channel, secure information, secure platform</t>
  </si>
  <si>
    <t>Big Data, CloudTech &amp; DevOps, Cybersecurity, TMT</t>
  </si>
  <si>
    <t>25749-37T</t>
  </si>
  <si>
    <t>Trail Solutions Patrimoine, Ventech (Paris)</t>
  </si>
  <si>
    <t>98796-79T</t>
  </si>
  <si>
    <t>Le Bon Côté des Choses</t>
  </si>
  <si>
    <t>Developer of a Saas-based Retail intelligence software designed to collect, decrypt and return information on products sold every day on the internet. The company's Saas-based software relies on mathematical algorithms and artificial intelligence to validate predictive analyzes of the best online marketing mix, enabling connected commerce professionals to identity who sells which product, how and at what price.</t>
  </si>
  <si>
    <t>competitive intelligence, competitive intelligence technology, retail intelligence, retail intelligence company, retail intelligence platform, retail intelligence service</t>
  </si>
  <si>
    <t>Rhone Alpes, France</t>
  </si>
  <si>
    <t>24521-14T</t>
  </si>
  <si>
    <t>Femmes Business Angels, Rising Tide Fund</t>
  </si>
  <si>
    <t>135930-34T</t>
  </si>
  <si>
    <t>ABAB (Atlantic Business Angels Booster)</t>
  </si>
  <si>
    <t>35106-13T</t>
  </si>
  <si>
    <t>Digital Media Solutions Co</t>
  </si>
  <si>
    <t>Electrical Equipment, Electronics (B2C)*</t>
  </si>
  <si>
    <t>Distributor of audio systems for movie theaters and cultural spaces. The company offers surround speakers, digital cinema amplifiers, audio converters and processors, amplifiers, interfaces and PA loudspeakers for lobbies.</t>
  </si>
  <si>
    <t>Ma Reduc, Sofimac Innovation(Nicolas Boulay)</t>
  </si>
  <si>
    <t>amplifiers, audio system, digital cinema amplifiers, electronic good, electronics</t>
  </si>
  <si>
    <t>Noisiel, France</t>
  </si>
  <si>
    <t>51271-12T</t>
  </si>
  <si>
    <t>Fashion Capital Partners(Céline Lippi), Femmes Business Angels, Paris Business Angels</t>
  </si>
  <si>
    <t>52709-95T</t>
  </si>
  <si>
    <t>EMYG</t>
  </si>
  <si>
    <t>Manufacturer of water filtration and purification equipment intended to purify seawater and assist in the transportation of shellfish. The company's equipment treats and purifies water in a closed circuit and offer novel methods to tackle the challenges of using water in human activity and in the production of purification stations and storage tanks for shellfish, enabling clients to safely transport live shellfish, in water, from the ocean to the plate.</t>
  </si>
  <si>
    <t>2C Invest, Turenne Groupe</t>
  </si>
  <si>
    <t>curb water treatment, shellfish storage, water purification solutions, water treatment product, water treatment services, water treatment system, water treatment tool</t>
  </si>
  <si>
    <t>Carnoux en Provence, France</t>
  </si>
  <si>
    <t>204311-71T</t>
  </si>
  <si>
    <t>2IO Conseil</t>
  </si>
  <si>
    <t>Developer of business software intended for industries including pharmaceuticals, chemicals, food, stationery and waste treatment. The company provides software made to anticipate and analyse risks in the industry and offers implementation of management and traceability tools, enabling its clients with improved management of their processes.</t>
  </si>
  <si>
    <t>Alsace Business Angels, Bpifrance(Joséphine Marie)</t>
  </si>
  <si>
    <t>documentation work, equipment monitoring software, inspection management software, risk prevention system, software develoopment, technical maintenance</t>
  </si>
  <si>
    <t>82871-47T</t>
  </si>
  <si>
    <t>Extendam, Startup Avenue</t>
  </si>
  <si>
    <t>88039-36T</t>
  </si>
  <si>
    <t>Crédit Agricole Centre France Développement, Sofimac Investment Managers</t>
  </si>
  <si>
    <t>45095-41T</t>
  </si>
  <si>
    <t>Biokinesis</t>
  </si>
  <si>
    <t>Operator of a biotechnology company aimed at developing an anticancer compound targeting the Golgi apparatus. The company is currently operating in stealth mode.</t>
  </si>
  <si>
    <t>biotechnology, biotechnology plant, biotechnology service, cancer treatment, healthcare treatment</t>
  </si>
  <si>
    <t>25664-05T</t>
  </si>
  <si>
    <t>360 Capital</t>
  </si>
  <si>
    <t>85013-56T</t>
  </si>
  <si>
    <t>Peplum</t>
  </si>
  <si>
    <t>Operator of an online travel agency intended to meet the needs of a demanding and refined journey. The company's platform customizes luxury travels, private events, and private tour operations dedicated to each customer, and provides travel concierge essential services, enabling users to get a customized and personalized tour experience.</t>
  </si>
  <si>
    <t>Starquest Capital(Arnaud Delattre)</t>
  </si>
  <si>
    <t>online travel firm, online travel portal, tour packages, tour planning, travel agency service, travel agent, travel firm operator</t>
  </si>
  <si>
    <t>25260-85T</t>
  </si>
  <si>
    <t>29461-69T</t>
  </si>
  <si>
    <t>L'Usine Ã Design</t>
  </si>
  <si>
    <t>Home Furnishings, Internet Retail*</t>
  </si>
  <si>
    <t>Provider of a platform to buy customized furniture. The company provides a website enabling customers to create their own customized furniture and works directly with manufacturers to provide a finished product.</t>
  </si>
  <si>
    <t>Crédit Mutuel Impact, Olivier Mathiot(Olivier Mathiot), Omnes Capital</t>
  </si>
  <si>
    <t>customized furniture, furniture retail</t>
  </si>
  <si>
    <t>25466-59T</t>
  </si>
  <si>
    <t>SpineGuard (PAR: ALSGD)</t>
  </si>
  <si>
    <t>Spineguard is engaged in the design and production of medical instruments used for spinal surgeries.</t>
  </si>
  <si>
    <t>A Plus Finance(Jean-Michel Pimont), Delta Partners, IdiCo, IPSA( Asset Management)(Thomas Balland), Omnes Capital(Alexia Perouse)</t>
  </si>
  <si>
    <t>clinical application, spinal surgery, surgery product</t>
  </si>
  <si>
    <t>34940-71T</t>
  </si>
  <si>
    <t>Ad4Screen</t>
  </si>
  <si>
    <t>Provider of mobile marketing and advertising services designed to boost the performance of mobile ad campaigns. The company's mobile marketing and advertising services help in retaining, engaging and converting mobile users by delivering targeted, personalized messages in the form of push notifications, in-app messages and RTB mobile display campaigns, enabling advertisers and publishers to set up a relationship with potential and existing application users.</t>
  </si>
  <si>
    <t>Apicap, Augustin Ory, Backbone Capital, BNP Paribas Développement, Charles Beigbeder(Charles Beigbeder), Thierry Vanderwalle, Wind Capital</t>
  </si>
  <si>
    <t>interactive marketing, mobile advertising, mobile advertising service, mobile crm, mobile marketing, mobile marketing services, mobile retargeting, performance tracking service</t>
  </si>
  <si>
    <t>61285-06T</t>
  </si>
  <si>
    <t>Scan &amp; Target</t>
  </si>
  <si>
    <t>Internet Software, Security Services (B2B)*, Social/Platform Software</t>
  </si>
  <si>
    <t>Provider of social-web security services. The company provides software as a service and social applications to protect companies against social spam, moderation or compliance issues.</t>
  </si>
  <si>
    <t>Holdings Incubatrices, Omnes Capital, Scientipole Capital, Truffle Capital</t>
  </si>
  <si>
    <t>compliance software, security software, social spam</t>
  </si>
  <si>
    <t>35127-82T</t>
  </si>
  <si>
    <t>Cortus</t>
  </si>
  <si>
    <t>Application Specific Semiconductors*, Computers, Parts and Peripherals</t>
  </si>
  <si>
    <t>Operator of an ASIC/SoC design company with a very large selection of their own proprietary IP including processors (Cortus proprietary ISA and RISC-V ISA) and many other Analog/RF, Mixed-Signal, Digital and Security (HW &amp; SW) IP. The company implements its own software stack consisting of compilers, assemblers, linkers, debuggers, RTOS and low-level software, thereby helping clients by integrating IP and is cost-effective both in the power and silicon area.</t>
  </si>
  <si>
    <t>Banque Dupuy, de Parseval, Credit Agricole (PAR: ACA), OSEO Innovation</t>
  </si>
  <si>
    <t>analog design, automotive application, computer hardware, embedded application, integrated circuit, microprocessors, mixed-signal-asics</t>
  </si>
  <si>
    <t>25410-16T</t>
  </si>
  <si>
    <t>Showpack</t>
  </si>
  <si>
    <t>Broadcasting, Radio and Television*, Media and Information Services (B2B), Other Commercial Services</t>
  </si>
  <si>
    <t>Operator of a corporate event agency. The company offers events, broadcasts live shows and artistic workshops for their clients.</t>
  </si>
  <si>
    <t>corporate events, street art, street entertainment</t>
  </si>
  <si>
    <t>46964-17T</t>
  </si>
  <si>
    <t>Bpifrance, Credit Agricole (PAR: ACA), Grenoble Angels</t>
  </si>
  <si>
    <t>29618-02T</t>
  </si>
  <si>
    <t>Keyade</t>
  </si>
  <si>
    <t>Business/Productivity Software, Consulting Services (B2B), Media and Information Services (B2B)*</t>
  </si>
  <si>
    <t>Provider of digital advertising and marketing services based in Paris, France. The company uses an approach based entirely on performance tracking to design and execute intelligent digital media strategies and offer consulting services and advanced technological solutions to clients.</t>
  </si>
  <si>
    <t>FJ Labs, Jaina Capital(Marc Simoncini)</t>
  </si>
  <si>
    <t>digital marketing, display advertising, marketing company, marketing consultant, marketing services, online media purchasing, web marketing</t>
  </si>
  <si>
    <t>19168-30T</t>
  </si>
  <si>
    <t>Auriga Partners (Paris)(Philippe Granger), Serena (Paris), Ventech (Paris)(Claire Houry)</t>
  </si>
  <si>
    <t>19296-19T</t>
  </si>
  <si>
    <t>26184-70T</t>
  </si>
  <si>
    <t>Truffle Capital(Christian Pierret)</t>
  </si>
  <si>
    <t>27040-78T</t>
  </si>
  <si>
    <t>Qosmos</t>
  </si>
  <si>
    <t>Application Software, Network Management Software*, Wireless Communications Equipment</t>
  </si>
  <si>
    <t>Provider of network intelligence technology designed to analyse data traffic. The company's technology turns networks into information sources, making them application and service aware. The company's Deep Packet Inspection (DPI) and network intelligence building blocks, recognizes communication protocols and metadata attributes creating an information layer that gives the picture of real-time data activity on networks.</t>
  </si>
  <si>
    <t>Alven Capital Partners(Guillaume Aubin), Fonds Strategique d'Investissement(Jean D'Arthuys), Molten Ventures (LON: GROW)(Krishna Visvanathan)</t>
  </si>
  <si>
    <t>information layer, metadata attributes, network intelligence</t>
  </si>
  <si>
    <t>26724-88T</t>
  </si>
  <si>
    <t>Bretzel Love Caffè</t>
  </si>
  <si>
    <t>Operator of a fast-food chain designed to serve a wide range of food. The company's fast-food chain offers Savoury and sweet pretzels, burgers, coffee, smoothies and other foodS, enabling consumers to avail fresh product at a reasonable rate.</t>
  </si>
  <si>
    <t>bread manufacturer, fast food, fast food cafe, pretzels bread, pretzels restaurant</t>
  </si>
  <si>
    <t>71528-32T</t>
  </si>
  <si>
    <t>Delyan</t>
  </si>
  <si>
    <t>Provider of hotels and restaurant services intended to offer specialized foods to the people of Paris. The company's hotels and restaurant services offer variety of cuisines that includes tea, coffee, snacks and other delicious dishes, enabling customers to find a place where they can have food as well as gossip with their friends.</t>
  </si>
  <si>
    <t>Finarea(Pierre Fleuret)</t>
  </si>
  <si>
    <t>coffee bar, tea restaurant</t>
  </si>
  <si>
    <t>26560-00T</t>
  </si>
  <si>
    <t>165539-80T</t>
  </si>
  <si>
    <t>GOSIS</t>
  </si>
  <si>
    <t>Provider of cloud hosting services intended to permit companies to devote themselves to their business without having to manage infrastructure. The company's cloud platform is composed of a number of remote servers, interconnected by means of an excellent bandwidth and which is essential for the fluidity of the system, enabling clients to manage updates, maintenance and upgrades, all without investment and at a fixed price.</t>
  </si>
  <si>
    <t>Apicap, OSEO Innovation</t>
  </si>
  <si>
    <t>business software, cloud hosting company, cloud hosting service firm, information management, productivity software</t>
  </si>
  <si>
    <t>Mende, France</t>
  </si>
  <si>
    <t>118252-36T</t>
  </si>
  <si>
    <t>Hedera Technology</t>
  </si>
  <si>
    <t>Automation/Workflow Software, Business/Productivity Software, Systems and Information Management*</t>
  </si>
  <si>
    <t>Provider of cloud management services intended to manage and automate cloud infrastructures. The company's services provide automated service deployments for a heterogeneous environment and its software simplifies system administration across compute, storage, network, and virtualization functions, enabling organizations to dynamically adjust their resources to their business goals.</t>
  </si>
  <si>
    <t>cloud computing, cloud infrastructure, cloud infrastructure services, cloud management platform, system administrator</t>
  </si>
  <si>
    <t>55980-55T</t>
  </si>
  <si>
    <t>Implanet (PAR: ALIMP)</t>
  </si>
  <si>
    <t>Implanet SA designs produce and sell medical implants and devices used in orthopedic surgery. Its products include prosthetic knees, spinal bracing systems, intersomatic cages, pins, suture threads, screws, and anchors. The company operates in a single segment - the commercialization of orthopedic implants. It derives Majority of its geographical revenue from France.</t>
  </si>
  <si>
    <t>arthroscopy surgery, implants product, orthopaedic, orthopedic design, spinal fusion surgery, spine surgery, surgical implants</t>
  </si>
  <si>
    <t>Industrials, Life Sciences, Manufacturing</t>
  </si>
  <si>
    <t>59637-16T</t>
  </si>
  <si>
    <t>Prima Solutions</t>
  </si>
  <si>
    <t>Developer of a software platform designed to help insurance and reinsurance professionals speed up their digital transformation. The company provides an insurance application that transforms existing legacy systems and streamlines the core business processes to increase business results and enterprise agility, thereby enabling insurers, mutual companies and large brokers to go digital more quickly through a highly configurable, modular and cloud-based all-web software suite.</t>
  </si>
  <si>
    <t>Cairnwood</t>
  </si>
  <si>
    <t>casualty insurance, cloud platform, enterprise agility, insurance application, insurance software, insurtech firm, insurtech group, service-oriented application, software platform</t>
  </si>
  <si>
    <t>123318-10T</t>
  </si>
  <si>
    <t>Ring Media</t>
  </si>
  <si>
    <t>Developer of a website editing platform designed to edit online debates made by professional journalists. The company's platform covers a range of topics including international, politics, business, entertainment, lifestyle, culture, technology, sports, and philosophy.</t>
  </si>
  <si>
    <t>news debate, news editor, news publisher, news service, publishing company</t>
  </si>
  <si>
    <t>24541-93T</t>
  </si>
  <si>
    <t>Credit Mutuel Arkea, Jérémie Berrebi(Jérémie Berrebi), Kima Ventures(Xavier Niel)</t>
  </si>
  <si>
    <t>83898-37T</t>
  </si>
  <si>
    <t>Xilopix</t>
  </si>
  <si>
    <t>Developer of software for the management and valuation of image bottoms created to provide an experience that is visual, tactile and fun. The company's E-Commerce Search Engine can be integrated into every E-Commerce platform and any website enabling its users to emancipate themselves from the barriers of language by combining every type of media (image, video, music, and text) inside a single search box.</t>
  </si>
  <si>
    <t>Femmes Business Angels, IMT Starter</t>
  </si>
  <si>
    <t>ecommerce platform, ecommerce search engine, media software, search engine, search engine software, search engine system</t>
  </si>
  <si>
    <t>Epinal, France</t>
  </si>
  <si>
    <t>218495-17T</t>
  </si>
  <si>
    <t>Alliansys</t>
  </si>
  <si>
    <t>63388-36T</t>
  </si>
  <si>
    <t>Credit Agricole (PAR: ACA), Femmes Business Angels, Rhone Valley Angels, Réseau Entreprendre Drôme-Ardèche</t>
  </si>
  <si>
    <t>26322-13T</t>
  </si>
  <si>
    <t>28297-72T</t>
  </si>
  <si>
    <t>Balderton Capital, Ventech (Paris)(Claire Houry)</t>
  </si>
  <si>
    <t>26290-63T</t>
  </si>
  <si>
    <t>ABM Pharma</t>
  </si>
  <si>
    <t>Distributors/Wholesale, Other Pharmaceuticals and Biotechnology*</t>
  </si>
  <si>
    <t>Operator of a pharmacy network intended to provide care to patients at home. The company works with community pharmacists and specializes in home support, oxygen therapy, and home care, enabling customers with quality pharmacy support and services.</t>
  </si>
  <si>
    <t>Credit Agricole Regions Investissement, Kurma Partners</t>
  </si>
  <si>
    <t>health care, pharmacist network, pharmacy network, pharmacy services, pharmacy tools, quality support</t>
  </si>
  <si>
    <t>28662-85T</t>
  </si>
  <si>
    <t>Groupe Solstis</t>
  </si>
  <si>
    <t>Provider of floor covering services and manufacturer of flooring raw materials intended to serve the Champagne Ardenne and Burgundy regions. The company provides linoleum flooring materials in the health sector, housing, and other private and public buildings, enabling clients to avail enhanced flooring materials at an affordable cost.</t>
  </si>
  <si>
    <t>IRPAC Gestion(Pierre Rabier), Trail Solutions Patrimoine(Géraud de Ferrières)</t>
  </si>
  <si>
    <t>construction materials, floor covering manufacturer, floor covering product, floor coverings, flooring material, renewable materials</t>
  </si>
  <si>
    <t>Saint-André-les-Vergers, France</t>
  </si>
  <si>
    <t>28544-32T</t>
  </si>
  <si>
    <t>So Factory</t>
  </si>
  <si>
    <t>Distributors/Wholesale*, Home Furnishings, Internet Retail</t>
  </si>
  <si>
    <t>Retailer of household furniture on the internet. The company provides an online platform through which users can purchase home furniture.</t>
  </si>
  <si>
    <t>home furniture, sofas</t>
  </si>
  <si>
    <t>Athis-Mons, France</t>
  </si>
  <si>
    <t>29083-06T</t>
  </si>
  <si>
    <t>Dompé</t>
  </si>
  <si>
    <t>34182-91T</t>
  </si>
  <si>
    <t>SysFera</t>
  </si>
  <si>
    <t>Application Software*, Business/Productivity Software, Financial Software</t>
  </si>
  <si>
    <t>Developer of software which simplifies the processes used in heterogeneous computing. The company's platform helps users simplify cloud computing infrastructures and make them more user-focused. It also provides SaaS platforms for the transition and management of both internal and external IT networks.</t>
  </si>
  <si>
    <t>IT-Translation, Rhône-Alpes Création</t>
  </si>
  <si>
    <t>computing infrastructure, it network management</t>
  </si>
  <si>
    <t>93157-75T</t>
  </si>
  <si>
    <t>24590-89T</t>
  </si>
  <si>
    <t>Fabrice Grinda(Fabrice Grinda), Jacques-Antoine Granjon(Jacques-Antoine Granjon), Julien Peyridieux(Julien Peyridieux), Kima Ventures(Jérémie Berrebi), Lorig Bernard(Lorig Bernard), Nestadio Capital, Thomas Serval</t>
  </si>
  <si>
    <t>26099-56T</t>
  </si>
  <si>
    <t>Exponaute</t>
  </si>
  <si>
    <t>Operator of an online platform built to offer information services on exhibitions in Paris, France, Belgium and Switzerland. The company offers news about exhibitions and museums, photos and video previews, and direct access to purchase tickets and catalogs, enabling users to be updated about the recent happenings in the exhibition space.</t>
  </si>
  <si>
    <t>exhibition company, exhibition information, exhibition news, exhibition platform, exhibition portal, information resources, information service</t>
  </si>
  <si>
    <t>28560-34T</t>
  </si>
  <si>
    <t>Société Victoria, Trail Solutions Patrimoine(Guillaume Hemmerle)</t>
  </si>
  <si>
    <t>30393-64T</t>
  </si>
  <si>
    <t>Visioscène</t>
  </si>
  <si>
    <t>Provider of video content services intended to promote performing arts. The company's services allow the discovery of theaters, exhibitions, one-man shows, musicals, concerts, trailers, and interviews by works councils and local communities, enabling people to know about live entertainment shows.</t>
  </si>
  <si>
    <t>Nord Capital Partenaires, Participex Gestion, Vauban Partenaires</t>
  </si>
  <si>
    <t>communication content, information services, live entertainment service, media services, video content, video content services, video content site</t>
  </si>
  <si>
    <t>85142-53T</t>
  </si>
  <si>
    <t>Noria, Starquest Capital</t>
  </si>
  <si>
    <t>25983-10T</t>
  </si>
  <si>
    <t>1000Nautique</t>
  </si>
  <si>
    <t>Operator of an online platform designed to offer e-commerce services for boats. The company's platform sells hardware equipment for boats, marine, and water sports, along with objects for marine decoration, enabling users to improve cruises and holiday experiences.</t>
  </si>
  <si>
    <t>boats equipment, boats hardware, ecommerce service, fittings, marine decoration, water sports equipment</t>
  </si>
  <si>
    <t>E-Commerce, Industrials, TMT</t>
  </si>
  <si>
    <t>24525-82T</t>
  </si>
  <si>
    <t>29638-81T</t>
  </si>
  <si>
    <t>Jeremie LR, Soridec</t>
  </si>
  <si>
    <t>25841-80T</t>
  </si>
  <si>
    <t>BioOne Capital, BroadPeak Collaborative, EDBI, HealthCap, IPSA( Asset Management), Kreos Capital, Partner Capital(Patrick Stephansen), Sofinnova Partners(Gerard Hascoet)</t>
  </si>
  <si>
    <t>39178-45T</t>
  </si>
  <si>
    <t>Au Forum du Batiment</t>
  </si>
  <si>
    <t>Distributor of hardware products intended for second-fix construction professionals, government agencies and major companies. The company offers products including sanitary plumbing, showers, boilers, heaters, door locks and other industrial supplies, enabling its clients to get the required goods at an affordable rate.</t>
  </si>
  <si>
    <t>Andera Partners(Alexandre Foulon), Siparex Group, XAnge(Magdalena Svensson)</t>
  </si>
  <si>
    <t>building hardware, commercial hardware, commercial hardware catalog, doors locks, electric equipment, hardware products, heating motor, industrial supplies, sanitation work</t>
  </si>
  <si>
    <t>29993-68T</t>
  </si>
  <si>
    <t>Lookingo</t>
  </si>
  <si>
    <t>Operator of flash sales platform. The company operates a flash sales platform focused on local, travel and high-end product offers.</t>
  </si>
  <si>
    <t>Naxicap Partners</t>
  </si>
  <si>
    <t>discount, flash sales platform, high end product</t>
  </si>
  <si>
    <t>24599-80T</t>
  </si>
  <si>
    <t>BlueOcean Ventures, DEFI Gestion, Gran Plasa, Novartis Venture Fund(Florent Gros), Truffle Capital(Philippe Pouletty)</t>
  </si>
  <si>
    <t>31512-88T</t>
  </si>
  <si>
    <t>Samadhi</t>
  </si>
  <si>
    <t>Operator of an online dating website. The company provides a single qualitative alternative to traditional dating sites with more restricted and involved members.</t>
  </si>
  <si>
    <t>Solorun</t>
  </si>
  <si>
    <t>actual meeting, online dating</t>
  </si>
  <si>
    <t>138845-89T</t>
  </si>
  <si>
    <t>CapHorn Invest, Promelys Participations</t>
  </si>
  <si>
    <t>75137-77T</t>
  </si>
  <si>
    <t>19296-28T</t>
  </si>
  <si>
    <t>Credit Mutuel Arkea, La Banque Privee Saint-Germain</t>
  </si>
  <si>
    <t>77026-51T</t>
  </si>
  <si>
    <t>M Capital Partners(Julien Charles-Lavauzelle), WiSeed</t>
  </si>
  <si>
    <t>24336-46T</t>
  </si>
  <si>
    <t>Ftopia</t>
  </si>
  <si>
    <t>Developer of an online-based file-sharing platform designed to share business files securely. The company's platform harnesses cloud computing to deliver online file-sharing services and it features the ability to access, and update files, apply tags, lock and unlock documents, and manage document revisions, enabling professionals to share information securely and instantly with their teammates, customers, and partners.</t>
  </si>
  <si>
    <t>Right Ventures(Jonathan Siegel), Serge Aziza(Serge Aziza)</t>
  </si>
  <si>
    <t>application based software, cloud computing, file sharing platform, file sharing software, files sharing tools, online files sharing</t>
  </si>
  <si>
    <t>35090-83T</t>
  </si>
  <si>
    <t>Captain Dash</t>
  </si>
  <si>
    <t>Developer of interactive and visual dashboards designed to assist clients in managing their given data in a single platform. The company's dashboards assist and sustain the continuous improvement program of the businesses, enabling clients to optimize their performance and work efficiently.</t>
  </si>
  <si>
    <t>Sofimac Innovation(Didier Moret)</t>
  </si>
  <si>
    <t>business program, communication dashboard, data correlation, interactive dashboard, visual dashboard, visualization software</t>
  </si>
  <si>
    <t>26137-36T</t>
  </si>
  <si>
    <t>188262-82T</t>
  </si>
  <si>
    <t>Brochier Technologies</t>
  </si>
  <si>
    <t>Electrical Equipment, Fiberoptic Equipment, Other Textiles*</t>
  </si>
  <si>
    <t>Developer of optical fiber-based textiles designed for various light applications. The company technology integrates the weaving of optical fibers, their surface treatment, the connection of the optical fibers to LED systems, and electronic control of the lighting system, enabling clients in the medical, automotive, security, de-pollution, communication, and architecture fields to integrate illuminating fabric technology into various products.</t>
  </si>
  <si>
    <t>Smalt Capital, UBS Consenso</t>
  </si>
  <si>
    <t>fiber assembly, optical fiber, optical fiber technology, pollution control, smart textile, weaving technology</t>
  </si>
  <si>
    <t>29840-95T</t>
  </si>
  <si>
    <t>Callimedia</t>
  </si>
  <si>
    <t>Developer of an e-learning platform designed to offer online training and educational services. The company's platform offers digital learning modules, learning games, adaptive learning, mobile learning and content writing, enabling users to undertake online education and self-educate themselves.</t>
  </si>
  <si>
    <t>educational services, e-learning platform, e-learning tools, learning modules, offline webcast, online education portal</t>
  </si>
  <si>
    <t>18643-51T</t>
  </si>
  <si>
    <t>Enablon</t>
  </si>
  <si>
    <t>Environmental Services (B2B), Other Software, Publishing*, Vertical Market Software</t>
  </si>
  <si>
    <t>Provider of sustainability performance management software. The company provides suite of software, content and technology for end-to-end management of sustainability performance. It also provides on-premise and SaaS services for corporate responsibility and responsible supply chain management, safety &amp; risk management and energy &amp; carbon management.</t>
  </si>
  <si>
    <t>Audacia (PAR: ALAUD), ETF Partners(Robert Genieser)</t>
  </si>
  <si>
    <t>carbon management, energy management, enterprise resource planning, enterprise supply chain management, inventory management, social reporting, supply chain tech, sustainability project</t>
  </si>
  <si>
    <t>CleanTech, Industrials, SaaS, Supply Chain Tech, TMT</t>
  </si>
  <si>
    <t>29136-88T</t>
  </si>
  <si>
    <t>Amundi Private Equity Funds, GoGreen Capital(Timothy Vander Elst)</t>
  </si>
  <si>
    <t>63064-27T</t>
  </si>
  <si>
    <t>TcLand Expression</t>
  </si>
  <si>
    <t>Developer of biomarkers intended to treat unmet medical needs. The company is engaged in the development of immune profiling and gene expression biomarkers for kidney transplantation and auto-immune disorder, enabling healthcare professionals to help in treatments for patients.</t>
  </si>
  <si>
    <t>European Regional Development Fund (Brandenburg), OSEO Innovation</t>
  </si>
  <si>
    <t>autoimmune disorder, biomarkers research, clinical treatment, gene expressions, immune profiling, kidney transplantation</t>
  </si>
  <si>
    <t>29893-33T</t>
  </si>
  <si>
    <t>Drive Implants</t>
  </si>
  <si>
    <t>Developer of a dental implant system intended to offer treatment to the loss of a tooth. The company's system places an artificial root in the maxillary bone that is then covered with a prosthesis, enabling patients to have an alternative to parietal graft.</t>
  </si>
  <si>
    <t>Crealys, Promelys Participations(Luc-Alban Chermette)</t>
  </si>
  <si>
    <t>bone drill, dental implants, prosthesis implants, teeth prosthesis, teeth surgery</t>
  </si>
  <si>
    <t>44433-73T</t>
  </si>
  <si>
    <t>École Terrade</t>
  </si>
  <si>
    <t>Operator of training institutions intended to provide hairdressing and aesthetics training. The company offers vocational training and specialized courses including makeup artistry, nail styling and socio-esthetics, enabling students to pursue careers in beauty treatment and well-being under professional guidance.</t>
  </si>
  <si>
    <t>courses provider, educational services, educational training, esthetics school, hairdressing school, perfumery courses, specialized training, vocational school, vocational training</t>
  </si>
  <si>
    <t>130475-44T</t>
  </si>
  <si>
    <t>Perceptiva Labs</t>
  </si>
  <si>
    <t>Developer of audiovisual technology intended for measuring and analyzing user-perceived quality. The company's technology measures and analyzes the quality of sound and images of television, the web, videoconferencing, telepresence systems or mobile.</t>
  </si>
  <si>
    <t>audio analysis service, audio visual system, audio visual technology, video analysis service, video conference</t>
  </si>
  <si>
    <t>36330-67T</t>
  </si>
  <si>
    <t>Charmettes Participations, Entrepreneur Invest, Savoie Angels, Siparex Group, Viaduc</t>
  </si>
  <si>
    <t>26759-08T</t>
  </si>
  <si>
    <t>Alain Parize(Alain Parize), Anaxago Capital, Financiere Norbert Dentressangle, Hi Inov, Newfund Management(Charles-Antoine Morand), Olivier Mathiot(Olivier Mathiot), Orkos Capital(Alexandre Mordacq), Pierre Kosciusko Morizet(Pierre Kosciusko Morizet), Regis Bouyala(Regis Bouyala)</t>
  </si>
  <si>
    <t>29193-67T</t>
  </si>
  <si>
    <t>Dominique Michel, Guy Fleury(Guy Fleury), OSEO Innovation</t>
  </si>
  <si>
    <t>26114-23T</t>
  </si>
  <si>
    <t>Cordouan Technologies</t>
  </si>
  <si>
    <t>Electronic Equipment and Instruments*, Industrial Supplies and Parts, Other Commercial Products</t>
  </si>
  <si>
    <t>Developer of optoelectronic analyzing instruments designed to help in the physicochemical characterization of nanoparticles and nanomaterials. The company's instruments include refractometers, instruments for granulometry, telemetry, and electronic microscopy and preparation accessories among others, enabling clients to improve the quality of products and make efficient research on biological studies and cellular analysis.</t>
  </si>
  <si>
    <t>Aquitaine Advisors, AQUITI Gestion, FaDiese</t>
  </si>
  <si>
    <t>nanoparticles analysis, nanoparticles technology, patented technology, process monitoring, research laboratory, zeta potential</t>
  </si>
  <si>
    <t>29634-40T</t>
  </si>
  <si>
    <t>Primaveris(Jean-Paul Albanese), Succès Europe</t>
  </si>
  <si>
    <t>163920-88T</t>
  </si>
  <si>
    <t>178196-05T</t>
  </si>
  <si>
    <t>Syrlinks</t>
  </si>
  <si>
    <t>Developer of radiocommunication and radio frequency products intended for the space market, safety, defense &amp; time frequency. The company's global satellite tracking and data collection system are dedicated to studying and protecting the planet's environment, thereby enabling clients with a high level of quality, reliability, and performance.</t>
  </si>
  <si>
    <t>micro satellites, nano satellites systems, radiocommunication systems, signal readers, spectrum monitoring, tracking beacons</t>
  </si>
  <si>
    <t>18527-14T</t>
  </si>
  <si>
    <t>AppsFire</t>
  </si>
  <si>
    <t>Provider of promotion and discovery platform for mobile applications. The company enables its users to discover and share iPhone applications.</t>
  </si>
  <si>
    <t>FJ Labs, Idinvest Partners</t>
  </si>
  <si>
    <t>iphone application, mobile application, online platform</t>
  </si>
  <si>
    <t>30091-60T</t>
  </si>
  <si>
    <t>88219-45T</t>
  </si>
  <si>
    <t>Brea System</t>
  </si>
  <si>
    <t>Industrial Supplies and Parts, Machinery (B2B), Other Metals, Minerals and Mining*</t>
  </si>
  <si>
    <t>Manufacturer of aluminum alloy parts. The company's aluminum alloy parts are specially designed and manufactured, enabling customers to avail a complete range of processes adapted to their requirements.</t>
  </si>
  <si>
    <t>JEREMIE Auvergne, Sofimac Investment Managers(Jean-Pierre Bouiller)</t>
  </si>
  <si>
    <t>aluminum alloy, aluminum alloy casting, aluminum alloy parts, aluminum foundry</t>
  </si>
  <si>
    <t>Domerat, France</t>
  </si>
  <si>
    <t>36011-98T</t>
  </si>
  <si>
    <t>Klea Holding (PAR: ALKLH)</t>
  </si>
  <si>
    <t>Klea Holding focused on the acquisition, development and digitalization of companies in multiple sectors. Its development of Smart Salem, the first network of digital medical analysis centers accredited by the Dubai Ministry of Health (DHA) in the Emirates United Arabs, or its Smart Health joint venture developed in Saudi Arabia.</t>
  </si>
  <si>
    <t>Idinvest Partners(Laurent Dumas-Crouzillac), Matignon Investissement et Gestion(Thierry Chignon)</t>
  </si>
  <si>
    <t>baby wipes, blood pressure meter, dental hygiene device, infrared thermometer, nebulizers, pain treatment device, thermometer</t>
  </si>
  <si>
    <t>29796-94T</t>
  </si>
  <si>
    <t>49447-72T</t>
  </si>
  <si>
    <t>Turenne Groupe(Francois Lombard)</t>
  </si>
  <si>
    <t>123858-64T</t>
  </si>
  <si>
    <t>Alive Ideas, Paris Business Angels</t>
  </si>
  <si>
    <t>25697-71T</t>
  </si>
  <si>
    <t>Crédit Mutuel Innovation(Guillaume Dhee), Innovacom (Paris)(Jérôme Faul), Turenne Groupe</t>
  </si>
  <si>
    <t>46124-74T</t>
  </si>
  <si>
    <t>Antepedia</t>
  </si>
  <si>
    <t>Network Management Software*, Other Software</t>
  </si>
  <si>
    <t>Developer of a knowledge base website designed to provide information associated with software artifacts. The company's website provides a multi-source tracking service that offers open source governance support to business networks and also provides security and protection services for business software assets, enabling clients to build and manage software bill of materials.</t>
  </si>
  <si>
    <t>IT-Translation(Sophie Pellat)</t>
  </si>
  <si>
    <t>multi-source tracking, network security service, software artifacts, software asset security, software management</t>
  </si>
  <si>
    <t>25680-43T</t>
  </si>
  <si>
    <t>CDC Enterprises(Thibaut Roulon), Femmes Business Angels, iXO Private Equity(Renaud du Lac)</t>
  </si>
  <si>
    <t>28518-58T</t>
  </si>
  <si>
    <t>Bouygues Telecom Initiatives(Pierre Marfaing), Sofimac Innovation(Nicolas Landrin), Total Energies</t>
  </si>
  <si>
    <t>25420-24T</t>
  </si>
  <si>
    <t>KCE Consultants, Seventure Partners, XAnge</t>
  </si>
  <si>
    <t>28793-62T</t>
  </si>
  <si>
    <t>25389-73T</t>
  </si>
  <si>
    <t>Antagene</t>
  </si>
  <si>
    <t>Operator of a veterinary genetic test assessment company intended for cats, dogs, horses and related biodiversity wildlife. The company primarily focuses on detecting or diagnosing genetic diseases through assessment tests and screening for animal welfare, origin certification and disease prevention, thereby contributing to improving the traceability and health of companion animals and the detection of serious genetic diseases.</t>
  </si>
  <si>
    <t>Eurostars</t>
  </si>
  <si>
    <t>ag biotech, agriculture technology, animal biotech, animal biotechnology, animal genetics, animal healthcare, animal testing, genetic analysis, medical testing, pet wellness, veterinary testing</t>
  </si>
  <si>
    <t>La Tour-de-Salvagny, France</t>
  </si>
  <si>
    <t>25423-57T</t>
  </si>
  <si>
    <t>L4 Epsilon</t>
  </si>
  <si>
    <t>Developer of e-commerce logistics software. The company provides a platform with tools for product identification, supplier receiving, parcel filling, packing, shipping, operational reporting and returns management.</t>
  </si>
  <si>
    <t>Apicap, CITA Investissement, Seventure Partners</t>
  </si>
  <si>
    <t>operational reporting, parcel filling, shipping</t>
  </si>
  <si>
    <t>26266-60T</t>
  </si>
  <si>
    <t>Innovation Capital (Paris)(Valéry Huot)</t>
  </si>
  <si>
    <t>26755-39T</t>
  </si>
  <si>
    <t>Globike</t>
  </si>
  <si>
    <t>Automotive, Other Commercial Products, Other Consumer Durables, Specialty Retail*</t>
  </si>
  <si>
    <t>Designer and manufacturer of high-tech bicycles. The company manufactures and designs carbon-fiber bike frames, as well as a variety of bike components.</t>
  </si>
  <si>
    <t>bikes parts, racing bikes</t>
  </si>
  <si>
    <t>58236-67T</t>
  </si>
  <si>
    <t>Groupe Revue Fiduciaire(Yves de La Villeguerin)</t>
  </si>
  <si>
    <t>45112-69T</t>
  </si>
  <si>
    <t>Altamira Capital Partners, Xerys Invest(Jacques Simonnet)</t>
  </si>
  <si>
    <t>60477-85T</t>
  </si>
  <si>
    <t>Edilivre</t>
  </si>
  <si>
    <t>Operator of an alternative publishing house intended to make publishing more accessible. The company offers publishing services in both paper and digital formats as well as copyright advisory, a contract without commitment and promotion of literary works, enabling authors to publish and distribute their manuscript.</t>
  </si>
  <si>
    <t>alternative publishing house, collaborative publishing platform, literary work representation, manuscript seller, publishing house, publishing services</t>
  </si>
  <si>
    <t>29221-93T</t>
  </si>
  <si>
    <t>Alto Invest, Apicap, Axonia Partners, Backbone Capital, XAnge(Dominique Agrech)</t>
  </si>
  <si>
    <t>67433-05T</t>
  </si>
  <si>
    <t>Petit Poucet</t>
  </si>
  <si>
    <t>129255-40T</t>
  </si>
  <si>
    <t>26350-93T</t>
  </si>
  <si>
    <t>CoachClub</t>
  </si>
  <si>
    <t>Developer of an online fitness and coaching platform designed to create personalized sports programs for keeping people healthy. The company's platform is accessible via the internet and television which help users to practice salsa, aerobics, yoga and glutes exercises that are on-demand as well as customizable, enabling users to find their suitable fitness program and attain their fitness goals.</t>
  </si>
  <si>
    <t>Innovacom (Paris), Marine Desbans(Marine Desbans), Serena (Paris)(Xavier Lorphelin)</t>
  </si>
  <si>
    <t>fitness coaching, fitness coaching platform, fitness coaching technology, fitness trainer, online fitness, sports program, sports video</t>
  </si>
  <si>
    <t>34566-13T</t>
  </si>
  <si>
    <t>OCTALFA(Gilles Alberici), Oreo Finance, Smalt Capital, Ventech (Paris)</t>
  </si>
  <si>
    <t>26381-80T</t>
  </si>
  <si>
    <t>26564-23T</t>
  </si>
  <si>
    <t>Paragone (Business/Productivity Software)</t>
  </si>
  <si>
    <t>Developer of performance marketing platform intended to empower the modern enterprise to transform how brands and agencies manage digital growth. The company offers a platform for advertisers and agencies to create, manage, and optimize marketing campaigns, enabling agencies and advertisers to efficiently maximize, reach, and optimize revenue through actionable analytics and campaign automation tools.</t>
  </si>
  <si>
    <t>Alven Capital Partners(Jeremy Uzan), Siparex Group, XAnge</t>
  </si>
  <si>
    <t>advertisers content, advertisers fund, marketing campaign, mobile marketing platform, performance marketing platform, social media advertising, social media marketing</t>
  </si>
  <si>
    <t>28546-21T</t>
  </si>
  <si>
    <t>Endeavour Vision(Dominique Pitteloud), Idinvest Partners(Guillaume Lautour)</t>
  </si>
  <si>
    <t>34175-35T</t>
  </si>
  <si>
    <t>Eurekap!(Jacques Dancer), Evolem, Rhône-Alpes Création, Siparex Group</t>
  </si>
  <si>
    <t>66282-76T</t>
  </si>
  <si>
    <t>Lepape</t>
  </si>
  <si>
    <t>Operator of an online sports retail platform intended to offer fitness equipment. The company's platform supplies triathlon, cycling, running, and fitness gear and accessories, enabling sports enthusiasts to get equipment as per their utility.</t>
  </si>
  <si>
    <t>Audacia (PAR: ALAUD)(Emmanuel Baulme), OSEO Innovation</t>
  </si>
  <si>
    <t>cardio training, cycling equipment, fitness equipment, online sports shops, retail platform, running equipment, sports equipment seller, sports gear, sports retail</t>
  </si>
  <si>
    <t>65541-34T</t>
  </si>
  <si>
    <t>29980-72T</t>
  </si>
  <si>
    <t>Glisodin</t>
  </si>
  <si>
    <t>Developer of nutritional supplements and beauty products intended to fulfill skincare needs. The company's products combine nature and science in synergy and enhance the health and beauty of the skin from the inside out, enabling users to look good and take care of their skin.</t>
  </si>
  <si>
    <t>Auriga Partners (Paris)(Bernard Daugeras)</t>
  </si>
  <si>
    <t>beauty product, functional food, nutritional supplements, personal product, skincare product, vitamins and food supplements</t>
  </si>
  <si>
    <t>Beauty, E-Commerce, Life Sciences</t>
  </si>
  <si>
    <t>27677-71T</t>
  </si>
  <si>
    <t>Nature et Stratégie</t>
  </si>
  <si>
    <t>Distributors/Wholesale, Household Products, Personal Products*</t>
  </si>
  <si>
    <t>Manufacturer and supplier of organic cosmetic products and ecological cleaning products intended to build a better world for people and biodiversity. The company specializes in producing cosmetics, cleaning, hygiene products and other beauty supplies made from naturally derived compounds, enabling consumers to get natural, effective, environmentally friendly cosmetics and detergent products.</t>
  </si>
  <si>
    <t>Oraxys, Ouest Croissance Gestion(Adeline Drogou)</t>
  </si>
  <si>
    <t>beauty care, beauty supplies provider, eco-friendly product, natural cosmetics, natural health, organic cosmetics, organic goods</t>
  </si>
  <si>
    <t>Somloire, France</t>
  </si>
  <si>
    <t>19918-90T</t>
  </si>
  <si>
    <t>Verimatrix (PAR: VMX)</t>
  </si>
  <si>
    <t>Verimatrix is a trusted business partner providing software security and business intelligence solutions that protect content, devices, applications, and communications across multiple markets. Its product solutions include Multi-DRM, Video Content Authority System, Watermarking, Content Distribution, TV Authentication, Analytics, Code Protection, Mobile Payment, and Strong Authentication.</t>
  </si>
  <si>
    <t>Costella Kirsch</t>
  </si>
  <si>
    <t>application security, digital content, system protection, system security</t>
  </si>
  <si>
    <t>116540-74T</t>
  </si>
  <si>
    <t>27913-06T</t>
  </si>
  <si>
    <t>S2F</t>
  </si>
  <si>
    <t>Business Equipment and Supplies*, Office Services (B2B)</t>
  </si>
  <si>
    <t>Provider of event space management services intended to design stands at trade shows. The company's services includes installation of a varied range of general stands and showrooms, customized stands, unique mounting system, ensuring durability and performance, enabling exhibitors to boost the performance of their show by offering their customers standard stands, all equipped or personalized.</t>
  </si>
  <si>
    <t>FSI Régions, Garibaldi Participations</t>
  </si>
  <si>
    <t>event space management, exhibition, general installation, installation service, modular</t>
  </si>
  <si>
    <t>Chasse-sur-Rhône, France</t>
  </si>
  <si>
    <t>29963-71T</t>
  </si>
  <si>
    <t>Inovaxion</t>
  </si>
  <si>
    <t>Distributors/Wholesale*, Electronics (B2C)</t>
  </si>
  <si>
    <t>Manufacturer and distributor of electronic consumer products. The company's portfolio of electronic consumer products include electonic weather stations, table clocks, kitchen utensils, tactile shelves, digitalization tools and related products.</t>
  </si>
  <si>
    <t>Promelys Participations(Luc-Alban Chermette)</t>
  </si>
  <si>
    <t>consumer electronics, electronic product, weather station</t>
  </si>
  <si>
    <t>29484-64T</t>
  </si>
  <si>
    <t>Mediastay</t>
  </si>
  <si>
    <t>Operator of an online advertising agency based in Paris, France. The company through its platform offers features such as acquisition of lead and traffic, branding and commitment, monetization of sites and licenses.</t>
  </si>
  <si>
    <t>Idinvest Partners(Matthieu Baret), IRIS (Private Equity)(Guillaume Meulle)</t>
  </si>
  <si>
    <t>advertising agency business, advertising company, advertising work, digital agency company, monetization, social games</t>
  </si>
  <si>
    <t>24688-00T</t>
  </si>
  <si>
    <t>Graine de Cadeaux</t>
  </si>
  <si>
    <t>Provider of online retail products. The company provides a wide variety of product dedicated to babies through gift boxes.</t>
  </si>
  <si>
    <t>baby product, internet market, retail product</t>
  </si>
  <si>
    <t>28549-18T</t>
  </si>
  <si>
    <t>CIC Group, Hera Capital Partners, Orkos Capital(Dominique Rencurel), OSEO Innovation</t>
  </si>
  <si>
    <t>24553-99T</t>
  </si>
  <si>
    <t>29429-47T</t>
  </si>
  <si>
    <t>Alkion BioInnovations</t>
  </si>
  <si>
    <t>Drug Discovery, Other Pharmaceuticals and Biotechnology*, Personal Products</t>
  </si>
  <si>
    <t>Producer of natural plant active ingredients designed for pharmaceutical applications using proprietary patented semi-industrial technologies. The company's technology utilizes plant science to develop new pharmaceutical and agri-foods, focusing on natural ingredients and extraction processes to create effective products. enabling industries to deliver services to the pharmaceutical and agri-food markets that are both environmentally friendly and beneficial to consumers.</t>
  </si>
  <si>
    <t>Touchstone Innovations</t>
  </si>
  <si>
    <t>bioactive compounds, cosmetics industry, green chemistry, indoor farming, pharmaceutical application, pharmaceutical purpose</t>
  </si>
  <si>
    <t>27997-12T</t>
  </si>
  <si>
    <t>Dom Ostalamer</t>
  </si>
  <si>
    <t>Provider of fishing services. The company engages in fishing activities and sells its catch directly to restaurants serving fish.</t>
  </si>
  <si>
    <t>directing sales, fishing, sea fishing</t>
  </si>
  <si>
    <t>Saint-Jean-de-Luz, France</t>
  </si>
  <si>
    <t>24681-25T</t>
  </si>
  <si>
    <t>A Plus Finance(Jean-Michel Pimont), Trail Solutions Patrimoine</t>
  </si>
  <si>
    <t>24559-12T</t>
  </si>
  <si>
    <t>Dotcorp Private Equity</t>
  </si>
  <si>
    <t>24483-25T</t>
  </si>
  <si>
    <t>28546-75T</t>
  </si>
  <si>
    <t>Tigerlily</t>
  </si>
  <si>
    <t>Business/Productivity Software, Publishing*, Social/Platform Software</t>
  </si>
  <si>
    <t>Provider of a social marketing platform designed to help brands engage their customers. The company's social marketing platform supports brands and agencies in the creation of effective digital multi-platform campaigns on web, mobile and tablet to maximize their accessibility, enabling them to engage and monitor customers on social media.</t>
  </si>
  <si>
    <t>Boulas Ventures, Seed4Soft, Seventure Partners</t>
  </si>
  <si>
    <t>branding advertisement, comprehensive, digital campaign, digital multiplatform campaign, engage and monitor, social marketing</t>
  </si>
  <si>
    <t>35082-73T</t>
  </si>
  <si>
    <t>6PEO</t>
  </si>
  <si>
    <t>Developer of an audience analysis software designed for data collection, display customization and product recommendation. The company's audience analysis software retrieves information from the browsing history as well as analyzes data collected during the connection of netizens and delivers a complete synthesis, enabling users with what they are looking for, respecting their anonymity as soon as they log in.</t>
  </si>
  <si>
    <t>audience analysis, audience analysis tool, browsing history search, display customization, product recommendation app</t>
  </si>
  <si>
    <t>18283-51T</t>
  </si>
  <si>
    <t>A Plus Finance(Pierre Loup)</t>
  </si>
  <si>
    <t>28035-01T</t>
  </si>
  <si>
    <t>Incitat Environnement</t>
  </si>
  <si>
    <t>Environmental Services (B2B), Other Hardware*</t>
  </si>
  <si>
    <t>Developer of an electronic device designed to improve waste management. The company offers connected objects and electromechanical assemblies that can be integrated into the existing pre-equipped underground and semi-underground containers, enabling clients to create reliable waste collection information on voluntary contribution points and quantify the waste produced.</t>
  </si>
  <si>
    <t>Herrikoa, OSEO Innovation</t>
  </si>
  <si>
    <t>boilermaking equipment, electronic device, garbage collection, waste collection, waste management, waste management tech</t>
  </si>
  <si>
    <t>LOHAS &amp; Wellness, SaaS</t>
  </si>
  <si>
    <t>26759-35T</t>
  </si>
  <si>
    <t>MobPartner</t>
  </si>
  <si>
    <t>Operater of a mobile affiliate network that connects advertisers with their audience worldwide. The company provides performance marketing services for advertisers and agencies, mobile publishers, application developers and media buyers.</t>
  </si>
  <si>
    <t>Alven Capital Partners(Jeremy Uzan), Newfund Management(Charles-Antoine Morand)</t>
  </si>
  <si>
    <t>marketing, mobile advertising, mobile affiliate network, mobile performance marketing</t>
  </si>
  <si>
    <t>29634-85T</t>
  </si>
  <si>
    <t>Medical Techni Confort</t>
  </si>
  <si>
    <t>Manufacturer of healthcare equipment for use in intensive-care and rehabilitation settings. The company is the creator of EASY MOVE, a device for automatically moving a patient into lateral and prone positions, for daily care and eschar prevention.</t>
  </si>
  <si>
    <t>intensive care unit, medical care devices, medical devices, rehabilitation unit</t>
  </si>
  <si>
    <t>Castelnau-Le-Lez, France</t>
  </si>
  <si>
    <t>28547-20T</t>
  </si>
  <si>
    <t>Eye'At Groupe</t>
  </si>
  <si>
    <t>Retailer of healthcare products. The company through its subsidiary is an online retailer of parapharmacy products and contact lenses.</t>
  </si>
  <si>
    <t>consumer health, health product</t>
  </si>
  <si>
    <t>29655-64T</t>
  </si>
  <si>
    <t>Quelle Energie</t>
  </si>
  <si>
    <t>Consulting Services (B2B)*, Other Energy Services</t>
  </si>
  <si>
    <t>Operator of an internet consultancy in energy savings intended to help individuals in saving energy. The company places users in contact with one of their partnered installers and supplies them with software online energy assessment, helping home and apartment owners to invest peacefully in energy-saving works.</t>
  </si>
  <si>
    <t>consultancy, consultancy works, energy consultancy, energy renovation, energy saving consultancy, energy savings comparator, green energy</t>
  </si>
  <si>
    <t>26319-97T</t>
  </si>
  <si>
    <t>Aquitaine-Creation-Innovation</t>
  </si>
  <si>
    <t>23735-62T</t>
  </si>
  <si>
    <t>Total Immersion</t>
  </si>
  <si>
    <t>Developer of augmented reality software services based in Paris, France. The company offers virtual try-on and augmented reality solutions for e-commerce, mobile commerce, retail and brand marketing</t>
  </si>
  <si>
    <t>Elaia Partners, Intel Capital(Ian Cooper), Partech(Philippe Collombel), Sofimac Innovation(Nicolas Landrin)</t>
  </si>
  <si>
    <t>augmented reality, augmented reality software, augmented reality software application, augmented reality solutions, mobile commerce, multimedia software</t>
  </si>
  <si>
    <t>Augmented Reality, E-Commerce, Mobile, TMT</t>
  </si>
  <si>
    <t>27991-63T</t>
  </si>
  <si>
    <t>Bastidarra</t>
  </si>
  <si>
    <t>Producer of milk and dairy products intended to offer a wide range of artisanal and fresh dairy products. The company's products include yogurt from cow's milk or sheep's milk which has quality protein content and dairy specialties from the basque country, enabling consumers to avail of the dairy products at a reasonable rate with quality ingredients.</t>
  </si>
  <si>
    <t>dairy farming, dairy product, food ecommerce, milk and dairy, milk product, online grocer, yogurt food, yogurt maker, yogurt producer</t>
  </si>
  <si>
    <t>Bardos, France</t>
  </si>
  <si>
    <t>85067-38T</t>
  </si>
  <si>
    <t>Bpifrance, Fonds Régional d'Investissement Auvergne Rhône-Alpes</t>
  </si>
  <si>
    <t>35104-15T</t>
  </si>
  <si>
    <t>DarQroom</t>
  </si>
  <si>
    <t>Multimedia and Design Software*, Social/Platform Software</t>
  </si>
  <si>
    <t>Provider of online photo sharing with printing services. The company's activities include electronic commerce photography websites for demanding photographers, high-end photography online laboratory with a focus on gallery quality fine art prints and sale of original photos.</t>
  </si>
  <si>
    <t>Amundi Private Equity Funds, Sofimac Innovation</t>
  </si>
  <si>
    <t>online photography laboratory, photo sharing, photography website</t>
  </si>
  <si>
    <t>18248-86T</t>
  </si>
  <si>
    <t>EntropySoft</t>
  </si>
  <si>
    <t>Automation/Workflow Software*, Business/Productivity Software</t>
  </si>
  <si>
    <t>Provider of a enterprise content management platform. The company's platform helps enterprise software companies to access and manage their customers' ever-increasing content silos with content management federation, content process automation and Cloud and SharePoint integration applications.</t>
  </si>
  <si>
    <t>content connection, content connectivity, content management software, content synchronization, content transfer</t>
  </si>
  <si>
    <t>29636-74T</t>
  </si>
  <si>
    <t>SIMAX ( No Code ERP-CRM )</t>
  </si>
  <si>
    <t>Developer of business management software and provider of custom software development services intended to facilitate enterprise resource planning and customer relationship management. The company's software features modified screens, statistics, treatments, alerts, access rights and controls, it provides software development services in human resource management, supplier relationship management, procurement management and more, enabling businesses to obtain tailored management services without programming by eliminating the human factor on repetitive tasks.</t>
  </si>
  <si>
    <t>account management, business automation service, business management software service, business software service, customer relationship management, enterprise management</t>
  </si>
  <si>
    <t>34176-79T</t>
  </si>
  <si>
    <t>Cyberprotect</t>
  </si>
  <si>
    <t>Provider of managed network security services committed to supporting organizations in the continuous improvement of their IT security. The company delivers services for the management of intangible IT risks as well as offers services for the global management of cyber risk, thereby enabling clients to efficiently reduce threats related to cyber-attacks and hacking.</t>
  </si>
  <si>
    <t>cyber risk management, cyber security system, cybersecurity operations, cybersecurity software, it security, it services, network security software, network security system, security software</t>
  </si>
  <si>
    <t>Bron, France</t>
  </si>
  <si>
    <t>26460-10T</t>
  </si>
  <si>
    <t>25285-24T</t>
  </si>
  <si>
    <t>Availpro</t>
  </si>
  <si>
    <t>Provider of an online platform for hotel reservations designed to offer hotel owners with a fully integrated online distribution system. The company's online platform for hotel reservations offers software services for various types of accommodations for hotels, hotel chains and residences, enabling them to increase their occupancy and revenue while saving costs.</t>
  </si>
  <si>
    <t>Auriga Partners (Paris), Crédit Mutuel Impact(Nicolas Meunier)</t>
  </si>
  <si>
    <t>hotel booking platform, hotel occupancy, hotel reservation platform, reservation platform, web based reservation</t>
  </si>
  <si>
    <t>26111-26T</t>
  </si>
  <si>
    <t>FaDiese, Paris Business Angels</t>
  </si>
  <si>
    <t>57053-98T</t>
  </si>
  <si>
    <t>Inventia (Beauty Products)</t>
  </si>
  <si>
    <t>Provider of hygiene and beauty products. The company specializes in ecological cleaning products in France.</t>
  </si>
  <si>
    <t>beauty product, ecological cleaning, hygiene product</t>
  </si>
  <si>
    <t>Taillades, France</t>
  </si>
  <si>
    <t>29629-09T</t>
  </si>
  <si>
    <t>ALCI</t>
  </si>
  <si>
    <t>Manufacturer and developer of robotic equipment designed to solve primarily heterogenic products manufacturing and specific quality control techniques. The company's business includes development and marketing of smart vision systems, automation systems and other robotics and quality control systems for the markets of the agro-food industry, and quality control in the seed sector, enabling its clients to empower productivity and simplify human resources management to innovate industries several working processes, including plants breeding, seeds analysis, beef cutting, tiles quality control or optical solar reflectors.</t>
  </si>
  <si>
    <t>360 Capital, Soridec</t>
  </si>
  <si>
    <t>heterogeneous product, industrial robotized slicer, sampling tools, smart vision systems, tiles experts analyzers</t>
  </si>
  <si>
    <t>24545-80T</t>
  </si>
  <si>
    <t>Callresto</t>
  </si>
  <si>
    <t>Application Software, Restaurants and Bars*, Social/Platform Software</t>
  </si>
  <si>
    <t>Developer of an online food ordering platform designed to help consumers order food for delivery from restaurants. The company's food delivery platform deliver food at home or office in less than 45 minutes all types of cuisines such as sushi, pizza, Indian cuisine, Chinese, Japanese and Lebanese cuisine, enabling users to order food via computers, smart phones, smart TV and Freebox.</t>
  </si>
  <si>
    <t>FJ Labs, Jérémie Berrebi(Jérémie Berrebi), Kima Ventures</t>
  </si>
  <si>
    <t>food delivery, food delivery service, food ordering platform, online food ordering platform</t>
  </si>
  <si>
    <t>210183-49T</t>
  </si>
  <si>
    <t>52320-97T</t>
  </si>
  <si>
    <t>A Plus Finance(Jean-Michel Pimont), CEA Investissement(Régis Saleur)</t>
  </si>
  <si>
    <t>86550-31T</t>
  </si>
  <si>
    <t>WIIO (Wireless Input Output)</t>
  </si>
  <si>
    <t>Developer of a warehouse management and maintenance software. The company's warehouse management and maintenance software is a customized software designed to offers services which includes audit, functional analysis, writing functional specifications, enabling users to control interventions indoor technicians or outdoor.</t>
  </si>
  <si>
    <t>customized software service, warehouse maintenance software, warehouse management system, warehouse system</t>
  </si>
  <si>
    <t>35682-85T</t>
  </si>
  <si>
    <t>Wikango</t>
  </si>
  <si>
    <t>Developer of GPS products intended to focus on road safety and warning of danger zones in France. The company has developed radar databases for GPS navigators, warning devices for radars and danger zones and mobile applications, enabling customers with a safe driving experience.</t>
  </si>
  <si>
    <t>gps product technology, gps technology, gps technology product, intelligent drivers assistance system, radar database, smart driving</t>
  </si>
  <si>
    <t>E-Commerce, LOHAS &amp; Wellness, Mobile, SaaS</t>
  </si>
  <si>
    <t>27444-25T</t>
  </si>
  <si>
    <t>Youmag France</t>
  </si>
  <si>
    <t>Information Services (B2C), Publishing, Social Content*</t>
  </si>
  <si>
    <t>Provider of a social digital magazines. The company offers news and other social content on various digital platforms including Web, mobile, tablets, iPad and iPhone. It also allows the users to refine their preferences.</t>
  </si>
  <si>
    <t>Airtek Capital Group, Orkos Capital(Dominique Rencurel)</t>
  </si>
  <si>
    <t>digital magazine, digital news, news engine, social content</t>
  </si>
  <si>
    <t>24519-52T</t>
  </si>
  <si>
    <t>25576-12T</t>
  </si>
  <si>
    <t>Sorin(André-Michel Ballester), Versant Ventures</t>
  </si>
  <si>
    <t>25488-01T</t>
  </si>
  <si>
    <t>Karista (Paris)(Catherine Boule)</t>
  </si>
  <si>
    <t>29559-61T</t>
  </si>
  <si>
    <t>HappyView</t>
  </si>
  <si>
    <t>Internet Retail, Other Retail*</t>
  </si>
  <si>
    <t>Retailer of eyeglasses, lenses and sunglasses. The company offers glasses from major brands on its website, with corrective lenses for an array of vision issues, including nearsightedness, farsightedness, astigmatism and presbyopia.</t>
  </si>
  <si>
    <t>Alven Capital Partners(Nicolas Celier), Cyril Vermeulen(Cyril Vermeulen), Olivier Mathiot(Olivier Mathiot)</t>
  </si>
  <si>
    <t>online eyewear seller</t>
  </si>
  <si>
    <t>Other Retail</t>
  </si>
  <si>
    <t>29560-60T</t>
  </si>
  <si>
    <t>Innetech</t>
  </si>
  <si>
    <t>Manufacturer of energy-efficient air treatment units and diffusers designed to consume low energy. The company's diffusers specialize in the design, compliance, and maintenance of ecological air handling systems and healthy environments, enabling construction and renovating companies to avail of advanced eco-designed electronics.</t>
  </si>
  <si>
    <t>Bpifrance, Breizh Invest PME, Omnes Capital</t>
  </si>
  <si>
    <t>air conditioning, air treatment, air treatment unit, dehumidification systems, diffusers, energy efficient air treatment unit</t>
  </si>
  <si>
    <t>Saint Renan, France</t>
  </si>
  <si>
    <t>29995-39T</t>
  </si>
  <si>
    <t>ISAI(Christophe Raynaud), Omnes Capital</t>
  </si>
  <si>
    <t>18268-03T</t>
  </si>
  <si>
    <t>Spoonymix</t>
  </si>
  <si>
    <t>Developer of mobile barcode reading application designed to discover the nutritional quality of products. The company's application reveals the composition of products, including those whose brands do not print the Official Nutriscore indicator on their packaging, enabling users to scan tags on all products via their smartphone to create a shopping list by simultaneously optimizing the nutritional quality and cost of your shopping cart.</t>
  </si>
  <si>
    <t>Alven Capital Partners(Nicolas Celier), IDF Capital, Skandinaviska Enskilda Banken (STO: SEB A), XAnge(Nicolas Rose)</t>
  </si>
  <si>
    <t>barcode services, composition of products, digital marketing, embedded software, flashcode, mobile barcode reading, nutritional quality readers, qr coding</t>
  </si>
  <si>
    <t>Internet of Things, Mobile, TMT</t>
  </si>
  <si>
    <t>26759-53T</t>
  </si>
  <si>
    <t>25710-58T</t>
  </si>
  <si>
    <t>Naxicap Partners(Antoine Le Masson), Omnes Capital(Michel de Lempdes)</t>
  </si>
  <si>
    <t>25610-95T</t>
  </si>
  <si>
    <t>Airtag</t>
  </si>
  <si>
    <t>Developer of mobile transaction application created to offer mobile shopping solutions. The company develops mobile CRM programs (loyalty, couponing, interactive display) and payment (virtual wallet, micro payment) based on RFID / NFC technology, providing users with mobile commerce and payment solutions.</t>
  </si>
  <si>
    <t>Crédit Mutuel Equity, Crédit Mutuel Impact, Seventure Partners</t>
  </si>
  <si>
    <t>mobile shopping application, mobile transaction, mobile wallet app, mobile wallet application, secure mobile application</t>
  </si>
  <si>
    <t>E-Commerce, FinTech, Industrials, Mobile, Mobile Commerce, TMT</t>
  </si>
  <si>
    <t>29311-03T</t>
  </si>
  <si>
    <t>Rhône-Alpes Création, Siparex Group(Michel Faure)</t>
  </si>
  <si>
    <t>32558-05T</t>
  </si>
  <si>
    <t>WebMediaGroup</t>
  </si>
  <si>
    <t>Internet Retail*, Social/Platform Software, Specialty Retail</t>
  </si>
  <si>
    <t>Owner and operator of social commerce websites in France. The company operates multiple websites geared toward women consumers, with content ranging from home appliances, gardening and decor to an online marketplace for handcrafted objects and a female-focused classified platform.</t>
  </si>
  <si>
    <t>Gazprombank, Leader Asset Management, Marie Claire</t>
  </si>
  <si>
    <t>homemade product, household goods, specialist furniture</t>
  </si>
  <si>
    <t>50712-04T</t>
  </si>
  <si>
    <t>Crédit Mutuel Innovation(Karine Lignel), Sudinnova</t>
  </si>
  <si>
    <t>226778-59T</t>
  </si>
  <si>
    <t>Emertec Gestion, Regional Council of Poitou-Charentes</t>
  </si>
  <si>
    <t>211637-71T</t>
  </si>
  <si>
    <t>28522-99T</t>
  </si>
  <si>
    <t>29722-51T</t>
  </si>
  <si>
    <t>Impeto Medical</t>
  </si>
  <si>
    <t>Manufacturer of non-invasive diagnostic devices designed to provide screening tests for epidemically spreading metabolic disorders. The company offers devices use patented technology that assesses sudomotor function through sweat gland activity and analyses the ability of sweat glands to release chloride ions in response to an electrochemical stimulus, enabling physicians to screen large patient populations and detect diseases and complications at an early stage.</t>
  </si>
  <si>
    <t>Oddo BHF Asset Management, Seventure Partners</t>
  </si>
  <si>
    <t>assessment of eccrine sweat gland, medical device, medical device design, medical device manufacturer, metabolic syndrome, noninvasive screening, noninvasive screening devices</t>
  </si>
  <si>
    <t>35155-09T</t>
  </si>
  <si>
    <t>136057-42T</t>
  </si>
  <si>
    <t>YouLoveWords</t>
  </si>
  <si>
    <t>Provider of content marketing services intended to help businesses achieve strategic objectives. The company provides brands with a model that allows them to best share their expertise, their creativity, and their uniqueness, enabling businesses to entertain, educate and even transmit their knowledge to their targets through the right messages and the right channels.</t>
  </si>
  <si>
    <t>Expon Capital</t>
  </si>
  <si>
    <t>content marketing, content marketing service, content marketing strategy, content production, fiction writing, literary articles, literary content, social content writer, written content</t>
  </si>
  <si>
    <t>133484-68T</t>
  </si>
  <si>
    <t>Prixtel</t>
  </si>
  <si>
    <t>Provider of telephone communication services intended to offer adjustable mobile plans to its customers. The company offers 4G and 5G networks, flexible, no-obligation, and CO2-neutral mobile plans, enabling customers to ensure the provision of fixed, mobile Internet, and DSL services</t>
  </si>
  <si>
    <t>Banexi Ventures Partners, Serena (Paris)</t>
  </si>
  <si>
    <t>5g space, 5g speed, communication service, communication service company, telecommunication service company, telephone calls, telephone information</t>
  </si>
  <si>
    <t>25485-58T</t>
  </si>
  <si>
    <t>Algaia</t>
  </si>
  <si>
    <t>Producer of natural seaweed and other algal extracts intended for the agro-nutrition, personal care and nutraceutical industries. The company offers sustainable-produced natural seaweed and other algal extracts, developed by stabilizing and thickening agents and also increases its water-retaining capacity for agro-nutrition, personal care and nutraceutical Industries using eco-friendly proprietary biotechnologies, enabling clients to use them as the core ingredient for their production unit.</t>
  </si>
  <si>
    <t>Emertec Gestion(Eric Marty), Karista (Paris)(Catherine Boule), Supernova Invest(Celia Hart)</t>
  </si>
  <si>
    <t>alginate product, bio-engineered food, biomarine ingredients, marine raw material, natural extracts producer, novel ingredients, seaweed extraction, seaweed product, skincare product</t>
  </si>
  <si>
    <t>Lannilis, France</t>
  </si>
  <si>
    <t>28775-26T</t>
  </si>
  <si>
    <t>Demeter Partners, Emertec Gestion, Tikehau Ace Capital</t>
  </si>
  <si>
    <t>25258-87T</t>
  </si>
  <si>
    <t>Auriga Partners (Paris)(Jacques Chatain)</t>
  </si>
  <si>
    <t>169790-77T</t>
  </si>
  <si>
    <t>Onetik</t>
  </si>
  <si>
    <t>Operator of a cheese dairy intended to produce authentic basque cheeses. The company's products include baguettes, uncooked pressed, blue cheeses and processed milk from in-house cattle, enabling cheese enthusiasts to have fresh cheese with different flavors.</t>
  </si>
  <si>
    <t>blue cheese, cheese production, dairy firm, dairy food, dairy product, milk product</t>
  </si>
  <si>
    <t>218495-08T</t>
  </si>
  <si>
    <t>17941-42T</t>
  </si>
  <si>
    <t>Presto Engineering</t>
  </si>
  <si>
    <t>General Purpose Semiconductors*, Production (Semiconductors)</t>
  </si>
  <si>
    <t>Manufacturer of application-specific integrated circuits (ASICs) and semiconductors intended for the medical, automotive, industrial, and communication sectors. The company offers a full range of semiconductors that cover various aspects of test, qualification and ramp-through volume production, enabling its customers to reduce overhead and risk and accelerate time-to-market effectively.</t>
  </si>
  <si>
    <t>Crédit Mutuel Equity, Crédit Mutuel Impact, Masseran Gestion(David Manjarres)</t>
  </si>
  <si>
    <t>integrated device, packaging services, processor design, semiconductor application, semiconductor industry, semiconductor manufacturer, semiconductor product, semiconductor production</t>
  </si>
  <si>
    <t>29936-44T</t>
  </si>
  <si>
    <t>Aventi Distribution</t>
  </si>
  <si>
    <t>Distributors/Wholesale, Movies, Music and Entertainment*</t>
  </si>
  <si>
    <t>Distributor of DVDs based out of Montreuil, France. The company distributes its own films, as well as the catalogs of publishers CONDOR, FIP, SND (M6) ADVITAM, FILMEDIA, FAMILY FILMS, SWIFT ANTARTIC, OF VISION among others, thereby enabling its customers to be provided with 3,000 references to cataloging in all segments of the video films, amateur cinema, documentary, children, TV shows and sports.</t>
  </si>
  <si>
    <t>amateur cinema, dvd distribution, dvd distributor, film distributor, multimedia entertainment, video entertainment</t>
  </si>
  <si>
    <t>28189-36T</t>
  </si>
  <si>
    <t>Bpifrance(Nicolas Dufourcq), CEA Investissement(Régis Saleur), Eurekap!(Jacques Dancer), Expansinvest, Innocap(Other Commercial Services), Promelys Participations, Rhône-Alpes Création, Tikehau Ace Capital(Thierry Letailleur)</t>
  </si>
  <si>
    <t>25510-33T</t>
  </si>
  <si>
    <t>Alto Invest, Seventure Partners(Marion Aubry)</t>
  </si>
  <si>
    <t>34171-30T</t>
  </si>
  <si>
    <t>CEA Investissement(François Breniaux), Expansinvest, Rhône-Alpes Création, Thales Corporate Ventures(Thomas Got), Tikehau Ace Capital(Gilles Daguet), Tikehau Capital (PAR: TKO)</t>
  </si>
  <si>
    <t>27787-96T</t>
  </si>
  <si>
    <t>Terres de France</t>
  </si>
  <si>
    <t>Owner and operator of a resort in the Loire Valley of France. The company's resort is eco-friendly and set in natural parks, surrounded by the beautiful French countryside that offers apartments and cottages with half or full board, as well as stay packages themed for spa, holidays, or tours that intends to offer cottages on rent, the apartments are self-catering, providing customers to avail holiday packages in the form of gourmet and wellness packages.</t>
  </si>
  <si>
    <t>CDC Enterprises, European Investment Bank (Luxembourg), FSI Régions, Vatel Capital</t>
  </si>
  <si>
    <t>business trips, group stay, hospitality sector, hotel management, leisure park, tourist residence, vacation rental</t>
  </si>
  <si>
    <t>36295-57T</t>
  </si>
  <si>
    <t>Jack Russell</t>
  </si>
  <si>
    <t>Manufacturer of leather bags and wallets intended to make it easier to live. The company's platform offers a wide range of bags and luggage products for both men and women, enabling individuals to avail themselves of iconic style products that are intelligently designed and crafted to last.</t>
  </si>
  <si>
    <t>luggage, luggage bags, luggage retail, travel luggage, trolleys, unisex bags</t>
  </si>
  <si>
    <t>29736-64T</t>
  </si>
  <si>
    <t>Alsace Inter Regio Fonds d'Investissement(Jean-Michel Barbier), Crédit Mutuel Equity(Karine Lignel), Sudinnova</t>
  </si>
  <si>
    <t>25478-29T</t>
  </si>
  <si>
    <t>Crédit Mutuel Innovation(Emilie Lidome), Karista (Paris)(Olivier Dubuisson), Sham Innovation Santé, Sudinnova</t>
  </si>
  <si>
    <t>55361-89T</t>
  </si>
  <si>
    <t>CEA Investissement(Benjamin Wainstain), Emertec Gestion(Jean-Philippe Stefanini)</t>
  </si>
  <si>
    <t>26431-12T</t>
  </si>
  <si>
    <t>Yakarouler</t>
  </si>
  <si>
    <t>Automotive, Specialty Retail*</t>
  </si>
  <si>
    <t>Distributor of car spare parts intended to repair any damage caused to a vehicle. The company's spare parts include wheels, shock absorbers, and disks for all kinds of cars and also deliver them throughout the country, enabling car owners to get genuine products.</t>
  </si>
  <si>
    <t>Marine Desbans(Marine Desbans), Serena (Paris)(Marc Fournier)</t>
  </si>
  <si>
    <t>auto parts, car parts, car parts retail, online spare parts delivery, spare parts, spare parts distributor</t>
  </si>
  <si>
    <t>Thiais, France</t>
  </si>
  <si>
    <t>24606-28T</t>
  </si>
  <si>
    <t>DBV Technologies (PAR: DBV)</t>
  </si>
  <si>
    <t>DBV Technologies SA is a clinical-stage specialty biopharmaceutical company focused on changing the field of immunotherapy by developing a novel technology platform called Viaskin. The therapeutic approach is based on epicutaneous immunotherapy or EPIT, its proprietary method of delivering biologically active compounds to the immune system through intact skin using Viaskin, an epicutaneous patch (i.e., a skin patch). Viaskin targets specific antigen-presenting immune cells in the skin, called Langerhans cells, that capture the antigen and migrate to the lymph node to activate the immune system without passage of the antigen into the bloodstream, minimizing systemic exposure in the body. Its main product candidate is Viaskin Peanut for the treatment of peanut-allergic patients.</t>
  </si>
  <si>
    <t>ALK-Abello (CSE: ALK B), Alto Invest, Bpifrance(Mailys Ferrere), HBM Healthcare Investments (SWX: HBMN), InnoBiologics, Lundbeckfonden BioCapital, Shire, Sofinnova Partners(Rafaele Tordjman)</t>
  </si>
  <si>
    <t>allergy diagnostics, biopharmaceutical, clinical stage pharma, immunotherapy, novel therapies, vaccines administration</t>
  </si>
  <si>
    <t>278477-20T</t>
  </si>
  <si>
    <t>2LCollection</t>
  </si>
  <si>
    <t>Operator of the luxury hotel chain intended to provide a historical and cultural experience. The company offers several properties in Paris, Normandy, and Provence, including château d'audrieu, château de fonscolombe, le cinq codet, and les lumières and also offers event spaces for weddings, celebrations, and meetings, enabling customers to enjoy the stay in a family atmosphere.</t>
  </si>
  <si>
    <t>Caravelle (Asset Management)</t>
  </si>
  <si>
    <t>hospitality firm, hotel chain, hotel group, luxury hotel, luxury stay, property housing</t>
  </si>
  <si>
    <t>67306-60T</t>
  </si>
  <si>
    <t>Adequajob.fr</t>
  </si>
  <si>
    <t>Developer of an online job platform designed to provide board and recruitment services. The company's platform helps in the publication of job offers, billing companies for results and keeps the anonymity of applications, enabling recruiters to hire candidates and for candidates to receive a small bonus.</t>
  </si>
  <si>
    <t>e-recruitment, jobs board, jobs search, online jobs board, recruitment firm</t>
  </si>
  <si>
    <t>81855-10T</t>
  </si>
  <si>
    <t>Akira</t>
  </si>
  <si>
    <t>Manufacturer of special equipment testing machinery intended to be used in all types of industries. The company's manufacturing platform designs technology devices such as fatigue machines, tribometers, engine test benches, endurance, component testing, and didactic machinery, enabling businesses to check their mechanical, electrical, signal processing, computer installation, structural work, maintenance, and training purposes.</t>
  </si>
  <si>
    <t>Herrikoa, Tikehau Capital (PAR: TKO)</t>
  </si>
  <si>
    <t>conversion system, educational solutions, equipment testing, machine testing, research and development, test systems</t>
  </si>
  <si>
    <t>29955-16T</t>
  </si>
  <si>
    <t>Arts Live Entertainment</t>
  </si>
  <si>
    <t>Operator of a performing arts company to connect artists with audiences. The company's entertainment platform organizes live music events, arts and other cultural and entertainment programs online, enabling artists to showcase their talents and audiences to enjoy live programs.</t>
  </si>
  <si>
    <t>Jacques-Antoine Granjon(Jacques-Antoine Granjon), Jaina Capital(Marc Simoncini), Xavier Niel(Xavier Niel)</t>
  </si>
  <si>
    <t>entertainment platform, entertainment platform operator, entertainment program, live concerts, live music, music event platform</t>
  </si>
  <si>
    <t>86611-87T</t>
  </si>
  <si>
    <t>ACTED, AlphaOmega Foundation, BRED Banque Populaire, Credit Cooperatif, Crédit Agricole Franche-Comté, Crédit Municipal de Paris, Femmes Business Angels, Grameen Crédit Agricole Microfinance Foundation, Neuflize OBC, Omnes Capital</t>
  </si>
  <si>
    <t>106523-65T</t>
  </si>
  <si>
    <t>133569-46T</t>
  </si>
  <si>
    <t>40773-43T</t>
  </si>
  <si>
    <t>Entities</t>
  </si>
  <si>
    <t>IT Consulting and Outsourcing*, Real Estate Services (B2C)</t>
  </si>
  <si>
    <t>Operator of a digital agency focused on the creation of real estate web and software solutions. The company specializes in designing websites and providing levers for acquiring web contacts and developing full web software solutions dedicated to home builders, real estate developers and real estate agents, thereby optimizing clients' online presence and supporting them in generating qualified contacts.</t>
  </si>
  <si>
    <t>GO Capital (France), Telegramme Group</t>
  </si>
  <si>
    <t>marketing advertising, real estate agency operator, real estate agency service, real estate platform company, real estate platform service, web marketing</t>
  </si>
  <si>
    <t>Marketing Tech, Real Estate Technology, TMT</t>
  </si>
  <si>
    <t>87961-96T</t>
  </si>
  <si>
    <t>Olivier Chiarisoli(Olivier Chiarisoli)</t>
  </si>
  <si>
    <t>194529-88T</t>
  </si>
  <si>
    <t>40778-02T</t>
  </si>
  <si>
    <t>28025-74T</t>
  </si>
  <si>
    <t>Hydratechnic</t>
  </si>
  <si>
    <t>Other Consumer Durables*, Other Retail</t>
  </si>
  <si>
    <t>Developer a hydration system designed to provide an alternative system for outdoor sports enthusiasts. The company's hydration system is a packed water bottle with a built-in, anti-microbial filter, enabling sports athletes to drink easily while travelling.</t>
  </si>
  <si>
    <t>drinking water system, hydration system, packed water bottle, water filter system</t>
  </si>
  <si>
    <t>Hasparren, France</t>
  </si>
  <si>
    <t>85291-66T</t>
  </si>
  <si>
    <t>Innoveox</t>
  </si>
  <si>
    <t>Provider of environmental management services intended to offer water oxidation technology for destruction of hazardous industrial waste. The company's environmental management services provide environmental facilities such as treatment for hazardous industrial waste, organic waste, resistant waste, and other waste management services.</t>
  </si>
  <si>
    <t>environmental management service, environmental service, environmental service provider, environmental waste management, industrial waste removal, water oxidation</t>
  </si>
  <si>
    <t>29680-21T</t>
  </si>
  <si>
    <t>Crédit Mutuel Equity, Memscap (PAR: MEMS), Unilever (LON: ULVR), Véra Strubi(Véra Strubi)</t>
  </si>
  <si>
    <t>99441-55T</t>
  </si>
  <si>
    <t>Bpifrance, Inria</t>
  </si>
  <si>
    <t>30533-95T</t>
  </si>
  <si>
    <t>84985-21T</t>
  </si>
  <si>
    <t>Knowledge Inside</t>
  </si>
  <si>
    <t>Operator of a data integration platform intended to adapt to the needs of engineering and carry out complex project systems. The company's tool offers systems engineering data and project management data that can integrate any information sources and provides a consistent structure, organization, and visualization of the data and also provides solutions to the company, enabling businesses to improve productivity.</t>
  </si>
  <si>
    <t>data integration, management tool, operational analysis, project management, system design, system modeling</t>
  </si>
  <si>
    <t>37200-88T</t>
  </si>
  <si>
    <t>Leadformance</t>
  </si>
  <si>
    <t>Developer of an extension of retail locations that allows brands an online to offline connection. The company offers a store and product locator and web and mobile mini-site service integrated into the corporate sites of brands and retailers, optimized for search engines (Local Search Optimisation) and enabling more ROPO (Research Online, Purchase Offline) traffic to be generated in stores.</t>
  </si>
  <si>
    <t>Solocal Group (PAR: LOCAL)(Julien Ampollini)</t>
  </si>
  <si>
    <t>local search, mobile mini-site service, product locator, retail locations extensions, stores locator, web-to-store sales</t>
  </si>
  <si>
    <t>204812-20T</t>
  </si>
  <si>
    <t>Les Relais Solidaires</t>
  </si>
  <si>
    <t>Educational and Training Services (B2C), Other Services (B2C Non-Financial), Restaurants and Bars*</t>
  </si>
  <si>
    <t>Operator of an economic solidarity group intended for professional integration in hotel services. The company offers support and training as well as provides reasoned cuisine, serving dishes concocted from local products, catering, and event and room rental services, enabling users to get restaurant dining and training services.</t>
  </si>
  <si>
    <t>dining area, events support, hotels and restaurants, restaurant dining, restaurant service, training services</t>
  </si>
  <si>
    <t>168835-96T</t>
  </si>
  <si>
    <t>Novostrea Bretagne</t>
  </si>
  <si>
    <t>Operator of a breeding nursery intended to support and nurture farm shellfish. The company offers its hollow oyster spat diploid and triploid Q4 to farm various types of fish, providing customers with various seafood products.</t>
  </si>
  <si>
    <t>alt-proteins, aquaculture firm, breeder care, cultivated protein, oysters production, sea food fish, seafood meals, shellfish breeding, shellfish seller</t>
  </si>
  <si>
    <t>220047-04T</t>
  </si>
  <si>
    <t>Nox.</t>
  </si>
  <si>
    <t>Provider of engineering and technical services catering to the construction industry. The company offers real estate diagnostics, enabling clients to get assistance in real estate projects.</t>
  </si>
  <si>
    <t>Fonds Strategique d'Investissement</t>
  </si>
  <si>
    <t>construction project, construction work, engineering data, project management, real estate, real estate diagnostics</t>
  </si>
  <si>
    <t>29791-81T</t>
  </si>
  <si>
    <t>Angels Santé, Paris Business Angels, Scientipole Capital, XMP Business Angelis</t>
  </si>
  <si>
    <t>28053-28T</t>
  </si>
  <si>
    <t>Ocean Entretien Services</t>
  </si>
  <si>
    <t>Provider of cleaning services for business premises. The company offers services such as cleaning spaces, glass surfaces, roof treatment as well as maintenance of gardens and parks. It also consults maintenance specialists for buildings, offices and commercial premises.</t>
  </si>
  <si>
    <t>cleaning service, glass surface, roof treatment</t>
  </si>
  <si>
    <t>29640-70T</t>
  </si>
  <si>
    <t>SDTech Micro</t>
  </si>
  <si>
    <t>Biotechnology, Industrial Chemicals*, Other Chemicals and Gases</t>
  </si>
  <si>
    <t>Operator of a research and development company designed to specialize in the analysis and toll processing of ultra-fine powders. The company's research provides expertise in grinding, micronization, sifting, formatting powders, physicochemical analysis, screening, granulation, and mixing, enabling biotechnological companies to get a multidisciplinary approach for multisectoral growth.</t>
  </si>
  <si>
    <t>Gard department, IRDI Capital Investissement, SAEM ALES, Soridec</t>
  </si>
  <si>
    <t>equipment service, formatting powder, industrial services, micronization technology, physicochemical analysis, technology service</t>
  </si>
  <si>
    <t>Ales, France</t>
  </si>
  <si>
    <t>48833-38T</t>
  </si>
  <si>
    <t>131984-65T</t>
  </si>
  <si>
    <t>88114-87T</t>
  </si>
  <si>
    <t>Tuto4pc</t>
  </si>
  <si>
    <t>Developer of an Internet advertising platform designed to deliver advertising displays that are targeted to each user in real time. The company's Internet advertising platform uses a contextual analysis tool and provides services through a service providing free downloadable software tutorials and other content enabling their clients to receive advertising displays after having validated the license terms of the applications.</t>
  </si>
  <si>
    <t>advertisement analysis, advertising company, advertising platform, commercial advertising, internet advertising</t>
  </si>
  <si>
    <t>29715-40T</t>
  </si>
  <si>
    <t>Vaxon Biotech</t>
  </si>
  <si>
    <t>Developer of therapeutic vaccines designed to offer treatment for cancer. The company's vaccines are developed to treat lung, gastric, prostate, breast, renal, liver and colorectal cancers by stimulating the immune system to recognize and attack human cancer cells without harming normal cells, enabling patients to get treated from cancer and enjoy a healthy life.</t>
  </si>
  <si>
    <t>G1J Ile-de-France, Inserm Transfert, iXCore, Sofimac Innovation</t>
  </si>
  <si>
    <t>cancer therapy, cancer treatment, cancer vaccine, life science and oncology, oncology treatment services</t>
  </si>
  <si>
    <t>29643-22T</t>
  </si>
  <si>
    <t>VDSPP</t>
  </si>
  <si>
    <t>Accounting, Audit and Tax Services (B2B), Consulting Services (B2B)*</t>
  </si>
  <si>
    <t>Provider of consultancy services intended to serve auditing firms. The company's services offer consultancy in electronic security as well as in the implementation of electronic security systems such as remote monitoring and video protection, enabling the business to work efficiently and effectively.</t>
  </si>
  <si>
    <t>auditing and consulting, auditing service, consulting service, electronic security, remote monitoring, security</t>
  </si>
  <si>
    <t>Castelnau Le Lez, France</t>
  </si>
  <si>
    <t>57436-39T</t>
  </si>
  <si>
    <t>Editions Casterman SA, Jacqueline Aglietta, Sparkling Partners</t>
  </si>
  <si>
    <t>26463-70T</t>
  </si>
  <si>
    <t>25980-67T</t>
  </si>
  <si>
    <t>Femmes Business Angels, Scientipole Capital</t>
  </si>
  <si>
    <t>28424-71T</t>
  </si>
  <si>
    <t>Excico</t>
  </si>
  <si>
    <t>Other Hardware*, Other Semiconductors</t>
  </si>
  <si>
    <t>Manufacturer of semiconductor equipment. The company offers a laser melt annealing tool for semi conductor dopant activation, film re-crystallisation, annealing and sintering.</t>
  </si>
  <si>
    <t>Allegro Investment Fund, Capital E Group, Capital-E, LRM, Participatiemaatschappij Vlaanderen</t>
  </si>
  <si>
    <t>annealing, dopant activation, laser, sintering</t>
  </si>
  <si>
    <t>3D Printing, Industrials, Manufacturing, TMT</t>
  </si>
  <si>
    <t>24631-75T</t>
  </si>
  <si>
    <t>Elaia Partners(Philippe Gire), iXO Private Equity(Renaud du Lac), Partech(Jean-Marc Patouillaud)</t>
  </si>
  <si>
    <t>29837-62T</t>
  </si>
  <si>
    <t>IRDI Capital Investissement, Naxicap Partners, Soridec</t>
  </si>
  <si>
    <t>34708-33T</t>
  </si>
  <si>
    <t>32451-40T</t>
  </si>
  <si>
    <t>SolarQuest</t>
  </si>
  <si>
    <t>Construction and Engineering, Consulting Services (B2B)*, Other Consumer Products and Services, Other Energy</t>
  </si>
  <si>
    <t>Developer of photovoltaic solar farms. The company specialises in designing, developing and managing integrated photovoltaic electricity-generating arrays on buildings.</t>
  </si>
  <si>
    <t>Banque Populaire Méditerranée, Naxicap Partners(Antoine Le Masson)</t>
  </si>
  <si>
    <t>electricity-generating arrays, photovoltaic</t>
  </si>
  <si>
    <t>88220-89T</t>
  </si>
  <si>
    <t>Echodia</t>
  </si>
  <si>
    <t>Diagnostic Equipment*, Monitoring Equipment, Other Devices and Supplies</t>
  </si>
  <si>
    <t>Developer of computer-based audiometer designed to help with hearing assessment in the fields of otorhinolaryngology and neuroscience. The company's audiometer permits noninvasive, objective and instant diagnosis, enabling ENT doctors and healthcare professionals to monitor the evolution of intracranial pressure.</t>
  </si>
  <si>
    <t>Sofimac Investment Managers(Cécile Thebault)</t>
  </si>
  <si>
    <t>audiometer, audiometer daily calibration, audiometer machine, computer-based audiometer, ear pressure, hearing assessment, hearing care</t>
  </si>
  <si>
    <t>24556-96T</t>
  </si>
  <si>
    <t>35431-75T</t>
  </si>
  <si>
    <t>Simaero</t>
  </si>
  <si>
    <t>Air, Education and Training Services (B2B)*</t>
  </si>
  <si>
    <t>Provider of aviation training and flight simulation services intended to create real added value to the customers, partners and all stakeholders. The company's services help fulfill the client's needs, reduce costs, adopt training programs, and start training at terse notice, enabling aviation companies to train their pilots and run their business efficiently and effectively.</t>
  </si>
  <si>
    <t>aircraft simulation, aviation training program, cockpit training, flight simulator, flight training, flying training</t>
  </si>
  <si>
    <t>Roissy-En-France, France</t>
  </si>
  <si>
    <t>25304-23T</t>
  </si>
  <si>
    <t>360 Capital(Francois Tison), Alven Capital Partners(Guillaume Aubin), Masseran Gestion, Sofimac Innovation(Nicolas Landrin)</t>
  </si>
  <si>
    <t>29627-29T</t>
  </si>
  <si>
    <t>Actem</t>
  </si>
  <si>
    <t>Energy Infrastructure, Other Commercial Services*</t>
  </si>
  <si>
    <t>Provider of building maintenance services. The company specializes in HVAC and electricity, heating, cooling units and water treatment maintenance and engineering.</t>
  </si>
  <si>
    <t>electricity, hvac, lighting, photovoltaic</t>
  </si>
  <si>
    <t>Saint-Aunès, France</t>
  </si>
  <si>
    <t>29567-17T</t>
  </si>
  <si>
    <t>Promelys Participations, Trail Solutions Patrimoine</t>
  </si>
  <si>
    <t>218403-28T</t>
  </si>
  <si>
    <t>Eco121</t>
  </si>
  <si>
    <t>Publisher of a monthly magazine focused on Hauts-de-France decision-makers. The company publishes news related to finance, business, the economy, and development, helping readers make informed decisions and be aware of the latest trends.</t>
  </si>
  <si>
    <t>business news, climate news, economy news, investment news, monthly magazine, newspaper publishing</t>
  </si>
  <si>
    <t>39195-10T</t>
  </si>
  <si>
    <t>Marco Polo Production</t>
  </si>
  <si>
    <t>Operator of a film distributor intended to bring quality movies in France. The company distributes and trade movie rights across France and french speaking countries, enabling customers to watch french movies.</t>
  </si>
  <si>
    <t>film production firm, full length movies, independent distributor, movies distributor, third party</t>
  </si>
  <si>
    <t>55993-24T</t>
  </si>
  <si>
    <t>Median Technologies (PAR: ALMDT)</t>
  </si>
  <si>
    <t>Diagnostic Equipment, Enterprise Systems (Healthcare)*, Other Healthcare Technology Systems</t>
  </si>
  <si>
    <t>Median Technologies is engaged in providing medical imaging products and services for diagnosing and monitoring cancer patients in both routine clinical practice and clinical drug development. The firm intends to target the oncology clinical trials market and the cancer patient care market. It developed software-based tools that are integrated into a clinical application portfolio called Lesion Management Solutions. The company has two platforms, iSee for imaging services in clinical trials and iBiopsy for non-invasive diagnostic tests based on imaging for the treatment of patients suffering from cancer and other chronic diseases. Its geographical segments are France, the USA/Canada, the United Kingdom, China, and Other countries.</t>
  </si>
  <si>
    <t>artificial intelligence, imaging software, medical imaging, medical imaging processing, medical imaging software, medical imaging tool, software, software tech</t>
  </si>
  <si>
    <t>Artificial Intelligence &amp; Machine Learning, Life Sciences, SaaS, TMT</t>
  </si>
  <si>
    <t>132203-71T</t>
  </si>
  <si>
    <t>Breizh Invest PME, Nestadio Capital</t>
  </si>
  <si>
    <t>35588-17T</t>
  </si>
  <si>
    <t>CEA Investissement, IPSA( Asset Management)(Thomas Balland), Supernova Invest</t>
  </si>
  <si>
    <t>20965-87T</t>
  </si>
  <si>
    <t>Andera Partners(Olivier Litzka), Auriga Partners (Paris)(Bernard Daugeras), Canon (TKS: 7751), InnoBiologics, iXO Private Equity, Mérieux Equity Partners(Thierry Chignon), NBGI Private Equity, Omnes Capital(Alexia Perouse), Wellington Partners(Erich Schlick)</t>
  </si>
  <si>
    <t>37318-69T</t>
  </si>
  <si>
    <t>Yoopala</t>
  </si>
  <si>
    <t>Provider of home childcare services intended to serve families across France. The company through its online platform helps users find babysitters who take care of all the needs of the babies, enabling parents to get a simplified method for daily management of their children.</t>
  </si>
  <si>
    <t>baby sitting, babysitters app, babysitters finder, babysitters search, child care platform, home child care services</t>
  </si>
  <si>
    <t>24580-45T</t>
  </si>
  <si>
    <t>DWeho</t>
  </si>
  <si>
    <t>Developer of an online housecleaning platform designed to offer household services that include cleaning and ironing. The company's platform offers a store that provides an e-commerce marketplace exclusively for cleaning, ironing, and other services that are done by a housekeeper, enabling consumers to get their belongings cleaned and maintain their houses without waiting for any maid or a housekeeper.</t>
  </si>
  <si>
    <t>Generis Capital Partners, Jérémie Berrebi(Jérémie Berrebi), Kima Ventures</t>
  </si>
  <si>
    <t>house cleaning services, household service, housekeeping, online cleaning service, online housekeeping, online iron service</t>
  </si>
  <si>
    <t>26437-69T</t>
  </si>
  <si>
    <t>Agoranov, Kurma Partners(Thierry Laugel)</t>
  </si>
  <si>
    <t>35103-25T</t>
  </si>
  <si>
    <t>Cyanide</t>
  </si>
  <si>
    <t>Developer of an online video games studio platform designed to let play active and productive games. The company's platform develops games for personal computers, Wii, PSP, PS3, Xbox 360 and various other platforms, thereby enabling players to play games in numerous genres like strategy, narrative, shooting, management, sport, action and adventure.</t>
  </si>
  <si>
    <t>Amundi (PAR: AMUN), Sofimac Innovation(Nicolas Boulay)</t>
  </si>
  <si>
    <t>computer games, game developer, online gaming studio, online video game, pc games, strategy games, video game developer</t>
  </si>
  <si>
    <t>36771-67T</t>
  </si>
  <si>
    <t>Modz</t>
  </si>
  <si>
    <t>Developer of an online e-commerce platform designed to showcase clothes and accessories for trade. The company's platform showcases various kinds of clothes and accessories along with discount benefits, enabling fashion lovers to select and purchase clothes of their choice and get them delivered at their doorstep via a secured payment mode.</t>
  </si>
  <si>
    <t>circular fashion, clothes retail platform, clothes retailer, ecommerce retailer, ecommerce site, online shopping application, selling platform</t>
  </si>
  <si>
    <t>25463-17T</t>
  </si>
  <si>
    <t>PlastiFibre</t>
  </si>
  <si>
    <t>Provider of wood composite materials intended to reduce and ensure low environmental footprint. The company's materials are composed of natural fiber and polymers and offer extrusion, injection-molding, rotational-molding and thermoforming grade wood polymer composites, enabling customers to get composite materials for the construction, transport and interior design purposes.</t>
  </si>
  <si>
    <t>fiber, polymer, wood, wood composites, wood product</t>
  </si>
  <si>
    <t>Granges-Aumontzey, France</t>
  </si>
  <si>
    <t>28622-44T</t>
  </si>
  <si>
    <t>BNP Paribas Capital Partners(Nicolas Schwindenhammer)</t>
  </si>
  <si>
    <t>125254-72T</t>
  </si>
  <si>
    <t>OCTALFA(Gilles Alberici), Oreo Finance(Alain Tornier), Smalt Capital, Ventech (Paris)(Laurent Assaraf)</t>
  </si>
  <si>
    <t>25749-28T</t>
  </si>
  <si>
    <t>360 Capital(Emanuele Levi), Kima Ventures</t>
  </si>
  <si>
    <t>131470-84T</t>
  </si>
  <si>
    <t>Prooftag</t>
  </si>
  <si>
    <t>Developer of security and traceability products intended to offer band protection in the authentication and certification of documents. The company creates a constellation of bubbles that forms the basis of the identity given to a product or document, and since each bubble tag is unique and impossible to recreate, it terminates the possibility of human intervention in the bubble generation process, enabling users to secure trace and prove the authenticity of all sorts of documents and products through prevention of counterfeiting and forgery.</t>
  </si>
  <si>
    <t>anti-counterfeiting, anti-forgery, identity theft, security application, security authentication, security product</t>
  </si>
  <si>
    <t>51787-36T</t>
  </si>
  <si>
    <t>Ecolotrans</t>
  </si>
  <si>
    <t>Automotive, Logistics*</t>
  </si>
  <si>
    <t>Provider of freight transport service intended to impose a new vision of the delivery business that is clean and efficient. The company's service includes waste collection from restaurants, recycling of waste into bio-fuel and uses a fleet of ecological vehicles, enabling supermarkets, caterers and e-retailers to get ecological delivery service.</t>
  </si>
  <si>
    <t>ecological delivery service, ecological solution, ecological transportation, transport service provider, waste collection solutions, waste recycling service</t>
  </si>
  <si>
    <t>CleanTech, Industrials, Mobility Tech</t>
  </si>
  <si>
    <t>30063-97T</t>
  </si>
  <si>
    <t>24548-05T</t>
  </si>
  <si>
    <t>Carwego</t>
  </si>
  <si>
    <t>Operator of a car comparison platform intended to provide information and compare car prices and deals. The company's platform leverages technology to help find appropriate cars based on various criteria and proprietary algorithms, enabling individuals and professionals to compare and find car models per their expectations.</t>
  </si>
  <si>
    <t>Kima Ventures(Xavier Niel)</t>
  </si>
  <si>
    <t>car comparison, car finder application, car model, compare car, price forecast, rental car booking</t>
  </si>
  <si>
    <t>30536-38T</t>
  </si>
  <si>
    <t>25698-25T</t>
  </si>
  <si>
    <t>Creathor Ventures(Cedric Kohler), Cyril Vermeulen(Cyril Vermeulen), Emertec Gestion, Innovacom (Paris)(Vincent Deltrieu)</t>
  </si>
  <si>
    <t>26167-96T</t>
  </si>
  <si>
    <t>Truffle Capital(Adrian Field)</t>
  </si>
  <si>
    <t>25609-60T</t>
  </si>
  <si>
    <t>25484-14T</t>
  </si>
  <si>
    <t>18849-25T</t>
  </si>
  <si>
    <t>ABIONYX Pharma (PAR: ABNX)</t>
  </si>
  <si>
    <t>Drug Discovery, Other Pharmaceuticals and Biotechnology, Pharmaceuticals*</t>
  </si>
  <si>
    <t>Abionyx Pharma is a new generation biotech company dedicated to the discovery and development of innovative therapies for patients without existing or effective treatment. The biotech assets inherited from CERENIS Therapeutics constitute a portfolio of valuable programs for the treatment of cardiovascular diseases and associated metabolic diseases such as NAFLD and NASH as well as an HDL targeted drug delivery platform in oncology, more specifically in Immuno oncology and chemotherapy.</t>
  </si>
  <si>
    <t>Alta Partners, Daiwa Corporate Investment, EDF Ventures, Fonds Strategique d'Investissement, HealthCap(Johan Christenson), IRDI Capital Investissement, iXO Private Equity, OrbiMed, Sofinnova Partners(Denis Lucquin)</t>
  </si>
  <si>
    <t>atherosclerotic plaque, biotech, biotechnology, lipoprotein, lipoprotein test, lipoprotein vesicles, metabolic disease, ophthalmological</t>
  </si>
  <si>
    <t>88237-36T</t>
  </si>
  <si>
    <t>31974-04T</t>
  </si>
  <si>
    <t>Oxent</t>
  </si>
  <si>
    <t>Developer of e-sport platforms designed to enlarge and promote competitive gaming programs. The company's platform designs online products and services which are interactive and geosocial, enabling gaming communities and digital entertainment industry to provide e-sports to customers.</t>
  </si>
  <si>
    <t>Petit Poucet(Mathias Monribot)</t>
  </si>
  <si>
    <t>esports, esports platform, gaming access, interactive technology, online gaming, online technologies development, video games</t>
  </si>
  <si>
    <t>30531-97T</t>
  </si>
  <si>
    <t>BNP Paribas (PAR: BNP)(Marc Serizay)</t>
  </si>
  <si>
    <t>45727-21T</t>
  </si>
  <si>
    <t>Physikron</t>
  </si>
  <si>
    <t>Developer of mass spectrometry technologies designed to improve the performance of tandem spectrometry. The company's technologies offer proteomic analysis and dramatically improve the number of peptides and proteins identified during an LC, MS, and MS acquisition, enabling researchers to research in an enhanced way.</t>
  </si>
  <si>
    <t>healthcare firm, mass spectrometry, protein expressions, protein identification, proteomics analysis, tandem spectrometry</t>
  </si>
  <si>
    <t>71525-89T</t>
  </si>
  <si>
    <t>Editcrea</t>
  </si>
  <si>
    <t>Operator of a communication agency intended to offer advertising and graphic design services. The company's offerings include a line of multidisciplinary services that support users in advertising, publishing, communication projects and graphic design, enabling users to bring creative and changes to their marketing projects.</t>
  </si>
  <si>
    <t>ad publishing, communication project, communications agency, communications agency platform, graphic design studio, marketing</t>
  </si>
  <si>
    <t>50773-87T</t>
  </si>
  <si>
    <t>Imminence</t>
  </si>
  <si>
    <t>Business/Productivity Software*, Media and Information Services (B2B), Vertical Market Software</t>
  </si>
  <si>
    <t>Developer of a business management software designed to facilitate real estate transactions and marketing. The company's software provides an agency dashboard to manage workflow and tasks as well as features tools for website designing, enabling real estate agents to work regardless of location, while assisting them to generate leads by tracking website visits.</t>
  </si>
  <si>
    <t>business management, business management software, interagency collaboration, real estate management, real estate workflow, webmarketing, website creation services</t>
  </si>
  <si>
    <t>Vallauris, France</t>
  </si>
  <si>
    <t>93315-61T</t>
  </si>
  <si>
    <t>Sofimac Investment Managers(Yan Trichard)</t>
  </si>
  <si>
    <t>59244-04T</t>
  </si>
  <si>
    <t>Michel Mulliez(Michel Mulliez)</t>
  </si>
  <si>
    <t>59244-58T</t>
  </si>
  <si>
    <t>61117-75T</t>
  </si>
  <si>
    <t>Beezik</t>
  </si>
  <si>
    <t>Provider of online music downloading services. The company provides services such as share music, digital rights management, music production, music distribution and media release.</t>
  </si>
  <si>
    <t>CoVent Partners</t>
  </si>
  <si>
    <t>digital rights, media release, music shares</t>
  </si>
  <si>
    <t>27679-69T</t>
  </si>
  <si>
    <t>Gravity Partners Group</t>
  </si>
  <si>
    <t>Automation/Workflow Software, Business/Productivity Software, Consulting Services (B2B)*, IT Consulting and Outsourcing</t>
  </si>
  <si>
    <t>Provider of business management software services. The company primarily focuses on providing editing software, service centers and council and project management. It also offers product life cycle management services.</t>
  </si>
  <si>
    <t>business management software, editing software</t>
  </si>
  <si>
    <t>23675-95T</t>
  </si>
  <si>
    <t>Inside Secure (Acquired)</t>
  </si>
  <si>
    <t>Alta Berkeley, EuroUS Ventures, Fonds Strategique d'Investissement, Gimv (BRU: GIMB), Motorola Mobility Ventures, NGP Capital, Notable Capital(Scott Bonham), Qualcomm Ventures, Samsung Venture Investment, Sofinnova Partners(Jean Schmitt), Vertex Ventures Israel(Yoram Oron), Visa (NYS: V)</t>
  </si>
  <si>
    <t>identification document, provider of semiconductor, supplier of semiconductors</t>
  </si>
  <si>
    <t>Cybersecurity, Industrials, TMT</t>
  </si>
  <si>
    <t>33788-08T</t>
  </si>
  <si>
    <t>33035-14T</t>
  </si>
  <si>
    <t>Les Nouvelles Jardineries</t>
  </si>
  <si>
    <t>Other Consumer Durables, Other Consumer Non-Durables, Specialty Retail*</t>
  </si>
  <si>
    <t>Retailer of garden and pet products based in Île-de-France, France. The company offers indoor and outdoor plants, gardening, pet and home products.</t>
  </si>
  <si>
    <t>flowers seeds, garden furniture, gardening tools, home products, indoor plants, pet products</t>
  </si>
  <si>
    <t>25455-61T</t>
  </si>
  <si>
    <t>ISAI(Jean-David Chamboredon)</t>
  </si>
  <si>
    <t>25398-19T</t>
  </si>
  <si>
    <t>Croquetteland</t>
  </si>
  <si>
    <t>Other Consumer Non-Durables, Specialty Retail*</t>
  </si>
  <si>
    <t>Provider of an online e-commerce platform intended to provide animal foods. The company's online e-commerce platform offers a wide range of affordable pet food products based on diet, health, longevity, well-being and pleasure, thereby enabling users to get healthy and tasty pet foods easily.</t>
  </si>
  <si>
    <t>Credit Agricole Regional Banks, Credit Agricole Regions Investissement, Financiere De Champlain, Rhône-Alpes Création, Siparex Group</t>
  </si>
  <si>
    <t>animal food, animal food product, beast food, ecommerce platform, online ecommerce platform, pet food</t>
  </si>
  <si>
    <t>32477-23T</t>
  </si>
  <si>
    <t>Amundi Private Equity Funds, CDC Enterprises(Philippe Boucheron), Matignon Investissement et Gestion(Philippe Dhamelincourt), Societe Generale Asset Management</t>
  </si>
  <si>
    <t>26374-15T</t>
  </si>
  <si>
    <t>Netaplan</t>
  </si>
  <si>
    <t>Catalog Retail, Internet Retail*, Other Business Products and Services, Other Software</t>
  </si>
  <si>
    <t>Operator of online portals. The company manages websites that deals with the sale of reduced models.</t>
  </si>
  <si>
    <t>online portal, reduced model sales, website dealer</t>
  </si>
  <si>
    <t>24282-10T</t>
  </si>
  <si>
    <t>Private Outlet</t>
  </si>
  <si>
    <t>Operator of an online store. The company focuses on private sales of fashion items including clothing and accessories. The company offers fashion, athletics, beauty, interior decoration as well as small appliances to customers.</t>
  </si>
  <si>
    <t>BayTech Venture Capital, Gimv (BRU: GIMB)(Geoffroy Dubus), GP Bullhound, Kreos Capital</t>
  </si>
  <si>
    <t>ecommerce fashion, fashion accessories, retail software</t>
  </si>
  <si>
    <t>33044-14T</t>
  </si>
  <si>
    <t>BestofMedia Group</t>
  </si>
  <si>
    <t>Application Software, Media and Information Services (B2B)*, Publishing</t>
  </si>
  <si>
    <t>Operator of a media publishing company for technology intended to provide unbiased reviews and news. The company leverages technology to publish unbiased reviews, news and price comparisons on tech products, to provide users with authentic news and reviews.</t>
  </si>
  <si>
    <t>internet software service, media publishing, media publishing service, online media, web publishing</t>
  </si>
  <si>
    <t>29557-45T</t>
  </si>
  <si>
    <t>Episol</t>
  </si>
  <si>
    <t>Developer of solar thermal products for production renewable energy. The company offers installation services and other thermal products for generation of electricity in an ecological way.</t>
  </si>
  <si>
    <t>Banque Populaire Auvergne Rhône Alpes, Promelys Participations, Siparex Group</t>
  </si>
  <si>
    <t>electricity generation, installation services, solar thermal product</t>
  </si>
  <si>
    <t>Fillinges, France</t>
  </si>
  <si>
    <t>31979-35T</t>
  </si>
  <si>
    <t>123 Investment Managers(Olivier Goy), Bruno Bourguet(Bruno Bourguet), Jean-Marie Nicot(Jean-Marie Nicot), Patrick Perrin(Patrick Perrin)</t>
  </si>
  <si>
    <t>29840-05T</t>
  </si>
  <si>
    <t>Snapp'</t>
  </si>
  <si>
    <t>Operator of a mobile application development agency intended to assist organizations in developing their own application. The company's agency engages in the design and development of tailor-made digital solutions for e-commerce, m-loyalty and m-payment. enabling organizations to get consumer or business-oriented mobile solutions to improve their customer base.</t>
  </si>
  <si>
    <t>AQUITI Gestion, Galia Gestion(Vincent Schifano), Limousin Participations(Hélène Trabuchet)</t>
  </si>
  <si>
    <t>app development design, app development firm, app development studio, application developer, bespoke app developer, custom-made app</t>
  </si>
  <si>
    <t>CloudTech &amp; DevOps, Mobile, TMT</t>
  </si>
  <si>
    <t>35738-20T</t>
  </si>
  <si>
    <t>The Bakery (Aubagne)</t>
  </si>
  <si>
    <t>Provider of software services for the production of computer generated imagery (CGI) for animated films. The company offers interactive lighting and rendering suite of tools for the feature film, TV and design markets.</t>
  </si>
  <si>
    <t>123 Investment Managers(Marc Guittet), Jean-Charles Hourcade(Jean-Charles Hourcade), OSEO Innovation, Smalt Capital(Elisabeth Bertelli), the Centre national de la cinématographie (CNC)</t>
  </si>
  <si>
    <t>animated film, computer generated imagery, computer graphics</t>
  </si>
  <si>
    <t>28578-52T</t>
  </si>
  <si>
    <t>Webdyn</t>
  </si>
  <si>
    <t>Application Software, Wireless Communications Equipment*</t>
  </si>
  <si>
    <t>Manufacturer of industrial IoT solutions intended to assist in M2M communication on the energy, environment, smart grids, and transport markets. The company offers routers, modems and gateways for wireless communication, multipurpose IoT solutions and vertical IoT solutions.</t>
  </si>
  <si>
    <t>Altur Investissement, Kreaxi, Trail Solutions Patrimoine(Guillaume Hemmerle)</t>
  </si>
  <si>
    <t>energy control system, internet gateway provider, internet gateway service, internet gateway technology, iot solution, smart grid system</t>
  </si>
  <si>
    <t>25423-30T</t>
  </si>
  <si>
    <t>Efficity</t>
  </si>
  <si>
    <t>Media and Information Services (B2B), Real Estate Services (B2C)*</t>
  </si>
  <si>
    <t>Operator of an online real estate agency based in Paris, France. The company provides online real estate services including buying and selling property, management and property valuation.</t>
  </si>
  <si>
    <t>Crédit Mutuel Impact, Seventure Partners</t>
  </si>
  <si>
    <t>online portal, real estate, real estate adviser, real estate agency, real estate agency operator, real estate loans, real estate market, real estate services</t>
  </si>
  <si>
    <t>36004-96T</t>
  </si>
  <si>
    <t>Kalistick</t>
  </si>
  <si>
    <t>Social/Platform Software*, Software Development Applications, Vertical Market Software</t>
  </si>
  <si>
    <t>Developer of quality management tool. The company provides its user with a quality management tool to implement best practices from various software development communities into a capability Maturity Model Integration (CMMI) process.</t>
  </si>
  <si>
    <t>CIC Vizille Capital Innovation, Crealys</t>
  </si>
  <si>
    <t>agile testing, software testing, test optimization, testing platform</t>
  </si>
  <si>
    <t>36346-15T</t>
  </si>
  <si>
    <t>26791-30T</t>
  </si>
  <si>
    <t>Syntimacy</t>
  </si>
  <si>
    <t>Provider of electronic customer relationship marketing services. The company's services are consulting, editing and operating platforms in SaaS mode, and operational support, enabling customers to create, develop and perpetuate intimacy with their customers and prospects.</t>
  </si>
  <si>
    <t>consulting advisory, consulting management, electronic relationship marketing, marketing advisory, marketing solutions</t>
  </si>
  <si>
    <t>Marketing Tech, Mobile, SaaS, TMT</t>
  </si>
  <si>
    <t>115808-68T</t>
  </si>
  <si>
    <t>31400-02T</t>
  </si>
  <si>
    <t>Allmyapps</t>
  </si>
  <si>
    <t>Operator of an application store for Microsoft Windows designed to help users to discover all applications for their personal computer. The company's store helps users to install, update and organize applications, enabling users to get access to their free software updater and update all their applications in one click.</t>
  </si>
  <si>
    <t>application download, application management, computer application, organize application, software updater, windows application store</t>
  </si>
  <si>
    <t>25609-24T</t>
  </si>
  <si>
    <t>Masseran Gestion</t>
  </si>
  <si>
    <t>32186-98T</t>
  </si>
  <si>
    <t>Alliansys, Banque Populaire Auvergne Rhône Alpes, Finorpa, Inovam Brasil, Rhône-Alpes Création</t>
  </si>
  <si>
    <t>24514-30T</t>
  </si>
  <si>
    <t>Pierre-Edouard Berion(Pierre-Edouard Berion), Stephan Wirries(Stephan Wirries), Ventech (Paris)(Jean Bourcereau)</t>
  </si>
  <si>
    <t>43868-08T</t>
  </si>
  <si>
    <t>Cyclopharma Laboratoires</t>
  </si>
  <si>
    <t>Drug Discovery, Other Devices and Supplies*, Other Pharmaceuticals and Biotechnology</t>
  </si>
  <si>
    <t>Provider of molecular imaging in France. The company offers molecular imaging solutions for diagnostic assistance and therapeutic monitoring to improve patient quality of life, safety and therapeutic efficacy while reducing costs.</t>
  </si>
  <si>
    <t>Bpifrance, CDC Enterprises, Crédit Agricole Centre France Développement, Societe Generale Capital Partenaires(Marc Andrieu), Sofimac Investment Managers, Tikehau Capital (PAR: TKO)</t>
  </si>
  <si>
    <t>molecular imaging, molecular imaging solutions, molecular imaging technology, radioactive tracers, radiopharmaceuticals</t>
  </si>
  <si>
    <t>31199-23T</t>
  </si>
  <si>
    <t>Eolite Systems</t>
  </si>
  <si>
    <t>Manufacturer and wholesaler of photonic systems. The company provides photonic services in instrumentation and laser systems to the scientific and industrial communities.</t>
  </si>
  <si>
    <t>imaging, photonics system, photovoltaics</t>
  </si>
  <si>
    <t>31217-77T</t>
  </si>
  <si>
    <t>Alto Invest(Benoit Thiedey), Emertec Gestion, Tikehau Ace Capital(Gilles Daguet), Tikehau Capital (PAR: TKO)</t>
  </si>
  <si>
    <t>25388-65T</t>
  </si>
  <si>
    <t>27890-29T</t>
  </si>
  <si>
    <t>Davaniere Capital, Little Green Capital, Sophia Business Angels</t>
  </si>
  <si>
    <t>28357-75T</t>
  </si>
  <si>
    <t>SRP Groupe (PAR: SRP)</t>
  </si>
  <si>
    <t>SRP Groupe SA is a France based company engaged in the online e-commerce business in France, Italy, Spain, Portugal, Belgium, the Netherlands, Poland, Germany, Morocco, and internationally. The company offers fashion, beauty, decoration, sports, ticketing, and travel products through its mobile apps and Websites.</t>
  </si>
  <si>
    <t>Accel(Hendrik Nelis), Kilwa Investment</t>
  </si>
  <si>
    <t>cosmetics, daily deals, online retailer, online shopping, shoes, shopping portal, shopping website</t>
  </si>
  <si>
    <t>58250-62T</t>
  </si>
  <si>
    <t>Midisolaire</t>
  </si>
  <si>
    <t>Alternative Energy Equipment*, Other Commercial Products</t>
  </si>
  <si>
    <t>Manufacturer of photovoltaic systems designed to help in building integration. The company's photovoltaic systems offer installation services to frame pitched and inclined roofs.</t>
  </si>
  <si>
    <t>XAnge(Dominique Agrech)</t>
  </si>
  <si>
    <t>building integration system, inclined roof, photovoltaic power plant, pitched roof</t>
  </si>
  <si>
    <t>Industrials, Infrastructure, Manufacturing</t>
  </si>
  <si>
    <t>25668-37T</t>
  </si>
  <si>
    <t>Virdual</t>
  </si>
  <si>
    <t>Broadcasting, Radio and Television*, Entertainment Software, Multimedia and Design Software</t>
  </si>
  <si>
    <t>Provider of software products to create crossmedia programs for TV channels and TV producers. The company's technologies include 3DWeb2.0 platform that provides real-time 3D community on internet and 3DXmedia, a platform for TV producer to organize, direct and record a TV program inside a 3D real-time virtual world.</t>
  </si>
  <si>
    <t>3d community, tv games show</t>
  </si>
  <si>
    <t>24524-02T</t>
  </si>
  <si>
    <t>Restopolitan</t>
  </si>
  <si>
    <t>Operator of an online restaurants reservation platform intended to prove booking services along with various meal offers. The company's platform offers real time booking of different restaurants and members with discount cards, enabling users to get one free meal at each booking</t>
  </si>
  <si>
    <t>Dotcorp Private Equity, Jaina Capital, Jérémie Berrebi(Jérémie Berrebi), Kima Ventures(Xavier Niel), Oleg Tscheltzoff(Oleg Tscheltzoff)</t>
  </si>
  <si>
    <t>online restaurant booking, online seating reservation, restaurant booking, restaurant books system, restaurant reservation, restaurant reservation platform</t>
  </si>
  <si>
    <t>Restaurant Technology, SaaS, TMT</t>
  </si>
  <si>
    <t>111479-68T</t>
  </si>
  <si>
    <t>Taaj Import</t>
  </si>
  <si>
    <t>Manufacturer of organic cosmetics and other personal products intended to offer the benefits of Ayurveda. The company offers body care, facials and other personal products which are created using paraben and phenoxyethanol free natural ingredients made from spring water, plant extracts and essential oils, enabling consumers to experience the natural touch of cosmetics without any harmful or adverse effects.</t>
  </si>
  <si>
    <t>cosmetic manufacturer, cosmetics retailer, natural medicine, online cosmetics retail, organic cosmetics, personal product, skin treatment product</t>
  </si>
  <si>
    <t>27135-82T</t>
  </si>
  <si>
    <t>Arkéa Capital, Credit Mutuel Arkea, OSEO Innovation</t>
  </si>
  <si>
    <t>55268-20T</t>
  </si>
  <si>
    <t>Aquatools</t>
  </si>
  <si>
    <t>Developer of water infection control filters designed to monitor microbial contamination of water. The company's filters offer an immediate physical barrier for quick legionella and pseudomonas control and for other waterborne pathogens, enabling industrial, sanitary and environmental clients to eliminate contamination and healthcare-associated infections.</t>
  </si>
  <si>
    <t>OSEO Innovation, Turenne Groupe(François Picarle)</t>
  </si>
  <si>
    <t>wastewater management, water filter device, water filter systems, water filtration, water management service, water purify</t>
  </si>
  <si>
    <t>Poissy, France</t>
  </si>
  <si>
    <t>29585-35T</t>
  </si>
  <si>
    <t>Caisse des Depots Group, European Investment Bank (Luxembourg)(Fadi Daou)</t>
  </si>
  <si>
    <t>71530-84T</t>
  </si>
  <si>
    <t>IBL Specifik</t>
  </si>
  <si>
    <t>Manufacturer of professional and industrial steam cleaners designed to offer cleaning, degreasing, and ecological disinfection services. The company's cleaners and atomizers assists to clean and disinfect large volumes and include steam generators, industrial steam cleaners, foam guns and conforming disinfection forgers, enabling users in environmental-friendly cleaning by steam processes to disinfection by atomizer or vaporization to clean and disinfect all surfaces of the premises.</t>
  </si>
  <si>
    <t>aerial-disinfection, cleaning supply, disinfection device, disinfection equipment, professional cleaning equipment, steam equipment</t>
  </si>
  <si>
    <t>30120-40T</t>
  </si>
  <si>
    <t>Satin Technologies</t>
  </si>
  <si>
    <t>Automation/Workflow Software*, Other Software</t>
  </si>
  <si>
    <t>Developer of software for fact-based design quality closure and monitoring. The company develops a software product called VIP Lane, which allows the semiconductor companies and system houses to deploy standard and internal design practices via the intranet, for facilitated design quality monitoring.</t>
  </si>
  <si>
    <t>FaDiese, Soridec(Geneviève White)</t>
  </si>
  <si>
    <t>automated monitoring, design automation, quality closures software, quality monitoring</t>
  </si>
  <si>
    <t>30538-90T</t>
  </si>
  <si>
    <t>Organic Stories</t>
  </si>
  <si>
    <t>Producer of organic food products intended to offer organic vegetables and fruits in France. The company's products are well-prepared and marketed with its private label of organic breakfast cereals and canned food preserves, enabling people to buy freshly prepared jams, jellies, and marmalade.</t>
  </si>
  <si>
    <t>canned food, cereals product, food marketing, jam &amp; jelly, organic food, organic food product</t>
  </si>
  <si>
    <t>Bages, France</t>
  </si>
  <si>
    <t>25780-33T</t>
  </si>
  <si>
    <t>Varioptic</t>
  </si>
  <si>
    <t>Developer of adjustable lens solutions for industrial, bio-metric, medical, consumer applications. The company offers variable focus liquid lenses, autofocus lens modules, microscope lenses, and related drivers features autofocus and image stabilization.</t>
  </si>
  <si>
    <t>IRIS (Private Equity), PolyTechnos Venture-Partners</t>
  </si>
  <si>
    <t>laser lenses, lense manufacturer, liquid lenses drivers, miniature optics, objective lenses</t>
  </si>
  <si>
    <t>26117-29T</t>
  </si>
  <si>
    <t>Agrauxine</t>
  </si>
  <si>
    <t>Other Agriculture*, Other Commercial Products</t>
  </si>
  <si>
    <t>Provider of environmentally friendly, natural crop-management products. The company develops a portfolio of products from microorganisms that naturally compete with plant pathogens. Its products are alternatives to existing synthetic chemical or genetically modified crop management products.</t>
  </si>
  <si>
    <t>Apicap, Breizh Invest PME, GO Capital (France), Hanalei Finance, Naxicap Partners</t>
  </si>
  <si>
    <t>ag biotech, agricultural crop, agriculture technology, biotechnology, crop management, natural crop, plant biotech, plant biotechnology, plant pathogens</t>
  </si>
  <si>
    <t>AgTech, CleanTech, Life Sciences, Supply Chain Tech, TMT</t>
  </si>
  <si>
    <t>Briec, France</t>
  </si>
  <si>
    <t>26180-20T</t>
  </si>
  <si>
    <t>Siparex Group, Truffle Capital(Bernard Roques)</t>
  </si>
  <si>
    <t>40656-34T</t>
  </si>
  <si>
    <t>Linutop</t>
  </si>
  <si>
    <t>Computers, Parts and Peripherals*, Electronics (B2C)</t>
  </si>
  <si>
    <t>Manufacturer of electronic devices designed to offer affordable digital signage and kiosk systems. The company's devices are mini-computers with internet access, display, and pre-installed software, supplying technology for internet kiosks, digital signage, and other customized applications, enabling customers to get access to an open-source operating system that is cost-effective.</t>
  </si>
  <si>
    <t>cloud services, digital signage, electronic device, electronic device design, it solutions, kiosk system, panel display</t>
  </si>
  <si>
    <t>58598-11T</t>
  </si>
  <si>
    <t>A World For Us</t>
  </si>
  <si>
    <t>Developer of training management software designed to offer innovative tools for training. The company's platform offers published courses, live sessions, and a telephone conference system for interactive online courses, enabling organizations of all sizes to avail of a complete e-learning service.</t>
  </si>
  <si>
    <t>educational platform, learning management system, online training system, online training tools, training software, training software developer, vocational training</t>
  </si>
  <si>
    <t>29558-71T</t>
  </si>
  <si>
    <t>FuturaMedia</t>
  </si>
  <si>
    <t>Provider of digital communication solutions intended to serve the health and beauty universe, including pharmacies, para pharmacies, doctors, opticians, perfumery, hairdressing and make-up sectors. The company specializes in digital signage, digital screens and specific content, content broadcast, points of sale, maintenance and after-sales service, network installation and display media.</t>
  </si>
  <si>
    <t>OTC Partner, Promelys Participations, Spring Invest</t>
  </si>
  <si>
    <t>ad sales, advertising services, content broadcasting, digital communication solutions, digital display, digital screen</t>
  </si>
  <si>
    <t>58228-30T</t>
  </si>
  <si>
    <t>Greenext (Digital Platform)</t>
  </si>
  <si>
    <t>Consulting Services (B2B)*, Database Software, Social/Platform Software</t>
  </si>
  <si>
    <t>Developer of a digital platform for analyzing data. The company develops an online platform that offers data computing and analyzing services.</t>
  </si>
  <si>
    <t>Crédit Mutuel Impact, Marc Brandsma, Oddo BHF Asset Management</t>
  </si>
  <si>
    <t>data computing, data management service</t>
  </si>
  <si>
    <t>40613-95T</t>
  </si>
  <si>
    <t>Anaconda Pharma</t>
  </si>
  <si>
    <t>Developer of treatments for infections by human papillomavirus. The company is developing theraputics for the treatment of infections by human papillomavirus, condyloma and related diseases.</t>
  </si>
  <si>
    <t>Aurinvest(Thomas Starkloff)</t>
  </si>
  <si>
    <t>ano-genital warts, biopharmaceutical company, condyloma treatment, hpv, human papillomavirus</t>
  </si>
  <si>
    <t>55256-50T</t>
  </si>
  <si>
    <t>Allegorithmic</t>
  </si>
  <si>
    <t>Developer of a computer software designed to offer 3D textures and material creation in game and video post-production. The company's software specializes in the automatic generation of middleware edition of procedural texture, enabling VFX/Film and design industries to avail tools and technologies that are unique and industry-defining.</t>
  </si>
  <si>
    <t>Adobe Ventures, Sofimac Investment Managers(Yoann Ribay), Thomas Bidaux(Thomas Bidaux)</t>
  </si>
  <si>
    <t>3d content, 3d texturing, 3d texturing software, 3d texturing software tools, animation, email and authoring, kms, knowledge management system, material authoring, texturing</t>
  </si>
  <si>
    <t>26508-25T</t>
  </si>
  <si>
    <t>Bpifrance, CDC Enterprises, Crédit Mutuel Impact(Stéphane Pesqué), Oddo BHF Asset Management, Turenne Groupe, XAnge</t>
  </si>
  <si>
    <t>25249-96T</t>
  </si>
  <si>
    <t>Panasonic Ventures</t>
  </si>
  <si>
    <t>215929-18T</t>
  </si>
  <si>
    <t>29296-18T</t>
  </si>
  <si>
    <t>Andera Partners(Thierry Hercend), CDC Enterprises, Credit Agricole (PAR: ACA)(Bruno Montanari), EMLYON Incubateur</t>
  </si>
  <si>
    <t>59586-67T</t>
  </si>
  <si>
    <t>Oktalogic</t>
  </si>
  <si>
    <t>Application Software, Other Communications and Networking*, Vertical Market Software</t>
  </si>
  <si>
    <t>Developer of machine to machine communication software. The company provides a technology which implement small communication networks ensuring a permanent connectivity with your industrial machines.</t>
  </si>
  <si>
    <t>communication network, device connectivity, machine-to-machine solution</t>
  </si>
  <si>
    <t>26140-87T</t>
  </si>
  <si>
    <t>Viasat Connect</t>
  </si>
  <si>
    <t>Developer of fleet management software solutions intended to serve the mobility industry. The company offers solutions for remotely managing a fleet of vehicles and machinery, vehicle location tracking, communicating the detailed mission schedules to the field teams and more along with a mobile application for field teams, enabling companies to better manage their fleets and their interventions in the field.</t>
  </si>
  <si>
    <t>fleet management platform, fleet management software platform, mobility technologies, remote fleet monitoring, vehicle fleet maintenance, vehicle fleet management</t>
  </si>
  <si>
    <t>32557-42T</t>
  </si>
  <si>
    <t>Network Finances, Promelys Participations, Turenne Groupe</t>
  </si>
  <si>
    <t>29226-61T</t>
  </si>
  <si>
    <t>25409-98T</t>
  </si>
  <si>
    <t>Crédit Agricole Sud Rhône Alpes Capital, Expansinvest, Héléa Financière, Rhône-Alpes Création(Guy Rigaud)</t>
  </si>
  <si>
    <t>35616-16T</t>
  </si>
  <si>
    <t>Emertec Gestion, La Financiere viveris, Smalt Capital</t>
  </si>
  <si>
    <t>245413-63T</t>
  </si>
  <si>
    <t>Ensembl (Social/Platform Software)</t>
  </si>
  <si>
    <t>Developer of social network software designed to exchange mutual aid between neighbors. The company's platform offers news, local solidarity initiatives and information about the city, shared tips and upcoming local events, enabling users to set up events and get information and talk to neighbors in their neighborhood and their building.</t>
  </si>
  <si>
    <t>Park Place Capital</t>
  </si>
  <si>
    <t>connected buildings, local events information, local information platform, neighbor network, neighbors community, social networking site</t>
  </si>
  <si>
    <t>35766-55T</t>
  </si>
  <si>
    <t>Inserm Transfert(Matthieu Coutet)</t>
  </si>
  <si>
    <t>29818-81T</t>
  </si>
  <si>
    <t>Alpha Networks</t>
  </si>
  <si>
    <t>Operator of networking software designed to connect to the pay-TV world. The company's software is a back-end software platform that manages content, offers, subscribers and payments, enabling media companies and operators to implement their content distribution strategies.</t>
  </si>
  <si>
    <t>ACE &amp; Company, Pacific Venture Partners</t>
  </si>
  <si>
    <t>backend software platform, content media, networking software, system integrator, television service, tv ecosystem</t>
  </si>
  <si>
    <t>28176-67T</t>
  </si>
  <si>
    <t>Cellmade</t>
  </si>
  <si>
    <t>Developer of inflammatory biomarkers intended to offer clinical diagnostics and drug discovery. The company's inflammatory biomarkers help businesses to develop better therapeutics and diagnostics for inflammation and personalized medicine, enabling researchers to take better selection decisions.</t>
  </si>
  <si>
    <t>Brightlands Venture Partners, DSM Resolve, European Union, LIOF Nedermaas High Tech Ventures, Sofimac Innovation, Sofimac Investment Managers</t>
  </si>
  <si>
    <t>biomarkers, cell biology, inflammation diagnostic, inflammatory biomarker, inflammatory pathology</t>
  </si>
  <si>
    <t>Chappes, France</t>
  </si>
  <si>
    <t>24738-13T</t>
  </si>
  <si>
    <t>Amundi Private Equity Funds, Gimv (BRU: GIMB)(Robert Gallenberger), Sofinnova Partners(Alessio Beverina)</t>
  </si>
  <si>
    <t>28617-94T</t>
  </si>
  <si>
    <t>Smartvisite.com</t>
  </si>
  <si>
    <t>Provider of an online platform for real estate professionals. The company offers an online application platform that focuses on media and communication services for the real estate sector.</t>
  </si>
  <si>
    <t>ad production, media and communication service, real estate information</t>
  </si>
  <si>
    <t>207469-09T</t>
  </si>
  <si>
    <t>Envie de Fraises</t>
  </si>
  <si>
    <t>Clothing*, Distributors/Wholesale (B2C), Internet Retail</t>
  </si>
  <si>
    <t>Manufacturer and wholesaler of designer maternity wear intended for pregnant women. The company offers maternity clothing and lingerie, thereby enabling its customers to be provided with quality products at a competitive price.</t>
  </si>
  <si>
    <t>InvestAG, Network Finances</t>
  </si>
  <si>
    <t>clothing manufacturer, lingerie products, maternity clothes, maternity clothing, maternity fashion, maternity wear</t>
  </si>
  <si>
    <t>88232-59T</t>
  </si>
  <si>
    <t>Service Personnel</t>
  </si>
  <si>
    <t>Provider of concierge services intended to facilitate the management of contingencies and the daily needs of an employee in a company. The company's platform offers laundry, ironing, sewing, child care, home services, vehicle inspection, car rental, car sharing and plumbing, enabling clients to escape from material concerns that can distract them in their professional mission.</t>
  </si>
  <si>
    <t>business concierge, concierge service, concierge service provider, corporate concierge, corporate concierge service</t>
  </si>
  <si>
    <t>Vichy, France</t>
  </si>
  <si>
    <t>33646-15T</t>
  </si>
  <si>
    <t>Credit Agricole (PAR: ACA), FJ Labs, International Society of Angel Investors, Investments Search Friends, ISAI(Jean-David Chamboredon), Monkfish Equity, Omnes Capital, Quadriplay Venture</t>
  </si>
  <si>
    <t>28297-90T</t>
  </si>
  <si>
    <t>30162-70T</t>
  </si>
  <si>
    <t>Devederm</t>
  </si>
  <si>
    <t>Provider and manufacturer of dermatological cosmetics and skincare products. The company manufactures body oils, moisturizing body lotions, lactescent scrubs and shower creams for body care.</t>
  </si>
  <si>
    <t>Promelys Participations(Luc-Alban Chermette), Smalt Capital(Elisabeth Bertelli), Vatel Capital(François Gerber)</t>
  </si>
  <si>
    <t>body lotion, dermatological cosmetics, scrubs</t>
  </si>
  <si>
    <t>Charbonnières-les-Bains, France</t>
  </si>
  <si>
    <t>55780-66T</t>
  </si>
  <si>
    <t>Netlogon</t>
  </si>
  <si>
    <t>Provider of online services intended to facilitate network management and network installation. The company's online services include developing, producing and marketing Internet Protocol (IP) service offerings and network architectures for the healthcare and hospitality sector, enabling companies to find reactivity, quality and competence with a human-sized company.</t>
  </si>
  <si>
    <t>internet protocol, network architecture, network installation</t>
  </si>
  <si>
    <t>24174-64T</t>
  </si>
  <si>
    <t>NovaSparks</t>
  </si>
  <si>
    <t>Developer of an FPGA-based electronic trading platform designed to provide fast, deterministic and reliable access to market data. The company's platform merges feed handling, order book building and data distribution functions with multiple publication levels and use models, thereby enabling clients to eliminate the capacity and performance bottlenecks and also implement the other parts of the trading cycle such as the trading strategy, the risk checks or the order execution.</t>
  </si>
  <si>
    <t>Crédit Mutuel Equity, Partech(Ashish Puri), West Avenue Capital(David Lark)</t>
  </si>
  <si>
    <t>books building, electronic trading platform, feed handler, fpga acceleration tools, fpga board, market data, market data solutions, ticker plant technology</t>
  </si>
  <si>
    <t>29464-75T</t>
  </si>
  <si>
    <t>A Plus Finance(Niels Court-Payen), Omnes Capital(Renaud Poulard)</t>
  </si>
  <si>
    <t>58456-00T</t>
  </si>
  <si>
    <t>Alven Capital Partners(Charles Letourneur), Bruno Guenin, FaDiese, Gérard Pluvinet, Jean-Paul Villot, Pierre Kosciusko Morizet(Pierre Kosciusko Morizet)</t>
  </si>
  <si>
    <t>50340-34T</t>
  </si>
  <si>
    <t>SmartGrains</t>
  </si>
  <si>
    <t>Automotive, Electronic Equipment and Instruments, Road*, Vertical Market Software</t>
  </si>
  <si>
    <t>Developer of parking management platform designed to assist in accommodating parking for commercial spaces. The company's platform provides a network of wireless car sensors that are volatile and easily manageable, enabling shopping centers and supermarkets to avail more fluid management of both on and off-street parking of cars.</t>
  </si>
  <si>
    <t>car parking, counting sensor, parking accomdation, parking count, parking management services, parking services, parking space, wireless parking</t>
  </si>
  <si>
    <t>53725-24T</t>
  </si>
  <si>
    <t>SoWeTrip</t>
  </si>
  <si>
    <t>Owner and operator of a social network platform related to travel information. The company provides information about travel destinations, travel tips and travel itineraries.</t>
  </si>
  <si>
    <t>Paris Business Angels</t>
  </si>
  <si>
    <t>destination planning, travel information, tripadvisor</t>
  </si>
  <si>
    <t>83212-21T</t>
  </si>
  <si>
    <t>ADER Investissements, Aqua Asset Management, ILP Group</t>
  </si>
  <si>
    <t>29800-45T</t>
  </si>
  <si>
    <t>Z2 Innovation</t>
  </si>
  <si>
    <t>Developer of arithmetic silicon compilers. The company develops IP to design the tools to make the chips that execute mathematical computing tasks. It is used in various applications like gaming, graphics and data encoding.</t>
  </si>
  <si>
    <t>compiler, encoding, execute, gaming and encoding, mathematical computing</t>
  </si>
  <si>
    <t>91541-26T</t>
  </si>
  <si>
    <t>Grenoble INP Invest, Groupe Rosin, Olivier Panis(Olivier Panis)</t>
  </si>
  <si>
    <t>180202-69T</t>
  </si>
  <si>
    <t>30073-51T</t>
  </si>
  <si>
    <t>Gray Partners</t>
  </si>
  <si>
    <t>26014-24T</t>
  </si>
  <si>
    <t>Advenis, Avenir Finance Gestion Privée, Promelys Participations</t>
  </si>
  <si>
    <t>26490-43T</t>
  </si>
  <si>
    <t>Caisse des Depots Group, Esfin Gestion, Naxicap Partners, NextStage AM, Phillimore</t>
  </si>
  <si>
    <t>24326-02T</t>
  </si>
  <si>
    <t>CDC Enterprises(Marie-Laure Garrigues), Forbion(Bart Bergstein), Le Centre CDP Capital</t>
  </si>
  <si>
    <t>73173-88T</t>
  </si>
  <si>
    <t>Phitrust Partenaires(Olivier de Guerre)</t>
  </si>
  <si>
    <t>55441-72T</t>
  </si>
  <si>
    <t>FÃvrier 46</t>
  </si>
  <si>
    <t>Social Content*, Social/Platform Software</t>
  </si>
  <si>
    <t>Developer of a software for marketing and social performance. The company develops a software for marketing and social performance and offers users a platform to discuss and share social content.</t>
  </si>
  <si>
    <t>IT Capital, Olivier Mathiot(Olivier Mathiot)</t>
  </si>
  <si>
    <t>sales and marketing, social performance</t>
  </si>
  <si>
    <t>34174-00T</t>
  </si>
  <si>
    <t>JD. Transbio</t>
  </si>
  <si>
    <t>Manufacturer of biodegradable and compostable pots for horticulture. The company provides pots for the garden and plastic based potato starch.</t>
  </si>
  <si>
    <t>horticulture, raw materials, sustainable development</t>
  </si>
  <si>
    <t>25389-19T</t>
  </si>
  <si>
    <t>Docea Power</t>
  </si>
  <si>
    <t>Energy Infrastructure, Network Management Software*</t>
  </si>
  <si>
    <t>Developer of system-level tools for modeling, simulating and optimizing power and thermal behavior of whole electronics systems. The company develops and markets software applications for ESL design (Electronic System Level) to secure and optimize the power and thermal specifications of electronic circuits.</t>
  </si>
  <si>
    <t>Alpes Capital Innovation, Kreaxi, OCTALFA, Rhône-Alpes Création, Siparex Group, XAnge</t>
  </si>
  <si>
    <t>circuit, electronic circuit, electronic systems level, esl, thermal behavior, thermal power</t>
  </si>
  <si>
    <t>194472-55T</t>
  </si>
  <si>
    <t>DxO</t>
  </si>
  <si>
    <t>Developer of image processing software designed to help people to level up their photography. The company's software offers licensing of optics and silicon architectures for embedded still and video image processing, image quality evaluation, measurement, and enhancement tools that enhance the quality of images captured, enabling users to capture and create quality images.</t>
  </si>
  <si>
    <t>Caisse des Depots Group, Développement &amp; Partenariat, Kilmahew Ventures, Seven2</t>
  </si>
  <si>
    <t>digital image processing, image processing system, images editing, photography product, photography software, video images processing</t>
  </si>
  <si>
    <t>55959-94T</t>
  </si>
  <si>
    <t>Ekinops (PAR: EKI)</t>
  </si>
  <si>
    <t>Fiberoptic Equipment, Other Communications and Networking*</t>
  </si>
  <si>
    <t>Ekinops SA is engaged in providing optical transport solutions for service providers and private networks worldwide. It provides EKINOPS 360, a carrier-class optical transport platform designed for metro, regional, and long-haul applications. The company also offers 10G, 100G, and 200G carrier-grade solutions that facilitate the transmission, aggregation, and forward error correction capabilities.</t>
  </si>
  <si>
    <t>Amundi Private Equity Funds, Apicap, Auriga Partners (Paris), Idinvest Partners, Odyssee Venture(Julien Andrieux), Siparex Group, TempoCap, Ventech (Paris)(Jean Bourcereau)</t>
  </si>
  <si>
    <t>access network, carrier grading solutions, cwdm transceivers, fibre channel, nfv technology, optical transport, optical transport platform, routers and switches, sdn technology, time divisions multiplex</t>
  </si>
  <si>
    <t>24599-44T</t>
  </si>
  <si>
    <t>DEFI Gestion, Gran Plasa, Novartis Venture Fund(Florent Gros)</t>
  </si>
  <si>
    <t>50007-07T</t>
  </si>
  <si>
    <t>Club Invest 77, Paris Business Angels, XMP Business Angelis</t>
  </si>
  <si>
    <t>29713-87T</t>
  </si>
  <si>
    <t>Club Invest 77</t>
  </si>
  <si>
    <t>88087-96T</t>
  </si>
  <si>
    <t>Planete Bleue</t>
  </si>
  <si>
    <t>Developer and distributor of cosmetic products intended to offer ecological and organic cosmetics. The company's products include shampoo, shop, cleansing, conditioner and body lotion, enabling clients to use quality, organic and sustainable hygienic body and hair care products.</t>
  </si>
  <si>
    <t>Sofimac Investment Managers, The Development Committee-CEEA-Allier, Vauban Partenaires, Vichy Val d'Allier Développement</t>
  </si>
  <si>
    <t>body lotion, conditioner, cosmetic, ecological cosmetic, organic cosmetics, shampoo</t>
  </si>
  <si>
    <t>29796-49T</t>
  </si>
  <si>
    <t>Tryane</t>
  </si>
  <si>
    <t>Developer of a business analytics software designed to help organizations pilot their digital transformation. The company's software collects data from collaboration tools and produces Key Performance Indicators (KPIs) through user-friendly dashboards, enabling clients to have access to valuable insights on their productivity gains.</t>
  </si>
  <si>
    <t>analytics model, analytics software, business analytics, business analytics platform, business analytics service, collaboration tool</t>
  </si>
  <si>
    <t>90495-91T</t>
  </si>
  <si>
    <t>Fermob</t>
  </si>
  <si>
    <t>Operator of an online retail platform designed to sell garden furniture and colorful outdoor accessories. The company's platform sells a wide range of decorative accessories for home furnishings such as traditional metal garden lounge to the poolside lounge set, enabling customers to have outdoor furniture goods and practical and fun outdoor furniture.</t>
  </si>
  <si>
    <t>decorative accessories, garden furniture, garden lounge, home furnishing, outdoor accessories</t>
  </si>
  <si>
    <t>Saint-Didier-sur-Chalaronne, France</t>
  </si>
  <si>
    <t>29257-84T</t>
  </si>
  <si>
    <t>A Plus Finance(Jean-Michel Pimont), EMLYON Incubateur</t>
  </si>
  <si>
    <t>36524-80T</t>
  </si>
  <si>
    <t>Agami</t>
  </si>
  <si>
    <t>Designer and developer of production lines for plastic bottles. The company develops production lines for plastic bottles with capacities of between 100 and 500 ml. Its production lines are based on vertical tubular thermoforming technology using reels of plastic sheeting.</t>
  </si>
  <si>
    <t>Breizh Invest PME, Octave II, Serac Group, Societe Financiere Lorient Developpement</t>
  </si>
  <si>
    <t>plastic sheets, production line, thermoforming technology</t>
  </si>
  <si>
    <t>160230-16T</t>
  </si>
  <si>
    <t>Boost Cloud</t>
  </si>
  <si>
    <t>Application Software, IT Consulting and Outsourcing, Systems and Information Management*</t>
  </si>
  <si>
    <t>Provider of cloud computing software and services to small-to-medium enterprises (SMEs) and microbusinesses. The company offers caters lodged applications, websites, e-commerce and intranet to integrate services as well as information-technology outsourcing.</t>
  </si>
  <si>
    <t>OSEO Innovation, Vatel Capital</t>
  </si>
  <si>
    <t>cloud computing, cloud computing product, cloud computing service, intranet, it outsourcing, saas service</t>
  </si>
  <si>
    <t>Cran-Gevrier, France</t>
  </si>
  <si>
    <t>31512-79T</t>
  </si>
  <si>
    <t>Capital Croissance</t>
  </si>
  <si>
    <t>30055-60T</t>
  </si>
  <si>
    <t>Winamax</t>
  </si>
  <si>
    <t>Casinos and Gaming, Entertainment Software*</t>
  </si>
  <si>
    <t>Operator of an online poker portal intended to provide a safe and secure gaming network. The company's portal is legal and offers poker rooms and sports betting games that can be played directly from a web browser or mobile, enabling gamers to participate in various games and have the opportunity to win money.</t>
  </si>
  <si>
    <t>Idinvest Partners(Benoist Grossmann)</t>
  </si>
  <si>
    <t>gambling, gaming content, online gambling, online gambling platform, online gaming portal, poker game, poker site, poker tournaments</t>
  </si>
  <si>
    <t>27415-54T</t>
  </si>
  <si>
    <t>Crédit Mutuel Impact(Franck Thouroude), Fonds Communs de Placement dans l'Innovation, Fonds d'Investissements de Proximité</t>
  </si>
  <si>
    <t>47865-25T</t>
  </si>
  <si>
    <t>Morganne Bello</t>
  </si>
  <si>
    <t>Manufacturer and designer of jewelry based in Paris, France. The company specializes in designing and selling rings, necklaces, bracelets, earrings, cords and precious and semi-precious stones.</t>
  </si>
  <si>
    <t>Entrepreneur Invest(Alain Beaulac)</t>
  </si>
  <si>
    <t>jewelleries, jewelry designer, jewelry manufacturer, necklaces bracelets, precious stone, rings, semi-precious stone</t>
  </si>
  <si>
    <t>36270-64T</t>
  </si>
  <si>
    <t>Eole Water</t>
  </si>
  <si>
    <t>Alternative Energy Equipment*, Other Commercial Products, Water Utilities</t>
  </si>
  <si>
    <t>Operator of a water technology company that pioneered the use of wind turbines to produce drinking water. The company's systems use wind turbines able to create drinking water from condensed air and offer electricity and water simultaneously, enabling clients to get an alternative way of generating water in an eco-friendly way.</t>
  </si>
  <si>
    <t>drinking water, water condensation, water produce technology, water producer, water production, water production services, water production systems</t>
  </si>
  <si>
    <t>Sainte-Tulle, France</t>
  </si>
  <si>
    <t>25410-61T</t>
  </si>
  <si>
    <t>Eodom</t>
  </si>
  <si>
    <t>BPO/Outsource Services*</t>
  </si>
  <si>
    <t>Provider of homeshoring services intended to offer systematic selection and real-time management of a network of independent agents. The company's services offer multi-channel contacts and customer relationship management services, enabling businesses to create empathy with the end customers and leading to the success of multichannel and digital services.</t>
  </si>
  <si>
    <t>Mathieu Le Roux(Mathieu Le Roux), Oddo BHF Asset Management, Seventure Partners(Thibault Canton)</t>
  </si>
  <si>
    <t>customer relationship management, multichannel contact, offshoring service, outsourcing business, outsourcing model, telephone calling, virtual contact center</t>
  </si>
  <si>
    <t>19630-72T</t>
  </si>
  <si>
    <t>Bessemer Venture Partners(Byron Deeter)</t>
  </si>
  <si>
    <t>24518-08T</t>
  </si>
  <si>
    <t>Wyplay</t>
  </si>
  <si>
    <t>Electronics (B2C)*, Movies, Music and Entertainment</t>
  </si>
  <si>
    <t>Developer of a home entertainment device designed to enhance terrestrial television operators around the world. The company's device supports various market segments with a common software architecture including satellite, cable, internet protocol television (IPTV), terrestrial, over-the-top media service, and hybrid embracing a convergent television experience by deploying the home entertainment device to tablets and smartphones, enabling television viewers to improve their viewing experience.</t>
  </si>
  <si>
    <t>A Plus Finance(Jean-Michel Pimont), Amundi Private Equity Funds, Elaia Partners(Marie Ekeland), Sofinnova Partners(Alain Tingaud), TempoCap</t>
  </si>
  <si>
    <t>entertainment device, home entertainment device, television device, television experience, television hardware, tv hardware</t>
  </si>
  <si>
    <t>Allauch, France</t>
  </si>
  <si>
    <t>30107-44T</t>
  </si>
  <si>
    <t>Citiz Rennes Métropole</t>
  </si>
  <si>
    <t>Automotive*, Information Services (B2C), Other Commercial Services</t>
  </si>
  <si>
    <t>Operator of a car-leasing platform intended to allow users to choose a car for a trip on a rental basis. The company's platform offers a variety of cars as per customers' needs and the price is calculated according to the duration and the distance traveled, as fuel, insurance, maintenance, and even the reserved location, enabling customers to rent a car according to their needs with the least paperwork.</t>
  </si>
  <si>
    <t>Breizh Invest PME, Garrigue, Nestadio Capital, Sodero</t>
  </si>
  <si>
    <t>auto insurance, car leasing service, car rental firm, climate tech company, ridehailing platform, rides hailing, road trip, vehicle maintenance</t>
  </si>
  <si>
    <t>Climate Tech, Micro-Mobility, Mobility Tech, Ridesharing</t>
  </si>
  <si>
    <t>25523-74T</t>
  </si>
  <si>
    <t>Nanobiotix (PAR: NANO)</t>
  </si>
  <si>
    <t>Nanobiotix SA is a clinical-stage biotechnology company that has one operating segment, which focuses on developing product candidates that use its proprietary nanotechnology to transform cancer treatment by increasing the efficacy of radiotherapy. The company develops NanoXray products to help patients receiving radiotherapy by magnifying the effect of radiotherapy within tumor cells without increasing the dose to surrounding healthy tissues. Its product candidate is NBTXR3, a preclinical research program for cancer immunotherapies.</t>
  </si>
  <si>
    <t>Amorcage Rhone-Alpes, Apicap, Crédit Mutuel Innovation, Karista (Paris)(Jérôme Snollaerts), Kreaxi, Masseran Gestion, Matignon Investissement et Gestion, Rhône-Alpes Création, Seventure Partners, Xavier Faure(Xavier Faure)</t>
  </si>
  <si>
    <t>cancer treatment, nanomedical cancer treatment, nanomedicine, nanomedicine startups, nanotechnological cancer treatment, nanotechnology</t>
  </si>
  <si>
    <t>Life Sciences, Nanotechnology, Oncology, TMT</t>
  </si>
  <si>
    <t>29656-99T</t>
  </si>
  <si>
    <t>Saooti</t>
  </si>
  <si>
    <t>Operator of an online radio station designed to promote brand identities and host podcasts. The company's station offers services with the help of a virtual broadcasting studio where listeners can listen to the online radio via their mobile phones, tablets, or desktops, thereby helping individuals spread their information on air to the masses and promote their activities.</t>
  </si>
  <si>
    <t>Breizh Invest PME, Emergys (France)</t>
  </si>
  <si>
    <t>branding content, content broadcasting, podcast broadcasting, radio broadcasting, virtual broadcasting, web radio</t>
  </si>
  <si>
    <t>29630-35T</t>
  </si>
  <si>
    <t>CEO Wonderbox, Soridec</t>
  </si>
  <si>
    <t>28211-59T</t>
  </si>
  <si>
    <t>Aquasourca(Stephane Gay), L'Ameliane(François-Régis Ory), Mérieux Equity Partners(Thierry Chignon), Sham, Sofimac Innovation</t>
  </si>
  <si>
    <t>25491-70T</t>
  </si>
  <si>
    <t>EdenWall Technologies</t>
  </si>
  <si>
    <t>Developer of IPS firewall and VPN security services. The company also offers training seminars and maintenance services, professional services, such as account management, security project design and implementation.</t>
  </si>
  <si>
    <t>CIC Market Solutions, Karista (Paris)</t>
  </si>
  <si>
    <t>account management, ips firewall, security, security services</t>
  </si>
  <si>
    <t>30173-86T</t>
  </si>
  <si>
    <t>FaDiese(Thierry Bardon), FJ investissements</t>
  </si>
  <si>
    <t>53990-65T</t>
  </si>
  <si>
    <t>Geodruid</t>
  </si>
  <si>
    <t>Provider of a geolocated search platform intended to help small French businesses to develop on the internet for the first time. The company's platform provides small businesses with brick and mortar options such as website creation, e-commerce, online marketing and training, enabling traders, small businesses and SMEs to generate more contacts through the internet and operate both online and offline.</t>
  </si>
  <si>
    <t>Daniel Zumino(Daniel Zumino), Gilles Martin(Gilles Martin), Guy Loyet(Guy Loyet), IT Capital(Didier Tranchier), Wilco(Paris)</t>
  </si>
  <si>
    <t>business marketing platform, business website developer, local business online marketing, local search, online search engine, website developer</t>
  </si>
  <si>
    <t>25415-38T</t>
  </si>
  <si>
    <t>29461-60T</t>
  </si>
  <si>
    <t>25334-11T</t>
  </si>
  <si>
    <t>26138-08T</t>
  </si>
  <si>
    <t>Medtech (Montpellier)</t>
  </si>
  <si>
    <t>Manufacturer of surgical robots intended to assist surgeons during their medical-surgical interventions. The products are developed with a robotized platform and visualization systems based on diagnostic capabilities, enabling clients to contribute to the implementation of safer, efficient and less-invasive treatment.</t>
  </si>
  <si>
    <t>diagnostic system, diagnostic tools, surgical device, surgical robot, surgical robotics, surgical system</t>
  </si>
  <si>
    <t>25253-74T</t>
  </si>
  <si>
    <t>Andera Partners, Auriga Partners (Paris), Crédit Mutuel Impact, Seventure Partners, Wellington Partners(Rainer Strohmenger)</t>
  </si>
  <si>
    <t>160279-66T</t>
  </si>
  <si>
    <t>Prime Technology (Other Commercial Products)</t>
  </si>
  <si>
    <t>Manufacturer of electrical microheater systems based in Bourgoin-Jallieu, France. The company offers renewable energy-based heating systems which it distributes through boiler installers.</t>
  </si>
  <si>
    <t>Amundi Private Equity Funds, Banque Populaire Auvergne Rhône Alpes, Emertec Gestion</t>
  </si>
  <si>
    <t>electrical heater, heating equipment, heating management, heating product, heating system</t>
  </si>
  <si>
    <t>Bourgoin-Jallieu, France</t>
  </si>
  <si>
    <t>29235-16T</t>
  </si>
  <si>
    <t>Sofimac Innovation(Didier Moret), XAnge(Cyril Bertrand)</t>
  </si>
  <si>
    <t>32444-92T</t>
  </si>
  <si>
    <t>Musinaut</t>
  </si>
  <si>
    <t>Movies, Music and Entertainment*, Other Media</t>
  </si>
  <si>
    <t>Developer of an interactive music technology. The company develops digital music format which allows artists to create music in a secure workspace, and allows listeners to enjoy music in brand new ways.</t>
  </si>
  <si>
    <t>Orkos Capital, Sofinnova Partners, Ventech (Paris)(Eric Huet)</t>
  </si>
  <si>
    <t>digital music, interactive music, music technology</t>
  </si>
  <si>
    <t>50909-14T</t>
  </si>
  <si>
    <t>Digiprice</t>
  </si>
  <si>
    <t>Developer of RFID products designed to check real-time inventories and pricing. The company offers weightless infrastructure solutions and IoT-connected objects, with communication modules, indoor and outdoor base stations, and finished products such as E-paper-based signaling screens, GPS plotters, and measurement sensors, enabling businesses to ensure real-time inventories and dynamic pricing in stores.</t>
  </si>
  <si>
    <t>Identec Group, Network Finances</t>
  </si>
  <si>
    <t>inventory management, management software, rfid tags, software interface, store management service, store management software, wireless technology</t>
  </si>
  <si>
    <t>Industrials, Internet of Things, TMT</t>
  </si>
  <si>
    <t>29379-25T</t>
  </si>
  <si>
    <t>Expansinvest, Haute Savoie Demain, Rhône-Alpes Création, Siparex Group</t>
  </si>
  <si>
    <t>52621-57T</t>
  </si>
  <si>
    <t>Save Groupe</t>
  </si>
  <si>
    <t>Provider of repairment services for mobile phones. The company offers on-site repair service for mobile phones, smartphones and multimedia products.</t>
  </si>
  <si>
    <t>Alto Invest(Rodolphe Herbelin)</t>
  </si>
  <si>
    <t>mobile phone, mobile phone repairment, mobile product</t>
  </si>
  <si>
    <t>35978-23T</t>
  </si>
  <si>
    <t>Breizh Invest PME(Frank Stephan), FaDiese, GO Capital (France), Paca Entreprendre</t>
  </si>
  <si>
    <t>25413-40T</t>
  </si>
  <si>
    <t>CEA Investissement, Primaveris, Trail Solutions Patrimoine</t>
  </si>
  <si>
    <t>29565-37T</t>
  </si>
  <si>
    <t>32436-37T</t>
  </si>
  <si>
    <t>Crédit Mutuel Equity, Seventure Partners, Sudinnova</t>
  </si>
  <si>
    <t>24525-55T</t>
  </si>
  <si>
    <t>Alven Capital Partners(Guillaume Aubin), Kima Ventures(Jérémie Berrebi)</t>
  </si>
  <si>
    <t>25411-78T</t>
  </si>
  <si>
    <t>Alsyon Technologies</t>
  </si>
  <si>
    <t>Business/Productivity Software, Communication Software, Financial Software, Publishing*</t>
  </si>
  <si>
    <t>Provider of corporate payment and banking communication management software. The company offers a platform for companies which helps them in managing their cash flow needs and bank accounts through a process payment management.</t>
  </si>
  <si>
    <t>banking communications, communication software, corporate payment</t>
  </si>
  <si>
    <t>181326-88T</t>
  </si>
  <si>
    <t>Sirius Media (PAR: ALSRS)</t>
  </si>
  <si>
    <t>Sirius Media is engaged in the business of marketing, advertising and integrated mobile technology. It consists of three divisions: Mobile advertising network division, Technical and consulting agency division and Publication division.</t>
  </si>
  <si>
    <t>Earlybird Venture Capital, Team Global</t>
  </si>
  <si>
    <t>mobile advertising network, mobile branding, mobile branding service, mobile marketing platform, performance advertising service, programmatic advertising service</t>
  </si>
  <si>
    <t>26758-36T</t>
  </si>
  <si>
    <t>Jobijoba</t>
  </si>
  <si>
    <t>Application Software, Business/Productivity Software, Human Capital Services*, Internet Software</t>
  </si>
  <si>
    <t>Developer of a job search engine designed to help in seeking work by providing career search services. The company's job search engine gives career advice and jobs from hundreds of job boards all on one site, enabling recruiter to contact the candidate more easily.</t>
  </si>
  <si>
    <t>job searching engine, job searching software, job searching website, jobs aggregation, jobs posting website, jobs search engine, vertical search engine</t>
  </si>
  <si>
    <t>26164-54T</t>
  </si>
  <si>
    <t>Geensoft</t>
  </si>
  <si>
    <t>Provider of design tools and services for development of software dominant embedded systems. The company's products include Reqtify and AUTOSAR Builder as well as ControlBuild and RT-Builder tool suites for designing, verifying and configuring AUTOSAR applications and systems. The company serves automotive, electronic and railway transportation markets.</t>
  </si>
  <si>
    <t>autosar builder, rt-builder tools suites, system development</t>
  </si>
  <si>
    <t>33004-72T</t>
  </si>
  <si>
    <t>Conferensum</t>
  </si>
  <si>
    <t>Provider of an online platform for the documentation of academic and business conferences. The company offers a directory of upcoming events along with the documentation, presentations, proceedings, podcast and video of various conferences across the world.</t>
  </si>
  <si>
    <t>Crossbow Capital</t>
  </si>
  <si>
    <t>content distribution, podcast, presentation documentation</t>
  </si>
  <si>
    <t>29547-19T</t>
  </si>
  <si>
    <t>Amundi Private Equity Funds, Andera Partners(Thierry Hercend), Idinvest Partners(Alain Munoz), InnoBiologics(Chahra Louafi), IRDI Capital Investissement(Alexandre Despax)</t>
  </si>
  <si>
    <t>31401-91T</t>
  </si>
  <si>
    <t>ETV Capital, Gemmes Venture, GSK (LON: GSK), Rothschild &amp; Co, The Intercare Group</t>
  </si>
  <si>
    <t>25262-02T</t>
  </si>
  <si>
    <t>Auriga Partners (Paris), Clement Alteresco, Fabernovel, Fanny Corpet, Pierre-Yves Platini, Sacha Labourey, Siparex Group, XAnge</t>
  </si>
  <si>
    <t>25397-20T</t>
  </si>
  <si>
    <t>26184-16T</t>
  </si>
  <si>
    <t>Aurinvest, Financiere de Brienne, Truffle Capital(Christian Pierret)</t>
  </si>
  <si>
    <t>30091-51T</t>
  </si>
  <si>
    <t>Audacia (PAR: ALAUD), Inocap Gestion</t>
  </si>
  <si>
    <t>32601-70T</t>
  </si>
  <si>
    <t>EthicOhm</t>
  </si>
  <si>
    <t>Developer of photovoltaic power projects. The company installs solar-power systems for industrial and agricultural properties in France.</t>
  </si>
  <si>
    <t>123 Investment Managers(Jean-Philippe Olivier)</t>
  </si>
  <si>
    <t>solar, solar installation, solar power systems</t>
  </si>
  <si>
    <t>46191-16T</t>
  </si>
  <si>
    <t>Metrixware Systemobjects</t>
  </si>
  <si>
    <t>Developer of a low-code platform designed to digitize complex business processes for various sectors. The company offers a comprehensive platform that includes fraud detection, anomaly tracking, and business intelligence, enabling organizations in banking, industry, and public administration to enhance operational efficiency while managing critical activities effectively.</t>
  </si>
  <si>
    <t>Amundi Private Equity Funds, Crédit Mutuel Impact(Alexandre Micouleau)</t>
  </si>
  <si>
    <t>business process automation, digital transformation, fraud detection, it innovation, low-code platform, operational maintenance, process auditing</t>
  </si>
  <si>
    <t>Vivonne, France</t>
  </si>
  <si>
    <t>26555-86T</t>
  </si>
  <si>
    <t>Groupe IRD, Turenne Groupe</t>
  </si>
  <si>
    <t>53434-18T</t>
  </si>
  <si>
    <t>DarkWorks</t>
  </si>
  <si>
    <t>Developer of video games. The company is an independent gaming studio of adventure games for PC and console play. Its products include "Alone in the Dark" and "Cold Fear."</t>
  </si>
  <si>
    <t>Développement &amp; Partenariat</t>
  </si>
  <si>
    <t>adventure games, console games, pc games</t>
  </si>
  <si>
    <t>85089-70T</t>
  </si>
  <si>
    <t>Alain Portmann(Alain Portmann), Fausto Geromel(Fausto Geromel), Jean-Christophe Lorrain(Jean-Christophe Lorrain), Olivier Vaysse(Olivier Vaysse), Pierre Schick(Pierre Schick), Xavier Leveugle(Xavier Leveugle)</t>
  </si>
  <si>
    <t>36421-93T</t>
  </si>
  <si>
    <t>Webdentiste</t>
  </si>
  <si>
    <t>Provider of website creation services intended to improve patient relationships for dentists. The company offers dedicated web consultants for personalized follow-up and search engine optimization to reach new patients and its services include website creation, a TV waiting room creation, a social network kit, turnkey personalized magazine among others, enabling dentists to get all the tools to improve their communication services with their patients and increase their business growth.</t>
  </si>
  <si>
    <t>dental practice data, dental practice tools, dentist marketing, dentistry platform, patient relationship, website creation</t>
  </si>
  <si>
    <t>71952-13T</t>
  </si>
  <si>
    <t>Tema Concept</t>
  </si>
  <si>
    <t>Electrical Equipment*, Machinery (B2B)</t>
  </si>
  <si>
    <t>Developer of static and dynamic test facilities. The company manufactures and designs test rigs that are used to assess the performance of a piece of mechanical or electrical equipment.</t>
  </si>
  <si>
    <t>fluid power equipment, test benches, test rigging, testing facility</t>
  </si>
  <si>
    <t>Chanteloup les Vignes, France</t>
  </si>
  <si>
    <t>26235-64T</t>
  </si>
  <si>
    <t>EI-Technologies</t>
  </si>
  <si>
    <t>Operator of a digital technology consulting firm intended to improve and optimize the technological and cloud-based processes of an organization. The company provides an end-to-end solution by identifying clients' strategic goals and combining business knowledge and technologies, enabling clients to be digitally efficient and adopt new technologies.</t>
  </si>
  <si>
    <t>Innovation Capital (Paris)(Franck Noiret)</t>
  </si>
  <si>
    <t>cloud-based service, digital technology consulting, digital technology consulting service, it consulting and outsourcing, it consulting services, technology advice</t>
  </si>
  <si>
    <t>26410-96T</t>
  </si>
  <si>
    <t>25629-04T</t>
  </si>
  <si>
    <t>Creathor Ventures(Gert Köhler)</t>
  </si>
  <si>
    <t>29655-37T</t>
  </si>
  <si>
    <t>24223-69T</t>
  </si>
  <si>
    <t>PhoneAndPhone</t>
  </si>
  <si>
    <t>Provider of online retail. The company sells a range of mobile phones with or without subscription and mobile accessories.</t>
  </si>
  <si>
    <t>Innovacom (Paris)(Frederic Humbert), XAnge</t>
  </si>
  <si>
    <t>online purchasing, online retail, online service</t>
  </si>
  <si>
    <t>32623-39T</t>
  </si>
  <si>
    <t>Sciences-U Lyon</t>
  </si>
  <si>
    <t>Provider of educational services based in Lyon, France. The company offers courses including graphics design, management, human resources, data processing, communications, marketing, tourism, accounting, real estate, insurance, and web design.</t>
  </si>
  <si>
    <t>XAnge(Magdalena Svensson)</t>
  </si>
  <si>
    <t>educational and training services, educational services, educational services company, human resources courses, management course, professional training</t>
  </si>
  <si>
    <t>27991-45T</t>
  </si>
  <si>
    <t>ASP France</t>
  </si>
  <si>
    <t>Application Software, Security Services (B2B)*, Vertical Market Software</t>
  </si>
  <si>
    <t>Developer of computer security and backup systems and softwares. The company offers backup services for archiving and electronic document management as well as provide professional security and sustainability of their client's data.</t>
  </si>
  <si>
    <t>antivirus, backup system, computer protection, computer security, firewall</t>
  </si>
  <si>
    <t>CleanTech, Cybersecurity, Industrials, TMT</t>
  </si>
  <si>
    <t>125637-67T</t>
  </si>
  <si>
    <t>Evysem L'evaluation Financiere, Pierre Bellue(Pierre Bellue), Primaveris, RPM Invest</t>
  </si>
  <si>
    <t>67834-36T</t>
  </si>
  <si>
    <t>Huiles &amp; Baumes</t>
  </si>
  <si>
    <t>Operator of an online and retail platform intended to sell skin care products. The company's online and retail platform offers a number of oils including jojobo, avocado and argan and a range of supplements containing vitamins, minerals and antioxidants, enabling individuals to avail natural products with anti-ageing benefits as well as reinforcing hair, skin and nails.</t>
  </si>
  <si>
    <t>beauty care, beauty product, body care product, organic cosmetics, skincare, skincare branding</t>
  </si>
  <si>
    <t>Doussard, France</t>
  </si>
  <si>
    <t>30937-24T</t>
  </si>
  <si>
    <t>Vedicis</t>
  </si>
  <si>
    <t>Internet Service Providers*, Other Communications and Networking, Telecommunications Service Providers</t>
  </si>
  <si>
    <t>Provider of traffic intelligence services intended to control internet access and usage. The company's services help traffic optimization in volume and bandwidth to reduce congestion and improve quality of experience, enabling mobile virtual operators and IOT service providers to address their current challenges for access, control and monetization of data traffic.</t>
  </si>
  <si>
    <t>Bpifrance, Innovacom (Paris)(Denis Barrier)</t>
  </si>
  <si>
    <t>broadband bandwidth optimization, communication and networking, internet access, multimedia tracking, traffic optimization</t>
  </si>
  <si>
    <t>26562-88T</t>
  </si>
  <si>
    <t>De Rhins</t>
  </si>
  <si>
    <t>Provider of operational consulting services intended to offer optimization and implementation of cash management. The company's services include optimization of costs related to flows and banking services and improve the fraud prevention process as well as offer assistance for the implementation of a cash management tool, enabling companies to reduce bank costs and improve treasury processes.</t>
  </si>
  <si>
    <t>Alliance Entreprendre(Alex Marvaldi)</t>
  </si>
  <si>
    <t>bank financing, banking services, internal audit, operational consulting services, optimization services</t>
  </si>
  <si>
    <t>25385-86T</t>
  </si>
  <si>
    <t>Glycode</t>
  </si>
  <si>
    <t>Operator of a biotechnology company focusing in the field of protein glycosylation. The company has developed GlycodExpress, which consists of a collection of yeast strains, genetically optimized for the production of recombinant therapeutic glycoproteins.</t>
  </si>
  <si>
    <t>Limousin Participations(Hélène Trabuchet), OCTALFA(Gilles Alberici), Sham, Sofimac Investment Managers(Hélène Trabuchet)</t>
  </si>
  <si>
    <t>biotech, glycogenome expressions, glycoproteins, yeast strain</t>
  </si>
  <si>
    <t>Uzerche, France</t>
  </si>
  <si>
    <t>36011-80T</t>
  </si>
  <si>
    <t>Oddo BHF Asset Management(Olivier Hua)</t>
  </si>
  <si>
    <t>30021-67T</t>
  </si>
  <si>
    <t>Morphee Interactive</t>
  </si>
  <si>
    <t>Developer of interactive video games. The company designs and develops online graphical video games.</t>
  </si>
  <si>
    <t>computer games, graphical gaming, interactive games</t>
  </si>
  <si>
    <t>Saintclement De Riviere, France</t>
  </si>
  <si>
    <t>20391-76T</t>
  </si>
  <si>
    <t>eÿeka</t>
  </si>
  <si>
    <t>Developer of an online media community platform designed to connect brands and creators together. The company offers a high volume of fresh, creative ideas for product innovation, marketing campaigns, packaging and video content, enabling brands to tap into the collective creative power of the crowd to solve their marketing challenges.</t>
  </si>
  <si>
    <t>DN Capital(Nenad Marovac), Societe francaise de radiotelephone, UI Investissement, Ventech (Paris)</t>
  </si>
  <si>
    <t>branding experience, collaborative innovation, consumer engagement, consumer insights, crowdsourcing, marketing ideas, online media, online media firm, product development</t>
  </si>
  <si>
    <t>17941-33T</t>
  </si>
  <si>
    <t>Masseran Gestion, Seventure Partners(David Manjarres)</t>
  </si>
  <si>
    <t>51599-08T</t>
  </si>
  <si>
    <t>Proxi-Busines</t>
  </si>
  <si>
    <t>Developer and operator of online supermarkets. The company's e-commerce platform offers analysis of e-commerce strategy, deployment of e-commerce store, logistics &amp; storage preparations and web marketing actions.</t>
  </si>
  <si>
    <t>ecommerce strategy, search engine optimization, web marketing</t>
  </si>
  <si>
    <t>Voreppe, France</t>
  </si>
  <si>
    <t>28518-67T</t>
  </si>
  <si>
    <t>24607-81T</t>
  </si>
  <si>
    <t>A Plus Finance, Crédit Mutuel Impact(Stéphane Pesqué), Endeavour Vision(Bernard Vogel), Highland Europe</t>
  </si>
  <si>
    <t>36370-45T</t>
  </si>
  <si>
    <t>Elynxo Group</t>
  </si>
  <si>
    <t>Operator of an engineering company intended to design optoelectronic observation instruments from prototype to mass production. The company's services involve developing and manufacturing optic-mechanical instruments and sub-assemblies for observation, sighting, alignment, and metrics, enabling civilian and military sectors to avail optronic products as per their requirements.</t>
  </si>
  <si>
    <t>defence equipment, defense and space manufacturing, field observation instruments, manufacturing, metrology, observation instruments, optic mechanical instrument</t>
  </si>
  <si>
    <t>37244-62T</t>
  </si>
  <si>
    <t>Galia Gestion(Vincent Schifano), Nestadio Capital(Florent de Kersauson)</t>
  </si>
  <si>
    <t>26289-64T</t>
  </si>
  <si>
    <t>Adocia (PAR: ADOC)</t>
  </si>
  <si>
    <t>Adocia is a clinical-stage biotechnology company. It specializes in the development of formulations of already approved therapeutic proteins and peptides for the treatment of diabetes and other metabolic diseases. The firm has developed Biochaperone, a proprietary technology platform to enhance the effectiveness of therapeutic proteins. The company's clinical pipeline includes Biochaperone Lispro, Biochaparone Combo, Biochaparone Glucagon, and others. Its pre-clinical pipeline includes BioChaperone LisPram, BioChaperone Glargine GLP-1, and BioChaperone Glucagon GLP1. Its patent portfolio mainly consists of chronic wound healing, insulin therapy, and monoclonal antibodies.</t>
  </si>
  <si>
    <t>Bioam Gestion(Olivier Martinez), Idinvest Partners, InnoBiologics, Kurma Partners(Thierry Laugel), Sham, Smalt Capital(Jerome Feraud), Societe Generale Asset Management</t>
  </si>
  <si>
    <t>clinical stage biotechnology, clinical stage products, diabetic, insulin therapy, peptides protein, therapeutic protein</t>
  </si>
  <si>
    <t>28025-83T</t>
  </si>
  <si>
    <t>Hendaye Croisieres</t>
  </si>
  <si>
    <t>Leisure Facilities*, Other Consumer Products and Services</t>
  </si>
  <si>
    <t>Organizer of recreational boating activities. The company operates as a cruising company organizing boating trips and fishing activities for its customers.</t>
  </si>
  <si>
    <t>boats trip, cruise, fishing activities</t>
  </si>
  <si>
    <t>34987-42T</t>
  </si>
  <si>
    <t>Bpifrance, Kreaxi, Trail Solutions Patrimoine</t>
  </si>
  <si>
    <t>210578-23T</t>
  </si>
  <si>
    <t>L2G</t>
  </si>
  <si>
    <t>Manufacturer, designer and supplier of food processing equipment intended for operators of professional kitchens and fresh produce laboratories. The company offers stainless steel furniture and assemblers, kitchen equipment and commercial refrigeration products, enabling clients to meet the food processing equipment needs of their kitchen and food laboratories.</t>
  </si>
  <si>
    <t>Credit Cooperatif</t>
  </si>
  <si>
    <t>bathroom furniture, cold storage, food processing, food processing unit, furnishing product, home furnishings, kitchen equipment, living room, modern kitchen, stainless steel equipment, stainless steel equipment manufacturer, stainless steel furniture</t>
  </si>
  <si>
    <t>Corbas, France</t>
  </si>
  <si>
    <t>71932-24T</t>
  </si>
  <si>
    <t>Lezard Creatif</t>
  </si>
  <si>
    <t>Provider of creative workshops designed to discover the pleasures of the plastic arts or to reconnect with these activities according to the principle of fitness clubs. The company's creative workshops are offered through a franchise model store which deals with visual arts and provides supervision by qualified animators, enabling amateurs artists and creative members to take advantage of space and excel in their skill.</t>
  </si>
  <si>
    <t>art workshops, art workshops platform, creative arts workshops, creative leisure, plastic art</t>
  </si>
  <si>
    <t>24638-14T</t>
  </si>
  <si>
    <t>2HeuresAvant</t>
  </si>
  <si>
    <t>Provider of discounted tickets online. The company offers their customers to buy tickets half or quarter of the price for two hours before the biggest shows.</t>
  </si>
  <si>
    <t>concerts, online ticketing</t>
  </si>
  <si>
    <t>27748-27T</t>
  </si>
  <si>
    <t>Agerria</t>
  </si>
  <si>
    <t>Producer of gourmet food products and wine intended to offer a traditional cuisine experience. The company's food and wine catalog include dishes prepared from poultry products like duck meat that are cooked with an assemblage of red and white wine and are sold from stores as well as through a website, enabling customers to experience and enjoy authentic culinary.</t>
  </si>
  <si>
    <t>authentic culinary, farming food, food company, food manufacturer, food producer, traditional cuisine, traditional food</t>
  </si>
  <si>
    <t>Irouleguy, France</t>
  </si>
  <si>
    <t>47995-75T</t>
  </si>
  <si>
    <t>Aji Groupe</t>
  </si>
  <si>
    <t>Developer of a business promotion platform designed to offer online and offline marketing strategies by increasing customer loyalty and ensuring more direct transformation. The company's platform offers a range of services related to design, creation, branding, production and strategy, assist culinary professionals in their communication development by publishing cookbooks and recipes, images, videos, reports, aerial videos, their personal website, their own e-commerce site and digital signage among others, enabling clients to expand their customer base and increase the base of their business.</t>
  </si>
  <si>
    <t>Malta ICI</t>
  </si>
  <si>
    <t>branding, business promotion platform, marketing platform, offline marketing strategy, online marketing strategy, strategic marketing</t>
  </si>
  <si>
    <t>Wittelsheim, France</t>
  </si>
  <si>
    <t>24711-22T</t>
  </si>
  <si>
    <t>235247-68T</t>
  </si>
  <si>
    <t>28029-70T</t>
  </si>
  <si>
    <t>27993-97T</t>
  </si>
  <si>
    <t>Bid'A Parc</t>
  </si>
  <si>
    <t>Operator of an amusement park designed to offer leisure facilities in France. The company's amusement park offers water games, trampolines, and animal farms for an educational introduction to domestic animals, providing customers with entertainment activities and games.</t>
  </si>
  <si>
    <t>amusement park, amusement park operator, amusement park rides, leisure facilities, leisure park operator, mega park, water park</t>
  </si>
  <si>
    <t>45112-42T</t>
  </si>
  <si>
    <t>35876-89T</t>
  </si>
  <si>
    <t>Boutique Nature</t>
  </si>
  <si>
    <t>Distributors/Wholesale*, Food Products, Medical Supplies</t>
  </si>
  <si>
    <t>Producer of natural health products designed to offer food supplements, cosmetics, essential oils and others.to dietary and organic stores, The company's products include plants and active ingredients that are rigorously selected for their beneficial effects as well as contain no preservatives, excipients, dyes or flavors available in the form of vegetable capsules and marine capsules, enabling users to lead a healthy lifestyle.</t>
  </si>
  <si>
    <t>Matignon Investissement et Gestion</t>
  </si>
  <si>
    <t>dietary supplements, food ecommerce, herbal medicine, herbal product, natural cosmetics, natural food, online grocer</t>
  </si>
  <si>
    <t>E-Commerce, FoodTech, Industrials, LOHAS &amp; Wellness, TMT</t>
  </si>
  <si>
    <t>Combs-la-Ville, France</t>
  </si>
  <si>
    <t>86605-21T</t>
  </si>
  <si>
    <t>Cabrilog</t>
  </si>
  <si>
    <t>Developer of educational applications and materials intended to make learning math and science simple. The company designs, develops and distributes digital teaching resources and apps dedicated to mathematics with a focus on areas such as algebra, geometry, trigonometry, for students and teachers from primary to secondary school levels, enabling educators and students to have access to flexible tools and extensible educational resources.</t>
  </si>
  <si>
    <t>educational materials, educational platform, educational tools, interactive learning, mathematics concepts, maths app</t>
  </si>
  <si>
    <t>27589-78T</t>
  </si>
  <si>
    <t>Erco Finances</t>
  </si>
  <si>
    <t>Holding Companies*, Other Communications and Networking</t>
  </si>
  <si>
    <t>Provider of communication services intended to regroup communications and measuring support services. The company's communication services primarily focuses in data transmission services enabling its customers to high quality data transmission for effective communication.</t>
  </si>
  <si>
    <t>communication service, communications and measuring tools, data transmission, data transmission service, effective communication</t>
  </si>
  <si>
    <t>28003-51T</t>
  </si>
  <si>
    <t>Fenixfalt</t>
  </si>
  <si>
    <t>Developer of a road development technology designed to revolutionize international road construction. The company's technology regenerates road bitumens by allowing hot asphalt recycling on wearing courses, enabling clients to reproduce a binder whose properties are at least equivalent to those of new bitumen resulting from refining.</t>
  </si>
  <si>
    <t>Herrikoa(Hervé Haller), Omnes Capital, Stéphane Romet(Stéphane Romet)</t>
  </si>
  <si>
    <t>asphalt felts, asphalt recycling, bitumen coating, bitumen product, road development services</t>
  </si>
  <si>
    <t>117518-14T</t>
  </si>
  <si>
    <t>51664-60T</t>
  </si>
  <si>
    <t>InSimo</t>
  </si>
  <si>
    <t>Developer of a simulation software intended to facilitate surgical training and education. The company's software offers new opportunities in surgical training simulators by reproducing complicated cases, enabling surgeons to train in a reduced time and be prepared for handling any pathology.</t>
  </si>
  <si>
    <t>biomechanical software, medical simulation, online simulator, robotic machinery, surgical planning, surgical planning tools</t>
  </si>
  <si>
    <t>140340-61T</t>
  </si>
  <si>
    <t>Isoltop</t>
  </si>
  <si>
    <t>Building Products*, Raw Materials (Non-Wood)</t>
  </si>
  <si>
    <t>Manufacturer of floor accessories intended to offer quality construction and renovation products to customers. The company's accessories include a range of products including insulating beams, footplates, interjoists, flooring frames, hangers and thermal bridge connectors, enabling construction companies to build commercial and residential structures in a hassle-free way.</t>
  </si>
  <si>
    <t>building materials, construction materials, construction materials supply, floor accessories, floor beam, floor product</t>
  </si>
  <si>
    <t>Entraigues-Sur-La-Sorgue, France</t>
  </si>
  <si>
    <t>27750-43T</t>
  </si>
  <si>
    <t>Kanaldude</t>
  </si>
  <si>
    <t>Provider of audiovisual production services intended to develop the presence of the Basque language in the media industry. The company's services include filmmaking, events, streaming, and publication of local television, enabling viewers to get a weekly production of audiovisual content in their language.</t>
  </si>
  <si>
    <t>audio visual content, audio visual production, content media, content video, production services, television content producer</t>
  </si>
  <si>
    <t>Bidarrai, France</t>
  </si>
  <si>
    <t>198690-58T</t>
  </si>
  <si>
    <t>Kizoa</t>
  </si>
  <si>
    <t>Business/Productivity Software, Multimedia and Design Software, Social Content, Social/Platform Software*</t>
  </si>
  <si>
    <t>Developer of an online video editing application designed to offer easy video editing solutions. The company's web-based user-friendly application offers video editing, movie maker, and slideshow creator, allowing individuals and businesses to express themselves with videos to commemorate a family event, share a school outing on social networks, or promote their business.</t>
  </si>
  <si>
    <t>editing software, online platform, online video app, software platform, video creation, video editor, video maker, video software, video software system</t>
  </si>
  <si>
    <t>27170-83T</t>
  </si>
  <si>
    <t>Konbini</t>
  </si>
  <si>
    <t>Operator of a digital media company intended to promote creative journalism. The company's services leverage technology to publish articles on various issues, and distribute and produce short programs, online content, media production, and sponsorship services, enabling clients to market their products and provide authentic media content in a better way.</t>
  </si>
  <si>
    <t>Angyal, Brkfst Club, NextStage AM(Jean-David Haas)</t>
  </si>
  <si>
    <t>content media, creative journalism, online advertising, online media, web based internet service, web based media</t>
  </si>
  <si>
    <t>28033-21T</t>
  </si>
  <si>
    <t>Labo Santé Silice</t>
  </si>
  <si>
    <t>Beverages, Food Products, Personal Products, Pharmaceuticals*</t>
  </si>
  <si>
    <t>Producer of food supplements and cosmetics intended to offer people organic silicon in a different mold. The company's food supplements and cosmetics include dietary supplements, organic and flora probiotic products, enabling customers to avail the healthy effects of silicon in their day-to-day life.</t>
  </si>
  <si>
    <t>bio-engineered food, dietary supplements, food supplements, food supplements company, food supplements manufacturer, food supplements manufacturing, food supplements provider, novel ingredients</t>
  </si>
  <si>
    <t>Mouans-Sartoux, France</t>
  </si>
  <si>
    <t>36355-06T</t>
  </si>
  <si>
    <t>Les Ateliers Ruby</t>
  </si>
  <si>
    <t>Accessories*, Clothing, Internet Retail</t>
  </si>
  <si>
    <t>Manufacturer and designer of motorcycle helmets and accessories. The company manufactures and sells motorcycle helmets, gloves, leather jackets and accessories online while allowing consumers to customize helmet designs.</t>
  </si>
  <si>
    <t>customized helmets, helmets, leather cloth, motorcycle wear, rides wear</t>
  </si>
  <si>
    <t>34175-26T</t>
  </si>
  <si>
    <t>Logtimum</t>
  </si>
  <si>
    <t>Developer of a logistics management software intended to improve multiple functions of shipments. The company's software automatically edits transport labels of parcels, check carrier invoices and displays right courier price based on multiple factors, enabling transportation companies to optimize their operations and increase their revenue.</t>
  </si>
  <si>
    <t>Crédit Agricole Creating, Rhône-Alpes Création</t>
  </si>
  <si>
    <t>centralized monitoring system, logistics management, monitoring platform, transport labels editing, transport management platform</t>
  </si>
  <si>
    <t>Chateauneuf, France</t>
  </si>
  <si>
    <t>25575-94T</t>
  </si>
  <si>
    <t>Sofinnova Partners(Denis Lucquin)</t>
  </si>
  <si>
    <t>24781-60T</t>
  </si>
  <si>
    <t>Ardian, Partech(Philippe Collombel)</t>
  </si>
  <si>
    <t>28041-85T</t>
  </si>
  <si>
    <t>Metal Adour</t>
  </si>
  <si>
    <t>Building Products, Construction and Engineering, Industrial Supplies and Parts*, Other Commercial Products</t>
  </si>
  <si>
    <t>Producer of metal frames and boilers. The company partners with architects and builders to custom metal frames and structures. The company also manufactures stainless steel aluminum boilers.</t>
  </si>
  <si>
    <t>aluminum boilers, boilers</t>
  </si>
  <si>
    <t>71930-53T</t>
  </si>
  <si>
    <t>MyConcierge</t>
  </si>
  <si>
    <t>Provider of personal assistance services intended to assist private individuals and companies to get a singular intermediary for all needs. The company assists its members in all areas of private and professional life such as events, tailor-made travel, ticketing, transport, leisure, well-being and home services, enabling clients to avail a premium itinerary that meets their mood and motive.</t>
  </si>
  <si>
    <t>assistance services, concierge app, concierge service, lifestyle services, personal assistance, personal assistant service</t>
  </si>
  <si>
    <t>43863-67T</t>
  </si>
  <si>
    <t>Nestor (France)</t>
  </si>
  <si>
    <t>Provider of care and maintenance services intended to maintain the homes of elderly and young children. The company's services include home-care, elderly care, child-care, pet-care, cleaning, ironing, gardening and window cleaning and many such services, enabling clients to enjoy leisure time with loved ones.</t>
  </si>
  <si>
    <t>care services, cleaning, gardening, home care, iron, pet care, windows cleaning</t>
  </si>
  <si>
    <t>132082-39T</t>
  </si>
  <si>
    <t>NovaNano</t>
  </si>
  <si>
    <t>Electronic Equipment and Instruments, Industrial Supplies and Parts*</t>
  </si>
  <si>
    <t>Developer of nanosatellite systems intended to provide high performance and high-reliability nanosatellite technology bricks. The company's products include satellite launch adapters, platforms and subsystems additionally they also offer launch services, nanosat missions and insurances, enabling their clients to monitor, receive data and take care of the satellite's maintenance and monitoring activities throughout the lifetime of the latter.</t>
  </si>
  <si>
    <t>nanosatellite, nanosatellite manufacturer, nanosatellite services, nanosatellite solution, nanosatellites</t>
  </si>
  <si>
    <t>95390-65T</t>
  </si>
  <si>
    <t>25750-90T</t>
  </si>
  <si>
    <t>Pure people</t>
  </si>
  <si>
    <t>Operator of a celebrity magazine website. The company is a digital media group operating as a magazine dedicated to celebrities.</t>
  </si>
  <si>
    <t>Airtek Capital Group, C4MPROD, Idinvest Partners, Ventech (Paris)</t>
  </si>
  <si>
    <t>celebrity, digital media, magazine</t>
  </si>
  <si>
    <t>66602-71T</t>
  </si>
  <si>
    <t>Qosguard</t>
  </si>
  <si>
    <t>Provider of information technology services intended to improve the performance of digital services and associated processes. The company's services include website application recommendations, providing insights on data transportation, and delivering computerized business transactions for various businesses, providing clients to improve the availability and performance of business transactions.</t>
  </si>
  <si>
    <t>business it consultancy, business technical support, business transaction, data transportation system, information tech, it support, project management</t>
  </si>
  <si>
    <t>Jouy-en-Josas, France</t>
  </si>
  <si>
    <t>29637-19T</t>
  </si>
  <si>
    <t>Créalia, Omnes Capital(Francois-Xavier Dedde), OSEO Innovation, Soridec</t>
  </si>
  <si>
    <t>29636-65T</t>
  </si>
  <si>
    <t>29924-56T</t>
  </si>
  <si>
    <t>Société Métallerie Gargini</t>
  </si>
  <si>
    <t>Operator of a metal works company intended to provide metal joinery and locksmith work. .</t>
  </si>
  <si>
    <t>Naxicap Partners, Soridec</t>
  </si>
  <si>
    <t>locksmith tools, locksmith works, locksmithing service, metal carpentry, metal frame system, metal system</t>
  </si>
  <si>
    <t>123534-91T</t>
  </si>
  <si>
    <t>SOMOS Semiconductor</t>
  </si>
  <si>
    <t>Manufacturer of fabless semiconductors designed to provide compatibility with 4G and 5G IoT and smartphone applications. The company's semiconductors offer leading-edge RF power amplifier, front end, switch products and designs for IoT and smartphone devices that leverage their IP and know-how to implement and deliver CMOS Power Amplifiers with unprecedented performance, enabling clients to get access to state-of-the-art components, IP, licensing and custom semiconductor design services</t>
  </si>
  <si>
    <t>Bpifrance, Omnes Capital, XAnge</t>
  </si>
  <si>
    <t>conductors manufacturer, conductors product, semiconductor chips, semiconductor devices, semiconductor seller</t>
  </si>
  <si>
    <t>Marly-le-Roi, France</t>
  </si>
  <si>
    <t>28059-76T</t>
  </si>
  <si>
    <t>Tartines Du Berger Rosciglione</t>
  </si>
  <si>
    <t>Food Products*, Other Consumer Non-Durables, Other Consumer Products and Services</t>
  </si>
  <si>
    <t>Provider of food products. The company engages in the preparation and fabrication of pizzas.</t>
  </si>
  <si>
    <t>pizza, pizza fabrication, pizza preparation</t>
  </si>
  <si>
    <t>Briscous, France</t>
  </si>
  <si>
    <t>29764-90T</t>
  </si>
  <si>
    <t>TMG (Legal Services)</t>
  </si>
  <si>
    <t>Developer of a digital and audiovisual rights compliance software designed to counter the illegal downloading of music files. The company's software offers a range of marketing and online communication via peer to peer networks and uses a technology that enforces digital and audiovisual rights, enabling clients to monitor, analyze and enjoy online protection of live events.</t>
  </si>
  <si>
    <t>copyright music, copyright safety, illegal download, music files, online communication, online protection</t>
  </si>
  <si>
    <t>71972-83T</t>
  </si>
  <si>
    <t>85986-01T</t>
  </si>
  <si>
    <t>Websourd</t>
  </si>
  <si>
    <t>Operator of a cooperative society of collective interest intended to meet basic needs of the deaf in a sustainable and solidarity economy. The company's cooperative society of collective interest develops a video-interpreting system that helps deaf people to communicate remotely on the Web with a speaker who interacts with a sign language interpreter, enabling the deaf to have access to information and communication so that they are seen in the eyes of citizens as full citizens.</t>
  </si>
  <si>
    <t>Phitrust Partenaires, PULSE GroupeSOS</t>
  </si>
  <si>
    <t>cooperative society, deaf communication, deafness sensitivity, deafness training, visio-interpretation</t>
  </si>
  <si>
    <t>28066-24T</t>
  </si>
  <si>
    <t>Yogamassala</t>
  </si>
  <si>
    <t>Information Services (B2C)*, Other Healthcare Services, Other Services (B2C Non-Financial)</t>
  </si>
  <si>
    <t>Provider of online healthcare platform intended to provide online yoga classes. The company's platform provides yoga clothes, yoga postures and fitness diet charts, enabling users to stay fit at an affordable price.</t>
  </si>
  <si>
    <t>fitness service, internet portal, online yoga, yoga classes, yoga clothes</t>
  </si>
  <si>
    <t>85179-88T</t>
  </si>
  <si>
    <t>Search Criteria:</t>
  </si>
  <si>
    <t xml:space="preserve">Deal IDs: +Simple - Deal #6, 2022; 10-Vins - Deal #6, 2016; 10-Vins - Deal #7, 2017; 1000Nautique - Deal #1, 2011; 1001 Salles - Deal #1, 2017; 1001Hobbies - Deal #1, 2020; 1001Pharmacies - Deal #4, 2014; 1001Pharmacies - Deal #5, Series A, 2015; 1001PNEUS - Deal #1, 2014; 1055 - Deal #1, 2021; 1083 - Deal #2, 2018; 110 Bourgogne - Deal #1, 2016; 1910 Lartigue - Deal #1, 2012; 1Check - Deal #4, 2017; 1D Lab - Deal #1, 2016; 1km à pied - Deal #4, 2022; 1Kubator - Deal #1, 2021; 1point6 - Deal #1, 2023; 2140 - Deal #1, 2022; 2C Comm - Deal #1, 2014; 2HeuresAvant - Deal #1, 2010; 2IO Conseil - Deal #1, 2011; 2LCollection - Deal #1, 2011; 360&amp;1 - Deal #2, 2016; 360Learning - Deal #3, 2013; 360Learning - Deal #5, Series B, 2019; 360player - Deal #2, 2016; 365c - Deal #4, 2015; 365c - Deal #5, 2017; 365Talents - Deal #4, 2018; 365Talents - Deal #6, Series A, 2021; 3clics.com - Deal #3, 2013; 3clics.com - Deal #4, 2016; 3D EVOLUTION (Vénissieux) - Deal #2, 2015; 3D Sound Labs - Deal #4, 2015; 3Dduo - Deal #2, Series B, 2011; 3Dduo - Deal #3, 2014; 3deus Dynamics - Deal #4, 2024; 3G - Deal #2, 2013; 3LI Business Solutions - Deal #1, 2014; 3Mundi - Deal #1, 2012; 3P3D - Deal #1, 2017; 3point3 - Deal #2, 2017; 4 Your Body - Deal #1, 2018; 4.71 - Deal #1, 2023; 45-8 Energy - Deal #2, Series A, 2021; 45-8 Energy - Deal #5, Series B, 2023; 4D Virtualiz - Deal #3, 2019; 4elements - Deal #1, 2025; 50inTech - Deal #4, 2023; </t>
  </si>
  <si>
    <t>Search Result Columns</t>
  </si>
  <si>
    <t>Downloaded on:</t>
  </si>
  <si>
    <t>Created for:</t>
  </si>
  <si>
    <t>Benjamin Leroy, Agoranov</t>
  </si>
  <si>
    <t>All data copyright PitchBook Data, Inc.</t>
  </si>
  <si>
    <t>For customized data reports and analyses, contact us at:</t>
  </si>
  <si>
    <t>support@pitchbook.com</t>
  </si>
  <si>
    <t xml:space="preserve">This document and its contents may only be used or shared as permitted in </t>
  </si>
  <si>
    <t>the PitchBook subscription agreement.</t>
  </si>
  <si>
    <t>Subject to limited exceptions, this document may not be used or stored following the termination of your agreement with PitchBook.</t>
  </si>
  <si>
    <t>If you have any further questions or concerns, please contact client services at:</t>
  </si>
  <si>
    <t>US</t>
  </si>
  <si>
    <t>+1 (206) 257-7775</t>
  </si>
  <si>
    <t>UK</t>
  </si>
  <si>
    <t>+44 (0)203 875 3504</t>
  </si>
  <si>
    <t>SG</t>
  </si>
  <si>
    <t>+65 6016 4771</t>
  </si>
  <si>
    <t>Or by email</t>
  </si>
  <si>
    <t>© PitchBook Data, Inc.  2025</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</si>
</sst>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82" formatCode="#,###"/>
    <numFmt numFmtId="83" formatCode="#,##0.00;[red](#,##0.00)"/>
    <numFmt numFmtId="84" formatCode="#,##0.00&quot;%&quot;;[red]-#,##0.00&quot;%&quot;"/>
    <numFmt numFmtId="85" formatCode="dd-MMM-yyyy"/>
    <numFmt numFmtId="86" formatCode="#,##0.00;[red]-#,##0.00"/>
    <numFmt numFmtId="87" formatCode="dd-mmm-yyyy"/>
  </numFmts>
  <fonts count="23">
    <font>
      <sz val="11"/>
      <color theme="1"/>
      <name val="Calibri"/>
      <family val="2"/>
      <scheme val="minor"/>
    </font>
    <font>
      <b/>
      <sz val="8"/>
      <color rgb="FFFFFFFF"/>
      <name val="Open Sans"/>
      <family val="2"/>
    </font>
    <font>
      <sz val="8"/>
      <color rgb="FF000000"/>
      <name val="Open Sans"/>
      <family val="2"/>
    </font>
    <font>
      <u/>
      <sz val="11"/>
      <color rgb="FF0563C1"/>
      <name val="Calibri"/>
    </font>
    <font>
      <sz val="8"/>
      <color rgb="FF26649E"/>
      <name val="Open Sans"/>
      <family val="2"/>
    </font>
    <font>
      <sz val="8"/>
      <color rgb="FF000000"/>
      <name val="Open Sans"/>
      <family val="2"/>
    </font>
    <font>
      <b/>
      <sz val="8"/>
      <color rgb="FF000000"/>
      <name val="Open Sans"/>
      <family val="2"/>
    </font>
    <font>
      <b/>
      <sz val="16"/>
      <color rgb="FF000000"/>
      <name val="Open Sans"/>
      <family val="2"/>
    </font>
    <font>
      <b/>
      <sz val="8"/>
      <color rgb="FF000000"/>
      <name val="Open Sans"/>
      <family val="2"/>
    </font>
    <font>
      <b/>
      <sz val="14"/>
      <color rgb="FF000000"/>
      <name val="Open Sans"/>
      <family val="2"/>
    </font>
    <font>
      <i/>
      <sz val="10"/>
      <color rgb="FF000000"/>
      <name val="Open Sans"/>
      <family val="2"/>
    </font>
    <font>
      <i/>
      <sz val="10"/>
      <color rgb="FF000000"/>
      <name val="Open Sans"/>
      <family val="2"/>
    </font>
    <font>
      <i/>
      <sz val="10"/>
      <color rgb="FF000000"/>
      <name val="Open Sans"/>
      <family val="2"/>
    </font>
    <font>
      <i/>
      <sz val="10"/>
      <color rgb="FF000000"/>
      <name val="Open Sans"/>
      <family val="2"/>
    </font>
    <font>
      <sz val="11"/>
      <color theme="1"/>
      <name val="Calibri"/>
      <family val="2"/>
      <scheme val="minor"/>
    </font>
    <font>
      <i/>
      <sz val="10"/>
      <color rgb="FF26649E"/>
      <name val="Open Sans"/>
      <family val="2"/>
    </font>
    <font>
      <i/>
      <sz val="10"/>
      <color rgb="FF26649E"/>
      <name val="Open Sans"/>
      <family val="2"/>
    </font>
    <font>
      <i/>
      <sz val="10"/>
      <color rgb="FF26649E"/>
      <name val="Open Sans"/>
      <family val="2"/>
    </font>
    <font>
      <i/>
      <sz val="10"/>
      <color rgb="FF26649E"/>
      <name val="Open Sans"/>
      <family val="2"/>
    </font>
    <font>
      <i/>
      <sz val="10"/>
      <color rgb="FF000000"/>
      <name val="Open Sans"/>
      <family val="2"/>
    </font>
    <font>
      <i/>
      <sz val="10"/>
      <color rgb="FF000000"/>
      <name val="Open Sans"/>
      <family val="2"/>
    </font>
    <font>
      <i/>
      <sz val="10"/>
      <color rgb="FF000000"/>
      <name val="Open Sans"/>
      <family val="2"/>
    </font>
    <font>
      <sz val="8"/>
      <color rgb="FF000000"/>
      <name val="Open Sans"/>
      <family val="2"/>
    </font>
  </fonts>
  <fills count="5">
    <fill>
      <patternFill patternType="none"/>
    </fill>
    <fill>
      <patternFill patternType="gray125"/>
    </fill>
    <fill>
      <patternFill patternType="solid">
        <fgColor rgb="FF051C38"/>
        <bgColor rgb="FF051C38"/>
      </patternFill>
    </fill>
    <fill>
      <patternFill patternType="solid">
        <fgColor rgb="FFF8F5EF"/>
        <bgColor rgb="FFF8F5EF"/>
      </patternFill>
    </fill>
    <fill>
      <patternFill patternType="solid">
        <fgColor rgb="FFFFFFFF"/>
      </patternFill>
    </fill>
  </fills>
  <borders count="2">
    <border>
      <left/>
      <right/>
      <top/>
      <bottom/>
      <diagonal/>
    </border>
    <border>
      <left/>
      <right style="thin">
        <color rgb="FFD3D3D3"/>
      </right>
      <top/>
      <bottom/>
      <diagonal/>
    </border>
  </borders>
  <cellStyleXfs count="14">
    <xf numFmtId="0" fontId="0" fillId="0" borderId="0"/>
    <xf numFmtId="0" fontId="1" fillId="0" borderId="0">
      <alignment horizontal="center" vertical="center" wrapText="1"/>
    </xf>
    <xf numFmtId="0" fontId="22" fillId="0" borderId="0">
      <alignment horizontal="left" vertical="center"/>
    </xf>
    <xf numFmtId="0" fontId="2" fillId="0" borderId="0">
      <alignment horizontal="right" vertical="center"/>
    </xf>
    <xf numFmtId="0" fontId="3" fillId="0" borderId="0" applyNumberFormat="0" applyFill="0" applyBorder="0" applyAlignment="0" applyProtection="0"/>
    <xf numFmtId="0" fontId="4" fillId="0" borderId="0">
      <alignment horizontal="left" vertical="center"/>
    </xf>
    <xf numFmtId="0" fontId="2" fillId="0" borderId="0">
      <alignment horizontal="right" vertical="top"/>
    </xf>
    <xf numFmtId="0" fontId="6" fillId="0" borderId="0">
      <alignment horizontal="left" vertical="top" wrapText="1"/>
    </xf>
    <xf numFmtId="0" fontId="7" fillId="0" borderId="0">
      <alignment horizontal="left" vertical="center"/>
    </xf>
    <xf numFmtId="0" fontId="6" fillId="0" borderId="0">
      <alignment horizontal="left" vertical="center"/>
    </xf>
    <xf numFmtId="0" fontId="9" fillId="0" borderId="0">
      <alignment horizontal="left" vertical="center"/>
    </xf>
    <xf numFmtId="0" fontId="13" fillId="4" borderId="0">
      <alignment horizontal="left" vertical="center"/>
    </xf>
    <xf numFmtId="0" fontId="18" fillId="4" borderId="0">
      <alignment horizontal="left" vertical="center"/>
    </xf>
    <xf numFmtId="0" fontId="13" fillId="4" borderId="0">
      <alignment horizontal="right" vertical="center"/>
    </xf>
  </cellStyleXfs>
  <cellXfs count="32">
    <xf numFmtId="0" fontId="0" fillId="0" borderId="0" xfId="0"/>
    <xf numFmtId="0" fontId="4" fillId="3" borderId="1" xfId="5" applyFill="1" applyBorder="1" applyAlignment="1">
      <alignment horizontal="left" vertical="center" indent="1"/>
    </xf>
    <xf numFmtId="0" fontId="1" fillId="2" borderId="0" xfId="1" applyFill="1">
      <alignment horizontal="center" vertical="center" wrapText="1"/>
    </xf>
    <xf numFmtId="0" fontId="22" fillId="0" borderId="1" xfId="2" applyBorder="1" applyAlignment="1">
      <alignment horizontal="left" vertical="center" indent="1"/>
    </xf>
    <xf numFmtId="83" fontId="2" fillId="0" borderId="1" xfId="3" applyNumberFormat="1" applyBorder="1" applyAlignment="1">
      <alignment horizontal="right" vertical="center" indent="1"/>
    </xf>
    <xf numFmtId="82" fontId="2" fillId="0" borderId="1" xfId="3" applyNumberFormat="1" applyBorder="1" applyAlignment="1">
      <alignment horizontal="right" vertical="center" indent="1"/>
    </xf>
    <xf numFmtId="0" fontId="2" fillId="0" borderId="1" xfId="3" applyBorder="1" applyAlignment="1">
      <alignment horizontal="right" vertical="center" indent="1"/>
    </xf>
    <xf numFmtId="84" fontId="2" fillId="0" borderId="1" xfId="3" applyNumberFormat="1" applyBorder="1" applyAlignment="1">
      <alignment horizontal="right" vertical="center" indent="1"/>
    </xf>
    <xf numFmtId="86" fontId="2" fillId="0" borderId="1" xfId="3" applyNumberFormat="1" applyBorder="1" applyAlignment="1">
      <alignment horizontal="right" vertical="center" indent="1"/>
    </xf>
    <xf numFmtId="85" fontId="2" fillId="0" borderId="1" xfId="3" applyNumberFormat="1" applyBorder="1" applyAlignment="1">
      <alignment horizontal="right" vertical="center" indent="1"/>
    </xf>
    <xf numFmtId="82" fontId="22" fillId="0" borderId="1" xfId="2" applyNumberFormat="1" applyBorder="1" applyAlignment="1">
      <alignment horizontal="left" vertical="center" indent="1"/>
    </xf>
    <xf numFmtId="0" fontId="4" fillId="0" borderId="1" xfId="5" applyBorder="1" applyAlignment="1">
      <alignment horizontal="left" vertical="center" indent="1"/>
    </xf>
    <xf numFmtId="0" fontId="22" fillId="3" borderId="1" xfId="2" applyFill="1" applyBorder="1" applyAlignment="1">
      <alignment horizontal="left" vertical="center" indent="1"/>
    </xf>
    <xf numFmtId="85" fontId="2" fillId="3" borderId="1" xfId="3" applyNumberFormat="1" applyFill="1" applyBorder="1" applyAlignment="1">
      <alignment horizontal="right" vertical="center" indent="1"/>
    </xf>
    <xf numFmtId="83" fontId="2" fillId="3" borderId="1" xfId="3" applyNumberFormat="1" applyFill="1" applyBorder="1" applyAlignment="1">
      <alignment horizontal="right" vertical="center" indent="1"/>
    </xf>
    <xf numFmtId="0" fontId="2" fillId="3" borderId="1" xfId="3" applyFill="1" applyBorder="1" applyAlignment="1">
      <alignment horizontal="right" vertical="center" indent="1"/>
    </xf>
    <xf numFmtId="82" fontId="22" fillId="3" borderId="1" xfId="2" applyNumberFormat="1" applyFill="1" applyBorder="1" applyAlignment="1">
      <alignment horizontal="left" vertical="center" indent="1"/>
    </xf>
    <xf numFmtId="86" fontId="2" fillId="3" borderId="1" xfId="3" applyNumberFormat="1" applyFill="1" applyBorder="1" applyAlignment="1">
      <alignment horizontal="right" vertical="center" indent="1"/>
    </xf>
    <xf numFmtId="84" fontId="2" fillId="3" borderId="1" xfId="3" applyNumberFormat="1" applyFill="1" applyBorder="1" applyAlignment="1">
      <alignment horizontal="right" vertical="center" indent="1"/>
    </xf>
    <xf numFmtId="82" fontId="2" fillId="3" borderId="1" xfId="3" applyNumberFormat="1" applyFill="1" applyBorder="1" applyAlignment="1">
      <alignment horizontal="right" vertical="center" indent="1"/>
    </xf>
    <xf numFmtId="0" fontId="2" fillId="0" borderId="0" xfId="6">
      <alignment horizontal="right" vertical="top"/>
    </xf>
    <xf numFmtId="0" fontId="6" fillId="0" borderId="0" xfId="7">
      <alignment horizontal="left" vertical="top" wrapText="1"/>
    </xf>
    <xf numFmtId="0" fontId="7" fillId="0" borderId="0" xfId="8">
      <alignment horizontal="left" vertical="center"/>
    </xf>
    <xf numFmtId="0" fontId="2" fillId="0" borderId="0" xfId="3">
      <alignment horizontal="right" vertical="center"/>
    </xf>
    <xf numFmtId="0" fontId="6" fillId="0" borderId="0" xfId="9">
      <alignment horizontal="left" vertical="center"/>
    </xf>
    <xf numFmtId="87" fontId="6" fillId="0" borderId="0" xfId="9" applyNumberFormat="1">
      <alignment horizontal="left" vertical="center"/>
    </xf>
    <xf numFmtId="0" fontId="9" fillId="0" borderId="0" xfId="10">
      <alignment horizontal="left" vertical="center"/>
    </xf>
    <xf numFmtId="0" fontId="13" fillId="4" borderId="0" xfId="11">
      <alignment horizontal="left" vertical="center"/>
    </xf>
    <xf numFmtId="0" fontId="0" fillId="0" borderId="0" xfId="0">
      <protection locked="0"/>
    </xf>
    <xf numFmtId="0" fontId="18" fillId="4" borderId="0" xfId="12">
      <alignment horizontal="left" vertical="center"/>
    </xf>
    <xf numFmtId="0" fontId="13" fillId="4" borderId="0" xfId="13">
      <alignment horizontal="right" vertical="center"/>
    </xf>
    <xf numFmtId="0" fontId="22" fillId="0" borderId="0" xfId="2">
      <alignment horizontal="left" vertical="center"/>
    </xf>
  </cellXfs>
  <cellStyles count="14">
    <cellStyle name="Normal" xfId="0" builtinId="0"/>
    <cellStyle name="horizontalCenterWrapWhiteBold" xfId="1"/>
    <cellStyle name="defaultStyle" xfId="2"/>
    <cellStyle name="horizontalRight" xfId="3"/>
    <cellStyle name="Hyperlink" xfId="4" builtinId="8"/>
    <cellStyle name="horizontalLeftHyperlink" xfId="5"/>
    <cellStyle name="verticalTopHorizontalRight" xfId="6"/>
    <cellStyle name="verticalTopBoldWrapBold" xfId="7"/>
    <cellStyle name="fontSize16Bold" xfId="8"/>
    <cellStyle name="bold" xfId="9"/>
    <cellStyle name="fontSize14Bold" xfId="10"/>
    <cellStyle name="fontSize10Italic" xfId="11"/>
    <cellStyle name="fontSize10ItalicHyperlink" xfId="12"/>
    <cellStyle name="fontSize10ItalicRight" xfId="13"/>
  </cellStyles>
  <dxfs count="0"/>
  <tableStyles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svg"/></Relationships>
</file>

<file path=xl/drawings/drawing1.xml><?xml version="1.0" encoding="utf-8"?>
<xdr:wsDr xmlns:a="http://schemas.openxmlformats.org/drawingml/2006/main" xmlns:xdr="http://schemas.openxmlformats.org/drawingml/2006/spreadsheetDrawing" xmlns:mc="http://schemas.openxmlformats.org/markup-compatibility/2006" xmlns:a14="http://schemas.microsoft.com/office/drawing/2010/main">
  <xdr:twoCellAnchor xmlns:xdr="http://schemas.openxmlformats.org/drawingml/2006/spreadsheetDrawing" editAs="absolute">
    <xdr:from>
      <xdr:col>0</xdr:col>
      <xdr:colOff>85725</xdr:colOff>
      <xdr:row>0</xdr:row>
      <xdr:rowOff>85725</xdr:rowOff>
    </xdr:from>
    <xdr:to>
      <xdr:col>0</xdr:col>
      <xdr:colOff>1400175</xdr:colOff>
      <xdr:row>0</xdr:row>
      <xdr:rowOff>304800</xdr:rowOff>
    </xdr:to>
    <xdr:pic xmlns:xdr="http://schemas.openxmlformats.org/drawingml/2006/spreadsheetDrawing">
      <xdr:nvPicPr xmlns:xdr="http://schemas.openxmlformats.org/drawingml/2006/spreadsheetDrawing">
        <xdr:cNvPr xmlns:xdr="http://schemas.openxmlformats.org/drawingml/2006/spreadsheetDrawing" id="2" name="Graphic 1"/>
        <xdr:cNvPicPr xmlns:xdr="http://schemas.openxmlformats.org/drawingml/2006/spreadsheetDrawing">
          <a:picLocks xmlns:a="http://schemas.openxmlformats.org/drawingml/2006/main" noChangeAspect="1"/>
          <a:extLst xmlns:a="http://schemas.openxmlformats.org/drawingml/2006/main"/>
        </xdr:cNvPicPr>
      </xdr:nvPicPr>
      <xdr:blipFill xmlns:xdr="http://schemas.openxmlformats.org/drawingml/2006/spreadsheetDrawing">
        <a:blip xmlns:a="http://schemas.openxmlformats.org/drawingml/2006/main" xmlns:r="http://schemas.openxmlformats.org/officeDocument/2006/relationships" r:embed="rId1">
          <a:extLst xmlns:a="http://schemas.openxmlformats.org/drawingml/2006/main">
            <a:ext xmlns:a="http://schemas.openxmlformats.org/drawingml/2006/main" uri="{96DAC541-7B7A-43D3-8B79-37D633B846F1}">
              <asvg:svgBlip xmlns:asvg="http://schemas.microsoft.com/office/drawing/2016/SVG/main" r:embed="rId2"/>
            </a:ext>
          </a:extLst>
        </a:blip>
        <a:srcRect/>
        <a:stretch xmlns:a="http://schemas.openxmlformats.org/drawingml/2006/main">
          <a:fillRect/>
        </a:stretch>
      </xdr:blipFill>
      <xdr:spPr xmlns:xdr="http://schemas.openxmlformats.org/drawingml/2006/spreadsheetDrawing">
        <a:xfrm xmlns:a="http://schemas.openxmlformats.org/drawingml/2006/main">
          <a:off x="85725" y="85725"/>
          <a:ext cx="1314450" cy="219075"/>
        </a:xfrm>
        <a:prstGeom xmlns:a="http://schemas.openxmlformats.org/drawingml/2006/main" prst="rect"/>
        <a:effectLst xmlns:a="http://schemas.openxmlformats.org/drawingml/2006/main"/>
        <a:extLst xmlns:a="http://schemas.openxmlformats.org/drawingml/2006/main"/>
      </xdr:spPr>
    </xdr:pic>
    <xdr:clientData/>
  </xdr:twoCellAnchor>
</xdr:wsDr>
</file>

<file path=xl/theme/theme1.xml><?xml version="1.0" encoding="utf-8"?>
<a:theme xmlns:a="http://schemas.openxmlformats.org/drawingml/2006/main" name="Office Theme">
  <a:themeElements>
    <a:clrScheme name="Office Them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Them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Theme">
      <a:fillStyleLst xmlns:a="http://schemas.openxmlformats.org/drawingml/2006/main">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xmlns:a="http://schemas.openxmlformats.org/drawingml/2006/main">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xmlns:a="http://schemas.openxmlformats.org/drawingml/2006/main">
        <a:effectStyle>
          <a:effectLst/>
        </a:effectStyle>
        <a:effectStyle>
          <a:effectLst/>
        </a:effectStyle>
        <a:effectStyle>
          <a:effectLst>
            <a:outerShdw blurRad="57150" dist="19050" dir="5400000" algn="ctr" rotWithShape="0">
              <a:srgbClr val="000000">
                <a:alpha val="63000"/>
              </a:srgbClr>
            </a:outerShdw>
          </a:effectLst>
        </a:effectStyle>
      </a:effectStyleLst>
      <a:bgFillStyleLst xmlns:a="http://schemas.openxmlformats.org/drawingml/2006/main">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Id="rId1" Type="http://schemas.openxmlformats.org/officeDocument/2006/relationships/drawing" Target="../drawings/drawing1.xml"/></Relationships>
</file>

<file path=xl/worksheets/_rels/sheet2.xml.rels><?xml version="1.0" encoding="UTF-8"?><Relationships xmlns="http://schemas.openxmlformats.org/package/2006/relationships"><Relationship Id="rId1" Type="http://schemas.openxmlformats.org/officeDocument/2006/relationships/hyperlink" Target="support@pitchbook.com" TargetMode="External"/><Relationship Id="rId2" Type="http://schemas.openxmlformats.org/officeDocument/2006/relationships/hyperlink" Target="https://pitchbook.com/subscription-agreement" TargetMode="External"/><Relationship Id="rId3" Type="http://schemas.openxmlformats.org/officeDocument/2006/relationships/hyperlink" Target="support@pitchboo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dr="http://schemas.openxmlformats.org/drawingml/2006/spreadsheetDrawing" xmlns:a14="http://schemas.microsoft.com/office/drawing/2010/main" xmlns:x14="http://schemas.microsoft.com/office/spreadsheetml/2009/9/main" mc:Ignorable="x14ac">
  <dimension ref="A1:AH9039"/>
  <sheetViews>
    <sheetView showGridLines="0" workbookViewId="0">
      <selection sqref="A1"/>
    </sheetView>
  </sheetViews>
  <sheetFormatPr defaultRowHeight="15"/>
  <cols>
    <col min="1" max="1" width="21.7109375" customWidth="1"/>
    <col min="2" max="2" width="55.140625" customWidth="1"/>
    <col min="3" max="6" width="29.5703125" customWidth="1"/>
    <col min="7" max="7" width="27.5703125" customWidth="1"/>
    <col min="8" max="8" width="21.7109375" customWidth="1"/>
    <col min="9" max="9" width="23.140625" customWidth="1"/>
    <col min="10" max="10" width="27.42578125" customWidth="1"/>
    <col min="11" max="11" width="23.85546875" customWidth="1"/>
    <col min="12" max="12" width="11.5703125" customWidth="1"/>
    <col min="13" max="14" width="20.28515625" customWidth="1"/>
    <col min="15" max="17" width="25.28515625" customWidth="1"/>
    <col min="18" max="19" width="29.5703125" customWidth="1"/>
    <col min="20" max="20" width="34" customWidth="1"/>
    <col min="21" max="22" width="31.28515625" customWidth="1"/>
    <col min="23" max="23" width="39.7109375" customWidth="1"/>
    <col min="24" max="24" width="116.85546875" customWidth="1"/>
    <col min="25" max="25" width="19.5703125" customWidth="1"/>
    <col min="26" max="26" width="15.140625" customWidth="1"/>
    <col min="27" max="27" width="22.42578125" customWidth="1"/>
    <col min="28" max="28" width="18.42578125" customWidth="1"/>
    <col min="29" max="29" width="32.28515625" customWidth="1"/>
    <col min="30" max="30" width="17.5703125" customWidth="1"/>
    <col min="31" max="31" width="29.85546875" customWidth="1"/>
    <col min="32" max="32" width="29.140625" customWidth="1"/>
    <col min="33" max="33" width="23.85546875" customWidth="1"/>
    <col min="34" max="34" width="18.7109375" customWidth="1"/>
  </cols>
  <sheetData>
    <row r="1" ht="25" customHeight="1">
      <c r="D1" s="22" t="s">
        <v>38955</v>
      </c>
    </row>
    <row r="4">
      <c r="A4" s="20" t="s">
        <v>38953</v>
      </c>
      <c r="B4" s="21" t="s">
        <v>38954</v>
      </c>
      <c r="E4" s="23" t="s">
        <v>38956</v>
      </c>
      <c r="F4" s="25">
        <v>45706</v>
      </c>
    </row>
    <row r="5">
      <c r="E5" s="23" t="s">
        <v>38957</v>
      </c>
      <c r="F5" s="24" t="s">
        <v>38958</v>
      </c>
    </row>
    <row r="7" ht="35" customHeight="1">
      <c r="A7" s="2" t="s">
        <v>0</v>
      </c>
      <c r="B7" s="2" t="s">
        <v>1</v>
      </c>
      <c r="C7" s="2" t="s">
        <v>2</v>
      </c>
      <c r="D7" s="2" t="s">
        <v>3</v>
      </c>
      <c r="E7" s="2" t="s">
        <v>4</v>
      </c>
      <c r="F7" s="2" t="s">
        <v>5</v>
      </c>
      <c r="G7" s="2" t="s">
        <v>6</v>
      </c>
      <c r="H7" s="2" t="s">
        <v>7</v>
      </c>
      <c r="I7" s="2" t="s">
        <v>8</v>
      </c>
      <c r="J7" s="2" t="s">
        <v>9</v>
      </c>
      <c r="K7" s="2" t="s">
        <v>10</v>
      </c>
      <c r="L7" s="2" t="s">
        <v>11</v>
      </c>
      <c r="M7" s="2" t="s">
        <v>12</v>
      </c>
      <c r="N7" s="2" t="s">
        <v>13</v>
      </c>
      <c r="O7" s="2" t="s">
        <v>14</v>
      </c>
      <c r="P7" s="2" t="s">
        <v>15</v>
      </c>
      <c r="Q7" s="2" t="s">
        <v>16</v>
      </c>
      <c r="R7" s="2" t="s">
        <v>17</v>
      </c>
      <c r="S7" s="2" t="s">
        <v>18</v>
      </c>
      <c r="T7" s="2" t="s">
        <v>19</v>
      </c>
      <c r="U7" s="2" t="s">
        <v>20</v>
      </c>
      <c r="V7" s="2" t="s">
        <v>21</v>
      </c>
      <c r="W7" s="2" t="s">
        <v>22</v>
      </c>
      <c r="X7" s="2" t="s">
        <v>23</v>
      </c>
      <c r="Y7" s="2" t="s">
        <v>24</v>
      </c>
      <c r="Z7" s="2" t="s">
        <v>25</v>
      </c>
      <c r="AA7" s="2" t="s">
        <v>26</v>
      </c>
      <c r="AB7" s="2" t="s">
        <v>27</v>
      </c>
      <c r="AC7" s="2" t="s">
        <v>28</v>
      </c>
      <c r="AD7" s="2" t="s">
        <v>29</v>
      </c>
      <c r="AE7" s="2" t="s">
        <v>30</v>
      </c>
      <c r="AF7" s="2" t="s">
        <v>31</v>
      </c>
      <c r="AG7" s="2" t="s">
        <v>32</v>
      </c>
      <c r="AH7" s="2" t="s">
        <v>33</v>
      </c>
    </row>
    <row r="8">
      <c r="A8" s="12" t="s">
        <v>34</v>
      </c>
      <c r="B8" s="12" t="s">
        <v>35</v>
      </c>
      <c r="C8" s="19" t="s">
        <v>36</v>
      </c>
      <c r="D8" s="19" t="s">
        <v>36</v>
      </c>
      <c r="E8" s="19" t="s">
        <v>36</v>
      </c>
      <c r="F8" s="19" t="s">
        <v>36</v>
      </c>
      <c r="G8" s="15" t="s">
        <v>36</v>
      </c>
      <c r="H8" s="14" t="s">
        <v>36</v>
      </c>
      <c r="I8" s="18" t="s">
        <v>36</v>
      </c>
      <c r="J8" s="12" t="s">
        <v>36</v>
      </c>
      <c r="K8" s="13">
        <v>45536</v>
      </c>
      <c r="L8" s="15" t="s">
        <v>36</v>
      </c>
      <c r="M8" s="12" t="s">
        <v>36</v>
      </c>
      <c r="N8" s="12" t="s">
        <v>36</v>
      </c>
      <c r="O8" s="17" t="s">
        <v>36</v>
      </c>
      <c r="P8" s="12" t="s">
        <v>36</v>
      </c>
      <c r="Q8" s="12" t="s">
        <v>36</v>
      </c>
      <c r="R8" s="12" t="s">
        <v>36</v>
      </c>
      <c r="S8" s="12" t="s">
        <v>36</v>
      </c>
      <c r="T8" s="12" t="s">
        <v>37</v>
      </c>
      <c r="U8" s="12" t="s">
        <v>38</v>
      </c>
      <c r="V8" s="12" t="s">
        <v>39</v>
      </c>
      <c r="W8" s="12" t="s">
        <v>40</v>
      </c>
      <c r="X8" s="16" t="s">
        <v>41</v>
      </c>
      <c r="Y8" s="15" t="s">
        <v>42</v>
      </c>
      <c r="Z8" s="14">
        <v>3.63</v>
      </c>
      <c r="AA8" s="14" t="s">
        <v>36</v>
      </c>
      <c r="AB8" s="12" t="s">
        <v>43</v>
      </c>
      <c r="AC8" s="12" t="s">
        <v>44</v>
      </c>
      <c r="AD8" s="13">
        <v>45705</v>
      </c>
      <c r="AE8" s="12" t="s">
        <v>45</v>
      </c>
      <c r="AF8" s="12" t="s">
        <v>46</v>
      </c>
      <c r="AG8" s="12" t="s">
        <v>47</v>
      </c>
      <c r="AH8" s="1">
        <f>HYPERLINK("https://my.pitchbook.com?c=272893-60T","View Company Online")</f>
      </c>
    </row>
    <row r="9">
      <c r="A9" s="3" t="s">
        <v>48</v>
      </c>
      <c r="B9" s="3" t="s">
        <v>49</v>
      </c>
      <c r="C9" s="5">
        <v>1</v>
      </c>
      <c r="D9" s="5">
        <v>6</v>
      </c>
      <c r="E9" s="5">
        <v>4</v>
      </c>
      <c r="F9" s="5">
        <v>7</v>
      </c>
      <c r="G9" s="6" t="s">
        <v>36</v>
      </c>
      <c r="H9" s="4" t="s">
        <v>36</v>
      </c>
      <c r="I9" s="7" t="s">
        <v>36</v>
      </c>
      <c r="J9" s="3" t="s">
        <v>36</v>
      </c>
      <c r="K9" s="9">
        <v>45702</v>
      </c>
      <c r="L9" s="6" t="s">
        <v>36</v>
      </c>
      <c r="M9" s="3" t="s">
        <v>36</v>
      </c>
      <c r="N9" s="3" t="s">
        <v>36</v>
      </c>
      <c r="O9" s="8" t="s">
        <v>36</v>
      </c>
      <c r="P9" s="3" t="s">
        <v>36</v>
      </c>
      <c r="Q9" s="3" t="s">
        <v>36</v>
      </c>
      <c r="R9" s="3" t="s">
        <v>36</v>
      </c>
      <c r="S9" s="3" t="s">
        <v>36</v>
      </c>
      <c r="T9" s="3" t="s">
        <v>50</v>
      </c>
      <c r="U9" s="3" t="s">
        <v>51</v>
      </c>
      <c r="V9" s="3" t="s">
        <v>52</v>
      </c>
      <c r="W9" s="3" t="s">
        <v>53</v>
      </c>
      <c r="X9" s="10" t="s">
        <v>54</v>
      </c>
      <c r="Y9" s="6" t="s">
        <v>55</v>
      </c>
      <c r="Z9" s="4" t="s">
        <v>36</v>
      </c>
      <c r="AA9" s="4" t="s">
        <v>36</v>
      </c>
      <c r="AB9" s="3" t="s">
        <v>56</v>
      </c>
      <c r="AC9" s="3" t="s">
        <v>57</v>
      </c>
      <c r="AD9" s="9">
        <v>45702</v>
      </c>
      <c r="AE9" s="3" t="s">
        <v>58</v>
      </c>
      <c r="AF9" s="3" t="s">
        <v>59</v>
      </c>
      <c r="AG9" s="3" t="s">
        <v>47</v>
      </c>
      <c r="AH9" s="11">
        <f>HYPERLINK("https://my.pitchbook.com?c=285153-67T","View Company Online")</f>
      </c>
    </row>
    <row r="10">
      <c r="A10" s="12" t="s">
        <v>60</v>
      </c>
      <c r="B10" s="12" t="s">
        <v>61</v>
      </c>
      <c r="C10" s="19" t="s">
        <v>36</v>
      </c>
      <c r="D10" s="19" t="s">
        <v>36</v>
      </c>
      <c r="E10" s="19" t="s">
        <v>36</v>
      </c>
      <c r="F10" s="19" t="s">
        <v>36</v>
      </c>
      <c r="G10" s="15" t="s">
        <v>36</v>
      </c>
      <c r="H10" s="14" t="s">
        <v>36</v>
      </c>
      <c r="I10" s="18" t="s">
        <v>36</v>
      </c>
      <c r="J10" s="12" t="s">
        <v>36</v>
      </c>
      <c r="K10" s="13" t="s">
        <v>36</v>
      </c>
      <c r="L10" s="15" t="s">
        <v>36</v>
      </c>
      <c r="M10" s="12" t="s">
        <v>36</v>
      </c>
      <c r="N10" s="12" t="s">
        <v>36</v>
      </c>
      <c r="O10" s="17" t="s">
        <v>36</v>
      </c>
      <c r="P10" s="12" t="s">
        <v>36</v>
      </c>
      <c r="Q10" s="12" t="s">
        <v>36</v>
      </c>
      <c r="R10" s="12" t="s">
        <v>36</v>
      </c>
      <c r="S10" s="12" t="s">
        <v>36</v>
      </c>
      <c r="T10" s="12" t="s">
        <v>62</v>
      </c>
      <c r="U10" s="12" t="s">
        <v>63</v>
      </c>
      <c r="V10" s="12" t="s">
        <v>64</v>
      </c>
      <c r="W10" s="12" t="s">
        <v>65</v>
      </c>
      <c r="X10" s="16" t="s">
        <v>66</v>
      </c>
      <c r="Y10" s="15" t="s">
        <v>55</v>
      </c>
      <c r="Z10" s="14" t="s">
        <v>36</v>
      </c>
      <c r="AA10" s="14" t="s">
        <v>36</v>
      </c>
      <c r="AB10" s="12" t="s">
        <v>56</v>
      </c>
      <c r="AC10" s="12" t="s">
        <v>67</v>
      </c>
      <c r="AD10" s="13">
        <v>45701</v>
      </c>
      <c r="AE10" s="12" t="s">
        <v>68</v>
      </c>
      <c r="AF10" s="12" t="s">
        <v>69</v>
      </c>
      <c r="AG10" s="12" t="s">
        <v>70</v>
      </c>
      <c r="AH10" s="1">
        <f>HYPERLINK("https://my.pitchbook.com?c=285101-92T","View Company Online")</f>
      </c>
    </row>
    <row r="11">
      <c r="A11" s="3" t="s">
        <v>71</v>
      </c>
      <c r="B11" s="3" t="s">
        <v>72</v>
      </c>
      <c r="C11" s="5" t="s">
        <v>36</v>
      </c>
      <c r="D11" s="5" t="s">
        <v>36</v>
      </c>
      <c r="E11" s="5" t="s">
        <v>36</v>
      </c>
      <c r="F11" s="5" t="s">
        <v>36</v>
      </c>
      <c r="G11" s="6" t="s">
        <v>36</v>
      </c>
      <c r="H11" s="4" t="s">
        <v>36</v>
      </c>
      <c r="I11" s="7" t="s">
        <v>36</v>
      </c>
      <c r="J11" s="3" t="s">
        <v>36</v>
      </c>
      <c r="K11" s="9" t="s">
        <v>36</v>
      </c>
      <c r="L11" s="6" t="s">
        <v>36</v>
      </c>
      <c r="M11" s="3" t="s">
        <v>36</v>
      </c>
      <c r="N11" s="3" t="s">
        <v>36</v>
      </c>
      <c r="O11" s="8" t="s">
        <v>36</v>
      </c>
      <c r="P11" s="3" t="s">
        <v>36</v>
      </c>
      <c r="Q11" s="3" t="s">
        <v>36</v>
      </c>
      <c r="R11" s="3" t="s">
        <v>36</v>
      </c>
      <c r="S11" s="3" t="s">
        <v>36</v>
      </c>
      <c r="T11" s="3" t="s">
        <v>73</v>
      </c>
      <c r="U11" s="3" t="s">
        <v>74</v>
      </c>
      <c r="V11" s="3" t="s">
        <v>75</v>
      </c>
      <c r="W11" s="3" t="s">
        <v>76</v>
      </c>
      <c r="X11" s="10" t="s">
        <v>77</v>
      </c>
      <c r="Y11" s="6" t="s">
        <v>42</v>
      </c>
      <c r="Z11" s="4">
        <v>10.37</v>
      </c>
      <c r="AA11" s="4" t="s">
        <v>36</v>
      </c>
      <c r="AB11" s="3" t="s">
        <v>56</v>
      </c>
      <c r="AC11" s="3" t="s">
        <v>78</v>
      </c>
      <c r="AD11" s="9">
        <v>45701</v>
      </c>
      <c r="AE11" s="3" t="s">
        <v>79</v>
      </c>
      <c r="AF11" s="3" t="s">
        <v>80</v>
      </c>
      <c r="AG11" s="3" t="s">
        <v>81</v>
      </c>
      <c r="AH11" s="11">
        <f>HYPERLINK("https://my.pitchbook.com?c=285052-87T","View Company Online")</f>
      </c>
    </row>
    <row r="12">
      <c r="A12" s="12" t="s">
        <v>82</v>
      </c>
      <c r="B12" s="12" t="s">
        <v>83</v>
      </c>
      <c r="C12" s="19" t="s">
        <v>36</v>
      </c>
      <c r="D12" s="19" t="s">
        <v>36</v>
      </c>
      <c r="E12" s="19" t="s">
        <v>36</v>
      </c>
      <c r="F12" s="19" t="s">
        <v>36</v>
      </c>
      <c r="G12" s="15" t="s">
        <v>36</v>
      </c>
      <c r="H12" s="14" t="s">
        <v>36</v>
      </c>
      <c r="I12" s="18" t="s">
        <v>36</v>
      </c>
      <c r="J12" s="12" t="s">
        <v>36</v>
      </c>
      <c r="K12" s="13" t="s">
        <v>36</v>
      </c>
      <c r="L12" s="15" t="s">
        <v>36</v>
      </c>
      <c r="M12" s="12" t="s">
        <v>36</v>
      </c>
      <c r="N12" s="12" t="s">
        <v>36</v>
      </c>
      <c r="O12" s="17" t="s">
        <v>36</v>
      </c>
      <c r="P12" s="12" t="s">
        <v>36</v>
      </c>
      <c r="Q12" s="12" t="s">
        <v>36</v>
      </c>
      <c r="R12" s="12" t="s">
        <v>36</v>
      </c>
      <c r="S12" s="12" t="s">
        <v>36</v>
      </c>
      <c r="T12" s="12" t="s">
        <v>84</v>
      </c>
      <c r="U12" s="12" t="s">
        <v>85</v>
      </c>
      <c r="V12" s="12" t="s">
        <v>64</v>
      </c>
      <c r="W12" s="12" t="s">
        <v>86</v>
      </c>
      <c r="X12" s="16" t="s">
        <v>87</v>
      </c>
      <c r="Y12" s="15" t="s">
        <v>42</v>
      </c>
      <c r="Z12" s="14">
        <v>2.49</v>
      </c>
      <c r="AA12" s="14" t="s">
        <v>36</v>
      </c>
      <c r="AB12" s="12" t="s">
        <v>56</v>
      </c>
      <c r="AC12" s="12" t="s">
        <v>88</v>
      </c>
      <c r="AD12" s="13">
        <v>45700</v>
      </c>
      <c r="AE12" s="12" t="s">
        <v>89</v>
      </c>
      <c r="AF12" s="12" t="s">
        <v>90</v>
      </c>
      <c r="AG12" s="12" t="s">
        <v>91</v>
      </c>
      <c r="AH12" s="1">
        <f>HYPERLINK("https://my.pitchbook.com?c=285010-48T","View Company Online")</f>
      </c>
    </row>
    <row r="13">
      <c r="A13" s="3" t="s">
        <v>92</v>
      </c>
      <c r="B13" s="3" t="s">
        <v>93</v>
      </c>
      <c r="C13" s="5">
        <v>14</v>
      </c>
      <c r="D13" s="5">
        <v>78</v>
      </c>
      <c r="E13" s="5">
        <v>18</v>
      </c>
      <c r="F13" s="5">
        <v>103</v>
      </c>
      <c r="G13" s="6" t="s">
        <v>36</v>
      </c>
      <c r="H13" s="4" t="s">
        <v>36</v>
      </c>
      <c r="I13" s="7" t="s">
        <v>36</v>
      </c>
      <c r="J13" s="3" t="s">
        <v>36</v>
      </c>
      <c r="K13" s="9" t="s">
        <v>36</v>
      </c>
      <c r="L13" s="6" t="s">
        <v>94</v>
      </c>
      <c r="M13" s="3" t="s">
        <v>36</v>
      </c>
      <c r="N13" s="3" t="s">
        <v>94</v>
      </c>
      <c r="O13" s="8" t="s">
        <v>36</v>
      </c>
      <c r="P13" s="3" t="s">
        <v>36</v>
      </c>
      <c r="Q13" s="3" t="s">
        <v>36</v>
      </c>
      <c r="R13" s="3" t="s">
        <v>36</v>
      </c>
      <c r="S13" s="3" t="s">
        <v>36</v>
      </c>
      <c r="T13" s="3" t="s">
        <v>95</v>
      </c>
      <c r="U13" s="3" t="s">
        <v>96</v>
      </c>
      <c r="V13" s="3" t="s">
        <v>52</v>
      </c>
      <c r="W13" s="3" t="s">
        <v>97</v>
      </c>
      <c r="X13" s="10" t="s">
        <v>98</v>
      </c>
      <c r="Y13" s="6" t="s">
        <v>55</v>
      </c>
      <c r="Z13" s="4">
        <v>30.05</v>
      </c>
      <c r="AA13" s="4" t="s">
        <v>36</v>
      </c>
      <c r="AB13" s="3" t="s">
        <v>56</v>
      </c>
      <c r="AC13" s="3" t="s">
        <v>99</v>
      </c>
      <c r="AD13" s="9">
        <v>45700</v>
      </c>
      <c r="AE13" s="3" t="s">
        <v>100</v>
      </c>
      <c r="AF13" s="3" t="s">
        <v>101</v>
      </c>
      <c r="AG13" s="3" t="s">
        <v>102</v>
      </c>
      <c r="AH13" s="11">
        <f>HYPERLINK("https://my.pitchbook.com?c=284916-61T","View Company Online")</f>
      </c>
    </row>
    <row r="14">
      <c r="A14" s="12" t="s">
        <v>103</v>
      </c>
      <c r="B14" s="12" t="s">
        <v>104</v>
      </c>
      <c r="C14" s="19" t="s">
        <v>36</v>
      </c>
      <c r="D14" s="19" t="s">
        <v>36</v>
      </c>
      <c r="E14" s="19" t="s">
        <v>36</v>
      </c>
      <c r="F14" s="19" t="s">
        <v>36</v>
      </c>
      <c r="G14" s="15" t="s">
        <v>36</v>
      </c>
      <c r="H14" s="14" t="s">
        <v>36</v>
      </c>
      <c r="I14" s="18" t="s">
        <v>36</v>
      </c>
      <c r="J14" s="12" t="s">
        <v>36</v>
      </c>
      <c r="K14" s="13" t="s">
        <v>36</v>
      </c>
      <c r="L14" s="15" t="s">
        <v>36</v>
      </c>
      <c r="M14" s="12" t="s">
        <v>36</v>
      </c>
      <c r="N14" s="12" t="s">
        <v>36</v>
      </c>
      <c r="O14" s="17" t="s">
        <v>36</v>
      </c>
      <c r="P14" s="12" t="s">
        <v>36</v>
      </c>
      <c r="Q14" s="12" t="s">
        <v>36</v>
      </c>
      <c r="R14" s="12" t="s">
        <v>36</v>
      </c>
      <c r="S14" s="12" t="s">
        <v>36</v>
      </c>
      <c r="T14" s="12" t="s">
        <v>105</v>
      </c>
      <c r="U14" s="12" t="s">
        <v>38</v>
      </c>
      <c r="V14" s="12" t="s">
        <v>39</v>
      </c>
      <c r="W14" s="12" t="s">
        <v>106</v>
      </c>
      <c r="X14" s="16" t="s">
        <v>107</v>
      </c>
      <c r="Y14" s="15" t="s">
        <v>108</v>
      </c>
      <c r="Z14" s="14">
        <v>1.04</v>
      </c>
      <c r="AA14" s="14" t="s">
        <v>36</v>
      </c>
      <c r="AB14" s="12" t="s">
        <v>43</v>
      </c>
      <c r="AC14" s="12" t="s">
        <v>109</v>
      </c>
      <c r="AD14" s="13">
        <v>45698</v>
      </c>
      <c r="AE14" s="12" t="s">
        <v>110</v>
      </c>
      <c r="AF14" s="12" t="s">
        <v>111</v>
      </c>
      <c r="AG14" s="12" t="s">
        <v>112</v>
      </c>
      <c r="AH14" s="1">
        <f>HYPERLINK("https://my.pitchbook.com?c=279892-63T","View Company Online")</f>
      </c>
    </row>
    <row r="15">
      <c r="A15" s="3" t="s">
        <v>113</v>
      </c>
      <c r="B15" s="3" t="s">
        <v>114</v>
      </c>
      <c r="C15" s="5" t="s">
        <v>36</v>
      </c>
      <c r="D15" s="5" t="s">
        <v>36</v>
      </c>
      <c r="E15" s="5" t="s">
        <v>36</v>
      </c>
      <c r="F15" s="5" t="s">
        <v>36</v>
      </c>
      <c r="G15" s="6" t="s">
        <v>36</v>
      </c>
      <c r="H15" s="4" t="s">
        <v>36</v>
      </c>
      <c r="I15" s="7" t="s">
        <v>36</v>
      </c>
      <c r="J15" s="3" t="s">
        <v>36</v>
      </c>
      <c r="K15" s="9" t="s">
        <v>36</v>
      </c>
      <c r="L15" s="6" t="s">
        <v>36</v>
      </c>
      <c r="M15" s="3" t="s">
        <v>36</v>
      </c>
      <c r="N15" s="3" t="s">
        <v>36</v>
      </c>
      <c r="O15" s="8" t="s">
        <v>36</v>
      </c>
      <c r="P15" s="3" t="s">
        <v>36</v>
      </c>
      <c r="Q15" s="3" t="s">
        <v>36</v>
      </c>
      <c r="R15" s="3" t="s">
        <v>36</v>
      </c>
      <c r="S15" s="3" t="s">
        <v>36</v>
      </c>
      <c r="T15" s="3" t="s">
        <v>115</v>
      </c>
      <c r="U15" s="3" t="s">
        <v>63</v>
      </c>
      <c r="V15" s="3" t="s">
        <v>64</v>
      </c>
      <c r="W15" s="3" t="s">
        <v>116</v>
      </c>
      <c r="X15" s="10" t="s">
        <v>87</v>
      </c>
      <c r="Y15" s="6" t="s">
        <v>55</v>
      </c>
      <c r="Z15" s="4">
        <v>2.07</v>
      </c>
      <c r="AA15" s="4" t="s">
        <v>36</v>
      </c>
      <c r="AB15" s="3" t="s">
        <v>56</v>
      </c>
      <c r="AC15" s="3" t="s">
        <v>117</v>
      </c>
      <c r="AD15" s="9">
        <v>45695</v>
      </c>
      <c r="AE15" s="3" t="s">
        <v>68</v>
      </c>
      <c r="AF15" s="3" t="s">
        <v>118</v>
      </c>
      <c r="AG15" s="3" t="s">
        <v>119</v>
      </c>
      <c r="AH15" s="11">
        <f>HYPERLINK("https://my.pitchbook.com?c=284538-79T","View Company Online")</f>
      </c>
    </row>
    <row r="16">
      <c r="A16" s="12" t="s">
        <v>120</v>
      </c>
      <c r="B16" s="12" t="s">
        <v>121</v>
      </c>
      <c r="C16" s="19" t="s">
        <v>36</v>
      </c>
      <c r="D16" s="19" t="s">
        <v>36</v>
      </c>
      <c r="E16" s="19" t="s">
        <v>36</v>
      </c>
      <c r="F16" s="19" t="s">
        <v>36</v>
      </c>
      <c r="G16" s="15" t="s">
        <v>36</v>
      </c>
      <c r="H16" s="14" t="s">
        <v>36</v>
      </c>
      <c r="I16" s="18" t="s">
        <v>36</v>
      </c>
      <c r="J16" s="12" t="s">
        <v>36</v>
      </c>
      <c r="K16" s="13" t="s">
        <v>36</v>
      </c>
      <c r="L16" s="15" t="s">
        <v>122</v>
      </c>
      <c r="M16" s="12" t="s">
        <v>36</v>
      </c>
      <c r="N16" s="12" t="s">
        <v>122</v>
      </c>
      <c r="O16" s="17" t="s">
        <v>36</v>
      </c>
      <c r="P16" s="12" t="s">
        <v>36</v>
      </c>
      <c r="Q16" s="12" t="s">
        <v>36</v>
      </c>
      <c r="R16" s="12" t="s">
        <v>36</v>
      </c>
      <c r="S16" s="12" t="s">
        <v>36</v>
      </c>
      <c r="T16" s="12" t="s">
        <v>123</v>
      </c>
      <c r="U16" s="12" t="s">
        <v>38</v>
      </c>
      <c r="V16" s="12" t="s">
        <v>39</v>
      </c>
      <c r="W16" s="12" t="s">
        <v>124</v>
      </c>
      <c r="X16" s="16" t="s">
        <v>125</v>
      </c>
      <c r="Y16" s="15" t="s">
        <v>42</v>
      </c>
      <c r="Z16" s="14">
        <v>2.9</v>
      </c>
      <c r="AA16" s="14" t="s">
        <v>36</v>
      </c>
      <c r="AB16" s="12" t="s">
        <v>56</v>
      </c>
      <c r="AC16" s="12" t="s">
        <v>126</v>
      </c>
      <c r="AD16" s="13">
        <v>45695</v>
      </c>
      <c r="AE16" s="12" t="s">
        <v>110</v>
      </c>
      <c r="AF16" s="12" t="s">
        <v>111</v>
      </c>
      <c r="AG16" s="12" t="s">
        <v>127</v>
      </c>
      <c r="AH16" s="1">
        <f>HYPERLINK("https://my.pitchbook.com?c=284527-18T","View Company Online")</f>
      </c>
    </row>
    <row r="17">
      <c r="A17" s="3" t="s">
        <v>128</v>
      </c>
      <c r="B17" s="3" t="s">
        <v>129</v>
      </c>
      <c r="C17" s="5" t="s">
        <v>36</v>
      </c>
      <c r="D17" s="5" t="s">
        <v>36</v>
      </c>
      <c r="E17" s="5" t="s">
        <v>36</v>
      </c>
      <c r="F17" s="5" t="s">
        <v>36</v>
      </c>
      <c r="G17" s="6" t="s">
        <v>36</v>
      </c>
      <c r="H17" s="4" t="s">
        <v>36</v>
      </c>
      <c r="I17" s="7" t="s">
        <v>36</v>
      </c>
      <c r="J17" s="3" t="s">
        <v>36</v>
      </c>
      <c r="K17" s="9" t="s">
        <v>36</v>
      </c>
      <c r="L17" s="6" t="s">
        <v>36</v>
      </c>
      <c r="M17" s="3" t="s">
        <v>36</v>
      </c>
      <c r="N17" s="3" t="s">
        <v>36</v>
      </c>
      <c r="O17" s="8" t="s">
        <v>36</v>
      </c>
      <c r="P17" s="3" t="s">
        <v>36</v>
      </c>
      <c r="Q17" s="3" t="s">
        <v>36</v>
      </c>
      <c r="R17" s="3" t="s">
        <v>36</v>
      </c>
      <c r="S17" s="3" t="s">
        <v>36</v>
      </c>
      <c r="T17" s="3" t="s">
        <v>130</v>
      </c>
      <c r="U17" s="3" t="s">
        <v>38</v>
      </c>
      <c r="V17" s="3" t="s">
        <v>39</v>
      </c>
      <c r="W17" s="3" t="s">
        <v>131</v>
      </c>
      <c r="X17" s="10" t="s">
        <v>132</v>
      </c>
      <c r="Y17" s="6" t="s">
        <v>42</v>
      </c>
      <c r="Z17" s="4">
        <v>2.07</v>
      </c>
      <c r="AA17" s="4" t="s">
        <v>36</v>
      </c>
      <c r="AB17" s="3" t="s">
        <v>56</v>
      </c>
      <c r="AC17" s="3" t="s">
        <v>133</v>
      </c>
      <c r="AD17" s="9">
        <v>45694</v>
      </c>
      <c r="AE17" s="3" t="s">
        <v>134</v>
      </c>
      <c r="AF17" s="3" t="s">
        <v>135</v>
      </c>
      <c r="AG17" s="3" t="s">
        <v>136</v>
      </c>
      <c r="AH17" s="11">
        <f>HYPERLINK("https://my.pitchbook.com?c=284383-63T","View Company Online")</f>
      </c>
    </row>
    <row r="18">
      <c r="A18" s="12" t="s">
        <v>137</v>
      </c>
      <c r="B18" s="12" t="s">
        <v>138</v>
      </c>
      <c r="C18" s="19">
        <v>1</v>
      </c>
      <c r="D18" s="19" t="s">
        <v>36</v>
      </c>
      <c r="E18" s="19">
        <v>1</v>
      </c>
      <c r="F18" s="19">
        <v>1</v>
      </c>
      <c r="G18" s="15" t="s">
        <v>36</v>
      </c>
      <c r="H18" s="14" t="s">
        <v>36</v>
      </c>
      <c r="I18" s="18" t="s">
        <v>36</v>
      </c>
      <c r="J18" s="12" t="s">
        <v>36</v>
      </c>
      <c r="K18" s="13" t="s">
        <v>36</v>
      </c>
      <c r="L18" s="15" t="s">
        <v>36</v>
      </c>
      <c r="M18" s="12" t="s">
        <v>36</v>
      </c>
      <c r="N18" s="12" t="s">
        <v>36</v>
      </c>
      <c r="O18" s="17" t="s">
        <v>36</v>
      </c>
      <c r="P18" s="12" t="s">
        <v>36</v>
      </c>
      <c r="Q18" s="12" t="s">
        <v>36</v>
      </c>
      <c r="R18" s="12" t="s">
        <v>36</v>
      </c>
      <c r="S18" s="12" t="s">
        <v>36</v>
      </c>
      <c r="T18" s="12" t="s">
        <v>139</v>
      </c>
      <c r="U18" s="12" t="s">
        <v>96</v>
      </c>
      <c r="V18" s="12" t="s">
        <v>52</v>
      </c>
      <c r="W18" s="12" t="s">
        <v>140</v>
      </c>
      <c r="X18" s="16" t="s">
        <v>141</v>
      </c>
      <c r="Y18" s="15" t="s">
        <v>108</v>
      </c>
      <c r="Z18" s="14">
        <v>9.2</v>
      </c>
      <c r="AA18" s="14" t="s">
        <v>36</v>
      </c>
      <c r="AB18" s="12" t="s">
        <v>43</v>
      </c>
      <c r="AC18" s="12" t="s">
        <v>142</v>
      </c>
      <c r="AD18" s="13">
        <v>45694</v>
      </c>
      <c r="AE18" s="12" t="s">
        <v>143</v>
      </c>
      <c r="AF18" s="12" t="s">
        <v>101</v>
      </c>
      <c r="AG18" s="12" t="s">
        <v>144</v>
      </c>
      <c r="AH18" s="1">
        <f>HYPERLINK("https://my.pitchbook.com?c=284336-56T","View Company Online")</f>
      </c>
    </row>
    <row r="19">
      <c r="A19" s="3" t="s">
        <v>145</v>
      </c>
      <c r="B19" s="3" t="s">
        <v>146</v>
      </c>
      <c r="C19" s="5" t="s">
        <v>36</v>
      </c>
      <c r="D19" s="5">
        <v>4</v>
      </c>
      <c r="E19" s="5">
        <v>2</v>
      </c>
      <c r="F19" s="5">
        <v>4</v>
      </c>
      <c r="G19" s="6" t="s">
        <v>36</v>
      </c>
      <c r="H19" s="4" t="s">
        <v>36</v>
      </c>
      <c r="I19" s="7" t="s">
        <v>36</v>
      </c>
      <c r="J19" s="3" t="s">
        <v>36</v>
      </c>
      <c r="K19" s="9" t="s">
        <v>36</v>
      </c>
      <c r="L19" s="6" t="s">
        <v>36</v>
      </c>
      <c r="M19" s="3" t="s">
        <v>36</v>
      </c>
      <c r="N19" s="3" t="s">
        <v>36</v>
      </c>
      <c r="O19" s="8" t="s">
        <v>36</v>
      </c>
      <c r="P19" s="3" t="s">
        <v>36</v>
      </c>
      <c r="Q19" s="3" t="s">
        <v>36</v>
      </c>
      <c r="R19" s="3" t="s">
        <v>36</v>
      </c>
      <c r="S19" s="3" t="s">
        <v>36</v>
      </c>
      <c r="T19" s="3" t="s">
        <v>147</v>
      </c>
      <c r="U19" s="3" t="s">
        <v>74</v>
      </c>
      <c r="V19" s="3" t="s">
        <v>75</v>
      </c>
      <c r="W19" s="3" t="s">
        <v>148</v>
      </c>
      <c r="X19" s="10" t="s">
        <v>149</v>
      </c>
      <c r="Y19" s="6" t="s">
        <v>55</v>
      </c>
      <c r="Z19" s="4">
        <v>4.14</v>
      </c>
      <c r="AA19" s="4" t="s">
        <v>36</v>
      </c>
      <c r="AB19" s="3" t="s">
        <v>56</v>
      </c>
      <c r="AC19" s="3" t="s">
        <v>150</v>
      </c>
      <c r="AD19" s="9">
        <v>45693</v>
      </c>
      <c r="AE19" s="3" t="s">
        <v>79</v>
      </c>
      <c r="AF19" s="3" t="s">
        <v>151</v>
      </c>
      <c r="AG19" s="3" t="s">
        <v>81</v>
      </c>
      <c r="AH19" s="11">
        <f>HYPERLINK("https://my.pitchbook.com?c=284320-99T","View Company Online")</f>
      </c>
    </row>
    <row r="20">
      <c r="A20" s="12" t="s">
        <v>152</v>
      </c>
      <c r="B20" s="12" t="s">
        <v>153</v>
      </c>
      <c r="C20" s="19" t="s">
        <v>36</v>
      </c>
      <c r="D20" s="19" t="s">
        <v>36</v>
      </c>
      <c r="E20" s="19" t="s">
        <v>36</v>
      </c>
      <c r="F20" s="19" t="s">
        <v>36</v>
      </c>
      <c r="G20" s="15" t="s">
        <v>36</v>
      </c>
      <c r="H20" s="14" t="s">
        <v>36</v>
      </c>
      <c r="I20" s="18" t="s">
        <v>36</v>
      </c>
      <c r="J20" s="12" t="s">
        <v>36</v>
      </c>
      <c r="K20" s="13" t="s">
        <v>36</v>
      </c>
      <c r="L20" s="15" t="s">
        <v>36</v>
      </c>
      <c r="M20" s="12" t="s">
        <v>36</v>
      </c>
      <c r="N20" s="12" t="s">
        <v>36</v>
      </c>
      <c r="O20" s="17" t="s">
        <v>36</v>
      </c>
      <c r="P20" s="12" t="s">
        <v>36</v>
      </c>
      <c r="Q20" s="12" t="s">
        <v>36</v>
      </c>
      <c r="R20" s="12" t="s">
        <v>36</v>
      </c>
      <c r="S20" s="12" t="s">
        <v>36</v>
      </c>
      <c r="T20" s="12" t="s">
        <v>154</v>
      </c>
      <c r="U20" s="12" t="s">
        <v>51</v>
      </c>
      <c r="V20" s="12" t="s">
        <v>52</v>
      </c>
      <c r="W20" s="12" t="s">
        <v>155</v>
      </c>
      <c r="X20" s="16" t="s">
        <v>156</v>
      </c>
      <c r="Y20" s="15" t="s">
        <v>42</v>
      </c>
      <c r="Z20" s="14">
        <v>4.55</v>
      </c>
      <c r="AA20" s="14" t="s">
        <v>36</v>
      </c>
      <c r="AB20" s="12" t="s">
        <v>43</v>
      </c>
      <c r="AC20" s="12" t="s">
        <v>157</v>
      </c>
      <c r="AD20" s="13">
        <v>45693</v>
      </c>
      <c r="AE20" s="12" t="s">
        <v>158</v>
      </c>
      <c r="AF20" s="12" t="s">
        <v>159</v>
      </c>
      <c r="AG20" s="12" t="s">
        <v>160</v>
      </c>
      <c r="AH20" s="1">
        <f>HYPERLINK("https://my.pitchbook.com?c=284114-35T","View Company Online")</f>
      </c>
    </row>
    <row r="21">
      <c r="A21" s="3" t="s">
        <v>161</v>
      </c>
      <c r="B21" s="3" t="s">
        <v>162</v>
      </c>
      <c r="C21" s="5" t="s">
        <v>36</v>
      </c>
      <c r="D21" s="5" t="s">
        <v>36</v>
      </c>
      <c r="E21" s="5" t="s">
        <v>36</v>
      </c>
      <c r="F21" s="5" t="s">
        <v>36</v>
      </c>
      <c r="G21" s="6" t="s">
        <v>36</v>
      </c>
      <c r="H21" s="4" t="s">
        <v>36</v>
      </c>
      <c r="I21" s="7" t="s">
        <v>36</v>
      </c>
      <c r="J21" s="3" t="s">
        <v>36</v>
      </c>
      <c r="K21" s="9" t="s">
        <v>36</v>
      </c>
      <c r="L21" s="6" t="s">
        <v>94</v>
      </c>
      <c r="M21" s="3" t="s">
        <v>36</v>
      </c>
      <c r="N21" s="3" t="s">
        <v>94</v>
      </c>
      <c r="O21" s="8" t="s">
        <v>36</v>
      </c>
      <c r="P21" s="3" t="s">
        <v>36</v>
      </c>
      <c r="Q21" s="3" t="s">
        <v>36</v>
      </c>
      <c r="R21" s="3" t="s">
        <v>36</v>
      </c>
      <c r="S21" s="3" t="s">
        <v>36</v>
      </c>
      <c r="T21" s="3" t="s">
        <v>163</v>
      </c>
      <c r="U21" s="3" t="s">
        <v>74</v>
      </c>
      <c r="V21" s="3" t="s">
        <v>75</v>
      </c>
      <c r="W21" s="3" t="s">
        <v>164</v>
      </c>
      <c r="X21" s="10" t="s">
        <v>165</v>
      </c>
      <c r="Y21" s="6" t="s">
        <v>166</v>
      </c>
      <c r="Z21" s="4">
        <v>26.91</v>
      </c>
      <c r="AA21" s="4" t="s">
        <v>36</v>
      </c>
      <c r="AB21" s="3" t="s">
        <v>56</v>
      </c>
      <c r="AC21" s="3" t="s">
        <v>167</v>
      </c>
      <c r="AD21" s="9">
        <v>45693</v>
      </c>
      <c r="AE21" s="3" t="s">
        <v>79</v>
      </c>
      <c r="AF21" s="3" t="s">
        <v>168</v>
      </c>
      <c r="AG21" s="3" t="s">
        <v>169</v>
      </c>
      <c r="AH21" s="11">
        <f>HYPERLINK("https://my.pitchbook.com?c=284092-03T","View Company Online")</f>
      </c>
    </row>
    <row r="22">
      <c r="A22" s="12" t="s">
        <v>170</v>
      </c>
      <c r="B22" s="12" t="s">
        <v>171</v>
      </c>
      <c r="C22" s="19" t="s">
        <v>36</v>
      </c>
      <c r="D22" s="19" t="s">
        <v>36</v>
      </c>
      <c r="E22" s="19" t="s">
        <v>36</v>
      </c>
      <c r="F22" s="19" t="s">
        <v>36</v>
      </c>
      <c r="G22" s="15" t="s">
        <v>36</v>
      </c>
      <c r="H22" s="14" t="s">
        <v>36</v>
      </c>
      <c r="I22" s="18" t="s">
        <v>36</v>
      </c>
      <c r="J22" s="12" t="s">
        <v>36</v>
      </c>
      <c r="K22" s="13">
        <v>45692</v>
      </c>
      <c r="L22" s="15" t="s">
        <v>36</v>
      </c>
      <c r="M22" s="12" t="s">
        <v>36</v>
      </c>
      <c r="N22" s="12" t="s">
        <v>36</v>
      </c>
      <c r="O22" s="17" t="s">
        <v>36</v>
      </c>
      <c r="P22" s="12" t="s">
        <v>36</v>
      </c>
      <c r="Q22" s="12" t="s">
        <v>36</v>
      </c>
      <c r="R22" s="12" t="s">
        <v>36</v>
      </c>
      <c r="S22" s="12" t="s">
        <v>36</v>
      </c>
      <c r="T22" s="12" t="s">
        <v>172</v>
      </c>
      <c r="U22" s="12" t="s">
        <v>38</v>
      </c>
      <c r="V22" s="12" t="s">
        <v>39</v>
      </c>
      <c r="W22" s="12" t="s">
        <v>173</v>
      </c>
      <c r="X22" s="16" t="s">
        <v>174</v>
      </c>
      <c r="Y22" s="15" t="s">
        <v>108</v>
      </c>
      <c r="Z22" s="14">
        <v>2.07</v>
      </c>
      <c r="AA22" s="14" t="s">
        <v>36</v>
      </c>
      <c r="AB22" s="12" t="s">
        <v>43</v>
      </c>
      <c r="AC22" s="12" t="s">
        <v>175</v>
      </c>
      <c r="AD22" s="13">
        <v>45692</v>
      </c>
      <c r="AE22" s="12" t="s">
        <v>110</v>
      </c>
      <c r="AF22" s="12" t="s">
        <v>176</v>
      </c>
      <c r="AG22" s="12" t="s">
        <v>81</v>
      </c>
      <c r="AH22" s="1">
        <f>HYPERLINK("https://my.pitchbook.com?c=275400-28T","View Company Online")</f>
      </c>
    </row>
    <row r="23">
      <c r="A23" s="3" t="s">
        <v>177</v>
      </c>
      <c r="B23" s="3" t="s">
        <v>178</v>
      </c>
      <c r="C23" s="5" t="s">
        <v>36</v>
      </c>
      <c r="D23" s="5" t="s">
        <v>36</v>
      </c>
      <c r="E23" s="5" t="s">
        <v>36</v>
      </c>
      <c r="F23" s="5" t="s">
        <v>36</v>
      </c>
      <c r="G23" s="6" t="s">
        <v>36</v>
      </c>
      <c r="H23" s="4" t="s">
        <v>36</v>
      </c>
      <c r="I23" s="7" t="s">
        <v>36</v>
      </c>
      <c r="J23" s="3" t="s">
        <v>36</v>
      </c>
      <c r="K23" s="9" t="s">
        <v>36</v>
      </c>
      <c r="L23" s="6" t="s">
        <v>36</v>
      </c>
      <c r="M23" s="3" t="s">
        <v>36</v>
      </c>
      <c r="N23" s="3" t="s">
        <v>36</v>
      </c>
      <c r="O23" s="8" t="s">
        <v>36</v>
      </c>
      <c r="P23" s="3" t="s">
        <v>36</v>
      </c>
      <c r="Q23" s="3" t="s">
        <v>36</v>
      </c>
      <c r="R23" s="3" t="s">
        <v>36</v>
      </c>
      <c r="S23" s="3" t="s">
        <v>36</v>
      </c>
      <c r="T23" s="3" t="s">
        <v>179</v>
      </c>
      <c r="U23" s="3" t="s">
        <v>180</v>
      </c>
      <c r="V23" s="3" t="s">
        <v>52</v>
      </c>
      <c r="W23" s="3" t="s">
        <v>181</v>
      </c>
      <c r="X23" s="10" t="s">
        <v>182</v>
      </c>
      <c r="Y23" s="6" t="s">
        <v>108</v>
      </c>
      <c r="Z23" s="4">
        <v>2.69</v>
      </c>
      <c r="AA23" s="4" t="s">
        <v>36</v>
      </c>
      <c r="AB23" s="3" t="s">
        <v>43</v>
      </c>
      <c r="AC23" s="3" t="s">
        <v>183</v>
      </c>
      <c r="AD23" s="9">
        <v>45692</v>
      </c>
      <c r="AE23" s="3" t="s">
        <v>184</v>
      </c>
      <c r="AF23" s="3" t="s">
        <v>185</v>
      </c>
      <c r="AG23" s="3" t="s">
        <v>186</v>
      </c>
      <c r="AH23" s="11">
        <f>HYPERLINK("https://my.pitchbook.com?c=283988-80T","View Company Online")</f>
      </c>
    </row>
    <row r="24">
      <c r="A24" s="12" t="s">
        <v>187</v>
      </c>
      <c r="B24" s="12" t="s">
        <v>188</v>
      </c>
      <c r="C24" s="19">
        <v>7</v>
      </c>
      <c r="D24" s="19">
        <v>8</v>
      </c>
      <c r="E24" s="19">
        <v>7</v>
      </c>
      <c r="F24" s="19">
        <v>18</v>
      </c>
      <c r="G24" s="15" t="s">
        <v>36</v>
      </c>
      <c r="H24" s="14" t="s">
        <v>36</v>
      </c>
      <c r="I24" s="18" t="s">
        <v>36</v>
      </c>
      <c r="J24" s="12" t="s">
        <v>36</v>
      </c>
      <c r="K24" s="13" t="s">
        <v>36</v>
      </c>
      <c r="L24" s="15" t="s">
        <v>36</v>
      </c>
      <c r="M24" s="12" t="s">
        <v>36</v>
      </c>
      <c r="N24" s="12" t="s">
        <v>36</v>
      </c>
      <c r="O24" s="17" t="s">
        <v>36</v>
      </c>
      <c r="P24" s="12" t="s">
        <v>36</v>
      </c>
      <c r="Q24" s="12" t="s">
        <v>36</v>
      </c>
      <c r="R24" s="12" t="s">
        <v>36</v>
      </c>
      <c r="S24" s="12" t="s">
        <v>36</v>
      </c>
      <c r="T24" s="12" t="s">
        <v>189</v>
      </c>
      <c r="U24" s="12" t="s">
        <v>180</v>
      </c>
      <c r="V24" s="12" t="s">
        <v>52</v>
      </c>
      <c r="W24" s="12" t="s">
        <v>190</v>
      </c>
      <c r="X24" s="16" t="s">
        <v>191</v>
      </c>
      <c r="Y24" s="15" t="s">
        <v>192</v>
      </c>
      <c r="Z24" s="14">
        <v>5.17</v>
      </c>
      <c r="AA24" s="14" t="s">
        <v>36</v>
      </c>
      <c r="AB24" s="12" t="s">
        <v>56</v>
      </c>
      <c r="AC24" s="12" t="s">
        <v>193</v>
      </c>
      <c r="AD24" s="13">
        <v>45692</v>
      </c>
      <c r="AE24" s="12" t="s">
        <v>184</v>
      </c>
      <c r="AF24" s="12" t="s">
        <v>59</v>
      </c>
      <c r="AG24" s="12" t="s">
        <v>47</v>
      </c>
      <c r="AH24" s="1">
        <f>HYPERLINK("https://my.pitchbook.com?c=284077-81T","View Company Online")</f>
      </c>
    </row>
    <row r="25">
      <c r="A25" s="3" t="s">
        <v>194</v>
      </c>
      <c r="B25" s="3" t="s">
        <v>195</v>
      </c>
      <c r="C25" s="5" t="s">
        <v>36</v>
      </c>
      <c r="D25" s="5" t="s">
        <v>36</v>
      </c>
      <c r="E25" s="5" t="s">
        <v>36</v>
      </c>
      <c r="F25" s="5" t="s">
        <v>36</v>
      </c>
      <c r="G25" s="6" t="s">
        <v>36</v>
      </c>
      <c r="H25" s="4" t="s">
        <v>36</v>
      </c>
      <c r="I25" s="7" t="s">
        <v>36</v>
      </c>
      <c r="J25" s="3" t="s">
        <v>36</v>
      </c>
      <c r="K25" s="9" t="s">
        <v>36</v>
      </c>
      <c r="L25" s="6" t="s">
        <v>36</v>
      </c>
      <c r="M25" s="3" t="s">
        <v>36</v>
      </c>
      <c r="N25" s="3" t="s">
        <v>36</v>
      </c>
      <c r="O25" s="8" t="s">
        <v>36</v>
      </c>
      <c r="P25" s="3" t="s">
        <v>36</v>
      </c>
      <c r="Q25" s="3" t="s">
        <v>36</v>
      </c>
      <c r="R25" s="3" t="s">
        <v>36</v>
      </c>
      <c r="S25" s="3" t="s">
        <v>196</v>
      </c>
      <c r="T25" s="3" t="s">
        <v>197</v>
      </c>
      <c r="U25" s="3" t="s">
        <v>38</v>
      </c>
      <c r="V25" s="3" t="s">
        <v>39</v>
      </c>
      <c r="W25" s="3" t="s">
        <v>198</v>
      </c>
      <c r="X25" s="10" t="s">
        <v>199</v>
      </c>
      <c r="Y25" s="6" t="s">
        <v>42</v>
      </c>
      <c r="Z25" s="4">
        <v>4</v>
      </c>
      <c r="AA25" s="4" t="s">
        <v>36</v>
      </c>
      <c r="AB25" s="3" t="s">
        <v>43</v>
      </c>
      <c r="AC25" s="3" t="s">
        <v>200</v>
      </c>
      <c r="AD25" s="9">
        <v>45692</v>
      </c>
      <c r="AE25" s="3" t="s">
        <v>110</v>
      </c>
      <c r="AF25" s="3" t="s">
        <v>111</v>
      </c>
      <c r="AG25" s="3" t="s">
        <v>81</v>
      </c>
      <c r="AH25" s="11">
        <f>HYPERLINK("https://my.pitchbook.com?c=278487-82T","View Company Online")</f>
      </c>
    </row>
    <row r="26">
      <c r="A26" s="12" t="s">
        <v>201</v>
      </c>
      <c r="B26" s="12" t="s">
        <v>202</v>
      </c>
      <c r="C26" s="19" t="s">
        <v>36</v>
      </c>
      <c r="D26" s="19" t="s">
        <v>36</v>
      </c>
      <c r="E26" s="19" t="s">
        <v>36</v>
      </c>
      <c r="F26" s="19" t="s">
        <v>36</v>
      </c>
      <c r="G26" s="15" t="s">
        <v>36</v>
      </c>
      <c r="H26" s="14" t="s">
        <v>36</v>
      </c>
      <c r="I26" s="18" t="s">
        <v>36</v>
      </c>
      <c r="J26" s="12" t="s">
        <v>36</v>
      </c>
      <c r="K26" s="13" t="s">
        <v>36</v>
      </c>
      <c r="L26" s="15" t="s">
        <v>36</v>
      </c>
      <c r="M26" s="12" t="s">
        <v>36</v>
      </c>
      <c r="N26" s="12" t="s">
        <v>36</v>
      </c>
      <c r="O26" s="17" t="s">
        <v>36</v>
      </c>
      <c r="P26" s="12" t="s">
        <v>36</v>
      </c>
      <c r="Q26" s="12" t="s">
        <v>36</v>
      </c>
      <c r="R26" s="12" t="s">
        <v>36</v>
      </c>
      <c r="S26" s="12" t="s">
        <v>36</v>
      </c>
      <c r="T26" s="12" t="s">
        <v>203</v>
      </c>
      <c r="U26" s="12" t="s">
        <v>38</v>
      </c>
      <c r="V26" s="12" t="s">
        <v>39</v>
      </c>
      <c r="W26" s="12" t="s">
        <v>204</v>
      </c>
      <c r="X26" s="16" t="s">
        <v>205</v>
      </c>
      <c r="Y26" s="15" t="s">
        <v>42</v>
      </c>
      <c r="Z26" s="14" t="s">
        <v>36</v>
      </c>
      <c r="AA26" s="14" t="s">
        <v>36</v>
      </c>
      <c r="AB26" s="12" t="s">
        <v>43</v>
      </c>
      <c r="AC26" s="12" t="s">
        <v>206</v>
      </c>
      <c r="AD26" s="13">
        <v>45689</v>
      </c>
      <c r="AE26" s="12" t="s">
        <v>110</v>
      </c>
      <c r="AF26" s="12" t="s">
        <v>207</v>
      </c>
      <c r="AG26" s="12" t="s">
        <v>208</v>
      </c>
      <c r="AH26" s="1">
        <f>HYPERLINK("https://my.pitchbook.com?c=284424-31T","View Company Online")</f>
      </c>
    </row>
    <row r="27">
      <c r="A27" s="3" t="s">
        <v>209</v>
      </c>
      <c r="B27" s="3" t="s">
        <v>210</v>
      </c>
      <c r="C27" s="5" t="s">
        <v>36</v>
      </c>
      <c r="D27" s="5" t="s">
        <v>36</v>
      </c>
      <c r="E27" s="5" t="s">
        <v>36</v>
      </c>
      <c r="F27" s="5" t="s">
        <v>36</v>
      </c>
      <c r="G27" s="6" t="s">
        <v>36</v>
      </c>
      <c r="H27" s="4" t="s">
        <v>36</v>
      </c>
      <c r="I27" s="7" t="s">
        <v>36</v>
      </c>
      <c r="J27" s="3" t="s">
        <v>36</v>
      </c>
      <c r="K27" s="9" t="s">
        <v>36</v>
      </c>
      <c r="L27" s="6" t="s">
        <v>36</v>
      </c>
      <c r="M27" s="3" t="s">
        <v>36</v>
      </c>
      <c r="N27" s="3" t="s">
        <v>36</v>
      </c>
      <c r="O27" s="8" t="s">
        <v>36</v>
      </c>
      <c r="P27" s="3" t="s">
        <v>36</v>
      </c>
      <c r="Q27" s="3" t="s">
        <v>36</v>
      </c>
      <c r="R27" s="3" t="s">
        <v>36</v>
      </c>
      <c r="S27" s="3" t="s">
        <v>36</v>
      </c>
      <c r="T27" s="3" t="s">
        <v>211</v>
      </c>
      <c r="U27" s="3" t="s">
        <v>38</v>
      </c>
      <c r="V27" s="3" t="s">
        <v>39</v>
      </c>
      <c r="W27" s="3" t="s">
        <v>212</v>
      </c>
      <c r="X27" s="10" t="s">
        <v>213</v>
      </c>
      <c r="Y27" s="6" t="s">
        <v>192</v>
      </c>
      <c r="Z27" s="4" t="s">
        <v>36</v>
      </c>
      <c r="AA27" s="4" t="s">
        <v>36</v>
      </c>
      <c r="AB27" s="3" t="s">
        <v>56</v>
      </c>
      <c r="AC27" s="3" t="s">
        <v>214</v>
      </c>
      <c r="AD27" s="9">
        <v>45689</v>
      </c>
      <c r="AE27" s="3" t="s">
        <v>45</v>
      </c>
      <c r="AF27" s="3" t="s">
        <v>215</v>
      </c>
      <c r="AG27" s="3" t="s">
        <v>81</v>
      </c>
      <c r="AH27" s="11">
        <f>HYPERLINK("https://my.pitchbook.com?c=284791-60T","View Company Online")</f>
      </c>
    </row>
    <row r="28">
      <c r="A28" s="12" t="s">
        <v>216</v>
      </c>
      <c r="B28" s="12" t="s">
        <v>217</v>
      </c>
      <c r="C28" s="19" t="s">
        <v>36</v>
      </c>
      <c r="D28" s="19" t="s">
        <v>36</v>
      </c>
      <c r="E28" s="19" t="s">
        <v>36</v>
      </c>
      <c r="F28" s="19" t="s">
        <v>36</v>
      </c>
      <c r="G28" s="15" t="s">
        <v>36</v>
      </c>
      <c r="H28" s="14" t="s">
        <v>36</v>
      </c>
      <c r="I28" s="18" t="s">
        <v>36</v>
      </c>
      <c r="J28" s="12" t="s">
        <v>36</v>
      </c>
      <c r="K28" s="13" t="s">
        <v>36</v>
      </c>
      <c r="L28" s="15" t="s">
        <v>36</v>
      </c>
      <c r="M28" s="12" t="s">
        <v>36</v>
      </c>
      <c r="N28" s="12" t="s">
        <v>36</v>
      </c>
      <c r="O28" s="17" t="s">
        <v>36</v>
      </c>
      <c r="P28" s="12" t="s">
        <v>36</v>
      </c>
      <c r="Q28" s="12" t="s">
        <v>36</v>
      </c>
      <c r="R28" s="12" t="s">
        <v>36</v>
      </c>
      <c r="S28" s="12" t="s">
        <v>36</v>
      </c>
      <c r="T28" s="12" t="s">
        <v>218</v>
      </c>
      <c r="U28" s="12" t="s">
        <v>219</v>
      </c>
      <c r="V28" s="12" t="s">
        <v>75</v>
      </c>
      <c r="W28" s="12" t="s">
        <v>220</v>
      </c>
      <c r="X28" s="16" t="s">
        <v>221</v>
      </c>
      <c r="Y28" s="15" t="s">
        <v>42</v>
      </c>
      <c r="Z28" s="14" t="s">
        <v>36</v>
      </c>
      <c r="AA28" s="14" t="s">
        <v>36</v>
      </c>
      <c r="AB28" s="12" t="s">
        <v>43</v>
      </c>
      <c r="AC28" s="12" t="s">
        <v>222</v>
      </c>
      <c r="AD28" s="13">
        <v>45689</v>
      </c>
      <c r="AE28" s="12" t="s">
        <v>223</v>
      </c>
      <c r="AF28" s="12" t="s">
        <v>36</v>
      </c>
      <c r="AG28" s="12" t="s">
        <v>81</v>
      </c>
      <c r="AH28" s="1">
        <f>HYPERLINK("https://my.pitchbook.com?c=284180-59T","View Company Online")</f>
      </c>
    </row>
    <row r="29">
      <c r="A29" s="3" t="s">
        <v>224</v>
      </c>
      <c r="B29" s="3" t="s">
        <v>225</v>
      </c>
      <c r="C29" s="5" t="s">
        <v>36</v>
      </c>
      <c r="D29" s="5" t="s">
        <v>36</v>
      </c>
      <c r="E29" s="5" t="s">
        <v>36</v>
      </c>
      <c r="F29" s="5" t="s">
        <v>36</v>
      </c>
      <c r="G29" s="6" t="s">
        <v>36</v>
      </c>
      <c r="H29" s="4" t="s">
        <v>36</v>
      </c>
      <c r="I29" s="7" t="s">
        <v>36</v>
      </c>
      <c r="J29" s="3" t="s">
        <v>36</v>
      </c>
      <c r="K29" s="9" t="s">
        <v>36</v>
      </c>
      <c r="L29" s="6" t="s">
        <v>36</v>
      </c>
      <c r="M29" s="3" t="s">
        <v>36</v>
      </c>
      <c r="N29" s="3" t="s">
        <v>36</v>
      </c>
      <c r="O29" s="8" t="s">
        <v>36</v>
      </c>
      <c r="P29" s="3" t="s">
        <v>36</v>
      </c>
      <c r="Q29" s="3" t="s">
        <v>36</v>
      </c>
      <c r="R29" s="3" t="s">
        <v>36</v>
      </c>
      <c r="S29" s="3" t="s">
        <v>36</v>
      </c>
      <c r="T29" s="3" t="s">
        <v>154</v>
      </c>
      <c r="U29" s="3" t="s">
        <v>51</v>
      </c>
      <c r="V29" s="3" t="s">
        <v>52</v>
      </c>
      <c r="W29" s="3" t="s">
        <v>226</v>
      </c>
      <c r="X29" s="10" t="s">
        <v>227</v>
      </c>
      <c r="Y29" s="6" t="s">
        <v>42</v>
      </c>
      <c r="Z29" s="4" t="s">
        <v>36</v>
      </c>
      <c r="AA29" s="4" t="s">
        <v>36</v>
      </c>
      <c r="AB29" s="3" t="s">
        <v>43</v>
      </c>
      <c r="AC29" s="3" t="s">
        <v>228</v>
      </c>
      <c r="AD29" s="9">
        <v>45689</v>
      </c>
      <c r="AE29" s="3" t="s">
        <v>158</v>
      </c>
      <c r="AF29" s="3" t="s">
        <v>229</v>
      </c>
      <c r="AG29" s="3" t="s">
        <v>81</v>
      </c>
      <c r="AH29" s="11">
        <f>HYPERLINK("https://my.pitchbook.com?c=284246-38T","View Company Online")</f>
      </c>
    </row>
    <row r="30">
      <c r="A30" s="12" t="s">
        <v>230</v>
      </c>
      <c r="B30" s="12" t="s">
        <v>231</v>
      </c>
      <c r="C30" s="19" t="s">
        <v>36</v>
      </c>
      <c r="D30" s="19" t="s">
        <v>36</v>
      </c>
      <c r="E30" s="19" t="s">
        <v>36</v>
      </c>
      <c r="F30" s="19" t="s">
        <v>36</v>
      </c>
      <c r="G30" s="15" t="s">
        <v>36</v>
      </c>
      <c r="H30" s="14" t="s">
        <v>36</v>
      </c>
      <c r="I30" s="18" t="s">
        <v>36</v>
      </c>
      <c r="J30" s="12" t="s">
        <v>36</v>
      </c>
      <c r="K30" s="13" t="s">
        <v>36</v>
      </c>
      <c r="L30" s="15" t="s">
        <v>36</v>
      </c>
      <c r="M30" s="12" t="s">
        <v>36</v>
      </c>
      <c r="N30" s="12" t="s">
        <v>36</v>
      </c>
      <c r="O30" s="17" t="s">
        <v>36</v>
      </c>
      <c r="P30" s="12" t="s">
        <v>36</v>
      </c>
      <c r="Q30" s="12" t="s">
        <v>36</v>
      </c>
      <c r="R30" s="12" t="s">
        <v>36</v>
      </c>
      <c r="S30" s="12" t="s">
        <v>36</v>
      </c>
      <c r="T30" s="12" t="s">
        <v>232</v>
      </c>
      <c r="U30" s="12" t="s">
        <v>233</v>
      </c>
      <c r="V30" s="12" t="s">
        <v>39</v>
      </c>
      <c r="W30" s="12" t="s">
        <v>234</v>
      </c>
      <c r="X30" s="16" t="s">
        <v>221</v>
      </c>
      <c r="Y30" s="15" t="s">
        <v>42</v>
      </c>
      <c r="Z30" s="14" t="s">
        <v>36</v>
      </c>
      <c r="AA30" s="14" t="s">
        <v>36</v>
      </c>
      <c r="AB30" s="12" t="s">
        <v>43</v>
      </c>
      <c r="AC30" s="12" t="s">
        <v>235</v>
      </c>
      <c r="AD30" s="13">
        <v>45689</v>
      </c>
      <c r="AE30" s="12" t="s">
        <v>236</v>
      </c>
      <c r="AF30" s="12" t="s">
        <v>36</v>
      </c>
      <c r="AG30" s="12" t="s">
        <v>81</v>
      </c>
      <c r="AH30" s="1">
        <f>HYPERLINK("https://my.pitchbook.com?c=284183-47T","View Company Online")</f>
      </c>
    </row>
    <row r="31">
      <c r="A31" s="3" t="s">
        <v>237</v>
      </c>
      <c r="B31" s="3" t="s">
        <v>238</v>
      </c>
      <c r="C31" s="5" t="s">
        <v>36</v>
      </c>
      <c r="D31" s="5" t="s">
        <v>36</v>
      </c>
      <c r="E31" s="5" t="s">
        <v>36</v>
      </c>
      <c r="F31" s="5" t="s">
        <v>36</v>
      </c>
      <c r="G31" s="6" t="s">
        <v>36</v>
      </c>
      <c r="H31" s="4" t="s">
        <v>36</v>
      </c>
      <c r="I31" s="7" t="s">
        <v>36</v>
      </c>
      <c r="J31" s="3" t="s">
        <v>36</v>
      </c>
      <c r="K31" s="9" t="s">
        <v>36</v>
      </c>
      <c r="L31" s="6" t="s">
        <v>36</v>
      </c>
      <c r="M31" s="3" t="s">
        <v>36</v>
      </c>
      <c r="N31" s="3" t="s">
        <v>36</v>
      </c>
      <c r="O31" s="8" t="s">
        <v>36</v>
      </c>
      <c r="P31" s="3" t="s">
        <v>36</v>
      </c>
      <c r="Q31" s="3" t="s">
        <v>36</v>
      </c>
      <c r="R31" s="3" t="s">
        <v>36</v>
      </c>
      <c r="S31" s="3" t="s">
        <v>36</v>
      </c>
      <c r="T31" s="3" t="s">
        <v>239</v>
      </c>
      <c r="U31" s="3" t="s">
        <v>219</v>
      </c>
      <c r="V31" s="3" t="s">
        <v>75</v>
      </c>
      <c r="W31" s="3" t="s">
        <v>240</v>
      </c>
      <c r="X31" s="10" t="s">
        <v>241</v>
      </c>
      <c r="Y31" s="6" t="s">
        <v>42</v>
      </c>
      <c r="Z31" s="4" t="s">
        <v>36</v>
      </c>
      <c r="AA31" s="4" t="s">
        <v>36</v>
      </c>
      <c r="AB31" s="3" t="s">
        <v>43</v>
      </c>
      <c r="AC31" s="3" t="s">
        <v>242</v>
      </c>
      <c r="AD31" s="9">
        <v>45689</v>
      </c>
      <c r="AE31" s="3" t="s">
        <v>243</v>
      </c>
      <c r="AF31" s="3" t="s">
        <v>244</v>
      </c>
      <c r="AG31" s="3" t="s">
        <v>81</v>
      </c>
      <c r="AH31" s="11">
        <f>HYPERLINK("https://my.pitchbook.com?c=285188-14T","View Company Online")</f>
      </c>
    </row>
    <row r="32">
      <c r="A32" s="12" t="s">
        <v>245</v>
      </c>
      <c r="B32" s="12" t="s">
        <v>246</v>
      </c>
      <c r="C32" s="19" t="s">
        <v>36</v>
      </c>
      <c r="D32" s="19" t="s">
        <v>36</v>
      </c>
      <c r="E32" s="19" t="s">
        <v>36</v>
      </c>
      <c r="F32" s="19" t="s">
        <v>36</v>
      </c>
      <c r="G32" s="15" t="s">
        <v>36</v>
      </c>
      <c r="H32" s="14" t="s">
        <v>36</v>
      </c>
      <c r="I32" s="18" t="s">
        <v>36</v>
      </c>
      <c r="J32" s="12" t="s">
        <v>36</v>
      </c>
      <c r="K32" s="13" t="s">
        <v>36</v>
      </c>
      <c r="L32" s="15" t="s">
        <v>36</v>
      </c>
      <c r="M32" s="12" t="s">
        <v>36</v>
      </c>
      <c r="N32" s="12" t="s">
        <v>36</v>
      </c>
      <c r="O32" s="17" t="s">
        <v>36</v>
      </c>
      <c r="P32" s="12" t="s">
        <v>36</v>
      </c>
      <c r="Q32" s="12" t="s">
        <v>36</v>
      </c>
      <c r="R32" s="12" t="s">
        <v>36</v>
      </c>
      <c r="S32" s="12" t="s">
        <v>36</v>
      </c>
      <c r="T32" s="12" t="s">
        <v>247</v>
      </c>
      <c r="U32" s="12" t="s">
        <v>38</v>
      </c>
      <c r="V32" s="12" t="s">
        <v>39</v>
      </c>
      <c r="W32" s="12" t="s">
        <v>248</v>
      </c>
      <c r="X32" s="16" t="s">
        <v>221</v>
      </c>
      <c r="Y32" s="15" t="s">
        <v>42</v>
      </c>
      <c r="Z32" s="14" t="s">
        <v>36</v>
      </c>
      <c r="AA32" s="14" t="s">
        <v>36</v>
      </c>
      <c r="AB32" s="12" t="s">
        <v>43</v>
      </c>
      <c r="AC32" s="12" t="s">
        <v>249</v>
      </c>
      <c r="AD32" s="13">
        <v>45689</v>
      </c>
      <c r="AE32" s="12" t="s">
        <v>110</v>
      </c>
      <c r="AF32" s="12" t="s">
        <v>250</v>
      </c>
      <c r="AG32" s="12" t="s">
        <v>81</v>
      </c>
      <c r="AH32" s="1">
        <f>HYPERLINK("https://my.pitchbook.com?c=284193-82T","View Company Online")</f>
      </c>
    </row>
    <row r="33">
      <c r="A33" s="3" t="s">
        <v>251</v>
      </c>
      <c r="B33" s="3" t="s">
        <v>252</v>
      </c>
      <c r="C33" s="5" t="s">
        <v>36</v>
      </c>
      <c r="D33" s="5" t="s">
        <v>36</v>
      </c>
      <c r="E33" s="5" t="s">
        <v>36</v>
      </c>
      <c r="F33" s="5" t="s">
        <v>36</v>
      </c>
      <c r="G33" s="6" t="s">
        <v>36</v>
      </c>
      <c r="H33" s="4" t="s">
        <v>36</v>
      </c>
      <c r="I33" s="7" t="s">
        <v>36</v>
      </c>
      <c r="J33" s="3" t="s">
        <v>36</v>
      </c>
      <c r="K33" s="9" t="s">
        <v>36</v>
      </c>
      <c r="L33" s="6" t="s">
        <v>36</v>
      </c>
      <c r="M33" s="3" t="s">
        <v>36</v>
      </c>
      <c r="N33" s="3" t="s">
        <v>36</v>
      </c>
      <c r="O33" s="8" t="s">
        <v>36</v>
      </c>
      <c r="P33" s="3" t="s">
        <v>36</v>
      </c>
      <c r="Q33" s="3" t="s">
        <v>36</v>
      </c>
      <c r="R33" s="3" t="s">
        <v>36</v>
      </c>
      <c r="S33" s="3" t="s">
        <v>36</v>
      </c>
      <c r="T33" s="3" t="s">
        <v>253</v>
      </c>
      <c r="U33" s="3" t="s">
        <v>38</v>
      </c>
      <c r="V33" s="3" t="s">
        <v>39</v>
      </c>
      <c r="W33" s="3" t="s">
        <v>254</v>
      </c>
      <c r="X33" s="10" t="s">
        <v>221</v>
      </c>
      <c r="Y33" s="6" t="s">
        <v>42</v>
      </c>
      <c r="Z33" s="4" t="s">
        <v>36</v>
      </c>
      <c r="AA33" s="4" t="s">
        <v>36</v>
      </c>
      <c r="AB33" s="3" t="s">
        <v>43</v>
      </c>
      <c r="AC33" s="3" t="s">
        <v>255</v>
      </c>
      <c r="AD33" s="9">
        <v>45689</v>
      </c>
      <c r="AE33" s="3" t="s">
        <v>110</v>
      </c>
      <c r="AF33" s="3" t="s">
        <v>256</v>
      </c>
      <c r="AG33" s="3" t="s">
        <v>81</v>
      </c>
      <c r="AH33" s="11">
        <f>HYPERLINK("https://my.pitchbook.com?c=284020-75T","View Company Online")</f>
      </c>
    </row>
    <row r="34">
      <c r="A34" s="12" t="s">
        <v>257</v>
      </c>
      <c r="B34" s="12" t="s">
        <v>258</v>
      </c>
      <c r="C34" s="19" t="s">
        <v>36</v>
      </c>
      <c r="D34" s="19" t="s">
        <v>36</v>
      </c>
      <c r="E34" s="19" t="s">
        <v>36</v>
      </c>
      <c r="F34" s="19" t="s">
        <v>36</v>
      </c>
      <c r="G34" s="15" t="s">
        <v>36</v>
      </c>
      <c r="H34" s="14" t="s">
        <v>36</v>
      </c>
      <c r="I34" s="18" t="s">
        <v>36</v>
      </c>
      <c r="J34" s="12" t="s">
        <v>36</v>
      </c>
      <c r="K34" s="13" t="s">
        <v>36</v>
      </c>
      <c r="L34" s="15" t="s">
        <v>36</v>
      </c>
      <c r="M34" s="12" t="s">
        <v>36</v>
      </c>
      <c r="N34" s="12" t="s">
        <v>36</v>
      </c>
      <c r="O34" s="17" t="s">
        <v>36</v>
      </c>
      <c r="P34" s="12" t="s">
        <v>36</v>
      </c>
      <c r="Q34" s="12" t="s">
        <v>36</v>
      </c>
      <c r="R34" s="12" t="s">
        <v>36</v>
      </c>
      <c r="S34" s="12" t="s">
        <v>36</v>
      </c>
      <c r="T34" s="12" t="s">
        <v>179</v>
      </c>
      <c r="U34" s="12" t="s">
        <v>180</v>
      </c>
      <c r="V34" s="12" t="s">
        <v>52</v>
      </c>
      <c r="W34" s="12" t="s">
        <v>259</v>
      </c>
      <c r="X34" s="16" t="s">
        <v>221</v>
      </c>
      <c r="Y34" s="15" t="s">
        <v>42</v>
      </c>
      <c r="Z34" s="14" t="s">
        <v>36</v>
      </c>
      <c r="AA34" s="14" t="s">
        <v>36</v>
      </c>
      <c r="AB34" s="12" t="s">
        <v>43</v>
      </c>
      <c r="AC34" s="12" t="s">
        <v>260</v>
      </c>
      <c r="AD34" s="13">
        <v>45689</v>
      </c>
      <c r="AE34" s="12" t="s">
        <v>184</v>
      </c>
      <c r="AF34" s="12" t="s">
        <v>261</v>
      </c>
      <c r="AG34" s="12" t="s">
        <v>262</v>
      </c>
      <c r="AH34" s="1">
        <f>HYPERLINK("https://my.pitchbook.com?c=284191-39T","View Company Online")</f>
      </c>
    </row>
    <row r="35">
      <c r="A35" s="3" t="s">
        <v>263</v>
      </c>
      <c r="B35" s="3" t="s">
        <v>264</v>
      </c>
      <c r="C35" s="5" t="s">
        <v>36</v>
      </c>
      <c r="D35" s="5" t="s">
        <v>36</v>
      </c>
      <c r="E35" s="5" t="s">
        <v>36</v>
      </c>
      <c r="F35" s="5" t="s">
        <v>36</v>
      </c>
      <c r="G35" s="6" t="s">
        <v>36</v>
      </c>
      <c r="H35" s="4" t="s">
        <v>36</v>
      </c>
      <c r="I35" s="7" t="s">
        <v>36</v>
      </c>
      <c r="J35" s="3" t="s">
        <v>36</v>
      </c>
      <c r="K35" s="9" t="s">
        <v>36</v>
      </c>
      <c r="L35" s="6" t="s">
        <v>36</v>
      </c>
      <c r="M35" s="3" t="s">
        <v>36</v>
      </c>
      <c r="N35" s="3" t="s">
        <v>36</v>
      </c>
      <c r="O35" s="8" t="s">
        <v>36</v>
      </c>
      <c r="P35" s="3" t="s">
        <v>36</v>
      </c>
      <c r="Q35" s="3" t="s">
        <v>36</v>
      </c>
      <c r="R35" s="3" t="s">
        <v>36</v>
      </c>
      <c r="S35" s="3" t="s">
        <v>36</v>
      </c>
      <c r="T35" s="3" t="s">
        <v>265</v>
      </c>
      <c r="U35" s="3" t="s">
        <v>85</v>
      </c>
      <c r="V35" s="3" t="s">
        <v>64</v>
      </c>
      <c r="W35" s="3" t="s">
        <v>266</v>
      </c>
      <c r="X35" s="10" t="s">
        <v>267</v>
      </c>
      <c r="Y35" s="6" t="s">
        <v>42</v>
      </c>
      <c r="Z35" s="4" t="s">
        <v>36</v>
      </c>
      <c r="AA35" s="4" t="s">
        <v>36</v>
      </c>
      <c r="AB35" s="3" t="s">
        <v>56</v>
      </c>
      <c r="AC35" s="3" t="s">
        <v>268</v>
      </c>
      <c r="AD35" s="9">
        <v>45689</v>
      </c>
      <c r="AE35" s="3" t="s">
        <v>89</v>
      </c>
      <c r="AF35" s="3" t="s">
        <v>269</v>
      </c>
      <c r="AG35" s="3" t="s">
        <v>270</v>
      </c>
      <c r="AH35" s="11">
        <f>HYPERLINK("https://my.pitchbook.com?c=284008-15T","View Company Online")</f>
      </c>
    </row>
    <row r="36">
      <c r="A36" s="12" t="s">
        <v>271</v>
      </c>
      <c r="B36" s="12" t="s">
        <v>272</v>
      </c>
      <c r="C36" s="19" t="s">
        <v>36</v>
      </c>
      <c r="D36" s="19" t="s">
        <v>36</v>
      </c>
      <c r="E36" s="19" t="s">
        <v>36</v>
      </c>
      <c r="F36" s="19" t="s">
        <v>36</v>
      </c>
      <c r="G36" s="15" t="s">
        <v>36</v>
      </c>
      <c r="H36" s="14" t="s">
        <v>36</v>
      </c>
      <c r="I36" s="18" t="s">
        <v>36</v>
      </c>
      <c r="J36" s="12" t="s">
        <v>36</v>
      </c>
      <c r="K36" s="13" t="s">
        <v>36</v>
      </c>
      <c r="L36" s="15" t="s">
        <v>36</v>
      </c>
      <c r="M36" s="12" t="s">
        <v>36</v>
      </c>
      <c r="N36" s="12" t="s">
        <v>36</v>
      </c>
      <c r="O36" s="17" t="s">
        <v>36</v>
      </c>
      <c r="P36" s="12" t="s">
        <v>36</v>
      </c>
      <c r="Q36" s="12" t="s">
        <v>36</v>
      </c>
      <c r="R36" s="12" t="s">
        <v>36</v>
      </c>
      <c r="S36" s="12" t="s">
        <v>36</v>
      </c>
      <c r="T36" s="12" t="s">
        <v>123</v>
      </c>
      <c r="U36" s="12" t="s">
        <v>38</v>
      </c>
      <c r="V36" s="12" t="s">
        <v>39</v>
      </c>
      <c r="W36" s="12" t="s">
        <v>273</v>
      </c>
      <c r="X36" s="16" t="s">
        <v>221</v>
      </c>
      <c r="Y36" s="15" t="s">
        <v>42</v>
      </c>
      <c r="Z36" s="14" t="s">
        <v>36</v>
      </c>
      <c r="AA36" s="14" t="s">
        <v>36</v>
      </c>
      <c r="AB36" s="12" t="s">
        <v>43</v>
      </c>
      <c r="AC36" s="12" t="s">
        <v>274</v>
      </c>
      <c r="AD36" s="13">
        <v>45689</v>
      </c>
      <c r="AE36" s="12" t="s">
        <v>110</v>
      </c>
      <c r="AF36" s="12" t="s">
        <v>275</v>
      </c>
      <c r="AG36" s="12" t="s">
        <v>81</v>
      </c>
      <c r="AH36" s="1">
        <f>HYPERLINK("https://my.pitchbook.com?c=284200-03T","View Company Online")</f>
      </c>
    </row>
    <row r="37">
      <c r="A37" s="3" t="s">
        <v>276</v>
      </c>
      <c r="B37" s="3" t="s">
        <v>277</v>
      </c>
      <c r="C37" s="5" t="s">
        <v>36</v>
      </c>
      <c r="D37" s="5" t="s">
        <v>36</v>
      </c>
      <c r="E37" s="5" t="s">
        <v>36</v>
      </c>
      <c r="F37" s="5" t="s">
        <v>36</v>
      </c>
      <c r="G37" s="6" t="s">
        <v>36</v>
      </c>
      <c r="H37" s="4" t="s">
        <v>36</v>
      </c>
      <c r="I37" s="7" t="s">
        <v>36</v>
      </c>
      <c r="J37" s="3" t="s">
        <v>36</v>
      </c>
      <c r="K37" s="9" t="s">
        <v>36</v>
      </c>
      <c r="L37" s="6" t="s">
        <v>36</v>
      </c>
      <c r="M37" s="3" t="s">
        <v>36</v>
      </c>
      <c r="N37" s="3" t="s">
        <v>36</v>
      </c>
      <c r="O37" s="8" t="s">
        <v>36</v>
      </c>
      <c r="P37" s="3" t="s">
        <v>36</v>
      </c>
      <c r="Q37" s="3" t="s">
        <v>36</v>
      </c>
      <c r="R37" s="3" t="s">
        <v>36</v>
      </c>
      <c r="S37" s="3" t="s">
        <v>36</v>
      </c>
      <c r="T37" s="3" t="s">
        <v>278</v>
      </c>
      <c r="U37" s="3" t="s">
        <v>279</v>
      </c>
      <c r="V37" s="3" t="s">
        <v>64</v>
      </c>
      <c r="W37" s="3" t="s">
        <v>280</v>
      </c>
      <c r="X37" s="10" t="s">
        <v>281</v>
      </c>
      <c r="Y37" s="6" t="s">
        <v>42</v>
      </c>
      <c r="Z37" s="4" t="s">
        <v>36</v>
      </c>
      <c r="AA37" s="4" t="s">
        <v>36</v>
      </c>
      <c r="AB37" s="3" t="s">
        <v>43</v>
      </c>
      <c r="AC37" s="3" t="s">
        <v>282</v>
      </c>
      <c r="AD37" s="9">
        <v>45689</v>
      </c>
      <c r="AE37" s="3" t="s">
        <v>283</v>
      </c>
      <c r="AF37" s="3" t="s">
        <v>284</v>
      </c>
      <c r="AG37" s="3" t="s">
        <v>285</v>
      </c>
      <c r="AH37" s="11">
        <f>HYPERLINK("https://my.pitchbook.com?c=284790-61T","View Company Online")</f>
      </c>
    </row>
    <row r="38">
      <c r="A38" s="12" t="s">
        <v>286</v>
      </c>
      <c r="B38" s="12" t="s">
        <v>287</v>
      </c>
      <c r="C38" s="19" t="s">
        <v>36</v>
      </c>
      <c r="D38" s="19" t="s">
        <v>36</v>
      </c>
      <c r="E38" s="19" t="s">
        <v>36</v>
      </c>
      <c r="F38" s="19" t="s">
        <v>36</v>
      </c>
      <c r="G38" s="15" t="s">
        <v>36</v>
      </c>
      <c r="H38" s="14" t="s">
        <v>36</v>
      </c>
      <c r="I38" s="18" t="s">
        <v>36</v>
      </c>
      <c r="J38" s="12" t="s">
        <v>36</v>
      </c>
      <c r="K38" s="13" t="s">
        <v>36</v>
      </c>
      <c r="L38" s="15" t="s">
        <v>36</v>
      </c>
      <c r="M38" s="12" t="s">
        <v>36</v>
      </c>
      <c r="N38" s="12" t="s">
        <v>36</v>
      </c>
      <c r="O38" s="17" t="s">
        <v>36</v>
      </c>
      <c r="P38" s="12" t="s">
        <v>36</v>
      </c>
      <c r="Q38" s="12" t="s">
        <v>36</v>
      </c>
      <c r="R38" s="12" t="s">
        <v>36</v>
      </c>
      <c r="S38" s="12" t="s">
        <v>36</v>
      </c>
      <c r="T38" s="12" t="s">
        <v>288</v>
      </c>
      <c r="U38" s="12" t="s">
        <v>289</v>
      </c>
      <c r="V38" s="12" t="s">
        <v>64</v>
      </c>
      <c r="W38" s="12" t="s">
        <v>290</v>
      </c>
      <c r="X38" s="16" t="s">
        <v>221</v>
      </c>
      <c r="Y38" s="15" t="s">
        <v>42</v>
      </c>
      <c r="Z38" s="14" t="s">
        <v>36</v>
      </c>
      <c r="AA38" s="14" t="s">
        <v>36</v>
      </c>
      <c r="AB38" s="12" t="s">
        <v>43</v>
      </c>
      <c r="AC38" s="12" t="s">
        <v>291</v>
      </c>
      <c r="AD38" s="13">
        <v>45689</v>
      </c>
      <c r="AE38" s="12" t="s">
        <v>292</v>
      </c>
      <c r="AF38" s="12" t="s">
        <v>36</v>
      </c>
      <c r="AG38" s="12" t="s">
        <v>81</v>
      </c>
      <c r="AH38" s="1">
        <f>HYPERLINK("https://my.pitchbook.com?c=284226-85T","View Company Online")</f>
      </c>
    </row>
    <row r="39">
      <c r="A39" s="3" t="s">
        <v>293</v>
      </c>
      <c r="B39" s="3" t="s">
        <v>294</v>
      </c>
      <c r="C39" s="5" t="s">
        <v>36</v>
      </c>
      <c r="D39" s="5" t="s">
        <v>36</v>
      </c>
      <c r="E39" s="5" t="s">
        <v>36</v>
      </c>
      <c r="F39" s="5" t="s">
        <v>36</v>
      </c>
      <c r="G39" s="6" t="s">
        <v>36</v>
      </c>
      <c r="H39" s="4" t="s">
        <v>36</v>
      </c>
      <c r="I39" s="7" t="s">
        <v>36</v>
      </c>
      <c r="J39" s="3" t="s">
        <v>36</v>
      </c>
      <c r="K39" s="9" t="s">
        <v>36</v>
      </c>
      <c r="L39" s="6" t="s">
        <v>36</v>
      </c>
      <c r="M39" s="3" t="s">
        <v>36</v>
      </c>
      <c r="N39" s="3" t="s">
        <v>36</v>
      </c>
      <c r="O39" s="8" t="s">
        <v>36</v>
      </c>
      <c r="P39" s="3" t="s">
        <v>36</v>
      </c>
      <c r="Q39" s="3" t="s">
        <v>36</v>
      </c>
      <c r="R39" s="3" t="s">
        <v>36</v>
      </c>
      <c r="S39" s="3" t="s">
        <v>36</v>
      </c>
      <c r="T39" s="3" t="s">
        <v>295</v>
      </c>
      <c r="U39" s="3" t="s">
        <v>219</v>
      </c>
      <c r="V39" s="3" t="s">
        <v>75</v>
      </c>
      <c r="W39" s="3" t="s">
        <v>296</v>
      </c>
      <c r="X39" s="10" t="s">
        <v>221</v>
      </c>
      <c r="Y39" s="6" t="s">
        <v>42</v>
      </c>
      <c r="Z39" s="4" t="s">
        <v>36</v>
      </c>
      <c r="AA39" s="4" t="s">
        <v>36</v>
      </c>
      <c r="AB39" s="3" t="s">
        <v>43</v>
      </c>
      <c r="AC39" s="3" t="s">
        <v>222</v>
      </c>
      <c r="AD39" s="9">
        <v>45689</v>
      </c>
      <c r="AE39" s="3" t="s">
        <v>223</v>
      </c>
      <c r="AF39" s="3" t="s">
        <v>36</v>
      </c>
      <c r="AG39" s="3" t="s">
        <v>81</v>
      </c>
      <c r="AH39" s="11">
        <f>HYPERLINK("https://my.pitchbook.com?c=284227-12T","View Company Online")</f>
      </c>
    </row>
    <row r="40">
      <c r="A40" s="12" t="s">
        <v>297</v>
      </c>
      <c r="B40" s="12" t="s">
        <v>298</v>
      </c>
      <c r="C40" s="19" t="s">
        <v>36</v>
      </c>
      <c r="D40" s="19" t="s">
        <v>36</v>
      </c>
      <c r="E40" s="19" t="s">
        <v>36</v>
      </c>
      <c r="F40" s="19" t="s">
        <v>36</v>
      </c>
      <c r="G40" s="15" t="s">
        <v>36</v>
      </c>
      <c r="H40" s="14" t="s">
        <v>36</v>
      </c>
      <c r="I40" s="18" t="s">
        <v>36</v>
      </c>
      <c r="J40" s="12" t="s">
        <v>36</v>
      </c>
      <c r="K40" s="13" t="s">
        <v>36</v>
      </c>
      <c r="L40" s="15" t="s">
        <v>36</v>
      </c>
      <c r="M40" s="12" t="s">
        <v>36</v>
      </c>
      <c r="N40" s="12" t="s">
        <v>36</v>
      </c>
      <c r="O40" s="17" t="s">
        <v>36</v>
      </c>
      <c r="P40" s="12" t="s">
        <v>36</v>
      </c>
      <c r="Q40" s="12" t="s">
        <v>36</v>
      </c>
      <c r="R40" s="12" t="s">
        <v>36</v>
      </c>
      <c r="S40" s="12" t="s">
        <v>36</v>
      </c>
      <c r="T40" s="12" t="s">
        <v>123</v>
      </c>
      <c r="U40" s="12" t="s">
        <v>38</v>
      </c>
      <c r="V40" s="12" t="s">
        <v>39</v>
      </c>
      <c r="W40" s="12" t="s">
        <v>299</v>
      </c>
      <c r="X40" s="16" t="s">
        <v>221</v>
      </c>
      <c r="Y40" s="15" t="s">
        <v>42</v>
      </c>
      <c r="Z40" s="14" t="s">
        <v>36</v>
      </c>
      <c r="AA40" s="14" t="s">
        <v>36</v>
      </c>
      <c r="AB40" s="12" t="s">
        <v>43</v>
      </c>
      <c r="AC40" s="12" t="s">
        <v>300</v>
      </c>
      <c r="AD40" s="13">
        <v>45689</v>
      </c>
      <c r="AE40" s="12" t="s">
        <v>110</v>
      </c>
      <c r="AF40" s="12" t="s">
        <v>275</v>
      </c>
      <c r="AG40" s="12" t="s">
        <v>81</v>
      </c>
      <c r="AH40" s="1">
        <f>HYPERLINK("https://my.pitchbook.com?c=284034-52T","View Company Online")</f>
      </c>
    </row>
    <row r="41">
      <c r="A41" s="3" t="s">
        <v>301</v>
      </c>
      <c r="B41" s="3" t="s">
        <v>302</v>
      </c>
      <c r="C41" s="5" t="s">
        <v>36</v>
      </c>
      <c r="D41" s="5" t="s">
        <v>36</v>
      </c>
      <c r="E41" s="5" t="s">
        <v>36</v>
      </c>
      <c r="F41" s="5" t="s">
        <v>36</v>
      </c>
      <c r="G41" s="6" t="s">
        <v>36</v>
      </c>
      <c r="H41" s="4" t="s">
        <v>36</v>
      </c>
      <c r="I41" s="7" t="s">
        <v>36</v>
      </c>
      <c r="J41" s="3" t="s">
        <v>36</v>
      </c>
      <c r="K41" s="9" t="s">
        <v>36</v>
      </c>
      <c r="L41" s="6" t="s">
        <v>36</v>
      </c>
      <c r="M41" s="3" t="s">
        <v>36</v>
      </c>
      <c r="N41" s="3" t="s">
        <v>36</v>
      </c>
      <c r="O41" s="8" t="s">
        <v>36</v>
      </c>
      <c r="P41" s="3" t="s">
        <v>36</v>
      </c>
      <c r="Q41" s="3" t="s">
        <v>36</v>
      </c>
      <c r="R41" s="3" t="s">
        <v>36</v>
      </c>
      <c r="S41" s="3" t="s">
        <v>36</v>
      </c>
      <c r="T41" s="3" t="s">
        <v>303</v>
      </c>
      <c r="U41" s="3" t="s">
        <v>38</v>
      </c>
      <c r="V41" s="3" t="s">
        <v>39</v>
      </c>
      <c r="W41" s="3" t="s">
        <v>304</v>
      </c>
      <c r="X41" s="10" t="s">
        <v>305</v>
      </c>
      <c r="Y41" s="6" t="s">
        <v>42</v>
      </c>
      <c r="Z41" s="4" t="s">
        <v>36</v>
      </c>
      <c r="AA41" s="4" t="s">
        <v>36</v>
      </c>
      <c r="AB41" s="3" t="s">
        <v>43</v>
      </c>
      <c r="AC41" s="3" t="s">
        <v>306</v>
      </c>
      <c r="AD41" s="9">
        <v>45689</v>
      </c>
      <c r="AE41" s="3" t="s">
        <v>45</v>
      </c>
      <c r="AF41" s="3" t="s">
        <v>307</v>
      </c>
      <c r="AG41" s="3" t="s">
        <v>81</v>
      </c>
      <c r="AH41" s="11">
        <f>HYPERLINK("https://my.pitchbook.com?c=284189-95T","View Company Online")</f>
      </c>
    </row>
    <row r="42">
      <c r="A42" s="12" t="s">
        <v>308</v>
      </c>
      <c r="B42" s="12" t="s">
        <v>309</v>
      </c>
      <c r="C42" s="19" t="s">
        <v>36</v>
      </c>
      <c r="D42" s="19" t="s">
        <v>36</v>
      </c>
      <c r="E42" s="19" t="s">
        <v>36</v>
      </c>
      <c r="F42" s="19" t="s">
        <v>36</v>
      </c>
      <c r="G42" s="15" t="s">
        <v>36</v>
      </c>
      <c r="H42" s="14" t="s">
        <v>36</v>
      </c>
      <c r="I42" s="18" t="s">
        <v>36</v>
      </c>
      <c r="J42" s="12" t="s">
        <v>36</v>
      </c>
      <c r="K42" s="13" t="s">
        <v>36</v>
      </c>
      <c r="L42" s="15" t="s">
        <v>122</v>
      </c>
      <c r="M42" s="12" t="s">
        <v>36</v>
      </c>
      <c r="N42" s="12" t="s">
        <v>122</v>
      </c>
      <c r="O42" s="17" t="s">
        <v>36</v>
      </c>
      <c r="P42" s="12" t="s">
        <v>36</v>
      </c>
      <c r="Q42" s="12" t="s">
        <v>36</v>
      </c>
      <c r="R42" s="12" t="s">
        <v>36</v>
      </c>
      <c r="S42" s="12" t="s">
        <v>36</v>
      </c>
      <c r="T42" s="12" t="s">
        <v>310</v>
      </c>
      <c r="U42" s="12" t="s">
        <v>85</v>
      </c>
      <c r="V42" s="12" t="s">
        <v>64</v>
      </c>
      <c r="W42" s="12" t="s">
        <v>311</v>
      </c>
      <c r="X42" s="16" t="s">
        <v>312</v>
      </c>
      <c r="Y42" s="15" t="s">
        <v>108</v>
      </c>
      <c r="Z42" s="14">
        <v>4.14</v>
      </c>
      <c r="AA42" s="14" t="s">
        <v>36</v>
      </c>
      <c r="AB42" s="12" t="s">
        <v>56</v>
      </c>
      <c r="AC42" s="12" t="s">
        <v>313</v>
      </c>
      <c r="AD42" s="13">
        <v>45688</v>
      </c>
      <c r="AE42" s="12" t="s">
        <v>89</v>
      </c>
      <c r="AF42" s="12" t="s">
        <v>36</v>
      </c>
      <c r="AG42" s="12" t="s">
        <v>81</v>
      </c>
      <c r="AH42" s="1">
        <f>HYPERLINK("https://my.pitchbook.com?c=283783-87T","View Company Online")</f>
      </c>
    </row>
    <row r="43">
      <c r="A43" s="3" t="s">
        <v>314</v>
      </c>
      <c r="B43" s="3" t="s">
        <v>315</v>
      </c>
      <c r="C43" s="5">
        <v>16</v>
      </c>
      <c r="D43" s="5">
        <v>5</v>
      </c>
      <c r="E43" s="5">
        <v>14</v>
      </c>
      <c r="F43" s="5">
        <v>21</v>
      </c>
      <c r="G43" s="6" t="s">
        <v>36</v>
      </c>
      <c r="H43" s="4" t="s">
        <v>36</v>
      </c>
      <c r="I43" s="7" t="s">
        <v>36</v>
      </c>
      <c r="J43" s="3" t="s">
        <v>36</v>
      </c>
      <c r="K43" s="9">
        <v>45415</v>
      </c>
      <c r="L43" s="6" t="s">
        <v>94</v>
      </c>
      <c r="M43" s="3" t="s">
        <v>36</v>
      </c>
      <c r="N43" s="3" t="s">
        <v>94</v>
      </c>
      <c r="O43" s="8" t="s">
        <v>36</v>
      </c>
      <c r="P43" s="3" t="s">
        <v>36</v>
      </c>
      <c r="Q43" s="3" t="s">
        <v>36</v>
      </c>
      <c r="R43" s="3" t="s">
        <v>36</v>
      </c>
      <c r="S43" s="3" t="s">
        <v>316</v>
      </c>
      <c r="T43" s="3" t="s">
        <v>317</v>
      </c>
      <c r="U43" s="3" t="s">
        <v>318</v>
      </c>
      <c r="V43" s="3" t="s">
        <v>39</v>
      </c>
      <c r="W43" s="3" t="s">
        <v>319</v>
      </c>
      <c r="X43" s="10" t="s">
        <v>320</v>
      </c>
      <c r="Y43" s="6" t="s">
        <v>321</v>
      </c>
      <c r="Z43" s="4">
        <v>103.48</v>
      </c>
      <c r="AA43" s="4" t="s">
        <v>36</v>
      </c>
      <c r="AB43" s="3" t="s">
        <v>56</v>
      </c>
      <c r="AC43" s="3" t="s">
        <v>322</v>
      </c>
      <c r="AD43" s="9">
        <v>45687</v>
      </c>
      <c r="AE43" s="3" t="s">
        <v>323</v>
      </c>
      <c r="AF43" s="3" t="s">
        <v>36</v>
      </c>
      <c r="AG43" s="3" t="s">
        <v>81</v>
      </c>
      <c r="AH43" s="11">
        <f>HYPERLINK("https://my.pitchbook.com?c=258420-70T","View Company Online")</f>
      </c>
    </row>
    <row r="44">
      <c r="A44" s="12" t="s">
        <v>324</v>
      </c>
      <c r="B44" s="12" t="s">
        <v>325</v>
      </c>
      <c r="C44" s="19" t="s">
        <v>36</v>
      </c>
      <c r="D44" s="19" t="s">
        <v>36</v>
      </c>
      <c r="E44" s="19">
        <v>7</v>
      </c>
      <c r="F44" s="19">
        <v>7</v>
      </c>
      <c r="G44" s="15" t="s">
        <v>326</v>
      </c>
      <c r="H44" s="14" t="s">
        <v>36</v>
      </c>
      <c r="I44" s="18">
        <v>30.94</v>
      </c>
      <c r="J44" s="12" t="s">
        <v>327</v>
      </c>
      <c r="K44" s="13">
        <v>45182</v>
      </c>
      <c r="L44" s="15" t="s">
        <v>94</v>
      </c>
      <c r="M44" s="12" t="s">
        <v>36</v>
      </c>
      <c r="N44" s="12" t="s">
        <v>94</v>
      </c>
      <c r="O44" s="17" t="s">
        <v>36</v>
      </c>
      <c r="P44" s="12" t="s">
        <v>36</v>
      </c>
      <c r="Q44" s="12" t="s">
        <v>36</v>
      </c>
      <c r="R44" s="12" t="s">
        <v>36</v>
      </c>
      <c r="S44" s="12" t="s">
        <v>36</v>
      </c>
      <c r="T44" s="12" t="s">
        <v>37</v>
      </c>
      <c r="U44" s="12" t="s">
        <v>38</v>
      </c>
      <c r="V44" s="12" t="s">
        <v>39</v>
      </c>
      <c r="W44" s="12" t="s">
        <v>328</v>
      </c>
      <c r="X44" s="16" t="s">
        <v>329</v>
      </c>
      <c r="Y44" s="15" t="s">
        <v>192</v>
      </c>
      <c r="Z44" s="14">
        <v>81.75</v>
      </c>
      <c r="AA44" s="14">
        <v>264.23</v>
      </c>
      <c r="AB44" s="12" t="s">
        <v>56</v>
      </c>
      <c r="AC44" s="12" t="s">
        <v>330</v>
      </c>
      <c r="AD44" s="13">
        <v>45687</v>
      </c>
      <c r="AE44" s="12" t="s">
        <v>45</v>
      </c>
      <c r="AF44" s="12" t="s">
        <v>331</v>
      </c>
      <c r="AG44" s="12" t="s">
        <v>332</v>
      </c>
      <c r="AH44" s="1">
        <f>HYPERLINK("https://my.pitchbook.com?c=241128-19T","View Company Online")</f>
      </c>
    </row>
    <row r="45">
      <c r="A45" s="3" t="s">
        <v>333</v>
      </c>
      <c r="B45" s="3" t="s">
        <v>334</v>
      </c>
      <c r="C45" s="5" t="s">
        <v>36</v>
      </c>
      <c r="D45" s="5" t="s">
        <v>36</v>
      </c>
      <c r="E45" s="5" t="s">
        <v>36</v>
      </c>
      <c r="F45" s="5" t="s">
        <v>36</v>
      </c>
      <c r="G45" s="6" t="s">
        <v>36</v>
      </c>
      <c r="H45" s="4" t="s">
        <v>36</v>
      </c>
      <c r="I45" s="7" t="s">
        <v>36</v>
      </c>
      <c r="J45" s="3" t="s">
        <v>36</v>
      </c>
      <c r="K45" s="9" t="s">
        <v>36</v>
      </c>
      <c r="L45" s="6" t="s">
        <v>36</v>
      </c>
      <c r="M45" s="3" t="s">
        <v>36</v>
      </c>
      <c r="N45" s="3" t="s">
        <v>36</v>
      </c>
      <c r="O45" s="8" t="s">
        <v>36</v>
      </c>
      <c r="P45" s="3" t="s">
        <v>36</v>
      </c>
      <c r="Q45" s="3" t="s">
        <v>36</v>
      </c>
      <c r="R45" s="3" t="s">
        <v>36</v>
      </c>
      <c r="S45" s="3" t="s">
        <v>36</v>
      </c>
      <c r="T45" s="3" t="s">
        <v>335</v>
      </c>
      <c r="U45" s="3" t="s">
        <v>38</v>
      </c>
      <c r="V45" s="3" t="s">
        <v>39</v>
      </c>
      <c r="W45" s="3" t="s">
        <v>336</v>
      </c>
      <c r="X45" s="10" t="s">
        <v>337</v>
      </c>
      <c r="Y45" s="6" t="s">
        <v>108</v>
      </c>
      <c r="Z45" s="4">
        <v>11.38</v>
      </c>
      <c r="AA45" s="4" t="s">
        <v>36</v>
      </c>
      <c r="AB45" s="3" t="s">
        <v>56</v>
      </c>
      <c r="AC45" s="3" t="s">
        <v>338</v>
      </c>
      <c r="AD45" s="9">
        <v>45687</v>
      </c>
      <c r="AE45" s="3" t="s">
        <v>339</v>
      </c>
      <c r="AF45" s="3" t="s">
        <v>256</v>
      </c>
      <c r="AG45" s="3" t="s">
        <v>81</v>
      </c>
      <c r="AH45" s="11">
        <f>HYPERLINK("https://my.pitchbook.com?c=283673-44T","View Company Online")</f>
      </c>
    </row>
    <row r="46">
      <c r="A46" s="12" t="s">
        <v>340</v>
      </c>
      <c r="B46" s="12" t="s">
        <v>341</v>
      </c>
      <c r="C46" s="19" t="s">
        <v>36</v>
      </c>
      <c r="D46" s="19" t="s">
        <v>36</v>
      </c>
      <c r="E46" s="19" t="s">
        <v>36</v>
      </c>
      <c r="F46" s="19" t="s">
        <v>36</v>
      </c>
      <c r="G46" s="15" t="s">
        <v>36</v>
      </c>
      <c r="H46" s="14" t="s">
        <v>36</v>
      </c>
      <c r="I46" s="18" t="s">
        <v>36</v>
      </c>
      <c r="J46" s="12" t="s">
        <v>36</v>
      </c>
      <c r="K46" s="13" t="s">
        <v>36</v>
      </c>
      <c r="L46" s="15" t="s">
        <v>36</v>
      </c>
      <c r="M46" s="12" t="s">
        <v>36</v>
      </c>
      <c r="N46" s="12" t="s">
        <v>36</v>
      </c>
      <c r="O46" s="17" t="s">
        <v>36</v>
      </c>
      <c r="P46" s="12" t="s">
        <v>36</v>
      </c>
      <c r="Q46" s="12" t="s">
        <v>36</v>
      </c>
      <c r="R46" s="12" t="s">
        <v>36</v>
      </c>
      <c r="S46" s="12" t="s">
        <v>36</v>
      </c>
      <c r="T46" s="12" t="s">
        <v>342</v>
      </c>
      <c r="U46" s="12" t="s">
        <v>38</v>
      </c>
      <c r="V46" s="12" t="s">
        <v>39</v>
      </c>
      <c r="W46" s="12" t="s">
        <v>343</v>
      </c>
      <c r="X46" s="16" t="s">
        <v>344</v>
      </c>
      <c r="Y46" s="15" t="s">
        <v>108</v>
      </c>
      <c r="Z46" s="14">
        <v>2.07</v>
      </c>
      <c r="AA46" s="14" t="s">
        <v>36</v>
      </c>
      <c r="AB46" s="12" t="s">
        <v>56</v>
      </c>
      <c r="AC46" s="12" t="s">
        <v>345</v>
      </c>
      <c r="AD46" s="13">
        <v>45686</v>
      </c>
      <c r="AE46" s="12" t="s">
        <v>110</v>
      </c>
      <c r="AF46" s="12" t="s">
        <v>346</v>
      </c>
      <c r="AG46" s="12" t="s">
        <v>347</v>
      </c>
      <c r="AH46" s="1">
        <f>HYPERLINK("https://my.pitchbook.com?c=283523-23T","View Company Online")</f>
      </c>
    </row>
    <row r="47">
      <c r="A47" s="3" t="s">
        <v>348</v>
      </c>
      <c r="B47" s="3" t="s">
        <v>349</v>
      </c>
      <c r="C47" s="5" t="s">
        <v>36</v>
      </c>
      <c r="D47" s="5" t="s">
        <v>36</v>
      </c>
      <c r="E47" s="5" t="s">
        <v>36</v>
      </c>
      <c r="F47" s="5" t="s">
        <v>36</v>
      </c>
      <c r="G47" s="6" t="s">
        <v>36</v>
      </c>
      <c r="H47" s="4" t="s">
        <v>36</v>
      </c>
      <c r="I47" s="7" t="s">
        <v>36</v>
      </c>
      <c r="J47" s="3" t="s">
        <v>36</v>
      </c>
      <c r="K47" s="9" t="s">
        <v>36</v>
      </c>
      <c r="L47" s="6" t="s">
        <v>36</v>
      </c>
      <c r="M47" s="3" t="s">
        <v>36</v>
      </c>
      <c r="N47" s="3" t="s">
        <v>36</v>
      </c>
      <c r="O47" s="8" t="s">
        <v>36</v>
      </c>
      <c r="P47" s="3" t="s">
        <v>36</v>
      </c>
      <c r="Q47" s="3" t="s">
        <v>36</v>
      </c>
      <c r="R47" s="3" t="s">
        <v>36</v>
      </c>
      <c r="S47" s="3" t="s">
        <v>36</v>
      </c>
      <c r="T47" s="3" t="s">
        <v>350</v>
      </c>
      <c r="U47" s="3" t="s">
        <v>38</v>
      </c>
      <c r="V47" s="3" t="s">
        <v>39</v>
      </c>
      <c r="W47" s="3" t="s">
        <v>351</v>
      </c>
      <c r="X47" s="10" t="s">
        <v>352</v>
      </c>
      <c r="Y47" s="6" t="s">
        <v>166</v>
      </c>
      <c r="Z47" s="4">
        <v>5.9</v>
      </c>
      <c r="AA47" s="4" t="s">
        <v>36</v>
      </c>
      <c r="AB47" s="3" t="s">
        <v>43</v>
      </c>
      <c r="AC47" s="3" t="s">
        <v>353</v>
      </c>
      <c r="AD47" s="9">
        <v>45686</v>
      </c>
      <c r="AE47" s="3" t="s">
        <v>110</v>
      </c>
      <c r="AF47" s="3" t="s">
        <v>354</v>
      </c>
      <c r="AG47" s="3" t="s">
        <v>355</v>
      </c>
      <c r="AH47" s="11">
        <f>HYPERLINK("https://my.pitchbook.com?c=283391-65T","View Company Online")</f>
      </c>
    </row>
    <row r="48">
      <c r="A48" s="12" t="s">
        <v>356</v>
      </c>
      <c r="B48" s="12" t="s">
        <v>357</v>
      </c>
      <c r="C48" s="19" t="s">
        <v>36</v>
      </c>
      <c r="D48" s="19" t="s">
        <v>36</v>
      </c>
      <c r="E48" s="19" t="s">
        <v>36</v>
      </c>
      <c r="F48" s="19" t="s">
        <v>36</v>
      </c>
      <c r="G48" s="15" t="s">
        <v>36</v>
      </c>
      <c r="H48" s="14" t="s">
        <v>36</v>
      </c>
      <c r="I48" s="18" t="s">
        <v>36</v>
      </c>
      <c r="J48" s="12" t="s">
        <v>36</v>
      </c>
      <c r="K48" s="13" t="s">
        <v>36</v>
      </c>
      <c r="L48" s="15" t="s">
        <v>122</v>
      </c>
      <c r="M48" s="12" t="s">
        <v>36</v>
      </c>
      <c r="N48" s="12" t="s">
        <v>122</v>
      </c>
      <c r="O48" s="17" t="s">
        <v>36</v>
      </c>
      <c r="P48" s="12" t="s">
        <v>36</v>
      </c>
      <c r="Q48" s="12" t="s">
        <v>36</v>
      </c>
      <c r="R48" s="12" t="s">
        <v>36</v>
      </c>
      <c r="S48" s="12" t="s">
        <v>36</v>
      </c>
      <c r="T48" s="12" t="s">
        <v>358</v>
      </c>
      <c r="U48" s="12" t="s">
        <v>74</v>
      </c>
      <c r="V48" s="12" t="s">
        <v>75</v>
      </c>
      <c r="W48" s="12" t="s">
        <v>359</v>
      </c>
      <c r="X48" s="16" t="s">
        <v>360</v>
      </c>
      <c r="Y48" s="15" t="s">
        <v>55</v>
      </c>
      <c r="Z48" s="14">
        <v>20.7</v>
      </c>
      <c r="AA48" s="14" t="s">
        <v>36</v>
      </c>
      <c r="AB48" s="12" t="s">
        <v>43</v>
      </c>
      <c r="AC48" s="12" t="s">
        <v>361</v>
      </c>
      <c r="AD48" s="13">
        <v>45686</v>
      </c>
      <c r="AE48" s="12" t="s">
        <v>362</v>
      </c>
      <c r="AF48" s="12" t="s">
        <v>250</v>
      </c>
      <c r="AG48" s="12" t="s">
        <v>81</v>
      </c>
      <c r="AH48" s="1">
        <f>HYPERLINK("https://my.pitchbook.com?c=283393-27T","View Company Online")</f>
      </c>
    </row>
    <row r="49">
      <c r="A49" s="3" t="s">
        <v>363</v>
      </c>
      <c r="B49" s="3" t="s">
        <v>364</v>
      </c>
      <c r="C49" s="5" t="s">
        <v>36</v>
      </c>
      <c r="D49" s="5" t="s">
        <v>36</v>
      </c>
      <c r="E49" s="5" t="s">
        <v>36</v>
      </c>
      <c r="F49" s="5" t="s">
        <v>36</v>
      </c>
      <c r="G49" s="6" t="s">
        <v>36</v>
      </c>
      <c r="H49" s="4" t="s">
        <v>36</v>
      </c>
      <c r="I49" s="7" t="s">
        <v>36</v>
      </c>
      <c r="J49" s="3" t="s">
        <v>36</v>
      </c>
      <c r="K49" s="9" t="s">
        <v>36</v>
      </c>
      <c r="L49" s="6" t="s">
        <v>36</v>
      </c>
      <c r="M49" s="3" t="s">
        <v>36</v>
      </c>
      <c r="N49" s="3" t="s">
        <v>36</v>
      </c>
      <c r="O49" s="8" t="s">
        <v>36</v>
      </c>
      <c r="P49" s="3" t="s">
        <v>36</v>
      </c>
      <c r="Q49" s="3" t="s">
        <v>36</v>
      </c>
      <c r="R49" s="3" t="s">
        <v>36</v>
      </c>
      <c r="S49" s="3" t="s">
        <v>36</v>
      </c>
      <c r="T49" s="3" t="s">
        <v>365</v>
      </c>
      <c r="U49" s="3" t="s">
        <v>366</v>
      </c>
      <c r="V49" s="3" t="s">
        <v>367</v>
      </c>
      <c r="W49" s="3" t="s">
        <v>368</v>
      </c>
      <c r="X49" s="10" t="s">
        <v>369</v>
      </c>
      <c r="Y49" s="6" t="s">
        <v>42</v>
      </c>
      <c r="Z49" s="4" t="s">
        <v>36</v>
      </c>
      <c r="AA49" s="4" t="s">
        <v>36</v>
      </c>
      <c r="AB49" s="3" t="s">
        <v>43</v>
      </c>
      <c r="AC49" s="3" t="s">
        <v>370</v>
      </c>
      <c r="AD49" s="9">
        <v>45686</v>
      </c>
      <c r="AE49" s="3" t="s">
        <v>371</v>
      </c>
      <c r="AF49" s="3" t="s">
        <v>372</v>
      </c>
      <c r="AG49" s="3" t="s">
        <v>373</v>
      </c>
      <c r="AH49" s="11">
        <f>HYPERLINK("https://my.pitchbook.com?c=283467-79T","View Company Online")</f>
      </c>
    </row>
    <row r="50">
      <c r="A50" s="12" t="s">
        <v>374</v>
      </c>
      <c r="B50" s="12" t="s">
        <v>375</v>
      </c>
      <c r="C50" s="19">
        <v>3</v>
      </c>
      <c r="D50" s="19">
        <v>7</v>
      </c>
      <c r="E50" s="19">
        <v>3</v>
      </c>
      <c r="F50" s="19">
        <v>10</v>
      </c>
      <c r="G50" s="15" t="s">
        <v>36</v>
      </c>
      <c r="H50" s="14" t="s">
        <v>36</v>
      </c>
      <c r="I50" s="18" t="s">
        <v>36</v>
      </c>
      <c r="J50" s="12" t="s">
        <v>36</v>
      </c>
      <c r="K50" s="13" t="s">
        <v>36</v>
      </c>
      <c r="L50" s="15" t="s">
        <v>122</v>
      </c>
      <c r="M50" s="12" t="s">
        <v>36</v>
      </c>
      <c r="N50" s="12" t="s">
        <v>122</v>
      </c>
      <c r="O50" s="17" t="s">
        <v>36</v>
      </c>
      <c r="P50" s="12" t="s">
        <v>36</v>
      </c>
      <c r="Q50" s="12" t="s">
        <v>36</v>
      </c>
      <c r="R50" s="12" t="s">
        <v>36</v>
      </c>
      <c r="S50" s="12" t="s">
        <v>36</v>
      </c>
      <c r="T50" s="12" t="s">
        <v>376</v>
      </c>
      <c r="U50" s="12" t="s">
        <v>377</v>
      </c>
      <c r="V50" s="12" t="s">
        <v>378</v>
      </c>
      <c r="W50" s="12" t="s">
        <v>379</v>
      </c>
      <c r="X50" s="16" t="s">
        <v>380</v>
      </c>
      <c r="Y50" s="15" t="s">
        <v>108</v>
      </c>
      <c r="Z50" s="14">
        <v>18.63</v>
      </c>
      <c r="AA50" s="14" t="s">
        <v>36</v>
      </c>
      <c r="AB50" s="12" t="s">
        <v>56</v>
      </c>
      <c r="AC50" s="12" t="s">
        <v>381</v>
      </c>
      <c r="AD50" s="13">
        <v>45685</v>
      </c>
      <c r="AE50" s="12" t="s">
        <v>377</v>
      </c>
      <c r="AF50" s="12" t="s">
        <v>372</v>
      </c>
      <c r="AG50" s="12" t="s">
        <v>382</v>
      </c>
      <c r="AH50" s="1">
        <f>HYPERLINK("https://my.pitchbook.com?c=283255-57T","View Company Online")</f>
      </c>
    </row>
    <row r="51">
      <c r="A51" s="3" t="s">
        <v>383</v>
      </c>
      <c r="B51" s="3" t="s">
        <v>384</v>
      </c>
      <c r="C51" s="5" t="s">
        <v>36</v>
      </c>
      <c r="D51" s="5" t="s">
        <v>36</v>
      </c>
      <c r="E51" s="5" t="s">
        <v>36</v>
      </c>
      <c r="F51" s="5" t="s">
        <v>36</v>
      </c>
      <c r="G51" s="6" t="s">
        <v>36</v>
      </c>
      <c r="H51" s="4" t="s">
        <v>36</v>
      </c>
      <c r="I51" s="7" t="s">
        <v>36</v>
      </c>
      <c r="J51" s="3" t="s">
        <v>36</v>
      </c>
      <c r="K51" s="9" t="s">
        <v>36</v>
      </c>
      <c r="L51" s="6" t="s">
        <v>36</v>
      </c>
      <c r="M51" s="3" t="s">
        <v>36</v>
      </c>
      <c r="N51" s="3" t="s">
        <v>36</v>
      </c>
      <c r="O51" s="8" t="s">
        <v>36</v>
      </c>
      <c r="P51" s="3" t="s">
        <v>36</v>
      </c>
      <c r="Q51" s="3" t="s">
        <v>36</v>
      </c>
      <c r="R51" s="3" t="s">
        <v>36</v>
      </c>
      <c r="S51" s="3" t="s">
        <v>385</v>
      </c>
      <c r="T51" s="3" t="s">
        <v>386</v>
      </c>
      <c r="U51" s="3" t="s">
        <v>387</v>
      </c>
      <c r="V51" s="3" t="s">
        <v>367</v>
      </c>
      <c r="W51" s="3" t="s">
        <v>388</v>
      </c>
      <c r="X51" s="10" t="s">
        <v>389</v>
      </c>
      <c r="Y51" s="6" t="s">
        <v>42</v>
      </c>
      <c r="Z51" s="4">
        <v>15.52</v>
      </c>
      <c r="AA51" s="4" t="s">
        <v>36</v>
      </c>
      <c r="AB51" s="3" t="s">
        <v>43</v>
      </c>
      <c r="AC51" s="3" t="s">
        <v>390</v>
      </c>
      <c r="AD51" s="9">
        <v>45684</v>
      </c>
      <c r="AE51" s="3" t="s">
        <v>391</v>
      </c>
      <c r="AF51" s="3" t="s">
        <v>372</v>
      </c>
      <c r="AG51" s="3" t="s">
        <v>392</v>
      </c>
      <c r="AH51" s="11">
        <f>HYPERLINK("https://my.pitchbook.com?c=283138-39T","View Company Online")</f>
      </c>
    </row>
    <row r="52">
      <c r="A52" s="12" t="s">
        <v>393</v>
      </c>
      <c r="B52" s="12" t="s">
        <v>394</v>
      </c>
      <c r="C52" s="19" t="s">
        <v>36</v>
      </c>
      <c r="D52" s="19" t="s">
        <v>36</v>
      </c>
      <c r="E52" s="19" t="s">
        <v>36</v>
      </c>
      <c r="F52" s="19" t="s">
        <v>36</v>
      </c>
      <c r="G52" s="15" t="s">
        <v>36</v>
      </c>
      <c r="H52" s="14" t="s">
        <v>36</v>
      </c>
      <c r="I52" s="18" t="s">
        <v>36</v>
      </c>
      <c r="J52" s="12" t="s">
        <v>36</v>
      </c>
      <c r="K52" s="13" t="s">
        <v>36</v>
      </c>
      <c r="L52" s="15" t="s">
        <v>36</v>
      </c>
      <c r="M52" s="12" t="s">
        <v>36</v>
      </c>
      <c r="N52" s="12" t="s">
        <v>36</v>
      </c>
      <c r="O52" s="17" t="s">
        <v>36</v>
      </c>
      <c r="P52" s="12" t="s">
        <v>36</v>
      </c>
      <c r="Q52" s="12" t="s">
        <v>36</v>
      </c>
      <c r="R52" s="12" t="s">
        <v>36</v>
      </c>
      <c r="S52" s="12" t="s">
        <v>36</v>
      </c>
      <c r="T52" s="12" t="s">
        <v>395</v>
      </c>
      <c r="U52" s="12" t="s">
        <v>63</v>
      </c>
      <c r="V52" s="12" t="s">
        <v>64</v>
      </c>
      <c r="W52" s="12" t="s">
        <v>396</v>
      </c>
      <c r="X52" s="16" t="s">
        <v>397</v>
      </c>
      <c r="Y52" s="15" t="s">
        <v>42</v>
      </c>
      <c r="Z52" s="14">
        <v>1.86</v>
      </c>
      <c r="AA52" s="14" t="s">
        <v>36</v>
      </c>
      <c r="AB52" s="12" t="s">
        <v>56</v>
      </c>
      <c r="AC52" s="12" t="s">
        <v>398</v>
      </c>
      <c r="AD52" s="13">
        <v>45679</v>
      </c>
      <c r="AE52" s="12" t="s">
        <v>399</v>
      </c>
      <c r="AF52" s="12" t="s">
        <v>90</v>
      </c>
      <c r="AG52" s="12" t="s">
        <v>400</v>
      </c>
      <c r="AH52" s="1">
        <f>HYPERLINK("https://my.pitchbook.com?c=282839-50T","View Company Online")</f>
      </c>
    </row>
    <row r="53">
      <c r="A53" s="3" t="s">
        <v>401</v>
      </c>
      <c r="B53" s="3" t="s">
        <v>402</v>
      </c>
      <c r="C53" s="5" t="s">
        <v>36</v>
      </c>
      <c r="D53" s="5" t="s">
        <v>36</v>
      </c>
      <c r="E53" s="5" t="s">
        <v>36</v>
      </c>
      <c r="F53" s="5" t="s">
        <v>36</v>
      </c>
      <c r="G53" s="6" t="s">
        <v>36</v>
      </c>
      <c r="H53" s="4" t="s">
        <v>36</v>
      </c>
      <c r="I53" s="7" t="s">
        <v>36</v>
      </c>
      <c r="J53" s="3" t="s">
        <v>36</v>
      </c>
      <c r="K53" s="9" t="s">
        <v>36</v>
      </c>
      <c r="L53" s="6" t="s">
        <v>36</v>
      </c>
      <c r="M53" s="3" t="s">
        <v>36</v>
      </c>
      <c r="N53" s="3" t="s">
        <v>36</v>
      </c>
      <c r="O53" s="8" t="s">
        <v>36</v>
      </c>
      <c r="P53" s="3" t="s">
        <v>36</v>
      </c>
      <c r="Q53" s="3" t="s">
        <v>36</v>
      </c>
      <c r="R53" s="3" t="s">
        <v>36</v>
      </c>
      <c r="S53" s="3" t="s">
        <v>36</v>
      </c>
      <c r="T53" s="3" t="s">
        <v>403</v>
      </c>
      <c r="U53" s="3" t="s">
        <v>404</v>
      </c>
      <c r="V53" s="3" t="s">
        <v>405</v>
      </c>
      <c r="W53" s="3" t="s">
        <v>406</v>
      </c>
      <c r="X53" s="10" t="s">
        <v>407</v>
      </c>
      <c r="Y53" s="6" t="s">
        <v>42</v>
      </c>
      <c r="Z53" s="4">
        <v>28.64</v>
      </c>
      <c r="AA53" s="4" t="s">
        <v>36</v>
      </c>
      <c r="AB53" s="3" t="s">
        <v>43</v>
      </c>
      <c r="AC53" s="3" t="s">
        <v>408</v>
      </c>
      <c r="AD53" s="9">
        <v>45678</v>
      </c>
      <c r="AE53" s="3" t="s">
        <v>409</v>
      </c>
      <c r="AF53" s="3" t="s">
        <v>372</v>
      </c>
      <c r="AG53" s="3" t="s">
        <v>410</v>
      </c>
      <c r="AH53" s="11">
        <f>HYPERLINK("https://my.pitchbook.com?c=282721-51T","View Company Online")</f>
      </c>
    </row>
    <row r="54">
      <c r="A54" s="12" t="s">
        <v>411</v>
      </c>
      <c r="B54" s="12" t="s">
        <v>412</v>
      </c>
      <c r="C54" s="19">
        <v>1</v>
      </c>
      <c r="D54" s="19">
        <v>2</v>
      </c>
      <c r="E54" s="19">
        <v>2</v>
      </c>
      <c r="F54" s="19">
        <v>3</v>
      </c>
      <c r="G54" s="15" t="s">
        <v>326</v>
      </c>
      <c r="H54" s="14" t="s">
        <v>36</v>
      </c>
      <c r="I54" s="18">
        <v>46.33</v>
      </c>
      <c r="J54" s="12" t="s">
        <v>327</v>
      </c>
      <c r="K54" s="13" t="s">
        <v>36</v>
      </c>
      <c r="L54" s="15" t="s">
        <v>122</v>
      </c>
      <c r="M54" s="12" t="s">
        <v>36</v>
      </c>
      <c r="N54" s="12" t="s">
        <v>122</v>
      </c>
      <c r="O54" s="17" t="s">
        <v>36</v>
      </c>
      <c r="P54" s="12" t="s">
        <v>36</v>
      </c>
      <c r="Q54" s="12" t="s">
        <v>36</v>
      </c>
      <c r="R54" s="12" t="s">
        <v>36</v>
      </c>
      <c r="S54" s="12" t="s">
        <v>36</v>
      </c>
      <c r="T54" s="12" t="s">
        <v>413</v>
      </c>
      <c r="U54" s="12" t="s">
        <v>318</v>
      </c>
      <c r="V54" s="12" t="s">
        <v>39</v>
      </c>
      <c r="W54" s="12" t="s">
        <v>414</v>
      </c>
      <c r="X54" s="16" t="s">
        <v>415</v>
      </c>
      <c r="Y54" s="15" t="s">
        <v>108</v>
      </c>
      <c r="Z54" s="14">
        <v>10.34</v>
      </c>
      <c r="AA54" s="14">
        <v>22.32</v>
      </c>
      <c r="AB54" s="12" t="s">
        <v>56</v>
      </c>
      <c r="AC54" s="12" t="s">
        <v>416</v>
      </c>
      <c r="AD54" s="13">
        <v>45678</v>
      </c>
      <c r="AE54" s="12" t="s">
        <v>417</v>
      </c>
      <c r="AF54" s="12" t="s">
        <v>418</v>
      </c>
      <c r="AG54" s="12" t="s">
        <v>419</v>
      </c>
      <c r="AH54" s="1">
        <f>HYPERLINK("https://my.pitchbook.com?c=282703-69T","View Company Online")</f>
      </c>
    </row>
    <row r="55">
      <c r="A55" s="3" t="s">
        <v>420</v>
      </c>
      <c r="B55" s="3" t="s">
        <v>421</v>
      </c>
      <c r="C55" s="5" t="s">
        <v>36</v>
      </c>
      <c r="D55" s="5" t="s">
        <v>36</v>
      </c>
      <c r="E55" s="5" t="s">
        <v>36</v>
      </c>
      <c r="F55" s="5" t="s">
        <v>36</v>
      </c>
      <c r="G55" s="6" t="s">
        <v>36</v>
      </c>
      <c r="H55" s="4" t="s">
        <v>36</v>
      </c>
      <c r="I55" s="7" t="s">
        <v>36</v>
      </c>
      <c r="J55" s="3" t="s">
        <v>36</v>
      </c>
      <c r="K55" s="9" t="s">
        <v>36</v>
      </c>
      <c r="L55" s="6" t="s">
        <v>36</v>
      </c>
      <c r="M55" s="3" t="s">
        <v>36</v>
      </c>
      <c r="N55" s="3" t="s">
        <v>36</v>
      </c>
      <c r="O55" s="8" t="s">
        <v>36</v>
      </c>
      <c r="P55" s="3" t="s">
        <v>36</v>
      </c>
      <c r="Q55" s="3" t="s">
        <v>36</v>
      </c>
      <c r="R55" s="3" t="s">
        <v>36</v>
      </c>
      <c r="S55" s="3" t="s">
        <v>36</v>
      </c>
      <c r="T55" s="3" t="s">
        <v>422</v>
      </c>
      <c r="U55" s="3" t="s">
        <v>423</v>
      </c>
      <c r="V55" s="3" t="s">
        <v>64</v>
      </c>
      <c r="W55" s="3" t="s">
        <v>424</v>
      </c>
      <c r="X55" s="10" t="s">
        <v>425</v>
      </c>
      <c r="Y55" s="6" t="s">
        <v>42</v>
      </c>
      <c r="Z55" s="4">
        <v>0.08</v>
      </c>
      <c r="AA55" s="4" t="s">
        <v>36</v>
      </c>
      <c r="AB55" s="3" t="s">
        <v>43</v>
      </c>
      <c r="AC55" s="3" t="s">
        <v>426</v>
      </c>
      <c r="AD55" s="9">
        <v>45678</v>
      </c>
      <c r="AE55" s="3" t="s">
        <v>427</v>
      </c>
      <c r="AF55" s="3" t="s">
        <v>36</v>
      </c>
      <c r="AG55" s="3" t="s">
        <v>428</v>
      </c>
      <c r="AH55" s="11">
        <f>HYPERLINK("https://my.pitchbook.com?c=285201-64T","View Company Online")</f>
      </c>
    </row>
    <row r="56">
      <c r="A56" s="12" t="s">
        <v>429</v>
      </c>
      <c r="B56" s="12" t="s">
        <v>430</v>
      </c>
      <c r="C56" s="19" t="s">
        <v>36</v>
      </c>
      <c r="D56" s="19">
        <v>2</v>
      </c>
      <c r="E56" s="19">
        <v>1</v>
      </c>
      <c r="F56" s="19">
        <v>2</v>
      </c>
      <c r="G56" s="15" t="s">
        <v>36</v>
      </c>
      <c r="H56" s="14" t="s">
        <v>36</v>
      </c>
      <c r="I56" s="18" t="s">
        <v>36</v>
      </c>
      <c r="J56" s="12" t="s">
        <v>36</v>
      </c>
      <c r="K56" s="13" t="s">
        <v>36</v>
      </c>
      <c r="L56" s="15" t="s">
        <v>36</v>
      </c>
      <c r="M56" s="12" t="s">
        <v>36</v>
      </c>
      <c r="N56" s="12" t="s">
        <v>36</v>
      </c>
      <c r="O56" s="17" t="s">
        <v>36</v>
      </c>
      <c r="P56" s="12" t="s">
        <v>36</v>
      </c>
      <c r="Q56" s="12" t="s">
        <v>36</v>
      </c>
      <c r="R56" s="12" t="s">
        <v>36</v>
      </c>
      <c r="S56" s="12" t="s">
        <v>36</v>
      </c>
      <c r="T56" s="12" t="s">
        <v>105</v>
      </c>
      <c r="U56" s="12" t="s">
        <v>38</v>
      </c>
      <c r="V56" s="12" t="s">
        <v>39</v>
      </c>
      <c r="W56" s="12" t="s">
        <v>431</v>
      </c>
      <c r="X56" s="16" t="s">
        <v>432</v>
      </c>
      <c r="Y56" s="15" t="s">
        <v>55</v>
      </c>
      <c r="Z56" s="14" t="s">
        <v>36</v>
      </c>
      <c r="AA56" s="14" t="s">
        <v>36</v>
      </c>
      <c r="AB56" s="12" t="s">
        <v>56</v>
      </c>
      <c r="AC56" s="12" t="s">
        <v>433</v>
      </c>
      <c r="AD56" s="13">
        <v>45678</v>
      </c>
      <c r="AE56" s="12" t="s">
        <v>110</v>
      </c>
      <c r="AF56" s="12" t="s">
        <v>111</v>
      </c>
      <c r="AG56" s="12" t="s">
        <v>434</v>
      </c>
      <c r="AH56" s="1">
        <f>HYPERLINK("https://my.pitchbook.com?c=282816-55T","View Company Online")</f>
      </c>
    </row>
    <row r="57">
      <c r="A57" s="3" t="s">
        <v>435</v>
      </c>
      <c r="B57" s="3" t="s">
        <v>436</v>
      </c>
      <c r="C57" s="5" t="s">
        <v>36</v>
      </c>
      <c r="D57" s="5" t="s">
        <v>36</v>
      </c>
      <c r="E57" s="5" t="s">
        <v>36</v>
      </c>
      <c r="F57" s="5" t="s">
        <v>36</v>
      </c>
      <c r="G57" s="6" t="s">
        <v>36</v>
      </c>
      <c r="H57" s="4" t="s">
        <v>36</v>
      </c>
      <c r="I57" s="7" t="s">
        <v>36</v>
      </c>
      <c r="J57" s="3" t="s">
        <v>36</v>
      </c>
      <c r="K57" s="9" t="s">
        <v>36</v>
      </c>
      <c r="L57" s="6" t="s">
        <v>36</v>
      </c>
      <c r="M57" s="3" t="s">
        <v>36</v>
      </c>
      <c r="N57" s="3" t="s">
        <v>36</v>
      </c>
      <c r="O57" s="8" t="s">
        <v>36</v>
      </c>
      <c r="P57" s="3" t="s">
        <v>36</v>
      </c>
      <c r="Q57" s="3" t="s">
        <v>36</v>
      </c>
      <c r="R57" s="3" t="s">
        <v>36</v>
      </c>
      <c r="S57" s="3" t="s">
        <v>36</v>
      </c>
      <c r="T57" s="3" t="s">
        <v>437</v>
      </c>
      <c r="U57" s="3" t="s">
        <v>438</v>
      </c>
      <c r="V57" s="3" t="s">
        <v>405</v>
      </c>
      <c r="W57" s="3" t="s">
        <v>439</v>
      </c>
      <c r="X57" s="10" t="s">
        <v>440</v>
      </c>
      <c r="Y57" s="6" t="s">
        <v>192</v>
      </c>
      <c r="Z57" s="4">
        <v>9.4</v>
      </c>
      <c r="AA57" s="4" t="s">
        <v>36</v>
      </c>
      <c r="AB57" s="3" t="s">
        <v>56</v>
      </c>
      <c r="AC57" s="3" t="s">
        <v>441</v>
      </c>
      <c r="AD57" s="9">
        <v>45677</v>
      </c>
      <c r="AE57" s="3" t="s">
        <v>442</v>
      </c>
      <c r="AF57" s="3" t="s">
        <v>215</v>
      </c>
      <c r="AG57" s="3" t="s">
        <v>443</v>
      </c>
      <c r="AH57" s="11">
        <f>HYPERLINK("https://my.pitchbook.com?c=282644-11T","View Company Online")</f>
      </c>
    </row>
    <row r="58">
      <c r="A58" s="12" t="s">
        <v>444</v>
      </c>
      <c r="B58" s="12" t="s">
        <v>445</v>
      </c>
      <c r="C58" s="19" t="s">
        <v>36</v>
      </c>
      <c r="D58" s="19" t="s">
        <v>36</v>
      </c>
      <c r="E58" s="19" t="s">
        <v>36</v>
      </c>
      <c r="F58" s="19" t="s">
        <v>36</v>
      </c>
      <c r="G58" s="15" t="s">
        <v>36</v>
      </c>
      <c r="H58" s="14" t="s">
        <v>36</v>
      </c>
      <c r="I58" s="18" t="s">
        <v>36</v>
      </c>
      <c r="J58" s="12" t="s">
        <v>36</v>
      </c>
      <c r="K58" s="13" t="s">
        <v>36</v>
      </c>
      <c r="L58" s="15" t="s">
        <v>122</v>
      </c>
      <c r="M58" s="12" t="s">
        <v>36</v>
      </c>
      <c r="N58" s="12" t="s">
        <v>122</v>
      </c>
      <c r="O58" s="17" t="s">
        <v>36</v>
      </c>
      <c r="P58" s="12" t="s">
        <v>36</v>
      </c>
      <c r="Q58" s="12" t="s">
        <v>36</v>
      </c>
      <c r="R58" s="12" t="s">
        <v>36</v>
      </c>
      <c r="S58" s="12" t="s">
        <v>36</v>
      </c>
      <c r="T58" s="12" t="s">
        <v>446</v>
      </c>
      <c r="U58" s="12" t="s">
        <v>38</v>
      </c>
      <c r="V58" s="12" t="s">
        <v>39</v>
      </c>
      <c r="W58" s="12" t="s">
        <v>447</v>
      </c>
      <c r="X58" s="16" t="s">
        <v>448</v>
      </c>
      <c r="Y58" s="15" t="s">
        <v>108</v>
      </c>
      <c r="Z58" s="14">
        <v>10</v>
      </c>
      <c r="AA58" s="14" t="s">
        <v>36</v>
      </c>
      <c r="AB58" s="12" t="s">
        <v>43</v>
      </c>
      <c r="AC58" s="12" t="s">
        <v>449</v>
      </c>
      <c r="AD58" s="13">
        <v>45673</v>
      </c>
      <c r="AE58" s="12" t="s">
        <v>45</v>
      </c>
      <c r="AF58" s="12" t="s">
        <v>450</v>
      </c>
      <c r="AG58" s="12" t="s">
        <v>81</v>
      </c>
      <c r="AH58" s="1">
        <f>HYPERLINK("https://my.pitchbook.com?c=278762-41T","View Company Online")</f>
      </c>
    </row>
    <row r="59">
      <c r="A59" s="3" t="s">
        <v>451</v>
      </c>
      <c r="B59" s="3" t="s">
        <v>452</v>
      </c>
      <c r="C59" s="5">
        <v>10</v>
      </c>
      <c r="D59" s="5">
        <v>4</v>
      </c>
      <c r="E59" s="5">
        <v>6</v>
      </c>
      <c r="F59" s="5">
        <v>14</v>
      </c>
      <c r="G59" s="6" t="s">
        <v>36</v>
      </c>
      <c r="H59" s="4" t="s">
        <v>36</v>
      </c>
      <c r="I59" s="7" t="s">
        <v>36</v>
      </c>
      <c r="J59" s="3" t="s">
        <v>36</v>
      </c>
      <c r="K59" s="9" t="s">
        <v>36</v>
      </c>
      <c r="L59" s="6" t="s">
        <v>36</v>
      </c>
      <c r="M59" s="3" t="s">
        <v>36</v>
      </c>
      <c r="N59" s="3" t="s">
        <v>36</v>
      </c>
      <c r="O59" s="8" t="s">
        <v>36</v>
      </c>
      <c r="P59" s="3" t="s">
        <v>36</v>
      </c>
      <c r="Q59" s="3" t="s">
        <v>36</v>
      </c>
      <c r="R59" s="3" t="s">
        <v>36</v>
      </c>
      <c r="S59" s="3" t="s">
        <v>453</v>
      </c>
      <c r="T59" s="3" t="s">
        <v>454</v>
      </c>
      <c r="U59" s="3" t="s">
        <v>455</v>
      </c>
      <c r="V59" s="3" t="s">
        <v>367</v>
      </c>
      <c r="W59" s="3" t="s">
        <v>456</v>
      </c>
      <c r="X59" s="10" t="s">
        <v>457</v>
      </c>
      <c r="Y59" s="6" t="s">
        <v>192</v>
      </c>
      <c r="Z59" s="4">
        <v>15.54</v>
      </c>
      <c r="AA59" s="4" t="s">
        <v>36</v>
      </c>
      <c r="AB59" s="3" t="s">
        <v>56</v>
      </c>
      <c r="AC59" s="3" t="s">
        <v>458</v>
      </c>
      <c r="AD59" s="9">
        <v>45673</v>
      </c>
      <c r="AE59" s="3" t="s">
        <v>459</v>
      </c>
      <c r="AF59" s="3" t="s">
        <v>460</v>
      </c>
      <c r="AG59" s="3" t="s">
        <v>461</v>
      </c>
      <c r="AH59" s="11">
        <f>HYPERLINK("https://my.pitchbook.com?c=282473-92T","View Company Online")</f>
      </c>
    </row>
    <row r="60">
      <c r="A60" s="12" t="s">
        <v>462</v>
      </c>
      <c r="B60" s="12" t="s">
        <v>463</v>
      </c>
      <c r="C60" s="19" t="s">
        <v>36</v>
      </c>
      <c r="D60" s="19" t="s">
        <v>36</v>
      </c>
      <c r="E60" s="19" t="s">
        <v>36</v>
      </c>
      <c r="F60" s="19" t="s">
        <v>36</v>
      </c>
      <c r="G60" s="15" t="s">
        <v>36</v>
      </c>
      <c r="H60" s="14" t="s">
        <v>36</v>
      </c>
      <c r="I60" s="18" t="s">
        <v>36</v>
      </c>
      <c r="J60" s="12" t="s">
        <v>36</v>
      </c>
      <c r="K60" s="13" t="s">
        <v>36</v>
      </c>
      <c r="L60" s="15" t="s">
        <v>122</v>
      </c>
      <c r="M60" s="12" t="s">
        <v>36</v>
      </c>
      <c r="N60" s="12" t="s">
        <v>122</v>
      </c>
      <c r="O60" s="17" t="s">
        <v>36</v>
      </c>
      <c r="P60" s="12" t="s">
        <v>36</v>
      </c>
      <c r="Q60" s="12" t="s">
        <v>36</v>
      </c>
      <c r="R60" s="12" t="s">
        <v>36</v>
      </c>
      <c r="S60" s="12" t="s">
        <v>36</v>
      </c>
      <c r="T60" s="12" t="s">
        <v>464</v>
      </c>
      <c r="U60" s="12" t="s">
        <v>38</v>
      </c>
      <c r="V60" s="12" t="s">
        <v>39</v>
      </c>
      <c r="W60" s="12" t="s">
        <v>465</v>
      </c>
      <c r="X60" s="16" t="s">
        <v>466</v>
      </c>
      <c r="Y60" s="15" t="s">
        <v>108</v>
      </c>
      <c r="Z60" s="14">
        <v>29.17</v>
      </c>
      <c r="AA60" s="14" t="s">
        <v>36</v>
      </c>
      <c r="AB60" s="12" t="s">
        <v>43</v>
      </c>
      <c r="AC60" s="12" t="s">
        <v>467</v>
      </c>
      <c r="AD60" s="13">
        <v>45672</v>
      </c>
      <c r="AE60" s="12" t="s">
        <v>110</v>
      </c>
      <c r="AF60" s="12" t="s">
        <v>468</v>
      </c>
      <c r="AG60" s="12" t="s">
        <v>81</v>
      </c>
      <c r="AH60" s="1">
        <f>HYPERLINK("https://my.pitchbook.com?c=282186-28T","View Company Online")</f>
      </c>
    </row>
    <row r="61">
      <c r="A61" s="3" t="s">
        <v>469</v>
      </c>
      <c r="B61" s="3" t="s">
        <v>470</v>
      </c>
      <c r="C61" s="5" t="s">
        <v>36</v>
      </c>
      <c r="D61" s="5" t="s">
        <v>36</v>
      </c>
      <c r="E61" s="5" t="s">
        <v>36</v>
      </c>
      <c r="F61" s="5" t="s">
        <v>36</v>
      </c>
      <c r="G61" s="6" t="s">
        <v>36</v>
      </c>
      <c r="H61" s="4" t="s">
        <v>36</v>
      </c>
      <c r="I61" s="7" t="s">
        <v>36</v>
      </c>
      <c r="J61" s="3" t="s">
        <v>36</v>
      </c>
      <c r="K61" s="9">
        <v>45646</v>
      </c>
      <c r="L61" s="6" t="s">
        <v>471</v>
      </c>
      <c r="M61" s="3" t="s">
        <v>36</v>
      </c>
      <c r="N61" s="3" t="s">
        <v>471</v>
      </c>
      <c r="O61" s="8" t="s">
        <v>36</v>
      </c>
      <c r="P61" s="3" t="s">
        <v>36</v>
      </c>
      <c r="Q61" s="3" t="s">
        <v>36</v>
      </c>
      <c r="R61" s="3" t="s">
        <v>36</v>
      </c>
      <c r="S61" s="3" t="s">
        <v>36</v>
      </c>
      <c r="T61" s="3" t="s">
        <v>472</v>
      </c>
      <c r="U61" s="3" t="s">
        <v>38</v>
      </c>
      <c r="V61" s="3" t="s">
        <v>39</v>
      </c>
      <c r="W61" s="3" t="s">
        <v>473</v>
      </c>
      <c r="X61" s="10" t="s">
        <v>474</v>
      </c>
      <c r="Y61" s="6" t="s">
        <v>475</v>
      </c>
      <c r="Z61" s="4">
        <v>31.1</v>
      </c>
      <c r="AA61" s="4" t="s">
        <v>36</v>
      </c>
      <c r="AB61" s="3" t="s">
        <v>56</v>
      </c>
      <c r="AC61" s="3" t="s">
        <v>476</v>
      </c>
      <c r="AD61" s="9">
        <v>45672</v>
      </c>
      <c r="AE61" s="3" t="s">
        <v>110</v>
      </c>
      <c r="AF61" s="3" t="s">
        <v>477</v>
      </c>
      <c r="AG61" s="3" t="s">
        <v>81</v>
      </c>
      <c r="AH61" s="11">
        <f>HYPERLINK("https://my.pitchbook.com?c=282253-69T","View Company Online")</f>
      </c>
    </row>
    <row r="62">
      <c r="A62" s="12" t="s">
        <v>478</v>
      </c>
      <c r="B62" s="12" t="s">
        <v>479</v>
      </c>
      <c r="C62" s="19" t="s">
        <v>36</v>
      </c>
      <c r="D62" s="19" t="s">
        <v>36</v>
      </c>
      <c r="E62" s="19" t="s">
        <v>36</v>
      </c>
      <c r="F62" s="19" t="s">
        <v>36</v>
      </c>
      <c r="G62" s="15" t="s">
        <v>36</v>
      </c>
      <c r="H62" s="14" t="s">
        <v>36</v>
      </c>
      <c r="I62" s="18" t="s">
        <v>36</v>
      </c>
      <c r="J62" s="12" t="s">
        <v>36</v>
      </c>
      <c r="K62" s="13" t="s">
        <v>36</v>
      </c>
      <c r="L62" s="15" t="s">
        <v>122</v>
      </c>
      <c r="M62" s="12" t="s">
        <v>36</v>
      </c>
      <c r="N62" s="12" t="s">
        <v>122</v>
      </c>
      <c r="O62" s="17" t="s">
        <v>36</v>
      </c>
      <c r="P62" s="12" t="s">
        <v>36</v>
      </c>
      <c r="Q62" s="12" t="s">
        <v>36</v>
      </c>
      <c r="R62" s="12" t="s">
        <v>36</v>
      </c>
      <c r="S62" s="12" t="s">
        <v>196</v>
      </c>
      <c r="T62" s="12" t="s">
        <v>154</v>
      </c>
      <c r="U62" s="12" t="s">
        <v>51</v>
      </c>
      <c r="V62" s="12" t="s">
        <v>52</v>
      </c>
      <c r="W62" s="12" t="s">
        <v>480</v>
      </c>
      <c r="X62" s="16" t="s">
        <v>481</v>
      </c>
      <c r="Y62" s="15" t="s">
        <v>108</v>
      </c>
      <c r="Z62" s="14">
        <v>41</v>
      </c>
      <c r="AA62" s="14" t="s">
        <v>36</v>
      </c>
      <c r="AB62" s="12" t="s">
        <v>43</v>
      </c>
      <c r="AC62" s="12" t="s">
        <v>482</v>
      </c>
      <c r="AD62" s="13">
        <v>45671</v>
      </c>
      <c r="AE62" s="12" t="s">
        <v>158</v>
      </c>
      <c r="AF62" s="12" t="s">
        <v>59</v>
      </c>
      <c r="AG62" s="12" t="s">
        <v>81</v>
      </c>
      <c r="AH62" s="1">
        <f>HYPERLINK("https://my.pitchbook.com?c=282075-76T","View Company Online")</f>
      </c>
    </row>
    <row r="63">
      <c r="A63" s="3" t="s">
        <v>483</v>
      </c>
      <c r="B63" s="3" t="s">
        <v>484</v>
      </c>
      <c r="C63" s="5" t="s">
        <v>36</v>
      </c>
      <c r="D63" s="5" t="s">
        <v>36</v>
      </c>
      <c r="E63" s="5" t="s">
        <v>36</v>
      </c>
      <c r="F63" s="5" t="s">
        <v>36</v>
      </c>
      <c r="G63" s="6" t="s">
        <v>36</v>
      </c>
      <c r="H63" s="4" t="s">
        <v>36</v>
      </c>
      <c r="I63" s="7" t="s">
        <v>36</v>
      </c>
      <c r="J63" s="3" t="s">
        <v>36</v>
      </c>
      <c r="K63" s="9" t="s">
        <v>36</v>
      </c>
      <c r="L63" s="6" t="s">
        <v>122</v>
      </c>
      <c r="M63" s="3" t="s">
        <v>36</v>
      </c>
      <c r="N63" s="3" t="s">
        <v>122</v>
      </c>
      <c r="O63" s="8" t="s">
        <v>36</v>
      </c>
      <c r="P63" s="3" t="s">
        <v>36</v>
      </c>
      <c r="Q63" s="3" t="s">
        <v>36</v>
      </c>
      <c r="R63" s="3" t="s">
        <v>36</v>
      </c>
      <c r="S63" s="3" t="s">
        <v>36</v>
      </c>
      <c r="T63" s="3" t="s">
        <v>485</v>
      </c>
      <c r="U63" s="3" t="s">
        <v>38</v>
      </c>
      <c r="V63" s="3" t="s">
        <v>39</v>
      </c>
      <c r="W63" s="3" t="s">
        <v>486</v>
      </c>
      <c r="X63" s="10" t="s">
        <v>487</v>
      </c>
      <c r="Y63" s="6" t="s">
        <v>42</v>
      </c>
      <c r="Z63" s="4">
        <v>5.19</v>
      </c>
      <c r="AA63" s="4" t="s">
        <v>36</v>
      </c>
      <c r="AB63" s="3" t="s">
        <v>56</v>
      </c>
      <c r="AC63" s="3" t="s">
        <v>488</v>
      </c>
      <c r="AD63" s="9">
        <v>45671</v>
      </c>
      <c r="AE63" s="3" t="s">
        <v>110</v>
      </c>
      <c r="AF63" s="3" t="s">
        <v>489</v>
      </c>
      <c r="AG63" s="3" t="s">
        <v>81</v>
      </c>
      <c r="AH63" s="11">
        <f>HYPERLINK("https://my.pitchbook.com?c=282076-48T","View Company Online")</f>
      </c>
    </row>
    <row r="64">
      <c r="A64" s="12" t="s">
        <v>490</v>
      </c>
      <c r="B64" s="12" t="s">
        <v>491</v>
      </c>
      <c r="C64" s="19">
        <v>17</v>
      </c>
      <c r="D64" s="19">
        <v>7</v>
      </c>
      <c r="E64" s="19">
        <v>12</v>
      </c>
      <c r="F64" s="19">
        <v>25</v>
      </c>
      <c r="G64" s="15" t="s">
        <v>36</v>
      </c>
      <c r="H64" s="14" t="s">
        <v>36</v>
      </c>
      <c r="I64" s="18" t="s">
        <v>36</v>
      </c>
      <c r="J64" s="12" t="s">
        <v>36</v>
      </c>
      <c r="K64" s="13" t="s">
        <v>36</v>
      </c>
      <c r="L64" s="15" t="s">
        <v>122</v>
      </c>
      <c r="M64" s="12" t="s">
        <v>36</v>
      </c>
      <c r="N64" s="12" t="s">
        <v>122</v>
      </c>
      <c r="O64" s="17" t="s">
        <v>36</v>
      </c>
      <c r="P64" s="12" t="s">
        <v>36</v>
      </c>
      <c r="Q64" s="12" t="s">
        <v>36</v>
      </c>
      <c r="R64" s="12" t="s">
        <v>36</v>
      </c>
      <c r="S64" s="12" t="s">
        <v>36</v>
      </c>
      <c r="T64" s="12" t="s">
        <v>492</v>
      </c>
      <c r="U64" s="12" t="s">
        <v>96</v>
      </c>
      <c r="V64" s="12" t="s">
        <v>52</v>
      </c>
      <c r="W64" s="12" t="s">
        <v>493</v>
      </c>
      <c r="X64" s="16" t="s">
        <v>494</v>
      </c>
      <c r="Y64" s="15" t="s">
        <v>55</v>
      </c>
      <c r="Z64" s="14">
        <v>28.01</v>
      </c>
      <c r="AA64" s="14" t="s">
        <v>36</v>
      </c>
      <c r="AB64" s="12" t="s">
        <v>56</v>
      </c>
      <c r="AC64" s="12" t="s">
        <v>495</v>
      </c>
      <c r="AD64" s="13">
        <v>45671</v>
      </c>
      <c r="AE64" s="12" t="s">
        <v>496</v>
      </c>
      <c r="AF64" s="12" t="s">
        <v>497</v>
      </c>
      <c r="AG64" s="12" t="s">
        <v>81</v>
      </c>
      <c r="AH64" s="1">
        <f>HYPERLINK("https://my.pitchbook.com?c=282072-70T","View Company Online")</f>
      </c>
    </row>
    <row r="65">
      <c r="A65" s="3" t="s">
        <v>498</v>
      </c>
      <c r="B65" s="3" t="s">
        <v>499</v>
      </c>
      <c r="C65" s="5">
        <v>9</v>
      </c>
      <c r="D65" s="5">
        <v>2</v>
      </c>
      <c r="E65" s="5">
        <v>3</v>
      </c>
      <c r="F65" s="5">
        <v>11</v>
      </c>
      <c r="G65" s="6" t="s">
        <v>36</v>
      </c>
      <c r="H65" s="4" t="s">
        <v>36</v>
      </c>
      <c r="I65" s="7" t="s">
        <v>36</v>
      </c>
      <c r="J65" s="3" t="s">
        <v>36</v>
      </c>
      <c r="K65" s="9" t="s">
        <v>36</v>
      </c>
      <c r="L65" s="6" t="s">
        <v>122</v>
      </c>
      <c r="M65" s="3" t="s">
        <v>36</v>
      </c>
      <c r="N65" s="3" t="s">
        <v>122</v>
      </c>
      <c r="O65" s="8" t="s">
        <v>36</v>
      </c>
      <c r="P65" s="3" t="s">
        <v>36</v>
      </c>
      <c r="Q65" s="3" t="s">
        <v>36</v>
      </c>
      <c r="R65" s="3" t="s">
        <v>36</v>
      </c>
      <c r="S65" s="3" t="s">
        <v>36</v>
      </c>
      <c r="T65" s="3" t="s">
        <v>500</v>
      </c>
      <c r="U65" s="3" t="s">
        <v>51</v>
      </c>
      <c r="V65" s="3" t="s">
        <v>52</v>
      </c>
      <c r="W65" s="3" t="s">
        <v>501</v>
      </c>
      <c r="X65" s="10" t="s">
        <v>502</v>
      </c>
      <c r="Y65" s="6" t="s">
        <v>321</v>
      </c>
      <c r="Z65" s="4">
        <v>33.33</v>
      </c>
      <c r="AA65" s="4" t="s">
        <v>36</v>
      </c>
      <c r="AB65" s="3" t="s">
        <v>56</v>
      </c>
      <c r="AC65" s="3" t="s">
        <v>503</v>
      </c>
      <c r="AD65" s="9">
        <v>45666</v>
      </c>
      <c r="AE65" s="3" t="s">
        <v>504</v>
      </c>
      <c r="AF65" s="3" t="s">
        <v>159</v>
      </c>
      <c r="AG65" s="3" t="s">
        <v>81</v>
      </c>
      <c r="AH65" s="11">
        <f>HYPERLINK("https://my.pitchbook.com?c=281726-11T","View Company Online")</f>
      </c>
    </row>
    <row r="66">
      <c r="A66" s="12" t="s">
        <v>505</v>
      </c>
      <c r="B66" s="12" t="s">
        <v>506</v>
      </c>
      <c r="C66" s="19" t="s">
        <v>36</v>
      </c>
      <c r="D66" s="19" t="s">
        <v>36</v>
      </c>
      <c r="E66" s="19" t="s">
        <v>36</v>
      </c>
      <c r="F66" s="19" t="s">
        <v>36</v>
      </c>
      <c r="G66" s="15" t="s">
        <v>36</v>
      </c>
      <c r="H66" s="14" t="s">
        <v>36</v>
      </c>
      <c r="I66" s="18">
        <v>21.82</v>
      </c>
      <c r="J66" s="12" t="s">
        <v>327</v>
      </c>
      <c r="K66" s="13" t="s">
        <v>36</v>
      </c>
      <c r="L66" s="15" t="s">
        <v>36</v>
      </c>
      <c r="M66" s="12" t="s">
        <v>36</v>
      </c>
      <c r="N66" s="12" t="s">
        <v>36</v>
      </c>
      <c r="O66" s="17" t="s">
        <v>36</v>
      </c>
      <c r="P66" s="12" t="s">
        <v>36</v>
      </c>
      <c r="Q66" s="12" t="s">
        <v>36</v>
      </c>
      <c r="R66" s="12" t="s">
        <v>36</v>
      </c>
      <c r="S66" s="12" t="s">
        <v>36</v>
      </c>
      <c r="T66" s="12" t="s">
        <v>507</v>
      </c>
      <c r="U66" s="12" t="s">
        <v>51</v>
      </c>
      <c r="V66" s="12" t="s">
        <v>52</v>
      </c>
      <c r="W66" s="12" t="s">
        <v>508</v>
      </c>
      <c r="X66" s="16" t="s">
        <v>509</v>
      </c>
      <c r="Y66" s="15" t="s">
        <v>42</v>
      </c>
      <c r="Z66" s="14">
        <v>1.44</v>
      </c>
      <c r="AA66" s="14">
        <v>6.59</v>
      </c>
      <c r="AB66" s="12" t="s">
        <v>43</v>
      </c>
      <c r="AC66" s="12" t="s">
        <v>510</v>
      </c>
      <c r="AD66" s="13">
        <v>45666</v>
      </c>
      <c r="AE66" s="12" t="s">
        <v>504</v>
      </c>
      <c r="AF66" s="12" t="s">
        <v>511</v>
      </c>
      <c r="AG66" s="12" t="s">
        <v>512</v>
      </c>
      <c r="AH66" s="1">
        <f>HYPERLINK("https://my.pitchbook.com?c=281709-01T","View Company Online")</f>
      </c>
    </row>
    <row r="67">
      <c r="A67" s="3" t="s">
        <v>513</v>
      </c>
      <c r="B67" s="3" t="s">
        <v>514</v>
      </c>
      <c r="C67" s="5" t="s">
        <v>36</v>
      </c>
      <c r="D67" s="5" t="s">
        <v>36</v>
      </c>
      <c r="E67" s="5" t="s">
        <v>36</v>
      </c>
      <c r="F67" s="5" t="s">
        <v>36</v>
      </c>
      <c r="G67" s="6" t="s">
        <v>36</v>
      </c>
      <c r="H67" s="4" t="s">
        <v>36</v>
      </c>
      <c r="I67" s="7" t="s">
        <v>36</v>
      </c>
      <c r="J67" s="3" t="s">
        <v>36</v>
      </c>
      <c r="K67" s="9" t="s">
        <v>36</v>
      </c>
      <c r="L67" s="6" t="s">
        <v>36</v>
      </c>
      <c r="M67" s="3" t="s">
        <v>36</v>
      </c>
      <c r="N67" s="3" t="s">
        <v>36</v>
      </c>
      <c r="O67" s="8" t="s">
        <v>36</v>
      </c>
      <c r="P67" s="3" t="s">
        <v>36</v>
      </c>
      <c r="Q67" s="3" t="s">
        <v>36</v>
      </c>
      <c r="R67" s="3" t="s">
        <v>36</v>
      </c>
      <c r="S67" s="3" t="s">
        <v>36</v>
      </c>
      <c r="T67" s="3" t="s">
        <v>123</v>
      </c>
      <c r="U67" s="3" t="s">
        <v>38</v>
      </c>
      <c r="V67" s="3" t="s">
        <v>39</v>
      </c>
      <c r="W67" s="3" t="s">
        <v>515</v>
      </c>
      <c r="X67" s="10" t="s">
        <v>516</v>
      </c>
      <c r="Y67" s="6" t="s">
        <v>42</v>
      </c>
      <c r="Z67" s="4" t="s">
        <v>36</v>
      </c>
      <c r="AA67" s="4" t="s">
        <v>36</v>
      </c>
      <c r="AB67" s="3" t="s">
        <v>56</v>
      </c>
      <c r="AC67" s="3" t="s">
        <v>517</v>
      </c>
      <c r="AD67" s="9">
        <v>45666</v>
      </c>
      <c r="AE67" s="3" t="s">
        <v>110</v>
      </c>
      <c r="AF67" s="3" t="s">
        <v>250</v>
      </c>
      <c r="AG67" s="3" t="s">
        <v>518</v>
      </c>
      <c r="AH67" s="11">
        <f>HYPERLINK("https://my.pitchbook.com?c=283225-78T","View Company Online")</f>
      </c>
    </row>
    <row r="68">
      <c r="A68" s="12" t="s">
        <v>519</v>
      </c>
      <c r="B68" s="12" t="s">
        <v>520</v>
      </c>
      <c r="C68" s="19">
        <v>3</v>
      </c>
      <c r="D68" s="19">
        <v>2</v>
      </c>
      <c r="E68" s="19">
        <v>4</v>
      </c>
      <c r="F68" s="19">
        <v>5</v>
      </c>
      <c r="G68" s="15" t="s">
        <v>36</v>
      </c>
      <c r="H68" s="14">
        <v>16.05</v>
      </c>
      <c r="I68" s="18">
        <v>50.87</v>
      </c>
      <c r="J68" s="12" t="s">
        <v>521</v>
      </c>
      <c r="K68" s="13" t="s">
        <v>36</v>
      </c>
      <c r="L68" s="15" t="s">
        <v>36</v>
      </c>
      <c r="M68" s="12" t="s">
        <v>36</v>
      </c>
      <c r="N68" s="12" t="s">
        <v>36</v>
      </c>
      <c r="O68" s="17" t="s">
        <v>36</v>
      </c>
      <c r="P68" s="12" t="s">
        <v>36</v>
      </c>
      <c r="Q68" s="12" t="s">
        <v>36</v>
      </c>
      <c r="R68" s="12" t="s">
        <v>36</v>
      </c>
      <c r="S68" s="12" t="s">
        <v>196</v>
      </c>
      <c r="T68" s="12" t="s">
        <v>522</v>
      </c>
      <c r="U68" s="12" t="s">
        <v>38</v>
      </c>
      <c r="V68" s="12" t="s">
        <v>39</v>
      </c>
      <c r="W68" s="12" t="s">
        <v>523</v>
      </c>
      <c r="X68" s="16" t="s">
        <v>524</v>
      </c>
      <c r="Y68" s="15" t="s">
        <v>55</v>
      </c>
      <c r="Z68" s="14">
        <v>13.59</v>
      </c>
      <c r="AA68" s="14">
        <v>26.72</v>
      </c>
      <c r="AB68" s="12" t="s">
        <v>56</v>
      </c>
      <c r="AC68" s="12" t="s">
        <v>525</v>
      </c>
      <c r="AD68" s="13">
        <v>45664</v>
      </c>
      <c r="AE68" s="12" t="s">
        <v>110</v>
      </c>
      <c r="AF68" s="12" t="s">
        <v>526</v>
      </c>
      <c r="AG68" s="12" t="s">
        <v>81</v>
      </c>
      <c r="AH68" s="1">
        <f>HYPERLINK("https://my.pitchbook.com?c=284293-27T","View Company Online")</f>
      </c>
    </row>
    <row r="69">
      <c r="A69" s="3" t="s">
        <v>527</v>
      </c>
      <c r="B69" s="3" t="s">
        <v>528</v>
      </c>
      <c r="C69" s="5" t="s">
        <v>36</v>
      </c>
      <c r="D69" s="5" t="s">
        <v>36</v>
      </c>
      <c r="E69" s="5" t="s">
        <v>36</v>
      </c>
      <c r="F69" s="5" t="s">
        <v>36</v>
      </c>
      <c r="G69" s="6" t="s">
        <v>36</v>
      </c>
      <c r="H69" s="4" t="s">
        <v>36</v>
      </c>
      <c r="I69" s="7" t="s">
        <v>36</v>
      </c>
      <c r="J69" s="3" t="s">
        <v>36</v>
      </c>
      <c r="K69" s="9">
        <v>45621</v>
      </c>
      <c r="L69" s="6" t="s">
        <v>94</v>
      </c>
      <c r="M69" s="3" t="s">
        <v>36</v>
      </c>
      <c r="N69" s="3" t="s">
        <v>94</v>
      </c>
      <c r="O69" s="8" t="s">
        <v>36</v>
      </c>
      <c r="P69" s="3" t="s">
        <v>36</v>
      </c>
      <c r="Q69" s="3" t="s">
        <v>36</v>
      </c>
      <c r="R69" s="3" t="s">
        <v>36</v>
      </c>
      <c r="S69" s="3" t="s">
        <v>36</v>
      </c>
      <c r="T69" s="3" t="s">
        <v>529</v>
      </c>
      <c r="U69" s="3" t="s">
        <v>38</v>
      </c>
      <c r="V69" s="3" t="s">
        <v>39</v>
      </c>
      <c r="W69" s="3" t="s">
        <v>530</v>
      </c>
      <c r="X69" s="10" t="s">
        <v>531</v>
      </c>
      <c r="Y69" s="6" t="s">
        <v>55</v>
      </c>
      <c r="Z69" s="4">
        <v>10</v>
      </c>
      <c r="AA69" s="4" t="s">
        <v>36</v>
      </c>
      <c r="AB69" s="3" t="s">
        <v>56</v>
      </c>
      <c r="AC69" s="3" t="s">
        <v>532</v>
      </c>
      <c r="AD69" s="9">
        <v>45663</v>
      </c>
      <c r="AE69" s="3" t="s">
        <v>134</v>
      </c>
      <c r="AF69" s="3" t="s">
        <v>533</v>
      </c>
      <c r="AG69" s="3" t="s">
        <v>81</v>
      </c>
      <c r="AH69" s="11">
        <f>HYPERLINK("https://my.pitchbook.com?c=281391-04T","View Company Online")</f>
      </c>
    </row>
    <row r="70">
      <c r="A70" s="12" t="s">
        <v>534</v>
      </c>
      <c r="B70" s="12" t="s">
        <v>535</v>
      </c>
      <c r="C70" s="19" t="s">
        <v>36</v>
      </c>
      <c r="D70" s="19" t="s">
        <v>36</v>
      </c>
      <c r="E70" s="19" t="s">
        <v>36</v>
      </c>
      <c r="F70" s="19" t="s">
        <v>36</v>
      </c>
      <c r="G70" s="15" t="s">
        <v>36</v>
      </c>
      <c r="H70" s="14" t="s">
        <v>36</v>
      </c>
      <c r="I70" s="18" t="s">
        <v>36</v>
      </c>
      <c r="J70" s="12" t="s">
        <v>36</v>
      </c>
      <c r="K70" s="13" t="s">
        <v>36</v>
      </c>
      <c r="L70" s="15" t="s">
        <v>36</v>
      </c>
      <c r="M70" s="12" t="s">
        <v>36</v>
      </c>
      <c r="N70" s="12" t="s">
        <v>36</v>
      </c>
      <c r="O70" s="17" t="s">
        <v>36</v>
      </c>
      <c r="P70" s="12" t="s">
        <v>36</v>
      </c>
      <c r="Q70" s="12" t="s">
        <v>36</v>
      </c>
      <c r="R70" s="12" t="s">
        <v>36</v>
      </c>
      <c r="S70" s="12" t="s">
        <v>36</v>
      </c>
      <c r="T70" s="12" t="s">
        <v>522</v>
      </c>
      <c r="U70" s="12" t="s">
        <v>38</v>
      </c>
      <c r="V70" s="12" t="s">
        <v>39</v>
      </c>
      <c r="W70" s="12" t="s">
        <v>536</v>
      </c>
      <c r="X70" s="16" t="s">
        <v>537</v>
      </c>
      <c r="Y70" s="15" t="s">
        <v>321</v>
      </c>
      <c r="Z70" s="14" t="s">
        <v>36</v>
      </c>
      <c r="AA70" s="14" t="s">
        <v>36</v>
      </c>
      <c r="AB70" s="12" t="s">
        <v>56</v>
      </c>
      <c r="AC70" s="12" t="s">
        <v>538</v>
      </c>
      <c r="AD70" s="13">
        <v>45658</v>
      </c>
      <c r="AE70" s="12" t="s">
        <v>110</v>
      </c>
      <c r="AF70" s="12" t="s">
        <v>526</v>
      </c>
      <c r="AG70" s="12" t="s">
        <v>539</v>
      </c>
      <c r="AH70" s="1">
        <f>HYPERLINK("https://my.pitchbook.com?c=281717-47T","View Company Online")</f>
      </c>
    </row>
    <row r="71">
      <c r="A71" s="3" t="s">
        <v>540</v>
      </c>
      <c r="B71" s="3" t="s">
        <v>541</v>
      </c>
      <c r="C71" s="5" t="s">
        <v>36</v>
      </c>
      <c r="D71" s="5" t="s">
        <v>36</v>
      </c>
      <c r="E71" s="5" t="s">
        <v>36</v>
      </c>
      <c r="F71" s="5" t="s">
        <v>36</v>
      </c>
      <c r="G71" s="6" t="s">
        <v>36</v>
      </c>
      <c r="H71" s="4" t="s">
        <v>36</v>
      </c>
      <c r="I71" s="7" t="s">
        <v>36</v>
      </c>
      <c r="J71" s="3" t="s">
        <v>36</v>
      </c>
      <c r="K71" s="9" t="s">
        <v>36</v>
      </c>
      <c r="L71" s="6" t="s">
        <v>36</v>
      </c>
      <c r="M71" s="3" t="s">
        <v>36</v>
      </c>
      <c r="N71" s="3" t="s">
        <v>36</v>
      </c>
      <c r="O71" s="8" t="s">
        <v>36</v>
      </c>
      <c r="P71" s="3" t="s">
        <v>36</v>
      </c>
      <c r="Q71" s="3" t="s">
        <v>36</v>
      </c>
      <c r="R71" s="3" t="s">
        <v>36</v>
      </c>
      <c r="S71" s="3" t="s">
        <v>36</v>
      </c>
      <c r="T71" s="3" t="s">
        <v>542</v>
      </c>
      <c r="U71" s="3" t="s">
        <v>74</v>
      </c>
      <c r="V71" s="3" t="s">
        <v>75</v>
      </c>
      <c r="W71" s="3" t="s">
        <v>543</v>
      </c>
      <c r="X71" s="10" t="s">
        <v>544</v>
      </c>
      <c r="Y71" s="6" t="s">
        <v>55</v>
      </c>
      <c r="Z71" s="4" t="s">
        <v>36</v>
      </c>
      <c r="AA71" s="4" t="s">
        <v>36</v>
      </c>
      <c r="AB71" s="3" t="s">
        <v>56</v>
      </c>
      <c r="AC71" s="3" t="s">
        <v>545</v>
      </c>
      <c r="AD71" s="9">
        <v>45658</v>
      </c>
      <c r="AE71" s="3" t="s">
        <v>362</v>
      </c>
      <c r="AF71" s="3" t="s">
        <v>546</v>
      </c>
      <c r="AG71" s="3" t="s">
        <v>81</v>
      </c>
      <c r="AH71" s="11">
        <f>HYPERLINK("https://my.pitchbook.com?c=282627-37T","View Company Online")</f>
      </c>
    </row>
    <row r="72">
      <c r="A72" s="12" t="s">
        <v>547</v>
      </c>
      <c r="B72" s="12" t="s">
        <v>548</v>
      </c>
      <c r="C72" s="19" t="s">
        <v>36</v>
      </c>
      <c r="D72" s="19" t="s">
        <v>36</v>
      </c>
      <c r="E72" s="19" t="s">
        <v>36</v>
      </c>
      <c r="F72" s="19" t="s">
        <v>36</v>
      </c>
      <c r="G72" s="15" t="s">
        <v>36</v>
      </c>
      <c r="H72" s="14" t="s">
        <v>36</v>
      </c>
      <c r="I72" s="18" t="s">
        <v>36</v>
      </c>
      <c r="J72" s="12" t="s">
        <v>36</v>
      </c>
      <c r="K72" s="13" t="s">
        <v>36</v>
      </c>
      <c r="L72" s="15" t="s">
        <v>36</v>
      </c>
      <c r="M72" s="12" t="s">
        <v>36</v>
      </c>
      <c r="N72" s="12" t="s">
        <v>36</v>
      </c>
      <c r="O72" s="17" t="s">
        <v>36</v>
      </c>
      <c r="P72" s="12" t="s">
        <v>36</v>
      </c>
      <c r="Q72" s="12" t="s">
        <v>36</v>
      </c>
      <c r="R72" s="12" t="s">
        <v>36</v>
      </c>
      <c r="S72" s="12" t="s">
        <v>549</v>
      </c>
      <c r="T72" s="12" t="s">
        <v>550</v>
      </c>
      <c r="U72" s="12" t="s">
        <v>38</v>
      </c>
      <c r="V72" s="12" t="s">
        <v>39</v>
      </c>
      <c r="W72" s="12" t="s">
        <v>551</v>
      </c>
      <c r="X72" s="16" t="s">
        <v>552</v>
      </c>
      <c r="Y72" s="15" t="s">
        <v>108</v>
      </c>
      <c r="Z72" s="14" t="s">
        <v>36</v>
      </c>
      <c r="AA72" s="14" t="s">
        <v>36</v>
      </c>
      <c r="AB72" s="12" t="s">
        <v>56</v>
      </c>
      <c r="AC72" s="12" t="s">
        <v>553</v>
      </c>
      <c r="AD72" s="13">
        <v>45658</v>
      </c>
      <c r="AE72" s="12" t="s">
        <v>554</v>
      </c>
      <c r="AF72" s="12" t="s">
        <v>555</v>
      </c>
      <c r="AG72" s="12" t="s">
        <v>81</v>
      </c>
      <c r="AH72" s="1">
        <f>HYPERLINK("https://my.pitchbook.com?c=282458-17T","View Company Online")</f>
      </c>
    </row>
    <row r="73">
      <c r="A73" s="3" t="s">
        <v>556</v>
      </c>
      <c r="B73" s="3" t="s">
        <v>557</v>
      </c>
      <c r="C73" s="5" t="s">
        <v>36</v>
      </c>
      <c r="D73" s="5" t="s">
        <v>36</v>
      </c>
      <c r="E73" s="5" t="s">
        <v>36</v>
      </c>
      <c r="F73" s="5" t="s">
        <v>36</v>
      </c>
      <c r="G73" s="6" t="s">
        <v>36</v>
      </c>
      <c r="H73" s="4" t="s">
        <v>36</v>
      </c>
      <c r="I73" s="7" t="s">
        <v>36</v>
      </c>
      <c r="J73" s="3" t="s">
        <v>36</v>
      </c>
      <c r="K73" s="9" t="s">
        <v>36</v>
      </c>
      <c r="L73" s="6" t="s">
        <v>36</v>
      </c>
      <c r="M73" s="3" t="s">
        <v>36</v>
      </c>
      <c r="N73" s="3" t="s">
        <v>36</v>
      </c>
      <c r="O73" s="8" t="s">
        <v>36</v>
      </c>
      <c r="P73" s="3" t="s">
        <v>36</v>
      </c>
      <c r="Q73" s="3" t="s">
        <v>36</v>
      </c>
      <c r="R73" s="3" t="s">
        <v>36</v>
      </c>
      <c r="S73" s="3" t="s">
        <v>36</v>
      </c>
      <c r="T73" s="3" t="s">
        <v>558</v>
      </c>
      <c r="U73" s="3" t="s">
        <v>423</v>
      </c>
      <c r="V73" s="3" t="s">
        <v>64</v>
      </c>
      <c r="W73" s="3" t="s">
        <v>559</v>
      </c>
      <c r="X73" s="10" t="s">
        <v>560</v>
      </c>
      <c r="Y73" s="6" t="s">
        <v>108</v>
      </c>
      <c r="Z73" s="4" t="s">
        <v>36</v>
      </c>
      <c r="AA73" s="4" t="s">
        <v>36</v>
      </c>
      <c r="AB73" s="3" t="s">
        <v>43</v>
      </c>
      <c r="AC73" s="3" t="s">
        <v>561</v>
      </c>
      <c r="AD73" s="9">
        <v>45658</v>
      </c>
      <c r="AE73" s="3" t="s">
        <v>562</v>
      </c>
      <c r="AF73" s="3" t="s">
        <v>36</v>
      </c>
      <c r="AG73" s="3" t="s">
        <v>81</v>
      </c>
      <c r="AH73" s="11">
        <f>HYPERLINK("https://my.pitchbook.com?c=282487-06T","View Company Online")</f>
      </c>
    </row>
    <row r="74">
      <c r="A74" s="12" t="s">
        <v>563</v>
      </c>
      <c r="B74" s="12" t="s">
        <v>564</v>
      </c>
      <c r="C74" s="19" t="s">
        <v>36</v>
      </c>
      <c r="D74" s="19" t="s">
        <v>36</v>
      </c>
      <c r="E74" s="19" t="s">
        <v>36</v>
      </c>
      <c r="F74" s="19" t="s">
        <v>36</v>
      </c>
      <c r="G74" s="15" t="s">
        <v>36</v>
      </c>
      <c r="H74" s="14" t="s">
        <v>36</v>
      </c>
      <c r="I74" s="18" t="s">
        <v>36</v>
      </c>
      <c r="J74" s="12" t="s">
        <v>36</v>
      </c>
      <c r="K74" s="13" t="s">
        <v>36</v>
      </c>
      <c r="L74" s="15" t="s">
        <v>36</v>
      </c>
      <c r="M74" s="12" t="s">
        <v>36</v>
      </c>
      <c r="N74" s="12" t="s">
        <v>36</v>
      </c>
      <c r="O74" s="17" t="s">
        <v>36</v>
      </c>
      <c r="P74" s="12" t="s">
        <v>36</v>
      </c>
      <c r="Q74" s="12" t="s">
        <v>36</v>
      </c>
      <c r="R74" s="12" t="s">
        <v>36</v>
      </c>
      <c r="S74" s="12" t="s">
        <v>565</v>
      </c>
      <c r="T74" s="12" t="s">
        <v>566</v>
      </c>
      <c r="U74" s="12" t="s">
        <v>74</v>
      </c>
      <c r="V74" s="12" t="s">
        <v>75</v>
      </c>
      <c r="W74" s="12" t="s">
        <v>567</v>
      </c>
      <c r="X74" s="16" t="s">
        <v>568</v>
      </c>
      <c r="Y74" s="15" t="s">
        <v>42</v>
      </c>
      <c r="Z74" s="14" t="s">
        <v>36</v>
      </c>
      <c r="AA74" s="14" t="s">
        <v>36</v>
      </c>
      <c r="AB74" s="12" t="s">
        <v>43</v>
      </c>
      <c r="AC74" s="12" t="s">
        <v>569</v>
      </c>
      <c r="AD74" s="13">
        <v>45658</v>
      </c>
      <c r="AE74" s="12" t="s">
        <v>570</v>
      </c>
      <c r="AF74" s="12" t="s">
        <v>571</v>
      </c>
      <c r="AG74" s="12" t="s">
        <v>572</v>
      </c>
      <c r="AH74" s="1">
        <f>HYPERLINK("https://my.pitchbook.com?c=282526-21T","View Company Online")</f>
      </c>
    </row>
    <row r="75">
      <c r="A75" s="3" t="s">
        <v>573</v>
      </c>
      <c r="B75" s="3" t="s">
        <v>574</v>
      </c>
      <c r="C75" s="5" t="s">
        <v>36</v>
      </c>
      <c r="D75" s="5" t="s">
        <v>36</v>
      </c>
      <c r="E75" s="5" t="s">
        <v>36</v>
      </c>
      <c r="F75" s="5" t="s">
        <v>36</v>
      </c>
      <c r="G75" s="6" t="s">
        <v>36</v>
      </c>
      <c r="H75" s="4" t="s">
        <v>36</v>
      </c>
      <c r="I75" s="7" t="s">
        <v>36</v>
      </c>
      <c r="J75" s="3" t="s">
        <v>36</v>
      </c>
      <c r="K75" s="9" t="s">
        <v>36</v>
      </c>
      <c r="L75" s="6" t="s">
        <v>36</v>
      </c>
      <c r="M75" s="3" t="s">
        <v>36</v>
      </c>
      <c r="N75" s="3" t="s">
        <v>36</v>
      </c>
      <c r="O75" s="8" t="s">
        <v>36</v>
      </c>
      <c r="P75" s="3" t="s">
        <v>36</v>
      </c>
      <c r="Q75" s="3" t="s">
        <v>36</v>
      </c>
      <c r="R75" s="3" t="s">
        <v>36</v>
      </c>
      <c r="S75" s="3" t="s">
        <v>36</v>
      </c>
      <c r="T75" s="3" t="s">
        <v>575</v>
      </c>
      <c r="U75" s="3" t="s">
        <v>51</v>
      </c>
      <c r="V75" s="3" t="s">
        <v>52</v>
      </c>
      <c r="W75" s="3" t="s">
        <v>576</v>
      </c>
      <c r="X75" s="10" t="s">
        <v>577</v>
      </c>
      <c r="Y75" s="6" t="s">
        <v>108</v>
      </c>
      <c r="Z75" s="4" t="s">
        <v>36</v>
      </c>
      <c r="AA75" s="4" t="s">
        <v>36</v>
      </c>
      <c r="AB75" s="3" t="s">
        <v>43</v>
      </c>
      <c r="AC75" s="3" t="s">
        <v>578</v>
      </c>
      <c r="AD75" s="9">
        <v>45658</v>
      </c>
      <c r="AE75" s="3" t="s">
        <v>158</v>
      </c>
      <c r="AF75" s="3" t="s">
        <v>579</v>
      </c>
      <c r="AG75" s="3" t="s">
        <v>580</v>
      </c>
      <c r="AH75" s="11">
        <f>HYPERLINK("https://my.pitchbook.com?c=282221-02T","View Company Online")</f>
      </c>
    </row>
    <row r="76">
      <c r="A76" s="12" t="s">
        <v>581</v>
      </c>
      <c r="B76" s="12" t="s">
        <v>582</v>
      </c>
      <c r="C76" s="19" t="s">
        <v>36</v>
      </c>
      <c r="D76" s="19" t="s">
        <v>36</v>
      </c>
      <c r="E76" s="19" t="s">
        <v>36</v>
      </c>
      <c r="F76" s="19" t="s">
        <v>36</v>
      </c>
      <c r="G76" s="15" t="s">
        <v>36</v>
      </c>
      <c r="H76" s="14" t="s">
        <v>36</v>
      </c>
      <c r="I76" s="18" t="s">
        <v>36</v>
      </c>
      <c r="J76" s="12" t="s">
        <v>36</v>
      </c>
      <c r="K76" s="13" t="s">
        <v>36</v>
      </c>
      <c r="L76" s="15" t="s">
        <v>36</v>
      </c>
      <c r="M76" s="12" t="s">
        <v>36</v>
      </c>
      <c r="N76" s="12" t="s">
        <v>36</v>
      </c>
      <c r="O76" s="17" t="s">
        <v>36</v>
      </c>
      <c r="P76" s="12" t="s">
        <v>36</v>
      </c>
      <c r="Q76" s="12" t="s">
        <v>36</v>
      </c>
      <c r="R76" s="12" t="s">
        <v>36</v>
      </c>
      <c r="S76" s="12" t="s">
        <v>36</v>
      </c>
      <c r="T76" s="12" t="s">
        <v>583</v>
      </c>
      <c r="U76" s="12" t="s">
        <v>423</v>
      </c>
      <c r="V76" s="12" t="s">
        <v>64</v>
      </c>
      <c r="W76" s="12" t="s">
        <v>584</v>
      </c>
      <c r="X76" s="16" t="s">
        <v>577</v>
      </c>
      <c r="Y76" s="15" t="s">
        <v>42</v>
      </c>
      <c r="Z76" s="14" t="s">
        <v>36</v>
      </c>
      <c r="AA76" s="14" t="s">
        <v>36</v>
      </c>
      <c r="AB76" s="12" t="s">
        <v>43</v>
      </c>
      <c r="AC76" s="12" t="s">
        <v>585</v>
      </c>
      <c r="AD76" s="13">
        <v>45658</v>
      </c>
      <c r="AE76" s="12" t="s">
        <v>562</v>
      </c>
      <c r="AF76" s="12" t="s">
        <v>36</v>
      </c>
      <c r="AG76" s="12" t="s">
        <v>580</v>
      </c>
      <c r="AH76" s="1">
        <f>HYPERLINK("https://my.pitchbook.com?c=283710-52T","View Company Online")</f>
      </c>
    </row>
    <row r="77">
      <c r="A77" s="3" t="s">
        <v>586</v>
      </c>
      <c r="B77" s="3" t="s">
        <v>587</v>
      </c>
      <c r="C77" s="5">
        <v>3</v>
      </c>
      <c r="D77" s="5">
        <v>7</v>
      </c>
      <c r="E77" s="5">
        <v>3</v>
      </c>
      <c r="F77" s="5">
        <v>10</v>
      </c>
      <c r="G77" s="6" t="s">
        <v>36</v>
      </c>
      <c r="H77" s="4" t="s">
        <v>36</v>
      </c>
      <c r="I77" s="7" t="s">
        <v>36</v>
      </c>
      <c r="J77" s="3" t="s">
        <v>36</v>
      </c>
      <c r="K77" s="9" t="s">
        <v>36</v>
      </c>
      <c r="L77" s="6" t="s">
        <v>36</v>
      </c>
      <c r="M77" s="3" t="s">
        <v>36</v>
      </c>
      <c r="N77" s="3" t="s">
        <v>36</v>
      </c>
      <c r="O77" s="8" t="s">
        <v>36</v>
      </c>
      <c r="P77" s="3" t="s">
        <v>36</v>
      </c>
      <c r="Q77" s="3" t="s">
        <v>36</v>
      </c>
      <c r="R77" s="3" t="s">
        <v>36</v>
      </c>
      <c r="S77" s="3" t="s">
        <v>36</v>
      </c>
      <c r="T77" s="3" t="s">
        <v>588</v>
      </c>
      <c r="U77" s="3" t="s">
        <v>318</v>
      </c>
      <c r="V77" s="3" t="s">
        <v>39</v>
      </c>
      <c r="W77" s="3" t="s">
        <v>589</v>
      </c>
      <c r="X77" s="10" t="s">
        <v>590</v>
      </c>
      <c r="Y77" s="6" t="s">
        <v>108</v>
      </c>
      <c r="Z77" s="4" t="s">
        <v>36</v>
      </c>
      <c r="AA77" s="4" t="s">
        <v>36</v>
      </c>
      <c r="AB77" s="3" t="s">
        <v>56</v>
      </c>
      <c r="AC77" s="3" t="s">
        <v>591</v>
      </c>
      <c r="AD77" s="9">
        <v>45658</v>
      </c>
      <c r="AE77" s="3" t="s">
        <v>417</v>
      </c>
      <c r="AF77" s="3" t="s">
        <v>592</v>
      </c>
      <c r="AG77" s="3" t="s">
        <v>81</v>
      </c>
      <c r="AH77" s="11">
        <f>HYPERLINK("https://my.pitchbook.com?c=282480-49T","View Company Online")</f>
      </c>
    </row>
    <row r="78">
      <c r="A78" s="12" t="s">
        <v>593</v>
      </c>
      <c r="B78" s="12" t="s">
        <v>594</v>
      </c>
      <c r="C78" s="19" t="s">
        <v>36</v>
      </c>
      <c r="D78" s="19">
        <v>2</v>
      </c>
      <c r="E78" s="19">
        <v>1</v>
      </c>
      <c r="F78" s="19">
        <v>2</v>
      </c>
      <c r="G78" s="15" t="s">
        <v>36</v>
      </c>
      <c r="H78" s="14" t="s">
        <v>36</v>
      </c>
      <c r="I78" s="18" t="s">
        <v>36</v>
      </c>
      <c r="J78" s="12" t="s">
        <v>36</v>
      </c>
      <c r="K78" s="13" t="s">
        <v>36</v>
      </c>
      <c r="L78" s="15" t="s">
        <v>36</v>
      </c>
      <c r="M78" s="12" t="s">
        <v>36</v>
      </c>
      <c r="N78" s="12" t="s">
        <v>36</v>
      </c>
      <c r="O78" s="17" t="s">
        <v>36</v>
      </c>
      <c r="P78" s="12" t="s">
        <v>36</v>
      </c>
      <c r="Q78" s="12" t="s">
        <v>36</v>
      </c>
      <c r="R78" s="12" t="s">
        <v>36</v>
      </c>
      <c r="S78" s="12" t="s">
        <v>595</v>
      </c>
      <c r="T78" s="12" t="s">
        <v>596</v>
      </c>
      <c r="U78" s="12" t="s">
        <v>366</v>
      </c>
      <c r="V78" s="12" t="s">
        <v>367</v>
      </c>
      <c r="W78" s="12" t="s">
        <v>597</v>
      </c>
      <c r="X78" s="16" t="s">
        <v>598</v>
      </c>
      <c r="Y78" s="15" t="s">
        <v>42</v>
      </c>
      <c r="Z78" s="14" t="s">
        <v>36</v>
      </c>
      <c r="AA78" s="14" t="s">
        <v>36</v>
      </c>
      <c r="AB78" s="12" t="s">
        <v>43</v>
      </c>
      <c r="AC78" s="12" t="s">
        <v>599</v>
      </c>
      <c r="AD78" s="13">
        <v>45658</v>
      </c>
      <c r="AE78" s="12" t="s">
        <v>600</v>
      </c>
      <c r="AF78" s="12" t="s">
        <v>601</v>
      </c>
      <c r="AG78" s="12" t="s">
        <v>602</v>
      </c>
      <c r="AH78" s="1">
        <f>HYPERLINK("https://my.pitchbook.com?c=281322-73T","View Company Online")</f>
      </c>
    </row>
    <row r="79">
      <c r="A79" s="3" t="s">
        <v>603</v>
      </c>
      <c r="B79" s="3" t="s">
        <v>604</v>
      </c>
      <c r="C79" s="5" t="s">
        <v>36</v>
      </c>
      <c r="D79" s="5" t="s">
        <v>36</v>
      </c>
      <c r="E79" s="5" t="s">
        <v>36</v>
      </c>
      <c r="F79" s="5" t="s">
        <v>36</v>
      </c>
      <c r="G79" s="6" t="s">
        <v>36</v>
      </c>
      <c r="H79" s="4" t="s">
        <v>36</v>
      </c>
      <c r="I79" s="7" t="s">
        <v>36</v>
      </c>
      <c r="J79" s="3" t="s">
        <v>36</v>
      </c>
      <c r="K79" s="9" t="s">
        <v>36</v>
      </c>
      <c r="L79" s="6" t="s">
        <v>36</v>
      </c>
      <c r="M79" s="3" t="s">
        <v>36</v>
      </c>
      <c r="N79" s="3" t="s">
        <v>36</v>
      </c>
      <c r="O79" s="8" t="s">
        <v>36</v>
      </c>
      <c r="P79" s="3" t="s">
        <v>36</v>
      </c>
      <c r="Q79" s="3" t="s">
        <v>36</v>
      </c>
      <c r="R79" s="3" t="s">
        <v>36</v>
      </c>
      <c r="S79" s="3" t="s">
        <v>36</v>
      </c>
      <c r="T79" s="3" t="s">
        <v>522</v>
      </c>
      <c r="U79" s="3" t="s">
        <v>38</v>
      </c>
      <c r="V79" s="3" t="s">
        <v>39</v>
      </c>
      <c r="W79" s="3" t="s">
        <v>605</v>
      </c>
      <c r="X79" s="10" t="s">
        <v>606</v>
      </c>
      <c r="Y79" s="6" t="s">
        <v>42</v>
      </c>
      <c r="Z79" s="4" t="s">
        <v>36</v>
      </c>
      <c r="AA79" s="4" t="s">
        <v>36</v>
      </c>
      <c r="AB79" s="3" t="s">
        <v>43</v>
      </c>
      <c r="AC79" s="3" t="s">
        <v>607</v>
      </c>
      <c r="AD79" s="9">
        <v>45658</v>
      </c>
      <c r="AE79" s="3" t="s">
        <v>110</v>
      </c>
      <c r="AF79" s="3" t="s">
        <v>275</v>
      </c>
      <c r="AG79" s="3" t="s">
        <v>81</v>
      </c>
      <c r="AH79" s="11">
        <f>HYPERLINK("https://my.pitchbook.com?c=283390-48T","View Company Online")</f>
      </c>
    </row>
    <row r="80">
      <c r="A80" s="12" t="s">
        <v>608</v>
      </c>
      <c r="B80" s="12" t="s">
        <v>609</v>
      </c>
      <c r="C80" s="19" t="s">
        <v>36</v>
      </c>
      <c r="D80" s="19" t="s">
        <v>36</v>
      </c>
      <c r="E80" s="19" t="s">
        <v>36</v>
      </c>
      <c r="F80" s="19" t="s">
        <v>36</v>
      </c>
      <c r="G80" s="15" t="s">
        <v>36</v>
      </c>
      <c r="H80" s="14" t="s">
        <v>36</v>
      </c>
      <c r="I80" s="18" t="s">
        <v>36</v>
      </c>
      <c r="J80" s="12" t="s">
        <v>36</v>
      </c>
      <c r="K80" s="13" t="s">
        <v>36</v>
      </c>
      <c r="L80" s="15" t="s">
        <v>122</v>
      </c>
      <c r="M80" s="12" t="s">
        <v>36</v>
      </c>
      <c r="N80" s="12" t="s">
        <v>122</v>
      </c>
      <c r="O80" s="17" t="s">
        <v>36</v>
      </c>
      <c r="P80" s="12" t="s">
        <v>36</v>
      </c>
      <c r="Q80" s="12" t="s">
        <v>36</v>
      </c>
      <c r="R80" s="12" t="s">
        <v>36</v>
      </c>
      <c r="S80" s="12" t="s">
        <v>610</v>
      </c>
      <c r="T80" s="12" t="s">
        <v>611</v>
      </c>
      <c r="U80" s="12" t="s">
        <v>38</v>
      </c>
      <c r="V80" s="12" t="s">
        <v>39</v>
      </c>
      <c r="W80" s="12" t="s">
        <v>612</v>
      </c>
      <c r="X80" s="16" t="s">
        <v>613</v>
      </c>
      <c r="Y80" s="15" t="s">
        <v>166</v>
      </c>
      <c r="Z80" s="14" t="s">
        <v>36</v>
      </c>
      <c r="AA80" s="14" t="s">
        <v>36</v>
      </c>
      <c r="AB80" s="12" t="s">
        <v>56</v>
      </c>
      <c r="AC80" s="12" t="s">
        <v>614</v>
      </c>
      <c r="AD80" s="13">
        <v>45658</v>
      </c>
      <c r="AE80" s="12" t="s">
        <v>45</v>
      </c>
      <c r="AF80" s="12" t="s">
        <v>615</v>
      </c>
      <c r="AG80" s="12" t="s">
        <v>81</v>
      </c>
      <c r="AH80" s="1">
        <f>HYPERLINK("https://my.pitchbook.com?c=285358-06T","View Company Online")</f>
      </c>
    </row>
    <row r="81">
      <c r="A81" s="3" t="s">
        <v>616</v>
      </c>
      <c r="B81" s="3" t="s">
        <v>617</v>
      </c>
      <c r="C81" s="5" t="s">
        <v>36</v>
      </c>
      <c r="D81" s="5" t="s">
        <v>36</v>
      </c>
      <c r="E81" s="5" t="s">
        <v>36</v>
      </c>
      <c r="F81" s="5" t="s">
        <v>36</v>
      </c>
      <c r="G81" s="6" t="s">
        <v>36</v>
      </c>
      <c r="H81" s="4" t="s">
        <v>36</v>
      </c>
      <c r="I81" s="7" t="s">
        <v>36</v>
      </c>
      <c r="J81" s="3" t="s">
        <v>36</v>
      </c>
      <c r="K81" s="9" t="s">
        <v>36</v>
      </c>
      <c r="L81" s="6" t="s">
        <v>36</v>
      </c>
      <c r="M81" s="3" t="s">
        <v>36</v>
      </c>
      <c r="N81" s="3" t="s">
        <v>36</v>
      </c>
      <c r="O81" s="8" t="s">
        <v>36</v>
      </c>
      <c r="P81" s="3" t="s">
        <v>36</v>
      </c>
      <c r="Q81" s="3" t="s">
        <v>36</v>
      </c>
      <c r="R81" s="3" t="s">
        <v>36</v>
      </c>
      <c r="S81" s="3" t="s">
        <v>36</v>
      </c>
      <c r="T81" s="3" t="s">
        <v>618</v>
      </c>
      <c r="U81" s="3" t="s">
        <v>619</v>
      </c>
      <c r="V81" s="3" t="s">
        <v>378</v>
      </c>
      <c r="W81" s="3" t="s">
        <v>620</v>
      </c>
      <c r="X81" s="10" t="s">
        <v>621</v>
      </c>
      <c r="Y81" s="6" t="s">
        <v>108</v>
      </c>
      <c r="Z81" s="4" t="s">
        <v>36</v>
      </c>
      <c r="AA81" s="4" t="s">
        <v>36</v>
      </c>
      <c r="AB81" s="3" t="s">
        <v>43</v>
      </c>
      <c r="AC81" s="3" t="s">
        <v>622</v>
      </c>
      <c r="AD81" s="9">
        <v>45658</v>
      </c>
      <c r="AE81" s="3" t="s">
        <v>623</v>
      </c>
      <c r="AF81" s="3" t="s">
        <v>36</v>
      </c>
      <c r="AG81" s="3" t="s">
        <v>624</v>
      </c>
      <c r="AH81" s="11">
        <f>HYPERLINK("https://my.pitchbook.com?c=283714-84T","View Company Online")</f>
      </c>
    </row>
    <row r="82">
      <c r="A82" s="12" t="s">
        <v>625</v>
      </c>
      <c r="B82" s="12" t="s">
        <v>626</v>
      </c>
      <c r="C82" s="19" t="s">
        <v>36</v>
      </c>
      <c r="D82" s="19" t="s">
        <v>36</v>
      </c>
      <c r="E82" s="19" t="s">
        <v>36</v>
      </c>
      <c r="F82" s="19" t="s">
        <v>36</v>
      </c>
      <c r="G82" s="15" t="s">
        <v>36</v>
      </c>
      <c r="H82" s="14" t="s">
        <v>36</v>
      </c>
      <c r="I82" s="18" t="s">
        <v>36</v>
      </c>
      <c r="J82" s="12" t="s">
        <v>36</v>
      </c>
      <c r="K82" s="13" t="s">
        <v>36</v>
      </c>
      <c r="L82" s="15" t="s">
        <v>36</v>
      </c>
      <c r="M82" s="12" t="s">
        <v>36</v>
      </c>
      <c r="N82" s="12" t="s">
        <v>36</v>
      </c>
      <c r="O82" s="17" t="s">
        <v>36</v>
      </c>
      <c r="P82" s="12" t="s">
        <v>36</v>
      </c>
      <c r="Q82" s="12" t="s">
        <v>36</v>
      </c>
      <c r="R82" s="12" t="s">
        <v>36</v>
      </c>
      <c r="S82" s="12" t="s">
        <v>36</v>
      </c>
      <c r="T82" s="12" t="s">
        <v>295</v>
      </c>
      <c r="U82" s="12" t="s">
        <v>219</v>
      </c>
      <c r="V82" s="12" t="s">
        <v>75</v>
      </c>
      <c r="W82" s="12" t="s">
        <v>220</v>
      </c>
      <c r="X82" s="16" t="s">
        <v>627</v>
      </c>
      <c r="Y82" s="15" t="s">
        <v>42</v>
      </c>
      <c r="Z82" s="14" t="s">
        <v>36</v>
      </c>
      <c r="AA82" s="14" t="s">
        <v>36</v>
      </c>
      <c r="AB82" s="12" t="s">
        <v>43</v>
      </c>
      <c r="AC82" s="12" t="s">
        <v>222</v>
      </c>
      <c r="AD82" s="13">
        <v>45658</v>
      </c>
      <c r="AE82" s="12" t="s">
        <v>223</v>
      </c>
      <c r="AF82" s="12" t="s">
        <v>36</v>
      </c>
      <c r="AG82" s="12" t="s">
        <v>81</v>
      </c>
      <c r="AH82" s="1">
        <f>HYPERLINK("https://my.pitchbook.com?c=282238-21T","View Company Online")</f>
      </c>
    </row>
    <row r="83">
      <c r="A83" s="3" t="s">
        <v>628</v>
      </c>
      <c r="B83" s="3" t="s">
        <v>629</v>
      </c>
      <c r="C83" s="5" t="s">
        <v>36</v>
      </c>
      <c r="D83" s="5" t="s">
        <v>36</v>
      </c>
      <c r="E83" s="5" t="s">
        <v>36</v>
      </c>
      <c r="F83" s="5" t="s">
        <v>36</v>
      </c>
      <c r="G83" s="6" t="s">
        <v>36</v>
      </c>
      <c r="H83" s="4" t="s">
        <v>36</v>
      </c>
      <c r="I83" s="7" t="s">
        <v>36</v>
      </c>
      <c r="J83" s="3" t="s">
        <v>36</v>
      </c>
      <c r="K83" s="9" t="s">
        <v>36</v>
      </c>
      <c r="L83" s="6" t="s">
        <v>36</v>
      </c>
      <c r="M83" s="3" t="s">
        <v>36</v>
      </c>
      <c r="N83" s="3" t="s">
        <v>36</v>
      </c>
      <c r="O83" s="8" t="s">
        <v>36</v>
      </c>
      <c r="P83" s="3" t="s">
        <v>36</v>
      </c>
      <c r="Q83" s="3" t="s">
        <v>36</v>
      </c>
      <c r="R83" s="3" t="s">
        <v>36</v>
      </c>
      <c r="S83" s="3" t="s">
        <v>36</v>
      </c>
      <c r="T83" s="3" t="s">
        <v>630</v>
      </c>
      <c r="U83" s="3" t="s">
        <v>38</v>
      </c>
      <c r="V83" s="3" t="s">
        <v>39</v>
      </c>
      <c r="W83" s="3" t="s">
        <v>631</v>
      </c>
      <c r="X83" s="10" t="s">
        <v>632</v>
      </c>
      <c r="Y83" s="6" t="s">
        <v>42</v>
      </c>
      <c r="Z83" s="4" t="s">
        <v>36</v>
      </c>
      <c r="AA83" s="4" t="s">
        <v>36</v>
      </c>
      <c r="AB83" s="3" t="s">
        <v>43</v>
      </c>
      <c r="AC83" s="3" t="s">
        <v>633</v>
      </c>
      <c r="AD83" s="9">
        <v>45658</v>
      </c>
      <c r="AE83" s="3" t="s">
        <v>110</v>
      </c>
      <c r="AF83" s="3" t="s">
        <v>634</v>
      </c>
      <c r="AG83" s="3" t="s">
        <v>635</v>
      </c>
      <c r="AH83" s="11">
        <f>HYPERLINK("https://my.pitchbook.com?c=283584-43T","View Company Online")</f>
      </c>
    </row>
    <row r="84">
      <c r="A84" s="12" t="s">
        <v>636</v>
      </c>
      <c r="B84" s="12" t="s">
        <v>637</v>
      </c>
      <c r="C84" s="19" t="s">
        <v>36</v>
      </c>
      <c r="D84" s="19" t="s">
        <v>36</v>
      </c>
      <c r="E84" s="19" t="s">
        <v>36</v>
      </c>
      <c r="F84" s="19" t="s">
        <v>36</v>
      </c>
      <c r="G84" s="15" t="s">
        <v>36</v>
      </c>
      <c r="H84" s="14" t="s">
        <v>36</v>
      </c>
      <c r="I84" s="18" t="s">
        <v>36</v>
      </c>
      <c r="J84" s="12" t="s">
        <v>36</v>
      </c>
      <c r="K84" s="13" t="s">
        <v>36</v>
      </c>
      <c r="L84" s="15" t="s">
        <v>36</v>
      </c>
      <c r="M84" s="12" t="s">
        <v>36</v>
      </c>
      <c r="N84" s="12" t="s">
        <v>36</v>
      </c>
      <c r="O84" s="17" t="s">
        <v>36</v>
      </c>
      <c r="P84" s="12" t="s">
        <v>36</v>
      </c>
      <c r="Q84" s="12" t="s">
        <v>36</v>
      </c>
      <c r="R84" s="12" t="s">
        <v>36</v>
      </c>
      <c r="S84" s="12" t="s">
        <v>36</v>
      </c>
      <c r="T84" s="12" t="s">
        <v>638</v>
      </c>
      <c r="U84" s="12" t="s">
        <v>63</v>
      </c>
      <c r="V84" s="12" t="s">
        <v>64</v>
      </c>
      <c r="W84" s="12" t="s">
        <v>639</v>
      </c>
      <c r="X84" s="16" t="s">
        <v>640</v>
      </c>
      <c r="Y84" s="15" t="s">
        <v>42</v>
      </c>
      <c r="Z84" s="14" t="s">
        <v>36</v>
      </c>
      <c r="AA84" s="14" t="s">
        <v>36</v>
      </c>
      <c r="AB84" s="12" t="s">
        <v>43</v>
      </c>
      <c r="AC84" s="12" t="s">
        <v>641</v>
      </c>
      <c r="AD84" s="13">
        <v>45658</v>
      </c>
      <c r="AE84" s="12" t="s">
        <v>642</v>
      </c>
      <c r="AF84" s="12" t="s">
        <v>643</v>
      </c>
      <c r="AG84" s="12" t="s">
        <v>644</v>
      </c>
      <c r="AH84" s="1">
        <f>HYPERLINK("https://my.pitchbook.com?c=281702-98T","View Company Online")</f>
      </c>
    </row>
    <row r="85">
      <c r="A85" s="3" t="s">
        <v>645</v>
      </c>
      <c r="B85" s="3" t="s">
        <v>646</v>
      </c>
      <c r="C85" s="5" t="s">
        <v>36</v>
      </c>
      <c r="D85" s="5" t="s">
        <v>36</v>
      </c>
      <c r="E85" s="5" t="s">
        <v>36</v>
      </c>
      <c r="F85" s="5" t="s">
        <v>36</v>
      </c>
      <c r="G85" s="6" t="s">
        <v>36</v>
      </c>
      <c r="H85" s="4" t="s">
        <v>36</v>
      </c>
      <c r="I85" s="7" t="s">
        <v>36</v>
      </c>
      <c r="J85" s="3" t="s">
        <v>36</v>
      </c>
      <c r="K85" s="9" t="s">
        <v>36</v>
      </c>
      <c r="L85" s="6" t="s">
        <v>36</v>
      </c>
      <c r="M85" s="3" t="s">
        <v>36</v>
      </c>
      <c r="N85" s="3" t="s">
        <v>36</v>
      </c>
      <c r="O85" s="8" t="s">
        <v>36</v>
      </c>
      <c r="P85" s="3" t="s">
        <v>36</v>
      </c>
      <c r="Q85" s="3" t="s">
        <v>36</v>
      </c>
      <c r="R85" s="3" t="s">
        <v>36</v>
      </c>
      <c r="S85" s="3" t="s">
        <v>36</v>
      </c>
      <c r="T85" s="3" t="s">
        <v>647</v>
      </c>
      <c r="U85" s="3" t="s">
        <v>648</v>
      </c>
      <c r="V85" s="3" t="s">
        <v>64</v>
      </c>
      <c r="W85" s="3" t="s">
        <v>649</v>
      </c>
      <c r="X85" s="10" t="s">
        <v>560</v>
      </c>
      <c r="Y85" s="6" t="s">
        <v>42</v>
      </c>
      <c r="Z85" s="4" t="s">
        <v>36</v>
      </c>
      <c r="AA85" s="4" t="s">
        <v>36</v>
      </c>
      <c r="AB85" s="3" t="s">
        <v>43</v>
      </c>
      <c r="AC85" s="3" t="s">
        <v>650</v>
      </c>
      <c r="AD85" s="9">
        <v>45658</v>
      </c>
      <c r="AE85" s="3" t="s">
        <v>651</v>
      </c>
      <c r="AF85" s="3" t="s">
        <v>36</v>
      </c>
      <c r="AG85" s="3" t="s">
        <v>652</v>
      </c>
      <c r="AH85" s="11">
        <f>HYPERLINK("https://my.pitchbook.com?c=281585-26T","View Company Online")</f>
      </c>
    </row>
    <row r="86">
      <c r="A86" s="12" t="s">
        <v>653</v>
      </c>
      <c r="B86" s="12" t="s">
        <v>654</v>
      </c>
      <c r="C86" s="19" t="s">
        <v>36</v>
      </c>
      <c r="D86" s="19" t="s">
        <v>36</v>
      </c>
      <c r="E86" s="19" t="s">
        <v>36</v>
      </c>
      <c r="F86" s="19" t="s">
        <v>36</v>
      </c>
      <c r="G86" s="15" t="s">
        <v>36</v>
      </c>
      <c r="H86" s="14" t="s">
        <v>36</v>
      </c>
      <c r="I86" s="18" t="s">
        <v>36</v>
      </c>
      <c r="J86" s="12" t="s">
        <v>36</v>
      </c>
      <c r="K86" s="13" t="s">
        <v>36</v>
      </c>
      <c r="L86" s="15" t="s">
        <v>36</v>
      </c>
      <c r="M86" s="12" t="s">
        <v>36</v>
      </c>
      <c r="N86" s="12" t="s">
        <v>36</v>
      </c>
      <c r="O86" s="17" t="s">
        <v>36</v>
      </c>
      <c r="P86" s="12" t="s">
        <v>36</v>
      </c>
      <c r="Q86" s="12" t="s">
        <v>36</v>
      </c>
      <c r="R86" s="12" t="s">
        <v>36</v>
      </c>
      <c r="S86" s="12" t="s">
        <v>36</v>
      </c>
      <c r="T86" s="12" t="s">
        <v>655</v>
      </c>
      <c r="U86" s="12" t="s">
        <v>38</v>
      </c>
      <c r="V86" s="12" t="s">
        <v>39</v>
      </c>
      <c r="W86" s="12" t="s">
        <v>656</v>
      </c>
      <c r="X86" s="16" t="s">
        <v>657</v>
      </c>
      <c r="Y86" s="15" t="s">
        <v>55</v>
      </c>
      <c r="Z86" s="14" t="s">
        <v>36</v>
      </c>
      <c r="AA86" s="14" t="s">
        <v>36</v>
      </c>
      <c r="AB86" s="12" t="s">
        <v>56</v>
      </c>
      <c r="AC86" s="12" t="s">
        <v>658</v>
      </c>
      <c r="AD86" s="13">
        <v>45658</v>
      </c>
      <c r="AE86" s="12" t="s">
        <v>110</v>
      </c>
      <c r="AF86" s="12" t="s">
        <v>468</v>
      </c>
      <c r="AG86" s="12" t="s">
        <v>81</v>
      </c>
      <c r="AH86" s="1">
        <f>HYPERLINK("https://my.pitchbook.com?c=282942-91T","View Company Online")</f>
      </c>
    </row>
    <row r="87">
      <c r="A87" s="3" t="s">
        <v>659</v>
      </c>
      <c r="B87" s="3" t="s">
        <v>660</v>
      </c>
      <c r="C87" s="5">
        <v>4</v>
      </c>
      <c r="D87" s="5" t="s">
        <v>36</v>
      </c>
      <c r="E87" s="5">
        <v>1</v>
      </c>
      <c r="F87" s="5">
        <v>4</v>
      </c>
      <c r="G87" s="6" t="s">
        <v>326</v>
      </c>
      <c r="H87" s="4">
        <v>31.43</v>
      </c>
      <c r="I87" s="7">
        <v>14.01</v>
      </c>
      <c r="J87" s="3" t="s">
        <v>521</v>
      </c>
      <c r="K87" s="9" t="s">
        <v>36</v>
      </c>
      <c r="L87" s="6" t="s">
        <v>36</v>
      </c>
      <c r="M87" s="3" t="s">
        <v>36</v>
      </c>
      <c r="N87" s="3" t="s">
        <v>36</v>
      </c>
      <c r="O87" s="8" t="s">
        <v>36</v>
      </c>
      <c r="P87" s="3" t="s">
        <v>36</v>
      </c>
      <c r="Q87" s="3" t="s">
        <v>36</v>
      </c>
      <c r="R87" s="3" t="s">
        <v>36</v>
      </c>
      <c r="S87" s="3" t="s">
        <v>36</v>
      </c>
      <c r="T87" s="3" t="s">
        <v>661</v>
      </c>
      <c r="U87" s="3" t="s">
        <v>51</v>
      </c>
      <c r="V87" s="3" t="s">
        <v>52</v>
      </c>
      <c r="W87" s="3" t="s">
        <v>662</v>
      </c>
      <c r="X87" s="10" t="s">
        <v>663</v>
      </c>
      <c r="Y87" s="6" t="s">
        <v>55</v>
      </c>
      <c r="Z87" s="4">
        <v>3.39</v>
      </c>
      <c r="AA87" s="4">
        <v>24.19</v>
      </c>
      <c r="AB87" s="3" t="s">
        <v>43</v>
      </c>
      <c r="AC87" s="3" t="s">
        <v>664</v>
      </c>
      <c r="AD87" s="9">
        <v>45657</v>
      </c>
      <c r="AE87" s="3" t="s">
        <v>158</v>
      </c>
      <c r="AF87" s="3" t="s">
        <v>665</v>
      </c>
      <c r="AG87" s="3" t="s">
        <v>666</v>
      </c>
      <c r="AH87" s="11">
        <f>HYPERLINK("https://my.pitchbook.com?c=284767-84T","View Company Online")</f>
      </c>
    </row>
    <row r="88">
      <c r="A88" s="12" t="s">
        <v>667</v>
      </c>
      <c r="B88" s="12" t="s">
        <v>668</v>
      </c>
      <c r="C88" s="19" t="s">
        <v>36</v>
      </c>
      <c r="D88" s="19" t="s">
        <v>36</v>
      </c>
      <c r="E88" s="19" t="s">
        <v>36</v>
      </c>
      <c r="F88" s="19" t="s">
        <v>36</v>
      </c>
      <c r="G88" s="15" t="s">
        <v>36</v>
      </c>
      <c r="H88" s="14" t="s">
        <v>36</v>
      </c>
      <c r="I88" s="18" t="s">
        <v>36</v>
      </c>
      <c r="J88" s="12" t="s">
        <v>36</v>
      </c>
      <c r="K88" s="13">
        <v>45649</v>
      </c>
      <c r="L88" s="15" t="s">
        <v>122</v>
      </c>
      <c r="M88" s="12" t="s">
        <v>36</v>
      </c>
      <c r="N88" s="12" t="s">
        <v>122</v>
      </c>
      <c r="O88" s="17" t="s">
        <v>36</v>
      </c>
      <c r="P88" s="12" t="s">
        <v>36</v>
      </c>
      <c r="Q88" s="12" t="s">
        <v>36</v>
      </c>
      <c r="R88" s="12" t="s">
        <v>36</v>
      </c>
      <c r="S88" s="12" t="s">
        <v>36</v>
      </c>
      <c r="T88" s="12" t="s">
        <v>669</v>
      </c>
      <c r="U88" s="12" t="s">
        <v>38</v>
      </c>
      <c r="V88" s="12" t="s">
        <v>39</v>
      </c>
      <c r="W88" s="12" t="s">
        <v>670</v>
      </c>
      <c r="X88" s="16" t="s">
        <v>671</v>
      </c>
      <c r="Y88" s="15" t="s">
        <v>192</v>
      </c>
      <c r="Z88" s="14">
        <v>21</v>
      </c>
      <c r="AA88" s="14" t="s">
        <v>36</v>
      </c>
      <c r="AB88" s="12" t="s">
        <v>43</v>
      </c>
      <c r="AC88" s="12" t="s">
        <v>672</v>
      </c>
      <c r="AD88" s="13">
        <v>45649</v>
      </c>
      <c r="AE88" s="12" t="s">
        <v>45</v>
      </c>
      <c r="AF88" s="12" t="s">
        <v>331</v>
      </c>
      <c r="AG88" s="12" t="s">
        <v>81</v>
      </c>
      <c r="AH88" s="1">
        <f>HYPERLINK("https://my.pitchbook.com?c=280655-47T","View Company Online")</f>
      </c>
    </row>
    <row r="89">
      <c r="A89" s="3" t="s">
        <v>673</v>
      </c>
      <c r="B89" s="3" t="s">
        <v>674</v>
      </c>
      <c r="C89" s="5" t="s">
        <v>36</v>
      </c>
      <c r="D89" s="5" t="s">
        <v>36</v>
      </c>
      <c r="E89" s="5" t="s">
        <v>36</v>
      </c>
      <c r="F89" s="5" t="s">
        <v>36</v>
      </c>
      <c r="G89" s="6" t="s">
        <v>36</v>
      </c>
      <c r="H89" s="4" t="s">
        <v>36</v>
      </c>
      <c r="I89" s="7" t="s">
        <v>36</v>
      </c>
      <c r="J89" s="3" t="s">
        <v>36</v>
      </c>
      <c r="K89" s="9">
        <v>45605</v>
      </c>
      <c r="L89" s="6" t="s">
        <v>122</v>
      </c>
      <c r="M89" s="3" t="s">
        <v>36</v>
      </c>
      <c r="N89" s="3" t="s">
        <v>122</v>
      </c>
      <c r="O89" s="8" t="s">
        <v>36</v>
      </c>
      <c r="P89" s="3" t="s">
        <v>36</v>
      </c>
      <c r="Q89" s="3" t="s">
        <v>36</v>
      </c>
      <c r="R89" s="3" t="s">
        <v>36</v>
      </c>
      <c r="S89" s="3" t="s">
        <v>675</v>
      </c>
      <c r="T89" s="3" t="s">
        <v>676</v>
      </c>
      <c r="U89" s="3" t="s">
        <v>438</v>
      </c>
      <c r="V89" s="3" t="s">
        <v>405</v>
      </c>
      <c r="W89" s="3" t="s">
        <v>677</v>
      </c>
      <c r="X89" s="10" t="s">
        <v>678</v>
      </c>
      <c r="Y89" s="6" t="s">
        <v>108</v>
      </c>
      <c r="Z89" s="4">
        <v>10</v>
      </c>
      <c r="AA89" s="4" t="s">
        <v>36</v>
      </c>
      <c r="AB89" s="3" t="s">
        <v>43</v>
      </c>
      <c r="AC89" s="3" t="s">
        <v>679</v>
      </c>
      <c r="AD89" s="9">
        <v>45649</v>
      </c>
      <c r="AE89" s="3" t="s">
        <v>438</v>
      </c>
      <c r="AF89" s="3" t="s">
        <v>680</v>
      </c>
      <c r="AG89" s="3" t="s">
        <v>81</v>
      </c>
      <c r="AH89" s="11">
        <f>HYPERLINK("https://my.pitchbook.com?c=277071-58T","View Company Online")</f>
      </c>
    </row>
    <row r="90">
      <c r="A90" s="12" t="s">
        <v>681</v>
      </c>
      <c r="B90" s="12" t="s">
        <v>682</v>
      </c>
      <c r="C90" s="19" t="s">
        <v>36</v>
      </c>
      <c r="D90" s="19" t="s">
        <v>36</v>
      </c>
      <c r="E90" s="19" t="s">
        <v>36</v>
      </c>
      <c r="F90" s="19" t="s">
        <v>36</v>
      </c>
      <c r="G90" s="15" t="s">
        <v>683</v>
      </c>
      <c r="H90" s="14">
        <v>580.72</v>
      </c>
      <c r="I90" s="18">
        <v>6.09</v>
      </c>
      <c r="J90" s="12" t="s">
        <v>521</v>
      </c>
      <c r="K90" s="13" t="s">
        <v>36</v>
      </c>
      <c r="L90" s="15" t="s">
        <v>36</v>
      </c>
      <c r="M90" s="12" t="s">
        <v>36</v>
      </c>
      <c r="N90" s="12" t="s">
        <v>36</v>
      </c>
      <c r="O90" s="17" t="s">
        <v>36</v>
      </c>
      <c r="P90" s="12" t="s">
        <v>36</v>
      </c>
      <c r="Q90" s="12" t="s">
        <v>36</v>
      </c>
      <c r="R90" s="12" t="s">
        <v>36</v>
      </c>
      <c r="S90" s="12" t="s">
        <v>36</v>
      </c>
      <c r="T90" s="12" t="s">
        <v>684</v>
      </c>
      <c r="U90" s="12" t="s">
        <v>38</v>
      </c>
      <c r="V90" s="12" t="s">
        <v>39</v>
      </c>
      <c r="W90" s="12" t="s">
        <v>685</v>
      </c>
      <c r="X90" s="16" t="s">
        <v>686</v>
      </c>
      <c r="Y90" s="15" t="s">
        <v>108</v>
      </c>
      <c r="Z90" s="14">
        <v>1.06</v>
      </c>
      <c r="AA90" s="14">
        <v>17.39</v>
      </c>
      <c r="AB90" s="12" t="s">
        <v>56</v>
      </c>
      <c r="AC90" s="12" t="s">
        <v>687</v>
      </c>
      <c r="AD90" s="13">
        <v>45645</v>
      </c>
      <c r="AE90" s="12" t="s">
        <v>688</v>
      </c>
      <c r="AF90" s="12" t="s">
        <v>118</v>
      </c>
      <c r="AG90" s="12" t="s">
        <v>689</v>
      </c>
      <c r="AH90" s="1">
        <f>HYPERLINK("https://my.pitchbook.com?c=245856-43T","View Company Online")</f>
      </c>
    </row>
    <row r="91">
      <c r="A91" s="3" t="s">
        <v>690</v>
      </c>
      <c r="B91" s="3" t="s">
        <v>691</v>
      </c>
      <c r="C91" s="5" t="s">
        <v>36</v>
      </c>
      <c r="D91" s="5" t="s">
        <v>36</v>
      </c>
      <c r="E91" s="5" t="s">
        <v>36</v>
      </c>
      <c r="F91" s="5" t="s">
        <v>36</v>
      </c>
      <c r="G91" s="6" t="s">
        <v>36</v>
      </c>
      <c r="H91" s="4" t="s">
        <v>36</v>
      </c>
      <c r="I91" s="7" t="s">
        <v>36</v>
      </c>
      <c r="J91" s="3" t="s">
        <v>36</v>
      </c>
      <c r="K91" s="9" t="s">
        <v>36</v>
      </c>
      <c r="L91" s="6" t="s">
        <v>36</v>
      </c>
      <c r="M91" s="3" t="s">
        <v>36</v>
      </c>
      <c r="N91" s="3" t="s">
        <v>36</v>
      </c>
      <c r="O91" s="8" t="s">
        <v>36</v>
      </c>
      <c r="P91" s="3" t="s">
        <v>36</v>
      </c>
      <c r="Q91" s="3" t="s">
        <v>36</v>
      </c>
      <c r="R91" s="3" t="s">
        <v>36</v>
      </c>
      <c r="S91" s="3" t="s">
        <v>36</v>
      </c>
      <c r="T91" s="3" t="s">
        <v>692</v>
      </c>
      <c r="U91" s="3" t="s">
        <v>74</v>
      </c>
      <c r="V91" s="3" t="s">
        <v>75</v>
      </c>
      <c r="W91" s="3" t="s">
        <v>693</v>
      </c>
      <c r="X91" s="10" t="s">
        <v>694</v>
      </c>
      <c r="Y91" s="6" t="s">
        <v>108</v>
      </c>
      <c r="Z91" s="4">
        <v>1.31</v>
      </c>
      <c r="AA91" s="4" t="s">
        <v>36</v>
      </c>
      <c r="AB91" s="3" t="s">
        <v>43</v>
      </c>
      <c r="AC91" s="3" t="s">
        <v>695</v>
      </c>
      <c r="AD91" s="9">
        <v>45645</v>
      </c>
      <c r="AE91" s="3" t="s">
        <v>696</v>
      </c>
      <c r="AF91" s="3" t="s">
        <v>176</v>
      </c>
      <c r="AG91" s="3" t="s">
        <v>697</v>
      </c>
      <c r="AH91" s="11">
        <f>HYPERLINK("https://my.pitchbook.com?c=280381-33T","View Company Online")</f>
      </c>
    </row>
    <row r="92">
      <c r="A92" s="12" t="s">
        <v>698</v>
      </c>
      <c r="B92" s="12" t="s">
        <v>699</v>
      </c>
      <c r="C92" s="19" t="s">
        <v>36</v>
      </c>
      <c r="D92" s="19" t="s">
        <v>36</v>
      </c>
      <c r="E92" s="19">
        <v>1</v>
      </c>
      <c r="F92" s="19">
        <v>2</v>
      </c>
      <c r="G92" s="15" t="s">
        <v>36</v>
      </c>
      <c r="H92" s="14" t="s">
        <v>36</v>
      </c>
      <c r="I92" s="18" t="s">
        <v>36</v>
      </c>
      <c r="J92" s="12" t="s">
        <v>36</v>
      </c>
      <c r="K92" s="13" t="s">
        <v>36</v>
      </c>
      <c r="L92" s="15" t="s">
        <v>36</v>
      </c>
      <c r="M92" s="12" t="s">
        <v>36</v>
      </c>
      <c r="N92" s="12" t="s">
        <v>36</v>
      </c>
      <c r="O92" s="17" t="s">
        <v>36</v>
      </c>
      <c r="P92" s="12" t="s">
        <v>36</v>
      </c>
      <c r="Q92" s="12" t="s">
        <v>36</v>
      </c>
      <c r="R92" s="12" t="s">
        <v>36</v>
      </c>
      <c r="S92" s="12" t="s">
        <v>36</v>
      </c>
      <c r="T92" s="12" t="s">
        <v>596</v>
      </c>
      <c r="U92" s="12" t="s">
        <v>366</v>
      </c>
      <c r="V92" s="12" t="s">
        <v>367</v>
      </c>
      <c r="W92" s="12" t="s">
        <v>700</v>
      </c>
      <c r="X92" s="16" t="s">
        <v>701</v>
      </c>
      <c r="Y92" s="15" t="s">
        <v>108</v>
      </c>
      <c r="Z92" s="14" t="s">
        <v>36</v>
      </c>
      <c r="AA92" s="14" t="s">
        <v>36</v>
      </c>
      <c r="AB92" s="12" t="s">
        <v>56</v>
      </c>
      <c r="AC92" s="12" t="s">
        <v>702</v>
      </c>
      <c r="AD92" s="13">
        <v>45645</v>
      </c>
      <c r="AE92" s="12" t="s">
        <v>600</v>
      </c>
      <c r="AF92" s="12" t="s">
        <v>703</v>
      </c>
      <c r="AG92" s="12" t="s">
        <v>704</v>
      </c>
      <c r="AH92" s="1">
        <f>HYPERLINK("https://my.pitchbook.com?c=280553-59T","View Company Online")</f>
      </c>
    </row>
    <row r="93">
      <c r="A93" s="3" t="s">
        <v>705</v>
      </c>
      <c r="B93" s="3" t="s">
        <v>706</v>
      </c>
      <c r="C93" s="5" t="s">
        <v>36</v>
      </c>
      <c r="D93" s="5" t="s">
        <v>36</v>
      </c>
      <c r="E93" s="5" t="s">
        <v>36</v>
      </c>
      <c r="F93" s="5" t="s">
        <v>36</v>
      </c>
      <c r="G93" s="6" t="s">
        <v>36</v>
      </c>
      <c r="H93" s="4" t="s">
        <v>36</v>
      </c>
      <c r="I93" s="7" t="s">
        <v>36</v>
      </c>
      <c r="J93" s="3" t="s">
        <v>36</v>
      </c>
      <c r="K93" s="9" t="s">
        <v>36</v>
      </c>
      <c r="L93" s="6" t="s">
        <v>36</v>
      </c>
      <c r="M93" s="3" t="s">
        <v>36</v>
      </c>
      <c r="N93" s="3" t="s">
        <v>36</v>
      </c>
      <c r="O93" s="8" t="s">
        <v>36</v>
      </c>
      <c r="P93" s="3" t="s">
        <v>36</v>
      </c>
      <c r="Q93" s="3" t="s">
        <v>36</v>
      </c>
      <c r="R93" s="3" t="s">
        <v>36</v>
      </c>
      <c r="S93" s="3" t="s">
        <v>36</v>
      </c>
      <c r="T93" s="3" t="s">
        <v>707</v>
      </c>
      <c r="U93" s="3" t="s">
        <v>38</v>
      </c>
      <c r="V93" s="3" t="s">
        <v>39</v>
      </c>
      <c r="W93" s="3" t="s">
        <v>708</v>
      </c>
      <c r="X93" s="10" t="s">
        <v>709</v>
      </c>
      <c r="Y93" s="6" t="s">
        <v>42</v>
      </c>
      <c r="Z93" s="4">
        <v>0.74</v>
      </c>
      <c r="AA93" s="4" t="s">
        <v>36</v>
      </c>
      <c r="AB93" s="3" t="s">
        <v>43</v>
      </c>
      <c r="AC93" s="3" t="s">
        <v>710</v>
      </c>
      <c r="AD93" s="9">
        <v>45645</v>
      </c>
      <c r="AE93" s="3" t="s">
        <v>688</v>
      </c>
      <c r="AF93" s="3" t="s">
        <v>118</v>
      </c>
      <c r="AG93" s="3" t="s">
        <v>711</v>
      </c>
      <c r="AH93" s="11">
        <f>HYPERLINK("https://my.pitchbook.com?c=283618-18T","View Company Online")</f>
      </c>
    </row>
    <row r="94">
      <c r="A94" s="12" t="s">
        <v>712</v>
      </c>
      <c r="B94" s="12" t="s">
        <v>713</v>
      </c>
      <c r="C94" s="19" t="s">
        <v>36</v>
      </c>
      <c r="D94" s="19" t="s">
        <v>36</v>
      </c>
      <c r="E94" s="19" t="s">
        <v>36</v>
      </c>
      <c r="F94" s="19" t="s">
        <v>36</v>
      </c>
      <c r="G94" s="15" t="s">
        <v>36</v>
      </c>
      <c r="H94" s="14" t="s">
        <v>36</v>
      </c>
      <c r="I94" s="18" t="s">
        <v>36</v>
      </c>
      <c r="J94" s="12" t="s">
        <v>36</v>
      </c>
      <c r="K94" s="13" t="s">
        <v>36</v>
      </c>
      <c r="L94" s="15" t="s">
        <v>36</v>
      </c>
      <c r="M94" s="12" t="s">
        <v>36</v>
      </c>
      <c r="N94" s="12" t="s">
        <v>36</v>
      </c>
      <c r="O94" s="17" t="s">
        <v>36</v>
      </c>
      <c r="P94" s="12" t="s">
        <v>36</v>
      </c>
      <c r="Q94" s="12" t="s">
        <v>36</v>
      </c>
      <c r="R94" s="12" t="s">
        <v>36</v>
      </c>
      <c r="S94" s="12" t="s">
        <v>36</v>
      </c>
      <c r="T94" s="12" t="s">
        <v>522</v>
      </c>
      <c r="U94" s="12" t="s">
        <v>38</v>
      </c>
      <c r="V94" s="12" t="s">
        <v>39</v>
      </c>
      <c r="W94" s="12" t="s">
        <v>714</v>
      </c>
      <c r="X94" s="16" t="s">
        <v>715</v>
      </c>
      <c r="Y94" s="15" t="s">
        <v>55</v>
      </c>
      <c r="Z94" s="14">
        <v>2.42</v>
      </c>
      <c r="AA94" s="14" t="s">
        <v>36</v>
      </c>
      <c r="AB94" s="12" t="s">
        <v>56</v>
      </c>
      <c r="AC94" s="12" t="s">
        <v>716</v>
      </c>
      <c r="AD94" s="13">
        <v>45643</v>
      </c>
      <c r="AE94" s="12" t="s">
        <v>110</v>
      </c>
      <c r="AF94" s="12" t="s">
        <v>111</v>
      </c>
      <c r="AG94" s="12" t="s">
        <v>717</v>
      </c>
      <c r="AH94" s="1">
        <f>HYPERLINK("https://my.pitchbook.com?c=280125-46T","View Company Online")</f>
      </c>
    </row>
    <row r="95">
      <c r="A95" s="3" t="s">
        <v>718</v>
      </c>
      <c r="B95" s="3" t="s">
        <v>719</v>
      </c>
      <c r="C95" s="5" t="s">
        <v>36</v>
      </c>
      <c r="D95" s="5" t="s">
        <v>36</v>
      </c>
      <c r="E95" s="5" t="s">
        <v>36</v>
      </c>
      <c r="F95" s="5" t="s">
        <v>36</v>
      </c>
      <c r="G95" s="6" t="s">
        <v>36</v>
      </c>
      <c r="H95" s="4" t="s">
        <v>36</v>
      </c>
      <c r="I95" s="7" t="s">
        <v>36</v>
      </c>
      <c r="J95" s="3" t="s">
        <v>36</v>
      </c>
      <c r="K95" s="9" t="s">
        <v>36</v>
      </c>
      <c r="L95" s="6" t="s">
        <v>36</v>
      </c>
      <c r="M95" s="3" t="s">
        <v>36</v>
      </c>
      <c r="N95" s="3" t="s">
        <v>36</v>
      </c>
      <c r="O95" s="8" t="s">
        <v>36</v>
      </c>
      <c r="P95" s="3" t="s">
        <v>36</v>
      </c>
      <c r="Q95" s="3" t="s">
        <v>36</v>
      </c>
      <c r="R95" s="3" t="s">
        <v>36</v>
      </c>
      <c r="S95" s="3" t="s">
        <v>36</v>
      </c>
      <c r="T95" s="3" t="s">
        <v>720</v>
      </c>
      <c r="U95" s="3" t="s">
        <v>318</v>
      </c>
      <c r="V95" s="3" t="s">
        <v>39</v>
      </c>
      <c r="W95" s="3" t="s">
        <v>721</v>
      </c>
      <c r="X95" s="10" t="s">
        <v>722</v>
      </c>
      <c r="Y95" s="6" t="s">
        <v>108</v>
      </c>
      <c r="Z95" s="4">
        <v>1.26</v>
      </c>
      <c r="AA95" s="4" t="s">
        <v>36</v>
      </c>
      <c r="AB95" s="3" t="s">
        <v>56</v>
      </c>
      <c r="AC95" s="3" t="s">
        <v>723</v>
      </c>
      <c r="AD95" s="9">
        <v>45643</v>
      </c>
      <c r="AE95" s="3" t="s">
        <v>417</v>
      </c>
      <c r="AF95" s="3" t="s">
        <v>724</v>
      </c>
      <c r="AG95" s="3" t="s">
        <v>81</v>
      </c>
      <c r="AH95" s="11">
        <f>HYPERLINK("https://my.pitchbook.com?c=280315-54T","View Company Online")</f>
      </c>
    </row>
    <row r="96">
      <c r="A96" s="12" t="s">
        <v>725</v>
      </c>
      <c r="B96" s="12" t="s">
        <v>726</v>
      </c>
      <c r="C96" s="19" t="s">
        <v>36</v>
      </c>
      <c r="D96" s="19" t="s">
        <v>36</v>
      </c>
      <c r="E96" s="19" t="s">
        <v>36</v>
      </c>
      <c r="F96" s="19" t="s">
        <v>36</v>
      </c>
      <c r="G96" s="15" t="s">
        <v>36</v>
      </c>
      <c r="H96" s="14" t="s">
        <v>36</v>
      </c>
      <c r="I96" s="18" t="s">
        <v>36</v>
      </c>
      <c r="J96" s="12" t="s">
        <v>36</v>
      </c>
      <c r="K96" s="13" t="s">
        <v>36</v>
      </c>
      <c r="L96" s="15" t="s">
        <v>36</v>
      </c>
      <c r="M96" s="12" t="s">
        <v>36</v>
      </c>
      <c r="N96" s="12" t="s">
        <v>36</v>
      </c>
      <c r="O96" s="17" t="s">
        <v>36</v>
      </c>
      <c r="P96" s="12" t="s">
        <v>36</v>
      </c>
      <c r="Q96" s="12" t="s">
        <v>36</v>
      </c>
      <c r="R96" s="12" t="s">
        <v>36</v>
      </c>
      <c r="S96" s="12" t="s">
        <v>36</v>
      </c>
      <c r="T96" s="12" t="s">
        <v>727</v>
      </c>
      <c r="U96" s="12" t="s">
        <v>728</v>
      </c>
      <c r="V96" s="12" t="s">
        <v>64</v>
      </c>
      <c r="W96" s="12" t="s">
        <v>729</v>
      </c>
      <c r="X96" s="16" t="s">
        <v>730</v>
      </c>
      <c r="Y96" s="15" t="s">
        <v>42</v>
      </c>
      <c r="Z96" s="14" t="s">
        <v>36</v>
      </c>
      <c r="AA96" s="14" t="s">
        <v>36</v>
      </c>
      <c r="AB96" s="12" t="s">
        <v>43</v>
      </c>
      <c r="AC96" s="12" t="s">
        <v>731</v>
      </c>
      <c r="AD96" s="13">
        <v>45642</v>
      </c>
      <c r="AE96" s="12" t="s">
        <v>732</v>
      </c>
      <c r="AF96" s="12" t="s">
        <v>733</v>
      </c>
      <c r="AG96" s="12" t="s">
        <v>81</v>
      </c>
      <c r="AH96" s="1">
        <f>HYPERLINK("https://my.pitchbook.com?c=280449-28T","View Company Online")</f>
      </c>
    </row>
    <row r="97">
      <c r="A97" s="3" t="s">
        <v>734</v>
      </c>
      <c r="B97" s="3" t="s">
        <v>735</v>
      </c>
      <c r="C97" s="5" t="s">
        <v>36</v>
      </c>
      <c r="D97" s="5" t="s">
        <v>36</v>
      </c>
      <c r="E97" s="5" t="s">
        <v>36</v>
      </c>
      <c r="F97" s="5" t="s">
        <v>36</v>
      </c>
      <c r="G97" s="6" t="s">
        <v>36</v>
      </c>
      <c r="H97" s="4" t="s">
        <v>36</v>
      </c>
      <c r="I97" s="7" t="s">
        <v>36</v>
      </c>
      <c r="J97" s="3" t="s">
        <v>36</v>
      </c>
      <c r="K97" s="9">
        <v>45536</v>
      </c>
      <c r="L97" s="6" t="s">
        <v>36</v>
      </c>
      <c r="M97" s="3" t="s">
        <v>36</v>
      </c>
      <c r="N97" s="3" t="s">
        <v>36</v>
      </c>
      <c r="O97" s="8" t="s">
        <v>36</v>
      </c>
      <c r="P97" s="3" t="s">
        <v>36</v>
      </c>
      <c r="Q97" s="3" t="s">
        <v>36</v>
      </c>
      <c r="R97" s="3" t="s">
        <v>36</v>
      </c>
      <c r="S97" s="3" t="s">
        <v>36</v>
      </c>
      <c r="T97" s="3" t="s">
        <v>736</v>
      </c>
      <c r="U97" s="3" t="s">
        <v>279</v>
      </c>
      <c r="V97" s="3" t="s">
        <v>64</v>
      </c>
      <c r="W97" s="3" t="s">
        <v>737</v>
      </c>
      <c r="X97" s="10" t="s">
        <v>738</v>
      </c>
      <c r="Y97" s="6" t="s">
        <v>42</v>
      </c>
      <c r="Z97" s="4">
        <v>1.05</v>
      </c>
      <c r="AA97" s="4" t="s">
        <v>36</v>
      </c>
      <c r="AB97" s="3" t="s">
        <v>43</v>
      </c>
      <c r="AC97" s="3" t="s">
        <v>739</v>
      </c>
      <c r="AD97" s="9">
        <v>45639</v>
      </c>
      <c r="AE97" s="3" t="s">
        <v>740</v>
      </c>
      <c r="AF97" s="3" t="s">
        <v>90</v>
      </c>
      <c r="AG97" s="3" t="s">
        <v>741</v>
      </c>
      <c r="AH97" s="11">
        <f>HYPERLINK("https://my.pitchbook.com?c=274169-17T","View Company Online")</f>
      </c>
    </row>
    <row r="98">
      <c r="A98" s="12" t="s">
        <v>742</v>
      </c>
      <c r="B98" s="12" t="s">
        <v>743</v>
      </c>
      <c r="C98" s="19" t="s">
        <v>36</v>
      </c>
      <c r="D98" s="19" t="s">
        <v>36</v>
      </c>
      <c r="E98" s="19" t="s">
        <v>36</v>
      </c>
      <c r="F98" s="19" t="s">
        <v>36</v>
      </c>
      <c r="G98" s="15" t="s">
        <v>36</v>
      </c>
      <c r="H98" s="14" t="s">
        <v>36</v>
      </c>
      <c r="I98" s="18" t="s">
        <v>36</v>
      </c>
      <c r="J98" s="12" t="s">
        <v>36</v>
      </c>
      <c r="K98" s="13" t="s">
        <v>36</v>
      </c>
      <c r="L98" s="15" t="s">
        <v>94</v>
      </c>
      <c r="M98" s="12" t="s">
        <v>36</v>
      </c>
      <c r="N98" s="12" t="s">
        <v>94</v>
      </c>
      <c r="O98" s="17" t="s">
        <v>36</v>
      </c>
      <c r="P98" s="12" t="s">
        <v>36</v>
      </c>
      <c r="Q98" s="12" t="s">
        <v>36</v>
      </c>
      <c r="R98" s="12" t="s">
        <v>36</v>
      </c>
      <c r="S98" s="12" t="s">
        <v>36</v>
      </c>
      <c r="T98" s="12" t="s">
        <v>744</v>
      </c>
      <c r="U98" s="12" t="s">
        <v>38</v>
      </c>
      <c r="V98" s="12" t="s">
        <v>39</v>
      </c>
      <c r="W98" s="12" t="s">
        <v>745</v>
      </c>
      <c r="X98" s="16" t="s">
        <v>746</v>
      </c>
      <c r="Y98" s="15" t="s">
        <v>55</v>
      </c>
      <c r="Z98" s="14">
        <v>31.59</v>
      </c>
      <c r="AA98" s="14" t="s">
        <v>36</v>
      </c>
      <c r="AB98" s="12" t="s">
        <v>56</v>
      </c>
      <c r="AC98" s="12" t="s">
        <v>747</v>
      </c>
      <c r="AD98" s="13">
        <v>45639</v>
      </c>
      <c r="AE98" s="12" t="s">
        <v>110</v>
      </c>
      <c r="AF98" s="12" t="s">
        <v>748</v>
      </c>
      <c r="AG98" s="12" t="s">
        <v>81</v>
      </c>
      <c r="AH98" s="1">
        <f>HYPERLINK("https://my.pitchbook.com?c=279892-36T","View Company Online")</f>
      </c>
    </row>
    <row r="99">
      <c r="A99" s="3" t="s">
        <v>749</v>
      </c>
      <c r="B99" s="3" t="s">
        <v>750</v>
      </c>
      <c r="C99" s="5">
        <v>1</v>
      </c>
      <c r="D99" s="5">
        <v>9</v>
      </c>
      <c r="E99" s="5">
        <v>2</v>
      </c>
      <c r="F99" s="5">
        <v>10</v>
      </c>
      <c r="G99" s="6" t="s">
        <v>36</v>
      </c>
      <c r="H99" s="4" t="s">
        <v>36</v>
      </c>
      <c r="I99" s="7" t="s">
        <v>36</v>
      </c>
      <c r="J99" s="3" t="s">
        <v>36</v>
      </c>
      <c r="K99" s="9" t="s">
        <v>36</v>
      </c>
      <c r="L99" s="6" t="s">
        <v>36</v>
      </c>
      <c r="M99" s="3" t="s">
        <v>36</v>
      </c>
      <c r="N99" s="3" t="s">
        <v>36</v>
      </c>
      <c r="O99" s="8" t="s">
        <v>36</v>
      </c>
      <c r="P99" s="3" t="s">
        <v>36</v>
      </c>
      <c r="Q99" s="3" t="s">
        <v>36</v>
      </c>
      <c r="R99" s="3" t="s">
        <v>36</v>
      </c>
      <c r="S99" s="3" t="s">
        <v>36</v>
      </c>
      <c r="T99" s="3" t="s">
        <v>751</v>
      </c>
      <c r="U99" s="3" t="s">
        <v>96</v>
      </c>
      <c r="V99" s="3" t="s">
        <v>52</v>
      </c>
      <c r="W99" s="3" t="s">
        <v>752</v>
      </c>
      <c r="X99" s="10" t="s">
        <v>753</v>
      </c>
      <c r="Y99" s="6" t="s">
        <v>55</v>
      </c>
      <c r="Z99" s="4" t="s">
        <v>36</v>
      </c>
      <c r="AA99" s="4" t="s">
        <v>36</v>
      </c>
      <c r="AB99" s="3" t="s">
        <v>56</v>
      </c>
      <c r="AC99" s="3" t="s">
        <v>754</v>
      </c>
      <c r="AD99" s="9">
        <v>45639</v>
      </c>
      <c r="AE99" s="3" t="s">
        <v>755</v>
      </c>
      <c r="AF99" s="3" t="s">
        <v>756</v>
      </c>
      <c r="AG99" s="3" t="s">
        <v>757</v>
      </c>
      <c r="AH99" s="11">
        <f>HYPERLINK("https://my.pitchbook.com?c=216330-31T","View Company Online")</f>
      </c>
    </row>
    <row r="100">
      <c r="A100" s="12" t="s">
        <v>758</v>
      </c>
      <c r="B100" s="12" t="s">
        <v>759</v>
      </c>
      <c r="C100" s="19" t="s">
        <v>36</v>
      </c>
      <c r="D100" s="19" t="s">
        <v>36</v>
      </c>
      <c r="E100" s="19" t="s">
        <v>36</v>
      </c>
      <c r="F100" s="19" t="s">
        <v>36</v>
      </c>
      <c r="G100" s="15" t="s">
        <v>36</v>
      </c>
      <c r="H100" s="14" t="s">
        <v>36</v>
      </c>
      <c r="I100" s="18" t="s">
        <v>36</v>
      </c>
      <c r="J100" s="12" t="s">
        <v>36</v>
      </c>
      <c r="K100" s="13" t="s">
        <v>36</v>
      </c>
      <c r="L100" s="15" t="s">
        <v>36</v>
      </c>
      <c r="M100" s="12" t="s">
        <v>36</v>
      </c>
      <c r="N100" s="12" t="s">
        <v>36</v>
      </c>
      <c r="O100" s="17" t="s">
        <v>36</v>
      </c>
      <c r="P100" s="12" t="s">
        <v>36</v>
      </c>
      <c r="Q100" s="12" t="s">
        <v>36</v>
      </c>
      <c r="R100" s="12" t="s">
        <v>36</v>
      </c>
      <c r="S100" s="12" t="s">
        <v>36</v>
      </c>
      <c r="T100" s="12" t="s">
        <v>760</v>
      </c>
      <c r="U100" s="12" t="s">
        <v>318</v>
      </c>
      <c r="V100" s="12" t="s">
        <v>39</v>
      </c>
      <c r="W100" s="12" t="s">
        <v>761</v>
      </c>
      <c r="X100" s="16" t="s">
        <v>730</v>
      </c>
      <c r="Y100" s="15" t="s">
        <v>55</v>
      </c>
      <c r="Z100" s="14" t="s">
        <v>36</v>
      </c>
      <c r="AA100" s="14" t="s">
        <v>36</v>
      </c>
      <c r="AB100" s="12" t="s">
        <v>56</v>
      </c>
      <c r="AC100" s="12" t="s">
        <v>762</v>
      </c>
      <c r="AD100" s="13">
        <v>45638</v>
      </c>
      <c r="AE100" s="12" t="s">
        <v>763</v>
      </c>
      <c r="AF100" s="12" t="s">
        <v>764</v>
      </c>
      <c r="AG100" s="12" t="s">
        <v>765</v>
      </c>
      <c r="AH100" s="1">
        <f>HYPERLINK("https://my.pitchbook.com?c=280407-70T","View Company Online")</f>
      </c>
    </row>
    <row r="101">
      <c r="A101" s="3" t="s">
        <v>766</v>
      </c>
      <c r="B101" s="3" t="s">
        <v>767</v>
      </c>
      <c r="C101" s="5" t="s">
        <v>36</v>
      </c>
      <c r="D101" s="5" t="s">
        <v>36</v>
      </c>
      <c r="E101" s="5" t="s">
        <v>36</v>
      </c>
      <c r="F101" s="5" t="s">
        <v>36</v>
      </c>
      <c r="G101" s="6" t="s">
        <v>36</v>
      </c>
      <c r="H101" s="4" t="s">
        <v>36</v>
      </c>
      <c r="I101" s="7" t="s">
        <v>36</v>
      </c>
      <c r="J101" s="3" t="s">
        <v>36</v>
      </c>
      <c r="K101" s="9" t="s">
        <v>36</v>
      </c>
      <c r="L101" s="6" t="s">
        <v>36</v>
      </c>
      <c r="M101" s="3" t="s">
        <v>36</v>
      </c>
      <c r="N101" s="3" t="s">
        <v>36</v>
      </c>
      <c r="O101" s="8" t="s">
        <v>36</v>
      </c>
      <c r="P101" s="3" t="s">
        <v>36</v>
      </c>
      <c r="Q101" s="3" t="s">
        <v>36</v>
      </c>
      <c r="R101" s="3" t="s">
        <v>36</v>
      </c>
      <c r="S101" s="3" t="s">
        <v>36</v>
      </c>
      <c r="T101" s="3" t="s">
        <v>768</v>
      </c>
      <c r="U101" s="3" t="s">
        <v>233</v>
      </c>
      <c r="V101" s="3" t="s">
        <v>39</v>
      </c>
      <c r="W101" s="3" t="s">
        <v>769</v>
      </c>
      <c r="X101" s="10" t="s">
        <v>770</v>
      </c>
      <c r="Y101" s="6" t="s">
        <v>42</v>
      </c>
      <c r="Z101" s="4">
        <v>1.05</v>
      </c>
      <c r="AA101" s="4" t="s">
        <v>36</v>
      </c>
      <c r="AB101" s="3" t="s">
        <v>43</v>
      </c>
      <c r="AC101" s="3" t="s">
        <v>771</v>
      </c>
      <c r="AD101" s="9">
        <v>45638</v>
      </c>
      <c r="AE101" s="3" t="s">
        <v>236</v>
      </c>
      <c r="AF101" s="3" t="s">
        <v>36</v>
      </c>
      <c r="AG101" s="3" t="s">
        <v>772</v>
      </c>
      <c r="AH101" s="11">
        <f>HYPERLINK("https://my.pitchbook.com?c=283426-66T","View Company Online")</f>
      </c>
    </row>
    <row r="102">
      <c r="A102" s="12" t="s">
        <v>773</v>
      </c>
      <c r="B102" s="12" t="s">
        <v>774</v>
      </c>
      <c r="C102" s="19">
        <v>1</v>
      </c>
      <c r="D102" s="19" t="s">
        <v>36</v>
      </c>
      <c r="E102" s="19">
        <v>1</v>
      </c>
      <c r="F102" s="19">
        <v>1</v>
      </c>
      <c r="G102" s="15" t="s">
        <v>36</v>
      </c>
      <c r="H102" s="14" t="s">
        <v>36</v>
      </c>
      <c r="I102" s="18" t="s">
        <v>36</v>
      </c>
      <c r="J102" s="12" t="s">
        <v>36</v>
      </c>
      <c r="K102" s="13">
        <v>45320</v>
      </c>
      <c r="L102" s="15" t="s">
        <v>122</v>
      </c>
      <c r="M102" s="12" t="s">
        <v>36</v>
      </c>
      <c r="N102" s="12" t="s">
        <v>122</v>
      </c>
      <c r="O102" s="17" t="s">
        <v>36</v>
      </c>
      <c r="P102" s="12" t="s">
        <v>36</v>
      </c>
      <c r="Q102" s="12" t="s">
        <v>36</v>
      </c>
      <c r="R102" s="12" t="s">
        <v>36</v>
      </c>
      <c r="S102" s="12" t="s">
        <v>36</v>
      </c>
      <c r="T102" s="12" t="s">
        <v>37</v>
      </c>
      <c r="U102" s="12" t="s">
        <v>38</v>
      </c>
      <c r="V102" s="12" t="s">
        <v>39</v>
      </c>
      <c r="W102" s="12" t="s">
        <v>775</v>
      </c>
      <c r="X102" s="16" t="s">
        <v>776</v>
      </c>
      <c r="Y102" s="15" t="s">
        <v>192</v>
      </c>
      <c r="Z102" s="14">
        <v>16.85</v>
      </c>
      <c r="AA102" s="14" t="s">
        <v>36</v>
      </c>
      <c r="AB102" s="12" t="s">
        <v>43</v>
      </c>
      <c r="AC102" s="12" t="s">
        <v>777</v>
      </c>
      <c r="AD102" s="13">
        <v>45638</v>
      </c>
      <c r="AE102" s="12" t="s">
        <v>45</v>
      </c>
      <c r="AF102" s="12" t="s">
        <v>778</v>
      </c>
      <c r="AG102" s="12" t="s">
        <v>81</v>
      </c>
      <c r="AH102" s="1">
        <f>HYPERLINK("https://my.pitchbook.com?c=279848-17T","View Company Online")</f>
      </c>
    </row>
    <row r="103">
      <c r="A103" s="3" t="s">
        <v>779</v>
      </c>
      <c r="B103" s="3" t="s">
        <v>780</v>
      </c>
      <c r="C103" s="5" t="s">
        <v>36</v>
      </c>
      <c r="D103" s="5" t="s">
        <v>36</v>
      </c>
      <c r="E103" s="5" t="s">
        <v>36</v>
      </c>
      <c r="F103" s="5" t="s">
        <v>36</v>
      </c>
      <c r="G103" s="6" t="s">
        <v>36</v>
      </c>
      <c r="H103" s="4" t="s">
        <v>36</v>
      </c>
      <c r="I103" s="7" t="s">
        <v>36</v>
      </c>
      <c r="J103" s="3" t="s">
        <v>36</v>
      </c>
      <c r="K103" s="9" t="s">
        <v>36</v>
      </c>
      <c r="L103" s="6" t="s">
        <v>36</v>
      </c>
      <c r="M103" s="3" t="s">
        <v>36</v>
      </c>
      <c r="N103" s="3" t="s">
        <v>36</v>
      </c>
      <c r="O103" s="8" t="s">
        <v>36</v>
      </c>
      <c r="P103" s="3" t="s">
        <v>36</v>
      </c>
      <c r="Q103" s="3" t="s">
        <v>36</v>
      </c>
      <c r="R103" s="3" t="s">
        <v>36</v>
      </c>
      <c r="S103" s="3" t="s">
        <v>36</v>
      </c>
      <c r="T103" s="3" t="s">
        <v>781</v>
      </c>
      <c r="U103" s="3" t="s">
        <v>38</v>
      </c>
      <c r="V103" s="3" t="s">
        <v>39</v>
      </c>
      <c r="W103" s="3" t="s">
        <v>782</v>
      </c>
      <c r="X103" s="10" t="s">
        <v>783</v>
      </c>
      <c r="Y103" s="6" t="s">
        <v>42</v>
      </c>
      <c r="Z103" s="4">
        <v>1.11</v>
      </c>
      <c r="AA103" s="4" t="s">
        <v>36</v>
      </c>
      <c r="AB103" s="3" t="s">
        <v>56</v>
      </c>
      <c r="AC103" s="3" t="s">
        <v>784</v>
      </c>
      <c r="AD103" s="9">
        <v>45638</v>
      </c>
      <c r="AE103" s="3" t="s">
        <v>785</v>
      </c>
      <c r="AF103" s="3" t="s">
        <v>786</v>
      </c>
      <c r="AG103" s="3" t="s">
        <v>787</v>
      </c>
      <c r="AH103" s="11">
        <f>HYPERLINK("https://my.pitchbook.com?c=279847-99T","View Company Online")</f>
      </c>
    </row>
    <row r="104">
      <c r="A104" s="12" t="s">
        <v>788</v>
      </c>
      <c r="B104" s="12" t="s">
        <v>789</v>
      </c>
      <c r="C104" s="19" t="s">
        <v>36</v>
      </c>
      <c r="D104" s="19" t="s">
        <v>36</v>
      </c>
      <c r="E104" s="19" t="s">
        <v>36</v>
      </c>
      <c r="F104" s="19" t="s">
        <v>36</v>
      </c>
      <c r="G104" s="15" t="s">
        <v>36</v>
      </c>
      <c r="H104" s="14" t="s">
        <v>36</v>
      </c>
      <c r="I104" s="18" t="s">
        <v>36</v>
      </c>
      <c r="J104" s="12" t="s">
        <v>36</v>
      </c>
      <c r="K104" s="13" t="s">
        <v>36</v>
      </c>
      <c r="L104" s="15" t="s">
        <v>36</v>
      </c>
      <c r="M104" s="12" t="s">
        <v>36</v>
      </c>
      <c r="N104" s="12" t="s">
        <v>36</v>
      </c>
      <c r="O104" s="17" t="s">
        <v>36</v>
      </c>
      <c r="P104" s="12" t="s">
        <v>36</v>
      </c>
      <c r="Q104" s="12" t="s">
        <v>36</v>
      </c>
      <c r="R104" s="12" t="s">
        <v>36</v>
      </c>
      <c r="S104" s="12" t="s">
        <v>36</v>
      </c>
      <c r="T104" s="12" t="s">
        <v>123</v>
      </c>
      <c r="U104" s="12" t="s">
        <v>38</v>
      </c>
      <c r="V104" s="12" t="s">
        <v>39</v>
      </c>
      <c r="W104" s="12" t="s">
        <v>790</v>
      </c>
      <c r="X104" s="16" t="s">
        <v>791</v>
      </c>
      <c r="Y104" s="15" t="s">
        <v>42</v>
      </c>
      <c r="Z104" s="14">
        <v>3.16</v>
      </c>
      <c r="AA104" s="14" t="s">
        <v>36</v>
      </c>
      <c r="AB104" s="12" t="s">
        <v>43</v>
      </c>
      <c r="AC104" s="12" t="s">
        <v>792</v>
      </c>
      <c r="AD104" s="13">
        <v>45638</v>
      </c>
      <c r="AE104" s="12" t="s">
        <v>110</v>
      </c>
      <c r="AF104" s="12" t="s">
        <v>275</v>
      </c>
      <c r="AG104" s="12" t="s">
        <v>81</v>
      </c>
      <c r="AH104" s="1">
        <f>HYPERLINK("https://my.pitchbook.com?c=279777-70T","View Company Online")</f>
      </c>
    </row>
    <row r="105">
      <c r="A105" s="3" t="s">
        <v>793</v>
      </c>
      <c r="B105" s="3" t="s">
        <v>794</v>
      </c>
      <c r="C105" s="5" t="s">
        <v>36</v>
      </c>
      <c r="D105" s="5" t="s">
        <v>36</v>
      </c>
      <c r="E105" s="5" t="s">
        <v>36</v>
      </c>
      <c r="F105" s="5" t="s">
        <v>36</v>
      </c>
      <c r="G105" s="6" t="s">
        <v>36</v>
      </c>
      <c r="H105" s="4" t="s">
        <v>36</v>
      </c>
      <c r="I105" s="7" t="s">
        <v>36</v>
      </c>
      <c r="J105" s="3" t="s">
        <v>36</v>
      </c>
      <c r="K105" s="9" t="s">
        <v>36</v>
      </c>
      <c r="L105" s="6" t="s">
        <v>36</v>
      </c>
      <c r="M105" s="3" t="s">
        <v>36</v>
      </c>
      <c r="N105" s="3" t="s">
        <v>36</v>
      </c>
      <c r="O105" s="8" t="s">
        <v>36</v>
      </c>
      <c r="P105" s="3" t="s">
        <v>36</v>
      </c>
      <c r="Q105" s="3" t="s">
        <v>36</v>
      </c>
      <c r="R105" s="3" t="s">
        <v>36</v>
      </c>
      <c r="S105" s="3" t="s">
        <v>36</v>
      </c>
      <c r="T105" s="3" t="s">
        <v>795</v>
      </c>
      <c r="U105" s="3" t="s">
        <v>38</v>
      </c>
      <c r="V105" s="3" t="s">
        <v>39</v>
      </c>
      <c r="W105" s="3" t="s">
        <v>796</v>
      </c>
      <c r="X105" s="10" t="s">
        <v>797</v>
      </c>
      <c r="Y105" s="6" t="s">
        <v>192</v>
      </c>
      <c r="Z105" s="4">
        <v>5.27</v>
      </c>
      <c r="AA105" s="4" t="s">
        <v>36</v>
      </c>
      <c r="AB105" s="3" t="s">
        <v>43</v>
      </c>
      <c r="AC105" s="3" t="s">
        <v>798</v>
      </c>
      <c r="AD105" s="9">
        <v>45637</v>
      </c>
      <c r="AE105" s="3" t="s">
        <v>45</v>
      </c>
      <c r="AF105" s="3" t="s">
        <v>799</v>
      </c>
      <c r="AG105" s="3" t="s">
        <v>800</v>
      </c>
      <c r="AH105" s="11">
        <f>HYPERLINK("https://my.pitchbook.com?c=279835-93T","View Company Online")</f>
      </c>
    </row>
    <row r="106">
      <c r="A106" s="12" t="s">
        <v>801</v>
      </c>
      <c r="B106" s="12" t="s">
        <v>802</v>
      </c>
      <c r="C106" s="19">
        <v>2</v>
      </c>
      <c r="D106" s="19" t="s">
        <v>36</v>
      </c>
      <c r="E106" s="19">
        <v>1</v>
      </c>
      <c r="F106" s="19">
        <v>2</v>
      </c>
      <c r="G106" s="15" t="s">
        <v>326</v>
      </c>
      <c r="H106" s="14" t="s">
        <v>36</v>
      </c>
      <c r="I106" s="18">
        <v>24.3</v>
      </c>
      <c r="J106" s="12" t="s">
        <v>521</v>
      </c>
      <c r="K106" s="13" t="s">
        <v>36</v>
      </c>
      <c r="L106" s="15" t="s">
        <v>122</v>
      </c>
      <c r="M106" s="12" t="s">
        <v>36</v>
      </c>
      <c r="N106" s="12" t="s">
        <v>122</v>
      </c>
      <c r="O106" s="17" t="s">
        <v>36</v>
      </c>
      <c r="P106" s="12" t="s">
        <v>36</v>
      </c>
      <c r="Q106" s="12" t="s">
        <v>36</v>
      </c>
      <c r="R106" s="12" t="s">
        <v>36</v>
      </c>
      <c r="S106" s="12" t="s">
        <v>36</v>
      </c>
      <c r="T106" s="12" t="s">
        <v>803</v>
      </c>
      <c r="U106" s="12" t="s">
        <v>51</v>
      </c>
      <c r="V106" s="12" t="s">
        <v>52</v>
      </c>
      <c r="W106" s="12" t="s">
        <v>804</v>
      </c>
      <c r="X106" s="16" t="s">
        <v>805</v>
      </c>
      <c r="Y106" s="15" t="s">
        <v>55</v>
      </c>
      <c r="Z106" s="14">
        <v>9.94</v>
      </c>
      <c r="AA106" s="14">
        <v>40.9</v>
      </c>
      <c r="AB106" s="12" t="s">
        <v>56</v>
      </c>
      <c r="AC106" s="12" t="s">
        <v>806</v>
      </c>
      <c r="AD106" s="13">
        <v>45637</v>
      </c>
      <c r="AE106" s="12" t="s">
        <v>58</v>
      </c>
      <c r="AF106" s="12" t="s">
        <v>807</v>
      </c>
      <c r="AG106" s="12" t="s">
        <v>808</v>
      </c>
      <c r="AH106" s="1">
        <f>HYPERLINK("https://my.pitchbook.com?c=279645-13T","View Company Online")</f>
      </c>
    </row>
    <row r="107">
      <c r="A107" s="3" t="s">
        <v>809</v>
      </c>
      <c r="B107" s="3" t="s">
        <v>810</v>
      </c>
      <c r="C107" s="5" t="s">
        <v>36</v>
      </c>
      <c r="D107" s="5" t="s">
        <v>36</v>
      </c>
      <c r="E107" s="5" t="s">
        <v>36</v>
      </c>
      <c r="F107" s="5" t="s">
        <v>36</v>
      </c>
      <c r="G107" s="6" t="s">
        <v>36</v>
      </c>
      <c r="H107" s="4" t="s">
        <v>36</v>
      </c>
      <c r="I107" s="7" t="s">
        <v>36</v>
      </c>
      <c r="J107" s="3" t="s">
        <v>36</v>
      </c>
      <c r="K107" s="9" t="s">
        <v>36</v>
      </c>
      <c r="L107" s="6" t="s">
        <v>122</v>
      </c>
      <c r="M107" s="3" t="s">
        <v>36</v>
      </c>
      <c r="N107" s="3" t="s">
        <v>122</v>
      </c>
      <c r="O107" s="8" t="s">
        <v>36</v>
      </c>
      <c r="P107" s="3" t="s">
        <v>36</v>
      </c>
      <c r="Q107" s="3" t="s">
        <v>36</v>
      </c>
      <c r="R107" s="3" t="s">
        <v>36</v>
      </c>
      <c r="S107" s="3" t="s">
        <v>36</v>
      </c>
      <c r="T107" s="3" t="s">
        <v>811</v>
      </c>
      <c r="U107" s="3" t="s">
        <v>38</v>
      </c>
      <c r="V107" s="3" t="s">
        <v>39</v>
      </c>
      <c r="W107" s="3" t="s">
        <v>812</v>
      </c>
      <c r="X107" s="10" t="s">
        <v>813</v>
      </c>
      <c r="Y107" s="6" t="s">
        <v>166</v>
      </c>
      <c r="Z107" s="4">
        <v>13.7</v>
      </c>
      <c r="AA107" s="4" t="s">
        <v>36</v>
      </c>
      <c r="AB107" s="3" t="s">
        <v>56</v>
      </c>
      <c r="AC107" s="3" t="s">
        <v>814</v>
      </c>
      <c r="AD107" s="9">
        <v>45637</v>
      </c>
      <c r="AE107" s="3" t="s">
        <v>339</v>
      </c>
      <c r="AF107" s="3" t="s">
        <v>815</v>
      </c>
      <c r="AG107" s="3" t="s">
        <v>81</v>
      </c>
      <c r="AH107" s="11">
        <f>HYPERLINK("https://my.pitchbook.com?c=282643-12T","View Company Online")</f>
      </c>
    </row>
    <row r="108">
      <c r="A108" s="12" t="s">
        <v>816</v>
      </c>
      <c r="B108" s="12" t="s">
        <v>817</v>
      </c>
      <c r="C108" s="19" t="s">
        <v>36</v>
      </c>
      <c r="D108" s="19" t="s">
        <v>36</v>
      </c>
      <c r="E108" s="19" t="s">
        <v>36</v>
      </c>
      <c r="F108" s="19" t="s">
        <v>36</v>
      </c>
      <c r="G108" s="15" t="s">
        <v>36</v>
      </c>
      <c r="H108" s="14" t="s">
        <v>36</v>
      </c>
      <c r="I108" s="18" t="s">
        <v>36</v>
      </c>
      <c r="J108" s="12" t="s">
        <v>36</v>
      </c>
      <c r="K108" s="13" t="s">
        <v>36</v>
      </c>
      <c r="L108" s="15" t="s">
        <v>36</v>
      </c>
      <c r="M108" s="12" t="s">
        <v>36</v>
      </c>
      <c r="N108" s="12" t="s">
        <v>36</v>
      </c>
      <c r="O108" s="17" t="s">
        <v>36</v>
      </c>
      <c r="P108" s="12" t="s">
        <v>36</v>
      </c>
      <c r="Q108" s="12" t="s">
        <v>36</v>
      </c>
      <c r="R108" s="12" t="s">
        <v>36</v>
      </c>
      <c r="S108" s="12" t="s">
        <v>36</v>
      </c>
      <c r="T108" s="12" t="s">
        <v>818</v>
      </c>
      <c r="U108" s="12" t="s">
        <v>74</v>
      </c>
      <c r="V108" s="12" t="s">
        <v>75</v>
      </c>
      <c r="W108" s="12" t="s">
        <v>819</v>
      </c>
      <c r="X108" s="16" t="s">
        <v>820</v>
      </c>
      <c r="Y108" s="15" t="s">
        <v>108</v>
      </c>
      <c r="Z108" s="14">
        <v>0.53</v>
      </c>
      <c r="AA108" s="14" t="s">
        <v>36</v>
      </c>
      <c r="AB108" s="12" t="s">
        <v>56</v>
      </c>
      <c r="AC108" s="12" t="s">
        <v>821</v>
      </c>
      <c r="AD108" s="13">
        <v>45637</v>
      </c>
      <c r="AE108" s="12" t="s">
        <v>570</v>
      </c>
      <c r="AF108" s="12" t="s">
        <v>822</v>
      </c>
      <c r="AG108" s="12" t="s">
        <v>47</v>
      </c>
      <c r="AH108" s="1">
        <f>HYPERLINK("https://my.pitchbook.com?c=279660-52T","View Company Online")</f>
      </c>
    </row>
    <row r="109">
      <c r="A109" s="3" t="s">
        <v>823</v>
      </c>
      <c r="B109" s="3" t="s">
        <v>824</v>
      </c>
      <c r="C109" s="5" t="s">
        <v>36</v>
      </c>
      <c r="D109" s="5" t="s">
        <v>36</v>
      </c>
      <c r="E109" s="5" t="s">
        <v>36</v>
      </c>
      <c r="F109" s="5" t="s">
        <v>36</v>
      </c>
      <c r="G109" s="6" t="s">
        <v>36</v>
      </c>
      <c r="H109" s="4" t="s">
        <v>36</v>
      </c>
      <c r="I109" s="7" t="s">
        <v>36</v>
      </c>
      <c r="J109" s="3" t="s">
        <v>36</v>
      </c>
      <c r="K109" s="9" t="s">
        <v>36</v>
      </c>
      <c r="L109" s="6" t="s">
        <v>36</v>
      </c>
      <c r="M109" s="3" t="s">
        <v>36</v>
      </c>
      <c r="N109" s="3" t="s">
        <v>36</v>
      </c>
      <c r="O109" s="8" t="s">
        <v>36</v>
      </c>
      <c r="P109" s="3" t="s">
        <v>36</v>
      </c>
      <c r="Q109" s="3" t="s">
        <v>36</v>
      </c>
      <c r="R109" s="3" t="s">
        <v>36</v>
      </c>
      <c r="S109" s="3" t="s">
        <v>825</v>
      </c>
      <c r="T109" s="3" t="s">
        <v>507</v>
      </c>
      <c r="U109" s="3" t="s">
        <v>51</v>
      </c>
      <c r="V109" s="3" t="s">
        <v>52</v>
      </c>
      <c r="W109" s="3" t="s">
        <v>826</v>
      </c>
      <c r="X109" s="10" t="s">
        <v>827</v>
      </c>
      <c r="Y109" s="6" t="s">
        <v>321</v>
      </c>
      <c r="Z109" s="4">
        <v>38</v>
      </c>
      <c r="AA109" s="4" t="s">
        <v>36</v>
      </c>
      <c r="AB109" s="3" t="s">
        <v>56</v>
      </c>
      <c r="AC109" s="3" t="s">
        <v>828</v>
      </c>
      <c r="AD109" s="9">
        <v>45636</v>
      </c>
      <c r="AE109" s="3" t="s">
        <v>504</v>
      </c>
      <c r="AF109" s="3" t="s">
        <v>829</v>
      </c>
      <c r="AG109" s="3" t="s">
        <v>81</v>
      </c>
      <c r="AH109" s="11">
        <f>HYPERLINK("https://my.pitchbook.com?c=279517-60T","View Company Online")</f>
      </c>
    </row>
    <row r="110">
      <c r="A110" s="12" t="s">
        <v>830</v>
      </c>
      <c r="B110" s="12" t="s">
        <v>831</v>
      </c>
      <c r="C110" s="19">
        <v>1</v>
      </c>
      <c r="D110" s="19">
        <v>2</v>
      </c>
      <c r="E110" s="19">
        <v>1</v>
      </c>
      <c r="F110" s="19">
        <v>3</v>
      </c>
      <c r="G110" s="15" t="s">
        <v>36</v>
      </c>
      <c r="H110" s="14" t="s">
        <v>36</v>
      </c>
      <c r="I110" s="18" t="s">
        <v>36</v>
      </c>
      <c r="J110" s="12" t="s">
        <v>36</v>
      </c>
      <c r="K110" s="13" t="s">
        <v>36</v>
      </c>
      <c r="L110" s="15" t="s">
        <v>36</v>
      </c>
      <c r="M110" s="12" t="s">
        <v>36</v>
      </c>
      <c r="N110" s="12" t="s">
        <v>36</v>
      </c>
      <c r="O110" s="17" t="s">
        <v>36</v>
      </c>
      <c r="P110" s="12" t="s">
        <v>36</v>
      </c>
      <c r="Q110" s="12" t="s">
        <v>36</v>
      </c>
      <c r="R110" s="12" t="s">
        <v>36</v>
      </c>
      <c r="S110" s="12" t="s">
        <v>36</v>
      </c>
      <c r="T110" s="12" t="s">
        <v>832</v>
      </c>
      <c r="U110" s="12" t="s">
        <v>833</v>
      </c>
      <c r="V110" s="12" t="s">
        <v>64</v>
      </c>
      <c r="W110" s="12" t="s">
        <v>834</v>
      </c>
      <c r="X110" s="16" t="s">
        <v>835</v>
      </c>
      <c r="Y110" s="15" t="s">
        <v>108</v>
      </c>
      <c r="Z110" s="14">
        <v>1.27</v>
      </c>
      <c r="AA110" s="14" t="s">
        <v>36</v>
      </c>
      <c r="AB110" s="12" t="s">
        <v>43</v>
      </c>
      <c r="AC110" s="12" t="s">
        <v>836</v>
      </c>
      <c r="AD110" s="13">
        <v>45636</v>
      </c>
      <c r="AE110" s="12" t="s">
        <v>837</v>
      </c>
      <c r="AF110" s="12" t="s">
        <v>838</v>
      </c>
      <c r="AG110" s="12" t="s">
        <v>81</v>
      </c>
      <c r="AH110" s="1">
        <f>HYPERLINK("https://my.pitchbook.com?c=284771-62T","View Company Online")</f>
      </c>
    </row>
    <row r="111">
      <c r="A111" s="3" t="s">
        <v>839</v>
      </c>
      <c r="B111" s="3" t="s">
        <v>840</v>
      </c>
      <c r="C111" s="5" t="s">
        <v>36</v>
      </c>
      <c r="D111" s="5" t="s">
        <v>36</v>
      </c>
      <c r="E111" s="5" t="s">
        <v>36</v>
      </c>
      <c r="F111" s="5" t="s">
        <v>36</v>
      </c>
      <c r="G111" s="6" t="s">
        <v>326</v>
      </c>
      <c r="H111" s="4">
        <v>149.65</v>
      </c>
      <c r="I111" s="7">
        <v>46.88</v>
      </c>
      <c r="J111" s="3" t="s">
        <v>521</v>
      </c>
      <c r="K111" s="9" t="s">
        <v>36</v>
      </c>
      <c r="L111" s="6" t="s">
        <v>122</v>
      </c>
      <c r="M111" s="3" t="s">
        <v>36</v>
      </c>
      <c r="N111" s="3" t="s">
        <v>122</v>
      </c>
      <c r="O111" s="8" t="s">
        <v>36</v>
      </c>
      <c r="P111" s="3" t="s">
        <v>36</v>
      </c>
      <c r="Q111" s="3" t="s">
        <v>36</v>
      </c>
      <c r="R111" s="3" t="s">
        <v>36</v>
      </c>
      <c r="S111" s="3" t="s">
        <v>36</v>
      </c>
      <c r="T111" s="3" t="s">
        <v>575</v>
      </c>
      <c r="U111" s="3" t="s">
        <v>51</v>
      </c>
      <c r="V111" s="3" t="s">
        <v>52</v>
      </c>
      <c r="W111" s="3" t="s">
        <v>841</v>
      </c>
      <c r="X111" s="10" t="s">
        <v>842</v>
      </c>
      <c r="Y111" s="6" t="s">
        <v>108</v>
      </c>
      <c r="Z111" s="4">
        <v>17.58</v>
      </c>
      <c r="AA111" s="4">
        <v>37.51</v>
      </c>
      <c r="AB111" s="3" t="s">
        <v>43</v>
      </c>
      <c r="AC111" s="3" t="s">
        <v>843</v>
      </c>
      <c r="AD111" s="9">
        <v>45636</v>
      </c>
      <c r="AE111" s="3" t="s">
        <v>158</v>
      </c>
      <c r="AF111" s="3" t="s">
        <v>844</v>
      </c>
      <c r="AG111" s="3" t="s">
        <v>81</v>
      </c>
      <c r="AH111" s="11">
        <f>HYPERLINK("https://my.pitchbook.com?c=272514-52T","View Company Online")</f>
      </c>
    </row>
    <row r="112">
      <c r="A112" s="12" t="s">
        <v>845</v>
      </c>
      <c r="B112" s="12" t="s">
        <v>846</v>
      </c>
      <c r="C112" s="19" t="s">
        <v>36</v>
      </c>
      <c r="D112" s="19" t="s">
        <v>36</v>
      </c>
      <c r="E112" s="19" t="s">
        <v>36</v>
      </c>
      <c r="F112" s="19" t="s">
        <v>36</v>
      </c>
      <c r="G112" s="15" t="s">
        <v>36</v>
      </c>
      <c r="H112" s="14" t="s">
        <v>36</v>
      </c>
      <c r="I112" s="18" t="s">
        <v>36</v>
      </c>
      <c r="J112" s="12" t="s">
        <v>36</v>
      </c>
      <c r="K112" s="13" t="s">
        <v>36</v>
      </c>
      <c r="L112" s="15" t="s">
        <v>36</v>
      </c>
      <c r="M112" s="12" t="s">
        <v>36</v>
      </c>
      <c r="N112" s="12" t="s">
        <v>36</v>
      </c>
      <c r="O112" s="17" t="s">
        <v>36</v>
      </c>
      <c r="P112" s="12" t="s">
        <v>36</v>
      </c>
      <c r="Q112" s="12" t="s">
        <v>36</v>
      </c>
      <c r="R112" s="12" t="s">
        <v>36</v>
      </c>
      <c r="S112" s="12" t="s">
        <v>36</v>
      </c>
      <c r="T112" s="12" t="s">
        <v>847</v>
      </c>
      <c r="U112" s="12" t="s">
        <v>279</v>
      </c>
      <c r="V112" s="12" t="s">
        <v>64</v>
      </c>
      <c r="W112" s="12" t="s">
        <v>848</v>
      </c>
      <c r="X112" s="16" t="s">
        <v>849</v>
      </c>
      <c r="Y112" s="15" t="s">
        <v>42</v>
      </c>
      <c r="Z112" s="14">
        <v>3.16</v>
      </c>
      <c r="AA112" s="14" t="s">
        <v>36</v>
      </c>
      <c r="AB112" s="12" t="s">
        <v>43</v>
      </c>
      <c r="AC112" s="12" t="s">
        <v>850</v>
      </c>
      <c r="AD112" s="13">
        <v>45636</v>
      </c>
      <c r="AE112" s="12" t="s">
        <v>851</v>
      </c>
      <c r="AF112" s="12" t="s">
        <v>36</v>
      </c>
      <c r="AG112" s="12" t="s">
        <v>852</v>
      </c>
      <c r="AH112" s="1">
        <f>HYPERLINK("https://my.pitchbook.com?c=279581-86T","View Company Online")</f>
      </c>
    </row>
    <row r="113">
      <c r="A113" s="3" t="s">
        <v>853</v>
      </c>
      <c r="B113" s="3" t="s">
        <v>854</v>
      </c>
      <c r="C113" s="5" t="s">
        <v>36</v>
      </c>
      <c r="D113" s="5" t="s">
        <v>36</v>
      </c>
      <c r="E113" s="5" t="s">
        <v>36</v>
      </c>
      <c r="F113" s="5" t="s">
        <v>36</v>
      </c>
      <c r="G113" s="6" t="s">
        <v>36</v>
      </c>
      <c r="H113" s="4" t="s">
        <v>36</v>
      </c>
      <c r="I113" s="7" t="s">
        <v>36</v>
      </c>
      <c r="J113" s="3" t="s">
        <v>36</v>
      </c>
      <c r="K113" s="9" t="s">
        <v>36</v>
      </c>
      <c r="L113" s="6" t="s">
        <v>36</v>
      </c>
      <c r="M113" s="3" t="s">
        <v>36</v>
      </c>
      <c r="N113" s="3" t="s">
        <v>36</v>
      </c>
      <c r="O113" s="8" t="s">
        <v>36</v>
      </c>
      <c r="P113" s="3" t="s">
        <v>36</v>
      </c>
      <c r="Q113" s="3" t="s">
        <v>36</v>
      </c>
      <c r="R113" s="3" t="s">
        <v>36</v>
      </c>
      <c r="S113" s="3" t="s">
        <v>36</v>
      </c>
      <c r="T113" s="3" t="s">
        <v>855</v>
      </c>
      <c r="U113" s="3" t="s">
        <v>648</v>
      </c>
      <c r="V113" s="3" t="s">
        <v>64</v>
      </c>
      <c r="W113" s="3" t="s">
        <v>856</v>
      </c>
      <c r="X113" s="10" t="s">
        <v>857</v>
      </c>
      <c r="Y113" s="6" t="s">
        <v>192</v>
      </c>
      <c r="Z113" s="4">
        <v>19.02</v>
      </c>
      <c r="AA113" s="4" t="s">
        <v>36</v>
      </c>
      <c r="AB113" s="3" t="s">
        <v>56</v>
      </c>
      <c r="AC113" s="3" t="s">
        <v>858</v>
      </c>
      <c r="AD113" s="9">
        <v>45632</v>
      </c>
      <c r="AE113" s="3" t="s">
        <v>651</v>
      </c>
      <c r="AF113" s="3" t="s">
        <v>90</v>
      </c>
      <c r="AG113" s="3" t="s">
        <v>81</v>
      </c>
      <c r="AH113" s="11">
        <f>HYPERLINK("https://my.pitchbook.com?c=279311-41T","View Company Online")</f>
      </c>
    </row>
    <row r="114">
      <c r="A114" s="12" t="s">
        <v>859</v>
      </c>
      <c r="B114" s="12" t="s">
        <v>860</v>
      </c>
      <c r="C114" s="19" t="s">
        <v>36</v>
      </c>
      <c r="D114" s="19" t="s">
        <v>36</v>
      </c>
      <c r="E114" s="19" t="s">
        <v>36</v>
      </c>
      <c r="F114" s="19" t="s">
        <v>36</v>
      </c>
      <c r="G114" s="15" t="s">
        <v>36</v>
      </c>
      <c r="H114" s="14" t="s">
        <v>36</v>
      </c>
      <c r="I114" s="18" t="s">
        <v>36</v>
      </c>
      <c r="J114" s="12" t="s">
        <v>36</v>
      </c>
      <c r="K114" s="13" t="s">
        <v>36</v>
      </c>
      <c r="L114" s="15" t="s">
        <v>36</v>
      </c>
      <c r="M114" s="12" t="s">
        <v>36</v>
      </c>
      <c r="N114" s="12" t="s">
        <v>36</v>
      </c>
      <c r="O114" s="17" t="s">
        <v>36</v>
      </c>
      <c r="P114" s="12" t="s">
        <v>36</v>
      </c>
      <c r="Q114" s="12" t="s">
        <v>36</v>
      </c>
      <c r="R114" s="12" t="s">
        <v>36</v>
      </c>
      <c r="S114" s="12" t="s">
        <v>36</v>
      </c>
      <c r="T114" s="12" t="s">
        <v>861</v>
      </c>
      <c r="U114" s="12" t="s">
        <v>51</v>
      </c>
      <c r="V114" s="12" t="s">
        <v>52</v>
      </c>
      <c r="W114" s="12" t="s">
        <v>862</v>
      </c>
      <c r="X114" s="16" t="s">
        <v>863</v>
      </c>
      <c r="Y114" s="15" t="s">
        <v>55</v>
      </c>
      <c r="Z114" s="14">
        <v>2.33</v>
      </c>
      <c r="AA114" s="14" t="s">
        <v>36</v>
      </c>
      <c r="AB114" s="12" t="s">
        <v>56</v>
      </c>
      <c r="AC114" s="12" t="s">
        <v>864</v>
      </c>
      <c r="AD114" s="13">
        <v>45631</v>
      </c>
      <c r="AE114" s="12" t="s">
        <v>158</v>
      </c>
      <c r="AF114" s="12" t="s">
        <v>865</v>
      </c>
      <c r="AG114" s="12" t="s">
        <v>144</v>
      </c>
      <c r="AH114" s="1">
        <f>HYPERLINK("https://my.pitchbook.com?c=279281-44T","View Company Online")</f>
      </c>
    </row>
    <row r="115">
      <c r="A115" s="3" t="s">
        <v>866</v>
      </c>
      <c r="B115" s="3" t="s">
        <v>867</v>
      </c>
      <c r="C115" s="5" t="s">
        <v>36</v>
      </c>
      <c r="D115" s="5" t="s">
        <v>36</v>
      </c>
      <c r="E115" s="5" t="s">
        <v>36</v>
      </c>
      <c r="F115" s="5" t="s">
        <v>36</v>
      </c>
      <c r="G115" s="6" t="s">
        <v>36</v>
      </c>
      <c r="H115" s="4" t="s">
        <v>36</v>
      </c>
      <c r="I115" s="7" t="s">
        <v>36</v>
      </c>
      <c r="J115" s="3" t="s">
        <v>36</v>
      </c>
      <c r="K115" s="9">
        <v>45536</v>
      </c>
      <c r="L115" s="6" t="s">
        <v>36</v>
      </c>
      <c r="M115" s="3" t="s">
        <v>36</v>
      </c>
      <c r="N115" s="3" t="s">
        <v>36</v>
      </c>
      <c r="O115" s="8" t="s">
        <v>36</v>
      </c>
      <c r="P115" s="3" t="s">
        <v>36</v>
      </c>
      <c r="Q115" s="3" t="s">
        <v>36</v>
      </c>
      <c r="R115" s="3" t="s">
        <v>36</v>
      </c>
      <c r="S115" s="3" t="s">
        <v>36</v>
      </c>
      <c r="T115" s="3" t="s">
        <v>386</v>
      </c>
      <c r="U115" s="3" t="s">
        <v>387</v>
      </c>
      <c r="V115" s="3" t="s">
        <v>367</v>
      </c>
      <c r="W115" s="3" t="s">
        <v>868</v>
      </c>
      <c r="X115" s="10" t="s">
        <v>869</v>
      </c>
      <c r="Y115" s="6" t="s">
        <v>55</v>
      </c>
      <c r="Z115" s="4">
        <v>126.95</v>
      </c>
      <c r="AA115" s="4" t="s">
        <v>36</v>
      </c>
      <c r="AB115" s="3" t="s">
        <v>43</v>
      </c>
      <c r="AC115" s="3" t="s">
        <v>870</v>
      </c>
      <c r="AD115" s="9">
        <v>45631</v>
      </c>
      <c r="AE115" s="3" t="s">
        <v>391</v>
      </c>
      <c r="AF115" s="3" t="s">
        <v>871</v>
      </c>
      <c r="AG115" s="3" t="s">
        <v>47</v>
      </c>
      <c r="AH115" s="11">
        <f>HYPERLINK("https://my.pitchbook.com?c=279187-39T","View Company Online")</f>
      </c>
    </row>
    <row r="116">
      <c r="A116" s="12" t="s">
        <v>872</v>
      </c>
      <c r="B116" s="12" t="s">
        <v>873</v>
      </c>
      <c r="C116" s="19" t="s">
        <v>36</v>
      </c>
      <c r="D116" s="19" t="s">
        <v>36</v>
      </c>
      <c r="E116" s="19" t="s">
        <v>36</v>
      </c>
      <c r="F116" s="19" t="s">
        <v>36</v>
      </c>
      <c r="G116" s="15" t="s">
        <v>36</v>
      </c>
      <c r="H116" s="14" t="s">
        <v>36</v>
      </c>
      <c r="I116" s="18" t="s">
        <v>36</v>
      </c>
      <c r="J116" s="12" t="s">
        <v>36</v>
      </c>
      <c r="K116" s="13">
        <v>45505</v>
      </c>
      <c r="L116" s="15" t="s">
        <v>36</v>
      </c>
      <c r="M116" s="12" t="s">
        <v>36</v>
      </c>
      <c r="N116" s="12" t="s">
        <v>36</v>
      </c>
      <c r="O116" s="17" t="s">
        <v>36</v>
      </c>
      <c r="P116" s="12" t="s">
        <v>36</v>
      </c>
      <c r="Q116" s="12" t="s">
        <v>36</v>
      </c>
      <c r="R116" s="12" t="s">
        <v>36</v>
      </c>
      <c r="S116" s="12" t="s">
        <v>36</v>
      </c>
      <c r="T116" s="12" t="s">
        <v>874</v>
      </c>
      <c r="U116" s="12" t="s">
        <v>38</v>
      </c>
      <c r="V116" s="12" t="s">
        <v>39</v>
      </c>
      <c r="W116" s="12" t="s">
        <v>875</v>
      </c>
      <c r="X116" s="16" t="s">
        <v>876</v>
      </c>
      <c r="Y116" s="15" t="s">
        <v>42</v>
      </c>
      <c r="Z116" s="14">
        <v>2.12</v>
      </c>
      <c r="AA116" s="14" t="s">
        <v>36</v>
      </c>
      <c r="AB116" s="12" t="s">
        <v>56</v>
      </c>
      <c r="AC116" s="12" t="s">
        <v>877</v>
      </c>
      <c r="AD116" s="13">
        <v>45631</v>
      </c>
      <c r="AE116" s="12" t="s">
        <v>110</v>
      </c>
      <c r="AF116" s="12" t="s">
        <v>815</v>
      </c>
      <c r="AG116" s="12" t="s">
        <v>878</v>
      </c>
      <c r="AH116" s="1">
        <f>HYPERLINK("https://my.pitchbook.com?c=269937-91T","View Company Online")</f>
      </c>
    </row>
    <row r="117">
      <c r="A117" s="3" t="s">
        <v>879</v>
      </c>
      <c r="B117" s="3" t="s">
        <v>880</v>
      </c>
      <c r="C117" s="5" t="s">
        <v>36</v>
      </c>
      <c r="D117" s="5" t="s">
        <v>36</v>
      </c>
      <c r="E117" s="5" t="s">
        <v>36</v>
      </c>
      <c r="F117" s="5" t="s">
        <v>36</v>
      </c>
      <c r="G117" s="6" t="s">
        <v>36</v>
      </c>
      <c r="H117" s="4" t="s">
        <v>36</v>
      </c>
      <c r="I117" s="7" t="s">
        <v>36</v>
      </c>
      <c r="J117" s="3" t="s">
        <v>36</v>
      </c>
      <c r="K117" s="9" t="s">
        <v>36</v>
      </c>
      <c r="L117" s="6" t="s">
        <v>122</v>
      </c>
      <c r="M117" s="3" t="s">
        <v>36</v>
      </c>
      <c r="N117" s="3" t="s">
        <v>122</v>
      </c>
      <c r="O117" s="8" t="s">
        <v>36</v>
      </c>
      <c r="P117" s="3" t="s">
        <v>36</v>
      </c>
      <c r="Q117" s="3" t="s">
        <v>36</v>
      </c>
      <c r="R117" s="3" t="s">
        <v>36</v>
      </c>
      <c r="S117" s="3" t="s">
        <v>36</v>
      </c>
      <c r="T117" s="3" t="s">
        <v>881</v>
      </c>
      <c r="U117" s="3" t="s">
        <v>51</v>
      </c>
      <c r="V117" s="3" t="s">
        <v>52</v>
      </c>
      <c r="W117" s="3" t="s">
        <v>882</v>
      </c>
      <c r="X117" s="10" t="s">
        <v>883</v>
      </c>
      <c r="Y117" s="6" t="s">
        <v>55</v>
      </c>
      <c r="Z117" s="4">
        <v>42.36</v>
      </c>
      <c r="AA117" s="4" t="s">
        <v>36</v>
      </c>
      <c r="AB117" s="3" t="s">
        <v>56</v>
      </c>
      <c r="AC117" s="3" t="s">
        <v>884</v>
      </c>
      <c r="AD117" s="9">
        <v>45630</v>
      </c>
      <c r="AE117" s="3" t="s">
        <v>504</v>
      </c>
      <c r="AF117" s="3" t="s">
        <v>885</v>
      </c>
      <c r="AG117" s="3" t="s">
        <v>652</v>
      </c>
      <c r="AH117" s="11">
        <f>HYPERLINK("https://my.pitchbook.com?c=257378-95T","View Company Online")</f>
      </c>
    </row>
    <row r="118">
      <c r="A118" s="12" t="s">
        <v>886</v>
      </c>
      <c r="B118" s="12" t="s">
        <v>887</v>
      </c>
      <c r="C118" s="19" t="s">
        <v>36</v>
      </c>
      <c r="D118" s="19" t="s">
        <v>36</v>
      </c>
      <c r="E118" s="19" t="s">
        <v>36</v>
      </c>
      <c r="F118" s="19" t="s">
        <v>36</v>
      </c>
      <c r="G118" s="15" t="s">
        <v>36</v>
      </c>
      <c r="H118" s="14" t="s">
        <v>36</v>
      </c>
      <c r="I118" s="18" t="s">
        <v>36</v>
      </c>
      <c r="J118" s="12" t="s">
        <v>36</v>
      </c>
      <c r="K118" s="13" t="s">
        <v>36</v>
      </c>
      <c r="L118" s="15" t="s">
        <v>36</v>
      </c>
      <c r="M118" s="12" t="s">
        <v>36</v>
      </c>
      <c r="N118" s="12" t="s">
        <v>36</v>
      </c>
      <c r="O118" s="17" t="s">
        <v>36</v>
      </c>
      <c r="P118" s="12" t="s">
        <v>36</v>
      </c>
      <c r="Q118" s="12" t="s">
        <v>36</v>
      </c>
      <c r="R118" s="12" t="s">
        <v>36</v>
      </c>
      <c r="S118" s="12" t="s">
        <v>36</v>
      </c>
      <c r="T118" s="12" t="s">
        <v>888</v>
      </c>
      <c r="U118" s="12" t="s">
        <v>387</v>
      </c>
      <c r="V118" s="12" t="s">
        <v>367</v>
      </c>
      <c r="W118" s="12" t="s">
        <v>889</v>
      </c>
      <c r="X118" s="16" t="s">
        <v>890</v>
      </c>
      <c r="Y118" s="15" t="s">
        <v>42</v>
      </c>
      <c r="Z118" s="14">
        <v>2.65</v>
      </c>
      <c r="AA118" s="14" t="s">
        <v>36</v>
      </c>
      <c r="AB118" s="12" t="s">
        <v>43</v>
      </c>
      <c r="AC118" s="12" t="s">
        <v>891</v>
      </c>
      <c r="AD118" s="13">
        <v>45630</v>
      </c>
      <c r="AE118" s="12" t="s">
        <v>391</v>
      </c>
      <c r="AF118" s="12" t="s">
        <v>36</v>
      </c>
      <c r="AG118" s="12" t="s">
        <v>892</v>
      </c>
      <c r="AH118" s="1">
        <f>HYPERLINK("https://my.pitchbook.com?c=279222-13T","View Company Online")</f>
      </c>
    </row>
    <row r="119">
      <c r="A119" s="3" t="s">
        <v>893</v>
      </c>
      <c r="B119" s="3" t="s">
        <v>894</v>
      </c>
      <c r="C119" s="5" t="s">
        <v>36</v>
      </c>
      <c r="D119" s="5" t="s">
        <v>36</v>
      </c>
      <c r="E119" s="5" t="s">
        <v>36</v>
      </c>
      <c r="F119" s="5" t="s">
        <v>36</v>
      </c>
      <c r="G119" s="6" t="s">
        <v>36</v>
      </c>
      <c r="H119" s="4" t="s">
        <v>36</v>
      </c>
      <c r="I119" s="7" t="s">
        <v>36</v>
      </c>
      <c r="J119" s="3" t="s">
        <v>36</v>
      </c>
      <c r="K119" s="9" t="s">
        <v>36</v>
      </c>
      <c r="L119" s="6" t="s">
        <v>36</v>
      </c>
      <c r="M119" s="3" t="s">
        <v>36</v>
      </c>
      <c r="N119" s="3" t="s">
        <v>36</v>
      </c>
      <c r="O119" s="8" t="s">
        <v>36</v>
      </c>
      <c r="P119" s="3" t="s">
        <v>36</v>
      </c>
      <c r="Q119" s="3" t="s">
        <v>36</v>
      </c>
      <c r="R119" s="3" t="s">
        <v>36</v>
      </c>
      <c r="S119" s="3" t="s">
        <v>36</v>
      </c>
      <c r="T119" s="3" t="s">
        <v>895</v>
      </c>
      <c r="U119" s="3" t="s">
        <v>366</v>
      </c>
      <c r="V119" s="3" t="s">
        <v>367</v>
      </c>
      <c r="W119" s="3" t="s">
        <v>896</v>
      </c>
      <c r="X119" s="10" t="s">
        <v>897</v>
      </c>
      <c r="Y119" s="6" t="s">
        <v>108</v>
      </c>
      <c r="Z119" s="4">
        <v>2.33</v>
      </c>
      <c r="AA119" s="4" t="s">
        <v>36</v>
      </c>
      <c r="AB119" s="3" t="s">
        <v>43</v>
      </c>
      <c r="AC119" s="3" t="s">
        <v>898</v>
      </c>
      <c r="AD119" s="9">
        <v>45630</v>
      </c>
      <c r="AE119" s="3" t="s">
        <v>600</v>
      </c>
      <c r="AF119" s="3" t="s">
        <v>703</v>
      </c>
      <c r="AG119" s="3" t="s">
        <v>899</v>
      </c>
      <c r="AH119" s="11">
        <f>HYPERLINK("https://my.pitchbook.com?c=279150-94T","View Company Online")</f>
      </c>
    </row>
    <row r="120">
      <c r="A120" s="12" t="s">
        <v>900</v>
      </c>
      <c r="B120" s="12" t="s">
        <v>901</v>
      </c>
      <c r="C120" s="19" t="s">
        <v>36</v>
      </c>
      <c r="D120" s="19" t="s">
        <v>36</v>
      </c>
      <c r="E120" s="19" t="s">
        <v>36</v>
      </c>
      <c r="F120" s="19" t="s">
        <v>36</v>
      </c>
      <c r="G120" s="15" t="s">
        <v>36</v>
      </c>
      <c r="H120" s="14" t="s">
        <v>36</v>
      </c>
      <c r="I120" s="18">
        <v>14.95</v>
      </c>
      <c r="J120" s="12" t="s">
        <v>327</v>
      </c>
      <c r="K120" s="13" t="s">
        <v>36</v>
      </c>
      <c r="L120" s="15" t="s">
        <v>94</v>
      </c>
      <c r="M120" s="12" t="s">
        <v>36</v>
      </c>
      <c r="N120" s="12" t="s">
        <v>94</v>
      </c>
      <c r="O120" s="17" t="s">
        <v>36</v>
      </c>
      <c r="P120" s="12" t="s">
        <v>36</v>
      </c>
      <c r="Q120" s="12" t="s">
        <v>36</v>
      </c>
      <c r="R120" s="12" t="s">
        <v>36</v>
      </c>
      <c r="S120" s="12" t="s">
        <v>36</v>
      </c>
      <c r="T120" s="12" t="s">
        <v>522</v>
      </c>
      <c r="U120" s="12" t="s">
        <v>38</v>
      </c>
      <c r="V120" s="12" t="s">
        <v>39</v>
      </c>
      <c r="W120" s="12" t="s">
        <v>902</v>
      </c>
      <c r="X120" s="16" t="s">
        <v>903</v>
      </c>
      <c r="Y120" s="15" t="s">
        <v>166</v>
      </c>
      <c r="Z120" s="14">
        <v>13.78</v>
      </c>
      <c r="AA120" s="14">
        <v>92.17</v>
      </c>
      <c r="AB120" s="12" t="s">
        <v>56</v>
      </c>
      <c r="AC120" s="12" t="s">
        <v>904</v>
      </c>
      <c r="AD120" s="13">
        <v>45629</v>
      </c>
      <c r="AE120" s="12" t="s">
        <v>110</v>
      </c>
      <c r="AF120" s="12" t="s">
        <v>905</v>
      </c>
      <c r="AG120" s="12" t="s">
        <v>81</v>
      </c>
      <c r="AH120" s="1">
        <f>HYPERLINK("https://my.pitchbook.com?c=278978-32T","View Company Online")</f>
      </c>
    </row>
    <row r="121">
      <c r="A121" s="3" t="s">
        <v>906</v>
      </c>
      <c r="B121" s="3" t="s">
        <v>907</v>
      </c>
      <c r="C121" s="5" t="s">
        <v>36</v>
      </c>
      <c r="D121" s="5" t="s">
        <v>36</v>
      </c>
      <c r="E121" s="5" t="s">
        <v>36</v>
      </c>
      <c r="F121" s="5" t="s">
        <v>36</v>
      </c>
      <c r="G121" s="6" t="s">
        <v>36</v>
      </c>
      <c r="H121" s="4" t="s">
        <v>36</v>
      </c>
      <c r="I121" s="7" t="s">
        <v>36</v>
      </c>
      <c r="J121" s="3" t="s">
        <v>36</v>
      </c>
      <c r="K121" s="9" t="s">
        <v>36</v>
      </c>
      <c r="L121" s="6" t="s">
        <v>36</v>
      </c>
      <c r="M121" s="3" t="s">
        <v>36</v>
      </c>
      <c r="N121" s="3" t="s">
        <v>36</v>
      </c>
      <c r="O121" s="8" t="s">
        <v>36</v>
      </c>
      <c r="P121" s="3" t="s">
        <v>36</v>
      </c>
      <c r="Q121" s="3" t="s">
        <v>36</v>
      </c>
      <c r="R121" s="3" t="s">
        <v>36</v>
      </c>
      <c r="S121" s="3" t="s">
        <v>36</v>
      </c>
      <c r="T121" s="3" t="s">
        <v>37</v>
      </c>
      <c r="U121" s="3" t="s">
        <v>38</v>
      </c>
      <c r="V121" s="3" t="s">
        <v>39</v>
      </c>
      <c r="W121" s="3" t="s">
        <v>908</v>
      </c>
      <c r="X121" s="10" t="s">
        <v>909</v>
      </c>
      <c r="Y121" s="6" t="s">
        <v>42</v>
      </c>
      <c r="Z121" s="4">
        <v>1.06</v>
      </c>
      <c r="AA121" s="4" t="s">
        <v>36</v>
      </c>
      <c r="AB121" s="3" t="s">
        <v>56</v>
      </c>
      <c r="AC121" s="3" t="s">
        <v>910</v>
      </c>
      <c r="AD121" s="9">
        <v>45629</v>
      </c>
      <c r="AE121" s="3" t="s">
        <v>45</v>
      </c>
      <c r="AF121" s="3" t="s">
        <v>215</v>
      </c>
      <c r="AG121" s="3" t="s">
        <v>81</v>
      </c>
      <c r="AH121" s="11">
        <f>HYPERLINK("https://my.pitchbook.com?c=278998-12T","View Company Online")</f>
      </c>
    </row>
    <row r="122">
      <c r="A122" s="12" t="s">
        <v>911</v>
      </c>
      <c r="B122" s="12" t="s">
        <v>912</v>
      </c>
      <c r="C122" s="19" t="s">
        <v>36</v>
      </c>
      <c r="D122" s="19" t="s">
        <v>36</v>
      </c>
      <c r="E122" s="19" t="s">
        <v>36</v>
      </c>
      <c r="F122" s="19" t="s">
        <v>36</v>
      </c>
      <c r="G122" s="15" t="s">
        <v>36</v>
      </c>
      <c r="H122" s="14" t="s">
        <v>36</v>
      </c>
      <c r="I122" s="18" t="s">
        <v>36</v>
      </c>
      <c r="J122" s="12" t="s">
        <v>36</v>
      </c>
      <c r="K122" s="13" t="s">
        <v>36</v>
      </c>
      <c r="L122" s="15" t="s">
        <v>36</v>
      </c>
      <c r="M122" s="12" t="s">
        <v>36</v>
      </c>
      <c r="N122" s="12" t="s">
        <v>36</v>
      </c>
      <c r="O122" s="17" t="s">
        <v>36</v>
      </c>
      <c r="P122" s="12" t="s">
        <v>36</v>
      </c>
      <c r="Q122" s="12" t="s">
        <v>36</v>
      </c>
      <c r="R122" s="12" t="s">
        <v>36</v>
      </c>
      <c r="S122" s="12" t="s">
        <v>36</v>
      </c>
      <c r="T122" s="12" t="s">
        <v>913</v>
      </c>
      <c r="U122" s="12" t="s">
        <v>180</v>
      </c>
      <c r="V122" s="12" t="s">
        <v>52</v>
      </c>
      <c r="W122" s="12" t="s">
        <v>914</v>
      </c>
      <c r="X122" s="16" t="s">
        <v>915</v>
      </c>
      <c r="Y122" s="15" t="s">
        <v>55</v>
      </c>
      <c r="Z122" s="14">
        <v>6.36</v>
      </c>
      <c r="AA122" s="14" t="s">
        <v>36</v>
      </c>
      <c r="AB122" s="12" t="s">
        <v>56</v>
      </c>
      <c r="AC122" s="12" t="s">
        <v>916</v>
      </c>
      <c r="AD122" s="13">
        <v>45629</v>
      </c>
      <c r="AE122" s="12" t="s">
        <v>184</v>
      </c>
      <c r="AF122" s="12" t="s">
        <v>917</v>
      </c>
      <c r="AG122" s="12" t="s">
        <v>81</v>
      </c>
      <c r="AH122" s="1">
        <f>HYPERLINK("https://my.pitchbook.com?c=278983-99T","View Company Online")</f>
      </c>
    </row>
    <row r="123">
      <c r="A123" s="3" t="s">
        <v>918</v>
      </c>
      <c r="B123" s="3" t="s">
        <v>919</v>
      </c>
      <c r="C123" s="5">
        <v>3</v>
      </c>
      <c r="D123" s="5">
        <v>2</v>
      </c>
      <c r="E123" s="5">
        <v>1</v>
      </c>
      <c r="F123" s="5">
        <v>5</v>
      </c>
      <c r="G123" s="6" t="s">
        <v>36</v>
      </c>
      <c r="H123" s="4" t="s">
        <v>36</v>
      </c>
      <c r="I123" s="7" t="s">
        <v>36</v>
      </c>
      <c r="J123" s="3" t="s">
        <v>36</v>
      </c>
      <c r="K123" s="9" t="s">
        <v>36</v>
      </c>
      <c r="L123" s="6" t="s">
        <v>36</v>
      </c>
      <c r="M123" s="3" t="s">
        <v>36</v>
      </c>
      <c r="N123" s="3" t="s">
        <v>36</v>
      </c>
      <c r="O123" s="8" t="s">
        <v>36</v>
      </c>
      <c r="P123" s="3" t="s">
        <v>36</v>
      </c>
      <c r="Q123" s="3" t="s">
        <v>36</v>
      </c>
      <c r="R123" s="3" t="s">
        <v>36</v>
      </c>
      <c r="S123" s="3" t="s">
        <v>36</v>
      </c>
      <c r="T123" s="3" t="s">
        <v>920</v>
      </c>
      <c r="U123" s="3" t="s">
        <v>318</v>
      </c>
      <c r="V123" s="3" t="s">
        <v>39</v>
      </c>
      <c r="W123" s="3" t="s">
        <v>921</v>
      </c>
      <c r="X123" s="10" t="s">
        <v>922</v>
      </c>
      <c r="Y123" s="6" t="s">
        <v>42</v>
      </c>
      <c r="Z123" s="4" t="s">
        <v>36</v>
      </c>
      <c r="AA123" s="4" t="s">
        <v>36</v>
      </c>
      <c r="AB123" s="3" t="s">
        <v>43</v>
      </c>
      <c r="AC123" s="3" t="s">
        <v>923</v>
      </c>
      <c r="AD123" s="9">
        <v>45627</v>
      </c>
      <c r="AE123" s="3" t="s">
        <v>417</v>
      </c>
      <c r="AF123" s="3" t="s">
        <v>118</v>
      </c>
      <c r="AG123" s="3" t="s">
        <v>924</v>
      </c>
      <c r="AH123" s="11">
        <f>HYPERLINK("https://my.pitchbook.com?c=282448-63T","View Company Online")</f>
      </c>
    </row>
    <row r="124">
      <c r="A124" s="12" t="s">
        <v>925</v>
      </c>
      <c r="B124" s="12" t="s">
        <v>926</v>
      </c>
      <c r="C124" s="19" t="s">
        <v>36</v>
      </c>
      <c r="D124" s="19" t="s">
        <v>36</v>
      </c>
      <c r="E124" s="19" t="s">
        <v>36</v>
      </c>
      <c r="F124" s="19" t="s">
        <v>36</v>
      </c>
      <c r="G124" s="15" t="s">
        <v>36</v>
      </c>
      <c r="H124" s="14" t="s">
        <v>36</v>
      </c>
      <c r="I124" s="18" t="s">
        <v>36</v>
      </c>
      <c r="J124" s="12" t="s">
        <v>36</v>
      </c>
      <c r="K124" s="13">
        <v>45572</v>
      </c>
      <c r="L124" s="15" t="s">
        <v>94</v>
      </c>
      <c r="M124" s="12" t="s">
        <v>36</v>
      </c>
      <c r="N124" s="12" t="s">
        <v>94</v>
      </c>
      <c r="O124" s="17" t="s">
        <v>36</v>
      </c>
      <c r="P124" s="12" t="s">
        <v>36</v>
      </c>
      <c r="Q124" s="12" t="s">
        <v>36</v>
      </c>
      <c r="R124" s="12" t="s">
        <v>36</v>
      </c>
      <c r="S124" s="12" t="s">
        <v>36</v>
      </c>
      <c r="T124" s="12" t="s">
        <v>927</v>
      </c>
      <c r="U124" s="12" t="s">
        <v>219</v>
      </c>
      <c r="V124" s="12" t="s">
        <v>75</v>
      </c>
      <c r="W124" s="12" t="s">
        <v>928</v>
      </c>
      <c r="X124" s="16" t="s">
        <v>929</v>
      </c>
      <c r="Y124" s="15" t="s">
        <v>166</v>
      </c>
      <c r="Z124" s="14" t="s">
        <v>36</v>
      </c>
      <c r="AA124" s="14" t="s">
        <v>36</v>
      </c>
      <c r="AB124" s="12" t="s">
        <v>56</v>
      </c>
      <c r="AC124" s="12" t="s">
        <v>930</v>
      </c>
      <c r="AD124" s="13">
        <v>45627</v>
      </c>
      <c r="AE124" s="12" t="s">
        <v>243</v>
      </c>
      <c r="AF124" s="12" t="s">
        <v>931</v>
      </c>
      <c r="AG124" s="12" t="s">
        <v>932</v>
      </c>
      <c r="AH124" s="1">
        <f>HYPERLINK("https://my.pitchbook.com?c=274022-29T","View Company Online")</f>
      </c>
    </row>
    <row r="125">
      <c r="A125" s="3" t="s">
        <v>933</v>
      </c>
      <c r="B125" s="3" t="s">
        <v>934</v>
      </c>
      <c r="C125" s="5" t="s">
        <v>36</v>
      </c>
      <c r="D125" s="5" t="s">
        <v>36</v>
      </c>
      <c r="E125" s="5" t="s">
        <v>36</v>
      </c>
      <c r="F125" s="5" t="s">
        <v>36</v>
      </c>
      <c r="G125" s="6" t="s">
        <v>36</v>
      </c>
      <c r="H125" s="4">
        <v>77.65</v>
      </c>
      <c r="I125" s="7">
        <v>35.16</v>
      </c>
      <c r="J125" s="3" t="s">
        <v>521</v>
      </c>
      <c r="K125" s="9" t="s">
        <v>36</v>
      </c>
      <c r="L125" s="6" t="s">
        <v>36</v>
      </c>
      <c r="M125" s="3" t="s">
        <v>36</v>
      </c>
      <c r="N125" s="3" t="s">
        <v>36</v>
      </c>
      <c r="O125" s="8" t="s">
        <v>36</v>
      </c>
      <c r="P125" s="3" t="s">
        <v>36</v>
      </c>
      <c r="Q125" s="3" t="s">
        <v>36</v>
      </c>
      <c r="R125" s="3" t="s">
        <v>36</v>
      </c>
      <c r="S125" s="3" t="s">
        <v>36</v>
      </c>
      <c r="T125" s="3" t="s">
        <v>935</v>
      </c>
      <c r="U125" s="3" t="s">
        <v>63</v>
      </c>
      <c r="V125" s="3" t="s">
        <v>64</v>
      </c>
      <c r="W125" s="3" t="s">
        <v>936</v>
      </c>
      <c r="X125" s="10" t="s">
        <v>621</v>
      </c>
      <c r="Y125" s="6" t="s">
        <v>42</v>
      </c>
      <c r="Z125" s="4">
        <v>2.15</v>
      </c>
      <c r="AA125" s="4">
        <v>6.13</v>
      </c>
      <c r="AB125" s="3" t="s">
        <v>43</v>
      </c>
      <c r="AC125" s="3" t="s">
        <v>937</v>
      </c>
      <c r="AD125" s="9">
        <v>45627</v>
      </c>
      <c r="AE125" s="3" t="s">
        <v>399</v>
      </c>
      <c r="AF125" s="3" t="s">
        <v>938</v>
      </c>
      <c r="AG125" s="3" t="s">
        <v>939</v>
      </c>
      <c r="AH125" s="11">
        <f>HYPERLINK("https://my.pitchbook.com?c=280050-40T","View Company Online")</f>
      </c>
    </row>
    <row r="126">
      <c r="A126" s="12" t="s">
        <v>940</v>
      </c>
      <c r="B126" s="12" t="s">
        <v>941</v>
      </c>
      <c r="C126" s="19" t="s">
        <v>36</v>
      </c>
      <c r="D126" s="19" t="s">
        <v>36</v>
      </c>
      <c r="E126" s="19" t="s">
        <v>36</v>
      </c>
      <c r="F126" s="19" t="s">
        <v>36</v>
      </c>
      <c r="G126" s="15" t="s">
        <v>36</v>
      </c>
      <c r="H126" s="14" t="s">
        <v>36</v>
      </c>
      <c r="I126" s="18" t="s">
        <v>36</v>
      </c>
      <c r="J126" s="12" t="s">
        <v>36</v>
      </c>
      <c r="K126" s="13" t="s">
        <v>36</v>
      </c>
      <c r="L126" s="15" t="s">
        <v>36</v>
      </c>
      <c r="M126" s="12" t="s">
        <v>36</v>
      </c>
      <c r="N126" s="12" t="s">
        <v>36</v>
      </c>
      <c r="O126" s="17" t="s">
        <v>36</v>
      </c>
      <c r="P126" s="12" t="s">
        <v>36</v>
      </c>
      <c r="Q126" s="12" t="s">
        <v>36</v>
      </c>
      <c r="R126" s="12" t="s">
        <v>36</v>
      </c>
      <c r="S126" s="12" t="s">
        <v>36</v>
      </c>
      <c r="T126" s="12" t="s">
        <v>942</v>
      </c>
      <c r="U126" s="12" t="s">
        <v>38</v>
      </c>
      <c r="V126" s="12" t="s">
        <v>39</v>
      </c>
      <c r="W126" s="12" t="s">
        <v>943</v>
      </c>
      <c r="X126" s="16" t="s">
        <v>944</v>
      </c>
      <c r="Y126" s="15" t="s">
        <v>42</v>
      </c>
      <c r="Z126" s="14" t="s">
        <v>36</v>
      </c>
      <c r="AA126" s="14" t="s">
        <v>36</v>
      </c>
      <c r="AB126" s="12" t="s">
        <v>43</v>
      </c>
      <c r="AC126" s="12" t="s">
        <v>945</v>
      </c>
      <c r="AD126" s="13">
        <v>45627</v>
      </c>
      <c r="AE126" s="12" t="s">
        <v>45</v>
      </c>
      <c r="AF126" s="12" t="s">
        <v>680</v>
      </c>
      <c r="AG126" s="12" t="s">
        <v>81</v>
      </c>
      <c r="AH126" s="1">
        <f>HYPERLINK("https://my.pitchbook.com?c=280136-17T","View Company Online")</f>
      </c>
    </row>
    <row r="127">
      <c r="A127" s="3" t="s">
        <v>946</v>
      </c>
      <c r="B127" s="3" t="s">
        <v>947</v>
      </c>
      <c r="C127" s="5" t="s">
        <v>36</v>
      </c>
      <c r="D127" s="5" t="s">
        <v>36</v>
      </c>
      <c r="E127" s="5" t="s">
        <v>36</v>
      </c>
      <c r="F127" s="5" t="s">
        <v>36</v>
      </c>
      <c r="G127" s="6" t="s">
        <v>36</v>
      </c>
      <c r="H127" s="4" t="s">
        <v>36</v>
      </c>
      <c r="I127" s="7" t="s">
        <v>36</v>
      </c>
      <c r="J127" s="3" t="s">
        <v>36</v>
      </c>
      <c r="K127" s="9" t="s">
        <v>36</v>
      </c>
      <c r="L127" s="6" t="s">
        <v>36</v>
      </c>
      <c r="M127" s="3" t="s">
        <v>36</v>
      </c>
      <c r="N127" s="3" t="s">
        <v>36</v>
      </c>
      <c r="O127" s="8" t="s">
        <v>36</v>
      </c>
      <c r="P127" s="3" t="s">
        <v>36</v>
      </c>
      <c r="Q127" s="3" t="s">
        <v>36</v>
      </c>
      <c r="R127" s="3" t="s">
        <v>36</v>
      </c>
      <c r="S127" s="3" t="s">
        <v>36</v>
      </c>
      <c r="T127" s="3" t="s">
        <v>948</v>
      </c>
      <c r="U127" s="3" t="s">
        <v>38</v>
      </c>
      <c r="V127" s="3" t="s">
        <v>39</v>
      </c>
      <c r="W127" s="3" t="s">
        <v>949</v>
      </c>
      <c r="X127" s="10" t="s">
        <v>950</v>
      </c>
      <c r="Y127" s="6" t="s">
        <v>108</v>
      </c>
      <c r="Z127" s="4" t="s">
        <v>36</v>
      </c>
      <c r="AA127" s="4" t="s">
        <v>36</v>
      </c>
      <c r="AB127" s="3" t="s">
        <v>43</v>
      </c>
      <c r="AC127" s="3" t="s">
        <v>951</v>
      </c>
      <c r="AD127" s="9">
        <v>45627</v>
      </c>
      <c r="AE127" s="3" t="s">
        <v>110</v>
      </c>
      <c r="AF127" s="3" t="s">
        <v>952</v>
      </c>
      <c r="AG127" s="3" t="s">
        <v>81</v>
      </c>
      <c r="AH127" s="11">
        <f>HYPERLINK("https://my.pitchbook.com?c=280081-36T","View Company Online")</f>
      </c>
    </row>
    <row r="128">
      <c r="A128" s="12" t="s">
        <v>953</v>
      </c>
      <c r="B128" s="12" t="s">
        <v>954</v>
      </c>
      <c r="C128" s="19" t="s">
        <v>36</v>
      </c>
      <c r="D128" s="19" t="s">
        <v>36</v>
      </c>
      <c r="E128" s="19" t="s">
        <v>36</v>
      </c>
      <c r="F128" s="19" t="s">
        <v>36</v>
      </c>
      <c r="G128" s="15" t="s">
        <v>36</v>
      </c>
      <c r="H128" s="14" t="s">
        <v>36</v>
      </c>
      <c r="I128" s="18" t="s">
        <v>36</v>
      </c>
      <c r="J128" s="12" t="s">
        <v>36</v>
      </c>
      <c r="K128" s="13" t="s">
        <v>36</v>
      </c>
      <c r="L128" s="15" t="s">
        <v>36</v>
      </c>
      <c r="M128" s="12" t="s">
        <v>36</v>
      </c>
      <c r="N128" s="12" t="s">
        <v>36</v>
      </c>
      <c r="O128" s="17" t="s">
        <v>36</v>
      </c>
      <c r="P128" s="12" t="s">
        <v>36</v>
      </c>
      <c r="Q128" s="12" t="s">
        <v>36</v>
      </c>
      <c r="R128" s="12" t="s">
        <v>36</v>
      </c>
      <c r="S128" s="12" t="s">
        <v>36</v>
      </c>
      <c r="T128" s="12" t="s">
        <v>955</v>
      </c>
      <c r="U128" s="12" t="s">
        <v>956</v>
      </c>
      <c r="V128" s="12" t="s">
        <v>405</v>
      </c>
      <c r="W128" s="12" t="s">
        <v>957</v>
      </c>
      <c r="X128" s="16" t="s">
        <v>958</v>
      </c>
      <c r="Y128" s="15" t="s">
        <v>55</v>
      </c>
      <c r="Z128" s="14">
        <v>13.81</v>
      </c>
      <c r="AA128" s="14" t="s">
        <v>36</v>
      </c>
      <c r="AB128" s="12" t="s">
        <v>43</v>
      </c>
      <c r="AC128" s="12" t="s">
        <v>959</v>
      </c>
      <c r="AD128" s="13">
        <v>45627</v>
      </c>
      <c r="AE128" s="12" t="s">
        <v>960</v>
      </c>
      <c r="AF128" s="12" t="s">
        <v>961</v>
      </c>
      <c r="AG128" s="12" t="s">
        <v>962</v>
      </c>
      <c r="AH128" s="1">
        <f>HYPERLINK("https://my.pitchbook.com?c=283314-16T","View Company Online")</f>
      </c>
    </row>
    <row r="129">
      <c r="A129" s="3" t="s">
        <v>963</v>
      </c>
      <c r="B129" s="3" t="s">
        <v>964</v>
      </c>
      <c r="C129" s="5" t="s">
        <v>36</v>
      </c>
      <c r="D129" s="5" t="s">
        <v>36</v>
      </c>
      <c r="E129" s="5" t="s">
        <v>36</v>
      </c>
      <c r="F129" s="5" t="s">
        <v>36</v>
      </c>
      <c r="G129" s="6" t="s">
        <v>36</v>
      </c>
      <c r="H129" s="4" t="s">
        <v>36</v>
      </c>
      <c r="I129" s="7" t="s">
        <v>36</v>
      </c>
      <c r="J129" s="3" t="s">
        <v>36</v>
      </c>
      <c r="K129" s="9" t="s">
        <v>36</v>
      </c>
      <c r="L129" s="6" t="s">
        <v>36</v>
      </c>
      <c r="M129" s="3" t="s">
        <v>36</v>
      </c>
      <c r="N129" s="3" t="s">
        <v>36</v>
      </c>
      <c r="O129" s="8" t="s">
        <v>36</v>
      </c>
      <c r="P129" s="3" t="s">
        <v>36</v>
      </c>
      <c r="Q129" s="3" t="s">
        <v>36</v>
      </c>
      <c r="R129" s="3" t="s">
        <v>36</v>
      </c>
      <c r="S129" s="3" t="s">
        <v>36</v>
      </c>
      <c r="T129" s="3" t="s">
        <v>965</v>
      </c>
      <c r="U129" s="3" t="s">
        <v>377</v>
      </c>
      <c r="V129" s="3" t="s">
        <v>378</v>
      </c>
      <c r="W129" s="3" t="s">
        <v>966</v>
      </c>
      <c r="X129" s="10" t="s">
        <v>967</v>
      </c>
      <c r="Y129" s="6" t="s">
        <v>42</v>
      </c>
      <c r="Z129" s="4" t="s">
        <v>36</v>
      </c>
      <c r="AA129" s="4" t="s">
        <v>36</v>
      </c>
      <c r="AB129" s="3" t="s">
        <v>43</v>
      </c>
      <c r="AC129" s="3" t="s">
        <v>968</v>
      </c>
      <c r="AD129" s="9">
        <v>45627</v>
      </c>
      <c r="AE129" s="3" t="s">
        <v>377</v>
      </c>
      <c r="AF129" s="3" t="s">
        <v>601</v>
      </c>
      <c r="AG129" s="3" t="s">
        <v>969</v>
      </c>
      <c r="AH129" s="11">
        <f>HYPERLINK("https://my.pitchbook.com?c=279060-31T","View Company Online")</f>
      </c>
    </row>
    <row r="130">
      <c r="A130" s="12" t="s">
        <v>970</v>
      </c>
      <c r="B130" s="12" t="s">
        <v>971</v>
      </c>
      <c r="C130" s="19" t="s">
        <v>36</v>
      </c>
      <c r="D130" s="19" t="s">
        <v>36</v>
      </c>
      <c r="E130" s="19" t="s">
        <v>36</v>
      </c>
      <c r="F130" s="19" t="s">
        <v>36</v>
      </c>
      <c r="G130" s="15" t="s">
        <v>36</v>
      </c>
      <c r="H130" s="14" t="s">
        <v>36</v>
      </c>
      <c r="I130" s="18" t="s">
        <v>36</v>
      </c>
      <c r="J130" s="12" t="s">
        <v>36</v>
      </c>
      <c r="K130" s="13" t="s">
        <v>36</v>
      </c>
      <c r="L130" s="15" t="s">
        <v>36</v>
      </c>
      <c r="M130" s="12" t="s">
        <v>36</v>
      </c>
      <c r="N130" s="12" t="s">
        <v>36</v>
      </c>
      <c r="O130" s="17" t="s">
        <v>36</v>
      </c>
      <c r="P130" s="12" t="s">
        <v>36</v>
      </c>
      <c r="Q130" s="12" t="s">
        <v>36</v>
      </c>
      <c r="R130" s="12" t="s">
        <v>36</v>
      </c>
      <c r="S130" s="12" t="s">
        <v>36</v>
      </c>
      <c r="T130" s="12" t="s">
        <v>972</v>
      </c>
      <c r="U130" s="12" t="s">
        <v>74</v>
      </c>
      <c r="V130" s="12" t="s">
        <v>75</v>
      </c>
      <c r="W130" s="12" t="s">
        <v>973</v>
      </c>
      <c r="X130" s="16" t="s">
        <v>621</v>
      </c>
      <c r="Y130" s="15" t="s">
        <v>42</v>
      </c>
      <c r="Z130" s="14" t="s">
        <v>36</v>
      </c>
      <c r="AA130" s="14" t="s">
        <v>36</v>
      </c>
      <c r="AB130" s="12" t="s">
        <v>43</v>
      </c>
      <c r="AC130" s="12" t="s">
        <v>974</v>
      </c>
      <c r="AD130" s="13">
        <v>45627</v>
      </c>
      <c r="AE130" s="12" t="s">
        <v>975</v>
      </c>
      <c r="AF130" s="12" t="s">
        <v>592</v>
      </c>
      <c r="AG130" s="12" t="s">
        <v>976</v>
      </c>
      <c r="AH130" s="1">
        <f>HYPERLINK("https://my.pitchbook.com?c=280084-15T","View Company Online")</f>
      </c>
    </row>
    <row r="131">
      <c r="A131" s="3" t="s">
        <v>977</v>
      </c>
      <c r="B131" s="3" t="s">
        <v>978</v>
      </c>
      <c r="C131" s="5" t="s">
        <v>36</v>
      </c>
      <c r="D131" s="5" t="s">
        <v>36</v>
      </c>
      <c r="E131" s="5" t="s">
        <v>36</v>
      </c>
      <c r="F131" s="5" t="s">
        <v>36</v>
      </c>
      <c r="G131" s="6" t="s">
        <v>36</v>
      </c>
      <c r="H131" s="4" t="s">
        <v>36</v>
      </c>
      <c r="I131" s="7" t="s">
        <v>36</v>
      </c>
      <c r="J131" s="3" t="s">
        <v>36</v>
      </c>
      <c r="K131" s="9">
        <v>45460</v>
      </c>
      <c r="L131" s="6" t="s">
        <v>36</v>
      </c>
      <c r="M131" s="3" t="s">
        <v>36</v>
      </c>
      <c r="N131" s="3" t="s">
        <v>36</v>
      </c>
      <c r="O131" s="8" t="s">
        <v>36</v>
      </c>
      <c r="P131" s="3" t="s">
        <v>36</v>
      </c>
      <c r="Q131" s="3" t="s">
        <v>36</v>
      </c>
      <c r="R131" s="3" t="s">
        <v>36</v>
      </c>
      <c r="S131" s="3" t="s">
        <v>36</v>
      </c>
      <c r="T131" s="3" t="s">
        <v>596</v>
      </c>
      <c r="U131" s="3" t="s">
        <v>366</v>
      </c>
      <c r="V131" s="3" t="s">
        <v>367</v>
      </c>
      <c r="W131" s="3" t="s">
        <v>979</v>
      </c>
      <c r="X131" s="10" t="s">
        <v>980</v>
      </c>
      <c r="Y131" s="6" t="s">
        <v>108</v>
      </c>
      <c r="Z131" s="4">
        <v>13.81</v>
      </c>
      <c r="AA131" s="4" t="s">
        <v>36</v>
      </c>
      <c r="AB131" s="3" t="s">
        <v>43</v>
      </c>
      <c r="AC131" s="3" t="s">
        <v>981</v>
      </c>
      <c r="AD131" s="9">
        <v>45627</v>
      </c>
      <c r="AE131" s="3" t="s">
        <v>600</v>
      </c>
      <c r="AF131" s="3" t="s">
        <v>982</v>
      </c>
      <c r="AG131" s="3" t="s">
        <v>983</v>
      </c>
      <c r="AH131" s="11">
        <f>HYPERLINK("https://my.pitchbook.com?c=264293-83T","View Company Online")</f>
      </c>
    </row>
    <row r="132">
      <c r="A132" s="12" t="s">
        <v>984</v>
      </c>
      <c r="B132" s="12" t="s">
        <v>985</v>
      </c>
      <c r="C132" s="19" t="s">
        <v>36</v>
      </c>
      <c r="D132" s="19">
        <v>8</v>
      </c>
      <c r="E132" s="19">
        <v>1</v>
      </c>
      <c r="F132" s="19">
        <v>9</v>
      </c>
      <c r="G132" s="15" t="s">
        <v>36</v>
      </c>
      <c r="H132" s="14" t="s">
        <v>36</v>
      </c>
      <c r="I132" s="18" t="s">
        <v>36</v>
      </c>
      <c r="J132" s="12" t="s">
        <v>36</v>
      </c>
      <c r="K132" s="13" t="s">
        <v>36</v>
      </c>
      <c r="L132" s="15" t="s">
        <v>36</v>
      </c>
      <c r="M132" s="12" t="s">
        <v>36</v>
      </c>
      <c r="N132" s="12" t="s">
        <v>36</v>
      </c>
      <c r="O132" s="17" t="s">
        <v>36</v>
      </c>
      <c r="P132" s="12" t="s">
        <v>36</v>
      </c>
      <c r="Q132" s="12" t="s">
        <v>36</v>
      </c>
      <c r="R132" s="12" t="s">
        <v>36</v>
      </c>
      <c r="S132" s="12" t="s">
        <v>36</v>
      </c>
      <c r="T132" s="12" t="s">
        <v>986</v>
      </c>
      <c r="U132" s="12" t="s">
        <v>96</v>
      </c>
      <c r="V132" s="12" t="s">
        <v>52</v>
      </c>
      <c r="W132" s="12" t="s">
        <v>987</v>
      </c>
      <c r="X132" s="16" t="s">
        <v>988</v>
      </c>
      <c r="Y132" s="15" t="s">
        <v>192</v>
      </c>
      <c r="Z132" s="14" t="s">
        <v>36</v>
      </c>
      <c r="AA132" s="14" t="s">
        <v>36</v>
      </c>
      <c r="AB132" s="12" t="s">
        <v>56</v>
      </c>
      <c r="AC132" s="12" t="s">
        <v>989</v>
      </c>
      <c r="AD132" s="13">
        <v>45627</v>
      </c>
      <c r="AE132" s="12" t="s">
        <v>143</v>
      </c>
      <c r="AF132" s="12" t="s">
        <v>990</v>
      </c>
      <c r="AG132" s="12" t="s">
        <v>991</v>
      </c>
      <c r="AH132" s="1">
        <f>HYPERLINK("https://my.pitchbook.com?c=280997-74T","View Company Online")</f>
      </c>
    </row>
    <row r="133">
      <c r="A133" s="3" t="s">
        <v>992</v>
      </c>
      <c r="B133" s="3" t="s">
        <v>993</v>
      </c>
      <c r="C133" s="5" t="s">
        <v>36</v>
      </c>
      <c r="D133" s="5" t="s">
        <v>36</v>
      </c>
      <c r="E133" s="5" t="s">
        <v>36</v>
      </c>
      <c r="F133" s="5" t="s">
        <v>36</v>
      </c>
      <c r="G133" s="6" t="s">
        <v>36</v>
      </c>
      <c r="H133" s="4" t="s">
        <v>36</v>
      </c>
      <c r="I133" s="7" t="s">
        <v>36</v>
      </c>
      <c r="J133" s="3" t="s">
        <v>36</v>
      </c>
      <c r="K133" s="9" t="s">
        <v>36</v>
      </c>
      <c r="L133" s="6" t="s">
        <v>36</v>
      </c>
      <c r="M133" s="3" t="s">
        <v>36</v>
      </c>
      <c r="N133" s="3" t="s">
        <v>36</v>
      </c>
      <c r="O133" s="8" t="s">
        <v>36</v>
      </c>
      <c r="P133" s="3" t="s">
        <v>36</v>
      </c>
      <c r="Q133" s="3" t="s">
        <v>36</v>
      </c>
      <c r="R133" s="3" t="s">
        <v>36</v>
      </c>
      <c r="S133" s="3" t="s">
        <v>36</v>
      </c>
      <c r="T133" s="3" t="s">
        <v>994</v>
      </c>
      <c r="U133" s="3" t="s">
        <v>74</v>
      </c>
      <c r="V133" s="3" t="s">
        <v>75</v>
      </c>
      <c r="W133" s="3" t="s">
        <v>995</v>
      </c>
      <c r="X133" s="10" t="s">
        <v>621</v>
      </c>
      <c r="Y133" s="6" t="s">
        <v>42</v>
      </c>
      <c r="Z133" s="4" t="s">
        <v>36</v>
      </c>
      <c r="AA133" s="4" t="s">
        <v>36</v>
      </c>
      <c r="AB133" s="3" t="s">
        <v>56</v>
      </c>
      <c r="AC133" s="3" t="s">
        <v>996</v>
      </c>
      <c r="AD133" s="9">
        <v>45627</v>
      </c>
      <c r="AE133" s="3" t="s">
        <v>362</v>
      </c>
      <c r="AF133" s="3" t="s">
        <v>250</v>
      </c>
      <c r="AG133" s="3" t="s">
        <v>81</v>
      </c>
      <c r="AH133" s="11">
        <f>HYPERLINK("https://my.pitchbook.com?c=280054-99T","View Company Online")</f>
      </c>
    </row>
    <row r="134">
      <c r="A134" s="12" t="s">
        <v>997</v>
      </c>
      <c r="B134" s="12" t="s">
        <v>998</v>
      </c>
      <c r="C134" s="19" t="s">
        <v>36</v>
      </c>
      <c r="D134" s="19" t="s">
        <v>36</v>
      </c>
      <c r="E134" s="19" t="s">
        <v>36</v>
      </c>
      <c r="F134" s="19" t="s">
        <v>36</v>
      </c>
      <c r="G134" s="15" t="s">
        <v>36</v>
      </c>
      <c r="H134" s="14" t="s">
        <v>36</v>
      </c>
      <c r="I134" s="18" t="s">
        <v>36</v>
      </c>
      <c r="J134" s="12" t="s">
        <v>36</v>
      </c>
      <c r="K134" s="13" t="s">
        <v>36</v>
      </c>
      <c r="L134" s="15" t="s">
        <v>36</v>
      </c>
      <c r="M134" s="12" t="s">
        <v>36</v>
      </c>
      <c r="N134" s="12" t="s">
        <v>36</v>
      </c>
      <c r="O134" s="17" t="s">
        <v>36</v>
      </c>
      <c r="P134" s="12" t="s">
        <v>36</v>
      </c>
      <c r="Q134" s="12" t="s">
        <v>36</v>
      </c>
      <c r="R134" s="12" t="s">
        <v>36</v>
      </c>
      <c r="S134" s="12" t="s">
        <v>36</v>
      </c>
      <c r="T134" s="12" t="s">
        <v>105</v>
      </c>
      <c r="U134" s="12" t="s">
        <v>38</v>
      </c>
      <c r="V134" s="12" t="s">
        <v>39</v>
      </c>
      <c r="W134" s="12" t="s">
        <v>999</v>
      </c>
      <c r="X134" s="16" t="s">
        <v>1000</v>
      </c>
      <c r="Y134" s="15" t="s">
        <v>42</v>
      </c>
      <c r="Z134" s="14" t="s">
        <v>36</v>
      </c>
      <c r="AA134" s="14" t="s">
        <v>36</v>
      </c>
      <c r="AB134" s="12" t="s">
        <v>43</v>
      </c>
      <c r="AC134" s="12" t="s">
        <v>1001</v>
      </c>
      <c r="AD134" s="13">
        <v>45627</v>
      </c>
      <c r="AE134" s="12" t="s">
        <v>110</v>
      </c>
      <c r="AF134" s="12" t="s">
        <v>36</v>
      </c>
      <c r="AG134" s="12" t="s">
        <v>81</v>
      </c>
      <c r="AH134" s="1">
        <f>HYPERLINK("https://my.pitchbook.com?c=279343-45T","View Company Online")</f>
      </c>
    </row>
    <row r="135">
      <c r="A135" s="3" t="s">
        <v>1002</v>
      </c>
      <c r="B135" s="3" t="s">
        <v>1003</v>
      </c>
      <c r="C135" s="5" t="s">
        <v>36</v>
      </c>
      <c r="D135" s="5" t="s">
        <v>36</v>
      </c>
      <c r="E135" s="5" t="s">
        <v>36</v>
      </c>
      <c r="F135" s="5" t="s">
        <v>36</v>
      </c>
      <c r="G135" s="6" t="s">
        <v>36</v>
      </c>
      <c r="H135" s="4" t="s">
        <v>36</v>
      </c>
      <c r="I135" s="7" t="s">
        <v>36</v>
      </c>
      <c r="J135" s="3" t="s">
        <v>36</v>
      </c>
      <c r="K135" s="9" t="s">
        <v>36</v>
      </c>
      <c r="L135" s="6" t="s">
        <v>36</v>
      </c>
      <c r="M135" s="3" t="s">
        <v>36</v>
      </c>
      <c r="N135" s="3" t="s">
        <v>36</v>
      </c>
      <c r="O135" s="8" t="s">
        <v>36</v>
      </c>
      <c r="P135" s="3" t="s">
        <v>36</v>
      </c>
      <c r="Q135" s="3" t="s">
        <v>36</v>
      </c>
      <c r="R135" s="3" t="s">
        <v>36</v>
      </c>
      <c r="S135" s="3" t="s">
        <v>36</v>
      </c>
      <c r="T135" s="3" t="s">
        <v>1004</v>
      </c>
      <c r="U135" s="3" t="s">
        <v>219</v>
      </c>
      <c r="V135" s="3" t="s">
        <v>75</v>
      </c>
      <c r="W135" s="3" t="s">
        <v>1005</v>
      </c>
      <c r="X135" s="10" t="s">
        <v>621</v>
      </c>
      <c r="Y135" s="6" t="s">
        <v>108</v>
      </c>
      <c r="Z135" s="4" t="s">
        <v>36</v>
      </c>
      <c r="AA135" s="4" t="s">
        <v>36</v>
      </c>
      <c r="AB135" s="3" t="s">
        <v>56</v>
      </c>
      <c r="AC135" s="3" t="s">
        <v>1006</v>
      </c>
      <c r="AD135" s="9">
        <v>45627</v>
      </c>
      <c r="AE135" s="3" t="s">
        <v>1007</v>
      </c>
      <c r="AF135" s="3" t="s">
        <v>1008</v>
      </c>
      <c r="AG135" s="3" t="s">
        <v>81</v>
      </c>
      <c r="AH135" s="11">
        <f>HYPERLINK("https://my.pitchbook.com?c=280086-31T","View Company Online")</f>
      </c>
    </row>
    <row r="136">
      <c r="A136" s="12" t="s">
        <v>1009</v>
      </c>
      <c r="B136" s="12" t="s">
        <v>1010</v>
      </c>
      <c r="C136" s="19" t="s">
        <v>36</v>
      </c>
      <c r="D136" s="19" t="s">
        <v>36</v>
      </c>
      <c r="E136" s="19" t="s">
        <v>36</v>
      </c>
      <c r="F136" s="19" t="s">
        <v>36</v>
      </c>
      <c r="G136" s="15" t="s">
        <v>36</v>
      </c>
      <c r="H136" s="14" t="s">
        <v>36</v>
      </c>
      <c r="I136" s="18" t="s">
        <v>36</v>
      </c>
      <c r="J136" s="12" t="s">
        <v>36</v>
      </c>
      <c r="K136" s="13" t="s">
        <v>36</v>
      </c>
      <c r="L136" s="15" t="s">
        <v>36</v>
      </c>
      <c r="M136" s="12" t="s">
        <v>36</v>
      </c>
      <c r="N136" s="12" t="s">
        <v>36</v>
      </c>
      <c r="O136" s="17" t="s">
        <v>36</v>
      </c>
      <c r="P136" s="12" t="s">
        <v>36</v>
      </c>
      <c r="Q136" s="12" t="s">
        <v>36</v>
      </c>
      <c r="R136" s="12" t="s">
        <v>36</v>
      </c>
      <c r="S136" s="12" t="s">
        <v>36</v>
      </c>
      <c r="T136" s="12" t="s">
        <v>881</v>
      </c>
      <c r="U136" s="12" t="s">
        <v>51</v>
      </c>
      <c r="V136" s="12" t="s">
        <v>52</v>
      </c>
      <c r="W136" s="12" t="s">
        <v>1011</v>
      </c>
      <c r="X136" s="16" t="s">
        <v>1012</v>
      </c>
      <c r="Y136" s="15" t="s">
        <v>108</v>
      </c>
      <c r="Z136" s="14" t="s">
        <v>36</v>
      </c>
      <c r="AA136" s="14" t="s">
        <v>36</v>
      </c>
      <c r="AB136" s="12" t="s">
        <v>43</v>
      </c>
      <c r="AC136" s="12" t="s">
        <v>1013</v>
      </c>
      <c r="AD136" s="13">
        <v>45627</v>
      </c>
      <c r="AE136" s="12" t="s">
        <v>504</v>
      </c>
      <c r="AF136" s="12" t="s">
        <v>579</v>
      </c>
      <c r="AG136" s="12" t="s">
        <v>81</v>
      </c>
      <c r="AH136" s="1">
        <f>HYPERLINK("https://my.pitchbook.com?c=279533-62T","View Company Online")</f>
      </c>
    </row>
    <row r="137">
      <c r="A137" s="3" t="s">
        <v>1014</v>
      </c>
      <c r="B137" s="3" t="s">
        <v>1015</v>
      </c>
      <c r="C137" s="5" t="s">
        <v>36</v>
      </c>
      <c r="D137" s="5" t="s">
        <v>36</v>
      </c>
      <c r="E137" s="5" t="s">
        <v>36</v>
      </c>
      <c r="F137" s="5" t="s">
        <v>36</v>
      </c>
      <c r="G137" s="6" t="s">
        <v>36</v>
      </c>
      <c r="H137" s="4" t="s">
        <v>36</v>
      </c>
      <c r="I137" s="7" t="s">
        <v>36</v>
      </c>
      <c r="J137" s="3" t="s">
        <v>36</v>
      </c>
      <c r="K137" s="9" t="s">
        <v>36</v>
      </c>
      <c r="L137" s="6" t="s">
        <v>36</v>
      </c>
      <c r="M137" s="3" t="s">
        <v>36</v>
      </c>
      <c r="N137" s="3" t="s">
        <v>36</v>
      </c>
      <c r="O137" s="8" t="s">
        <v>36</v>
      </c>
      <c r="P137" s="3" t="s">
        <v>36</v>
      </c>
      <c r="Q137" s="3" t="s">
        <v>36</v>
      </c>
      <c r="R137" s="3" t="s">
        <v>36</v>
      </c>
      <c r="S137" s="3" t="s">
        <v>36</v>
      </c>
      <c r="T137" s="3" t="s">
        <v>1016</v>
      </c>
      <c r="U137" s="3" t="s">
        <v>318</v>
      </c>
      <c r="V137" s="3" t="s">
        <v>39</v>
      </c>
      <c r="W137" s="3" t="s">
        <v>1017</v>
      </c>
      <c r="X137" s="10" t="s">
        <v>1018</v>
      </c>
      <c r="Y137" s="6" t="s">
        <v>42</v>
      </c>
      <c r="Z137" s="4" t="s">
        <v>36</v>
      </c>
      <c r="AA137" s="4" t="s">
        <v>36</v>
      </c>
      <c r="AB137" s="3" t="s">
        <v>43</v>
      </c>
      <c r="AC137" s="3" t="s">
        <v>1019</v>
      </c>
      <c r="AD137" s="9">
        <v>45627</v>
      </c>
      <c r="AE137" s="3" t="s">
        <v>1020</v>
      </c>
      <c r="AF137" s="3" t="s">
        <v>36</v>
      </c>
      <c r="AG137" s="3" t="s">
        <v>81</v>
      </c>
      <c r="AH137" s="11">
        <f>HYPERLINK("https://my.pitchbook.com?c=279334-18T","View Company Online")</f>
      </c>
    </row>
    <row r="138">
      <c r="A138" s="12" t="s">
        <v>1021</v>
      </c>
      <c r="B138" s="12" t="s">
        <v>1022</v>
      </c>
      <c r="C138" s="19" t="s">
        <v>36</v>
      </c>
      <c r="D138" s="19" t="s">
        <v>36</v>
      </c>
      <c r="E138" s="19" t="s">
        <v>36</v>
      </c>
      <c r="F138" s="19" t="s">
        <v>36</v>
      </c>
      <c r="G138" s="15" t="s">
        <v>36</v>
      </c>
      <c r="H138" s="14" t="s">
        <v>36</v>
      </c>
      <c r="I138" s="18" t="s">
        <v>36</v>
      </c>
      <c r="J138" s="12" t="s">
        <v>36</v>
      </c>
      <c r="K138" s="13" t="s">
        <v>36</v>
      </c>
      <c r="L138" s="15" t="s">
        <v>36</v>
      </c>
      <c r="M138" s="12" t="s">
        <v>36</v>
      </c>
      <c r="N138" s="12" t="s">
        <v>36</v>
      </c>
      <c r="O138" s="17" t="s">
        <v>36</v>
      </c>
      <c r="P138" s="12" t="s">
        <v>36</v>
      </c>
      <c r="Q138" s="12" t="s">
        <v>36</v>
      </c>
      <c r="R138" s="12" t="s">
        <v>36</v>
      </c>
      <c r="S138" s="12" t="s">
        <v>36</v>
      </c>
      <c r="T138" s="12" t="s">
        <v>1023</v>
      </c>
      <c r="U138" s="12" t="s">
        <v>74</v>
      </c>
      <c r="V138" s="12" t="s">
        <v>75</v>
      </c>
      <c r="W138" s="12" t="s">
        <v>1024</v>
      </c>
      <c r="X138" s="16" t="s">
        <v>1025</v>
      </c>
      <c r="Y138" s="15" t="s">
        <v>108</v>
      </c>
      <c r="Z138" s="14" t="s">
        <v>36</v>
      </c>
      <c r="AA138" s="14" t="s">
        <v>36</v>
      </c>
      <c r="AB138" s="12" t="s">
        <v>56</v>
      </c>
      <c r="AC138" s="12" t="s">
        <v>1026</v>
      </c>
      <c r="AD138" s="13">
        <v>45627</v>
      </c>
      <c r="AE138" s="12" t="s">
        <v>79</v>
      </c>
      <c r="AF138" s="12" t="s">
        <v>36</v>
      </c>
      <c r="AG138" s="12" t="s">
        <v>81</v>
      </c>
      <c r="AH138" s="1">
        <f>HYPERLINK("https://my.pitchbook.com?c=280076-23T","View Company Online")</f>
      </c>
    </row>
    <row r="139">
      <c r="A139" s="3" t="s">
        <v>1027</v>
      </c>
      <c r="B139" s="3" t="s">
        <v>1028</v>
      </c>
      <c r="C139" s="5" t="s">
        <v>36</v>
      </c>
      <c r="D139" s="5" t="s">
        <v>36</v>
      </c>
      <c r="E139" s="5" t="s">
        <v>36</v>
      </c>
      <c r="F139" s="5" t="s">
        <v>36</v>
      </c>
      <c r="G139" s="6" t="s">
        <v>36</v>
      </c>
      <c r="H139" s="4" t="s">
        <v>36</v>
      </c>
      <c r="I139" s="7" t="s">
        <v>36</v>
      </c>
      <c r="J139" s="3" t="s">
        <v>36</v>
      </c>
      <c r="K139" s="9" t="s">
        <v>36</v>
      </c>
      <c r="L139" s="6" t="s">
        <v>36</v>
      </c>
      <c r="M139" s="3" t="s">
        <v>36</v>
      </c>
      <c r="N139" s="3" t="s">
        <v>36</v>
      </c>
      <c r="O139" s="8" t="s">
        <v>36</v>
      </c>
      <c r="P139" s="3" t="s">
        <v>36</v>
      </c>
      <c r="Q139" s="3" t="s">
        <v>36</v>
      </c>
      <c r="R139" s="3" t="s">
        <v>36</v>
      </c>
      <c r="S139" s="3" t="s">
        <v>36</v>
      </c>
      <c r="T139" s="3" t="s">
        <v>1029</v>
      </c>
      <c r="U139" s="3" t="s">
        <v>219</v>
      </c>
      <c r="V139" s="3" t="s">
        <v>75</v>
      </c>
      <c r="W139" s="3" t="s">
        <v>1030</v>
      </c>
      <c r="X139" s="10" t="s">
        <v>1000</v>
      </c>
      <c r="Y139" s="6" t="s">
        <v>42</v>
      </c>
      <c r="Z139" s="4" t="s">
        <v>36</v>
      </c>
      <c r="AA139" s="4" t="s">
        <v>36</v>
      </c>
      <c r="AB139" s="3" t="s">
        <v>43</v>
      </c>
      <c r="AC139" s="3" t="s">
        <v>1031</v>
      </c>
      <c r="AD139" s="9">
        <v>45627</v>
      </c>
      <c r="AE139" s="3" t="s">
        <v>1032</v>
      </c>
      <c r="AF139" s="3" t="s">
        <v>571</v>
      </c>
      <c r="AG139" s="3" t="s">
        <v>1033</v>
      </c>
      <c r="AH139" s="11">
        <f>HYPERLINK("https://my.pitchbook.com?c=279379-81T","View Company Online")</f>
      </c>
    </row>
    <row r="140">
      <c r="A140" s="12" t="s">
        <v>1034</v>
      </c>
      <c r="B140" s="12" t="s">
        <v>1035</v>
      </c>
      <c r="C140" s="19" t="s">
        <v>36</v>
      </c>
      <c r="D140" s="19" t="s">
        <v>36</v>
      </c>
      <c r="E140" s="19" t="s">
        <v>36</v>
      </c>
      <c r="F140" s="19" t="s">
        <v>36</v>
      </c>
      <c r="G140" s="15" t="s">
        <v>36</v>
      </c>
      <c r="H140" s="14" t="s">
        <v>36</v>
      </c>
      <c r="I140" s="18" t="s">
        <v>36</v>
      </c>
      <c r="J140" s="12" t="s">
        <v>36</v>
      </c>
      <c r="K140" s="13" t="s">
        <v>36</v>
      </c>
      <c r="L140" s="15" t="s">
        <v>36</v>
      </c>
      <c r="M140" s="12" t="s">
        <v>36</v>
      </c>
      <c r="N140" s="12" t="s">
        <v>36</v>
      </c>
      <c r="O140" s="17" t="s">
        <v>36</v>
      </c>
      <c r="P140" s="12" t="s">
        <v>36</v>
      </c>
      <c r="Q140" s="12" t="s">
        <v>36</v>
      </c>
      <c r="R140" s="12" t="s">
        <v>36</v>
      </c>
      <c r="S140" s="12" t="s">
        <v>36</v>
      </c>
      <c r="T140" s="12" t="s">
        <v>1036</v>
      </c>
      <c r="U140" s="12" t="s">
        <v>38</v>
      </c>
      <c r="V140" s="12" t="s">
        <v>39</v>
      </c>
      <c r="W140" s="12" t="s">
        <v>1037</v>
      </c>
      <c r="X140" s="16" t="s">
        <v>1038</v>
      </c>
      <c r="Y140" s="15" t="s">
        <v>42</v>
      </c>
      <c r="Z140" s="14" t="s">
        <v>36</v>
      </c>
      <c r="AA140" s="14" t="s">
        <v>36</v>
      </c>
      <c r="AB140" s="12" t="s">
        <v>56</v>
      </c>
      <c r="AC140" s="12" t="s">
        <v>1039</v>
      </c>
      <c r="AD140" s="13">
        <v>45627</v>
      </c>
      <c r="AE140" s="12" t="s">
        <v>45</v>
      </c>
      <c r="AF140" s="12" t="s">
        <v>36</v>
      </c>
      <c r="AG140" s="12" t="s">
        <v>81</v>
      </c>
      <c r="AH140" s="1">
        <f>HYPERLINK("https://my.pitchbook.com?c=280765-00T","View Company Online")</f>
      </c>
    </row>
    <row r="141">
      <c r="A141" s="3" t="s">
        <v>1040</v>
      </c>
      <c r="B141" s="3" t="s">
        <v>1041</v>
      </c>
      <c r="C141" s="5" t="s">
        <v>36</v>
      </c>
      <c r="D141" s="5" t="s">
        <v>36</v>
      </c>
      <c r="E141" s="5" t="s">
        <v>36</v>
      </c>
      <c r="F141" s="5" t="s">
        <v>36</v>
      </c>
      <c r="G141" s="6" t="s">
        <v>36</v>
      </c>
      <c r="H141" s="4" t="s">
        <v>36</v>
      </c>
      <c r="I141" s="7" t="s">
        <v>36</v>
      </c>
      <c r="J141" s="3" t="s">
        <v>36</v>
      </c>
      <c r="K141" s="9" t="s">
        <v>36</v>
      </c>
      <c r="L141" s="6" t="s">
        <v>36</v>
      </c>
      <c r="M141" s="3" t="s">
        <v>36</v>
      </c>
      <c r="N141" s="3" t="s">
        <v>36</v>
      </c>
      <c r="O141" s="8" t="s">
        <v>36</v>
      </c>
      <c r="P141" s="3" t="s">
        <v>36</v>
      </c>
      <c r="Q141" s="3" t="s">
        <v>36</v>
      </c>
      <c r="R141" s="3" t="s">
        <v>36</v>
      </c>
      <c r="S141" s="3" t="s">
        <v>36</v>
      </c>
      <c r="T141" s="3" t="s">
        <v>847</v>
      </c>
      <c r="U141" s="3" t="s">
        <v>279</v>
      </c>
      <c r="V141" s="3" t="s">
        <v>64</v>
      </c>
      <c r="W141" s="3" t="s">
        <v>1042</v>
      </c>
      <c r="X141" s="10" t="s">
        <v>1043</v>
      </c>
      <c r="Y141" s="6" t="s">
        <v>42</v>
      </c>
      <c r="Z141" s="4" t="s">
        <v>36</v>
      </c>
      <c r="AA141" s="4" t="s">
        <v>36</v>
      </c>
      <c r="AB141" s="3" t="s">
        <v>56</v>
      </c>
      <c r="AC141" s="3" t="s">
        <v>1044</v>
      </c>
      <c r="AD141" s="9">
        <v>45627</v>
      </c>
      <c r="AE141" s="3" t="s">
        <v>851</v>
      </c>
      <c r="AF141" s="3" t="s">
        <v>36</v>
      </c>
      <c r="AG141" s="3" t="s">
        <v>1045</v>
      </c>
      <c r="AH141" s="11">
        <f>HYPERLINK("https://my.pitchbook.com?c=280409-14T","View Company Online")</f>
      </c>
    </row>
    <row r="142">
      <c r="A142" s="12" t="s">
        <v>1046</v>
      </c>
      <c r="B142" s="12" t="s">
        <v>1047</v>
      </c>
      <c r="C142" s="19" t="s">
        <v>36</v>
      </c>
      <c r="D142" s="19" t="s">
        <v>36</v>
      </c>
      <c r="E142" s="19" t="s">
        <v>36</v>
      </c>
      <c r="F142" s="19" t="s">
        <v>36</v>
      </c>
      <c r="G142" s="15" t="s">
        <v>36</v>
      </c>
      <c r="H142" s="14" t="s">
        <v>36</v>
      </c>
      <c r="I142" s="18" t="s">
        <v>36</v>
      </c>
      <c r="J142" s="12" t="s">
        <v>36</v>
      </c>
      <c r="K142" s="13" t="s">
        <v>36</v>
      </c>
      <c r="L142" s="15" t="s">
        <v>36</v>
      </c>
      <c r="M142" s="12" t="s">
        <v>36</v>
      </c>
      <c r="N142" s="12" t="s">
        <v>36</v>
      </c>
      <c r="O142" s="17" t="s">
        <v>36</v>
      </c>
      <c r="P142" s="12" t="s">
        <v>36</v>
      </c>
      <c r="Q142" s="12" t="s">
        <v>36</v>
      </c>
      <c r="R142" s="12" t="s">
        <v>36</v>
      </c>
      <c r="S142" s="12" t="s">
        <v>36</v>
      </c>
      <c r="T142" s="12" t="s">
        <v>1048</v>
      </c>
      <c r="U142" s="12" t="s">
        <v>423</v>
      </c>
      <c r="V142" s="12" t="s">
        <v>64</v>
      </c>
      <c r="W142" s="12" t="s">
        <v>1049</v>
      </c>
      <c r="X142" s="16" t="s">
        <v>621</v>
      </c>
      <c r="Y142" s="15" t="s">
        <v>42</v>
      </c>
      <c r="Z142" s="14" t="s">
        <v>36</v>
      </c>
      <c r="AA142" s="14" t="s">
        <v>36</v>
      </c>
      <c r="AB142" s="12" t="s">
        <v>43</v>
      </c>
      <c r="AC142" s="12" t="s">
        <v>1050</v>
      </c>
      <c r="AD142" s="13">
        <v>45627</v>
      </c>
      <c r="AE142" s="12" t="s">
        <v>1051</v>
      </c>
      <c r="AF142" s="12" t="s">
        <v>1052</v>
      </c>
      <c r="AG142" s="12" t="s">
        <v>1053</v>
      </c>
      <c r="AH142" s="1">
        <f>HYPERLINK("https://my.pitchbook.com?c=280050-85T","View Company Online")</f>
      </c>
    </row>
    <row r="143">
      <c r="A143" s="3" t="s">
        <v>1054</v>
      </c>
      <c r="B143" s="3" t="s">
        <v>1055</v>
      </c>
      <c r="C143" s="5" t="s">
        <v>36</v>
      </c>
      <c r="D143" s="5" t="s">
        <v>36</v>
      </c>
      <c r="E143" s="5" t="s">
        <v>36</v>
      </c>
      <c r="F143" s="5" t="s">
        <v>36</v>
      </c>
      <c r="G143" s="6" t="s">
        <v>36</v>
      </c>
      <c r="H143" s="4" t="s">
        <v>36</v>
      </c>
      <c r="I143" s="7" t="s">
        <v>36</v>
      </c>
      <c r="J143" s="3" t="s">
        <v>36</v>
      </c>
      <c r="K143" s="9" t="s">
        <v>36</v>
      </c>
      <c r="L143" s="6" t="s">
        <v>36</v>
      </c>
      <c r="M143" s="3" t="s">
        <v>36</v>
      </c>
      <c r="N143" s="3" t="s">
        <v>36</v>
      </c>
      <c r="O143" s="8" t="s">
        <v>36</v>
      </c>
      <c r="P143" s="3" t="s">
        <v>36</v>
      </c>
      <c r="Q143" s="3" t="s">
        <v>36</v>
      </c>
      <c r="R143" s="3" t="s">
        <v>36</v>
      </c>
      <c r="S143" s="3" t="s">
        <v>36</v>
      </c>
      <c r="T143" s="3" t="s">
        <v>1056</v>
      </c>
      <c r="U143" s="3" t="s">
        <v>51</v>
      </c>
      <c r="V143" s="3" t="s">
        <v>52</v>
      </c>
      <c r="W143" s="3" t="s">
        <v>1057</v>
      </c>
      <c r="X143" s="10" t="s">
        <v>1058</v>
      </c>
      <c r="Y143" s="6" t="s">
        <v>42</v>
      </c>
      <c r="Z143" s="4" t="s">
        <v>36</v>
      </c>
      <c r="AA143" s="4" t="s">
        <v>36</v>
      </c>
      <c r="AB143" s="3" t="s">
        <v>43</v>
      </c>
      <c r="AC143" s="3" t="s">
        <v>1059</v>
      </c>
      <c r="AD143" s="9">
        <v>45627</v>
      </c>
      <c r="AE143" s="3" t="s">
        <v>1060</v>
      </c>
      <c r="AF143" s="3" t="s">
        <v>1061</v>
      </c>
      <c r="AG143" s="3" t="s">
        <v>81</v>
      </c>
      <c r="AH143" s="11">
        <f>HYPERLINK("https://my.pitchbook.com?c=279801-28T","View Company Online")</f>
      </c>
    </row>
    <row r="144">
      <c r="A144" s="12" t="s">
        <v>1062</v>
      </c>
      <c r="B144" s="12" t="s">
        <v>1063</v>
      </c>
      <c r="C144" s="19">
        <v>23</v>
      </c>
      <c r="D144" s="19">
        <v>334</v>
      </c>
      <c r="E144" s="19">
        <v>107</v>
      </c>
      <c r="F144" s="19">
        <v>391</v>
      </c>
      <c r="G144" s="15" t="s">
        <v>36</v>
      </c>
      <c r="H144" s="14" t="s">
        <v>36</v>
      </c>
      <c r="I144" s="18" t="s">
        <v>36</v>
      </c>
      <c r="J144" s="12" t="s">
        <v>36</v>
      </c>
      <c r="K144" s="13" t="s">
        <v>36</v>
      </c>
      <c r="L144" s="15" t="s">
        <v>36</v>
      </c>
      <c r="M144" s="12" t="s">
        <v>36</v>
      </c>
      <c r="N144" s="12" t="s">
        <v>36</v>
      </c>
      <c r="O144" s="17" t="s">
        <v>36</v>
      </c>
      <c r="P144" s="12" t="s">
        <v>36</v>
      </c>
      <c r="Q144" s="12" t="s">
        <v>36</v>
      </c>
      <c r="R144" s="12" t="s">
        <v>36</v>
      </c>
      <c r="S144" s="12" t="s">
        <v>36</v>
      </c>
      <c r="T144" s="12" t="s">
        <v>1064</v>
      </c>
      <c r="U144" s="12" t="s">
        <v>833</v>
      </c>
      <c r="V144" s="12" t="s">
        <v>64</v>
      </c>
      <c r="W144" s="12" t="s">
        <v>1065</v>
      </c>
      <c r="X144" s="16" t="s">
        <v>1066</v>
      </c>
      <c r="Y144" s="15" t="s">
        <v>1067</v>
      </c>
      <c r="Z144" s="14">
        <v>31.96</v>
      </c>
      <c r="AA144" s="14" t="s">
        <v>36</v>
      </c>
      <c r="AB144" s="12" t="s">
        <v>56</v>
      </c>
      <c r="AC144" s="12" t="s">
        <v>1068</v>
      </c>
      <c r="AD144" s="13">
        <v>45624</v>
      </c>
      <c r="AE144" s="12" t="s">
        <v>1069</v>
      </c>
      <c r="AF144" s="12" t="s">
        <v>1070</v>
      </c>
      <c r="AG144" s="12" t="s">
        <v>81</v>
      </c>
      <c r="AH144" s="1">
        <f>HYPERLINK("https://my.pitchbook.com?c=278624-44T","View Company Online")</f>
      </c>
    </row>
    <row r="145">
      <c r="A145" s="3" t="s">
        <v>1071</v>
      </c>
      <c r="B145" s="3" t="s">
        <v>1072</v>
      </c>
      <c r="C145" s="5" t="s">
        <v>36</v>
      </c>
      <c r="D145" s="5" t="s">
        <v>36</v>
      </c>
      <c r="E145" s="5" t="s">
        <v>36</v>
      </c>
      <c r="F145" s="5" t="s">
        <v>36</v>
      </c>
      <c r="G145" s="6" t="s">
        <v>36</v>
      </c>
      <c r="H145" s="4" t="s">
        <v>36</v>
      </c>
      <c r="I145" s="7">
        <v>32.72</v>
      </c>
      <c r="J145" s="3" t="s">
        <v>36</v>
      </c>
      <c r="K145" s="9">
        <v>45624</v>
      </c>
      <c r="L145" s="6" t="s">
        <v>36</v>
      </c>
      <c r="M145" s="3" t="s">
        <v>36</v>
      </c>
      <c r="N145" s="3" t="s">
        <v>36</v>
      </c>
      <c r="O145" s="8" t="s">
        <v>36</v>
      </c>
      <c r="P145" s="3" t="s">
        <v>36</v>
      </c>
      <c r="Q145" s="3" t="s">
        <v>36</v>
      </c>
      <c r="R145" s="3" t="s">
        <v>36</v>
      </c>
      <c r="S145" s="3" t="s">
        <v>36</v>
      </c>
      <c r="T145" s="3" t="s">
        <v>1073</v>
      </c>
      <c r="U145" s="3" t="s">
        <v>38</v>
      </c>
      <c r="V145" s="3" t="s">
        <v>39</v>
      </c>
      <c r="W145" s="3" t="s">
        <v>1074</v>
      </c>
      <c r="X145" s="10" t="s">
        <v>1075</v>
      </c>
      <c r="Y145" s="6" t="s">
        <v>108</v>
      </c>
      <c r="Z145" s="4" t="s">
        <v>36</v>
      </c>
      <c r="AA145" s="4" t="s">
        <v>36</v>
      </c>
      <c r="AB145" s="3" t="s">
        <v>56</v>
      </c>
      <c r="AC145" s="3" t="s">
        <v>1076</v>
      </c>
      <c r="AD145" s="9">
        <v>45624</v>
      </c>
      <c r="AE145" s="3" t="s">
        <v>110</v>
      </c>
      <c r="AF145" s="3" t="s">
        <v>1077</v>
      </c>
      <c r="AG145" s="3" t="s">
        <v>1078</v>
      </c>
      <c r="AH145" s="11">
        <f>HYPERLINK("https://my.pitchbook.com?c=278767-63T","View Company Online")</f>
      </c>
    </row>
    <row r="146">
      <c r="A146" s="12" t="s">
        <v>1079</v>
      </c>
      <c r="B146" s="12" t="s">
        <v>1080</v>
      </c>
      <c r="C146" s="19" t="s">
        <v>36</v>
      </c>
      <c r="D146" s="19" t="s">
        <v>36</v>
      </c>
      <c r="E146" s="19" t="s">
        <v>36</v>
      </c>
      <c r="F146" s="19" t="s">
        <v>36</v>
      </c>
      <c r="G146" s="15" t="s">
        <v>36</v>
      </c>
      <c r="H146" s="14" t="s">
        <v>36</v>
      </c>
      <c r="I146" s="18" t="s">
        <v>36</v>
      </c>
      <c r="J146" s="12" t="s">
        <v>36</v>
      </c>
      <c r="K146" s="13" t="s">
        <v>36</v>
      </c>
      <c r="L146" s="15" t="s">
        <v>36</v>
      </c>
      <c r="M146" s="12" t="s">
        <v>36</v>
      </c>
      <c r="N146" s="12" t="s">
        <v>36</v>
      </c>
      <c r="O146" s="17" t="s">
        <v>36</v>
      </c>
      <c r="P146" s="12" t="s">
        <v>36</v>
      </c>
      <c r="Q146" s="12" t="s">
        <v>36</v>
      </c>
      <c r="R146" s="12" t="s">
        <v>36</v>
      </c>
      <c r="S146" s="12" t="s">
        <v>36</v>
      </c>
      <c r="T146" s="12" t="s">
        <v>1081</v>
      </c>
      <c r="U146" s="12" t="s">
        <v>1082</v>
      </c>
      <c r="V146" s="12" t="s">
        <v>378</v>
      </c>
      <c r="W146" s="12" t="s">
        <v>1083</v>
      </c>
      <c r="X146" s="16" t="s">
        <v>1084</v>
      </c>
      <c r="Y146" s="15" t="s">
        <v>55</v>
      </c>
      <c r="Z146" s="14">
        <v>4.48</v>
      </c>
      <c r="AA146" s="14" t="s">
        <v>36</v>
      </c>
      <c r="AB146" s="12" t="s">
        <v>56</v>
      </c>
      <c r="AC146" s="12" t="s">
        <v>1085</v>
      </c>
      <c r="AD146" s="13">
        <v>45623</v>
      </c>
      <c r="AE146" s="12" t="s">
        <v>1086</v>
      </c>
      <c r="AF146" s="12" t="s">
        <v>1087</v>
      </c>
      <c r="AG146" s="12" t="s">
        <v>102</v>
      </c>
      <c r="AH146" s="1">
        <f>HYPERLINK("https://my.pitchbook.com?c=278561-62T","View Company Online")</f>
      </c>
    </row>
    <row r="147">
      <c r="A147" s="3" t="s">
        <v>1088</v>
      </c>
      <c r="B147" s="3" t="s">
        <v>1089</v>
      </c>
      <c r="C147" s="5">
        <v>10</v>
      </c>
      <c r="D147" s="5">
        <v>6</v>
      </c>
      <c r="E147" s="5">
        <v>6</v>
      </c>
      <c r="F147" s="5">
        <v>16</v>
      </c>
      <c r="G147" s="6" t="s">
        <v>36</v>
      </c>
      <c r="H147" s="4" t="s">
        <v>36</v>
      </c>
      <c r="I147" s="7" t="s">
        <v>36</v>
      </c>
      <c r="J147" s="3" t="s">
        <v>36</v>
      </c>
      <c r="K147" s="9" t="s">
        <v>36</v>
      </c>
      <c r="L147" s="6" t="s">
        <v>36</v>
      </c>
      <c r="M147" s="3" t="s">
        <v>36</v>
      </c>
      <c r="N147" s="3" t="s">
        <v>36</v>
      </c>
      <c r="O147" s="8" t="s">
        <v>36</v>
      </c>
      <c r="P147" s="3" t="s">
        <v>36</v>
      </c>
      <c r="Q147" s="3" t="s">
        <v>36</v>
      </c>
      <c r="R147" s="3" t="s">
        <v>36</v>
      </c>
      <c r="S147" s="3" t="s">
        <v>565</v>
      </c>
      <c r="T147" s="3" t="s">
        <v>1090</v>
      </c>
      <c r="U147" s="3" t="s">
        <v>1091</v>
      </c>
      <c r="V147" s="3" t="s">
        <v>378</v>
      </c>
      <c r="W147" s="3" t="s">
        <v>1092</v>
      </c>
      <c r="X147" s="10" t="s">
        <v>1093</v>
      </c>
      <c r="Y147" s="6" t="s">
        <v>166</v>
      </c>
      <c r="Z147" s="4">
        <v>17.06</v>
      </c>
      <c r="AA147" s="4" t="s">
        <v>36</v>
      </c>
      <c r="AB147" s="3" t="s">
        <v>56</v>
      </c>
      <c r="AC147" s="3" t="s">
        <v>1094</v>
      </c>
      <c r="AD147" s="9">
        <v>45623</v>
      </c>
      <c r="AE147" s="3" t="s">
        <v>1095</v>
      </c>
      <c r="AF147" s="3" t="s">
        <v>1096</v>
      </c>
      <c r="AG147" s="3" t="s">
        <v>1097</v>
      </c>
      <c r="AH147" s="11">
        <f>HYPERLINK("https://my.pitchbook.com?c=278582-59T","View Company Online")</f>
      </c>
    </row>
    <row r="148">
      <c r="A148" s="12" t="s">
        <v>1098</v>
      </c>
      <c r="B148" s="12" t="s">
        <v>1099</v>
      </c>
      <c r="C148" s="19" t="s">
        <v>36</v>
      </c>
      <c r="D148" s="19" t="s">
        <v>36</v>
      </c>
      <c r="E148" s="19" t="s">
        <v>36</v>
      </c>
      <c r="F148" s="19" t="s">
        <v>36</v>
      </c>
      <c r="G148" s="15" t="s">
        <v>36</v>
      </c>
      <c r="H148" s="14" t="s">
        <v>36</v>
      </c>
      <c r="I148" s="18" t="s">
        <v>36</v>
      </c>
      <c r="J148" s="12" t="s">
        <v>36</v>
      </c>
      <c r="K148" s="13" t="s">
        <v>36</v>
      </c>
      <c r="L148" s="15" t="s">
        <v>36</v>
      </c>
      <c r="M148" s="12" t="s">
        <v>36</v>
      </c>
      <c r="N148" s="12" t="s">
        <v>36</v>
      </c>
      <c r="O148" s="17" t="s">
        <v>36</v>
      </c>
      <c r="P148" s="12" t="s">
        <v>36</v>
      </c>
      <c r="Q148" s="12" t="s">
        <v>36</v>
      </c>
      <c r="R148" s="12" t="s">
        <v>36</v>
      </c>
      <c r="S148" s="12" t="s">
        <v>36</v>
      </c>
      <c r="T148" s="12" t="s">
        <v>105</v>
      </c>
      <c r="U148" s="12" t="s">
        <v>38</v>
      </c>
      <c r="V148" s="12" t="s">
        <v>39</v>
      </c>
      <c r="W148" s="12" t="s">
        <v>1100</v>
      </c>
      <c r="X148" s="16" t="s">
        <v>1101</v>
      </c>
      <c r="Y148" s="15" t="s">
        <v>55</v>
      </c>
      <c r="Z148" s="14" t="s">
        <v>36</v>
      </c>
      <c r="AA148" s="14" t="s">
        <v>36</v>
      </c>
      <c r="AB148" s="12" t="s">
        <v>43</v>
      </c>
      <c r="AC148" s="12" t="s">
        <v>1102</v>
      </c>
      <c r="AD148" s="13">
        <v>45622</v>
      </c>
      <c r="AE148" s="12" t="s">
        <v>110</v>
      </c>
      <c r="AF148" s="12" t="s">
        <v>1103</v>
      </c>
      <c r="AG148" s="12" t="s">
        <v>939</v>
      </c>
      <c r="AH148" s="1">
        <f>HYPERLINK("https://my.pitchbook.com?c=278809-39T","View Company Online")</f>
      </c>
    </row>
    <row r="149">
      <c r="A149" s="3" t="s">
        <v>1104</v>
      </c>
      <c r="B149" s="3" t="s">
        <v>1105</v>
      </c>
      <c r="C149" s="5" t="s">
        <v>36</v>
      </c>
      <c r="D149" s="5" t="s">
        <v>36</v>
      </c>
      <c r="E149" s="5" t="s">
        <v>36</v>
      </c>
      <c r="F149" s="5" t="s">
        <v>36</v>
      </c>
      <c r="G149" s="6" t="s">
        <v>36</v>
      </c>
      <c r="H149" s="4" t="s">
        <v>36</v>
      </c>
      <c r="I149" s="7" t="s">
        <v>36</v>
      </c>
      <c r="J149" s="3" t="s">
        <v>36</v>
      </c>
      <c r="K149" s="9">
        <v>45595</v>
      </c>
      <c r="L149" s="6" t="s">
        <v>36</v>
      </c>
      <c r="M149" s="3" t="s">
        <v>36</v>
      </c>
      <c r="N149" s="3" t="s">
        <v>36</v>
      </c>
      <c r="O149" s="8" t="s">
        <v>36</v>
      </c>
      <c r="P149" s="3" t="s">
        <v>36</v>
      </c>
      <c r="Q149" s="3" t="s">
        <v>36</v>
      </c>
      <c r="R149" s="3" t="s">
        <v>36</v>
      </c>
      <c r="S149" s="3" t="s">
        <v>36</v>
      </c>
      <c r="T149" s="3" t="s">
        <v>1106</v>
      </c>
      <c r="U149" s="3" t="s">
        <v>38</v>
      </c>
      <c r="V149" s="3" t="s">
        <v>39</v>
      </c>
      <c r="W149" s="3" t="s">
        <v>1107</v>
      </c>
      <c r="X149" s="10" t="s">
        <v>1108</v>
      </c>
      <c r="Y149" s="6" t="s">
        <v>42</v>
      </c>
      <c r="Z149" s="4" t="s">
        <v>36</v>
      </c>
      <c r="AA149" s="4" t="s">
        <v>36</v>
      </c>
      <c r="AB149" s="3" t="s">
        <v>43</v>
      </c>
      <c r="AC149" s="3" t="s">
        <v>1109</v>
      </c>
      <c r="AD149" s="9">
        <v>45621</v>
      </c>
      <c r="AE149" s="3" t="s">
        <v>110</v>
      </c>
      <c r="AF149" s="3" t="s">
        <v>111</v>
      </c>
      <c r="AG149" s="3" t="s">
        <v>81</v>
      </c>
      <c r="AH149" s="11">
        <f>HYPERLINK("https://my.pitchbook.com?c=278290-18T","View Company Online")</f>
      </c>
    </row>
    <row r="150">
      <c r="A150" s="12" t="s">
        <v>1110</v>
      </c>
      <c r="B150" s="12" t="s">
        <v>1111</v>
      </c>
      <c r="C150" s="19" t="s">
        <v>36</v>
      </c>
      <c r="D150" s="19" t="s">
        <v>36</v>
      </c>
      <c r="E150" s="19" t="s">
        <v>36</v>
      </c>
      <c r="F150" s="19" t="s">
        <v>36</v>
      </c>
      <c r="G150" s="15" t="s">
        <v>36</v>
      </c>
      <c r="H150" s="14" t="s">
        <v>36</v>
      </c>
      <c r="I150" s="18" t="s">
        <v>36</v>
      </c>
      <c r="J150" s="12" t="s">
        <v>36</v>
      </c>
      <c r="K150" s="13">
        <v>45298</v>
      </c>
      <c r="L150" s="15" t="s">
        <v>36</v>
      </c>
      <c r="M150" s="12" t="s">
        <v>36</v>
      </c>
      <c r="N150" s="12" t="s">
        <v>36</v>
      </c>
      <c r="O150" s="17" t="s">
        <v>36</v>
      </c>
      <c r="P150" s="12" t="s">
        <v>36</v>
      </c>
      <c r="Q150" s="12" t="s">
        <v>36</v>
      </c>
      <c r="R150" s="12" t="s">
        <v>36</v>
      </c>
      <c r="S150" s="12" t="s">
        <v>36</v>
      </c>
      <c r="T150" s="12" t="s">
        <v>522</v>
      </c>
      <c r="U150" s="12" t="s">
        <v>38</v>
      </c>
      <c r="V150" s="12" t="s">
        <v>39</v>
      </c>
      <c r="W150" s="12" t="s">
        <v>1112</v>
      </c>
      <c r="X150" s="16" t="s">
        <v>1113</v>
      </c>
      <c r="Y150" s="15" t="s">
        <v>42</v>
      </c>
      <c r="Z150" s="14">
        <v>1.39</v>
      </c>
      <c r="AA150" s="14" t="s">
        <v>36</v>
      </c>
      <c r="AB150" s="12" t="s">
        <v>43</v>
      </c>
      <c r="AC150" s="12" t="s">
        <v>1114</v>
      </c>
      <c r="AD150" s="13">
        <v>45619</v>
      </c>
      <c r="AE150" s="12" t="s">
        <v>110</v>
      </c>
      <c r="AF150" s="12" t="s">
        <v>1115</v>
      </c>
      <c r="AG150" s="12" t="s">
        <v>81</v>
      </c>
      <c r="AH150" s="1">
        <f>HYPERLINK("https://my.pitchbook.com?c=266837-23T","View Company Online")</f>
      </c>
    </row>
    <row r="151">
      <c r="A151" s="3" t="s">
        <v>1116</v>
      </c>
      <c r="B151" s="3" t="s">
        <v>1117</v>
      </c>
      <c r="C151" s="5" t="s">
        <v>36</v>
      </c>
      <c r="D151" s="5" t="s">
        <v>36</v>
      </c>
      <c r="E151" s="5" t="s">
        <v>36</v>
      </c>
      <c r="F151" s="5" t="s">
        <v>36</v>
      </c>
      <c r="G151" s="6" t="s">
        <v>36</v>
      </c>
      <c r="H151" s="4" t="s">
        <v>36</v>
      </c>
      <c r="I151" s="7" t="s">
        <v>36</v>
      </c>
      <c r="J151" s="3" t="s">
        <v>36</v>
      </c>
      <c r="K151" s="9" t="s">
        <v>36</v>
      </c>
      <c r="L151" s="6" t="s">
        <v>36</v>
      </c>
      <c r="M151" s="3" t="s">
        <v>36</v>
      </c>
      <c r="N151" s="3" t="s">
        <v>36</v>
      </c>
      <c r="O151" s="8" t="s">
        <v>36</v>
      </c>
      <c r="P151" s="3" t="s">
        <v>36</v>
      </c>
      <c r="Q151" s="3" t="s">
        <v>36</v>
      </c>
      <c r="R151" s="3" t="s">
        <v>36</v>
      </c>
      <c r="S151" s="3" t="s">
        <v>36</v>
      </c>
      <c r="T151" s="3" t="s">
        <v>522</v>
      </c>
      <c r="U151" s="3" t="s">
        <v>38</v>
      </c>
      <c r="V151" s="3" t="s">
        <v>39</v>
      </c>
      <c r="W151" s="3" t="s">
        <v>1118</v>
      </c>
      <c r="X151" s="10" t="s">
        <v>1119</v>
      </c>
      <c r="Y151" s="6" t="s">
        <v>1120</v>
      </c>
      <c r="Z151" s="4">
        <v>13.4</v>
      </c>
      <c r="AA151" s="4" t="s">
        <v>36</v>
      </c>
      <c r="AB151" s="3" t="s">
        <v>56</v>
      </c>
      <c r="AC151" s="3" t="s">
        <v>1121</v>
      </c>
      <c r="AD151" s="9">
        <v>45618</v>
      </c>
      <c r="AE151" s="3" t="s">
        <v>110</v>
      </c>
      <c r="AF151" s="3" t="s">
        <v>1122</v>
      </c>
      <c r="AG151" s="3" t="s">
        <v>81</v>
      </c>
      <c r="AH151" s="11">
        <f>HYPERLINK("https://my.pitchbook.com?c=278149-87T","View Company Online")</f>
      </c>
    </row>
    <row r="152">
      <c r="A152" s="12" t="s">
        <v>1123</v>
      </c>
      <c r="B152" s="12" t="s">
        <v>1124</v>
      </c>
      <c r="C152" s="19" t="s">
        <v>36</v>
      </c>
      <c r="D152" s="19" t="s">
        <v>36</v>
      </c>
      <c r="E152" s="19" t="s">
        <v>36</v>
      </c>
      <c r="F152" s="19" t="s">
        <v>36</v>
      </c>
      <c r="G152" s="15" t="s">
        <v>36</v>
      </c>
      <c r="H152" s="14" t="s">
        <v>36</v>
      </c>
      <c r="I152" s="18" t="s">
        <v>36</v>
      </c>
      <c r="J152" s="12" t="s">
        <v>36</v>
      </c>
      <c r="K152" s="13" t="s">
        <v>36</v>
      </c>
      <c r="L152" s="15" t="s">
        <v>36</v>
      </c>
      <c r="M152" s="12" t="s">
        <v>36</v>
      </c>
      <c r="N152" s="12" t="s">
        <v>36</v>
      </c>
      <c r="O152" s="17" t="s">
        <v>36</v>
      </c>
      <c r="P152" s="12" t="s">
        <v>36</v>
      </c>
      <c r="Q152" s="12" t="s">
        <v>36</v>
      </c>
      <c r="R152" s="12" t="s">
        <v>36</v>
      </c>
      <c r="S152" s="12" t="s">
        <v>36</v>
      </c>
      <c r="T152" s="12" t="s">
        <v>1125</v>
      </c>
      <c r="U152" s="12" t="s">
        <v>74</v>
      </c>
      <c r="V152" s="12" t="s">
        <v>75</v>
      </c>
      <c r="W152" s="12" t="s">
        <v>1126</v>
      </c>
      <c r="X152" s="16" t="s">
        <v>1127</v>
      </c>
      <c r="Y152" s="15" t="s">
        <v>108</v>
      </c>
      <c r="Z152" s="14">
        <v>2.25</v>
      </c>
      <c r="AA152" s="14" t="s">
        <v>36</v>
      </c>
      <c r="AB152" s="12" t="s">
        <v>56</v>
      </c>
      <c r="AC152" s="12" t="s">
        <v>1128</v>
      </c>
      <c r="AD152" s="13">
        <v>45618</v>
      </c>
      <c r="AE152" s="12" t="s">
        <v>975</v>
      </c>
      <c r="AF152" s="12" t="s">
        <v>36</v>
      </c>
      <c r="AG152" s="12" t="s">
        <v>1129</v>
      </c>
      <c r="AH152" s="1">
        <f>HYPERLINK("https://my.pitchbook.com?c=278320-33T","View Company Online")</f>
      </c>
    </row>
    <row r="153">
      <c r="A153" s="3" t="s">
        <v>1130</v>
      </c>
      <c r="B153" s="3" t="s">
        <v>1131</v>
      </c>
      <c r="C153" s="5" t="s">
        <v>36</v>
      </c>
      <c r="D153" s="5" t="s">
        <v>36</v>
      </c>
      <c r="E153" s="5" t="s">
        <v>36</v>
      </c>
      <c r="F153" s="5" t="s">
        <v>36</v>
      </c>
      <c r="G153" s="6" t="s">
        <v>36</v>
      </c>
      <c r="H153" s="4" t="s">
        <v>36</v>
      </c>
      <c r="I153" s="7">
        <v>22.88</v>
      </c>
      <c r="J153" s="3" t="s">
        <v>327</v>
      </c>
      <c r="K153" s="9" t="s">
        <v>36</v>
      </c>
      <c r="L153" s="6" t="s">
        <v>36</v>
      </c>
      <c r="M153" s="3" t="s">
        <v>36</v>
      </c>
      <c r="N153" s="3" t="s">
        <v>36</v>
      </c>
      <c r="O153" s="8" t="s">
        <v>36</v>
      </c>
      <c r="P153" s="3" t="s">
        <v>36</v>
      </c>
      <c r="Q153" s="3" t="s">
        <v>36</v>
      </c>
      <c r="R153" s="3" t="s">
        <v>36</v>
      </c>
      <c r="S153" s="3" t="s">
        <v>36</v>
      </c>
      <c r="T153" s="3" t="s">
        <v>105</v>
      </c>
      <c r="U153" s="3" t="s">
        <v>38</v>
      </c>
      <c r="V153" s="3" t="s">
        <v>39</v>
      </c>
      <c r="W153" s="3" t="s">
        <v>1132</v>
      </c>
      <c r="X153" s="10" t="s">
        <v>1133</v>
      </c>
      <c r="Y153" s="6" t="s">
        <v>42</v>
      </c>
      <c r="Z153" s="4">
        <v>1.61</v>
      </c>
      <c r="AA153" s="4">
        <v>7.03</v>
      </c>
      <c r="AB153" s="3" t="s">
        <v>43</v>
      </c>
      <c r="AC153" s="3" t="s">
        <v>1134</v>
      </c>
      <c r="AD153" s="9">
        <v>45618</v>
      </c>
      <c r="AE153" s="3" t="s">
        <v>110</v>
      </c>
      <c r="AF153" s="3" t="s">
        <v>176</v>
      </c>
      <c r="AG153" s="3" t="s">
        <v>81</v>
      </c>
      <c r="AH153" s="11">
        <f>HYPERLINK("https://my.pitchbook.com?c=277683-49T","View Company Online")</f>
      </c>
    </row>
    <row r="154">
      <c r="A154" s="12" t="s">
        <v>1135</v>
      </c>
      <c r="B154" s="12" t="s">
        <v>1136</v>
      </c>
      <c r="C154" s="19" t="s">
        <v>36</v>
      </c>
      <c r="D154" s="19" t="s">
        <v>36</v>
      </c>
      <c r="E154" s="19" t="s">
        <v>36</v>
      </c>
      <c r="F154" s="19" t="s">
        <v>36</v>
      </c>
      <c r="G154" s="15" t="s">
        <v>36</v>
      </c>
      <c r="H154" s="14" t="s">
        <v>36</v>
      </c>
      <c r="I154" s="18">
        <v>34.23</v>
      </c>
      <c r="J154" s="12" t="s">
        <v>327</v>
      </c>
      <c r="K154" s="13" t="s">
        <v>36</v>
      </c>
      <c r="L154" s="15" t="s">
        <v>36</v>
      </c>
      <c r="M154" s="12" t="s">
        <v>36</v>
      </c>
      <c r="N154" s="12" t="s">
        <v>36</v>
      </c>
      <c r="O154" s="17" t="s">
        <v>36</v>
      </c>
      <c r="P154" s="12" t="s">
        <v>36</v>
      </c>
      <c r="Q154" s="12" t="s">
        <v>36</v>
      </c>
      <c r="R154" s="12" t="s">
        <v>36</v>
      </c>
      <c r="S154" s="12" t="s">
        <v>36</v>
      </c>
      <c r="T154" s="12" t="s">
        <v>692</v>
      </c>
      <c r="U154" s="12" t="s">
        <v>74</v>
      </c>
      <c r="V154" s="12" t="s">
        <v>75</v>
      </c>
      <c r="W154" s="12" t="s">
        <v>1137</v>
      </c>
      <c r="X154" s="16" t="s">
        <v>1138</v>
      </c>
      <c r="Y154" s="15" t="s">
        <v>108</v>
      </c>
      <c r="Z154" s="14">
        <v>9.65</v>
      </c>
      <c r="AA154" s="14">
        <v>28.19</v>
      </c>
      <c r="AB154" s="12" t="s">
        <v>56</v>
      </c>
      <c r="AC154" s="12" t="s">
        <v>1139</v>
      </c>
      <c r="AD154" s="13">
        <v>45618</v>
      </c>
      <c r="AE154" s="12" t="s">
        <v>696</v>
      </c>
      <c r="AF154" s="12" t="s">
        <v>1140</v>
      </c>
      <c r="AG154" s="12" t="s">
        <v>81</v>
      </c>
      <c r="AH154" s="1">
        <f>HYPERLINK("https://my.pitchbook.com?c=279747-64T","View Company Online")</f>
      </c>
    </row>
    <row r="155">
      <c r="A155" s="3" t="s">
        <v>1141</v>
      </c>
      <c r="B155" s="3" t="s">
        <v>1142</v>
      </c>
      <c r="C155" s="5">
        <v>3</v>
      </c>
      <c r="D155" s="5" t="s">
        <v>36</v>
      </c>
      <c r="E155" s="5">
        <v>2</v>
      </c>
      <c r="F155" s="5">
        <v>3</v>
      </c>
      <c r="G155" s="6" t="s">
        <v>36</v>
      </c>
      <c r="H155" s="4" t="s">
        <v>36</v>
      </c>
      <c r="I155" s="7">
        <v>27.71</v>
      </c>
      <c r="J155" s="3" t="s">
        <v>327</v>
      </c>
      <c r="K155" s="9" t="s">
        <v>36</v>
      </c>
      <c r="L155" s="6" t="s">
        <v>122</v>
      </c>
      <c r="M155" s="3" t="s">
        <v>36</v>
      </c>
      <c r="N155" s="3" t="s">
        <v>122</v>
      </c>
      <c r="O155" s="8" t="s">
        <v>36</v>
      </c>
      <c r="P155" s="3" t="s">
        <v>36</v>
      </c>
      <c r="Q155" s="3" t="s">
        <v>36</v>
      </c>
      <c r="R155" s="3" t="s">
        <v>36</v>
      </c>
      <c r="S155" s="3" t="s">
        <v>36</v>
      </c>
      <c r="T155" s="3" t="s">
        <v>1143</v>
      </c>
      <c r="U155" s="3" t="s">
        <v>1144</v>
      </c>
      <c r="V155" s="3" t="s">
        <v>378</v>
      </c>
      <c r="W155" s="3" t="s">
        <v>1145</v>
      </c>
      <c r="X155" s="10" t="s">
        <v>1146</v>
      </c>
      <c r="Y155" s="6" t="s">
        <v>55</v>
      </c>
      <c r="Z155" s="4">
        <v>16.96</v>
      </c>
      <c r="AA155" s="4">
        <v>61.19</v>
      </c>
      <c r="AB155" s="3" t="s">
        <v>43</v>
      </c>
      <c r="AC155" s="3" t="s">
        <v>1147</v>
      </c>
      <c r="AD155" s="9">
        <v>45617</v>
      </c>
      <c r="AE155" s="3" t="s">
        <v>1148</v>
      </c>
      <c r="AF155" s="3" t="s">
        <v>36</v>
      </c>
      <c r="AG155" s="3" t="s">
        <v>81</v>
      </c>
      <c r="AH155" s="11">
        <f>HYPERLINK("https://my.pitchbook.com?c=278024-59T","View Company Online")</f>
      </c>
    </row>
    <row r="156">
      <c r="A156" s="12" t="s">
        <v>1149</v>
      </c>
      <c r="B156" s="12" t="s">
        <v>1150</v>
      </c>
      <c r="C156" s="19" t="s">
        <v>36</v>
      </c>
      <c r="D156" s="19" t="s">
        <v>36</v>
      </c>
      <c r="E156" s="19" t="s">
        <v>36</v>
      </c>
      <c r="F156" s="19" t="s">
        <v>36</v>
      </c>
      <c r="G156" s="15" t="s">
        <v>36</v>
      </c>
      <c r="H156" s="14">
        <v>205.82</v>
      </c>
      <c r="I156" s="18">
        <v>12.6</v>
      </c>
      <c r="J156" s="12" t="s">
        <v>521</v>
      </c>
      <c r="K156" s="13" t="s">
        <v>36</v>
      </c>
      <c r="L156" s="15" t="s">
        <v>36</v>
      </c>
      <c r="M156" s="12" t="s">
        <v>36</v>
      </c>
      <c r="N156" s="12" t="s">
        <v>36</v>
      </c>
      <c r="O156" s="17" t="s">
        <v>36</v>
      </c>
      <c r="P156" s="12" t="s">
        <v>36</v>
      </c>
      <c r="Q156" s="12" t="s">
        <v>36</v>
      </c>
      <c r="R156" s="12" t="s">
        <v>36</v>
      </c>
      <c r="S156" s="12" t="s">
        <v>36</v>
      </c>
      <c r="T156" s="12" t="s">
        <v>522</v>
      </c>
      <c r="U156" s="12" t="s">
        <v>38</v>
      </c>
      <c r="V156" s="12" t="s">
        <v>39</v>
      </c>
      <c r="W156" s="12" t="s">
        <v>1151</v>
      </c>
      <c r="X156" s="16" t="s">
        <v>1152</v>
      </c>
      <c r="Y156" s="15" t="s">
        <v>55</v>
      </c>
      <c r="Z156" s="14">
        <v>7.67</v>
      </c>
      <c r="AA156" s="14">
        <v>60.89</v>
      </c>
      <c r="AB156" s="12" t="s">
        <v>56</v>
      </c>
      <c r="AC156" s="12" t="s">
        <v>1153</v>
      </c>
      <c r="AD156" s="13">
        <v>45617</v>
      </c>
      <c r="AE156" s="12" t="s">
        <v>110</v>
      </c>
      <c r="AF156" s="12" t="s">
        <v>111</v>
      </c>
      <c r="AG156" s="12" t="s">
        <v>81</v>
      </c>
      <c r="AH156" s="1">
        <f>HYPERLINK("https://my.pitchbook.com?c=279287-65T","View Company Online")</f>
      </c>
    </row>
    <row r="157">
      <c r="A157" s="3" t="s">
        <v>1154</v>
      </c>
      <c r="B157" s="3" t="s">
        <v>1155</v>
      </c>
      <c r="C157" s="5" t="s">
        <v>36</v>
      </c>
      <c r="D157" s="5" t="s">
        <v>36</v>
      </c>
      <c r="E157" s="5" t="s">
        <v>36</v>
      </c>
      <c r="F157" s="5" t="s">
        <v>36</v>
      </c>
      <c r="G157" s="6" t="s">
        <v>36</v>
      </c>
      <c r="H157" s="4" t="s">
        <v>36</v>
      </c>
      <c r="I157" s="7" t="s">
        <v>36</v>
      </c>
      <c r="J157" s="3" t="s">
        <v>36</v>
      </c>
      <c r="K157" s="9" t="s">
        <v>36</v>
      </c>
      <c r="L157" s="6" t="s">
        <v>36</v>
      </c>
      <c r="M157" s="3" t="s">
        <v>36</v>
      </c>
      <c r="N157" s="3" t="s">
        <v>36</v>
      </c>
      <c r="O157" s="8" t="s">
        <v>36</v>
      </c>
      <c r="P157" s="3" t="s">
        <v>36</v>
      </c>
      <c r="Q157" s="3" t="s">
        <v>36</v>
      </c>
      <c r="R157" s="3" t="s">
        <v>36</v>
      </c>
      <c r="S157" s="3" t="s">
        <v>36</v>
      </c>
      <c r="T157" s="3" t="s">
        <v>522</v>
      </c>
      <c r="U157" s="3" t="s">
        <v>38</v>
      </c>
      <c r="V157" s="3" t="s">
        <v>39</v>
      </c>
      <c r="W157" s="3" t="s">
        <v>1156</v>
      </c>
      <c r="X157" s="10" t="s">
        <v>1157</v>
      </c>
      <c r="Y157" s="6" t="s">
        <v>108</v>
      </c>
      <c r="Z157" s="4">
        <v>8.59</v>
      </c>
      <c r="AA157" s="4" t="s">
        <v>36</v>
      </c>
      <c r="AB157" s="3" t="s">
        <v>56</v>
      </c>
      <c r="AC157" s="3" t="s">
        <v>1158</v>
      </c>
      <c r="AD157" s="9">
        <v>45616</v>
      </c>
      <c r="AE157" s="3" t="s">
        <v>110</v>
      </c>
      <c r="AF157" s="3" t="s">
        <v>1159</v>
      </c>
      <c r="AG157" s="3" t="s">
        <v>81</v>
      </c>
      <c r="AH157" s="11">
        <f>HYPERLINK("https://my.pitchbook.com?c=277964-65T","View Company Online")</f>
      </c>
    </row>
    <row r="158">
      <c r="A158" s="12" t="s">
        <v>1160</v>
      </c>
      <c r="B158" s="12" t="s">
        <v>1161</v>
      </c>
      <c r="C158" s="19">
        <v>1</v>
      </c>
      <c r="D158" s="19" t="s">
        <v>36</v>
      </c>
      <c r="E158" s="19">
        <v>1</v>
      </c>
      <c r="F158" s="19">
        <v>1</v>
      </c>
      <c r="G158" s="15" t="s">
        <v>36</v>
      </c>
      <c r="H158" s="14" t="s">
        <v>36</v>
      </c>
      <c r="I158" s="18" t="s">
        <v>36</v>
      </c>
      <c r="J158" s="12" t="s">
        <v>36</v>
      </c>
      <c r="K158" s="13" t="s">
        <v>36</v>
      </c>
      <c r="L158" s="15" t="s">
        <v>36</v>
      </c>
      <c r="M158" s="12" t="s">
        <v>36</v>
      </c>
      <c r="N158" s="12" t="s">
        <v>36</v>
      </c>
      <c r="O158" s="17" t="s">
        <v>36</v>
      </c>
      <c r="P158" s="12" t="s">
        <v>36</v>
      </c>
      <c r="Q158" s="12" t="s">
        <v>36</v>
      </c>
      <c r="R158" s="12" t="s">
        <v>36</v>
      </c>
      <c r="S158" s="12" t="s">
        <v>36</v>
      </c>
      <c r="T158" s="12" t="s">
        <v>1162</v>
      </c>
      <c r="U158" s="12" t="s">
        <v>423</v>
      </c>
      <c r="V158" s="12" t="s">
        <v>64</v>
      </c>
      <c r="W158" s="12" t="s">
        <v>1163</v>
      </c>
      <c r="X158" s="16" t="s">
        <v>1164</v>
      </c>
      <c r="Y158" s="15" t="s">
        <v>42</v>
      </c>
      <c r="Z158" s="14">
        <v>1.72</v>
      </c>
      <c r="AA158" s="14" t="s">
        <v>36</v>
      </c>
      <c r="AB158" s="12" t="s">
        <v>43</v>
      </c>
      <c r="AC158" s="12" t="s">
        <v>1165</v>
      </c>
      <c r="AD158" s="13">
        <v>45615</v>
      </c>
      <c r="AE158" s="12" t="s">
        <v>562</v>
      </c>
      <c r="AF158" s="12" t="s">
        <v>1166</v>
      </c>
      <c r="AG158" s="12" t="s">
        <v>47</v>
      </c>
      <c r="AH158" s="1">
        <f>HYPERLINK("https://my.pitchbook.com?c=278053-84T","View Company Online")</f>
      </c>
    </row>
    <row r="159">
      <c r="A159" s="3" t="s">
        <v>1167</v>
      </c>
      <c r="B159" s="3" t="s">
        <v>1168</v>
      </c>
      <c r="C159" s="5" t="s">
        <v>36</v>
      </c>
      <c r="D159" s="5" t="s">
        <v>36</v>
      </c>
      <c r="E159" s="5" t="s">
        <v>36</v>
      </c>
      <c r="F159" s="5" t="s">
        <v>36</v>
      </c>
      <c r="G159" s="6" t="s">
        <v>36</v>
      </c>
      <c r="H159" s="4" t="s">
        <v>36</v>
      </c>
      <c r="I159" s="7" t="s">
        <v>36</v>
      </c>
      <c r="J159" s="3" t="s">
        <v>36</v>
      </c>
      <c r="K159" s="9" t="s">
        <v>36</v>
      </c>
      <c r="L159" s="6" t="s">
        <v>36</v>
      </c>
      <c r="M159" s="3" t="s">
        <v>36</v>
      </c>
      <c r="N159" s="3" t="s">
        <v>36</v>
      </c>
      <c r="O159" s="8" t="s">
        <v>36</v>
      </c>
      <c r="P159" s="3" t="s">
        <v>36</v>
      </c>
      <c r="Q159" s="3" t="s">
        <v>36</v>
      </c>
      <c r="R159" s="3" t="s">
        <v>36</v>
      </c>
      <c r="S159" s="3" t="s">
        <v>36</v>
      </c>
      <c r="T159" s="3" t="s">
        <v>1169</v>
      </c>
      <c r="U159" s="3" t="s">
        <v>74</v>
      </c>
      <c r="V159" s="3" t="s">
        <v>75</v>
      </c>
      <c r="W159" s="3" t="s">
        <v>1170</v>
      </c>
      <c r="X159" s="10" t="s">
        <v>1171</v>
      </c>
      <c r="Y159" s="6" t="s">
        <v>42</v>
      </c>
      <c r="Z159" s="4">
        <v>9.14</v>
      </c>
      <c r="AA159" s="4" t="s">
        <v>36</v>
      </c>
      <c r="AB159" s="3" t="s">
        <v>43</v>
      </c>
      <c r="AC159" s="3" t="s">
        <v>1172</v>
      </c>
      <c r="AD159" s="9">
        <v>45615</v>
      </c>
      <c r="AE159" s="3" t="s">
        <v>570</v>
      </c>
      <c r="AF159" s="3" t="s">
        <v>36</v>
      </c>
      <c r="AG159" s="3" t="s">
        <v>47</v>
      </c>
      <c r="AH159" s="11">
        <f>HYPERLINK("https://my.pitchbook.com?c=277889-59T","View Company Online")</f>
      </c>
    </row>
    <row r="160">
      <c r="A160" s="12" t="s">
        <v>1173</v>
      </c>
      <c r="B160" s="12" t="s">
        <v>1174</v>
      </c>
      <c r="C160" s="19" t="s">
        <v>36</v>
      </c>
      <c r="D160" s="19" t="s">
        <v>36</v>
      </c>
      <c r="E160" s="19" t="s">
        <v>36</v>
      </c>
      <c r="F160" s="19" t="s">
        <v>36</v>
      </c>
      <c r="G160" s="15" t="s">
        <v>36</v>
      </c>
      <c r="H160" s="14" t="s">
        <v>36</v>
      </c>
      <c r="I160" s="18" t="s">
        <v>36</v>
      </c>
      <c r="J160" s="12" t="s">
        <v>36</v>
      </c>
      <c r="K160" s="13" t="s">
        <v>36</v>
      </c>
      <c r="L160" s="15" t="s">
        <v>36</v>
      </c>
      <c r="M160" s="12" t="s">
        <v>36</v>
      </c>
      <c r="N160" s="12" t="s">
        <v>36</v>
      </c>
      <c r="O160" s="17" t="s">
        <v>36</v>
      </c>
      <c r="P160" s="12" t="s">
        <v>36</v>
      </c>
      <c r="Q160" s="12" t="s">
        <v>36</v>
      </c>
      <c r="R160" s="12" t="s">
        <v>36</v>
      </c>
      <c r="S160" s="12" t="s">
        <v>36</v>
      </c>
      <c r="T160" s="12" t="s">
        <v>1175</v>
      </c>
      <c r="U160" s="12" t="s">
        <v>219</v>
      </c>
      <c r="V160" s="12" t="s">
        <v>75</v>
      </c>
      <c r="W160" s="12" t="s">
        <v>1176</v>
      </c>
      <c r="X160" s="16" t="s">
        <v>1177</v>
      </c>
      <c r="Y160" s="15" t="s">
        <v>42</v>
      </c>
      <c r="Z160" s="14">
        <v>0.86</v>
      </c>
      <c r="AA160" s="14" t="s">
        <v>36</v>
      </c>
      <c r="AB160" s="12" t="s">
        <v>43</v>
      </c>
      <c r="AC160" s="12" t="s">
        <v>1178</v>
      </c>
      <c r="AD160" s="13">
        <v>45615</v>
      </c>
      <c r="AE160" s="12" t="s">
        <v>243</v>
      </c>
      <c r="AF160" s="12" t="s">
        <v>1179</v>
      </c>
      <c r="AG160" s="12" t="s">
        <v>382</v>
      </c>
      <c r="AH160" s="1">
        <f>HYPERLINK("https://my.pitchbook.com?c=277876-45T","View Company Online")</f>
      </c>
    </row>
    <row r="161">
      <c r="A161" s="3" t="s">
        <v>1180</v>
      </c>
      <c r="B161" s="3" t="s">
        <v>1181</v>
      </c>
      <c r="C161" s="5" t="s">
        <v>36</v>
      </c>
      <c r="D161" s="5" t="s">
        <v>36</v>
      </c>
      <c r="E161" s="5" t="s">
        <v>36</v>
      </c>
      <c r="F161" s="5" t="s">
        <v>36</v>
      </c>
      <c r="G161" s="6" t="s">
        <v>36</v>
      </c>
      <c r="H161" s="4" t="s">
        <v>36</v>
      </c>
      <c r="I161" s="7" t="s">
        <v>36</v>
      </c>
      <c r="J161" s="3" t="s">
        <v>36</v>
      </c>
      <c r="K161" s="9" t="s">
        <v>36</v>
      </c>
      <c r="L161" s="6" t="s">
        <v>36</v>
      </c>
      <c r="M161" s="3" t="s">
        <v>36</v>
      </c>
      <c r="N161" s="3" t="s">
        <v>36</v>
      </c>
      <c r="O161" s="8" t="s">
        <v>36</v>
      </c>
      <c r="P161" s="3" t="s">
        <v>36</v>
      </c>
      <c r="Q161" s="3" t="s">
        <v>36</v>
      </c>
      <c r="R161" s="3" t="s">
        <v>36</v>
      </c>
      <c r="S161" s="3" t="s">
        <v>1182</v>
      </c>
      <c r="T161" s="3" t="s">
        <v>522</v>
      </c>
      <c r="U161" s="3" t="s">
        <v>38</v>
      </c>
      <c r="V161" s="3" t="s">
        <v>39</v>
      </c>
      <c r="W161" s="3" t="s">
        <v>1183</v>
      </c>
      <c r="X161" s="10" t="s">
        <v>1184</v>
      </c>
      <c r="Y161" s="6" t="s">
        <v>42</v>
      </c>
      <c r="Z161" s="4">
        <v>3.23</v>
      </c>
      <c r="AA161" s="4" t="s">
        <v>36</v>
      </c>
      <c r="AB161" s="3" t="s">
        <v>43</v>
      </c>
      <c r="AC161" s="3" t="s">
        <v>1185</v>
      </c>
      <c r="AD161" s="9">
        <v>45614</v>
      </c>
      <c r="AE161" s="3" t="s">
        <v>110</v>
      </c>
      <c r="AF161" s="3" t="s">
        <v>111</v>
      </c>
      <c r="AG161" s="3" t="s">
        <v>81</v>
      </c>
      <c r="AH161" s="11">
        <f>HYPERLINK("https://my.pitchbook.com?c=277699-96T","View Company Online")</f>
      </c>
    </row>
    <row r="162">
      <c r="A162" s="12" t="s">
        <v>1186</v>
      </c>
      <c r="B162" s="12" t="s">
        <v>1187</v>
      </c>
      <c r="C162" s="19" t="s">
        <v>36</v>
      </c>
      <c r="D162" s="19" t="s">
        <v>36</v>
      </c>
      <c r="E162" s="19" t="s">
        <v>36</v>
      </c>
      <c r="F162" s="19" t="s">
        <v>36</v>
      </c>
      <c r="G162" s="15" t="s">
        <v>36</v>
      </c>
      <c r="H162" s="14" t="s">
        <v>36</v>
      </c>
      <c r="I162" s="18" t="s">
        <v>36</v>
      </c>
      <c r="J162" s="12" t="s">
        <v>36</v>
      </c>
      <c r="K162" s="13" t="s">
        <v>36</v>
      </c>
      <c r="L162" s="15" t="s">
        <v>36</v>
      </c>
      <c r="M162" s="12" t="s">
        <v>36</v>
      </c>
      <c r="N162" s="12" t="s">
        <v>36</v>
      </c>
      <c r="O162" s="17" t="s">
        <v>36</v>
      </c>
      <c r="P162" s="12" t="s">
        <v>36</v>
      </c>
      <c r="Q162" s="12" t="s">
        <v>36</v>
      </c>
      <c r="R162" s="12" t="s">
        <v>36</v>
      </c>
      <c r="S162" s="12" t="s">
        <v>36</v>
      </c>
      <c r="T162" s="12" t="s">
        <v>1188</v>
      </c>
      <c r="U162" s="12" t="s">
        <v>180</v>
      </c>
      <c r="V162" s="12" t="s">
        <v>52</v>
      </c>
      <c r="W162" s="12" t="s">
        <v>1189</v>
      </c>
      <c r="X162" s="16" t="s">
        <v>1190</v>
      </c>
      <c r="Y162" s="15" t="s">
        <v>55</v>
      </c>
      <c r="Z162" s="14">
        <v>5.38</v>
      </c>
      <c r="AA162" s="14" t="s">
        <v>36</v>
      </c>
      <c r="AB162" s="12" t="s">
        <v>56</v>
      </c>
      <c r="AC162" s="12" t="s">
        <v>1191</v>
      </c>
      <c r="AD162" s="13">
        <v>45614</v>
      </c>
      <c r="AE162" s="12" t="s">
        <v>1192</v>
      </c>
      <c r="AF162" s="12" t="s">
        <v>756</v>
      </c>
      <c r="AG162" s="12" t="s">
        <v>1193</v>
      </c>
      <c r="AH162" s="1">
        <f>HYPERLINK("https://my.pitchbook.com?c=277823-71T","View Company Online")</f>
      </c>
    </row>
    <row r="163">
      <c r="A163" s="3" t="s">
        <v>1194</v>
      </c>
      <c r="B163" s="3" t="s">
        <v>1195</v>
      </c>
      <c r="C163" s="5" t="s">
        <v>36</v>
      </c>
      <c r="D163" s="5" t="s">
        <v>36</v>
      </c>
      <c r="E163" s="5" t="s">
        <v>36</v>
      </c>
      <c r="F163" s="5" t="s">
        <v>36</v>
      </c>
      <c r="G163" s="6" t="s">
        <v>36</v>
      </c>
      <c r="H163" s="4" t="s">
        <v>36</v>
      </c>
      <c r="I163" s="7" t="s">
        <v>36</v>
      </c>
      <c r="J163" s="3" t="s">
        <v>36</v>
      </c>
      <c r="K163" s="9" t="s">
        <v>36</v>
      </c>
      <c r="L163" s="6" t="s">
        <v>36</v>
      </c>
      <c r="M163" s="3" t="s">
        <v>36</v>
      </c>
      <c r="N163" s="3" t="s">
        <v>36</v>
      </c>
      <c r="O163" s="8" t="s">
        <v>36</v>
      </c>
      <c r="P163" s="3" t="s">
        <v>36</v>
      </c>
      <c r="Q163" s="3" t="s">
        <v>36</v>
      </c>
      <c r="R163" s="3" t="s">
        <v>36</v>
      </c>
      <c r="S163" s="3" t="s">
        <v>36</v>
      </c>
      <c r="T163" s="3" t="s">
        <v>1196</v>
      </c>
      <c r="U163" s="3" t="s">
        <v>38</v>
      </c>
      <c r="V163" s="3" t="s">
        <v>39</v>
      </c>
      <c r="W163" s="3" t="s">
        <v>1197</v>
      </c>
      <c r="X163" s="10" t="s">
        <v>1198</v>
      </c>
      <c r="Y163" s="6" t="s">
        <v>55</v>
      </c>
      <c r="Z163" s="4">
        <v>91.83</v>
      </c>
      <c r="AA163" s="4" t="s">
        <v>36</v>
      </c>
      <c r="AB163" s="3" t="s">
        <v>56</v>
      </c>
      <c r="AC163" s="3" t="s">
        <v>1199</v>
      </c>
      <c r="AD163" s="9">
        <v>45610</v>
      </c>
      <c r="AE163" s="3" t="s">
        <v>1200</v>
      </c>
      <c r="AF163" s="3" t="s">
        <v>1201</v>
      </c>
      <c r="AG163" s="3" t="s">
        <v>1202</v>
      </c>
      <c r="AH163" s="11">
        <f>HYPERLINK("https://my.pitchbook.com?c=277759-81T","View Company Online")</f>
      </c>
    </row>
    <row r="164">
      <c r="A164" s="12" t="s">
        <v>1203</v>
      </c>
      <c r="B164" s="12" t="s">
        <v>1204</v>
      </c>
      <c r="C164" s="19">
        <v>11</v>
      </c>
      <c r="D164" s="19">
        <v>11</v>
      </c>
      <c r="E164" s="19">
        <v>6</v>
      </c>
      <c r="F164" s="19">
        <v>23</v>
      </c>
      <c r="G164" s="15" t="s">
        <v>36</v>
      </c>
      <c r="H164" s="14" t="s">
        <v>36</v>
      </c>
      <c r="I164" s="18" t="s">
        <v>36</v>
      </c>
      <c r="J164" s="12" t="s">
        <v>36</v>
      </c>
      <c r="K164" s="13" t="s">
        <v>36</v>
      </c>
      <c r="L164" s="15" t="s">
        <v>94</v>
      </c>
      <c r="M164" s="12" t="s">
        <v>36</v>
      </c>
      <c r="N164" s="12" t="s">
        <v>94</v>
      </c>
      <c r="O164" s="17" t="s">
        <v>36</v>
      </c>
      <c r="P164" s="12" t="s">
        <v>36</v>
      </c>
      <c r="Q164" s="12" t="s">
        <v>36</v>
      </c>
      <c r="R164" s="12" t="s">
        <v>36</v>
      </c>
      <c r="S164" s="12" t="s">
        <v>36</v>
      </c>
      <c r="T164" s="12" t="s">
        <v>1081</v>
      </c>
      <c r="U164" s="12" t="s">
        <v>1082</v>
      </c>
      <c r="V164" s="12" t="s">
        <v>378</v>
      </c>
      <c r="W164" s="12" t="s">
        <v>1205</v>
      </c>
      <c r="X164" s="16" t="s">
        <v>1206</v>
      </c>
      <c r="Y164" s="15" t="s">
        <v>55</v>
      </c>
      <c r="Z164" s="14">
        <v>51.86</v>
      </c>
      <c r="AA164" s="14" t="s">
        <v>36</v>
      </c>
      <c r="AB164" s="12" t="s">
        <v>56</v>
      </c>
      <c r="AC164" s="12" t="s">
        <v>1207</v>
      </c>
      <c r="AD164" s="13">
        <v>45610</v>
      </c>
      <c r="AE164" s="12" t="s">
        <v>1086</v>
      </c>
      <c r="AF164" s="12" t="s">
        <v>1208</v>
      </c>
      <c r="AG164" s="12" t="s">
        <v>1209</v>
      </c>
      <c r="AH164" s="1">
        <f>HYPERLINK("https://my.pitchbook.com?c=277477-03T","View Company Online")</f>
      </c>
    </row>
    <row r="165">
      <c r="A165" s="3" t="s">
        <v>1210</v>
      </c>
      <c r="B165" s="3" t="s">
        <v>1211</v>
      </c>
      <c r="C165" s="5" t="s">
        <v>36</v>
      </c>
      <c r="D165" s="5" t="s">
        <v>36</v>
      </c>
      <c r="E165" s="5" t="s">
        <v>36</v>
      </c>
      <c r="F165" s="5" t="s">
        <v>36</v>
      </c>
      <c r="G165" s="6" t="s">
        <v>36</v>
      </c>
      <c r="H165" s="4" t="s">
        <v>36</v>
      </c>
      <c r="I165" s="7" t="s">
        <v>36</v>
      </c>
      <c r="J165" s="3" t="s">
        <v>36</v>
      </c>
      <c r="K165" s="9" t="s">
        <v>36</v>
      </c>
      <c r="L165" s="6" t="s">
        <v>36</v>
      </c>
      <c r="M165" s="3" t="s">
        <v>36</v>
      </c>
      <c r="N165" s="3" t="s">
        <v>36</v>
      </c>
      <c r="O165" s="8" t="s">
        <v>36</v>
      </c>
      <c r="P165" s="3" t="s">
        <v>36</v>
      </c>
      <c r="Q165" s="3" t="s">
        <v>36</v>
      </c>
      <c r="R165" s="3" t="s">
        <v>36</v>
      </c>
      <c r="S165" s="3" t="s">
        <v>36</v>
      </c>
      <c r="T165" s="3" t="s">
        <v>1212</v>
      </c>
      <c r="U165" s="3" t="s">
        <v>219</v>
      </c>
      <c r="V165" s="3" t="s">
        <v>75</v>
      </c>
      <c r="W165" s="3" t="s">
        <v>1213</v>
      </c>
      <c r="X165" s="10" t="s">
        <v>1214</v>
      </c>
      <c r="Y165" s="6" t="s">
        <v>192</v>
      </c>
      <c r="Z165" s="4">
        <v>108.04</v>
      </c>
      <c r="AA165" s="4" t="s">
        <v>36</v>
      </c>
      <c r="AB165" s="3" t="s">
        <v>56</v>
      </c>
      <c r="AC165" s="3" t="s">
        <v>1215</v>
      </c>
      <c r="AD165" s="9">
        <v>45610</v>
      </c>
      <c r="AE165" s="3" t="s">
        <v>1032</v>
      </c>
      <c r="AF165" s="3" t="s">
        <v>1216</v>
      </c>
      <c r="AG165" s="3" t="s">
        <v>1217</v>
      </c>
      <c r="AH165" s="11">
        <f>HYPERLINK("https://my.pitchbook.com?c=277518-70T","View Company Online")</f>
      </c>
    </row>
    <row r="166">
      <c r="A166" s="12" t="s">
        <v>1218</v>
      </c>
      <c r="B166" s="12" t="s">
        <v>1219</v>
      </c>
      <c r="C166" s="19" t="s">
        <v>36</v>
      </c>
      <c r="D166" s="19" t="s">
        <v>36</v>
      </c>
      <c r="E166" s="19" t="s">
        <v>36</v>
      </c>
      <c r="F166" s="19" t="s">
        <v>36</v>
      </c>
      <c r="G166" s="15" t="s">
        <v>36</v>
      </c>
      <c r="H166" s="14" t="s">
        <v>36</v>
      </c>
      <c r="I166" s="18" t="s">
        <v>36</v>
      </c>
      <c r="J166" s="12" t="s">
        <v>36</v>
      </c>
      <c r="K166" s="13">
        <v>45610</v>
      </c>
      <c r="L166" s="15" t="s">
        <v>36</v>
      </c>
      <c r="M166" s="12" t="s">
        <v>36</v>
      </c>
      <c r="N166" s="12" t="s">
        <v>36</v>
      </c>
      <c r="O166" s="17" t="s">
        <v>36</v>
      </c>
      <c r="P166" s="12" t="s">
        <v>36</v>
      </c>
      <c r="Q166" s="12" t="s">
        <v>36</v>
      </c>
      <c r="R166" s="12" t="s">
        <v>36</v>
      </c>
      <c r="S166" s="12" t="s">
        <v>36</v>
      </c>
      <c r="T166" s="12" t="s">
        <v>1220</v>
      </c>
      <c r="U166" s="12" t="s">
        <v>366</v>
      </c>
      <c r="V166" s="12" t="s">
        <v>367</v>
      </c>
      <c r="W166" s="12" t="s">
        <v>1221</v>
      </c>
      <c r="X166" s="16" t="s">
        <v>1222</v>
      </c>
      <c r="Y166" s="15" t="s">
        <v>42</v>
      </c>
      <c r="Z166" s="14">
        <v>7.56</v>
      </c>
      <c r="AA166" s="14" t="s">
        <v>36</v>
      </c>
      <c r="AB166" s="12" t="s">
        <v>43</v>
      </c>
      <c r="AC166" s="12" t="s">
        <v>1223</v>
      </c>
      <c r="AD166" s="13">
        <v>45610</v>
      </c>
      <c r="AE166" s="12" t="s">
        <v>600</v>
      </c>
      <c r="AF166" s="12" t="s">
        <v>1224</v>
      </c>
      <c r="AG166" s="12" t="s">
        <v>102</v>
      </c>
      <c r="AH166" s="1">
        <f>HYPERLINK("https://my.pitchbook.com?c=274024-81T","View Company Online")</f>
      </c>
    </row>
    <row r="167">
      <c r="A167" s="3" t="s">
        <v>1225</v>
      </c>
      <c r="B167" s="3" t="s">
        <v>1226</v>
      </c>
      <c r="C167" s="5" t="s">
        <v>36</v>
      </c>
      <c r="D167" s="5" t="s">
        <v>36</v>
      </c>
      <c r="E167" s="5" t="s">
        <v>36</v>
      </c>
      <c r="F167" s="5" t="s">
        <v>36</v>
      </c>
      <c r="G167" s="6" t="s">
        <v>36</v>
      </c>
      <c r="H167" s="4" t="s">
        <v>36</v>
      </c>
      <c r="I167" s="7" t="s">
        <v>36</v>
      </c>
      <c r="J167" s="3" t="s">
        <v>36</v>
      </c>
      <c r="K167" s="9" t="s">
        <v>36</v>
      </c>
      <c r="L167" s="6" t="s">
        <v>36</v>
      </c>
      <c r="M167" s="3" t="s">
        <v>36</v>
      </c>
      <c r="N167" s="3" t="s">
        <v>36</v>
      </c>
      <c r="O167" s="8" t="s">
        <v>36</v>
      </c>
      <c r="P167" s="3" t="s">
        <v>36</v>
      </c>
      <c r="Q167" s="3" t="s">
        <v>36</v>
      </c>
      <c r="R167" s="3" t="s">
        <v>36</v>
      </c>
      <c r="S167" s="3" t="s">
        <v>36</v>
      </c>
      <c r="T167" s="3" t="s">
        <v>1227</v>
      </c>
      <c r="U167" s="3" t="s">
        <v>74</v>
      </c>
      <c r="V167" s="3" t="s">
        <v>75</v>
      </c>
      <c r="W167" s="3" t="s">
        <v>1228</v>
      </c>
      <c r="X167" s="10" t="s">
        <v>1229</v>
      </c>
      <c r="Y167" s="6" t="s">
        <v>55</v>
      </c>
      <c r="Z167" s="4">
        <v>27.01</v>
      </c>
      <c r="AA167" s="4" t="s">
        <v>36</v>
      </c>
      <c r="AB167" s="3" t="s">
        <v>43</v>
      </c>
      <c r="AC167" s="3" t="s">
        <v>1230</v>
      </c>
      <c r="AD167" s="9">
        <v>45610</v>
      </c>
      <c r="AE167" s="3" t="s">
        <v>570</v>
      </c>
      <c r="AF167" s="3" t="s">
        <v>1208</v>
      </c>
      <c r="AG167" s="3" t="s">
        <v>81</v>
      </c>
      <c r="AH167" s="11">
        <f>HYPERLINK("https://my.pitchbook.com?c=255739-15T","View Company Online")</f>
      </c>
    </row>
    <row r="168">
      <c r="A168" s="12" t="s">
        <v>1231</v>
      </c>
      <c r="B168" s="12" t="s">
        <v>1232</v>
      </c>
      <c r="C168" s="19" t="s">
        <v>36</v>
      </c>
      <c r="D168" s="19" t="s">
        <v>36</v>
      </c>
      <c r="E168" s="19" t="s">
        <v>36</v>
      </c>
      <c r="F168" s="19" t="s">
        <v>36</v>
      </c>
      <c r="G168" s="15" t="s">
        <v>36</v>
      </c>
      <c r="H168" s="14" t="s">
        <v>36</v>
      </c>
      <c r="I168" s="18" t="s">
        <v>36</v>
      </c>
      <c r="J168" s="12" t="s">
        <v>36</v>
      </c>
      <c r="K168" s="13" t="s">
        <v>36</v>
      </c>
      <c r="L168" s="15" t="s">
        <v>36</v>
      </c>
      <c r="M168" s="12" t="s">
        <v>36</v>
      </c>
      <c r="N168" s="12" t="s">
        <v>36</v>
      </c>
      <c r="O168" s="17" t="s">
        <v>36</v>
      </c>
      <c r="P168" s="12" t="s">
        <v>36</v>
      </c>
      <c r="Q168" s="12" t="s">
        <v>36</v>
      </c>
      <c r="R168" s="12" t="s">
        <v>36</v>
      </c>
      <c r="S168" s="12" t="s">
        <v>36</v>
      </c>
      <c r="T168" s="12" t="s">
        <v>630</v>
      </c>
      <c r="U168" s="12" t="s">
        <v>38</v>
      </c>
      <c r="V168" s="12" t="s">
        <v>39</v>
      </c>
      <c r="W168" s="12" t="s">
        <v>1233</v>
      </c>
      <c r="X168" s="16" t="s">
        <v>1234</v>
      </c>
      <c r="Y168" s="15" t="s">
        <v>108</v>
      </c>
      <c r="Z168" s="14">
        <v>8</v>
      </c>
      <c r="AA168" s="14" t="s">
        <v>36</v>
      </c>
      <c r="AB168" s="12" t="s">
        <v>43</v>
      </c>
      <c r="AC168" s="12" t="s">
        <v>1235</v>
      </c>
      <c r="AD168" s="13">
        <v>45609</v>
      </c>
      <c r="AE168" s="12" t="s">
        <v>110</v>
      </c>
      <c r="AF168" s="12" t="s">
        <v>1236</v>
      </c>
      <c r="AG168" s="12" t="s">
        <v>81</v>
      </c>
      <c r="AH168" s="1">
        <f>HYPERLINK("https://my.pitchbook.com?c=277372-99T","View Company Online")</f>
      </c>
    </row>
    <row r="169">
      <c r="A169" s="3" t="s">
        <v>1237</v>
      </c>
      <c r="B169" s="3" t="s">
        <v>1238</v>
      </c>
      <c r="C169" s="5" t="s">
        <v>36</v>
      </c>
      <c r="D169" s="5" t="s">
        <v>36</v>
      </c>
      <c r="E169" s="5" t="s">
        <v>36</v>
      </c>
      <c r="F169" s="5" t="s">
        <v>36</v>
      </c>
      <c r="G169" s="6" t="s">
        <v>36</v>
      </c>
      <c r="H169" s="4" t="s">
        <v>36</v>
      </c>
      <c r="I169" s="7" t="s">
        <v>36</v>
      </c>
      <c r="J169" s="3" t="s">
        <v>36</v>
      </c>
      <c r="K169" s="9" t="s">
        <v>36</v>
      </c>
      <c r="L169" s="6" t="s">
        <v>36</v>
      </c>
      <c r="M169" s="3" t="s">
        <v>36</v>
      </c>
      <c r="N169" s="3" t="s">
        <v>36</v>
      </c>
      <c r="O169" s="8" t="s">
        <v>36</v>
      </c>
      <c r="P169" s="3" t="s">
        <v>36</v>
      </c>
      <c r="Q169" s="3" t="s">
        <v>36</v>
      </c>
      <c r="R169" s="3" t="s">
        <v>36</v>
      </c>
      <c r="S169" s="3" t="s">
        <v>36</v>
      </c>
      <c r="T169" s="3" t="s">
        <v>1239</v>
      </c>
      <c r="U169" s="3" t="s">
        <v>74</v>
      </c>
      <c r="V169" s="3" t="s">
        <v>75</v>
      </c>
      <c r="W169" s="3" t="s">
        <v>1240</v>
      </c>
      <c r="X169" s="10" t="s">
        <v>1241</v>
      </c>
      <c r="Y169" s="6" t="s">
        <v>42</v>
      </c>
      <c r="Z169" s="4">
        <v>4.87</v>
      </c>
      <c r="AA169" s="4" t="s">
        <v>36</v>
      </c>
      <c r="AB169" s="3" t="s">
        <v>56</v>
      </c>
      <c r="AC169" s="3" t="s">
        <v>1242</v>
      </c>
      <c r="AD169" s="9">
        <v>45609</v>
      </c>
      <c r="AE169" s="3" t="s">
        <v>1243</v>
      </c>
      <c r="AF169" s="3" t="s">
        <v>36</v>
      </c>
      <c r="AG169" s="3" t="s">
        <v>47</v>
      </c>
      <c r="AH169" s="11">
        <f>HYPERLINK("https://my.pitchbook.com?c=277457-32T","View Company Online")</f>
      </c>
    </row>
    <row r="170">
      <c r="A170" s="12" t="s">
        <v>1244</v>
      </c>
      <c r="B170" s="12" t="s">
        <v>1245</v>
      </c>
      <c r="C170" s="19">
        <v>1</v>
      </c>
      <c r="D170" s="19">
        <v>2</v>
      </c>
      <c r="E170" s="19">
        <v>2</v>
      </c>
      <c r="F170" s="19">
        <v>3</v>
      </c>
      <c r="G170" s="15" t="s">
        <v>36</v>
      </c>
      <c r="H170" s="14" t="s">
        <v>36</v>
      </c>
      <c r="I170" s="18" t="s">
        <v>36</v>
      </c>
      <c r="J170" s="12" t="s">
        <v>36</v>
      </c>
      <c r="K170" s="13" t="s">
        <v>36</v>
      </c>
      <c r="L170" s="15" t="s">
        <v>36</v>
      </c>
      <c r="M170" s="12" t="s">
        <v>36</v>
      </c>
      <c r="N170" s="12" t="s">
        <v>36</v>
      </c>
      <c r="O170" s="17" t="s">
        <v>36</v>
      </c>
      <c r="P170" s="12" t="s">
        <v>36</v>
      </c>
      <c r="Q170" s="12" t="s">
        <v>36</v>
      </c>
      <c r="R170" s="12" t="s">
        <v>36</v>
      </c>
      <c r="S170" s="12" t="s">
        <v>36</v>
      </c>
      <c r="T170" s="12" t="s">
        <v>1246</v>
      </c>
      <c r="U170" s="12" t="s">
        <v>318</v>
      </c>
      <c r="V170" s="12" t="s">
        <v>39</v>
      </c>
      <c r="W170" s="12" t="s">
        <v>1247</v>
      </c>
      <c r="X170" s="16" t="s">
        <v>1248</v>
      </c>
      <c r="Y170" s="15" t="s">
        <v>55</v>
      </c>
      <c r="Z170" s="14">
        <v>10.83</v>
      </c>
      <c r="AA170" s="14" t="s">
        <v>36</v>
      </c>
      <c r="AB170" s="12" t="s">
        <v>56</v>
      </c>
      <c r="AC170" s="12" t="s">
        <v>1249</v>
      </c>
      <c r="AD170" s="13">
        <v>45608</v>
      </c>
      <c r="AE170" s="12" t="s">
        <v>417</v>
      </c>
      <c r="AF170" s="12" t="s">
        <v>724</v>
      </c>
      <c r="AG170" s="12" t="s">
        <v>1250</v>
      </c>
      <c r="AH170" s="1">
        <f>HYPERLINK("https://my.pitchbook.com?c=277295-05T","View Company Online")</f>
      </c>
    </row>
    <row r="171">
      <c r="A171" s="3" t="s">
        <v>1251</v>
      </c>
      <c r="B171" s="3" t="s">
        <v>1252</v>
      </c>
      <c r="C171" s="5" t="s">
        <v>36</v>
      </c>
      <c r="D171" s="5" t="s">
        <v>36</v>
      </c>
      <c r="E171" s="5" t="s">
        <v>36</v>
      </c>
      <c r="F171" s="5" t="s">
        <v>36</v>
      </c>
      <c r="G171" s="6" t="s">
        <v>36</v>
      </c>
      <c r="H171" s="4" t="s">
        <v>36</v>
      </c>
      <c r="I171" s="7" t="s">
        <v>36</v>
      </c>
      <c r="J171" s="3" t="s">
        <v>36</v>
      </c>
      <c r="K171" s="9" t="s">
        <v>36</v>
      </c>
      <c r="L171" s="6" t="s">
        <v>36</v>
      </c>
      <c r="M171" s="3" t="s">
        <v>36</v>
      </c>
      <c r="N171" s="3" t="s">
        <v>36</v>
      </c>
      <c r="O171" s="8" t="s">
        <v>36</v>
      </c>
      <c r="P171" s="3" t="s">
        <v>36</v>
      </c>
      <c r="Q171" s="3" t="s">
        <v>36</v>
      </c>
      <c r="R171" s="3" t="s">
        <v>36</v>
      </c>
      <c r="S171" s="3" t="s">
        <v>36</v>
      </c>
      <c r="T171" s="3" t="s">
        <v>1253</v>
      </c>
      <c r="U171" s="3" t="s">
        <v>38</v>
      </c>
      <c r="V171" s="3" t="s">
        <v>39</v>
      </c>
      <c r="W171" s="3" t="s">
        <v>1254</v>
      </c>
      <c r="X171" s="10" t="s">
        <v>1255</v>
      </c>
      <c r="Y171" s="6" t="s">
        <v>42</v>
      </c>
      <c r="Z171" s="4">
        <v>3.79</v>
      </c>
      <c r="AA171" s="4" t="s">
        <v>36</v>
      </c>
      <c r="AB171" s="3" t="s">
        <v>43</v>
      </c>
      <c r="AC171" s="3" t="s">
        <v>1256</v>
      </c>
      <c r="AD171" s="9">
        <v>45608</v>
      </c>
      <c r="AE171" s="3" t="s">
        <v>45</v>
      </c>
      <c r="AF171" s="3" t="s">
        <v>1257</v>
      </c>
      <c r="AG171" s="3" t="s">
        <v>81</v>
      </c>
      <c r="AH171" s="11">
        <f>HYPERLINK("https://my.pitchbook.com?c=277308-91T","View Company Online")</f>
      </c>
    </row>
    <row r="172">
      <c r="A172" s="12" t="s">
        <v>1258</v>
      </c>
      <c r="B172" s="12" t="s">
        <v>1259</v>
      </c>
      <c r="C172" s="19" t="s">
        <v>36</v>
      </c>
      <c r="D172" s="19" t="s">
        <v>36</v>
      </c>
      <c r="E172" s="19" t="s">
        <v>36</v>
      </c>
      <c r="F172" s="19" t="s">
        <v>36</v>
      </c>
      <c r="G172" s="15" t="s">
        <v>36</v>
      </c>
      <c r="H172" s="14" t="s">
        <v>36</v>
      </c>
      <c r="I172" s="18" t="s">
        <v>36</v>
      </c>
      <c r="J172" s="12" t="s">
        <v>36</v>
      </c>
      <c r="K172" s="13" t="s">
        <v>36</v>
      </c>
      <c r="L172" s="15" t="s">
        <v>122</v>
      </c>
      <c r="M172" s="12" t="s">
        <v>36</v>
      </c>
      <c r="N172" s="12" t="s">
        <v>122</v>
      </c>
      <c r="O172" s="17" t="s">
        <v>36</v>
      </c>
      <c r="P172" s="12" t="s">
        <v>36</v>
      </c>
      <c r="Q172" s="12" t="s">
        <v>36</v>
      </c>
      <c r="R172" s="12" t="s">
        <v>36</v>
      </c>
      <c r="S172" s="12" t="s">
        <v>36</v>
      </c>
      <c r="T172" s="12" t="s">
        <v>1260</v>
      </c>
      <c r="U172" s="12" t="s">
        <v>38</v>
      </c>
      <c r="V172" s="12" t="s">
        <v>39</v>
      </c>
      <c r="W172" s="12" t="s">
        <v>1261</v>
      </c>
      <c r="X172" s="16" t="s">
        <v>1262</v>
      </c>
      <c r="Y172" s="15" t="s">
        <v>55</v>
      </c>
      <c r="Z172" s="14">
        <v>9</v>
      </c>
      <c r="AA172" s="14" t="s">
        <v>36</v>
      </c>
      <c r="AB172" s="12" t="s">
        <v>56</v>
      </c>
      <c r="AC172" s="12" t="s">
        <v>1263</v>
      </c>
      <c r="AD172" s="13">
        <v>45608</v>
      </c>
      <c r="AE172" s="12" t="s">
        <v>110</v>
      </c>
      <c r="AF172" s="12" t="s">
        <v>111</v>
      </c>
      <c r="AG172" s="12" t="s">
        <v>81</v>
      </c>
      <c r="AH172" s="1">
        <f>HYPERLINK("https://my.pitchbook.com?c=277311-07T","View Company Online")</f>
      </c>
    </row>
    <row r="173">
      <c r="A173" s="3" t="s">
        <v>1264</v>
      </c>
      <c r="B173" s="3" t="s">
        <v>1265</v>
      </c>
      <c r="C173" s="5" t="s">
        <v>36</v>
      </c>
      <c r="D173" s="5" t="s">
        <v>36</v>
      </c>
      <c r="E173" s="5" t="s">
        <v>36</v>
      </c>
      <c r="F173" s="5" t="s">
        <v>36</v>
      </c>
      <c r="G173" s="6" t="s">
        <v>326</v>
      </c>
      <c r="H173" s="4" t="s">
        <v>36</v>
      </c>
      <c r="I173" s="7">
        <v>21.36</v>
      </c>
      <c r="J173" s="3" t="s">
        <v>327</v>
      </c>
      <c r="K173" s="9" t="s">
        <v>36</v>
      </c>
      <c r="L173" s="6" t="s">
        <v>36</v>
      </c>
      <c r="M173" s="3" t="s">
        <v>36</v>
      </c>
      <c r="N173" s="3" t="s">
        <v>36</v>
      </c>
      <c r="O173" s="8" t="s">
        <v>36</v>
      </c>
      <c r="P173" s="3" t="s">
        <v>36</v>
      </c>
      <c r="Q173" s="3" t="s">
        <v>36</v>
      </c>
      <c r="R173" s="3" t="s">
        <v>36</v>
      </c>
      <c r="S173" s="3" t="s">
        <v>36</v>
      </c>
      <c r="T173" s="3" t="s">
        <v>1266</v>
      </c>
      <c r="U173" s="3" t="s">
        <v>74</v>
      </c>
      <c r="V173" s="3" t="s">
        <v>75</v>
      </c>
      <c r="W173" s="3" t="s">
        <v>1267</v>
      </c>
      <c r="X173" s="10" t="s">
        <v>1268</v>
      </c>
      <c r="Y173" s="6" t="s">
        <v>108</v>
      </c>
      <c r="Z173" s="4">
        <v>3.79</v>
      </c>
      <c r="AA173" s="4">
        <v>17.74</v>
      </c>
      <c r="AB173" s="3" t="s">
        <v>43</v>
      </c>
      <c r="AC173" s="3" t="s">
        <v>1269</v>
      </c>
      <c r="AD173" s="9">
        <v>45608</v>
      </c>
      <c r="AE173" s="3" t="s">
        <v>79</v>
      </c>
      <c r="AF173" s="3" t="s">
        <v>36</v>
      </c>
      <c r="AG173" s="3" t="s">
        <v>81</v>
      </c>
      <c r="AH173" s="11">
        <f>HYPERLINK("https://my.pitchbook.com?c=277298-29T","View Company Online")</f>
      </c>
    </row>
    <row r="174">
      <c r="A174" s="12" t="s">
        <v>1270</v>
      </c>
      <c r="B174" s="12" t="s">
        <v>1271</v>
      </c>
      <c r="C174" s="19" t="s">
        <v>36</v>
      </c>
      <c r="D174" s="19" t="s">
        <v>36</v>
      </c>
      <c r="E174" s="19" t="s">
        <v>36</v>
      </c>
      <c r="F174" s="19" t="s">
        <v>36</v>
      </c>
      <c r="G174" s="15" t="s">
        <v>36</v>
      </c>
      <c r="H174" s="14" t="s">
        <v>36</v>
      </c>
      <c r="I174" s="18" t="s">
        <v>36</v>
      </c>
      <c r="J174" s="12" t="s">
        <v>36</v>
      </c>
      <c r="K174" s="13" t="s">
        <v>36</v>
      </c>
      <c r="L174" s="15" t="s">
        <v>36</v>
      </c>
      <c r="M174" s="12" t="s">
        <v>36</v>
      </c>
      <c r="N174" s="12" t="s">
        <v>36</v>
      </c>
      <c r="O174" s="17" t="s">
        <v>36</v>
      </c>
      <c r="P174" s="12" t="s">
        <v>36</v>
      </c>
      <c r="Q174" s="12" t="s">
        <v>36</v>
      </c>
      <c r="R174" s="12" t="s">
        <v>36</v>
      </c>
      <c r="S174" s="12" t="s">
        <v>36</v>
      </c>
      <c r="T174" s="12" t="s">
        <v>881</v>
      </c>
      <c r="U174" s="12" t="s">
        <v>51</v>
      </c>
      <c r="V174" s="12" t="s">
        <v>52</v>
      </c>
      <c r="W174" s="12" t="s">
        <v>1272</v>
      </c>
      <c r="X174" s="16" t="s">
        <v>1273</v>
      </c>
      <c r="Y174" s="15" t="s">
        <v>192</v>
      </c>
      <c r="Z174" s="14" t="s">
        <v>36</v>
      </c>
      <c r="AA174" s="14" t="s">
        <v>36</v>
      </c>
      <c r="AB174" s="12" t="s">
        <v>56</v>
      </c>
      <c r="AC174" s="12" t="s">
        <v>1274</v>
      </c>
      <c r="AD174" s="13">
        <v>45607</v>
      </c>
      <c r="AE174" s="12" t="s">
        <v>504</v>
      </c>
      <c r="AF174" s="12" t="s">
        <v>1275</v>
      </c>
      <c r="AG174" s="12" t="s">
        <v>1276</v>
      </c>
      <c r="AH174" s="1">
        <f>HYPERLINK("https://my.pitchbook.com?c=277312-33T","View Company Online")</f>
      </c>
    </row>
    <row r="175">
      <c r="A175" s="3" t="s">
        <v>1277</v>
      </c>
      <c r="B175" s="3" t="s">
        <v>1278</v>
      </c>
      <c r="C175" s="5" t="s">
        <v>36</v>
      </c>
      <c r="D175" s="5" t="s">
        <v>36</v>
      </c>
      <c r="E175" s="5" t="s">
        <v>36</v>
      </c>
      <c r="F175" s="5" t="s">
        <v>36</v>
      </c>
      <c r="G175" s="6" t="s">
        <v>36</v>
      </c>
      <c r="H175" s="4" t="s">
        <v>36</v>
      </c>
      <c r="I175" s="7" t="s">
        <v>36</v>
      </c>
      <c r="J175" s="3" t="s">
        <v>36</v>
      </c>
      <c r="K175" s="9">
        <v>45595</v>
      </c>
      <c r="L175" s="6" t="s">
        <v>1279</v>
      </c>
      <c r="M175" s="3" t="s">
        <v>36</v>
      </c>
      <c r="N175" s="3" t="s">
        <v>1279</v>
      </c>
      <c r="O175" s="8" t="s">
        <v>36</v>
      </c>
      <c r="P175" s="3" t="s">
        <v>36</v>
      </c>
      <c r="Q175" s="3" t="s">
        <v>36</v>
      </c>
      <c r="R175" s="3" t="s">
        <v>36</v>
      </c>
      <c r="S175" s="3" t="s">
        <v>36</v>
      </c>
      <c r="T175" s="3" t="s">
        <v>1280</v>
      </c>
      <c r="U175" s="3" t="s">
        <v>38</v>
      </c>
      <c r="V175" s="3" t="s">
        <v>39</v>
      </c>
      <c r="W175" s="3" t="s">
        <v>1281</v>
      </c>
      <c r="X175" s="10" t="s">
        <v>1282</v>
      </c>
      <c r="Y175" s="6" t="s">
        <v>192</v>
      </c>
      <c r="Z175" s="4">
        <v>48.76</v>
      </c>
      <c r="AA175" s="4" t="s">
        <v>36</v>
      </c>
      <c r="AB175" s="3" t="s">
        <v>56</v>
      </c>
      <c r="AC175" s="3" t="s">
        <v>1283</v>
      </c>
      <c r="AD175" s="9">
        <v>45607</v>
      </c>
      <c r="AE175" s="3" t="s">
        <v>45</v>
      </c>
      <c r="AF175" s="3" t="s">
        <v>615</v>
      </c>
      <c r="AG175" s="3" t="s">
        <v>47</v>
      </c>
      <c r="AH175" s="11">
        <f>HYPERLINK("https://my.pitchbook.com?c=277201-45T","View Company Online")</f>
      </c>
    </row>
    <row r="176">
      <c r="A176" s="12" t="s">
        <v>1284</v>
      </c>
      <c r="B176" s="12" t="s">
        <v>1285</v>
      </c>
      <c r="C176" s="19" t="s">
        <v>36</v>
      </c>
      <c r="D176" s="19" t="s">
        <v>36</v>
      </c>
      <c r="E176" s="19" t="s">
        <v>36</v>
      </c>
      <c r="F176" s="19" t="s">
        <v>36</v>
      </c>
      <c r="G176" s="15" t="s">
        <v>683</v>
      </c>
      <c r="H176" s="14">
        <v>778.92</v>
      </c>
      <c r="I176" s="18">
        <v>9.31</v>
      </c>
      <c r="J176" s="12" t="s">
        <v>521</v>
      </c>
      <c r="K176" s="13" t="s">
        <v>36</v>
      </c>
      <c r="L176" s="15" t="s">
        <v>36</v>
      </c>
      <c r="M176" s="12" t="s">
        <v>36</v>
      </c>
      <c r="N176" s="12" t="s">
        <v>36</v>
      </c>
      <c r="O176" s="17" t="s">
        <v>36</v>
      </c>
      <c r="P176" s="12" t="s">
        <v>36</v>
      </c>
      <c r="Q176" s="12" t="s">
        <v>36</v>
      </c>
      <c r="R176" s="12" t="s">
        <v>36</v>
      </c>
      <c r="S176" s="12" t="s">
        <v>36</v>
      </c>
      <c r="T176" s="12" t="s">
        <v>1286</v>
      </c>
      <c r="U176" s="12" t="s">
        <v>728</v>
      </c>
      <c r="V176" s="12" t="s">
        <v>64</v>
      </c>
      <c r="W176" s="12" t="s">
        <v>1287</v>
      </c>
      <c r="X176" s="16" t="s">
        <v>1288</v>
      </c>
      <c r="Y176" s="15" t="s">
        <v>108</v>
      </c>
      <c r="Z176" s="14">
        <v>0.22</v>
      </c>
      <c r="AA176" s="14">
        <v>2.33</v>
      </c>
      <c r="AB176" s="12" t="s">
        <v>56</v>
      </c>
      <c r="AC176" s="12" t="s">
        <v>1289</v>
      </c>
      <c r="AD176" s="13">
        <v>45605</v>
      </c>
      <c r="AE176" s="12" t="s">
        <v>732</v>
      </c>
      <c r="AF176" s="12" t="s">
        <v>90</v>
      </c>
      <c r="AG176" s="12" t="s">
        <v>81</v>
      </c>
      <c r="AH176" s="1">
        <f>HYPERLINK("https://my.pitchbook.com?c=217900-90T","View Company Online")</f>
      </c>
    </row>
    <row r="177">
      <c r="A177" s="3" t="s">
        <v>1290</v>
      </c>
      <c r="B177" s="3" t="s">
        <v>1291</v>
      </c>
      <c r="C177" s="5" t="s">
        <v>36</v>
      </c>
      <c r="D177" s="5" t="s">
        <v>36</v>
      </c>
      <c r="E177" s="5" t="s">
        <v>36</v>
      </c>
      <c r="F177" s="5" t="s">
        <v>36</v>
      </c>
      <c r="G177" s="6" t="s">
        <v>36</v>
      </c>
      <c r="H177" s="4" t="s">
        <v>36</v>
      </c>
      <c r="I177" s="7" t="s">
        <v>36</v>
      </c>
      <c r="J177" s="3" t="s">
        <v>36</v>
      </c>
      <c r="K177" s="9" t="s">
        <v>36</v>
      </c>
      <c r="L177" s="6" t="s">
        <v>36</v>
      </c>
      <c r="M177" s="3" t="s">
        <v>36</v>
      </c>
      <c r="N177" s="3" t="s">
        <v>36</v>
      </c>
      <c r="O177" s="8" t="s">
        <v>36</v>
      </c>
      <c r="P177" s="3" t="s">
        <v>36</v>
      </c>
      <c r="Q177" s="3" t="s">
        <v>36</v>
      </c>
      <c r="R177" s="3" t="s">
        <v>36</v>
      </c>
      <c r="S177" s="3" t="s">
        <v>36</v>
      </c>
      <c r="T177" s="3" t="s">
        <v>1292</v>
      </c>
      <c r="U177" s="3" t="s">
        <v>38</v>
      </c>
      <c r="V177" s="3" t="s">
        <v>39</v>
      </c>
      <c r="W177" s="3" t="s">
        <v>1293</v>
      </c>
      <c r="X177" s="10" t="s">
        <v>1294</v>
      </c>
      <c r="Y177" s="6" t="s">
        <v>108</v>
      </c>
      <c r="Z177" s="4">
        <v>1.63</v>
      </c>
      <c r="AA177" s="4" t="s">
        <v>36</v>
      </c>
      <c r="AB177" s="3" t="s">
        <v>43</v>
      </c>
      <c r="AC177" s="3" t="s">
        <v>1295</v>
      </c>
      <c r="AD177" s="9">
        <v>45603</v>
      </c>
      <c r="AE177" s="3" t="s">
        <v>554</v>
      </c>
      <c r="AF177" s="3" t="s">
        <v>1296</v>
      </c>
      <c r="AG177" s="3" t="s">
        <v>81</v>
      </c>
      <c r="AH177" s="11">
        <f>HYPERLINK("https://my.pitchbook.com?c=276755-23T","View Company Online")</f>
      </c>
    </row>
    <row r="178">
      <c r="A178" s="12" t="s">
        <v>1297</v>
      </c>
      <c r="B178" s="12" t="s">
        <v>1298</v>
      </c>
      <c r="C178" s="19" t="s">
        <v>36</v>
      </c>
      <c r="D178" s="19" t="s">
        <v>36</v>
      </c>
      <c r="E178" s="19" t="s">
        <v>36</v>
      </c>
      <c r="F178" s="19" t="s">
        <v>36</v>
      </c>
      <c r="G178" s="15" t="s">
        <v>36</v>
      </c>
      <c r="H178" s="14" t="s">
        <v>36</v>
      </c>
      <c r="I178" s="18" t="s">
        <v>36</v>
      </c>
      <c r="J178" s="12" t="s">
        <v>36</v>
      </c>
      <c r="K178" s="13" t="s">
        <v>36</v>
      </c>
      <c r="L178" s="15" t="s">
        <v>36</v>
      </c>
      <c r="M178" s="12" t="s">
        <v>36</v>
      </c>
      <c r="N178" s="12" t="s">
        <v>36</v>
      </c>
      <c r="O178" s="17" t="s">
        <v>36</v>
      </c>
      <c r="P178" s="12" t="s">
        <v>36</v>
      </c>
      <c r="Q178" s="12" t="s">
        <v>36</v>
      </c>
      <c r="R178" s="12" t="s">
        <v>36</v>
      </c>
      <c r="S178" s="12" t="s">
        <v>36</v>
      </c>
      <c r="T178" s="12" t="s">
        <v>1299</v>
      </c>
      <c r="U178" s="12" t="s">
        <v>38</v>
      </c>
      <c r="V178" s="12" t="s">
        <v>39</v>
      </c>
      <c r="W178" s="12" t="s">
        <v>1300</v>
      </c>
      <c r="X178" s="16" t="s">
        <v>1301</v>
      </c>
      <c r="Y178" s="15" t="s">
        <v>108</v>
      </c>
      <c r="Z178" s="14">
        <v>2.39</v>
      </c>
      <c r="AA178" s="14" t="s">
        <v>36</v>
      </c>
      <c r="AB178" s="12" t="s">
        <v>43</v>
      </c>
      <c r="AC178" s="12" t="s">
        <v>1302</v>
      </c>
      <c r="AD178" s="13">
        <v>45602</v>
      </c>
      <c r="AE178" s="12" t="s">
        <v>110</v>
      </c>
      <c r="AF178" s="12" t="s">
        <v>176</v>
      </c>
      <c r="AG178" s="12" t="s">
        <v>47</v>
      </c>
      <c r="AH178" s="1">
        <f>HYPERLINK("https://my.pitchbook.com?c=276610-51T","View Company Online")</f>
      </c>
    </row>
    <row r="179">
      <c r="A179" s="3" t="s">
        <v>1303</v>
      </c>
      <c r="B179" s="3" t="s">
        <v>1304</v>
      </c>
      <c r="C179" s="5" t="s">
        <v>36</v>
      </c>
      <c r="D179" s="5" t="s">
        <v>36</v>
      </c>
      <c r="E179" s="5" t="s">
        <v>36</v>
      </c>
      <c r="F179" s="5" t="s">
        <v>36</v>
      </c>
      <c r="G179" s="6" t="s">
        <v>36</v>
      </c>
      <c r="H179" s="4" t="s">
        <v>36</v>
      </c>
      <c r="I179" s="7" t="s">
        <v>36</v>
      </c>
      <c r="J179" s="3" t="s">
        <v>36</v>
      </c>
      <c r="K179" s="9" t="s">
        <v>36</v>
      </c>
      <c r="L179" s="6" t="s">
        <v>36</v>
      </c>
      <c r="M179" s="3" t="s">
        <v>36</v>
      </c>
      <c r="N179" s="3" t="s">
        <v>36</v>
      </c>
      <c r="O179" s="8" t="s">
        <v>36</v>
      </c>
      <c r="P179" s="3" t="s">
        <v>36</v>
      </c>
      <c r="Q179" s="3" t="s">
        <v>36</v>
      </c>
      <c r="R179" s="3" t="s">
        <v>36</v>
      </c>
      <c r="S179" s="3" t="s">
        <v>36</v>
      </c>
      <c r="T179" s="3" t="s">
        <v>1305</v>
      </c>
      <c r="U179" s="3" t="s">
        <v>38</v>
      </c>
      <c r="V179" s="3" t="s">
        <v>39</v>
      </c>
      <c r="W179" s="3" t="s">
        <v>1306</v>
      </c>
      <c r="X179" s="10" t="s">
        <v>1307</v>
      </c>
      <c r="Y179" s="6" t="s">
        <v>55</v>
      </c>
      <c r="Z179" s="4">
        <v>48.92</v>
      </c>
      <c r="AA179" s="4" t="s">
        <v>36</v>
      </c>
      <c r="AB179" s="3" t="s">
        <v>56</v>
      </c>
      <c r="AC179" s="3" t="s">
        <v>1308</v>
      </c>
      <c r="AD179" s="9">
        <v>45602</v>
      </c>
      <c r="AE179" s="3" t="s">
        <v>110</v>
      </c>
      <c r="AF179" s="3" t="s">
        <v>526</v>
      </c>
      <c r="AG179" s="3" t="s">
        <v>144</v>
      </c>
      <c r="AH179" s="11">
        <f>HYPERLINK("https://my.pitchbook.com?c=277480-27T","View Company Online")</f>
      </c>
    </row>
    <row r="180">
      <c r="A180" s="12" t="s">
        <v>1309</v>
      </c>
      <c r="B180" s="12" t="s">
        <v>1310</v>
      </c>
      <c r="C180" s="19" t="s">
        <v>36</v>
      </c>
      <c r="D180" s="19" t="s">
        <v>36</v>
      </c>
      <c r="E180" s="19" t="s">
        <v>36</v>
      </c>
      <c r="F180" s="19" t="s">
        <v>36</v>
      </c>
      <c r="G180" s="15" t="s">
        <v>36</v>
      </c>
      <c r="H180" s="14" t="s">
        <v>36</v>
      </c>
      <c r="I180" s="18" t="s">
        <v>36</v>
      </c>
      <c r="J180" s="12" t="s">
        <v>36</v>
      </c>
      <c r="K180" s="13" t="s">
        <v>36</v>
      </c>
      <c r="L180" s="15" t="s">
        <v>36</v>
      </c>
      <c r="M180" s="12" t="s">
        <v>36</v>
      </c>
      <c r="N180" s="12" t="s">
        <v>36</v>
      </c>
      <c r="O180" s="17" t="s">
        <v>36</v>
      </c>
      <c r="P180" s="12" t="s">
        <v>36</v>
      </c>
      <c r="Q180" s="12" t="s">
        <v>36</v>
      </c>
      <c r="R180" s="12" t="s">
        <v>36</v>
      </c>
      <c r="S180" s="12" t="s">
        <v>36</v>
      </c>
      <c r="T180" s="12" t="s">
        <v>522</v>
      </c>
      <c r="U180" s="12" t="s">
        <v>38</v>
      </c>
      <c r="V180" s="12" t="s">
        <v>39</v>
      </c>
      <c r="W180" s="12" t="s">
        <v>1311</v>
      </c>
      <c r="X180" s="16" t="s">
        <v>1312</v>
      </c>
      <c r="Y180" s="15" t="s">
        <v>42</v>
      </c>
      <c r="Z180" s="14">
        <v>4.35</v>
      </c>
      <c r="AA180" s="14" t="s">
        <v>36</v>
      </c>
      <c r="AB180" s="12" t="s">
        <v>43</v>
      </c>
      <c r="AC180" s="12" t="s">
        <v>1313</v>
      </c>
      <c r="AD180" s="13">
        <v>45601</v>
      </c>
      <c r="AE180" s="12" t="s">
        <v>110</v>
      </c>
      <c r="AF180" s="12" t="s">
        <v>90</v>
      </c>
      <c r="AG180" s="12" t="s">
        <v>81</v>
      </c>
      <c r="AH180" s="1">
        <f>HYPERLINK("https://my.pitchbook.com?c=276515-47T","View Company Online")</f>
      </c>
    </row>
    <row r="181">
      <c r="A181" s="3" t="s">
        <v>1314</v>
      </c>
      <c r="B181" s="3" t="s">
        <v>1315</v>
      </c>
      <c r="C181" s="5" t="s">
        <v>36</v>
      </c>
      <c r="D181" s="5" t="s">
        <v>36</v>
      </c>
      <c r="E181" s="5" t="s">
        <v>36</v>
      </c>
      <c r="F181" s="5" t="s">
        <v>36</v>
      </c>
      <c r="G181" s="6" t="s">
        <v>36</v>
      </c>
      <c r="H181" s="4" t="s">
        <v>36</v>
      </c>
      <c r="I181" s="7" t="s">
        <v>36</v>
      </c>
      <c r="J181" s="3" t="s">
        <v>36</v>
      </c>
      <c r="K181" s="9">
        <v>45481</v>
      </c>
      <c r="L181" s="6" t="s">
        <v>36</v>
      </c>
      <c r="M181" s="3" t="s">
        <v>36</v>
      </c>
      <c r="N181" s="3" t="s">
        <v>36</v>
      </c>
      <c r="O181" s="8" t="s">
        <v>36</v>
      </c>
      <c r="P181" s="3" t="s">
        <v>36</v>
      </c>
      <c r="Q181" s="3" t="s">
        <v>36</v>
      </c>
      <c r="R181" s="3" t="s">
        <v>36</v>
      </c>
      <c r="S181" s="3" t="s">
        <v>36</v>
      </c>
      <c r="T181" s="3" t="s">
        <v>1023</v>
      </c>
      <c r="U181" s="3" t="s">
        <v>74</v>
      </c>
      <c r="V181" s="3" t="s">
        <v>75</v>
      </c>
      <c r="W181" s="3" t="s">
        <v>1316</v>
      </c>
      <c r="X181" s="10" t="s">
        <v>1317</v>
      </c>
      <c r="Y181" s="6" t="s">
        <v>108</v>
      </c>
      <c r="Z181" s="4">
        <v>6.53</v>
      </c>
      <c r="AA181" s="4" t="s">
        <v>36</v>
      </c>
      <c r="AB181" s="3" t="s">
        <v>43</v>
      </c>
      <c r="AC181" s="3" t="s">
        <v>1318</v>
      </c>
      <c r="AD181" s="9">
        <v>45600</v>
      </c>
      <c r="AE181" s="3" t="s">
        <v>79</v>
      </c>
      <c r="AF181" s="3" t="s">
        <v>90</v>
      </c>
      <c r="AG181" s="3" t="s">
        <v>81</v>
      </c>
      <c r="AH181" s="11">
        <f>HYPERLINK("https://my.pitchbook.com?c=271913-50T","View Company Online")</f>
      </c>
    </row>
    <row r="182">
      <c r="A182" s="12" t="s">
        <v>1319</v>
      </c>
      <c r="B182" s="12" t="s">
        <v>1320</v>
      </c>
      <c r="C182" s="19" t="s">
        <v>36</v>
      </c>
      <c r="D182" s="19" t="s">
        <v>36</v>
      </c>
      <c r="E182" s="19" t="s">
        <v>36</v>
      </c>
      <c r="F182" s="19" t="s">
        <v>36</v>
      </c>
      <c r="G182" s="15" t="s">
        <v>36</v>
      </c>
      <c r="H182" s="14" t="s">
        <v>36</v>
      </c>
      <c r="I182" s="18" t="s">
        <v>36</v>
      </c>
      <c r="J182" s="12" t="s">
        <v>36</v>
      </c>
      <c r="K182" s="13" t="s">
        <v>36</v>
      </c>
      <c r="L182" s="15" t="s">
        <v>36</v>
      </c>
      <c r="M182" s="12" t="s">
        <v>36</v>
      </c>
      <c r="N182" s="12" t="s">
        <v>36</v>
      </c>
      <c r="O182" s="17" t="s">
        <v>36</v>
      </c>
      <c r="P182" s="12" t="s">
        <v>36</v>
      </c>
      <c r="Q182" s="12" t="s">
        <v>36</v>
      </c>
      <c r="R182" s="12" t="s">
        <v>36</v>
      </c>
      <c r="S182" s="12" t="s">
        <v>36</v>
      </c>
      <c r="T182" s="12" t="s">
        <v>105</v>
      </c>
      <c r="U182" s="12" t="s">
        <v>38</v>
      </c>
      <c r="V182" s="12" t="s">
        <v>39</v>
      </c>
      <c r="W182" s="12" t="s">
        <v>1321</v>
      </c>
      <c r="X182" s="16" t="s">
        <v>1322</v>
      </c>
      <c r="Y182" s="15" t="s">
        <v>42</v>
      </c>
      <c r="Z182" s="14" t="s">
        <v>36</v>
      </c>
      <c r="AA182" s="14" t="s">
        <v>36</v>
      </c>
      <c r="AB182" s="12" t="s">
        <v>43</v>
      </c>
      <c r="AC182" s="12" t="s">
        <v>1323</v>
      </c>
      <c r="AD182" s="13">
        <v>45597</v>
      </c>
      <c r="AE182" s="12" t="s">
        <v>110</v>
      </c>
      <c r="AF182" s="12" t="s">
        <v>176</v>
      </c>
      <c r="AG182" s="12" t="s">
        <v>539</v>
      </c>
      <c r="AH182" s="1">
        <f>HYPERLINK("https://my.pitchbook.com?c=277908-40T","View Company Online")</f>
      </c>
    </row>
    <row r="183">
      <c r="A183" s="3" t="s">
        <v>1324</v>
      </c>
      <c r="B183" s="3" t="s">
        <v>1325</v>
      </c>
      <c r="C183" s="5" t="s">
        <v>36</v>
      </c>
      <c r="D183" s="5" t="s">
        <v>36</v>
      </c>
      <c r="E183" s="5" t="s">
        <v>36</v>
      </c>
      <c r="F183" s="5" t="s">
        <v>36</v>
      </c>
      <c r="G183" s="6" t="s">
        <v>36</v>
      </c>
      <c r="H183" s="4" t="s">
        <v>36</v>
      </c>
      <c r="I183" s="7" t="s">
        <v>36</v>
      </c>
      <c r="J183" s="3" t="s">
        <v>36</v>
      </c>
      <c r="K183" s="9" t="s">
        <v>36</v>
      </c>
      <c r="L183" s="6" t="s">
        <v>36</v>
      </c>
      <c r="M183" s="3" t="s">
        <v>36</v>
      </c>
      <c r="N183" s="3" t="s">
        <v>36</v>
      </c>
      <c r="O183" s="8" t="s">
        <v>36</v>
      </c>
      <c r="P183" s="3" t="s">
        <v>36</v>
      </c>
      <c r="Q183" s="3" t="s">
        <v>36</v>
      </c>
      <c r="R183" s="3" t="s">
        <v>36</v>
      </c>
      <c r="S183" s="3" t="s">
        <v>36</v>
      </c>
      <c r="T183" s="3" t="s">
        <v>1326</v>
      </c>
      <c r="U183" s="3" t="s">
        <v>38</v>
      </c>
      <c r="V183" s="3" t="s">
        <v>39</v>
      </c>
      <c r="W183" s="3" t="s">
        <v>1327</v>
      </c>
      <c r="X183" s="10" t="s">
        <v>1328</v>
      </c>
      <c r="Y183" s="6" t="s">
        <v>42</v>
      </c>
      <c r="Z183" s="4" t="s">
        <v>36</v>
      </c>
      <c r="AA183" s="4" t="s">
        <v>36</v>
      </c>
      <c r="AB183" s="3" t="s">
        <v>43</v>
      </c>
      <c r="AC183" s="3" t="s">
        <v>1329</v>
      </c>
      <c r="AD183" s="9">
        <v>45597</v>
      </c>
      <c r="AE183" s="3" t="s">
        <v>1330</v>
      </c>
      <c r="AF183" s="3" t="s">
        <v>1331</v>
      </c>
      <c r="AG183" s="3" t="s">
        <v>1332</v>
      </c>
      <c r="AH183" s="11">
        <f>HYPERLINK("https://my.pitchbook.com?c=277909-30T","View Company Online")</f>
      </c>
    </row>
    <row r="184">
      <c r="A184" s="12" t="s">
        <v>1333</v>
      </c>
      <c r="B184" s="12" t="s">
        <v>1334</v>
      </c>
      <c r="C184" s="19">
        <v>3</v>
      </c>
      <c r="D184" s="19">
        <v>8</v>
      </c>
      <c r="E184" s="19">
        <v>3</v>
      </c>
      <c r="F184" s="19">
        <v>11</v>
      </c>
      <c r="G184" s="15" t="s">
        <v>36</v>
      </c>
      <c r="H184" s="14" t="s">
        <v>36</v>
      </c>
      <c r="I184" s="18" t="s">
        <v>36</v>
      </c>
      <c r="J184" s="12" t="s">
        <v>36</v>
      </c>
      <c r="K184" s="13" t="s">
        <v>36</v>
      </c>
      <c r="L184" s="15" t="s">
        <v>36</v>
      </c>
      <c r="M184" s="12" t="s">
        <v>36</v>
      </c>
      <c r="N184" s="12" t="s">
        <v>36</v>
      </c>
      <c r="O184" s="17" t="s">
        <v>36</v>
      </c>
      <c r="P184" s="12" t="s">
        <v>36</v>
      </c>
      <c r="Q184" s="12" t="s">
        <v>36</v>
      </c>
      <c r="R184" s="12" t="s">
        <v>36</v>
      </c>
      <c r="S184" s="12" t="s">
        <v>595</v>
      </c>
      <c r="T184" s="12" t="s">
        <v>1335</v>
      </c>
      <c r="U184" s="12" t="s">
        <v>1336</v>
      </c>
      <c r="V184" s="12" t="s">
        <v>367</v>
      </c>
      <c r="W184" s="12" t="s">
        <v>1337</v>
      </c>
      <c r="X184" s="16" t="s">
        <v>980</v>
      </c>
      <c r="Y184" s="15" t="s">
        <v>475</v>
      </c>
      <c r="Z184" s="14" t="s">
        <v>36</v>
      </c>
      <c r="AA184" s="14" t="s">
        <v>36</v>
      </c>
      <c r="AB184" s="12" t="s">
        <v>56</v>
      </c>
      <c r="AC184" s="12" t="s">
        <v>1338</v>
      </c>
      <c r="AD184" s="13">
        <v>45597</v>
      </c>
      <c r="AE184" s="12" t="s">
        <v>1339</v>
      </c>
      <c r="AF184" s="12" t="s">
        <v>1340</v>
      </c>
      <c r="AG184" s="12" t="s">
        <v>1341</v>
      </c>
      <c r="AH184" s="1">
        <f>HYPERLINK("https://my.pitchbook.com?c=285272-11T","View Company Online")</f>
      </c>
    </row>
    <row r="185">
      <c r="A185" s="3" t="s">
        <v>1342</v>
      </c>
      <c r="B185" s="3" t="s">
        <v>1343</v>
      </c>
      <c r="C185" s="5" t="s">
        <v>36</v>
      </c>
      <c r="D185" s="5" t="s">
        <v>36</v>
      </c>
      <c r="E185" s="5" t="s">
        <v>36</v>
      </c>
      <c r="F185" s="5" t="s">
        <v>36</v>
      </c>
      <c r="G185" s="6" t="s">
        <v>36</v>
      </c>
      <c r="H185" s="4" t="s">
        <v>36</v>
      </c>
      <c r="I185" s="7" t="s">
        <v>36</v>
      </c>
      <c r="J185" s="3" t="s">
        <v>36</v>
      </c>
      <c r="K185" s="9" t="s">
        <v>36</v>
      </c>
      <c r="L185" s="6" t="s">
        <v>36</v>
      </c>
      <c r="M185" s="3" t="s">
        <v>36</v>
      </c>
      <c r="N185" s="3" t="s">
        <v>36</v>
      </c>
      <c r="O185" s="8" t="s">
        <v>36</v>
      </c>
      <c r="P185" s="3" t="s">
        <v>36</v>
      </c>
      <c r="Q185" s="3" t="s">
        <v>36</v>
      </c>
      <c r="R185" s="3" t="s">
        <v>36</v>
      </c>
      <c r="S185" s="3" t="s">
        <v>196</v>
      </c>
      <c r="T185" s="3" t="s">
        <v>1344</v>
      </c>
      <c r="U185" s="3" t="s">
        <v>38</v>
      </c>
      <c r="V185" s="3" t="s">
        <v>39</v>
      </c>
      <c r="W185" s="3" t="s">
        <v>1345</v>
      </c>
      <c r="X185" s="10" t="s">
        <v>1346</v>
      </c>
      <c r="Y185" s="6" t="s">
        <v>42</v>
      </c>
      <c r="Z185" s="4" t="s">
        <v>36</v>
      </c>
      <c r="AA185" s="4" t="s">
        <v>36</v>
      </c>
      <c r="AB185" s="3" t="s">
        <v>43</v>
      </c>
      <c r="AC185" s="3" t="s">
        <v>1347</v>
      </c>
      <c r="AD185" s="9">
        <v>45597</v>
      </c>
      <c r="AE185" s="3" t="s">
        <v>110</v>
      </c>
      <c r="AF185" s="3" t="s">
        <v>176</v>
      </c>
      <c r="AG185" s="3" t="s">
        <v>81</v>
      </c>
      <c r="AH185" s="11">
        <f>HYPERLINK("https://my.pitchbook.com?c=276868-63T","View Company Online")</f>
      </c>
    </row>
    <row r="186">
      <c r="A186" s="12" t="s">
        <v>1348</v>
      </c>
      <c r="B186" s="12" t="s">
        <v>1349</v>
      </c>
      <c r="C186" s="19" t="s">
        <v>36</v>
      </c>
      <c r="D186" s="19" t="s">
        <v>36</v>
      </c>
      <c r="E186" s="19" t="s">
        <v>36</v>
      </c>
      <c r="F186" s="19" t="s">
        <v>36</v>
      </c>
      <c r="G186" s="15" t="s">
        <v>36</v>
      </c>
      <c r="H186" s="14" t="s">
        <v>36</v>
      </c>
      <c r="I186" s="18" t="s">
        <v>36</v>
      </c>
      <c r="J186" s="12" t="s">
        <v>36</v>
      </c>
      <c r="K186" s="13" t="s">
        <v>36</v>
      </c>
      <c r="L186" s="15" t="s">
        <v>36</v>
      </c>
      <c r="M186" s="12" t="s">
        <v>36</v>
      </c>
      <c r="N186" s="12" t="s">
        <v>36</v>
      </c>
      <c r="O186" s="17" t="s">
        <v>36</v>
      </c>
      <c r="P186" s="12" t="s">
        <v>36</v>
      </c>
      <c r="Q186" s="12" t="s">
        <v>36</v>
      </c>
      <c r="R186" s="12" t="s">
        <v>36</v>
      </c>
      <c r="S186" s="12" t="s">
        <v>36</v>
      </c>
      <c r="T186" s="12" t="s">
        <v>1350</v>
      </c>
      <c r="U186" s="12" t="s">
        <v>38</v>
      </c>
      <c r="V186" s="12" t="s">
        <v>39</v>
      </c>
      <c r="W186" s="12" t="s">
        <v>1351</v>
      </c>
      <c r="X186" s="16" t="s">
        <v>221</v>
      </c>
      <c r="Y186" s="15" t="s">
        <v>42</v>
      </c>
      <c r="Z186" s="14" t="s">
        <v>36</v>
      </c>
      <c r="AA186" s="14" t="s">
        <v>36</v>
      </c>
      <c r="AB186" s="12" t="s">
        <v>43</v>
      </c>
      <c r="AC186" s="12" t="s">
        <v>1352</v>
      </c>
      <c r="AD186" s="13">
        <v>45597</v>
      </c>
      <c r="AE186" s="12" t="s">
        <v>785</v>
      </c>
      <c r="AF186" s="12" t="s">
        <v>111</v>
      </c>
      <c r="AG186" s="12" t="s">
        <v>1353</v>
      </c>
      <c r="AH186" s="1">
        <f>HYPERLINK("https://my.pitchbook.com?c=277689-61T","View Company Online")</f>
      </c>
    </row>
    <row r="187">
      <c r="A187" s="3" t="s">
        <v>1354</v>
      </c>
      <c r="B187" s="3" t="s">
        <v>1355</v>
      </c>
      <c r="C187" s="5" t="s">
        <v>36</v>
      </c>
      <c r="D187" s="5" t="s">
        <v>36</v>
      </c>
      <c r="E187" s="5" t="s">
        <v>36</v>
      </c>
      <c r="F187" s="5" t="s">
        <v>36</v>
      </c>
      <c r="G187" s="6" t="s">
        <v>36</v>
      </c>
      <c r="H187" s="4" t="s">
        <v>36</v>
      </c>
      <c r="I187" s="7" t="s">
        <v>36</v>
      </c>
      <c r="J187" s="3" t="s">
        <v>36</v>
      </c>
      <c r="K187" s="9" t="s">
        <v>36</v>
      </c>
      <c r="L187" s="6" t="s">
        <v>36</v>
      </c>
      <c r="M187" s="3" t="s">
        <v>36</v>
      </c>
      <c r="N187" s="3" t="s">
        <v>36</v>
      </c>
      <c r="O187" s="8" t="s">
        <v>36</v>
      </c>
      <c r="P187" s="3" t="s">
        <v>36</v>
      </c>
      <c r="Q187" s="3" t="s">
        <v>36</v>
      </c>
      <c r="R187" s="3" t="s">
        <v>36</v>
      </c>
      <c r="S187" s="3" t="s">
        <v>36</v>
      </c>
      <c r="T187" s="3" t="s">
        <v>1356</v>
      </c>
      <c r="U187" s="3" t="s">
        <v>1357</v>
      </c>
      <c r="V187" s="3" t="s">
        <v>52</v>
      </c>
      <c r="W187" s="3" t="s">
        <v>1358</v>
      </c>
      <c r="X187" s="10" t="s">
        <v>1359</v>
      </c>
      <c r="Y187" s="6" t="s">
        <v>42</v>
      </c>
      <c r="Z187" s="4" t="s">
        <v>36</v>
      </c>
      <c r="AA187" s="4" t="s">
        <v>36</v>
      </c>
      <c r="AB187" s="3" t="s">
        <v>43</v>
      </c>
      <c r="AC187" s="3" t="s">
        <v>1360</v>
      </c>
      <c r="AD187" s="9">
        <v>45597</v>
      </c>
      <c r="AE187" s="3" t="s">
        <v>1361</v>
      </c>
      <c r="AF187" s="3" t="s">
        <v>36</v>
      </c>
      <c r="AG187" s="3" t="s">
        <v>1362</v>
      </c>
      <c r="AH187" s="11">
        <f>HYPERLINK("https://my.pitchbook.com?c=277691-59T","View Company Online")</f>
      </c>
    </row>
    <row r="188">
      <c r="A188" s="12" t="s">
        <v>1363</v>
      </c>
      <c r="B188" s="12" t="s">
        <v>1364</v>
      </c>
      <c r="C188" s="19" t="s">
        <v>36</v>
      </c>
      <c r="D188" s="19" t="s">
        <v>36</v>
      </c>
      <c r="E188" s="19" t="s">
        <v>36</v>
      </c>
      <c r="F188" s="19" t="s">
        <v>36</v>
      </c>
      <c r="G188" s="15" t="s">
        <v>36</v>
      </c>
      <c r="H188" s="14" t="s">
        <v>36</v>
      </c>
      <c r="I188" s="18" t="s">
        <v>36</v>
      </c>
      <c r="J188" s="12" t="s">
        <v>36</v>
      </c>
      <c r="K188" s="13" t="s">
        <v>36</v>
      </c>
      <c r="L188" s="15" t="s">
        <v>36</v>
      </c>
      <c r="M188" s="12" t="s">
        <v>36</v>
      </c>
      <c r="N188" s="12" t="s">
        <v>36</v>
      </c>
      <c r="O188" s="17" t="s">
        <v>36</v>
      </c>
      <c r="P188" s="12" t="s">
        <v>36</v>
      </c>
      <c r="Q188" s="12" t="s">
        <v>36</v>
      </c>
      <c r="R188" s="12" t="s">
        <v>36</v>
      </c>
      <c r="S188" s="12" t="s">
        <v>196</v>
      </c>
      <c r="T188" s="12" t="s">
        <v>1365</v>
      </c>
      <c r="U188" s="12" t="s">
        <v>38</v>
      </c>
      <c r="V188" s="12" t="s">
        <v>39</v>
      </c>
      <c r="W188" s="12" t="s">
        <v>1366</v>
      </c>
      <c r="X188" s="16" t="s">
        <v>1367</v>
      </c>
      <c r="Y188" s="15" t="s">
        <v>42</v>
      </c>
      <c r="Z188" s="14" t="s">
        <v>36</v>
      </c>
      <c r="AA188" s="14" t="s">
        <v>36</v>
      </c>
      <c r="AB188" s="12" t="s">
        <v>43</v>
      </c>
      <c r="AC188" s="12" t="s">
        <v>1368</v>
      </c>
      <c r="AD188" s="13">
        <v>45597</v>
      </c>
      <c r="AE188" s="12" t="s">
        <v>110</v>
      </c>
      <c r="AF188" s="12" t="s">
        <v>526</v>
      </c>
      <c r="AG188" s="12" t="s">
        <v>1369</v>
      </c>
      <c r="AH188" s="1">
        <f>HYPERLINK("https://my.pitchbook.com?c=277678-63T","View Company Online")</f>
      </c>
    </row>
    <row r="189">
      <c r="A189" s="3" t="s">
        <v>1370</v>
      </c>
      <c r="B189" s="3" t="s">
        <v>1371</v>
      </c>
      <c r="C189" s="5" t="s">
        <v>36</v>
      </c>
      <c r="D189" s="5" t="s">
        <v>36</v>
      </c>
      <c r="E189" s="5" t="s">
        <v>36</v>
      </c>
      <c r="F189" s="5" t="s">
        <v>36</v>
      </c>
      <c r="G189" s="6" t="s">
        <v>36</v>
      </c>
      <c r="H189" s="4" t="s">
        <v>36</v>
      </c>
      <c r="I189" s="7" t="s">
        <v>36</v>
      </c>
      <c r="J189" s="3" t="s">
        <v>36</v>
      </c>
      <c r="K189" s="9" t="s">
        <v>36</v>
      </c>
      <c r="L189" s="6" t="s">
        <v>36</v>
      </c>
      <c r="M189" s="3" t="s">
        <v>36</v>
      </c>
      <c r="N189" s="3" t="s">
        <v>36</v>
      </c>
      <c r="O189" s="8" t="s">
        <v>36</v>
      </c>
      <c r="P189" s="3" t="s">
        <v>36</v>
      </c>
      <c r="Q189" s="3" t="s">
        <v>36</v>
      </c>
      <c r="R189" s="3" t="s">
        <v>36</v>
      </c>
      <c r="S189" s="3" t="s">
        <v>36</v>
      </c>
      <c r="T189" s="3" t="s">
        <v>522</v>
      </c>
      <c r="U189" s="3" t="s">
        <v>38</v>
      </c>
      <c r="V189" s="3" t="s">
        <v>39</v>
      </c>
      <c r="W189" s="3" t="s">
        <v>1372</v>
      </c>
      <c r="X189" s="10" t="s">
        <v>221</v>
      </c>
      <c r="Y189" s="6" t="s">
        <v>42</v>
      </c>
      <c r="Z189" s="4" t="s">
        <v>36</v>
      </c>
      <c r="AA189" s="4" t="s">
        <v>36</v>
      </c>
      <c r="AB189" s="3" t="s">
        <v>43</v>
      </c>
      <c r="AC189" s="3" t="s">
        <v>1373</v>
      </c>
      <c r="AD189" s="9">
        <v>45597</v>
      </c>
      <c r="AE189" s="3" t="s">
        <v>110</v>
      </c>
      <c r="AF189" s="3" t="s">
        <v>1374</v>
      </c>
      <c r="AG189" s="3" t="s">
        <v>1375</v>
      </c>
      <c r="AH189" s="11">
        <f>HYPERLINK("https://my.pitchbook.com?c=277688-35T","View Company Online")</f>
      </c>
    </row>
    <row r="190">
      <c r="A190" s="12" t="s">
        <v>1376</v>
      </c>
      <c r="B190" s="12" t="s">
        <v>1377</v>
      </c>
      <c r="C190" s="19" t="s">
        <v>36</v>
      </c>
      <c r="D190" s="19" t="s">
        <v>36</v>
      </c>
      <c r="E190" s="19" t="s">
        <v>36</v>
      </c>
      <c r="F190" s="19" t="s">
        <v>36</v>
      </c>
      <c r="G190" s="15" t="s">
        <v>36</v>
      </c>
      <c r="H190" s="14" t="s">
        <v>36</v>
      </c>
      <c r="I190" s="18" t="s">
        <v>36</v>
      </c>
      <c r="J190" s="12" t="s">
        <v>36</v>
      </c>
      <c r="K190" s="13" t="s">
        <v>36</v>
      </c>
      <c r="L190" s="15" t="s">
        <v>36</v>
      </c>
      <c r="M190" s="12" t="s">
        <v>36</v>
      </c>
      <c r="N190" s="12" t="s">
        <v>36</v>
      </c>
      <c r="O190" s="17" t="s">
        <v>36</v>
      </c>
      <c r="P190" s="12" t="s">
        <v>36</v>
      </c>
      <c r="Q190" s="12" t="s">
        <v>36</v>
      </c>
      <c r="R190" s="12" t="s">
        <v>36</v>
      </c>
      <c r="S190" s="12" t="s">
        <v>36</v>
      </c>
      <c r="T190" s="12" t="s">
        <v>550</v>
      </c>
      <c r="U190" s="12" t="s">
        <v>38</v>
      </c>
      <c r="V190" s="12" t="s">
        <v>39</v>
      </c>
      <c r="W190" s="12" t="s">
        <v>1378</v>
      </c>
      <c r="X190" s="16" t="s">
        <v>221</v>
      </c>
      <c r="Y190" s="15" t="s">
        <v>42</v>
      </c>
      <c r="Z190" s="14" t="s">
        <v>36</v>
      </c>
      <c r="AA190" s="14" t="s">
        <v>36</v>
      </c>
      <c r="AB190" s="12" t="s">
        <v>43</v>
      </c>
      <c r="AC190" s="12" t="s">
        <v>1379</v>
      </c>
      <c r="AD190" s="13">
        <v>45597</v>
      </c>
      <c r="AE190" s="12" t="s">
        <v>554</v>
      </c>
      <c r="AF190" s="12" t="s">
        <v>1380</v>
      </c>
      <c r="AG190" s="12" t="s">
        <v>1381</v>
      </c>
      <c r="AH190" s="1">
        <f>HYPERLINK("https://my.pitchbook.com?c=277699-78T","View Company Online")</f>
      </c>
    </row>
    <row r="191">
      <c r="A191" s="3" t="s">
        <v>1382</v>
      </c>
      <c r="B191" s="3" t="s">
        <v>1383</v>
      </c>
      <c r="C191" s="5" t="s">
        <v>36</v>
      </c>
      <c r="D191" s="5" t="s">
        <v>36</v>
      </c>
      <c r="E191" s="5" t="s">
        <v>36</v>
      </c>
      <c r="F191" s="5" t="s">
        <v>36</v>
      </c>
      <c r="G191" s="6" t="s">
        <v>36</v>
      </c>
      <c r="H191" s="4" t="s">
        <v>36</v>
      </c>
      <c r="I191" s="7" t="s">
        <v>36</v>
      </c>
      <c r="J191" s="3" t="s">
        <v>36</v>
      </c>
      <c r="K191" s="9" t="s">
        <v>36</v>
      </c>
      <c r="L191" s="6" t="s">
        <v>36</v>
      </c>
      <c r="M191" s="3" t="s">
        <v>36</v>
      </c>
      <c r="N191" s="3" t="s">
        <v>36</v>
      </c>
      <c r="O191" s="8" t="s">
        <v>36</v>
      </c>
      <c r="P191" s="3" t="s">
        <v>36</v>
      </c>
      <c r="Q191" s="3" t="s">
        <v>36</v>
      </c>
      <c r="R191" s="3" t="s">
        <v>36</v>
      </c>
      <c r="S191" s="3" t="s">
        <v>36</v>
      </c>
      <c r="T191" s="3" t="s">
        <v>105</v>
      </c>
      <c r="U191" s="3" t="s">
        <v>38</v>
      </c>
      <c r="V191" s="3" t="s">
        <v>39</v>
      </c>
      <c r="W191" s="3" t="s">
        <v>1384</v>
      </c>
      <c r="X191" s="10" t="s">
        <v>221</v>
      </c>
      <c r="Y191" s="6" t="s">
        <v>42</v>
      </c>
      <c r="Z191" s="4" t="s">
        <v>36</v>
      </c>
      <c r="AA191" s="4" t="s">
        <v>36</v>
      </c>
      <c r="AB191" s="3" t="s">
        <v>43</v>
      </c>
      <c r="AC191" s="3" t="s">
        <v>1385</v>
      </c>
      <c r="AD191" s="9">
        <v>45597</v>
      </c>
      <c r="AE191" s="3" t="s">
        <v>110</v>
      </c>
      <c r="AF191" s="3" t="s">
        <v>36</v>
      </c>
      <c r="AG191" s="3" t="s">
        <v>81</v>
      </c>
      <c r="AH191" s="11">
        <f>HYPERLINK("https://my.pitchbook.com?c=277699-87T","View Company Online")</f>
      </c>
    </row>
    <row r="192">
      <c r="A192" s="12" t="s">
        <v>1386</v>
      </c>
      <c r="B192" s="12" t="s">
        <v>1387</v>
      </c>
      <c r="C192" s="19" t="s">
        <v>36</v>
      </c>
      <c r="D192" s="19" t="s">
        <v>36</v>
      </c>
      <c r="E192" s="19" t="s">
        <v>36</v>
      </c>
      <c r="F192" s="19" t="s">
        <v>36</v>
      </c>
      <c r="G192" s="15" t="s">
        <v>36</v>
      </c>
      <c r="H192" s="14" t="s">
        <v>36</v>
      </c>
      <c r="I192" s="18" t="s">
        <v>36</v>
      </c>
      <c r="J192" s="12" t="s">
        <v>36</v>
      </c>
      <c r="K192" s="13" t="s">
        <v>36</v>
      </c>
      <c r="L192" s="15" t="s">
        <v>36</v>
      </c>
      <c r="M192" s="12" t="s">
        <v>36</v>
      </c>
      <c r="N192" s="12" t="s">
        <v>36</v>
      </c>
      <c r="O192" s="17" t="s">
        <v>36</v>
      </c>
      <c r="P192" s="12" t="s">
        <v>36</v>
      </c>
      <c r="Q192" s="12" t="s">
        <v>36</v>
      </c>
      <c r="R192" s="12" t="s">
        <v>36</v>
      </c>
      <c r="S192" s="12" t="s">
        <v>36</v>
      </c>
      <c r="T192" s="12" t="s">
        <v>522</v>
      </c>
      <c r="U192" s="12" t="s">
        <v>38</v>
      </c>
      <c r="V192" s="12" t="s">
        <v>39</v>
      </c>
      <c r="W192" s="12" t="s">
        <v>1388</v>
      </c>
      <c r="X192" s="16" t="s">
        <v>221</v>
      </c>
      <c r="Y192" s="15" t="s">
        <v>42</v>
      </c>
      <c r="Z192" s="14" t="s">
        <v>36</v>
      </c>
      <c r="AA192" s="14" t="s">
        <v>36</v>
      </c>
      <c r="AB192" s="12" t="s">
        <v>43</v>
      </c>
      <c r="AC192" s="12" t="s">
        <v>1389</v>
      </c>
      <c r="AD192" s="13">
        <v>45597</v>
      </c>
      <c r="AE192" s="12" t="s">
        <v>110</v>
      </c>
      <c r="AF192" s="12" t="s">
        <v>275</v>
      </c>
      <c r="AG192" s="12" t="s">
        <v>81</v>
      </c>
      <c r="AH192" s="1">
        <f>HYPERLINK("https://my.pitchbook.com?c=277700-05T","View Company Online")</f>
      </c>
    </row>
    <row r="193">
      <c r="A193" s="3" t="s">
        <v>1390</v>
      </c>
      <c r="B193" s="3" t="s">
        <v>1391</v>
      </c>
      <c r="C193" s="5" t="s">
        <v>36</v>
      </c>
      <c r="D193" s="5" t="s">
        <v>36</v>
      </c>
      <c r="E193" s="5" t="s">
        <v>36</v>
      </c>
      <c r="F193" s="5" t="s">
        <v>36</v>
      </c>
      <c r="G193" s="6" t="s">
        <v>36</v>
      </c>
      <c r="H193" s="4" t="s">
        <v>36</v>
      </c>
      <c r="I193" s="7" t="s">
        <v>36</v>
      </c>
      <c r="J193" s="3" t="s">
        <v>36</v>
      </c>
      <c r="K193" s="9" t="s">
        <v>36</v>
      </c>
      <c r="L193" s="6" t="s">
        <v>36</v>
      </c>
      <c r="M193" s="3" t="s">
        <v>36</v>
      </c>
      <c r="N193" s="3" t="s">
        <v>36</v>
      </c>
      <c r="O193" s="8" t="s">
        <v>36</v>
      </c>
      <c r="P193" s="3" t="s">
        <v>36</v>
      </c>
      <c r="Q193" s="3" t="s">
        <v>36</v>
      </c>
      <c r="R193" s="3" t="s">
        <v>36</v>
      </c>
      <c r="S193" s="3" t="s">
        <v>36</v>
      </c>
      <c r="T193" s="3" t="s">
        <v>1253</v>
      </c>
      <c r="U193" s="3" t="s">
        <v>38</v>
      </c>
      <c r="V193" s="3" t="s">
        <v>39</v>
      </c>
      <c r="W193" s="3" t="s">
        <v>1392</v>
      </c>
      <c r="X193" s="10" t="s">
        <v>1393</v>
      </c>
      <c r="Y193" s="6" t="s">
        <v>42</v>
      </c>
      <c r="Z193" s="4" t="s">
        <v>36</v>
      </c>
      <c r="AA193" s="4" t="s">
        <v>36</v>
      </c>
      <c r="AB193" s="3" t="s">
        <v>43</v>
      </c>
      <c r="AC193" s="3" t="s">
        <v>1394</v>
      </c>
      <c r="AD193" s="9">
        <v>45597</v>
      </c>
      <c r="AE193" s="3" t="s">
        <v>45</v>
      </c>
      <c r="AF193" s="3" t="s">
        <v>215</v>
      </c>
      <c r="AG193" s="3" t="s">
        <v>81</v>
      </c>
      <c r="AH193" s="11">
        <f>HYPERLINK("https://my.pitchbook.com?c=278074-54T","View Company Online")</f>
      </c>
    </row>
    <row r="194">
      <c r="A194" s="12" t="s">
        <v>1395</v>
      </c>
      <c r="B194" s="12" t="s">
        <v>1396</v>
      </c>
      <c r="C194" s="19" t="s">
        <v>36</v>
      </c>
      <c r="D194" s="19" t="s">
        <v>36</v>
      </c>
      <c r="E194" s="19" t="s">
        <v>36</v>
      </c>
      <c r="F194" s="19" t="s">
        <v>36</v>
      </c>
      <c r="G194" s="15" t="s">
        <v>36</v>
      </c>
      <c r="H194" s="14" t="s">
        <v>36</v>
      </c>
      <c r="I194" s="18" t="s">
        <v>36</v>
      </c>
      <c r="J194" s="12" t="s">
        <v>36</v>
      </c>
      <c r="K194" s="13" t="s">
        <v>36</v>
      </c>
      <c r="L194" s="15" t="s">
        <v>36</v>
      </c>
      <c r="M194" s="12" t="s">
        <v>36</v>
      </c>
      <c r="N194" s="12" t="s">
        <v>36</v>
      </c>
      <c r="O194" s="17" t="s">
        <v>36</v>
      </c>
      <c r="P194" s="12" t="s">
        <v>36</v>
      </c>
      <c r="Q194" s="12" t="s">
        <v>36</v>
      </c>
      <c r="R194" s="12" t="s">
        <v>36</v>
      </c>
      <c r="S194" s="12" t="s">
        <v>36</v>
      </c>
      <c r="T194" s="12" t="s">
        <v>1397</v>
      </c>
      <c r="U194" s="12" t="s">
        <v>38</v>
      </c>
      <c r="V194" s="12" t="s">
        <v>39</v>
      </c>
      <c r="W194" s="12" t="s">
        <v>1398</v>
      </c>
      <c r="X194" s="16" t="s">
        <v>1399</v>
      </c>
      <c r="Y194" s="15" t="s">
        <v>108</v>
      </c>
      <c r="Z194" s="14" t="s">
        <v>36</v>
      </c>
      <c r="AA194" s="14" t="s">
        <v>36</v>
      </c>
      <c r="AB194" s="12" t="s">
        <v>56</v>
      </c>
      <c r="AC194" s="12" t="s">
        <v>1400</v>
      </c>
      <c r="AD194" s="13">
        <v>45597</v>
      </c>
      <c r="AE194" s="12" t="s">
        <v>110</v>
      </c>
      <c r="AF194" s="12" t="s">
        <v>1401</v>
      </c>
      <c r="AG194" s="12" t="s">
        <v>741</v>
      </c>
      <c r="AH194" s="1">
        <f>HYPERLINK("https://my.pitchbook.com?c=284955-58T","View Company Online")</f>
      </c>
    </row>
    <row r="195">
      <c r="A195" s="3" t="s">
        <v>1402</v>
      </c>
      <c r="B195" s="3" t="s">
        <v>1403</v>
      </c>
      <c r="C195" s="5" t="s">
        <v>36</v>
      </c>
      <c r="D195" s="5" t="s">
        <v>36</v>
      </c>
      <c r="E195" s="5" t="s">
        <v>36</v>
      </c>
      <c r="F195" s="5" t="s">
        <v>36</v>
      </c>
      <c r="G195" s="6" t="s">
        <v>36</v>
      </c>
      <c r="H195" s="4" t="s">
        <v>36</v>
      </c>
      <c r="I195" s="7" t="s">
        <v>36</v>
      </c>
      <c r="J195" s="3" t="s">
        <v>36</v>
      </c>
      <c r="K195" s="9" t="s">
        <v>36</v>
      </c>
      <c r="L195" s="6" t="s">
        <v>36</v>
      </c>
      <c r="M195" s="3" t="s">
        <v>36</v>
      </c>
      <c r="N195" s="3" t="s">
        <v>36</v>
      </c>
      <c r="O195" s="8" t="s">
        <v>36</v>
      </c>
      <c r="P195" s="3" t="s">
        <v>36</v>
      </c>
      <c r="Q195" s="3" t="s">
        <v>36</v>
      </c>
      <c r="R195" s="3" t="s">
        <v>36</v>
      </c>
      <c r="S195" s="3" t="s">
        <v>36</v>
      </c>
      <c r="T195" s="3" t="s">
        <v>1404</v>
      </c>
      <c r="U195" s="3" t="s">
        <v>387</v>
      </c>
      <c r="V195" s="3" t="s">
        <v>367</v>
      </c>
      <c r="W195" s="3" t="s">
        <v>1405</v>
      </c>
      <c r="X195" s="10" t="s">
        <v>1406</v>
      </c>
      <c r="Y195" s="6" t="s">
        <v>108</v>
      </c>
      <c r="Z195" s="4">
        <v>3.27</v>
      </c>
      <c r="AA195" s="4" t="s">
        <v>36</v>
      </c>
      <c r="AB195" s="3" t="s">
        <v>43</v>
      </c>
      <c r="AC195" s="3" t="s">
        <v>1407</v>
      </c>
      <c r="AD195" s="9">
        <v>45597</v>
      </c>
      <c r="AE195" s="3" t="s">
        <v>391</v>
      </c>
      <c r="AF195" s="3" t="s">
        <v>372</v>
      </c>
      <c r="AG195" s="3" t="s">
        <v>392</v>
      </c>
      <c r="AH195" s="11">
        <f>HYPERLINK("https://my.pitchbook.com?c=277668-73T","View Company Online")</f>
      </c>
    </row>
    <row r="196">
      <c r="A196" s="12" t="s">
        <v>1408</v>
      </c>
      <c r="B196" s="12" t="s">
        <v>1409</v>
      </c>
      <c r="C196" s="19">
        <v>16</v>
      </c>
      <c r="D196" s="19">
        <v>21</v>
      </c>
      <c r="E196" s="19">
        <v>8</v>
      </c>
      <c r="F196" s="19">
        <v>37</v>
      </c>
      <c r="G196" s="15" t="s">
        <v>36</v>
      </c>
      <c r="H196" s="14" t="s">
        <v>36</v>
      </c>
      <c r="I196" s="18" t="s">
        <v>36</v>
      </c>
      <c r="J196" s="12" t="s">
        <v>36</v>
      </c>
      <c r="K196" s="13" t="s">
        <v>36</v>
      </c>
      <c r="L196" s="15" t="s">
        <v>36</v>
      </c>
      <c r="M196" s="12" t="s">
        <v>36</v>
      </c>
      <c r="N196" s="12" t="s">
        <v>36</v>
      </c>
      <c r="O196" s="17" t="s">
        <v>36</v>
      </c>
      <c r="P196" s="12" t="s">
        <v>36</v>
      </c>
      <c r="Q196" s="12" t="s">
        <v>36</v>
      </c>
      <c r="R196" s="12" t="s">
        <v>36</v>
      </c>
      <c r="S196" s="12" t="s">
        <v>36</v>
      </c>
      <c r="T196" s="12" t="s">
        <v>1410</v>
      </c>
      <c r="U196" s="12" t="s">
        <v>96</v>
      </c>
      <c r="V196" s="12" t="s">
        <v>52</v>
      </c>
      <c r="W196" s="12" t="s">
        <v>1411</v>
      </c>
      <c r="X196" s="16" t="s">
        <v>1412</v>
      </c>
      <c r="Y196" s="15" t="s">
        <v>55</v>
      </c>
      <c r="Z196" s="14" t="s">
        <v>36</v>
      </c>
      <c r="AA196" s="14" t="s">
        <v>36</v>
      </c>
      <c r="AB196" s="12" t="s">
        <v>56</v>
      </c>
      <c r="AC196" s="12" t="s">
        <v>1413</v>
      </c>
      <c r="AD196" s="13">
        <v>45597</v>
      </c>
      <c r="AE196" s="12" t="s">
        <v>1414</v>
      </c>
      <c r="AF196" s="12" t="s">
        <v>1415</v>
      </c>
      <c r="AG196" s="12" t="s">
        <v>81</v>
      </c>
      <c r="AH196" s="1">
        <f>HYPERLINK("https://my.pitchbook.com?c=276780-70T","View Company Online")</f>
      </c>
    </row>
    <row r="197">
      <c r="A197" s="3" t="s">
        <v>1416</v>
      </c>
      <c r="B197" s="3" t="s">
        <v>1417</v>
      </c>
      <c r="C197" s="5" t="s">
        <v>36</v>
      </c>
      <c r="D197" s="5" t="s">
        <v>36</v>
      </c>
      <c r="E197" s="5" t="s">
        <v>36</v>
      </c>
      <c r="F197" s="5" t="s">
        <v>36</v>
      </c>
      <c r="G197" s="6" t="s">
        <v>36</v>
      </c>
      <c r="H197" s="4" t="s">
        <v>36</v>
      </c>
      <c r="I197" s="7" t="s">
        <v>36</v>
      </c>
      <c r="J197" s="3" t="s">
        <v>36</v>
      </c>
      <c r="K197" s="9" t="s">
        <v>36</v>
      </c>
      <c r="L197" s="6" t="s">
        <v>36</v>
      </c>
      <c r="M197" s="3" t="s">
        <v>36</v>
      </c>
      <c r="N197" s="3" t="s">
        <v>36</v>
      </c>
      <c r="O197" s="8" t="s">
        <v>36</v>
      </c>
      <c r="P197" s="3" t="s">
        <v>36</v>
      </c>
      <c r="Q197" s="3" t="s">
        <v>36</v>
      </c>
      <c r="R197" s="3" t="s">
        <v>36</v>
      </c>
      <c r="S197" s="3" t="s">
        <v>36</v>
      </c>
      <c r="T197" s="3" t="s">
        <v>1418</v>
      </c>
      <c r="U197" s="3" t="s">
        <v>38</v>
      </c>
      <c r="V197" s="3" t="s">
        <v>39</v>
      </c>
      <c r="W197" s="3" t="s">
        <v>1419</v>
      </c>
      <c r="X197" s="10" t="s">
        <v>1420</v>
      </c>
      <c r="Y197" s="6" t="s">
        <v>42</v>
      </c>
      <c r="Z197" s="4">
        <v>10.89</v>
      </c>
      <c r="AA197" s="4" t="s">
        <v>36</v>
      </c>
      <c r="AB197" s="3" t="s">
        <v>43</v>
      </c>
      <c r="AC197" s="3" t="s">
        <v>1421</v>
      </c>
      <c r="AD197" s="9">
        <v>45597</v>
      </c>
      <c r="AE197" s="3" t="s">
        <v>1422</v>
      </c>
      <c r="AF197" s="3" t="s">
        <v>1423</v>
      </c>
      <c r="AG197" s="3" t="s">
        <v>81</v>
      </c>
      <c r="AH197" s="11">
        <f>HYPERLINK("https://my.pitchbook.com?c=284536-72T","View Company Online")</f>
      </c>
    </row>
    <row r="198">
      <c r="A198" s="12" t="s">
        <v>1424</v>
      </c>
      <c r="B198" s="12" t="s">
        <v>1425</v>
      </c>
      <c r="C198" s="19" t="s">
        <v>36</v>
      </c>
      <c r="D198" s="19" t="s">
        <v>36</v>
      </c>
      <c r="E198" s="19" t="s">
        <v>36</v>
      </c>
      <c r="F198" s="19" t="s">
        <v>36</v>
      </c>
      <c r="G198" s="15" t="s">
        <v>326</v>
      </c>
      <c r="H198" s="14">
        <v>12.6</v>
      </c>
      <c r="I198" s="18">
        <v>17.05</v>
      </c>
      <c r="J198" s="12" t="s">
        <v>521</v>
      </c>
      <c r="K198" s="13" t="s">
        <v>36</v>
      </c>
      <c r="L198" s="15" t="s">
        <v>36</v>
      </c>
      <c r="M198" s="12" t="s">
        <v>36</v>
      </c>
      <c r="N198" s="12" t="s">
        <v>36</v>
      </c>
      <c r="O198" s="17" t="s">
        <v>36</v>
      </c>
      <c r="P198" s="12" t="s">
        <v>36</v>
      </c>
      <c r="Q198" s="12" t="s">
        <v>36</v>
      </c>
      <c r="R198" s="12" t="s">
        <v>36</v>
      </c>
      <c r="S198" s="12" t="s">
        <v>36</v>
      </c>
      <c r="T198" s="12" t="s">
        <v>123</v>
      </c>
      <c r="U198" s="12" t="s">
        <v>38</v>
      </c>
      <c r="V198" s="12" t="s">
        <v>39</v>
      </c>
      <c r="W198" s="12" t="s">
        <v>1426</v>
      </c>
      <c r="X198" s="16" t="s">
        <v>1427</v>
      </c>
      <c r="Y198" s="15" t="s">
        <v>55</v>
      </c>
      <c r="Z198" s="14">
        <v>0.61</v>
      </c>
      <c r="AA198" s="14">
        <v>3.6</v>
      </c>
      <c r="AB198" s="12" t="s">
        <v>56</v>
      </c>
      <c r="AC198" s="12" t="s">
        <v>1428</v>
      </c>
      <c r="AD198" s="13">
        <v>45596</v>
      </c>
      <c r="AE198" s="12" t="s">
        <v>110</v>
      </c>
      <c r="AF198" s="12" t="s">
        <v>1331</v>
      </c>
      <c r="AG198" s="12" t="s">
        <v>382</v>
      </c>
      <c r="AH198" s="1">
        <f>HYPERLINK("https://my.pitchbook.com?c=279212-23T","View Company Online")</f>
      </c>
    </row>
    <row r="199">
      <c r="A199" s="3" t="s">
        <v>1429</v>
      </c>
      <c r="B199" s="3" t="s">
        <v>1430</v>
      </c>
      <c r="C199" s="5">
        <v>6</v>
      </c>
      <c r="D199" s="5">
        <v>2</v>
      </c>
      <c r="E199" s="5">
        <v>3</v>
      </c>
      <c r="F199" s="5">
        <v>8</v>
      </c>
      <c r="G199" s="6" t="s">
        <v>36</v>
      </c>
      <c r="H199" s="4" t="s">
        <v>36</v>
      </c>
      <c r="I199" s="7" t="s">
        <v>36</v>
      </c>
      <c r="J199" s="3" t="s">
        <v>36</v>
      </c>
      <c r="K199" s="9">
        <v>45292</v>
      </c>
      <c r="L199" s="6" t="s">
        <v>36</v>
      </c>
      <c r="M199" s="3" t="s">
        <v>36</v>
      </c>
      <c r="N199" s="3" t="s">
        <v>36</v>
      </c>
      <c r="O199" s="8" t="s">
        <v>36</v>
      </c>
      <c r="P199" s="3" t="s">
        <v>36</v>
      </c>
      <c r="Q199" s="3" t="s">
        <v>36</v>
      </c>
      <c r="R199" s="3" t="s">
        <v>36</v>
      </c>
      <c r="S199" s="3" t="s">
        <v>36</v>
      </c>
      <c r="T199" s="3" t="s">
        <v>1431</v>
      </c>
      <c r="U199" s="3" t="s">
        <v>51</v>
      </c>
      <c r="V199" s="3" t="s">
        <v>52</v>
      </c>
      <c r="W199" s="3" t="s">
        <v>1432</v>
      </c>
      <c r="X199" s="10" t="s">
        <v>1433</v>
      </c>
      <c r="Y199" s="6" t="s">
        <v>108</v>
      </c>
      <c r="Z199" s="4">
        <v>6.56</v>
      </c>
      <c r="AA199" s="4" t="s">
        <v>36</v>
      </c>
      <c r="AB199" s="3" t="s">
        <v>56</v>
      </c>
      <c r="AC199" s="3" t="s">
        <v>1434</v>
      </c>
      <c r="AD199" s="9">
        <v>45594</v>
      </c>
      <c r="AE199" s="3" t="s">
        <v>504</v>
      </c>
      <c r="AF199" s="3" t="s">
        <v>1435</v>
      </c>
      <c r="AG199" s="3" t="s">
        <v>991</v>
      </c>
      <c r="AH199" s="11">
        <f>HYPERLINK("https://my.pitchbook.com?c=273317-95T","View Company Online")</f>
      </c>
    </row>
    <row r="200">
      <c r="A200" s="12" t="s">
        <v>1436</v>
      </c>
      <c r="B200" s="12" t="s">
        <v>1437</v>
      </c>
      <c r="C200" s="19" t="s">
        <v>36</v>
      </c>
      <c r="D200" s="19" t="s">
        <v>36</v>
      </c>
      <c r="E200" s="19" t="s">
        <v>36</v>
      </c>
      <c r="F200" s="19" t="s">
        <v>36</v>
      </c>
      <c r="G200" s="15" t="s">
        <v>36</v>
      </c>
      <c r="H200" s="14" t="s">
        <v>36</v>
      </c>
      <c r="I200" s="18" t="s">
        <v>36</v>
      </c>
      <c r="J200" s="12" t="s">
        <v>36</v>
      </c>
      <c r="K200" s="13" t="s">
        <v>36</v>
      </c>
      <c r="L200" s="15" t="s">
        <v>122</v>
      </c>
      <c r="M200" s="12" t="s">
        <v>36</v>
      </c>
      <c r="N200" s="12" t="s">
        <v>122</v>
      </c>
      <c r="O200" s="17" t="s">
        <v>36</v>
      </c>
      <c r="P200" s="12" t="s">
        <v>36</v>
      </c>
      <c r="Q200" s="12" t="s">
        <v>36</v>
      </c>
      <c r="R200" s="12" t="s">
        <v>36</v>
      </c>
      <c r="S200" s="12" t="s">
        <v>36</v>
      </c>
      <c r="T200" s="12" t="s">
        <v>1438</v>
      </c>
      <c r="U200" s="12" t="s">
        <v>219</v>
      </c>
      <c r="V200" s="12" t="s">
        <v>75</v>
      </c>
      <c r="W200" s="12" t="s">
        <v>1439</v>
      </c>
      <c r="X200" s="16" t="s">
        <v>1440</v>
      </c>
      <c r="Y200" s="15" t="s">
        <v>166</v>
      </c>
      <c r="Z200" s="14">
        <v>20</v>
      </c>
      <c r="AA200" s="14" t="s">
        <v>36</v>
      </c>
      <c r="AB200" s="12" t="s">
        <v>43</v>
      </c>
      <c r="AC200" s="12" t="s">
        <v>1441</v>
      </c>
      <c r="AD200" s="13">
        <v>45593</v>
      </c>
      <c r="AE200" s="12" t="s">
        <v>243</v>
      </c>
      <c r="AF200" s="12" t="s">
        <v>1052</v>
      </c>
      <c r="AG200" s="12" t="s">
        <v>81</v>
      </c>
      <c r="AH200" s="1">
        <f>HYPERLINK("https://my.pitchbook.com?c=275850-73T","View Company Online")</f>
      </c>
    </row>
    <row r="201">
      <c r="A201" s="3" t="s">
        <v>1442</v>
      </c>
      <c r="B201" s="3" t="s">
        <v>1443</v>
      </c>
      <c r="C201" s="5" t="s">
        <v>36</v>
      </c>
      <c r="D201" s="5" t="s">
        <v>36</v>
      </c>
      <c r="E201" s="5" t="s">
        <v>36</v>
      </c>
      <c r="F201" s="5" t="s">
        <v>36</v>
      </c>
      <c r="G201" s="6" t="s">
        <v>36</v>
      </c>
      <c r="H201" s="4" t="s">
        <v>36</v>
      </c>
      <c r="I201" s="7" t="s">
        <v>36</v>
      </c>
      <c r="J201" s="3" t="s">
        <v>36</v>
      </c>
      <c r="K201" s="9">
        <v>45592</v>
      </c>
      <c r="L201" s="6" t="s">
        <v>94</v>
      </c>
      <c r="M201" s="3" t="s">
        <v>36</v>
      </c>
      <c r="N201" s="3" t="s">
        <v>94</v>
      </c>
      <c r="O201" s="8" t="s">
        <v>36</v>
      </c>
      <c r="P201" s="3" t="s">
        <v>36</v>
      </c>
      <c r="Q201" s="3" t="s">
        <v>36</v>
      </c>
      <c r="R201" s="3" t="s">
        <v>36</v>
      </c>
      <c r="S201" s="3" t="s">
        <v>36</v>
      </c>
      <c r="T201" s="3" t="s">
        <v>529</v>
      </c>
      <c r="U201" s="3" t="s">
        <v>38</v>
      </c>
      <c r="V201" s="3" t="s">
        <v>39</v>
      </c>
      <c r="W201" s="3" t="s">
        <v>1444</v>
      </c>
      <c r="X201" s="10" t="s">
        <v>1445</v>
      </c>
      <c r="Y201" s="6" t="s">
        <v>55</v>
      </c>
      <c r="Z201" s="4">
        <v>35</v>
      </c>
      <c r="AA201" s="4" t="s">
        <v>36</v>
      </c>
      <c r="AB201" s="3" t="s">
        <v>43</v>
      </c>
      <c r="AC201" s="3" t="s">
        <v>1446</v>
      </c>
      <c r="AD201" s="9">
        <v>45593</v>
      </c>
      <c r="AE201" s="3" t="s">
        <v>134</v>
      </c>
      <c r="AF201" s="3" t="s">
        <v>135</v>
      </c>
      <c r="AG201" s="3" t="s">
        <v>1447</v>
      </c>
      <c r="AH201" s="11">
        <f>HYPERLINK("https://my.pitchbook.com?c=275773-60T","View Company Online")</f>
      </c>
    </row>
    <row r="202">
      <c r="A202" s="12" t="s">
        <v>1448</v>
      </c>
      <c r="B202" s="12" t="s">
        <v>1449</v>
      </c>
      <c r="C202" s="19" t="s">
        <v>36</v>
      </c>
      <c r="D202" s="19" t="s">
        <v>36</v>
      </c>
      <c r="E202" s="19" t="s">
        <v>36</v>
      </c>
      <c r="F202" s="19" t="s">
        <v>36</v>
      </c>
      <c r="G202" s="15" t="s">
        <v>36</v>
      </c>
      <c r="H202" s="14" t="s">
        <v>36</v>
      </c>
      <c r="I202" s="18" t="s">
        <v>36</v>
      </c>
      <c r="J202" s="12" t="s">
        <v>36</v>
      </c>
      <c r="K202" s="13" t="s">
        <v>36</v>
      </c>
      <c r="L202" s="15" t="s">
        <v>122</v>
      </c>
      <c r="M202" s="12" t="s">
        <v>36</v>
      </c>
      <c r="N202" s="12" t="s">
        <v>122</v>
      </c>
      <c r="O202" s="17" t="s">
        <v>36</v>
      </c>
      <c r="P202" s="12" t="s">
        <v>36</v>
      </c>
      <c r="Q202" s="12" t="s">
        <v>36</v>
      </c>
      <c r="R202" s="12" t="s">
        <v>36</v>
      </c>
      <c r="S202" s="12" t="s">
        <v>36</v>
      </c>
      <c r="T202" s="12" t="s">
        <v>818</v>
      </c>
      <c r="U202" s="12" t="s">
        <v>74</v>
      </c>
      <c r="V202" s="12" t="s">
        <v>75</v>
      </c>
      <c r="W202" s="12" t="s">
        <v>1450</v>
      </c>
      <c r="X202" s="16" t="s">
        <v>1451</v>
      </c>
      <c r="Y202" s="15" t="s">
        <v>55</v>
      </c>
      <c r="Z202" s="14">
        <v>16.42</v>
      </c>
      <c r="AA202" s="14" t="s">
        <v>36</v>
      </c>
      <c r="AB202" s="12" t="s">
        <v>56</v>
      </c>
      <c r="AC202" s="12" t="s">
        <v>1452</v>
      </c>
      <c r="AD202" s="13">
        <v>45593</v>
      </c>
      <c r="AE202" s="12" t="s">
        <v>570</v>
      </c>
      <c r="AF202" s="12" t="s">
        <v>822</v>
      </c>
      <c r="AG202" s="12" t="s">
        <v>1453</v>
      </c>
      <c r="AH202" s="1">
        <f>HYPERLINK("https://my.pitchbook.com?c=275781-97T","View Company Online")</f>
      </c>
    </row>
    <row r="203">
      <c r="A203" s="3" t="s">
        <v>1454</v>
      </c>
      <c r="B203" s="3" t="s">
        <v>1455</v>
      </c>
      <c r="C203" s="5" t="s">
        <v>36</v>
      </c>
      <c r="D203" s="5" t="s">
        <v>36</v>
      </c>
      <c r="E203" s="5" t="s">
        <v>36</v>
      </c>
      <c r="F203" s="5" t="s">
        <v>36</v>
      </c>
      <c r="G203" s="6" t="s">
        <v>326</v>
      </c>
      <c r="H203" s="4" t="s">
        <v>36</v>
      </c>
      <c r="I203" s="7" t="s">
        <v>36</v>
      </c>
      <c r="J203" s="3" t="s">
        <v>521</v>
      </c>
      <c r="K203" s="9" t="s">
        <v>36</v>
      </c>
      <c r="L203" s="6" t="s">
        <v>122</v>
      </c>
      <c r="M203" s="3" t="s">
        <v>36</v>
      </c>
      <c r="N203" s="3" t="s">
        <v>122</v>
      </c>
      <c r="O203" s="8" t="s">
        <v>36</v>
      </c>
      <c r="P203" s="3" t="s">
        <v>36</v>
      </c>
      <c r="Q203" s="3" t="s">
        <v>36</v>
      </c>
      <c r="R203" s="3" t="s">
        <v>36</v>
      </c>
      <c r="S203" s="3" t="s">
        <v>36</v>
      </c>
      <c r="T203" s="3" t="s">
        <v>522</v>
      </c>
      <c r="U203" s="3" t="s">
        <v>38</v>
      </c>
      <c r="V203" s="3" t="s">
        <v>39</v>
      </c>
      <c r="W203" s="3" t="s">
        <v>1456</v>
      </c>
      <c r="X203" s="10" t="s">
        <v>1457</v>
      </c>
      <c r="Y203" s="6" t="s">
        <v>55</v>
      </c>
      <c r="Z203" s="4">
        <v>6.92</v>
      </c>
      <c r="AA203" s="4">
        <v>25.62</v>
      </c>
      <c r="AB203" s="3" t="s">
        <v>56</v>
      </c>
      <c r="AC203" s="3" t="s">
        <v>1458</v>
      </c>
      <c r="AD203" s="9">
        <v>45590</v>
      </c>
      <c r="AE203" s="3" t="s">
        <v>110</v>
      </c>
      <c r="AF203" s="3" t="s">
        <v>176</v>
      </c>
      <c r="AG203" s="3" t="s">
        <v>969</v>
      </c>
      <c r="AH203" s="11">
        <f>HYPERLINK("https://my.pitchbook.com?c=270679-78T","View Company Online")</f>
      </c>
    </row>
    <row r="204">
      <c r="A204" s="12" t="s">
        <v>1459</v>
      </c>
      <c r="B204" s="12" t="s">
        <v>1460</v>
      </c>
      <c r="C204" s="19" t="s">
        <v>36</v>
      </c>
      <c r="D204" s="19" t="s">
        <v>36</v>
      </c>
      <c r="E204" s="19" t="s">
        <v>36</v>
      </c>
      <c r="F204" s="19" t="s">
        <v>36</v>
      </c>
      <c r="G204" s="15" t="s">
        <v>36</v>
      </c>
      <c r="H204" s="14" t="s">
        <v>36</v>
      </c>
      <c r="I204" s="18" t="s">
        <v>36</v>
      </c>
      <c r="J204" s="12" t="s">
        <v>36</v>
      </c>
      <c r="K204" s="13" t="s">
        <v>36</v>
      </c>
      <c r="L204" s="15" t="s">
        <v>36</v>
      </c>
      <c r="M204" s="12" t="s">
        <v>36</v>
      </c>
      <c r="N204" s="12" t="s">
        <v>36</v>
      </c>
      <c r="O204" s="17" t="s">
        <v>36</v>
      </c>
      <c r="P204" s="12" t="s">
        <v>36</v>
      </c>
      <c r="Q204" s="12" t="s">
        <v>36</v>
      </c>
      <c r="R204" s="12" t="s">
        <v>36</v>
      </c>
      <c r="S204" s="12" t="s">
        <v>1461</v>
      </c>
      <c r="T204" s="12" t="s">
        <v>115</v>
      </c>
      <c r="U204" s="12" t="s">
        <v>63</v>
      </c>
      <c r="V204" s="12" t="s">
        <v>64</v>
      </c>
      <c r="W204" s="12" t="s">
        <v>1462</v>
      </c>
      <c r="X204" s="16" t="s">
        <v>1463</v>
      </c>
      <c r="Y204" s="15" t="s">
        <v>108</v>
      </c>
      <c r="Z204" s="14">
        <v>3.3</v>
      </c>
      <c r="AA204" s="14" t="s">
        <v>36</v>
      </c>
      <c r="AB204" s="12" t="s">
        <v>43</v>
      </c>
      <c r="AC204" s="12" t="s">
        <v>1464</v>
      </c>
      <c r="AD204" s="13">
        <v>45589</v>
      </c>
      <c r="AE204" s="12" t="s">
        <v>68</v>
      </c>
      <c r="AF204" s="12" t="s">
        <v>1465</v>
      </c>
      <c r="AG204" s="12" t="s">
        <v>81</v>
      </c>
      <c r="AH204" s="1">
        <f>HYPERLINK("https://my.pitchbook.com?c=275517-28T","View Company Online")</f>
      </c>
    </row>
    <row r="205">
      <c r="A205" s="3" t="s">
        <v>1466</v>
      </c>
      <c r="B205" s="3" t="s">
        <v>1467</v>
      </c>
      <c r="C205" s="5" t="s">
        <v>36</v>
      </c>
      <c r="D205" s="5" t="s">
        <v>36</v>
      </c>
      <c r="E205" s="5" t="s">
        <v>36</v>
      </c>
      <c r="F205" s="5" t="s">
        <v>36</v>
      </c>
      <c r="G205" s="6" t="s">
        <v>36</v>
      </c>
      <c r="H205" s="4" t="s">
        <v>36</v>
      </c>
      <c r="I205" s="7" t="s">
        <v>36</v>
      </c>
      <c r="J205" s="3" t="s">
        <v>36</v>
      </c>
      <c r="K205" s="9" t="s">
        <v>36</v>
      </c>
      <c r="L205" s="6" t="s">
        <v>36</v>
      </c>
      <c r="M205" s="3" t="s">
        <v>36</v>
      </c>
      <c r="N205" s="3" t="s">
        <v>36</v>
      </c>
      <c r="O205" s="8" t="s">
        <v>36</v>
      </c>
      <c r="P205" s="3" t="s">
        <v>36</v>
      </c>
      <c r="Q205" s="3" t="s">
        <v>36</v>
      </c>
      <c r="R205" s="3" t="s">
        <v>36</v>
      </c>
      <c r="S205" s="3" t="s">
        <v>36</v>
      </c>
      <c r="T205" s="3" t="s">
        <v>1468</v>
      </c>
      <c r="U205" s="3" t="s">
        <v>38</v>
      </c>
      <c r="V205" s="3" t="s">
        <v>39</v>
      </c>
      <c r="W205" s="3" t="s">
        <v>1469</v>
      </c>
      <c r="X205" s="10" t="s">
        <v>1470</v>
      </c>
      <c r="Y205" s="6" t="s">
        <v>108</v>
      </c>
      <c r="Z205" s="4">
        <v>1.54</v>
      </c>
      <c r="AA205" s="4" t="s">
        <v>36</v>
      </c>
      <c r="AB205" s="3" t="s">
        <v>43</v>
      </c>
      <c r="AC205" s="3" t="s">
        <v>1471</v>
      </c>
      <c r="AD205" s="9">
        <v>45589</v>
      </c>
      <c r="AE205" s="3" t="s">
        <v>110</v>
      </c>
      <c r="AF205" s="3" t="s">
        <v>1472</v>
      </c>
      <c r="AG205" s="3" t="s">
        <v>81</v>
      </c>
      <c r="AH205" s="11">
        <f>HYPERLINK("https://my.pitchbook.com?c=276347-71T","View Company Online")</f>
      </c>
    </row>
    <row r="206">
      <c r="A206" s="12" t="s">
        <v>1473</v>
      </c>
      <c r="B206" s="12" t="s">
        <v>1474</v>
      </c>
      <c r="C206" s="19" t="s">
        <v>36</v>
      </c>
      <c r="D206" s="19" t="s">
        <v>36</v>
      </c>
      <c r="E206" s="19" t="s">
        <v>36</v>
      </c>
      <c r="F206" s="19" t="s">
        <v>36</v>
      </c>
      <c r="G206" s="15" t="s">
        <v>36</v>
      </c>
      <c r="H206" s="14" t="s">
        <v>36</v>
      </c>
      <c r="I206" s="18" t="s">
        <v>36</v>
      </c>
      <c r="J206" s="12" t="s">
        <v>36</v>
      </c>
      <c r="K206" s="13" t="s">
        <v>36</v>
      </c>
      <c r="L206" s="15" t="s">
        <v>36</v>
      </c>
      <c r="M206" s="12" t="s">
        <v>36</v>
      </c>
      <c r="N206" s="12" t="s">
        <v>36</v>
      </c>
      <c r="O206" s="17" t="s">
        <v>36</v>
      </c>
      <c r="P206" s="12" t="s">
        <v>36</v>
      </c>
      <c r="Q206" s="12" t="s">
        <v>36</v>
      </c>
      <c r="R206" s="12" t="s">
        <v>36</v>
      </c>
      <c r="S206" s="12" t="s">
        <v>36</v>
      </c>
      <c r="T206" s="12" t="s">
        <v>1475</v>
      </c>
      <c r="U206" s="12" t="s">
        <v>38</v>
      </c>
      <c r="V206" s="12" t="s">
        <v>39</v>
      </c>
      <c r="W206" s="12" t="s">
        <v>1476</v>
      </c>
      <c r="X206" s="16" t="s">
        <v>1477</v>
      </c>
      <c r="Y206" s="15" t="s">
        <v>42</v>
      </c>
      <c r="Z206" s="14">
        <v>2.42</v>
      </c>
      <c r="AA206" s="14" t="s">
        <v>36</v>
      </c>
      <c r="AB206" s="12" t="s">
        <v>43</v>
      </c>
      <c r="AC206" s="12" t="s">
        <v>1478</v>
      </c>
      <c r="AD206" s="13">
        <v>45588</v>
      </c>
      <c r="AE206" s="12" t="s">
        <v>554</v>
      </c>
      <c r="AF206" s="12" t="s">
        <v>1380</v>
      </c>
      <c r="AG206" s="12" t="s">
        <v>1479</v>
      </c>
      <c r="AH206" s="1">
        <f>HYPERLINK("https://my.pitchbook.com?c=275660-02T","View Company Online")</f>
      </c>
    </row>
    <row r="207">
      <c r="A207" s="3" t="s">
        <v>1480</v>
      </c>
      <c r="B207" s="3" t="s">
        <v>1481</v>
      </c>
      <c r="C207" s="5" t="s">
        <v>36</v>
      </c>
      <c r="D207" s="5" t="s">
        <v>36</v>
      </c>
      <c r="E207" s="5" t="s">
        <v>36</v>
      </c>
      <c r="F207" s="5" t="s">
        <v>36</v>
      </c>
      <c r="G207" s="6" t="s">
        <v>36</v>
      </c>
      <c r="H207" s="4" t="s">
        <v>36</v>
      </c>
      <c r="I207" s="7" t="s">
        <v>36</v>
      </c>
      <c r="J207" s="3" t="s">
        <v>36</v>
      </c>
      <c r="K207" s="9">
        <v>45505</v>
      </c>
      <c r="L207" s="6" t="s">
        <v>36</v>
      </c>
      <c r="M207" s="3" t="s">
        <v>36</v>
      </c>
      <c r="N207" s="3" t="s">
        <v>36</v>
      </c>
      <c r="O207" s="8" t="s">
        <v>36</v>
      </c>
      <c r="P207" s="3" t="s">
        <v>36</v>
      </c>
      <c r="Q207" s="3" t="s">
        <v>36</v>
      </c>
      <c r="R207" s="3" t="s">
        <v>36</v>
      </c>
      <c r="S207" s="3" t="s">
        <v>36</v>
      </c>
      <c r="T207" s="3" t="s">
        <v>278</v>
      </c>
      <c r="U207" s="3" t="s">
        <v>279</v>
      </c>
      <c r="V207" s="3" t="s">
        <v>64</v>
      </c>
      <c r="W207" s="3" t="s">
        <v>1482</v>
      </c>
      <c r="X207" s="10" t="s">
        <v>1483</v>
      </c>
      <c r="Y207" s="6" t="s">
        <v>55</v>
      </c>
      <c r="Z207" s="4">
        <v>3.47</v>
      </c>
      <c r="AA207" s="4" t="s">
        <v>36</v>
      </c>
      <c r="AB207" s="3" t="s">
        <v>43</v>
      </c>
      <c r="AC207" s="3" t="s">
        <v>1484</v>
      </c>
      <c r="AD207" s="9">
        <v>45587</v>
      </c>
      <c r="AE207" s="3" t="s">
        <v>283</v>
      </c>
      <c r="AF207" s="3" t="s">
        <v>275</v>
      </c>
      <c r="AG207" s="3" t="s">
        <v>1485</v>
      </c>
      <c r="AH207" s="11">
        <f>HYPERLINK("https://my.pitchbook.com?c=270010-81T","View Company Online")</f>
      </c>
    </row>
    <row r="208">
      <c r="A208" s="12" t="s">
        <v>1486</v>
      </c>
      <c r="B208" s="12" t="s">
        <v>1487</v>
      </c>
      <c r="C208" s="19" t="s">
        <v>36</v>
      </c>
      <c r="D208" s="19" t="s">
        <v>36</v>
      </c>
      <c r="E208" s="19" t="s">
        <v>36</v>
      </c>
      <c r="F208" s="19" t="s">
        <v>36</v>
      </c>
      <c r="G208" s="15" t="s">
        <v>36</v>
      </c>
      <c r="H208" s="14" t="s">
        <v>36</v>
      </c>
      <c r="I208" s="18" t="s">
        <v>36</v>
      </c>
      <c r="J208" s="12" t="s">
        <v>36</v>
      </c>
      <c r="K208" s="13" t="s">
        <v>36</v>
      </c>
      <c r="L208" s="15" t="s">
        <v>36</v>
      </c>
      <c r="M208" s="12" t="s">
        <v>36</v>
      </c>
      <c r="N208" s="12" t="s">
        <v>36</v>
      </c>
      <c r="O208" s="17" t="s">
        <v>36</v>
      </c>
      <c r="P208" s="12" t="s">
        <v>36</v>
      </c>
      <c r="Q208" s="12" t="s">
        <v>36</v>
      </c>
      <c r="R208" s="12" t="s">
        <v>36</v>
      </c>
      <c r="S208" s="12" t="s">
        <v>36</v>
      </c>
      <c r="T208" s="12" t="s">
        <v>1488</v>
      </c>
      <c r="U208" s="12" t="s">
        <v>38</v>
      </c>
      <c r="V208" s="12" t="s">
        <v>39</v>
      </c>
      <c r="W208" s="12" t="s">
        <v>1489</v>
      </c>
      <c r="X208" s="16" t="s">
        <v>1490</v>
      </c>
      <c r="Y208" s="15" t="s">
        <v>108</v>
      </c>
      <c r="Z208" s="14">
        <v>2.21</v>
      </c>
      <c r="AA208" s="14" t="s">
        <v>36</v>
      </c>
      <c r="AB208" s="12" t="s">
        <v>56</v>
      </c>
      <c r="AC208" s="12" t="s">
        <v>1491</v>
      </c>
      <c r="AD208" s="13">
        <v>45583</v>
      </c>
      <c r="AE208" s="12" t="s">
        <v>554</v>
      </c>
      <c r="AF208" s="12" t="s">
        <v>1492</v>
      </c>
      <c r="AG208" s="12" t="s">
        <v>81</v>
      </c>
      <c r="AH208" s="1">
        <f>HYPERLINK("https://my.pitchbook.com?c=275218-75T","View Company Online")</f>
      </c>
    </row>
    <row r="209">
      <c r="A209" s="3" t="s">
        <v>1493</v>
      </c>
      <c r="B209" s="3" t="s">
        <v>1494</v>
      </c>
      <c r="C209" s="5" t="s">
        <v>36</v>
      </c>
      <c r="D209" s="5" t="s">
        <v>36</v>
      </c>
      <c r="E209" s="5" t="s">
        <v>36</v>
      </c>
      <c r="F209" s="5" t="s">
        <v>36</v>
      </c>
      <c r="G209" s="6" t="s">
        <v>36</v>
      </c>
      <c r="H209" s="4" t="s">
        <v>36</v>
      </c>
      <c r="I209" s="7" t="s">
        <v>36</v>
      </c>
      <c r="J209" s="3" t="s">
        <v>36</v>
      </c>
      <c r="K209" s="9" t="s">
        <v>36</v>
      </c>
      <c r="L209" s="6" t="s">
        <v>36</v>
      </c>
      <c r="M209" s="3" t="s">
        <v>36</v>
      </c>
      <c r="N209" s="3" t="s">
        <v>36</v>
      </c>
      <c r="O209" s="8" t="s">
        <v>36</v>
      </c>
      <c r="P209" s="3" t="s">
        <v>36</v>
      </c>
      <c r="Q209" s="3" t="s">
        <v>36</v>
      </c>
      <c r="R209" s="3" t="s">
        <v>36</v>
      </c>
      <c r="S209" s="3" t="s">
        <v>36</v>
      </c>
      <c r="T209" s="3" t="s">
        <v>105</v>
      </c>
      <c r="U209" s="3" t="s">
        <v>38</v>
      </c>
      <c r="V209" s="3" t="s">
        <v>39</v>
      </c>
      <c r="W209" s="3" t="s">
        <v>1495</v>
      </c>
      <c r="X209" s="10" t="s">
        <v>1496</v>
      </c>
      <c r="Y209" s="6" t="s">
        <v>108</v>
      </c>
      <c r="Z209" s="4">
        <v>3.87</v>
      </c>
      <c r="AA209" s="4" t="s">
        <v>36</v>
      </c>
      <c r="AB209" s="3" t="s">
        <v>43</v>
      </c>
      <c r="AC209" s="3" t="s">
        <v>1497</v>
      </c>
      <c r="AD209" s="9">
        <v>45582</v>
      </c>
      <c r="AE209" s="3" t="s">
        <v>110</v>
      </c>
      <c r="AF209" s="3" t="s">
        <v>36</v>
      </c>
      <c r="AG209" s="3" t="s">
        <v>1498</v>
      </c>
      <c r="AH209" s="11">
        <f>HYPERLINK("https://my.pitchbook.com?c=274872-07T","View Company Online")</f>
      </c>
    </row>
    <row r="210">
      <c r="A210" s="12" t="s">
        <v>1499</v>
      </c>
      <c r="B210" s="12" t="s">
        <v>1500</v>
      </c>
      <c r="C210" s="19" t="s">
        <v>36</v>
      </c>
      <c r="D210" s="19" t="s">
        <v>36</v>
      </c>
      <c r="E210" s="19" t="s">
        <v>36</v>
      </c>
      <c r="F210" s="19" t="s">
        <v>36</v>
      </c>
      <c r="G210" s="15" t="s">
        <v>36</v>
      </c>
      <c r="H210" s="14" t="s">
        <v>36</v>
      </c>
      <c r="I210" s="18" t="s">
        <v>36</v>
      </c>
      <c r="J210" s="12" t="s">
        <v>36</v>
      </c>
      <c r="K210" s="13" t="s">
        <v>36</v>
      </c>
      <c r="L210" s="15" t="s">
        <v>36</v>
      </c>
      <c r="M210" s="12" t="s">
        <v>36</v>
      </c>
      <c r="N210" s="12" t="s">
        <v>36</v>
      </c>
      <c r="O210" s="17" t="s">
        <v>36</v>
      </c>
      <c r="P210" s="12" t="s">
        <v>36</v>
      </c>
      <c r="Q210" s="12" t="s">
        <v>36</v>
      </c>
      <c r="R210" s="12" t="s">
        <v>36</v>
      </c>
      <c r="S210" s="12" t="s">
        <v>36</v>
      </c>
      <c r="T210" s="12" t="s">
        <v>1501</v>
      </c>
      <c r="U210" s="12" t="s">
        <v>1502</v>
      </c>
      <c r="V210" s="12" t="s">
        <v>75</v>
      </c>
      <c r="W210" s="12" t="s">
        <v>1503</v>
      </c>
      <c r="X210" s="16" t="s">
        <v>1504</v>
      </c>
      <c r="Y210" s="15" t="s">
        <v>192</v>
      </c>
      <c r="Z210" s="14">
        <v>11.06</v>
      </c>
      <c r="AA210" s="14" t="s">
        <v>36</v>
      </c>
      <c r="AB210" s="12" t="s">
        <v>56</v>
      </c>
      <c r="AC210" s="12" t="s">
        <v>1505</v>
      </c>
      <c r="AD210" s="13">
        <v>45582</v>
      </c>
      <c r="AE210" s="12" t="s">
        <v>1506</v>
      </c>
      <c r="AF210" s="12" t="s">
        <v>1507</v>
      </c>
      <c r="AG210" s="12" t="s">
        <v>81</v>
      </c>
      <c r="AH210" s="1">
        <f>HYPERLINK("https://my.pitchbook.com?c=274926-43T","View Company Online")</f>
      </c>
    </row>
    <row r="211">
      <c r="A211" s="3" t="s">
        <v>1508</v>
      </c>
      <c r="B211" s="3" t="s">
        <v>1509</v>
      </c>
      <c r="C211" s="5" t="s">
        <v>36</v>
      </c>
      <c r="D211" s="5" t="s">
        <v>36</v>
      </c>
      <c r="E211" s="5" t="s">
        <v>36</v>
      </c>
      <c r="F211" s="5" t="s">
        <v>36</v>
      </c>
      <c r="G211" s="6" t="s">
        <v>36</v>
      </c>
      <c r="H211" s="4" t="s">
        <v>36</v>
      </c>
      <c r="I211" s="7" t="s">
        <v>36</v>
      </c>
      <c r="J211" s="3" t="s">
        <v>36</v>
      </c>
      <c r="K211" s="9" t="s">
        <v>36</v>
      </c>
      <c r="L211" s="6" t="s">
        <v>36</v>
      </c>
      <c r="M211" s="3" t="s">
        <v>36</v>
      </c>
      <c r="N211" s="3" t="s">
        <v>36</v>
      </c>
      <c r="O211" s="8" t="s">
        <v>36</v>
      </c>
      <c r="P211" s="3" t="s">
        <v>36</v>
      </c>
      <c r="Q211" s="3" t="s">
        <v>36</v>
      </c>
      <c r="R211" s="3" t="s">
        <v>36</v>
      </c>
      <c r="S211" s="3" t="s">
        <v>36</v>
      </c>
      <c r="T211" s="3" t="s">
        <v>1510</v>
      </c>
      <c r="U211" s="3" t="s">
        <v>38</v>
      </c>
      <c r="V211" s="3" t="s">
        <v>39</v>
      </c>
      <c r="W211" s="3" t="s">
        <v>1511</v>
      </c>
      <c r="X211" s="10" t="s">
        <v>1512</v>
      </c>
      <c r="Y211" s="6" t="s">
        <v>42</v>
      </c>
      <c r="Z211" s="4">
        <v>3.32</v>
      </c>
      <c r="AA211" s="4" t="s">
        <v>36</v>
      </c>
      <c r="AB211" s="3" t="s">
        <v>43</v>
      </c>
      <c r="AC211" s="3" t="s">
        <v>1513</v>
      </c>
      <c r="AD211" s="9">
        <v>45581</v>
      </c>
      <c r="AE211" s="3" t="s">
        <v>45</v>
      </c>
      <c r="AF211" s="3" t="s">
        <v>176</v>
      </c>
      <c r="AG211" s="3" t="s">
        <v>47</v>
      </c>
      <c r="AH211" s="11">
        <f>HYPERLINK("https://my.pitchbook.com?c=274833-82T","View Company Online")</f>
      </c>
    </row>
    <row r="212">
      <c r="A212" s="12" t="s">
        <v>1514</v>
      </c>
      <c r="B212" s="12" t="s">
        <v>1515</v>
      </c>
      <c r="C212" s="19" t="s">
        <v>36</v>
      </c>
      <c r="D212" s="19" t="s">
        <v>36</v>
      </c>
      <c r="E212" s="19" t="s">
        <v>36</v>
      </c>
      <c r="F212" s="19" t="s">
        <v>36</v>
      </c>
      <c r="G212" s="15" t="s">
        <v>36</v>
      </c>
      <c r="H212" s="14" t="s">
        <v>36</v>
      </c>
      <c r="I212" s="18" t="s">
        <v>36</v>
      </c>
      <c r="J212" s="12" t="s">
        <v>36</v>
      </c>
      <c r="K212" s="13" t="s">
        <v>36</v>
      </c>
      <c r="L212" s="15" t="s">
        <v>122</v>
      </c>
      <c r="M212" s="12" t="s">
        <v>36</v>
      </c>
      <c r="N212" s="12" t="s">
        <v>122</v>
      </c>
      <c r="O212" s="17" t="s">
        <v>36</v>
      </c>
      <c r="P212" s="12" t="s">
        <v>36</v>
      </c>
      <c r="Q212" s="12" t="s">
        <v>36</v>
      </c>
      <c r="R212" s="12" t="s">
        <v>36</v>
      </c>
      <c r="S212" s="12" t="s">
        <v>36</v>
      </c>
      <c r="T212" s="12" t="s">
        <v>522</v>
      </c>
      <c r="U212" s="12" t="s">
        <v>38</v>
      </c>
      <c r="V212" s="12" t="s">
        <v>39</v>
      </c>
      <c r="W212" s="12" t="s">
        <v>1516</v>
      </c>
      <c r="X212" s="16" t="s">
        <v>1517</v>
      </c>
      <c r="Y212" s="15" t="s">
        <v>55</v>
      </c>
      <c r="Z212" s="14">
        <v>16.6</v>
      </c>
      <c r="AA212" s="14" t="s">
        <v>36</v>
      </c>
      <c r="AB212" s="12" t="s">
        <v>43</v>
      </c>
      <c r="AC212" s="12" t="s">
        <v>1518</v>
      </c>
      <c r="AD212" s="13">
        <v>45581</v>
      </c>
      <c r="AE212" s="12" t="s">
        <v>110</v>
      </c>
      <c r="AF212" s="12" t="s">
        <v>176</v>
      </c>
      <c r="AG212" s="12" t="s">
        <v>81</v>
      </c>
      <c r="AH212" s="1">
        <f>HYPERLINK("https://my.pitchbook.com?c=274754-26T","View Company Online")</f>
      </c>
    </row>
    <row r="213">
      <c r="A213" s="3" t="s">
        <v>1519</v>
      </c>
      <c r="B213" s="3" t="s">
        <v>1520</v>
      </c>
      <c r="C213" s="5">
        <v>2</v>
      </c>
      <c r="D213" s="5" t="s">
        <v>36</v>
      </c>
      <c r="E213" s="5">
        <v>1</v>
      </c>
      <c r="F213" s="5">
        <v>2</v>
      </c>
      <c r="G213" s="6" t="s">
        <v>36</v>
      </c>
      <c r="H213" s="4" t="s">
        <v>36</v>
      </c>
      <c r="I213" s="7" t="s">
        <v>36</v>
      </c>
      <c r="J213" s="3" t="s">
        <v>36</v>
      </c>
      <c r="K213" s="9" t="s">
        <v>36</v>
      </c>
      <c r="L213" s="6" t="s">
        <v>122</v>
      </c>
      <c r="M213" s="3" t="s">
        <v>36</v>
      </c>
      <c r="N213" s="3" t="s">
        <v>122</v>
      </c>
      <c r="O213" s="8" t="s">
        <v>36</v>
      </c>
      <c r="P213" s="3" t="s">
        <v>36</v>
      </c>
      <c r="Q213" s="3" t="s">
        <v>36</v>
      </c>
      <c r="R213" s="3" t="s">
        <v>36</v>
      </c>
      <c r="S213" s="3" t="s">
        <v>36</v>
      </c>
      <c r="T213" s="3" t="s">
        <v>1344</v>
      </c>
      <c r="U213" s="3" t="s">
        <v>38</v>
      </c>
      <c r="V213" s="3" t="s">
        <v>39</v>
      </c>
      <c r="W213" s="3" t="s">
        <v>1521</v>
      </c>
      <c r="X213" s="10" t="s">
        <v>1522</v>
      </c>
      <c r="Y213" s="6" t="s">
        <v>108</v>
      </c>
      <c r="Z213" s="4">
        <v>16</v>
      </c>
      <c r="AA213" s="4" t="s">
        <v>36</v>
      </c>
      <c r="AB213" s="3" t="s">
        <v>43</v>
      </c>
      <c r="AC213" s="3" t="s">
        <v>1523</v>
      </c>
      <c r="AD213" s="9">
        <v>45580</v>
      </c>
      <c r="AE213" s="3" t="s">
        <v>110</v>
      </c>
      <c r="AF213" s="3" t="s">
        <v>1524</v>
      </c>
      <c r="AG213" s="3" t="s">
        <v>1525</v>
      </c>
      <c r="AH213" s="11">
        <f>HYPERLINK("https://my.pitchbook.com?c=274681-90T","View Company Online")</f>
      </c>
    </row>
    <row r="214">
      <c r="A214" s="12" t="s">
        <v>1526</v>
      </c>
      <c r="B214" s="12" t="s">
        <v>1527</v>
      </c>
      <c r="C214" s="19" t="s">
        <v>36</v>
      </c>
      <c r="D214" s="19" t="s">
        <v>36</v>
      </c>
      <c r="E214" s="19" t="s">
        <v>36</v>
      </c>
      <c r="F214" s="19" t="s">
        <v>36</v>
      </c>
      <c r="G214" s="15" t="s">
        <v>36</v>
      </c>
      <c r="H214" s="14" t="s">
        <v>36</v>
      </c>
      <c r="I214" s="18" t="s">
        <v>36</v>
      </c>
      <c r="J214" s="12" t="s">
        <v>36</v>
      </c>
      <c r="K214" s="13">
        <v>45580</v>
      </c>
      <c r="L214" s="15" t="s">
        <v>36</v>
      </c>
      <c r="M214" s="12" t="s">
        <v>36</v>
      </c>
      <c r="N214" s="12" t="s">
        <v>36</v>
      </c>
      <c r="O214" s="17" t="s">
        <v>36</v>
      </c>
      <c r="P214" s="12" t="s">
        <v>36</v>
      </c>
      <c r="Q214" s="12" t="s">
        <v>36</v>
      </c>
      <c r="R214" s="12" t="s">
        <v>36</v>
      </c>
      <c r="S214" s="12" t="s">
        <v>36</v>
      </c>
      <c r="T214" s="12" t="s">
        <v>1528</v>
      </c>
      <c r="U214" s="12" t="s">
        <v>38</v>
      </c>
      <c r="V214" s="12" t="s">
        <v>39</v>
      </c>
      <c r="W214" s="12" t="s">
        <v>1529</v>
      </c>
      <c r="X214" s="16" t="s">
        <v>1530</v>
      </c>
      <c r="Y214" s="15" t="s">
        <v>166</v>
      </c>
      <c r="Z214" s="14">
        <v>15.52</v>
      </c>
      <c r="AA214" s="14" t="s">
        <v>36</v>
      </c>
      <c r="AB214" s="12" t="s">
        <v>56</v>
      </c>
      <c r="AC214" s="12" t="s">
        <v>1531</v>
      </c>
      <c r="AD214" s="13">
        <v>45580</v>
      </c>
      <c r="AE214" s="12" t="s">
        <v>45</v>
      </c>
      <c r="AF214" s="12" t="s">
        <v>1532</v>
      </c>
      <c r="AG214" s="12" t="s">
        <v>81</v>
      </c>
      <c r="AH214" s="1">
        <f>HYPERLINK("https://my.pitchbook.com?c=274623-04T","View Company Online")</f>
      </c>
    </row>
    <row r="215">
      <c r="A215" s="3" t="s">
        <v>1533</v>
      </c>
      <c r="B215" s="3" t="s">
        <v>1534</v>
      </c>
      <c r="C215" s="5">
        <v>4</v>
      </c>
      <c r="D215" s="5">
        <v>31</v>
      </c>
      <c r="E215" s="5">
        <v>8</v>
      </c>
      <c r="F215" s="5">
        <v>35</v>
      </c>
      <c r="G215" s="6" t="s">
        <v>36</v>
      </c>
      <c r="H215" s="4" t="s">
        <v>36</v>
      </c>
      <c r="I215" s="7" t="s">
        <v>36</v>
      </c>
      <c r="J215" s="3" t="s">
        <v>36</v>
      </c>
      <c r="K215" s="9" t="s">
        <v>36</v>
      </c>
      <c r="L215" s="6" t="s">
        <v>36</v>
      </c>
      <c r="M215" s="3" t="s">
        <v>36</v>
      </c>
      <c r="N215" s="3" t="s">
        <v>36</v>
      </c>
      <c r="O215" s="8" t="s">
        <v>36</v>
      </c>
      <c r="P215" s="3" t="s">
        <v>36</v>
      </c>
      <c r="Q215" s="3" t="s">
        <v>36</v>
      </c>
      <c r="R215" s="3" t="s">
        <v>36</v>
      </c>
      <c r="S215" s="3" t="s">
        <v>36</v>
      </c>
      <c r="T215" s="3" t="s">
        <v>1535</v>
      </c>
      <c r="U215" s="3" t="s">
        <v>96</v>
      </c>
      <c r="V215" s="3" t="s">
        <v>52</v>
      </c>
      <c r="W215" s="3" t="s">
        <v>1536</v>
      </c>
      <c r="X215" s="10" t="s">
        <v>1537</v>
      </c>
      <c r="Y215" s="6" t="s">
        <v>166</v>
      </c>
      <c r="Z215" s="4">
        <v>2.35</v>
      </c>
      <c r="AA215" s="4" t="s">
        <v>36</v>
      </c>
      <c r="AB215" s="3" t="s">
        <v>56</v>
      </c>
      <c r="AC215" s="3" t="s">
        <v>1538</v>
      </c>
      <c r="AD215" s="9">
        <v>45579</v>
      </c>
      <c r="AE215" s="3" t="s">
        <v>1414</v>
      </c>
      <c r="AF215" s="3" t="s">
        <v>885</v>
      </c>
      <c r="AG215" s="3" t="s">
        <v>81</v>
      </c>
      <c r="AH215" s="11">
        <f>HYPERLINK("https://my.pitchbook.com?c=275768-65T","View Company Online")</f>
      </c>
    </row>
    <row r="216">
      <c r="A216" s="12" t="s">
        <v>1539</v>
      </c>
      <c r="B216" s="12" t="s">
        <v>1540</v>
      </c>
      <c r="C216" s="19" t="s">
        <v>36</v>
      </c>
      <c r="D216" s="19" t="s">
        <v>36</v>
      </c>
      <c r="E216" s="19" t="s">
        <v>36</v>
      </c>
      <c r="F216" s="19" t="s">
        <v>36</v>
      </c>
      <c r="G216" s="15" t="s">
        <v>36</v>
      </c>
      <c r="H216" s="14" t="s">
        <v>36</v>
      </c>
      <c r="I216" s="18" t="s">
        <v>36</v>
      </c>
      <c r="J216" s="12" t="s">
        <v>36</v>
      </c>
      <c r="K216" s="13" t="s">
        <v>36</v>
      </c>
      <c r="L216" s="15" t="s">
        <v>94</v>
      </c>
      <c r="M216" s="12" t="s">
        <v>36</v>
      </c>
      <c r="N216" s="12" t="s">
        <v>94</v>
      </c>
      <c r="O216" s="17" t="s">
        <v>36</v>
      </c>
      <c r="P216" s="12" t="s">
        <v>36</v>
      </c>
      <c r="Q216" s="12" t="s">
        <v>36</v>
      </c>
      <c r="R216" s="12" t="s">
        <v>36</v>
      </c>
      <c r="S216" s="12" t="s">
        <v>36</v>
      </c>
      <c r="T216" s="12" t="s">
        <v>1541</v>
      </c>
      <c r="U216" s="12" t="s">
        <v>38</v>
      </c>
      <c r="V216" s="12" t="s">
        <v>39</v>
      </c>
      <c r="W216" s="12" t="s">
        <v>1542</v>
      </c>
      <c r="X216" s="16" t="s">
        <v>1543</v>
      </c>
      <c r="Y216" s="15" t="s">
        <v>192</v>
      </c>
      <c r="Z216" s="14">
        <v>27.71</v>
      </c>
      <c r="AA216" s="14" t="s">
        <v>36</v>
      </c>
      <c r="AB216" s="12" t="s">
        <v>43</v>
      </c>
      <c r="AC216" s="12" t="s">
        <v>1544</v>
      </c>
      <c r="AD216" s="13">
        <v>45579</v>
      </c>
      <c r="AE216" s="12" t="s">
        <v>134</v>
      </c>
      <c r="AF216" s="12" t="s">
        <v>1545</v>
      </c>
      <c r="AG216" s="12" t="s">
        <v>81</v>
      </c>
      <c r="AH216" s="1">
        <f>HYPERLINK("https://my.pitchbook.com?c=274614-67T","View Company Online")</f>
      </c>
    </row>
    <row r="217">
      <c r="A217" s="3" t="s">
        <v>1546</v>
      </c>
      <c r="B217" s="3" t="s">
        <v>1547</v>
      </c>
      <c r="C217" s="5">
        <v>3</v>
      </c>
      <c r="D217" s="5" t="s">
        <v>36</v>
      </c>
      <c r="E217" s="5">
        <v>1</v>
      </c>
      <c r="F217" s="5">
        <v>3</v>
      </c>
      <c r="G217" s="6" t="s">
        <v>36</v>
      </c>
      <c r="H217" s="4" t="s">
        <v>36</v>
      </c>
      <c r="I217" s="7" t="s">
        <v>36</v>
      </c>
      <c r="J217" s="3" t="s">
        <v>36</v>
      </c>
      <c r="K217" s="9" t="s">
        <v>36</v>
      </c>
      <c r="L217" s="6" t="s">
        <v>36</v>
      </c>
      <c r="M217" s="3" t="s">
        <v>36</v>
      </c>
      <c r="N217" s="3" t="s">
        <v>36</v>
      </c>
      <c r="O217" s="8" t="s">
        <v>36</v>
      </c>
      <c r="P217" s="3" t="s">
        <v>36</v>
      </c>
      <c r="Q217" s="3" t="s">
        <v>36</v>
      </c>
      <c r="R217" s="3" t="s">
        <v>36</v>
      </c>
      <c r="S217" s="3" t="s">
        <v>36</v>
      </c>
      <c r="T217" s="3" t="s">
        <v>1548</v>
      </c>
      <c r="U217" s="3" t="s">
        <v>38</v>
      </c>
      <c r="V217" s="3" t="s">
        <v>39</v>
      </c>
      <c r="W217" s="3" t="s">
        <v>1549</v>
      </c>
      <c r="X217" s="10" t="s">
        <v>1550</v>
      </c>
      <c r="Y217" s="6" t="s">
        <v>108</v>
      </c>
      <c r="Z217" s="4" t="s">
        <v>36</v>
      </c>
      <c r="AA217" s="4" t="s">
        <v>36</v>
      </c>
      <c r="AB217" s="3" t="s">
        <v>56</v>
      </c>
      <c r="AC217" s="3" t="s">
        <v>1551</v>
      </c>
      <c r="AD217" s="9">
        <v>45575</v>
      </c>
      <c r="AE217" s="3" t="s">
        <v>134</v>
      </c>
      <c r="AF217" s="3" t="s">
        <v>135</v>
      </c>
      <c r="AG217" s="3" t="s">
        <v>81</v>
      </c>
      <c r="AH217" s="11">
        <f>HYPERLINK("https://my.pitchbook.com?c=274623-58T","View Company Online")</f>
      </c>
    </row>
    <row r="218">
      <c r="A218" s="12" t="s">
        <v>1552</v>
      </c>
      <c r="B218" s="12" t="s">
        <v>1553</v>
      </c>
      <c r="C218" s="19" t="s">
        <v>36</v>
      </c>
      <c r="D218" s="19" t="s">
        <v>36</v>
      </c>
      <c r="E218" s="19" t="s">
        <v>36</v>
      </c>
      <c r="F218" s="19" t="s">
        <v>36</v>
      </c>
      <c r="G218" s="15" t="s">
        <v>36</v>
      </c>
      <c r="H218" s="14" t="s">
        <v>36</v>
      </c>
      <c r="I218" s="18" t="s">
        <v>36</v>
      </c>
      <c r="J218" s="12" t="s">
        <v>36</v>
      </c>
      <c r="K218" s="13" t="s">
        <v>36</v>
      </c>
      <c r="L218" s="15" t="s">
        <v>36</v>
      </c>
      <c r="M218" s="12" t="s">
        <v>36</v>
      </c>
      <c r="N218" s="12" t="s">
        <v>36</v>
      </c>
      <c r="O218" s="17" t="s">
        <v>36</v>
      </c>
      <c r="P218" s="12" t="s">
        <v>36</v>
      </c>
      <c r="Q218" s="12" t="s">
        <v>36</v>
      </c>
      <c r="R218" s="12" t="s">
        <v>36</v>
      </c>
      <c r="S218" s="12" t="s">
        <v>36</v>
      </c>
      <c r="T218" s="12" t="s">
        <v>1554</v>
      </c>
      <c r="U218" s="12" t="s">
        <v>38</v>
      </c>
      <c r="V218" s="12" t="s">
        <v>39</v>
      </c>
      <c r="W218" s="12" t="s">
        <v>1555</v>
      </c>
      <c r="X218" s="16" t="s">
        <v>1556</v>
      </c>
      <c r="Y218" s="15" t="s">
        <v>55</v>
      </c>
      <c r="Z218" s="14">
        <v>1.11</v>
      </c>
      <c r="AA218" s="14" t="s">
        <v>36</v>
      </c>
      <c r="AB218" s="12" t="s">
        <v>43</v>
      </c>
      <c r="AC218" s="12" t="s">
        <v>1557</v>
      </c>
      <c r="AD218" s="13">
        <v>45575</v>
      </c>
      <c r="AE218" s="12" t="s">
        <v>110</v>
      </c>
      <c r="AF218" s="12" t="s">
        <v>1340</v>
      </c>
      <c r="AG218" s="12" t="s">
        <v>81</v>
      </c>
      <c r="AH218" s="1">
        <f>HYPERLINK("https://my.pitchbook.com?c=274346-92T","View Company Online")</f>
      </c>
    </row>
    <row r="219">
      <c r="A219" s="3" t="s">
        <v>1558</v>
      </c>
      <c r="B219" s="3" t="s">
        <v>1559</v>
      </c>
      <c r="C219" s="5" t="s">
        <v>36</v>
      </c>
      <c r="D219" s="5" t="s">
        <v>36</v>
      </c>
      <c r="E219" s="5" t="s">
        <v>36</v>
      </c>
      <c r="F219" s="5" t="s">
        <v>36</v>
      </c>
      <c r="G219" s="6" t="s">
        <v>36</v>
      </c>
      <c r="H219" s="4" t="s">
        <v>36</v>
      </c>
      <c r="I219" s="7" t="s">
        <v>36</v>
      </c>
      <c r="J219" s="3" t="s">
        <v>36</v>
      </c>
      <c r="K219" s="9" t="s">
        <v>36</v>
      </c>
      <c r="L219" s="6" t="s">
        <v>122</v>
      </c>
      <c r="M219" s="3" t="s">
        <v>36</v>
      </c>
      <c r="N219" s="3" t="s">
        <v>122</v>
      </c>
      <c r="O219" s="8" t="s">
        <v>36</v>
      </c>
      <c r="P219" s="3" t="s">
        <v>36</v>
      </c>
      <c r="Q219" s="3" t="s">
        <v>36</v>
      </c>
      <c r="R219" s="3" t="s">
        <v>36</v>
      </c>
      <c r="S219" s="3" t="s">
        <v>36</v>
      </c>
      <c r="T219" s="3" t="s">
        <v>1560</v>
      </c>
      <c r="U219" s="3" t="s">
        <v>438</v>
      </c>
      <c r="V219" s="3" t="s">
        <v>405</v>
      </c>
      <c r="W219" s="3" t="s">
        <v>1561</v>
      </c>
      <c r="X219" s="10" t="s">
        <v>1562</v>
      </c>
      <c r="Y219" s="6" t="s">
        <v>55</v>
      </c>
      <c r="Z219" s="4">
        <v>4.66</v>
      </c>
      <c r="AA219" s="4" t="s">
        <v>36</v>
      </c>
      <c r="AB219" s="3" t="s">
        <v>56</v>
      </c>
      <c r="AC219" s="3" t="s">
        <v>1563</v>
      </c>
      <c r="AD219" s="9">
        <v>45574</v>
      </c>
      <c r="AE219" s="3" t="s">
        <v>438</v>
      </c>
      <c r="AF219" s="3" t="s">
        <v>799</v>
      </c>
      <c r="AG219" s="3" t="s">
        <v>81</v>
      </c>
      <c r="AH219" s="11">
        <f>HYPERLINK("https://my.pitchbook.com?c=274187-08T","View Company Online")</f>
      </c>
    </row>
    <row r="220">
      <c r="A220" s="12" t="s">
        <v>1564</v>
      </c>
      <c r="B220" s="12" t="s">
        <v>1565</v>
      </c>
      <c r="C220" s="19" t="s">
        <v>36</v>
      </c>
      <c r="D220" s="19" t="s">
        <v>36</v>
      </c>
      <c r="E220" s="19" t="s">
        <v>36</v>
      </c>
      <c r="F220" s="19" t="s">
        <v>36</v>
      </c>
      <c r="G220" s="15" t="s">
        <v>36</v>
      </c>
      <c r="H220" s="14" t="s">
        <v>36</v>
      </c>
      <c r="I220" s="18" t="s">
        <v>36</v>
      </c>
      <c r="J220" s="12" t="s">
        <v>36</v>
      </c>
      <c r="K220" s="13" t="s">
        <v>36</v>
      </c>
      <c r="L220" s="15" t="s">
        <v>36</v>
      </c>
      <c r="M220" s="12" t="s">
        <v>36</v>
      </c>
      <c r="N220" s="12" t="s">
        <v>36</v>
      </c>
      <c r="O220" s="17" t="s">
        <v>36</v>
      </c>
      <c r="P220" s="12" t="s">
        <v>36</v>
      </c>
      <c r="Q220" s="12" t="s">
        <v>36</v>
      </c>
      <c r="R220" s="12" t="s">
        <v>36</v>
      </c>
      <c r="S220" s="12" t="s">
        <v>36</v>
      </c>
      <c r="T220" s="12" t="s">
        <v>1566</v>
      </c>
      <c r="U220" s="12" t="s">
        <v>318</v>
      </c>
      <c r="V220" s="12" t="s">
        <v>39</v>
      </c>
      <c r="W220" s="12" t="s">
        <v>1567</v>
      </c>
      <c r="X220" s="16" t="s">
        <v>1568</v>
      </c>
      <c r="Y220" s="15" t="s">
        <v>42</v>
      </c>
      <c r="Z220" s="14">
        <v>1.11</v>
      </c>
      <c r="AA220" s="14" t="s">
        <v>36</v>
      </c>
      <c r="AB220" s="12" t="s">
        <v>56</v>
      </c>
      <c r="AC220" s="12" t="s">
        <v>1569</v>
      </c>
      <c r="AD220" s="13">
        <v>45574</v>
      </c>
      <c r="AE220" s="12" t="s">
        <v>323</v>
      </c>
      <c r="AF220" s="12" t="s">
        <v>36</v>
      </c>
      <c r="AG220" s="12" t="s">
        <v>1570</v>
      </c>
      <c r="AH220" s="1">
        <f>HYPERLINK("https://my.pitchbook.com?c=274380-49T","View Company Online")</f>
      </c>
    </row>
    <row r="221">
      <c r="A221" s="3" t="s">
        <v>1571</v>
      </c>
      <c r="B221" s="3" t="s">
        <v>1572</v>
      </c>
      <c r="C221" s="5" t="s">
        <v>36</v>
      </c>
      <c r="D221" s="5" t="s">
        <v>36</v>
      </c>
      <c r="E221" s="5" t="s">
        <v>36</v>
      </c>
      <c r="F221" s="5" t="s">
        <v>36</v>
      </c>
      <c r="G221" s="6" t="s">
        <v>36</v>
      </c>
      <c r="H221" s="4" t="s">
        <v>36</v>
      </c>
      <c r="I221" s="7" t="s">
        <v>36</v>
      </c>
      <c r="J221" s="3" t="s">
        <v>36</v>
      </c>
      <c r="K221" s="9" t="s">
        <v>36</v>
      </c>
      <c r="L221" s="6" t="s">
        <v>36</v>
      </c>
      <c r="M221" s="3" t="s">
        <v>36</v>
      </c>
      <c r="N221" s="3" t="s">
        <v>36</v>
      </c>
      <c r="O221" s="8" t="s">
        <v>36</v>
      </c>
      <c r="P221" s="3" t="s">
        <v>36</v>
      </c>
      <c r="Q221" s="3" t="s">
        <v>36</v>
      </c>
      <c r="R221" s="3" t="s">
        <v>36</v>
      </c>
      <c r="S221" s="3" t="s">
        <v>36</v>
      </c>
      <c r="T221" s="3" t="s">
        <v>588</v>
      </c>
      <c r="U221" s="3" t="s">
        <v>318</v>
      </c>
      <c r="V221" s="3" t="s">
        <v>39</v>
      </c>
      <c r="W221" s="3" t="s">
        <v>1573</v>
      </c>
      <c r="X221" s="10" t="s">
        <v>1574</v>
      </c>
      <c r="Y221" s="6" t="s">
        <v>42</v>
      </c>
      <c r="Z221" s="4">
        <v>4.44</v>
      </c>
      <c r="AA221" s="4" t="s">
        <v>36</v>
      </c>
      <c r="AB221" s="3" t="s">
        <v>43</v>
      </c>
      <c r="AC221" s="3" t="s">
        <v>1575</v>
      </c>
      <c r="AD221" s="9">
        <v>45573</v>
      </c>
      <c r="AE221" s="3" t="s">
        <v>417</v>
      </c>
      <c r="AF221" s="3" t="s">
        <v>36</v>
      </c>
      <c r="AG221" s="3" t="s">
        <v>1576</v>
      </c>
      <c r="AH221" s="11">
        <f>HYPERLINK("https://my.pitchbook.com?c=274334-68T","View Company Online")</f>
      </c>
    </row>
    <row r="222">
      <c r="A222" s="12" t="s">
        <v>1577</v>
      </c>
      <c r="B222" s="12" t="s">
        <v>1578</v>
      </c>
      <c r="C222" s="19" t="s">
        <v>36</v>
      </c>
      <c r="D222" s="19" t="s">
        <v>36</v>
      </c>
      <c r="E222" s="19" t="s">
        <v>36</v>
      </c>
      <c r="F222" s="19" t="s">
        <v>36</v>
      </c>
      <c r="G222" s="15" t="s">
        <v>36</v>
      </c>
      <c r="H222" s="14" t="s">
        <v>36</v>
      </c>
      <c r="I222" s="18" t="s">
        <v>36</v>
      </c>
      <c r="J222" s="12" t="s">
        <v>36</v>
      </c>
      <c r="K222" s="13">
        <v>45502</v>
      </c>
      <c r="L222" s="15" t="s">
        <v>36</v>
      </c>
      <c r="M222" s="12" t="s">
        <v>36</v>
      </c>
      <c r="N222" s="12" t="s">
        <v>36</v>
      </c>
      <c r="O222" s="17" t="s">
        <v>36</v>
      </c>
      <c r="P222" s="12" t="s">
        <v>36</v>
      </c>
      <c r="Q222" s="12" t="s">
        <v>36</v>
      </c>
      <c r="R222" s="12" t="s">
        <v>36</v>
      </c>
      <c r="S222" s="12" t="s">
        <v>36</v>
      </c>
      <c r="T222" s="12" t="s">
        <v>1579</v>
      </c>
      <c r="U222" s="12" t="s">
        <v>1580</v>
      </c>
      <c r="V222" s="12" t="s">
        <v>39</v>
      </c>
      <c r="W222" s="12" t="s">
        <v>1581</v>
      </c>
      <c r="X222" s="16" t="s">
        <v>1582</v>
      </c>
      <c r="Y222" s="15" t="s">
        <v>42</v>
      </c>
      <c r="Z222" s="14">
        <v>9.3</v>
      </c>
      <c r="AA222" s="14" t="s">
        <v>36</v>
      </c>
      <c r="AB222" s="12" t="s">
        <v>43</v>
      </c>
      <c r="AC222" s="12" t="s">
        <v>1583</v>
      </c>
      <c r="AD222" s="13">
        <v>45573</v>
      </c>
      <c r="AE222" s="12" t="s">
        <v>1584</v>
      </c>
      <c r="AF222" s="12" t="s">
        <v>1585</v>
      </c>
      <c r="AG222" s="12" t="s">
        <v>102</v>
      </c>
      <c r="AH222" s="1">
        <f>HYPERLINK("https://my.pitchbook.com?c=219780-01T","View Company Online")</f>
      </c>
    </row>
    <row r="223">
      <c r="A223" s="3" t="s">
        <v>1586</v>
      </c>
      <c r="B223" s="3" t="s">
        <v>1587</v>
      </c>
      <c r="C223" s="5" t="s">
        <v>36</v>
      </c>
      <c r="D223" s="5" t="s">
        <v>36</v>
      </c>
      <c r="E223" s="5" t="s">
        <v>36</v>
      </c>
      <c r="F223" s="5" t="s">
        <v>36</v>
      </c>
      <c r="G223" s="6" t="s">
        <v>326</v>
      </c>
      <c r="H223" s="4">
        <v>5.92</v>
      </c>
      <c r="I223" s="7">
        <v>24</v>
      </c>
      <c r="J223" s="3" t="s">
        <v>521</v>
      </c>
      <c r="K223" s="9" t="s">
        <v>36</v>
      </c>
      <c r="L223" s="6" t="s">
        <v>122</v>
      </c>
      <c r="M223" s="3" t="s">
        <v>36</v>
      </c>
      <c r="N223" s="3" t="s">
        <v>122</v>
      </c>
      <c r="O223" s="8" t="s">
        <v>36</v>
      </c>
      <c r="P223" s="3" t="s">
        <v>36</v>
      </c>
      <c r="Q223" s="3" t="s">
        <v>36</v>
      </c>
      <c r="R223" s="3" t="s">
        <v>36</v>
      </c>
      <c r="S223" s="3" t="s">
        <v>1588</v>
      </c>
      <c r="T223" s="3" t="s">
        <v>1589</v>
      </c>
      <c r="U223" s="3" t="s">
        <v>38</v>
      </c>
      <c r="V223" s="3" t="s">
        <v>39</v>
      </c>
      <c r="W223" s="3" t="s">
        <v>1590</v>
      </c>
      <c r="X223" s="10" t="s">
        <v>1591</v>
      </c>
      <c r="Y223" s="6" t="s">
        <v>55</v>
      </c>
      <c r="Z223" s="4">
        <v>8.32</v>
      </c>
      <c r="AA223" s="4">
        <v>18.79</v>
      </c>
      <c r="AB223" s="3" t="s">
        <v>56</v>
      </c>
      <c r="AC223" s="3" t="s">
        <v>1592</v>
      </c>
      <c r="AD223" s="9">
        <v>45573</v>
      </c>
      <c r="AE223" s="3" t="s">
        <v>110</v>
      </c>
      <c r="AF223" s="3" t="s">
        <v>1593</v>
      </c>
      <c r="AG223" s="3" t="s">
        <v>899</v>
      </c>
      <c r="AH223" s="11">
        <f>HYPERLINK("https://my.pitchbook.com?c=279438-31T","View Company Online")</f>
      </c>
    </row>
    <row r="224">
      <c r="A224" s="12" t="s">
        <v>1594</v>
      </c>
      <c r="B224" s="12" t="s">
        <v>1595</v>
      </c>
      <c r="C224" s="19" t="s">
        <v>36</v>
      </c>
      <c r="D224" s="19" t="s">
        <v>36</v>
      </c>
      <c r="E224" s="19" t="s">
        <v>36</v>
      </c>
      <c r="F224" s="19" t="s">
        <v>36</v>
      </c>
      <c r="G224" s="15" t="s">
        <v>36</v>
      </c>
      <c r="H224" s="14" t="s">
        <v>36</v>
      </c>
      <c r="I224" s="18" t="s">
        <v>36</v>
      </c>
      <c r="J224" s="12" t="s">
        <v>36</v>
      </c>
      <c r="K224" s="13">
        <v>45572</v>
      </c>
      <c r="L224" s="15" t="s">
        <v>36</v>
      </c>
      <c r="M224" s="12" t="s">
        <v>36</v>
      </c>
      <c r="N224" s="12" t="s">
        <v>36</v>
      </c>
      <c r="O224" s="17" t="s">
        <v>36</v>
      </c>
      <c r="P224" s="12" t="s">
        <v>36</v>
      </c>
      <c r="Q224" s="12" t="s">
        <v>36</v>
      </c>
      <c r="R224" s="12" t="s">
        <v>36</v>
      </c>
      <c r="S224" s="12" t="s">
        <v>36</v>
      </c>
      <c r="T224" s="12" t="s">
        <v>1596</v>
      </c>
      <c r="U224" s="12" t="s">
        <v>728</v>
      </c>
      <c r="V224" s="12" t="s">
        <v>64</v>
      </c>
      <c r="W224" s="12" t="s">
        <v>1597</v>
      </c>
      <c r="X224" s="16" t="s">
        <v>1598</v>
      </c>
      <c r="Y224" s="15" t="s">
        <v>55</v>
      </c>
      <c r="Z224" s="14">
        <v>1.66</v>
      </c>
      <c r="AA224" s="14" t="s">
        <v>36</v>
      </c>
      <c r="AB224" s="12" t="s">
        <v>56</v>
      </c>
      <c r="AC224" s="12" t="s">
        <v>1599</v>
      </c>
      <c r="AD224" s="13">
        <v>45572</v>
      </c>
      <c r="AE224" s="12" t="s">
        <v>1600</v>
      </c>
      <c r="AF224" s="12" t="s">
        <v>36</v>
      </c>
      <c r="AG224" s="12" t="s">
        <v>1601</v>
      </c>
      <c r="AH224" s="1">
        <f>HYPERLINK("https://my.pitchbook.com?c=274022-47T","View Company Online")</f>
      </c>
    </row>
    <row r="225">
      <c r="A225" s="3" t="s">
        <v>1602</v>
      </c>
      <c r="B225" s="3" t="s">
        <v>1603</v>
      </c>
      <c r="C225" s="5" t="s">
        <v>36</v>
      </c>
      <c r="D225" s="5" t="s">
        <v>36</v>
      </c>
      <c r="E225" s="5" t="s">
        <v>36</v>
      </c>
      <c r="F225" s="5" t="s">
        <v>36</v>
      </c>
      <c r="G225" s="6" t="s">
        <v>36</v>
      </c>
      <c r="H225" s="4" t="s">
        <v>36</v>
      </c>
      <c r="I225" s="7" t="s">
        <v>36</v>
      </c>
      <c r="J225" s="3" t="s">
        <v>36</v>
      </c>
      <c r="K225" s="9" t="s">
        <v>36</v>
      </c>
      <c r="L225" s="6" t="s">
        <v>36</v>
      </c>
      <c r="M225" s="3" t="s">
        <v>36</v>
      </c>
      <c r="N225" s="3" t="s">
        <v>36</v>
      </c>
      <c r="O225" s="8" t="s">
        <v>36</v>
      </c>
      <c r="P225" s="3" t="s">
        <v>36</v>
      </c>
      <c r="Q225" s="3" t="s">
        <v>36</v>
      </c>
      <c r="R225" s="3" t="s">
        <v>36</v>
      </c>
      <c r="S225" s="3" t="s">
        <v>36</v>
      </c>
      <c r="T225" s="3" t="s">
        <v>437</v>
      </c>
      <c r="U225" s="3" t="s">
        <v>438</v>
      </c>
      <c r="V225" s="3" t="s">
        <v>405</v>
      </c>
      <c r="W225" s="3" t="s">
        <v>1604</v>
      </c>
      <c r="X225" s="10" t="s">
        <v>1605</v>
      </c>
      <c r="Y225" s="6" t="s">
        <v>108</v>
      </c>
      <c r="Z225" s="4">
        <v>4.44</v>
      </c>
      <c r="AA225" s="4" t="s">
        <v>36</v>
      </c>
      <c r="AB225" s="3" t="s">
        <v>43</v>
      </c>
      <c r="AC225" s="3" t="s">
        <v>1606</v>
      </c>
      <c r="AD225" s="9">
        <v>45572</v>
      </c>
      <c r="AE225" s="3" t="s">
        <v>442</v>
      </c>
      <c r="AF225" s="3" t="s">
        <v>215</v>
      </c>
      <c r="AG225" s="3" t="s">
        <v>81</v>
      </c>
      <c r="AH225" s="11">
        <f>HYPERLINK("https://my.pitchbook.com?c=279840-34T","View Company Online")</f>
      </c>
    </row>
    <row r="226">
      <c r="A226" s="12" t="s">
        <v>1607</v>
      </c>
      <c r="B226" s="12" t="s">
        <v>1608</v>
      </c>
      <c r="C226" s="19">
        <v>3</v>
      </c>
      <c r="D226" s="19">
        <v>2</v>
      </c>
      <c r="E226" s="19">
        <v>2</v>
      </c>
      <c r="F226" s="19">
        <v>5</v>
      </c>
      <c r="G226" s="15" t="s">
        <v>36</v>
      </c>
      <c r="H226" s="14" t="s">
        <v>36</v>
      </c>
      <c r="I226" s="18" t="s">
        <v>36</v>
      </c>
      <c r="J226" s="12" t="s">
        <v>36</v>
      </c>
      <c r="K226" s="13">
        <v>45383</v>
      </c>
      <c r="L226" s="15" t="s">
        <v>36</v>
      </c>
      <c r="M226" s="12" t="s">
        <v>36</v>
      </c>
      <c r="N226" s="12" t="s">
        <v>36</v>
      </c>
      <c r="O226" s="17" t="s">
        <v>36</v>
      </c>
      <c r="P226" s="12" t="s">
        <v>36</v>
      </c>
      <c r="Q226" s="12" t="s">
        <v>36</v>
      </c>
      <c r="R226" s="12" t="s">
        <v>36</v>
      </c>
      <c r="S226" s="12" t="s">
        <v>36</v>
      </c>
      <c r="T226" s="12" t="s">
        <v>1162</v>
      </c>
      <c r="U226" s="12" t="s">
        <v>423</v>
      </c>
      <c r="V226" s="12" t="s">
        <v>64</v>
      </c>
      <c r="W226" s="12" t="s">
        <v>1609</v>
      </c>
      <c r="X226" s="16" t="s">
        <v>1610</v>
      </c>
      <c r="Y226" s="15" t="s">
        <v>192</v>
      </c>
      <c r="Z226" s="14">
        <v>27.74</v>
      </c>
      <c r="AA226" s="14" t="s">
        <v>36</v>
      </c>
      <c r="AB226" s="12" t="s">
        <v>56</v>
      </c>
      <c r="AC226" s="12" t="s">
        <v>1611</v>
      </c>
      <c r="AD226" s="13">
        <v>45572</v>
      </c>
      <c r="AE226" s="12" t="s">
        <v>562</v>
      </c>
      <c r="AF226" s="12" t="s">
        <v>1612</v>
      </c>
      <c r="AG226" s="12" t="s">
        <v>81</v>
      </c>
      <c r="AH226" s="1">
        <f>HYPERLINK("https://my.pitchbook.com?c=273817-99T","View Company Online")</f>
      </c>
    </row>
    <row r="227">
      <c r="A227" s="3" t="s">
        <v>1613</v>
      </c>
      <c r="B227" s="3" t="s">
        <v>1614</v>
      </c>
      <c r="C227" s="5">
        <v>2</v>
      </c>
      <c r="D227" s="5" t="s">
        <v>36</v>
      </c>
      <c r="E227" s="5">
        <v>1</v>
      </c>
      <c r="F227" s="5">
        <v>3</v>
      </c>
      <c r="G227" s="6" t="s">
        <v>36</v>
      </c>
      <c r="H227" s="4" t="s">
        <v>36</v>
      </c>
      <c r="I227" s="7" t="s">
        <v>36</v>
      </c>
      <c r="J227" s="3" t="s">
        <v>36</v>
      </c>
      <c r="K227" s="9" t="s">
        <v>36</v>
      </c>
      <c r="L227" s="6" t="s">
        <v>36</v>
      </c>
      <c r="M227" s="3" t="s">
        <v>36</v>
      </c>
      <c r="N227" s="3" t="s">
        <v>36</v>
      </c>
      <c r="O227" s="8" t="s">
        <v>36</v>
      </c>
      <c r="P227" s="3" t="s">
        <v>36</v>
      </c>
      <c r="Q227" s="3" t="s">
        <v>36</v>
      </c>
      <c r="R227" s="3" t="s">
        <v>36</v>
      </c>
      <c r="S227" s="3" t="s">
        <v>453</v>
      </c>
      <c r="T227" s="3" t="s">
        <v>1615</v>
      </c>
      <c r="U227" s="3" t="s">
        <v>85</v>
      </c>
      <c r="V227" s="3" t="s">
        <v>64</v>
      </c>
      <c r="W227" s="3" t="s">
        <v>1616</v>
      </c>
      <c r="X227" s="10" t="s">
        <v>1617</v>
      </c>
      <c r="Y227" s="6" t="s">
        <v>192</v>
      </c>
      <c r="Z227" s="4">
        <v>49.99</v>
      </c>
      <c r="AA227" s="4" t="s">
        <v>36</v>
      </c>
      <c r="AB227" s="3" t="s">
        <v>56</v>
      </c>
      <c r="AC227" s="3" t="s">
        <v>1618</v>
      </c>
      <c r="AD227" s="9">
        <v>45568</v>
      </c>
      <c r="AE227" s="3" t="s">
        <v>89</v>
      </c>
      <c r="AF227" s="3" t="s">
        <v>1619</v>
      </c>
      <c r="AG227" s="3" t="s">
        <v>1332</v>
      </c>
      <c r="AH227" s="11">
        <f>HYPERLINK("https://my.pitchbook.com?c=273697-75T","View Company Online")</f>
      </c>
    </row>
    <row r="228">
      <c r="A228" s="12" t="s">
        <v>1620</v>
      </c>
      <c r="B228" s="12" t="s">
        <v>1621</v>
      </c>
      <c r="C228" s="19" t="s">
        <v>36</v>
      </c>
      <c r="D228" s="19" t="s">
        <v>36</v>
      </c>
      <c r="E228" s="19" t="s">
        <v>36</v>
      </c>
      <c r="F228" s="19" t="s">
        <v>36</v>
      </c>
      <c r="G228" s="15" t="s">
        <v>36</v>
      </c>
      <c r="H228" s="14" t="s">
        <v>36</v>
      </c>
      <c r="I228" s="18" t="s">
        <v>36</v>
      </c>
      <c r="J228" s="12" t="s">
        <v>36</v>
      </c>
      <c r="K228" s="13" t="s">
        <v>36</v>
      </c>
      <c r="L228" s="15" t="s">
        <v>36</v>
      </c>
      <c r="M228" s="12" t="s">
        <v>36</v>
      </c>
      <c r="N228" s="12" t="s">
        <v>36</v>
      </c>
      <c r="O228" s="17" t="s">
        <v>36</v>
      </c>
      <c r="P228" s="12" t="s">
        <v>36</v>
      </c>
      <c r="Q228" s="12" t="s">
        <v>36</v>
      </c>
      <c r="R228" s="12" t="s">
        <v>36</v>
      </c>
      <c r="S228" s="12" t="s">
        <v>36</v>
      </c>
      <c r="T228" s="12" t="s">
        <v>1622</v>
      </c>
      <c r="U228" s="12" t="s">
        <v>38</v>
      </c>
      <c r="V228" s="12" t="s">
        <v>39</v>
      </c>
      <c r="W228" s="12" t="s">
        <v>1623</v>
      </c>
      <c r="X228" s="16" t="s">
        <v>1624</v>
      </c>
      <c r="Y228" s="15" t="s">
        <v>108</v>
      </c>
      <c r="Z228" s="14">
        <v>4.44</v>
      </c>
      <c r="AA228" s="14" t="s">
        <v>36</v>
      </c>
      <c r="AB228" s="12" t="s">
        <v>43</v>
      </c>
      <c r="AC228" s="12" t="s">
        <v>1625</v>
      </c>
      <c r="AD228" s="13">
        <v>45568</v>
      </c>
      <c r="AE228" s="12" t="s">
        <v>785</v>
      </c>
      <c r="AF228" s="12" t="s">
        <v>1380</v>
      </c>
      <c r="AG228" s="12" t="s">
        <v>1078</v>
      </c>
      <c r="AH228" s="1">
        <f>HYPERLINK("https://my.pitchbook.com?c=273704-14T","View Company Online")</f>
      </c>
    </row>
    <row r="229">
      <c r="A229" s="3" t="s">
        <v>1626</v>
      </c>
      <c r="B229" s="3" t="s">
        <v>1627</v>
      </c>
      <c r="C229" s="5" t="s">
        <v>36</v>
      </c>
      <c r="D229" s="5" t="s">
        <v>36</v>
      </c>
      <c r="E229" s="5" t="s">
        <v>36</v>
      </c>
      <c r="F229" s="5" t="s">
        <v>36</v>
      </c>
      <c r="G229" s="6" t="s">
        <v>36</v>
      </c>
      <c r="H229" s="4">
        <v>145.4</v>
      </c>
      <c r="I229" s="7">
        <v>6.66</v>
      </c>
      <c r="J229" s="3" t="s">
        <v>521</v>
      </c>
      <c r="K229" s="9" t="s">
        <v>36</v>
      </c>
      <c r="L229" s="6" t="s">
        <v>36</v>
      </c>
      <c r="M229" s="3" t="s">
        <v>36</v>
      </c>
      <c r="N229" s="3" t="s">
        <v>36</v>
      </c>
      <c r="O229" s="8" t="s">
        <v>36</v>
      </c>
      <c r="P229" s="3" t="s">
        <v>36</v>
      </c>
      <c r="Q229" s="3" t="s">
        <v>36</v>
      </c>
      <c r="R229" s="3" t="s">
        <v>36</v>
      </c>
      <c r="S229" s="3" t="s">
        <v>36</v>
      </c>
      <c r="T229" s="3" t="s">
        <v>1628</v>
      </c>
      <c r="U229" s="3" t="s">
        <v>96</v>
      </c>
      <c r="V229" s="3" t="s">
        <v>52</v>
      </c>
      <c r="W229" s="3" t="s">
        <v>1629</v>
      </c>
      <c r="X229" s="10" t="s">
        <v>221</v>
      </c>
      <c r="Y229" s="6" t="s">
        <v>42</v>
      </c>
      <c r="Z229" s="4">
        <v>0.11</v>
      </c>
      <c r="AA229" s="4">
        <v>1.67</v>
      </c>
      <c r="AB229" s="3" t="s">
        <v>43</v>
      </c>
      <c r="AC229" s="3" t="s">
        <v>1630</v>
      </c>
      <c r="AD229" s="9">
        <v>45568</v>
      </c>
      <c r="AE229" s="3" t="s">
        <v>755</v>
      </c>
      <c r="AF229" s="3" t="s">
        <v>36</v>
      </c>
      <c r="AG229" s="3" t="s">
        <v>81</v>
      </c>
      <c r="AH229" s="11">
        <f>HYPERLINK("https://my.pitchbook.com?c=273151-09T","View Company Online")</f>
      </c>
    </row>
    <row r="230">
      <c r="A230" s="12" t="s">
        <v>1631</v>
      </c>
      <c r="B230" s="12" t="s">
        <v>1632</v>
      </c>
      <c r="C230" s="19" t="s">
        <v>36</v>
      </c>
      <c r="D230" s="19" t="s">
        <v>36</v>
      </c>
      <c r="E230" s="19" t="s">
        <v>36</v>
      </c>
      <c r="F230" s="19" t="s">
        <v>36</v>
      </c>
      <c r="G230" s="15" t="s">
        <v>36</v>
      </c>
      <c r="H230" s="14" t="s">
        <v>36</v>
      </c>
      <c r="I230" s="18" t="s">
        <v>36</v>
      </c>
      <c r="J230" s="12" t="s">
        <v>36</v>
      </c>
      <c r="K230" s="13" t="s">
        <v>36</v>
      </c>
      <c r="L230" s="15" t="s">
        <v>36</v>
      </c>
      <c r="M230" s="12" t="s">
        <v>36</v>
      </c>
      <c r="N230" s="12" t="s">
        <v>36</v>
      </c>
      <c r="O230" s="17" t="s">
        <v>36</v>
      </c>
      <c r="P230" s="12" t="s">
        <v>36</v>
      </c>
      <c r="Q230" s="12" t="s">
        <v>36</v>
      </c>
      <c r="R230" s="12" t="s">
        <v>36</v>
      </c>
      <c r="S230" s="12" t="s">
        <v>36</v>
      </c>
      <c r="T230" s="12" t="s">
        <v>1125</v>
      </c>
      <c r="U230" s="12" t="s">
        <v>74</v>
      </c>
      <c r="V230" s="12" t="s">
        <v>75</v>
      </c>
      <c r="W230" s="12" t="s">
        <v>1633</v>
      </c>
      <c r="X230" s="16" t="s">
        <v>1634</v>
      </c>
      <c r="Y230" s="15" t="s">
        <v>42</v>
      </c>
      <c r="Z230" s="14">
        <v>1.78</v>
      </c>
      <c r="AA230" s="14" t="s">
        <v>36</v>
      </c>
      <c r="AB230" s="12" t="s">
        <v>56</v>
      </c>
      <c r="AC230" s="12" t="s">
        <v>1635</v>
      </c>
      <c r="AD230" s="13">
        <v>45567</v>
      </c>
      <c r="AE230" s="12" t="s">
        <v>975</v>
      </c>
      <c r="AF230" s="12" t="s">
        <v>1636</v>
      </c>
      <c r="AG230" s="12" t="s">
        <v>1637</v>
      </c>
      <c r="AH230" s="1">
        <f>HYPERLINK("https://my.pitchbook.com?c=273650-05T","View Company Online")</f>
      </c>
    </row>
    <row r="231">
      <c r="A231" s="3" t="s">
        <v>1638</v>
      </c>
      <c r="B231" s="3" t="s">
        <v>1639</v>
      </c>
      <c r="C231" s="5" t="s">
        <v>36</v>
      </c>
      <c r="D231" s="5" t="s">
        <v>36</v>
      </c>
      <c r="E231" s="5" t="s">
        <v>36</v>
      </c>
      <c r="F231" s="5" t="s">
        <v>36</v>
      </c>
      <c r="G231" s="6" t="s">
        <v>36</v>
      </c>
      <c r="H231" s="4" t="s">
        <v>36</v>
      </c>
      <c r="I231" s="7" t="s">
        <v>36</v>
      </c>
      <c r="J231" s="3" t="s">
        <v>36</v>
      </c>
      <c r="K231" s="9" t="s">
        <v>36</v>
      </c>
      <c r="L231" s="6" t="s">
        <v>36</v>
      </c>
      <c r="M231" s="3" t="s">
        <v>36</v>
      </c>
      <c r="N231" s="3" t="s">
        <v>36</v>
      </c>
      <c r="O231" s="8" t="s">
        <v>36</v>
      </c>
      <c r="P231" s="3" t="s">
        <v>36</v>
      </c>
      <c r="Q231" s="3" t="s">
        <v>36</v>
      </c>
      <c r="R231" s="3" t="s">
        <v>36</v>
      </c>
      <c r="S231" s="3" t="s">
        <v>36</v>
      </c>
      <c r="T231" s="3" t="s">
        <v>522</v>
      </c>
      <c r="U231" s="3" t="s">
        <v>38</v>
      </c>
      <c r="V231" s="3" t="s">
        <v>39</v>
      </c>
      <c r="W231" s="3" t="s">
        <v>1640</v>
      </c>
      <c r="X231" s="10" t="s">
        <v>1641</v>
      </c>
      <c r="Y231" s="6" t="s">
        <v>108</v>
      </c>
      <c r="Z231" s="4">
        <v>5.56</v>
      </c>
      <c r="AA231" s="4" t="s">
        <v>36</v>
      </c>
      <c r="AB231" s="3" t="s">
        <v>43</v>
      </c>
      <c r="AC231" s="3" t="s">
        <v>1642</v>
      </c>
      <c r="AD231" s="9">
        <v>45567</v>
      </c>
      <c r="AE231" s="3" t="s">
        <v>110</v>
      </c>
      <c r="AF231" s="3" t="s">
        <v>1401</v>
      </c>
      <c r="AG231" s="3" t="s">
        <v>81</v>
      </c>
      <c r="AH231" s="11">
        <f>HYPERLINK("https://my.pitchbook.com?c=273640-15T","View Company Online")</f>
      </c>
    </row>
    <row r="232">
      <c r="A232" s="12" t="s">
        <v>1643</v>
      </c>
      <c r="B232" s="12" t="s">
        <v>1644</v>
      </c>
      <c r="C232" s="19" t="s">
        <v>36</v>
      </c>
      <c r="D232" s="19" t="s">
        <v>36</v>
      </c>
      <c r="E232" s="19" t="s">
        <v>36</v>
      </c>
      <c r="F232" s="19" t="s">
        <v>36</v>
      </c>
      <c r="G232" s="15" t="s">
        <v>36</v>
      </c>
      <c r="H232" s="14" t="s">
        <v>36</v>
      </c>
      <c r="I232" s="18" t="s">
        <v>36</v>
      </c>
      <c r="J232" s="12" t="s">
        <v>36</v>
      </c>
      <c r="K232" s="13" t="s">
        <v>36</v>
      </c>
      <c r="L232" s="15" t="s">
        <v>36</v>
      </c>
      <c r="M232" s="12" t="s">
        <v>36</v>
      </c>
      <c r="N232" s="12" t="s">
        <v>36</v>
      </c>
      <c r="O232" s="17" t="s">
        <v>36</v>
      </c>
      <c r="P232" s="12" t="s">
        <v>36</v>
      </c>
      <c r="Q232" s="12" t="s">
        <v>36</v>
      </c>
      <c r="R232" s="12" t="s">
        <v>36</v>
      </c>
      <c r="S232" s="12" t="s">
        <v>36</v>
      </c>
      <c r="T232" s="12" t="s">
        <v>1645</v>
      </c>
      <c r="U232" s="12" t="s">
        <v>38</v>
      </c>
      <c r="V232" s="12" t="s">
        <v>39</v>
      </c>
      <c r="W232" s="12" t="s">
        <v>1646</v>
      </c>
      <c r="X232" s="16" t="s">
        <v>1647</v>
      </c>
      <c r="Y232" s="15" t="s">
        <v>192</v>
      </c>
      <c r="Z232" s="14" t="s">
        <v>36</v>
      </c>
      <c r="AA232" s="14" t="s">
        <v>36</v>
      </c>
      <c r="AB232" s="12" t="s">
        <v>56</v>
      </c>
      <c r="AC232" s="12" t="s">
        <v>1648</v>
      </c>
      <c r="AD232" s="13">
        <v>45567</v>
      </c>
      <c r="AE232" s="12" t="s">
        <v>110</v>
      </c>
      <c r="AF232" s="12" t="s">
        <v>275</v>
      </c>
      <c r="AG232" s="12" t="s">
        <v>186</v>
      </c>
      <c r="AH232" s="1">
        <f>HYPERLINK("https://my.pitchbook.com?c=273637-63T","View Company Online")</f>
      </c>
    </row>
    <row r="233">
      <c r="A233" s="3" t="s">
        <v>1649</v>
      </c>
      <c r="B233" s="3" t="s">
        <v>1650</v>
      </c>
      <c r="C233" s="5" t="s">
        <v>36</v>
      </c>
      <c r="D233" s="5" t="s">
        <v>36</v>
      </c>
      <c r="E233" s="5" t="s">
        <v>36</v>
      </c>
      <c r="F233" s="5" t="s">
        <v>36</v>
      </c>
      <c r="G233" s="6" t="s">
        <v>36</v>
      </c>
      <c r="H233" s="4" t="s">
        <v>36</v>
      </c>
      <c r="I233" s="7" t="s">
        <v>36</v>
      </c>
      <c r="J233" s="3" t="s">
        <v>36</v>
      </c>
      <c r="K233" s="9" t="s">
        <v>36</v>
      </c>
      <c r="L233" s="6" t="s">
        <v>36</v>
      </c>
      <c r="M233" s="3" t="s">
        <v>36</v>
      </c>
      <c r="N233" s="3" t="s">
        <v>36</v>
      </c>
      <c r="O233" s="8" t="s">
        <v>36</v>
      </c>
      <c r="P233" s="3" t="s">
        <v>36</v>
      </c>
      <c r="Q233" s="3" t="s">
        <v>36</v>
      </c>
      <c r="R233" s="3" t="s">
        <v>36</v>
      </c>
      <c r="S233" s="3" t="s">
        <v>1651</v>
      </c>
      <c r="T233" s="3" t="s">
        <v>154</v>
      </c>
      <c r="U233" s="3" t="s">
        <v>51</v>
      </c>
      <c r="V233" s="3" t="s">
        <v>52</v>
      </c>
      <c r="W233" s="3" t="s">
        <v>1652</v>
      </c>
      <c r="X233" s="10" t="s">
        <v>267</v>
      </c>
      <c r="Y233" s="6" t="s">
        <v>42</v>
      </c>
      <c r="Z233" s="4">
        <v>1.67</v>
      </c>
      <c r="AA233" s="4" t="s">
        <v>36</v>
      </c>
      <c r="AB233" s="3" t="s">
        <v>43</v>
      </c>
      <c r="AC233" s="3" t="s">
        <v>1653</v>
      </c>
      <c r="AD233" s="9">
        <v>45567</v>
      </c>
      <c r="AE233" s="3" t="s">
        <v>158</v>
      </c>
      <c r="AF233" s="3" t="s">
        <v>1619</v>
      </c>
      <c r="AG233" s="3" t="s">
        <v>1654</v>
      </c>
      <c r="AH233" s="11">
        <f>HYPERLINK("https://my.pitchbook.com?c=273692-08T","View Company Online")</f>
      </c>
    </row>
    <row r="234">
      <c r="A234" s="12" t="s">
        <v>1655</v>
      </c>
      <c r="B234" s="12" t="s">
        <v>1656</v>
      </c>
      <c r="C234" s="19" t="s">
        <v>36</v>
      </c>
      <c r="D234" s="19" t="s">
        <v>36</v>
      </c>
      <c r="E234" s="19" t="s">
        <v>36</v>
      </c>
      <c r="F234" s="19" t="s">
        <v>36</v>
      </c>
      <c r="G234" s="15" t="s">
        <v>36</v>
      </c>
      <c r="H234" s="14" t="s">
        <v>36</v>
      </c>
      <c r="I234" s="18" t="s">
        <v>36</v>
      </c>
      <c r="J234" s="12" t="s">
        <v>36</v>
      </c>
      <c r="K234" s="13" t="s">
        <v>36</v>
      </c>
      <c r="L234" s="15" t="s">
        <v>36</v>
      </c>
      <c r="M234" s="12" t="s">
        <v>36</v>
      </c>
      <c r="N234" s="12" t="s">
        <v>36</v>
      </c>
      <c r="O234" s="17" t="s">
        <v>36</v>
      </c>
      <c r="P234" s="12" t="s">
        <v>36</v>
      </c>
      <c r="Q234" s="12" t="s">
        <v>36</v>
      </c>
      <c r="R234" s="12" t="s">
        <v>36</v>
      </c>
      <c r="S234" s="12" t="s">
        <v>36</v>
      </c>
      <c r="T234" s="12" t="s">
        <v>105</v>
      </c>
      <c r="U234" s="12" t="s">
        <v>38</v>
      </c>
      <c r="V234" s="12" t="s">
        <v>39</v>
      </c>
      <c r="W234" s="12" t="s">
        <v>1657</v>
      </c>
      <c r="X234" s="16" t="s">
        <v>1658</v>
      </c>
      <c r="Y234" s="15" t="s">
        <v>42</v>
      </c>
      <c r="Z234" s="14">
        <v>11.55</v>
      </c>
      <c r="AA234" s="14" t="s">
        <v>36</v>
      </c>
      <c r="AB234" s="12" t="s">
        <v>43</v>
      </c>
      <c r="AC234" s="12" t="s">
        <v>1659</v>
      </c>
      <c r="AD234" s="13">
        <v>45567</v>
      </c>
      <c r="AE234" s="12" t="s">
        <v>110</v>
      </c>
      <c r="AF234" s="12" t="s">
        <v>1660</v>
      </c>
      <c r="AG234" s="12" t="s">
        <v>81</v>
      </c>
      <c r="AH234" s="1">
        <f>HYPERLINK("https://my.pitchbook.com?c=273634-21T","View Company Online")</f>
      </c>
    </row>
    <row r="235">
      <c r="A235" s="3" t="s">
        <v>1661</v>
      </c>
      <c r="B235" s="3" t="s">
        <v>1662</v>
      </c>
      <c r="C235" s="5" t="s">
        <v>36</v>
      </c>
      <c r="D235" s="5" t="s">
        <v>36</v>
      </c>
      <c r="E235" s="5" t="s">
        <v>36</v>
      </c>
      <c r="F235" s="5" t="s">
        <v>36</v>
      </c>
      <c r="G235" s="6" t="s">
        <v>326</v>
      </c>
      <c r="H235" s="4" t="s">
        <v>36</v>
      </c>
      <c r="I235" s="7">
        <v>16.67</v>
      </c>
      <c r="J235" s="3" t="s">
        <v>521</v>
      </c>
      <c r="K235" s="9">
        <v>45463</v>
      </c>
      <c r="L235" s="6" t="s">
        <v>94</v>
      </c>
      <c r="M235" s="3" t="s">
        <v>36</v>
      </c>
      <c r="N235" s="3" t="s">
        <v>94</v>
      </c>
      <c r="O235" s="8" t="s">
        <v>36</v>
      </c>
      <c r="P235" s="3" t="s">
        <v>36</v>
      </c>
      <c r="Q235" s="3" t="s">
        <v>36</v>
      </c>
      <c r="R235" s="3" t="s">
        <v>36</v>
      </c>
      <c r="S235" s="3" t="s">
        <v>196</v>
      </c>
      <c r="T235" s="3" t="s">
        <v>1663</v>
      </c>
      <c r="U235" s="3" t="s">
        <v>38</v>
      </c>
      <c r="V235" s="3" t="s">
        <v>39</v>
      </c>
      <c r="W235" s="3" t="s">
        <v>1664</v>
      </c>
      <c r="X235" s="10" t="s">
        <v>1665</v>
      </c>
      <c r="Y235" s="6" t="s">
        <v>108</v>
      </c>
      <c r="Z235" s="4">
        <v>500</v>
      </c>
      <c r="AA235" s="4">
        <v>3000</v>
      </c>
      <c r="AB235" s="3" t="s">
        <v>43</v>
      </c>
      <c r="AC235" s="3" t="s">
        <v>1666</v>
      </c>
      <c r="AD235" s="9">
        <v>45567</v>
      </c>
      <c r="AE235" s="3" t="s">
        <v>785</v>
      </c>
      <c r="AF235" s="3" t="s">
        <v>275</v>
      </c>
      <c r="AG235" s="3" t="s">
        <v>81</v>
      </c>
      <c r="AH235" s="11">
        <f>HYPERLINK("https://my.pitchbook.com?c=264523-96T","View Company Online")</f>
      </c>
    </row>
    <row r="236">
      <c r="A236" s="12" t="s">
        <v>1667</v>
      </c>
      <c r="B236" s="12" t="s">
        <v>1668</v>
      </c>
      <c r="C236" s="19" t="s">
        <v>36</v>
      </c>
      <c r="D236" s="19" t="s">
        <v>36</v>
      </c>
      <c r="E236" s="19" t="s">
        <v>36</v>
      </c>
      <c r="F236" s="19" t="s">
        <v>36</v>
      </c>
      <c r="G236" s="15" t="s">
        <v>36</v>
      </c>
      <c r="H236" s="14" t="s">
        <v>36</v>
      </c>
      <c r="I236" s="18" t="s">
        <v>36</v>
      </c>
      <c r="J236" s="12" t="s">
        <v>36</v>
      </c>
      <c r="K236" s="13" t="s">
        <v>36</v>
      </c>
      <c r="L236" s="15" t="s">
        <v>36</v>
      </c>
      <c r="M236" s="12" t="s">
        <v>36</v>
      </c>
      <c r="N236" s="12" t="s">
        <v>36</v>
      </c>
      <c r="O236" s="17" t="s">
        <v>36</v>
      </c>
      <c r="P236" s="12" t="s">
        <v>36</v>
      </c>
      <c r="Q236" s="12" t="s">
        <v>36</v>
      </c>
      <c r="R236" s="12" t="s">
        <v>36</v>
      </c>
      <c r="S236" s="12" t="s">
        <v>36</v>
      </c>
      <c r="T236" s="12" t="s">
        <v>1669</v>
      </c>
      <c r="U236" s="12" t="s">
        <v>1336</v>
      </c>
      <c r="V236" s="12" t="s">
        <v>367</v>
      </c>
      <c r="W236" s="12" t="s">
        <v>1670</v>
      </c>
      <c r="X236" s="16" t="s">
        <v>1671</v>
      </c>
      <c r="Y236" s="15" t="s">
        <v>42</v>
      </c>
      <c r="Z236" s="14" t="s">
        <v>36</v>
      </c>
      <c r="AA236" s="14" t="s">
        <v>36</v>
      </c>
      <c r="AB236" s="12" t="s">
        <v>43</v>
      </c>
      <c r="AC236" s="12" t="s">
        <v>1672</v>
      </c>
      <c r="AD236" s="13">
        <v>45567</v>
      </c>
      <c r="AE236" s="12" t="s">
        <v>1339</v>
      </c>
      <c r="AF236" s="12" t="s">
        <v>1673</v>
      </c>
      <c r="AG236" s="12" t="s">
        <v>81</v>
      </c>
      <c r="AH236" s="1">
        <f>HYPERLINK("https://my.pitchbook.com?c=273671-02T","View Company Online")</f>
      </c>
    </row>
    <row r="237">
      <c r="A237" s="3" t="s">
        <v>1674</v>
      </c>
      <c r="B237" s="3" t="s">
        <v>1675</v>
      </c>
      <c r="C237" s="5" t="s">
        <v>36</v>
      </c>
      <c r="D237" s="5" t="s">
        <v>36</v>
      </c>
      <c r="E237" s="5" t="s">
        <v>36</v>
      </c>
      <c r="F237" s="5" t="s">
        <v>36</v>
      </c>
      <c r="G237" s="6" t="s">
        <v>36</v>
      </c>
      <c r="H237" s="4" t="s">
        <v>36</v>
      </c>
      <c r="I237" s="7" t="s">
        <v>36</v>
      </c>
      <c r="J237" s="3" t="s">
        <v>36</v>
      </c>
      <c r="K237" s="9" t="s">
        <v>36</v>
      </c>
      <c r="L237" s="6" t="s">
        <v>36</v>
      </c>
      <c r="M237" s="3" t="s">
        <v>36</v>
      </c>
      <c r="N237" s="3" t="s">
        <v>36</v>
      </c>
      <c r="O237" s="8" t="s">
        <v>36</v>
      </c>
      <c r="P237" s="3" t="s">
        <v>36</v>
      </c>
      <c r="Q237" s="3" t="s">
        <v>36</v>
      </c>
      <c r="R237" s="3" t="s">
        <v>36</v>
      </c>
      <c r="S237" s="3" t="s">
        <v>36</v>
      </c>
      <c r="T237" s="3" t="s">
        <v>1676</v>
      </c>
      <c r="U237" s="3" t="s">
        <v>85</v>
      </c>
      <c r="V237" s="3" t="s">
        <v>64</v>
      </c>
      <c r="W237" s="3" t="s">
        <v>1677</v>
      </c>
      <c r="X237" s="10" t="s">
        <v>577</v>
      </c>
      <c r="Y237" s="6" t="s">
        <v>192</v>
      </c>
      <c r="Z237" s="4" t="s">
        <v>36</v>
      </c>
      <c r="AA237" s="4" t="s">
        <v>36</v>
      </c>
      <c r="AB237" s="3" t="s">
        <v>56</v>
      </c>
      <c r="AC237" s="3" t="s">
        <v>1678</v>
      </c>
      <c r="AD237" s="9">
        <v>45566</v>
      </c>
      <c r="AE237" s="3" t="s">
        <v>89</v>
      </c>
      <c r="AF237" s="3" t="s">
        <v>1507</v>
      </c>
      <c r="AG237" s="3" t="s">
        <v>47</v>
      </c>
      <c r="AH237" s="11">
        <f>HYPERLINK("https://my.pitchbook.com?c=275141-98T","View Company Online")</f>
      </c>
    </row>
    <row r="238">
      <c r="A238" s="12" t="s">
        <v>1679</v>
      </c>
      <c r="B238" s="12" t="s">
        <v>171</v>
      </c>
      <c r="C238" s="19" t="s">
        <v>36</v>
      </c>
      <c r="D238" s="19" t="s">
        <v>36</v>
      </c>
      <c r="E238" s="19" t="s">
        <v>36</v>
      </c>
      <c r="F238" s="19" t="s">
        <v>36</v>
      </c>
      <c r="G238" s="15" t="s">
        <v>36</v>
      </c>
      <c r="H238" s="14" t="s">
        <v>36</v>
      </c>
      <c r="I238" s="18" t="s">
        <v>36</v>
      </c>
      <c r="J238" s="12" t="s">
        <v>36</v>
      </c>
      <c r="K238" s="13" t="s">
        <v>36</v>
      </c>
      <c r="L238" s="15" t="s">
        <v>36</v>
      </c>
      <c r="M238" s="12" t="s">
        <v>36</v>
      </c>
      <c r="N238" s="12" t="s">
        <v>36</v>
      </c>
      <c r="O238" s="17" t="s">
        <v>36</v>
      </c>
      <c r="P238" s="12" t="s">
        <v>36</v>
      </c>
      <c r="Q238" s="12" t="s">
        <v>36</v>
      </c>
      <c r="R238" s="12" t="s">
        <v>36</v>
      </c>
      <c r="S238" s="12" t="s">
        <v>36</v>
      </c>
      <c r="T238" s="12" t="s">
        <v>172</v>
      </c>
      <c r="U238" s="12" t="s">
        <v>38</v>
      </c>
      <c r="V238" s="12" t="s">
        <v>39</v>
      </c>
      <c r="W238" s="12" t="s">
        <v>173</v>
      </c>
      <c r="X238" s="16" t="s">
        <v>1680</v>
      </c>
      <c r="Y238" s="15" t="s">
        <v>42</v>
      </c>
      <c r="Z238" s="14">
        <v>1.5</v>
      </c>
      <c r="AA238" s="14" t="s">
        <v>36</v>
      </c>
      <c r="AB238" s="12" t="s">
        <v>43</v>
      </c>
      <c r="AC238" s="12" t="s">
        <v>175</v>
      </c>
      <c r="AD238" s="13">
        <v>45566</v>
      </c>
      <c r="AE238" s="12" t="s">
        <v>110</v>
      </c>
      <c r="AF238" s="12" t="s">
        <v>176</v>
      </c>
      <c r="AG238" s="12" t="s">
        <v>81</v>
      </c>
      <c r="AH238" s="1">
        <f>HYPERLINK("https://my.pitchbook.com?c=274242-61T","View Company Online")</f>
      </c>
    </row>
    <row r="239">
      <c r="A239" s="3" t="s">
        <v>1681</v>
      </c>
      <c r="B239" s="3" t="s">
        <v>1682</v>
      </c>
      <c r="C239" s="5" t="s">
        <v>36</v>
      </c>
      <c r="D239" s="5" t="s">
        <v>36</v>
      </c>
      <c r="E239" s="5" t="s">
        <v>36</v>
      </c>
      <c r="F239" s="5" t="s">
        <v>36</v>
      </c>
      <c r="G239" s="6" t="s">
        <v>36</v>
      </c>
      <c r="H239" s="4" t="s">
        <v>36</v>
      </c>
      <c r="I239" s="7" t="s">
        <v>36</v>
      </c>
      <c r="J239" s="3" t="s">
        <v>36</v>
      </c>
      <c r="K239" s="9" t="s">
        <v>36</v>
      </c>
      <c r="L239" s="6" t="s">
        <v>36</v>
      </c>
      <c r="M239" s="3" t="s">
        <v>36</v>
      </c>
      <c r="N239" s="3" t="s">
        <v>36</v>
      </c>
      <c r="O239" s="8" t="s">
        <v>36</v>
      </c>
      <c r="P239" s="3" t="s">
        <v>36</v>
      </c>
      <c r="Q239" s="3" t="s">
        <v>36</v>
      </c>
      <c r="R239" s="3" t="s">
        <v>36</v>
      </c>
      <c r="S239" s="3" t="s">
        <v>36</v>
      </c>
      <c r="T239" s="3" t="s">
        <v>1683</v>
      </c>
      <c r="U239" s="3" t="s">
        <v>833</v>
      </c>
      <c r="V239" s="3" t="s">
        <v>64</v>
      </c>
      <c r="W239" s="3" t="s">
        <v>1684</v>
      </c>
      <c r="X239" s="10" t="s">
        <v>1685</v>
      </c>
      <c r="Y239" s="6" t="s">
        <v>42</v>
      </c>
      <c r="Z239" s="4" t="s">
        <v>36</v>
      </c>
      <c r="AA239" s="4" t="s">
        <v>36</v>
      </c>
      <c r="AB239" s="3" t="s">
        <v>56</v>
      </c>
      <c r="AC239" s="3" t="s">
        <v>1686</v>
      </c>
      <c r="AD239" s="9">
        <v>45566</v>
      </c>
      <c r="AE239" s="3" t="s">
        <v>1687</v>
      </c>
      <c r="AF239" s="3" t="s">
        <v>36</v>
      </c>
      <c r="AG239" s="3" t="s">
        <v>1688</v>
      </c>
      <c r="AH239" s="11">
        <f>HYPERLINK("https://my.pitchbook.com?c=275323-69T","View Company Online")</f>
      </c>
    </row>
    <row r="240">
      <c r="A240" s="12" t="s">
        <v>1689</v>
      </c>
      <c r="B240" s="12" t="s">
        <v>1690</v>
      </c>
      <c r="C240" s="19">
        <v>2</v>
      </c>
      <c r="D240" s="19">
        <v>2</v>
      </c>
      <c r="E240" s="19">
        <v>3</v>
      </c>
      <c r="F240" s="19">
        <v>4</v>
      </c>
      <c r="G240" s="15" t="s">
        <v>36</v>
      </c>
      <c r="H240" s="14" t="s">
        <v>36</v>
      </c>
      <c r="I240" s="18" t="s">
        <v>36</v>
      </c>
      <c r="J240" s="12" t="s">
        <v>36</v>
      </c>
      <c r="K240" s="13" t="s">
        <v>36</v>
      </c>
      <c r="L240" s="15" t="s">
        <v>36</v>
      </c>
      <c r="M240" s="12" t="s">
        <v>36</v>
      </c>
      <c r="N240" s="12" t="s">
        <v>36</v>
      </c>
      <c r="O240" s="17" t="s">
        <v>36</v>
      </c>
      <c r="P240" s="12" t="s">
        <v>36</v>
      </c>
      <c r="Q240" s="12" t="s">
        <v>36</v>
      </c>
      <c r="R240" s="12" t="s">
        <v>36</v>
      </c>
      <c r="S240" s="12" t="s">
        <v>36</v>
      </c>
      <c r="T240" s="12" t="s">
        <v>123</v>
      </c>
      <c r="U240" s="12" t="s">
        <v>38</v>
      </c>
      <c r="V240" s="12" t="s">
        <v>39</v>
      </c>
      <c r="W240" s="12" t="s">
        <v>1691</v>
      </c>
      <c r="X240" s="16" t="s">
        <v>1692</v>
      </c>
      <c r="Y240" s="15" t="s">
        <v>108</v>
      </c>
      <c r="Z240" s="14">
        <v>3.33</v>
      </c>
      <c r="AA240" s="14" t="s">
        <v>36</v>
      </c>
      <c r="AB240" s="12" t="s">
        <v>56</v>
      </c>
      <c r="AC240" s="12" t="s">
        <v>1693</v>
      </c>
      <c r="AD240" s="13">
        <v>45566</v>
      </c>
      <c r="AE240" s="12" t="s">
        <v>110</v>
      </c>
      <c r="AF240" s="12" t="s">
        <v>111</v>
      </c>
      <c r="AG240" s="12" t="s">
        <v>81</v>
      </c>
      <c r="AH240" s="1">
        <f>HYPERLINK("https://my.pitchbook.com?c=273541-33T","View Company Online")</f>
      </c>
    </row>
    <row r="241">
      <c r="A241" s="3" t="s">
        <v>1694</v>
      </c>
      <c r="B241" s="3" t="s">
        <v>1695</v>
      </c>
      <c r="C241" s="5" t="s">
        <v>36</v>
      </c>
      <c r="D241" s="5" t="s">
        <v>36</v>
      </c>
      <c r="E241" s="5" t="s">
        <v>36</v>
      </c>
      <c r="F241" s="5" t="s">
        <v>36</v>
      </c>
      <c r="G241" s="6" t="s">
        <v>36</v>
      </c>
      <c r="H241" s="4" t="s">
        <v>36</v>
      </c>
      <c r="I241" s="7">
        <v>30</v>
      </c>
      <c r="J241" s="3" t="s">
        <v>36</v>
      </c>
      <c r="K241" s="9" t="s">
        <v>36</v>
      </c>
      <c r="L241" s="6" t="s">
        <v>36</v>
      </c>
      <c r="M241" s="3" t="s">
        <v>36</v>
      </c>
      <c r="N241" s="3" t="s">
        <v>36</v>
      </c>
      <c r="O241" s="8" t="s">
        <v>36</v>
      </c>
      <c r="P241" s="3" t="s">
        <v>36</v>
      </c>
      <c r="Q241" s="3" t="s">
        <v>36</v>
      </c>
      <c r="R241" s="3" t="s">
        <v>36</v>
      </c>
      <c r="S241" s="3" t="s">
        <v>36</v>
      </c>
      <c r="T241" s="3" t="s">
        <v>422</v>
      </c>
      <c r="U241" s="3" t="s">
        <v>423</v>
      </c>
      <c r="V241" s="3" t="s">
        <v>64</v>
      </c>
      <c r="W241" s="3" t="s">
        <v>1696</v>
      </c>
      <c r="X241" s="10" t="s">
        <v>1697</v>
      </c>
      <c r="Y241" s="6" t="s">
        <v>166</v>
      </c>
      <c r="Z241" s="4" t="s">
        <v>36</v>
      </c>
      <c r="AA241" s="4" t="s">
        <v>36</v>
      </c>
      <c r="AB241" s="3" t="s">
        <v>43</v>
      </c>
      <c r="AC241" s="3" t="s">
        <v>1698</v>
      </c>
      <c r="AD241" s="9">
        <v>45566</v>
      </c>
      <c r="AE241" s="3" t="s">
        <v>427</v>
      </c>
      <c r="AF241" s="3" t="s">
        <v>90</v>
      </c>
      <c r="AG241" s="3" t="s">
        <v>81</v>
      </c>
      <c r="AH241" s="11">
        <f>HYPERLINK("https://my.pitchbook.com?c=273628-54T","View Company Online")</f>
      </c>
    </row>
    <row r="242">
      <c r="A242" s="12" t="s">
        <v>1699</v>
      </c>
      <c r="B242" s="12" t="s">
        <v>1700</v>
      </c>
      <c r="C242" s="19" t="s">
        <v>36</v>
      </c>
      <c r="D242" s="19" t="s">
        <v>36</v>
      </c>
      <c r="E242" s="19" t="s">
        <v>36</v>
      </c>
      <c r="F242" s="19" t="s">
        <v>36</v>
      </c>
      <c r="G242" s="15" t="s">
        <v>36</v>
      </c>
      <c r="H242" s="14" t="s">
        <v>36</v>
      </c>
      <c r="I242" s="18" t="s">
        <v>36</v>
      </c>
      <c r="J242" s="12" t="s">
        <v>36</v>
      </c>
      <c r="K242" s="13">
        <v>45566</v>
      </c>
      <c r="L242" s="15" t="s">
        <v>36</v>
      </c>
      <c r="M242" s="12" t="s">
        <v>36</v>
      </c>
      <c r="N242" s="12" t="s">
        <v>36</v>
      </c>
      <c r="O242" s="17" t="s">
        <v>36</v>
      </c>
      <c r="P242" s="12" t="s">
        <v>36</v>
      </c>
      <c r="Q242" s="12" t="s">
        <v>36</v>
      </c>
      <c r="R242" s="12" t="s">
        <v>36</v>
      </c>
      <c r="S242" s="12" t="s">
        <v>36</v>
      </c>
      <c r="T242" s="12" t="s">
        <v>1701</v>
      </c>
      <c r="U242" s="12" t="s">
        <v>74</v>
      </c>
      <c r="V242" s="12" t="s">
        <v>75</v>
      </c>
      <c r="W242" s="12" t="s">
        <v>1702</v>
      </c>
      <c r="X242" s="16" t="s">
        <v>1703</v>
      </c>
      <c r="Y242" s="15" t="s">
        <v>42</v>
      </c>
      <c r="Z242" s="14" t="s">
        <v>36</v>
      </c>
      <c r="AA242" s="14" t="s">
        <v>36</v>
      </c>
      <c r="AB242" s="12" t="s">
        <v>56</v>
      </c>
      <c r="AC242" s="12" t="s">
        <v>1704</v>
      </c>
      <c r="AD242" s="13">
        <v>45566</v>
      </c>
      <c r="AE242" s="12" t="s">
        <v>79</v>
      </c>
      <c r="AF242" s="12" t="s">
        <v>36</v>
      </c>
      <c r="AG242" s="12" t="s">
        <v>1705</v>
      </c>
      <c r="AH242" s="1">
        <f>HYPERLINK("https://my.pitchbook.com?c=273592-72T","View Company Online")</f>
      </c>
    </row>
    <row r="243">
      <c r="A243" s="3" t="s">
        <v>1706</v>
      </c>
      <c r="B243" s="3" t="s">
        <v>1707</v>
      </c>
      <c r="C243" s="5" t="s">
        <v>36</v>
      </c>
      <c r="D243" s="5" t="s">
        <v>36</v>
      </c>
      <c r="E243" s="5" t="s">
        <v>36</v>
      </c>
      <c r="F243" s="5" t="s">
        <v>36</v>
      </c>
      <c r="G243" s="6" t="s">
        <v>36</v>
      </c>
      <c r="H243" s="4" t="s">
        <v>36</v>
      </c>
      <c r="I243" s="7" t="s">
        <v>36</v>
      </c>
      <c r="J243" s="3" t="s">
        <v>36</v>
      </c>
      <c r="K243" s="9" t="s">
        <v>36</v>
      </c>
      <c r="L243" s="6" t="s">
        <v>36</v>
      </c>
      <c r="M243" s="3" t="s">
        <v>36</v>
      </c>
      <c r="N243" s="3" t="s">
        <v>36</v>
      </c>
      <c r="O243" s="8" t="s">
        <v>36</v>
      </c>
      <c r="P243" s="3" t="s">
        <v>36</v>
      </c>
      <c r="Q243" s="3" t="s">
        <v>36</v>
      </c>
      <c r="R243" s="3" t="s">
        <v>36</v>
      </c>
      <c r="S243" s="3" t="s">
        <v>36</v>
      </c>
      <c r="T243" s="3" t="s">
        <v>1708</v>
      </c>
      <c r="U243" s="3" t="s">
        <v>74</v>
      </c>
      <c r="V243" s="3" t="s">
        <v>75</v>
      </c>
      <c r="W243" s="3" t="s">
        <v>1709</v>
      </c>
      <c r="X243" s="10" t="s">
        <v>1710</v>
      </c>
      <c r="Y243" s="6" t="s">
        <v>42</v>
      </c>
      <c r="Z243" s="4" t="s">
        <v>36</v>
      </c>
      <c r="AA243" s="4" t="s">
        <v>36</v>
      </c>
      <c r="AB243" s="3" t="s">
        <v>56</v>
      </c>
      <c r="AC243" s="3" t="s">
        <v>1711</v>
      </c>
      <c r="AD243" s="9">
        <v>45566</v>
      </c>
      <c r="AE243" s="3" t="s">
        <v>975</v>
      </c>
      <c r="AF243" s="3" t="s">
        <v>36</v>
      </c>
      <c r="AG243" s="3" t="s">
        <v>1479</v>
      </c>
      <c r="AH243" s="11">
        <f>HYPERLINK("https://my.pitchbook.com?c=275136-40T","View Company Online")</f>
      </c>
    </row>
    <row r="244">
      <c r="A244" s="12" t="s">
        <v>1712</v>
      </c>
      <c r="B244" s="12" t="s">
        <v>1713</v>
      </c>
      <c r="C244" s="19" t="s">
        <v>36</v>
      </c>
      <c r="D244" s="19" t="s">
        <v>36</v>
      </c>
      <c r="E244" s="19" t="s">
        <v>36</v>
      </c>
      <c r="F244" s="19" t="s">
        <v>36</v>
      </c>
      <c r="G244" s="15" t="s">
        <v>326</v>
      </c>
      <c r="H244" s="14">
        <v>38.65</v>
      </c>
      <c r="I244" s="18">
        <v>34.17</v>
      </c>
      <c r="J244" s="12" t="s">
        <v>521</v>
      </c>
      <c r="K244" s="13" t="s">
        <v>36</v>
      </c>
      <c r="L244" s="15" t="s">
        <v>36</v>
      </c>
      <c r="M244" s="12" t="s">
        <v>36</v>
      </c>
      <c r="N244" s="12" t="s">
        <v>36</v>
      </c>
      <c r="O244" s="17" t="s">
        <v>36</v>
      </c>
      <c r="P244" s="12" t="s">
        <v>36</v>
      </c>
      <c r="Q244" s="12" t="s">
        <v>36</v>
      </c>
      <c r="R244" s="12" t="s">
        <v>36</v>
      </c>
      <c r="S244" s="12" t="s">
        <v>36</v>
      </c>
      <c r="T244" s="12" t="s">
        <v>422</v>
      </c>
      <c r="U244" s="12" t="s">
        <v>423</v>
      </c>
      <c r="V244" s="12" t="s">
        <v>64</v>
      </c>
      <c r="W244" s="12" t="s">
        <v>1714</v>
      </c>
      <c r="X244" s="16" t="s">
        <v>1715</v>
      </c>
      <c r="Y244" s="15" t="s">
        <v>55</v>
      </c>
      <c r="Z244" s="14">
        <v>3.53</v>
      </c>
      <c r="AA244" s="14">
        <v>10.32</v>
      </c>
      <c r="AB244" s="12" t="s">
        <v>43</v>
      </c>
      <c r="AC244" s="12" t="s">
        <v>1716</v>
      </c>
      <c r="AD244" s="13">
        <v>45566</v>
      </c>
      <c r="AE244" s="12" t="s">
        <v>427</v>
      </c>
      <c r="AF244" s="12" t="s">
        <v>90</v>
      </c>
      <c r="AG244" s="12" t="s">
        <v>1717</v>
      </c>
      <c r="AH244" s="1">
        <f>HYPERLINK("https://my.pitchbook.com?c=274527-91T","View Company Online")</f>
      </c>
    </row>
    <row r="245">
      <c r="A245" s="3" t="s">
        <v>1718</v>
      </c>
      <c r="B245" s="3" t="s">
        <v>1719</v>
      </c>
      <c r="C245" s="5" t="s">
        <v>36</v>
      </c>
      <c r="D245" s="5" t="s">
        <v>36</v>
      </c>
      <c r="E245" s="5" t="s">
        <v>36</v>
      </c>
      <c r="F245" s="5" t="s">
        <v>36</v>
      </c>
      <c r="G245" s="6" t="s">
        <v>36</v>
      </c>
      <c r="H245" s="4" t="s">
        <v>36</v>
      </c>
      <c r="I245" s="7" t="s">
        <v>36</v>
      </c>
      <c r="J245" s="3" t="s">
        <v>36</v>
      </c>
      <c r="K245" s="9" t="s">
        <v>36</v>
      </c>
      <c r="L245" s="6" t="s">
        <v>36</v>
      </c>
      <c r="M245" s="3" t="s">
        <v>36</v>
      </c>
      <c r="N245" s="3" t="s">
        <v>36</v>
      </c>
      <c r="O245" s="8" t="s">
        <v>36</v>
      </c>
      <c r="P245" s="3" t="s">
        <v>36</v>
      </c>
      <c r="Q245" s="3" t="s">
        <v>36</v>
      </c>
      <c r="R245" s="3" t="s">
        <v>36</v>
      </c>
      <c r="S245" s="3" t="s">
        <v>36</v>
      </c>
      <c r="T245" s="3" t="s">
        <v>522</v>
      </c>
      <c r="U245" s="3" t="s">
        <v>38</v>
      </c>
      <c r="V245" s="3" t="s">
        <v>39</v>
      </c>
      <c r="W245" s="3" t="s">
        <v>1720</v>
      </c>
      <c r="X245" s="10" t="s">
        <v>1721</v>
      </c>
      <c r="Y245" s="6" t="s">
        <v>108</v>
      </c>
      <c r="Z245" s="4" t="s">
        <v>36</v>
      </c>
      <c r="AA245" s="4" t="s">
        <v>36</v>
      </c>
      <c r="AB245" s="3" t="s">
        <v>56</v>
      </c>
      <c r="AC245" s="3" t="s">
        <v>1722</v>
      </c>
      <c r="AD245" s="9">
        <v>45566</v>
      </c>
      <c r="AE245" s="3" t="s">
        <v>110</v>
      </c>
      <c r="AF245" s="3" t="s">
        <v>526</v>
      </c>
      <c r="AG245" s="3" t="s">
        <v>81</v>
      </c>
      <c r="AH245" s="11">
        <f>HYPERLINK("https://my.pitchbook.com?c=274714-75T","View Company Online")</f>
      </c>
    </row>
    <row r="246">
      <c r="A246" s="12" t="s">
        <v>1723</v>
      </c>
      <c r="B246" s="12" t="s">
        <v>1724</v>
      </c>
      <c r="C246" s="19" t="s">
        <v>36</v>
      </c>
      <c r="D246" s="19" t="s">
        <v>36</v>
      </c>
      <c r="E246" s="19">
        <v>1</v>
      </c>
      <c r="F246" s="19">
        <v>1</v>
      </c>
      <c r="G246" s="15" t="s">
        <v>36</v>
      </c>
      <c r="H246" s="14" t="s">
        <v>36</v>
      </c>
      <c r="I246" s="18" t="s">
        <v>36</v>
      </c>
      <c r="J246" s="12" t="s">
        <v>36</v>
      </c>
      <c r="K246" s="13" t="s">
        <v>36</v>
      </c>
      <c r="L246" s="15" t="s">
        <v>122</v>
      </c>
      <c r="M246" s="12" t="s">
        <v>36</v>
      </c>
      <c r="N246" s="12" t="s">
        <v>122</v>
      </c>
      <c r="O246" s="17" t="s">
        <v>36</v>
      </c>
      <c r="P246" s="12" t="s">
        <v>36</v>
      </c>
      <c r="Q246" s="12" t="s">
        <v>36</v>
      </c>
      <c r="R246" s="12" t="s">
        <v>36</v>
      </c>
      <c r="S246" s="12" t="s">
        <v>36</v>
      </c>
      <c r="T246" s="12" t="s">
        <v>1725</v>
      </c>
      <c r="U246" s="12" t="s">
        <v>318</v>
      </c>
      <c r="V246" s="12" t="s">
        <v>39</v>
      </c>
      <c r="W246" s="12" t="s">
        <v>1726</v>
      </c>
      <c r="X246" s="16" t="s">
        <v>1727</v>
      </c>
      <c r="Y246" s="15" t="s">
        <v>192</v>
      </c>
      <c r="Z246" s="14">
        <v>5.55</v>
      </c>
      <c r="AA246" s="14" t="s">
        <v>36</v>
      </c>
      <c r="AB246" s="12" t="s">
        <v>56</v>
      </c>
      <c r="AC246" s="12" t="s">
        <v>1728</v>
      </c>
      <c r="AD246" s="13">
        <v>45566</v>
      </c>
      <c r="AE246" s="12" t="s">
        <v>763</v>
      </c>
      <c r="AF246" s="12" t="s">
        <v>1729</v>
      </c>
      <c r="AG246" s="12" t="s">
        <v>81</v>
      </c>
      <c r="AH246" s="1">
        <f>HYPERLINK("https://my.pitchbook.com?c=277868-35T","View Company Online")</f>
      </c>
    </row>
    <row r="247">
      <c r="A247" s="3" t="s">
        <v>1730</v>
      </c>
      <c r="B247" s="3" t="s">
        <v>1731</v>
      </c>
      <c r="C247" s="5" t="s">
        <v>36</v>
      </c>
      <c r="D247" s="5" t="s">
        <v>36</v>
      </c>
      <c r="E247" s="5" t="s">
        <v>36</v>
      </c>
      <c r="F247" s="5" t="s">
        <v>36</v>
      </c>
      <c r="G247" s="6" t="s">
        <v>326</v>
      </c>
      <c r="H247" s="4">
        <v>101.84</v>
      </c>
      <c r="I247" s="7">
        <v>42.28</v>
      </c>
      <c r="J247" s="3" t="s">
        <v>521</v>
      </c>
      <c r="K247" s="9" t="s">
        <v>36</v>
      </c>
      <c r="L247" s="6" t="s">
        <v>122</v>
      </c>
      <c r="M247" s="3" t="s">
        <v>36</v>
      </c>
      <c r="N247" s="3" t="s">
        <v>122</v>
      </c>
      <c r="O247" s="8" t="s">
        <v>36</v>
      </c>
      <c r="P247" s="3" t="s">
        <v>36</v>
      </c>
      <c r="Q247" s="3" t="s">
        <v>36</v>
      </c>
      <c r="R247" s="3" t="s">
        <v>36</v>
      </c>
      <c r="S247" s="3" t="s">
        <v>36</v>
      </c>
      <c r="T247" s="3" t="s">
        <v>1701</v>
      </c>
      <c r="U247" s="3" t="s">
        <v>74</v>
      </c>
      <c r="V247" s="3" t="s">
        <v>75</v>
      </c>
      <c r="W247" s="3" t="s">
        <v>1732</v>
      </c>
      <c r="X247" s="10" t="s">
        <v>1733</v>
      </c>
      <c r="Y247" s="6" t="s">
        <v>108</v>
      </c>
      <c r="Z247" s="4">
        <v>8</v>
      </c>
      <c r="AA247" s="4">
        <v>18.92</v>
      </c>
      <c r="AB247" s="3" t="s">
        <v>43</v>
      </c>
      <c r="AC247" s="3" t="s">
        <v>1734</v>
      </c>
      <c r="AD247" s="9">
        <v>45566</v>
      </c>
      <c r="AE247" s="3" t="s">
        <v>79</v>
      </c>
      <c r="AF247" s="3" t="s">
        <v>1735</v>
      </c>
      <c r="AG247" s="3" t="s">
        <v>81</v>
      </c>
      <c r="AH247" s="11">
        <f>HYPERLINK("https://my.pitchbook.com?c=271563-85T","View Company Online")</f>
      </c>
    </row>
    <row r="248">
      <c r="A248" s="12" t="s">
        <v>1736</v>
      </c>
      <c r="B248" s="12" t="s">
        <v>1737</v>
      </c>
      <c r="C248" s="19" t="s">
        <v>36</v>
      </c>
      <c r="D248" s="19" t="s">
        <v>36</v>
      </c>
      <c r="E248" s="19" t="s">
        <v>36</v>
      </c>
      <c r="F248" s="19" t="s">
        <v>36</v>
      </c>
      <c r="G248" s="15" t="s">
        <v>36</v>
      </c>
      <c r="H248" s="14" t="s">
        <v>36</v>
      </c>
      <c r="I248" s="18" t="s">
        <v>36</v>
      </c>
      <c r="J248" s="12" t="s">
        <v>36</v>
      </c>
      <c r="K248" s="13" t="s">
        <v>36</v>
      </c>
      <c r="L248" s="15" t="s">
        <v>36</v>
      </c>
      <c r="M248" s="12" t="s">
        <v>36</v>
      </c>
      <c r="N248" s="12" t="s">
        <v>36</v>
      </c>
      <c r="O248" s="17" t="s">
        <v>36</v>
      </c>
      <c r="P248" s="12" t="s">
        <v>36</v>
      </c>
      <c r="Q248" s="12" t="s">
        <v>36</v>
      </c>
      <c r="R248" s="12" t="s">
        <v>36</v>
      </c>
      <c r="S248" s="12" t="s">
        <v>36</v>
      </c>
      <c r="T248" s="12" t="s">
        <v>1738</v>
      </c>
      <c r="U248" s="12" t="s">
        <v>74</v>
      </c>
      <c r="V248" s="12" t="s">
        <v>75</v>
      </c>
      <c r="W248" s="12" t="s">
        <v>1739</v>
      </c>
      <c r="X248" s="16" t="s">
        <v>1740</v>
      </c>
      <c r="Y248" s="15" t="s">
        <v>42</v>
      </c>
      <c r="Z248" s="14">
        <v>2.33</v>
      </c>
      <c r="AA248" s="14" t="s">
        <v>36</v>
      </c>
      <c r="AB248" s="12" t="s">
        <v>56</v>
      </c>
      <c r="AC248" s="12" t="s">
        <v>1741</v>
      </c>
      <c r="AD248" s="13">
        <v>45565</v>
      </c>
      <c r="AE248" s="12" t="s">
        <v>975</v>
      </c>
      <c r="AF248" s="12" t="s">
        <v>1742</v>
      </c>
      <c r="AG248" s="12" t="s">
        <v>1743</v>
      </c>
      <c r="AH248" s="1">
        <f>HYPERLINK("https://my.pitchbook.com?c=275295-25T","View Company Online")</f>
      </c>
    </row>
    <row r="249">
      <c r="A249" s="3" t="s">
        <v>1744</v>
      </c>
      <c r="B249" s="3" t="s">
        <v>1745</v>
      </c>
      <c r="C249" s="5" t="s">
        <v>36</v>
      </c>
      <c r="D249" s="5" t="s">
        <v>36</v>
      </c>
      <c r="E249" s="5" t="s">
        <v>36</v>
      </c>
      <c r="F249" s="5" t="s">
        <v>36</v>
      </c>
      <c r="G249" s="6" t="s">
        <v>36</v>
      </c>
      <c r="H249" s="4" t="s">
        <v>36</v>
      </c>
      <c r="I249" s="7" t="s">
        <v>36</v>
      </c>
      <c r="J249" s="3" t="s">
        <v>36</v>
      </c>
      <c r="K249" s="9" t="s">
        <v>36</v>
      </c>
      <c r="L249" s="6" t="s">
        <v>36</v>
      </c>
      <c r="M249" s="3" t="s">
        <v>36</v>
      </c>
      <c r="N249" s="3" t="s">
        <v>36</v>
      </c>
      <c r="O249" s="8" t="s">
        <v>36</v>
      </c>
      <c r="P249" s="3" t="s">
        <v>36</v>
      </c>
      <c r="Q249" s="3" t="s">
        <v>36</v>
      </c>
      <c r="R249" s="3" t="s">
        <v>36</v>
      </c>
      <c r="S249" s="3" t="s">
        <v>36</v>
      </c>
      <c r="T249" s="3" t="s">
        <v>1746</v>
      </c>
      <c r="U249" s="3" t="s">
        <v>74</v>
      </c>
      <c r="V249" s="3" t="s">
        <v>75</v>
      </c>
      <c r="W249" s="3" t="s">
        <v>1747</v>
      </c>
      <c r="X249" s="10" t="s">
        <v>1748</v>
      </c>
      <c r="Y249" s="6" t="s">
        <v>108</v>
      </c>
      <c r="Z249" s="4">
        <v>4.44</v>
      </c>
      <c r="AA249" s="4" t="s">
        <v>36</v>
      </c>
      <c r="AB249" s="3" t="s">
        <v>43</v>
      </c>
      <c r="AC249" s="3" t="s">
        <v>1749</v>
      </c>
      <c r="AD249" s="9">
        <v>45565</v>
      </c>
      <c r="AE249" s="3" t="s">
        <v>570</v>
      </c>
      <c r="AF249" s="3" t="s">
        <v>372</v>
      </c>
      <c r="AG249" s="3" t="s">
        <v>1750</v>
      </c>
      <c r="AH249" s="11">
        <f>HYPERLINK("https://my.pitchbook.com?c=273417-22T","View Company Online")</f>
      </c>
    </row>
    <row r="250">
      <c r="A250" s="12" t="s">
        <v>1751</v>
      </c>
      <c r="B250" s="12" t="s">
        <v>1752</v>
      </c>
      <c r="C250" s="19">
        <v>2</v>
      </c>
      <c r="D250" s="19">
        <v>31</v>
      </c>
      <c r="E250" s="19">
        <v>11</v>
      </c>
      <c r="F250" s="19">
        <v>36</v>
      </c>
      <c r="G250" s="15" t="s">
        <v>36</v>
      </c>
      <c r="H250" s="14" t="s">
        <v>36</v>
      </c>
      <c r="I250" s="18" t="s">
        <v>36</v>
      </c>
      <c r="J250" s="12" t="s">
        <v>36</v>
      </c>
      <c r="K250" s="13" t="s">
        <v>36</v>
      </c>
      <c r="L250" s="15" t="s">
        <v>36</v>
      </c>
      <c r="M250" s="12" t="s">
        <v>36</v>
      </c>
      <c r="N250" s="12" t="s">
        <v>36</v>
      </c>
      <c r="O250" s="17" t="s">
        <v>36</v>
      </c>
      <c r="P250" s="12" t="s">
        <v>36</v>
      </c>
      <c r="Q250" s="12" t="s">
        <v>36</v>
      </c>
      <c r="R250" s="12" t="s">
        <v>36</v>
      </c>
      <c r="S250" s="12" t="s">
        <v>36</v>
      </c>
      <c r="T250" s="12" t="s">
        <v>596</v>
      </c>
      <c r="U250" s="12" t="s">
        <v>366</v>
      </c>
      <c r="V250" s="12" t="s">
        <v>367</v>
      </c>
      <c r="W250" s="12" t="s">
        <v>1753</v>
      </c>
      <c r="X250" s="16" t="s">
        <v>1754</v>
      </c>
      <c r="Y250" s="15" t="s">
        <v>108</v>
      </c>
      <c r="Z250" s="14">
        <v>11.11</v>
      </c>
      <c r="AA250" s="14" t="s">
        <v>36</v>
      </c>
      <c r="AB250" s="12" t="s">
        <v>56</v>
      </c>
      <c r="AC250" s="12" t="s">
        <v>1755</v>
      </c>
      <c r="AD250" s="13">
        <v>45565</v>
      </c>
      <c r="AE250" s="12" t="s">
        <v>600</v>
      </c>
      <c r="AF250" s="12" t="s">
        <v>1756</v>
      </c>
      <c r="AG250" s="12" t="s">
        <v>800</v>
      </c>
      <c r="AH250" s="1">
        <f>HYPERLINK("https://my.pitchbook.com?c=274000-51T","View Company Online")</f>
      </c>
    </row>
    <row r="251">
      <c r="A251" s="3" t="s">
        <v>1757</v>
      </c>
      <c r="B251" s="3" t="s">
        <v>1758</v>
      </c>
      <c r="C251" s="5" t="s">
        <v>36</v>
      </c>
      <c r="D251" s="5" t="s">
        <v>36</v>
      </c>
      <c r="E251" s="5" t="s">
        <v>36</v>
      </c>
      <c r="F251" s="5" t="s">
        <v>36</v>
      </c>
      <c r="G251" s="6" t="s">
        <v>36</v>
      </c>
      <c r="H251" s="4" t="s">
        <v>36</v>
      </c>
      <c r="I251" s="7" t="s">
        <v>36</v>
      </c>
      <c r="J251" s="3" t="s">
        <v>36</v>
      </c>
      <c r="K251" s="9">
        <v>45407</v>
      </c>
      <c r="L251" s="6" t="s">
        <v>122</v>
      </c>
      <c r="M251" s="3" t="s">
        <v>36</v>
      </c>
      <c r="N251" s="3" t="s">
        <v>122</v>
      </c>
      <c r="O251" s="8" t="s">
        <v>36</v>
      </c>
      <c r="P251" s="3" t="s">
        <v>36</v>
      </c>
      <c r="Q251" s="3" t="s">
        <v>36</v>
      </c>
      <c r="R251" s="3" t="s">
        <v>36</v>
      </c>
      <c r="S251" s="3" t="s">
        <v>36</v>
      </c>
      <c r="T251" s="3" t="s">
        <v>1759</v>
      </c>
      <c r="U251" s="3" t="s">
        <v>219</v>
      </c>
      <c r="V251" s="3" t="s">
        <v>75</v>
      </c>
      <c r="W251" s="3" t="s">
        <v>1760</v>
      </c>
      <c r="X251" s="10" t="s">
        <v>1761</v>
      </c>
      <c r="Y251" s="6" t="s">
        <v>192</v>
      </c>
      <c r="Z251" s="4">
        <v>6.78</v>
      </c>
      <c r="AA251" s="4" t="s">
        <v>36</v>
      </c>
      <c r="AB251" s="3" t="s">
        <v>56</v>
      </c>
      <c r="AC251" s="3" t="s">
        <v>1762</v>
      </c>
      <c r="AD251" s="9">
        <v>45565</v>
      </c>
      <c r="AE251" s="3" t="s">
        <v>223</v>
      </c>
      <c r="AF251" s="3" t="s">
        <v>372</v>
      </c>
      <c r="AG251" s="3" t="s">
        <v>1332</v>
      </c>
      <c r="AH251" s="11">
        <f>HYPERLINK("https://my.pitchbook.com?c=258038-29T","View Company Online")</f>
      </c>
    </row>
    <row r="252">
      <c r="A252" s="12" t="s">
        <v>1763</v>
      </c>
      <c r="B252" s="12" t="s">
        <v>1764</v>
      </c>
      <c r="C252" s="19" t="s">
        <v>36</v>
      </c>
      <c r="D252" s="19">
        <v>2</v>
      </c>
      <c r="E252" s="19">
        <v>1</v>
      </c>
      <c r="F252" s="19">
        <v>2</v>
      </c>
      <c r="G252" s="15" t="s">
        <v>36</v>
      </c>
      <c r="H252" s="14">
        <v>3.51</v>
      </c>
      <c r="I252" s="18" t="s">
        <v>36</v>
      </c>
      <c r="J252" s="12" t="s">
        <v>36</v>
      </c>
      <c r="K252" s="13">
        <v>45461</v>
      </c>
      <c r="L252" s="15" t="s">
        <v>36</v>
      </c>
      <c r="M252" s="12" t="s">
        <v>36</v>
      </c>
      <c r="N252" s="12" t="s">
        <v>36</v>
      </c>
      <c r="O252" s="17" t="s">
        <v>36</v>
      </c>
      <c r="P252" s="12" t="s">
        <v>36</v>
      </c>
      <c r="Q252" s="12" t="s">
        <v>36</v>
      </c>
      <c r="R252" s="12" t="s">
        <v>36</v>
      </c>
      <c r="S252" s="12" t="s">
        <v>36</v>
      </c>
      <c r="T252" s="12" t="s">
        <v>1765</v>
      </c>
      <c r="U252" s="12" t="s">
        <v>833</v>
      </c>
      <c r="V252" s="12" t="s">
        <v>64</v>
      </c>
      <c r="W252" s="12" t="s">
        <v>1766</v>
      </c>
      <c r="X252" s="16" t="s">
        <v>1767</v>
      </c>
      <c r="Y252" s="15" t="s">
        <v>42</v>
      </c>
      <c r="Z252" s="14">
        <v>1.55</v>
      </c>
      <c r="AA252" s="14" t="s">
        <v>36</v>
      </c>
      <c r="AB252" s="12" t="s">
        <v>43</v>
      </c>
      <c r="AC252" s="12" t="s">
        <v>1768</v>
      </c>
      <c r="AD252" s="13">
        <v>45562</v>
      </c>
      <c r="AE252" s="12" t="s">
        <v>1769</v>
      </c>
      <c r="AF252" s="12" t="s">
        <v>1216</v>
      </c>
      <c r="AG252" s="12" t="s">
        <v>186</v>
      </c>
      <c r="AH252" s="1">
        <f>HYPERLINK("https://my.pitchbook.com?c=268877-17T","View Company Online")</f>
      </c>
    </row>
    <row r="253">
      <c r="A253" s="3" t="s">
        <v>1770</v>
      </c>
      <c r="B253" s="3" t="s">
        <v>1771</v>
      </c>
      <c r="C253" s="5" t="s">
        <v>36</v>
      </c>
      <c r="D253" s="5" t="s">
        <v>36</v>
      </c>
      <c r="E253" s="5" t="s">
        <v>36</v>
      </c>
      <c r="F253" s="5" t="s">
        <v>36</v>
      </c>
      <c r="G253" s="6" t="s">
        <v>36</v>
      </c>
      <c r="H253" s="4" t="s">
        <v>36</v>
      </c>
      <c r="I253" s="7" t="s">
        <v>36</v>
      </c>
      <c r="J253" s="3" t="s">
        <v>36</v>
      </c>
      <c r="K253" s="9" t="s">
        <v>36</v>
      </c>
      <c r="L253" s="6" t="s">
        <v>94</v>
      </c>
      <c r="M253" s="3" t="s">
        <v>36</v>
      </c>
      <c r="N253" s="3" t="s">
        <v>94</v>
      </c>
      <c r="O253" s="8" t="s">
        <v>36</v>
      </c>
      <c r="P253" s="3" t="s">
        <v>36</v>
      </c>
      <c r="Q253" s="3" t="s">
        <v>36</v>
      </c>
      <c r="R253" s="3" t="s">
        <v>36</v>
      </c>
      <c r="S253" s="3" t="s">
        <v>36</v>
      </c>
      <c r="T253" s="3" t="s">
        <v>1772</v>
      </c>
      <c r="U253" s="3" t="s">
        <v>38</v>
      </c>
      <c r="V253" s="3" t="s">
        <v>39</v>
      </c>
      <c r="W253" s="3" t="s">
        <v>1773</v>
      </c>
      <c r="X253" s="10" t="s">
        <v>1774</v>
      </c>
      <c r="Y253" s="6" t="s">
        <v>55</v>
      </c>
      <c r="Z253" s="4">
        <v>33.3</v>
      </c>
      <c r="AA253" s="4" t="s">
        <v>36</v>
      </c>
      <c r="AB253" s="3" t="s">
        <v>56</v>
      </c>
      <c r="AC253" s="3" t="s">
        <v>1775</v>
      </c>
      <c r="AD253" s="9">
        <v>45562</v>
      </c>
      <c r="AE253" s="3" t="s">
        <v>110</v>
      </c>
      <c r="AF253" s="3" t="s">
        <v>261</v>
      </c>
      <c r="AG253" s="3" t="s">
        <v>81</v>
      </c>
      <c r="AH253" s="11">
        <f>HYPERLINK("https://my.pitchbook.com?c=273336-85T","View Company Online")</f>
      </c>
    </row>
    <row r="254">
      <c r="A254" s="12" t="s">
        <v>1776</v>
      </c>
      <c r="B254" s="12" t="s">
        <v>1777</v>
      </c>
      <c r="C254" s="19">
        <v>1</v>
      </c>
      <c r="D254" s="19" t="s">
        <v>36</v>
      </c>
      <c r="E254" s="19">
        <v>1</v>
      </c>
      <c r="F254" s="19">
        <v>1</v>
      </c>
      <c r="G254" s="15" t="s">
        <v>36</v>
      </c>
      <c r="H254" s="14" t="s">
        <v>36</v>
      </c>
      <c r="I254" s="18" t="s">
        <v>36</v>
      </c>
      <c r="J254" s="12" t="s">
        <v>36</v>
      </c>
      <c r="K254" s="13">
        <v>45444</v>
      </c>
      <c r="L254" s="15" t="s">
        <v>94</v>
      </c>
      <c r="M254" s="12" t="s">
        <v>36</v>
      </c>
      <c r="N254" s="12" t="s">
        <v>94</v>
      </c>
      <c r="O254" s="17" t="s">
        <v>36</v>
      </c>
      <c r="P254" s="12" t="s">
        <v>36</v>
      </c>
      <c r="Q254" s="12" t="s">
        <v>36</v>
      </c>
      <c r="R254" s="12" t="s">
        <v>36</v>
      </c>
      <c r="S254" s="12" t="s">
        <v>36</v>
      </c>
      <c r="T254" s="12" t="s">
        <v>1081</v>
      </c>
      <c r="U254" s="12" t="s">
        <v>1082</v>
      </c>
      <c r="V254" s="12" t="s">
        <v>378</v>
      </c>
      <c r="W254" s="12" t="s">
        <v>1778</v>
      </c>
      <c r="X254" s="16" t="s">
        <v>1779</v>
      </c>
      <c r="Y254" s="15" t="s">
        <v>192</v>
      </c>
      <c r="Z254" s="14">
        <v>44.4</v>
      </c>
      <c r="AA254" s="14" t="s">
        <v>36</v>
      </c>
      <c r="AB254" s="12" t="s">
        <v>56</v>
      </c>
      <c r="AC254" s="12" t="s">
        <v>1780</v>
      </c>
      <c r="AD254" s="13">
        <v>45561</v>
      </c>
      <c r="AE254" s="12" t="s">
        <v>1086</v>
      </c>
      <c r="AF254" s="12" t="s">
        <v>1781</v>
      </c>
      <c r="AG254" s="12" t="s">
        <v>1782</v>
      </c>
      <c r="AH254" s="1">
        <f>HYPERLINK("https://my.pitchbook.com?c=266628-25T","View Company Online")</f>
      </c>
    </row>
    <row r="255">
      <c r="A255" s="3" t="s">
        <v>1783</v>
      </c>
      <c r="B255" s="3" t="s">
        <v>1784</v>
      </c>
      <c r="C255" s="5">
        <v>5</v>
      </c>
      <c r="D255" s="5">
        <v>8</v>
      </c>
      <c r="E255" s="5">
        <v>5</v>
      </c>
      <c r="F255" s="5">
        <v>13</v>
      </c>
      <c r="G255" s="6" t="s">
        <v>36</v>
      </c>
      <c r="H255" s="4" t="s">
        <v>36</v>
      </c>
      <c r="I255" s="7" t="s">
        <v>36</v>
      </c>
      <c r="J255" s="3" t="s">
        <v>36</v>
      </c>
      <c r="K255" s="9" t="s">
        <v>36</v>
      </c>
      <c r="L255" s="6" t="s">
        <v>36</v>
      </c>
      <c r="M255" s="3" t="s">
        <v>36</v>
      </c>
      <c r="N255" s="3" t="s">
        <v>36</v>
      </c>
      <c r="O255" s="8" t="s">
        <v>36</v>
      </c>
      <c r="P255" s="3" t="s">
        <v>36</v>
      </c>
      <c r="Q255" s="3" t="s">
        <v>36</v>
      </c>
      <c r="R255" s="3" t="s">
        <v>36</v>
      </c>
      <c r="S255" s="3" t="s">
        <v>36</v>
      </c>
      <c r="T255" s="3" t="s">
        <v>189</v>
      </c>
      <c r="U255" s="3" t="s">
        <v>180</v>
      </c>
      <c r="V255" s="3" t="s">
        <v>52</v>
      </c>
      <c r="W255" s="3" t="s">
        <v>1785</v>
      </c>
      <c r="X255" s="10" t="s">
        <v>1786</v>
      </c>
      <c r="Y255" s="6" t="s">
        <v>192</v>
      </c>
      <c r="Z255" s="4">
        <v>12.21</v>
      </c>
      <c r="AA255" s="4" t="s">
        <v>36</v>
      </c>
      <c r="AB255" s="3" t="s">
        <v>56</v>
      </c>
      <c r="AC255" s="3" t="s">
        <v>1787</v>
      </c>
      <c r="AD255" s="9">
        <v>45561</v>
      </c>
      <c r="AE255" s="3" t="s">
        <v>184</v>
      </c>
      <c r="AF255" s="3" t="s">
        <v>1788</v>
      </c>
      <c r="AG255" s="3" t="s">
        <v>373</v>
      </c>
      <c r="AH255" s="11">
        <f>HYPERLINK("https://my.pitchbook.com?c=273101-95T","View Company Online")</f>
      </c>
    </row>
    <row r="256">
      <c r="A256" s="12" t="s">
        <v>1789</v>
      </c>
      <c r="B256" s="12" t="s">
        <v>1790</v>
      </c>
      <c r="C256" s="19" t="s">
        <v>36</v>
      </c>
      <c r="D256" s="19" t="s">
        <v>36</v>
      </c>
      <c r="E256" s="19" t="s">
        <v>36</v>
      </c>
      <c r="F256" s="19" t="s">
        <v>36</v>
      </c>
      <c r="G256" s="15" t="s">
        <v>36</v>
      </c>
      <c r="H256" s="14" t="s">
        <v>36</v>
      </c>
      <c r="I256" s="18" t="s">
        <v>36</v>
      </c>
      <c r="J256" s="12" t="s">
        <v>36</v>
      </c>
      <c r="K256" s="13" t="s">
        <v>36</v>
      </c>
      <c r="L256" s="15" t="s">
        <v>36</v>
      </c>
      <c r="M256" s="12" t="s">
        <v>36</v>
      </c>
      <c r="N256" s="12" t="s">
        <v>36</v>
      </c>
      <c r="O256" s="17" t="s">
        <v>36</v>
      </c>
      <c r="P256" s="12" t="s">
        <v>36</v>
      </c>
      <c r="Q256" s="12" t="s">
        <v>36</v>
      </c>
      <c r="R256" s="12" t="s">
        <v>36</v>
      </c>
      <c r="S256" s="12" t="s">
        <v>36</v>
      </c>
      <c r="T256" s="12" t="s">
        <v>1791</v>
      </c>
      <c r="U256" s="12" t="s">
        <v>38</v>
      </c>
      <c r="V256" s="12" t="s">
        <v>39</v>
      </c>
      <c r="W256" s="12" t="s">
        <v>1792</v>
      </c>
      <c r="X256" s="16" t="s">
        <v>1793</v>
      </c>
      <c r="Y256" s="15" t="s">
        <v>108</v>
      </c>
      <c r="Z256" s="14">
        <v>6.66</v>
      </c>
      <c r="AA256" s="14" t="s">
        <v>36</v>
      </c>
      <c r="AB256" s="12" t="s">
        <v>43</v>
      </c>
      <c r="AC256" s="12" t="s">
        <v>1794</v>
      </c>
      <c r="AD256" s="13">
        <v>45560</v>
      </c>
      <c r="AE256" s="12" t="s">
        <v>110</v>
      </c>
      <c r="AF256" s="12" t="s">
        <v>46</v>
      </c>
      <c r="AG256" s="12" t="s">
        <v>81</v>
      </c>
      <c r="AH256" s="1">
        <f>HYPERLINK("https://my.pitchbook.com?c=272973-34T","View Company Online")</f>
      </c>
    </row>
    <row r="257">
      <c r="A257" s="3" t="s">
        <v>1795</v>
      </c>
      <c r="B257" s="3" t="s">
        <v>1796</v>
      </c>
      <c r="C257" s="5">
        <v>1</v>
      </c>
      <c r="D257" s="5">
        <v>2</v>
      </c>
      <c r="E257" s="5">
        <v>1</v>
      </c>
      <c r="F257" s="5">
        <v>3</v>
      </c>
      <c r="G257" s="6" t="s">
        <v>36</v>
      </c>
      <c r="H257" s="4" t="s">
        <v>36</v>
      </c>
      <c r="I257" s="7">
        <v>38.19</v>
      </c>
      <c r="J257" s="3" t="s">
        <v>327</v>
      </c>
      <c r="K257" s="9" t="s">
        <v>36</v>
      </c>
      <c r="L257" s="6" t="s">
        <v>36</v>
      </c>
      <c r="M257" s="3" t="s">
        <v>36</v>
      </c>
      <c r="N257" s="3" t="s">
        <v>36</v>
      </c>
      <c r="O257" s="8" t="s">
        <v>36</v>
      </c>
      <c r="P257" s="3" t="s">
        <v>36</v>
      </c>
      <c r="Q257" s="3" t="s">
        <v>36</v>
      </c>
      <c r="R257" s="3" t="s">
        <v>36</v>
      </c>
      <c r="S257" s="3" t="s">
        <v>36</v>
      </c>
      <c r="T257" s="3" t="s">
        <v>1797</v>
      </c>
      <c r="U257" s="3" t="s">
        <v>1798</v>
      </c>
      <c r="V257" s="3" t="s">
        <v>39</v>
      </c>
      <c r="W257" s="3" t="s">
        <v>1799</v>
      </c>
      <c r="X257" s="10" t="s">
        <v>1800</v>
      </c>
      <c r="Y257" s="6" t="s">
        <v>55</v>
      </c>
      <c r="Z257" s="4">
        <v>3.89</v>
      </c>
      <c r="AA257" s="4">
        <v>10.17</v>
      </c>
      <c r="AB257" s="3" t="s">
        <v>43</v>
      </c>
      <c r="AC257" s="3" t="s">
        <v>1801</v>
      </c>
      <c r="AD257" s="9">
        <v>45560</v>
      </c>
      <c r="AE257" s="3" t="s">
        <v>1802</v>
      </c>
      <c r="AF257" s="3" t="s">
        <v>511</v>
      </c>
      <c r="AG257" s="3" t="s">
        <v>1803</v>
      </c>
      <c r="AH257" s="11">
        <f>HYPERLINK("https://my.pitchbook.com?c=273001-60T","View Company Online")</f>
      </c>
    </row>
    <row r="258">
      <c r="A258" s="12" t="s">
        <v>1804</v>
      </c>
      <c r="B258" s="12" t="s">
        <v>1805</v>
      </c>
      <c r="C258" s="19" t="s">
        <v>36</v>
      </c>
      <c r="D258" s="19" t="s">
        <v>36</v>
      </c>
      <c r="E258" s="19" t="s">
        <v>36</v>
      </c>
      <c r="F258" s="19" t="s">
        <v>36</v>
      </c>
      <c r="G258" s="15" t="s">
        <v>36</v>
      </c>
      <c r="H258" s="14" t="s">
        <v>36</v>
      </c>
      <c r="I258" s="18" t="s">
        <v>36</v>
      </c>
      <c r="J258" s="12" t="s">
        <v>36</v>
      </c>
      <c r="K258" s="13" t="s">
        <v>36</v>
      </c>
      <c r="L258" s="15" t="s">
        <v>122</v>
      </c>
      <c r="M258" s="12" t="s">
        <v>36</v>
      </c>
      <c r="N258" s="12" t="s">
        <v>122</v>
      </c>
      <c r="O258" s="17" t="s">
        <v>36</v>
      </c>
      <c r="P258" s="12" t="s">
        <v>36</v>
      </c>
      <c r="Q258" s="12" t="s">
        <v>36</v>
      </c>
      <c r="R258" s="12" t="s">
        <v>36</v>
      </c>
      <c r="S258" s="12" t="s">
        <v>36</v>
      </c>
      <c r="T258" s="12" t="s">
        <v>1806</v>
      </c>
      <c r="U258" s="12" t="s">
        <v>74</v>
      </c>
      <c r="V258" s="12" t="s">
        <v>75</v>
      </c>
      <c r="W258" s="12" t="s">
        <v>1807</v>
      </c>
      <c r="X258" s="16" t="s">
        <v>1808</v>
      </c>
      <c r="Y258" s="15" t="s">
        <v>108</v>
      </c>
      <c r="Z258" s="14">
        <v>4.44</v>
      </c>
      <c r="AA258" s="14" t="s">
        <v>36</v>
      </c>
      <c r="AB258" s="12" t="s">
        <v>43</v>
      </c>
      <c r="AC258" s="12" t="s">
        <v>1809</v>
      </c>
      <c r="AD258" s="13">
        <v>45560</v>
      </c>
      <c r="AE258" s="12" t="s">
        <v>696</v>
      </c>
      <c r="AF258" s="12" t="s">
        <v>36</v>
      </c>
      <c r="AG258" s="12" t="s">
        <v>81</v>
      </c>
      <c r="AH258" s="1">
        <f>HYPERLINK("https://my.pitchbook.com?c=272975-77T","View Company Online")</f>
      </c>
    </row>
    <row r="259">
      <c r="A259" s="3" t="s">
        <v>1810</v>
      </c>
      <c r="B259" s="3" t="s">
        <v>1811</v>
      </c>
      <c r="C259" s="5" t="s">
        <v>36</v>
      </c>
      <c r="D259" s="5" t="s">
        <v>36</v>
      </c>
      <c r="E259" s="5" t="s">
        <v>36</v>
      </c>
      <c r="F259" s="5" t="s">
        <v>36</v>
      </c>
      <c r="G259" s="6" t="s">
        <v>36</v>
      </c>
      <c r="H259" s="4" t="s">
        <v>36</v>
      </c>
      <c r="I259" s="7" t="s">
        <v>36</v>
      </c>
      <c r="J259" s="3" t="s">
        <v>36</v>
      </c>
      <c r="K259" s="9" t="s">
        <v>36</v>
      </c>
      <c r="L259" s="6" t="s">
        <v>36</v>
      </c>
      <c r="M259" s="3" t="s">
        <v>36</v>
      </c>
      <c r="N259" s="3" t="s">
        <v>36</v>
      </c>
      <c r="O259" s="8" t="s">
        <v>36</v>
      </c>
      <c r="P259" s="3" t="s">
        <v>36</v>
      </c>
      <c r="Q259" s="3" t="s">
        <v>36</v>
      </c>
      <c r="R259" s="3" t="s">
        <v>36</v>
      </c>
      <c r="S259" s="3" t="s">
        <v>36</v>
      </c>
      <c r="T259" s="3" t="s">
        <v>1812</v>
      </c>
      <c r="U259" s="3" t="s">
        <v>38</v>
      </c>
      <c r="V259" s="3" t="s">
        <v>39</v>
      </c>
      <c r="W259" s="3" t="s">
        <v>1813</v>
      </c>
      <c r="X259" s="10" t="s">
        <v>1814</v>
      </c>
      <c r="Y259" s="6" t="s">
        <v>55</v>
      </c>
      <c r="Z259" s="4">
        <v>14.43</v>
      </c>
      <c r="AA259" s="4" t="s">
        <v>36</v>
      </c>
      <c r="AB259" s="3" t="s">
        <v>56</v>
      </c>
      <c r="AC259" s="3" t="s">
        <v>1815</v>
      </c>
      <c r="AD259" s="9">
        <v>45559</v>
      </c>
      <c r="AE259" s="3" t="s">
        <v>110</v>
      </c>
      <c r="AF259" s="3" t="s">
        <v>168</v>
      </c>
      <c r="AG259" s="3" t="s">
        <v>1276</v>
      </c>
      <c r="AH259" s="11">
        <f>HYPERLINK("https://my.pitchbook.com?c=272960-65T","View Company Online")</f>
      </c>
    </row>
    <row r="260">
      <c r="A260" s="12" t="s">
        <v>1816</v>
      </c>
      <c r="B260" s="12" t="s">
        <v>1817</v>
      </c>
      <c r="C260" s="19" t="s">
        <v>36</v>
      </c>
      <c r="D260" s="19" t="s">
        <v>36</v>
      </c>
      <c r="E260" s="19" t="s">
        <v>36</v>
      </c>
      <c r="F260" s="19" t="s">
        <v>36</v>
      </c>
      <c r="G260" s="15" t="s">
        <v>36</v>
      </c>
      <c r="H260" s="14" t="s">
        <v>36</v>
      </c>
      <c r="I260" s="18" t="s">
        <v>36</v>
      </c>
      <c r="J260" s="12" t="s">
        <v>36</v>
      </c>
      <c r="K260" s="13" t="s">
        <v>36</v>
      </c>
      <c r="L260" s="15" t="s">
        <v>36</v>
      </c>
      <c r="M260" s="12" t="s">
        <v>36</v>
      </c>
      <c r="N260" s="12" t="s">
        <v>36</v>
      </c>
      <c r="O260" s="17" t="s">
        <v>36</v>
      </c>
      <c r="P260" s="12" t="s">
        <v>36</v>
      </c>
      <c r="Q260" s="12" t="s">
        <v>36</v>
      </c>
      <c r="R260" s="12" t="s">
        <v>36</v>
      </c>
      <c r="S260" s="12" t="s">
        <v>36</v>
      </c>
      <c r="T260" s="12" t="s">
        <v>1818</v>
      </c>
      <c r="U260" s="12" t="s">
        <v>1502</v>
      </c>
      <c r="V260" s="12" t="s">
        <v>75</v>
      </c>
      <c r="W260" s="12" t="s">
        <v>1819</v>
      </c>
      <c r="X260" s="16" t="s">
        <v>1820</v>
      </c>
      <c r="Y260" s="15" t="s">
        <v>42</v>
      </c>
      <c r="Z260" s="14">
        <v>44.4</v>
      </c>
      <c r="AA260" s="14" t="s">
        <v>36</v>
      </c>
      <c r="AB260" s="12" t="s">
        <v>43</v>
      </c>
      <c r="AC260" s="12" t="s">
        <v>1821</v>
      </c>
      <c r="AD260" s="13">
        <v>45559</v>
      </c>
      <c r="AE260" s="12" t="s">
        <v>1822</v>
      </c>
      <c r="AF260" s="12" t="s">
        <v>36</v>
      </c>
      <c r="AG260" s="12" t="s">
        <v>1823</v>
      </c>
      <c r="AH260" s="1">
        <f>HYPERLINK("https://my.pitchbook.com?c=272941-03T","View Company Online")</f>
      </c>
    </row>
    <row r="261">
      <c r="A261" s="3" t="s">
        <v>1824</v>
      </c>
      <c r="B261" s="3" t="s">
        <v>1825</v>
      </c>
      <c r="C261" s="5" t="s">
        <v>36</v>
      </c>
      <c r="D261" s="5" t="s">
        <v>36</v>
      </c>
      <c r="E261" s="5" t="s">
        <v>36</v>
      </c>
      <c r="F261" s="5" t="s">
        <v>36</v>
      </c>
      <c r="G261" s="6" t="s">
        <v>36</v>
      </c>
      <c r="H261" s="4" t="s">
        <v>36</v>
      </c>
      <c r="I261" s="7" t="s">
        <v>36</v>
      </c>
      <c r="J261" s="3" t="s">
        <v>36</v>
      </c>
      <c r="K261" s="9" t="s">
        <v>36</v>
      </c>
      <c r="L261" s="6" t="s">
        <v>122</v>
      </c>
      <c r="M261" s="3" t="s">
        <v>36</v>
      </c>
      <c r="N261" s="3" t="s">
        <v>122</v>
      </c>
      <c r="O261" s="8" t="s">
        <v>36</v>
      </c>
      <c r="P261" s="3" t="s">
        <v>36</v>
      </c>
      <c r="Q261" s="3" t="s">
        <v>36</v>
      </c>
      <c r="R261" s="3" t="s">
        <v>36</v>
      </c>
      <c r="S261" s="3" t="s">
        <v>36</v>
      </c>
      <c r="T261" s="3" t="s">
        <v>37</v>
      </c>
      <c r="U261" s="3" t="s">
        <v>38</v>
      </c>
      <c r="V261" s="3" t="s">
        <v>39</v>
      </c>
      <c r="W261" s="3" t="s">
        <v>1826</v>
      </c>
      <c r="X261" s="10" t="s">
        <v>1827</v>
      </c>
      <c r="Y261" s="6" t="s">
        <v>55</v>
      </c>
      <c r="Z261" s="4">
        <v>12.21</v>
      </c>
      <c r="AA261" s="4" t="s">
        <v>36</v>
      </c>
      <c r="AB261" s="3" t="s">
        <v>43</v>
      </c>
      <c r="AC261" s="3" t="s">
        <v>1828</v>
      </c>
      <c r="AD261" s="9">
        <v>45558</v>
      </c>
      <c r="AE261" s="3" t="s">
        <v>45</v>
      </c>
      <c r="AF261" s="3" t="s">
        <v>331</v>
      </c>
      <c r="AG261" s="3" t="s">
        <v>81</v>
      </c>
      <c r="AH261" s="11">
        <f>HYPERLINK("https://my.pitchbook.com?c=272735-29T","View Company Online")</f>
      </c>
    </row>
    <row r="262">
      <c r="A262" s="12" t="s">
        <v>1829</v>
      </c>
      <c r="B262" s="12" t="s">
        <v>1830</v>
      </c>
      <c r="C262" s="19">
        <v>1</v>
      </c>
      <c r="D262" s="19">
        <v>30</v>
      </c>
      <c r="E262" s="19">
        <v>9</v>
      </c>
      <c r="F262" s="19">
        <v>32</v>
      </c>
      <c r="G262" s="15" t="s">
        <v>326</v>
      </c>
      <c r="H262" s="14" t="s">
        <v>36</v>
      </c>
      <c r="I262" s="18">
        <v>21.43</v>
      </c>
      <c r="J262" s="12" t="s">
        <v>327</v>
      </c>
      <c r="K262" s="13">
        <v>44956</v>
      </c>
      <c r="L262" s="15" t="s">
        <v>36</v>
      </c>
      <c r="M262" s="12" t="s">
        <v>36</v>
      </c>
      <c r="N262" s="12" t="s">
        <v>36</v>
      </c>
      <c r="O262" s="17" t="s">
        <v>36</v>
      </c>
      <c r="P262" s="12" t="s">
        <v>36</v>
      </c>
      <c r="Q262" s="12" t="s">
        <v>36</v>
      </c>
      <c r="R262" s="12" t="s">
        <v>36</v>
      </c>
      <c r="S262" s="12" t="s">
        <v>36</v>
      </c>
      <c r="T262" s="12" t="s">
        <v>1831</v>
      </c>
      <c r="U262" s="12" t="s">
        <v>387</v>
      </c>
      <c r="V262" s="12" t="s">
        <v>367</v>
      </c>
      <c r="W262" s="12" t="s">
        <v>1832</v>
      </c>
      <c r="X262" s="16" t="s">
        <v>1833</v>
      </c>
      <c r="Y262" s="15" t="s">
        <v>166</v>
      </c>
      <c r="Z262" s="14">
        <v>11.1</v>
      </c>
      <c r="AA262" s="14">
        <v>51.81</v>
      </c>
      <c r="AB262" s="12" t="s">
        <v>56</v>
      </c>
      <c r="AC262" s="12" t="s">
        <v>1834</v>
      </c>
      <c r="AD262" s="13">
        <v>45558</v>
      </c>
      <c r="AE262" s="12" t="s">
        <v>391</v>
      </c>
      <c r="AF262" s="12" t="s">
        <v>982</v>
      </c>
      <c r="AG262" s="12" t="s">
        <v>1835</v>
      </c>
      <c r="AH262" s="1">
        <f>HYPERLINK("https://my.pitchbook.com?c=213996-79T","View Company Online")</f>
      </c>
    </row>
    <row r="263">
      <c r="A263" s="3" t="s">
        <v>1836</v>
      </c>
      <c r="B263" s="3" t="s">
        <v>1837</v>
      </c>
      <c r="C263" s="5" t="s">
        <v>36</v>
      </c>
      <c r="D263" s="5" t="s">
        <v>36</v>
      </c>
      <c r="E263" s="5" t="s">
        <v>36</v>
      </c>
      <c r="F263" s="5" t="s">
        <v>36</v>
      </c>
      <c r="G263" s="6" t="s">
        <v>36</v>
      </c>
      <c r="H263" s="4" t="s">
        <v>36</v>
      </c>
      <c r="I263" s="7" t="s">
        <v>36</v>
      </c>
      <c r="J263" s="3" t="s">
        <v>36</v>
      </c>
      <c r="K263" s="9" t="s">
        <v>36</v>
      </c>
      <c r="L263" s="6" t="s">
        <v>36</v>
      </c>
      <c r="M263" s="3" t="s">
        <v>36</v>
      </c>
      <c r="N263" s="3" t="s">
        <v>36</v>
      </c>
      <c r="O263" s="8" t="s">
        <v>36</v>
      </c>
      <c r="P263" s="3" t="s">
        <v>36</v>
      </c>
      <c r="Q263" s="3" t="s">
        <v>36</v>
      </c>
      <c r="R263" s="3" t="s">
        <v>36</v>
      </c>
      <c r="S263" s="3" t="s">
        <v>36</v>
      </c>
      <c r="T263" s="3" t="s">
        <v>1838</v>
      </c>
      <c r="U263" s="3" t="s">
        <v>38</v>
      </c>
      <c r="V263" s="3" t="s">
        <v>39</v>
      </c>
      <c r="W263" s="3" t="s">
        <v>1839</v>
      </c>
      <c r="X263" s="10" t="s">
        <v>1840</v>
      </c>
      <c r="Y263" s="6" t="s">
        <v>166</v>
      </c>
      <c r="Z263" s="4" t="s">
        <v>36</v>
      </c>
      <c r="AA263" s="4" t="s">
        <v>36</v>
      </c>
      <c r="AB263" s="3" t="s">
        <v>56</v>
      </c>
      <c r="AC263" s="3" t="s">
        <v>1841</v>
      </c>
      <c r="AD263" s="9">
        <v>45558</v>
      </c>
      <c r="AE263" s="3" t="s">
        <v>110</v>
      </c>
      <c r="AF263" s="3" t="s">
        <v>1842</v>
      </c>
      <c r="AG263" s="3" t="s">
        <v>1843</v>
      </c>
      <c r="AH263" s="11">
        <f>HYPERLINK("https://my.pitchbook.com?c=272838-79T","View Company Online")</f>
      </c>
    </row>
    <row r="264">
      <c r="A264" s="12" t="s">
        <v>1844</v>
      </c>
      <c r="B264" s="12" t="s">
        <v>1845</v>
      </c>
      <c r="C264" s="19" t="s">
        <v>36</v>
      </c>
      <c r="D264" s="19" t="s">
        <v>36</v>
      </c>
      <c r="E264" s="19" t="s">
        <v>36</v>
      </c>
      <c r="F264" s="19" t="s">
        <v>36</v>
      </c>
      <c r="G264" s="15" t="s">
        <v>326</v>
      </c>
      <c r="H264" s="14" t="s">
        <v>36</v>
      </c>
      <c r="I264" s="18">
        <v>4.3</v>
      </c>
      <c r="J264" s="12" t="s">
        <v>521</v>
      </c>
      <c r="K264" s="13" t="s">
        <v>36</v>
      </c>
      <c r="L264" s="15" t="s">
        <v>1846</v>
      </c>
      <c r="M264" s="12" t="s">
        <v>36</v>
      </c>
      <c r="N264" s="12" t="s">
        <v>1846</v>
      </c>
      <c r="O264" s="17" t="s">
        <v>36</v>
      </c>
      <c r="P264" s="12" t="s">
        <v>36</v>
      </c>
      <c r="Q264" s="12" t="s">
        <v>36</v>
      </c>
      <c r="R264" s="12" t="s">
        <v>36</v>
      </c>
      <c r="S264" s="12" t="s">
        <v>36</v>
      </c>
      <c r="T264" s="12" t="s">
        <v>1847</v>
      </c>
      <c r="U264" s="12" t="s">
        <v>956</v>
      </c>
      <c r="V264" s="12" t="s">
        <v>405</v>
      </c>
      <c r="W264" s="12" t="s">
        <v>1848</v>
      </c>
      <c r="X264" s="16" t="s">
        <v>1849</v>
      </c>
      <c r="Y264" s="15" t="s">
        <v>475</v>
      </c>
      <c r="Z264" s="14">
        <v>192.06</v>
      </c>
      <c r="AA264" s="14">
        <v>4440.72</v>
      </c>
      <c r="AB264" s="12" t="s">
        <v>56</v>
      </c>
      <c r="AC264" s="12" t="s">
        <v>1850</v>
      </c>
      <c r="AD264" s="13">
        <v>45555</v>
      </c>
      <c r="AE264" s="12" t="s">
        <v>1851</v>
      </c>
      <c r="AF264" s="12" t="s">
        <v>1852</v>
      </c>
      <c r="AG264" s="12" t="s">
        <v>81</v>
      </c>
      <c r="AH264" s="1">
        <f>HYPERLINK("https://my.pitchbook.com?c=272600-38T","View Company Online")</f>
      </c>
    </row>
    <row r="265">
      <c r="A265" s="3" t="s">
        <v>1853</v>
      </c>
      <c r="B265" s="3" t="s">
        <v>1854</v>
      </c>
      <c r="C265" s="5" t="s">
        <v>36</v>
      </c>
      <c r="D265" s="5" t="s">
        <v>36</v>
      </c>
      <c r="E265" s="5" t="s">
        <v>36</v>
      </c>
      <c r="F265" s="5" t="s">
        <v>36</v>
      </c>
      <c r="G265" s="6" t="s">
        <v>36</v>
      </c>
      <c r="H265" s="4" t="s">
        <v>36</v>
      </c>
      <c r="I265" s="7" t="s">
        <v>36</v>
      </c>
      <c r="J265" s="3" t="s">
        <v>36</v>
      </c>
      <c r="K265" s="9" t="s">
        <v>36</v>
      </c>
      <c r="L265" s="6" t="s">
        <v>36</v>
      </c>
      <c r="M265" s="3" t="s">
        <v>36</v>
      </c>
      <c r="N265" s="3" t="s">
        <v>36</v>
      </c>
      <c r="O265" s="8" t="s">
        <v>36</v>
      </c>
      <c r="P265" s="3" t="s">
        <v>36</v>
      </c>
      <c r="Q265" s="3" t="s">
        <v>36</v>
      </c>
      <c r="R265" s="3" t="s">
        <v>36</v>
      </c>
      <c r="S265" s="3" t="s">
        <v>36</v>
      </c>
      <c r="T265" s="3" t="s">
        <v>1855</v>
      </c>
      <c r="U265" s="3" t="s">
        <v>85</v>
      </c>
      <c r="V265" s="3" t="s">
        <v>64</v>
      </c>
      <c r="W265" s="3" t="s">
        <v>1856</v>
      </c>
      <c r="X265" s="10" t="s">
        <v>1857</v>
      </c>
      <c r="Y265" s="6" t="s">
        <v>55</v>
      </c>
      <c r="Z265" s="4">
        <v>29.42</v>
      </c>
      <c r="AA265" s="4" t="s">
        <v>36</v>
      </c>
      <c r="AB265" s="3" t="s">
        <v>56</v>
      </c>
      <c r="AC265" s="3" t="s">
        <v>1858</v>
      </c>
      <c r="AD265" s="9">
        <v>45555</v>
      </c>
      <c r="AE265" s="3" t="s">
        <v>89</v>
      </c>
      <c r="AF265" s="3" t="s">
        <v>1859</v>
      </c>
      <c r="AG265" s="3" t="s">
        <v>81</v>
      </c>
      <c r="AH265" s="11">
        <f>HYPERLINK("https://my.pitchbook.com?c=273139-93T","View Company Online")</f>
      </c>
    </row>
    <row r="266">
      <c r="A266" s="12" t="s">
        <v>1860</v>
      </c>
      <c r="B266" s="12" t="s">
        <v>1861</v>
      </c>
      <c r="C266" s="19" t="s">
        <v>36</v>
      </c>
      <c r="D266" s="19" t="s">
        <v>36</v>
      </c>
      <c r="E266" s="19" t="s">
        <v>36</v>
      </c>
      <c r="F266" s="19" t="s">
        <v>36</v>
      </c>
      <c r="G266" s="15" t="s">
        <v>36</v>
      </c>
      <c r="H266" s="14" t="s">
        <v>36</v>
      </c>
      <c r="I266" s="18" t="s">
        <v>36</v>
      </c>
      <c r="J266" s="12" t="s">
        <v>36</v>
      </c>
      <c r="K266" s="13" t="s">
        <v>36</v>
      </c>
      <c r="L266" s="15" t="s">
        <v>1862</v>
      </c>
      <c r="M266" s="12" t="s">
        <v>36</v>
      </c>
      <c r="N266" s="12" t="s">
        <v>1862</v>
      </c>
      <c r="O266" s="17" t="s">
        <v>36</v>
      </c>
      <c r="P266" s="12" t="s">
        <v>36</v>
      </c>
      <c r="Q266" s="12" t="s">
        <v>36</v>
      </c>
      <c r="R266" s="12" t="s">
        <v>36</v>
      </c>
      <c r="S266" s="12" t="s">
        <v>36</v>
      </c>
      <c r="T266" s="12" t="s">
        <v>1863</v>
      </c>
      <c r="U266" s="12" t="s">
        <v>96</v>
      </c>
      <c r="V266" s="12" t="s">
        <v>52</v>
      </c>
      <c r="W266" s="12" t="s">
        <v>1864</v>
      </c>
      <c r="X266" s="16" t="s">
        <v>1865</v>
      </c>
      <c r="Y266" s="15" t="s">
        <v>192</v>
      </c>
      <c r="Z266" s="14">
        <v>1.89</v>
      </c>
      <c r="AA266" s="14" t="s">
        <v>36</v>
      </c>
      <c r="AB266" s="12" t="s">
        <v>56</v>
      </c>
      <c r="AC266" s="12" t="s">
        <v>1866</v>
      </c>
      <c r="AD266" s="13">
        <v>45554</v>
      </c>
      <c r="AE266" s="12" t="s">
        <v>1414</v>
      </c>
      <c r="AF266" s="12" t="s">
        <v>101</v>
      </c>
      <c r="AG266" s="12" t="s">
        <v>1867</v>
      </c>
      <c r="AH266" s="1">
        <f>HYPERLINK("https://my.pitchbook.com?c=273679-93T","View Company Online")</f>
      </c>
    </row>
    <row r="267">
      <c r="A267" s="3" t="s">
        <v>1868</v>
      </c>
      <c r="B267" s="3" t="s">
        <v>1869</v>
      </c>
      <c r="C267" s="5" t="s">
        <v>36</v>
      </c>
      <c r="D267" s="5" t="s">
        <v>36</v>
      </c>
      <c r="E267" s="5" t="s">
        <v>36</v>
      </c>
      <c r="F267" s="5" t="s">
        <v>36</v>
      </c>
      <c r="G267" s="6" t="s">
        <v>36</v>
      </c>
      <c r="H267" s="4" t="s">
        <v>36</v>
      </c>
      <c r="I267" s="7" t="s">
        <v>36</v>
      </c>
      <c r="J267" s="3" t="s">
        <v>36</v>
      </c>
      <c r="K267" s="9" t="s">
        <v>36</v>
      </c>
      <c r="L267" s="6" t="s">
        <v>36</v>
      </c>
      <c r="M267" s="3" t="s">
        <v>36</v>
      </c>
      <c r="N267" s="3" t="s">
        <v>36</v>
      </c>
      <c r="O267" s="8" t="s">
        <v>36</v>
      </c>
      <c r="P267" s="3" t="s">
        <v>36</v>
      </c>
      <c r="Q267" s="3" t="s">
        <v>36</v>
      </c>
      <c r="R267" s="3" t="s">
        <v>36</v>
      </c>
      <c r="S267" s="3" t="s">
        <v>36</v>
      </c>
      <c r="T267" s="3" t="s">
        <v>1870</v>
      </c>
      <c r="U267" s="3" t="s">
        <v>38</v>
      </c>
      <c r="V267" s="3" t="s">
        <v>39</v>
      </c>
      <c r="W267" s="3" t="s">
        <v>1871</v>
      </c>
      <c r="X267" s="10" t="s">
        <v>1872</v>
      </c>
      <c r="Y267" s="6" t="s">
        <v>108</v>
      </c>
      <c r="Z267" s="4">
        <v>0.56</v>
      </c>
      <c r="AA267" s="4" t="s">
        <v>36</v>
      </c>
      <c r="AB267" s="3" t="s">
        <v>56</v>
      </c>
      <c r="AC267" s="3" t="s">
        <v>1873</v>
      </c>
      <c r="AD267" s="9">
        <v>45554</v>
      </c>
      <c r="AE267" s="3" t="s">
        <v>554</v>
      </c>
      <c r="AF267" s="3" t="s">
        <v>1619</v>
      </c>
      <c r="AG267" s="3" t="s">
        <v>741</v>
      </c>
      <c r="AH267" s="11">
        <f>HYPERLINK("https://my.pitchbook.com?c=272532-43T","View Company Online")</f>
      </c>
    </row>
    <row r="268">
      <c r="A268" s="12" t="s">
        <v>1874</v>
      </c>
      <c r="B268" s="12" t="s">
        <v>1875</v>
      </c>
      <c r="C268" s="19">
        <v>1</v>
      </c>
      <c r="D268" s="19">
        <v>11</v>
      </c>
      <c r="E268" s="19">
        <v>3</v>
      </c>
      <c r="F268" s="19">
        <v>12</v>
      </c>
      <c r="G268" s="15" t="s">
        <v>36</v>
      </c>
      <c r="H268" s="14" t="s">
        <v>36</v>
      </c>
      <c r="I268" s="18" t="s">
        <v>36</v>
      </c>
      <c r="J268" s="12" t="s">
        <v>36</v>
      </c>
      <c r="K268" s="13">
        <v>45474</v>
      </c>
      <c r="L268" s="15" t="s">
        <v>122</v>
      </c>
      <c r="M268" s="12" t="s">
        <v>36</v>
      </c>
      <c r="N268" s="12" t="s">
        <v>122</v>
      </c>
      <c r="O268" s="17" t="s">
        <v>36</v>
      </c>
      <c r="P268" s="12" t="s">
        <v>36</v>
      </c>
      <c r="Q268" s="12" t="s">
        <v>36</v>
      </c>
      <c r="R268" s="12" t="s">
        <v>36</v>
      </c>
      <c r="S268" s="12" t="s">
        <v>36</v>
      </c>
      <c r="T268" s="12" t="s">
        <v>1876</v>
      </c>
      <c r="U268" s="12" t="s">
        <v>318</v>
      </c>
      <c r="V268" s="12" t="s">
        <v>39</v>
      </c>
      <c r="W268" s="12" t="s">
        <v>1877</v>
      </c>
      <c r="X268" s="16" t="s">
        <v>1878</v>
      </c>
      <c r="Y268" s="15" t="s">
        <v>55</v>
      </c>
      <c r="Z268" s="14">
        <v>16.65</v>
      </c>
      <c r="AA268" s="14" t="s">
        <v>36</v>
      </c>
      <c r="AB268" s="12" t="s">
        <v>56</v>
      </c>
      <c r="AC268" s="12" t="s">
        <v>1879</v>
      </c>
      <c r="AD268" s="13">
        <v>45554</v>
      </c>
      <c r="AE268" s="12" t="s">
        <v>763</v>
      </c>
      <c r="AF268" s="12" t="s">
        <v>1880</v>
      </c>
      <c r="AG268" s="12" t="s">
        <v>81</v>
      </c>
      <c r="AH268" s="1">
        <f>HYPERLINK("https://my.pitchbook.com?c=270584-47T","View Company Online")</f>
      </c>
    </row>
    <row r="269">
      <c r="A269" s="3" t="s">
        <v>1881</v>
      </c>
      <c r="B269" s="3" t="s">
        <v>1882</v>
      </c>
      <c r="C269" s="5">
        <v>3</v>
      </c>
      <c r="D269" s="5">
        <v>4</v>
      </c>
      <c r="E269" s="5">
        <v>3</v>
      </c>
      <c r="F269" s="5">
        <v>7</v>
      </c>
      <c r="G269" s="6" t="s">
        <v>36</v>
      </c>
      <c r="H269" s="4" t="s">
        <v>36</v>
      </c>
      <c r="I269" s="7" t="s">
        <v>36</v>
      </c>
      <c r="J269" s="3" t="s">
        <v>36</v>
      </c>
      <c r="K269" s="9" t="s">
        <v>36</v>
      </c>
      <c r="L269" s="6" t="s">
        <v>36</v>
      </c>
      <c r="M269" s="3" t="s">
        <v>36</v>
      </c>
      <c r="N269" s="3" t="s">
        <v>36</v>
      </c>
      <c r="O269" s="8" t="s">
        <v>36</v>
      </c>
      <c r="P269" s="3" t="s">
        <v>36</v>
      </c>
      <c r="Q269" s="3" t="s">
        <v>36</v>
      </c>
      <c r="R269" s="3" t="s">
        <v>36</v>
      </c>
      <c r="S269" s="3" t="s">
        <v>1883</v>
      </c>
      <c r="T269" s="3" t="s">
        <v>1884</v>
      </c>
      <c r="U269" s="3" t="s">
        <v>74</v>
      </c>
      <c r="V269" s="3" t="s">
        <v>75</v>
      </c>
      <c r="W269" s="3" t="s">
        <v>1885</v>
      </c>
      <c r="X269" s="10" t="s">
        <v>1886</v>
      </c>
      <c r="Y269" s="6" t="s">
        <v>42</v>
      </c>
      <c r="Z269" s="4">
        <v>4.44</v>
      </c>
      <c r="AA269" s="4" t="s">
        <v>36</v>
      </c>
      <c r="AB269" s="3" t="s">
        <v>43</v>
      </c>
      <c r="AC269" s="3" t="s">
        <v>1887</v>
      </c>
      <c r="AD269" s="9">
        <v>45554</v>
      </c>
      <c r="AE269" s="3" t="s">
        <v>1888</v>
      </c>
      <c r="AF269" s="3" t="s">
        <v>1889</v>
      </c>
      <c r="AG269" s="3" t="s">
        <v>1890</v>
      </c>
      <c r="AH269" s="11">
        <f>HYPERLINK("https://my.pitchbook.com?c=272672-29T","View Company Online")</f>
      </c>
    </row>
    <row r="270">
      <c r="A270" s="12" t="s">
        <v>1891</v>
      </c>
      <c r="B270" s="12" t="s">
        <v>1892</v>
      </c>
      <c r="C270" s="19" t="s">
        <v>36</v>
      </c>
      <c r="D270" s="19" t="s">
        <v>36</v>
      </c>
      <c r="E270" s="19" t="s">
        <v>36</v>
      </c>
      <c r="F270" s="19" t="s">
        <v>36</v>
      </c>
      <c r="G270" s="15" t="s">
        <v>36</v>
      </c>
      <c r="H270" s="14" t="s">
        <v>36</v>
      </c>
      <c r="I270" s="18" t="s">
        <v>36</v>
      </c>
      <c r="J270" s="12" t="s">
        <v>36</v>
      </c>
      <c r="K270" s="13" t="s">
        <v>36</v>
      </c>
      <c r="L270" s="15" t="s">
        <v>36</v>
      </c>
      <c r="M270" s="12" t="s">
        <v>36</v>
      </c>
      <c r="N270" s="12" t="s">
        <v>36</v>
      </c>
      <c r="O270" s="17" t="s">
        <v>36</v>
      </c>
      <c r="P270" s="12" t="s">
        <v>36</v>
      </c>
      <c r="Q270" s="12" t="s">
        <v>36</v>
      </c>
      <c r="R270" s="12" t="s">
        <v>36</v>
      </c>
      <c r="S270" s="12" t="s">
        <v>36</v>
      </c>
      <c r="T270" s="12" t="s">
        <v>1893</v>
      </c>
      <c r="U270" s="12" t="s">
        <v>648</v>
      </c>
      <c r="V270" s="12" t="s">
        <v>64</v>
      </c>
      <c r="W270" s="12" t="s">
        <v>1894</v>
      </c>
      <c r="X270" s="16" t="s">
        <v>1895</v>
      </c>
      <c r="Y270" s="15" t="s">
        <v>108</v>
      </c>
      <c r="Z270" s="14">
        <v>3.33</v>
      </c>
      <c r="AA270" s="14" t="s">
        <v>36</v>
      </c>
      <c r="AB270" s="12" t="s">
        <v>56</v>
      </c>
      <c r="AC270" s="12" t="s">
        <v>1896</v>
      </c>
      <c r="AD270" s="13">
        <v>45554</v>
      </c>
      <c r="AE270" s="12" t="s">
        <v>1897</v>
      </c>
      <c r="AF270" s="12" t="s">
        <v>1115</v>
      </c>
      <c r="AG270" s="12" t="s">
        <v>1898</v>
      </c>
      <c r="AH270" s="1">
        <f>HYPERLINK("https://my.pitchbook.com?c=272473-21T","View Company Online")</f>
      </c>
    </row>
    <row r="271">
      <c r="A271" s="3" t="s">
        <v>1899</v>
      </c>
      <c r="B271" s="3" t="s">
        <v>1900</v>
      </c>
      <c r="C271" s="5" t="s">
        <v>36</v>
      </c>
      <c r="D271" s="5" t="s">
        <v>36</v>
      </c>
      <c r="E271" s="5" t="s">
        <v>36</v>
      </c>
      <c r="F271" s="5" t="s">
        <v>36</v>
      </c>
      <c r="G271" s="6" t="s">
        <v>36</v>
      </c>
      <c r="H271" s="4" t="s">
        <v>36</v>
      </c>
      <c r="I271" s="7" t="s">
        <v>36</v>
      </c>
      <c r="J271" s="3" t="s">
        <v>36</v>
      </c>
      <c r="K271" s="9" t="s">
        <v>36</v>
      </c>
      <c r="L271" s="6" t="s">
        <v>36</v>
      </c>
      <c r="M271" s="3" t="s">
        <v>36</v>
      </c>
      <c r="N271" s="3" t="s">
        <v>36</v>
      </c>
      <c r="O271" s="8" t="s">
        <v>36</v>
      </c>
      <c r="P271" s="3" t="s">
        <v>36</v>
      </c>
      <c r="Q271" s="3" t="s">
        <v>36</v>
      </c>
      <c r="R271" s="3" t="s">
        <v>36</v>
      </c>
      <c r="S271" s="3" t="s">
        <v>36</v>
      </c>
      <c r="T271" s="3" t="s">
        <v>1901</v>
      </c>
      <c r="U271" s="3" t="s">
        <v>51</v>
      </c>
      <c r="V271" s="3" t="s">
        <v>52</v>
      </c>
      <c r="W271" s="3" t="s">
        <v>1902</v>
      </c>
      <c r="X271" s="10" t="s">
        <v>1903</v>
      </c>
      <c r="Y271" s="6" t="s">
        <v>42</v>
      </c>
      <c r="Z271" s="4">
        <v>1.33</v>
      </c>
      <c r="AA271" s="4" t="s">
        <v>36</v>
      </c>
      <c r="AB271" s="3" t="s">
        <v>43</v>
      </c>
      <c r="AC271" s="3" t="s">
        <v>1904</v>
      </c>
      <c r="AD271" s="9">
        <v>45553</v>
      </c>
      <c r="AE271" s="3" t="s">
        <v>158</v>
      </c>
      <c r="AF271" s="3" t="s">
        <v>982</v>
      </c>
      <c r="AG271" s="3" t="s">
        <v>1905</v>
      </c>
      <c r="AH271" s="11">
        <f>HYPERLINK("https://my.pitchbook.com?c=262103-95T","View Company Online")</f>
      </c>
    </row>
    <row r="272">
      <c r="A272" s="12" t="s">
        <v>1906</v>
      </c>
      <c r="B272" s="12" t="s">
        <v>1907</v>
      </c>
      <c r="C272" s="19">
        <v>1</v>
      </c>
      <c r="D272" s="19" t="s">
        <v>36</v>
      </c>
      <c r="E272" s="19">
        <v>1</v>
      </c>
      <c r="F272" s="19">
        <v>1</v>
      </c>
      <c r="G272" s="15" t="s">
        <v>36</v>
      </c>
      <c r="H272" s="14">
        <v>105.21</v>
      </c>
      <c r="I272" s="18">
        <v>32.08</v>
      </c>
      <c r="J272" s="12" t="s">
        <v>521</v>
      </c>
      <c r="K272" s="13" t="s">
        <v>36</v>
      </c>
      <c r="L272" s="15" t="s">
        <v>36</v>
      </c>
      <c r="M272" s="12" t="s">
        <v>36</v>
      </c>
      <c r="N272" s="12" t="s">
        <v>36</v>
      </c>
      <c r="O272" s="17" t="s">
        <v>36</v>
      </c>
      <c r="P272" s="12" t="s">
        <v>36</v>
      </c>
      <c r="Q272" s="12" t="s">
        <v>36</v>
      </c>
      <c r="R272" s="12" t="s">
        <v>36</v>
      </c>
      <c r="S272" s="12" t="s">
        <v>36</v>
      </c>
      <c r="T272" s="12" t="s">
        <v>1908</v>
      </c>
      <c r="U272" s="12" t="s">
        <v>219</v>
      </c>
      <c r="V272" s="12" t="s">
        <v>75</v>
      </c>
      <c r="W272" s="12" t="s">
        <v>1909</v>
      </c>
      <c r="X272" s="16" t="s">
        <v>1910</v>
      </c>
      <c r="Y272" s="15" t="s">
        <v>55</v>
      </c>
      <c r="Z272" s="14">
        <v>4.32</v>
      </c>
      <c r="AA272" s="14">
        <v>13.47</v>
      </c>
      <c r="AB272" s="12" t="s">
        <v>56</v>
      </c>
      <c r="AC272" s="12" t="s">
        <v>1911</v>
      </c>
      <c r="AD272" s="13">
        <v>45553</v>
      </c>
      <c r="AE272" s="12" t="s">
        <v>1912</v>
      </c>
      <c r="AF272" s="12" t="s">
        <v>1913</v>
      </c>
      <c r="AG272" s="12" t="s">
        <v>81</v>
      </c>
      <c r="AH272" s="1">
        <f>HYPERLINK("https://my.pitchbook.com?c=274106-71T","View Company Online")</f>
      </c>
    </row>
    <row r="273">
      <c r="A273" s="3" t="s">
        <v>1914</v>
      </c>
      <c r="B273" s="3" t="s">
        <v>1915</v>
      </c>
      <c r="C273" s="5" t="s">
        <v>36</v>
      </c>
      <c r="D273" s="5" t="s">
        <v>36</v>
      </c>
      <c r="E273" s="5" t="s">
        <v>36</v>
      </c>
      <c r="F273" s="5" t="s">
        <v>36</v>
      </c>
      <c r="G273" s="6" t="s">
        <v>36</v>
      </c>
      <c r="H273" s="4" t="s">
        <v>36</v>
      </c>
      <c r="I273" s="7" t="s">
        <v>36</v>
      </c>
      <c r="J273" s="3" t="s">
        <v>36</v>
      </c>
      <c r="K273" s="9" t="s">
        <v>36</v>
      </c>
      <c r="L273" s="6" t="s">
        <v>36</v>
      </c>
      <c r="M273" s="3" t="s">
        <v>36</v>
      </c>
      <c r="N273" s="3" t="s">
        <v>36</v>
      </c>
      <c r="O273" s="8" t="s">
        <v>36</v>
      </c>
      <c r="P273" s="3" t="s">
        <v>36</v>
      </c>
      <c r="Q273" s="3" t="s">
        <v>36</v>
      </c>
      <c r="R273" s="3" t="s">
        <v>36</v>
      </c>
      <c r="S273" s="3" t="s">
        <v>36</v>
      </c>
      <c r="T273" s="3" t="s">
        <v>278</v>
      </c>
      <c r="U273" s="3" t="s">
        <v>279</v>
      </c>
      <c r="V273" s="3" t="s">
        <v>64</v>
      </c>
      <c r="W273" s="3" t="s">
        <v>1916</v>
      </c>
      <c r="X273" s="10" t="s">
        <v>1917</v>
      </c>
      <c r="Y273" s="6" t="s">
        <v>192</v>
      </c>
      <c r="Z273" s="4">
        <v>7.77</v>
      </c>
      <c r="AA273" s="4" t="s">
        <v>36</v>
      </c>
      <c r="AB273" s="3" t="s">
        <v>56</v>
      </c>
      <c r="AC273" s="3" t="s">
        <v>1918</v>
      </c>
      <c r="AD273" s="9">
        <v>45553</v>
      </c>
      <c r="AE273" s="3" t="s">
        <v>283</v>
      </c>
      <c r="AF273" s="3" t="s">
        <v>1919</v>
      </c>
      <c r="AG273" s="3" t="s">
        <v>443</v>
      </c>
      <c r="AH273" s="11">
        <f>HYPERLINK("https://my.pitchbook.com?c=272401-66T","View Company Online")</f>
      </c>
    </row>
    <row r="274">
      <c r="A274" s="12" t="s">
        <v>1920</v>
      </c>
      <c r="B274" s="12" t="s">
        <v>1921</v>
      </c>
      <c r="C274" s="19" t="s">
        <v>36</v>
      </c>
      <c r="D274" s="19" t="s">
        <v>36</v>
      </c>
      <c r="E274" s="19" t="s">
        <v>36</v>
      </c>
      <c r="F274" s="19" t="s">
        <v>36</v>
      </c>
      <c r="G274" s="15" t="s">
        <v>36</v>
      </c>
      <c r="H274" s="14" t="s">
        <v>36</v>
      </c>
      <c r="I274" s="18" t="s">
        <v>36</v>
      </c>
      <c r="J274" s="12" t="s">
        <v>36</v>
      </c>
      <c r="K274" s="13" t="s">
        <v>36</v>
      </c>
      <c r="L274" s="15" t="s">
        <v>36</v>
      </c>
      <c r="M274" s="12" t="s">
        <v>36</v>
      </c>
      <c r="N274" s="12" t="s">
        <v>36</v>
      </c>
      <c r="O274" s="17" t="s">
        <v>36</v>
      </c>
      <c r="P274" s="12" t="s">
        <v>36</v>
      </c>
      <c r="Q274" s="12" t="s">
        <v>36</v>
      </c>
      <c r="R274" s="12" t="s">
        <v>36</v>
      </c>
      <c r="S274" s="12" t="s">
        <v>36</v>
      </c>
      <c r="T274" s="12" t="s">
        <v>1922</v>
      </c>
      <c r="U274" s="12" t="s">
        <v>38</v>
      </c>
      <c r="V274" s="12" t="s">
        <v>39</v>
      </c>
      <c r="W274" s="12" t="s">
        <v>1923</v>
      </c>
      <c r="X274" s="16" t="s">
        <v>1924</v>
      </c>
      <c r="Y274" s="15" t="s">
        <v>42</v>
      </c>
      <c r="Z274" s="14">
        <v>5.5</v>
      </c>
      <c r="AA274" s="14" t="s">
        <v>36</v>
      </c>
      <c r="AB274" s="12" t="s">
        <v>43</v>
      </c>
      <c r="AC274" s="12" t="s">
        <v>1925</v>
      </c>
      <c r="AD274" s="13">
        <v>45552</v>
      </c>
      <c r="AE274" s="12" t="s">
        <v>1422</v>
      </c>
      <c r="AF274" s="12" t="s">
        <v>1926</v>
      </c>
      <c r="AG274" s="12" t="s">
        <v>81</v>
      </c>
      <c r="AH274" s="1">
        <f>HYPERLINK("https://my.pitchbook.com?c=272254-06T","View Company Online")</f>
      </c>
    </row>
    <row r="275">
      <c r="A275" s="3" t="s">
        <v>1927</v>
      </c>
      <c r="B275" s="3" t="s">
        <v>1928</v>
      </c>
      <c r="C275" s="5" t="s">
        <v>36</v>
      </c>
      <c r="D275" s="5" t="s">
        <v>36</v>
      </c>
      <c r="E275" s="5" t="s">
        <v>36</v>
      </c>
      <c r="F275" s="5" t="s">
        <v>36</v>
      </c>
      <c r="G275" s="6" t="s">
        <v>36</v>
      </c>
      <c r="H275" s="4" t="s">
        <v>36</v>
      </c>
      <c r="I275" s="7" t="s">
        <v>36</v>
      </c>
      <c r="J275" s="3" t="s">
        <v>36</v>
      </c>
      <c r="K275" s="9">
        <v>45552</v>
      </c>
      <c r="L275" s="6" t="s">
        <v>36</v>
      </c>
      <c r="M275" s="3" t="s">
        <v>36</v>
      </c>
      <c r="N275" s="3" t="s">
        <v>36</v>
      </c>
      <c r="O275" s="8" t="s">
        <v>36</v>
      </c>
      <c r="P275" s="3" t="s">
        <v>36</v>
      </c>
      <c r="Q275" s="3" t="s">
        <v>36</v>
      </c>
      <c r="R275" s="3" t="s">
        <v>36</v>
      </c>
      <c r="S275" s="3" t="s">
        <v>36</v>
      </c>
      <c r="T275" s="3" t="s">
        <v>1929</v>
      </c>
      <c r="U275" s="3" t="s">
        <v>85</v>
      </c>
      <c r="V275" s="3" t="s">
        <v>64</v>
      </c>
      <c r="W275" s="3" t="s">
        <v>1930</v>
      </c>
      <c r="X275" s="10" t="s">
        <v>1931</v>
      </c>
      <c r="Y275" s="6" t="s">
        <v>108</v>
      </c>
      <c r="Z275" s="4">
        <v>55.48</v>
      </c>
      <c r="AA275" s="4" t="s">
        <v>36</v>
      </c>
      <c r="AB275" s="3" t="s">
        <v>43</v>
      </c>
      <c r="AC275" s="3" t="s">
        <v>1932</v>
      </c>
      <c r="AD275" s="9">
        <v>45552</v>
      </c>
      <c r="AE275" s="3" t="s">
        <v>89</v>
      </c>
      <c r="AF275" s="3" t="s">
        <v>601</v>
      </c>
      <c r="AG275" s="3" t="s">
        <v>983</v>
      </c>
      <c r="AH275" s="11">
        <f>HYPERLINK("https://my.pitchbook.com?c=272430-91T","View Company Online")</f>
      </c>
    </row>
    <row r="276">
      <c r="A276" s="12" t="s">
        <v>1933</v>
      </c>
      <c r="B276" s="12" t="s">
        <v>1934</v>
      </c>
      <c r="C276" s="19" t="s">
        <v>36</v>
      </c>
      <c r="D276" s="19" t="s">
        <v>36</v>
      </c>
      <c r="E276" s="19" t="s">
        <v>36</v>
      </c>
      <c r="F276" s="19" t="s">
        <v>36</v>
      </c>
      <c r="G276" s="15" t="s">
        <v>36</v>
      </c>
      <c r="H276" s="14" t="s">
        <v>36</v>
      </c>
      <c r="I276" s="18" t="s">
        <v>36</v>
      </c>
      <c r="J276" s="12" t="s">
        <v>36</v>
      </c>
      <c r="K276" s="13" t="s">
        <v>36</v>
      </c>
      <c r="L276" s="15" t="s">
        <v>36</v>
      </c>
      <c r="M276" s="12" t="s">
        <v>36</v>
      </c>
      <c r="N276" s="12" t="s">
        <v>36</v>
      </c>
      <c r="O276" s="17" t="s">
        <v>36</v>
      </c>
      <c r="P276" s="12" t="s">
        <v>36</v>
      </c>
      <c r="Q276" s="12" t="s">
        <v>36</v>
      </c>
      <c r="R276" s="12" t="s">
        <v>36</v>
      </c>
      <c r="S276" s="12" t="s">
        <v>36</v>
      </c>
      <c r="T276" s="12" t="s">
        <v>1935</v>
      </c>
      <c r="U276" s="12" t="s">
        <v>38</v>
      </c>
      <c r="V276" s="12" t="s">
        <v>39</v>
      </c>
      <c r="W276" s="12" t="s">
        <v>1936</v>
      </c>
      <c r="X276" s="16" t="s">
        <v>1937</v>
      </c>
      <c r="Y276" s="15" t="s">
        <v>42</v>
      </c>
      <c r="Z276" s="14">
        <v>4.44</v>
      </c>
      <c r="AA276" s="14" t="s">
        <v>36</v>
      </c>
      <c r="AB276" s="12" t="s">
        <v>43</v>
      </c>
      <c r="AC276" s="12" t="s">
        <v>1938</v>
      </c>
      <c r="AD276" s="13">
        <v>45552</v>
      </c>
      <c r="AE276" s="12" t="s">
        <v>45</v>
      </c>
      <c r="AF276" s="12" t="s">
        <v>1115</v>
      </c>
      <c r="AG276" s="12" t="s">
        <v>81</v>
      </c>
      <c r="AH276" s="1">
        <f>HYPERLINK("https://my.pitchbook.com?c=266269-06T","View Company Online")</f>
      </c>
    </row>
    <row r="277">
      <c r="A277" s="3" t="s">
        <v>1939</v>
      </c>
      <c r="B277" s="3" t="s">
        <v>1940</v>
      </c>
      <c r="C277" s="5" t="s">
        <v>36</v>
      </c>
      <c r="D277" s="5" t="s">
        <v>36</v>
      </c>
      <c r="E277" s="5" t="s">
        <v>36</v>
      </c>
      <c r="F277" s="5" t="s">
        <v>36</v>
      </c>
      <c r="G277" s="6" t="s">
        <v>36</v>
      </c>
      <c r="H277" s="4" t="s">
        <v>36</v>
      </c>
      <c r="I277" s="7" t="s">
        <v>36</v>
      </c>
      <c r="J277" s="3" t="s">
        <v>36</v>
      </c>
      <c r="K277" s="9" t="s">
        <v>36</v>
      </c>
      <c r="L277" s="6" t="s">
        <v>36</v>
      </c>
      <c r="M277" s="3" t="s">
        <v>36</v>
      </c>
      <c r="N277" s="3" t="s">
        <v>36</v>
      </c>
      <c r="O277" s="8" t="s">
        <v>36</v>
      </c>
      <c r="P277" s="3" t="s">
        <v>36</v>
      </c>
      <c r="Q277" s="3" t="s">
        <v>36</v>
      </c>
      <c r="R277" s="3" t="s">
        <v>36</v>
      </c>
      <c r="S277" s="3" t="s">
        <v>1588</v>
      </c>
      <c r="T277" s="3" t="s">
        <v>1941</v>
      </c>
      <c r="U277" s="3" t="s">
        <v>38</v>
      </c>
      <c r="V277" s="3" t="s">
        <v>39</v>
      </c>
      <c r="W277" s="3" t="s">
        <v>1942</v>
      </c>
      <c r="X277" s="10" t="s">
        <v>1943</v>
      </c>
      <c r="Y277" s="6" t="s">
        <v>55</v>
      </c>
      <c r="Z277" s="4">
        <v>6.66</v>
      </c>
      <c r="AA277" s="4" t="s">
        <v>36</v>
      </c>
      <c r="AB277" s="3" t="s">
        <v>56</v>
      </c>
      <c r="AC277" s="3" t="s">
        <v>1944</v>
      </c>
      <c r="AD277" s="9">
        <v>45551</v>
      </c>
      <c r="AE277" s="3" t="s">
        <v>1945</v>
      </c>
      <c r="AF277" s="3" t="s">
        <v>1946</v>
      </c>
      <c r="AG277" s="3" t="s">
        <v>81</v>
      </c>
      <c r="AH277" s="11">
        <f>HYPERLINK("https://my.pitchbook.com?c=272128-24T","View Company Online")</f>
      </c>
    </row>
    <row r="278">
      <c r="A278" s="12" t="s">
        <v>1947</v>
      </c>
      <c r="B278" s="12" t="s">
        <v>49</v>
      </c>
      <c r="C278" s="19">
        <v>1</v>
      </c>
      <c r="D278" s="19">
        <v>6</v>
      </c>
      <c r="E278" s="19">
        <v>4</v>
      </c>
      <c r="F278" s="19">
        <v>7</v>
      </c>
      <c r="G278" s="15" t="s">
        <v>326</v>
      </c>
      <c r="H278" s="14">
        <v>160.26</v>
      </c>
      <c r="I278" s="18">
        <v>22.42</v>
      </c>
      <c r="J278" s="12" t="s">
        <v>521</v>
      </c>
      <c r="K278" s="13" t="s">
        <v>36</v>
      </c>
      <c r="L278" s="15" t="s">
        <v>36</v>
      </c>
      <c r="M278" s="12" t="s">
        <v>36</v>
      </c>
      <c r="N278" s="12" t="s">
        <v>36</v>
      </c>
      <c r="O278" s="17" t="s">
        <v>36</v>
      </c>
      <c r="P278" s="12" t="s">
        <v>36</v>
      </c>
      <c r="Q278" s="12" t="s">
        <v>36</v>
      </c>
      <c r="R278" s="12" t="s">
        <v>36</v>
      </c>
      <c r="S278" s="12" t="s">
        <v>36</v>
      </c>
      <c r="T278" s="12" t="s">
        <v>50</v>
      </c>
      <c r="U278" s="12" t="s">
        <v>51</v>
      </c>
      <c r="V278" s="12" t="s">
        <v>52</v>
      </c>
      <c r="W278" s="12" t="s">
        <v>53</v>
      </c>
      <c r="X278" s="16" t="s">
        <v>1948</v>
      </c>
      <c r="Y278" s="15" t="s">
        <v>108</v>
      </c>
      <c r="Z278" s="14">
        <v>21.77</v>
      </c>
      <c r="AA278" s="14">
        <v>97.1</v>
      </c>
      <c r="AB278" s="12" t="s">
        <v>56</v>
      </c>
      <c r="AC278" s="12" t="s">
        <v>57</v>
      </c>
      <c r="AD278" s="13">
        <v>45551</v>
      </c>
      <c r="AE278" s="12" t="s">
        <v>58</v>
      </c>
      <c r="AF278" s="12" t="s">
        <v>59</v>
      </c>
      <c r="AG278" s="12" t="s">
        <v>47</v>
      </c>
      <c r="AH278" s="1">
        <f>HYPERLINK("https://my.pitchbook.com?c=242548-93T","View Company Online")</f>
      </c>
    </row>
    <row r="279">
      <c r="A279" s="3" t="s">
        <v>1949</v>
      </c>
      <c r="B279" s="3" t="s">
        <v>1950</v>
      </c>
      <c r="C279" s="5">
        <v>8</v>
      </c>
      <c r="D279" s="5">
        <v>4</v>
      </c>
      <c r="E279" s="5">
        <v>5</v>
      </c>
      <c r="F279" s="5">
        <v>12</v>
      </c>
      <c r="G279" s="6" t="s">
        <v>36</v>
      </c>
      <c r="H279" s="4" t="s">
        <v>36</v>
      </c>
      <c r="I279" s="7" t="s">
        <v>36</v>
      </c>
      <c r="J279" s="3" t="s">
        <v>36</v>
      </c>
      <c r="K279" s="9" t="s">
        <v>36</v>
      </c>
      <c r="L279" s="6" t="s">
        <v>122</v>
      </c>
      <c r="M279" s="3" t="s">
        <v>36</v>
      </c>
      <c r="N279" s="3" t="s">
        <v>122</v>
      </c>
      <c r="O279" s="8" t="s">
        <v>36</v>
      </c>
      <c r="P279" s="3" t="s">
        <v>36</v>
      </c>
      <c r="Q279" s="3" t="s">
        <v>36</v>
      </c>
      <c r="R279" s="3" t="s">
        <v>36</v>
      </c>
      <c r="S279" s="3" t="s">
        <v>36</v>
      </c>
      <c r="T279" s="3" t="s">
        <v>1951</v>
      </c>
      <c r="U279" s="3" t="s">
        <v>51</v>
      </c>
      <c r="V279" s="3" t="s">
        <v>52</v>
      </c>
      <c r="W279" s="3" t="s">
        <v>1952</v>
      </c>
      <c r="X279" s="10" t="s">
        <v>1953</v>
      </c>
      <c r="Y279" s="6" t="s">
        <v>108</v>
      </c>
      <c r="Z279" s="4">
        <v>38.79</v>
      </c>
      <c r="AA279" s="4" t="s">
        <v>36</v>
      </c>
      <c r="AB279" s="3" t="s">
        <v>56</v>
      </c>
      <c r="AC279" s="3" t="s">
        <v>1954</v>
      </c>
      <c r="AD279" s="9">
        <v>45547</v>
      </c>
      <c r="AE279" s="3" t="s">
        <v>158</v>
      </c>
      <c r="AF279" s="3" t="s">
        <v>1955</v>
      </c>
      <c r="AG279" s="3" t="s">
        <v>81</v>
      </c>
      <c r="AH279" s="11">
        <f>HYPERLINK("https://my.pitchbook.com?c=271951-75T","View Company Online")</f>
      </c>
    </row>
    <row r="280">
      <c r="A280" s="12" t="s">
        <v>1956</v>
      </c>
      <c r="B280" s="12" t="s">
        <v>1957</v>
      </c>
      <c r="C280" s="19">
        <v>3</v>
      </c>
      <c r="D280" s="19" t="s">
        <v>36</v>
      </c>
      <c r="E280" s="19">
        <v>1</v>
      </c>
      <c r="F280" s="19">
        <v>4</v>
      </c>
      <c r="G280" s="15" t="s">
        <v>326</v>
      </c>
      <c r="H280" s="14" t="s">
        <v>36</v>
      </c>
      <c r="I280" s="18">
        <v>13.82</v>
      </c>
      <c r="J280" s="12" t="s">
        <v>327</v>
      </c>
      <c r="K280" s="13">
        <v>45468</v>
      </c>
      <c r="L280" s="15" t="s">
        <v>1279</v>
      </c>
      <c r="M280" s="12" t="s">
        <v>36</v>
      </c>
      <c r="N280" s="12" t="s">
        <v>1279</v>
      </c>
      <c r="O280" s="17" t="s">
        <v>36</v>
      </c>
      <c r="P280" s="12" t="s">
        <v>36</v>
      </c>
      <c r="Q280" s="12" t="s">
        <v>36</v>
      </c>
      <c r="R280" s="12" t="s">
        <v>36</v>
      </c>
      <c r="S280" s="12" t="s">
        <v>36</v>
      </c>
      <c r="T280" s="12" t="s">
        <v>1958</v>
      </c>
      <c r="U280" s="12" t="s">
        <v>38</v>
      </c>
      <c r="V280" s="12" t="s">
        <v>39</v>
      </c>
      <c r="W280" s="12" t="s">
        <v>1959</v>
      </c>
      <c r="X280" s="16" t="s">
        <v>1960</v>
      </c>
      <c r="Y280" s="15" t="s">
        <v>321</v>
      </c>
      <c r="Z280" s="14">
        <v>120.45</v>
      </c>
      <c r="AA280" s="14">
        <v>871.73</v>
      </c>
      <c r="AB280" s="12" t="s">
        <v>56</v>
      </c>
      <c r="AC280" s="12" t="s">
        <v>1961</v>
      </c>
      <c r="AD280" s="13">
        <v>45547</v>
      </c>
      <c r="AE280" s="12" t="s">
        <v>45</v>
      </c>
      <c r="AF280" s="12" t="s">
        <v>1962</v>
      </c>
      <c r="AG280" s="12" t="s">
        <v>81</v>
      </c>
      <c r="AH280" s="1">
        <f>HYPERLINK("https://my.pitchbook.com?c=265017-43T","View Company Online")</f>
      </c>
    </row>
    <row r="281">
      <c r="A281" s="3" t="s">
        <v>1963</v>
      </c>
      <c r="B281" s="3" t="s">
        <v>1964</v>
      </c>
      <c r="C281" s="5" t="s">
        <v>36</v>
      </c>
      <c r="D281" s="5" t="s">
        <v>36</v>
      </c>
      <c r="E281" s="5" t="s">
        <v>36</v>
      </c>
      <c r="F281" s="5" t="s">
        <v>36</v>
      </c>
      <c r="G281" s="6" t="s">
        <v>36</v>
      </c>
      <c r="H281" s="4" t="s">
        <v>36</v>
      </c>
      <c r="I281" s="7" t="s">
        <v>36</v>
      </c>
      <c r="J281" s="3" t="s">
        <v>36</v>
      </c>
      <c r="K281" s="9" t="s">
        <v>36</v>
      </c>
      <c r="L281" s="6" t="s">
        <v>36</v>
      </c>
      <c r="M281" s="3" t="s">
        <v>36</v>
      </c>
      <c r="N281" s="3" t="s">
        <v>36</v>
      </c>
      <c r="O281" s="8" t="s">
        <v>36</v>
      </c>
      <c r="P281" s="3" t="s">
        <v>36</v>
      </c>
      <c r="Q281" s="3" t="s">
        <v>36</v>
      </c>
      <c r="R281" s="3" t="s">
        <v>36</v>
      </c>
      <c r="S281" s="3" t="s">
        <v>36</v>
      </c>
      <c r="T281" s="3" t="s">
        <v>1965</v>
      </c>
      <c r="U281" s="3" t="s">
        <v>219</v>
      </c>
      <c r="V281" s="3" t="s">
        <v>75</v>
      </c>
      <c r="W281" s="3" t="s">
        <v>1966</v>
      </c>
      <c r="X281" s="10" t="s">
        <v>1967</v>
      </c>
      <c r="Y281" s="6" t="s">
        <v>42</v>
      </c>
      <c r="Z281" s="4">
        <v>3.6</v>
      </c>
      <c r="AA281" s="4" t="s">
        <v>36</v>
      </c>
      <c r="AB281" s="3" t="s">
        <v>43</v>
      </c>
      <c r="AC281" s="3" t="s">
        <v>1968</v>
      </c>
      <c r="AD281" s="9">
        <v>45547</v>
      </c>
      <c r="AE281" s="3" t="s">
        <v>1912</v>
      </c>
      <c r="AF281" s="3" t="s">
        <v>1969</v>
      </c>
      <c r="AG281" s="3" t="s">
        <v>1970</v>
      </c>
      <c r="AH281" s="11">
        <f>HYPERLINK("https://my.pitchbook.com?c=272256-13T","View Company Online")</f>
      </c>
    </row>
    <row r="282">
      <c r="A282" s="12" t="s">
        <v>1971</v>
      </c>
      <c r="B282" s="12" t="s">
        <v>1972</v>
      </c>
      <c r="C282" s="19" t="s">
        <v>36</v>
      </c>
      <c r="D282" s="19" t="s">
        <v>36</v>
      </c>
      <c r="E282" s="19" t="s">
        <v>36</v>
      </c>
      <c r="F282" s="19" t="s">
        <v>36</v>
      </c>
      <c r="G282" s="15" t="s">
        <v>36</v>
      </c>
      <c r="H282" s="14" t="s">
        <v>36</v>
      </c>
      <c r="I282" s="18" t="s">
        <v>36</v>
      </c>
      <c r="J282" s="12" t="s">
        <v>36</v>
      </c>
      <c r="K282" s="13" t="s">
        <v>36</v>
      </c>
      <c r="L282" s="15" t="s">
        <v>36</v>
      </c>
      <c r="M282" s="12" t="s">
        <v>36</v>
      </c>
      <c r="N282" s="12" t="s">
        <v>36</v>
      </c>
      <c r="O282" s="17" t="s">
        <v>36</v>
      </c>
      <c r="P282" s="12" t="s">
        <v>36</v>
      </c>
      <c r="Q282" s="12" t="s">
        <v>36</v>
      </c>
      <c r="R282" s="12" t="s">
        <v>36</v>
      </c>
      <c r="S282" s="12" t="s">
        <v>36</v>
      </c>
      <c r="T282" s="12" t="s">
        <v>1973</v>
      </c>
      <c r="U282" s="12" t="s">
        <v>728</v>
      </c>
      <c r="V282" s="12" t="s">
        <v>64</v>
      </c>
      <c r="W282" s="12" t="s">
        <v>1974</v>
      </c>
      <c r="X282" s="16" t="s">
        <v>1975</v>
      </c>
      <c r="Y282" s="15" t="s">
        <v>42</v>
      </c>
      <c r="Z282" s="14">
        <v>2.22</v>
      </c>
      <c r="AA282" s="14" t="s">
        <v>36</v>
      </c>
      <c r="AB282" s="12" t="s">
        <v>43</v>
      </c>
      <c r="AC282" s="12" t="s">
        <v>1976</v>
      </c>
      <c r="AD282" s="13">
        <v>45546</v>
      </c>
      <c r="AE282" s="12" t="s">
        <v>1600</v>
      </c>
      <c r="AF282" s="12" t="s">
        <v>1977</v>
      </c>
      <c r="AG282" s="12" t="s">
        <v>1978</v>
      </c>
      <c r="AH282" s="1">
        <f>HYPERLINK("https://my.pitchbook.com?c=271940-14T","View Company Online")</f>
      </c>
    </row>
    <row r="283">
      <c r="A283" s="3" t="s">
        <v>1979</v>
      </c>
      <c r="B283" s="3" t="s">
        <v>1980</v>
      </c>
      <c r="C283" s="5" t="s">
        <v>36</v>
      </c>
      <c r="D283" s="5" t="s">
        <v>36</v>
      </c>
      <c r="E283" s="5" t="s">
        <v>36</v>
      </c>
      <c r="F283" s="5" t="s">
        <v>36</v>
      </c>
      <c r="G283" s="6" t="s">
        <v>36</v>
      </c>
      <c r="H283" s="4" t="s">
        <v>36</v>
      </c>
      <c r="I283" s="7" t="s">
        <v>36</v>
      </c>
      <c r="J283" s="3" t="s">
        <v>36</v>
      </c>
      <c r="K283" s="9">
        <v>45545</v>
      </c>
      <c r="L283" s="6" t="s">
        <v>1981</v>
      </c>
      <c r="M283" s="3" t="s">
        <v>36</v>
      </c>
      <c r="N283" s="3" t="s">
        <v>1981</v>
      </c>
      <c r="O283" s="8" t="s">
        <v>36</v>
      </c>
      <c r="P283" s="3" t="s">
        <v>36</v>
      </c>
      <c r="Q283" s="3" t="s">
        <v>36</v>
      </c>
      <c r="R283" s="3" t="s">
        <v>36</v>
      </c>
      <c r="S283" s="3" t="s">
        <v>36</v>
      </c>
      <c r="T283" s="3" t="s">
        <v>1982</v>
      </c>
      <c r="U283" s="3" t="s">
        <v>38</v>
      </c>
      <c r="V283" s="3" t="s">
        <v>39</v>
      </c>
      <c r="W283" s="3" t="s">
        <v>1983</v>
      </c>
      <c r="X283" s="10" t="s">
        <v>1984</v>
      </c>
      <c r="Y283" s="6" t="s">
        <v>108</v>
      </c>
      <c r="Z283" s="4">
        <v>55.4</v>
      </c>
      <c r="AA283" s="4" t="s">
        <v>36</v>
      </c>
      <c r="AB283" s="3" t="s">
        <v>43</v>
      </c>
      <c r="AC283" s="3" t="s">
        <v>1985</v>
      </c>
      <c r="AD283" s="9">
        <v>45546</v>
      </c>
      <c r="AE283" s="3" t="s">
        <v>110</v>
      </c>
      <c r="AF283" s="3" t="s">
        <v>1986</v>
      </c>
      <c r="AG283" s="3" t="s">
        <v>102</v>
      </c>
      <c r="AH283" s="11">
        <f>HYPERLINK("https://my.pitchbook.com?c=271730-71T","View Company Online")</f>
      </c>
    </row>
    <row r="284">
      <c r="A284" s="12" t="s">
        <v>1987</v>
      </c>
      <c r="B284" s="12" t="s">
        <v>1988</v>
      </c>
      <c r="C284" s="19" t="s">
        <v>36</v>
      </c>
      <c r="D284" s="19" t="s">
        <v>36</v>
      </c>
      <c r="E284" s="19" t="s">
        <v>36</v>
      </c>
      <c r="F284" s="19" t="s">
        <v>36</v>
      </c>
      <c r="G284" s="15" t="s">
        <v>36</v>
      </c>
      <c r="H284" s="14" t="s">
        <v>36</v>
      </c>
      <c r="I284" s="18" t="s">
        <v>36</v>
      </c>
      <c r="J284" s="12" t="s">
        <v>36</v>
      </c>
      <c r="K284" s="13" t="s">
        <v>36</v>
      </c>
      <c r="L284" s="15" t="s">
        <v>36</v>
      </c>
      <c r="M284" s="12" t="s">
        <v>36</v>
      </c>
      <c r="N284" s="12" t="s">
        <v>36</v>
      </c>
      <c r="O284" s="17" t="s">
        <v>36</v>
      </c>
      <c r="P284" s="12" t="s">
        <v>36</v>
      </c>
      <c r="Q284" s="12" t="s">
        <v>36</v>
      </c>
      <c r="R284" s="12" t="s">
        <v>36</v>
      </c>
      <c r="S284" s="12" t="s">
        <v>1989</v>
      </c>
      <c r="T284" s="12" t="s">
        <v>1990</v>
      </c>
      <c r="U284" s="12" t="s">
        <v>38</v>
      </c>
      <c r="V284" s="12" t="s">
        <v>39</v>
      </c>
      <c r="W284" s="12" t="s">
        <v>1991</v>
      </c>
      <c r="X284" s="16" t="s">
        <v>1992</v>
      </c>
      <c r="Y284" s="15" t="s">
        <v>108</v>
      </c>
      <c r="Z284" s="14">
        <v>4.43</v>
      </c>
      <c r="AA284" s="14" t="s">
        <v>36</v>
      </c>
      <c r="AB284" s="12" t="s">
        <v>56</v>
      </c>
      <c r="AC284" s="12" t="s">
        <v>1993</v>
      </c>
      <c r="AD284" s="13">
        <v>45546</v>
      </c>
      <c r="AE284" s="12" t="s">
        <v>110</v>
      </c>
      <c r="AF284" s="12" t="s">
        <v>176</v>
      </c>
      <c r="AG284" s="12" t="s">
        <v>899</v>
      </c>
      <c r="AH284" s="1">
        <f>HYPERLINK("https://my.pitchbook.com?c=271789-57T","View Company Online")</f>
      </c>
    </row>
    <row r="285">
      <c r="A285" s="3" t="s">
        <v>1994</v>
      </c>
      <c r="B285" s="3" t="s">
        <v>1995</v>
      </c>
      <c r="C285" s="5" t="s">
        <v>36</v>
      </c>
      <c r="D285" s="5" t="s">
        <v>36</v>
      </c>
      <c r="E285" s="5" t="s">
        <v>36</v>
      </c>
      <c r="F285" s="5" t="s">
        <v>36</v>
      </c>
      <c r="G285" s="6" t="s">
        <v>36</v>
      </c>
      <c r="H285" s="4" t="s">
        <v>36</v>
      </c>
      <c r="I285" s="7" t="s">
        <v>36</v>
      </c>
      <c r="J285" s="3" t="s">
        <v>36</v>
      </c>
      <c r="K285" s="9" t="s">
        <v>36</v>
      </c>
      <c r="L285" s="6" t="s">
        <v>36</v>
      </c>
      <c r="M285" s="3" t="s">
        <v>36</v>
      </c>
      <c r="N285" s="3" t="s">
        <v>36</v>
      </c>
      <c r="O285" s="8" t="s">
        <v>36</v>
      </c>
      <c r="P285" s="3" t="s">
        <v>36</v>
      </c>
      <c r="Q285" s="3" t="s">
        <v>36</v>
      </c>
      <c r="R285" s="3" t="s">
        <v>36</v>
      </c>
      <c r="S285" s="3" t="s">
        <v>36</v>
      </c>
      <c r="T285" s="3" t="s">
        <v>522</v>
      </c>
      <c r="U285" s="3" t="s">
        <v>38</v>
      </c>
      <c r="V285" s="3" t="s">
        <v>39</v>
      </c>
      <c r="W285" s="3" t="s">
        <v>1996</v>
      </c>
      <c r="X285" s="10" t="s">
        <v>1997</v>
      </c>
      <c r="Y285" s="6" t="s">
        <v>108</v>
      </c>
      <c r="Z285" s="4">
        <v>2.44</v>
      </c>
      <c r="AA285" s="4" t="s">
        <v>36</v>
      </c>
      <c r="AB285" s="3" t="s">
        <v>43</v>
      </c>
      <c r="AC285" s="3" t="s">
        <v>1998</v>
      </c>
      <c r="AD285" s="9">
        <v>45545</v>
      </c>
      <c r="AE285" s="3" t="s">
        <v>110</v>
      </c>
      <c r="AF285" s="3" t="s">
        <v>1999</v>
      </c>
      <c r="AG285" s="3" t="s">
        <v>2000</v>
      </c>
      <c r="AH285" s="11">
        <f>HYPERLINK("https://my.pitchbook.com?c=271741-96T","View Company Online")</f>
      </c>
    </row>
    <row r="286">
      <c r="A286" s="12" t="s">
        <v>2001</v>
      </c>
      <c r="B286" s="12" t="s">
        <v>2002</v>
      </c>
      <c r="C286" s="19">
        <v>4</v>
      </c>
      <c r="D286" s="19" t="s">
        <v>36</v>
      </c>
      <c r="E286" s="19">
        <v>3</v>
      </c>
      <c r="F286" s="19">
        <v>6</v>
      </c>
      <c r="G286" s="15" t="s">
        <v>36</v>
      </c>
      <c r="H286" s="14" t="s">
        <v>36</v>
      </c>
      <c r="I286" s="18">
        <v>46.36</v>
      </c>
      <c r="J286" s="12" t="s">
        <v>36</v>
      </c>
      <c r="K286" s="13" t="s">
        <v>36</v>
      </c>
      <c r="L286" s="15" t="s">
        <v>122</v>
      </c>
      <c r="M286" s="12" t="s">
        <v>36</v>
      </c>
      <c r="N286" s="12" t="s">
        <v>122</v>
      </c>
      <c r="O286" s="17" t="s">
        <v>36</v>
      </c>
      <c r="P286" s="12" t="s">
        <v>36</v>
      </c>
      <c r="Q286" s="12" t="s">
        <v>36</v>
      </c>
      <c r="R286" s="12" t="s">
        <v>36</v>
      </c>
      <c r="S286" s="12" t="s">
        <v>36</v>
      </c>
      <c r="T286" s="12" t="s">
        <v>2003</v>
      </c>
      <c r="U286" s="12" t="s">
        <v>96</v>
      </c>
      <c r="V286" s="12" t="s">
        <v>52</v>
      </c>
      <c r="W286" s="12" t="s">
        <v>2004</v>
      </c>
      <c r="X286" s="16" t="s">
        <v>2005</v>
      </c>
      <c r="Y286" s="15" t="s">
        <v>108</v>
      </c>
      <c r="Z286" s="14">
        <v>18.28</v>
      </c>
      <c r="AA286" s="14" t="s">
        <v>36</v>
      </c>
      <c r="AB286" s="12" t="s">
        <v>43</v>
      </c>
      <c r="AC286" s="12" t="s">
        <v>2006</v>
      </c>
      <c r="AD286" s="13">
        <v>45545</v>
      </c>
      <c r="AE286" s="12" t="s">
        <v>143</v>
      </c>
      <c r="AF286" s="12" t="s">
        <v>885</v>
      </c>
      <c r="AG286" s="12" t="s">
        <v>1362</v>
      </c>
      <c r="AH286" s="1">
        <f>HYPERLINK("https://my.pitchbook.com?c=271700-65T","View Company Online")</f>
      </c>
    </row>
    <row r="287">
      <c r="A287" s="3" t="s">
        <v>2007</v>
      </c>
      <c r="B287" s="3" t="s">
        <v>2008</v>
      </c>
      <c r="C287" s="5" t="s">
        <v>36</v>
      </c>
      <c r="D287" s="5" t="s">
        <v>36</v>
      </c>
      <c r="E287" s="5" t="s">
        <v>36</v>
      </c>
      <c r="F287" s="5" t="s">
        <v>36</v>
      </c>
      <c r="G287" s="6" t="s">
        <v>36</v>
      </c>
      <c r="H287" s="4">
        <v>205.38</v>
      </c>
      <c r="I287" s="7">
        <v>31.42</v>
      </c>
      <c r="J287" s="3" t="s">
        <v>521</v>
      </c>
      <c r="K287" s="9" t="s">
        <v>36</v>
      </c>
      <c r="L287" s="6" t="s">
        <v>36</v>
      </c>
      <c r="M287" s="3" t="s">
        <v>36</v>
      </c>
      <c r="N287" s="3" t="s">
        <v>36</v>
      </c>
      <c r="O287" s="8" t="s">
        <v>36</v>
      </c>
      <c r="P287" s="3" t="s">
        <v>36</v>
      </c>
      <c r="Q287" s="3" t="s">
        <v>36</v>
      </c>
      <c r="R287" s="3" t="s">
        <v>36</v>
      </c>
      <c r="S287" s="3" t="s">
        <v>36</v>
      </c>
      <c r="T287" s="3" t="s">
        <v>2009</v>
      </c>
      <c r="U287" s="3" t="s">
        <v>219</v>
      </c>
      <c r="V287" s="3" t="s">
        <v>75</v>
      </c>
      <c r="W287" s="3" t="s">
        <v>2010</v>
      </c>
      <c r="X287" s="10" t="s">
        <v>2011</v>
      </c>
      <c r="Y287" s="6" t="s">
        <v>42</v>
      </c>
      <c r="Z287" s="4">
        <v>5.12</v>
      </c>
      <c r="AA287" s="4">
        <v>16.29</v>
      </c>
      <c r="AB287" s="3" t="s">
        <v>56</v>
      </c>
      <c r="AC287" s="3" t="s">
        <v>2012</v>
      </c>
      <c r="AD287" s="9">
        <v>45545</v>
      </c>
      <c r="AE287" s="3" t="s">
        <v>223</v>
      </c>
      <c r="AF287" s="3" t="s">
        <v>1216</v>
      </c>
      <c r="AG287" s="3" t="s">
        <v>382</v>
      </c>
      <c r="AH287" s="11">
        <f>HYPERLINK("https://my.pitchbook.com?c=271819-63T","View Company Online")</f>
      </c>
    </row>
    <row r="288">
      <c r="A288" s="12" t="s">
        <v>2013</v>
      </c>
      <c r="B288" s="12" t="s">
        <v>2014</v>
      </c>
      <c r="C288" s="19" t="s">
        <v>36</v>
      </c>
      <c r="D288" s="19" t="s">
        <v>36</v>
      </c>
      <c r="E288" s="19" t="s">
        <v>36</v>
      </c>
      <c r="F288" s="19" t="s">
        <v>36</v>
      </c>
      <c r="G288" s="15" t="s">
        <v>326</v>
      </c>
      <c r="H288" s="14" t="s">
        <v>36</v>
      </c>
      <c r="I288" s="18">
        <v>25.18</v>
      </c>
      <c r="J288" s="12" t="s">
        <v>327</v>
      </c>
      <c r="K288" s="13">
        <v>45471</v>
      </c>
      <c r="L288" s="15" t="s">
        <v>94</v>
      </c>
      <c r="M288" s="12" t="s">
        <v>36</v>
      </c>
      <c r="N288" s="12" t="s">
        <v>94</v>
      </c>
      <c r="O288" s="17" t="s">
        <v>36</v>
      </c>
      <c r="P288" s="12" t="s">
        <v>36</v>
      </c>
      <c r="Q288" s="12" t="s">
        <v>36</v>
      </c>
      <c r="R288" s="12" t="s">
        <v>36</v>
      </c>
      <c r="S288" s="12" t="s">
        <v>36</v>
      </c>
      <c r="T288" s="12" t="s">
        <v>2015</v>
      </c>
      <c r="U288" s="12" t="s">
        <v>318</v>
      </c>
      <c r="V288" s="12" t="s">
        <v>39</v>
      </c>
      <c r="W288" s="12" t="s">
        <v>2016</v>
      </c>
      <c r="X288" s="16" t="s">
        <v>2017</v>
      </c>
      <c r="Y288" s="15" t="s">
        <v>55</v>
      </c>
      <c r="Z288" s="14">
        <v>13.14</v>
      </c>
      <c r="AA288" s="14">
        <v>52.17</v>
      </c>
      <c r="AB288" s="12" t="s">
        <v>56</v>
      </c>
      <c r="AC288" s="12" t="s">
        <v>2018</v>
      </c>
      <c r="AD288" s="13">
        <v>45545</v>
      </c>
      <c r="AE288" s="12" t="s">
        <v>763</v>
      </c>
      <c r="AF288" s="12" t="s">
        <v>2019</v>
      </c>
      <c r="AG288" s="12" t="s">
        <v>81</v>
      </c>
      <c r="AH288" s="1">
        <f>HYPERLINK("https://my.pitchbook.com?c=271643-95T","View Company Online")</f>
      </c>
    </row>
    <row r="289">
      <c r="A289" s="3" t="s">
        <v>2020</v>
      </c>
      <c r="B289" s="3" t="s">
        <v>2021</v>
      </c>
      <c r="C289" s="5" t="s">
        <v>36</v>
      </c>
      <c r="D289" s="5" t="s">
        <v>36</v>
      </c>
      <c r="E289" s="5" t="s">
        <v>36</v>
      </c>
      <c r="F289" s="5" t="s">
        <v>36</v>
      </c>
      <c r="G289" s="6" t="s">
        <v>36</v>
      </c>
      <c r="H289" s="4">
        <v>186.94</v>
      </c>
      <c r="I289" s="7">
        <v>37.19</v>
      </c>
      <c r="J289" s="3" t="s">
        <v>521</v>
      </c>
      <c r="K289" s="9" t="s">
        <v>36</v>
      </c>
      <c r="L289" s="6" t="s">
        <v>36</v>
      </c>
      <c r="M289" s="3" t="s">
        <v>36</v>
      </c>
      <c r="N289" s="3" t="s">
        <v>36</v>
      </c>
      <c r="O289" s="8" t="s">
        <v>36</v>
      </c>
      <c r="P289" s="3" t="s">
        <v>36</v>
      </c>
      <c r="Q289" s="3" t="s">
        <v>36</v>
      </c>
      <c r="R289" s="3" t="s">
        <v>36</v>
      </c>
      <c r="S289" s="3" t="s">
        <v>36</v>
      </c>
      <c r="T289" s="3" t="s">
        <v>2022</v>
      </c>
      <c r="U289" s="3" t="s">
        <v>38</v>
      </c>
      <c r="V289" s="3" t="s">
        <v>39</v>
      </c>
      <c r="W289" s="3" t="s">
        <v>2023</v>
      </c>
      <c r="X289" s="10" t="s">
        <v>2024</v>
      </c>
      <c r="Y289" s="6" t="s">
        <v>42</v>
      </c>
      <c r="Z289" s="4">
        <v>1.18</v>
      </c>
      <c r="AA289" s="4">
        <v>3.17</v>
      </c>
      <c r="AB289" s="3" t="s">
        <v>43</v>
      </c>
      <c r="AC289" s="3" t="s">
        <v>2025</v>
      </c>
      <c r="AD289" s="9">
        <v>45545</v>
      </c>
      <c r="AE289" s="3" t="s">
        <v>1422</v>
      </c>
      <c r="AF289" s="3" t="s">
        <v>2026</v>
      </c>
      <c r="AG289" s="3" t="s">
        <v>270</v>
      </c>
      <c r="AH289" s="11">
        <f>HYPERLINK("https://my.pitchbook.com?c=271814-32T","View Company Online")</f>
      </c>
    </row>
    <row r="290">
      <c r="A290" s="12" t="s">
        <v>2027</v>
      </c>
      <c r="B290" s="12" t="s">
        <v>2028</v>
      </c>
      <c r="C290" s="19" t="s">
        <v>36</v>
      </c>
      <c r="D290" s="19" t="s">
        <v>36</v>
      </c>
      <c r="E290" s="19" t="s">
        <v>36</v>
      </c>
      <c r="F290" s="19" t="s">
        <v>36</v>
      </c>
      <c r="G290" s="15" t="s">
        <v>36</v>
      </c>
      <c r="H290" s="14" t="s">
        <v>36</v>
      </c>
      <c r="I290" s="18" t="s">
        <v>36</v>
      </c>
      <c r="J290" s="12" t="s">
        <v>36</v>
      </c>
      <c r="K290" s="13" t="s">
        <v>36</v>
      </c>
      <c r="L290" s="15" t="s">
        <v>122</v>
      </c>
      <c r="M290" s="12" t="s">
        <v>36</v>
      </c>
      <c r="N290" s="12" t="s">
        <v>122</v>
      </c>
      <c r="O290" s="17" t="s">
        <v>36</v>
      </c>
      <c r="P290" s="12" t="s">
        <v>36</v>
      </c>
      <c r="Q290" s="12" t="s">
        <v>36</v>
      </c>
      <c r="R290" s="12" t="s">
        <v>36</v>
      </c>
      <c r="S290" s="12" t="s">
        <v>36</v>
      </c>
      <c r="T290" s="12" t="s">
        <v>2029</v>
      </c>
      <c r="U290" s="12" t="s">
        <v>38</v>
      </c>
      <c r="V290" s="12" t="s">
        <v>39</v>
      </c>
      <c r="W290" s="12" t="s">
        <v>2030</v>
      </c>
      <c r="X290" s="16" t="s">
        <v>2031</v>
      </c>
      <c r="Y290" s="15" t="s">
        <v>108</v>
      </c>
      <c r="Z290" s="14">
        <v>12.18</v>
      </c>
      <c r="AA290" s="14" t="s">
        <v>36</v>
      </c>
      <c r="AB290" s="12" t="s">
        <v>43</v>
      </c>
      <c r="AC290" s="12" t="s">
        <v>2032</v>
      </c>
      <c r="AD290" s="13">
        <v>45544</v>
      </c>
      <c r="AE290" s="12" t="s">
        <v>134</v>
      </c>
      <c r="AF290" s="12" t="s">
        <v>533</v>
      </c>
      <c r="AG290" s="12" t="s">
        <v>2033</v>
      </c>
      <c r="AH290" s="1">
        <f>HYPERLINK("https://my.pitchbook.com?c=271550-98T","View Company Online")</f>
      </c>
    </row>
    <row r="291">
      <c r="A291" s="3" t="s">
        <v>2034</v>
      </c>
      <c r="B291" s="3" t="s">
        <v>2035</v>
      </c>
      <c r="C291" s="5" t="s">
        <v>36</v>
      </c>
      <c r="D291" s="5" t="s">
        <v>36</v>
      </c>
      <c r="E291" s="5" t="s">
        <v>36</v>
      </c>
      <c r="F291" s="5" t="s">
        <v>36</v>
      </c>
      <c r="G291" s="6" t="s">
        <v>36</v>
      </c>
      <c r="H291" s="4" t="s">
        <v>36</v>
      </c>
      <c r="I291" s="7" t="s">
        <v>36</v>
      </c>
      <c r="J291" s="3" t="s">
        <v>36</v>
      </c>
      <c r="K291" s="9" t="s">
        <v>36</v>
      </c>
      <c r="L291" s="6" t="s">
        <v>36</v>
      </c>
      <c r="M291" s="3" t="s">
        <v>36</v>
      </c>
      <c r="N291" s="3" t="s">
        <v>36</v>
      </c>
      <c r="O291" s="8" t="s">
        <v>36</v>
      </c>
      <c r="P291" s="3" t="s">
        <v>36</v>
      </c>
      <c r="Q291" s="3" t="s">
        <v>36</v>
      </c>
      <c r="R291" s="3" t="s">
        <v>36</v>
      </c>
      <c r="S291" s="3" t="s">
        <v>36</v>
      </c>
      <c r="T291" s="3" t="s">
        <v>2036</v>
      </c>
      <c r="U291" s="3" t="s">
        <v>619</v>
      </c>
      <c r="V291" s="3" t="s">
        <v>378</v>
      </c>
      <c r="W291" s="3" t="s">
        <v>2037</v>
      </c>
      <c r="X291" s="10" t="s">
        <v>2038</v>
      </c>
      <c r="Y291" s="6" t="s">
        <v>108</v>
      </c>
      <c r="Z291" s="4" t="s">
        <v>36</v>
      </c>
      <c r="AA291" s="4" t="s">
        <v>36</v>
      </c>
      <c r="AB291" s="3" t="s">
        <v>56</v>
      </c>
      <c r="AC291" s="3" t="s">
        <v>2039</v>
      </c>
      <c r="AD291" s="9">
        <v>45541</v>
      </c>
      <c r="AE291" s="3" t="s">
        <v>2040</v>
      </c>
      <c r="AF291" s="3" t="s">
        <v>36</v>
      </c>
      <c r="AG291" s="3" t="s">
        <v>2041</v>
      </c>
      <c r="AH291" s="11">
        <f>HYPERLINK("https://my.pitchbook.com?c=275753-26T","View Company Online")</f>
      </c>
    </row>
    <row r="292">
      <c r="A292" s="12" t="s">
        <v>2042</v>
      </c>
      <c r="B292" s="12" t="s">
        <v>2043</v>
      </c>
      <c r="C292" s="19" t="s">
        <v>36</v>
      </c>
      <c r="D292" s="19" t="s">
        <v>36</v>
      </c>
      <c r="E292" s="19" t="s">
        <v>36</v>
      </c>
      <c r="F292" s="19" t="s">
        <v>36</v>
      </c>
      <c r="G292" s="15" t="s">
        <v>36</v>
      </c>
      <c r="H292" s="14" t="s">
        <v>36</v>
      </c>
      <c r="I292" s="18">
        <v>5</v>
      </c>
      <c r="J292" s="12" t="s">
        <v>36</v>
      </c>
      <c r="K292" s="13" t="s">
        <v>36</v>
      </c>
      <c r="L292" s="15" t="s">
        <v>36</v>
      </c>
      <c r="M292" s="12" t="s">
        <v>36</v>
      </c>
      <c r="N292" s="12" t="s">
        <v>36</v>
      </c>
      <c r="O292" s="17" t="s">
        <v>36</v>
      </c>
      <c r="P292" s="12" t="s">
        <v>36</v>
      </c>
      <c r="Q292" s="12" t="s">
        <v>36</v>
      </c>
      <c r="R292" s="12" t="s">
        <v>36</v>
      </c>
      <c r="S292" s="12" t="s">
        <v>36</v>
      </c>
      <c r="T292" s="12" t="s">
        <v>2044</v>
      </c>
      <c r="U292" s="12" t="s">
        <v>74</v>
      </c>
      <c r="V292" s="12" t="s">
        <v>75</v>
      </c>
      <c r="W292" s="12" t="s">
        <v>2045</v>
      </c>
      <c r="X292" s="16" t="s">
        <v>2046</v>
      </c>
      <c r="Y292" s="15" t="s">
        <v>108</v>
      </c>
      <c r="Z292" s="14" t="s">
        <v>36</v>
      </c>
      <c r="AA292" s="14" t="s">
        <v>36</v>
      </c>
      <c r="AB292" s="12" t="s">
        <v>43</v>
      </c>
      <c r="AC292" s="12" t="s">
        <v>2047</v>
      </c>
      <c r="AD292" s="13">
        <v>45541</v>
      </c>
      <c r="AE292" s="12" t="s">
        <v>79</v>
      </c>
      <c r="AF292" s="12" t="s">
        <v>36</v>
      </c>
      <c r="AG292" s="12" t="s">
        <v>81</v>
      </c>
      <c r="AH292" s="1">
        <f>HYPERLINK("https://my.pitchbook.com?c=271527-85T","View Company Online")</f>
      </c>
    </row>
    <row r="293">
      <c r="A293" s="3" t="s">
        <v>2048</v>
      </c>
      <c r="B293" s="3" t="s">
        <v>2049</v>
      </c>
      <c r="C293" s="5" t="s">
        <v>36</v>
      </c>
      <c r="D293" s="5" t="s">
        <v>36</v>
      </c>
      <c r="E293" s="5" t="s">
        <v>36</v>
      </c>
      <c r="F293" s="5" t="s">
        <v>36</v>
      </c>
      <c r="G293" s="6" t="s">
        <v>36</v>
      </c>
      <c r="H293" s="4" t="s">
        <v>36</v>
      </c>
      <c r="I293" s="7" t="s">
        <v>36</v>
      </c>
      <c r="J293" s="3" t="s">
        <v>36</v>
      </c>
      <c r="K293" s="9" t="s">
        <v>36</v>
      </c>
      <c r="L293" s="6" t="s">
        <v>94</v>
      </c>
      <c r="M293" s="3" t="s">
        <v>36</v>
      </c>
      <c r="N293" s="3" t="s">
        <v>94</v>
      </c>
      <c r="O293" s="8" t="s">
        <v>36</v>
      </c>
      <c r="P293" s="3" t="s">
        <v>36</v>
      </c>
      <c r="Q293" s="3" t="s">
        <v>36</v>
      </c>
      <c r="R293" s="3" t="s">
        <v>36</v>
      </c>
      <c r="S293" s="3" t="s">
        <v>36</v>
      </c>
      <c r="T293" s="3" t="s">
        <v>2050</v>
      </c>
      <c r="U293" s="3" t="s">
        <v>38</v>
      </c>
      <c r="V293" s="3" t="s">
        <v>39</v>
      </c>
      <c r="W293" s="3" t="s">
        <v>2051</v>
      </c>
      <c r="X293" s="10" t="s">
        <v>2052</v>
      </c>
      <c r="Y293" s="6" t="s">
        <v>108</v>
      </c>
      <c r="Z293" s="4">
        <v>5.53</v>
      </c>
      <c r="AA293" s="4" t="s">
        <v>36</v>
      </c>
      <c r="AB293" s="3" t="s">
        <v>43</v>
      </c>
      <c r="AC293" s="3" t="s">
        <v>2053</v>
      </c>
      <c r="AD293" s="9">
        <v>45541</v>
      </c>
      <c r="AE293" s="3" t="s">
        <v>110</v>
      </c>
      <c r="AF293" s="3" t="s">
        <v>2054</v>
      </c>
      <c r="AG293" s="3" t="s">
        <v>81</v>
      </c>
      <c r="AH293" s="11">
        <f>HYPERLINK("https://my.pitchbook.com?c=271511-38T","View Company Online")</f>
      </c>
    </row>
    <row r="294">
      <c r="A294" s="12" t="s">
        <v>2055</v>
      </c>
      <c r="B294" s="12" t="s">
        <v>2056</v>
      </c>
      <c r="C294" s="19" t="s">
        <v>36</v>
      </c>
      <c r="D294" s="19" t="s">
        <v>36</v>
      </c>
      <c r="E294" s="19" t="s">
        <v>36</v>
      </c>
      <c r="F294" s="19" t="s">
        <v>36</v>
      </c>
      <c r="G294" s="15" t="s">
        <v>36</v>
      </c>
      <c r="H294" s="14" t="s">
        <v>36</v>
      </c>
      <c r="I294" s="18" t="s">
        <v>36</v>
      </c>
      <c r="J294" s="12" t="s">
        <v>36</v>
      </c>
      <c r="K294" s="13" t="s">
        <v>36</v>
      </c>
      <c r="L294" s="15" t="s">
        <v>36</v>
      </c>
      <c r="M294" s="12" t="s">
        <v>36</v>
      </c>
      <c r="N294" s="12" t="s">
        <v>36</v>
      </c>
      <c r="O294" s="17" t="s">
        <v>36</v>
      </c>
      <c r="P294" s="12" t="s">
        <v>36</v>
      </c>
      <c r="Q294" s="12" t="s">
        <v>36</v>
      </c>
      <c r="R294" s="12" t="s">
        <v>36</v>
      </c>
      <c r="S294" s="12" t="s">
        <v>36</v>
      </c>
      <c r="T294" s="12" t="s">
        <v>2057</v>
      </c>
      <c r="U294" s="12" t="s">
        <v>1082</v>
      </c>
      <c r="V294" s="12" t="s">
        <v>378</v>
      </c>
      <c r="W294" s="12" t="s">
        <v>2058</v>
      </c>
      <c r="X294" s="16" t="s">
        <v>2059</v>
      </c>
      <c r="Y294" s="15" t="s">
        <v>108</v>
      </c>
      <c r="Z294" s="14">
        <v>1.44</v>
      </c>
      <c r="AA294" s="14" t="s">
        <v>36</v>
      </c>
      <c r="AB294" s="12" t="s">
        <v>43</v>
      </c>
      <c r="AC294" s="12" t="s">
        <v>2060</v>
      </c>
      <c r="AD294" s="13">
        <v>45541</v>
      </c>
      <c r="AE294" s="12" t="s">
        <v>2061</v>
      </c>
      <c r="AF294" s="12" t="s">
        <v>982</v>
      </c>
      <c r="AG294" s="12" t="s">
        <v>144</v>
      </c>
      <c r="AH294" s="1">
        <f>HYPERLINK("https://my.pitchbook.com?c=271465-48T","View Company Online")</f>
      </c>
    </row>
    <row r="295">
      <c r="A295" s="3" t="s">
        <v>2062</v>
      </c>
      <c r="B295" s="3" t="s">
        <v>2063</v>
      </c>
      <c r="C295" s="5">
        <v>17</v>
      </c>
      <c r="D295" s="5">
        <v>51</v>
      </c>
      <c r="E295" s="5">
        <v>14</v>
      </c>
      <c r="F295" s="5">
        <v>71</v>
      </c>
      <c r="G295" s="6" t="s">
        <v>36</v>
      </c>
      <c r="H295" s="4" t="s">
        <v>36</v>
      </c>
      <c r="I295" s="7" t="s">
        <v>36</v>
      </c>
      <c r="J295" s="3" t="s">
        <v>36</v>
      </c>
      <c r="K295" s="9" t="s">
        <v>36</v>
      </c>
      <c r="L295" s="6" t="s">
        <v>94</v>
      </c>
      <c r="M295" s="3" t="s">
        <v>36</v>
      </c>
      <c r="N295" s="3" t="s">
        <v>94</v>
      </c>
      <c r="O295" s="8" t="s">
        <v>36</v>
      </c>
      <c r="P295" s="3" t="s">
        <v>36</v>
      </c>
      <c r="Q295" s="3" t="s">
        <v>36</v>
      </c>
      <c r="R295" s="3" t="s">
        <v>36</v>
      </c>
      <c r="S295" s="3" t="s">
        <v>36</v>
      </c>
      <c r="T295" s="3" t="s">
        <v>2064</v>
      </c>
      <c r="U295" s="3" t="s">
        <v>1082</v>
      </c>
      <c r="V295" s="3" t="s">
        <v>378</v>
      </c>
      <c r="W295" s="3" t="s">
        <v>2065</v>
      </c>
      <c r="X295" s="10" t="s">
        <v>2066</v>
      </c>
      <c r="Y295" s="6" t="s">
        <v>108</v>
      </c>
      <c r="Z295" s="4">
        <v>35</v>
      </c>
      <c r="AA295" s="4" t="s">
        <v>36</v>
      </c>
      <c r="AB295" s="3" t="s">
        <v>56</v>
      </c>
      <c r="AC295" s="3" t="s">
        <v>2067</v>
      </c>
      <c r="AD295" s="9">
        <v>45540</v>
      </c>
      <c r="AE295" s="3" t="s">
        <v>2068</v>
      </c>
      <c r="AF295" s="3" t="s">
        <v>571</v>
      </c>
      <c r="AG295" s="3" t="s">
        <v>2069</v>
      </c>
      <c r="AH295" s="11">
        <f>HYPERLINK("https://my.pitchbook.com?c=271386-73T","View Company Online")</f>
      </c>
    </row>
    <row r="296">
      <c r="A296" s="12" t="s">
        <v>2070</v>
      </c>
      <c r="B296" s="12" t="s">
        <v>2071</v>
      </c>
      <c r="C296" s="19" t="s">
        <v>36</v>
      </c>
      <c r="D296" s="19" t="s">
        <v>36</v>
      </c>
      <c r="E296" s="19" t="s">
        <v>36</v>
      </c>
      <c r="F296" s="19" t="s">
        <v>36</v>
      </c>
      <c r="G296" s="15" t="s">
        <v>36</v>
      </c>
      <c r="H296" s="14" t="s">
        <v>36</v>
      </c>
      <c r="I296" s="18" t="s">
        <v>36</v>
      </c>
      <c r="J296" s="12" t="s">
        <v>36</v>
      </c>
      <c r="K296" s="13" t="s">
        <v>36</v>
      </c>
      <c r="L296" s="15" t="s">
        <v>36</v>
      </c>
      <c r="M296" s="12" t="s">
        <v>36</v>
      </c>
      <c r="N296" s="12" t="s">
        <v>36</v>
      </c>
      <c r="O296" s="17" t="s">
        <v>36</v>
      </c>
      <c r="P296" s="12" t="s">
        <v>36</v>
      </c>
      <c r="Q296" s="12" t="s">
        <v>36</v>
      </c>
      <c r="R296" s="12" t="s">
        <v>36</v>
      </c>
      <c r="S296" s="12" t="s">
        <v>2072</v>
      </c>
      <c r="T296" s="12" t="s">
        <v>818</v>
      </c>
      <c r="U296" s="12" t="s">
        <v>74</v>
      </c>
      <c r="V296" s="12" t="s">
        <v>75</v>
      </c>
      <c r="W296" s="12" t="s">
        <v>2073</v>
      </c>
      <c r="X296" s="16" t="s">
        <v>2074</v>
      </c>
      <c r="Y296" s="15" t="s">
        <v>108</v>
      </c>
      <c r="Z296" s="14" t="s">
        <v>36</v>
      </c>
      <c r="AA296" s="14" t="s">
        <v>36</v>
      </c>
      <c r="AB296" s="12" t="s">
        <v>43</v>
      </c>
      <c r="AC296" s="12" t="s">
        <v>2075</v>
      </c>
      <c r="AD296" s="13">
        <v>45540</v>
      </c>
      <c r="AE296" s="12" t="s">
        <v>570</v>
      </c>
      <c r="AF296" s="12" t="s">
        <v>982</v>
      </c>
      <c r="AG296" s="12" t="s">
        <v>81</v>
      </c>
      <c r="AH296" s="1">
        <f>HYPERLINK("https://my.pitchbook.com?c=267497-11T","View Company Online")</f>
      </c>
    </row>
    <row r="297">
      <c r="A297" s="3" t="s">
        <v>2076</v>
      </c>
      <c r="B297" s="3" t="s">
        <v>2077</v>
      </c>
      <c r="C297" s="5" t="s">
        <v>36</v>
      </c>
      <c r="D297" s="5" t="s">
        <v>36</v>
      </c>
      <c r="E297" s="5" t="s">
        <v>36</v>
      </c>
      <c r="F297" s="5" t="s">
        <v>36</v>
      </c>
      <c r="G297" s="6" t="s">
        <v>326</v>
      </c>
      <c r="H297" s="4" t="s">
        <v>36</v>
      </c>
      <c r="I297" s="7">
        <v>48.13</v>
      </c>
      <c r="J297" s="3" t="s">
        <v>327</v>
      </c>
      <c r="K297" s="9" t="s">
        <v>36</v>
      </c>
      <c r="L297" s="6" t="s">
        <v>122</v>
      </c>
      <c r="M297" s="3" t="s">
        <v>36</v>
      </c>
      <c r="N297" s="3" t="s">
        <v>122</v>
      </c>
      <c r="O297" s="8" t="s">
        <v>36</v>
      </c>
      <c r="P297" s="3" t="s">
        <v>36</v>
      </c>
      <c r="Q297" s="3" t="s">
        <v>36</v>
      </c>
      <c r="R297" s="3" t="s">
        <v>36</v>
      </c>
      <c r="S297" s="3" t="s">
        <v>36</v>
      </c>
      <c r="T297" s="3" t="s">
        <v>2078</v>
      </c>
      <c r="U297" s="3" t="s">
        <v>96</v>
      </c>
      <c r="V297" s="3" t="s">
        <v>52</v>
      </c>
      <c r="W297" s="3" t="s">
        <v>2079</v>
      </c>
      <c r="X297" s="10" t="s">
        <v>2080</v>
      </c>
      <c r="Y297" s="6" t="s">
        <v>55</v>
      </c>
      <c r="Z297" s="4">
        <v>6.3</v>
      </c>
      <c r="AA297" s="4">
        <v>13.08</v>
      </c>
      <c r="AB297" s="3" t="s">
        <v>56</v>
      </c>
      <c r="AC297" s="3" t="s">
        <v>2081</v>
      </c>
      <c r="AD297" s="9">
        <v>45539</v>
      </c>
      <c r="AE297" s="3" t="s">
        <v>143</v>
      </c>
      <c r="AF297" s="3" t="s">
        <v>665</v>
      </c>
      <c r="AG297" s="3" t="s">
        <v>81</v>
      </c>
      <c r="AH297" s="11">
        <f>HYPERLINK("https://my.pitchbook.com?c=271186-12T","View Company Online")</f>
      </c>
    </row>
    <row r="298">
      <c r="A298" s="12" t="s">
        <v>2082</v>
      </c>
      <c r="B298" s="12" t="s">
        <v>2083</v>
      </c>
      <c r="C298" s="19" t="s">
        <v>36</v>
      </c>
      <c r="D298" s="19" t="s">
        <v>36</v>
      </c>
      <c r="E298" s="19" t="s">
        <v>36</v>
      </c>
      <c r="F298" s="19" t="s">
        <v>36</v>
      </c>
      <c r="G298" s="15" t="s">
        <v>36</v>
      </c>
      <c r="H298" s="14" t="s">
        <v>36</v>
      </c>
      <c r="I298" s="18" t="s">
        <v>36</v>
      </c>
      <c r="J298" s="12" t="s">
        <v>36</v>
      </c>
      <c r="K298" s="13" t="s">
        <v>36</v>
      </c>
      <c r="L298" s="15" t="s">
        <v>36</v>
      </c>
      <c r="M298" s="12" t="s">
        <v>36</v>
      </c>
      <c r="N298" s="12" t="s">
        <v>36</v>
      </c>
      <c r="O298" s="17" t="s">
        <v>36</v>
      </c>
      <c r="P298" s="12" t="s">
        <v>36</v>
      </c>
      <c r="Q298" s="12" t="s">
        <v>36</v>
      </c>
      <c r="R298" s="12" t="s">
        <v>36</v>
      </c>
      <c r="S298" s="12" t="s">
        <v>36</v>
      </c>
      <c r="T298" s="12" t="s">
        <v>2084</v>
      </c>
      <c r="U298" s="12" t="s">
        <v>74</v>
      </c>
      <c r="V298" s="12" t="s">
        <v>75</v>
      </c>
      <c r="W298" s="12" t="s">
        <v>2085</v>
      </c>
      <c r="X298" s="16" t="s">
        <v>657</v>
      </c>
      <c r="Y298" s="15" t="s">
        <v>55</v>
      </c>
      <c r="Z298" s="14" t="s">
        <v>36</v>
      </c>
      <c r="AA298" s="14" t="s">
        <v>36</v>
      </c>
      <c r="AB298" s="12" t="s">
        <v>56</v>
      </c>
      <c r="AC298" s="12" t="s">
        <v>2086</v>
      </c>
      <c r="AD298" s="13">
        <v>45539</v>
      </c>
      <c r="AE298" s="12" t="s">
        <v>362</v>
      </c>
      <c r="AF298" s="12" t="s">
        <v>2087</v>
      </c>
      <c r="AG298" s="12" t="s">
        <v>2088</v>
      </c>
      <c r="AH298" s="1">
        <f>HYPERLINK("https://my.pitchbook.com?c=274357-00T","View Company Online")</f>
      </c>
    </row>
    <row r="299">
      <c r="A299" s="3" t="s">
        <v>2089</v>
      </c>
      <c r="B299" s="3" t="s">
        <v>2090</v>
      </c>
      <c r="C299" s="5" t="s">
        <v>36</v>
      </c>
      <c r="D299" s="5" t="s">
        <v>36</v>
      </c>
      <c r="E299" s="5" t="s">
        <v>36</v>
      </c>
      <c r="F299" s="5" t="s">
        <v>36</v>
      </c>
      <c r="G299" s="6" t="s">
        <v>36</v>
      </c>
      <c r="H299" s="4" t="s">
        <v>36</v>
      </c>
      <c r="I299" s="7" t="s">
        <v>36</v>
      </c>
      <c r="J299" s="3" t="s">
        <v>36</v>
      </c>
      <c r="K299" s="9" t="s">
        <v>36</v>
      </c>
      <c r="L299" s="6" t="s">
        <v>36</v>
      </c>
      <c r="M299" s="3" t="s">
        <v>36</v>
      </c>
      <c r="N299" s="3" t="s">
        <v>36</v>
      </c>
      <c r="O299" s="8" t="s">
        <v>36</v>
      </c>
      <c r="P299" s="3" t="s">
        <v>36</v>
      </c>
      <c r="Q299" s="3" t="s">
        <v>36</v>
      </c>
      <c r="R299" s="3" t="s">
        <v>36</v>
      </c>
      <c r="S299" s="3" t="s">
        <v>36</v>
      </c>
      <c r="T299" s="3" t="s">
        <v>972</v>
      </c>
      <c r="U299" s="3" t="s">
        <v>74</v>
      </c>
      <c r="V299" s="3" t="s">
        <v>75</v>
      </c>
      <c r="W299" s="3" t="s">
        <v>2091</v>
      </c>
      <c r="X299" s="10" t="s">
        <v>2092</v>
      </c>
      <c r="Y299" s="6" t="s">
        <v>108</v>
      </c>
      <c r="Z299" s="4">
        <v>1.66</v>
      </c>
      <c r="AA299" s="4" t="s">
        <v>36</v>
      </c>
      <c r="AB299" s="3" t="s">
        <v>56</v>
      </c>
      <c r="AC299" s="3" t="s">
        <v>2093</v>
      </c>
      <c r="AD299" s="9">
        <v>45538</v>
      </c>
      <c r="AE299" s="3" t="s">
        <v>975</v>
      </c>
      <c r="AF299" s="3" t="s">
        <v>1115</v>
      </c>
      <c r="AG299" s="3" t="s">
        <v>102</v>
      </c>
      <c r="AH299" s="11">
        <f>HYPERLINK("https://my.pitchbook.com?c=271270-63T","View Company Online")</f>
      </c>
    </row>
    <row r="300">
      <c r="A300" s="12" t="s">
        <v>2094</v>
      </c>
      <c r="B300" s="12" t="s">
        <v>2095</v>
      </c>
      <c r="C300" s="19" t="s">
        <v>36</v>
      </c>
      <c r="D300" s="19" t="s">
        <v>36</v>
      </c>
      <c r="E300" s="19" t="s">
        <v>36</v>
      </c>
      <c r="F300" s="19" t="s">
        <v>36</v>
      </c>
      <c r="G300" s="15" t="s">
        <v>326</v>
      </c>
      <c r="H300" s="14">
        <v>8.93</v>
      </c>
      <c r="I300" s="18">
        <v>8.71</v>
      </c>
      <c r="J300" s="12" t="s">
        <v>521</v>
      </c>
      <c r="K300" s="13">
        <v>45533</v>
      </c>
      <c r="L300" s="15" t="s">
        <v>36</v>
      </c>
      <c r="M300" s="12" t="s">
        <v>36</v>
      </c>
      <c r="N300" s="12" t="s">
        <v>36</v>
      </c>
      <c r="O300" s="17" t="s">
        <v>36</v>
      </c>
      <c r="P300" s="12" t="s">
        <v>36</v>
      </c>
      <c r="Q300" s="12" t="s">
        <v>36</v>
      </c>
      <c r="R300" s="12" t="s">
        <v>36</v>
      </c>
      <c r="S300" s="12" t="s">
        <v>36</v>
      </c>
      <c r="T300" s="12" t="s">
        <v>2096</v>
      </c>
      <c r="U300" s="12" t="s">
        <v>85</v>
      </c>
      <c r="V300" s="12" t="s">
        <v>64</v>
      </c>
      <c r="W300" s="12" t="s">
        <v>2097</v>
      </c>
      <c r="X300" s="16" t="s">
        <v>2098</v>
      </c>
      <c r="Y300" s="15" t="s">
        <v>55</v>
      </c>
      <c r="Z300" s="14">
        <v>2.19</v>
      </c>
      <c r="AA300" s="14">
        <v>25.12</v>
      </c>
      <c r="AB300" s="12" t="s">
        <v>56</v>
      </c>
      <c r="AC300" s="12" t="s">
        <v>2099</v>
      </c>
      <c r="AD300" s="13">
        <v>45537</v>
      </c>
      <c r="AE300" s="12" t="s">
        <v>89</v>
      </c>
      <c r="AF300" s="12" t="s">
        <v>36</v>
      </c>
      <c r="AG300" s="12" t="s">
        <v>81</v>
      </c>
      <c r="AH300" s="1">
        <f>HYPERLINK("https://my.pitchbook.com?c=271084-06T","View Company Online")</f>
      </c>
    </row>
    <row r="301">
      <c r="A301" s="3" t="s">
        <v>2100</v>
      </c>
      <c r="B301" s="3" t="s">
        <v>2101</v>
      </c>
      <c r="C301" s="5" t="s">
        <v>36</v>
      </c>
      <c r="D301" s="5" t="s">
        <v>36</v>
      </c>
      <c r="E301" s="5" t="s">
        <v>36</v>
      </c>
      <c r="F301" s="5" t="s">
        <v>36</v>
      </c>
      <c r="G301" s="6" t="s">
        <v>36</v>
      </c>
      <c r="H301" s="4" t="s">
        <v>36</v>
      </c>
      <c r="I301" s="7" t="s">
        <v>36</v>
      </c>
      <c r="J301" s="3" t="s">
        <v>36</v>
      </c>
      <c r="K301" s="9" t="s">
        <v>36</v>
      </c>
      <c r="L301" s="6" t="s">
        <v>36</v>
      </c>
      <c r="M301" s="3" t="s">
        <v>36</v>
      </c>
      <c r="N301" s="3" t="s">
        <v>36</v>
      </c>
      <c r="O301" s="8" t="s">
        <v>36</v>
      </c>
      <c r="P301" s="3" t="s">
        <v>36</v>
      </c>
      <c r="Q301" s="3" t="s">
        <v>36</v>
      </c>
      <c r="R301" s="3" t="s">
        <v>36</v>
      </c>
      <c r="S301" s="3" t="s">
        <v>36</v>
      </c>
      <c r="T301" s="3" t="s">
        <v>588</v>
      </c>
      <c r="U301" s="3" t="s">
        <v>318</v>
      </c>
      <c r="V301" s="3" t="s">
        <v>39</v>
      </c>
      <c r="W301" s="3" t="s">
        <v>2102</v>
      </c>
      <c r="X301" s="10" t="s">
        <v>2103</v>
      </c>
      <c r="Y301" s="6" t="s">
        <v>42</v>
      </c>
      <c r="Z301" s="4">
        <v>1.1</v>
      </c>
      <c r="AA301" s="4" t="s">
        <v>36</v>
      </c>
      <c r="AB301" s="3" t="s">
        <v>43</v>
      </c>
      <c r="AC301" s="3" t="s">
        <v>2104</v>
      </c>
      <c r="AD301" s="9">
        <v>45537</v>
      </c>
      <c r="AE301" s="3" t="s">
        <v>417</v>
      </c>
      <c r="AF301" s="3" t="s">
        <v>2105</v>
      </c>
      <c r="AG301" s="3" t="s">
        <v>2106</v>
      </c>
      <c r="AH301" s="11">
        <f>HYPERLINK("https://my.pitchbook.com?c=273089-62T","View Company Online")</f>
      </c>
    </row>
    <row r="302">
      <c r="A302" s="12" t="s">
        <v>2107</v>
      </c>
      <c r="B302" s="12" t="s">
        <v>2108</v>
      </c>
      <c r="C302" s="19" t="s">
        <v>36</v>
      </c>
      <c r="D302" s="19" t="s">
        <v>36</v>
      </c>
      <c r="E302" s="19" t="s">
        <v>36</v>
      </c>
      <c r="F302" s="19" t="s">
        <v>36</v>
      </c>
      <c r="G302" s="15" t="s">
        <v>36</v>
      </c>
      <c r="H302" s="14" t="s">
        <v>36</v>
      </c>
      <c r="I302" s="18" t="s">
        <v>36</v>
      </c>
      <c r="J302" s="12" t="s">
        <v>36</v>
      </c>
      <c r="K302" s="13" t="s">
        <v>36</v>
      </c>
      <c r="L302" s="15" t="s">
        <v>36</v>
      </c>
      <c r="M302" s="12" t="s">
        <v>36</v>
      </c>
      <c r="N302" s="12" t="s">
        <v>36</v>
      </c>
      <c r="O302" s="17" t="s">
        <v>36</v>
      </c>
      <c r="P302" s="12" t="s">
        <v>36</v>
      </c>
      <c r="Q302" s="12" t="s">
        <v>36</v>
      </c>
      <c r="R302" s="12" t="s">
        <v>36</v>
      </c>
      <c r="S302" s="12" t="s">
        <v>36</v>
      </c>
      <c r="T302" s="12" t="s">
        <v>676</v>
      </c>
      <c r="U302" s="12" t="s">
        <v>438</v>
      </c>
      <c r="V302" s="12" t="s">
        <v>405</v>
      </c>
      <c r="W302" s="12" t="s">
        <v>2109</v>
      </c>
      <c r="X302" s="16" t="s">
        <v>2110</v>
      </c>
      <c r="Y302" s="15" t="s">
        <v>42</v>
      </c>
      <c r="Z302" s="14" t="s">
        <v>36</v>
      </c>
      <c r="AA302" s="14" t="s">
        <v>36</v>
      </c>
      <c r="AB302" s="12" t="s">
        <v>43</v>
      </c>
      <c r="AC302" s="12" t="s">
        <v>2111</v>
      </c>
      <c r="AD302" s="13">
        <v>45536</v>
      </c>
      <c r="AE302" s="12" t="s">
        <v>438</v>
      </c>
      <c r="AF302" s="12" t="s">
        <v>215</v>
      </c>
      <c r="AG302" s="12" t="s">
        <v>81</v>
      </c>
      <c r="AH302" s="1">
        <f>HYPERLINK("https://my.pitchbook.com?c=271963-72T","View Company Online")</f>
      </c>
    </row>
    <row r="303">
      <c r="A303" s="3" t="s">
        <v>2112</v>
      </c>
      <c r="B303" s="3" t="s">
        <v>2113</v>
      </c>
      <c r="C303" s="5" t="s">
        <v>36</v>
      </c>
      <c r="D303" s="5">
        <v>2</v>
      </c>
      <c r="E303" s="5">
        <v>1</v>
      </c>
      <c r="F303" s="5">
        <v>2</v>
      </c>
      <c r="G303" s="6" t="s">
        <v>36</v>
      </c>
      <c r="H303" s="4" t="s">
        <v>36</v>
      </c>
      <c r="I303" s="7" t="s">
        <v>36</v>
      </c>
      <c r="J303" s="3" t="s">
        <v>36</v>
      </c>
      <c r="K303" s="9" t="s">
        <v>36</v>
      </c>
      <c r="L303" s="6" t="s">
        <v>36</v>
      </c>
      <c r="M303" s="3" t="s">
        <v>36</v>
      </c>
      <c r="N303" s="3" t="s">
        <v>36</v>
      </c>
      <c r="O303" s="8" t="s">
        <v>36</v>
      </c>
      <c r="P303" s="3" t="s">
        <v>36</v>
      </c>
      <c r="Q303" s="3" t="s">
        <v>36</v>
      </c>
      <c r="R303" s="3" t="s">
        <v>36</v>
      </c>
      <c r="S303" s="3" t="s">
        <v>36</v>
      </c>
      <c r="T303" s="3" t="s">
        <v>2114</v>
      </c>
      <c r="U303" s="3" t="s">
        <v>289</v>
      </c>
      <c r="V303" s="3" t="s">
        <v>64</v>
      </c>
      <c r="W303" s="3" t="s">
        <v>2115</v>
      </c>
      <c r="X303" s="10" t="s">
        <v>2116</v>
      </c>
      <c r="Y303" s="6" t="s">
        <v>475</v>
      </c>
      <c r="Z303" s="4">
        <v>77.22</v>
      </c>
      <c r="AA303" s="4" t="s">
        <v>36</v>
      </c>
      <c r="AB303" s="3" t="s">
        <v>56</v>
      </c>
      <c r="AC303" s="3" t="s">
        <v>2117</v>
      </c>
      <c r="AD303" s="9">
        <v>45536</v>
      </c>
      <c r="AE303" s="3" t="s">
        <v>292</v>
      </c>
      <c r="AF303" s="3" t="s">
        <v>2118</v>
      </c>
      <c r="AG303" s="3" t="s">
        <v>81</v>
      </c>
      <c r="AH303" s="11">
        <f>HYPERLINK("https://my.pitchbook.com?c=278776-09T","View Company Online")</f>
      </c>
    </row>
    <row r="304">
      <c r="A304" s="12" t="s">
        <v>2119</v>
      </c>
      <c r="B304" s="12" t="s">
        <v>2120</v>
      </c>
      <c r="C304" s="19">
        <v>1</v>
      </c>
      <c r="D304" s="19">
        <v>4</v>
      </c>
      <c r="E304" s="19">
        <v>2</v>
      </c>
      <c r="F304" s="19">
        <v>5</v>
      </c>
      <c r="G304" s="15" t="s">
        <v>36</v>
      </c>
      <c r="H304" s="14" t="s">
        <v>36</v>
      </c>
      <c r="I304" s="18" t="s">
        <v>36</v>
      </c>
      <c r="J304" s="12" t="s">
        <v>36</v>
      </c>
      <c r="K304" s="13" t="s">
        <v>36</v>
      </c>
      <c r="L304" s="15" t="s">
        <v>122</v>
      </c>
      <c r="M304" s="12" t="s">
        <v>36</v>
      </c>
      <c r="N304" s="12" t="s">
        <v>122</v>
      </c>
      <c r="O304" s="17" t="s">
        <v>36</v>
      </c>
      <c r="P304" s="12" t="s">
        <v>36</v>
      </c>
      <c r="Q304" s="12" t="s">
        <v>36</v>
      </c>
      <c r="R304" s="12" t="s">
        <v>36</v>
      </c>
      <c r="S304" s="12" t="s">
        <v>36</v>
      </c>
      <c r="T304" s="12" t="s">
        <v>2121</v>
      </c>
      <c r="U304" s="12" t="s">
        <v>387</v>
      </c>
      <c r="V304" s="12" t="s">
        <v>367</v>
      </c>
      <c r="W304" s="12" t="s">
        <v>2122</v>
      </c>
      <c r="X304" s="16" t="s">
        <v>2123</v>
      </c>
      <c r="Y304" s="15" t="s">
        <v>42</v>
      </c>
      <c r="Z304" s="14">
        <v>2.54</v>
      </c>
      <c r="AA304" s="14" t="s">
        <v>36</v>
      </c>
      <c r="AB304" s="12" t="s">
        <v>43</v>
      </c>
      <c r="AC304" s="12" t="s">
        <v>2124</v>
      </c>
      <c r="AD304" s="13">
        <v>45536</v>
      </c>
      <c r="AE304" s="12" t="s">
        <v>391</v>
      </c>
      <c r="AF304" s="12" t="s">
        <v>372</v>
      </c>
      <c r="AG304" s="12" t="s">
        <v>2125</v>
      </c>
      <c r="AH304" s="1">
        <f>HYPERLINK("https://my.pitchbook.com?c=273602-53T","View Company Online")</f>
      </c>
    </row>
    <row r="305">
      <c r="A305" s="3" t="s">
        <v>2126</v>
      </c>
      <c r="B305" s="3" t="s">
        <v>2127</v>
      </c>
      <c r="C305" s="5" t="s">
        <v>36</v>
      </c>
      <c r="D305" s="5" t="s">
        <v>36</v>
      </c>
      <c r="E305" s="5" t="s">
        <v>36</v>
      </c>
      <c r="F305" s="5" t="s">
        <v>36</v>
      </c>
      <c r="G305" s="6" t="s">
        <v>36</v>
      </c>
      <c r="H305" s="4" t="s">
        <v>36</v>
      </c>
      <c r="I305" s="7" t="s">
        <v>36</v>
      </c>
      <c r="J305" s="3" t="s">
        <v>36</v>
      </c>
      <c r="K305" s="9" t="s">
        <v>36</v>
      </c>
      <c r="L305" s="6" t="s">
        <v>36</v>
      </c>
      <c r="M305" s="3" t="s">
        <v>36</v>
      </c>
      <c r="N305" s="3" t="s">
        <v>36</v>
      </c>
      <c r="O305" s="8" t="s">
        <v>36</v>
      </c>
      <c r="P305" s="3" t="s">
        <v>36</v>
      </c>
      <c r="Q305" s="3" t="s">
        <v>36</v>
      </c>
      <c r="R305" s="3" t="s">
        <v>36</v>
      </c>
      <c r="S305" s="3" t="s">
        <v>36</v>
      </c>
      <c r="T305" s="3" t="s">
        <v>2128</v>
      </c>
      <c r="U305" s="3" t="s">
        <v>219</v>
      </c>
      <c r="V305" s="3" t="s">
        <v>75</v>
      </c>
      <c r="W305" s="3" t="s">
        <v>2129</v>
      </c>
      <c r="X305" s="10" t="s">
        <v>2130</v>
      </c>
      <c r="Y305" s="6" t="s">
        <v>42</v>
      </c>
      <c r="Z305" s="4" t="s">
        <v>36</v>
      </c>
      <c r="AA305" s="4" t="s">
        <v>36</v>
      </c>
      <c r="AB305" s="3" t="s">
        <v>43</v>
      </c>
      <c r="AC305" s="3" t="s">
        <v>2131</v>
      </c>
      <c r="AD305" s="9">
        <v>45536</v>
      </c>
      <c r="AE305" s="3" t="s">
        <v>1912</v>
      </c>
      <c r="AF305" s="3" t="s">
        <v>2132</v>
      </c>
      <c r="AG305" s="3" t="s">
        <v>2133</v>
      </c>
      <c r="AH305" s="11">
        <f>HYPERLINK("https://my.pitchbook.com?c=271483-66T","View Company Online")</f>
      </c>
    </row>
    <row r="306">
      <c r="A306" s="12" t="s">
        <v>2134</v>
      </c>
      <c r="B306" s="12" t="s">
        <v>2135</v>
      </c>
      <c r="C306" s="19" t="s">
        <v>36</v>
      </c>
      <c r="D306" s="19" t="s">
        <v>36</v>
      </c>
      <c r="E306" s="19" t="s">
        <v>36</v>
      </c>
      <c r="F306" s="19" t="s">
        <v>36</v>
      </c>
      <c r="G306" s="15" t="s">
        <v>36</v>
      </c>
      <c r="H306" s="14" t="s">
        <v>36</v>
      </c>
      <c r="I306" s="18" t="s">
        <v>36</v>
      </c>
      <c r="J306" s="12" t="s">
        <v>36</v>
      </c>
      <c r="K306" s="13" t="s">
        <v>36</v>
      </c>
      <c r="L306" s="15" t="s">
        <v>36</v>
      </c>
      <c r="M306" s="12" t="s">
        <v>36</v>
      </c>
      <c r="N306" s="12" t="s">
        <v>36</v>
      </c>
      <c r="O306" s="17" t="s">
        <v>36</v>
      </c>
      <c r="P306" s="12" t="s">
        <v>36</v>
      </c>
      <c r="Q306" s="12" t="s">
        <v>36</v>
      </c>
      <c r="R306" s="12" t="s">
        <v>36</v>
      </c>
      <c r="S306" s="12" t="s">
        <v>36</v>
      </c>
      <c r="T306" s="12" t="s">
        <v>2044</v>
      </c>
      <c r="U306" s="12" t="s">
        <v>74</v>
      </c>
      <c r="V306" s="12" t="s">
        <v>75</v>
      </c>
      <c r="W306" s="12" t="s">
        <v>2136</v>
      </c>
      <c r="X306" s="16" t="s">
        <v>2137</v>
      </c>
      <c r="Y306" s="15" t="s">
        <v>42</v>
      </c>
      <c r="Z306" s="14" t="s">
        <v>36</v>
      </c>
      <c r="AA306" s="14" t="s">
        <v>36</v>
      </c>
      <c r="AB306" s="12" t="s">
        <v>43</v>
      </c>
      <c r="AC306" s="12" t="s">
        <v>2138</v>
      </c>
      <c r="AD306" s="13">
        <v>45536</v>
      </c>
      <c r="AE306" s="12" t="s">
        <v>79</v>
      </c>
      <c r="AF306" s="12" t="s">
        <v>36</v>
      </c>
      <c r="AG306" s="12" t="s">
        <v>81</v>
      </c>
      <c r="AH306" s="1">
        <f>HYPERLINK("https://my.pitchbook.com?c=274182-22T","View Company Online")</f>
      </c>
    </row>
    <row r="307">
      <c r="A307" s="3" t="s">
        <v>2139</v>
      </c>
      <c r="B307" s="3" t="s">
        <v>2140</v>
      </c>
      <c r="C307" s="5" t="s">
        <v>36</v>
      </c>
      <c r="D307" s="5" t="s">
        <v>36</v>
      </c>
      <c r="E307" s="5" t="s">
        <v>36</v>
      </c>
      <c r="F307" s="5" t="s">
        <v>36</v>
      </c>
      <c r="G307" s="6" t="s">
        <v>36</v>
      </c>
      <c r="H307" s="4" t="s">
        <v>36</v>
      </c>
      <c r="I307" s="7" t="s">
        <v>36</v>
      </c>
      <c r="J307" s="3" t="s">
        <v>36</v>
      </c>
      <c r="K307" s="9" t="s">
        <v>36</v>
      </c>
      <c r="L307" s="6" t="s">
        <v>36</v>
      </c>
      <c r="M307" s="3" t="s">
        <v>36</v>
      </c>
      <c r="N307" s="3" t="s">
        <v>36</v>
      </c>
      <c r="O307" s="8" t="s">
        <v>36</v>
      </c>
      <c r="P307" s="3" t="s">
        <v>36</v>
      </c>
      <c r="Q307" s="3" t="s">
        <v>36</v>
      </c>
      <c r="R307" s="3" t="s">
        <v>36</v>
      </c>
      <c r="S307" s="3" t="s">
        <v>36</v>
      </c>
      <c r="T307" s="3" t="s">
        <v>550</v>
      </c>
      <c r="U307" s="3" t="s">
        <v>38</v>
      </c>
      <c r="V307" s="3" t="s">
        <v>39</v>
      </c>
      <c r="W307" s="3" t="s">
        <v>2141</v>
      </c>
      <c r="X307" s="10" t="s">
        <v>2142</v>
      </c>
      <c r="Y307" s="6" t="s">
        <v>108</v>
      </c>
      <c r="Z307" s="4" t="s">
        <v>36</v>
      </c>
      <c r="AA307" s="4" t="s">
        <v>36</v>
      </c>
      <c r="AB307" s="3" t="s">
        <v>43</v>
      </c>
      <c r="AC307" s="3" t="s">
        <v>2143</v>
      </c>
      <c r="AD307" s="9">
        <v>45536</v>
      </c>
      <c r="AE307" s="3" t="s">
        <v>554</v>
      </c>
      <c r="AF307" s="3" t="s">
        <v>1380</v>
      </c>
      <c r="AG307" s="3" t="s">
        <v>81</v>
      </c>
      <c r="AH307" s="11">
        <f>HYPERLINK("https://my.pitchbook.com?c=272104-57T","View Company Online")</f>
      </c>
    </row>
    <row r="308">
      <c r="A308" s="12" t="s">
        <v>2144</v>
      </c>
      <c r="B308" s="12" t="s">
        <v>2145</v>
      </c>
      <c r="C308" s="19" t="s">
        <v>36</v>
      </c>
      <c r="D308" s="19" t="s">
        <v>36</v>
      </c>
      <c r="E308" s="19" t="s">
        <v>36</v>
      </c>
      <c r="F308" s="19" t="s">
        <v>36</v>
      </c>
      <c r="G308" s="15" t="s">
        <v>36</v>
      </c>
      <c r="H308" s="14" t="s">
        <v>36</v>
      </c>
      <c r="I308" s="18" t="s">
        <v>36</v>
      </c>
      <c r="J308" s="12" t="s">
        <v>36</v>
      </c>
      <c r="K308" s="13" t="s">
        <v>36</v>
      </c>
      <c r="L308" s="15" t="s">
        <v>36</v>
      </c>
      <c r="M308" s="12" t="s">
        <v>36</v>
      </c>
      <c r="N308" s="12" t="s">
        <v>36</v>
      </c>
      <c r="O308" s="17" t="s">
        <v>36</v>
      </c>
      <c r="P308" s="12" t="s">
        <v>36</v>
      </c>
      <c r="Q308" s="12" t="s">
        <v>36</v>
      </c>
      <c r="R308" s="12" t="s">
        <v>36</v>
      </c>
      <c r="S308" s="12" t="s">
        <v>36</v>
      </c>
      <c r="T308" s="12" t="s">
        <v>638</v>
      </c>
      <c r="U308" s="12" t="s">
        <v>63</v>
      </c>
      <c r="V308" s="12" t="s">
        <v>64</v>
      </c>
      <c r="W308" s="12" t="s">
        <v>2146</v>
      </c>
      <c r="X308" s="16" t="s">
        <v>2147</v>
      </c>
      <c r="Y308" s="15" t="s">
        <v>42</v>
      </c>
      <c r="Z308" s="14" t="s">
        <v>36</v>
      </c>
      <c r="AA308" s="14" t="s">
        <v>36</v>
      </c>
      <c r="AB308" s="12" t="s">
        <v>43</v>
      </c>
      <c r="AC308" s="12" t="s">
        <v>2148</v>
      </c>
      <c r="AD308" s="13">
        <v>45536</v>
      </c>
      <c r="AE308" s="12" t="s">
        <v>642</v>
      </c>
      <c r="AF308" s="12" t="s">
        <v>36</v>
      </c>
      <c r="AG308" s="12" t="s">
        <v>419</v>
      </c>
      <c r="AH308" s="1">
        <f>HYPERLINK("https://my.pitchbook.com?c=272061-37T","View Company Online")</f>
      </c>
    </row>
    <row r="309">
      <c r="A309" s="3" t="s">
        <v>2149</v>
      </c>
      <c r="B309" s="3" t="s">
        <v>2150</v>
      </c>
      <c r="C309" s="5" t="s">
        <v>36</v>
      </c>
      <c r="D309" s="5" t="s">
        <v>36</v>
      </c>
      <c r="E309" s="5" t="s">
        <v>36</v>
      </c>
      <c r="F309" s="5" t="s">
        <v>36</v>
      </c>
      <c r="G309" s="6" t="s">
        <v>36</v>
      </c>
      <c r="H309" s="4" t="s">
        <v>36</v>
      </c>
      <c r="I309" s="7" t="s">
        <v>36</v>
      </c>
      <c r="J309" s="3" t="s">
        <v>36</v>
      </c>
      <c r="K309" s="9" t="s">
        <v>36</v>
      </c>
      <c r="L309" s="6" t="s">
        <v>36</v>
      </c>
      <c r="M309" s="3" t="s">
        <v>36</v>
      </c>
      <c r="N309" s="3" t="s">
        <v>36</v>
      </c>
      <c r="O309" s="8" t="s">
        <v>36</v>
      </c>
      <c r="P309" s="3" t="s">
        <v>36</v>
      </c>
      <c r="Q309" s="3" t="s">
        <v>36</v>
      </c>
      <c r="R309" s="3" t="s">
        <v>36</v>
      </c>
      <c r="S309" s="3" t="s">
        <v>36</v>
      </c>
      <c r="T309" s="3" t="s">
        <v>2151</v>
      </c>
      <c r="U309" s="3" t="s">
        <v>728</v>
      </c>
      <c r="V309" s="3" t="s">
        <v>64</v>
      </c>
      <c r="W309" s="3" t="s">
        <v>2152</v>
      </c>
      <c r="X309" s="10" t="s">
        <v>2130</v>
      </c>
      <c r="Y309" s="6" t="s">
        <v>42</v>
      </c>
      <c r="Z309" s="4" t="s">
        <v>36</v>
      </c>
      <c r="AA309" s="4" t="s">
        <v>36</v>
      </c>
      <c r="AB309" s="3" t="s">
        <v>56</v>
      </c>
      <c r="AC309" s="3" t="s">
        <v>2153</v>
      </c>
      <c r="AD309" s="9">
        <v>45536</v>
      </c>
      <c r="AE309" s="3" t="s">
        <v>2154</v>
      </c>
      <c r="AF309" s="3" t="s">
        <v>733</v>
      </c>
      <c r="AG309" s="3" t="s">
        <v>81</v>
      </c>
      <c r="AH309" s="11">
        <f>HYPERLINK("https://my.pitchbook.com?c=272587-78T","View Company Online")</f>
      </c>
    </row>
    <row r="310">
      <c r="A310" s="12" t="s">
        <v>2155</v>
      </c>
      <c r="B310" s="12" t="s">
        <v>2156</v>
      </c>
      <c r="C310" s="19" t="s">
        <v>36</v>
      </c>
      <c r="D310" s="19">
        <v>2</v>
      </c>
      <c r="E310" s="19">
        <v>6</v>
      </c>
      <c r="F310" s="19">
        <v>7</v>
      </c>
      <c r="G310" s="15" t="s">
        <v>36</v>
      </c>
      <c r="H310" s="14" t="s">
        <v>36</v>
      </c>
      <c r="I310" s="18" t="s">
        <v>36</v>
      </c>
      <c r="J310" s="12" t="s">
        <v>36</v>
      </c>
      <c r="K310" s="13" t="s">
        <v>36</v>
      </c>
      <c r="L310" s="15" t="s">
        <v>36</v>
      </c>
      <c r="M310" s="12" t="s">
        <v>36</v>
      </c>
      <c r="N310" s="12" t="s">
        <v>36</v>
      </c>
      <c r="O310" s="17" t="s">
        <v>36</v>
      </c>
      <c r="P310" s="12" t="s">
        <v>36</v>
      </c>
      <c r="Q310" s="12" t="s">
        <v>36</v>
      </c>
      <c r="R310" s="12" t="s">
        <v>36</v>
      </c>
      <c r="S310" s="12" t="s">
        <v>36</v>
      </c>
      <c r="T310" s="12" t="s">
        <v>522</v>
      </c>
      <c r="U310" s="12" t="s">
        <v>38</v>
      </c>
      <c r="V310" s="12" t="s">
        <v>39</v>
      </c>
      <c r="W310" s="12" t="s">
        <v>2157</v>
      </c>
      <c r="X310" s="16" t="s">
        <v>2158</v>
      </c>
      <c r="Y310" s="15" t="s">
        <v>108</v>
      </c>
      <c r="Z310" s="14" t="s">
        <v>36</v>
      </c>
      <c r="AA310" s="14" t="s">
        <v>36</v>
      </c>
      <c r="AB310" s="12" t="s">
        <v>43</v>
      </c>
      <c r="AC310" s="12" t="s">
        <v>2159</v>
      </c>
      <c r="AD310" s="13">
        <v>45536</v>
      </c>
      <c r="AE310" s="12" t="s">
        <v>110</v>
      </c>
      <c r="AF310" s="12" t="s">
        <v>1401</v>
      </c>
      <c r="AG310" s="12" t="s">
        <v>186</v>
      </c>
      <c r="AH310" s="1">
        <f>HYPERLINK("https://my.pitchbook.com?c=272739-61T","View Company Online")</f>
      </c>
    </row>
    <row r="311">
      <c r="A311" s="3" t="s">
        <v>2160</v>
      </c>
      <c r="B311" s="3" t="s">
        <v>2161</v>
      </c>
      <c r="C311" s="5" t="s">
        <v>36</v>
      </c>
      <c r="D311" s="5" t="s">
        <v>36</v>
      </c>
      <c r="E311" s="5" t="s">
        <v>36</v>
      </c>
      <c r="F311" s="5" t="s">
        <v>36</v>
      </c>
      <c r="G311" s="6" t="s">
        <v>36</v>
      </c>
      <c r="H311" s="4" t="s">
        <v>36</v>
      </c>
      <c r="I311" s="7" t="s">
        <v>36</v>
      </c>
      <c r="J311" s="3" t="s">
        <v>36</v>
      </c>
      <c r="K311" s="9" t="s">
        <v>36</v>
      </c>
      <c r="L311" s="6" t="s">
        <v>36</v>
      </c>
      <c r="M311" s="3" t="s">
        <v>36</v>
      </c>
      <c r="N311" s="3" t="s">
        <v>36</v>
      </c>
      <c r="O311" s="8" t="s">
        <v>36</v>
      </c>
      <c r="P311" s="3" t="s">
        <v>36</v>
      </c>
      <c r="Q311" s="3" t="s">
        <v>36</v>
      </c>
      <c r="R311" s="3" t="s">
        <v>36</v>
      </c>
      <c r="S311" s="3" t="s">
        <v>36</v>
      </c>
      <c r="T311" s="3" t="s">
        <v>105</v>
      </c>
      <c r="U311" s="3" t="s">
        <v>38</v>
      </c>
      <c r="V311" s="3" t="s">
        <v>39</v>
      </c>
      <c r="W311" s="3" t="s">
        <v>2162</v>
      </c>
      <c r="X311" s="10" t="s">
        <v>2163</v>
      </c>
      <c r="Y311" s="6" t="s">
        <v>42</v>
      </c>
      <c r="Z311" s="4" t="s">
        <v>36</v>
      </c>
      <c r="AA311" s="4" t="s">
        <v>36</v>
      </c>
      <c r="AB311" s="3" t="s">
        <v>56</v>
      </c>
      <c r="AC311" s="3" t="s">
        <v>2164</v>
      </c>
      <c r="AD311" s="9">
        <v>45536</v>
      </c>
      <c r="AE311" s="3" t="s">
        <v>110</v>
      </c>
      <c r="AF311" s="3" t="s">
        <v>36</v>
      </c>
      <c r="AG311" s="3" t="s">
        <v>81</v>
      </c>
      <c r="AH311" s="11">
        <f>HYPERLINK("https://my.pitchbook.com?c=271551-07T","View Company Online")</f>
      </c>
    </row>
    <row r="312">
      <c r="A312" s="12" t="s">
        <v>2165</v>
      </c>
      <c r="B312" s="12" t="s">
        <v>2166</v>
      </c>
      <c r="C312" s="19" t="s">
        <v>36</v>
      </c>
      <c r="D312" s="19" t="s">
        <v>36</v>
      </c>
      <c r="E312" s="19" t="s">
        <v>36</v>
      </c>
      <c r="F312" s="19" t="s">
        <v>36</v>
      </c>
      <c r="G312" s="15" t="s">
        <v>36</v>
      </c>
      <c r="H312" s="14" t="s">
        <v>36</v>
      </c>
      <c r="I312" s="18" t="s">
        <v>36</v>
      </c>
      <c r="J312" s="12" t="s">
        <v>36</v>
      </c>
      <c r="K312" s="13" t="s">
        <v>36</v>
      </c>
      <c r="L312" s="15" t="s">
        <v>36</v>
      </c>
      <c r="M312" s="12" t="s">
        <v>36</v>
      </c>
      <c r="N312" s="12" t="s">
        <v>36</v>
      </c>
      <c r="O312" s="17" t="s">
        <v>36</v>
      </c>
      <c r="P312" s="12" t="s">
        <v>36</v>
      </c>
      <c r="Q312" s="12" t="s">
        <v>36</v>
      </c>
      <c r="R312" s="12" t="s">
        <v>36</v>
      </c>
      <c r="S312" s="12" t="s">
        <v>36</v>
      </c>
      <c r="T312" s="12" t="s">
        <v>522</v>
      </c>
      <c r="U312" s="12" t="s">
        <v>38</v>
      </c>
      <c r="V312" s="12" t="s">
        <v>39</v>
      </c>
      <c r="W312" s="12" t="s">
        <v>2167</v>
      </c>
      <c r="X312" s="16" t="s">
        <v>221</v>
      </c>
      <c r="Y312" s="15" t="s">
        <v>42</v>
      </c>
      <c r="Z312" s="14" t="s">
        <v>36</v>
      </c>
      <c r="AA312" s="14" t="s">
        <v>36</v>
      </c>
      <c r="AB312" s="12" t="s">
        <v>43</v>
      </c>
      <c r="AC312" s="12" t="s">
        <v>2168</v>
      </c>
      <c r="AD312" s="13">
        <v>45536</v>
      </c>
      <c r="AE312" s="12" t="s">
        <v>110</v>
      </c>
      <c r="AF312" s="12" t="s">
        <v>526</v>
      </c>
      <c r="AG312" s="12" t="s">
        <v>2169</v>
      </c>
      <c r="AH312" s="1">
        <f>HYPERLINK("https://my.pitchbook.com?c=272742-76T","View Company Online")</f>
      </c>
    </row>
    <row r="313">
      <c r="A313" s="3" t="s">
        <v>2170</v>
      </c>
      <c r="B313" s="3" t="s">
        <v>2171</v>
      </c>
      <c r="C313" s="5" t="s">
        <v>36</v>
      </c>
      <c r="D313" s="5" t="s">
        <v>36</v>
      </c>
      <c r="E313" s="5" t="s">
        <v>36</v>
      </c>
      <c r="F313" s="5" t="s">
        <v>36</v>
      </c>
      <c r="G313" s="6" t="s">
        <v>36</v>
      </c>
      <c r="H313" s="4" t="s">
        <v>36</v>
      </c>
      <c r="I313" s="7" t="s">
        <v>36</v>
      </c>
      <c r="J313" s="3" t="s">
        <v>36</v>
      </c>
      <c r="K313" s="9" t="s">
        <v>36</v>
      </c>
      <c r="L313" s="6" t="s">
        <v>36</v>
      </c>
      <c r="M313" s="3" t="s">
        <v>36</v>
      </c>
      <c r="N313" s="3" t="s">
        <v>36</v>
      </c>
      <c r="O313" s="8" t="s">
        <v>36</v>
      </c>
      <c r="P313" s="3" t="s">
        <v>36</v>
      </c>
      <c r="Q313" s="3" t="s">
        <v>36</v>
      </c>
      <c r="R313" s="3" t="s">
        <v>36</v>
      </c>
      <c r="S313" s="3" t="s">
        <v>36</v>
      </c>
      <c r="T313" s="3" t="s">
        <v>105</v>
      </c>
      <c r="U313" s="3" t="s">
        <v>38</v>
      </c>
      <c r="V313" s="3" t="s">
        <v>39</v>
      </c>
      <c r="W313" s="3" t="s">
        <v>2172</v>
      </c>
      <c r="X313" s="10" t="s">
        <v>221</v>
      </c>
      <c r="Y313" s="6" t="s">
        <v>108</v>
      </c>
      <c r="Z313" s="4" t="s">
        <v>36</v>
      </c>
      <c r="AA313" s="4" t="s">
        <v>36</v>
      </c>
      <c r="AB313" s="3" t="s">
        <v>56</v>
      </c>
      <c r="AC313" s="3" t="s">
        <v>2173</v>
      </c>
      <c r="AD313" s="9">
        <v>45536</v>
      </c>
      <c r="AE313" s="3" t="s">
        <v>110</v>
      </c>
      <c r="AF313" s="3" t="s">
        <v>176</v>
      </c>
      <c r="AG313" s="3" t="s">
        <v>1485</v>
      </c>
      <c r="AH313" s="11">
        <f>HYPERLINK("https://my.pitchbook.com?c=272742-58T","View Company Online")</f>
      </c>
    </row>
    <row r="314">
      <c r="A314" s="12" t="s">
        <v>2174</v>
      </c>
      <c r="B314" s="12" t="s">
        <v>2175</v>
      </c>
      <c r="C314" s="19">
        <v>4</v>
      </c>
      <c r="D314" s="19" t="s">
        <v>36</v>
      </c>
      <c r="E314" s="19">
        <v>1</v>
      </c>
      <c r="F314" s="19">
        <v>4</v>
      </c>
      <c r="G314" s="15" t="s">
        <v>36</v>
      </c>
      <c r="H314" s="14" t="s">
        <v>36</v>
      </c>
      <c r="I314" s="18" t="s">
        <v>36</v>
      </c>
      <c r="J314" s="12" t="s">
        <v>36</v>
      </c>
      <c r="K314" s="13" t="s">
        <v>36</v>
      </c>
      <c r="L314" s="15" t="s">
        <v>36</v>
      </c>
      <c r="M314" s="12" t="s">
        <v>36</v>
      </c>
      <c r="N314" s="12" t="s">
        <v>36</v>
      </c>
      <c r="O314" s="17" t="s">
        <v>36</v>
      </c>
      <c r="P314" s="12" t="s">
        <v>36</v>
      </c>
      <c r="Q314" s="12" t="s">
        <v>36</v>
      </c>
      <c r="R314" s="12" t="s">
        <v>36</v>
      </c>
      <c r="S314" s="12" t="s">
        <v>36</v>
      </c>
      <c r="T314" s="12" t="s">
        <v>2176</v>
      </c>
      <c r="U314" s="12" t="s">
        <v>51</v>
      </c>
      <c r="V314" s="12" t="s">
        <v>52</v>
      </c>
      <c r="W314" s="12" t="s">
        <v>2177</v>
      </c>
      <c r="X314" s="16" t="s">
        <v>2178</v>
      </c>
      <c r="Y314" s="15" t="s">
        <v>192</v>
      </c>
      <c r="Z314" s="14" t="s">
        <v>36</v>
      </c>
      <c r="AA314" s="14" t="s">
        <v>36</v>
      </c>
      <c r="AB314" s="12" t="s">
        <v>56</v>
      </c>
      <c r="AC314" s="12" t="s">
        <v>2179</v>
      </c>
      <c r="AD314" s="13">
        <v>45536</v>
      </c>
      <c r="AE314" s="12" t="s">
        <v>158</v>
      </c>
      <c r="AF314" s="12" t="s">
        <v>665</v>
      </c>
      <c r="AG314" s="12" t="s">
        <v>2180</v>
      </c>
      <c r="AH314" s="1">
        <f>HYPERLINK("https://my.pitchbook.com?c=271684-99T","View Company Online")</f>
      </c>
    </row>
    <row r="315">
      <c r="A315" s="3" t="s">
        <v>2181</v>
      </c>
      <c r="B315" s="3" t="s">
        <v>2182</v>
      </c>
      <c r="C315" s="5" t="s">
        <v>36</v>
      </c>
      <c r="D315" s="5">
        <v>12</v>
      </c>
      <c r="E315" s="5">
        <v>7</v>
      </c>
      <c r="F315" s="5">
        <v>19</v>
      </c>
      <c r="G315" s="6" t="s">
        <v>36</v>
      </c>
      <c r="H315" s="4" t="s">
        <v>36</v>
      </c>
      <c r="I315" s="7" t="s">
        <v>36</v>
      </c>
      <c r="J315" s="3" t="s">
        <v>36</v>
      </c>
      <c r="K315" s="9" t="s">
        <v>36</v>
      </c>
      <c r="L315" s="6" t="s">
        <v>36</v>
      </c>
      <c r="M315" s="3" t="s">
        <v>36</v>
      </c>
      <c r="N315" s="3" t="s">
        <v>36</v>
      </c>
      <c r="O315" s="8" t="s">
        <v>36</v>
      </c>
      <c r="P315" s="3" t="s">
        <v>36</v>
      </c>
      <c r="Q315" s="3" t="s">
        <v>36</v>
      </c>
      <c r="R315" s="3" t="s">
        <v>36</v>
      </c>
      <c r="S315" s="3" t="s">
        <v>36</v>
      </c>
      <c r="T315" s="3" t="s">
        <v>2183</v>
      </c>
      <c r="U315" s="3" t="s">
        <v>74</v>
      </c>
      <c r="V315" s="3" t="s">
        <v>75</v>
      </c>
      <c r="W315" s="3" t="s">
        <v>2184</v>
      </c>
      <c r="X315" s="10" t="s">
        <v>2178</v>
      </c>
      <c r="Y315" s="6" t="s">
        <v>55</v>
      </c>
      <c r="Z315" s="4" t="s">
        <v>36</v>
      </c>
      <c r="AA315" s="4" t="s">
        <v>36</v>
      </c>
      <c r="AB315" s="3" t="s">
        <v>56</v>
      </c>
      <c r="AC315" s="3" t="s">
        <v>2185</v>
      </c>
      <c r="AD315" s="9">
        <v>45536</v>
      </c>
      <c r="AE315" s="3" t="s">
        <v>975</v>
      </c>
      <c r="AF315" s="3" t="s">
        <v>2186</v>
      </c>
      <c r="AG315" s="3" t="s">
        <v>2187</v>
      </c>
      <c r="AH315" s="11">
        <f>HYPERLINK("https://my.pitchbook.com?c=271681-57T","View Company Online")</f>
      </c>
    </row>
    <row r="316">
      <c r="A316" s="12" t="s">
        <v>2188</v>
      </c>
      <c r="B316" s="12" t="s">
        <v>2189</v>
      </c>
      <c r="C316" s="19" t="s">
        <v>36</v>
      </c>
      <c r="D316" s="19" t="s">
        <v>36</v>
      </c>
      <c r="E316" s="19" t="s">
        <v>36</v>
      </c>
      <c r="F316" s="19" t="s">
        <v>36</v>
      </c>
      <c r="G316" s="15" t="s">
        <v>36</v>
      </c>
      <c r="H316" s="14" t="s">
        <v>36</v>
      </c>
      <c r="I316" s="18" t="s">
        <v>36</v>
      </c>
      <c r="J316" s="12" t="s">
        <v>36</v>
      </c>
      <c r="K316" s="13" t="s">
        <v>36</v>
      </c>
      <c r="L316" s="15" t="s">
        <v>36</v>
      </c>
      <c r="M316" s="12" t="s">
        <v>36</v>
      </c>
      <c r="N316" s="12" t="s">
        <v>36</v>
      </c>
      <c r="O316" s="17" t="s">
        <v>36</v>
      </c>
      <c r="P316" s="12" t="s">
        <v>36</v>
      </c>
      <c r="Q316" s="12" t="s">
        <v>36</v>
      </c>
      <c r="R316" s="12" t="s">
        <v>36</v>
      </c>
      <c r="S316" s="12" t="s">
        <v>36</v>
      </c>
      <c r="T316" s="12" t="s">
        <v>522</v>
      </c>
      <c r="U316" s="12" t="s">
        <v>38</v>
      </c>
      <c r="V316" s="12" t="s">
        <v>39</v>
      </c>
      <c r="W316" s="12" t="s">
        <v>2190</v>
      </c>
      <c r="X316" s="16" t="s">
        <v>2191</v>
      </c>
      <c r="Y316" s="15" t="s">
        <v>42</v>
      </c>
      <c r="Z316" s="14" t="s">
        <v>36</v>
      </c>
      <c r="AA316" s="14" t="s">
        <v>36</v>
      </c>
      <c r="AB316" s="12" t="s">
        <v>43</v>
      </c>
      <c r="AC316" s="12" t="s">
        <v>2192</v>
      </c>
      <c r="AD316" s="13">
        <v>45536</v>
      </c>
      <c r="AE316" s="12" t="s">
        <v>110</v>
      </c>
      <c r="AF316" s="12" t="s">
        <v>275</v>
      </c>
      <c r="AG316" s="12" t="s">
        <v>1276</v>
      </c>
      <c r="AH316" s="1">
        <f>HYPERLINK("https://my.pitchbook.com?c=271641-07T","View Company Online")</f>
      </c>
    </row>
    <row r="317">
      <c r="A317" s="3" t="s">
        <v>2193</v>
      </c>
      <c r="B317" s="3" t="s">
        <v>2194</v>
      </c>
      <c r="C317" s="5" t="s">
        <v>36</v>
      </c>
      <c r="D317" s="5" t="s">
        <v>36</v>
      </c>
      <c r="E317" s="5" t="s">
        <v>36</v>
      </c>
      <c r="F317" s="5" t="s">
        <v>36</v>
      </c>
      <c r="G317" s="6" t="s">
        <v>36</v>
      </c>
      <c r="H317" s="4" t="s">
        <v>36</v>
      </c>
      <c r="I317" s="7" t="s">
        <v>36</v>
      </c>
      <c r="J317" s="3" t="s">
        <v>36</v>
      </c>
      <c r="K317" s="9" t="s">
        <v>36</v>
      </c>
      <c r="L317" s="6" t="s">
        <v>36</v>
      </c>
      <c r="M317" s="3" t="s">
        <v>36</v>
      </c>
      <c r="N317" s="3" t="s">
        <v>36</v>
      </c>
      <c r="O317" s="8" t="s">
        <v>36</v>
      </c>
      <c r="P317" s="3" t="s">
        <v>36</v>
      </c>
      <c r="Q317" s="3" t="s">
        <v>36</v>
      </c>
      <c r="R317" s="3" t="s">
        <v>36</v>
      </c>
      <c r="S317" s="3" t="s">
        <v>36</v>
      </c>
      <c r="T317" s="3" t="s">
        <v>2195</v>
      </c>
      <c r="U317" s="3" t="s">
        <v>279</v>
      </c>
      <c r="V317" s="3" t="s">
        <v>64</v>
      </c>
      <c r="W317" s="3" t="s">
        <v>2196</v>
      </c>
      <c r="X317" s="10" t="s">
        <v>2197</v>
      </c>
      <c r="Y317" s="6" t="s">
        <v>108</v>
      </c>
      <c r="Z317" s="4">
        <v>0.74</v>
      </c>
      <c r="AA317" s="4" t="s">
        <v>36</v>
      </c>
      <c r="AB317" s="3" t="s">
        <v>56</v>
      </c>
      <c r="AC317" s="3" t="s">
        <v>2198</v>
      </c>
      <c r="AD317" s="9">
        <v>45535</v>
      </c>
      <c r="AE317" s="3" t="s">
        <v>283</v>
      </c>
      <c r="AF317" s="3" t="s">
        <v>176</v>
      </c>
      <c r="AG317" s="3" t="s">
        <v>81</v>
      </c>
      <c r="AH317" s="11">
        <f>HYPERLINK("https://my.pitchbook.com?c=265294-90T","View Company Online")</f>
      </c>
    </row>
    <row r="318">
      <c r="A318" s="12" t="s">
        <v>2199</v>
      </c>
      <c r="B318" s="12" t="s">
        <v>2200</v>
      </c>
      <c r="C318" s="19" t="s">
        <v>36</v>
      </c>
      <c r="D318" s="19" t="s">
        <v>36</v>
      </c>
      <c r="E318" s="19" t="s">
        <v>36</v>
      </c>
      <c r="F318" s="19" t="s">
        <v>36</v>
      </c>
      <c r="G318" s="15" t="s">
        <v>36</v>
      </c>
      <c r="H318" s="14" t="s">
        <v>36</v>
      </c>
      <c r="I318" s="18" t="s">
        <v>36</v>
      </c>
      <c r="J318" s="12" t="s">
        <v>36</v>
      </c>
      <c r="K318" s="13" t="s">
        <v>36</v>
      </c>
      <c r="L318" s="15" t="s">
        <v>36</v>
      </c>
      <c r="M318" s="12" t="s">
        <v>36</v>
      </c>
      <c r="N318" s="12" t="s">
        <v>36</v>
      </c>
      <c r="O318" s="17" t="s">
        <v>36</v>
      </c>
      <c r="P318" s="12" t="s">
        <v>36</v>
      </c>
      <c r="Q318" s="12" t="s">
        <v>36</v>
      </c>
      <c r="R318" s="12" t="s">
        <v>36</v>
      </c>
      <c r="S318" s="12" t="s">
        <v>36</v>
      </c>
      <c r="T318" s="12" t="s">
        <v>2201</v>
      </c>
      <c r="U318" s="12" t="s">
        <v>728</v>
      </c>
      <c r="V318" s="12" t="s">
        <v>64</v>
      </c>
      <c r="W318" s="12" t="s">
        <v>2202</v>
      </c>
      <c r="X318" s="16" t="s">
        <v>2203</v>
      </c>
      <c r="Y318" s="15" t="s">
        <v>42</v>
      </c>
      <c r="Z318" s="14" t="s">
        <v>36</v>
      </c>
      <c r="AA318" s="14" t="s">
        <v>36</v>
      </c>
      <c r="AB318" s="12" t="s">
        <v>43</v>
      </c>
      <c r="AC318" s="12" t="s">
        <v>2204</v>
      </c>
      <c r="AD318" s="13">
        <v>45532</v>
      </c>
      <c r="AE318" s="12" t="s">
        <v>1600</v>
      </c>
      <c r="AF318" s="12" t="s">
        <v>36</v>
      </c>
      <c r="AG318" s="12" t="s">
        <v>81</v>
      </c>
      <c r="AH318" s="1">
        <f>HYPERLINK("https://my.pitchbook.com?c=270754-93T","View Company Online")</f>
      </c>
    </row>
    <row r="319">
      <c r="A319" s="3" t="s">
        <v>2205</v>
      </c>
      <c r="B319" s="3" t="s">
        <v>2206</v>
      </c>
      <c r="C319" s="5" t="s">
        <v>36</v>
      </c>
      <c r="D319" s="5" t="s">
        <v>36</v>
      </c>
      <c r="E319" s="5">
        <v>1</v>
      </c>
      <c r="F319" s="5">
        <v>1</v>
      </c>
      <c r="G319" s="6" t="s">
        <v>36</v>
      </c>
      <c r="H319" s="4" t="s">
        <v>36</v>
      </c>
      <c r="I319" s="7" t="s">
        <v>36</v>
      </c>
      <c r="J319" s="3" t="s">
        <v>36</v>
      </c>
      <c r="K319" s="9" t="s">
        <v>36</v>
      </c>
      <c r="L319" s="6" t="s">
        <v>36</v>
      </c>
      <c r="M319" s="3" t="s">
        <v>36</v>
      </c>
      <c r="N319" s="3" t="s">
        <v>36</v>
      </c>
      <c r="O319" s="8" t="s">
        <v>36</v>
      </c>
      <c r="P319" s="3" t="s">
        <v>36</v>
      </c>
      <c r="Q319" s="3" t="s">
        <v>36</v>
      </c>
      <c r="R319" s="3" t="s">
        <v>36</v>
      </c>
      <c r="S319" s="3" t="s">
        <v>36</v>
      </c>
      <c r="T319" s="3" t="s">
        <v>1701</v>
      </c>
      <c r="U319" s="3" t="s">
        <v>74</v>
      </c>
      <c r="V319" s="3" t="s">
        <v>75</v>
      </c>
      <c r="W319" s="3" t="s">
        <v>2207</v>
      </c>
      <c r="X319" s="10" t="s">
        <v>2208</v>
      </c>
      <c r="Y319" s="6" t="s">
        <v>55</v>
      </c>
      <c r="Z319" s="4">
        <v>3.93</v>
      </c>
      <c r="AA319" s="4" t="s">
        <v>36</v>
      </c>
      <c r="AB319" s="3" t="s">
        <v>56</v>
      </c>
      <c r="AC319" s="3" t="s">
        <v>2209</v>
      </c>
      <c r="AD319" s="9">
        <v>45531</v>
      </c>
      <c r="AE319" s="3" t="s">
        <v>79</v>
      </c>
      <c r="AF319" s="3" t="s">
        <v>2210</v>
      </c>
      <c r="AG319" s="3" t="s">
        <v>47</v>
      </c>
      <c r="AH319" s="11">
        <f>HYPERLINK("https://my.pitchbook.com?c=270862-66T","View Company Online")</f>
      </c>
    </row>
    <row r="320">
      <c r="A320" s="12" t="s">
        <v>2211</v>
      </c>
      <c r="B320" s="12" t="s">
        <v>2212</v>
      </c>
      <c r="C320" s="19">
        <v>5</v>
      </c>
      <c r="D320" s="19">
        <v>6</v>
      </c>
      <c r="E320" s="19">
        <v>4</v>
      </c>
      <c r="F320" s="19">
        <v>11</v>
      </c>
      <c r="G320" s="15" t="s">
        <v>36</v>
      </c>
      <c r="H320" s="14" t="s">
        <v>36</v>
      </c>
      <c r="I320" s="18" t="s">
        <v>36</v>
      </c>
      <c r="J320" s="12" t="s">
        <v>36</v>
      </c>
      <c r="K320" s="13">
        <v>45474</v>
      </c>
      <c r="L320" s="15" t="s">
        <v>122</v>
      </c>
      <c r="M320" s="12" t="s">
        <v>36</v>
      </c>
      <c r="N320" s="12" t="s">
        <v>122</v>
      </c>
      <c r="O320" s="17" t="s">
        <v>36</v>
      </c>
      <c r="P320" s="12" t="s">
        <v>36</v>
      </c>
      <c r="Q320" s="12" t="s">
        <v>36</v>
      </c>
      <c r="R320" s="12" t="s">
        <v>36</v>
      </c>
      <c r="S320" s="12" t="s">
        <v>36</v>
      </c>
      <c r="T320" s="12" t="s">
        <v>2213</v>
      </c>
      <c r="U320" s="12" t="s">
        <v>219</v>
      </c>
      <c r="V320" s="12" t="s">
        <v>75</v>
      </c>
      <c r="W320" s="12" t="s">
        <v>2214</v>
      </c>
      <c r="X320" s="16" t="s">
        <v>2215</v>
      </c>
      <c r="Y320" s="15" t="s">
        <v>166</v>
      </c>
      <c r="Z320" s="14">
        <v>12.08</v>
      </c>
      <c r="AA320" s="14" t="s">
        <v>36</v>
      </c>
      <c r="AB320" s="12" t="s">
        <v>56</v>
      </c>
      <c r="AC320" s="12" t="s">
        <v>2216</v>
      </c>
      <c r="AD320" s="13">
        <v>45531</v>
      </c>
      <c r="AE320" s="12" t="s">
        <v>1912</v>
      </c>
      <c r="AF320" s="12" t="s">
        <v>2217</v>
      </c>
      <c r="AG320" s="12" t="s">
        <v>2218</v>
      </c>
      <c r="AH320" s="1">
        <f>HYPERLINK("https://my.pitchbook.com?c=256750-84T","View Company Online")</f>
      </c>
    </row>
    <row r="321">
      <c r="A321" s="3" t="s">
        <v>2219</v>
      </c>
      <c r="B321" s="3" t="s">
        <v>2220</v>
      </c>
      <c r="C321" s="5" t="s">
        <v>36</v>
      </c>
      <c r="D321" s="5" t="s">
        <v>36</v>
      </c>
      <c r="E321" s="5" t="s">
        <v>36</v>
      </c>
      <c r="F321" s="5" t="s">
        <v>36</v>
      </c>
      <c r="G321" s="6" t="s">
        <v>36</v>
      </c>
      <c r="H321" s="4" t="s">
        <v>36</v>
      </c>
      <c r="I321" s="7" t="s">
        <v>36</v>
      </c>
      <c r="J321" s="3" t="s">
        <v>36</v>
      </c>
      <c r="K321" s="9" t="s">
        <v>36</v>
      </c>
      <c r="L321" s="6" t="s">
        <v>36</v>
      </c>
      <c r="M321" s="3" t="s">
        <v>36</v>
      </c>
      <c r="N321" s="3" t="s">
        <v>36</v>
      </c>
      <c r="O321" s="8" t="s">
        <v>36</v>
      </c>
      <c r="P321" s="3" t="s">
        <v>36</v>
      </c>
      <c r="Q321" s="3" t="s">
        <v>36</v>
      </c>
      <c r="R321" s="3" t="s">
        <v>36</v>
      </c>
      <c r="S321" s="3" t="s">
        <v>36</v>
      </c>
      <c r="T321" s="3" t="s">
        <v>2221</v>
      </c>
      <c r="U321" s="3" t="s">
        <v>38</v>
      </c>
      <c r="V321" s="3" t="s">
        <v>39</v>
      </c>
      <c r="W321" s="3" t="s">
        <v>2222</v>
      </c>
      <c r="X321" s="10" t="s">
        <v>2223</v>
      </c>
      <c r="Y321" s="6" t="s">
        <v>42</v>
      </c>
      <c r="Z321" s="4">
        <v>38.18</v>
      </c>
      <c r="AA321" s="4" t="s">
        <v>36</v>
      </c>
      <c r="AB321" s="3" t="s">
        <v>43</v>
      </c>
      <c r="AC321" s="3" t="s">
        <v>2224</v>
      </c>
      <c r="AD321" s="9">
        <v>45523</v>
      </c>
      <c r="AE321" s="3" t="s">
        <v>339</v>
      </c>
      <c r="AF321" s="3" t="s">
        <v>36</v>
      </c>
      <c r="AG321" s="3" t="s">
        <v>81</v>
      </c>
      <c r="AH321" s="11">
        <f>HYPERLINK("https://my.pitchbook.com?c=242309-71T","View Company Online")</f>
      </c>
    </row>
    <row r="322">
      <c r="A322" s="12" t="s">
        <v>2225</v>
      </c>
      <c r="B322" s="12" t="s">
        <v>2226</v>
      </c>
      <c r="C322" s="19" t="s">
        <v>36</v>
      </c>
      <c r="D322" s="19" t="s">
        <v>36</v>
      </c>
      <c r="E322" s="19" t="s">
        <v>36</v>
      </c>
      <c r="F322" s="19" t="s">
        <v>36</v>
      </c>
      <c r="G322" s="15" t="s">
        <v>36</v>
      </c>
      <c r="H322" s="14" t="s">
        <v>36</v>
      </c>
      <c r="I322" s="18" t="s">
        <v>36</v>
      </c>
      <c r="J322" s="12" t="s">
        <v>36</v>
      </c>
      <c r="K322" s="13" t="s">
        <v>36</v>
      </c>
      <c r="L322" s="15" t="s">
        <v>36</v>
      </c>
      <c r="M322" s="12" t="s">
        <v>36</v>
      </c>
      <c r="N322" s="12" t="s">
        <v>36</v>
      </c>
      <c r="O322" s="17" t="s">
        <v>36</v>
      </c>
      <c r="P322" s="12" t="s">
        <v>36</v>
      </c>
      <c r="Q322" s="12" t="s">
        <v>36</v>
      </c>
      <c r="R322" s="12" t="s">
        <v>36</v>
      </c>
      <c r="S322" s="12" t="s">
        <v>36</v>
      </c>
      <c r="T322" s="12" t="s">
        <v>2227</v>
      </c>
      <c r="U322" s="12" t="s">
        <v>38</v>
      </c>
      <c r="V322" s="12" t="s">
        <v>39</v>
      </c>
      <c r="W322" s="12" t="s">
        <v>2228</v>
      </c>
      <c r="X322" s="16" t="s">
        <v>2229</v>
      </c>
      <c r="Y322" s="15" t="s">
        <v>55</v>
      </c>
      <c r="Z322" s="14" t="s">
        <v>36</v>
      </c>
      <c r="AA322" s="14" t="s">
        <v>36</v>
      </c>
      <c r="AB322" s="12" t="s">
        <v>43</v>
      </c>
      <c r="AC322" s="12" t="s">
        <v>2230</v>
      </c>
      <c r="AD322" s="13">
        <v>45511</v>
      </c>
      <c r="AE322" s="12" t="s">
        <v>554</v>
      </c>
      <c r="AF322" s="12" t="s">
        <v>1296</v>
      </c>
      <c r="AG322" s="12" t="s">
        <v>81</v>
      </c>
      <c r="AH322" s="1">
        <f>HYPERLINK("https://my.pitchbook.com?c=274644-10T","View Company Online")</f>
      </c>
    </row>
    <row r="323">
      <c r="A323" s="3" t="s">
        <v>2231</v>
      </c>
      <c r="B323" s="3" t="s">
        <v>2232</v>
      </c>
      <c r="C323" s="5" t="s">
        <v>36</v>
      </c>
      <c r="D323" s="5" t="s">
        <v>36</v>
      </c>
      <c r="E323" s="5" t="s">
        <v>36</v>
      </c>
      <c r="F323" s="5" t="s">
        <v>36</v>
      </c>
      <c r="G323" s="6" t="s">
        <v>36</v>
      </c>
      <c r="H323" s="4" t="s">
        <v>36</v>
      </c>
      <c r="I323" s="7" t="s">
        <v>36</v>
      </c>
      <c r="J323" s="3" t="s">
        <v>36</v>
      </c>
      <c r="K323" s="9" t="s">
        <v>36</v>
      </c>
      <c r="L323" s="6" t="s">
        <v>94</v>
      </c>
      <c r="M323" s="3" t="s">
        <v>36</v>
      </c>
      <c r="N323" s="3" t="s">
        <v>94</v>
      </c>
      <c r="O323" s="8" t="s">
        <v>36</v>
      </c>
      <c r="P323" s="3" t="s">
        <v>36</v>
      </c>
      <c r="Q323" s="3" t="s">
        <v>36</v>
      </c>
      <c r="R323" s="3" t="s">
        <v>36</v>
      </c>
      <c r="S323" s="3" t="s">
        <v>36</v>
      </c>
      <c r="T323" s="3" t="s">
        <v>2233</v>
      </c>
      <c r="U323" s="3" t="s">
        <v>74</v>
      </c>
      <c r="V323" s="3" t="s">
        <v>75</v>
      </c>
      <c r="W323" s="3" t="s">
        <v>2234</v>
      </c>
      <c r="X323" s="10" t="s">
        <v>2235</v>
      </c>
      <c r="Y323" s="6" t="s">
        <v>192</v>
      </c>
      <c r="Z323" s="4">
        <v>21.75</v>
      </c>
      <c r="AA323" s="4" t="s">
        <v>36</v>
      </c>
      <c r="AB323" s="3" t="s">
        <v>56</v>
      </c>
      <c r="AC323" s="3" t="s">
        <v>2236</v>
      </c>
      <c r="AD323" s="9">
        <v>45511</v>
      </c>
      <c r="AE323" s="3" t="s">
        <v>2237</v>
      </c>
      <c r="AF323" s="3" t="s">
        <v>2238</v>
      </c>
      <c r="AG323" s="3" t="s">
        <v>81</v>
      </c>
      <c r="AH323" s="11">
        <f>HYPERLINK("https://my.pitchbook.com?c=271823-77T","View Company Online")</f>
      </c>
    </row>
    <row r="324">
      <c r="A324" s="12" t="s">
        <v>2239</v>
      </c>
      <c r="B324" s="12" t="s">
        <v>2240</v>
      </c>
      <c r="C324" s="19" t="s">
        <v>36</v>
      </c>
      <c r="D324" s="19" t="s">
        <v>36</v>
      </c>
      <c r="E324" s="19" t="s">
        <v>36</v>
      </c>
      <c r="F324" s="19" t="s">
        <v>36</v>
      </c>
      <c r="G324" s="15" t="s">
        <v>326</v>
      </c>
      <c r="H324" s="14">
        <v>27.93</v>
      </c>
      <c r="I324" s="18">
        <v>24.24</v>
      </c>
      <c r="J324" s="12" t="s">
        <v>521</v>
      </c>
      <c r="K324" s="13" t="s">
        <v>36</v>
      </c>
      <c r="L324" s="15" t="s">
        <v>36</v>
      </c>
      <c r="M324" s="12" t="s">
        <v>36</v>
      </c>
      <c r="N324" s="12" t="s">
        <v>36</v>
      </c>
      <c r="O324" s="17" t="s">
        <v>36</v>
      </c>
      <c r="P324" s="12" t="s">
        <v>36</v>
      </c>
      <c r="Q324" s="12" t="s">
        <v>36</v>
      </c>
      <c r="R324" s="12" t="s">
        <v>36</v>
      </c>
      <c r="S324" s="12" t="s">
        <v>36</v>
      </c>
      <c r="T324" s="12" t="s">
        <v>2241</v>
      </c>
      <c r="U324" s="12" t="s">
        <v>318</v>
      </c>
      <c r="V324" s="12" t="s">
        <v>39</v>
      </c>
      <c r="W324" s="12" t="s">
        <v>2242</v>
      </c>
      <c r="X324" s="16" t="s">
        <v>2243</v>
      </c>
      <c r="Y324" s="15" t="s">
        <v>192</v>
      </c>
      <c r="Z324" s="14">
        <v>1.8</v>
      </c>
      <c r="AA324" s="14">
        <v>7.41</v>
      </c>
      <c r="AB324" s="12" t="s">
        <v>56</v>
      </c>
      <c r="AC324" s="12" t="s">
        <v>2244</v>
      </c>
      <c r="AD324" s="13">
        <v>45510</v>
      </c>
      <c r="AE324" s="12" t="s">
        <v>763</v>
      </c>
      <c r="AF324" s="12" t="s">
        <v>2245</v>
      </c>
      <c r="AG324" s="12" t="s">
        <v>2246</v>
      </c>
      <c r="AH324" s="1">
        <f>HYPERLINK("https://my.pitchbook.com?c=271991-71T","View Company Online")</f>
      </c>
    </row>
    <row r="325">
      <c r="A325" s="3" t="s">
        <v>2247</v>
      </c>
      <c r="B325" s="3" t="s">
        <v>2248</v>
      </c>
      <c r="C325" s="5" t="s">
        <v>36</v>
      </c>
      <c r="D325" s="5" t="s">
        <v>36</v>
      </c>
      <c r="E325" s="5" t="s">
        <v>36</v>
      </c>
      <c r="F325" s="5" t="s">
        <v>36</v>
      </c>
      <c r="G325" s="6" t="s">
        <v>36</v>
      </c>
      <c r="H325" s="4" t="s">
        <v>36</v>
      </c>
      <c r="I325" s="7" t="s">
        <v>36</v>
      </c>
      <c r="J325" s="3" t="s">
        <v>36</v>
      </c>
      <c r="K325" s="9" t="s">
        <v>36</v>
      </c>
      <c r="L325" s="6" t="s">
        <v>36</v>
      </c>
      <c r="M325" s="3" t="s">
        <v>36</v>
      </c>
      <c r="N325" s="3" t="s">
        <v>36</v>
      </c>
      <c r="O325" s="8" t="s">
        <v>36</v>
      </c>
      <c r="P325" s="3" t="s">
        <v>36</v>
      </c>
      <c r="Q325" s="3" t="s">
        <v>36</v>
      </c>
      <c r="R325" s="3" t="s">
        <v>36</v>
      </c>
      <c r="S325" s="3" t="s">
        <v>36</v>
      </c>
      <c r="T325" s="3" t="s">
        <v>1589</v>
      </c>
      <c r="U325" s="3" t="s">
        <v>38</v>
      </c>
      <c r="V325" s="3" t="s">
        <v>39</v>
      </c>
      <c r="W325" s="3" t="s">
        <v>2249</v>
      </c>
      <c r="X325" s="10" t="s">
        <v>2250</v>
      </c>
      <c r="Y325" s="6" t="s">
        <v>166</v>
      </c>
      <c r="Z325" s="4">
        <v>4.13</v>
      </c>
      <c r="AA325" s="4" t="s">
        <v>36</v>
      </c>
      <c r="AB325" s="3" t="s">
        <v>56</v>
      </c>
      <c r="AC325" s="3" t="s">
        <v>2251</v>
      </c>
      <c r="AD325" s="9">
        <v>45506</v>
      </c>
      <c r="AE325" s="3" t="s">
        <v>110</v>
      </c>
      <c r="AF325" s="3" t="s">
        <v>2252</v>
      </c>
      <c r="AG325" s="3" t="s">
        <v>1843</v>
      </c>
      <c r="AH325" s="11">
        <f>HYPERLINK("https://my.pitchbook.com?c=274340-71T","View Company Online")</f>
      </c>
    </row>
    <row r="326">
      <c r="A326" s="12" t="s">
        <v>2253</v>
      </c>
      <c r="B326" s="12" t="s">
        <v>2254</v>
      </c>
      <c r="C326" s="19" t="s">
        <v>36</v>
      </c>
      <c r="D326" s="19" t="s">
        <v>36</v>
      </c>
      <c r="E326" s="19" t="s">
        <v>36</v>
      </c>
      <c r="F326" s="19" t="s">
        <v>36</v>
      </c>
      <c r="G326" s="15" t="s">
        <v>36</v>
      </c>
      <c r="H326" s="14" t="s">
        <v>36</v>
      </c>
      <c r="I326" s="18" t="s">
        <v>36</v>
      </c>
      <c r="J326" s="12" t="s">
        <v>36</v>
      </c>
      <c r="K326" s="13" t="s">
        <v>36</v>
      </c>
      <c r="L326" s="15" t="s">
        <v>36</v>
      </c>
      <c r="M326" s="12" t="s">
        <v>36</v>
      </c>
      <c r="N326" s="12" t="s">
        <v>36</v>
      </c>
      <c r="O326" s="17" t="s">
        <v>36</v>
      </c>
      <c r="P326" s="12" t="s">
        <v>36</v>
      </c>
      <c r="Q326" s="12" t="s">
        <v>36</v>
      </c>
      <c r="R326" s="12" t="s">
        <v>36</v>
      </c>
      <c r="S326" s="12" t="s">
        <v>36</v>
      </c>
      <c r="T326" s="12" t="s">
        <v>2255</v>
      </c>
      <c r="U326" s="12" t="s">
        <v>833</v>
      </c>
      <c r="V326" s="12" t="s">
        <v>64</v>
      </c>
      <c r="W326" s="12" t="s">
        <v>2256</v>
      </c>
      <c r="X326" s="16" t="s">
        <v>2257</v>
      </c>
      <c r="Y326" s="15" t="s">
        <v>42</v>
      </c>
      <c r="Z326" s="14" t="s">
        <v>36</v>
      </c>
      <c r="AA326" s="14" t="s">
        <v>36</v>
      </c>
      <c r="AB326" s="12" t="s">
        <v>43</v>
      </c>
      <c r="AC326" s="12" t="s">
        <v>2258</v>
      </c>
      <c r="AD326" s="13">
        <v>45505</v>
      </c>
      <c r="AE326" s="12" t="s">
        <v>1769</v>
      </c>
      <c r="AF326" s="12" t="s">
        <v>571</v>
      </c>
      <c r="AG326" s="12" t="s">
        <v>81</v>
      </c>
      <c r="AH326" s="1">
        <f>HYPERLINK("https://my.pitchbook.com?c=268946-56T","View Company Online")</f>
      </c>
    </row>
    <row r="327">
      <c r="A327" s="3" t="s">
        <v>2259</v>
      </c>
      <c r="B327" s="3" t="s">
        <v>2260</v>
      </c>
      <c r="C327" s="5">
        <v>7</v>
      </c>
      <c r="D327" s="5">
        <v>10</v>
      </c>
      <c r="E327" s="5">
        <v>5</v>
      </c>
      <c r="F327" s="5">
        <v>20</v>
      </c>
      <c r="G327" s="6" t="s">
        <v>36</v>
      </c>
      <c r="H327" s="4" t="s">
        <v>36</v>
      </c>
      <c r="I327" s="7" t="s">
        <v>36</v>
      </c>
      <c r="J327" s="3" t="s">
        <v>36</v>
      </c>
      <c r="K327" s="9">
        <v>45408</v>
      </c>
      <c r="L327" s="6" t="s">
        <v>36</v>
      </c>
      <c r="M327" s="3" t="s">
        <v>36</v>
      </c>
      <c r="N327" s="3" t="s">
        <v>36</v>
      </c>
      <c r="O327" s="8" t="s">
        <v>36</v>
      </c>
      <c r="P327" s="3" t="s">
        <v>36</v>
      </c>
      <c r="Q327" s="3" t="s">
        <v>36</v>
      </c>
      <c r="R327" s="3" t="s">
        <v>36</v>
      </c>
      <c r="S327" s="3" t="s">
        <v>36</v>
      </c>
      <c r="T327" s="3" t="s">
        <v>1884</v>
      </c>
      <c r="U327" s="3" t="s">
        <v>74</v>
      </c>
      <c r="V327" s="3" t="s">
        <v>75</v>
      </c>
      <c r="W327" s="3" t="s">
        <v>2261</v>
      </c>
      <c r="X327" s="10" t="s">
        <v>2262</v>
      </c>
      <c r="Y327" s="6" t="s">
        <v>108</v>
      </c>
      <c r="Z327" s="4">
        <v>7.6</v>
      </c>
      <c r="AA327" s="4" t="s">
        <v>36</v>
      </c>
      <c r="AB327" s="3" t="s">
        <v>56</v>
      </c>
      <c r="AC327" s="3" t="s">
        <v>2263</v>
      </c>
      <c r="AD327" s="9">
        <v>45505</v>
      </c>
      <c r="AE327" s="3" t="s">
        <v>1888</v>
      </c>
      <c r="AF327" s="3" t="s">
        <v>571</v>
      </c>
      <c r="AG327" s="3" t="s">
        <v>81</v>
      </c>
      <c r="AH327" s="11">
        <f>HYPERLINK("https://my.pitchbook.com?c=265430-71T","View Company Online")</f>
      </c>
    </row>
    <row r="328">
      <c r="A328" s="12" t="s">
        <v>2264</v>
      </c>
      <c r="B328" s="12" t="s">
        <v>2265</v>
      </c>
      <c r="C328" s="19" t="s">
        <v>36</v>
      </c>
      <c r="D328" s="19" t="s">
        <v>36</v>
      </c>
      <c r="E328" s="19" t="s">
        <v>36</v>
      </c>
      <c r="F328" s="19" t="s">
        <v>36</v>
      </c>
      <c r="G328" s="15" t="s">
        <v>36</v>
      </c>
      <c r="H328" s="14" t="s">
        <v>36</v>
      </c>
      <c r="I328" s="18" t="s">
        <v>36</v>
      </c>
      <c r="J328" s="12" t="s">
        <v>36</v>
      </c>
      <c r="K328" s="13" t="s">
        <v>36</v>
      </c>
      <c r="L328" s="15" t="s">
        <v>36</v>
      </c>
      <c r="M328" s="12" t="s">
        <v>36</v>
      </c>
      <c r="N328" s="12" t="s">
        <v>36</v>
      </c>
      <c r="O328" s="17" t="s">
        <v>36</v>
      </c>
      <c r="P328" s="12" t="s">
        <v>36</v>
      </c>
      <c r="Q328" s="12" t="s">
        <v>36</v>
      </c>
      <c r="R328" s="12" t="s">
        <v>36</v>
      </c>
      <c r="S328" s="12" t="s">
        <v>36</v>
      </c>
      <c r="T328" s="12" t="s">
        <v>2266</v>
      </c>
      <c r="U328" s="12" t="s">
        <v>1336</v>
      </c>
      <c r="V328" s="12" t="s">
        <v>367</v>
      </c>
      <c r="W328" s="12" t="s">
        <v>2267</v>
      </c>
      <c r="X328" s="16" t="s">
        <v>2268</v>
      </c>
      <c r="Y328" s="15" t="s">
        <v>42</v>
      </c>
      <c r="Z328" s="14" t="s">
        <v>36</v>
      </c>
      <c r="AA328" s="14" t="s">
        <v>36</v>
      </c>
      <c r="AB328" s="12" t="s">
        <v>43</v>
      </c>
      <c r="AC328" s="12" t="s">
        <v>2269</v>
      </c>
      <c r="AD328" s="13">
        <v>45505</v>
      </c>
      <c r="AE328" s="12" t="s">
        <v>1339</v>
      </c>
      <c r="AF328" s="12" t="s">
        <v>372</v>
      </c>
      <c r="AG328" s="12" t="s">
        <v>924</v>
      </c>
      <c r="AH328" s="1">
        <f>HYPERLINK("https://my.pitchbook.com?c=269721-55T","View Company Online")</f>
      </c>
    </row>
    <row r="329">
      <c r="A329" s="3" t="s">
        <v>2270</v>
      </c>
      <c r="B329" s="3" t="s">
        <v>2271</v>
      </c>
      <c r="C329" s="5" t="s">
        <v>36</v>
      </c>
      <c r="D329" s="5" t="s">
        <v>36</v>
      </c>
      <c r="E329" s="5" t="s">
        <v>36</v>
      </c>
      <c r="F329" s="5" t="s">
        <v>36</v>
      </c>
      <c r="G329" s="6" t="s">
        <v>36</v>
      </c>
      <c r="H329" s="4" t="s">
        <v>36</v>
      </c>
      <c r="I329" s="7" t="s">
        <v>36</v>
      </c>
      <c r="J329" s="3" t="s">
        <v>36</v>
      </c>
      <c r="K329" s="9" t="s">
        <v>36</v>
      </c>
      <c r="L329" s="6" t="s">
        <v>36</v>
      </c>
      <c r="M329" s="3" t="s">
        <v>36</v>
      </c>
      <c r="N329" s="3" t="s">
        <v>36</v>
      </c>
      <c r="O329" s="8" t="s">
        <v>36</v>
      </c>
      <c r="P329" s="3" t="s">
        <v>36</v>
      </c>
      <c r="Q329" s="3" t="s">
        <v>36</v>
      </c>
      <c r="R329" s="3" t="s">
        <v>36</v>
      </c>
      <c r="S329" s="3" t="s">
        <v>36</v>
      </c>
      <c r="T329" s="3" t="s">
        <v>2272</v>
      </c>
      <c r="U329" s="3" t="s">
        <v>38</v>
      </c>
      <c r="V329" s="3" t="s">
        <v>39</v>
      </c>
      <c r="W329" s="3" t="s">
        <v>2273</v>
      </c>
      <c r="X329" s="10" t="s">
        <v>205</v>
      </c>
      <c r="Y329" s="6" t="s">
        <v>42</v>
      </c>
      <c r="Z329" s="4" t="s">
        <v>36</v>
      </c>
      <c r="AA329" s="4" t="s">
        <v>36</v>
      </c>
      <c r="AB329" s="3" t="s">
        <v>43</v>
      </c>
      <c r="AC329" s="3" t="s">
        <v>2274</v>
      </c>
      <c r="AD329" s="9">
        <v>45505</v>
      </c>
      <c r="AE329" s="3" t="s">
        <v>1330</v>
      </c>
      <c r="AF329" s="3" t="s">
        <v>2275</v>
      </c>
      <c r="AG329" s="3" t="s">
        <v>81</v>
      </c>
      <c r="AH329" s="11">
        <f>HYPERLINK("https://my.pitchbook.com?c=270389-44T","View Company Online")</f>
      </c>
    </row>
    <row r="330">
      <c r="A330" s="12" t="s">
        <v>2276</v>
      </c>
      <c r="B330" s="12" t="s">
        <v>2277</v>
      </c>
      <c r="C330" s="19" t="s">
        <v>36</v>
      </c>
      <c r="D330" s="19" t="s">
        <v>36</v>
      </c>
      <c r="E330" s="19" t="s">
        <v>36</v>
      </c>
      <c r="F330" s="19" t="s">
        <v>36</v>
      </c>
      <c r="G330" s="15" t="s">
        <v>36</v>
      </c>
      <c r="H330" s="14" t="s">
        <v>36</v>
      </c>
      <c r="I330" s="18" t="s">
        <v>36</v>
      </c>
      <c r="J330" s="12" t="s">
        <v>36</v>
      </c>
      <c r="K330" s="13" t="s">
        <v>36</v>
      </c>
      <c r="L330" s="15" t="s">
        <v>36</v>
      </c>
      <c r="M330" s="12" t="s">
        <v>36</v>
      </c>
      <c r="N330" s="12" t="s">
        <v>36</v>
      </c>
      <c r="O330" s="17" t="s">
        <v>36</v>
      </c>
      <c r="P330" s="12" t="s">
        <v>36</v>
      </c>
      <c r="Q330" s="12" t="s">
        <v>36</v>
      </c>
      <c r="R330" s="12" t="s">
        <v>36</v>
      </c>
      <c r="S330" s="12" t="s">
        <v>36</v>
      </c>
      <c r="T330" s="12" t="s">
        <v>2278</v>
      </c>
      <c r="U330" s="12" t="s">
        <v>2279</v>
      </c>
      <c r="V330" s="12" t="s">
        <v>378</v>
      </c>
      <c r="W330" s="12" t="s">
        <v>2280</v>
      </c>
      <c r="X330" s="16" t="s">
        <v>980</v>
      </c>
      <c r="Y330" s="15" t="s">
        <v>192</v>
      </c>
      <c r="Z330" s="14" t="s">
        <v>36</v>
      </c>
      <c r="AA330" s="14" t="s">
        <v>36</v>
      </c>
      <c r="AB330" s="12" t="s">
        <v>56</v>
      </c>
      <c r="AC330" s="12" t="s">
        <v>2281</v>
      </c>
      <c r="AD330" s="13">
        <v>45505</v>
      </c>
      <c r="AE330" s="12" t="s">
        <v>2282</v>
      </c>
      <c r="AF330" s="12" t="s">
        <v>372</v>
      </c>
      <c r="AG330" s="12" t="s">
        <v>899</v>
      </c>
      <c r="AH330" s="1">
        <f>HYPERLINK("https://my.pitchbook.com?c=276346-27T","View Company Online")</f>
      </c>
    </row>
    <row r="331">
      <c r="A331" s="3" t="s">
        <v>2283</v>
      </c>
      <c r="B331" s="3" t="s">
        <v>2284</v>
      </c>
      <c r="C331" s="5" t="s">
        <v>36</v>
      </c>
      <c r="D331" s="5" t="s">
        <v>36</v>
      </c>
      <c r="E331" s="5" t="s">
        <v>36</v>
      </c>
      <c r="F331" s="5" t="s">
        <v>36</v>
      </c>
      <c r="G331" s="6" t="s">
        <v>326</v>
      </c>
      <c r="H331" s="4" t="s">
        <v>36</v>
      </c>
      <c r="I331" s="7">
        <v>11.86</v>
      </c>
      <c r="J331" s="3" t="s">
        <v>327</v>
      </c>
      <c r="K331" s="9">
        <v>45217</v>
      </c>
      <c r="L331" s="6" t="s">
        <v>94</v>
      </c>
      <c r="M331" s="3" t="s">
        <v>36</v>
      </c>
      <c r="N331" s="3" t="s">
        <v>94</v>
      </c>
      <c r="O331" s="8" t="s">
        <v>36</v>
      </c>
      <c r="P331" s="3" t="s">
        <v>36</v>
      </c>
      <c r="Q331" s="3" t="s">
        <v>36</v>
      </c>
      <c r="R331" s="3" t="s">
        <v>36</v>
      </c>
      <c r="S331" s="3" t="s">
        <v>36</v>
      </c>
      <c r="T331" s="3" t="s">
        <v>2285</v>
      </c>
      <c r="U331" s="3" t="s">
        <v>38</v>
      </c>
      <c r="V331" s="3" t="s">
        <v>39</v>
      </c>
      <c r="W331" s="3" t="s">
        <v>2286</v>
      </c>
      <c r="X331" s="10" t="s">
        <v>2287</v>
      </c>
      <c r="Y331" s="6" t="s">
        <v>475</v>
      </c>
      <c r="Z331" s="4">
        <v>38</v>
      </c>
      <c r="AA331" s="4">
        <v>320.52</v>
      </c>
      <c r="AB331" s="3" t="s">
        <v>56</v>
      </c>
      <c r="AC331" s="3" t="s">
        <v>2288</v>
      </c>
      <c r="AD331" s="9">
        <v>45505</v>
      </c>
      <c r="AE331" s="3" t="s">
        <v>110</v>
      </c>
      <c r="AF331" s="3" t="s">
        <v>815</v>
      </c>
      <c r="AG331" s="3" t="s">
        <v>81</v>
      </c>
      <c r="AH331" s="11">
        <f>HYPERLINK("https://my.pitchbook.com?c=179963-83T","View Company Online")</f>
      </c>
    </row>
    <row r="332">
      <c r="A332" s="12" t="s">
        <v>2289</v>
      </c>
      <c r="B332" s="12" t="s">
        <v>2290</v>
      </c>
      <c r="C332" s="19" t="s">
        <v>36</v>
      </c>
      <c r="D332" s="19" t="s">
        <v>36</v>
      </c>
      <c r="E332" s="19" t="s">
        <v>36</v>
      </c>
      <c r="F332" s="19" t="s">
        <v>36</v>
      </c>
      <c r="G332" s="15" t="s">
        <v>36</v>
      </c>
      <c r="H332" s="14" t="s">
        <v>36</v>
      </c>
      <c r="I332" s="18" t="s">
        <v>36</v>
      </c>
      <c r="J332" s="12" t="s">
        <v>36</v>
      </c>
      <c r="K332" s="13">
        <v>45331</v>
      </c>
      <c r="L332" s="15" t="s">
        <v>122</v>
      </c>
      <c r="M332" s="12" t="s">
        <v>36</v>
      </c>
      <c r="N332" s="12" t="s">
        <v>122</v>
      </c>
      <c r="O332" s="17" t="s">
        <v>36</v>
      </c>
      <c r="P332" s="12" t="s">
        <v>36</v>
      </c>
      <c r="Q332" s="12" t="s">
        <v>36</v>
      </c>
      <c r="R332" s="12" t="s">
        <v>36</v>
      </c>
      <c r="S332" s="12" t="s">
        <v>36</v>
      </c>
      <c r="T332" s="12" t="s">
        <v>596</v>
      </c>
      <c r="U332" s="12" t="s">
        <v>366</v>
      </c>
      <c r="V332" s="12" t="s">
        <v>367</v>
      </c>
      <c r="W332" s="12" t="s">
        <v>2291</v>
      </c>
      <c r="X332" s="16" t="s">
        <v>2292</v>
      </c>
      <c r="Y332" s="15" t="s">
        <v>108</v>
      </c>
      <c r="Z332" s="14">
        <v>21.72</v>
      </c>
      <c r="AA332" s="14" t="s">
        <v>36</v>
      </c>
      <c r="AB332" s="12" t="s">
        <v>43</v>
      </c>
      <c r="AC332" s="12" t="s">
        <v>2293</v>
      </c>
      <c r="AD332" s="13">
        <v>45505</v>
      </c>
      <c r="AE332" s="12" t="s">
        <v>600</v>
      </c>
      <c r="AF332" s="12" t="s">
        <v>931</v>
      </c>
      <c r="AG332" s="12" t="s">
        <v>969</v>
      </c>
      <c r="AH332" s="1">
        <f>HYPERLINK("https://my.pitchbook.com?c=251666-56T","View Company Online")</f>
      </c>
    </row>
    <row r="333">
      <c r="A333" s="3" t="s">
        <v>2294</v>
      </c>
      <c r="B333" s="3" t="s">
        <v>2295</v>
      </c>
      <c r="C333" s="5" t="s">
        <v>36</v>
      </c>
      <c r="D333" s="5" t="s">
        <v>36</v>
      </c>
      <c r="E333" s="5" t="s">
        <v>36</v>
      </c>
      <c r="F333" s="5" t="s">
        <v>36</v>
      </c>
      <c r="G333" s="6" t="s">
        <v>36</v>
      </c>
      <c r="H333" s="4" t="s">
        <v>36</v>
      </c>
      <c r="I333" s="7" t="s">
        <v>36</v>
      </c>
      <c r="J333" s="3" t="s">
        <v>36</v>
      </c>
      <c r="K333" s="9" t="s">
        <v>36</v>
      </c>
      <c r="L333" s="6" t="s">
        <v>122</v>
      </c>
      <c r="M333" s="3" t="s">
        <v>36</v>
      </c>
      <c r="N333" s="3" t="s">
        <v>122</v>
      </c>
      <c r="O333" s="8" t="s">
        <v>36</v>
      </c>
      <c r="P333" s="3" t="s">
        <v>36</v>
      </c>
      <c r="Q333" s="3" t="s">
        <v>36</v>
      </c>
      <c r="R333" s="3" t="s">
        <v>36</v>
      </c>
      <c r="S333" s="3" t="s">
        <v>36</v>
      </c>
      <c r="T333" s="3" t="s">
        <v>37</v>
      </c>
      <c r="U333" s="3" t="s">
        <v>38</v>
      </c>
      <c r="V333" s="3" t="s">
        <v>39</v>
      </c>
      <c r="W333" s="3" t="s">
        <v>2296</v>
      </c>
      <c r="X333" s="10" t="s">
        <v>2297</v>
      </c>
      <c r="Y333" s="6" t="s">
        <v>55</v>
      </c>
      <c r="Z333" s="4">
        <v>9.23</v>
      </c>
      <c r="AA333" s="4" t="s">
        <v>36</v>
      </c>
      <c r="AB333" s="3" t="s">
        <v>56</v>
      </c>
      <c r="AC333" s="3" t="s">
        <v>2298</v>
      </c>
      <c r="AD333" s="9">
        <v>45505</v>
      </c>
      <c r="AE333" s="3" t="s">
        <v>45</v>
      </c>
      <c r="AF333" s="3" t="s">
        <v>215</v>
      </c>
      <c r="AG333" s="3" t="s">
        <v>2299</v>
      </c>
      <c r="AH333" s="11">
        <f>HYPERLINK("https://my.pitchbook.com?c=267699-43T","View Company Online")</f>
      </c>
    </row>
    <row r="334">
      <c r="A334" s="12" t="s">
        <v>2300</v>
      </c>
      <c r="B334" s="12" t="s">
        <v>2301</v>
      </c>
      <c r="C334" s="19">
        <v>2</v>
      </c>
      <c r="D334" s="19" t="s">
        <v>36</v>
      </c>
      <c r="E334" s="19">
        <v>1</v>
      </c>
      <c r="F334" s="19">
        <v>2</v>
      </c>
      <c r="G334" s="15" t="s">
        <v>36</v>
      </c>
      <c r="H334" s="14" t="s">
        <v>36</v>
      </c>
      <c r="I334" s="18" t="s">
        <v>36</v>
      </c>
      <c r="J334" s="12" t="s">
        <v>36</v>
      </c>
      <c r="K334" s="13">
        <v>45470</v>
      </c>
      <c r="L334" s="15" t="s">
        <v>36</v>
      </c>
      <c r="M334" s="12" t="s">
        <v>36</v>
      </c>
      <c r="N334" s="12" t="s">
        <v>36</v>
      </c>
      <c r="O334" s="17" t="s">
        <v>36</v>
      </c>
      <c r="P334" s="12" t="s">
        <v>36</v>
      </c>
      <c r="Q334" s="12" t="s">
        <v>36</v>
      </c>
      <c r="R334" s="12" t="s">
        <v>36</v>
      </c>
      <c r="S334" s="12" t="s">
        <v>2302</v>
      </c>
      <c r="T334" s="12" t="s">
        <v>1344</v>
      </c>
      <c r="U334" s="12" t="s">
        <v>38</v>
      </c>
      <c r="V334" s="12" t="s">
        <v>39</v>
      </c>
      <c r="W334" s="12" t="s">
        <v>2303</v>
      </c>
      <c r="X334" s="16" t="s">
        <v>2304</v>
      </c>
      <c r="Y334" s="15" t="s">
        <v>166</v>
      </c>
      <c r="Z334" s="14" t="s">
        <v>36</v>
      </c>
      <c r="AA334" s="14" t="s">
        <v>36</v>
      </c>
      <c r="AB334" s="12" t="s">
        <v>56</v>
      </c>
      <c r="AC334" s="12" t="s">
        <v>2305</v>
      </c>
      <c r="AD334" s="13">
        <v>45505</v>
      </c>
      <c r="AE334" s="12" t="s">
        <v>110</v>
      </c>
      <c r="AF334" s="12" t="s">
        <v>111</v>
      </c>
      <c r="AG334" s="12" t="s">
        <v>81</v>
      </c>
      <c r="AH334" s="1">
        <f>HYPERLINK("https://my.pitchbook.com?c=272617-84T","View Company Online")</f>
      </c>
    </row>
    <row r="335">
      <c r="A335" s="3" t="s">
        <v>2306</v>
      </c>
      <c r="B335" s="3" t="s">
        <v>2307</v>
      </c>
      <c r="C335" s="5" t="s">
        <v>36</v>
      </c>
      <c r="D335" s="5" t="s">
        <v>36</v>
      </c>
      <c r="E335" s="5" t="s">
        <v>36</v>
      </c>
      <c r="F335" s="5" t="s">
        <v>36</v>
      </c>
      <c r="G335" s="6" t="s">
        <v>36</v>
      </c>
      <c r="H335" s="4" t="s">
        <v>36</v>
      </c>
      <c r="I335" s="7" t="s">
        <v>36</v>
      </c>
      <c r="J335" s="3" t="s">
        <v>36</v>
      </c>
      <c r="K335" s="9" t="s">
        <v>36</v>
      </c>
      <c r="L335" s="6" t="s">
        <v>36</v>
      </c>
      <c r="M335" s="3" t="s">
        <v>36</v>
      </c>
      <c r="N335" s="3" t="s">
        <v>36</v>
      </c>
      <c r="O335" s="8" t="s">
        <v>36</v>
      </c>
      <c r="P335" s="3" t="s">
        <v>36</v>
      </c>
      <c r="Q335" s="3" t="s">
        <v>36</v>
      </c>
      <c r="R335" s="3" t="s">
        <v>36</v>
      </c>
      <c r="S335" s="3" t="s">
        <v>36</v>
      </c>
      <c r="T335" s="3" t="s">
        <v>2308</v>
      </c>
      <c r="U335" s="3" t="s">
        <v>38</v>
      </c>
      <c r="V335" s="3" t="s">
        <v>39</v>
      </c>
      <c r="W335" s="3" t="s">
        <v>2309</v>
      </c>
      <c r="X335" s="10" t="s">
        <v>2310</v>
      </c>
      <c r="Y335" s="6" t="s">
        <v>42</v>
      </c>
      <c r="Z335" s="4" t="s">
        <v>36</v>
      </c>
      <c r="AA335" s="4" t="s">
        <v>36</v>
      </c>
      <c r="AB335" s="3" t="s">
        <v>56</v>
      </c>
      <c r="AC335" s="3" t="s">
        <v>2311</v>
      </c>
      <c r="AD335" s="9">
        <v>45505</v>
      </c>
      <c r="AE335" s="3" t="s">
        <v>45</v>
      </c>
      <c r="AF335" s="3" t="s">
        <v>215</v>
      </c>
      <c r="AG335" s="3" t="s">
        <v>81</v>
      </c>
      <c r="AH335" s="11">
        <f>HYPERLINK("https://my.pitchbook.com?c=269888-05T","View Company Online")</f>
      </c>
    </row>
    <row r="336">
      <c r="A336" s="12" t="s">
        <v>2312</v>
      </c>
      <c r="B336" s="12" t="s">
        <v>2313</v>
      </c>
      <c r="C336" s="19" t="s">
        <v>36</v>
      </c>
      <c r="D336" s="19" t="s">
        <v>36</v>
      </c>
      <c r="E336" s="19" t="s">
        <v>36</v>
      </c>
      <c r="F336" s="19" t="s">
        <v>36</v>
      </c>
      <c r="G336" s="15" t="s">
        <v>36</v>
      </c>
      <c r="H336" s="14" t="s">
        <v>36</v>
      </c>
      <c r="I336" s="18" t="s">
        <v>36</v>
      </c>
      <c r="J336" s="12" t="s">
        <v>36</v>
      </c>
      <c r="K336" s="13">
        <v>44986</v>
      </c>
      <c r="L336" s="15" t="s">
        <v>36</v>
      </c>
      <c r="M336" s="12" t="s">
        <v>36</v>
      </c>
      <c r="N336" s="12" t="s">
        <v>36</v>
      </c>
      <c r="O336" s="17" t="s">
        <v>36</v>
      </c>
      <c r="P336" s="12" t="s">
        <v>36</v>
      </c>
      <c r="Q336" s="12" t="s">
        <v>36</v>
      </c>
      <c r="R336" s="12" t="s">
        <v>36</v>
      </c>
      <c r="S336" s="12" t="s">
        <v>2314</v>
      </c>
      <c r="T336" s="12" t="s">
        <v>2315</v>
      </c>
      <c r="U336" s="12" t="s">
        <v>279</v>
      </c>
      <c r="V336" s="12" t="s">
        <v>64</v>
      </c>
      <c r="W336" s="12" t="s">
        <v>2316</v>
      </c>
      <c r="X336" s="16" t="s">
        <v>2317</v>
      </c>
      <c r="Y336" s="15" t="s">
        <v>42</v>
      </c>
      <c r="Z336" s="14">
        <v>2</v>
      </c>
      <c r="AA336" s="14" t="s">
        <v>36</v>
      </c>
      <c r="AB336" s="12" t="s">
        <v>43</v>
      </c>
      <c r="AC336" s="12" t="s">
        <v>2318</v>
      </c>
      <c r="AD336" s="13">
        <v>45505</v>
      </c>
      <c r="AE336" s="12" t="s">
        <v>283</v>
      </c>
      <c r="AF336" s="12" t="s">
        <v>799</v>
      </c>
      <c r="AG336" s="12" t="s">
        <v>81</v>
      </c>
      <c r="AH336" s="1">
        <f>HYPERLINK("https://my.pitchbook.com?c=217869-13T","View Company Online")</f>
      </c>
    </row>
    <row r="337">
      <c r="A337" s="3" t="s">
        <v>2319</v>
      </c>
      <c r="B337" s="3" t="s">
        <v>2320</v>
      </c>
      <c r="C337" s="5">
        <v>1</v>
      </c>
      <c r="D337" s="5">
        <v>36</v>
      </c>
      <c r="E337" s="5">
        <v>20</v>
      </c>
      <c r="F337" s="5">
        <v>49</v>
      </c>
      <c r="G337" s="6" t="s">
        <v>683</v>
      </c>
      <c r="H337" s="4">
        <v>1333.6</v>
      </c>
      <c r="I337" s="7">
        <v>19.05</v>
      </c>
      <c r="J337" s="3" t="s">
        <v>521</v>
      </c>
      <c r="K337" s="9" t="s">
        <v>36</v>
      </c>
      <c r="L337" s="6" t="s">
        <v>36</v>
      </c>
      <c r="M337" s="3" t="s">
        <v>36</v>
      </c>
      <c r="N337" s="3" t="s">
        <v>36</v>
      </c>
      <c r="O337" s="8" t="s">
        <v>36</v>
      </c>
      <c r="P337" s="3" t="s">
        <v>36</v>
      </c>
      <c r="Q337" s="3" t="s">
        <v>36</v>
      </c>
      <c r="R337" s="3" t="s">
        <v>36</v>
      </c>
      <c r="S337" s="3" t="s">
        <v>36</v>
      </c>
      <c r="T337" s="3" t="s">
        <v>2321</v>
      </c>
      <c r="U337" s="3" t="s">
        <v>51</v>
      </c>
      <c r="V337" s="3" t="s">
        <v>52</v>
      </c>
      <c r="W337" s="3" t="s">
        <v>2322</v>
      </c>
      <c r="X337" s="10" t="s">
        <v>2323</v>
      </c>
      <c r="Y337" s="6" t="s">
        <v>166</v>
      </c>
      <c r="Z337" s="4">
        <v>21.72</v>
      </c>
      <c r="AA337" s="4">
        <v>114.01</v>
      </c>
      <c r="AB337" s="3" t="s">
        <v>56</v>
      </c>
      <c r="AC337" s="3" t="s">
        <v>2324</v>
      </c>
      <c r="AD337" s="9">
        <v>45505</v>
      </c>
      <c r="AE337" s="3" t="s">
        <v>504</v>
      </c>
      <c r="AF337" s="3" t="s">
        <v>159</v>
      </c>
      <c r="AG337" s="3" t="s">
        <v>1276</v>
      </c>
      <c r="AH337" s="11">
        <f>HYPERLINK("https://my.pitchbook.com?c=269188-30T","View Company Online")</f>
      </c>
    </row>
    <row r="338">
      <c r="A338" s="12" t="s">
        <v>2325</v>
      </c>
      <c r="B338" s="12" t="s">
        <v>2326</v>
      </c>
      <c r="C338" s="19" t="s">
        <v>36</v>
      </c>
      <c r="D338" s="19" t="s">
        <v>36</v>
      </c>
      <c r="E338" s="19" t="s">
        <v>36</v>
      </c>
      <c r="F338" s="19" t="s">
        <v>36</v>
      </c>
      <c r="G338" s="15" t="s">
        <v>36</v>
      </c>
      <c r="H338" s="14" t="s">
        <v>36</v>
      </c>
      <c r="I338" s="18" t="s">
        <v>36</v>
      </c>
      <c r="J338" s="12" t="s">
        <v>36</v>
      </c>
      <c r="K338" s="13" t="s">
        <v>36</v>
      </c>
      <c r="L338" s="15" t="s">
        <v>36</v>
      </c>
      <c r="M338" s="12" t="s">
        <v>36</v>
      </c>
      <c r="N338" s="12" t="s">
        <v>36</v>
      </c>
      <c r="O338" s="17" t="s">
        <v>36</v>
      </c>
      <c r="P338" s="12" t="s">
        <v>36</v>
      </c>
      <c r="Q338" s="12" t="s">
        <v>36</v>
      </c>
      <c r="R338" s="12" t="s">
        <v>36</v>
      </c>
      <c r="S338" s="12" t="s">
        <v>36</v>
      </c>
      <c r="T338" s="12" t="s">
        <v>2327</v>
      </c>
      <c r="U338" s="12" t="s">
        <v>404</v>
      </c>
      <c r="V338" s="12" t="s">
        <v>405</v>
      </c>
      <c r="W338" s="12" t="s">
        <v>2328</v>
      </c>
      <c r="X338" s="16" t="s">
        <v>2329</v>
      </c>
      <c r="Y338" s="15" t="s">
        <v>42</v>
      </c>
      <c r="Z338" s="14" t="s">
        <v>36</v>
      </c>
      <c r="AA338" s="14" t="s">
        <v>36</v>
      </c>
      <c r="AB338" s="12" t="s">
        <v>43</v>
      </c>
      <c r="AC338" s="12" t="s">
        <v>2330</v>
      </c>
      <c r="AD338" s="13">
        <v>45505</v>
      </c>
      <c r="AE338" s="12" t="s">
        <v>409</v>
      </c>
      <c r="AF338" s="12" t="s">
        <v>36</v>
      </c>
      <c r="AG338" s="12" t="s">
        <v>81</v>
      </c>
      <c r="AH338" s="1">
        <f>HYPERLINK("https://my.pitchbook.com?c=268691-32T","View Company Online")</f>
      </c>
    </row>
    <row r="339">
      <c r="A339" s="3" t="s">
        <v>2331</v>
      </c>
      <c r="B339" s="3" t="s">
        <v>2332</v>
      </c>
      <c r="C339" s="5" t="s">
        <v>36</v>
      </c>
      <c r="D339" s="5" t="s">
        <v>36</v>
      </c>
      <c r="E339" s="5" t="s">
        <v>36</v>
      </c>
      <c r="F339" s="5" t="s">
        <v>36</v>
      </c>
      <c r="G339" s="6" t="s">
        <v>36</v>
      </c>
      <c r="H339" s="4" t="s">
        <v>36</v>
      </c>
      <c r="I339" s="7" t="s">
        <v>36</v>
      </c>
      <c r="J339" s="3" t="s">
        <v>36</v>
      </c>
      <c r="K339" s="9" t="s">
        <v>36</v>
      </c>
      <c r="L339" s="6" t="s">
        <v>36</v>
      </c>
      <c r="M339" s="3" t="s">
        <v>36</v>
      </c>
      <c r="N339" s="3" t="s">
        <v>36</v>
      </c>
      <c r="O339" s="8" t="s">
        <v>36</v>
      </c>
      <c r="P339" s="3" t="s">
        <v>36</v>
      </c>
      <c r="Q339" s="3" t="s">
        <v>36</v>
      </c>
      <c r="R339" s="3" t="s">
        <v>36</v>
      </c>
      <c r="S339" s="3" t="s">
        <v>36</v>
      </c>
      <c r="T339" s="3" t="s">
        <v>2333</v>
      </c>
      <c r="U339" s="3" t="s">
        <v>38</v>
      </c>
      <c r="V339" s="3" t="s">
        <v>39</v>
      </c>
      <c r="W339" s="3" t="s">
        <v>2334</v>
      </c>
      <c r="X339" s="10" t="s">
        <v>2335</v>
      </c>
      <c r="Y339" s="6" t="s">
        <v>42</v>
      </c>
      <c r="Z339" s="4" t="s">
        <v>36</v>
      </c>
      <c r="AA339" s="4" t="s">
        <v>36</v>
      </c>
      <c r="AB339" s="3" t="s">
        <v>43</v>
      </c>
      <c r="AC339" s="3" t="s">
        <v>2336</v>
      </c>
      <c r="AD339" s="9">
        <v>45505</v>
      </c>
      <c r="AE339" s="3" t="s">
        <v>1330</v>
      </c>
      <c r="AF339" s="3" t="s">
        <v>799</v>
      </c>
      <c r="AG339" s="3" t="s">
        <v>81</v>
      </c>
      <c r="AH339" s="11">
        <f>HYPERLINK("https://my.pitchbook.com?c=268745-14T","View Company Online")</f>
      </c>
    </row>
    <row r="340">
      <c r="A340" s="12" t="s">
        <v>2337</v>
      </c>
      <c r="B340" s="12" t="s">
        <v>2338</v>
      </c>
      <c r="C340" s="19" t="s">
        <v>36</v>
      </c>
      <c r="D340" s="19" t="s">
        <v>36</v>
      </c>
      <c r="E340" s="19" t="s">
        <v>36</v>
      </c>
      <c r="F340" s="19" t="s">
        <v>36</v>
      </c>
      <c r="G340" s="15" t="s">
        <v>36</v>
      </c>
      <c r="H340" s="14" t="s">
        <v>36</v>
      </c>
      <c r="I340" s="18" t="s">
        <v>36</v>
      </c>
      <c r="J340" s="12" t="s">
        <v>36</v>
      </c>
      <c r="K340" s="13" t="s">
        <v>36</v>
      </c>
      <c r="L340" s="15" t="s">
        <v>36</v>
      </c>
      <c r="M340" s="12" t="s">
        <v>36</v>
      </c>
      <c r="N340" s="12" t="s">
        <v>36</v>
      </c>
      <c r="O340" s="17" t="s">
        <v>36</v>
      </c>
      <c r="P340" s="12" t="s">
        <v>36</v>
      </c>
      <c r="Q340" s="12" t="s">
        <v>36</v>
      </c>
      <c r="R340" s="12" t="s">
        <v>36</v>
      </c>
      <c r="S340" s="12" t="s">
        <v>36</v>
      </c>
      <c r="T340" s="12" t="s">
        <v>2339</v>
      </c>
      <c r="U340" s="12" t="s">
        <v>63</v>
      </c>
      <c r="V340" s="12" t="s">
        <v>64</v>
      </c>
      <c r="W340" s="12" t="s">
        <v>2340</v>
      </c>
      <c r="X340" s="16" t="s">
        <v>2341</v>
      </c>
      <c r="Y340" s="15" t="s">
        <v>42</v>
      </c>
      <c r="Z340" s="14" t="s">
        <v>36</v>
      </c>
      <c r="AA340" s="14" t="s">
        <v>36</v>
      </c>
      <c r="AB340" s="12" t="s">
        <v>43</v>
      </c>
      <c r="AC340" s="12" t="s">
        <v>2342</v>
      </c>
      <c r="AD340" s="13">
        <v>45505</v>
      </c>
      <c r="AE340" s="12" t="s">
        <v>642</v>
      </c>
      <c r="AF340" s="12" t="s">
        <v>2343</v>
      </c>
      <c r="AG340" s="12" t="s">
        <v>2344</v>
      </c>
      <c r="AH340" s="1">
        <f>HYPERLINK("https://my.pitchbook.com?c=269407-45T","View Company Online")</f>
      </c>
    </row>
    <row r="341">
      <c r="A341" s="3" t="s">
        <v>2345</v>
      </c>
      <c r="B341" s="3" t="s">
        <v>2346</v>
      </c>
      <c r="C341" s="5" t="s">
        <v>36</v>
      </c>
      <c r="D341" s="5" t="s">
        <v>36</v>
      </c>
      <c r="E341" s="5" t="s">
        <v>36</v>
      </c>
      <c r="F341" s="5" t="s">
        <v>36</v>
      </c>
      <c r="G341" s="6" t="s">
        <v>36</v>
      </c>
      <c r="H341" s="4" t="s">
        <v>36</v>
      </c>
      <c r="I341" s="7" t="s">
        <v>36</v>
      </c>
      <c r="J341" s="3" t="s">
        <v>36</v>
      </c>
      <c r="K341" s="9" t="s">
        <v>36</v>
      </c>
      <c r="L341" s="6" t="s">
        <v>36</v>
      </c>
      <c r="M341" s="3" t="s">
        <v>36</v>
      </c>
      <c r="N341" s="3" t="s">
        <v>36</v>
      </c>
      <c r="O341" s="8" t="s">
        <v>36</v>
      </c>
      <c r="P341" s="3" t="s">
        <v>36</v>
      </c>
      <c r="Q341" s="3" t="s">
        <v>36</v>
      </c>
      <c r="R341" s="3" t="s">
        <v>36</v>
      </c>
      <c r="S341" s="3" t="s">
        <v>36</v>
      </c>
      <c r="T341" s="3" t="s">
        <v>684</v>
      </c>
      <c r="U341" s="3" t="s">
        <v>38</v>
      </c>
      <c r="V341" s="3" t="s">
        <v>39</v>
      </c>
      <c r="W341" s="3" t="s">
        <v>2347</v>
      </c>
      <c r="X341" s="10" t="s">
        <v>2348</v>
      </c>
      <c r="Y341" s="6" t="s">
        <v>108</v>
      </c>
      <c r="Z341" s="4" t="s">
        <v>36</v>
      </c>
      <c r="AA341" s="4" t="s">
        <v>36</v>
      </c>
      <c r="AB341" s="3" t="s">
        <v>43</v>
      </c>
      <c r="AC341" s="3" t="s">
        <v>2349</v>
      </c>
      <c r="AD341" s="9">
        <v>45505</v>
      </c>
      <c r="AE341" s="3" t="s">
        <v>688</v>
      </c>
      <c r="AF341" s="3" t="s">
        <v>2350</v>
      </c>
      <c r="AG341" s="3" t="s">
        <v>81</v>
      </c>
      <c r="AH341" s="11">
        <f>HYPERLINK("https://my.pitchbook.com?c=269214-85T","View Company Online")</f>
      </c>
    </row>
    <row r="342">
      <c r="A342" s="12" t="s">
        <v>2351</v>
      </c>
      <c r="B342" s="12" t="s">
        <v>2352</v>
      </c>
      <c r="C342" s="19" t="s">
        <v>36</v>
      </c>
      <c r="D342" s="19" t="s">
        <v>36</v>
      </c>
      <c r="E342" s="19" t="s">
        <v>36</v>
      </c>
      <c r="F342" s="19" t="s">
        <v>36</v>
      </c>
      <c r="G342" s="15" t="s">
        <v>36</v>
      </c>
      <c r="H342" s="14" t="s">
        <v>36</v>
      </c>
      <c r="I342" s="18" t="s">
        <v>36</v>
      </c>
      <c r="J342" s="12" t="s">
        <v>36</v>
      </c>
      <c r="K342" s="13" t="s">
        <v>36</v>
      </c>
      <c r="L342" s="15" t="s">
        <v>36</v>
      </c>
      <c r="M342" s="12" t="s">
        <v>36</v>
      </c>
      <c r="N342" s="12" t="s">
        <v>36</v>
      </c>
      <c r="O342" s="17" t="s">
        <v>36</v>
      </c>
      <c r="P342" s="12" t="s">
        <v>36</v>
      </c>
      <c r="Q342" s="12" t="s">
        <v>36</v>
      </c>
      <c r="R342" s="12" t="s">
        <v>36</v>
      </c>
      <c r="S342" s="12" t="s">
        <v>36</v>
      </c>
      <c r="T342" s="12" t="s">
        <v>522</v>
      </c>
      <c r="U342" s="12" t="s">
        <v>38</v>
      </c>
      <c r="V342" s="12" t="s">
        <v>39</v>
      </c>
      <c r="W342" s="12" t="s">
        <v>2353</v>
      </c>
      <c r="X342" s="16" t="s">
        <v>2354</v>
      </c>
      <c r="Y342" s="15" t="s">
        <v>192</v>
      </c>
      <c r="Z342" s="14">
        <v>5.43</v>
      </c>
      <c r="AA342" s="14" t="s">
        <v>36</v>
      </c>
      <c r="AB342" s="12" t="s">
        <v>56</v>
      </c>
      <c r="AC342" s="12" t="s">
        <v>2355</v>
      </c>
      <c r="AD342" s="13">
        <v>45504</v>
      </c>
      <c r="AE342" s="12" t="s">
        <v>110</v>
      </c>
      <c r="AF342" s="12" t="s">
        <v>2356</v>
      </c>
      <c r="AG342" s="12" t="s">
        <v>741</v>
      </c>
      <c r="AH342" s="1">
        <f>HYPERLINK("https://my.pitchbook.com?c=273805-57T","View Company Online")</f>
      </c>
    </row>
    <row r="343">
      <c r="A343" s="3" t="s">
        <v>2357</v>
      </c>
      <c r="B343" s="3" t="s">
        <v>2358</v>
      </c>
      <c r="C343" s="5" t="s">
        <v>36</v>
      </c>
      <c r="D343" s="5" t="s">
        <v>36</v>
      </c>
      <c r="E343" s="5" t="s">
        <v>36</v>
      </c>
      <c r="F343" s="5" t="s">
        <v>36</v>
      </c>
      <c r="G343" s="6" t="s">
        <v>36</v>
      </c>
      <c r="H343" s="4" t="s">
        <v>36</v>
      </c>
      <c r="I343" s="7" t="s">
        <v>36</v>
      </c>
      <c r="J343" s="3" t="s">
        <v>36</v>
      </c>
      <c r="K343" s="9">
        <v>45488</v>
      </c>
      <c r="L343" s="6" t="s">
        <v>36</v>
      </c>
      <c r="M343" s="3" t="s">
        <v>36</v>
      </c>
      <c r="N343" s="3" t="s">
        <v>36</v>
      </c>
      <c r="O343" s="8" t="s">
        <v>36</v>
      </c>
      <c r="P343" s="3" t="s">
        <v>36</v>
      </c>
      <c r="Q343" s="3" t="s">
        <v>36</v>
      </c>
      <c r="R343" s="3" t="s">
        <v>36</v>
      </c>
      <c r="S343" s="3" t="s">
        <v>36</v>
      </c>
      <c r="T343" s="3" t="s">
        <v>2359</v>
      </c>
      <c r="U343" s="3" t="s">
        <v>279</v>
      </c>
      <c r="V343" s="3" t="s">
        <v>64</v>
      </c>
      <c r="W343" s="3" t="s">
        <v>2360</v>
      </c>
      <c r="X343" s="10" t="s">
        <v>2361</v>
      </c>
      <c r="Y343" s="6" t="s">
        <v>108</v>
      </c>
      <c r="Z343" s="4" t="s">
        <v>36</v>
      </c>
      <c r="AA343" s="4" t="s">
        <v>36</v>
      </c>
      <c r="AB343" s="3" t="s">
        <v>56</v>
      </c>
      <c r="AC343" s="3" t="s">
        <v>2362</v>
      </c>
      <c r="AD343" s="9">
        <v>45504</v>
      </c>
      <c r="AE343" s="3" t="s">
        <v>283</v>
      </c>
      <c r="AF343" s="3" t="s">
        <v>2363</v>
      </c>
      <c r="AG343" s="3" t="s">
        <v>81</v>
      </c>
      <c r="AH343" s="11">
        <f>HYPERLINK("https://my.pitchbook.com?c=270108-19T","View Company Online")</f>
      </c>
    </row>
    <row r="344">
      <c r="A344" s="12" t="s">
        <v>2364</v>
      </c>
      <c r="B344" s="12" t="s">
        <v>2365</v>
      </c>
      <c r="C344" s="19" t="s">
        <v>36</v>
      </c>
      <c r="D344" s="19" t="s">
        <v>36</v>
      </c>
      <c r="E344" s="19" t="s">
        <v>36</v>
      </c>
      <c r="F344" s="19" t="s">
        <v>36</v>
      </c>
      <c r="G344" s="15" t="s">
        <v>36</v>
      </c>
      <c r="H344" s="14">
        <v>2015.66</v>
      </c>
      <c r="I344" s="18">
        <v>20.53</v>
      </c>
      <c r="J344" s="12" t="s">
        <v>521</v>
      </c>
      <c r="K344" s="13">
        <v>45384</v>
      </c>
      <c r="L344" s="15" t="s">
        <v>36</v>
      </c>
      <c r="M344" s="12" t="s">
        <v>36</v>
      </c>
      <c r="N344" s="12" t="s">
        <v>36</v>
      </c>
      <c r="O344" s="17" t="s">
        <v>36</v>
      </c>
      <c r="P344" s="12" t="s">
        <v>36</v>
      </c>
      <c r="Q344" s="12" t="s">
        <v>36</v>
      </c>
      <c r="R344" s="12" t="s">
        <v>36</v>
      </c>
      <c r="S344" s="12" t="s">
        <v>36</v>
      </c>
      <c r="T344" s="12" t="s">
        <v>583</v>
      </c>
      <c r="U344" s="12" t="s">
        <v>423</v>
      </c>
      <c r="V344" s="12" t="s">
        <v>64</v>
      </c>
      <c r="W344" s="12" t="s">
        <v>2366</v>
      </c>
      <c r="X344" s="16" t="s">
        <v>2367</v>
      </c>
      <c r="Y344" s="15" t="s">
        <v>108</v>
      </c>
      <c r="Z344" s="14">
        <v>3.36</v>
      </c>
      <c r="AA344" s="14">
        <v>16.39</v>
      </c>
      <c r="AB344" s="12" t="s">
        <v>43</v>
      </c>
      <c r="AC344" s="12" t="s">
        <v>2368</v>
      </c>
      <c r="AD344" s="13">
        <v>45504</v>
      </c>
      <c r="AE344" s="12" t="s">
        <v>562</v>
      </c>
      <c r="AF344" s="12" t="s">
        <v>2369</v>
      </c>
      <c r="AG344" s="12" t="s">
        <v>2370</v>
      </c>
      <c r="AH344" s="1">
        <f>HYPERLINK("https://my.pitchbook.com?c=257010-13T","View Company Online")</f>
      </c>
    </row>
    <row r="345">
      <c r="A345" s="3" t="s">
        <v>2371</v>
      </c>
      <c r="B345" s="3" t="s">
        <v>2372</v>
      </c>
      <c r="C345" s="5" t="s">
        <v>36</v>
      </c>
      <c r="D345" s="5" t="s">
        <v>36</v>
      </c>
      <c r="E345" s="5" t="s">
        <v>36</v>
      </c>
      <c r="F345" s="5" t="s">
        <v>36</v>
      </c>
      <c r="G345" s="6" t="s">
        <v>326</v>
      </c>
      <c r="H345" s="4">
        <v>124.82</v>
      </c>
      <c r="I345" s="7">
        <v>14.5</v>
      </c>
      <c r="J345" s="3" t="s">
        <v>521</v>
      </c>
      <c r="K345" s="9" t="s">
        <v>36</v>
      </c>
      <c r="L345" s="6" t="s">
        <v>36</v>
      </c>
      <c r="M345" s="3" t="s">
        <v>36</v>
      </c>
      <c r="N345" s="3" t="s">
        <v>36</v>
      </c>
      <c r="O345" s="8" t="s">
        <v>36</v>
      </c>
      <c r="P345" s="3" t="s">
        <v>36</v>
      </c>
      <c r="Q345" s="3" t="s">
        <v>36</v>
      </c>
      <c r="R345" s="3" t="s">
        <v>36</v>
      </c>
      <c r="S345" s="3" t="s">
        <v>36</v>
      </c>
      <c r="T345" s="3" t="s">
        <v>2373</v>
      </c>
      <c r="U345" s="3" t="s">
        <v>1357</v>
      </c>
      <c r="V345" s="3" t="s">
        <v>52</v>
      </c>
      <c r="W345" s="3" t="s">
        <v>2374</v>
      </c>
      <c r="X345" s="10" t="s">
        <v>2375</v>
      </c>
      <c r="Y345" s="6" t="s">
        <v>192</v>
      </c>
      <c r="Z345" s="4">
        <v>0.55</v>
      </c>
      <c r="AA345" s="4">
        <v>3.81</v>
      </c>
      <c r="AB345" s="3" t="s">
        <v>56</v>
      </c>
      <c r="AC345" s="3" t="s">
        <v>2376</v>
      </c>
      <c r="AD345" s="9">
        <v>45503</v>
      </c>
      <c r="AE345" s="3" t="s">
        <v>2377</v>
      </c>
      <c r="AF345" s="3" t="s">
        <v>2378</v>
      </c>
      <c r="AG345" s="3" t="s">
        <v>2379</v>
      </c>
      <c r="AH345" s="11">
        <f>HYPERLINK("https://my.pitchbook.com?c=201915-46T","View Company Online")</f>
      </c>
    </row>
    <row r="346">
      <c r="A346" s="12" t="s">
        <v>2380</v>
      </c>
      <c r="B346" s="12" t="s">
        <v>2381</v>
      </c>
      <c r="C346" s="19" t="s">
        <v>36</v>
      </c>
      <c r="D346" s="19" t="s">
        <v>36</v>
      </c>
      <c r="E346" s="19" t="s">
        <v>36</v>
      </c>
      <c r="F346" s="19" t="s">
        <v>36</v>
      </c>
      <c r="G346" s="15" t="s">
        <v>36</v>
      </c>
      <c r="H346" s="14" t="s">
        <v>36</v>
      </c>
      <c r="I346" s="18" t="s">
        <v>36</v>
      </c>
      <c r="J346" s="12" t="s">
        <v>36</v>
      </c>
      <c r="K346" s="13" t="s">
        <v>36</v>
      </c>
      <c r="L346" s="15" t="s">
        <v>36</v>
      </c>
      <c r="M346" s="12" t="s">
        <v>36</v>
      </c>
      <c r="N346" s="12" t="s">
        <v>36</v>
      </c>
      <c r="O346" s="17" t="s">
        <v>36</v>
      </c>
      <c r="P346" s="12" t="s">
        <v>36</v>
      </c>
      <c r="Q346" s="12" t="s">
        <v>36</v>
      </c>
      <c r="R346" s="12" t="s">
        <v>36</v>
      </c>
      <c r="S346" s="12" t="s">
        <v>36</v>
      </c>
      <c r="T346" s="12" t="s">
        <v>1048</v>
      </c>
      <c r="U346" s="12" t="s">
        <v>423</v>
      </c>
      <c r="V346" s="12" t="s">
        <v>64</v>
      </c>
      <c r="W346" s="12" t="s">
        <v>2382</v>
      </c>
      <c r="X346" s="16" t="s">
        <v>2383</v>
      </c>
      <c r="Y346" s="15" t="s">
        <v>42</v>
      </c>
      <c r="Z346" s="14" t="s">
        <v>36</v>
      </c>
      <c r="AA346" s="14" t="s">
        <v>36</v>
      </c>
      <c r="AB346" s="12" t="s">
        <v>43</v>
      </c>
      <c r="AC346" s="12" t="s">
        <v>2384</v>
      </c>
      <c r="AD346" s="13">
        <v>45498</v>
      </c>
      <c r="AE346" s="12" t="s">
        <v>1051</v>
      </c>
      <c r="AF346" s="12" t="s">
        <v>90</v>
      </c>
      <c r="AG346" s="12" t="s">
        <v>81</v>
      </c>
      <c r="AH346" s="1">
        <f>HYPERLINK("https://my.pitchbook.com?c=267791-32T","View Company Online")</f>
      </c>
    </row>
    <row r="347">
      <c r="A347" s="3" t="s">
        <v>2385</v>
      </c>
      <c r="B347" s="3" t="s">
        <v>2386</v>
      </c>
      <c r="C347" s="5" t="s">
        <v>36</v>
      </c>
      <c r="D347" s="5" t="s">
        <v>36</v>
      </c>
      <c r="E347" s="5" t="s">
        <v>36</v>
      </c>
      <c r="F347" s="5" t="s">
        <v>36</v>
      </c>
      <c r="G347" s="6" t="s">
        <v>326</v>
      </c>
      <c r="H347" s="4">
        <v>641.13</v>
      </c>
      <c r="I347" s="7">
        <v>25.26</v>
      </c>
      <c r="J347" s="3" t="s">
        <v>521</v>
      </c>
      <c r="K347" s="9">
        <v>45292</v>
      </c>
      <c r="L347" s="6" t="s">
        <v>122</v>
      </c>
      <c r="M347" s="3" t="s">
        <v>36</v>
      </c>
      <c r="N347" s="3" t="s">
        <v>122</v>
      </c>
      <c r="O347" s="8" t="s">
        <v>36</v>
      </c>
      <c r="P347" s="3" t="s">
        <v>36</v>
      </c>
      <c r="Q347" s="3" t="s">
        <v>36</v>
      </c>
      <c r="R347" s="3" t="s">
        <v>36</v>
      </c>
      <c r="S347" s="3" t="s">
        <v>36</v>
      </c>
      <c r="T347" s="3" t="s">
        <v>522</v>
      </c>
      <c r="U347" s="3" t="s">
        <v>38</v>
      </c>
      <c r="V347" s="3" t="s">
        <v>39</v>
      </c>
      <c r="W347" s="3" t="s">
        <v>2387</v>
      </c>
      <c r="X347" s="10" t="s">
        <v>2388</v>
      </c>
      <c r="Y347" s="6" t="s">
        <v>55</v>
      </c>
      <c r="Z347" s="4">
        <v>7.58</v>
      </c>
      <c r="AA347" s="4">
        <v>23.52</v>
      </c>
      <c r="AB347" s="3" t="s">
        <v>56</v>
      </c>
      <c r="AC347" s="3" t="s">
        <v>2389</v>
      </c>
      <c r="AD347" s="9">
        <v>45498</v>
      </c>
      <c r="AE347" s="3" t="s">
        <v>110</v>
      </c>
      <c r="AF347" s="3" t="s">
        <v>2390</v>
      </c>
      <c r="AG347" s="3" t="s">
        <v>81</v>
      </c>
      <c r="AH347" s="11">
        <f>HYPERLINK("https://my.pitchbook.com?c=271784-80T","View Company Online")</f>
      </c>
    </row>
    <row r="348">
      <c r="A348" s="12" t="s">
        <v>2391</v>
      </c>
      <c r="B348" s="12" t="s">
        <v>2392</v>
      </c>
      <c r="C348" s="19" t="s">
        <v>36</v>
      </c>
      <c r="D348" s="19">
        <v>3</v>
      </c>
      <c r="E348" s="19">
        <v>1</v>
      </c>
      <c r="F348" s="19">
        <v>3</v>
      </c>
      <c r="G348" s="15" t="s">
        <v>36</v>
      </c>
      <c r="H348" s="14">
        <v>3.7</v>
      </c>
      <c r="I348" s="18">
        <v>37.2</v>
      </c>
      <c r="J348" s="12" t="s">
        <v>521</v>
      </c>
      <c r="K348" s="13" t="s">
        <v>36</v>
      </c>
      <c r="L348" s="15" t="s">
        <v>122</v>
      </c>
      <c r="M348" s="12" t="s">
        <v>36</v>
      </c>
      <c r="N348" s="12" t="s">
        <v>122</v>
      </c>
      <c r="O348" s="17" t="s">
        <v>36</v>
      </c>
      <c r="P348" s="12" t="s">
        <v>36</v>
      </c>
      <c r="Q348" s="12" t="s">
        <v>36</v>
      </c>
      <c r="R348" s="12" t="s">
        <v>36</v>
      </c>
      <c r="S348" s="12" t="s">
        <v>36</v>
      </c>
      <c r="T348" s="12" t="s">
        <v>2393</v>
      </c>
      <c r="U348" s="12" t="s">
        <v>1502</v>
      </c>
      <c r="V348" s="12" t="s">
        <v>75</v>
      </c>
      <c r="W348" s="12" t="s">
        <v>2394</v>
      </c>
      <c r="X348" s="16" t="s">
        <v>2395</v>
      </c>
      <c r="Y348" s="15" t="s">
        <v>108</v>
      </c>
      <c r="Z348" s="14">
        <v>6.49</v>
      </c>
      <c r="AA348" s="14">
        <v>15.2</v>
      </c>
      <c r="AB348" s="12" t="s">
        <v>56</v>
      </c>
      <c r="AC348" s="12" t="s">
        <v>2396</v>
      </c>
      <c r="AD348" s="13">
        <v>45497</v>
      </c>
      <c r="AE348" s="12" t="s">
        <v>1822</v>
      </c>
      <c r="AF348" s="12" t="s">
        <v>2397</v>
      </c>
      <c r="AG348" s="12" t="s">
        <v>186</v>
      </c>
      <c r="AH348" s="1">
        <f>HYPERLINK("https://my.pitchbook.com?c=267876-10T","View Company Online")</f>
      </c>
    </row>
    <row r="349">
      <c r="A349" s="3" t="s">
        <v>2398</v>
      </c>
      <c r="B349" s="3" t="s">
        <v>2399</v>
      </c>
      <c r="C349" s="5" t="s">
        <v>36</v>
      </c>
      <c r="D349" s="5" t="s">
        <v>36</v>
      </c>
      <c r="E349" s="5" t="s">
        <v>36</v>
      </c>
      <c r="F349" s="5" t="s">
        <v>36</v>
      </c>
      <c r="G349" s="6" t="s">
        <v>326</v>
      </c>
      <c r="H349" s="4">
        <v>150.38</v>
      </c>
      <c r="I349" s="7">
        <v>32.65</v>
      </c>
      <c r="J349" s="3" t="s">
        <v>521</v>
      </c>
      <c r="K349" s="9">
        <v>45376</v>
      </c>
      <c r="L349" s="6" t="s">
        <v>36</v>
      </c>
      <c r="M349" s="3" t="s">
        <v>36</v>
      </c>
      <c r="N349" s="3" t="s">
        <v>36</v>
      </c>
      <c r="O349" s="8" t="s">
        <v>36</v>
      </c>
      <c r="P349" s="3" t="s">
        <v>36</v>
      </c>
      <c r="Q349" s="3" t="s">
        <v>36</v>
      </c>
      <c r="R349" s="3" t="s">
        <v>36</v>
      </c>
      <c r="S349" s="3" t="s">
        <v>36</v>
      </c>
      <c r="T349" s="3" t="s">
        <v>37</v>
      </c>
      <c r="U349" s="3" t="s">
        <v>38</v>
      </c>
      <c r="V349" s="3" t="s">
        <v>39</v>
      </c>
      <c r="W349" s="3" t="s">
        <v>2400</v>
      </c>
      <c r="X349" s="10" t="s">
        <v>2401</v>
      </c>
      <c r="Y349" s="6" t="s">
        <v>166</v>
      </c>
      <c r="Z349" s="4">
        <v>12.5</v>
      </c>
      <c r="AA349" s="4">
        <v>38.27</v>
      </c>
      <c r="AB349" s="3" t="s">
        <v>56</v>
      </c>
      <c r="AC349" s="3" t="s">
        <v>2402</v>
      </c>
      <c r="AD349" s="9">
        <v>45496</v>
      </c>
      <c r="AE349" s="3" t="s">
        <v>45</v>
      </c>
      <c r="AF349" s="3" t="s">
        <v>799</v>
      </c>
      <c r="AG349" s="3" t="s">
        <v>81</v>
      </c>
      <c r="AH349" s="11">
        <f>HYPERLINK("https://my.pitchbook.com?c=255227-50T","View Company Online")</f>
      </c>
    </row>
    <row r="350">
      <c r="A350" s="12" t="s">
        <v>2403</v>
      </c>
      <c r="B350" s="12" t="s">
        <v>2404</v>
      </c>
      <c r="C350" s="19" t="s">
        <v>36</v>
      </c>
      <c r="D350" s="19" t="s">
        <v>36</v>
      </c>
      <c r="E350" s="19" t="s">
        <v>36</v>
      </c>
      <c r="F350" s="19" t="s">
        <v>36</v>
      </c>
      <c r="G350" s="15" t="s">
        <v>36</v>
      </c>
      <c r="H350" s="14" t="s">
        <v>36</v>
      </c>
      <c r="I350" s="18" t="s">
        <v>36</v>
      </c>
      <c r="J350" s="12" t="s">
        <v>36</v>
      </c>
      <c r="K350" s="13" t="s">
        <v>36</v>
      </c>
      <c r="L350" s="15" t="s">
        <v>36</v>
      </c>
      <c r="M350" s="12" t="s">
        <v>36</v>
      </c>
      <c r="N350" s="12" t="s">
        <v>36</v>
      </c>
      <c r="O350" s="17" t="s">
        <v>36</v>
      </c>
      <c r="P350" s="12" t="s">
        <v>36</v>
      </c>
      <c r="Q350" s="12" t="s">
        <v>36</v>
      </c>
      <c r="R350" s="12" t="s">
        <v>36</v>
      </c>
      <c r="S350" s="12" t="s">
        <v>36</v>
      </c>
      <c r="T350" s="12" t="s">
        <v>2405</v>
      </c>
      <c r="U350" s="12" t="s">
        <v>648</v>
      </c>
      <c r="V350" s="12" t="s">
        <v>64</v>
      </c>
      <c r="W350" s="12" t="s">
        <v>2406</v>
      </c>
      <c r="X350" s="16" t="s">
        <v>2407</v>
      </c>
      <c r="Y350" s="15" t="s">
        <v>192</v>
      </c>
      <c r="Z350" s="14" t="s">
        <v>36</v>
      </c>
      <c r="AA350" s="14" t="s">
        <v>36</v>
      </c>
      <c r="AB350" s="12" t="s">
        <v>56</v>
      </c>
      <c r="AC350" s="12" t="s">
        <v>2408</v>
      </c>
      <c r="AD350" s="13">
        <v>45492</v>
      </c>
      <c r="AE350" s="12" t="s">
        <v>1897</v>
      </c>
      <c r="AF350" s="12" t="s">
        <v>2409</v>
      </c>
      <c r="AG350" s="12" t="s">
        <v>81</v>
      </c>
      <c r="AH350" s="1">
        <f>HYPERLINK("https://my.pitchbook.com?c=267428-62T","View Company Online")</f>
      </c>
    </row>
    <row r="351">
      <c r="A351" s="3" t="s">
        <v>2410</v>
      </c>
      <c r="B351" s="3" t="s">
        <v>2411</v>
      </c>
      <c r="C351" s="5" t="s">
        <v>36</v>
      </c>
      <c r="D351" s="5" t="s">
        <v>36</v>
      </c>
      <c r="E351" s="5" t="s">
        <v>36</v>
      </c>
      <c r="F351" s="5" t="s">
        <v>36</v>
      </c>
      <c r="G351" s="6" t="s">
        <v>326</v>
      </c>
      <c r="H351" s="4">
        <v>15.4</v>
      </c>
      <c r="I351" s="7">
        <v>48.11</v>
      </c>
      <c r="J351" s="3" t="s">
        <v>521</v>
      </c>
      <c r="K351" s="9" t="s">
        <v>36</v>
      </c>
      <c r="L351" s="6" t="s">
        <v>36</v>
      </c>
      <c r="M351" s="3" t="s">
        <v>36</v>
      </c>
      <c r="N351" s="3" t="s">
        <v>36</v>
      </c>
      <c r="O351" s="8" t="s">
        <v>36</v>
      </c>
      <c r="P351" s="3" t="s">
        <v>36</v>
      </c>
      <c r="Q351" s="3" t="s">
        <v>36</v>
      </c>
      <c r="R351" s="3" t="s">
        <v>36</v>
      </c>
      <c r="S351" s="3" t="s">
        <v>36</v>
      </c>
      <c r="T351" s="3" t="s">
        <v>2412</v>
      </c>
      <c r="U351" s="3" t="s">
        <v>96</v>
      </c>
      <c r="V351" s="3" t="s">
        <v>52</v>
      </c>
      <c r="W351" s="3" t="s">
        <v>2413</v>
      </c>
      <c r="X351" s="10" t="s">
        <v>2414</v>
      </c>
      <c r="Y351" s="6" t="s">
        <v>192</v>
      </c>
      <c r="Z351" s="4">
        <v>8.25</v>
      </c>
      <c r="AA351" s="4">
        <v>17.14</v>
      </c>
      <c r="AB351" s="3" t="s">
        <v>56</v>
      </c>
      <c r="AC351" s="3" t="s">
        <v>2415</v>
      </c>
      <c r="AD351" s="9">
        <v>45490</v>
      </c>
      <c r="AE351" s="3" t="s">
        <v>496</v>
      </c>
      <c r="AF351" s="3" t="s">
        <v>2416</v>
      </c>
      <c r="AG351" s="3" t="s">
        <v>652</v>
      </c>
      <c r="AH351" s="11">
        <f>HYPERLINK("https://my.pitchbook.com?c=262390-78T","View Company Online")</f>
      </c>
    </row>
    <row r="352">
      <c r="A352" s="12" t="s">
        <v>2417</v>
      </c>
      <c r="B352" s="12" t="s">
        <v>2418</v>
      </c>
      <c r="C352" s="19" t="s">
        <v>36</v>
      </c>
      <c r="D352" s="19" t="s">
        <v>36</v>
      </c>
      <c r="E352" s="19" t="s">
        <v>36</v>
      </c>
      <c r="F352" s="19" t="s">
        <v>36</v>
      </c>
      <c r="G352" s="15" t="s">
        <v>683</v>
      </c>
      <c r="H352" s="14">
        <v>186.94</v>
      </c>
      <c r="I352" s="18">
        <v>40.3</v>
      </c>
      <c r="J352" s="12" t="s">
        <v>521</v>
      </c>
      <c r="K352" s="13" t="s">
        <v>36</v>
      </c>
      <c r="L352" s="15" t="s">
        <v>36</v>
      </c>
      <c r="M352" s="12" t="s">
        <v>36</v>
      </c>
      <c r="N352" s="12" t="s">
        <v>36</v>
      </c>
      <c r="O352" s="17" t="s">
        <v>36</v>
      </c>
      <c r="P352" s="12" t="s">
        <v>36</v>
      </c>
      <c r="Q352" s="12" t="s">
        <v>36</v>
      </c>
      <c r="R352" s="12" t="s">
        <v>36</v>
      </c>
      <c r="S352" s="12" t="s">
        <v>36</v>
      </c>
      <c r="T352" s="12" t="s">
        <v>2419</v>
      </c>
      <c r="U352" s="12" t="s">
        <v>1091</v>
      </c>
      <c r="V352" s="12" t="s">
        <v>378</v>
      </c>
      <c r="W352" s="12" t="s">
        <v>2420</v>
      </c>
      <c r="X352" s="16" t="s">
        <v>1399</v>
      </c>
      <c r="Y352" s="15" t="s">
        <v>108</v>
      </c>
      <c r="Z352" s="14">
        <v>1.46</v>
      </c>
      <c r="AA352" s="14">
        <v>3.61</v>
      </c>
      <c r="AB352" s="12" t="s">
        <v>43</v>
      </c>
      <c r="AC352" s="12" t="s">
        <v>2421</v>
      </c>
      <c r="AD352" s="13">
        <v>45490</v>
      </c>
      <c r="AE352" s="12" t="s">
        <v>1095</v>
      </c>
      <c r="AF352" s="12" t="s">
        <v>2422</v>
      </c>
      <c r="AG352" s="12" t="s">
        <v>2423</v>
      </c>
      <c r="AH352" s="1">
        <f>HYPERLINK("https://my.pitchbook.com?c=218392-39T","View Company Online")</f>
      </c>
    </row>
    <row r="353">
      <c r="A353" s="3" t="s">
        <v>2424</v>
      </c>
      <c r="B353" s="3" t="s">
        <v>2425</v>
      </c>
      <c r="C353" s="5" t="s">
        <v>36</v>
      </c>
      <c r="D353" s="5" t="s">
        <v>36</v>
      </c>
      <c r="E353" s="5" t="s">
        <v>36</v>
      </c>
      <c r="F353" s="5" t="s">
        <v>36</v>
      </c>
      <c r="G353" s="6" t="s">
        <v>36</v>
      </c>
      <c r="H353" s="4" t="s">
        <v>36</v>
      </c>
      <c r="I353" s="7" t="s">
        <v>36</v>
      </c>
      <c r="J353" s="3" t="s">
        <v>36</v>
      </c>
      <c r="K353" s="9" t="s">
        <v>36</v>
      </c>
      <c r="L353" s="6" t="s">
        <v>36</v>
      </c>
      <c r="M353" s="3" t="s">
        <v>36</v>
      </c>
      <c r="N353" s="3" t="s">
        <v>36</v>
      </c>
      <c r="O353" s="8" t="s">
        <v>36</v>
      </c>
      <c r="P353" s="3" t="s">
        <v>36</v>
      </c>
      <c r="Q353" s="3" t="s">
        <v>36</v>
      </c>
      <c r="R353" s="3" t="s">
        <v>36</v>
      </c>
      <c r="S353" s="3" t="s">
        <v>36</v>
      </c>
      <c r="T353" s="3" t="s">
        <v>172</v>
      </c>
      <c r="U353" s="3" t="s">
        <v>38</v>
      </c>
      <c r="V353" s="3" t="s">
        <v>39</v>
      </c>
      <c r="W353" s="3" t="s">
        <v>2426</v>
      </c>
      <c r="X353" s="10" t="s">
        <v>2427</v>
      </c>
      <c r="Y353" s="6" t="s">
        <v>108</v>
      </c>
      <c r="Z353" s="4">
        <v>1.08</v>
      </c>
      <c r="AA353" s="4" t="s">
        <v>36</v>
      </c>
      <c r="AB353" s="3" t="s">
        <v>43</v>
      </c>
      <c r="AC353" s="3" t="s">
        <v>2428</v>
      </c>
      <c r="AD353" s="9">
        <v>45490</v>
      </c>
      <c r="AE353" s="3" t="s">
        <v>110</v>
      </c>
      <c r="AF353" s="3" t="s">
        <v>1660</v>
      </c>
      <c r="AG353" s="3" t="s">
        <v>47</v>
      </c>
      <c r="AH353" s="11">
        <f>HYPERLINK("https://my.pitchbook.com?c=267124-78T","View Company Online")</f>
      </c>
    </row>
    <row r="354">
      <c r="A354" s="12" t="s">
        <v>2429</v>
      </c>
      <c r="B354" s="12" t="s">
        <v>2430</v>
      </c>
      <c r="C354" s="19" t="s">
        <v>36</v>
      </c>
      <c r="D354" s="19" t="s">
        <v>36</v>
      </c>
      <c r="E354" s="19" t="s">
        <v>36</v>
      </c>
      <c r="F354" s="19" t="s">
        <v>36</v>
      </c>
      <c r="G354" s="15" t="s">
        <v>36</v>
      </c>
      <c r="H354" s="14" t="s">
        <v>36</v>
      </c>
      <c r="I354" s="18" t="s">
        <v>36</v>
      </c>
      <c r="J354" s="12" t="s">
        <v>36</v>
      </c>
      <c r="K354" s="13">
        <v>45489</v>
      </c>
      <c r="L354" s="15" t="s">
        <v>36</v>
      </c>
      <c r="M354" s="12" t="s">
        <v>36</v>
      </c>
      <c r="N354" s="12" t="s">
        <v>36</v>
      </c>
      <c r="O354" s="17" t="s">
        <v>36</v>
      </c>
      <c r="P354" s="12" t="s">
        <v>36</v>
      </c>
      <c r="Q354" s="12" t="s">
        <v>36</v>
      </c>
      <c r="R354" s="12" t="s">
        <v>36</v>
      </c>
      <c r="S354" s="12" t="s">
        <v>36</v>
      </c>
      <c r="T354" s="12" t="s">
        <v>2431</v>
      </c>
      <c r="U354" s="12" t="s">
        <v>74</v>
      </c>
      <c r="V354" s="12" t="s">
        <v>75</v>
      </c>
      <c r="W354" s="12" t="s">
        <v>2432</v>
      </c>
      <c r="X354" s="16" t="s">
        <v>2433</v>
      </c>
      <c r="Y354" s="15" t="s">
        <v>42</v>
      </c>
      <c r="Z354" s="14">
        <v>0.54</v>
      </c>
      <c r="AA354" s="14" t="s">
        <v>36</v>
      </c>
      <c r="AB354" s="12" t="s">
        <v>43</v>
      </c>
      <c r="AC354" s="12" t="s">
        <v>2434</v>
      </c>
      <c r="AD354" s="13">
        <v>45489</v>
      </c>
      <c r="AE354" s="12" t="s">
        <v>79</v>
      </c>
      <c r="AF354" s="12" t="s">
        <v>36</v>
      </c>
      <c r="AG354" s="12" t="s">
        <v>81</v>
      </c>
      <c r="AH354" s="1">
        <f>HYPERLINK("https://my.pitchbook.com?c=269363-98T","View Company Online")</f>
      </c>
    </row>
    <row r="355">
      <c r="A355" s="3" t="s">
        <v>2435</v>
      </c>
      <c r="B355" s="3" t="s">
        <v>2436</v>
      </c>
      <c r="C355" s="5" t="s">
        <v>36</v>
      </c>
      <c r="D355" s="5" t="s">
        <v>36</v>
      </c>
      <c r="E355" s="5" t="s">
        <v>36</v>
      </c>
      <c r="F355" s="5" t="s">
        <v>36</v>
      </c>
      <c r="G355" s="6" t="s">
        <v>36</v>
      </c>
      <c r="H355" s="4" t="s">
        <v>36</v>
      </c>
      <c r="I355" s="7">
        <v>13.28</v>
      </c>
      <c r="J355" s="3" t="s">
        <v>327</v>
      </c>
      <c r="K355" s="9" t="s">
        <v>36</v>
      </c>
      <c r="L355" s="6" t="s">
        <v>36</v>
      </c>
      <c r="M355" s="3" t="s">
        <v>36</v>
      </c>
      <c r="N355" s="3" t="s">
        <v>36</v>
      </c>
      <c r="O355" s="8" t="s">
        <v>36</v>
      </c>
      <c r="P355" s="3" t="s">
        <v>36</v>
      </c>
      <c r="Q355" s="3" t="s">
        <v>36</v>
      </c>
      <c r="R355" s="3" t="s">
        <v>36</v>
      </c>
      <c r="S355" s="3" t="s">
        <v>36</v>
      </c>
      <c r="T355" s="3" t="s">
        <v>1941</v>
      </c>
      <c r="U355" s="3" t="s">
        <v>38</v>
      </c>
      <c r="V355" s="3" t="s">
        <v>39</v>
      </c>
      <c r="W355" s="3" t="s">
        <v>2437</v>
      </c>
      <c r="X355" s="10" t="s">
        <v>2438</v>
      </c>
      <c r="Y355" s="6" t="s">
        <v>42</v>
      </c>
      <c r="Z355" s="4">
        <v>1.18</v>
      </c>
      <c r="AA355" s="4">
        <v>8.92</v>
      </c>
      <c r="AB355" s="3" t="s">
        <v>43</v>
      </c>
      <c r="AC355" s="3" t="s">
        <v>2439</v>
      </c>
      <c r="AD355" s="9">
        <v>45489</v>
      </c>
      <c r="AE355" s="3" t="s">
        <v>1945</v>
      </c>
      <c r="AF355" s="3" t="s">
        <v>2440</v>
      </c>
      <c r="AG355" s="3" t="s">
        <v>81</v>
      </c>
      <c r="AH355" s="11">
        <f>HYPERLINK("https://my.pitchbook.com?c=267506-83T","View Company Online")</f>
      </c>
    </row>
    <row r="356">
      <c r="A356" s="12" t="s">
        <v>2441</v>
      </c>
      <c r="B356" s="12" t="s">
        <v>926</v>
      </c>
      <c r="C356" s="19" t="s">
        <v>36</v>
      </c>
      <c r="D356" s="19" t="s">
        <v>36</v>
      </c>
      <c r="E356" s="19" t="s">
        <v>36</v>
      </c>
      <c r="F356" s="19" t="s">
        <v>36</v>
      </c>
      <c r="G356" s="15" t="s">
        <v>36</v>
      </c>
      <c r="H356" s="14" t="s">
        <v>36</v>
      </c>
      <c r="I356" s="18" t="s">
        <v>36</v>
      </c>
      <c r="J356" s="12" t="s">
        <v>36</v>
      </c>
      <c r="K356" s="13" t="s">
        <v>36</v>
      </c>
      <c r="L356" s="15" t="s">
        <v>36</v>
      </c>
      <c r="M356" s="12" t="s">
        <v>36</v>
      </c>
      <c r="N356" s="12" t="s">
        <v>36</v>
      </c>
      <c r="O356" s="17" t="s">
        <v>36</v>
      </c>
      <c r="P356" s="12" t="s">
        <v>36</v>
      </c>
      <c r="Q356" s="12" t="s">
        <v>36</v>
      </c>
      <c r="R356" s="12" t="s">
        <v>36</v>
      </c>
      <c r="S356" s="12" t="s">
        <v>36</v>
      </c>
      <c r="T356" s="12" t="s">
        <v>927</v>
      </c>
      <c r="U356" s="12" t="s">
        <v>219</v>
      </c>
      <c r="V356" s="12" t="s">
        <v>75</v>
      </c>
      <c r="W356" s="12" t="s">
        <v>928</v>
      </c>
      <c r="X356" s="16" t="s">
        <v>2442</v>
      </c>
      <c r="Y356" s="15" t="s">
        <v>192</v>
      </c>
      <c r="Z356" s="14">
        <v>18.84</v>
      </c>
      <c r="AA356" s="14" t="s">
        <v>36</v>
      </c>
      <c r="AB356" s="12" t="s">
        <v>56</v>
      </c>
      <c r="AC356" s="12" t="s">
        <v>930</v>
      </c>
      <c r="AD356" s="13">
        <v>45488</v>
      </c>
      <c r="AE356" s="12" t="s">
        <v>243</v>
      </c>
      <c r="AF356" s="12" t="s">
        <v>931</v>
      </c>
      <c r="AG356" s="12" t="s">
        <v>932</v>
      </c>
      <c r="AH356" s="1">
        <f>HYPERLINK("https://my.pitchbook.com?c=269892-01T","View Company Online")</f>
      </c>
    </row>
    <row r="357">
      <c r="A357" s="3" t="s">
        <v>2443</v>
      </c>
      <c r="B357" s="3" t="s">
        <v>2444</v>
      </c>
      <c r="C357" s="5" t="s">
        <v>36</v>
      </c>
      <c r="D357" s="5" t="s">
        <v>36</v>
      </c>
      <c r="E357" s="5" t="s">
        <v>36</v>
      </c>
      <c r="F357" s="5" t="s">
        <v>36</v>
      </c>
      <c r="G357" s="6" t="s">
        <v>36</v>
      </c>
      <c r="H357" s="4" t="s">
        <v>36</v>
      </c>
      <c r="I357" s="7" t="s">
        <v>36</v>
      </c>
      <c r="J357" s="3" t="s">
        <v>36</v>
      </c>
      <c r="K357" s="9" t="s">
        <v>36</v>
      </c>
      <c r="L357" s="6" t="s">
        <v>94</v>
      </c>
      <c r="M357" s="3" t="s">
        <v>36</v>
      </c>
      <c r="N357" s="3" t="s">
        <v>94</v>
      </c>
      <c r="O357" s="8" t="s">
        <v>36</v>
      </c>
      <c r="P357" s="3" t="s">
        <v>36</v>
      </c>
      <c r="Q357" s="3" t="s">
        <v>36</v>
      </c>
      <c r="R357" s="3" t="s">
        <v>36</v>
      </c>
      <c r="S357" s="3" t="s">
        <v>36</v>
      </c>
      <c r="T357" s="3" t="s">
        <v>2445</v>
      </c>
      <c r="U357" s="3" t="s">
        <v>648</v>
      </c>
      <c r="V357" s="3" t="s">
        <v>64</v>
      </c>
      <c r="W357" s="3" t="s">
        <v>2446</v>
      </c>
      <c r="X357" s="10" t="s">
        <v>2447</v>
      </c>
      <c r="Y357" s="6" t="s">
        <v>55</v>
      </c>
      <c r="Z357" s="4">
        <v>24.76</v>
      </c>
      <c r="AA357" s="4" t="s">
        <v>36</v>
      </c>
      <c r="AB357" s="3" t="s">
        <v>56</v>
      </c>
      <c r="AC357" s="3" t="s">
        <v>2448</v>
      </c>
      <c r="AD357" s="9">
        <v>45488</v>
      </c>
      <c r="AE357" s="3" t="s">
        <v>651</v>
      </c>
      <c r="AF357" s="3" t="s">
        <v>2449</v>
      </c>
      <c r="AG357" s="3" t="s">
        <v>2450</v>
      </c>
      <c r="AH357" s="11">
        <f>HYPERLINK("https://my.pitchbook.com?c=272319-58T","View Company Online")</f>
      </c>
    </row>
    <row r="358">
      <c r="A358" s="12" t="s">
        <v>2451</v>
      </c>
      <c r="B358" s="12" t="s">
        <v>2452</v>
      </c>
      <c r="C358" s="19" t="s">
        <v>36</v>
      </c>
      <c r="D358" s="19" t="s">
        <v>36</v>
      </c>
      <c r="E358" s="19" t="s">
        <v>36</v>
      </c>
      <c r="F358" s="19" t="s">
        <v>36</v>
      </c>
      <c r="G358" s="15" t="s">
        <v>36</v>
      </c>
      <c r="H358" s="14" t="s">
        <v>36</v>
      </c>
      <c r="I358" s="18" t="s">
        <v>36</v>
      </c>
      <c r="J358" s="12" t="s">
        <v>36</v>
      </c>
      <c r="K358" s="13" t="s">
        <v>36</v>
      </c>
      <c r="L358" s="15" t="s">
        <v>36</v>
      </c>
      <c r="M358" s="12" t="s">
        <v>36</v>
      </c>
      <c r="N358" s="12" t="s">
        <v>36</v>
      </c>
      <c r="O358" s="17" t="s">
        <v>36</v>
      </c>
      <c r="P358" s="12" t="s">
        <v>36</v>
      </c>
      <c r="Q358" s="12" t="s">
        <v>36</v>
      </c>
      <c r="R358" s="12" t="s">
        <v>36</v>
      </c>
      <c r="S358" s="12" t="s">
        <v>36</v>
      </c>
      <c r="T358" s="12" t="s">
        <v>2453</v>
      </c>
      <c r="U358" s="12" t="s">
        <v>219</v>
      </c>
      <c r="V358" s="12" t="s">
        <v>75</v>
      </c>
      <c r="W358" s="12" t="s">
        <v>2454</v>
      </c>
      <c r="X358" s="16" t="s">
        <v>2455</v>
      </c>
      <c r="Y358" s="15" t="s">
        <v>42</v>
      </c>
      <c r="Z358" s="14">
        <v>2.15</v>
      </c>
      <c r="AA358" s="14" t="s">
        <v>36</v>
      </c>
      <c r="AB358" s="12" t="s">
        <v>43</v>
      </c>
      <c r="AC358" s="12" t="s">
        <v>2456</v>
      </c>
      <c r="AD358" s="13">
        <v>45485</v>
      </c>
      <c r="AE358" s="12" t="s">
        <v>1007</v>
      </c>
      <c r="AF358" s="12" t="s">
        <v>1969</v>
      </c>
      <c r="AG358" s="12" t="s">
        <v>2457</v>
      </c>
      <c r="AH358" s="1">
        <f>HYPERLINK("https://my.pitchbook.com?c=273033-91T","View Company Online")</f>
      </c>
    </row>
    <row r="359">
      <c r="A359" s="3" t="s">
        <v>2458</v>
      </c>
      <c r="B359" s="3" t="s">
        <v>2459</v>
      </c>
      <c r="C359" s="5" t="s">
        <v>36</v>
      </c>
      <c r="D359" s="5" t="s">
        <v>36</v>
      </c>
      <c r="E359" s="5" t="s">
        <v>36</v>
      </c>
      <c r="F359" s="5" t="s">
        <v>36</v>
      </c>
      <c r="G359" s="6" t="s">
        <v>36</v>
      </c>
      <c r="H359" s="4" t="s">
        <v>36</v>
      </c>
      <c r="I359" s="7" t="s">
        <v>36</v>
      </c>
      <c r="J359" s="3" t="s">
        <v>36</v>
      </c>
      <c r="K359" s="9" t="s">
        <v>36</v>
      </c>
      <c r="L359" s="6" t="s">
        <v>36</v>
      </c>
      <c r="M359" s="3" t="s">
        <v>36</v>
      </c>
      <c r="N359" s="3" t="s">
        <v>36</v>
      </c>
      <c r="O359" s="8" t="s">
        <v>36</v>
      </c>
      <c r="P359" s="3" t="s">
        <v>36</v>
      </c>
      <c r="Q359" s="3" t="s">
        <v>36</v>
      </c>
      <c r="R359" s="3" t="s">
        <v>36</v>
      </c>
      <c r="S359" s="3" t="s">
        <v>36</v>
      </c>
      <c r="T359" s="3" t="s">
        <v>2460</v>
      </c>
      <c r="U359" s="3" t="s">
        <v>1336</v>
      </c>
      <c r="V359" s="3" t="s">
        <v>367</v>
      </c>
      <c r="W359" s="3" t="s">
        <v>2461</v>
      </c>
      <c r="X359" s="10" t="s">
        <v>2462</v>
      </c>
      <c r="Y359" s="6" t="s">
        <v>108</v>
      </c>
      <c r="Z359" s="4">
        <v>43.01</v>
      </c>
      <c r="AA359" s="4" t="s">
        <v>36</v>
      </c>
      <c r="AB359" s="3" t="s">
        <v>56</v>
      </c>
      <c r="AC359" s="3" t="s">
        <v>2463</v>
      </c>
      <c r="AD359" s="9">
        <v>45485</v>
      </c>
      <c r="AE359" s="3" t="s">
        <v>2464</v>
      </c>
      <c r="AF359" s="3" t="s">
        <v>2465</v>
      </c>
      <c r="AG359" s="3" t="s">
        <v>186</v>
      </c>
      <c r="AH359" s="11">
        <f>HYPERLINK("https://my.pitchbook.com?c=266782-78T","View Company Online")</f>
      </c>
    </row>
    <row r="360">
      <c r="A360" s="12" t="s">
        <v>2466</v>
      </c>
      <c r="B360" s="12" t="s">
        <v>2467</v>
      </c>
      <c r="C360" s="19">
        <v>3</v>
      </c>
      <c r="D360" s="19">
        <v>4</v>
      </c>
      <c r="E360" s="19">
        <v>1</v>
      </c>
      <c r="F360" s="19">
        <v>8</v>
      </c>
      <c r="G360" s="15" t="s">
        <v>36</v>
      </c>
      <c r="H360" s="14">
        <v>174.7</v>
      </c>
      <c r="I360" s="18">
        <v>25.34</v>
      </c>
      <c r="J360" s="12" t="s">
        <v>521</v>
      </c>
      <c r="K360" s="13" t="s">
        <v>36</v>
      </c>
      <c r="L360" s="15" t="s">
        <v>36</v>
      </c>
      <c r="M360" s="12" t="s">
        <v>36</v>
      </c>
      <c r="N360" s="12" t="s">
        <v>36</v>
      </c>
      <c r="O360" s="17" t="s">
        <v>36</v>
      </c>
      <c r="P360" s="12" t="s">
        <v>36</v>
      </c>
      <c r="Q360" s="12" t="s">
        <v>36</v>
      </c>
      <c r="R360" s="12" t="s">
        <v>36</v>
      </c>
      <c r="S360" s="12" t="s">
        <v>36</v>
      </c>
      <c r="T360" s="12" t="s">
        <v>927</v>
      </c>
      <c r="U360" s="12" t="s">
        <v>219</v>
      </c>
      <c r="V360" s="12" t="s">
        <v>75</v>
      </c>
      <c r="W360" s="12" t="s">
        <v>2468</v>
      </c>
      <c r="X360" s="16" t="s">
        <v>2469</v>
      </c>
      <c r="Y360" s="15" t="s">
        <v>108</v>
      </c>
      <c r="Z360" s="14">
        <v>4.02</v>
      </c>
      <c r="AA360" s="14">
        <v>15.87</v>
      </c>
      <c r="AB360" s="12" t="s">
        <v>56</v>
      </c>
      <c r="AC360" s="12" t="s">
        <v>2470</v>
      </c>
      <c r="AD360" s="13">
        <v>45485</v>
      </c>
      <c r="AE360" s="12" t="s">
        <v>243</v>
      </c>
      <c r="AF360" s="12" t="s">
        <v>2471</v>
      </c>
      <c r="AG360" s="12" t="s">
        <v>2472</v>
      </c>
      <c r="AH360" s="1">
        <f>HYPERLINK("https://my.pitchbook.com?c=244496-08T","View Company Online")</f>
      </c>
    </row>
    <row r="361">
      <c r="A361" s="3" t="s">
        <v>2473</v>
      </c>
      <c r="B361" s="3" t="s">
        <v>2474</v>
      </c>
      <c r="C361" s="5" t="s">
        <v>36</v>
      </c>
      <c r="D361" s="5" t="s">
        <v>36</v>
      </c>
      <c r="E361" s="5" t="s">
        <v>36</v>
      </c>
      <c r="F361" s="5" t="s">
        <v>36</v>
      </c>
      <c r="G361" s="6" t="s">
        <v>36</v>
      </c>
      <c r="H361" s="4" t="s">
        <v>36</v>
      </c>
      <c r="I361" s="7" t="s">
        <v>36</v>
      </c>
      <c r="J361" s="3" t="s">
        <v>36</v>
      </c>
      <c r="K361" s="9" t="s">
        <v>36</v>
      </c>
      <c r="L361" s="6" t="s">
        <v>36</v>
      </c>
      <c r="M361" s="3" t="s">
        <v>36</v>
      </c>
      <c r="N361" s="3" t="s">
        <v>36</v>
      </c>
      <c r="O361" s="8" t="s">
        <v>36</v>
      </c>
      <c r="P361" s="3" t="s">
        <v>36</v>
      </c>
      <c r="Q361" s="3" t="s">
        <v>36</v>
      </c>
      <c r="R361" s="3" t="s">
        <v>36</v>
      </c>
      <c r="S361" s="3" t="s">
        <v>36</v>
      </c>
      <c r="T361" s="3" t="s">
        <v>2475</v>
      </c>
      <c r="U361" s="3" t="s">
        <v>1336</v>
      </c>
      <c r="V361" s="3" t="s">
        <v>367</v>
      </c>
      <c r="W361" s="3" t="s">
        <v>2476</v>
      </c>
      <c r="X361" s="10" t="s">
        <v>2477</v>
      </c>
      <c r="Y361" s="6" t="s">
        <v>55</v>
      </c>
      <c r="Z361" s="4" t="s">
        <v>36</v>
      </c>
      <c r="AA361" s="4" t="s">
        <v>36</v>
      </c>
      <c r="AB361" s="3" t="s">
        <v>56</v>
      </c>
      <c r="AC361" s="3" t="s">
        <v>2478</v>
      </c>
      <c r="AD361" s="9">
        <v>45485</v>
      </c>
      <c r="AE361" s="3" t="s">
        <v>2479</v>
      </c>
      <c r="AF361" s="3" t="s">
        <v>786</v>
      </c>
      <c r="AG361" s="3" t="s">
        <v>2480</v>
      </c>
      <c r="AH361" s="11">
        <f>HYPERLINK("https://my.pitchbook.com?c=267186-88T","View Company Online")</f>
      </c>
    </row>
    <row r="362">
      <c r="A362" s="12" t="s">
        <v>2481</v>
      </c>
      <c r="B362" s="12" t="s">
        <v>2482</v>
      </c>
      <c r="C362" s="19" t="s">
        <v>36</v>
      </c>
      <c r="D362" s="19" t="s">
        <v>36</v>
      </c>
      <c r="E362" s="19" t="s">
        <v>36</v>
      </c>
      <c r="F362" s="19" t="s">
        <v>36</v>
      </c>
      <c r="G362" s="15" t="s">
        <v>326</v>
      </c>
      <c r="H362" s="14">
        <v>778.92</v>
      </c>
      <c r="I362" s="18">
        <v>11.5</v>
      </c>
      <c r="J362" s="12" t="s">
        <v>521</v>
      </c>
      <c r="K362" s="13" t="s">
        <v>36</v>
      </c>
      <c r="L362" s="15" t="s">
        <v>36</v>
      </c>
      <c r="M362" s="12" t="s">
        <v>36</v>
      </c>
      <c r="N362" s="12" t="s">
        <v>36</v>
      </c>
      <c r="O362" s="17" t="s">
        <v>36</v>
      </c>
      <c r="P362" s="12" t="s">
        <v>36</v>
      </c>
      <c r="Q362" s="12" t="s">
        <v>36</v>
      </c>
      <c r="R362" s="12" t="s">
        <v>36</v>
      </c>
      <c r="S362" s="12" t="s">
        <v>36</v>
      </c>
      <c r="T362" s="12" t="s">
        <v>2483</v>
      </c>
      <c r="U362" s="12" t="s">
        <v>63</v>
      </c>
      <c r="V362" s="12" t="s">
        <v>64</v>
      </c>
      <c r="W362" s="12" t="s">
        <v>2484</v>
      </c>
      <c r="X362" s="16" t="s">
        <v>2485</v>
      </c>
      <c r="Y362" s="15" t="s">
        <v>108</v>
      </c>
      <c r="Z362" s="14">
        <v>1.61</v>
      </c>
      <c r="AA362" s="14">
        <v>14.01</v>
      </c>
      <c r="AB362" s="12" t="s">
        <v>43</v>
      </c>
      <c r="AC362" s="12" t="s">
        <v>2486</v>
      </c>
      <c r="AD362" s="13">
        <v>45484</v>
      </c>
      <c r="AE362" s="12" t="s">
        <v>399</v>
      </c>
      <c r="AF362" s="12" t="s">
        <v>938</v>
      </c>
      <c r="AG362" s="12" t="s">
        <v>1078</v>
      </c>
      <c r="AH362" s="1">
        <f>HYPERLINK("https://my.pitchbook.com?c=270328-87T","View Company Online")</f>
      </c>
    </row>
    <row r="363">
      <c r="A363" s="3" t="s">
        <v>2487</v>
      </c>
      <c r="B363" s="3" t="s">
        <v>2488</v>
      </c>
      <c r="C363" s="5" t="s">
        <v>36</v>
      </c>
      <c r="D363" s="5" t="s">
        <v>36</v>
      </c>
      <c r="E363" s="5" t="s">
        <v>36</v>
      </c>
      <c r="F363" s="5" t="s">
        <v>36</v>
      </c>
      <c r="G363" s="6" t="s">
        <v>36</v>
      </c>
      <c r="H363" s="4" t="s">
        <v>36</v>
      </c>
      <c r="I363" s="7" t="s">
        <v>36</v>
      </c>
      <c r="J363" s="3" t="s">
        <v>36</v>
      </c>
      <c r="K363" s="9">
        <v>45302</v>
      </c>
      <c r="L363" s="6" t="s">
        <v>36</v>
      </c>
      <c r="M363" s="3" t="s">
        <v>36</v>
      </c>
      <c r="N363" s="3" t="s">
        <v>36</v>
      </c>
      <c r="O363" s="8" t="s">
        <v>36</v>
      </c>
      <c r="P363" s="3" t="s">
        <v>36</v>
      </c>
      <c r="Q363" s="3" t="s">
        <v>36</v>
      </c>
      <c r="R363" s="3" t="s">
        <v>36</v>
      </c>
      <c r="S363" s="3" t="s">
        <v>2489</v>
      </c>
      <c r="T363" s="3" t="s">
        <v>2490</v>
      </c>
      <c r="U363" s="3" t="s">
        <v>318</v>
      </c>
      <c r="V363" s="3" t="s">
        <v>39</v>
      </c>
      <c r="W363" s="3" t="s">
        <v>2491</v>
      </c>
      <c r="X363" s="10" t="s">
        <v>2492</v>
      </c>
      <c r="Y363" s="6" t="s">
        <v>55</v>
      </c>
      <c r="Z363" s="4">
        <v>0.32</v>
      </c>
      <c r="AA363" s="4" t="s">
        <v>36</v>
      </c>
      <c r="AB363" s="3" t="s">
        <v>43</v>
      </c>
      <c r="AC363" s="3" t="s">
        <v>2493</v>
      </c>
      <c r="AD363" s="9">
        <v>45484</v>
      </c>
      <c r="AE363" s="3" t="s">
        <v>417</v>
      </c>
      <c r="AF363" s="3" t="s">
        <v>2494</v>
      </c>
      <c r="AG363" s="3" t="s">
        <v>144</v>
      </c>
      <c r="AH363" s="11">
        <f>HYPERLINK("https://my.pitchbook.com?c=266669-11T","View Company Online")</f>
      </c>
    </row>
    <row r="364">
      <c r="A364" s="12" t="s">
        <v>2495</v>
      </c>
      <c r="B364" s="12" t="s">
        <v>2496</v>
      </c>
      <c r="C364" s="19" t="s">
        <v>36</v>
      </c>
      <c r="D364" s="19" t="s">
        <v>36</v>
      </c>
      <c r="E364" s="19" t="s">
        <v>36</v>
      </c>
      <c r="F364" s="19" t="s">
        <v>36</v>
      </c>
      <c r="G364" s="15" t="s">
        <v>2497</v>
      </c>
      <c r="H364" s="14" t="s">
        <v>36</v>
      </c>
      <c r="I364" s="18">
        <v>5</v>
      </c>
      <c r="J364" s="12" t="s">
        <v>521</v>
      </c>
      <c r="K364" s="13" t="s">
        <v>36</v>
      </c>
      <c r="L364" s="15" t="s">
        <v>36</v>
      </c>
      <c r="M364" s="12" t="s">
        <v>36</v>
      </c>
      <c r="N364" s="12" t="s">
        <v>36</v>
      </c>
      <c r="O364" s="17" t="s">
        <v>36</v>
      </c>
      <c r="P364" s="12" t="s">
        <v>36</v>
      </c>
      <c r="Q364" s="12" t="s">
        <v>36</v>
      </c>
      <c r="R364" s="12" t="s">
        <v>36</v>
      </c>
      <c r="S364" s="12" t="s">
        <v>36</v>
      </c>
      <c r="T364" s="12" t="s">
        <v>2498</v>
      </c>
      <c r="U364" s="12" t="s">
        <v>956</v>
      </c>
      <c r="V364" s="12" t="s">
        <v>405</v>
      </c>
      <c r="W364" s="12" t="s">
        <v>2499</v>
      </c>
      <c r="X364" s="16" t="s">
        <v>2500</v>
      </c>
      <c r="Y364" s="15" t="s">
        <v>55</v>
      </c>
      <c r="Z364" s="14">
        <v>0.25</v>
      </c>
      <c r="AA364" s="14">
        <v>5</v>
      </c>
      <c r="AB364" s="12" t="s">
        <v>56</v>
      </c>
      <c r="AC364" s="12" t="s">
        <v>2501</v>
      </c>
      <c r="AD364" s="13">
        <v>45484</v>
      </c>
      <c r="AE364" s="12" t="s">
        <v>960</v>
      </c>
      <c r="AF364" s="12" t="s">
        <v>2054</v>
      </c>
      <c r="AG364" s="12" t="s">
        <v>1276</v>
      </c>
      <c r="AH364" s="1">
        <f>HYPERLINK("https://my.pitchbook.com?c=275013-82T","View Company Online")</f>
      </c>
    </row>
    <row r="365">
      <c r="A365" s="3" t="s">
        <v>2502</v>
      </c>
      <c r="B365" s="3" t="s">
        <v>2503</v>
      </c>
      <c r="C365" s="5" t="s">
        <v>36</v>
      </c>
      <c r="D365" s="5" t="s">
        <v>36</v>
      </c>
      <c r="E365" s="5" t="s">
        <v>36</v>
      </c>
      <c r="F365" s="5" t="s">
        <v>36</v>
      </c>
      <c r="G365" s="6" t="s">
        <v>36</v>
      </c>
      <c r="H365" s="4" t="s">
        <v>36</v>
      </c>
      <c r="I365" s="7" t="s">
        <v>36</v>
      </c>
      <c r="J365" s="3" t="s">
        <v>36</v>
      </c>
      <c r="K365" s="9" t="s">
        <v>36</v>
      </c>
      <c r="L365" s="6" t="s">
        <v>36</v>
      </c>
      <c r="M365" s="3" t="s">
        <v>36</v>
      </c>
      <c r="N365" s="3" t="s">
        <v>36</v>
      </c>
      <c r="O365" s="8" t="s">
        <v>36</v>
      </c>
      <c r="P365" s="3" t="s">
        <v>36</v>
      </c>
      <c r="Q365" s="3" t="s">
        <v>36</v>
      </c>
      <c r="R365" s="3" t="s">
        <v>36</v>
      </c>
      <c r="S365" s="3" t="s">
        <v>36</v>
      </c>
      <c r="T365" s="3" t="s">
        <v>550</v>
      </c>
      <c r="U365" s="3" t="s">
        <v>38</v>
      </c>
      <c r="V365" s="3" t="s">
        <v>39</v>
      </c>
      <c r="W365" s="3" t="s">
        <v>2504</v>
      </c>
      <c r="X365" s="10" t="s">
        <v>2505</v>
      </c>
      <c r="Y365" s="6" t="s">
        <v>55</v>
      </c>
      <c r="Z365" s="4">
        <v>10.75</v>
      </c>
      <c r="AA365" s="4" t="s">
        <v>36</v>
      </c>
      <c r="AB365" s="3" t="s">
        <v>43</v>
      </c>
      <c r="AC365" s="3" t="s">
        <v>2506</v>
      </c>
      <c r="AD365" s="9">
        <v>45484</v>
      </c>
      <c r="AE365" s="3" t="s">
        <v>554</v>
      </c>
      <c r="AF365" s="3" t="s">
        <v>118</v>
      </c>
      <c r="AG365" s="3" t="s">
        <v>81</v>
      </c>
      <c r="AH365" s="11">
        <f>HYPERLINK("https://my.pitchbook.com?c=267739-48T","View Company Online")</f>
      </c>
    </row>
    <row r="366">
      <c r="A366" s="12" t="s">
        <v>2507</v>
      </c>
      <c r="B366" s="12" t="s">
        <v>2508</v>
      </c>
      <c r="C366" s="19" t="s">
        <v>36</v>
      </c>
      <c r="D366" s="19" t="s">
        <v>36</v>
      </c>
      <c r="E366" s="19" t="s">
        <v>36</v>
      </c>
      <c r="F366" s="19" t="s">
        <v>36</v>
      </c>
      <c r="G366" s="15" t="s">
        <v>36</v>
      </c>
      <c r="H366" s="14" t="s">
        <v>36</v>
      </c>
      <c r="I366" s="18" t="s">
        <v>36</v>
      </c>
      <c r="J366" s="12" t="s">
        <v>36</v>
      </c>
      <c r="K366" s="13" t="s">
        <v>36</v>
      </c>
      <c r="L366" s="15" t="s">
        <v>36</v>
      </c>
      <c r="M366" s="12" t="s">
        <v>36</v>
      </c>
      <c r="N366" s="12" t="s">
        <v>36</v>
      </c>
      <c r="O366" s="17" t="s">
        <v>36</v>
      </c>
      <c r="P366" s="12" t="s">
        <v>36</v>
      </c>
      <c r="Q366" s="12" t="s">
        <v>36</v>
      </c>
      <c r="R366" s="12" t="s">
        <v>36</v>
      </c>
      <c r="S366" s="12" t="s">
        <v>36</v>
      </c>
      <c r="T366" s="12" t="s">
        <v>2509</v>
      </c>
      <c r="U366" s="12" t="s">
        <v>38</v>
      </c>
      <c r="V366" s="12" t="s">
        <v>39</v>
      </c>
      <c r="W366" s="12" t="s">
        <v>2510</v>
      </c>
      <c r="X366" s="16" t="s">
        <v>2511</v>
      </c>
      <c r="Y366" s="15" t="s">
        <v>108</v>
      </c>
      <c r="Z366" s="14" t="s">
        <v>36</v>
      </c>
      <c r="AA366" s="14" t="s">
        <v>36</v>
      </c>
      <c r="AB366" s="12" t="s">
        <v>43</v>
      </c>
      <c r="AC366" s="12" t="s">
        <v>2512</v>
      </c>
      <c r="AD366" s="13">
        <v>45483</v>
      </c>
      <c r="AE366" s="12" t="s">
        <v>110</v>
      </c>
      <c r="AF366" s="12" t="s">
        <v>275</v>
      </c>
      <c r="AG366" s="12" t="s">
        <v>81</v>
      </c>
      <c r="AH366" s="1">
        <f>HYPERLINK("https://my.pitchbook.com?c=274629-34T","View Company Online")</f>
      </c>
    </row>
    <row r="367">
      <c r="A367" s="3" t="s">
        <v>2513</v>
      </c>
      <c r="B367" s="3" t="s">
        <v>2514</v>
      </c>
      <c r="C367" s="5">
        <v>1</v>
      </c>
      <c r="D367" s="5">
        <v>6</v>
      </c>
      <c r="E367" s="5">
        <v>3</v>
      </c>
      <c r="F367" s="5">
        <v>7</v>
      </c>
      <c r="G367" s="6" t="s">
        <v>36</v>
      </c>
      <c r="H367" s="4" t="s">
        <v>36</v>
      </c>
      <c r="I367" s="7" t="s">
        <v>36</v>
      </c>
      <c r="J367" s="3" t="s">
        <v>36</v>
      </c>
      <c r="K367" s="9" t="s">
        <v>36</v>
      </c>
      <c r="L367" s="6" t="s">
        <v>36</v>
      </c>
      <c r="M367" s="3" t="s">
        <v>36</v>
      </c>
      <c r="N367" s="3" t="s">
        <v>36</v>
      </c>
      <c r="O367" s="8" t="s">
        <v>36</v>
      </c>
      <c r="P367" s="3" t="s">
        <v>36</v>
      </c>
      <c r="Q367" s="3" t="s">
        <v>36</v>
      </c>
      <c r="R367" s="3" t="s">
        <v>36</v>
      </c>
      <c r="S367" s="3" t="s">
        <v>36</v>
      </c>
      <c r="T367" s="3" t="s">
        <v>2515</v>
      </c>
      <c r="U367" s="3" t="s">
        <v>74</v>
      </c>
      <c r="V367" s="3" t="s">
        <v>75</v>
      </c>
      <c r="W367" s="3" t="s">
        <v>2516</v>
      </c>
      <c r="X367" s="10" t="s">
        <v>2517</v>
      </c>
      <c r="Y367" s="6" t="s">
        <v>55</v>
      </c>
      <c r="Z367" s="4">
        <v>0.27</v>
      </c>
      <c r="AA367" s="4" t="s">
        <v>36</v>
      </c>
      <c r="AB367" s="3" t="s">
        <v>56</v>
      </c>
      <c r="AC367" s="3" t="s">
        <v>2518</v>
      </c>
      <c r="AD367" s="9">
        <v>45483</v>
      </c>
      <c r="AE367" s="3" t="s">
        <v>570</v>
      </c>
      <c r="AF367" s="3" t="s">
        <v>982</v>
      </c>
      <c r="AG367" s="3" t="s">
        <v>2519</v>
      </c>
      <c r="AH367" s="11">
        <f>HYPERLINK("https://my.pitchbook.com?c=273831-67T","View Company Online")</f>
      </c>
    </row>
    <row r="368">
      <c r="A368" s="12" t="s">
        <v>2520</v>
      </c>
      <c r="B368" s="12" t="s">
        <v>2521</v>
      </c>
      <c r="C368" s="19" t="s">
        <v>36</v>
      </c>
      <c r="D368" s="19" t="s">
        <v>36</v>
      </c>
      <c r="E368" s="19" t="s">
        <v>36</v>
      </c>
      <c r="F368" s="19" t="s">
        <v>36</v>
      </c>
      <c r="G368" s="15" t="s">
        <v>36</v>
      </c>
      <c r="H368" s="14" t="s">
        <v>36</v>
      </c>
      <c r="I368" s="18" t="s">
        <v>36</v>
      </c>
      <c r="J368" s="12" t="s">
        <v>36</v>
      </c>
      <c r="K368" s="13">
        <v>45063</v>
      </c>
      <c r="L368" s="15" t="s">
        <v>36</v>
      </c>
      <c r="M368" s="12" t="s">
        <v>36</v>
      </c>
      <c r="N368" s="12" t="s">
        <v>36</v>
      </c>
      <c r="O368" s="17" t="s">
        <v>36</v>
      </c>
      <c r="P368" s="12" t="s">
        <v>36</v>
      </c>
      <c r="Q368" s="12" t="s">
        <v>36</v>
      </c>
      <c r="R368" s="12" t="s">
        <v>36</v>
      </c>
      <c r="S368" s="12" t="s">
        <v>36</v>
      </c>
      <c r="T368" s="12" t="s">
        <v>1162</v>
      </c>
      <c r="U368" s="12" t="s">
        <v>423</v>
      </c>
      <c r="V368" s="12" t="s">
        <v>64</v>
      </c>
      <c r="W368" s="12" t="s">
        <v>2522</v>
      </c>
      <c r="X368" s="16" t="s">
        <v>2523</v>
      </c>
      <c r="Y368" s="15" t="s">
        <v>42</v>
      </c>
      <c r="Z368" s="14">
        <v>0.91</v>
      </c>
      <c r="AA368" s="14" t="s">
        <v>36</v>
      </c>
      <c r="AB368" s="12" t="s">
        <v>43</v>
      </c>
      <c r="AC368" s="12" t="s">
        <v>2524</v>
      </c>
      <c r="AD368" s="13">
        <v>45483</v>
      </c>
      <c r="AE368" s="12" t="s">
        <v>562</v>
      </c>
      <c r="AF368" s="12" t="s">
        <v>2525</v>
      </c>
      <c r="AG368" s="12" t="s">
        <v>2526</v>
      </c>
      <c r="AH368" s="1">
        <f>HYPERLINK("https://my.pitchbook.com?c=224596-81T","View Company Online")</f>
      </c>
    </row>
    <row r="369">
      <c r="A369" s="3" t="s">
        <v>2527</v>
      </c>
      <c r="B369" s="3" t="s">
        <v>2528</v>
      </c>
      <c r="C369" s="5" t="s">
        <v>36</v>
      </c>
      <c r="D369" s="5" t="s">
        <v>36</v>
      </c>
      <c r="E369" s="5" t="s">
        <v>36</v>
      </c>
      <c r="F369" s="5" t="s">
        <v>36</v>
      </c>
      <c r="G369" s="6" t="s">
        <v>36</v>
      </c>
      <c r="H369" s="4" t="s">
        <v>36</v>
      </c>
      <c r="I369" s="7" t="s">
        <v>36</v>
      </c>
      <c r="J369" s="3" t="s">
        <v>36</v>
      </c>
      <c r="K369" s="9" t="s">
        <v>36</v>
      </c>
      <c r="L369" s="6" t="s">
        <v>36</v>
      </c>
      <c r="M369" s="3" t="s">
        <v>36</v>
      </c>
      <c r="N369" s="3" t="s">
        <v>36</v>
      </c>
      <c r="O369" s="8" t="s">
        <v>36</v>
      </c>
      <c r="P369" s="3" t="s">
        <v>36</v>
      </c>
      <c r="Q369" s="3" t="s">
        <v>36</v>
      </c>
      <c r="R369" s="3" t="s">
        <v>36</v>
      </c>
      <c r="S369" s="3" t="s">
        <v>36</v>
      </c>
      <c r="T369" s="3" t="s">
        <v>2529</v>
      </c>
      <c r="U369" s="3" t="s">
        <v>219</v>
      </c>
      <c r="V369" s="3" t="s">
        <v>75</v>
      </c>
      <c r="W369" s="3" t="s">
        <v>2530</v>
      </c>
      <c r="X369" s="10" t="s">
        <v>2531</v>
      </c>
      <c r="Y369" s="6" t="s">
        <v>42</v>
      </c>
      <c r="Z369" s="4" t="s">
        <v>36</v>
      </c>
      <c r="AA369" s="4" t="s">
        <v>36</v>
      </c>
      <c r="AB369" s="3" t="s">
        <v>43</v>
      </c>
      <c r="AC369" s="3" t="s">
        <v>2532</v>
      </c>
      <c r="AD369" s="9">
        <v>45482</v>
      </c>
      <c r="AE369" s="3" t="s">
        <v>243</v>
      </c>
      <c r="AF369" s="3" t="s">
        <v>2533</v>
      </c>
      <c r="AG369" s="3" t="s">
        <v>2534</v>
      </c>
      <c r="AH369" s="11">
        <f>HYPERLINK("https://my.pitchbook.com?c=266325-94T","View Company Online")</f>
      </c>
    </row>
    <row r="370">
      <c r="A370" s="12" t="s">
        <v>2535</v>
      </c>
      <c r="B370" s="12" t="s">
        <v>2536</v>
      </c>
      <c r="C370" s="19">
        <v>33</v>
      </c>
      <c r="D370" s="19">
        <v>6</v>
      </c>
      <c r="E370" s="19">
        <v>24</v>
      </c>
      <c r="F370" s="19">
        <v>44</v>
      </c>
      <c r="G370" s="15" t="s">
        <v>36</v>
      </c>
      <c r="H370" s="14" t="s">
        <v>36</v>
      </c>
      <c r="I370" s="18" t="s">
        <v>36</v>
      </c>
      <c r="J370" s="12" t="s">
        <v>36</v>
      </c>
      <c r="K370" s="13" t="s">
        <v>36</v>
      </c>
      <c r="L370" s="15" t="s">
        <v>36</v>
      </c>
      <c r="M370" s="12" t="s">
        <v>36</v>
      </c>
      <c r="N370" s="12" t="s">
        <v>36</v>
      </c>
      <c r="O370" s="17" t="s">
        <v>36</v>
      </c>
      <c r="P370" s="12" t="s">
        <v>36</v>
      </c>
      <c r="Q370" s="12" t="s">
        <v>36</v>
      </c>
      <c r="R370" s="12" t="s">
        <v>36</v>
      </c>
      <c r="S370" s="12" t="s">
        <v>2537</v>
      </c>
      <c r="T370" s="12" t="s">
        <v>2538</v>
      </c>
      <c r="U370" s="12" t="s">
        <v>318</v>
      </c>
      <c r="V370" s="12" t="s">
        <v>39</v>
      </c>
      <c r="W370" s="12" t="s">
        <v>2539</v>
      </c>
      <c r="X370" s="16" t="s">
        <v>2540</v>
      </c>
      <c r="Y370" s="15" t="s">
        <v>475</v>
      </c>
      <c r="Z370" s="14" t="s">
        <v>36</v>
      </c>
      <c r="AA370" s="14" t="s">
        <v>36</v>
      </c>
      <c r="AB370" s="12" t="s">
        <v>56</v>
      </c>
      <c r="AC370" s="12" t="s">
        <v>2541</v>
      </c>
      <c r="AD370" s="13">
        <v>45482</v>
      </c>
      <c r="AE370" s="12" t="s">
        <v>417</v>
      </c>
      <c r="AF370" s="12" t="s">
        <v>275</v>
      </c>
      <c r="AG370" s="12" t="s">
        <v>2542</v>
      </c>
      <c r="AH370" s="1">
        <f>HYPERLINK("https://my.pitchbook.com?c=267321-07T","View Company Online")</f>
      </c>
    </row>
    <row r="371">
      <c r="A371" s="3" t="s">
        <v>2543</v>
      </c>
      <c r="B371" s="3" t="s">
        <v>2544</v>
      </c>
      <c r="C371" s="5" t="s">
        <v>36</v>
      </c>
      <c r="D371" s="5" t="s">
        <v>36</v>
      </c>
      <c r="E371" s="5" t="s">
        <v>36</v>
      </c>
      <c r="F371" s="5" t="s">
        <v>36</v>
      </c>
      <c r="G371" s="6" t="s">
        <v>36</v>
      </c>
      <c r="H371" s="4" t="s">
        <v>36</v>
      </c>
      <c r="I371" s="7" t="s">
        <v>36</v>
      </c>
      <c r="J371" s="3" t="s">
        <v>36</v>
      </c>
      <c r="K371" s="9">
        <v>45473</v>
      </c>
      <c r="L371" s="6" t="s">
        <v>122</v>
      </c>
      <c r="M371" s="3" t="s">
        <v>36</v>
      </c>
      <c r="N371" s="3" t="s">
        <v>122</v>
      </c>
      <c r="O371" s="8" t="s">
        <v>36</v>
      </c>
      <c r="P371" s="3" t="s">
        <v>36</v>
      </c>
      <c r="Q371" s="3" t="s">
        <v>36</v>
      </c>
      <c r="R371" s="3" t="s">
        <v>36</v>
      </c>
      <c r="S371" s="3" t="s">
        <v>36</v>
      </c>
      <c r="T371" s="3" t="s">
        <v>2545</v>
      </c>
      <c r="U371" s="3" t="s">
        <v>438</v>
      </c>
      <c r="V371" s="3" t="s">
        <v>405</v>
      </c>
      <c r="W371" s="3" t="s">
        <v>2546</v>
      </c>
      <c r="X371" s="10" t="s">
        <v>2547</v>
      </c>
      <c r="Y371" s="6" t="s">
        <v>55</v>
      </c>
      <c r="Z371" s="4">
        <v>8.06</v>
      </c>
      <c r="AA371" s="4" t="s">
        <v>36</v>
      </c>
      <c r="AB371" s="3" t="s">
        <v>56</v>
      </c>
      <c r="AC371" s="3" t="s">
        <v>2548</v>
      </c>
      <c r="AD371" s="9">
        <v>45481</v>
      </c>
      <c r="AE371" s="3" t="s">
        <v>438</v>
      </c>
      <c r="AF371" s="3" t="s">
        <v>2549</v>
      </c>
      <c r="AG371" s="3" t="s">
        <v>81</v>
      </c>
      <c r="AH371" s="11">
        <f>HYPERLINK("https://my.pitchbook.com?c=267479-65T","View Company Online")</f>
      </c>
    </row>
    <row r="372">
      <c r="A372" s="12" t="s">
        <v>2550</v>
      </c>
      <c r="B372" s="12" t="s">
        <v>2551</v>
      </c>
      <c r="C372" s="19" t="s">
        <v>36</v>
      </c>
      <c r="D372" s="19" t="s">
        <v>36</v>
      </c>
      <c r="E372" s="19" t="s">
        <v>36</v>
      </c>
      <c r="F372" s="19" t="s">
        <v>36</v>
      </c>
      <c r="G372" s="15" t="s">
        <v>36</v>
      </c>
      <c r="H372" s="14" t="s">
        <v>36</v>
      </c>
      <c r="I372" s="18" t="s">
        <v>36</v>
      </c>
      <c r="J372" s="12" t="s">
        <v>36</v>
      </c>
      <c r="K372" s="13" t="s">
        <v>36</v>
      </c>
      <c r="L372" s="15" t="s">
        <v>36</v>
      </c>
      <c r="M372" s="12" t="s">
        <v>36</v>
      </c>
      <c r="N372" s="12" t="s">
        <v>36</v>
      </c>
      <c r="O372" s="17" t="s">
        <v>36</v>
      </c>
      <c r="P372" s="12" t="s">
        <v>36</v>
      </c>
      <c r="Q372" s="12" t="s">
        <v>36</v>
      </c>
      <c r="R372" s="12" t="s">
        <v>36</v>
      </c>
      <c r="S372" s="12" t="s">
        <v>36</v>
      </c>
      <c r="T372" s="12" t="s">
        <v>1106</v>
      </c>
      <c r="U372" s="12" t="s">
        <v>38</v>
      </c>
      <c r="V372" s="12" t="s">
        <v>39</v>
      </c>
      <c r="W372" s="12" t="s">
        <v>2552</v>
      </c>
      <c r="X372" s="16" t="s">
        <v>2553</v>
      </c>
      <c r="Y372" s="15" t="s">
        <v>55</v>
      </c>
      <c r="Z372" s="14">
        <v>5.37</v>
      </c>
      <c r="AA372" s="14" t="s">
        <v>36</v>
      </c>
      <c r="AB372" s="12" t="s">
        <v>56</v>
      </c>
      <c r="AC372" s="12" t="s">
        <v>2554</v>
      </c>
      <c r="AD372" s="13">
        <v>45481</v>
      </c>
      <c r="AE372" s="12" t="s">
        <v>110</v>
      </c>
      <c r="AF372" s="12" t="s">
        <v>815</v>
      </c>
      <c r="AG372" s="12" t="s">
        <v>2555</v>
      </c>
      <c r="AH372" s="1">
        <f>HYPERLINK("https://my.pitchbook.com?c=266402-71T","View Company Online")</f>
      </c>
    </row>
    <row r="373">
      <c r="A373" s="3" t="s">
        <v>2556</v>
      </c>
      <c r="B373" s="3" t="s">
        <v>2557</v>
      </c>
      <c r="C373" s="5" t="s">
        <v>36</v>
      </c>
      <c r="D373" s="5">
        <v>6</v>
      </c>
      <c r="E373" s="5">
        <v>2</v>
      </c>
      <c r="F373" s="5">
        <v>6</v>
      </c>
      <c r="G373" s="6" t="s">
        <v>36</v>
      </c>
      <c r="H373" s="4" t="s">
        <v>36</v>
      </c>
      <c r="I373" s="7" t="s">
        <v>36</v>
      </c>
      <c r="J373" s="3" t="s">
        <v>521</v>
      </c>
      <c r="K373" s="9" t="s">
        <v>36</v>
      </c>
      <c r="L373" s="6" t="s">
        <v>36</v>
      </c>
      <c r="M373" s="3" t="s">
        <v>36</v>
      </c>
      <c r="N373" s="3" t="s">
        <v>36</v>
      </c>
      <c r="O373" s="8" t="s">
        <v>36</v>
      </c>
      <c r="P373" s="3" t="s">
        <v>36</v>
      </c>
      <c r="Q373" s="3" t="s">
        <v>36</v>
      </c>
      <c r="R373" s="3" t="s">
        <v>36</v>
      </c>
      <c r="S373" s="3" t="s">
        <v>36</v>
      </c>
      <c r="T373" s="3" t="s">
        <v>2558</v>
      </c>
      <c r="U373" s="3" t="s">
        <v>38</v>
      </c>
      <c r="V373" s="3" t="s">
        <v>39</v>
      </c>
      <c r="W373" s="3" t="s">
        <v>2559</v>
      </c>
      <c r="X373" s="10" t="s">
        <v>2560</v>
      </c>
      <c r="Y373" s="6" t="s">
        <v>108</v>
      </c>
      <c r="Z373" s="4">
        <v>2.42</v>
      </c>
      <c r="AA373" s="4">
        <v>9.14</v>
      </c>
      <c r="AB373" s="3" t="s">
        <v>56</v>
      </c>
      <c r="AC373" s="3" t="s">
        <v>2561</v>
      </c>
      <c r="AD373" s="9">
        <v>45478</v>
      </c>
      <c r="AE373" s="3" t="s">
        <v>110</v>
      </c>
      <c r="AF373" s="3" t="s">
        <v>2562</v>
      </c>
      <c r="AG373" s="3" t="s">
        <v>81</v>
      </c>
      <c r="AH373" s="11">
        <f>HYPERLINK("https://my.pitchbook.com?c=266194-09T","View Company Online")</f>
      </c>
    </row>
    <row r="374">
      <c r="A374" s="12" t="s">
        <v>2563</v>
      </c>
      <c r="B374" s="12" t="s">
        <v>2564</v>
      </c>
      <c r="C374" s="19" t="s">
        <v>36</v>
      </c>
      <c r="D374" s="19" t="s">
        <v>36</v>
      </c>
      <c r="E374" s="19" t="s">
        <v>36</v>
      </c>
      <c r="F374" s="19" t="s">
        <v>36</v>
      </c>
      <c r="G374" s="15" t="s">
        <v>36</v>
      </c>
      <c r="H374" s="14" t="s">
        <v>36</v>
      </c>
      <c r="I374" s="18" t="s">
        <v>36</v>
      </c>
      <c r="J374" s="12" t="s">
        <v>36</v>
      </c>
      <c r="K374" s="13" t="s">
        <v>36</v>
      </c>
      <c r="L374" s="15" t="s">
        <v>36</v>
      </c>
      <c r="M374" s="12" t="s">
        <v>36</v>
      </c>
      <c r="N374" s="12" t="s">
        <v>36</v>
      </c>
      <c r="O374" s="17" t="s">
        <v>36</v>
      </c>
      <c r="P374" s="12" t="s">
        <v>36</v>
      </c>
      <c r="Q374" s="12" t="s">
        <v>36</v>
      </c>
      <c r="R374" s="12" t="s">
        <v>36</v>
      </c>
      <c r="S374" s="12" t="s">
        <v>36</v>
      </c>
      <c r="T374" s="12" t="s">
        <v>2565</v>
      </c>
      <c r="U374" s="12" t="s">
        <v>1091</v>
      </c>
      <c r="V374" s="12" t="s">
        <v>378</v>
      </c>
      <c r="W374" s="12" t="s">
        <v>2566</v>
      </c>
      <c r="X374" s="16" t="s">
        <v>1399</v>
      </c>
      <c r="Y374" s="15" t="s">
        <v>55</v>
      </c>
      <c r="Z374" s="14">
        <v>0.7</v>
      </c>
      <c r="AA374" s="14" t="s">
        <v>36</v>
      </c>
      <c r="AB374" s="12" t="s">
        <v>56</v>
      </c>
      <c r="AC374" s="12" t="s">
        <v>2567</v>
      </c>
      <c r="AD374" s="13">
        <v>45478</v>
      </c>
      <c r="AE374" s="12" t="s">
        <v>2568</v>
      </c>
      <c r="AF374" s="12" t="s">
        <v>1969</v>
      </c>
      <c r="AG374" s="12" t="s">
        <v>1905</v>
      </c>
      <c r="AH374" s="1">
        <f>HYPERLINK("https://my.pitchbook.com?c=266140-63T","View Company Online")</f>
      </c>
    </row>
    <row r="375">
      <c r="A375" s="3" t="s">
        <v>2569</v>
      </c>
      <c r="B375" s="3" t="s">
        <v>2570</v>
      </c>
      <c r="C375" s="5" t="s">
        <v>36</v>
      </c>
      <c r="D375" s="5" t="s">
        <v>36</v>
      </c>
      <c r="E375" s="5" t="s">
        <v>36</v>
      </c>
      <c r="F375" s="5" t="s">
        <v>36</v>
      </c>
      <c r="G375" s="6" t="s">
        <v>36</v>
      </c>
      <c r="H375" s="4" t="s">
        <v>36</v>
      </c>
      <c r="I375" s="7">
        <v>52.53</v>
      </c>
      <c r="J375" s="3" t="s">
        <v>327</v>
      </c>
      <c r="K375" s="9" t="s">
        <v>36</v>
      </c>
      <c r="L375" s="6" t="s">
        <v>122</v>
      </c>
      <c r="M375" s="3" t="s">
        <v>36</v>
      </c>
      <c r="N375" s="3" t="s">
        <v>122</v>
      </c>
      <c r="O375" s="8" t="s">
        <v>36</v>
      </c>
      <c r="P375" s="3" t="s">
        <v>36</v>
      </c>
      <c r="Q375" s="3" t="s">
        <v>36</v>
      </c>
      <c r="R375" s="3" t="s">
        <v>36</v>
      </c>
      <c r="S375" s="3" t="s">
        <v>36</v>
      </c>
      <c r="T375" s="3" t="s">
        <v>2321</v>
      </c>
      <c r="U375" s="3" t="s">
        <v>51</v>
      </c>
      <c r="V375" s="3" t="s">
        <v>52</v>
      </c>
      <c r="W375" s="3" t="s">
        <v>2571</v>
      </c>
      <c r="X375" s="10" t="s">
        <v>2572</v>
      </c>
      <c r="Y375" s="6" t="s">
        <v>108</v>
      </c>
      <c r="Z375" s="4">
        <v>23.87</v>
      </c>
      <c r="AA375" s="4">
        <v>45.43</v>
      </c>
      <c r="AB375" s="3" t="s">
        <v>56</v>
      </c>
      <c r="AC375" s="3" t="s">
        <v>2573</v>
      </c>
      <c r="AD375" s="9">
        <v>45477</v>
      </c>
      <c r="AE375" s="3" t="s">
        <v>504</v>
      </c>
      <c r="AF375" s="3" t="s">
        <v>665</v>
      </c>
      <c r="AG375" s="3" t="s">
        <v>2574</v>
      </c>
      <c r="AH375" s="11">
        <f>HYPERLINK("https://my.pitchbook.com?c=272333-17T","View Company Online")</f>
      </c>
    </row>
    <row r="376">
      <c r="A376" s="12" t="s">
        <v>2575</v>
      </c>
      <c r="B376" s="12" t="s">
        <v>2576</v>
      </c>
      <c r="C376" s="19" t="s">
        <v>36</v>
      </c>
      <c r="D376" s="19" t="s">
        <v>36</v>
      </c>
      <c r="E376" s="19" t="s">
        <v>36</v>
      </c>
      <c r="F376" s="19" t="s">
        <v>36</v>
      </c>
      <c r="G376" s="15" t="s">
        <v>36</v>
      </c>
      <c r="H376" s="14" t="s">
        <v>36</v>
      </c>
      <c r="I376" s="18" t="s">
        <v>36</v>
      </c>
      <c r="J376" s="12" t="s">
        <v>36</v>
      </c>
      <c r="K376" s="13" t="s">
        <v>36</v>
      </c>
      <c r="L376" s="15" t="s">
        <v>36</v>
      </c>
      <c r="M376" s="12" t="s">
        <v>36</v>
      </c>
      <c r="N376" s="12" t="s">
        <v>36</v>
      </c>
      <c r="O376" s="17" t="s">
        <v>36</v>
      </c>
      <c r="P376" s="12" t="s">
        <v>36</v>
      </c>
      <c r="Q376" s="12" t="s">
        <v>36</v>
      </c>
      <c r="R376" s="12" t="s">
        <v>36</v>
      </c>
      <c r="S376" s="12" t="s">
        <v>36</v>
      </c>
      <c r="T376" s="12" t="s">
        <v>2577</v>
      </c>
      <c r="U376" s="12" t="s">
        <v>96</v>
      </c>
      <c r="V376" s="12" t="s">
        <v>52</v>
      </c>
      <c r="W376" s="12" t="s">
        <v>2578</v>
      </c>
      <c r="X376" s="16" t="s">
        <v>2579</v>
      </c>
      <c r="Y376" s="15" t="s">
        <v>108</v>
      </c>
      <c r="Z376" s="14">
        <v>3.01</v>
      </c>
      <c r="AA376" s="14" t="s">
        <v>36</v>
      </c>
      <c r="AB376" s="12" t="s">
        <v>43</v>
      </c>
      <c r="AC376" s="12" t="s">
        <v>2580</v>
      </c>
      <c r="AD376" s="13">
        <v>45477</v>
      </c>
      <c r="AE376" s="12" t="s">
        <v>1414</v>
      </c>
      <c r="AF376" s="12" t="s">
        <v>2581</v>
      </c>
      <c r="AG376" s="12" t="s">
        <v>580</v>
      </c>
      <c r="AH376" s="1">
        <f>HYPERLINK("https://my.pitchbook.com?c=267462-28T","View Company Online")</f>
      </c>
    </row>
    <row r="377">
      <c r="A377" s="3" t="s">
        <v>2582</v>
      </c>
      <c r="B377" s="3" t="s">
        <v>2583</v>
      </c>
      <c r="C377" s="5" t="s">
        <v>36</v>
      </c>
      <c r="D377" s="5" t="s">
        <v>36</v>
      </c>
      <c r="E377" s="5" t="s">
        <v>36</v>
      </c>
      <c r="F377" s="5" t="s">
        <v>36</v>
      </c>
      <c r="G377" s="6" t="s">
        <v>36</v>
      </c>
      <c r="H377" s="4" t="s">
        <v>36</v>
      </c>
      <c r="I377" s="7" t="s">
        <v>36</v>
      </c>
      <c r="J377" s="3" t="s">
        <v>36</v>
      </c>
      <c r="K377" s="9" t="s">
        <v>36</v>
      </c>
      <c r="L377" s="6" t="s">
        <v>36</v>
      </c>
      <c r="M377" s="3" t="s">
        <v>36</v>
      </c>
      <c r="N377" s="3" t="s">
        <v>36</v>
      </c>
      <c r="O377" s="8" t="s">
        <v>36</v>
      </c>
      <c r="P377" s="3" t="s">
        <v>36</v>
      </c>
      <c r="Q377" s="3" t="s">
        <v>36</v>
      </c>
      <c r="R377" s="3" t="s">
        <v>36</v>
      </c>
      <c r="S377" s="3" t="s">
        <v>36</v>
      </c>
      <c r="T377" s="3" t="s">
        <v>2584</v>
      </c>
      <c r="U377" s="3" t="s">
        <v>96</v>
      </c>
      <c r="V377" s="3" t="s">
        <v>52</v>
      </c>
      <c r="W377" s="3" t="s">
        <v>2585</v>
      </c>
      <c r="X377" s="10" t="s">
        <v>2586</v>
      </c>
      <c r="Y377" s="6" t="s">
        <v>42</v>
      </c>
      <c r="Z377" s="4">
        <v>1.08</v>
      </c>
      <c r="AA377" s="4" t="s">
        <v>36</v>
      </c>
      <c r="AB377" s="3" t="s">
        <v>43</v>
      </c>
      <c r="AC377" s="3" t="s">
        <v>2587</v>
      </c>
      <c r="AD377" s="9">
        <v>45477</v>
      </c>
      <c r="AE377" s="3" t="s">
        <v>100</v>
      </c>
      <c r="AF377" s="3" t="s">
        <v>36</v>
      </c>
      <c r="AG377" s="3" t="s">
        <v>186</v>
      </c>
      <c r="AH377" s="11">
        <f>HYPERLINK("https://my.pitchbook.com?c=266049-82T","View Company Online")</f>
      </c>
    </row>
    <row r="378">
      <c r="A378" s="12" t="s">
        <v>2588</v>
      </c>
      <c r="B378" s="12" t="s">
        <v>2589</v>
      </c>
      <c r="C378" s="19" t="s">
        <v>36</v>
      </c>
      <c r="D378" s="19" t="s">
        <v>36</v>
      </c>
      <c r="E378" s="19" t="s">
        <v>36</v>
      </c>
      <c r="F378" s="19" t="s">
        <v>36</v>
      </c>
      <c r="G378" s="15" t="s">
        <v>36</v>
      </c>
      <c r="H378" s="14" t="s">
        <v>36</v>
      </c>
      <c r="I378" s="18" t="s">
        <v>36</v>
      </c>
      <c r="J378" s="12" t="s">
        <v>36</v>
      </c>
      <c r="K378" s="13" t="s">
        <v>36</v>
      </c>
      <c r="L378" s="15" t="s">
        <v>36</v>
      </c>
      <c r="M378" s="12" t="s">
        <v>36</v>
      </c>
      <c r="N378" s="12" t="s">
        <v>36</v>
      </c>
      <c r="O378" s="17" t="s">
        <v>36</v>
      </c>
      <c r="P378" s="12" t="s">
        <v>36</v>
      </c>
      <c r="Q378" s="12" t="s">
        <v>36</v>
      </c>
      <c r="R378" s="12" t="s">
        <v>36</v>
      </c>
      <c r="S378" s="12" t="s">
        <v>36</v>
      </c>
      <c r="T378" s="12" t="s">
        <v>2590</v>
      </c>
      <c r="U378" s="12" t="s">
        <v>233</v>
      </c>
      <c r="V378" s="12" t="s">
        <v>39</v>
      </c>
      <c r="W378" s="12" t="s">
        <v>2591</v>
      </c>
      <c r="X378" s="16" t="s">
        <v>640</v>
      </c>
      <c r="Y378" s="15" t="s">
        <v>42</v>
      </c>
      <c r="Z378" s="14" t="s">
        <v>36</v>
      </c>
      <c r="AA378" s="14" t="s">
        <v>36</v>
      </c>
      <c r="AB378" s="12" t="s">
        <v>43</v>
      </c>
      <c r="AC378" s="12" t="s">
        <v>2592</v>
      </c>
      <c r="AD378" s="13">
        <v>45476</v>
      </c>
      <c r="AE378" s="12" t="s">
        <v>236</v>
      </c>
      <c r="AF378" s="12" t="s">
        <v>2593</v>
      </c>
      <c r="AG378" s="12" t="s">
        <v>186</v>
      </c>
      <c r="AH378" s="1">
        <f>HYPERLINK("https://my.pitchbook.com?c=265824-01T","View Company Online")</f>
      </c>
    </row>
    <row r="379">
      <c r="A379" s="3" t="s">
        <v>2594</v>
      </c>
      <c r="B379" s="3" t="s">
        <v>2595</v>
      </c>
      <c r="C379" s="5" t="s">
        <v>36</v>
      </c>
      <c r="D379" s="5" t="s">
        <v>36</v>
      </c>
      <c r="E379" s="5" t="s">
        <v>36</v>
      </c>
      <c r="F379" s="5" t="s">
        <v>36</v>
      </c>
      <c r="G379" s="6" t="s">
        <v>36</v>
      </c>
      <c r="H379" s="4" t="s">
        <v>36</v>
      </c>
      <c r="I379" s="7" t="s">
        <v>36</v>
      </c>
      <c r="J379" s="3" t="s">
        <v>36</v>
      </c>
      <c r="K379" s="9" t="s">
        <v>36</v>
      </c>
      <c r="L379" s="6" t="s">
        <v>36</v>
      </c>
      <c r="M379" s="3" t="s">
        <v>36</v>
      </c>
      <c r="N379" s="3" t="s">
        <v>36</v>
      </c>
      <c r="O379" s="8" t="s">
        <v>36</v>
      </c>
      <c r="P379" s="3" t="s">
        <v>36</v>
      </c>
      <c r="Q379" s="3" t="s">
        <v>36</v>
      </c>
      <c r="R379" s="3" t="s">
        <v>36</v>
      </c>
      <c r="S379" s="3" t="s">
        <v>36</v>
      </c>
      <c r="T379" s="3" t="s">
        <v>105</v>
      </c>
      <c r="U379" s="3" t="s">
        <v>38</v>
      </c>
      <c r="V379" s="3" t="s">
        <v>39</v>
      </c>
      <c r="W379" s="3" t="s">
        <v>2596</v>
      </c>
      <c r="X379" s="10" t="s">
        <v>2597</v>
      </c>
      <c r="Y379" s="6" t="s">
        <v>55</v>
      </c>
      <c r="Z379" s="4">
        <v>10.76</v>
      </c>
      <c r="AA379" s="4" t="s">
        <v>36</v>
      </c>
      <c r="AB379" s="3" t="s">
        <v>56</v>
      </c>
      <c r="AC379" s="3" t="s">
        <v>2598</v>
      </c>
      <c r="AD379" s="9">
        <v>45475</v>
      </c>
      <c r="AE379" s="3" t="s">
        <v>110</v>
      </c>
      <c r="AF379" s="3" t="s">
        <v>176</v>
      </c>
      <c r="AG379" s="3" t="s">
        <v>144</v>
      </c>
      <c r="AH379" s="11">
        <f>HYPERLINK("https://my.pitchbook.com?c=265959-46T","View Company Online")</f>
      </c>
    </row>
    <row r="380">
      <c r="A380" s="12" t="s">
        <v>2599</v>
      </c>
      <c r="B380" s="12" t="s">
        <v>2600</v>
      </c>
      <c r="C380" s="19" t="s">
        <v>36</v>
      </c>
      <c r="D380" s="19" t="s">
        <v>36</v>
      </c>
      <c r="E380" s="19" t="s">
        <v>36</v>
      </c>
      <c r="F380" s="19" t="s">
        <v>36</v>
      </c>
      <c r="G380" s="15" t="s">
        <v>36</v>
      </c>
      <c r="H380" s="14" t="s">
        <v>36</v>
      </c>
      <c r="I380" s="18" t="s">
        <v>36</v>
      </c>
      <c r="J380" s="12" t="s">
        <v>36</v>
      </c>
      <c r="K380" s="13">
        <v>45475</v>
      </c>
      <c r="L380" s="15" t="s">
        <v>36</v>
      </c>
      <c r="M380" s="12" t="s">
        <v>36</v>
      </c>
      <c r="N380" s="12" t="s">
        <v>36</v>
      </c>
      <c r="O380" s="17" t="s">
        <v>36</v>
      </c>
      <c r="P380" s="12" t="s">
        <v>36</v>
      </c>
      <c r="Q380" s="12" t="s">
        <v>36</v>
      </c>
      <c r="R380" s="12" t="s">
        <v>36</v>
      </c>
      <c r="S380" s="12" t="s">
        <v>36</v>
      </c>
      <c r="T380" s="12" t="s">
        <v>2601</v>
      </c>
      <c r="U380" s="12" t="s">
        <v>74</v>
      </c>
      <c r="V380" s="12" t="s">
        <v>75</v>
      </c>
      <c r="W380" s="12" t="s">
        <v>2602</v>
      </c>
      <c r="X380" s="16" t="s">
        <v>2603</v>
      </c>
      <c r="Y380" s="15" t="s">
        <v>108</v>
      </c>
      <c r="Z380" s="14" t="s">
        <v>36</v>
      </c>
      <c r="AA380" s="14" t="s">
        <v>36</v>
      </c>
      <c r="AB380" s="12" t="s">
        <v>56</v>
      </c>
      <c r="AC380" s="12" t="s">
        <v>2604</v>
      </c>
      <c r="AD380" s="13">
        <v>45475</v>
      </c>
      <c r="AE380" s="12" t="s">
        <v>79</v>
      </c>
      <c r="AF380" s="12" t="s">
        <v>36</v>
      </c>
      <c r="AG380" s="12" t="s">
        <v>81</v>
      </c>
      <c r="AH380" s="1">
        <f>HYPERLINK("https://my.pitchbook.com?c=266415-13T","View Company Online")</f>
      </c>
    </row>
    <row r="381">
      <c r="A381" s="3" t="s">
        <v>2605</v>
      </c>
      <c r="B381" s="3" t="s">
        <v>1259</v>
      </c>
      <c r="C381" s="5" t="s">
        <v>36</v>
      </c>
      <c r="D381" s="5" t="s">
        <v>36</v>
      </c>
      <c r="E381" s="5" t="s">
        <v>36</v>
      </c>
      <c r="F381" s="5" t="s">
        <v>36</v>
      </c>
      <c r="G381" s="6" t="s">
        <v>326</v>
      </c>
      <c r="H381" s="4" t="s">
        <v>36</v>
      </c>
      <c r="I381" s="7">
        <v>21.96</v>
      </c>
      <c r="J381" s="3" t="s">
        <v>327</v>
      </c>
      <c r="K381" s="9">
        <v>45125</v>
      </c>
      <c r="L381" s="6" t="s">
        <v>122</v>
      </c>
      <c r="M381" s="3" t="s">
        <v>36</v>
      </c>
      <c r="N381" s="3" t="s">
        <v>122</v>
      </c>
      <c r="O381" s="8" t="s">
        <v>36</v>
      </c>
      <c r="P381" s="3" t="s">
        <v>36</v>
      </c>
      <c r="Q381" s="3" t="s">
        <v>36</v>
      </c>
      <c r="R381" s="3" t="s">
        <v>36</v>
      </c>
      <c r="S381" s="3" t="s">
        <v>36</v>
      </c>
      <c r="T381" s="3" t="s">
        <v>1260</v>
      </c>
      <c r="U381" s="3" t="s">
        <v>38</v>
      </c>
      <c r="V381" s="3" t="s">
        <v>39</v>
      </c>
      <c r="W381" s="3" t="s">
        <v>1261</v>
      </c>
      <c r="X381" s="10" t="s">
        <v>2606</v>
      </c>
      <c r="Y381" s="6" t="s">
        <v>108</v>
      </c>
      <c r="Z381" s="4">
        <v>8.63</v>
      </c>
      <c r="AA381" s="4">
        <v>39.28</v>
      </c>
      <c r="AB381" s="3" t="s">
        <v>43</v>
      </c>
      <c r="AC381" s="3" t="s">
        <v>1263</v>
      </c>
      <c r="AD381" s="9">
        <v>45475</v>
      </c>
      <c r="AE381" s="3" t="s">
        <v>110</v>
      </c>
      <c r="AF381" s="3" t="s">
        <v>111</v>
      </c>
      <c r="AG381" s="3" t="s">
        <v>81</v>
      </c>
      <c r="AH381" s="11">
        <f>HYPERLINK("https://my.pitchbook.com?c=228606-76T","View Company Online")</f>
      </c>
    </row>
    <row r="382">
      <c r="A382" s="12" t="s">
        <v>2607</v>
      </c>
      <c r="B382" s="12" t="s">
        <v>2608</v>
      </c>
      <c r="C382" s="19">
        <v>2</v>
      </c>
      <c r="D382" s="19">
        <v>2</v>
      </c>
      <c r="E382" s="19">
        <v>3</v>
      </c>
      <c r="F382" s="19">
        <v>4</v>
      </c>
      <c r="G382" s="15" t="s">
        <v>36</v>
      </c>
      <c r="H382" s="14" t="s">
        <v>36</v>
      </c>
      <c r="I382" s="18">
        <v>43.41</v>
      </c>
      <c r="J382" s="12" t="s">
        <v>327</v>
      </c>
      <c r="K382" s="13">
        <v>45231</v>
      </c>
      <c r="L382" s="15" t="s">
        <v>122</v>
      </c>
      <c r="M382" s="12" t="s">
        <v>36</v>
      </c>
      <c r="N382" s="12" t="s">
        <v>122</v>
      </c>
      <c r="O382" s="17" t="s">
        <v>36</v>
      </c>
      <c r="P382" s="12" t="s">
        <v>36</v>
      </c>
      <c r="Q382" s="12" t="s">
        <v>36</v>
      </c>
      <c r="R382" s="12" t="s">
        <v>36</v>
      </c>
      <c r="S382" s="12" t="s">
        <v>36</v>
      </c>
      <c r="T382" s="12" t="s">
        <v>2609</v>
      </c>
      <c r="U382" s="12" t="s">
        <v>423</v>
      </c>
      <c r="V382" s="12" t="s">
        <v>64</v>
      </c>
      <c r="W382" s="12" t="s">
        <v>2610</v>
      </c>
      <c r="X382" s="16" t="s">
        <v>2611</v>
      </c>
      <c r="Y382" s="15" t="s">
        <v>42</v>
      </c>
      <c r="Z382" s="14">
        <v>3.23</v>
      </c>
      <c r="AA382" s="14">
        <v>7.43</v>
      </c>
      <c r="AB382" s="12" t="s">
        <v>56</v>
      </c>
      <c r="AC382" s="12" t="s">
        <v>2612</v>
      </c>
      <c r="AD382" s="13">
        <v>45475</v>
      </c>
      <c r="AE382" s="12" t="s">
        <v>562</v>
      </c>
      <c r="AF382" s="12" t="s">
        <v>90</v>
      </c>
      <c r="AG382" s="12" t="s">
        <v>1447</v>
      </c>
      <c r="AH382" s="1">
        <f>HYPERLINK("https://my.pitchbook.com?c=265812-22T","View Company Online")</f>
      </c>
    </row>
    <row r="383">
      <c r="A383" s="3" t="s">
        <v>2613</v>
      </c>
      <c r="B383" s="3" t="s">
        <v>2614</v>
      </c>
      <c r="C383" s="5" t="s">
        <v>36</v>
      </c>
      <c r="D383" s="5" t="s">
        <v>36</v>
      </c>
      <c r="E383" s="5" t="s">
        <v>36</v>
      </c>
      <c r="F383" s="5" t="s">
        <v>36</v>
      </c>
      <c r="G383" s="6" t="s">
        <v>36</v>
      </c>
      <c r="H383" s="4" t="s">
        <v>36</v>
      </c>
      <c r="I383" s="7" t="s">
        <v>36</v>
      </c>
      <c r="J383" s="3" t="s">
        <v>36</v>
      </c>
      <c r="K383" s="9" t="s">
        <v>36</v>
      </c>
      <c r="L383" s="6" t="s">
        <v>36</v>
      </c>
      <c r="M383" s="3" t="s">
        <v>36</v>
      </c>
      <c r="N383" s="3" t="s">
        <v>36</v>
      </c>
      <c r="O383" s="8" t="s">
        <v>36</v>
      </c>
      <c r="P383" s="3" t="s">
        <v>36</v>
      </c>
      <c r="Q383" s="3" t="s">
        <v>36</v>
      </c>
      <c r="R383" s="3" t="s">
        <v>36</v>
      </c>
      <c r="S383" s="3" t="s">
        <v>36</v>
      </c>
      <c r="T383" s="3" t="s">
        <v>1253</v>
      </c>
      <c r="U383" s="3" t="s">
        <v>38</v>
      </c>
      <c r="V383" s="3" t="s">
        <v>39</v>
      </c>
      <c r="W383" s="3" t="s">
        <v>2615</v>
      </c>
      <c r="X383" s="10" t="s">
        <v>2616</v>
      </c>
      <c r="Y383" s="6" t="s">
        <v>321</v>
      </c>
      <c r="Z383" s="4" t="s">
        <v>36</v>
      </c>
      <c r="AA383" s="4" t="s">
        <v>36</v>
      </c>
      <c r="AB383" s="3" t="s">
        <v>56</v>
      </c>
      <c r="AC383" s="3" t="s">
        <v>2617</v>
      </c>
      <c r="AD383" s="9">
        <v>45474</v>
      </c>
      <c r="AE383" s="3" t="s">
        <v>45</v>
      </c>
      <c r="AF383" s="3" t="s">
        <v>215</v>
      </c>
      <c r="AG383" s="3" t="s">
        <v>2618</v>
      </c>
      <c r="AH383" s="11">
        <f>HYPERLINK("https://my.pitchbook.com?c=267994-72T","View Company Online")</f>
      </c>
    </row>
    <row r="384">
      <c r="A384" s="12" t="s">
        <v>2619</v>
      </c>
      <c r="B384" s="12" t="s">
        <v>2620</v>
      </c>
      <c r="C384" s="19" t="s">
        <v>36</v>
      </c>
      <c r="D384" s="19" t="s">
        <v>36</v>
      </c>
      <c r="E384" s="19" t="s">
        <v>36</v>
      </c>
      <c r="F384" s="19" t="s">
        <v>36</v>
      </c>
      <c r="G384" s="15" t="s">
        <v>36</v>
      </c>
      <c r="H384" s="14" t="s">
        <v>36</v>
      </c>
      <c r="I384" s="18" t="s">
        <v>36</v>
      </c>
      <c r="J384" s="12" t="s">
        <v>36</v>
      </c>
      <c r="K384" s="13" t="s">
        <v>36</v>
      </c>
      <c r="L384" s="15" t="s">
        <v>36</v>
      </c>
      <c r="M384" s="12" t="s">
        <v>36</v>
      </c>
      <c r="N384" s="12" t="s">
        <v>36</v>
      </c>
      <c r="O384" s="17" t="s">
        <v>36</v>
      </c>
      <c r="P384" s="12" t="s">
        <v>36</v>
      </c>
      <c r="Q384" s="12" t="s">
        <v>36</v>
      </c>
      <c r="R384" s="12" t="s">
        <v>36</v>
      </c>
      <c r="S384" s="12" t="s">
        <v>36</v>
      </c>
      <c r="T384" s="12" t="s">
        <v>768</v>
      </c>
      <c r="U384" s="12" t="s">
        <v>233</v>
      </c>
      <c r="V384" s="12" t="s">
        <v>39</v>
      </c>
      <c r="W384" s="12" t="s">
        <v>2621</v>
      </c>
      <c r="X384" s="16" t="s">
        <v>577</v>
      </c>
      <c r="Y384" s="15" t="s">
        <v>108</v>
      </c>
      <c r="Z384" s="14" t="s">
        <v>36</v>
      </c>
      <c r="AA384" s="14" t="s">
        <v>36</v>
      </c>
      <c r="AB384" s="12" t="s">
        <v>56</v>
      </c>
      <c r="AC384" s="12" t="s">
        <v>2622</v>
      </c>
      <c r="AD384" s="13">
        <v>45474</v>
      </c>
      <c r="AE384" s="12" t="s">
        <v>236</v>
      </c>
      <c r="AF384" s="12" t="s">
        <v>1331</v>
      </c>
      <c r="AG384" s="12" t="s">
        <v>969</v>
      </c>
      <c r="AH384" s="1">
        <f>HYPERLINK("https://my.pitchbook.com?c=266138-56T","View Company Online")</f>
      </c>
    </row>
    <row r="385">
      <c r="A385" s="3" t="s">
        <v>2623</v>
      </c>
      <c r="B385" s="3" t="s">
        <v>2624</v>
      </c>
      <c r="C385" s="5" t="s">
        <v>36</v>
      </c>
      <c r="D385" s="5" t="s">
        <v>36</v>
      </c>
      <c r="E385" s="5" t="s">
        <v>36</v>
      </c>
      <c r="F385" s="5" t="s">
        <v>36</v>
      </c>
      <c r="G385" s="6" t="s">
        <v>36</v>
      </c>
      <c r="H385" s="4">
        <v>202.62</v>
      </c>
      <c r="I385" s="7">
        <v>15.42</v>
      </c>
      <c r="J385" s="3" t="s">
        <v>521</v>
      </c>
      <c r="K385" s="9" t="s">
        <v>36</v>
      </c>
      <c r="L385" s="6" t="s">
        <v>36</v>
      </c>
      <c r="M385" s="3" t="s">
        <v>36</v>
      </c>
      <c r="N385" s="3" t="s">
        <v>36</v>
      </c>
      <c r="O385" s="8" t="s">
        <v>36</v>
      </c>
      <c r="P385" s="3" t="s">
        <v>36</v>
      </c>
      <c r="Q385" s="3" t="s">
        <v>36</v>
      </c>
      <c r="R385" s="3" t="s">
        <v>36</v>
      </c>
      <c r="S385" s="3" t="s">
        <v>36</v>
      </c>
      <c r="T385" s="3" t="s">
        <v>630</v>
      </c>
      <c r="U385" s="3" t="s">
        <v>38</v>
      </c>
      <c r="V385" s="3" t="s">
        <v>39</v>
      </c>
      <c r="W385" s="3" t="s">
        <v>2625</v>
      </c>
      <c r="X385" s="10" t="s">
        <v>2626</v>
      </c>
      <c r="Y385" s="6" t="s">
        <v>108</v>
      </c>
      <c r="Z385" s="4">
        <v>2.26</v>
      </c>
      <c r="AA385" s="4">
        <v>7</v>
      </c>
      <c r="AB385" s="3" t="s">
        <v>56</v>
      </c>
      <c r="AC385" s="3" t="s">
        <v>2627</v>
      </c>
      <c r="AD385" s="9">
        <v>45474</v>
      </c>
      <c r="AE385" s="3" t="s">
        <v>110</v>
      </c>
      <c r="AF385" s="3" t="s">
        <v>2628</v>
      </c>
      <c r="AG385" s="3" t="s">
        <v>270</v>
      </c>
      <c r="AH385" s="11">
        <f>HYPERLINK("https://my.pitchbook.com?c=265807-18T","View Company Online")</f>
      </c>
    </row>
    <row r="386">
      <c r="A386" s="12" t="s">
        <v>2629</v>
      </c>
      <c r="B386" s="12" t="s">
        <v>2630</v>
      </c>
      <c r="C386" s="19">
        <v>4</v>
      </c>
      <c r="D386" s="19">
        <v>2</v>
      </c>
      <c r="E386" s="19">
        <v>3</v>
      </c>
      <c r="F386" s="19">
        <v>7</v>
      </c>
      <c r="G386" s="15" t="s">
        <v>36</v>
      </c>
      <c r="H386" s="14" t="s">
        <v>36</v>
      </c>
      <c r="I386" s="18" t="s">
        <v>36</v>
      </c>
      <c r="J386" s="12" t="s">
        <v>36</v>
      </c>
      <c r="K386" s="13" t="s">
        <v>36</v>
      </c>
      <c r="L386" s="15" t="s">
        <v>36</v>
      </c>
      <c r="M386" s="12" t="s">
        <v>36</v>
      </c>
      <c r="N386" s="12" t="s">
        <v>36</v>
      </c>
      <c r="O386" s="17" t="s">
        <v>36</v>
      </c>
      <c r="P386" s="12" t="s">
        <v>36</v>
      </c>
      <c r="Q386" s="12" t="s">
        <v>36</v>
      </c>
      <c r="R386" s="12" t="s">
        <v>36</v>
      </c>
      <c r="S386" s="12" t="s">
        <v>36</v>
      </c>
      <c r="T386" s="12" t="s">
        <v>2631</v>
      </c>
      <c r="U386" s="12" t="s">
        <v>96</v>
      </c>
      <c r="V386" s="12" t="s">
        <v>52</v>
      </c>
      <c r="W386" s="12" t="s">
        <v>2632</v>
      </c>
      <c r="X386" s="16" t="s">
        <v>2633</v>
      </c>
      <c r="Y386" s="15" t="s">
        <v>192</v>
      </c>
      <c r="Z386" s="14" t="s">
        <v>36</v>
      </c>
      <c r="AA386" s="14" t="s">
        <v>36</v>
      </c>
      <c r="AB386" s="12" t="s">
        <v>56</v>
      </c>
      <c r="AC386" s="12" t="s">
        <v>2634</v>
      </c>
      <c r="AD386" s="13">
        <v>45474</v>
      </c>
      <c r="AE386" s="12" t="s">
        <v>100</v>
      </c>
      <c r="AF386" s="12" t="s">
        <v>2635</v>
      </c>
      <c r="AG386" s="12" t="s">
        <v>2636</v>
      </c>
      <c r="AH386" s="1">
        <f>HYPERLINK("https://my.pitchbook.com?c=265733-02T","View Company Online")</f>
      </c>
    </row>
    <row r="387">
      <c r="A387" s="3" t="s">
        <v>2637</v>
      </c>
      <c r="B387" s="3" t="s">
        <v>2638</v>
      </c>
      <c r="C387" s="5" t="s">
        <v>36</v>
      </c>
      <c r="D387" s="5" t="s">
        <v>36</v>
      </c>
      <c r="E387" s="5" t="s">
        <v>36</v>
      </c>
      <c r="F387" s="5" t="s">
        <v>36</v>
      </c>
      <c r="G387" s="6" t="s">
        <v>36</v>
      </c>
      <c r="H387" s="4" t="s">
        <v>36</v>
      </c>
      <c r="I387" s="7" t="s">
        <v>36</v>
      </c>
      <c r="J387" s="3" t="s">
        <v>36</v>
      </c>
      <c r="K387" s="9" t="s">
        <v>36</v>
      </c>
      <c r="L387" s="6" t="s">
        <v>36</v>
      </c>
      <c r="M387" s="3" t="s">
        <v>36</v>
      </c>
      <c r="N387" s="3" t="s">
        <v>36</v>
      </c>
      <c r="O387" s="8" t="s">
        <v>36</v>
      </c>
      <c r="P387" s="3" t="s">
        <v>36</v>
      </c>
      <c r="Q387" s="3" t="s">
        <v>36</v>
      </c>
      <c r="R387" s="3" t="s">
        <v>36</v>
      </c>
      <c r="S387" s="3" t="s">
        <v>36</v>
      </c>
      <c r="T387" s="3" t="s">
        <v>2639</v>
      </c>
      <c r="U387" s="3" t="s">
        <v>74</v>
      </c>
      <c r="V387" s="3" t="s">
        <v>75</v>
      </c>
      <c r="W387" s="3" t="s">
        <v>2640</v>
      </c>
      <c r="X387" s="10" t="s">
        <v>2641</v>
      </c>
      <c r="Y387" s="6" t="s">
        <v>42</v>
      </c>
      <c r="Z387" s="4" t="s">
        <v>36</v>
      </c>
      <c r="AA387" s="4" t="s">
        <v>36</v>
      </c>
      <c r="AB387" s="3" t="s">
        <v>56</v>
      </c>
      <c r="AC387" s="3" t="s">
        <v>2642</v>
      </c>
      <c r="AD387" s="9">
        <v>45474</v>
      </c>
      <c r="AE387" s="3" t="s">
        <v>1888</v>
      </c>
      <c r="AF387" s="3" t="s">
        <v>2643</v>
      </c>
      <c r="AG387" s="3" t="s">
        <v>2644</v>
      </c>
      <c r="AH387" s="11">
        <f>HYPERLINK("https://my.pitchbook.com?c=270053-29T","View Company Online")</f>
      </c>
    </row>
    <row r="388">
      <c r="A388" s="12" t="s">
        <v>2645</v>
      </c>
      <c r="B388" s="12" t="s">
        <v>2646</v>
      </c>
      <c r="C388" s="19" t="s">
        <v>36</v>
      </c>
      <c r="D388" s="19" t="s">
        <v>36</v>
      </c>
      <c r="E388" s="19" t="s">
        <v>36</v>
      </c>
      <c r="F388" s="19" t="s">
        <v>36</v>
      </c>
      <c r="G388" s="15" t="s">
        <v>326</v>
      </c>
      <c r="H388" s="14">
        <v>29.24</v>
      </c>
      <c r="I388" s="18">
        <v>32.34</v>
      </c>
      <c r="J388" s="12" t="s">
        <v>521</v>
      </c>
      <c r="K388" s="13" t="s">
        <v>36</v>
      </c>
      <c r="L388" s="15" t="s">
        <v>36</v>
      </c>
      <c r="M388" s="12" t="s">
        <v>36</v>
      </c>
      <c r="N388" s="12" t="s">
        <v>36</v>
      </c>
      <c r="O388" s="17" t="s">
        <v>36</v>
      </c>
      <c r="P388" s="12" t="s">
        <v>36</v>
      </c>
      <c r="Q388" s="12" t="s">
        <v>36</v>
      </c>
      <c r="R388" s="12" t="s">
        <v>36</v>
      </c>
      <c r="S388" s="12" t="s">
        <v>36</v>
      </c>
      <c r="T388" s="12" t="s">
        <v>2647</v>
      </c>
      <c r="U388" s="12" t="s">
        <v>1502</v>
      </c>
      <c r="V388" s="12" t="s">
        <v>75</v>
      </c>
      <c r="W388" s="12" t="s">
        <v>2648</v>
      </c>
      <c r="X388" s="16" t="s">
        <v>2649</v>
      </c>
      <c r="Y388" s="15" t="s">
        <v>108</v>
      </c>
      <c r="Z388" s="14">
        <v>2.15</v>
      </c>
      <c r="AA388" s="14">
        <v>3.66</v>
      </c>
      <c r="AB388" s="12" t="s">
        <v>56</v>
      </c>
      <c r="AC388" s="12" t="s">
        <v>2650</v>
      </c>
      <c r="AD388" s="13">
        <v>45474</v>
      </c>
      <c r="AE388" s="12" t="s">
        <v>1822</v>
      </c>
      <c r="AF388" s="12" t="s">
        <v>571</v>
      </c>
      <c r="AG388" s="12" t="s">
        <v>757</v>
      </c>
      <c r="AH388" s="1">
        <f>HYPERLINK("https://my.pitchbook.com?c=268751-08T","View Company Online")</f>
      </c>
    </row>
    <row r="389">
      <c r="A389" s="3" t="s">
        <v>2651</v>
      </c>
      <c r="B389" s="3" t="s">
        <v>2652</v>
      </c>
      <c r="C389" s="5" t="s">
        <v>36</v>
      </c>
      <c r="D389" s="5" t="s">
        <v>36</v>
      </c>
      <c r="E389" s="5" t="s">
        <v>36</v>
      </c>
      <c r="F389" s="5" t="s">
        <v>36</v>
      </c>
      <c r="G389" s="6" t="s">
        <v>36</v>
      </c>
      <c r="H389" s="4" t="s">
        <v>36</v>
      </c>
      <c r="I389" s="7" t="s">
        <v>36</v>
      </c>
      <c r="J389" s="3" t="s">
        <v>36</v>
      </c>
      <c r="K389" s="9" t="s">
        <v>36</v>
      </c>
      <c r="L389" s="6" t="s">
        <v>36</v>
      </c>
      <c r="M389" s="3" t="s">
        <v>36</v>
      </c>
      <c r="N389" s="3" t="s">
        <v>36</v>
      </c>
      <c r="O389" s="8" t="s">
        <v>36</v>
      </c>
      <c r="P389" s="3" t="s">
        <v>36</v>
      </c>
      <c r="Q389" s="3" t="s">
        <v>36</v>
      </c>
      <c r="R389" s="3" t="s">
        <v>36</v>
      </c>
      <c r="S389" s="3" t="s">
        <v>36</v>
      </c>
      <c r="T389" s="3" t="s">
        <v>2653</v>
      </c>
      <c r="U389" s="3" t="s">
        <v>74</v>
      </c>
      <c r="V389" s="3" t="s">
        <v>75</v>
      </c>
      <c r="W389" s="3" t="s">
        <v>2654</v>
      </c>
      <c r="X389" s="10" t="s">
        <v>1367</v>
      </c>
      <c r="Y389" s="6" t="s">
        <v>42</v>
      </c>
      <c r="Z389" s="4" t="s">
        <v>36</v>
      </c>
      <c r="AA389" s="4" t="s">
        <v>36</v>
      </c>
      <c r="AB389" s="3" t="s">
        <v>43</v>
      </c>
      <c r="AC389" s="3" t="s">
        <v>2655</v>
      </c>
      <c r="AD389" s="9">
        <v>45474</v>
      </c>
      <c r="AE389" s="3" t="s">
        <v>696</v>
      </c>
      <c r="AF389" s="3" t="s">
        <v>36</v>
      </c>
      <c r="AG389" s="3" t="s">
        <v>81</v>
      </c>
      <c r="AH389" s="11">
        <f>HYPERLINK("https://my.pitchbook.com?c=266260-24T","View Company Online")</f>
      </c>
    </row>
    <row r="390">
      <c r="A390" s="12" t="s">
        <v>2656</v>
      </c>
      <c r="B390" s="12" t="s">
        <v>2657</v>
      </c>
      <c r="C390" s="19" t="s">
        <v>36</v>
      </c>
      <c r="D390" s="19" t="s">
        <v>36</v>
      </c>
      <c r="E390" s="19" t="s">
        <v>36</v>
      </c>
      <c r="F390" s="19" t="s">
        <v>36</v>
      </c>
      <c r="G390" s="15" t="s">
        <v>36</v>
      </c>
      <c r="H390" s="14" t="s">
        <v>36</v>
      </c>
      <c r="I390" s="18" t="s">
        <v>36</v>
      </c>
      <c r="J390" s="12" t="s">
        <v>36</v>
      </c>
      <c r="K390" s="13" t="s">
        <v>36</v>
      </c>
      <c r="L390" s="15" t="s">
        <v>36</v>
      </c>
      <c r="M390" s="12" t="s">
        <v>36</v>
      </c>
      <c r="N390" s="12" t="s">
        <v>36</v>
      </c>
      <c r="O390" s="17" t="s">
        <v>36</v>
      </c>
      <c r="P390" s="12" t="s">
        <v>36</v>
      </c>
      <c r="Q390" s="12" t="s">
        <v>36</v>
      </c>
      <c r="R390" s="12" t="s">
        <v>36</v>
      </c>
      <c r="S390" s="12" t="s">
        <v>36</v>
      </c>
      <c r="T390" s="12" t="s">
        <v>2658</v>
      </c>
      <c r="U390" s="12" t="s">
        <v>38</v>
      </c>
      <c r="V390" s="12" t="s">
        <v>39</v>
      </c>
      <c r="W390" s="12" t="s">
        <v>2659</v>
      </c>
      <c r="X390" s="16" t="s">
        <v>1113</v>
      </c>
      <c r="Y390" s="15" t="s">
        <v>42</v>
      </c>
      <c r="Z390" s="14" t="s">
        <v>36</v>
      </c>
      <c r="AA390" s="14" t="s">
        <v>36</v>
      </c>
      <c r="AB390" s="12" t="s">
        <v>43</v>
      </c>
      <c r="AC390" s="12" t="s">
        <v>2660</v>
      </c>
      <c r="AD390" s="13">
        <v>45474</v>
      </c>
      <c r="AE390" s="12" t="s">
        <v>110</v>
      </c>
      <c r="AF390" s="12" t="s">
        <v>2661</v>
      </c>
      <c r="AG390" s="12" t="s">
        <v>2662</v>
      </c>
      <c r="AH390" s="1">
        <f>HYPERLINK("https://my.pitchbook.com?c=266839-12T","View Company Online")</f>
      </c>
    </row>
    <row r="391">
      <c r="A391" s="3" t="s">
        <v>2663</v>
      </c>
      <c r="B391" s="3" t="s">
        <v>2664</v>
      </c>
      <c r="C391" s="5" t="s">
        <v>36</v>
      </c>
      <c r="D391" s="5" t="s">
        <v>36</v>
      </c>
      <c r="E391" s="5" t="s">
        <v>36</v>
      </c>
      <c r="F391" s="5" t="s">
        <v>36</v>
      </c>
      <c r="G391" s="6" t="s">
        <v>36</v>
      </c>
      <c r="H391" s="4" t="s">
        <v>36</v>
      </c>
      <c r="I391" s="7" t="s">
        <v>36</v>
      </c>
      <c r="J391" s="3" t="s">
        <v>36</v>
      </c>
      <c r="K391" s="9" t="s">
        <v>36</v>
      </c>
      <c r="L391" s="6" t="s">
        <v>36</v>
      </c>
      <c r="M391" s="3" t="s">
        <v>36</v>
      </c>
      <c r="N391" s="3" t="s">
        <v>36</v>
      </c>
      <c r="O391" s="8" t="s">
        <v>36</v>
      </c>
      <c r="P391" s="3" t="s">
        <v>36</v>
      </c>
      <c r="Q391" s="3" t="s">
        <v>36</v>
      </c>
      <c r="R391" s="3" t="s">
        <v>36</v>
      </c>
      <c r="S391" s="3" t="s">
        <v>36</v>
      </c>
      <c r="T391" s="3" t="s">
        <v>253</v>
      </c>
      <c r="U391" s="3" t="s">
        <v>38</v>
      </c>
      <c r="V391" s="3" t="s">
        <v>39</v>
      </c>
      <c r="W391" s="3" t="s">
        <v>2665</v>
      </c>
      <c r="X391" s="10" t="s">
        <v>221</v>
      </c>
      <c r="Y391" s="6" t="s">
        <v>42</v>
      </c>
      <c r="Z391" s="4" t="s">
        <v>36</v>
      </c>
      <c r="AA391" s="4" t="s">
        <v>36</v>
      </c>
      <c r="AB391" s="3" t="s">
        <v>43</v>
      </c>
      <c r="AC391" s="3" t="s">
        <v>2666</v>
      </c>
      <c r="AD391" s="9">
        <v>45474</v>
      </c>
      <c r="AE391" s="3" t="s">
        <v>110</v>
      </c>
      <c r="AF391" s="3" t="s">
        <v>176</v>
      </c>
      <c r="AG391" s="3" t="s">
        <v>81</v>
      </c>
      <c r="AH391" s="11">
        <f>HYPERLINK("https://my.pitchbook.com?c=266318-56T","View Company Online")</f>
      </c>
    </row>
    <row r="392">
      <c r="A392" s="12" t="s">
        <v>2667</v>
      </c>
      <c r="B392" s="12" t="s">
        <v>2668</v>
      </c>
      <c r="C392" s="19" t="s">
        <v>36</v>
      </c>
      <c r="D392" s="19" t="s">
        <v>36</v>
      </c>
      <c r="E392" s="19" t="s">
        <v>36</v>
      </c>
      <c r="F392" s="19" t="s">
        <v>36</v>
      </c>
      <c r="G392" s="15" t="s">
        <v>36</v>
      </c>
      <c r="H392" s="14">
        <v>27.81</v>
      </c>
      <c r="I392" s="18">
        <v>23.73</v>
      </c>
      <c r="J392" s="12" t="s">
        <v>521</v>
      </c>
      <c r="K392" s="13" t="s">
        <v>36</v>
      </c>
      <c r="L392" s="15" t="s">
        <v>36</v>
      </c>
      <c r="M392" s="12" t="s">
        <v>36</v>
      </c>
      <c r="N392" s="12" t="s">
        <v>36</v>
      </c>
      <c r="O392" s="17" t="s">
        <v>36</v>
      </c>
      <c r="P392" s="12" t="s">
        <v>36</v>
      </c>
      <c r="Q392" s="12" t="s">
        <v>36</v>
      </c>
      <c r="R392" s="12" t="s">
        <v>36</v>
      </c>
      <c r="S392" s="12" t="s">
        <v>36</v>
      </c>
      <c r="T392" s="12" t="s">
        <v>2669</v>
      </c>
      <c r="U392" s="12" t="s">
        <v>619</v>
      </c>
      <c r="V392" s="12" t="s">
        <v>378</v>
      </c>
      <c r="W392" s="12" t="s">
        <v>2670</v>
      </c>
      <c r="X392" s="16" t="s">
        <v>87</v>
      </c>
      <c r="Y392" s="15" t="s">
        <v>42</v>
      </c>
      <c r="Z392" s="14">
        <v>1.08</v>
      </c>
      <c r="AA392" s="14">
        <v>4.54</v>
      </c>
      <c r="AB392" s="12" t="s">
        <v>56</v>
      </c>
      <c r="AC392" s="12" t="s">
        <v>2671</v>
      </c>
      <c r="AD392" s="13">
        <v>45474</v>
      </c>
      <c r="AE392" s="12" t="s">
        <v>2672</v>
      </c>
      <c r="AF392" s="12" t="s">
        <v>2673</v>
      </c>
      <c r="AG392" s="12" t="s">
        <v>2674</v>
      </c>
      <c r="AH392" s="1">
        <f>HYPERLINK("https://my.pitchbook.com?c=266275-72T","View Company Online")</f>
      </c>
    </row>
    <row r="393">
      <c r="A393" s="3" t="s">
        <v>2675</v>
      </c>
      <c r="B393" s="3" t="s">
        <v>2676</v>
      </c>
      <c r="C393" s="5" t="s">
        <v>36</v>
      </c>
      <c r="D393" s="5" t="s">
        <v>36</v>
      </c>
      <c r="E393" s="5" t="s">
        <v>36</v>
      </c>
      <c r="F393" s="5" t="s">
        <v>36</v>
      </c>
      <c r="G393" s="6" t="s">
        <v>36</v>
      </c>
      <c r="H393" s="4" t="s">
        <v>36</v>
      </c>
      <c r="I393" s="7" t="s">
        <v>36</v>
      </c>
      <c r="J393" s="3" t="s">
        <v>36</v>
      </c>
      <c r="K393" s="9" t="s">
        <v>36</v>
      </c>
      <c r="L393" s="6" t="s">
        <v>36</v>
      </c>
      <c r="M393" s="3" t="s">
        <v>36</v>
      </c>
      <c r="N393" s="3" t="s">
        <v>36</v>
      </c>
      <c r="O393" s="8" t="s">
        <v>36</v>
      </c>
      <c r="P393" s="3" t="s">
        <v>36</v>
      </c>
      <c r="Q393" s="3" t="s">
        <v>36</v>
      </c>
      <c r="R393" s="3" t="s">
        <v>36</v>
      </c>
      <c r="S393" s="3" t="s">
        <v>36</v>
      </c>
      <c r="T393" s="3" t="s">
        <v>2285</v>
      </c>
      <c r="U393" s="3" t="s">
        <v>38</v>
      </c>
      <c r="V393" s="3" t="s">
        <v>39</v>
      </c>
      <c r="W393" s="3" t="s">
        <v>2677</v>
      </c>
      <c r="X393" s="10" t="s">
        <v>2678</v>
      </c>
      <c r="Y393" s="6" t="s">
        <v>108</v>
      </c>
      <c r="Z393" s="4">
        <v>3.23</v>
      </c>
      <c r="AA393" s="4" t="s">
        <v>36</v>
      </c>
      <c r="AB393" s="3" t="s">
        <v>43</v>
      </c>
      <c r="AC393" s="3" t="s">
        <v>2679</v>
      </c>
      <c r="AD393" s="9">
        <v>45474</v>
      </c>
      <c r="AE393" s="3" t="s">
        <v>110</v>
      </c>
      <c r="AF393" s="3" t="s">
        <v>489</v>
      </c>
      <c r="AG393" s="3" t="s">
        <v>2680</v>
      </c>
      <c r="AH393" s="11">
        <f>HYPERLINK("https://my.pitchbook.com?c=271144-54T","View Company Online")</f>
      </c>
    </row>
    <row r="394">
      <c r="A394" s="12" t="s">
        <v>2681</v>
      </c>
      <c r="B394" s="12" t="s">
        <v>2682</v>
      </c>
      <c r="C394" s="19" t="s">
        <v>36</v>
      </c>
      <c r="D394" s="19" t="s">
        <v>36</v>
      </c>
      <c r="E394" s="19" t="s">
        <v>36</v>
      </c>
      <c r="F394" s="19" t="s">
        <v>36</v>
      </c>
      <c r="G394" s="15" t="s">
        <v>36</v>
      </c>
      <c r="H394" s="14" t="s">
        <v>36</v>
      </c>
      <c r="I394" s="18" t="s">
        <v>36</v>
      </c>
      <c r="J394" s="12" t="s">
        <v>36</v>
      </c>
      <c r="K394" s="13" t="s">
        <v>36</v>
      </c>
      <c r="L394" s="15" t="s">
        <v>36</v>
      </c>
      <c r="M394" s="12" t="s">
        <v>36</v>
      </c>
      <c r="N394" s="12" t="s">
        <v>36</v>
      </c>
      <c r="O394" s="17" t="s">
        <v>36</v>
      </c>
      <c r="P394" s="12" t="s">
        <v>36</v>
      </c>
      <c r="Q394" s="12" t="s">
        <v>36</v>
      </c>
      <c r="R394" s="12" t="s">
        <v>36</v>
      </c>
      <c r="S394" s="12" t="s">
        <v>36</v>
      </c>
      <c r="T394" s="12" t="s">
        <v>105</v>
      </c>
      <c r="U394" s="12" t="s">
        <v>38</v>
      </c>
      <c r="V394" s="12" t="s">
        <v>39</v>
      </c>
      <c r="W394" s="12" t="s">
        <v>2683</v>
      </c>
      <c r="X394" s="16" t="s">
        <v>221</v>
      </c>
      <c r="Y394" s="15" t="s">
        <v>42</v>
      </c>
      <c r="Z394" s="14" t="s">
        <v>36</v>
      </c>
      <c r="AA394" s="14" t="s">
        <v>36</v>
      </c>
      <c r="AB394" s="12" t="s">
        <v>43</v>
      </c>
      <c r="AC394" s="12" t="s">
        <v>2684</v>
      </c>
      <c r="AD394" s="13">
        <v>45474</v>
      </c>
      <c r="AE394" s="12" t="s">
        <v>110</v>
      </c>
      <c r="AF394" s="12" t="s">
        <v>111</v>
      </c>
      <c r="AG394" s="12" t="s">
        <v>81</v>
      </c>
      <c r="AH394" s="1">
        <f>HYPERLINK("https://my.pitchbook.com?c=266266-63T","View Company Online")</f>
      </c>
    </row>
    <row r="395">
      <c r="A395" s="3" t="s">
        <v>2685</v>
      </c>
      <c r="B395" s="3" t="s">
        <v>2686</v>
      </c>
      <c r="C395" s="5" t="s">
        <v>36</v>
      </c>
      <c r="D395" s="5" t="s">
        <v>36</v>
      </c>
      <c r="E395" s="5" t="s">
        <v>36</v>
      </c>
      <c r="F395" s="5" t="s">
        <v>36</v>
      </c>
      <c r="G395" s="6" t="s">
        <v>36</v>
      </c>
      <c r="H395" s="4" t="s">
        <v>36</v>
      </c>
      <c r="I395" s="7" t="s">
        <v>36</v>
      </c>
      <c r="J395" s="3" t="s">
        <v>36</v>
      </c>
      <c r="K395" s="9" t="s">
        <v>36</v>
      </c>
      <c r="L395" s="6" t="s">
        <v>36</v>
      </c>
      <c r="M395" s="3" t="s">
        <v>36</v>
      </c>
      <c r="N395" s="3" t="s">
        <v>36</v>
      </c>
      <c r="O395" s="8" t="s">
        <v>36</v>
      </c>
      <c r="P395" s="3" t="s">
        <v>36</v>
      </c>
      <c r="Q395" s="3" t="s">
        <v>36</v>
      </c>
      <c r="R395" s="3" t="s">
        <v>36</v>
      </c>
      <c r="S395" s="3" t="s">
        <v>36</v>
      </c>
      <c r="T395" s="3" t="s">
        <v>522</v>
      </c>
      <c r="U395" s="3" t="s">
        <v>38</v>
      </c>
      <c r="V395" s="3" t="s">
        <v>39</v>
      </c>
      <c r="W395" s="3" t="s">
        <v>2687</v>
      </c>
      <c r="X395" s="10" t="s">
        <v>2688</v>
      </c>
      <c r="Y395" s="6" t="s">
        <v>55</v>
      </c>
      <c r="Z395" s="4" t="s">
        <v>36</v>
      </c>
      <c r="AA395" s="4" t="s">
        <v>36</v>
      </c>
      <c r="AB395" s="3" t="s">
        <v>43</v>
      </c>
      <c r="AC395" s="3" t="s">
        <v>2689</v>
      </c>
      <c r="AD395" s="9">
        <v>45474</v>
      </c>
      <c r="AE395" s="3" t="s">
        <v>110</v>
      </c>
      <c r="AF395" s="3" t="s">
        <v>815</v>
      </c>
      <c r="AG395" s="3" t="s">
        <v>81</v>
      </c>
      <c r="AH395" s="11">
        <f>HYPERLINK("https://my.pitchbook.com?c=267696-91T","View Company Online")</f>
      </c>
    </row>
    <row r="396">
      <c r="A396" s="12" t="s">
        <v>2690</v>
      </c>
      <c r="B396" s="12" t="s">
        <v>2691</v>
      </c>
      <c r="C396" s="19">
        <v>1</v>
      </c>
      <c r="D396" s="19" t="s">
        <v>36</v>
      </c>
      <c r="E396" s="19">
        <v>1</v>
      </c>
      <c r="F396" s="19">
        <v>1</v>
      </c>
      <c r="G396" s="15" t="s">
        <v>36</v>
      </c>
      <c r="H396" s="14" t="s">
        <v>36</v>
      </c>
      <c r="I396" s="18" t="s">
        <v>36</v>
      </c>
      <c r="J396" s="12" t="s">
        <v>36</v>
      </c>
      <c r="K396" s="13" t="s">
        <v>36</v>
      </c>
      <c r="L396" s="15" t="s">
        <v>36</v>
      </c>
      <c r="M396" s="12" t="s">
        <v>36</v>
      </c>
      <c r="N396" s="12" t="s">
        <v>36</v>
      </c>
      <c r="O396" s="17" t="s">
        <v>36</v>
      </c>
      <c r="P396" s="12" t="s">
        <v>36</v>
      </c>
      <c r="Q396" s="12" t="s">
        <v>36</v>
      </c>
      <c r="R396" s="12" t="s">
        <v>36</v>
      </c>
      <c r="S396" s="12" t="s">
        <v>36</v>
      </c>
      <c r="T396" s="12" t="s">
        <v>2692</v>
      </c>
      <c r="U396" s="12" t="s">
        <v>74</v>
      </c>
      <c r="V396" s="12" t="s">
        <v>75</v>
      </c>
      <c r="W396" s="12" t="s">
        <v>2693</v>
      </c>
      <c r="X396" s="16" t="s">
        <v>2694</v>
      </c>
      <c r="Y396" s="15" t="s">
        <v>108</v>
      </c>
      <c r="Z396" s="14" t="s">
        <v>36</v>
      </c>
      <c r="AA396" s="14" t="s">
        <v>36</v>
      </c>
      <c r="AB396" s="12" t="s">
        <v>56</v>
      </c>
      <c r="AC396" s="12" t="s">
        <v>2695</v>
      </c>
      <c r="AD396" s="13">
        <v>45474</v>
      </c>
      <c r="AE396" s="12" t="s">
        <v>975</v>
      </c>
      <c r="AF396" s="12" t="s">
        <v>36</v>
      </c>
      <c r="AG396" s="12" t="s">
        <v>2696</v>
      </c>
      <c r="AH396" s="1">
        <f>HYPERLINK("https://my.pitchbook.com?c=266032-90T","View Company Online")</f>
      </c>
    </row>
    <row r="397">
      <c r="A397" s="3" t="s">
        <v>2697</v>
      </c>
      <c r="B397" s="3" t="s">
        <v>2698</v>
      </c>
      <c r="C397" s="5" t="s">
        <v>36</v>
      </c>
      <c r="D397" s="5" t="s">
        <v>36</v>
      </c>
      <c r="E397" s="5" t="s">
        <v>36</v>
      </c>
      <c r="F397" s="5" t="s">
        <v>36</v>
      </c>
      <c r="G397" s="6" t="s">
        <v>36</v>
      </c>
      <c r="H397" s="4" t="s">
        <v>36</v>
      </c>
      <c r="I397" s="7" t="s">
        <v>36</v>
      </c>
      <c r="J397" s="3" t="s">
        <v>36</v>
      </c>
      <c r="K397" s="9" t="s">
        <v>36</v>
      </c>
      <c r="L397" s="6" t="s">
        <v>36</v>
      </c>
      <c r="M397" s="3" t="s">
        <v>36</v>
      </c>
      <c r="N397" s="3" t="s">
        <v>36</v>
      </c>
      <c r="O397" s="8" t="s">
        <v>36</v>
      </c>
      <c r="P397" s="3" t="s">
        <v>36</v>
      </c>
      <c r="Q397" s="3" t="s">
        <v>36</v>
      </c>
      <c r="R397" s="3" t="s">
        <v>36</v>
      </c>
      <c r="S397" s="3" t="s">
        <v>2699</v>
      </c>
      <c r="T397" s="3" t="s">
        <v>2700</v>
      </c>
      <c r="U397" s="3" t="s">
        <v>619</v>
      </c>
      <c r="V397" s="3" t="s">
        <v>378</v>
      </c>
      <c r="W397" s="3" t="s">
        <v>2701</v>
      </c>
      <c r="X397" s="10" t="s">
        <v>2257</v>
      </c>
      <c r="Y397" s="6" t="s">
        <v>42</v>
      </c>
      <c r="Z397" s="4" t="s">
        <v>36</v>
      </c>
      <c r="AA397" s="4" t="s">
        <v>36</v>
      </c>
      <c r="AB397" s="3" t="s">
        <v>43</v>
      </c>
      <c r="AC397" s="3" t="s">
        <v>2702</v>
      </c>
      <c r="AD397" s="9">
        <v>45474</v>
      </c>
      <c r="AE397" s="3" t="s">
        <v>2672</v>
      </c>
      <c r="AF397" s="3" t="s">
        <v>2703</v>
      </c>
      <c r="AG397" s="3" t="s">
        <v>1078</v>
      </c>
      <c r="AH397" s="11">
        <f>HYPERLINK("https://my.pitchbook.com?c=266998-15T","View Company Online")</f>
      </c>
    </row>
    <row r="398">
      <c r="A398" s="12" t="s">
        <v>2704</v>
      </c>
      <c r="B398" s="12" t="s">
        <v>2705</v>
      </c>
      <c r="C398" s="19" t="s">
        <v>36</v>
      </c>
      <c r="D398" s="19" t="s">
        <v>36</v>
      </c>
      <c r="E398" s="19" t="s">
        <v>36</v>
      </c>
      <c r="F398" s="19" t="s">
        <v>36</v>
      </c>
      <c r="G398" s="15" t="s">
        <v>36</v>
      </c>
      <c r="H398" s="14" t="s">
        <v>36</v>
      </c>
      <c r="I398" s="18" t="s">
        <v>36</v>
      </c>
      <c r="J398" s="12" t="s">
        <v>36</v>
      </c>
      <c r="K398" s="13" t="s">
        <v>36</v>
      </c>
      <c r="L398" s="15" t="s">
        <v>36</v>
      </c>
      <c r="M398" s="12" t="s">
        <v>36</v>
      </c>
      <c r="N398" s="12" t="s">
        <v>36</v>
      </c>
      <c r="O398" s="17" t="s">
        <v>36</v>
      </c>
      <c r="P398" s="12" t="s">
        <v>36</v>
      </c>
      <c r="Q398" s="12" t="s">
        <v>36</v>
      </c>
      <c r="R398" s="12" t="s">
        <v>36</v>
      </c>
      <c r="S398" s="12" t="s">
        <v>36</v>
      </c>
      <c r="T398" s="12" t="s">
        <v>1560</v>
      </c>
      <c r="U398" s="12" t="s">
        <v>438</v>
      </c>
      <c r="V398" s="12" t="s">
        <v>405</v>
      </c>
      <c r="W398" s="12" t="s">
        <v>2706</v>
      </c>
      <c r="X398" s="16" t="s">
        <v>2707</v>
      </c>
      <c r="Y398" s="15" t="s">
        <v>42</v>
      </c>
      <c r="Z398" s="14" t="s">
        <v>36</v>
      </c>
      <c r="AA398" s="14" t="s">
        <v>36</v>
      </c>
      <c r="AB398" s="12" t="s">
        <v>56</v>
      </c>
      <c r="AC398" s="12" t="s">
        <v>2708</v>
      </c>
      <c r="AD398" s="13">
        <v>45474</v>
      </c>
      <c r="AE398" s="12" t="s">
        <v>438</v>
      </c>
      <c r="AF398" s="12" t="s">
        <v>2709</v>
      </c>
      <c r="AG398" s="12" t="s">
        <v>81</v>
      </c>
      <c r="AH398" s="1">
        <f>HYPERLINK("https://my.pitchbook.com?c=268247-80T","View Company Online")</f>
      </c>
    </row>
    <row r="399">
      <c r="A399" s="3" t="s">
        <v>2710</v>
      </c>
      <c r="B399" s="3" t="s">
        <v>2711</v>
      </c>
      <c r="C399" s="5" t="s">
        <v>36</v>
      </c>
      <c r="D399" s="5" t="s">
        <v>36</v>
      </c>
      <c r="E399" s="5" t="s">
        <v>36</v>
      </c>
      <c r="F399" s="5" t="s">
        <v>36</v>
      </c>
      <c r="G399" s="6" t="s">
        <v>326</v>
      </c>
      <c r="H399" s="4">
        <v>72.8</v>
      </c>
      <c r="I399" s="7">
        <v>13.55</v>
      </c>
      <c r="J399" s="3" t="s">
        <v>521</v>
      </c>
      <c r="K399" s="9" t="s">
        <v>36</v>
      </c>
      <c r="L399" s="6" t="s">
        <v>36</v>
      </c>
      <c r="M399" s="3" t="s">
        <v>36</v>
      </c>
      <c r="N399" s="3" t="s">
        <v>36</v>
      </c>
      <c r="O399" s="8" t="s">
        <v>36</v>
      </c>
      <c r="P399" s="3" t="s">
        <v>36</v>
      </c>
      <c r="Q399" s="3" t="s">
        <v>36</v>
      </c>
      <c r="R399" s="3" t="s">
        <v>36</v>
      </c>
      <c r="S399" s="3" t="s">
        <v>36</v>
      </c>
      <c r="T399" s="3" t="s">
        <v>1746</v>
      </c>
      <c r="U399" s="3" t="s">
        <v>74</v>
      </c>
      <c r="V399" s="3" t="s">
        <v>75</v>
      </c>
      <c r="W399" s="3" t="s">
        <v>2712</v>
      </c>
      <c r="X399" s="10" t="s">
        <v>2713</v>
      </c>
      <c r="Y399" s="6" t="s">
        <v>42</v>
      </c>
      <c r="Z399" s="4">
        <v>2.15</v>
      </c>
      <c r="AA399" s="4">
        <v>15.88</v>
      </c>
      <c r="AB399" s="3" t="s">
        <v>43</v>
      </c>
      <c r="AC399" s="3" t="s">
        <v>2714</v>
      </c>
      <c r="AD399" s="9">
        <v>45474</v>
      </c>
      <c r="AE399" s="3" t="s">
        <v>570</v>
      </c>
      <c r="AF399" s="3" t="s">
        <v>1619</v>
      </c>
      <c r="AG399" s="3" t="s">
        <v>2715</v>
      </c>
      <c r="AH399" s="11">
        <f>HYPERLINK("https://my.pitchbook.com?c=272650-06T","View Company Online")</f>
      </c>
    </row>
    <row r="400">
      <c r="A400" s="12" t="s">
        <v>2716</v>
      </c>
      <c r="B400" s="12" t="s">
        <v>2717</v>
      </c>
      <c r="C400" s="19" t="s">
        <v>36</v>
      </c>
      <c r="D400" s="19" t="s">
        <v>36</v>
      </c>
      <c r="E400" s="19" t="s">
        <v>36</v>
      </c>
      <c r="F400" s="19" t="s">
        <v>36</v>
      </c>
      <c r="G400" s="15" t="s">
        <v>36</v>
      </c>
      <c r="H400" s="14" t="s">
        <v>36</v>
      </c>
      <c r="I400" s="18" t="s">
        <v>36</v>
      </c>
      <c r="J400" s="12" t="s">
        <v>36</v>
      </c>
      <c r="K400" s="13" t="s">
        <v>36</v>
      </c>
      <c r="L400" s="15" t="s">
        <v>36</v>
      </c>
      <c r="M400" s="12" t="s">
        <v>36</v>
      </c>
      <c r="N400" s="12" t="s">
        <v>36</v>
      </c>
      <c r="O400" s="17" t="s">
        <v>36</v>
      </c>
      <c r="P400" s="12" t="s">
        <v>36</v>
      </c>
      <c r="Q400" s="12" t="s">
        <v>36</v>
      </c>
      <c r="R400" s="12" t="s">
        <v>36</v>
      </c>
      <c r="S400" s="12" t="s">
        <v>316</v>
      </c>
      <c r="T400" s="12" t="s">
        <v>768</v>
      </c>
      <c r="U400" s="12" t="s">
        <v>233</v>
      </c>
      <c r="V400" s="12" t="s">
        <v>39</v>
      </c>
      <c r="W400" s="12" t="s">
        <v>2718</v>
      </c>
      <c r="X400" s="16" t="s">
        <v>2719</v>
      </c>
      <c r="Y400" s="15" t="s">
        <v>42</v>
      </c>
      <c r="Z400" s="14" t="s">
        <v>36</v>
      </c>
      <c r="AA400" s="14" t="s">
        <v>36</v>
      </c>
      <c r="AB400" s="12" t="s">
        <v>43</v>
      </c>
      <c r="AC400" s="12" t="s">
        <v>2720</v>
      </c>
      <c r="AD400" s="13">
        <v>45474</v>
      </c>
      <c r="AE400" s="12" t="s">
        <v>236</v>
      </c>
      <c r="AF400" s="12" t="s">
        <v>36</v>
      </c>
      <c r="AG400" s="12" t="s">
        <v>1276</v>
      </c>
      <c r="AH400" s="1">
        <f>HYPERLINK("https://my.pitchbook.com?c=265903-93T","View Company Online")</f>
      </c>
    </row>
    <row r="401">
      <c r="A401" s="3" t="s">
        <v>2721</v>
      </c>
      <c r="B401" s="3" t="s">
        <v>2722</v>
      </c>
      <c r="C401" s="5" t="s">
        <v>36</v>
      </c>
      <c r="D401" s="5" t="s">
        <v>36</v>
      </c>
      <c r="E401" s="5" t="s">
        <v>36</v>
      </c>
      <c r="F401" s="5" t="s">
        <v>36</v>
      </c>
      <c r="G401" s="6" t="s">
        <v>36</v>
      </c>
      <c r="H401" s="4" t="s">
        <v>36</v>
      </c>
      <c r="I401" s="7" t="s">
        <v>36</v>
      </c>
      <c r="J401" s="3" t="s">
        <v>36</v>
      </c>
      <c r="K401" s="9" t="s">
        <v>36</v>
      </c>
      <c r="L401" s="6" t="s">
        <v>36</v>
      </c>
      <c r="M401" s="3" t="s">
        <v>36</v>
      </c>
      <c r="N401" s="3" t="s">
        <v>36</v>
      </c>
      <c r="O401" s="8" t="s">
        <v>36</v>
      </c>
      <c r="P401" s="3" t="s">
        <v>36</v>
      </c>
      <c r="Q401" s="3" t="s">
        <v>36</v>
      </c>
      <c r="R401" s="3" t="s">
        <v>36</v>
      </c>
      <c r="S401" s="3" t="s">
        <v>36</v>
      </c>
      <c r="T401" s="3" t="s">
        <v>123</v>
      </c>
      <c r="U401" s="3" t="s">
        <v>38</v>
      </c>
      <c r="V401" s="3" t="s">
        <v>39</v>
      </c>
      <c r="W401" s="3" t="s">
        <v>2723</v>
      </c>
      <c r="X401" s="10" t="s">
        <v>221</v>
      </c>
      <c r="Y401" s="6" t="s">
        <v>42</v>
      </c>
      <c r="Z401" s="4" t="s">
        <v>36</v>
      </c>
      <c r="AA401" s="4" t="s">
        <v>36</v>
      </c>
      <c r="AB401" s="3" t="s">
        <v>43</v>
      </c>
      <c r="AC401" s="3" t="s">
        <v>2724</v>
      </c>
      <c r="AD401" s="9">
        <v>45474</v>
      </c>
      <c r="AE401" s="3" t="s">
        <v>110</v>
      </c>
      <c r="AF401" s="3" t="s">
        <v>111</v>
      </c>
      <c r="AG401" s="3" t="s">
        <v>81</v>
      </c>
      <c r="AH401" s="11">
        <f>HYPERLINK("https://my.pitchbook.com?c=266270-23T","View Company Online")</f>
      </c>
    </row>
    <row r="402">
      <c r="A402" s="12" t="s">
        <v>2725</v>
      </c>
      <c r="B402" s="12" t="s">
        <v>2726</v>
      </c>
      <c r="C402" s="19" t="s">
        <v>36</v>
      </c>
      <c r="D402" s="19" t="s">
        <v>36</v>
      </c>
      <c r="E402" s="19" t="s">
        <v>36</v>
      </c>
      <c r="F402" s="19" t="s">
        <v>36</v>
      </c>
      <c r="G402" s="15" t="s">
        <v>36</v>
      </c>
      <c r="H402" s="14" t="s">
        <v>36</v>
      </c>
      <c r="I402" s="18" t="s">
        <v>36</v>
      </c>
      <c r="J402" s="12" t="s">
        <v>36</v>
      </c>
      <c r="K402" s="13" t="s">
        <v>36</v>
      </c>
      <c r="L402" s="15" t="s">
        <v>36</v>
      </c>
      <c r="M402" s="12" t="s">
        <v>36</v>
      </c>
      <c r="N402" s="12" t="s">
        <v>36</v>
      </c>
      <c r="O402" s="17" t="s">
        <v>36</v>
      </c>
      <c r="P402" s="12" t="s">
        <v>36</v>
      </c>
      <c r="Q402" s="12" t="s">
        <v>36</v>
      </c>
      <c r="R402" s="12" t="s">
        <v>36</v>
      </c>
      <c r="S402" s="12" t="s">
        <v>36</v>
      </c>
      <c r="T402" s="12" t="s">
        <v>550</v>
      </c>
      <c r="U402" s="12" t="s">
        <v>38</v>
      </c>
      <c r="V402" s="12" t="s">
        <v>39</v>
      </c>
      <c r="W402" s="12" t="s">
        <v>2727</v>
      </c>
      <c r="X402" s="16" t="s">
        <v>221</v>
      </c>
      <c r="Y402" s="15" t="s">
        <v>42</v>
      </c>
      <c r="Z402" s="14" t="s">
        <v>36</v>
      </c>
      <c r="AA402" s="14" t="s">
        <v>36</v>
      </c>
      <c r="AB402" s="12" t="s">
        <v>43</v>
      </c>
      <c r="AC402" s="12" t="s">
        <v>2728</v>
      </c>
      <c r="AD402" s="13">
        <v>45474</v>
      </c>
      <c r="AE402" s="12" t="s">
        <v>554</v>
      </c>
      <c r="AF402" s="12" t="s">
        <v>36</v>
      </c>
      <c r="AG402" s="12" t="s">
        <v>81</v>
      </c>
      <c r="AH402" s="1">
        <f>HYPERLINK("https://my.pitchbook.com?c=266278-33T","View Company Online")</f>
      </c>
    </row>
    <row r="403">
      <c r="A403" s="3" t="s">
        <v>2729</v>
      </c>
      <c r="B403" s="3" t="s">
        <v>2730</v>
      </c>
      <c r="C403" s="5">
        <v>3</v>
      </c>
      <c r="D403" s="5">
        <v>2</v>
      </c>
      <c r="E403" s="5">
        <v>1</v>
      </c>
      <c r="F403" s="5">
        <v>5</v>
      </c>
      <c r="G403" s="6" t="s">
        <v>36</v>
      </c>
      <c r="H403" s="4" t="s">
        <v>36</v>
      </c>
      <c r="I403" s="7" t="s">
        <v>36</v>
      </c>
      <c r="J403" s="3" t="s">
        <v>36</v>
      </c>
      <c r="K403" s="9" t="s">
        <v>36</v>
      </c>
      <c r="L403" s="6" t="s">
        <v>122</v>
      </c>
      <c r="M403" s="3" t="s">
        <v>36</v>
      </c>
      <c r="N403" s="3" t="s">
        <v>122</v>
      </c>
      <c r="O403" s="8" t="s">
        <v>36</v>
      </c>
      <c r="P403" s="3" t="s">
        <v>36</v>
      </c>
      <c r="Q403" s="3" t="s">
        <v>36</v>
      </c>
      <c r="R403" s="3" t="s">
        <v>36</v>
      </c>
      <c r="S403" s="3" t="s">
        <v>36</v>
      </c>
      <c r="T403" s="3" t="s">
        <v>2731</v>
      </c>
      <c r="U403" s="3" t="s">
        <v>833</v>
      </c>
      <c r="V403" s="3" t="s">
        <v>64</v>
      </c>
      <c r="W403" s="3" t="s">
        <v>2732</v>
      </c>
      <c r="X403" s="10" t="s">
        <v>1840</v>
      </c>
      <c r="Y403" s="6" t="s">
        <v>108</v>
      </c>
      <c r="Z403" s="4">
        <v>16.16</v>
      </c>
      <c r="AA403" s="4" t="s">
        <v>36</v>
      </c>
      <c r="AB403" s="3" t="s">
        <v>56</v>
      </c>
      <c r="AC403" s="3" t="s">
        <v>2733</v>
      </c>
      <c r="AD403" s="9">
        <v>45471</v>
      </c>
      <c r="AE403" s="3" t="s">
        <v>1769</v>
      </c>
      <c r="AF403" s="3" t="s">
        <v>885</v>
      </c>
      <c r="AG403" s="3" t="s">
        <v>2370</v>
      </c>
      <c r="AH403" s="11">
        <f>HYPERLINK("https://my.pitchbook.com?c=265502-89T","View Company Online")</f>
      </c>
    </row>
    <row r="404">
      <c r="A404" s="12" t="s">
        <v>2734</v>
      </c>
      <c r="B404" s="12" t="s">
        <v>2735</v>
      </c>
      <c r="C404" s="19" t="s">
        <v>36</v>
      </c>
      <c r="D404" s="19" t="s">
        <v>36</v>
      </c>
      <c r="E404" s="19" t="s">
        <v>36</v>
      </c>
      <c r="F404" s="19" t="s">
        <v>36</v>
      </c>
      <c r="G404" s="15" t="s">
        <v>36</v>
      </c>
      <c r="H404" s="14" t="s">
        <v>36</v>
      </c>
      <c r="I404" s="18" t="s">
        <v>36</v>
      </c>
      <c r="J404" s="12" t="s">
        <v>36</v>
      </c>
      <c r="K404" s="13" t="s">
        <v>36</v>
      </c>
      <c r="L404" s="15" t="s">
        <v>36</v>
      </c>
      <c r="M404" s="12" t="s">
        <v>36</v>
      </c>
      <c r="N404" s="12" t="s">
        <v>36</v>
      </c>
      <c r="O404" s="17" t="s">
        <v>36</v>
      </c>
      <c r="P404" s="12" t="s">
        <v>36</v>
      </c>
      <c r="Q404" s="12" t="s">
        <v>36</v>
      </c>
      <c r="R404" s="12" t="s">
        <v>36</v>
      </c>
      <c r="S404" s="12" t="s">
        <v>36</v>
      </c>
      <c r="T404" s="12" t="s">
        <v>2736</v>
      </c>
      <c r="U404" s="12" t="s">
        <v>51</v>
      </c>
      <c r="V404" s="12" t="s">
        <v>52</v>
      </c>
      <c r="W404" s="12" t="s">
        <v>2737</v>
      </c>
      <c r="X404" s="16" t="s">
        <v>2738</v>
      </c>
      <c r="Y404" s="15" t="s">
        <v>42</v>
      </c>
      <c r="Z404" s="14">
        <v>1.08</v>
      </c>
      <c r="AA404" s="14" t="s">
        <v>36</v>
      </c>
      <c r="AB404" s="12" t="s">
        <v>43</v>
      </c>
      <c r="AC404" s="12" t="s">
        <v>2739</v>
      </c>
      <c r="AD404" s="13">
        <v>45471</v>
      </c>
      <c r="AE404" s="12" t="s">
        <v>2740</v>
      </c>
      <c r="AF404" s="12" t="s">
        <v>275</v>
      </c>
      <c r="AG404" s="12" t="s">
        <v>1353</v>
      </c>
      <c r="AH404" s="1">
        <f>HYPERLINK("https://my.pitchbook.com?c=265617-28T","View Company Online")</f>
      </c>
    </row>
    <row r="405">
      <c r="A405" s="3" t="s">
        <v>2741</v>
      </c>
      <c r="B405" s="3" t="s">
        <v>2742</v>
      </c>
      <c r="C405" s="5" t="s">
        <v>36</v>
      </c>
      <c r="D405" s="5" t="s">
        <v>36</v>
      </c>
      <c r="E405" s="5" t="s">
        <v>36</v>
      </c>
      <c r="F405" s="5" t="s">
        <v>36</v>
      </c>
      <c r="G405" s="6" t="s">
        <v>36</v>
      </c>
      <c r="H405" s="4" t="s">
        <v>36</v>
      </c>
      <c r="I405" s="7" t="s">
        <v>36</v>
      </c>
      <c r="J405" s="3" t="s">
        <v>36</v>
      </c>
      <c r="K405" s="9" t="s">
        <v>36</v>
      </c>
      <c r="L405" s="6" t="s">
        <v>122</v>
      </c>
      <c r="M405" s="3" t="s">
        <v>36</v>
      </c>
      <c r="N405" s="3" t="s">
        <v>122</v>
      </c>
      <c r="O405" s="8" t="s">
        <v>36</v>
      </c>
      <c r="P405" s="3" t="s">
        <v>36</v>
      </c>
      <c r="Q405" s="3" t="s">
        <v>36</v>
      </c>
      <c r="R405" s="3" t="s">
        <v>36</v>
      </c>
      <c r="S405" s="3" t="s">
        <v>2743</v>
      </c>
      <c r="T405" s="3" t="s">
        <v>105</v>
      </c>
      <c r="U405" s="3" t="s">
        <v>38</v>
      </c>
      <c r="V405" s="3" t="s">
        <v>39</v>
      </c>
      <c r="W405" s="3" t="s">
        <v>2744</v>
      </c>
      <c r="X405" s="10" t="s">
        <v>2745</v>
      </c>
      <c r="Y405" s="6" t="s">
        <v>108</v>
      </c>
      <c r="Z405" s="4">
        <v>16</v>
      </c>
      <c r="AA405" s="4" t="s">
        <v>36</v>
      </c>
      <c r="AB405" s="3" t="s">
        <v>43</v>
      </c>
      <c r="AC405" s="3" t="s">
        <v>2746</v>
      </c>
      <c r="AD405" s="9">
        <v>45470</v>
      </c>
      <c r="AE405" s="3" t="s">
        <v>110</v>
      </c>
      <c r="AF405" s="3" t="s">
        <v>176</v>
      </c>
      <c r="AG405" s="3" t="s">
        <v>81</v>
      </c>
      <c r="AH405" s="11">
        <f>HYPERLINK("https://my.pitchbook.com?c=265293-73T","View Company Online")</f>
      </c>
    </row>
    <row r="406">
      <c r="A406" s="12" t="s">
        <v>2747</v>
      </c>
      <c r="B406" s="12" t="s">
        <v>2748</v>
      </c>
      <c r="C406" s="19" t="s">
        <v>36</v>
      </c>
      <c r="D406" s="19" t="s">
        <v>36</v>
      </c>
      <c r="E406" s="19" t="s">
        <v>36</v>
      </c>
      <c r="F406" s="19" t="s">
        <v>36</v>
      </c>
      <c r="G406" s="15" t="s">
        <v>36</v>
      </c>
      <c r="H406" s="14" t="s">
        <v>36</v>
      </c>
      <c r="I406" s="18" t="s">
        <v>36</v>
      </c>
      <c r="J406" s="12" t="s">
        <v>36</v>
      </c>
      <c r="K406" s="13" t="s">
        <v>36</v>
      </c>
      <c r="L406" s="15" t="s">
        <v>36</v>
      </c>
      <c r="M406" s="12" t="s">
        <v>36</v>
      </c>
      <c r="N406" s="12" t="s">
        <v>36</v>
      </c>
      <c r="O406" s="17" t="s">
        <v>36</v>
      </c>
      <c r="P406" s="12" t="s">
        <v>36</v>
      </c>
      <c r="Q406" s="12" t="s">
        <v>36</v>
      </c>
      <c r="R406" s="12" t="s">
        <v>36</v>
      </c>
      <c r="S406" s="12" t="s">
        <v>36</v>
      </c>
      <c r="T406" s="12" t="s">
        <v>529</v>
      </c>
      <c r="U406" s="12" t="s">
        <v>38</v>
      </c>
      <c r="V406" s="12" t="s">
        <v>39</v>
      </c>
      <c r="W406" s="12" t="s">
        <v>2749</v>
      </c>
      <c r="X406" s="16" t="s">
        <v>2750</v>
      </c>
      <c r="Y406" s="15" t="s">
        <v>108</v>
      </c>
      <c r="Z406" s="14">
        <v>3.56</v>
      </c>
      <c r="AA406" s="14" t="s">
        <v>36</v>
      </c>
      <c r="AB406" s="12" t="s">
        <v>43</v>
      </c>
      <c r="AC406" s="12" t="s">
        <v>2751</v>
      </c>
      <c r="AD406" s="13">
        <v>45469</v>
      </c>
      <c r="AE406" s="12" t="s">
        <v>134</v>
      </c>
      <c r="AF406" s="12" t="s">
        <v>2752</v>
      </c>
      <c r="AG406" s="12" t="s">
        <v>81</v>
      </c>
      <c r="AH406" s="1">
        <f>HYPERLINK("https://my.pitchbook.com?c=275119-39T","View Company Online")</f>
      </c>
    </row>
    <row r="407">
      <c r="A407" s="3" t="s">
        <v>2753</v>
      </c>
      <c r="B407" s="3" t="s">
        <v>2754</v>
      </c>
      <c r="C407" s="5" t="s">
        <v>36</v>
      </c>
      <c r="D407" s="5" t="s">
        <v>36</v>
      </c>
      <c r="E407" s="5" t="s">
        <v>36</v>
      </c>
      <c r="F407" s="5" t="s">
        <v>36</v>
      </c>
      <c r="G407" s="6" t="s">
        <v>36</v>
      </c>
      <c r="H407" s="4" t="s">
        <v>36</v>
      </c>
      <c r="I407" s="7" t="s">
        <v>36</v>
      </c>
      <c r="J407" s="3" t="s">
        <v>36</v>
      </c>
      <c r="K407" s="9" t="s">
        <v>36</v>
      </c>
      <c r="L407" s="6" t="s">
        <v>36</v>
      </c>
      <c r="M407" s="3" t="s">
        <v>36</v>
      </c>
      <c r="N407" s="3" t="s">
        <v>36</v>
      </c>
      <c r="O407" s="8" t="s">
        <v>36</v>
      </c>
      <c r="P407" s="3" t="s">
        <v>36</v>
      </c>
      <c r="Q407" s="3" t="s">
        <v>36</v>
      </c>
      <c r="R407" s="3" t="s">
        <v>36</v>
      </c>
      <c r="S407" s="3" t="s">
        <v>36</v>
      </c>
      <c r="T407" s="3" t="s">
        <v>2755</v>
      </c>
      <c r="U407" s="3" t="s">
        <v>38</v>
      </c>
      <c r="V407" s="3" t="s">
        <v>39</v>
      </c>
      <c r="W407" s="3" t="s">
        <v>2756</v>
      </c>
      <c r="X407" s="10" t="s">
        <v>2757</v>
      </c>
      <c r="Y407" s="6" t="s">
        <v>42</v>
      </c>
      <c r="Z407" s="4">
        <v>1.08</v>
      </c>
      <c r="AA407" s="4" t="s">
        <v>36</v>
      </c>
      <c r="AB407" s="3" t="s">
        <v>43</v>
      </c>
      <c r="AC407" s="3" t="s">
        <v>2758</v>
      </c>
      <c r="AD407" s="9">
        <v>45468</v>
      </c>
      <c r="AE407" s="3" t="s">
        <v>688</v>
      </c>
      <c r="AF407" s="3" t="s">
        <v>2759</v>
      </c>
      <c r="AG407" s="3" t="s">
        <v>2760</v>
      </c>
      <c r="AH407" s="11">
        <f>HYPERLINK("https://my.pitchbook.com?c=264949-30T","View Company Online")</f>
      </c>
    </row>
    <row r="408">
      <c r="A408" s="12" t="s">
        <v>2761</v>
      </c>
      <c r="B408" s="12" t="s">
        <v>2762</v>
      </c>
      <c r="C408" s="19" t="s">
        <v>36</v>
      </c>
      <c r="D408" s="19" t="s">
        <v>36</v>
      </c>
      <c r="E408" s="19" t="s">
        <v>36</v>
      </c>
      <c r="F408" s="19" t="s">
        <v>36</v>
      </c>
      <c r="G408" s="15" t="s">
        <v>36</v>
      </c>
      <c r="H408" s="14" t="s">
        <v>36</v>
      </c>
      <c r="I408" s="18" t="s">
        <v>36</v>
      </c>
      <c r="J408" s="12" t="s">
        <v>36</v>
      </c>
      <c r="K408" s="13" t="s">
        <v>36</v>
      </c>
      <c r="L408" s="15" t="s">
        <v>36</v>
      </c>
      <c r="M408" s="12" t="s">
        <v>36</v>
      </c>
      <c r="N408" s="12" t="s">
        <v>36</v>
      </c>
      <c r="O408" s="17" t="s">
        <v>36</v>
      </c>
      <c r="P408" s="12" t="s">
        <v>36</v>
      </c>
      <c r="Q408" s="12" t="s">
        <v>36</v>
      </c>
      <c r="R408" s="12" t="s">
        <v>36</v>
      </c>
      <c r="S408" s="12" t="s">
        <v>453</v>
      </c>
      <c r="T408" s="12" t="s">
        <v>2763</v>
      </c>
      <c r="U408" s="12" t="s">
        <v>455</v>
      </c>
      <c r="V408" s="12" t="s">
        <v>367</v>
      </c>
      <c r="W408" s="12" t="s">
        <v>2764</v>
      </c>
      <c r="X408" s="16" t="s">
        <v>2765</v>
      </c>
      <c r="Y408" s="15" t="s">
        <v>55</v>
      </c>
      <c r="Z408" s="14">
        <v>32.36</v>
      </c>
      <c r="AA408" s="14" t="s">
        <v>36</v>
      </c>
      <c r="AB408" s="12" t="s">
        <v>56</v>
      </c>
      <c r="AC408" s="12" t="s">
        <v>2766</v>
      </c>
      <c r="AD408" s="13">
        <v>45468</v>
      </c>
      <c r="AE408" s="12" t="s">
        <v>459</v>
      </c>
      <c r="AF408" s="12" t="s">
        <v>2767</v>
      </c>
      <c r="AG408" s="12" t="s">
        <v>102</v>
      </c>
      <c r="AH408" s="1">
        <f>HYPERLINK("https://my.pitchbook.com?c=264926-44T","View Company Online")</f>
      </c>
    </row>
    <row r="409">
      <c r="A409" s="3" t="s">
        <v>2768</v>
      </c>
      <c r="B409" s="3" t="s">
        <v>2769</v>
      </c>
      <c r="C409" s="5" t="s">
        <v>36</v>
      </c>
      <c r="D409" s="5" t="s">
        <v>36</v>
      </c>
      <c r="E409" s="5" t="s">
        <v>36</v>
      </c>
      <c r="F409" s="5" t="s">
        <v>36</v>
      </c>
      <c r="G409" s="6" t="s">
        <v>36</v>
      </c>
      <c r="H409" s="4" t="s">
        <v>36</v>
      </c>
      <c r="I409" s="7">
        <v>15.88</v>
      </c>
      <c r="J409" s="3" t="s">
        <v>327</v>
      </c>
      <c r="K409" s="9" t="s">
        <v>36</v>
      </c>
      <c r="L409" s="6" t="s">
        <v>36</v>
      </c>
      <c r="M409" s="3" t="s">
        <v>36</v>
      </c>
      <c r="N409" s="3" t="s">
        <v>36</v>
      </c>
      <c r="O409" s="8" t="s">
        <v>36</v>
      </c>
      <c r="P409" s="3" t="s">
        <v>36</v>
      </c>
      <c r="Q409" s="3" t="s">
        <v>36</v>
      </c>
      <c r="R409" s="3" t="s">
        <v>36</v>
      </c>
      <c r="S409" s="3" t="s">
        <v>36</v>
      </c>
      <c r="T409" s="3" t="s">
        <v>1701</v>
      </c>
      <c r="U409" s="3" t="s">
        <v>74</v>
      </c>
      <c r="V409" s="3" t="s">
        <v>75</v>
      </c>
      <c r="W409" s="3" t="s">
        <v>2770</v>
      </c>
      <c r="X409" s="10" t="s">
        <v>2771</v>
      </c>
      <c r="Y409" s="6" t="s">
        <v>42</v>
      </c>
      <c r="Z409" s="4">
        <v>3.24</v>
      </c>
      <c r="AA409" s="4">
        <v>20.38</v>
      </c>
      <c r="AB409" s="3" t="s">
        <v>43</v>
      </c>
      <c r="AC409" s="3" t="s">
        <v>2772</v>
      </c>
      <c r="AD409" s="9">
        <v>45468</v>
      </c>
      <c r="AE409" s="3" t="s">
        <v>79</v>
      </c>
      <c r="AF409" s="3" t="s">
        <v>80</v>
      </c>
      <c r="AG409" s="3" t="s">
        <v>81</v>
      </c>
      <c r="AH409" s="11">
        <f>HYPERLINK("https://my.pitchbook.com?c=264951-64T","View Company Online")</f>
      </c>
    </row>
    <row r="410">
      <c r="A410" s="12" t="s">
        <v>2773</v>
      </c>
      <c r="B410" s="12" t="s">
        <v>2774</v>
      </c>
      <c r="C410" s="19" t="s">
        <v>36</v>
      </c>
      <c r="D410" s="19" t="s">
        <v>36</v>
      </c>
      <c r="E410" s="19" t="s">
        <v>36</v>
      </c>
      <c r="F410" s="19" t="s">
        <v>36</v>
      </c>
      <c r="G410" s="15" t="s">
        <v>326</v>
      </c>
      <c r="H410" s="14">
        <v>456.69</v>
      </c>
      <c r="I410" s="18">
        <v>48.61</v>
      </c>
      <c r="J410" s="12" t="s">
        <v>521</v>
      </c>
      <c r="K410" s="13" t="s">
        <v>36</v>
      </c>
      <c r="L410" s="15" t="s">
        <v>36</v>
      </c>
      <c r="M410" s="12" t="s">
        <v>36</v>
      </c>
      <c r="N410" s="12" t="s">
        <v>36</v>
      </c>
      <c r="O410" s="17" t="s">
        <v>36</v>
      </c>
      <c r="P410" s="12" t="s">
        <v>36</v>
      </c>
      <c r="Q410" s="12" t="s">
        <v>36</v>
      </c>
      <c r="R410" s="12" t="s">
        <v>36</v>
      </c>
      <c r="S410" s="12" t="s">
        <v>36</v>
      </c>
      <c r="T410" s="12" t="s">
        <v>522</v>
      </c>
      <c r="U410" s="12" t="s">
        <v>38</v>
      </c>
      <c r="V410" s="12" t="s">
        <v>39</v>
      </c>
      <c r="W410" s="12" t="s">
        <v>2775</v>
      </c>
      <c r="X410" s="16" t="s">
        <v>2776</v>
      </c>
      <c r="Y410" s="15" t="s">
        <v>166</v>
      </c>
      <c r="Z410" s="14">
        <v>1.95</v>
      </c>
      <c r="AA410" s="14">
        <v>4.02</v>
      </c>
      <c r="AB410" s="12" t="s">
        <v>56</v>
      </c>
      <c r="AC410" s="12" t="s">
        <v>2777</v>
      </c>
      <c r="AD410" s="13">
        <v>45467</v>
      </c>
      <c r="AE410" s="12" t="s">
        <v>110</v>
      </c>
      <c r="AF410" s="12" t="s">
        <v>2778</v>
      </c>
      <c r="AG410" s="12" t="s">
        <v>81</v>
      </c>
      <c r="AH410" s="1">
        <f>HYPERLINK("https://my.pitchbook.com?c=221238-55T","View Company Online")</f>
      </c>
    </row>
    <row r="411">
      <c r="A411" s="3" t="s">
        <v>2779</v>
      </c>
      <c r="B411" s="3" t="s">
        <v>2780</v>
      </c>
      <c r="C411" s="5" t="s">
        <v>36</v>
      </c>
      <c r="D411" s="5" t="s">
        <v>36</v>
      </c>
      <c r="E411" s="5" t="s">
        <v>36</v>
      </c>
      <c r="F411" s="5" t="s">
        <v>36</v>
      </c>
      <c r="G411" s="6" t="s">
        <v>36</v>
      </c>
      <c r="H411" s="4" t="s">
        <v>36</v>
      </c>
      <c r="I411" s="7" t="s">
        <v>36</v>
      </c>
      <c r="J411" s="3" t="s">
        <v>36</v>
      </c>
      <c r="K411" s="9" t="s">
        <v>36</v>
      </c>
      <c r="L411" s="6" t="s">
        <v>36</v>
      </c>
      <c r="M411" s="3" t="s">
        <v>36</v>
      </c>
      <c r="N411" s="3" t="s">
        <v>36</v>
      </c>
      <c r="O411" s="8" t="s">
        <v>36</v>
      </c>
      <c r="P411" s="3" t="s">
        <v>36</v>
      </c>
      <c r="Q411" s="3" t="s">
        <v>36</v>
      </c>
      <c r="R411" s="3" t="s">
        <v>36</v>
      </c>
      <c r="S411" s="3" t="s">
        <v>36</v>
      </c>
      <c r="T411" s="3" t="s">
        <v>2781</v>
      </c>
      <c r="U411" s="3" t="s">
        <v>1580</v>
      </c>
      <c r="V411" s="3" t="s">
        <v>39</v>
      </c>
      <c r="W411" s="3" t="s">
        <v>2782</v>
      </c>
      <c r="X411" s="10" t="s">
        <v>2783</v>
      </c>
      <c r="Y411" s="6" t="s">
        <v>108</v>
      </c>
      <c r="Z411" s="4">
        <v>3.1</v>
      </c>
      <c r="AA411" s="4" t="s">
        <v>36</v>
      </c>
      <c r="AB411" s="3" t="s">
        <v>43</v>
      </c>
      <c r="AC411" s="3" t="s">
        <v>2784</v>
      </c>
      <c r="AD411" s="9">
        <v>45467</v>
      </c>
      <c r="AE411" s="3" t="s">
        <v>2785</v>
      </c>
      <c r="AF411" s="3" t="s">
        <v>2132</v>
      </c>
      <c r="AG411" s="3" t="s">
        <v>81</v>
      </c>
      <c r="AH411" s="11">
        <f>HYPERLINK("https://my.pitchbook.com?c=250476-13T","View Company Online")</f>
      </c>
    </row>
    <row r="412">
      <c r="A412" s="12" t="s">
        <v>2786</v>
      </c>
      <c r="B412" s="12" t="s">
        <v>2787</v>
      </c>
      <c r="C412" s="19" t="s">
        <v>36</v>
      </c>
      <c r="D412" s="19" t="s">
        <v>36</v>
      </c>
      <c r="E412" s="19" t="s">
        <v>36</v>
      </c>
      <c r="F412" s="19" t="s">
        <v>36</v>
      </c>
      <c r="G412" s="15" t="s">
        <v>36</v>
      </c>
      <c r="H412" s="14" t="s">
        <v>36</v>
      </c>
      <c r="I412" s="18" t="s">
        <v>36</v>
      </c>
      <c r="J412" s="12" t="s">
        <v>36</v>
      </c>
      <c r="K412" s="13" t="s">
        <v>36</v>
      </c>
      <c r="L412" s="15" t="s">
        <v>36</v>
      </c>
      <c r="M412" s="12" t="s">
        <v>36</v>
      </c>
      <c r="N412" s="12" t="s">
        <v>36</v>
      </c>
      <c r="O412" s="17" t="s">
        <v>36</v>
      </c>
      <c r="P412" s="12" t="s">
        <v>36</v>
      </c>
      <c r="Q412" s="12" t="s">
        <v>36</v>
      </c>
      <c r="R412" s="12" t="s">
        <v>36</v>
      </c>
      <c r="S412" s="12" t="s">
        <v>36</v>
      </c>
      <c r="T412" s="12" t="s">
        <v>522</v>
      </c>
      <c r="U412" s="12" t="s">
        <v>38</v>
      </c>
      <c r="V412" s="12" t="s">
        <v>39</v>
      </c>
      <c r="W412" s="12" t="s">
        <v>2788</v>
      </c>
      <c r="X412" s="16" t="s">
        <v>2789</v>
      </c>
      <c r="Y412" s="15" t="s">
        <v>42</v>
      </c>
      <c r="Z412" s="14">
        <v>3.24</v>
      </c>
      <c r="AA412" s="14" t="s">
        <v>36</v>
      </c>
      <c r="AB412" s="12" t="s">
        <v>43</v>
      </c>
      <c r="AC412" s="12" t="s">
        <v>2790</v>
      </c>
      <c r="AD412" s="13">
        <v>45467</v>
      </c>
      <c r="AE412" s="12" t="s">
        <v>110</v>
      </c>
      <c r="AF412" s="12" t="s">
        <v>176</v>
      </c>
      <c r="AG412" s="12" t="s">
        <v>81</v>
      </c>
      <c r="AH412" s="1">
        <f>HYPERLINK("https://my.pitchbook.com?c=264877-48T","View Company Online")</f>
      </c>
    </row>
    <row r="413">
      <c r="A413" s="3" t="s">
        <v>2791</v>
      </c>
      <c r="B413" s="3" t="s">
        <v>2792</v>
      </c>
      <c r="C413" s="5" t="s">
        <v>36</v>
      </c>
      <c r="D413" s="5" t="s">
        <v>36</v>
      </c>
      <c r="E413" s="5" t="s">
        <v>36</v>
      </c>
      <c r="F413" s="5" t="s">
        <v>36</v>
      </c>
      <c r="G413" s="6" t="s">
        <v>36</v>
      </c>
      <c r="H413" s="4" t="s">
        <v>36</v>
      </c>
      <c r="I413" s="7">
        <v>18.44</v>
      </c>
      <c r="J413" s="3" t="s">
        <v>327</v>
      </c>
      <c r="K413" s="9" t="s">
        <v>36</v>
      </c>
      <c r="L413" s="6" t="s">
        <v>36</v>
      </c>
      <c r="M413" s="3" t="s">
        <v>36</v>
      </c>
      <c r="N413" s="3" t="s">
        <v>36</v>
      </c>
      <c r="O413" s="8" t="s">
        <v>36</v>
      </c>
      <c r="P413" s="3" t="s">
        <v>36</v>
      </c>
      <c r="Q413" s="3" t="s">
        <v>36</v>
      </c>
      <c r="R413" s="3" t="s">
        <v>36</v>
      </c>
      <c r="S413" s="3" t="s">
        <v>36</v>
      </c>
      <c r="T413" s="3" t="s">
        <v>2793</v>
      </c>
      <c r="U413" s="3" t="s">
        <v>74</v>
      </c>
      <c r="V413" s="3" t="s">
        <v>75</v>
      </c>
      <c r="W413" s="3" t="s">
        <v>2794</v>
      </c>
      <c r="X413" s="10" t="s">
        <v>2795</v>
      </c>
      <c r="Y413" s="6" t="s">
        <v>108</v>
      </c>
      <c r="Z413" s="4">
        <v>0.3</v>
      </c>
      <c r="AA413" s="4">
        <v>1.64</v>
      </c>
      <c r="AB413" s="3" t="s">
        <v>43</v>
      </c>
      <c r="AC413" s="3" t="s">
        <v>2796</v>
      </c>
      <c r="AD413" s="9">
        <v>45466</v>
      </c>
      <c r="AE413" s="3" t="s">
        <v>570</v>
      </c>
      <c r="AF413" s="3" t="s">
        <v>372</v>
      </c>
      <c r="AG413" s="3" t="s">
        <v>81</v>
      </c>
      <c r="AH413" s="11">
        <f>HYPERLINK("https://my.pitchbook.com?c=258147-64T","View Company Online")</f>
      </c>
    </row>
    <row r="414">
      <c r="A414" s="12" t="s">
        <v>2797</v>
      </c>
      <c r="B414" s="12" t="s">
        <v>2798</v>
      </c>
      <c r="C414" s="19">
        <v>1</v>
      </c>
      <c r="D414" s="19">
        <v>4</v>
      </c>
      <c r="E414" s="19">
        <v>2</v>
      </c>
      <c r="F414" s="19">
        <v>5</v>
      </c>
      <c r="G414" s="15" t="s">
        <v>36</v>
      </c>
      <c r="H414" s="14">
        <v>696.46</v>
      </c>
      <c r="I414" s="18">
        <v>15.41</v>
      </c>
      <c r="J414" s="12" t="s">
        <v>521</v>
      </c>
      <c r="K414" s="13" t="s">
        <v>36</v>
      </c>
      <c r="L414" s="15" t="s">
        <v>36</v>
      </c>
      <c r="M414" s="12" t="s">
        <v>36</v>
      </c>
      <c r="N414" s="12" t="s">
        <v>36</v>
      </c>
      <c r="O414" s="17" t="s">
        <v>36</v>
      </c>
      <c r="P414" s="12" t="s">
        <v>36</v>
      </c>
      <c r="Q414" s="12" t="s">
        <v>36</v>
      </c>
      <c r="R414" s="12" t="s">
        <v>36</v>
      </c>
      <c r="S414" s="12" t="s">
        <v>36</v>
      </c>
      <c r="T414" s="12" t="s">
        <v>2799</v>
      </c>
      <c r="U414" s="12" t="s">
        <v>366</v>
      </c>
      <c r="V414" s="12" t="s">
        <v>367</v>
      </c>
      <c r="W414" s="12" t="s">
        <v>2800</v>
      </c>
      <c r="X414" s="16" t="s">
        <v>2801</v>
      </c>
      <c r="Y414" s="15" t="s">
        <v>55</v>
      </c>
      <c r="Z414" s="14">
        <v>1.97</v>
      </c>
      <c r="AA414" s="14">
        <v>12.77</v>
      </c>
      <c r="AB414" s="12" t="s">
        <v>56</v>
      </c>
      <c r="AC414" s="12" t="s">
        <v>2802</v>
      </c>
      <c r="AD414" s="13">
        <v>45464</v>
      </c>
      <c r="AE414" s="12" t="s">
        <v>600</v>
      </c>
      <c r="AF414" s="12" t="s">
        <v>1619</v>
      </c>
      <c r="AG414" s="12" t="s">
        <v>434</v>
      </c>
      <c r="AH414" s="1">
        <f>HYPERLINK("https://my.pitchbook.com?c=273714-31T","View Company Online")</f>
      </c>
    </row>
    <row r="415">
      <c r="A415" s="3" t="s">
        <v>2803</v>
      </c>
      <c r="B415" s="3" t="s">
        <v>2804</v>
      </c>
      <c r="C415" s="5" t="s">
        <v>36</v>
      </c>
      <c r="D415" s="5" t="s">
        <v>36</v>
      </c>
      <c r="E415" s="5" t="s">
        <v>36</v>
      </c>
      <c r="F415" s="5" t="s">
        <v>36</v>
      </c>
      <c r="G415" s="6" t="s">
        <v>36</v>
      </c>
      <c r="H415" s="4" t="s">
        <v>36</v>
      </c>
      <c r="I415" s="7" t="s">
        <v>36</v>
      </c>
      <c r="J415" s="3" t="s">
        <v>36</v>
      </c>
      <c r="K415" s="9">
        <v>44927</v>
      </c>
      <c r="L415" s="6" t="s">
        <v>36</v>
      </c>
      <c r="M415" s="3" t="s">
        <v>36</v>
      </c>
      <c r="N415" s="3" t="s">
        <v>36</v>
      </c>
      <c r="O415" s="8" t="s">
        <v>36</v>
      </c>
      <c r="P415" s="3" t="s">
        <v>36</v>
      </c>
      <c r="Q415" s="3" t="s">
        <v>36</v>
      </c>
      <c r="R415" s="3" t="s">
        <v>36</v>
      </c>
      <c r="S415" s="3" t="s">
        <v>36</v>
      </c>
      <c r="T415" s="3" t="s">
        <v>2805</v>
      </c>
      <c r="U415" s="3" t="s">
        <v>1357</v>
      </c>
      <c r="V415" s="3" t="s">
        <v>52</v>
      </c>
      <c r="W415" s="3" t="s">
        <v>2806</v>
      </c>
      <c r="X415" s="10" t="s">
        <v>2414</v>
      </c>
      <c r="Y415" s="6" t="s">
        <v>42</v>
      </c>
      <c r="Z415" s="4" t="s">
        <v>36</v>
      </c>
      <c r="AA415" s="4" t="s">
        <v>36</v>
      </c>
      <c r="AB415" s="3" t="s">
        <v>56</v>
      </c>
      <c r="AC415" s="3" t="s">
        <v>2807</v>
      </c>
      <c r="AD415" s="9">
        <v>45464</v>
      </c>
      <c r="AE415" s="3" t="s">
        <v>2808</v>
      </c>
      <c r="AF415" s="3" t="s">
        <v>36</v>
      </c>
      <c r="AG415" s="3" t="s">
        <v>652</v>
      </c>
      <c r="AH415" s="11">
        <f>HYPERLINK("https://my.pitchbook.com?c=283278-52T","View Company Online")</f>
      </c>
    </row>
    <row r="416">
      <c r="A416" s="12" t="s">
        <v>2809</v>
      </c>
      <c r="B416" s="12" t="s">
        <v>2810</v>
      </c>
      <c r="C416" s="19" t="s">
        <v>36</v>
      </c>
      <c r="D416" s="19" t="s">
        <v>36</v>
      </c>
      <c r="E416" s="19" t="s">
        <v>36</v>
      </c>
      <c r="F416" s="19" t="s">
        <v>36</v>
      </c>
      <c r="G416" s="15" t="s">
        <v>36</v>
      </c>
      <c r="H416" s="14">
        <v>34.27</v>
      </c>
      <c r="I416" s="18">
        <v>29.28</v>
      </c>
      <c r="J416" s="12" t="s">
        <v>521</v>
      </c>
      <c r="K416" s="13" t="s">
        <v>36</v>
      </c>
      <c r="L416" s="15" t="s">
        <v>36</v>
      </c>
      <c r="M416" s="12" t="s">
        <v>36</v>
      </c>
      <c r="N416" s="12" t="s">
        <v>36</v>
      </c>
      <c r="O416" s="17" t="s">
        <v>36</v>
      </c>
      <c r="P416" s="12" t="s">
        <v>36</v>
      </c>
      <c r="Q416" s="12" t="s">
        <v>36</v>
      </c>
      <c r="R416" s="12" t="s">
        <v>36</v>
      </c>
      <c r="S416" s="12" t="s">
        <v>36</v>
      </c>
      <c r="T416" s="12" t="s">
        <v>2811</v>
      </c>
      <c r="U416" s="12" t="s">
        <v>219</v>
      </c>
      <c r="V416" s="12" t="s">
        <v>75</v>
      </c>
      <c r="W416" s="12" t="s">
        <v>2812</v>
      </c>
      <c r="X416" s="16" t="s">
        <v>2813</v>
      </c>
      <c r="Y416" s="15" t="s">
        <v>42</v>
      </c>
      <c r="Z416" s="14">
        <v>0.44</v>
      </c>
      <c r="AA416" s="14">
        <v>1.51</v>
      </c>
      <c r="AB416" s="12" t="s">
        <v>43</v>
      </c>
      <c r="AC416" s="12" t="s">
        <v>2814</v>
      </c>
      <c r="AD416" s="13">
        <v>45464</v>
      </c>
      <c r="AE416" s="12" t="s">
        <v>223</v>
      </c>
      <c r="AF416" s="12" t="s">
        <v>2815</v>
      </c>
      <c r="AG416" s="12" t="s">
        <v>392</v>
      </c>
      <c r="AH416" s="1">
        <f>HYPERLINK("https://my.pitchbook.com?c=264731-05T","View Company Online")</f>
      </c>
    </row>
    <row r="417">
      <c r="A417" s="3" t="s">
        <v>2816</v>
      </c>
      <c r="B417" s="3" t="s">
        <v>2817</v>
      </c>
      <c r="C417" s="5" t="s">
        <v>36</v>
      </c>
      <c r="D417" s="5" t="s">
        <v>36</v>
      </c>
      <c r="E417" s="5" t="s">
        <v>36</v>
      </c>
      <c r="F417" s="5" t="s">
        <v>36</v>
      </c>
      <c r="G417" s="6" t="s">
        <v>36</v>
      </c>
      <c r="H417" s="4">
        <v>727</v>
      </c>
      <c r="I417" s="7">
        <v>22.77</v>
      </c>
      <c r="J417" s="3" t="s">
        <v>521</v>
      </c>
      <c r="K417" s="9" t="s">
        <v>36</v>
      </c>
      <c r="L417" s="6" t="s">
        <v>36</v>
      </c>
      <c r="M417" s="3" t="s">
        <v>36</v>
      </c>
      <c r="N417" s="3" t="s">
        <v>36</v>
      </c>
      <c r="O417" s="8" t="s">
        <v>36</v>
      </c>
      <c r="P417" s="3" t="s">
        <v>36</v>
      </c>
      <c r="Q417" s="3" t="s">
        <v>36</v>
      </c>
      <c r="R417" s="3" t="s">
        <v>36</v>
      </c>
      <c r="S417" s="3" t="s">
        <v>2818</v>
      </c>
      <c r="T417" s="3" t="s">
        <v>2819</v>
      </c>
      <c r="U417" s="3" t="s">
        <v>1502</v>
      </c>
      <c r="V417" s="3" t="s">
        <v>75</v>
      </c>
      <c r="W417" s="3" t="s">
        <v>2820</v>
      </c>
      <c r="X417" s="10" t="s">
        <v>2821</v>
      </c>
      <c r="Y417" s="6" t="s">
        <v>42</v>
      </c>
      <c r="Z417" s="4">
        <v>2.23</v>
      </c>
      <c r="AA417" s="4">
        <v>9.79</v>
      </c>
      <c r="AB417" s="3" t="s">
        <v>43</v>
      </c>
      <c r="AC417" s="3" t="s">
        <v>2822</v>
      </c>
      <c r="AD417" s="9">
        <v>45464</v>
      </c>
      <c r="AE417" s="3" t="s">
        <v>2823</v>
      </c>
      <c r="AF417" s="3" t="s">
        <v>2471</v>
      </c>
      <c r="AG417" s="3" t="s">
        <v>1078</v>
      </c>
      <c r="AH417" s="11">
        <f>HYPERLINK("https://my.pitchbook.com?c=264565-18T","View Company Online")</f>
      </c>
    </row>
    <row r="418">
      <c r="A418" s="12" t="s">
        <v>2824</v>
      </c>
      <c r="B418" s="12" t="s">
        <v>2825</v>
      </c>
      <c r="C418" s="19" t="s">
        <v>36</v>
      </c>
      <c r="D418" s="19" t="s">
        <v>36</v>
      </c>
      <c r="E418" s="19" t="s">
        <v>36</v>
      </c>
      <c r="F418" s="19" t="s">
        <v>36</v>
      </c>
      <c r="G418" s="15" t="s">
        <v>326</v>
      </c>
      <c r="H418" s="14" t="s">
        <v>36</v>
      </c>
      <c r="I418" s="18">
        <v>14.96</v>
      </c>
      <c r="J418" s="12" t="s">
        <v>327</v>
      </c>
      <c r="K418" s="13" t="s">
        <v>36</v>
      </c>
      <c r="L418" s="15" t="s">
        <v>94</v>
      </c>
      <c r="M418" s="12" t="s">
        <v>36</v>
      </c>
      <c r="N418" s="12" t="s">
        <v>94</v>
      </c>
      <c r="O418" s="17" t="s">
        <v>36</v>
      </c>
      <c r="P418" s="12" t="s">
        <v>36</v>
      </c>
      <c r="Q418" s="12" t="s">
        <v>36</v>
      </c>
      <c r="R418" s="12" t="s">
        <v>36</v>
      </c>
      <c r="S418" s="12" t="s">
        <v>1588</v>
      </c>
      <c r="T418" s="12" t="s">
        <v>2826</v>
      </c>
      <c r="U418" s="12" t="s">
        <v>38</v>
      </c>
      <c r="V418" s="12" t="s">
        <v>39</v>
      </c>
      <c r="W418" s="12" t="s">
        <v>2827</v>
      </c>
      <c r="X418" s="16" t="s">
        <v>2828</v>
      </c>
      <c r="Y418" s="15" t="s">
        <v>475</v>
      </c>
      <c r="Z418" s="14">
        <v>40</v>
      </c>
      <c r="AA418" s="14">
        <v>267.3</v>
      </c>
      <c r="AB418" s="12" t="s">
        <v>56</v>
      </c>
      <c r="AC418" s="12" t="s">
        <v>2829</v>
      </c>
      <c r="AD418" s="13">
        <v>45463</v>
      </c>
      <c r="AE418" s="12" t="s">
        <v>1200</v>
      </c>
      <c r="AF418" s="12" t="s">
        <v>2830</v>
      </c>
      <c r="AG418" s="12" t="s">
        <v>2831</v>
      </c>
      <c r="AH418" s="1">
        <f>HYPERLINK("https://my.pitchbook.com?c=276390-10T","View Company Online")</f>
      </c>
    </row>
    <row r="419">
      <c r="A419" s="3" t="s">
        <v>2832</v>
      </c>
      <c r="B419" s="3" t="s">
        <v>2833</v>
      </c>
      <c r="C419" s="5" t="s">
        <v>36</v>
      </c>
      <c r="D419" s="5" t="s">
        <v>36</v>
      </c>
      <c r="E419" s="5" t="s">
        <v>36</v>
      </c>
      <c r="F419" s="5" t="s">
        <v>36</v>
      </c>
      <c r="G419" s="6" t="s">
        <v>36</v>
      </c>
      <c r="H419" s="4" t="s">
        <v>36</v>
      </c>
      <c r="I419" s="7" t="s">
        <v>36</v>
      </c>
      <c r="J419" s="3" t="s">
        <v>36</v>
      </c>
      <c r="K419" s="9" t="s">
        <v>36</v>
      </c>
      <c r="L419" s="6" t="s">
        <v>36</v>
      </c>
      <c r="M419" s="3" t="s">
        <v>36</v>
      </c>
      <c r="N419" s="3" t="s">
        <v>36</v>
      </c>
      <c r="O419" s="8" t="s">
        <v>36</v>
      </c>
      <c r="P419" s="3" t="s">
        <v>36</v>
      </c>
      <c r="Q419" s="3" t="s">
        <v>36</v>
      </c>
      <c r="R419" s="3" t="s">
        <v>36</v>
      </c>
      <c r="S419" s="3" t="s">
        <v>36</v>
      </c>
      <c r="T419" s="3" t="s">
        <v>37</v>
      </c>
      <c r="U419" s="3" t="s">
        <v>38</v>
      </c>
      <c r="V419" s="3" t="s">
        <v>39</v>
      </c>
      <c r="W419" s="3" t="s">
        <v>2834</v>
      </c>
      <c r="X419" s="10" t="s">
        <v>2835</v>
      </c>
      <c r="Y419" s="6" t="s">
        <v>108</v>
      </c>
      <c r="Z419" s="4">
        <v>12.22</v>
      </c>
      <c r="AA419" s="4" t="s">
        <v>36</v>
      </c>
      <c r="AB419" s="3" t="s">
        <v>43</v>
      </c>
      <c r="AC419" s="3" t="s">
        <v>2836</v>
      </c>
      <c r="AD419" s="9">
        <v>45463</v>
      </c>
      <c r="AE419" s="3" t="s">
        <v>45</v>
      </c>
      <c r="AF419" s="3" t="s">
        <v>215</v>
      </c>
      <c r="AG419" s="3" t="s">
        <v>81</v>
      </c>
      <c r="AH419" s="11">
        <f>HYPERLINK("https://my.pitchbook.com?c=248151-16T","View Company Online")</f>
      </c>
    </row>
    <row r="420">
      <c r="A420" s="12" t="s">
        <v>2837</v>
      </c>
      <c r="B420" s="12" t="s">
        <v>2838</v>
      </c>
      <c r="C420" s="19" t="s">
        <v>36</v>
      </c>
      <c r="D420" s="19" t="s">
        <v>36</v>
      </c>
      <c r="E420" s="19" t="s">
        <v>36</v>
      </c>
      <c r="F420" s="19" t="s">
        <v>36</v>
      </c>
      <c r="G420" s="15" t="s">
        <v>36</v>
      </c>
      <c r="H420" s="14">
        <v>155.78</v>
      </c>
      <c r="I420" s="18">
        <v>30.29</v>
      </c>
      <c r="J420" s="12" t="s">
        <v>521</v>
      </c>
      <c r="K420" s="13" t="s">
        <v>36</v>
      </c>
      <c r="L420" s="15" t="s">
        <v>36</v>
      </c>
      <c r="M420" s="12" t="s">
        <v>36</v>
      </c>
      <c r="N420" s="12" t="s">
        <v>36</v>
      </c>
      <c r="O420" s="17" t="s">
        <v>36</v>
      </c>
      <c r="P420" s="12" t="s">
        <v>36</v>
      </c>
      <c r="Q420" s="12" t="s">
        <v>36</v>
      </c>
      <c r="R420" s="12" t="s">
        <v>36</v>
      </c>
      <c r="S420" s="12" t="s">
        <v>36</v>
      </c>
      <c r="T420" s="12" t="s">
        <v>2839</v>
      </c>
      <c r="U420" s="12" t="s">
        <v>219</v>
      </c>
      <c r="V420" s="12" t="s">
        <v>75</v>
      </c>
      <c r="W420" s="12" t="s">
        <v>2840</v>
      </c>
      <c r="X420" s="16" t="s">
        <v>2841</v>
      </c>
      <c r="Y420" s="15" t="s">
        <v>42</v>
      </c>
      <c r="Z420" s="14">
        <v>1.41</v>
      </c>
      <c r="AA420" s="14">
        <v>4.65</v>
      </c>
      <c r="AB420" s="12" t="s">
        <v>43</v>
      </c>
      <c r="AC420" s="12" t="s">
        <v>2842</v>
      </c>
      <c r="AD420" s="13">
        <v>45463</v>
      </c>
      <c r="AE420" s="12" t="s">
        <v>223</v>
      </c>
      <c r="AF420" s="12" t="s">
        <v>2843</v>
      </c>
      <c r="AG420" s="12" t="s">
        <v>2844</v>
      </c>
      <c r="AH420" s="1">
        <f>HYPERLINK("https://my.pitchbook.com?c=264820-87T","View Company Online")</f>
      </c>
    </row>
    <row r="421">
      <c r="A421" s="3" t="s">
        <v>2845</v>
      </c>
      <c r="B421" s="3" t="s">
        <v>2846</v>
      </c>
      <c r="C421" s="5" t="s">
        <v>36</v>
      </c>
      <c r="D421" s="5" t="s">
        <v>36</v>
      </c>
      <c r="E421" s="5" t="s">
        <v>36</v>
      </c>
      <c r="F421" s="5" t="s">
        <v>36</v>
      </c>
      <c r="G421" s="6" t="s">
        <v>326</v>
      </c>
      <c r="H421" s="4" t="s">
        <v>36</v>
      </c>
      <c r="I421" s="7">
        <v>17.58</v>
      </c>
      <c r="J421" s="3" t="s">
        <v>327</v>
      </c>
      <c r="K421" s="9" t="s">
        <v>36</v>
      </c>
      <c r="L421" s="6" t="s">
        <v>36</v>
      </c>
      <c r="M421" s="3" t="s">
        <v>36</v>
      </c>
      <c r="N421" s="3" t="s">
        <v>36</v>
      </c>
      <c r="O421" s="8" t="s">
        <v>36</v>
      </c>
      <c r="P421" s="3" t="s">
        <v>36</v>
      </c>
      <c r="Q421" s="3" t="s">
        <v>36</v>
      </c>
      <c r="R421" s="3" t="s">
        <v>36</v>
      </c>
      <c r="S421" s="3" t="s">
        <v>36</v>
      </c>
      <c r="T421" s="3" t="s">
        <v>2847</v>
      </c>
      <c r="U421" s="3" t="s">
        <v>404</v>
      </c>
      <c r="V421" s="3" t="s">
        <v>405</v>
      </c>
      <c r="W421" s="3" t="s">
        <v>2848</v>
      </c>
      <c r="X421" s="10" t="s">
        <v>2849</v>
      </c>
      <c r="Y421" s="6" t="s">
        <v>192</v>
      </c>
      <c r="Z421" s="4">
        <v>9.19</v>
      </c>
      <c r="AA421" s="4">
        <v>52.28</v>
      </c>
      <c r="AB421" s="3" t="s">
        <v>56</v>
      </c>
      <c r="AC421" s="3" t="s">
        <v>2850</v>
      </c>
      <c r="AD421" s="9">
        <v>45463</v>
      </c>
      <c r="AE421" s="3" t="s">
        <v>409</v>
      </c>
      <c r="AF421" s="3" t="s">
        <v>36</v>
      </c>
      <c r="AG421" s="3" t="s">
        <v>2851</v>
      </c>
      <c r="AH421" s="11">
        <f>HYPERLINK("https://my.pitchbook.com?c=264884-95T","View Company Online")</f>
      </c>
    </row>
    <row r="422">
      <c r="A422" s="12" t="s">
        <v>2852</v>
      </c>
      <c r="B422" s="12" t="s">
        <v>2853</v>
      </c>
      <c r="C422" s="19" t="s">
        <v>36</v>
      </c>
      <c r="D422" s="19" t="s">
        <v>36</v>
      </c>
      <c r="E422" s="19" t="s">
        <v>36</v>
      </c>
      <c r="F422" s="19" t="s">
        <v>36</v>
      </c>
      <c r="G422" s="15" t="s">
        <v>326</v>
      </c>
      <c r="H422" s="14" t="s">
        <v>36</v>
      </c>
      <c r="I422" s="18">
        <v>17.4</v>
      </c>
      <c r="J422" s="12" t="s">
        <v>327</v>
      </c>
      <c r="K422" s="13" t="s">
        <v>36</v>
      </c>
      <c r="L422" s="15" t="s">
        <v>122</v>
      </c>
      <c r="M422" s="12" t="s">
        <v>36</v>
      </c>
      <c r="N422" s="12" t="s">
        <v>122</v>
      </c>
      <c r="O422" s="17" t="s">
        <v>36</v>
      </c>
      <c r="P422" s="12" t="s">
        <v>36</v>
      </c>
      <c r="Q422" s="12" t="s">
        <v>36</v>
      </c>
      <c r="R422" s="12" t="s">
        <v>36</v>
      </c>
      <c r="S422" s="12" t="s">
        <v>36</v>
      </c>
      <c r="T422" s="12" t="s">
        <v>2854</v>
      </c>
      <c r="U422" s="12" t="s">
        <v>51</v>
      </c>
      <c r="V422" s="12" t="s">
        <v>52</v>
      </c>
      <c r="W422" s="12" t="s">
        <v>2855</v>
      </c>
      <c r="X422" s="16" t="s">
        <v>2856</v>
      </c>
      <c r="Y422" s="15" t="s">
        <v>108</v>
      </c>
      <c r="Z422" s="14">
        <v>7.24</v>
      </c>
      <c r="AA422" s="14">
        <v>29.21</v>
      </c>
      <c r="AB422" s="12" t="s">
        <v>43</v>
      </c>
      <c r="AC422" s="12" t="s">
        <v>2857</v>
      </c>
      <c r="AD422" s="13">
        <v>45463</v>
      </c>
      <c r="AE422" s="12" t="s">
        <v>2740</v>
      </c>
      <c r="AF422" s="12" t="s">
        <v>2858</v>
      </c>
      <c r="AG422" s="12" t="s">
        <v>1362</v>
      </c>
      <c r="AH422" s="1">
        <f>HYPERLINK("https://my.pitchbook.com?c=266014-45T","View Company Online")</f>
      </c>
    </row>
    <row r="423">
      <c r="A423" s="3" t="s">
        <v>2859</v>
      </c>
      <c r="B423" s="3" t="s">
        <v>2860</v>
      </c>
      <c r="C423" s="5" t="s">
        <v>36</v>
      </c>
      <c r="D423" s="5" t="s">
        <v>36</v>
      </c>
      <c r="E423" s="5" t="s">
        <v>36</v>
      </c>
      <c r="F423" s="5" t="s">
        <v>36</v>
      </c>
      <c r="G423" s="6" t="s">
        <v>36</v>
      </c>
      <c r="H423" s="4" t="s">
        <v>36</v>
      </c>
      <c r="I423" s="7" t="s">
        <v>36</v>
      </c>
      <c r="J423" s="3" t="s">
        <v>36</v>
      </c>
      <c r="K423" s="9" t="s">
        <v>36</v>
      </c>
      <c r="L423" s="6" t="s">
        <v>36</v>
      </c>
      <c r="M423" s="3" t="s">
        <v>36</v>
      </c>
      <c r="N423" s="3" t="s">
        <v>36</v>
      </c>
      <c r="O423" s="8" t="s">
        <v>36</v>
      </c>
      <c r="P423" s="3" t="s">
        <v>36</v>
      </c>
      <c r="Q423" s="3" t="s">
        <v>36</v>
      </c>
      <c r="R423" s="3" t="s">
        <v>36</v>
      </c>
      <c r="S423" s="3" t="s">
        <v>36</v>
      </c>
      <c r="T423" s="3" t="s">
        <v>2861</v>
      </c>
      <c r="U423" s="3" t="s">
        <v>74</v>
      </c>
      <c r="V423" s="3" t="s">
        <v>75</v>
      </c>
      <c r="W423" s="3" t="s">
        <v>2862</v>
      </c>
      <c r="X423" s="10" t="s">
        <v>2863</v>
      </c>
      <c r="Y423" s="6" t="s">
        <v>1120</v>
      </c>
      <c r="Z423" s="4">
        <v>12.22</v>
      </c>
      <c r="AA423" s="4" t="s">
        <v>36</v>
      </c>
      <c r="AB423" s="3" t="s">
        <v>56</v>
      </c>
      <c r="AC423" s="3" t="s">
        <v>2864</v>
      </c>
      <c r="AD423" s="9">
        <v>45463</v>
      </c>
      <c r="AE423" s="3" t="s">
        <v>362</v>
      </c>
      <c r="AF423" s="3" t="s">
        <v>250</v>
      </c>
      <c r="AG423" s="3" t="s">
        <v>81</v>
      </c>
      <c r="AH423" s="11">
        <f>HYPERLINK("https://my.pitchbook.com?c=264373-30T","View Company Online")</f>
      </c>
    </row>
    <row r="424">
      <c r="A424" s="12" t="s">
        <v>2865</v>
      </c>
      <c r="B424" s="12" t="s">
        <v>2866</v>
      </c>
      <c r="C424" s="19" t="s">
        <v>36</v>
      </c>
      <c r="D424" s="19" t="s">
        <v>36</v>
      </c>
      <c r="E424" s="19" t="s">
        <v>36</v>
      </c>
      <c r="F424" s="19" t="s">
        <v>36</v>
      </c>
      <c r="G424" s="15" t="s">
        <v>36</v>
      </c>
      <c r="H424" s="14" t="s">
        <v>36</v>
      </c>
      <c r="I424" s="18" t="s">
        <v>36</v>
      </c>
      <c r="J424" s="12" t="s">
        <v>36</v>
      </c>
      <c r="K424" s="13" t="s">
        <v>36</v>
      </c>
      <c r="L424" s="15" t="s">
        <v>36</v>
      </c>
      <c r="M424" s="12" t="s">
        <v>36</v>
      </c>
      <c r="N424" s="12" t="s">
        <v>36</v>
      </c>
      <c r="O424" s="17" t="s">
        <v>36</v>
      </c>
      <c r="P424" s="12" t="s">
        <v>36</v>
      </c>
      <c r="Q424" s="12" t="s">
        <v>36</v>
      </c>
      <c r="R424" s="12" t="s">
        <v>36</v>
      </c>
      <c r="S424" s="12" t="s">
        <v>36</v>
      </c>
      <c r="T424" s="12" t="s">
        <v>2867</v>
      </c>
      <c r="U424" s="12" t="s">
        <v>423</v>
      </c>
      <c r="V424" s="12" t="s">
        <v>64</v>
      </c>
      <c r="W424" s="12" t="s">
        <v>2868</v>
      </c>
      <c r="X424" s="16" t="s">
        <v>2869</v>
      </c>
      <c r="Y424" s="15" t="s">
        <v>108</v>
      </c>
      <c r="Z424" s="14">
        <v>5.41</v>
      </c>
      <c r="AA424" s="14" t="s">
        <v>36</v>
      </c>
      <c r="AB424" s="12" t="s">
        <v>43</v>
      </c>
      <c r="AC424" s="12" t="s">
        <v>2870</v>
      </c>
      <c r="AD424" s="13">
        <v>45462</v>
      </c>
      <c r="AE424" s="12" t="s">
        <v>2871</v>
      </c>
      <c r="AF424" s="12" t="s">
        <v>90</v>
      </c>
      <c r="AG424" s="12" t="s">
        <v>81</v>
      </c>
      <c r="AH424" s="1">
        <f>HYPERLINK("https://my.pitchbook.com?c=264214-63T","View Company Online")</f>
      </c>
    </row>
    <row r="425">
      <c r="A425" s="3" t="s">
        <v>2872</v>
      </c>
      <c r="B425" s="3" t="s">
        <v>2873</v>
      </c>
      <c r="C425" s="5" t="s">
        <v>36</v>
      </c>
      <c r="D425" s="5" t="s">
        <v>36</v>
      </c>
      <c r="E425" s="5" t="s">
        <v>36</v>
      </c>
      <c r="F425" s="5" t="s">
        <v>36</v>
      </c>
      <c r="G425" s="6" t="s">
        <v>36</v>
      </c>
      <c r="H425" s="4" t="s">
        <v>36</v>
      </c>
      <c r="I425" s="7" t="s">
        <v>36</v>
      </c>
      <c r="J425" s="3" t="s">
        <v>36</v>
      </c>
      <c r="K425" s="9" t="s">
        <v>36</v>
      </c>
      <c r="L425" s="6" t="s">
        <v>36</v>
      </c>
      <c r="M425" s="3" t="s">
        <v>36</v>
      </c>
      <c r="N425" s="3" t="s">
        <v>36</v>
      </c>
      <c r="O425" s="8" t="s">
        <v>36</v>
      </c>
      <c r="P425" s="3" t="s">
        <v>36</v>
      </c>
      <c r="Q425" s="3" t="s">
        <v>36</v>
      </c>
      <c r="R425" s="3" t="s">
        <v>36</v>
      </c>
      <c r="S425" s="3" t="s">
        <v>36</v>
      </c>
      <c r="T425" s="3" t="s">
        <v>1701</v>
      </c>
      <c r="U425" s="3" t="s">
        <v>74</v>
      </c>
      <c r="V425" s="3" t="s">
        <v>75</v>
      </c>
      <c r="W425" s="3" t="s">
        <v>2874</v>
      </c>
      <c r="X425" s="10" t="s">
        <v>2875</v>
      </c>
      <c r="Y425" s="6" t="s">
        <v>55</v>
      </c>
      <c r="Z425" s="4" t="s">
        <v>36</v>
      </c>
      <c r="AA425" s="4" t="s">
        <v>36</v>
      </c>
      <c r="AB425" s="3" t="s">
        <v>56</v>
      </c>
      <c r="AC425" s="3" t="s">
        <v>2876</v>
      </c>
      <c r="AD425" s="9">
        <v>45462</v>
      </c>
      <c r="AE425" s="3" t="s">
        <v>79</v>
      </c>
      <c r="AF425" s="3" t="s">
        <v>36</v>
      </c>
      <c r="AG425" s="3" t="s">
        <v>2088</v>
      </c>
      <c r="AH425" s="11">
        <f>HYPERLINK("https://my.pitchbook.com?c=265714-12T","View Company Online")</f>
      </c>
    </row>
    <row r="426">
      <c r="A426" s="12" t="s">
        <v>2877</v>
      </c>
      <c r="B426" s="12" t="s">
        <v>2878</v>
      </c>
      <c r="C426" s="19" t="s">
        <v>36</v>
      </c>
      <c r="D426" s="19" t="s">
        <v>36</v>
      </c>
      <c r="E426" s="19" t="s">
        <v>36</v>
      </c>
      <c r="F426" s="19" t="s">
        <v>36</v>
      </c>
      <c r="G426" s="15" t="s">
        <v>326</v>
      </c>
      <c r="H426" s="14">
        <v>1.29</v>
      </c>
      <c r="I426" s="18">
        <v>30.39</v>
      </c>
      <c r="J426" s="12" t="s">
        <v>521</v>
      </c>
      <c r="K426" s="13" t="s">
        <v>36</v>
      </c>
      <c r="L426" s="15" t="s">
        <v>36</v>
      </c>
      <c r="M426" s="12" t="s">
        <v>36</v>
      </c>
      <c r="N426" s="12" t="s">
        <v>36</v>
      </c>
      <c r="O426" s="17" t="s">
        <v>36</v>
      </c>
      <c r="P426" s="12" t="s">
        <v>36</v>
      </c>
      <c r="Q426" s="12" t="s">
        <v>36</v>
      </c>
      <c r="R426" s="12" t="s">
        <v>36</v>
      </c>
      <c r="S426" s="12" t="s">
        <v>36</v>
      </c>
      <c r="T426" s="12" t="s">
        <v>1106</v>
      </c>
      <c r="U426" s="12" t="s">
        <v>38</v>
      </c>
      <c r="V426" s="12" t="s">
        <v>39</v>
      </c>
      <c r="W426" s="12" t="s">
        <v>2879</v>
      </c>
      <c r="X426" s="16" t="s">
        <v>2880</v>
      </c>
      <c r="Y426" s="15" t="s">
        <v>108</v>
      </c>
      <c r="Z426" s="14">
        <v>2.16</v>
      </c>
      <c r="AA426" s="14">
        <v>3.58</v>
      </c>
      <c r="AB426" s="12" t="s">
        <v>43</v>
      </c>
      <c r="AC426" s="12" t="s">
        <v>2881</v>
      </c>
      <c r="AD426" s="13">
        <v>45462</v>
      </c>
      <c r="AE426" s="12" t="s">
        <v>110</v>
      </c>
      <c r="AF426" s="12" t="s">
        <v>176</v>
      </c>
      <c r="AG426" s="12" t="s">
        <v>81</v>
      </c>
      <c r="AH426" s="1">
        <f>HYPERLINK("https://my.pitchbook.com?c=264254-50T","View Company Online")</f>
      </c>
    </row>
    <row r="427">
      <c r="A427" s="3" t="s">
        <v>2882</v>
      </c>
      <c r="B427" s="3" t="s">
        <v>2883</v>
      </c>
      <c r="C427" s="5" t="s">
        <v>36</v>
      </c>
      <c r="D427" s="5" t="s">
        <v>36</v>
      </c>
      <c r="E427" s="5" t="s">
        <v>36</v>
      </c>
      <c r="F427" s="5" t="s">
        <v>36</v>
      </c>
      <c r="G427" s="6" t="s">
        <v>36</v>
      </c>
      <c r="H427" s="4" t="s">
        <v>36</v>
      </c>
      <c r="I427" s="7" t="s">
        <v>36</v>
      </c>
      <c r="J427" s="3" t="s">
        <v>36</v>
      </c>
      <c r="K427" s="9" t="s">
        <v>36</v>
      </c>
      <c r="L427" s="6" t="s">
        <v>36</v>
      </c>
      <c r="M427" s="3" t="s">
        <v>36</v>
      </c>
      <c r="N427" s="3" t="s">
        <v>36</v>
      </c>
      <c r="O427" s="8" t="s">
        <v>36</v>
      </c>
      <c r="P427" s="3" t="s">
        <v>36</v>
      </c>
      <c r="Q427" s="3" t="s">
        <v>36</v>
      </c>
      <c r="R427" s="3" t="s">
        <v>36</v>
      </c>
      <c r="S427" s="3" t="s">
        <v>36</v>
      </c>
      <c r="T427" s="3" t="s">
        <v>522</v>
      </c>
      <c r="U427" s="3" t="s">
        <v>38</v>
      </c>
      <c r="V427" s="3" t="s">
        <v>39</v>
      </c>
      <c r="W427" s="3" t="s">
        <v>2884</v>
      </c>
      <c r="X427" s="10" t="s">
        <v>2885</v>
      </c>
      <c r="Y427" s="6" t="s">
        <v>108</v>
      </c>
      <c r="Z427" s="4">
        <v>7.57</v>
      </c>
      <c r="AA427" s="4" t="s">
        <v>36</v>
      </c>
      <c r="AB427" s="3" t="s">
        <v>56</v>
      </c>
      <c r="AC427" s="3" t="s">
        <v>2886</v>
      </c>
      <c r="AD427" s="9">
        <v>45461</v>
      </c>
      <c r="AE427" s="3" t="s">
        <v>110</v>
      </c>
      <c r="AF427" s="3" t="s">
        <v>1401</v>
      </c>
      <c r="AG427" s="3" t="s">
        <v>81</v>
      </c>
      <c r="AH427" s="11">
        <f>HYPERLINK("https://my.pitchbook.com?c=264023-20T","View Company Online")</f>
      </c>
    </row>
    <row r="428">
      <c r="A428" s="12" t="s">
        <v>2887</v>
      </c>
      <c r="B428" s="12" t="s">
        <v>2888</v>
      </c>
      <c r="C428" s="19">
        <v>3</v>
      </c>
      <c r="D428" s="19" t="s">
        <v>36</v>
      </c>
      <c r="E428" s="19">
        <v>3</v>
      </c>
      <c r="F428" s="19">
        <v>4</v>
      </c>
      <c r="G428" s="15" t="s">
        <v>36</v>
      </c>
      <c r="H428" s="14" t="s">
        <v>36</v>
      </c>
      <c r="I428" s="18" t="s">
        <v>36</v>
      </c>
      <c r="J428" s="12" t="s">
        <v>36</v>
      </c>
      <c r="K428" s="13" t="s">
        <v>36</v>
      </c>
      <c r="L428" s="15" t="s">
        <v>36</v>
      </c>
      <c r="M428" s="12" t="s">
        <v>36</v>
      </c>
      <c r="N428" s="12" t="s">
        <v>36</v>
      </c>
      <c r="O428" s="17" t="s">
        <v>36</v>
      </c>
      <c r="P428" s="12" t="s">
        <v>36</v>
      </c>
      <c r="Q428" s="12" t="s">
        <v>36</v>
      </c>
      <c r="R428" s="12" t="s">
        <v>36</v>
      </c>
      <c r="S428" s="12" t="s">
        <v>316</v>
      </c>
      <c r="T428" s="12" t="s">
        <v>2889</v>
      </c>
      <c r="U428" s="12" t="s">
        <v>51</v>
      </c>
      <c r="V428" s="12" t="s">
        <v>52</v>
      </c>
      <c r="W428" s="12" t="s">
        <v>2890</v>
      </c>
      <c r="X428" s="16" t="s">
        <v>2442</v>
      </c>
      <c r="Y428" s="15" t="s">
        <v>55</v>
      </c>
      <c r="Z428" s="14">
        <v>8.65</v>
      </c>
      <c r="AA428" s="14" t="s">
        <v>36</v>
      </c>
      <c r="AB428" s="12" t="s">
        <v>43</v>
      </c>
      <c r="AC428" s="12" t="s">
        <v>2891</v>
      </c>
      <c r="AD428" s="13">
        <v>45461</v>
      </c>
      <c r="AE428" s="12" t="s">
        <v>1060</v>
      </c>
      <c r="AF428" s="12" t="s">
        <v>2892</v>
      </c>
      <c r="AG428" s="12" t="s">
        <v>81</v>
      </c>
      <c r="AH428" s="1">
        <f>HYPERLINK("https://my.pitchbook.com?c=267323-68T","View Company Online")</f>
      </c>
    </row>
    <row r="429">
      <c r="A429" s="3" t="s">
        <v>2893</v>
      </c>
      <c r="B429" s="3" t="s">
        <v>2894</v>
      </c>
      <c r="C429" s="5" t="s">
        <v>36</v>
      </c>
      <c r="D429" s="5" t="s">
        <v>36</v>
      </c>
      <c r="E429" s="5" t="s">
        <v>36</v>
      </c>
      <c r="F429" s="5" t="s">
        <v>36</v>
      </c>
      <c r="G429" s="6" t="s">
        <v>36</v>
      </c>
      <c r="H429" s="4">
        <v>1459.64</v>
      </c>
      <c r="I429" s="7">
        <v>9.19</v>
      </c>
      <c r="J429" s="3" t="s">
        <v>521</v>
      </c>
      <c r="K429" s="9" t="s">
        <v>36</v>
      </c>
      <c r="L429" s="6" t="s">
        <v>36</v>
      </c>
      <c r="M429" s="3" t="s">
        <v>36</v>
      </c>
      <c r="N429" s="3" t="s">
        <v>36</v>
      </c>
      <c r="O429" s="8" t="s">
        <v>36</v>
      </c>
      <c r="P429" s="3" t="s">
        <v>36</v>
      </c>
      <c r="Q429" s="3" t="s">
        <v>36</v>
      </c>
      <c r="R429" s="3" t="s">
        <v>36</v>
      </c>
      <c r="S429" s="3" t="s">
        <v>36</v>
      </c>
      <c r="T429" s="3" t="s">
        <v>994</v>
      </c>
      <c r="U429" s="3" t="s">
        <v>74</v>
      </c>
      <c r="V429" s="3" t="s">
        <v>75</v>
      </c>
      <c r="W429" s="3" t="s">
        <v>2895</v>
      </c>
      <c r="X429" s="10" t="s">
        <v>621</v>
      </c>
      <c r="Y429" s="6" t="s">
        <v>42</v>
      </c>
      <c r="Z429" s="4">
        <v>0.2</v>
      </c>
      <c r="AA429" s="4">
        <v>2.17</v>
      </c>
      <c r="AB429" s="3" t="s">
        <v>43</v>
      </c>
      <c r="AC429" s="3" t="s">
        <v>2896</v>
      </c>
      <c r="AD429" s="9">
        <v>45458</v>
      </c>
      <c r="AE429" s="3" t="s">
        <v>362</v>
      </c>
      <c r="AF429" s="3" t="s">
        <v>938</v>
      </c>
      <c r="AG429" s="3" t="s">
        <v>2897</v>
      </c>
      <c r="AH429" s="11">
        <f>HYPERLINK("https://my.pitchbook.com?c=279864-46T","View Company Online")</f>
      </c>
    </row>
    <row r="430">
      <c r="A430" s="12" t="s">
        <v>2898</v>
      </c>
      <c r="B430" s="12" t="s">
        <v>2899</v>
      </c>
      <c r="C430" s="19" t="s">
        <v>36</v>
      </c>
      <c r="D430" s="19" t="s">
        <v>36</v>
      </c>
      <c r="E430" s="19" t="s">
        <v>36</v>
      </c>
      <c r="F430" s="19" t="s">
        <v>36</v>
      </c>
      <c r="G430" s="15" t="s">
        <v>36</v>
      </c>
      <c r="H430" s="14">
        <v>110.09</v>
      </c>
      <c r="I430" s="18">
        <v>20.03</v>
      </c>
      <c r="J430" s="12" t="s">
        <v>521</v>
      </c>
      <c r="K430" s="13" t="s">
        <v>36</v>
      </c>
      <c r="L430" s="15" t="s">
        <v>36</v>
      </c>
      <c r="M430" s="12" t="s">
        <v>36</v>
      </c>
      <c r="N430" s="12" t="s">
        <v>36</v>
      </c>
      <c r="O430" s="17" t="s">
        <v>36</v>
      </c>
      <c r="P430" s="12" t="s">
        <v>36</v>
      </c>
      <c r="Q430" s="12" t="s">
        <v>36</v>
      </c>
      <c r="R430" s="12" t="s">
        <v>36</v>
      </c>
      <c r="S430" s="12" t="s">
        <v>36</v>
      </c>
      <c r="T430" s="12" t="s">
        <v>1125</v>
      </c>
      <c r="U430" s="12" t="s">
        <v>74</v>
      </c>
      <c r="V430" s="12" t="s">
        <v>75</v>
      </c>
      <c r="W430" s="12" t="s">
        <v>2900</v>
      </c>
      <c r="X430" s="16" t="s">
        <v>2901</v>
      </c>
      <c r="Y430" s="15" t="s">
        <v>108</v>
      </c>
      <c r="Z430" s="14">
        <v>1.42</v>
      </c>
      <c r="AA430" s="14">
        <v>7.1</v>
      </c>
      <c r="AB430" s="12" t="s">
        <v>43</v>
      </c>
      <c r="AC430" s="12" t="s">
        <v>2902</v>
      </c>
      <c r="AD430" s="13">
        <v>45457</v>
      </c>
      <c r="AE430" s="12" t="s">
        <v>975</v>
      </c>
      <c r="AF430" s="12" t="s">
        <v>36</v>
      </c>
      <c r="AG430" s="12" t="s">
        <v>741</v>
      </c>
      <c r="AH430" s="1">
        <f>HYPERLINK("https://my.pitchbook.com?c=271894-78T","View Company Online")</f>
      </c>
    </row>
    <row r="431">
      <c r="A431" s="3" t="s">
        <v>2903</v>
      </c>
      <c r="B431" s="3" t="s">
        <v>2904</v>
      </c>
      <c r="C431" s="5" t="s">
        <v>36</v>
      </c>
      <c r="D431" s="5" t="s">
        <v>36</v>
      </c>
      <c r="E431" s="5" t="s">
        <v>36</v>
      </c>
      <c r="F431" s="5" t="s">
        <v>36</v>
      </c>
      <c r="G431" s="6" t="s">
        <v>326</v>
      </c>
      <c r="H431" s="4">
        <v>6.51</v>
      </c>
      <c r="I431" s="7">
        <v>20.72</v>
      </c>
      <c r="J431" s="3" t="s">
        <v>327</v>
      </c>
      <c r="K431" s="9">
        <v>45378</v>
      </c>
      <c r="L431" s="6" t="s">
        <v>36</v>
      </c>
      <c r="M431" s="3" t="s">
        <v>36</v>
      </c>
      <c r="N431" s="3" t="s">
        <v>36</v>
      </c>
      <c r="O431" s="8" t="s">
        <v>36</v>
      </c>
      <c r="P431" s="3" t="s">
        <v>36</v>
      </c>
      <c r="Q431" s="3" t="s">
        <v>36</v>
      </c>
      <c r="R431" s="3" t="s">
        <v>36</v>
      </c>
      <c r="S431" s="3" t="s">
        <v>36</v>
      </c>
      <c r="T431" s="3" t="s">
        <v>647</v>
      </c>
      <c r="U431" s="3" t="s">
        <v>648</v>
      </c>
      <c r="V431" s="3" t="s">
        <v>64</v>
      </c>
      <c r="W431" s="3" t="s">
        <v>2905</v>
      </c>
      <c r="X431" s="10" t="s">
        <v>2906</v>
      </c>
      <c r="Y431" s="6" t="s">
        <v>108</v>
      </c>
      <c r="Z431" s="4">
        <v>3.3</v>
      </c>
      <c r="AA431" s="4">
        <v>15.94</v>
      </c>
      <c r="AB431" s="3" t="s">
        <v>43</v>
      </c>
      <c r="AC431" s="3" t="s">
        <v>2907</v>
      </c>
      <c r="AD431" s="9">
        <v>45456</v>
      </c>
      <c r="AE431" s="3" t="s">
        <v>651</v>
      </c>
      <c r="AF431" s="3" t="s">
        <v>36</v>
      </c>
      <c r="AG431" s="3" t="s">
        <v>81</v>
      </c>
      <c r="AH431" s="11">
        <f>HYPERLINK("https://my.pitchbook.com?c=259281-19T","View Company Online")</f>
      </c>
    </row>
    <row r="432">
      <c r="A432" s="12" t="s">
        <v>2908</v>
      </c>
      <c r="B432" s="12" t="s">
        <v>2909</v>
      </c>
      <c r="C432" s="19">
        <v>19</v>
      </c>
      <c r="D432" s="19">
        <v>88</v>
      </c>
      <c r="E432" s="19">
        <v>32</v>
      </c>
      <c r="F432" s="19">
        <v>133</v>
      </c>
      <c r="G432" s="15" t="s">
        <v>36</v>
      </c>
      <c r="H432" s="14">
        <v>3504.12</v>
      </c>
      <c r="I432" s="18">
        <v>10.01</v>
      </c>
      <c r="J432" s="12" t="s">
        <v>521</v>
      </c>
      <c r="K432" s="13" t="s">
        <v>36</v>
      </c>
      <c r="L432" s="15" t="s">
        <v>36</v>
      </c>
      <c r="M432" s="12" t="s">
        <v>36</v>
      </c>
      <c r="N432" s="12" t="s">
        <v>36</v>
      </c>
      <c r="O432" s="17" t="s">
        <v>36</v>
      </c>
      <c r="P432" s="12" t="s">
        <v>36</v>
      </c>
      <c r="Q432" s="12" t="s">
        <v>36</v>
      </c>
      <c r="R432" s="12" t="s">
        <v>36</v>
      </c>
      <c r="S432" s="12" t="s">
        <v>36</v>
      </c>
      <c r="T432" s="12" t="s">
        <v>2910</v>
      </c>
      <c r="U432" s="12" t="s">
        <v>219</v>
      </c>
      <c r="V432" s="12" t="s">
        <v>75</v>
      </c>
      <c r="W432" s="12" t="s">
        <v>2911</v>
      </c>
      <c r="X432" s="16" t="s">
        <v>2912</v>
      </c>
      <c r="Y432" s="15" t="s">
        <v>108</v>
      </c>
      <c r="Z432" s="14">
        <v>4.34</v>
      </c>
      <c r="AA432" s="14">
        <v>43.38</v>
      </c>
      <c r="AB432" s="12" t="s">
        <v>56</v>
      </c>
      <c r="AC432" s="12" t="s">
        <v>2913</v>
      </c>
      <c r="AD432" s="13">
        <v>45455</v>
      </c>
      <c r="AE432" s="12" t="s">
        <v>2914</v>
      </c>
      <c r="AF432" s="12" t="s">
        <v>2915</v>
      </c>
      <c r="AG432" s="12" t="s">
        <v>2916</v>
      </c>
      <c r="AH432" s="1">
        <f>HYPERLINK("https://my.pitchbook.com?c=262723-24T","View Company Online")</f>
      </c>
    </row>
    <row r="433">
      <c r="A433" s="3" t="s">
        <v>2917</v>
      </c>
      <c r="B433" s="3" t="s">
        <v>2918</v>
      </c>
      <c r="C433" s="5" t="s">
        <v>36</v>
      </c>
      <c r="D433" s="5" t="s">
        <v>36</v>
      </c>
      <c r="E433" s="5" t="s">
        <v>36</v>
      </c>
      <c r="F433" s="5" t="s">
        <v>36</v>
      </c>
      <c r="G433" s="6" t="s">
        <v>36</v>
      </c>
      <c r="H433" s="4" t="s">
        <v>36</v>
      </c>
      <c r="I433" s="7" t="s">
        <v>36</v>
      </c>
      <c r="J433" s="3" t="s">
        <v>36</v>
      </c>
      <c r="K433" s="9" t="s">
        <v>36</v>
      </c>
      <c r="L433" s="6" t="s">
        <v>36</v>
      </c>
      <c r="M433" s="3" t="s">
        <v>36</v>
      </c>
      <c r="N433" s="3" t="s">
        <v>36</v>
      </c>
      <c r="O433" s="8" t="s">
        <v>36</v>
      </c>
      <c r="P433" s="3" t="s">
        <v>36</v>
      </c>
      <c r="Q433" s="3" t="s">
        <v>36</v>
      </c>
      <c r="R433" s="3" t="s">
        <v>36</v>
      </c>
      <c r="S433" s="3" t="s">
        <v>36</v>
      </c>
      <c r="T433" s="3" t="s">
        <v>2919</v>
      </c>
      <c r="U433" s="3" t="s">
        <v>728</v>
      </c>
      <c r="V433" s="3" t="s">
        <v>64</v>
      </c>
      <c r="W433" s="3" t="s">
        <v>2920</v>
      </c>
      <c r="X433" s="10" t="s">
        <v>2921</v>
      </c>
      <c r="Y433" s="6" t="s">
        <v>192</v>
      </c>
      <c r="Z433" s="4" t="s">
        <v>36</v>
      </c>
      <c r="AA433" s="4" t="s">
        <v>36</v>
      </c>
      <c r="AB433" s="3" t="s">
        <v>56</v>
      </c>
      <c r="AC433" s="3" t="s">
        <v>2922</v>
      </c>
      <c r="AD433" s="9">
        <v>45455</v>
      </c>
      <c r="AE433" s="3" t="s">
        <v>2154</v>
      </c>
      <c r="AF433" s="3" t="s">
        <v>90</v>
      </c>
      <c r="AG433" s="3" t="s">
        <v>81</v>
      </c>
      <c r="AH433" s="11">
        <f>HYPERLINK("https://my.pitchbook.com?c=265428-10T","View Company Online")</f>
      </c>
    </row>
    <row r="434">
      <c r="A434" s="12" t="s">
        <v>2923</v>
      </c>
      <c r="B434" s="12" t="s">
        <v>2924</v>
      </c>
      <c r="C434" s="19" t="s">
        <v>36</v>
      </c>
      <c r="D434" s="19" t="s">
        <v>36</v>
      </c>
      <c r="E434" s="19" t="s">
        <v>36</v>
      </c>
      <c r="F434" s="19" t="s">
        <v>36</v>
      </c>
      <c r="G434" s="15" t="s">
        <v>36</v>
      </c>
      <c r="H434" s="14" t="s">
        <v>36</v>
      </c>
      <c r="I434" s="18" t="s">
        <v>36</v>
      </c>
      <c r="J434" s="12" t="s">
        <v>36</v>
      </c>
      <c r="K434" s="13" t="s">
        <v>36</v>
      </c>
      <c r="L434" s="15" t="s">
        <v>36</v>
      </c>
      <c r="M434" s="12" t="s">
        <v>36</v>
      </c>
      <c r="N434" s="12" t="s">
        <v>36</v>
      </c>
      <c r="O434" s="17" t="s">
        <v>36</v>
      </c>
      <c r="P434" s="12" t="s">
        <v>36</v>
      </c>
      <c r="Q434" s="12" t="s">
        <v>36</v>
      </c>
      <c r="R434" s="12" t="s">
        <v>36</v>
      </c>
      <c r="S434" s="12" t="s">
        <v>36</v>
      </c>
      <c r="T434" s="12" t="s">
        <v>2925</v>
      </c>
      <c r="U434" s="12" t="s">
        <v>38</v>
      </c>
      <c r="V434" s="12" t="s">
        <v>39</v>
      </c>
      <c r="W434" s="12" t="s">
        <v>2926</v>
      </c>
      <c r="X434" s="16" t="s">
        <v>2927</v>
      </c>
      <c r="Y434" s="15" t="s">
        <v>108</v>
      </c>
      <c r="Z434" s="14">
        <v>8.67</v>
      </c>
      <c r="AA434" s="14" t="s">
        <v>36</v>
      </c>
      <c r="AB434" s="12" t="s">
        <v>43</v>
      </c>
      <c r="AC434" s="12" t="s">
        <v>2928</v>
      </c>
      <c r="AD434" s="13">
        <v>45455</v>
      </c>
      <c r="AE434" s="12" t="s">
        <v>110</v>
      </c>
      <c r="AF434" s="12" t="s">
        <v>1842</v>
      </c>
      <c r="AG434" s="12" t="s">
        <v>81</v>
      </c>
      <c r="AH434" s="1">
        <f>HYPERLINK("https://my.pitchbook.com?c=266144-14T","View Company Online")</f>
      </c>
    </row>
    <row r="435">
      <c r="A435" s="3" t="s">
        <v>2929</v>
      </c>
      <c r="B435" s="3" t="s">
        <v>2930</v>
      </c>
      <c r="C435" s="5">
        <v>4</v>
      </c>
      <c r="D435" s="5" t="s">
        <v>36</v>
      </c>
      <c r="E435" s="5">
        <v>1</v>
      </c>
      <c r="F435" s="5">
        <v>4</v>
      </c>
      <c r="G435" s="6" t="s">
        <v>326</v>
      </c>
      <c r="H435" s="4" t="s">
        <v>36</v>
      </c>
      <c r="I435" s="7">
        <v>44.35</v>
      </c>
      <c r="J435" s="3" t="s">
        <v>327</v>
      </c>
      <c r="K435" s="9" t="s">
        <v>36</v>
      </c>
      <c r="L435" s="6" t="s">
        <v>36</v>
      </c>
      <c r="M435" s="3" t="s">
        <v>36</v>
      </c>
      <c r="N435" s="3" t="s">
        <v>36</v>
      </c>
      <c r="O435" s="8" t="s">
        <v>36</v>
      </c>
      <c r="P435" s="3" t="s">
        <v>36</v>
      </c>
      <c r="Q435" s="3" t="s">
        <v>36</v>
      </c>
      <c r="R435" s="3" t="s">
        <v>36</v>
      </c>
      <c r="S435" s="3" t="s">
        <v>36</v>
      </c>
      <c r="T435" s="3" t="s">
        <v>2931</v>
      </c>
      <c r="U435" s="3" t="s">
        <v>38</v>
      </c>
      <c r="V435" s="3" t="s">
        <v>39</v>
      </c>
      <c r="W435" s="3" t="s">
        <v>2932</v>
      </c>
      <c r="X435" s="10" t="s">
        <v>2933</v>
      </c>
      <c r="Y435" s="6" t="s">
        <v>55</v>
      </c>
      <c r="Z435" s="4">
        <v>6.51</v>
      </c>
      <c r="AA435" s="4">
        <v>14.67</v>
      </c>
      <c r="AB435" s="3" t="s">
        <v>56</v>
      </c>
      <c r="AC435" s="3" t="s">
        <v>2934</v>
      </c>
      <c r="AD435" s="9">
        <v>45455</v>
      </c>
      <c r="AE435" s="3" t="s">
        <v>110</v>
      </c>
      <c r="AF435" s="3" t="s">
        <v>2935</v>
      </c>
      <c r="AG435" s="3" t="s">
        <v>2936</v>
      </c>
      <c r="AH435" s="11">
        <f>HYPERLINK("https://my.pitchbook.com?c=262832-14T","View Company Online")</f>
      </c>
    </row>
    <row r="436">
      <c r="A436" s="12" t="s">
        <v>2937</v>
      </c>
      <c r="B436" s="12" t="s">
        <v>2938</v>
      </c>
      <c r="C436" s="19" t="s">
        <v>36</v>
      </c>
      <c r="D436" s="19" t="s">
        <v>36</v>
      </c>
      <c r="E436" s="19" t="s">
        <v>36</v>
      </c>
      <c r="F436" s="19" t="s">
        <v>36</v>
      </c>
      <c r="G436" s="15" t="s">
        <v>36</v>
      </c>
      <c r="H436" s="14" t="s">
        <v>36</v>
      </c>
      <c r="I436" s="18" t="s">
        <v>36</v>
      </c>
      <c r="J436" s="12" t="s">
        <v>36</v>
      </c>
      <c r="K436" s="13" t="s">
        <v>36</v>
      </c>
      <c r="L436" s="15" t="s">
        <v>36</v>
      </c>
      <c r="M436" s="12" t="s">
        <v>36</v>
      </c>
      <c r="N436" s="12" t="s">
        <v>36</v>
      </c>
      <c r="O436" s="17" t="s">
        <v>36</v>
      </c>
      <c r="P436" s="12" t="s">
        <v>36</v>
      </c>
      <c r="Q436" s="12" t="s">
        <v>36</v>
      </c>
      <c r="R436" s="12" t="s">
        <v>36</v>
      </c>
      <c r="S436" s="12" t="s">
        <v>36</v>
      </c>
      <c r="T436" s="12" t="s">
        <v>37</v>
      </c>
      <c r="U436" s="12" t="s">
        <v>38</v>
      </c>
      <c r="V436" s="12" t="s">
        <v>39</v>
      </c>
      <c r="W436" s="12" t="s">
        <v>2939</v>
      </c>
      <c r="X436" s="16" t="s">
        <v>2940</v>
      </c>
      <c r="Y436" s="15" t="s">
        <v>108</v>
      </c>
      <c r="Z436" s="14">
        <v>4.34</v>
      </c>
      <c r="AA436" s="14" t="s">
        <v>36</v>
      </c>
      <c r="AB436" s="12" t="s">
        <v>43</v>
      </c>
      <c r="AC436" s="12" t="s">
        <v>2941</v>
      </c>
      <c r="AD436" s="13">
        <v>45455</v>
      </c>
      <c r="AE436" s="12" t="s">
        <v>45</v>
      </c>
      <c r="AF436" s="12" t="s">
        <v>215</v>
      </c>
      <c r="AG436" s="12" t="s">
        <v>81</v>
      </c>
      <c r="AH436" s="1">
        <f>HYPERLINK("https://my.pitchbook.com?c=274604-05T","View Company Online")</f>
      </c>
    </row>
    <row r="437">
      <c r="A437" s="3" t="s">
        <v>2942</v>
      </c>
      <c r="B437" s="3" t="s">
        <v>2943</v>
      </c>
      <c r="C437" s="5" t="s">
        <v>36</v>
      </c>
      <c r="D437" s="5" t="s">
        <v>36</v>
      </c>
      <c r="E437" s="5" t="s">
        <v>36</v>
      </c>
      <c r="F437" s="5" t="s">
        <v>36</v>
      </c>
      <c r="G437" s="6" t="s">
        <v>326</v>
      </c>
      <c r="H437" s="4" t="s">
        <v>36</v>
      </c>
      <c r="I437" s="7">
        <v>7.8</v>
      </c>
      <c r="J437" s="3" t="s">
        <v>521</v>
      </c>
      <c r="K437" s="9">
        <v>45327</v>
      </c>
      <c r="L437" s="6" t="s">
        <v>94</v>
      </c>
      <c r="M437" s="3" t="s">
        <v>36</v>
      </c>
      <c r="N437" s="3" t="s">
        <v>94</v>
      </c>
      <c r="O437" s="8" t="s">
        <v>36</v>
      </c>
      <c r="P437" s="3" t="s">
        <v>36</v>
      </c>
      <c r="Q437" s="3" t="s">
        <v>36</v>
      </c>
      <c r="R437" s="3" t="s">
        <v>36</v>
      </c>
      <c r="S437" s="3" t="s">
        <v>2944</v>
      </c>
      <c r="T437" s="3" t="s">
        <v>1344</v>
      </c>
      <c r="U437" s="3" t="s">
        <v>38</v>
      </c>
      <c r="V437" s="3" t="s">
        <v>39</v>
      </c>
      <c r="W437" s="3" t="s">
        <v>2945</v>
      </c>
      <c r="X437" s="10" t="s">
        <v>2946</v>
      </c>
      <c r="Y437" s="6" t="s">
        <v>55</v>
      </c>
      <c r="Z437" s="4">
        <v>650.61</v>
      </c>
      <c r="AA437" s="4">
        <v>6506.08</v>
      </c>
      <c r="AB437" s="3" t="s">
        <v>43</v>
      </c>
      <c r="AC437" s="3" t="s">
        <v>2947</v>
      </c>
      <c r="AD437" s="9">
        <v>45454</v>
      </c>
      <c r="AE437" s="3" t="s">
        <v>110</v>
      </c>
      <c r="AF437" s="3" t="s">
        <v>111</v>
      </c>
      <c r="AG437" s="3" t="s">
        <v>81</v>
      </c>
      <c r="AH437" s="11">
        <f>HYPERLINK("https://my.pitchbook.com?c=254392-75T","View Company Online")</f>
      </c>
    </row>
    <row r="438">
      <c r="A438" s="12" t="s">
        <v>2948</v>
      </c>
      <c r="B438" s="12" t="s">
        <v>2949</v>
      </c>
      <c r="C438" s="19" t="s">
        <v>36</v>
      </c>
      <c r="D438" s="19" t="s">
        <v>36</v>
      </c>
      <c r="E438" s="19" t="s">
        <v>36</v>
      </c>
      <c r="F438" s="19" t="s">
        <v>36</v>
      </c>
      <c r="G438" s="15" t="s">
        <v>2497</v>
      </c>
      <c r="H438" s="14" t="s">
        <v>36</v>
      </c>
      <c r="I438" s="18">
        <v>36.79</v>
      </c>
      <c r="J438" s="12" t="s">
        <v>327</v>
      </c>
      <c r="K438" s="13" t="s">
        <v>36</v>
      </c>
      <c r="L438" s="15" t="s">
        <v>1279</v>
      </c>
      <c r="M438" s="12" t="s">
        <v>36</v>
      </c>
      <c r="N438" s="12" t="s">
        <v>1279</v>
      </c>
      <c r="O438" s="17" t="s">
        <v>36</v>
      </c>
      <c r="P438" s="12" t="s">
        <v>36</v>
      </c>
      <c r="Q438" s="12" t="s">
        <v>36</v>
      </c>
      <c r="R438" s="12" t="s">
        <v>36</v>
      </c>
      <c r="S438" s="12" t="s">
        <v>36</v>
      </c>
      <c r="T438" s="12" t="s">
        <v>2950</v>
      </c>
      <c r="U438" s="12" t="s">
        <v>38</v>
      </c>
      <c r="V438" s="12" t="s">
        <v>39</v>
      </c>
      <c r="W438" s="12" t="s">
        <v>2951</v>
      </c>
      <c r="X438" s="16" t="s">
        <v>2952</v>
      </c>
      <c r="Y438" s="15" t="s">
        <v>192</v>
      </c>
      <c r="Z438" s="14">
        <v>28.19</v>
      </c>
      <c r="AA438" s="14">
        <v>76.63</v>
      </c>
      <c r="AB438" s="12" t="s">
        <v>56</v>
      </c>
      <c r="AC438" s="12" t="s">
        <v>2953</v>
      </c>
      <c r="AD438" s="13">
        <v>45454</v>
      </c>
      <c r="AE438" s="12" t="s">
        <v>134</v>
      </c>
      <c r="AF438" s="12" t="s">
        <v>135</v>
      </c>
      <c r="AG438" s="12" t="s">
        <v>81</v>
      </c>
      <c r="AH438" s="1">
        <f>HYPERLINK("https://my.pitchbook.com?c=262515-07T","View Company Online")</f>
      </c>
    </row>
    <row r="439">
      <c r="A439" s="3" t="s">
        <v>2954</v>
      </c>
      <c r="B439" s="3" t="s">
        <v>2955</v>
      </c>
      <c r="C439" s="5" t="s">
        <v>36</v>
      </c>
      <c r="D439" s="5" t="s">
        <v>36</v>
      </c>
      <c r="E439" s="5" t="s">
        <v>36</v>
      </c>
      <c r="F439" s="5" t="s">
        <v>36</v>
      </c>
      <c r="G439" s="6" t="s">
        <v>326</v>
      </c>
      <c r="H439" s="4">
        <v>12.89</v>
      </c>
      <c r="I439" s="7">
        <v>26.07</v>
      </c>
      <c r="J439" s="3" t="s">
        <v>521</v>
      </c>
      <c r="K439" s="9" t="s">
        <v>36</v>
      </c>
      <c r="L439" s="6" t="s">
        <v>36</v>
      </c>
      <c r="M439" s="3" t="s">
        <v>36</v>
      </c>
      <c r="N439" s="3" t="s">
        <v>36</v>
      </c>
      <c r="O439" s="8" t="s">
        <v>36</v>
      </c>
      <c r="P439" s="3" t="s">
        <v>36</v>
      </c>
      <c r="Q439" s="3" t="s">
        <v>36</v>
      </c>
      <c r="R439" s="3" t="s">
        <v>36</v>
      </c>
      <c r="S439" s="3" t="s">
        <v>36</v>
      </c>
      <c r="T439" s="3" t="s">
        <v>522</v>
      </c>
      <c r="U439" s="3" t="s">
        <v>38</v>
      </c>
      <c r="V439" s="3" t="s">
        <v>39</v>
      </c>
      <c r="W439" s="3" t="s">
        <v>2956</v>
      </c>
      <c r="X439" s="10" t="s">
        <v>2957</v>
      </c>
      <c r="Y439" s="6" t="s">
        <v>108</v>
      </c>
      <c r="Z439" s="4">
        <v>9.98</v>
      </c>
      <c r="AA439" s="4">
        <v>24.96</v>
      </c>
      <c r="AB439" s="3" t="s">
        <v>43</v>
      </c>
      <c r="AC439" s="3" t="s">
        <v>2958</v>
      </c>
      <c r="AD439" s="9">
        <v>45454</v>
      </c>
      <c r="AE439" s="3" t="s">
        <v>110</v>
      </c>
      <c r="AF439" s="3" t="s">
        <v>256</v>
      </c>
      <c r="AG439" s="3" t="s">
        <v>81</v>
      </c>
      <c r="AH439" s="11">
        <f>HYPERLINK("https://my.pitchbook.com?c=225049-24T","View Company Online")</f>
      </c>
    </row>
    <row r="440">
      <c r="A440" s="12" t="s">
        <v>2959</v>
      </c>
      <c r="B440" s="12" t="s">
        <v>2960</v>
      </c>
      <c r="C440" s="19" t="s">
        <v>36</v>
      </c>
      <c r="D440" s="19" t="s">
        <v>36</v>
      </c>
      <c r="E440" s="19" t="s">
        <v>36</v>
      </c>
      <c r="F440" s="19" t="s">
        <v>36</v>
      </c>
      <c r="G440" s="15" t="s">
        <v>326</v>
      </c>
      <c r="H440" s="14">
        <v>5.37</v>
      </c>
      <c r="I440" s="18">
        <v>26.72</v>
      </c>
      <c r="J440" s="12" t="s">
        <v>521</v>
      </c>
      <c r="K440" s="13" t="s">
        <v>36</v>
      </c>
      <c r="L440" s="15" t="s">
        <v>122</v>
      </c>
      <c r="M440" s="12" t="s">
        <v>36</v>
      </c>
      <c r="N440" s="12" t="s">
        <v>122</v>
      </c>
      <c r="O440" s="17" t="s">
        <v>36</v>
      </c>
      <c r="P440" s="12" t="s">
        <v>36</v>
      </c>
      <c r="Q440" s="12" t="s">
        <v>36</v>
      </c>
      <c r="R440" s="12" t="s">
        <v>36</v>
      </c>
      <c r="S440" s="12" t="s">
        <v>36</v>
      </c>
      <c r="T440" s="12" t="s">
        <v>2961</v>
      </c>
      <c r="U440" s="12" t="s">
        <v>74</v>
      </c>
      <c r="V440" s="12" t="s">
        <v>75</v>
      </c>
      <c r="W440" s="12" t="s">
        <v>2962</v>
      </c>
      <c r="X440" s="16" t="s">
        <v>2963</v>
      </c>
      <c r="Y440" s="15" t="s">
        <v>192</v>
      </c>
      <c r="Z440" s="14">
        <v>6.51</v>
      </c>
      <c r="AA440" s="14">
        <v>12.32</v>
      </c>
      <c r="AB440" s="12" t="s">
        <v>56</v>
      </c>
      <c r="AC440" s="12" t="s">
        <v>2964</v>
      </c>
      <c r="AD440" s="13">
        <v>45453</v>
      </c>
      <c r="AE440" s="12" t="s">
        <v>975</v>
      </c>
      <c r="AF440" s="12" t="s">
        <v>36</v>
      </c>
      <c r="AG440" s="12" t="s">
        <v>2088</v>
      </c>
      <c r="AH440" s="1">
        <f>HYPERLINK("https://my.pitchbook.com?c=261251-83T","View Company Online")</f>
      </c>
    </row>
    <row r="441">
      <c r="A441" s="3" t="s">
        <v>2965</v>
      </c>
      <c r="B441" s="3" t="s">
        <v>2966</v>
      </c>
      <c r="C441" s="5" t="s">
        <v>36</v>
      </c>
      <c r="D441" s="5" t="s">
        <v>36</v>
      </c>
      <c r="E441" s="5" t="s">
        <v>36</v>
      </c>
      <c r="F441" s="5" t="s">
        <v>36</v>
      </c>
      <c r="G441" s="6" t="s">
        <v>36</v>
      </c>
      <c r="H441" s="4" t="s">
        <v>36</v>
      </c>
      <c r="I441" s="7" t="s">
        <v>36</v>
      </c>
      <c r="J441" s="3" t="s">
        <v>36</v>
      </c>
      <c r="K441" s="9">
        <v>45292</v>
      </c>
      <c r="L441" s="6" t="s">
        <v>36</v>
      </c>
      <c r="M441" s="3" t="s">
        <v>36</v>
      </c>
      <c r="N441" s="3" t="s">
        <v>36</v>
      </c>
      <c r="O441" s="8" t="s">
        <v>36</v>
      </c>
      <c r="P441" s="3" t="s">
        <v>36</v>
      </c>
      <c r="Q441" s="3" t="s">
        <v>36</v>
      </c>
      <c r="R441" s="3" t="s">
        <v>36</v>
      </c>
      <c r="S441" s="3" t="s">
        <v>36</v>
      </c>
      <c r="T441" s="3" t="s">
        <v>2967</v>
      </c>
      <c r="U441" s="3" t="s">
        <v>38</v>
      </c>
      <c r="V441" s="3" t="s">
        <v>39</v>
      </c>
      <c r="W441" s="3" t="s">
        <v>2968</v>
      </c>
      <c r="X441" s="10" t="s">
        <v>2969</v>
      </c>
      <c r="Y441" s="6" t="s">
        <v>42</v>
      </c>
      <c r="Z441" s="4">
        <v>5.42</v>
      </c>
      <c r="AA441" s="4" t="s">
        <v>36</v>
      </c>
      <c r="AB441" s="3" t="s">
        <v>43</v>
      </c>
      <c r="AC441" s="3" t="s">
        <v>2970</v>
      </c>
      <c r="AD441" s="9">
        <v>45453</v>
      </c>
      <c r="AE441" s="3" t="s">
        <v>110</v>
      </c>
      <c r="AF441" s="3" t="s">
        <v>1115</v>
      </c>
      <c r="AG441" s="3" t="s">
        <v>332</v>
      </c>
      <c r="AH441" s="11">
        <f>HYPERLINK("https://my.pitchbook.com?c=250467-40T","View Company Online")</f>
      </c>
    </row>
    <row r="442">
      <c r="A442" s="12" t="s">
        <v>2971</v>
      </c>
      <c r="B442" s="12" t="s">
        <v>2972</v>
      </c>
      <c r="C442" s="19">
        <v>3</v>
      </c>
      <c r="D442" s="19">
        <v>12</v>
      </c>
      <c r="E442" s="19">
        <v>2</v>
      </c>
      <c r="F442" s="19">
        <v>15</v>
      </c>
      <c r="G442" s="15" t="s">
        <v>36</v>
      </c>
      <c r="H442" s="14" t="s">
        <v>36</v>
      </c>
      <c r="I442" s="18">
        <v>31.98</v>
      </c>
      <c r="J442" s="12" t="s">
        <v>327</v>
      </c>
      <c r="K442" s="13" t="s">
        <v>36</v>
      </c>
      <c r="L442" s="15" t="s">
        <v>122</v>
      </c>
      <c r="M442" s="12" t="s">
        <v>36</v>
      </c>
      <c r="N442" s="12" t="s">
        <v>122</v>
      </c>
      <c r="O442" s="17" t="s">
        <v>36</v>
      </c>
      <c r="P442" s="12" t="s">
        <v>36</v>
      </c>
      <c r="Q442" s="12" t="s">
        <v>36</v>
      </c>
      <c r="R442" s="12" t="s">
        <v>36</v>
      </c>
      <c r="S442" s="12" t="s">
        <v>36</v>
      </c>
      <c r="T442" s="12" t="s">
        <v>2910</v>
      </c>
      <c r="U442" s="12" t="s">
        <v>219</v>
      </c>
      <c r="V442" s="12" t="s">
        <v>75</v>
      </c>
      <c r="W442" s="12" t="s">
        <v>2973</v>
      </c>
      <c r="X442" s="16" t="s">
        <v>2974</v>
      </c>
      <c r="Y442" s="15" t="s">
        <v>55</v>
      </c>
      <c r="Z442" s="14">
        <v>6.51</v>
      </c>
      <c r="AA442" s="14">
        <v>20.35</v>
      </c>
      <c r="AB442" s="12" t="s">
        <v>56</v>
      </c>
      <c r="AC442" s="12" t="s">
        <v>2975</v>
      </c>
      <c r="AD442" s="13">
        <v>45453</v>
      </c>
      <c r="AE442" s="12" t="s">
        <v>2914</v>
      </c>
      <c r="AF442" s="12" t="s">
        <v>2976</v>
      </c>
      <c r="AG442" s="12" t="s">
        <v>1078</v>
      </c>
      <c r="AH442" s="1">
        <f>HYPERLINK("https://my.pitchbook.com?c=267359-32T","View Company Online")</f>
      </c>
    </row>
    <row r="443">
      <c r="A443" s="3" t="s">
        <v>2977</v>
      </c>
      <c r="B443" s="3" t="s">
        <v>2404</v>
      </c>
      <c r="C443" s="5" t="s">
        <v>36</v>
      </c>
      <c r="D443" s="5" t="s">
        <v>36</v>
      </c>
      <c r="E443" s="5" t="s">
        <v>36</v>
      </c>
      <c r="F443" s="5" t="s">
        <v>36</v>
      </c>
      <c r="G443" s="6" t="s">
        <v>36</v>
      </c>
      <c r="H443" s="4" t="s">
        <v>36</v>
      </c>
      <c r="I443" s="7" t="s">
        <v>36</v>
      </c>
      <c r="J443" s="3" t="s">
        <v>36</v>
      </c>
      <c r="K443" s="9" t="s">
        <v>36</v>
      </c>
      <c r="L443" s="6" t="s">
        <v>36</v>
      </c>
      <c r="M443" s="3" t="s">
        <v>36</v>
      </c>
      <c r="N443" s="3" t="s">
        <v>36</v>
      </c>
      <c r="O443" s="8" t="s">
        <v>36</v>
      </c>
      <c r="P443" s="3" t="s">
        <v>36</v>
      </c>
      <c r="Q443" s="3" t="s">
        <v>36</v>
      </c>
      <c r="R443" s="3" t="s">
        <v>36</v>
      </c>
      <c r="S443" s="3" t="s">
        <v>36</v>
      </c>
      <c r="T443" s="3" t="s">
        <v>2405</v>
      </c>
      <c r="U443" s="3" t="s">
        <v>648</v>
      </c>
      <c r="V443" s="3" t="s">
        <v>64</v>
      </c>
      <c r="W443" s="3" t="s">
        <v>2406</v>
      </c>
      <c r="X443" s="10" t="s">
        <v>2978</v>
      </c>
      <c r="Y443" s="6" t="s">
        <v>55</v>
      </c>
      <c r="Z443" s="4" t="s">
        <v>36</v>
      </c>
      <c r="AA443" s="4" t="s">
        <v>36</v>
      </c>
      <c r="AB443" s="3" t="s">
        <v>56</v>
      </c>
      <c r="AC443" s="3" t="s">
        <v>2408</v>
      </c>
      <c r="AD443" s="9">
        <v>45450</v>
      </c>
      <c r="AE443" s="3" t="s">
        <v>1897</v>
      </c>
      <c r="AF443" s="3" t="s">
        <v>2409</v>
      </c>
      <c r="AG443" s="3" t="s">
        <v>81</v>
      </c>
      <c r="AH443" s="11">
        <f>HYPERLINK("https://my.pitchbook.com?c=261799-39T","View Company Online")</f>
      </c>
    </row>
    <row r="444">
      <c r="A444" s="12" t="s">
        <v>2979</v>
      </c>
      <c r="B444" s="12" t="s">
        <v>2980</v>
      </c>
      <c r="C444" s="19" t="s">
        <v>36</v>
      </c>
      <c r="D444" s="19" t="s">
        <v>36</v>
      </c>
      <c r="E444" s="19" t="s">
        <v>36</v>
      </c>
      <c r="F444" s="19" t="s">
        <v>36</v>
      </c>
      <c r="G444" s="15" t="s">
        <v>36</v>
      </c>
      <c r="H444" s="14" t="s">
        <v>36</v>
      </c>
      <c r="I444" s="18">
        <v>18.6</v>
      </c>
      <c r="J444" s="12" t="s">
        <v>327</v>
      </c>
      <c r="K444" s="13">
        <v>45413</v>
      </c>
      <c r="L444" s="15" t="s">
        <v>36</v>
      </c>
      <c r="M444" s="12" t="s">
        <v>36</v>
      </c>
      <c r="N444" s="12" t="s">
        <v>36</v>
      </c>
      <c r="O444" s="17" t="s">
        <v>36</v>
      </c>
      <c r="P444" s="12" t="s">
        <v>36</v>
      </c>
      <c r="Q444" s="12" t="s">
        <v>36</v>
      </c>
      <c r="R444" s="12" t="s">
        <v>36</v>
      </c>
      <c r="S444" s="12" t="s">
        <v>36</v>
      </c>
      <c r="T444" s="12" t="s">
        <v>522</v>
      </c>
      <c r="U444" s="12" t="s">
        <v>38</v>
      </c>
      <c r="V444" s="12" t="s">
        <v>39</v>
      </c>
      <c r="W444" s="12" t="s">
        <v>2981</v>
      </c>
      <c r="X444" s="16" t="s">
        <v>2982</v>
      </c>
      <c r="Y444" s="15" t="s">
        <v>42</v>
      </c>
      <c r="Z444" s="14">
        <v>0.65</v>
      </c>
      <c r="AA444" s="14">
        <v>3.5</v>
      </c>
      <c r="AB444" s="12" t="s">
        <v>43</v>
      </c>
      <c r="AC444" s="12" t="s">
        <v>2983</v>
      </c>
      <c r="AD444" s="13">
        <v>45450</v>
      </c>
      <c r="AE444" s="12" t="s">
        <v>110</v>
      </c>
      <c r="AF444" s="12" t="s">
        <v>176</v>
      </c>
      <c r="AG444" s="12" t="s">
        <v>47</v>
      </c>
      <c r="AH444" s="1">
        <f>HYPERLINK("https://my.pitchbook.com?c=260558-56T","View Company Online")</f>
      </c>
    </row>
    <row r="445">
      <c r="A445" s="3" t="s">
        <v>2984</v>
      </c>
      <c r="B445" s="3" t="s">
        <v>2985</v>
      </c>
      <c r="C445" s="5" t="s">
        <v>36</v>
      </c>
      <c r="D445" s="5" t="s">
        <v>36</v>
      </c>
      <c r="E445" s="5" t="s">
        <v>36</v>
      </c>
      <c r="F445" s="5" t="s">
        <v>36</v>
      </c>
      <c r="G445" s="6" t="s">
        <v>36</v>
      </c>
      <c r="H445" s="4" t="s">
        <v>36</v>
      </c>
      <c r="I445" s="7" t="s">
        <v>36</v>
      </c>
      <c r="J445" s="3" t="s">
        <v>36</v>
      </c>
      <c r="K445" s="9" t="s">
        <v>36</v>
      </c>
      <c r="L445" s="6" t="s">
        <v>122</v>
      </c>
      <c r="M445" s="3" t="s">
        <v>36</v>
      </c>
      <c r="N445" s="3" t="s">
        <v>122</v>
      </c>
      <c r="O445" s="8" t="s">
        <v>36</v>
      </c>
      <c r="P445" s="3" t="s">
        <v>36</v>
      </c>
      <c r="Q445" s="3" t="s">
        <v>36</v>
      </c>
      <c r="R445" s="3" t="s">
        <v>36</v>
      </c>
      <c r="S445" s="3" t="s">
        <v>36</v>
      </c>
      <c r="T445" s="3" t="s">
        <v>2986</v>
      </c>
      <c r="U445" s="3" t="s">
        <v>38</v>
      </c>
      <c r="V445" s="3" t="s">
        <v>39</v>
      </c>
      <c r="W445" s="3" t="s">
        <v>2987</v>
      </c>
      <c r="X445" s="10" t="s">
        <v>2988</v>
      </c>
      <c r="Y445" s="6" t="s">
        <v>108</v>
      </c>
      <c r="Z445" s="4">
        <v>10.84</v>
      </c>
      <c r="AA445" s="4" t="s">
        <v>36</v>
      </c>
      <c r="AB445" s="3" t="s">
        <v>56</v>
      </c>
      <c r="AC445" s="3" t="s">
        <v>2989</v>
      </c>
      <c r="AD445" s="9">
        <v>45449</v>
      </c>
      <c r="AE445" s="3" t="s">
        <v>45</v>
      </c>
      <c r="AF445" s="3" t="s">
        <v>1962</v>
      </c>
      <c r="AG445" s="3" t="s">
        <v>81</v>
      </c>
      <c r="AH445" s="11">
        <f>HYPERLINK("https://my.pitchbook.com?c=261352-00T","View Company Online")</f>
      </c>
    </row>
    <row r="446">
      <c r="A446" s="12" t="s">
        <v>2990</v>
      </c>
      <c r="B446" s="12" t="s">
        <v>2991</v>
      </c>
      <c r="C446" s="19">
        <v>13</v>
      </c>
      <c r="D446" s="19">
        <v>21</v>
      </c>
      <c r="E446" s="19">
        <v>14</v>
      </c>
      <c r="F446" s="19">
        <v>36</v>
      </c>
      <c r="G446" s="15" t="s">
        <v>36</v>
      </c>
      <c r="H446" s="14" t="s">
        <v>36</v>
      </c>
      <c r="I446" s="18" t="s">
        <v>36</v>
      </c>
      <c r="J446" s="12" t="s">
        <v>36</v>
      </c>
      <c r="K446" s="13" t="s">
        <v>36</v>
      </c>
      <c r="L446" s="15" t="s">
        <v>94</v>
      </c>
      <c r="M446" s="12" t="s">
        <v>36</v>
      </c>
      <c r="N446" s="12" t="s">
        <v>94</v>
      </c>
      <c r="O446" s="17" t="s">
        <v>36</v>
      </c>
      <c r="P446" s="12" t="s">
        <v>36</v>
      </c>
      <c r="Q446" s="12" t="s">
        <v>36</v>
      </c>
      <c r="R446" s="12" t="s">
        <v>36</v>
      </c>
      <c r="S446" s="12" t="s">
        <v>36</v>
      </c>
      <c r="T446" s="12" t="s">
        <v>2992</v>
      </c>
      <c r="U446" s="12" t="s">
        <v>96</v>
      </c>
      <c r="V446" s="12" t="s">
        <v>52</v>
      </c>
      <c r="W446" s="12" t="s">
        <v>2993</v>
      </c>
      <c r="X446" s="16" t="s">
        <v>2994</v>
      </c>
      <c r="Y446" s="15" t="s">
        <v>192</v>
      </c>
      <c r="Z446" s="14" t="s">
        <v>36</v>
      </c>
      <c r="AA446" s="14" t="s">
        <v>36</v>
      </c>
      <c r="AB446" s="12" t="s">
        <v>56</v>
      </c>
      <c r="AC446" s="12" t="s">
        <v>2995</v>
      </c>
      <c r="AD446" s="13">
        <v>45449</v>
      </c>
      <c r="AE446" s="12" t="s">
        <v>100</v>
      </c>
      <c r="AF446" s="12" t="s">
        <v>2996</v>
      </c>
      <c r="AG446" s="12" t="s">
        <v>81</v>
      </c>
      <c r="AH446" s="1">
        <f>HYPERLINK("https://my.pitchbook.com?c=266023-27T","View Company Online")</f>
      </c>
    </row>
    <row r="447">
      <c r="A447" s="3" t="s">
        <v>2997</v>
      </c>
      <c r="B447" s="3" t="s">
        <v>2998</v>
      </c>
      <c r="C447" s="5">
        <v>24</v>
      </c>
      <c r="D447" s="5">
        <v>18</v>
      </c>
      <c r="E447" s="5">
        <v>10</v>
      </c>
      <c r="F447" s="5">
        <v>42</v>
      </c>
      <c r="G447" s="6" t="s">
        <v>36</v>
      </c>
      <c r="H447" s="4" t="s">
        <v>36</v>
      </c>
      <c r="I447" s="7" t="s">
        <v>36</v>
      </c>
      <c r="J447" s="3" t="s">
        <v>36</v>
      </c>
      <c r="K447" s="9" t="s">
        <v>36</v>
      </c>
      <c r="L447" s="6" t="s">
        <v>122</v>
      </c>
      <c r="M447" s="3" t="s">
        <v>36</v>
      </c>
      <c r="N447" s="3" t="s">
        <v>122</v>
      </c>
      <c r="O447" s="8" t="s">
        <v>36</v>
      </c>
      <c r="P447" s="3" t="s">
        <v>36</v>
      </c>
      <c r="Q447" s="3" t="s">
        <v>36</v>
      </c>
      <c r="R447" s="3" t="s">
        <v>36</v>
      </c>
      <c r="S447" s="3" t="s">
        <v>36</v>
      </c>
      <c r="T447" s="3" t="s">
        <v>2999</v>
      </c>
      <c r="U447" s="3" t="s">
        <v>3000</v>
      </c>
      <c r="V447" s="3" t="s">
        <v>378</v>
      </c>
      <c r="W447" s="3" t="s">
        <v>3001</v>
      </c>
      <c r="X447" s="10" t="s">
        <v>3002</v>
      </c>
      <c r="Y447" s="6" t="s">
        <v>108</v>
      </c>
      <c r="Z447" s="4">
        <v>28.18</v>
      </c>
      <c r="AA447" s="4" t="s">
        <v>36</v>
      </c>
      <c r="AB447" s="3" t="s">
        <v>56</v>
      </c>
      <c r="AC447" s="3" t="s">
        <v>3003</v>
      </c>
      <c r="AD447" s="9">
        <v>45449</v>
      </c>
      <c r="AE447" s="3" t="s">
        <v>3004</v>
      </c>
      <c r="AF447" s="3" t="s">
        <v>3005</v>
      </c>
      <c r="AG447" s="3" t="s">
        <v>3006</v>
      </c>
      <c r="AH447" s="11">
        <f>HYPERLINK("https://my.pitchbook.com?c=264376-18T","View Company Online")</f>
      </c>
    </row>
    <row r="448">
      <c r="A448" s="12" t="s">
        <v>3007</v>
      </c>
      <c r="B448" s="12" t="s">
        <v>3008</v>
      </c>
      <c r="C448" s="19" t="s">
        <v>36</v>
      </c>
      <c r="D448" s="19" t="s">
        <v>36</v>
      </c>
      <c r="E448" s="19" t="s">
        <v>36</v>
      </c>
      <c r="F448" s="19" t="s">
        <v>36</v>
      </c>
      <c r="G448" s="15" t="s">
        <v>36</v>
      </c>
      <c r="H448" s="14" t="s">
        <v>36</v>
      </c>
      <c r="I448" s="18" t="s">
        <v>36</v>
      </c>
      <c r="J448" s="12" t="s">
        <v>36</v>
      </c>
      <c r="K448" s="13">
        <v>45413</v>
      </c>
      <c r="L448" s="15" t="s">
        <v>36</v>
      </c>
      <c r="M448" s="12" t="s">
        <v>36</v>
      </c>
      <c r="N448" s="12" t="s">
        <v>36</v>
      </c>
      <c r="O448" s="17" t="s">
        <v>36</v>
      </c>
      <c r="P448" s="12" t="s">
        <v>36</v>
      </c>
      <c r="Q448" s="12" t="s">
        <v>36</v>
      </c>
      <c r="R448" s="12" t="s">
        <v>36</v>
      </c>
      <c r="S448" s="12" t="s">
        <v>36</v>
      </c>
      <c r="T448" s="12" t="s">
        <v>3009</v>
      </c>
      <c r="U448" s="12" t="s">
        <v>1502</v>
      </c>
      <c r="V448" s="12" t="s">
        <v>75</v>
      </c>
      <c r="W448" s="12" t="s">
        <v>3010</v>
      </c>
      <c r="X448" s="16" t="s">
        <v>3011</v>
      </c>
      <c r="Y448" s="15" t="s">
        <v>42</v>
      </c>
      <c r="Z448" s="14">
        <v>1.08</v>
      </c>
      <c r="AA448" s="14" t="s">
        <v>36</v>
      </c>
      <c r="AB448" s="12" t="s">
        <v>43</v>
      </c>
      <c r="AC448" s="12" t="s">
        <v>3012</v>
      </c>
      <c r="AD448" s="13">
        <v>45449</v>
      </c>
      <c r="AE448" s="12" t="s">
        <v>1506</v>
      </c>
      <c r="AF448" s="12" t="s">
        <v>372</v>
      </c>
      <c r="AG448" s="12" t="s">
        <v>3013</v>
      </c>
      <c r="AH448" s="1">
        <f>HYPERLINK("https://my.pitchbook.com?c=261412-93T","View Company Online")</f>
      </c>
    </row>
    <row r="449">
      <c r="A449" s="3" t="s">
        <v>3014</v>
      </c>
      <c r="B449" s="3" t="s">
        <v>3015</v>
      </c>
      <c r="C449" s="5">
        <v>1</v>
      </c>
      <c r="D449" s="5">
        <v>2</v>
      </c>
      <c r="E449" s="5">
        <v>1</v>
      </c>
      <c r="F449" s="5">
        <v>3</v>
      </c>
      <c r="G449" s="6" t="s">
        <v>36</v>
      </c>
      <c r="H449" s="4" t="s">
        <v>36</v>
      </c>
      <c r="I449" s="7">
        <v>25.24</v>
      </c>
      <c r="J449" s="3" t="s">
        <v>327</v>
      </c>
      <c r="K449" s="9" t="s">
        <v>36</v>
      </c>
      <c r="L449" s="6" t="s">
        <v>122</v>
      </c>
      <c r="M449" s="3" t="s">
        <v>36</v>
      </c>
      <c r="N449" s="3" t="s">
        <v>122</v>
      </c>
      <c r="O449" s="8" t="s">
        <v>36</v>
      </c>
      <c r="P449" s="3" t="s">
        <v>36</v>
      </c>
      <c r="Q449" s="3" t="s">
        <v>36</v>
      </c>
      <c r="R449" s="3" t="s">
        <v>36</v>
      </c>
      <c r="S449" s="3" t="s">
        <v>36</v>
      </c>
      <c r="T449" s="3" t="s">
        <v>1725</v>
      </c>
      <c r="U449" s="3" t="s">
        <v>318</v>
      </c>
      <c r="V449" s="3" t="s">
        <v>39</v>
      </c>
      <c r="W449" s="3" t="s">
        <v>3016</v>
      </c>
      <c r="X449" s="10" t="s">
        <v>3017</v>
      </c>
      <c r="Y449" s="6" t="s">
        <v>42</v>
      </c>
      <c r="Z449" s="4">
        <v>2.28</v>
      </c>
      <c r="AA449" s="4">
        <v>9.01</v>
      </c>
      <c r="AB449" s="3" t="s">
        <v>56</v>
      </c>
      <c r="AC449" s="3" t="s">
        <v>3018</v>
      </c>
      <c r="AD449" s="9">
        <v>45449</v>
      </c>
      <c r="AE449" s="3" t="s">
        <v>763</v>
      </c>
      <c r="AF449" s="3" t="s">
        <v>36</v>
      </c>
      <c r="AG449" s="3" t="s">
        <v>144</v>
      </c>
      <c r="AH449" s="11">
        <f>HYPERLINK("https://my.pitchbook.com?c=261417-34T","View Company Online")</f>
      </c>
    </row>
    <row r="450">
      <c r="A450" s="12" t="s">
        <v>3019</v>
      </c>
      <c r="B450" s="12" t="s">
        <v>3020</v>
      </c>
      <c r="C450" s="19" t="s">
        <v>36</v>
      </c>
      <c r="D450" s="19" t="s">
        <v>36</v>
      </c>
      <c r="E450" s="19" t="s">
        <v>36</v>
      </c>
      <c r="F450" s="19" t="s">
        <v>36</v>
      </c>
      <c r="G450" s="15" t="s">
        <v>36</v>
      </c>
      <c r="H450" s="14" t="s">
        <v>36</v>
      </c>
      <c r="I450" s="18">
        <v>54.54</v>
      </c>
      <c r="J450" s="12" t="s">
        <v>327</v>
      </c>
      <c r="K450" s="13" t="s">
        <v>36</v>
      </c>
      <c r="L450" s="15" t="s">
        <v>36</v>
      </c>
      <c r="M450" s="12" t="s">
        <v>36</v>
      </c>
      <c r="N450" s="12" t="s">
        <v>36</v>
      </c>
      <c r="O450" s="17" t="s">
        <v>36</v>
      </c>
      <c r="P450" s="12" t="s">
        <v>36</v>
      </c>
      <c r="Q450" s="12" t="s">
        <v>36</v>
      </c>
      <c r="R450" s="12" t="s">
        <v>36</v>
      </c>
      <c r="S450" s="12" t="s">
        <v>36</v>
      </c>
      <c r="T450" s="12" t="s">
        <v>189</v>
      </c>
      <c r="U450" s="12" t="s">
        <v>180</v>
      </c>
      <c r="V450" s="12" t="s">
        <v>52</v>
      </c>
      <c r="W450" s="12" t="s">
        <v>3021</v>
      </c>
      <c r="X450" s="16" t="s">
        <v>3022</v>
      </c>
      <c r="Y450" s="15" t="s">
        <v>108</v>
      </c>
      <c r="Z450" s="14">
        <v>4.33</v>
      </c>
      <c r="AA450" s="14">
        <v>7.94</v>
      </c>
      <c r="AB450" s="12" t="s">
        <v>43</v>
      </c>
      <c r="AC450" s="12" t="s">
        <v>3023</v>
      </c>
      <c r="AD450" s="13">
        <v>45448</v>
      </c>
      <c r="AE450" s="12" t="s">
        <v>184</v>
      </c>
      <c r="AF450" s="12" t="s">
        <v>3024</v>
      </c>
      <c r="AG450" s="12" t="s">
        <v>81</v>
      </c>
      <c r="AH450" s="1">
        <f>HYPERLINK("https://my.pitchbook.com?c=261251-47T","View Company Online")</f>
      </c>
    </row>
    <row r="451">
      <c r="A451" s="3" t="s">
        <v>3025</v>
      </c>
      <c r="B451" s="3" t="s">
        <v>3026</v>
      </c>
      <c r="C451" s="5" t="s">
        <v>36</v>
      </c>
      <c r="D451" s="5" t="s">
        <v>36</v>
      </c>
      <c r="E451" s="5" t="s">
        <v>36</v>
      </c>
      <c r="F451" s="5" t="s">
        <v>36</v>
      </c>
      <c r="G451" s="6" t="s">
        <v>36</v>
      </c>
      <c r="H451" s="4" t="s">
        <v>36</v>
      </c>
      <c r="I451" s="7" t="s">
        <v>36</v>
      </c>
      <c r="J451" s="3" t="s">
        <v>36</v>
      </c>
      <c r="K451" s="9" t="s">
        <v>36</v>
      </c>
      <c r="L451" s="6" t="s">
        <v>36</v>
      </c>
      <c r="M451" s="3" t="s">
        <v>36</v>
      </c>
      <c r="N451" s="3" t="s">
        <v>36</v>
      </c>
      <c r="O451" s="8" t="s">
        <v>36</v>
      </c>
      <c r="P451" s="3" t="s">
        <v>36</v>
      </c>
      <c r="Q451" s="3" t="s">
        <v>36</v>
      </c>
      <c r="R451" s="3" t="s">
        <v>36</v>
      </c>
      <c r="S451" s="3" t="s">
        <v>36</v>
      </c>
      <c r="T451" s="3" t="s">
        <v>105</v>
      </c>
      <c r="U451" s="3" t="s">
        <v>38</v>
      </c>
      <c r="V451" s="3" t="s">
        <v>39</v>
      </c>
      <c r="W451" s="3" t="s">
        <v>3027</v>
      </c>
      <c r="X451" s="10" t="s">
        <v>3028</v>
      </c>
      <c r="Y451" s="6" t="s">
        <v>42</v>
      </c>
      <c r="Z451" s="4">
        <v>1.41</v>
      </c>
      <c r="AA451" s="4" t="s">
        <v>36</v>
      </c>
      <c r="AB451" s="3" t="s">
        <v>43</v>
      </c>
      <c r="AC451" s="3" t="s">
        <v>3029</v>
      </c>
      <c r="AD451" s="9">
        <v>45448</v>
      </c>
      <c r="AE451" s="3" t="s">
        <v>110</v>
      </c>
      <c r="AF451" s="3" t="s">
        <v>176</v>
      </c>
      <c r="AG451" s="3" t="s">
        <v>899</v>
      </c>
      <c r="AH451" s="11">
        <f>HYPERLINK("https://my.pitchbook.com?c=254023-03T","View Company Online")</f>
      </c>
    </row>
    <row r="452">
      <c r="A452" s="12" t="s">
        <v>3030</v>
      </c>
      <c r="B452" s="12" t="s">
        <v>3031</v>
      </c>
      <c r="C452" s="19" t="s">
        <v>36</v>
      </c>
      <c r="D452" s="19" t="s">
        <v>36</v>
      </c>
      <c r="E452" s="19" t="s">
        <v>36</v>
      </c>
      <c r="F452" s="19" t="s">
        <v>36</v>
      </c>
      <c r="G452" s="15" t="s">
        <v>36</v>
      </c>
      <c r="H452" s="14" t="s">
        <v>36</v>
      </c>
      <c r="I452" s="18">
        <v>5.45</v>
      </c>
      <c r="J452" s="12" t="s">
        <v>327</v>
      </c>
      <c r="K452" s="13" t="s">
        <v>36</v>
      </c>
      <c r="L452" s="15" t="s">
        <v>36</v>
      </c>
      <c r="M452" s="12" t="s">
        <v>36</v>
      </c>
      <c r="N452" s="12" t="s">
        <v>36</v>
      </c>
      <c r="O452" s="17" t="s">
        <v>36</v>
      </c>
      <c r="P452" s="12" t="s">
        <v>36</v>
      </c>
      <c r="Q452" s="12" t="s">
        <v>36</v>
      </c>
      <c r="R452" s="12" t="s">
        <v>36</v>
      </c>
      <c r="S452" s="12" t="s">
        <v>36</v>
      </c>
      <c r="T452" s="12" t="s">
        <v>1560</v>
      </c>
      <c r="U452" s="12" t="s">
        <v>438</v>
      </c>
      <c r="V452" s="12" t="s">
        <v>405</v>
      </c>
      <c r="W452" s="12" t="s">
        <v>3032</v>
      </c>
      <c r="X452" s="16" t="s">
        <v>657</v>
      </c>
      <c r="Y452" s="15" t="s">
        <v>55</v>
      </c>
      <c r="Z452" s="14">
        <v>2.82</v>
      </c>
      <c r="AA452" s="14">
        <v>51.71</v>
      </c>
      <c r="AB452" s="12" t="s">
        <v>56</v>
      </c>
      <c r="AC452" s="12" t="s">
        <v>3033</v>
      </c>
      <c r="AD452" s="13">
        <v>45448</v>
      </c>
      <c r="AE452" s="12" t="s">
        <v>438</v>
      </c>
      <c r="AF452" s="12" t="s">
        <v>3034</v>
      </c>
      <c r="AG452" s="12" t="s">
        <v>81</v>
      </c>
      <c r="AH452" s="1">
        <f>HYPERLINK("https://my.pitchbook.com?c=274438-72T","View Company Online")</f>
      </c>
    </row>
    <row r="453">
      <c r="A453" s="3" t="s">
        <v>3035</v>
      </c>
      <c r="B453" s="3" t="s">
        <v>3036</v>
      </c>
      <c r="C453" s="5" t="s">
        <v>36</v>
      </c>
      <c r="D453" s="5" t="s">
        <v>36</v>
      </c>
      <c r="E453" s="5" t="s">
        <v>36</v>
      </c>
      <c r="F453" s="5" t="s">
        <v>36</v>
      </c>
      <c r="G453" s="6" t="s">
        <v>36</v>
      </c>
      <c r="H453" s="4" t="s">
        <v>36</v>
      </c>
      <c r="I453" s="7" t="s">
        <v>36</v>
      </c>
      <c r="J453" s="3" t="s">
        <v>36</v>
      </c>
      <c r="K453" s="9" t="s">
        <v>36</v>
      </c>
      <c r="L453" s="6" t="s">
        <v>122</v>
      </c>
      <c r="M453" s="3" t="s">
        <v>36</v>
      </c>
      <c r="N453" s="3" t="s">
        <v>122</v>
      </c>
      <c r="O453" s="8" t="s">
        <v>36</v>
      </c>
      <c r="P453" s="3" t="s">
        <v>36</v>
      </c>
      <c r="Q453" s="3" t="s">
        <v>36</v>
      </c>
      <c r="R453" s="3" t="s">
        <v>36</v>
      </c>
      <c r="S453" s="3" t="s">
        <v>36</v>
      </c>
      <c r="T453" s="3" t="s">
        <v>105</v>
      </c>
      <c r="U453" s="3" t="s">
        <v>38</v>
      </c>
      <c r="V453" s="3" t="s">
        <v>39</v>
      </c>
      <c r="W453" s="3" t="s">
        <v>3037</v>
      </c>
      <c r="X453" s="10" t="s">
        <v>3038</v>
      </c>
      <c r="Y453" s="6" t="s">
        <v>55</v>
      </c>
      <c r="Z453" s="4">
        <v>1.62</v>
      </c>
      <c r="AA453" s="4" t="s">
        <v>36</v>
      </c>
      <c r="AB453" s="3" t="s">
        <v>56</v>
      </c>
      <c r="AC453" s="3" t="s">
        <v>3039</v>
      </c>
      <c r="AD453" s="9">
        <v>45448</v>
      </c>
      <c r="AE453" s="3" t="s">
        <v>110</v>
      </c>
      <c r="AF453" s="3" t="s">
        <v>3040</v>
      </c>
      <c r="AG453" s="3" t="s">
        <v>81</v>
      </c>
      <c r="AH453" s="11">
        <f>HYPERLINK("https://my.pitchbook.com?c=264595-06T","View Company Online")</f>
      </c>
    </row>
    <row r="454">
      <c r="A454" s="12" t="s">
        <v>3041</v>
      </c>
      <c r="B454" s="12" t="s">
        <v>3042</v>
      </c>
      <c r="C454" s="19" t="s">
        <v>36</v>
      </c>
      <c r="D454" s="19" t="s">
        <v>36</v>
      </c>
      <c r="E454" s="19" t="s">
        <v>36</v>
      </c>
      <c r="F454" s="19" t="s">
        <v>36</v>
      </c>
      <c r="G454" s="15" t="s">
        <v>36</v>
      </c>
      <c r="H454" s="14" t="s">
        <v>36</v>
      </c>
      <c r="I454" s="18" t="s">
        <v>36</v>
      </c>
      <c r="J454" s="12" t="s">
        <v>36</v>
      </c>
      <c r="K454" s="13" t="s">
        <v>36</v>
      </c>
      <c r="L454" s="15" t="s">
        <v>36</v>
      </c>
      <c r="M454" s="12" t="s">
        <v>36</v>
      </c>
      <c r="N454" s="12" t="s">
        <v>36</v>
      </c>
      <c r="O454" s="17" t="s">
        <v>36</v>
      </c>
      <c r="P454" s="12" t="s">
        <v>36</v>
      </c>
      <c r="Q454" s="12" t="s">
        <v>36</v>
      </c>
      <c r="R454" s="12" t="s">
        <v>36</v>
      </c>
      <c r="S454" s="12" t="s">
        <v>1588</v>
      </c>
      <c r="T454" s="12" t="s">
        <v>1299</v>
      </c>
      <c r="U454" s="12" t="s">
        <v>38</v>
      </c>
      <c r="V454" s="12" t="s">
        <v>39</v>
      </c>
      <c r="W454" s="12" t="s">
        <v>3043</v>
      </c>
      <c r="X454" s="16" t="s">
        <v>3044</v>
      </c>
      <c r="Y454" s="15" t="s">
        <v>42</v>
      </c>
      <c r="Z454" s="14">
        <v>5.96</v>
      </c>
      <c r="AA454" s="14" t="s">
        <v>36</v>
      </c>
      <c r="AB454" s="12" t="s">
        <v>43</v>
      </c>
      <c r="AC454" s="12" t="s">
        <v>3045</v>
      </c>
      <c r="AD454" s="13">
        <v>45447</v>
      </c>
      <c r="AE454" s="12" t="s">
        <v>110</v>
      </c>
      <c r="AF454" s="12" t="s">
        <v>111</v>
      </c>
      <c r="AG454" s="12" t="s">
        <v>81</v>
      </c>
      <c r="AH454" s="1">
        <f>HYPERLINK("https://my.pitchbook.com?c=226899-73T","View Company Online")</f>
      </c>
    </row>
    <row r="455">
      <c r="A455" s="3" t="s">
        <v>3046</v>
      </c>
      <c r="B455" s="3" t="s">
        <v>3047</v>
      </c>
      <c r="C455" s="5" t="s">
        <v>36</v>
      </c>
      <c r="D455" s="5" t="s">
        <v>36</v>
      </c>
      <c r="E455" s="5" t="s">
        <v>36</v>
      </c>
      <c r="F455" s="5" t="s">
        <v>36</v>
      </c>
      <c r="G455" s="6" t="s">
        <v>36</v>
      </c>
      <c r="H455" s="4" t="s">
        <v>36</v>
      </c>
      <c r="I455" s="7" t="s">
        <v>36</v>
      </c>
      <c r="J455" s="3" t="s">
        <v>36</v>
      </c>
      <c r="K455" s="9">
        <v>44917</v>
      </c>
      <c r="L455" s="6" t="s">
        <v>36</v>
      </c>
      <c r="M455" s="3" t="s">
        <v>36</v>
      </c>
      <c r="N455" s="3" t="s">
        <v>36</v>
      </c>
      <c r="O455" s="8" t="s">
        <v>36</v>
      </c>
      <c r="P455" s="3" t="s">
        <v>36</v>
      </c>
      <c r="Q455" s="3" t="s">
        <v>36</v>
      </c>
      <c r="R455" s="3" t="s">
        <v>36</v>
      </c>
      <c r="S455" s="3" t="s">
        <v>36</v>
      </c>
      <c r="T455" s="3" t="s">
        <v>3048</v>
      </c>
      <c r="U455" s="3" t="s">
        <v>233</v>
      </c>
      <c r="V455" s="3" t="s">
        <v>39</v>
      </c>
      <c r="W455" s="3" t="s">
        <v>3049</v>
      </c>
      <c r="X455" s="10" t="s">
        <v>3050</v>
      </c>
      <c r="Y455" s="6" t="s">
        <v>42</v>
      </c>
      <c r="Z455" s="4">
        <v>3.57</v>
      </c>
      <c r="AA455" s="4" t="s">
        <v>36</v>
      </c>
      <c r="AB455" s="3" t="s">
        <v>43</v>
      </c>
      <c r="AC455" s="3" t="s">
        <v>3051</v>
      </c>
      <c r="AD455" s="9">
        <v>45447</v>
      </c>
      <c r="AE455" s="3" t="s">
        <v>236</v>
      </c>
      <c r="AF455" s="3" t="s">
        <v>3052</v>
      </c>
      <c r="AG455" s="3" t="s">
        <v>47</v>
      </c>
      <c r="AH455" s="11">
        <f>HYPERLINK("https://my.pitchbook.com?c=212295-16T","View Company Online")</f>
      </c>
    </row>
    <row r="456">
      <c r="A456" s="12" t="s">
        <v>3053</v>
      </c>
      <c r="B456" s="12" t="s">
        <v>3054</v>
      </c>
      <c r="C456" s="19" t="s">
        <v>36</v>
      </c>
      <c r="D456" s="19" t="s">
        <v>36</v>
      </c>
      <c r="E456" s="19" t="s">
        <v>36</v>
      </c>
      <c r="F456" s="19" t="s">
        <v>36</v>
      </c>
      <c r="G456" s="15" t="s">
        <v>326</v>
      </c>
      <c r="H456" s="14">
        <v>6406.95</v>
      </c>
      <c r="I456" s="18">
        <v>23.05</v>
      </c>
      <c r="J456" s="12" t="s">
        <v>521</v>
      </c>
      <c r="K456" s="13" t="s">
        <v>36</v>
      </c>
      <c r="L456" s="15" t="s">
        <v>36</v>
      </c>
      <c r="M456" s="12" t="s">
        <v>36</v>
      </c>
      <c r="N456" s="12" t="s">
        <v>36</v>
      </c>
      <c r="O456" s="17" t="s">
        <v>36</v>
      </c>
      <c r="P456" s="12" t="s">
        <v>36</v>
      </c>
      <c r="Q456" s="12" t="s">
        <v>36</v>
      </c>
      <c r="R456" s="12" t="s">
        <v>36</v>
      </c>
      <c r="S456" s="12" t="s">
        <v>36</v>
      </c>
      <c r="T456" s="12" t="s">
        <v>105</v>
      </c>
      <c r="U456" s="12" t="s">
        <v>38</v>
      </c>
      <c r="V456" s="12" t="s">
        <v>39</v>
      </c>
      <c r="W456" s="12" t="s">
        <v>3055</v>
      </c>
      <c r="X456" s="16" t="s">
        <v>3056</v>
      </c>
      <c r="Y456" s="15" t="s">
        <v>108</v>
      </c>
      <c r="Z456" s="14">
        <v>3.03</v>
      </c>
      <c r="AA456" s="14">
        <v>13.16</v>
      </c>
      <c r="AB456" s="12" t="s">
        <v>56</v>
      </c>
      <c r="AC456" s="12" t="s">
        <v>3057</v>
      </c>
      <c r="AD456" s="13">
        <v>45446</v>
      </c>
      <c r="AE456" s="12" t="s">
        <v>110</v>
      </c>
      <c r="AF456" s="12" t="s">
        <v>135</v>
      </c>
      <c r="AG456" s="12" t="s">
        <v>81</v>
      </c>
      <c r="AH456" s="1">
        <f>HYPERLINK("https://my.pitchbook.com?c=260953-66T","View Company Online")</f>
      </c>
    </row>
    <row r="457">
      <c r="A457" s="3" t="s">
        <v>3058</v>
      </c>
      <c r="B457" s="3" t="s">
        <v>3059</v>
      </c>
      <c r="C457" s="5" t="s">
        <v>36</v>
      </c>
      <c r="D457" s="5" t="s">
        <v>36</v>
      </c>
      <c r="E457" s="5" t="s">
        <v>36</v>
      </c>
      <c r="F457" s="5" t="s">
        <v>36</v>
      </c>
      <c r="G457" s="6" t="s">
        <v>36</v>
      </c>
      <c r="H457" s="4" t="s">
        <v>36</v>
      </c>
      <c r="I457" s="7" t="s">
        <v>36</v>
      </c>
      <c r="J457" s="3" t="s">
        <v>36</v>
      </c>
      <c r="K457" s="9" t="s">
        <v>36</v>
      </c>
      <c r="L457" s="6" t="s">
        <v>122</v>
      </c>
      <c r="M457" s="3" t="s">
        <v>36</v>
      </c>
      <c r="N457" s="3" t="s">
        <v>122</v>
      </c>
      <c r="O457" s="8" t="s">
        <v>36</v>
      </c>
      <c r="P457" s="3" t="s">
        <v>36</v>
      </c>
      <c r="Q457" s="3" t="s">
        <v>36</v>
      </c>
      <c r="R457" s="3" t="s">
        <v>36</v>
      </c>
      <c r="S457" s="3" t="s">
        <v>36</v>
      </c>
      <c r="T457" s="3" t="s">
        <v>522</v>
      </c>
      <c r="U457" s="3" t="s">
        <v>38</v>
      </c>
      <c r="V457" s="3" t="s">
        <v>39</v>
      </c>
      <c r="W457" s="3" t="s">
        <v>3060</v>
      </c>
      <c r="X457" s="10" t="s">
        <v>3061</v>
      </c>
      <c r="Y457" s="6" t="s">
        <v>42</v>
      </c>
      <c r="Z457" s="4">
        <v>27.06</v>
      </c>
      <c r="AA457" s="4" t="s">
        <v>36</v>
      </c>
      <c r="AB457" s="3" t="s">
        <v>56</v>
      </c>
      <c r="AC457" s="3" t="s">
        <v>3062</v>
      </c>
      <c r="AD457" s="9">
        <v>45446</v>
      </c>
      <c r="AE457" s="3" t="s">
        <v>110</v>
      </c>
      <c r="AF457" s="3" t="s">
        <v>3063</v>
      </c>
      <c r="AG457" s="3" t="s">
        <v>3064</v>
      </c>
      <c r="AH457" s="11">
        <f>HYPERLINK("https://my.pitchbook.com?c=260944-48T","View Company Online")</f>
      </c>
    </row>
    <row r="458">
      <c r="A458" s="12" t="s">
        <v>3065</v>
      </c>
      <c r="B458" s="12" t="s">
        <v>3066</v>
      </c>
      <c r="C458" s="19" t="s">
        <v>36</v>
      </c>
      <c r="D458" s="19" t="s">
        <v>36</v>
      </c>
      <c r="E458" s="19" t="s">
        <v>36</v>
      </c>
      <c r="F458" s="19" t="s">
        <v>36</v>
      </c>
      <c r="G458" s="15" t="s">
        <v>326</v>
      </c>
      <c r="H458" s="14" t="s">
        <v>36</v>
      </c>
      <c r="I458" s="18">
        <v>29.99</v>
      </c>
      <c r="J458" s="12" t="s">
        <v>327</v>
      </c>
      <c r="K458" s="13" t="s">
        <v>36</v>
      </c>
      <c r="L458" s="15" t="s">
        <v>36</v>
      </c>
      <c r="M458" s="12" t="s">
        <v>36</v>
      </c>
      <c r="N458" s="12" t="s">
        <v>36</v>
      </c>
      <c r="O458" s="17" t="s">
        <v>36</v>
      </c>
      <c r="P458" s="12" t="s">
        <v>36</v>
      </c>
      <c r="Q458" s="12" t="s">
        <v>36</v>
      </c>
      <c r="R458" s="12" t="s">
        <v>36</v>
      </c>
      <c r="S458" s="12" t="s">
        <v>36</v>
      </c>
      <c r="T458" s="12" t="s">
        <v>3067</v>
      </c>
      <c r="U458" s="12" t="s">
        <v>648</v>
      </c>
      <c r="V458" s="12" t="s">
        <v>64</v>
      </c>
      <c r="W458" s="12" t="s">
        <v>3068</v>
      </c>
      <c r="X458" s="16" t="s">
        <v>3069</v>
      </c>
      <c r="Y458" s="15" t="s">
        <v>55</v>
      </c>
      <c r="Z458" s="14">
        <v>4.33</v>
      </c>
      <c r="AA458" s="14">
        <v>14.44</v>
      </c>
      <c r="AB458" s="12" t="s">
        <v>56</v>
      </c>
      <c r="AC458" s="12" t="s">
        <v>3070</v>
      </c>
      <c r="AD458" s="13">
        <v>45446</v>
      </c>
      <c r="AE458" s="12" t="s">
        <v>651</v>
      </c>
      <c r="AF458" s="12" t="s">
        <v>1977</v>
      </c>
      <c r="AG458" s="12" t="s">
        <v>81</v>
      </c>
      <c r="AH458" s="1">
        <f>HYPERLINK("https://my.pitchbook.com?c=280155-61T","View Company Online")</f>
      </c>
    </row>
    <row r="459">
      <c r="A459" s="3" t="s">
        <v>3071</v>
      </c>
      <c r="B459" s="3" t="s">
        <v>3072</v>
      </c>
      <c r="C459" s="5" t="s">
        <v>36</v>
      </c>
      <c r="D459" s="5" t="s">
        <v>36</v>
      </c>
      <c r="E459" s="5" t="s">
        <v>36</v>
      </c>
      <c r="F459" s="5" t="s">
        <v>36</v>
      </c>
      <c r="G459" s="6" t="s">
        <v>36</v>
      </c>
      <c r="H459" s="4" t="s">
        <v>36</v>
      </c>
      <c r="I459" s="7" t="s">
        <v>36</v>
      </c>
      <c r="J459" s="3" t="s">
        <v>36</v>
      </c>
      <c r="K459" s="9" t="s">
        <v>36</v>
      </c>
      <c r="L459" s="6" t="s">
        <v>36</v>
      </c>
      <c r="M459" s="3" t="s">
        <v>36</v>
      </c>
      <c r="N459" s="3" t="s">
        <v>36</v>
      </c>
      <c r="O459" s="8" t="s">
        <v>36</v>
      </c>
      <c r="P459" s="3" t="s">
        <v>36</v>
      </c>
      <c r="Q459" s="3" t="s">
        <v>36</v>
      </c>
      <c r="R459" s="3" t="s">
        <v>36</v>
      </c>
      <c r="S459" s="3" t="s">
        <v>36</v>
      </c>
      <c r="T459" s="3" t="s">
        <v>123</v>
      </c>
      <c r="U459" s="3" t="s">
        <v>38</v>
      </c>
      <c r="V459" s="3" t="s">
        <v>39</v>
      </c>
      <c r="W459" s="3" t="s">
        <v>3073</v>
      </c>
      <c r="X459" s="10" t="s">
        <v>3074</v>
      </c>
      <c r="Y459" s="6" t="s">
        <v>42</v>
      </c>
      <c r="Z459" s="4">
        <v>0.87</v>
      </c>
      <c r="AA459" s="4" t="s">
        <v>36</v>
      </c>
      <c r="AB459" s="3" t="s">
        <v>43</v>
      </c>
      <c r="AC459" s="3" t="s">
        <v>3075</v>
      </c>
      <c r="AD459" s="9">
        <v>45446</v>
      </c>
      <c r="AE459" s="3" t="s">
        <v>110</v>
      </c>
      <c r="AF459" s="3" t="s">
        <v>3076</v>
      </c>
      <c r="AG459" s="3" t="s">
        <v>3077</v>
      </c>
      <c r="AH459" s="11">
        <f>HYPERLINK("https://my.pitchbook.com?c=265824-73T","View Company Online")</f>
      </c>
    </row>
    <row r="460">
      <c r="A460" s="12" t="s">
        <v>3078</v>
      </c>
      <c r="B460" s="12" t="s">
        <v>3079</v>
      </c>
      <c r="C460" s="19" t="s">
        <v>36</v>
      </c>
      <c r="D460" s="19" t="s">
        <v>36</v>
      </c>
      <c r="E460" s="19" t="s">
        <v>36</v>
      </c>
      <c r="F460" s="19" t="s">
        <v>36</v>
      </c>
      <c r="G460" s="15" t="s">
        <v>36</v>
      </c>
      <c r="H460" s="14">
        <v>708.12</v>
      </c>
      <c r="I460" s="18">
        <v>28.55</v>
      </c>
      <c r="J460" s="12" t="s">
        <v>521</v>
      </c>
      <c r="K460" s="13" t="s">
        <v>36</v>
      </c>
      <c r="L460" s="15" t="s">
        <v>36</v>
      </c>
      <c r="M460" s="12" t="s">
        <v>36</v>
      </c>
      <c r="N460" s="12" t="s">
        <v>36</v>
      </c>
      <c r="O460" s="17" t="s">
        <v>36</v>
      </c>
      <c r="P460" s="12" t="s">
        <v>36</v>
      </c>
      <c r="Q460" s="12" t="s">
        <v>36</v>
      </c>
      <c r="R460" s="12" t="s">
        <v>36</v>
      </c>
      <c r="S460" s="12" t="s">
        <v>36</v>
      </c>
      <c r="T460" s="12" t="s">
        <v>768</v>
      </c>
      <c r="U460" s="12" t="s">
        <v>233</v>
      </c>
      <c r="V460" s="12" t="s">
        <v>39</v>
      </c>
      <c r="W460" s="12" t="s">
        <v>3080</v>
      </c>
      <c r="X460" s="16" t="s">
        <v>3081</v>
      </c>
      <c r="Y460" s="15" t="s">
        <v>42</v>
      </c>
      <c r="Z460" s="14">
        <v>1.62</v>
      </c>
      <c r="AA460" s="14">
        <v>5.68</v>
      </c>
      <c r="AB460" s="12" t="s">
        <v>43</v>
      </c>
      <c r="AC460" s="12" t="s">
        <v>3082</v>
      </c>
      <c r="AD460" s="13">
        <v>45446</v>
      </c>
      <c r="AE460" s="12" t="s">
        <v>236</v>
      </c>
      <c r="AF460" s="12" t="s">
        <v>36</v>
      </c>
      <c r="AG460" s="12" t="s">
        <v>102</v>
      </c>
      <c r="AH460" s="1">
        <f>HYPERLINK("https://my.pitchbook.com?c=260948-17T","View Company Online")</f>
      </c>
    </row>
    <row r="461">
      <c r="A461" s="3" t="s">
        <v>3083</v>
      </c>
      <c r="B461" s="3" t="s">
        <v>3084</v>
      </c>
      <c r="C461" s="5" t="s">
        <v>36</v>
      </c>
      <c r="D461" s="5" t="s">
        <v>36</v>
      </c>
      <c r="E461" s="5" t="s">
        <v>36</v>
      </c>
      <c r="F461" s="5" t="s">
        <v>36</v>
      </c>
      <c r="G461" s="6" t="s">
        <v>36</v>
      </c>
      <c r="H461" s="4" t="s">
        <v>36</v>
      </c>
      <c r="I461" s="7" t="s">
        <v>36</v>
      </c>
      <c r="J461" s="3" t="s">
        <v>36</v>
      </c>
      <c r="K461" s="9" t="s">
        <v>36</v>
      </c>
      <c r="L461" s="6" t="s">
        <v>36</v>
      </c>
      <c r="M461" s="3" t="s">
        <v>36</v>
      </c>
      <c r="N461" s="3" t="s">
        <v>36</v>
      </c>
      <c r="O461" s="8" t="s">
        <v>36</v>
      </c>
      <c r="P461" s="3" t="s">
        <v>36</v>
      </c>
      <c r="Q461" s="3" t="s">
        <v>36</v>
      </c>
      <c r="R461" s="3" t="s">
        <v>36</v>
      </c>
      <c r="S461" s="3" t="s">
        <v>36</v>
      </c>
      <c r="T461" s="3" t="s">
        <v>3085</v>
      </c>
      <c r="U461" s="3" t="s">
        <v>219</v>
      </c>
      <c r="V461" s="3" t="s">
        <v>75</v>
      </c>
      <c r="W461" s="3" t="s">
        <v>3086</v>
      </c>
      <c r="X461" s="10" t="s">
        <v>3087</v>
      </c>
      <c r="Y461" s="6" t="s">
        <v>42</v>
      </c>
      <c r="Z461" s="4">
        <v>2.16</v>
      </c>
      <c r="AA461" s="4" t="s">
        <v>36</v>
      </c>
      <c r="AB461" s="3" t="s">
        <v>56</v>
      </c>
      <c r="AC461" s="3" t="s">
        <v>3088</v>
      </c>
      <c r="AD461" s="9">
        <v>45446</v>
      </c>
      <c r="AE461" s="3" t="s">
        <v>223</v>
      </c>
      <c r="AF461" s="3" t="s">
        <v>2703</v>
      </c>
      <c r="AG461" s="3" t="s">
        <v>2472</v>
      </c>
      <c r="AH461" s="11">
        <f>HYPERLINK("https://my.pitchbook.com?c=261228-25T","View Company Online")</f>
      </c>
    </row>
    <row r="462">
      <c r="A462" s="12" t="s">
        <v>3089</v>
      </c>
      <c r="B462" s="12" t="s">
        <v>3090</v>
      </c>
      <c r="C462" s="19" t="s">
        <v>36</v>
      </c>
      <c r="D462" s="19" t="s">
        <v>36</v>
      </c>
      <c r="E462" s="19" t="s">
        <v>36</v>
      </c>
      <c r="F462" s="19" t="s">
        <v>36</v>
      </c>
      <c r="G462" s="15" t="s">
        <v>36</v>
      </c>
      <c r="H462" s="14" t="s">
        <v>36</v>
      </c>
      <c r="I462" s="18" t="s">
        <v>36</v>
      </c>
      <c r="J462" s="12" t="s">
        <v>36</v>
      </c>
      <c r="K462" s="13" t="s">
        <v>36</v>
      </c>
      <c r="L462" s="15" t="s">
        <v>36</v>
      </c>
      <c r="M462" s="12" t="s">
        <v>36</v>
      </c>
      <c r="N462" s="12" t="s">
        <v>36</v>
      </c>
      <c r="O462" s="17" t="s">
        <v>36</v>
      </c>
      <c r="P462" s="12" t="s">
        <v>36</v>
      </c>
      <c r="Q462" s="12" t="s">
        <v>36</v>
      </c>
      <c r="R462" s="12" t="s">
        <v>36</v>
      </c>
      <c r="S462" s="12" t="s">
        <v>36</v>
      </c>
      <c r="T462" s="12" t="s">
        <v>3091</v>
      </c>
      <c r="U462" s="12" t="s">
        <v>74</v>
      </c>
      <c r="V462" s="12" t="s">
        <v>75</v>
      </c>
      <c r="W462" s="12" t="s">
        <v>3092</v>
      </c>
      <c r="X462" s="16" t="s">
        <v>1598</v>
      </c>
      <c r="Y462" s="15" t="s">
        <v>42</v>
      </c>
      <c r="Z462" s="14" t="s">
        <v>36</v>
      </c>
      <c r="AA462" s="14" t="s">
        <v>36</v>
      </c>
      <c r="AB462" s="12" t="s">
        <v>56</v>
      </c>
      <c r="AC462" s="12" t="s">
        <v>3093</v>
      </c>
      <c r="AD462" s="13">
        <v>45444</v>
      </c>
      <c r="AE462" s="12" t="s">
        <v>975</v>
      </c>
      <c r="AF462" s="12" t="s">
        <v>36</v>
      </c>
      <c r="AG462" s="12" t="s">
        <v>3094</v>
      </c>
      <c r="AH462" s="1">
        <f>HYPERLINK("https://my.pitchbook.com?c=262109-26T","View Company Online")</f>
      </c>
    </row>
    <row r="463">
      <c r="A463" s="3" t="s">
        <v>3095</v>
      </c>
      <c r="B463" s="3" t="s">
        <v>3096</v>
      </c>
      <c r="C463" s="5" t="s">
        <v>36</v>
      </c>
      <c r="D463" s="5" t="s">
        <v>36</v>
      </c>
      <c r="E463" s="5" t="s">
        <v>36</v>
      </c>
      <c r="F463" s="5" t="s">
        <v>36</v>
      </c>
      <c r="G463" s="6" t="s">
        <v>36</v>
      </c>
      <c r="H463" s="4" t="s">
        <v>36</v>
      </c>
      <c r="I463" s="7" t="s">
        <v>36</v>
      </c>
      <c r="J463" s="3" t="s">
        <v>36</v>
      </c>
      <c r="K463" s="9" t="s">
        <v>36</v>
      </c>
      <c r="L463" s="6" t="s">
        <v>36</v>
      </c>
      <c r="M463" s="3" t="s">
        <v>36</v>
      </c>
      <c r="N463" s="3" t="s">
        <v>36</v>
      </c>
      <c r="O463" s="8" t="s">
        <v>36</v>
      </c>
      <c r="P463" s="3" t="s">
        <v>36</v>
      </c>
      <c r="Q463" s="3" t="s">
        <v>36</v>
      </c>
      <c r="R463" s="3" t="s">
        <v>36</v>
      </c>
      <c r="S463" s="3" t="s">
        <v>36</v>
      </c>
      <c r="T463" s="3" t="s">
        <v>1125</v>
      </c>
      <c r="U463" s="3" t="s">
        <v>74</v>
      </c>
      <c r="V463" s="3" t="s">
        <v>75</v>
      </c>
      <c r="W463" s="3" t="s">
        <v>3097</v>
      </c>
      <c r="X463" s="10" t="s">
        <v>3098</v>
      </c>
      <c r="Y463" s="6" t="s">
        <v>42</v>
      </c>
      <c r="Z463" s="4" t="s">
        <v>36</v>
      </c>
      <c r="AA463" s="4" t="s">
        <v>36</v>
      </c>
      <c r="AB463" s="3" t="s">
        <v>56</v>
      </c>
      <c r="AC463" s="3" t="s">
        <v>3099</v>
      </c>
      <c r="AD463" s="9">
        <v>45444</v>
      </c>
      <c r="AE463" s="3" t="s">
        <v>975</v>
      </c>
      <c r="AF463" s="3" t="s">
        <v>36</v>
      </c>
      <c r="AG463" s="3" t="s">
        <v>3100</v>
      </c>
      <c r="AH463" s="11">
        <f>HYPERLINK("https://my.pitchbook.com?c=267986-80T","View Company Online")</f>
      </c>
    </row>
    <row r="464">
      <c r="A464" s="12" t="s">
        <v>3101</v>
      </c>
      <c r="B464" s="12" t="s">
        <v>3102</v>
      </c>
      <c r="C464" s="19" t="s">
        <v>36</v>
      </c>
      <c r="D464" s="19" t="s">
        <v>36</v>
      </c>
      <c r="E464" s="19" t="s">
        <v>36</v>
      </c>
      <c r="F464" s="19" t="s">
        <v>36</v>
      </c>
      <c r="G464" s="15" t="s">
        <v>36</v>
      </c>
      <c r="H464" s="14" t="s">
        <v>36</v>
      </c>
      <c r="I464" s="18" t="s">
        <v>36</v>
      </c>
      <c r="J464" s="12" t="s">
        <v>36</v>
      </c>
      <c r="K464" s="13" t="s">
        <v>36</v>
      </c>
      <c r="L464" s="15" t="s">
        <v>36</v>
      </c>
      <c r="M464" s="12" t="s">
        <v>36</v>
      </c>
      <c r="N464" s="12" t="s">
        <v>36</v>
      </c>
      <c r="O464" s="17" t="s">
        <v>36</v>
      </c>
      <c r="P464" s="12" t="s">
        <v>36</v>
      </c>
      <c r="Q464" s="12" t="s">
        <v>36</v>
      </c>
      <c r="R464" s="12" t="s">
        <v>36</v>
      </c>
      <c r="S464" s="12" t="s">
        <v>36</v>
      </c>
      <c r="T464" s="12" t="s">
        <v>295</v>
      </c>
      <c r="U464" s="12" t="s">
        <v>219</v>
      </c>
      <c r="V464" s="12" t="s">
        <v>75</v>
      </c>
      <c r="W464" s="12" t="s">
        <v>296</v>
      </c>
      <c r="X464" s="16" t="s">
        <v>221</v>
      </c>
      <c r="Y464" s="15" t="s">
        <v>42</v>
      </c>
      <c r="Z464" s="14" t="s">
        <v>36</v>
      </c>
      <c r="AA464" s="14" t="s">
        <v>36</v>
      </c>
      <c r="AB464" s="12" t="s">
        <v>43</v>
      </c>
      <c r="AC464" s="12" t="s">
        <v>3103</v>
      </c>
      <c r="AD464" s="13">
        <v>45444</v>
      </c>
      <c r="AE464" s="12" t="s">
        <v>223</v>
      </c>
      <c r="AF464" s="12" t="s">
        <v>36</v>
      </c>
      <c r="AG464" s="12" t="s">
        <v>81</v>
      </c>
      <c r="AH464" s="1">
        <f>HYPERLINK("https://my.pitchbook.com?c=264798-46T","View Company Online")</f>
      </c>
    </row>
    <row r="465">
      <c r="A465" s="3" t="s">
        <v>3104</v>
      </c>
      <c r="B465" s="3" t="s">
        <v>3105</v>
      </c>
      <c r="C465" s="5" t="s">
        <v>36</v>
      </c>
      <c r="D465" s="5" t="s">
        <v>36</v>
      </c>
      <c r="E465" s="5" t="s">
        <v>36</v>
      </c>
      <c r="F465" s="5" t="s">
        <v>36</v>
      </c>
      <c r="G465" s="6" t="s">
        <v>36</v>
      </c>
      <c r="H465" s="4" t="s">
        <v>36</v>
      </c>
      <c r="I465" s="7" t="s">
        <v>36</v>
      </c>
      <c r="J465" s="3" t="s">
        <v>36</v>
      </c>
      <c r="K465" s="9" t="s">
        <v>36</v>
      </c>
      <c r="L465" s="6" t="s">
        <v>36</v>
      </c>
      <c r="M465" s="3" t="s">
        <v>36</v>
      </c>
      <c r="N465" s="3" t="s">
        <v>36</v>
      </c>
      <c r="O465" s="8" t="s">
        <v>36</v>
      </c>
      <c r="P465" s="3" t="s">
        <v>36</v>
      </c>
      <c r="Q465" s="3" t="s">
        <v>36</v>
      </c>
      <c r="R465" s="3" t="s">
        <v>36</v>
      </c>
      <c r="S465" s="3" t="s">
        <v>36</v>
      </c>
      <c r="T465" s="3" t="s">
        <v>189</v>
      </c>
      <c r="U465" s="3" t="s">
        <v>180</v>
      </c>
      <c r="V465" s="3" t="s">
        <v>52</v>
      </c>
      <c r="W465" s="3" t="s">
        <v>3106</v>
      </c>
      <c r="X465" s="10" t="s">
        <v>3107</v>
      </c>
      <c r="Y465" s="6" t="s">
        <v>55</v>
      </c>
      <c r="Z465" s="4" t="s">
        <v>36</v>
      </c>
      <c r="AA465" s="4" t="s">
        <v>36</v>
      </c>
      <c r="AB465" s="3" t="s">
        <v>56</v>
      </c>
      <c r="AC465" s="3" t="s">
        <v>3108</v>
      </c>
      <c r="AD465" s="9">
        <v>45444</v>
      </c>
      <c r="AE465" s="3" t="s">
        <v>184</v>
      </c>
      <c r="AF465" s="3" t="s">
        <v>917</v>
      </c>
      <c r="AG465" s="3" t="s">
        <v>1479</v>
      </c>
      <c r="AH465" s="11">
        <f>HYPERLINK("https://my.pitchbook.com?c=264567-97T","View Company Online")</f>
      </c>
    </row>
    <row r="466">
      <c r="A466" s="12" t="s">
        <v>3109</v>
      </c>
      <c r="B466" s="12" t="s">
        <v>3110</v>
      </c>
      <c r="C466" s="19" t="s">
        <v>36</v>
      </c>
      <c r="D466" s="19" t="s">
        <v>36</v>
      </c>
      <c r="E466" s="19">
        <v>2</v>
      </c>
      <c r="F466" s="19">
        <v>2</v>
      </c>
      <c r="G466" s="15" t="s">
        <v>36</v>
      </c>
      <c r="H466" s="14" t="s">
        <v>36</v>
      </c>
      <c r="I466" s="18" t="s">
        <v>36</v>
      </c>
      <c r="J466" s="12" t="s">
        <v>36</v>
      </c>
      <c r="K466" s="13" t="s">
        <v>36</v>
      </c>
      <c r="L466" s="15" t="s">
        <v>36</v>
      </c>
      <c r="M466" s="12" t="s">
        <v>36</v>
      </c>
      <c r="N466" s="12" t="s">
        <v>36</v>
      </c>
      <c r="O466" s="17" t="s">
        <v>36</v>
      </c>
      <c r="P466" s="12" t="s">
        <v>36</v>
      </c>
      <c r="Q466" s="12" t="s">
        <v>36</v>
      </c>
      <c r="R466" s="12" t="s">
        <v>36</v>
      </c>
      <c r="S466" s="12" t="s">
        <v>36</v>
      </c>
      <c r="T466" s="12" t="s">
        <v>927</v>
      </c>
      <c r="U466" s="12" t="s">
        <v>219</v>
      </c>
      <c r="V466" s="12" t="s">
        <v>75</v>
      </c>
      <c r="W466" s="12" t="s">
        <v>3111</v>
      </c>
      <c r="X466" s="16" t="s">
        <v>3112</v>
      </c>
      <c r="Y466" s="15" t="s">
        <v>108</v>
      </c>
      <c r="Z466" s="14" t="s">
        <v>36</v>
      </c>
      <c r="AA466" s="14" t="s">
        <v>36</v>
      </c>
      <c r="AB466" s="12" t="s">
        <v>43</v>
      </c>
      <c r="AC466" s="12" t="s">
        <v>3113</v>
      </c>
      <c r="AD466" s="13">
        <v>45444</v>
      </c>
      <c r="AE466" s="12" t="s">
        <v>243</v>
      </c>
      <c r="AF466" s="12" t="s">
        <v>3114</v>
      </c>
      <c r="AG466" s="12" t="s">
        <v>3115</v>
      </c>
      <c r="AH466" s="1">
        <f>HYPERLINK("https://my.pitchbook.com?c=266833-99T","View Company Online")</f>
      </c>
    </row>
    <row r="467">
      <c r="A467" s="3" t="s">
        <v>3116</v>
      </c>
      <c r="B467" s="3" t="s">
        <v>3117</v>
      </c>
      <c r="C467" s="5" t="s">
        <v>36</v>
      </c>
      <c r="D467" s="5" t="s">
        <v>36</v>
      </c>
      <c r="E467" s="5" t="s">
        <v>36</v>
      </c>
      <c r="F467" s="5" t="s">
        <v>36</v>
      </c>
      <c r="G467" s="6" t="s">
        <v>36</v>
      </c>
      <c r="H467" s="4" t="s">
        <v>36</v>
      </c>
      <c r="I467" s="7" t="s">
        <v>36</v>
      </c>
      <c r="J467" s="3" t="s">
        <v>36</v>
      </c>
      <c r="K467" s="9" t="s">
        <v>36</v>
      </c>
      <c r="L467" s="6" t="s">
        <v>36</v>
      </c>
      <c r="M467" s="3" t="s">
        <v>36</v>
      </c>
      <c r="N467" s="3" t="s">
        <v>36</v>
      </c>
      <c r="O467" s="8" t="s">
        <v>36</v>
      </c>
      <c r="P467" s="3" t="s">
        <v>36</v>
      </c>
      <c r="Q467" s="3" t="s">
        <v>36</v>
      </c>
      <c r="R467" s="3" t="s">
        <v>36</v>
      </c>
      <c r="S467" s="3" t="s">
        <v>36</v>
      </c>
      <c r="T467" s="3" t="s">
        <v>3118</v>
      </c>
      <c r="U467" s="3" t="s">
        <v>648</v>
      </c>
      <c r="V467" s="3" t="s">
        <v>64</v>
      </c>
      <c r="W467" s="3" t="s">
        <v>3119</v>
      </c>
      <c r="X467" s="10" t="s">
        <v>3120</v>
      </c>
      <c r="Y467" s="6" t="s">
        <v>42</v>
      </c>
      <c r="Z467" s="4">
        <v>1.3</v>
      </c>
      <c r="AA467" s="4" t="s">
        <v>36</v>
      </c>
      <c r="AB467" s="3" t="s">
        <v>43</v>
      </c>
      <c r="AC467" s="3" t="s">
        <v>3121</v>
      </c>
      <c r="AD467" s="9">
        <v>45444</v>
      </c>
      <c r="AE467" s="3" t="s">
        <v>651</v>
      </c>
      <c r="AF467" s="3" t="s">
        <v>36</v>
      </c>
      <c r="AG467" s="3" t="s">
        <v>3122</v>
      </c>
      <c r="AH467" s="11">
        <f>HYPERLINK("https://my.pitchbook.com?c=265878-64T","View Company Online")</f>
      </c>
    </row>
    <row r="468">
      <c r="A468" s="12" t="s">
        <v>3123</v>
      </c>
      <c r="B468" s="12" t="s">
        <v>3124</v>
      </c>
      <c r="C468" s="19" t="s">
        <v>36</v>
      </c>
      <c r="D468" s="19" t="s">
        <v>36</v>
      </c>
      <c r="E468" s="19" t="s">
        <v>36</v>
      </c>
      <c r="F468" s="19" t="s">
        <v>36</v>
      </c>
      <c r="G468" s="15" t="s">
        <v>36</v>
      </c>
      <c r="H468" s="14" t="s">
        <v>36</v>
      </c>
      <c r="I468" s="18" t="s">
        <v>36</v>
      </c>
      <c r="J468" s="12" t="s">
        <v>36</v>
      </c>
      <c r="K468" s="13" t="s">
        <v>36</v>
      </c>
      <c r="L468" s="15" t="s">
        <v>36</v>
      </c>
      <c r="M468" s="12" t="s">
        <v>36</v>
      </c>
      <c r="N468" s="12" t="s">
        <v>36</v>
      </c>
      <c r="O468" s="17" t="s">
        <v>36</v>
      </c>
      <c r="P468" s="12" t="s">
        <v>36</v>
      </c>
      <c r="Q468" s="12" t="s">
        <v>36</v>
      </c>
      <c r="R468" s="12" t="s">
        <v>36</v>
      </c>
      <c r="S468" s="12" t="s">
        <v>36</v>
      </c>
      <c r="T468" s="12" t="s">
        <v>3125</v>
      </c>
      <c r="U468" s="12" t="s">
        <v>279</v>
      </c>
      <c r="V468" s="12" t="s">
        <v>64</v>
      </c>
      <c r="W468" s="12" t="s">
        <v>3126</v>
      </c>
      <c r="X468" s="16" t="s">
        <v>3127</v>
      </c>
      <c r="Y468" s="15" t="s">
        <v>42</v>
      </c>
      <c r="Z468" s="14" t="s">
        <v>36</v>
      </c>
      <c r="AA468" s="14" t="s">
        <v>36</v>
      </c>
      <c r="AB468" s="12" t="s">
        <v>56</v>
      </c>
      <c r="AC468" s="12" t="s">
        <v>3128</v>
      </c>
      <c r="AD468" s="13">
        <v>45444</v>
      </c>
      <c r="AE468" s="12" t="s">
        <v>283</v>
      </c>
      <c r="AF468" s="12" t="s">
        <v>1636</v>
      </c>
      <c r="AG468" s="12" t="s">
        <v>81</v>
      </c>
      <c r="AH468" s="1">
        <f>HYPERLINK("https://my.pitchbook.com?c=264940-30T","View Company Online")</f>
      </c>
    </row>
    <row r="469">
      <c r="A469" s="3" t="s">
        <v>3129</v>
      </c>
      <c r="B469" s="3" t="s">
        <v>3130</v>
      </c>
      <c r="C469" s="5" t="s">
        <v>36</v>
      </c>
      <c r="D469" s="5" t="s">
        <v>36</v>
      </c>
      <c r="E469" s="5" t="s">
        <v>36</v>
      </c>
      <c r="F469" s="5" t="s">
        <v>36</v>
      </c>
      <c r="G469" s="6" t="s">
        <v>36</v>
      </c>
      <c r="H469" s="4" t="s">
        <v>36</v>
      </c>
      <c r="I469" s="7" t="s">
        <v>36</v>
      </c>
      <c r="J469" s="3" t="s">
        <v>36</v>
      </c>
      <c r="K469" s="9" t="s">
        <v>36</v>
      </c>
      <c r="L469" s="6" t="s">
        <v>36</v>
      </c>
      <c r="M469" s="3" t="s">
        <v>36</v>
      </c>
      <c r="N469" s="3" t="s">
        <v>36</v>
      </c>
      <c r="O469" s="8" t="s">
        <v>36</v>
      </c>
      <c r="P469" s="3" t="s">
        <v>36</v>
      </c>
      <c r="Q469" s="3" t="s">
        <v>36</v>
      </c>
      <c r="R469" s="3" t="s">
        <v>36</v>
      </c>
      <c r="S469" s="3" t="s">
        <v>36</v>
      </c>
      <c r="T469" s="3" t="s">
        <v>3131</v>
      </c>
      <c r="U469" s="3" t="s">
        <v>289</v>
      </c>
      <c r="V469" s="3" t="s">
        <v>64</v>
      </c>
      <c r="W469" s="3" t="s">
        <v>3132</v>
      </c>
      <c r="X469" s="10" t="s">
        <v>3127</v>
      </c>
      <c r="Y469" s="6" t="s">
        <v>42</v>
      </c>
      <c r="Z469" s="4" t="s">
        <v>36</v>
      </c>
      <c r="AA469" s="4" t="s">
        <v>36</v>
      </c>
      <c r="AB469" s="3" t="s">
        <v>43</v>
      </c>
      <c r="AC469" s="3" t="s">
        <v>3133</v>
      </c>
      <c r="AD469" s="9">
        <v>45444</v>
      </c>
      <c r="AE469" s="3" t="s">
        <v>3134</v>
      </c>
      <c r="AF469" s="3" t="s">
        <v>90</v>
      </c>
      <c r="AG469" s="3" t="s">
        <v>81</v>
      </c>
      <c r="AH469" s="11">
        <f>HYPERLINK("https://my.pitchbook.com?c=264622-15T","View Company Online")</f>
      </c>
    </row>
    <row r="470">
      <c r="A470" s="12" t="s">
        <v>3135</v>
      </c>
      <c r="B470" s="12" t="s">
        <v>3136</v>
      </c>
      <c r="C470" s="19" t="s">
        <v>36</v>
      </c>
      <c r="D470" s="19" t="s">
        <v>36</v>
      </c>
      <c r="E470" s="19" t="s">
        <v>36</v>
      </c>
      <c r="F470" s="19" t="s">
        <v>36</v>
      </c>
      <c r="G470" s="15" t="s">
        <v>36</v>
      </c>
      <c r="H470" s="14" t="s">
        <v>36</v>
      </c>
      <c r="I470" s="18" t="s">
        <v>36</v>
      </c>
      <c r="J470" s="12" t="s">
        <v>36</v>
      </c>
      <c r="K470" s="13" t="s">
        <v>36</v>
      </c>
      <c r="L470" s="15" t="s">
        <v>36</v>
      </c>
      <c r="M470" s="12" t="s">
        <v>36</v>
      </c>
      <c r="N470" s="12" t="s">
        <v>36</v>
      </c>
      <c r="O470" s="17" t="s">
        <v>36</v>
      </c>
      <c r="P470" s="12" t="s">
        <v>36</v>
      </c>
      <c r="Q470" s="12" t="s">
        <v>36</v>
      </c>
      <c r="R470" s="12" t="s">
        <v>36</v>
      </c>
      <c r="S470" s="12" t="s">
        <v>36</v>
      </c>
      <c r="T470" s="12" t="s">
        <v>684</v>
      </c>
      <c r="U470" s="12" t="s">
        <v>38</v>
      </c>
      <c r="V470" s="12" t="s">
        <v>39</v>
      </c>
      <c r="W470" s="12" t="s">
        <v>3137</v>
      </c>
      <c r="X470" s="16" t="s">
        <v>3127</v>
      </c>
      <c r="Y470" s="15" t="s">
        <v>42</v>
      </c>
      <c r="Z470" s="14" t="s">
        <v>36</v>
      </c>
      <c r="AA470" s="14" t="s">
        <v>36</v>
      </c>
      <c r="AB470" s="12" t="s">
        <v>43</v>
      </c>
      <c r="AC470" s="12" t="s">
        <v>3138</v>
      </c>
      <c r="AD470" s="13">
        <v>45444</v>
      </c>
      <c r="AE470" s="12" t="s">
        <v>688</v>
      </c>
      <c r="AF470" s="12" t="s">
        <v>1636</v>
      </c>
      <c r="AG470" s="12" t="s">
        <v>81</v>
      </c>
      <c r="AH470" s="1">
        <f>HYPERLINK("https://my.pitchbook.com?c=264621-34T","View Company Online")</f>
      </c>
    </row>
    <row r="471">
      <c r="A471" s="3" t="s">
        <v>3139</v>
      </c>
      <c r="B471" s="3" t="s">
        <v>3140</v>
      </c>
      <c r="C471" s="5" t="s">
        <v>36</v>
      </c>
      <c r="D471" s="5" t="s">
        <v>36</v>
      </c>
      <c r="E471" s="5" t="s">
        <v>36</v>
      </c>
      <c r="F471" s="5" t="s">
        <v>36</v>
      </c>
      <c r="G471" s="6" t="s">
        <v>36</v>
      </c>
      <c r="H471" s="4" t="s">
        <v>36</v>
      </c>
      <c r="I471" s="7" t="s">
        <v>36</v>
      </c>
      <c r="J471" s="3" t="s">
        <v>36</v>
      </c>
      <c r="K471" s="9" t="s">
        <v>36</v>
      </c>
      <c r="L471" s="6" t="s">
        <v>36</v>
      </c>
      <c r="M471" s="3" t="s">
        <v>36</v>
      </c>
      <c r="N471" s="3" t="s">
        <v>36</v>
      </c>
      <c r="O471" s="8" t="s">
        <v>36</v>
      </c>
      <c r="P471" s="3" t="s">
        <v>36</v>
      </c>
      <c r="Q471" s="3" t="s">
        <v>36</v>
      </c>
      <c r="R471" s="3" t="s">
        <v>36</v>
      </c>
      <c r="S471" s="3" t="s">
        <v>36</v>
      </c>
      <c r="T471" s="3" t="s">
        <v>3141</v>
      </c>
      <c r="U471" s="3" t="s">
        <v>74</v>
      </c>
      <c r="V471" s="3" t="s">
        <v>75</v>
      </c>
      <c r="W471" s="3" t="s">
        <v>3142</v>
      </c>
      <c r="X471" s="10" t="s">
        <v>221</v>
      </c>
      <c r="Y471" s="6" t="s">
        <v>42</v>
      </c>
      <c r="Z471" s="4" t="s">
        <v>36</v>
      </c>
      <c r="AA471" s="4" t="s">
        <v>36</v>
      </c>
      <c r="AB471" s="3" t="s">
        <v>43</v>
      </c>
      <c r="AC471" s="3" t="s">
        <v>3143</v>
      </c>
      <c r="AD471" s="9">
        <v>45444</v>
      </c>
      <c r="AE471" s="3" t="s">
        <v>3144</v>
      </c>
      <c r="AF471" s="3" t="s">
        <v>275</v>
      </c>
      <c r="AG471" s="3" t="s">
        <v>102</v>
      </c>
      <c r="AH471" s="11">
        <f>HYPERLINK("https://my.pitchbook.com?c=264825-64T","View Company Online")</f>
      </c>
    </row>
    <row r="472">
      <c r="A472" s="12" t="s">
        <v>3145</v>
      </c>
      <c r="B472" s="12" t="s">
        <v>3146</v>
      </c>
      <c r="C472" s="19" t="s">
        <v>36</v>
      </c>
      <c r="D472" s="19" t="s">
        <v>36</v>
      </c>
      <c r="E472" s="19" t="s">
        <v>36</v>
      </c>
      <c r="F472" s="19" t="s">
        <v>36</v>
      </c>
      <c r="G472" s="15" t="s">
        <v>36</v>
      </c>
      <c r="H472" s="14" t="s">
        <v>36</v>
      </c>
      <c r="I472" s="18" t="s">
        <v>36</v>
      </c>
      <c r="J472" s="12" t="s">
        <v>36</v>
      </c>
      <c r="K472" s="13" t="s">
        <v>36</v>
      </c>
      <c r="L472" s="15" t="s">
        <v>36</v>
      </c>
      <c r="M472" s="12" t="s">
        <v>36</v>
      </c>
      <c r="N472" s="12" t="s">
        <v>36</v>
      </c>
      <c r="O472" s="17" t="s">
        <v>36</v>
      </c>
      <c r="P472" s="12" t="s">
        <v>36</v>
      </c>
      <c r="Q472" s="12" t="s">
        <v>36</v>
      </c>
      <c r="R472" s="12" t="s">
        <v>36</v>
      </c>
      <c r="S472" s="12" t="s">
        <v>36</v>
      </c>
      <c r="T472" s="12" t="s">
        <v>3147</v>
      </c>
      <c r="U472" s="12" t="s">
        <v>438</v>
      </c>
      <c r="V472" s="12" t="s">
        <v>405</v>
      </c>
      <c r="W472" s="12" t="s">
        <v>3148</v>
      </c>
      <c r="X472" s="16" t="s">
        <v>3107</v>
      </c>
      <c r="Y472" s="15" t="s">
        <v>42</v>
      </c>
      <c r="Z472" s="14" t="s">
        <v>36</v>
      </c>
      <c r="AA472" s="14" t="s">
        <v>36</v>
      </c>
      <c r="AB472" s="12" t="s">
        <v>43</v>
      </c>
      <c r="AC472" s="12" t="s">
        <v>3149</v>
      </c>
      <c r="AD472" s="13">
        <v>45444</v>
      </c>
      <c r="AE472" s="12" t="s">
        <v>438</v>
      </c>
      <c r="AF472" s="12" t="s">
        <v>786</v>
      </c>
      <c r="AG472" s="12" t="s">
        <v>81</v>
      </c>
      <c r="AH472" s="1">
        <f>HYPERLINK("https://my.pitchbook.com?c=264474-82T","View Company Online")</f>
      </c>
    </row>
    <row r="473">
      <c r="A473" s="3" t="s">
        <v>3150</v>
      </c>
      <c r="B473" s="3" t="s">
        <v>3151</v>
      </c>
      <c r="C473" s="5" t="s">
        <v>36</v>
      </c>
      <c r="D473" s="5" t="s">
        <v>36</v>
      </c>
      <c r="E473" s="5" t="s">
        <v>36</v>
      </c>
      <c r="F473" s="5" t="s">
        <v>36</v>
      </c>
      <c r="G473" s="6" t="s">
        <v>36</v>
      </c>
      <c r="H473" s="4" t="s">
        <v>36</v>
      </c>
      <c r="I473" s="7" t="s">
        <v>36</v>
      </c>
      <c r="J473" s="3" t="s">
        <v>36</v>
      </c>
      <c r="K473" s="9" t="s">
        <v>36</v>
      </c>
      <c r="L473" s="6" t="s">
        <v>36</v>
      </c>
      <c r="M473" s="3" t="s">
        <v>36</v>
      </c>
      <c r="N473" s="3" t="s">
        <v>36</v>
      </c>
      <c r="O473" s="8" t="s">
        <v>36</v>
      </c>
      <c r="P473" s="3" t="s">
        <v>36</v>
      </c>
      <c r="Q473" s="3" t="s">
        <v>36</v>
      </c>
      <c r="R473" s="3" t="s">
        <v>36</v>
      </c>
      <c r="S473" s="3" t="s">
        <v>36</v>
      </c>
      <c r="T473" s="3" t="s">
        <v>105</v>
      </c>
      <c r="U473" s="3" t="s">
        <v>38</v>
      </c>
      <c r="V473" s="3" t="s">
        <v>39</v>
      </c>
      <c r="W473" s="3" t="s">
        <v>3152</v>
      </c>
      <c r="X473" s="10" t="s">
        <v>1367</v>
      </c>
      <c r="Y473" s="6" t="s">
        <v>42</v>
      </c>
      <c r="Z473" s="4" t="s">
        <v>36</v>
      </c>
      <c r="AA473" s="4" t="s">
        <v>36</v>
      </c>
      <c r="AB473" s="3" t="s">
        <v>43</v>
      </c>
      <c r="AC473" s="3" t="s">
        <v>3153</v>
      </c>
      <c r="AD473" s="9">
        <v>45444</v>
      </c>
      <c r="AE473" s="3" t="s">
        <v>110</v>
      </c>
      <c r="AF473" s="3" t="s">
        <v>36</v>
      </c>
      <c r="AG473" s="3" t="s">
        <v>81</v>
      </c>
      <c r="AH473" s="11">
        <f>HYPERLINK("https://my.pitchbook.com?c=264823-75T","View Company Online")</f>
      </c>
    </row>
    <row r="474">
      <c r="A474" s="12" t="s">
        <v>3154</v>
      </c>
      <c r="B474" s="12" t="s">
        <v>3155</v>
      </c>
      <c r="C474" s="19" t="s">
        <v>36</v>
      </c>
      <c r="D474" s="19" t="s">
        <v>36</v>
      </c>
      <c r="E474" s="19" t="s">
        <v>36</v>
      </c>
      <c r="F474" s="19" t="s">
        <v>36</v>
      </c>
      <c r="G474" s="15" t="s">
        <v>36</v>
      </c>
      <c r="H474" s="14" t="s">
        <v>36</v>
      </c>
      <c r="I474" s="18" t="s">
        <v>36</v>
      </c>
      <c r="J474" s="12" t="s">
        <v>36</v>
      </c>
      <c r="K474" s="13" t="s">
        <v>36</v>
      </c>
      <c r="L474" s="15" t="s">
        <v>36</v>
      </c>
      <c r="M474" s="12" t="s">
        <v>36</v>
      </c>
      <c r="N474" s="12" t="s">
        <v>36</v>
      </c>
      <c r="O474" s="17" t="s">
        <v>36</v>
      </c>
      <c r="P474" s="12" t="s">
        <v>36</v>
      </c>
      <c r="Q474" s="12" t="s">
        <v>36</v>
      </c>
      <c r="R474" s="12" t="s">
        <v>36</v>
      </c>
      <c r="S474" s="12" t="s">
        <v>2818</v>
      </c>
      <c r="T474" s="12" t="s">
        <v>3156</v>
      </c>
      <c r="U474" s="12" t="s">
        <v>219</v>
      </c>
      <c r="V474" s="12" t="s">
        <v>75</v>
      </c>
      <c r="W474" s="12" t="s">
        <v>3157</v>
      </c>
      <c r="X474" s="16" t="s">
        <v>3158</v>
      </c>
      <c r="Y474" s="15" t="s">
        <v>42</v>
      </c>
      <c r="Z474" s="14">
        <v>1.19</v>
      </c>
      <c r="AA474" s="14" t="s">
        <v>36</v>
      </c>
      <c r="AB474" s="12" t="s">
        <v>43</v>
      </c>
      <c r="AC474" s="12" t="s">
        <v>3159</v>
      </c>
      <c r="AD474" s="13">
        <v>45444</v>
      </c>
      <c r="AE474" s="12" t="s">
        <v>243</v>
      </c>
      <c r="AF474" s="12" t="s">
        <v>2132</v>
      </c>
      <c r="AG474" s="12" t="s">
        <v>2618</v>
      </c>
      <c r="AH474" s="1">
        <f>HYPERLINK("https://my.pitchbook.com?c=269369-92T","View Company Online")</f>
      </c>
    </row>
    <row r="475">
      <c r="A475" s="3" t="s">
        <v>3160</v>
      </c>
      <c r="B475" s="3" t="s">
        <v>3161</v>
      </c>
      <c r="C475" s="5" t="s">
        <v>36</v>
      </c>
      <c r="D475" s="5" t="s">
        <v>36</v>
      </c>
      <c r="E475" s="5" t="s">
        <v>36</v>
      </c>
      <c r="F475" s="5" t="s">
        <v>36</v>
      </c>
      <c r="G475" s="6" t="s">
        <v>36</v>
      </c>
      <c r="H475" s="4" t="s">
        <v>36</v>
      </c>
      <c r="I475" s="7" t="s">
        <v>36</v>
      </c>
      <c r="J475" s="3" t="s">
        <v>36</v>
      </c>
      <c r="K475" s="9" t="s">
        <v>36</v>
      </c>
      <c r="L475" s="6" t="s">
        <v>36</v>
      </c>
      <c r="M475" s="3" t="s">
        <v>36</v>
      </c>
      <c r="N475" s="3" t="s">
        <v>36</v>
      </c>
      <c r="O475" s="8" t="s">
        <v>36</v>
      </c>
      <c r="P475" s="3" t="s">
        <v>36</v>
      </c>
      <c r="Q475" s="3" t="s">
        <v>36</v>
      </c>
      <c r="R475" s="3" t="s">
        <v>36</v>
      </c>
      <c r="S475" s="3" t="s">
        <v>36</v>
      </c>
      <c r="T475" s="3" t="s">
        <v>3162</v>
      </c>
      <c r="U475" s="3" t="s">
        <v>38</v>
      </c>
      <c r="V475" s="3" t="s">
        <v>39</v>
      </c>
      <c r="W475" s="3" t="s">
        <v>3163</v>
      </c>
      <c r="X475" s="10" t="s">
        <v>3164</v>
      </c>
      <c r="Y475" s="6" t="s">
        <v>42</v>
      </c>
      <c r="Z475" s="4" t="s">
        <v>36</v>
      </c>
      <c r="AA475" s="4" t="s">
        <v>36</v>
      </c>
      <c r="AB475" s="3" t="s">
        <v>43</v>
      </c>
      <c r="AC475" s="3" t="s">
        <v>3165</v>
      </c>
      <c r="AD475" s="9">
        <v>45444</v>
      </c>
      <c r="AE475" s="3" t="s">
        <v>1330</v>
      </c>
      <c r="AF475" s="3" t="s">
        <v>118</v>
      </c>
      <c r="AG475" s="3" t="s">
        <v>81</v>
      </c>
      <c r="AH475" s="11">
        <f>HYPERLINK("https://my.pitchbook.com?c=262122-40T","View Company Online")</f>
      </c>
    </row>
    <row r="476">
      <c r="A476" s="12" t="s">
        <v>3166</v>
      </c>
      <c r="B476" s="12" t="s">
        <v>3167</v>
      </c>
      <c r="C476" s="19" t="s">
        <v>36</v>
      </c>
      <c r="D476" s="19" t="s">
        <v>36</v>
      </c>
      <c r="E476" s="19" t="s">
        <v>36</v>
      </c>
      <c r="F476" s="19" t="s">
        <v>36</v>
      </c>
      <c r="G476" s="15" t="s">
        <v>36</v>
      </c>
      <c r="H476" s="14" t="s">
        <v>36</v>
      </c>
      <c r="I476" s="18" t="s">
        <v>36</v>
      </c>
      <c r="J476" s="12" t="s">
        <v>36</v>
      </c>
      <c r="K476" s="13" t="s">
        <v>36</v>
      </c>
      <c r="L476" s="15" t="s">
        <v>36</v>
      </c>
      <c r="M476" s="12" t="s">
        <v>36</v>
      </c>
      <c r="N476" s="12" t="s">
        <v>36</v>
      </c>
      <c r="O476" s="17" t="s">
        <v>36</v>
      </c>
      <c r="P476" s="12" t="s">
        <v>36</v>
      </c>
      <c r="Q476" s="12" t="s">
        <v>36</v>
      </c>
      <c r="R476" s="12" t="s">
        <v>36</v>
      </c>
      <c r="S476" s="12" t="s">
        <v>36</v>
      </c>
      <c r="T476" s="12" t="s">
        <v>3168</v>
      </c>
      <c r="U476" s="12" t="s">
        <v>289</v>
      </c>
      <c r="V476" s="12" t="s">
        <v>64</v>
      </c>
      <c r="W476" s="12" t="s">
        <v>3169</v>
      </c>
      <c r="X476" s="16" t="s">
        <v>3170</v>
      </c>
      <c r="Y476" s="15" t="s">
        <v>55</v>
      </c>
      <c r="Z476" s="14" t="s">
        <v>36</v>
      </c>
      <c r="AA476" s="14" t="s">
        <v>36</v>
      </c>
      <c r="AB476" s="12" t="s">
        <v>56</v>
      </c>
      <c r="AC476" s="12" t="s">
        <v>3171</v>
      </c>
      <c r="AD476" s="13">
        <v>45444</v>
      </c>
      <c r="AE476" s="12" t="s">
        <v>3134</v>
      </c>
      <c r="AF476" s="12" t="s">
        <v>3172</v>
      </c>
      <c r="AG476" s="12" t="s">
        <v>47</v>
      </c>
      <c r="AH476" s="1">
        <f>HYPERLINK("https://my.pitchbook.com?c=262789-93T","View Company Online")</f>
      </c>
    </row>
    <row r="477">
      <c r="A477" s="3" t="s">
        <v>3173</v>
      </c>
      <c r="B477" s="3" t="s">
        <v>3174</v>
      </c>
      <c r="C477" s="5" t="s">
        <v>36</v>
      </c>
      <c r="D477" s="5" t="s">
        <v>36</v>
      </c>
      <c r="E477" s="5" t="s">
        <v>36</v>
      </c>
      <c r="F477" s="5" t="s">
        <v>36</v>
      </c>
      <c r="G477" s="6" t="s">
        <v>36</v>
      </c>
      <c r="H477" s="4" t="s">
        <v>36</v>
      </c>
      <c r="I477" s="7" t="s">
        <v>36</v>
      </c>
      <c r="J477" s="3" t="s">
        <v>36</v>
      </c>
      <c r="K477" s="9" t="s">
        <v>36</v>
      </c>
      <c r="L477" s="6" t="s">
        <v>36</v>
      </c>
      <c r="M477" s="3" t="s">
        <v>36</v>
      </c>
      <c r="N477" s="3" t="s">
        <v>36</v>
      </c>
      <c r="O477" s="8" t="s">
        <v>36</v>
      </c>
      <c r="P477" s="3" t="s">
        <v>36</v>
      </c>
      <c r="Q477" s="3" t="s">
        <v>36</v>
      </c>
      <c r="R477" s="3" t="s">
        <v>36</v>
      </c>
      <c r="S477" s="3" t="s">
        <v>36</v>
      </c>
      <c r="T477" s="3" t="s">
        <v>3175</v>
      </c>
      <c r="U477" s="3" t="s">
        <v>74</v>
      </c>
      <c r="V477" s="3" t="s">
        <v>75</v>
      </c>
      <c r="W477" s="3" t="s">
        <v>3176</v>
      </c>
      <c r="X477" s="10" t="s">
        <v>3177</v>
      </c>
      <c r="Y477" s="6" t="s">
        <v>108</v>
      </c>
      <c r="Z477" s="4" t="s">
        <v>36</v>
      </c>
      <c r="AA477" s="4" t="s">
        <v>36</v>
      </c>
      <c r="AB477" s="3" t="s">
        <v>56</v>
      </c>
      <c r="AC477" s="3" t="s">
        <v>3178</v>
      </c>
      <c r="AD477" s="9">
        <v>45443</v>
      </c>
      <c r="AE477" s="3" t="s">
        <v>975</v>
      </c>
      <c r="AF477" s="3" t="s">
        <v>3179</v>
      </c>
      <c r="AG477" s="3" t="s">
        <v>3180</v>
      </c>
      <c r="AH477" s="11">
        <f>HYPERLINK("https://my.pitchbook.com?c=264249-10T","View Company Online")</f>
      </c>
    </row>
    <row r="478">
      <c r="A478" s="12" t="s">
        <v>3181</v>
      </c>
      <c r="B478" s="12" t="s">
        <v>3182</v>
      </c>
      <c r="C478" s="19" t="s">
        <v>36</v>
      </c>
      <c r="D478" s="19" t="s">
        <v>36</v>
      </c>
      <c r="E478" s="19" t="s">
        <v>36</v>
      </c>
      <c r="F478" s="19" t="s">
        <v>36</v>
      </c>
      <c r="G478" s="15" t="s">
        <v>36</v>
      </c>
      <c r="H478" s="14" t="s">
        <v>36</v>
      </c>
      <c r="I478" s="18" t="s">
        <v>36</v>
      </c>
      <c r="J478" s="12" t="s">
        <v>36</v>
      </c>
      <c r="K478" s="13" t="s">
        <v>36</v>
      </c>
      <c r="L478" s="15" t="s">
        <v>36</v>
      </c>
      <c r="M478" s="12" t="s">
        <v>36</v>
      </c>
      <c r="N478" s="12" t="s">
        <v>36</v>
      </c>
      <c r="O478" s="17" t="s">
        <v>36</v>
      </c>
      <c r="P478" s="12" t="s">
        <v>36</v>
      </c>
      <c r="Q478" s="12" t="s">
        <v>36</v>
      </c>
      <c r="R478" s="12" t="s">
        <v>36</v>
      </c>
      <c r="S478" s="12" t="s">
        <v>36</v>
      </c>
      <c r="T478" s="12" t="s">
        <v>3183</v>
      </c>
      <c r="U478" s="12" t="s">
        <v>38</v>
      </c>
      <c r="V478" s="12" t="s">
        <v>39</v>
      </c>
      <c r="W478" s="12" t="s">
        <v>3184</v>
      </c>
      <c r="X478" s="16" t="s">
        <v>3185</v>
      </c>
      <c r="Y478" s="15" t="s">
        <v>192</v>
      </c>
      <c r="Z478" s="14">
        <v>4</v>
      </c>
      <c r="AA478" s="14" t="s">
        <v>36</v>
      </c>
      <c r="AB478" s="12" t="s">
        <v>43</v>
      </c>
      <c r="AC478" s="12" t="s">
        <v>3186</v>
      </c>
      <c r="AD478" s="13">
        <v>45443</v>
      </c>
      <c r="AE478" s="12" t="s">
        <v>45</v>
      </c>
      <c r="AF478" s="12" t="s">
        <v>3187</v>
      </c>
      <c r="AG478" s="12" t="s">
        <v>3188</v>
      </c>
      <c r="AH478" s="1">
        <f>HYPERLINK("https://my.pitchbook.com?c=263895-40T","View Company Online")</f>
      </c>
    </row>
    <row r="479">
      <c r="A479" s="3" t="s">
        <v>3189</v>
      </c>
      <c r="B479" s="3" t="s">
        <v>3190</v>
      </c>
      <c r="C479" s="5" t="s">
        <v>36</v>
      </c>
      <c r="D479" s="5" t="s">
        <v>36</v>
      </c>
      <c r="E479" s="5" t="s">
        <v>36</v>
      </c>
      <c r="F479" s="5" t="s">
        <v>36</v>
      </c>
      <c r="G479" s="6" t="s">
        <v>326</v>
      </c>
      <c r="H479" s="4" t="s">
        <v>36</v>
      </c>
      <c r="I479" s="7">
        <v>18.53</v>
      </c>
      <c r="J479" s="3" t="s">
        <v>327</v>
      </c>
      <c r="K479" s="9" t="s">
        <v>36</v>
      </c>
      <c r="L479" s="6" t="s">
        <v>36</v>
      </c>
      <c r="M479" s="3" t="s">
        <v>36</v>
      </c>
      <c r="N479" s="3" t="s">
        <v>36</v>
      </c>
      <c r="O479" s="8" t="s">
        <v>36</v>
      </c>
      <c r="P479" s="3" t="s">
        <v>36</v>
      </c>
      <c r="Q479" s="3" t="s">
        <v>36</v>
      </c>
      <c r="R479" s="3" t="s">
        <v>36</v>
      </c>
      <c r="S479" s="3" t="s">
        <v>36</v>
      </c>
      <c r="T479" s="3" t="s">
        <v>661</v>
      </c>
      <c r="U479" s="3" t="s">
        <v>51</v>
      </c>
      <c r="V479" s="3" t="s">
        <v>52</v>
      </c>
      <c r="W479" s="3" t="s">
        <v>3191</v>
      </c>
      <c r="X479" s="10" t="s">
        <v>1840</v>
      </c>
      <c r="Y479" s="6" t="s">
        <v>108</v>
      </c>
      <c r="Z479" s="4">
        <v>1.3</v>
      </c>
      <c r="AA479" s="4">
        <v>7</v>
      </c>
      <c r="AB479" s="3" t="s">
        <v>56</v>
      </c>
      <c r="AC479" s="3" t="s">
        <v>3192</v>
      </c>
      <c r="AD479" s="9">
        <v>45441</v>
      </c>
      <c r="AE479" s="3" t="s">
        <v>158</v>
      </c>
      <c r="AF479" s="3" t="s">
        <v>3193</v>
      </c>
      <c r="AG479" s="3" t="s">
        <v>741</v>
      </c>
      <c r="AH479" s="11">
        <f>HYPERLINK("https://my.pitchbook.com?c=260530-21T","View Company Online")</f>
      </c>
    </row>
    <row r="480">
      <c r="A480" s="12" t="s">
        <v>3194</v>
      </c>
      <c r="B480" s="12" t="s">
        <v>3195</v>
      </c>
      <c r="C480" s="19" t="s">
        <v>36</v>
      </c>
      <c r="D480" s="19" t="s">
        <v>36</v>
      </c>
      <c r="E480" s="19" t="s">
        <v>36</v>
      </c>
      <c r="F480" s="19" t="s">
        <v>36</v>
      </c>
      <c r="G480" s="15" t="s">
        <v>36</v>
      </c>
      <c r="H480" s="14" t="s">
        <v>36</v>
      </c>
      <c r="I480" s="18">
        <v>19.35</v>
      </c>
      <c r="J480" s="12" t="s">
        <v>327</v>
      </c>
      <c r="K480" s="13" t="s">
        <v>36</v>
      </c>
      <c r="L480" s="15" t="s">
        <v>36</v>
      </c>
      <c r="M480" s="12" t="s">
        <v>36</v>
      </c>
      <c r="N480" s="12" t="s">
        <v>36</v>
      </c>
      <c r="O480" s="17" t="s">
        <v>36</v>
      </c>
      <c r="P480" s="12" t="s">
        <v>36</v>
      </c>
      <c r="Q480" s="12" t="s">
        <v>36</v>
      </c>
      <c r="R480" s="12" t="s">
        <v>36</v>
      </c>
      <c r="S480" s="12" t="s">
        <v>36</v>
      </c>
      <c r="T480" s="12" t="s">
        <v>727</v>
      </c>
      <c r="U480" s="12" t="s">
        <v>728</v>
      </c>
      <c r="V480" s="12" t="s">
        <v>64</v>
      </c>
      <c r="W480" s="12" t="s">
        <v>3196</v>
      </c>
      <c r="X480" s="16" t="s">
        <v>3197</v>
      </c>
      <c r="Y480" s="15" t="s">
        <v>42</v>
      </c>
      <c r="Z480" s="14">
        <v>1.08</v>
      </c>
      <c r="AA480" s="14">
        <v>5.58</v>
      </c>
      <c r="AB480" s="12" t="s">
        <v>56</v>
      </c>
      <c r="AC480" s="12" t="s">
        <v>3198</v>
      </c>
      <c r="AD480" s="13">
        <v>45440</v>
      </c>
      <c r="AE480" s="12" t="s">
        <v>732</v>
      </c>
      <c r="AF480" s="12" t="s">
        <v>733</v>
      </c>
      <c r="AG480" s="12" t="s">
        <v>81</v>
      </c>
      <c r="AH480" s="1">
        <f>HYPERLINK("https://my.pitchbook.com?c=257899-42T","View Company Online")</f>
      </c>
    </row>
    <row r="481">
      <c r="A481" s="3" t="s">
        <v>3199</v>
      </c>
      <c r="B481" s="3" t="s">
        <v>3200</v>
      </c>
      <c r="C481" s="5" t="s">
        <v>36</v>
      </c>
      <c r="D481" s="5" t="s">
        <v>36</v>
      </c>
      <c r="E481" s="5" t="s">
        <v>36</v>
      </c>
      <c r="F481" s="5" t="s">
        <v>36</v>
      </c>
      <c r="G481" s="6" t="s">
        <v>683</v>
      </c>
      <c r="H481" s="4">
        <v>625.92</v>
      </c>
      <c r="I481" s="7">
        <v>9.57</v>
      </c>
      <c r="J481" s="3" t="s">
        <v>521</v>
      </c>
      <c r="K481" s="9" t="s">
        <v>36</v>
      </c>
      <c r="L481" s="6" t="s">
        <v>36</v>
      </c>
      <c r="M481" s="3" t="s">
        <v>36</v>
      </c>
      <c r="N481" s="3" t="s">
        <v>36</v>
      </c>
      <c r="O481" s="8" t="s">
        <v>36</v>
      </c>
      <c r="P481" s="3" t="s">
        <v>36</v>
      </c>
      <c r="Q481" s="3" t="s">
        <v>36</v>
      </c>
      <c r="R481" s="3" t="s">
        <v>36</v>
      </c>
      <c r="S481" s="3" t="s">
        <v>36</v>
      </c>
      <c r="T481" s="3" t="s">
        <v>3201</v>
      </c>
      <c r="U481" s="3" t="s">
        <v>1357</v>
      </c>
      <c r="V481" s="3" t="s">
        <v>52</v>
      </c>
      <c r="W481" s="3" t="s">
        <v>3202</v>
      </c>
      <c r="X481" s="10" t="s">
        <v>621</v>
      </c>
      <c r="Y481" s="6" t="s">
        <v>108</v>
      </c>
      <c r="Z481" s="4">
        <v>0.44</v>
      </c>
      <c r="AA481" s="4">
        <v>4.57</v>
      </c>
      <c r="AB481" s="3" t="s">
        <v>43</v>
      </c>
      <c r="AC481" s="3" t="s">
        <v>3203</v>
      </c>
      <c r="AD481" s="9">
        <v>45440</v>
      </c>
      <c r="AE481" s="3" t="s">
        <v>3204</v>
      </c>
      <c r="AF481" s="3" t="s">
        <v>3205</v>
      </c>
      <c r="AG481" s="3" t="s">
        <v>1369</v>
      </c>
      <c r="AH481" s="11">
        <f>HYPERLINK("https://my.pitchbook.com?c=280074-07T","View Company Online")</f>
      </c>
    </row>
    <row r="482">
      <c r="A482" s="12" t="s">
        <v>3206</v>
      </c>
      <c r="B482" s="12" t="s">
        <v>3207</v>
      </c>
      <c r="C482" s="19" t="s">
        <v>36</v>
      </c>
      <c r="D482" s="19" t="s">
        <v>36</v>
      </c>
      <c r="E482" s="19" t="s">
        <v>36</v>
      </c>
      <c r="F482" s="19" t="s">
        <v>36</v>
      </c>
      <c r="G482" s="15" t="s">
        <v>36</v>
      </c>
      <c r="H482" s="14" t="s">
        <v>36</v>
      </c>
      <c r="I482" s="18">
        <v>31.07</v>
      </c>
      <c r="J482" s="12" t="s">
        <v>327</v>
      </c>
      <c r="K482" s="13" t="s">
        <v>36</v>
      </c>
      <c r="L482" s="15" t="s">
        <v>36</v>
      </c>
      <c r="M482" s="12" t="s">
        <v>36</v>
      </c>
      <c r="N482" s="12" t="s">
        <v>36</v>
      </c>
      <c r="O482" s="17" t="s">
        <v>36</v>
      </c>
      <c r="P482" s="12" t="s">
        <v>36</v>
      </c>
      <c r="Q482" s="12" t="s">
        <v>36</v>
      </c>
      <c r="R482" s="12" t="s">
        <v>36</v>
      </c>
      <c r="S482" s="12" t="s">
        <v>36</v>
      </c>
      <c r="T482" s="12" t="s">
        <v>3208</v>
      </c>
      <c r="U482" s="12" t="s">
        <v>1798</v>
      </c>
      <c r="V482" s="12" t="s">
        <v>39</v>
      </c>
      <c r="W482" s="12" t="s">
        <v>3209</v>
      </c>
      <c r="X482" s="16" t="s">
        <v>3210</v>
      </c>
      <c r="Y482" s="15" t="s">
        <v>42</v>
      </c>
      <c r="Z482" s="14">
        <v>3.78</v>
      </c>
      <c r="AA482" s="14">
        <v>12.17</v>
      </c>
      <c r="AB482" s="12" t="s">
        <v>43</v>
      </c>
      <c r="AC482" s="12" t="s">
        <v>3211</v>
      </c>
      <c r="AD482" s="13">
        <v>45440</v>
      </c>
      <c r="AE482" s="12" t="s">
        <v>1802</v>
      </c>
      <c r="AF482" s="12" t="s">
        <v>372</v>
      </c>
      <c r="AG482" s="12" t="s">
        <v>1803</v>
      </c>
      <c r="AH482" s="1">
        <f>HYPERLINK("https://my.pitchbook.com?c=260369-56T","View Company Online")</f>
      </c>
    </row>
    <row r="483">
      <c r="A483" s="3" t="s">
        <v>3212</v>
      </c>
      <c r="B483" s="3" t="s">
        <v>3213</v>
      </c>
      <c r="C483" s="5" t="s">
        <v>36</v>
      </c>
      <c r="D483" s="5" t="s">
        <v>36</v>
      </c>
      <c r="E483" s="5" t="s">
        <v>36</v>
      </c>
      <c r="F483" s="5" t="s">
        <v>36</v>
      </c>
      <c r="G483" s="6" t="s">
        <v>36</v>
      </c>
      <c r="H483" s="4" t="s">
        <v>36</v>
      </c>
      <c r="I483" s="7" t="s">
        <v>36</v>
      </c>
      <c r="J483" s="3" t="s">
        <v>36</v>
      </c>
      <c r="K483" s="9" t="s">
        <v>36</v>
      </c>
      <c r="L483" s="6" t="s">
        <v>36</v>
      </c>
      <c r="M483" s="3" t="s">
        <v>36</v>
      </c>
      <c r="N483" s="3" t="s">
        <v>36</v>
      </c>
      <c r="O483" s="8" t="s">
        <v>36</v>
      </c>
      <c r="P483" s="3" t="s">
        <v>36</v>
      </c>
      <c r="Q483" s="3" t="s">
        <v>36</v>
      </c>
      <c r="R483" s="3" t="s">
        <v>36</v>
      </c>
      <c r="S483" s="3" t="s">
        <v>36</v>
      </c>
      <c r="T483" s="3" t="s">
        <v>3214</v>
      </c>
      <c r="U483" s="3" t="s">
        <v>38</v>
      </c>
      <c r="V483" s="3" t="s">
        <v>39</v>
      </c>
      <c r="W483" s="3" t="s">
        <v>3215</v>
      </c>
      <c r="X483" s="10" t="s">
        <v>3216</v>
      </c>
      <c r="Y483" s="6" t="s">
        <v>42</v>
      </c>
      <c r="Z483" s="4" t="s">
        <v>36</v>
      </c>
      <c r="AA483" s="4" t="s">
        <v>36</v>
      </c>
      <c r="AB483" s="3" t="s">
        <v>43</v>
      </c>
      <c r="AC483" s="3" t="s">
        <v>3217</v>
      </c>
      <c r="AD483" s="9">
        <v>45440</v>
      </c>
      <c r="AE483" s="3" t="s">
        <v>110</v>
      </c>
      <c r="AF483" s="3" t="s">
        <v>176</v>
      </c>
      <c r="AG483" s="3" t="s">
        <v>81</v>
      </c>
      <c r="AH483" s="11">
        <f>HYPERLINK("https://my.pitchbook.com?c=244338-13T","View Company Online")</f>
      </c>
    </row>
    <row r="484">
      <c r="A484" s="12" t="s">
        <v>3218</v>
      </c>
      <c r="B484" s="12" t="s">
        <v>3219</v>
      </c>
      <c r="C484" s="19" t="s">
        <v>36</v>
      </c>
      <c r="D484" s="19" t="s">
        <v>36</v>
      </c>
      <c r="E484" s="19" t="s">
        <v>36</v>
      </c>
      <c r="F484" s="19" t="s">
        <v>36</v>
      </c>
      <c r="G484" s="15" t="s">
        <v>36</v>
      </c>
      <c r="H484" s="14" t="s">
        <v>36</v>
      </c>
      <c r="I484" s="18" t="s">
        <v>36</v>
      </c>
      <c r="J484" s="12" t="s">
        <v>36</v>
      </c>
      <c r="K484" s="13" t="s">
        <v>36</v>
      </c>
      <c r="L484" s="15" t="s">
        <v>122</v>
      </c>
      <c r="M484" s="12" t="s">
        <v>36</v>
      </c>
      <c r="N484" s="12" t="s">
        <v>122</v>
      </c>
      <c r="O484" s="17" t="s">
        <v>36</v>
      </c>
      <c r="P484" s="12" t="s">
        <v>36</v>
      </c>
      <c r="Q484" s="12" t="s">
        <v>36</v>
      </c>
      <c r="R484" s="12" t="s">
        <v>36</v>
      </c>
      <c r="S484" s="12" t="s">
        <v>36</v>
      </c>
      <c r="T484" s="12" t="s">
        <v>3220</v>
      </c>
      <c r="U484" s="12" t="s">
        <v>38</v>
      </c>
      <c r="V484" s="12" t="s">
        <v>39</v>
      </c>
      <c r="W484" s="12" t="s">
        <v>3221</v>
      </c>
      <c r="X484" s="16" t="s">
        <v>3222</v>
      </c>
      <c r="Y484" s="15" t="s">
        <v>108</v>
      </c>
      <c r="Z484" s="14">
        <v>21.6</v>
      </c>
      <c r="AA484" s="14" t="s">
        <v>36</v>
      </c>
      <c r="AB484" s="12" t="s">
        <v>56</v>
      </c>
      <c r="AC484" s="12" t="s">
        <v>3223</v>
      </c>
      <c r="AD484" s="13">
        <v>45440</v>
      </c>
      <c r="AE484" s="12" t="s">
        <v>45</v>
      </c>
      <c r="AF484" s="12" t="s">
        <v>331</v>
      </c>
      <c r="AG484" s="12" t="s">
        <v>81</v>
      </c>
      <c r="AH484" s="1">
        <f>HYPERLINK("https://my.pitchbook.com?c=260370-82T","View Company Online")</f>
      </c>
    </row>
    <row r="485">
      <c r="A485" s="3" t="s">
        <v>3224</v>
      </c>
      <c r="B485" s="3" t="s">
        <v>3225</v>
      </c>
      <c r="C485" s="5" t="s">
        <v>36</v>
      </c>
      <c r="D485" s="5" t="s">
        <v>36</v>
      </c>
      <c r="E485" s="5" t="s">
        <v>36</v>
      </c>
      <c r="F485" s="5" t="s">
        <v>36</v>
      </c>
      <c r="G485" s="6" t="s">
        <v>326</v>
      </c>
      <c r="H485" s="4" t="s">
        <v>36</v>
      </c>
      <c r="I485" s="7">
        <v>43.36</v>
      </c>
      <c r="J485" s="3" t="s">
        <v>327</v>
      </c>
      <c r="K485" s="9">
        <v>45251</v>
      </c>
      <c r="L485" s="6" t="s">
        <v>122</v>
      </c>
      <c r="M485" s="3" t="s">
        <v>36</v>
      </c>
      <c r="N485" s="3" t="s">
        <v>122</v>
      </c>
      <c r="O485" s="8" t="s">
        <v>36</v>
      </c>
      <c r="P485" s="3" t="s">
        <v>36</v>
      </c>
      <c r="Q485" s="3" t="s">
        <v>36</v>
      </c>
      <c r="R485" s="3" t="s">
        <v>36</v>
      </c>
      <c r="S485" s="3" t="s">
        <v>36</v>
      </c>
      <c r="T485" s="3" t="s">
        <v>3226</v>
      </c>
      <c r="U485" s="3" t="s">
        <v>38</v>
      </c>
      <c r="V485" s="3" t="s">
        <v>39</v>
      </c>
      <c r="W485" s="3" t="s">
        <v>3227</v>
      </c>
      <c r="X485" s="10" t="s">
        <v>3228</v>
      </c>
      <c r="Y485" s="6" t="s">
        <v>108</v>
      </c>
      <c r="Z485" s="4">
        <v>9.72</v>
      </c>
      <c r="AA485" s="4">
        <v>22.41</v>
      </c>
      <c r="AB485" s="3" t="s">
        <v>56</v>
      </c>
      <c r="AC485" s="3" t="s">
        <v>3229</v>
      </c>
      <c r="AD485" s="9">
        <v>45440</v>
      </c>
      <c r="AE485" s="3" t="s">
        <v>110</v>
      </c>
      <c r="AF485" s="3" t="s">
        <v>3230</v>
      </c>
      <c r="AG485" s="3" t="s">
        <v>47</v>
      </c>
      <c r="AH485" s="11">
        <f>HYPERLINK("https://my.pitchbook.com?c=245867-14T","View Company Online")</f>
      </c>
    </row>
    <row r="486">
      <c r="A486" s="12" t="s">
        <v>3231</v>
      </c>
      <c r="B486" s="12" t="s">
        <v>3232</v>
      </c>
      <c r="C486" s="19" t="s">
        <v>36</v>
      </c>
      <c r="D486" s="19" t="s">
        <v>36</v>
      </c>
      <c r="E486" s="19" t="s">
        <v>36</v>
      </c>
      <c r="F486" s="19" t="s">
        <v>36</v>
      </c>
      <c r="G486" s="15" t="s">
        <v>2497</v>
      </c>
      <c r="H486" s="14">
        <v>20.27</v>
      </c>
      <c r="I486" s="18">
        <v>20.84</v>
      </c>
      <c r="J486" s="12" t="s">
        <v>521</v>
      </c>
      <c r="K486" s="13" t="s">
        <v>36</v>
      </c>
      <c r="L486" s="15" t="s">
        <v>36</v>
      </c>
      <c r="M486" s="12" t="s">
        <v>36</v>
      </c>
      <c r="N486" s="12" t="s">
        <v>36</v>
      </c>
      <c r="O486" s="17" t="s">
        <v>36</v>
      </c>
      <c r="P486" s="12" t="s">
        <v>36</v>
      </c>
      <c r="Q486" s="12" t="s">
        <v>36</v>
      </c>
      <c r="R486" s="12" t="s">
        <v>36</v>
      </c>
      <c r="S486" s="12" t="s">
        <v>36</v>
      </c>
      <c r="T486" s="12" t="s">
        <v>3233</v>
      </c>
      <c r="U486" s="12" t="s">
        <v>219</v>
      </c>
      <c r="V486" s="12" t="s">
        <v>75</v>
      </c>
      <c r="W486" s="12" t="s">
        <v>3234</v>
      </c>
      <c r="X486" s="16" t="s">
        <v>3235</v>
      </c>
      <c r="Y486" s="15" t="s">
        <v>42</v>
      </c>
      <c r="Z486" s="14">
        <v>0.85</v>
      </c>
      <c r="AA486" s="14">
        <v>4.09</v>
      </c>
      <c r="AB486" s="12" t="s">
        <v>56</v>
      </c>
      <c r="AC486" s="12" t="s">
        <v>3236</v>
      </c>
      <c r="AD486" s="13">
        <v>45439</v>
      </c>
      <c r="AE486" s="12" t="s">
        <v>1032</v>
      </c>
      <c r="AF486" s="12" t="s">
        <v>571</v>
      </c>
      <c r="AG486" s="12" t="s">
        <v>3237</v>
      </c>
      <c r="AH486" s="1">
        <f>HYPERLINK("https://my.pitchbook.com?c=260415-19T","View Company Online")</f>
      </c>
    </row>
    <row r="487">
      <c r="A487" s="3" t="s">
        <v>3238</v>
      </c>
      <c r="B487" s="3" t="s">
        <v>3239</v>
      </c>
      <c r="C487" s="5" t="s">
        <v>36</v>
      </c>
      <c r="D487" s="5" t="s">
        <v>36</v>
      </c>
      <c r="E487" s="5" t="s">
        <v>36</v>
      </c>
      <c r="F487" s="5" t="s">
        <v>36</v>
      </c>
      <c r="G487" s="6" t="s">
        <v>36</v>
      </c>
      <c r="H487" s="4" t="s">
        <v>36</v>
      </c>
      <c r="I487" s="7" t="s">
        <v>36</v>
      </c>
      <c r="J487" s="3" t="s">
        <v>36</v>
      </c>
      <c r="K487" s="9" t="s">
        <v>36</v>
      </c>
      <c r="L487" s="6" t="s">
        <v>36</v>
      </c>
      <c r="M487" s="3" t="s">
        <v>36</v>
      </c>
      <c r="N487" s="3" t="s">
        <v>36</v>
      </c>
      <c r="O487" s="8" t="s">
        <v>36</v>
      </c>
      <c r="P487" s="3" t="s">
        <v>36</v>
      </c>
      <c r="Q487" s="3" t="s">
        <v>36</v>
      </c>
      <c r="R487" s="3" t="s">
        <v>36</v>
      </c>
      <c r="S487" s="3" t="s">
        <v>36</v>
      </c>
      <c r="T487" s="3" t="s">
        <v>3240</v>
      </c>
      <c r="U487" s="3" t="s">
        <v>38</v>
      </c>
      <c r="V487" s="3" t="s">
        <v>39</v>
      </c>
      <c r="W487" s="3" t="s">
        <v>3241</v>
      </c>
      <c r="X487" s="10" t="s">
        <v>3242</v>
      </c>
      <c r="Y487" s="6" t="s">
        <v>42</v>
      </c>
      <c r="Z487" s="4">
        <v>1.72</v>
      </c>
      <c r="AA487" s="4" t="s">
        <v>36</v>
      </c>
      <c r="AB487" s="3" t="s">
        <v>43</v>
      </c>
      <c r="AC487" s="3" t="s">
        <v>3243</v>
      </c>
      <c r="AD487" s="9">
        <v>45434</v>
      </c>
      <c r="AE487" s="3" t="s">
        <v>110</v>
      </c>
      <c r="AF487" s="3" t="s">
        <v>3172</v>
      </c>
      <c r="AG487" s="3" t="s">
        <v>81</v>
      </c>
      <c r="AH487" s="11">
        <f>HYPERLINK("https://my.pitchbook.com?c=272174-32T","View Company Online")</f>
      </c>
    </row>
    <row r="488">
      <c r="A488" s="12" t="s">
        <v>3244</v>
      </c>
      <c r="B488" s="12" t="s">
        <v>3245</v>
      </c>
      <c r="C488" s="19" t="s">
        <v>36</v>
      </c>
      <c r="D488" s="19" t="s">
        <v>36</v>
      </c>
      <c r="E488" s="19" t="s">
        <v>36</v>
      </c>
      <c r="F488" s="19" t="s">
        <v>36</v>
      </c>
      <c r="G488" s="15" t="s">
        <v>36</v>
      </c>
      <c r="H488" s="14" t="s">
        <v>36</v>
      </c>
      <c r="I488" s="18">
        <v>18.13</v>
      </c>
      <c r="J488" s="12" t="s">
        <v>521</v>
      </c>
      <c r="K488" s="13" t="s">
        <v>36</v>
      </c>
      <c r="L488" s="15" t="s">
        <v>36</v>
      </c>
      <c r="M488" s="12" t="s">
        <v>36</v>
      </c>
      <c r="N488" s="12" t="s">
        <v>36</v>
      </c>
      <c r="O488" s="17" t="s">
        <v>36</v>
      </c>
      <c r="P488" s="12" t="s">
        <v>36</v>
      </c>
      <c r="Q488" s="12" t="s">
        <v>36</v>
      </c>
      <c r="R488" s="12" t="s">
        <v>36</v>
      </c>
      <c r="S488" s="12" t="s">
        <v>36</v>
      </c>
      <c r="T488" s="12" t="s">
        <v>3246</v>
      </c>
      <c r="U488" s="12" t="s">
        <v>96</v>
      </c>
      <c r="V488" s="12" t="s">
        <v>52</v>
      </c>
      <c r="W488" s="12" t="s">
        <v>3247</v>
      </c>
      <c r="X488" s="16" t="s">
        <v>3248</v>
      </c>
      <c r="Y488" s="15" t="s">
        <v>108</v>
      </c>
      <c r="Z488" s="14">
        <v>1.62</v>
      </c>
      <c r="AA488" s="14">
        <v>8.91</v>
      </c>
      <c r="AB488" s="12" t="s">
        <v>43</v>
      </c>
      <c r="AC488" s="12" t="s">
        <v>3249</v>
      </c>
      <c r="AD488" s="13">
        <v>45434</v>
      </c>
      <c r="AE488" s="12" t="s">
        <v>755</v>
      </c>
      <c r="AF488" s="12" t="s">
        <v>885</v>
      </c>
      <c r="AG488" s="12" t="s">
        <v>3250</v>
      </c>
      <c r="AH488" s="1">
        <f>HYPERLINK("https://my.pitchbook.com?c=259980-49T","View Company Online")</f>
      </c>
    </row>
    <row r="489">
      <c r="A489" s="3" t="s">
        <v>3251</v>
      </c>
      <c r="B489" s="3" t="s">
        <v>3252</v>
      </c>
      <c r="C489" s="5" t="s">
        <v>36</v>
      </c>
      <c r="D489" s="5" t="s">
        <v>36</v>
      </c>
      <c r="E489" s="5" t="s">
        <v>36</v>
      </c>
      <c r="F489" s="5" t="s">
        <v>36</v>
      </c>
      <c r="G489" s="6" t="s">
        <v>36</v>
      </c>
      <c r="H489" s="4" t="s">
        <v>36</v>
      </c>
      <c r="I489" s="7">
        <v>27.44</v>
      </c>
      <c r="J489" s="3" t="s">
        <v>327</v>
      </c>
      <c r="K489" s="9" t="s">
        <v>36</v>
      </c>
      <c r="L489" s="6" t="s">
        <v>36</v>
      </c>
      <c r="M489" s="3" t="s">
        <v>36</v>
      </c>
      <c r="N489" s="3" t="s">
        <v>36</v>
      </c>
      <c r="O489" s="8" t="s">
        <v>36</v>
      </c>
      <c r="P489" s="3" t="s">
        <v>36</v>
      </c>
      <c r="Q489" s="3" t="s">
        <v>36</v>
      </c>
      <c r="R489" s="3" t="s">
        <v>36</v>
      </c>
      <c r="S489" s="3" t="s">
        <v>36</v>
      </c>
      <c r="T489" s="3" t="s">
        <v>3253</v>
      </c>
      <c r="U489" s="3" t="s">
        <v>38</v>
      </c>
      <c r="V489" s="3" t="s">
        <v>39</v>
      </c>
      <c r="W489" s="3" t="s">
        <v>3254</v>
      </c>
      <c r="X489" s="10" t="s">
        <v>3255</v>
      </c>
      <c r="Y489" s="6" t="s">
        <v>42</v>
      </c>
      <c r="Z489" s="4">
        <v>2.15</v>
      </c>
      <c r="AA489" s="4">
        <v>7.85</v>
      </c>
      <c r="AB489" s="3" t="s">
        <v>43</v>
      </c>
      <c r="AC489" s="3" t="s">
        <v>3256</v>
      </c>
      <c r="AD489" s="9">
        <v>45434</v>
      </c>
      <c r="AE489" s="3" t="s">
        <v>785</v>
      </c>
      <c r="AF489" s="3" t="s">
        <v>3257</v>
      </c>
      <c r="AG489" s="3" t="s">
        <v>144</v>
      </c>
      <c r="AH489" s="11">
        <f>HYPERLINK("https://my.pitchbook.com?c=212987-44T","View Company Online")</f>
      </c>
    </row>
    <row r="490">
      <c r="A490" s="12" t="s">
        <v>3258</v>
      </c>
      <c r="B490" s="12" t="s">
        <v>3259</v>
      </c>
      <c r="C490" s="19">
        <v>2</v>
      </c>
      <c r="D490" s="19">
        <v>4</v>
      </c>
      <c r="E490" s="19">
        <v>3</v>
      </c>
      <c r="F490" s="19">
        <v>9</v>
      </c>
      <c r="G490" s="15" t="s">
        <v>36</v>
      </c>
      <c r="H490" s="14" t="s">
        <v>36</v>
      </c>
      <c r="I490" s="18" t="s">
        <v>36</v>
      </c>
      <c r="J490" s="12" t="s">
        <v>36</v>
      </c>
      <c r="K490" s="13" t="s">
        <v>36</v>
      </c>
      <c r="L490" s="15" t="s">
        <v>36</v>
      </c>
      <c r="M490" s="12" t="s">
        <v>36</v>
      </c>
      <c r="N490" s="12" t="s">
        <v>36</v>
      </c>
      <c r="O490" s="17" t="s">
        <v>36</v>
      </c>
      <c r="P490" s="12" t="s">
        <v>36</v>
      </c>
      <c r="Q490" s="12" t="s">
        <v>36</v>
      </c>
      <c r="R490" s="12" t="s">
        <v>36</v>
      </c>
      <c r="S490" s="12" t="s">
        <v>36</v>
      </c>
      <c r="T490" s="12" t="s">
        <v>881</v>
      </c>
      <c r="U490" s="12" t="s">
        <v>51</v>
      </c>
      <c r="V490" s="12" t="s">
        <v>52</v>
      </c>
      <c r="W490" s="12" t="s">
        <v>3260</v>
      </c>
      <c r="X490" s="16" t="s">
        <v>1840</v>
      </c>
      <c r="Y490" s="15" t="s">
        <v>55</v>
      </c>
      <c r="Z490" s="14">
        <v>7.53</v>
      </c>
      <c r="AA490" s="14" t="s">
        <v>36</v>
      </c>
      <c r="AB490" s="12" t="s">
        <v>56</v>
      </c>
      <c r="AC490" s="12" t="s">
        <v>3261</v>
      </c>
      <c r="AD490" s="13">
        <v>45433</v>
      </c>
      <c r="AE490" s="12" t="s">
        <v>504</v>
      </c>
      <c r="AF490" s="12" t="s">
        <v>159</v>
      </c>
      <c r="AG490" s="12" t="s">
        <v>652</v>
      </c>
      <c r="AH490" s="1">
        <f>HYPERLINK("https://my.pitchbook.com?c=265563-91T","View Company Online")</f>
      </c>
    </row>
    <row r="491">
      <c r="A491" s="3" t="s">
        <v>3262</v>
      </c>
      <c r="B491" s="3" t="s">
        <v>3263</v>
      </c>
      <c r="C491" s="5">
        <v>10</v>
      </c>
      <c r="D491" s="5">
        <v>52</v>
      </c>
      <c r="E491" s="5">
        <v>11</v>
      </c>
      <c r="F491" s="5">
        <v>62</v>
      </c>
      <c r="G491" s="6" t="s">
        <v>683</v>
      </c>
      <c r="H491" s="4">
        <v>3.7</v>
      </c>
      <c r="I491" s="7">
        <v>31.19</v>
      </c>
      <c r="J491" s="3" t="s">
        <v>521</v>
      </c>
      <c r="K491" s="9">
        <v>45097</v>
      </c>
      <c r="L491" s="6" t="s">
        <v>1279</v>
      </c>
      <c r="M491" s="3" t="s">
        <v>36</v>
      </c>
      <c r="N491" s="3" t="s">
        <v>1279</v>
      </c>
      <c r="O491" s="8" t="s">
        <v>36</v>
      </c>
      <c r="P491" s="3" t="s">
        <v>36</v>
      </c>
      <c r="Q491" s="3" t="s">
        <v>36</v>
      </c>
      <c r="R491" s="3" t="s">
        <v>36</v>
      </c>
      <c r="S491" s="3" t="s">
        <v>36</v>
      </c>
      <c r="T491" s="3" t="s">
        <v>3264</v>
      </c>
      <c r="U491" s="3" t="s">
        <v>96</v>
      </c>
      <c r="V491" s="3" t="s">
        <v>52</v>
      </c>
      <c r="W491" s="3" t="s">
        <v>3265</v>
      </c>
      <c r="X491" s="10" t="s">
        <v>3266</v>
      </c>
      <c r="Y491" s="6" t="s">
        <v>192</v>
      </c>
      <c r="Z491" s="4">
        <v>33.91</v>
      </c>
      <c r="AA491" s="4">
        <v>108.7</v>
      </c>
      <c r="AB491" s="3" t="s">
        <v>56</v>
      </c>
      <c r="AC491" s="3" t="s">
        <v>3267</v>
      </c>
      <c r="AD491" s="9">
        <v>45433</v>
      </c>
      <c r="AE491" s="3" t="s">
        <v>496</v>
      </c>
      <c r="AF491" s="3" t="s">
        <v>159</v>
      </c>
      <c r="AG491" s="3" t="s">
        <v>347</v>
      </c>
      <c r="AH491" s="11">
        <f>HYPERLINK("https://my.pitchbook.com?c=164434-51T","View Company Online")</f>
      </c>
    </row>
    <row r="492">
      <c r="A492" s="12" t="s">
        <v>3268</v>
      </c>
      <c r="B492" s="12" t="s">
        <v>3269</v>
      </c>
      <c r="C492" s="19" t="s">
        <v>36</v>
      </c>
      <c r="D492" s="19" t="s">
        <v>36</v>
      </c>
      <c r="E492" s="19" t="s">
        <v>36</v>
      </c>
      <c r="F492" s="19" t="s">
        <v>36</v>
      </c>
      <c r="G492" s="15" t="s">
        <v>36</v>
      </c>
      <c r="H492" s="14" t="s">
        <v>36</v>
      </c>
      <c r="I492" s="18" t="s">
        <v>36</v>
      </c>
      <c r="J492" s="12" t="s">
        <v>36</v>
      </c>
      <c r="K492" s="13" t="s">
        <v>36</v>
      </c>
      <c r="L492" s="15" t="s">
        <v>36</v>
      </c>
      <c r="M492" s="12" t="s">
        <v>36</v>
      </c>
      <c r="N492" s="12" t="s">
        <v>36</v>
      </c>
      <c r="O492" s="17" t="s">
        <v>36</v>
      </c>
      <c r="P492" s="12" t="s">
        <v>36</v>
      </c>
      <c r="Q492" s="12" t="s">
        <v>36</v>
      </c>
      <c r="R492" s="12" t="s">
        <v>36</v>
      </c>
      <c r="S492" s="12" t="s">
        <v>36</v>
      </c>
      <c r="T492" s="12" t="s">
        <v>3270</v>
      </c>
      <c r="U492" s="12" t="s">
        <v>1336</v>
      </c>
      <c r="V492" s="12" t="s">
        <v>367</v>
      </c>
      <c r="W492" s="12" t="s">
        <v>3271</v>
      </c>
      <c r="X492" s="16" t="s">
        <v>3272</v>
      </c>
      <c r="Y492" s="15" t="s">
        <v>42</v>
      </c>
      <c r="Z492" s="14">
        <v>4.31</v>
      </c>
      <c r="AA492" s="14" t="s">
        <v>36</v>
      </c>
      <c r="AB492" s="12" t="s">
        <v>56</v>
      </c>
      <c r="AC492" s="12" t="s">
        <v>3273</v>
      </c>
      <c r="AD492" s="13">
        <v>45433</v>
      </c>
      <c r="AE492" s="12" t="s">
        <v>2464</v>
      </c>
      <c r="AF492" s="12" t="s">
        <v>3274</v>
      </c>
      <c r="AG492" s="12" t="s">
        <v>81</v>
      </c>
      <c r="AH492" s="1">
        <f>HYPERLINK("https://my.pitchbook.com?c=259907-14T","View Company Online")</f>
      </c>
    </row>
    <row r="493">
      <c r="A493" s="3" t="s">
        <v>3275</v>
      </c>
      <c r="B493" s="3" t="s">
        <v>3276</v>
      </c>
      <c r="C493" s="5" t="s">
        <v>36</v>
      </c>
      <c r="D493" s="5" t="s">
        <v>36</v>
      </c>
      <c r="E493" s="5" t="s">
        <v>36</v>
      </c>
      <c r="F493" s="5" t="s">
        <v>36</v>
      </c>
      <c r="G493" s="6" t="s">
        <v>683</v>
      </c>
      <c r="H493" s="4" t="s">
        <v>36</v>
      </c>
      <c r="I493" s="7">
        <v>11.82</v>
      </c>
      <c r="J493" s="3" t="s">
        <v>327</v>
      </c>
      <c r="K493" s="9" t="s">
        <v>36</v>
      </c>
      <c r="L493" s="6" t="s">
        <v>1862</v>
      </c>
      <c r="M493" s="3" t="s">
        <v>36</v>
      </c>
      <c r="N493" s="3" t="s">
        <v>1862</v>
      </c>
      <c r="O493" s="8" t="s">
        <v>36</v>
      </c>
      <c r="P493" s="3" t="s">
        <v>36</v>
      </c>
      <c r="Q493" s="3" t="s">
        <v>36</v>
      </c>
      <c r="R493" s="3" t="s">
        <v>36</v>
      </c>
      <c r="S493" s="3" t="s">
        <v>36</v>
      </c>
      <c r="T493" s="3" t="s">
        <v>3277</v>
      </c>
      <c r="U493" s="3" t="s">
        <v>1357</v>
      </c>
      <c r="V493" s="3" t="s">
        <v>52</v>
      </c>
      <c r="W493" s="3" t="s">
        <v>3278</v>
      </c>
      <c r="X493" s="10" t="s">
        <v>3279</v>
      </c>
      <c r="Y493" s="6" t="s">
        <v>55</v>
      </c>
      <c r="Z493" s="4">
        <v>24.76</v>
      </c>
      <c r="AA493" s="4">
        <v>209.48</v>
      </c>
      <c r="AB493" s="3" t="s">
        <v>43</v>
      </c>
      <c r="AC493" s="3" t="s">
        <v>3280</v>
      </c>
      <c r="AD493" s="9">
        <v>45433</v>
      </c>
      <c r="AE493" s="3" t="s">
        <v>3204</v>
      </c>
      <c r="AF493" s="3" t="s">
        <v>3281</v>
      </c>
      <c r="AG493" s="3" t="s">
        <v>81</v>
      </c>
      <c r="AH493" s="11">
        <f>HYPERLINK("https://my.pitchbook.com?c=259798-06T","View Company Online")</f>
      </c>
    </row>
    <row r="494">
      <c r="A494" s="12" t="s">
        <v>3282</v>
      </c>
      <c r="B494" s="12" t="s">
        <v>3283</v>
      </c>
      <c r="C494" s="19">
        <v>25</v>
      </c>
      <c r="D494" s="19">
        <v>125</v>
      </c>
      <c r="E494" s="19">
        <v>18</v>
      </c>
      <c r="F494" s="19">
        <v>151</v>
      </c>
      <c r="G494" s="15" t="s">
        <v>2497</v>
      </c>
      <c r="H494" s="14" t="s">
        <v>36</v>
      </c>
      <c r="I494" s="18">
        <v>48.85</v>
      </c>
      <c r="J494" s="12" t="s">
        <v>327</v>
      </c>
      <c r="K494" s="13" t="s">
        <v>36</v>
      </c>
      <c r="L494" s="15" t="s">
        <v>1279</v>
      </c>
      <c r="M494" s="12" t="s">
        <v>36</v>
      </c>
      <c r="N494" s="12" t="s">
        <v>1279</v>
      </c>
      <c r="O494" s="17" t="s">
        <v>36</v>
      </c>
      <c r="P494" s="12" t="s">
        <v>36</v>
      </c>
      <c r="Q494" s="12" t="s">
        <v>36</v>
      </c>
      <c r="R494" s="12" t="s">
        <v>36</v>
      </c>
      <c r="S494" s="12" t="s">
        <v>36</v>
      </c>
      <c r="T494" s="12" t="s">
        <v>3284</v>
      </c>
      <c r="U494" s="12" t="s">
        <v>96</v>
      </c>
      <c r="V494" s="12" t="s">
        <v>52</v>
      </c>
      <c r="W494" s="12" t="s">
        <v>3285</v>
      </c>
      <c r="X494" s="16" t="s">
        <v>3286</v>
      </c>
      <c r="Y494" s="15" t="s">
        <v>55</v>
      </c>
      <c r="Z494" s="14">
        <v>46.61</v>
      </c>
      <c r="AA494" s="14">
        <v>95.41</v>
      </c>
      <c r="AB494" s="12" t="s">
        <v>56</v>
      </c>
      <c r="AC494" s="12" t="s">
        <v>3287</v>
      </c>
      <c r="AD494" s="13">
        <v>45433</v>
      </c>
      <c r="AE494" s="12" t="s">
        <v>143</v>
      </c>
      <c r="AF494" s="12" t="s">
        <v>885</v>
      </c>
      <c r="AG494" s="12" t="s">
        <v>3288</v>
      </c>
      <c r="AH494" s="1">
        <f>HYPERLINK("https://my.pitchbook.com?c=265006-45T","View Company Online")</f>
      </c>
    </row>
    <row r="495">
      <c r="A495" s="3" t="s">
        <v>3289</v>
      </c>
      <c r="B495" s="3" t="s">
        <v>3290</v>
      </c>
      <c r="C495" s="5">
        <v>4</v>
      </c>
      <c r="D495" s="5">
        <v>2</v>
      </c>
      <c r="E495" s="5">
        <v>3</v>
      </c>
      <c r="F495" s="5">
        <v>7</v>
      </c>
      <c r="G495" s="6" t="s">
        <v>36</v>
      </c>
      <c r="H495" s="4" t="s">
        <v>36</v>
      </c>
      <c r="I495" s="7" t="s">
        <v>36</v>
      </c>
      <c r="J495" s="3" t="s">
        <v>36</v>
      </c>
      <c r="K495" s="9" t="s">
        <v>36</v>
      </c>
      <c r="L495" s="6" t="s">
        <v>36</v>
      </c>
      <c r="M495" s="3" t="s">
        <v>36</v>
      </c>
      <c r="N495" s="3" t="s">
        <v>36</v>
      </c>
      <c r="O495" s="8" t="s">
        <v>36</v>
      </c>
      <c r="P495" s="3" t="s">
        <v>36</v>
      </c>
      <c r="Q495" s="3" t="s">
        <v>36</v>
      </c>
      <c r="R495" s="3" t="s">
        <v>36</v>
      </c>
      <c r="S495" s="3" t="s">
        <v>36</v>
      </c>
      <c r="T495" s="3" t="s">
        <v>3208</v>
      </c>
      <c r="U495" s="3" t="s">
        <v>1798</v>
      </c>
      <c r="V495" s="3" t="s">
        <v>39</v>
      </c>
      <c r="W495" s="3" t="s">
        <v>3291</v>
      </c>
      <c r="X495" s="10" t="s">
        <v>3292</v>
      </c>
      <c r="Y495" s="6" t="s">
        <v>42</v>
      </c>
      <c r="Z495" s="4">
        <v>17.18</v>
      </c>
      <c r="AA495" s="4" t="s">
        <v>36</v>
      </c>
      <c r="AB495" s="3" t="s">
        <v>43</v>
      </c>
      <c r="AC495" s="3" t="s">
        <v>3293</v>
      </c>
      <c r="AD495" s="9">
        <v>45429</v>
      </c>
      <c r="AE495" s="3" t="s">
        <v>1802</v>
      </c>
      <c r="AF495" s="3" t="s">
        <v>571</v>
      </c>
      <c r="AG495" s="3" t="s">
        <v>3294</v>
      </c>
      <c r="AH495" s="11">
        <f>HYPERLINK("https://my.pitchbook.com?c=191317-87T","View Company Online")</f>
      </c>
    </row>
    <row r="496">
      <c r="A496" s="12" t="s">
        <v>3295</v>
      </c>
      <c r="B496" s="12" t="s">
        <v>3296</v>
      </c>
      <c r="C496" s="19" t="s">
        <v>36</v>
      </c>
      <c r="D496" s="19">
        <v>3</v>
      </c>
      <c r="E496" s="19">
        <v>1</v>
      </c>
      <c r="F496" s="19">
        <v>7</v>
      </c>
      <c r="G496" s="15" t="s">
        <v>326</v>
      </c>
      <c r="H496" s="14" t="s">
        <v>36</v>
      </c>
      <c r="I496" s="18">
        <v>18.62</v>
      </c>
      <c r="J496" s="12" t="s">
        <v>521</v>
      </c>
      <c r="K496" s="13" t="s">
        <v>36</v>
      </c>
      <c r="L496" s="15" t="s">
        <v>36</v>
      </c>
      <c r="M496" s="12" t="s">
        <v>36</v>
      </c>
      <c r="N496" s="12" t="s">
        <v>36</v>
      </c>
      <c r="O496" s="17" t="s">
        <v>36</v>
      </c>
      <c r="P496" s="12" t="s">
        <v>36</v>
      </c>
      <c r="Q496" s="12" t="s">
        <v>36</v>
      </c>
      <c r="R496" s="12" t="s">
        <v>36</v>
      </c>
      <c r="S496" s="12" t="s">
        <v>36</v>
      </c>
      <c r="T496" s="12" t="s">
        <v>3297</v>
      </c>
      <c r="U496" s="12" t="s">
        <v>1336</v>
      </c>
      <c r="V496" s="12" t="s">
        <v>367</v>
      </c>
      <c r="W496" s="12" t="s">
        <v>3298</v>
      </c>
      <c r="X496" s="16" t="s">
        <v>3299</v>
      </c>
      <c r="Y496" s="15" t="s">
        <v>55</v>
      </c>
      <c r="Z496" s="14">
        <v>22.59</v>
      </c>
      <c r="AA496" s="14">
        <v>43.98</v>
      </c>
      <c r="AB496" s="12" t="s">
        <v>56</v>
      </c>
      <c r="AC496" s="12" t="s">
        <v>3300</v>
      </c>
      <c r="AD496" s="13">
        <v>45428</v>
      </c>
      <c r="AE496" s="12" t="s">
        <v>2464</v>
      </c>
      <c r="AF496" s="12" t="s">
        <v>372</v>
      </c>
      <c r="AG496" s="12" t="s">
        <v>741</v>
      </c>
      <c r="AH496" s="1">
        <f>HYPERLINK("https://my.pitchbook.com?c=252368-11T","View Company Online")</f>
      </c>
    </row>
    <row r="497">
      <c r="A497" s="3" t="s">
        <v>3301</v>
      </c>
      <c r="B497" s="3" t="s">
        <v>3302</v>
      </c>
      <c r="C497" s="5" t="s">
        <v>36</v>
      </c>
      <c r="D497" s="5" t="s">
        <v>36</v>
      </c>
      <c r="E497" s="5" t="s">
        <v>36</v>
      </c>
      <c r="F497" s="5" t="s">
        <v>36</v>
      </c>
      <c r="G497" s="6" t="s">
        <v>36</v>
      </c>
      <c r="H497" s="4" t="s">
        <v>36</v>
      </c>
      <c r="I497" s="7" t="s">
        <v>36</v>
      </c>
      <c r="J497" s="3" t="s">
        <v>36</v>
      </c>
      <c r="K497" s="9" t="s">
        <v>36</v>
      </c>
      <c r="L497" s="6" t="s">
        <v>36</v>
      </c>
      <c r="M497" s="3" t="s">
        <v>36</v>
      </c>
      <c r="N497" s="3" t="s">
        <v>36</v>
      </c>
      <c r="O497" s="8" t="s">
        <v>36</v>
      </c>
      <c r="P497" s="3" t="s">
        <v>36</v>
      </c>
      <c r="Q497" s="3" t="s">
        <v>36</v>
      </c>
      <c r="R497" s="3" t="s">
        <v>36</v>
      </c>
      <c r="S497" s="3" t="s">
        <v>196</v>
      </c>
      <c r="T497" s="3" t="s">
        <v>3303</v>
      </c>
      <c r="U497" s="3" t="s">
        <v>38</v>
      </c>
      <c r="V497" s="3" t="s">
        <v>39</v>
      </c>
      <c r="W497" s="3" t="s">
        <v>3304</v>
      </c>
      <c r="X497" s="10" t="s">
        <v>3305</v>
      </c>
      <c r="Y497" s="6" t="s">
        <v>55</v>
      </c>
      <c r="Z497" s="4" t="s">
        <v>36</v>
      </c>
      <c r="AA497" s="4" t="s">
        <v>36</v>
      </c>
      <c r="AB497" s="3" t="s">
        <v>43</v>
      </c>
      <c r="AC497" s="3" t="s">
        <v>3306</v>
      </c>
      <c r="AD497" s="9">
        <v>45428</v>
      </c>
      <c r="AE497" s="3" t="s">
        <v>1945</v>
      </c>
      <c r="AF497" s="3" t="s">
        <v>2440</v>
      </c>
      <c r="AG497" s="3" t="s">
        <v>81</v>
      </c>
      <c r="AH497" s="11">
        <f>HYPERLINK("https://my.pitchbook.com?c=278214-40T","View Company Online")</f>
      </c>
    </row>
    <row r="498">
      <c r="A498" s="12" t="s">
        <v>3307</v>
      </c>
      <c r="B498" s="12" t="s">
        <v>3308</v>
      </c>
      <c r="C498" s="19" t="s">
        <v>36</v>
      </c>
      <c r="D498" s="19" t="s">
        <v>36</v>
      </c>
      <c r="E498" s="19" t="s">
        <v>36</v>
      </c>
      <c r="F498" s="19" t="s">
        <v>36</v>
      </c>
      <c r="G498" s="15" t="s">
        <v>36</v>
      </c>
      <c r="H498" s="14" t="s">
        <v>36</v>
      </c>
      <c r="I498" s="18" t="s">
        <v>36</v>
      </c>
      <c r="J498" s="12" t="s">
        <v>36</v>
      </c>
      <c r="K498" s="13" t="s">
        <v>36</v>
      </c>
      <c r="L498" s="15" t="s">
        <v>36</v>
      </c>
      <c r="M498" s="12" t="s">
        <v>36</v>
      </c>
      <c r="N498" s="12" t="s">
        <v>36</v>
      </c>
      <c r="O498" s="17" t="s">
        <v>36</v>
      </c>
      <c r="P498" s="12" t="s">
        <v>36</v>
      </c>
      <c r="Q498" s="12" t="s">
        <v>36</v>
      </c>
      <c r="R498" s="12" t="s">
        <v>36</v>
      </c>
      <c r="S498" s="12" t="s">
        <v>36</v>
      </c>
      <c r="T498" s="12" t="s">
        <v>3309</v>
      </c>
      <c r="U498" s="12" t="s">
        <v>38</v>
      </c>
      <c r="V498" s="12" t="s">
        <v>39</v>
      </c>
      <c r="W498" s="12" t="s">
        <v>3310</v>
      </c>
      <c r="X498" s="16" t="s">
        <v>3311</v>
      </c>
      <c r="Y498" s="15" t="s">
        <v>55</v>
      </c>
      <c r="Z498" s="14">
        <v>3.5</v>
      </c>
      <c r="AA498" s="14" t="s">
        <v>36</v>
      </c>
      <c r="AB498" s="12" t="s">
        <v>43</v>
      </c>
      <c r="AC498" s="12" t="s">
        <v>3312</v>
      </c>
      <c r="AD498" s="13">
        <v>45427</v>
      </c>
      <c r="AE498" s="12" t="s">
        <v>554</v>
      </c>
      <c r="AF498" s="12" t="s">
        <v>555</v>
      </c>
      <c r="AG498" s="12" t="s">
        <v>899</v>
      </c>
      <c r="AH498" s="1">
        <f>HYPERLINK("https://my.pitchbook.com?c=259483-06T","View Company Online")</f>
      </c>
    </row>
    <row r="499">
      <c r="A499" s="3" t="s">
        <v>3313</v>
      </c>
      <c r="B499" s="3" t="s">
        <v>3314</v>
      </c>
      <c r="C499" s="5" t="s">
        <v>36</v>
      </c>
      <c r="D499" s="5" t="s">
        <v>36</v>
      </c>
      <c r="E499" s="5" t="s">
        <v>36</v>
      </c>
      <c r="F499" s="5" t="s">
        <v>36</v>
      </c>
      <c r="G499" s="6" t="s">
        <v>36</v>
      </c>
      <c r="H499" s="4">
        <v>778.92</v>
      </c>
      <c r="I499" s="7">
        <v>19.35</v>
      </c>
      <c r="J499" s="3" t="s">
        <v>521</v>
      </c>
      <c r="K499" s="9" t="s">
        <v>36</v>
      </c>
      <c r="L499" s="6" t="s">
        <v>36</v>
      </c>
      <c r="M499" s="3" t="s">
        <v>36</v>
      </c>
      <c r="N499" s="3" t="s">
        <v>36</v>
      </c>
      <c r="O499" s="8" t="s">
        <v>36</v>
      </c>
      <c r="P499" s="3" t="s">
        <v>36</v>
      </c>
      <c r="Q499" s="3" t="s">
        <v>36</v>
      </c>
      <c r="R499" s="3" t="s">
        <v>36</v>
      </c>
      <c r="S499" s="3" t="s">
        <v>36</v>
      </c>
      <c r="T499" s="3" t="s">
        <v>3315</v>
      </c>
      <c r="U499" s="3" t="s">
        <v>74</v>
      </c>
      <c r="V499" s="3" t="s">
        <v>75</v>
      </c>
      <c r="W499" s="3" t="s">
        <v>3316</v>
      </c>
      <c r="X499" s="10" t="s">
        <v>3317</v>
      </c>
      <c r="Y499" s="6" t="s">
        <v>42</v>
      </c>
      <c r="Z499" s="4">
        <v>1.93</v>
      </c>
      <c r="AA499" s="4">
        <v>9.97</v>
      </c>
      <c r="AB499" s="3" t="s">
        <v>43</v>
      </c>
      <c r="AC499" s="3" t="s">
        <v>3318</v>
      </c>
      <c r="AD499" s="9">
        <v>45427</v>
      </c>
      <c r="AE499" s="3" t="s">
        <v>2237</v>
      </c>
      <c r="AF499" s="3" t="s">
        <v>3319</v>
      </c>
      <c r="AG499" s="3" t="s">
        <v>332</v>
      </c>
      <c r="AH499" s="11">
        <f>HYPERLINK("https://my.pitchbook.com?c=259411-96T","View Company Online")</f>
      </c>
    </row>
    <row r="500">
      <c r="A500" s="12" t="s">
        <v>3320</v>
      </c>
      <c r="B500" s="12" t="s">
        <v>3321</v>
      </c>
      <c r="C500" s="19" t="s">
        <v>36</v>
      </c>
      <c r="D500" s="19" t="s">
        <v>36</v>
      </c>
      <c r="E500" s="19" t="s">
        <v>36</v>
      </c>
      <c r="F500" s="19" t="s">
        <v>36</v>
      </c>
      <c r="G500" s="15" t="s">
        <v>326</v>
      </c>
      <c r="H500" s="14" t="s">
        <v>36</v>
      </c>
      <c r="I500" s="18">
        <v>30.77</v>
      </c>
      <c r="J500" s="12" t="s">
        <v>327</v>
      </c>
      <c r="K500" s="13" t="s">
        <v>36</v>
      </c>
      <c r="L500" s="15" t="s">
        <v>36</v>
      </c>
      <c r="M500" s="12" t="s">
        <v>36</v>
      </c>
      <c r="N500" s="12" t="s">
        <v>36</v>
      </c>
      <c r="O500" s="17" t="s">
        <v>36</v>
      </c>
      <c r="P500" s="12" t="s">
        <v>36</v>
      </c>
      <c r="Q500" s="12" t="s">
        <v>36</v>
      </c>
      <c r="R500" s="12" t="s">
        <v>36</v>
      </c>
      <c r="S500" s="12" t="s">
        <v>36</v>
      </c>
      <c r="T500" s="12" t="s">
        <v>3322</v>
      </c>
      <c r="U500" s="12" t="s">
        <v>74</v>
      </c>
      <c r="V500" s="12" t="s">
        <v>75</v>
      </c>
      <c r="W500" s="12" t="s">
        <v>3323</v>
      </c>
      <c r="X500" s="16" t="s">
        <v>3324</v>
      </c>
      <c r="Y500" s="15" t="s">
        <v>108</v>
      </c>
      <c r="Z500" s="14">
        <v>5.57</v>
      </c>
      <c r="AA500" s="14">
        <v>18.11</v>
      </c>
      <c r="AB500" s="12" t="s">
        <v>43</v>
      </c>
      <c r="AC500" s="12" t="s">
        <v>3325</v>
      </c>
      <c r="AD500" s="13">
        <v>45427</v>
      </c>
      <c r="AE500" s="12" t="s">
        <v>79</v>
      </c>
      <c r="AF500" s="12" t="s">
        <v>3326</v>
      </c>
      <c r="AG500" s="12" t="s">
        <v>3327</v>
      </c>
      <c r="AH500" s="1">
        <f>HYPERLINK("https://my.pitchbook.com?c=259509-88T","View Company Online")</f>
      </c>
    </row>
    <row r="501">
      <c r="A501" s="3" t="s">
        <v>3328</v>
      </c>
      <c r="B501" s="3" t="s">
        <v>3329</v>
      </c>
      <c r="C501" s="5" t="s">
        <v>36</v>
      </c>
      <c r="D501" s="5" t="s">
        <v>36</v>
      </c>
      <c r="E501" s="5" t="s">
        <v>36</v>
      </c>
      <c r="F501" s="5" t="s">
        <v>36</v>
      </c>
      <c r="G501" s="6" t="s">
        <v>36</v>
      </c>
      <c r="H501" s="4" t="s">
        <v>36</v>
      </c>
      <c r="I501" s="7" t="s">
        <v>36</v>
      </c>
      <c r="J501" s="3" t="s">
        <v>36</v>
      </c>
      <c r="K501" s="9" t="s">
        <v>36</v>
      </c>
      <c r="L501" s="6" t="s">
        <v>36</v>
      </c>
      <c r="M501" s="3" t="s">
        <v>36</v>
      </c>
      <c r="N501" s="3" t="s">
        <v>36</v>
      </c>
      <c r="O501" s="8" t="s">
        <v>36</v>
      </c>
      <c r="P501" s="3" t="s">
        <v>36</v>
      </c>
      <c r="Q501" s="3" t="s">
        <v>36</v>
      </c>
      <c r="R501" s="3" t="s">
        <v>36</v>
      </c>
      <c r="S501" s="3" t="s">
        <v>36</v>
      </c>
      <c r="T501" s="3" t="s">
        <v>3330</v>
      </c>
      <c r="U501" s="3" t="s">
        <v>438</v>
      </c>
      <c r="V501" s="3" t="s">
        <v>405</v>
      </c>
      <c r="W501" s="3" t="s">
        <v>3331</v>
      </c>
      <c r="X501" s="10" t="s">
        <v>3332</v>
      </c>
      <c r="Y501" s="6" t="s">
        <v>42</v>
      </c>
      <c r="Z501" s="4">
        <v>2.6</v>
      </c>
      <c r="AA501" s="4" t="s">
        <v>36</v>
      </c>
      <c r="AB501" s="3" t="s">
        <v>43</v>
      </c>
      <c r="AC501" s="3" t="s">
        <v>3333</v>
      </c>
      <c r="AD501" s="9">
        <v>45426</v>
      </c>
      <c r="AE501" s="3" t="s">
        <v>438</v>
      </c>
      <c r="AF501" s="3" t="s">
        <v>3334</v>
      </c>
      <c r="AG501" s="3" t="s">
        <v>3335</v>
      </c>
      <c r="AH501" s="11">
        <f>HYPERLINK("https://my.pitchbook.com?c=193096-72T","View Company Online")</f>
      </c>
    </row>
    <row r="502">
      <c r="A502" s="12" t="s">
        <v>3336</v>
      </c>
      <c r="B502" s="12" t="s">
        <v>3337</v>
      </c>
      <c r="C502" s="19" t="s">
        <v>36</v>
      </c>
      <c r="D502" s="19" t="s">
        <v>36</v>
      </c>
      <c r="E502" s="19" t="s">
        <v>36</v>
      </c>
      <c r="F502" s="19" t="s">
        <v>36</v>
      </c>
      <c r="G502" s="15" t="s">
        <v>36</v>
      </c>
      <c r="H502" s="14" t="s">
        <v>36</v>
      </c>
      <c r="I502" s="18">
        <v>21.68</v>
      </c>
      <c r="J502" s="12" t="s">
        <v>327</v>
      </c>
      <c r="K502" s="13" t="s">
        <v>36</v>
      </c>
      <c r="L502" s="15" t="s">
        <v>36</v>
      </c>
      <c r="M502" s="12" t="s">
        <v>36</v>
      </c>
      <c r="N502" s="12" t="s">
        <v>36</v>
      </c>
      <c r="O502" s="17" t="s">
        <v>36</v>
      </c>
      <c r="P502" s="12" t="s">
        <v>36</v>
      </c>
      <c r="Q502" s="12" t="s">
        <v>36</v>
      </c>
      <c r="R502" s="12" t="s">
        <v>36</v>
      </c>
      <c r="S502" s="12" t="s">
        <v>36</v>
      </c>
      <c r="T502" s="12" t="s">
        <v>3338</v>
      </c>
      <c r="U502" s="12" t="s">
        <v>219</v>
      </c>
      <c r="V502" s="12" t="s">
        <v>75</v>
      </c>
      <c r="W502" s="12" t="s">
        <v>3339</v>
      </c>
      <c r="X502" s="16" t="s">
        <v>3340</v>
      </c>
      <c r="Y502" s="15" t="s">
        <v>42</v>
      </c>
      <c r="Z502" s="14">
        <v>0.64</v>
      </c>
      <c r="AA502" s="14">
        <v>2.96</v>
      </c>
      <c r="AB502" s="12" t="s">
        <v>43</v>
      </c>
      <c r="AC502" s="12" t="s">
        <v>3341</v>
      </c>
      <c r="AD502" s="13">
        <v>45426</v>
      </c>
      <c r="AE502" s="12" t="s">
        <v>223</v>
      </c>
      <c r="AF502" s="12" t="s">
        <v>36</v>
      </c>
      <c r="AG502" s="12" t="s">
        <v>47</v>
      </c>
      <c r="AH502" s="1">
        <f>HYPERLINK("https://my.pitchbook.com?c=242821-27T","View Company Online")</f>
      </c>
    </row>
    <row r="503">
      <c r="A503" s="3" t="s">
        <v>3342</v>
      </c>
      <c r="B503" s="3" t="s">
        <v>3343</v>
      </c>
      <c r="C503" s="5" t="s">
        <v>36</v>
      </c>
      <c r="D503" s="5" t="s">
        <v>36</v>
      </c>
      <c r="E503" s="5" t="s">
        <v>36</v>
      </c>
      <c r="F503" s="5" t="s">
        <v>36</v>
      </c>
      <c r="G503" s="6" t="s">
        <v>36</v>
      </c>
      <c r="H503" s="4" t="s">
        <v>36</v>
      </c>
      <c r="I503" s="7" t="s">
        <v>36</v>
      </c>
      <c r="J503" s="3" t="s">
        <v>36</v>
      </c>
      <c r="K503" s="9" t="s">
        <v>36</v>
      </c>
      <c r="L503" s="6" t="s">
        <v>36</v>
      </c>
      <c r="M503" s="3" t="s">
        <v>36</v>
      </c>
      <c r="N503" s="3" t="s">
        <v>36</v>
      </c>
      <c r="O503" s="8" t="s">
        <v>36</v>
      </c>
      <c r="P503" s="3" t="s">
        <v>36</v>
      </c>
      <c r="Q503" s="3" t="s">
        <v>36</v>
      </c>
      <c r="R503" s="3" t="s">
        <v>36</v>
      </c>
      <c r="S503" s="3" t="s">
        <v>36</v>
      </c>
      <c r="T503" s="3" t="s">
        <v>2992</v>
      </c>
      <c r="U503" s="3" t="s">
        <v>96</v>
      </c>
      <c r="V503" s="3" t="s">
        <v>52</v>
      </c>
      <c r="W503" s="3" t="s">
        <v>3344</v>
      </c>
      <c r="X503" s="10" t="s">
        <v>3345</v>
      </c>
      <c r="Y503" s="6" t="s">
        <v>42</v>
      </c>
      <c r="Z503" s="4">
        <v>1.07</v>
      </c>
      <c r="AA503" s="4" t="s">
        <v>36</v>
      </c>
      <c r="AB503" s="3" t="s">
        <v>43</v>
      </c>
      <c r="AC503" s="3" t="s">
        <v>3346</v>
      </c>
      <c r="AD503" s="9">
        <v>45426</v>
      </c>
      <c r="AE503" s="3" t="s">
        <v>100</v>
      </c>
      <c r="AF503" s="3" t="s">
        <v>36</v>
      </c>
      <c r="AG503" s="3" t="s">
        <v>81</v>
      </c>
      <c r="AH503" s="11">
        <f>HYPERLINK("https://my.pitchbook.com?c=264222-37T","View Company Online")</f>
      </c>
    </row>
    <row r="504">
      <c r="A504" s="12" t="s">
        <v>3347</v>
      </c>
      <c r="B504" s="12" t="s">
        <v>3348</v>
      </c>
      <c r="C504" s="19" t="s">
        <v>36</v>
      </c>
      <c r="D504" s="19" t="s">
        <v>36</v>
      </c>
      <c r="E504" s="19" t="s">
        <v>36</v>
      </c>
      <c r="F504" s="19" t="s">
        <v>36</v>
      </c>
      <c r="G504" s="15" t="s">
        <v>36</v>
      </c>
      <c r="H504" s="14" t="s">
        <v>36</v>
      </c>
      <c r="I504" s="18" t="s">
        <v>36</v>
      </c>
      <c r="J504" s="12" t="s">
        <v>36</v>
      </c>
      <c r="K504" s="13" t="s">
        <v>36</v>
      </c>
      <c r="L504" s="15" t="s">
        <v>122</v>
      </c>
      <c r="M504" s="12" t="s">
        <v>36</v>
      </c>
      <c r="N504" s="12" t="s">
        <v>122</v>
      </c>
      <c r="O504" s="17" t="s">
        <v>36</v>
      </c>
      <c r="P504" s="12" t="s">
        <v>36</v>
      </c>
      <c r="Q504" s="12" t="s">
        <v>36</v>
      </c>
      <c r="R504" s="12" t="s">
        <v>36</v>
      </c>
      <c r="S504" s="12" t="s">
        <v>36</v>
      </c>
      <c r="T504" s="12" t="s">
        <v>3349</v>
      </c>
      <c r="U504" s="12" t="s">
        <v>38</v>
      </c>
      <c r="V504" s="12" t="s">
        <v>39</v>
      </c>
      <c r="W504" s="12" t="s">
        <v>3350</v>
      </c>
      <c r="X504" s="16" t="s">
        <v>3351</v>
      </c>
      <c r="Y504" s="15" t="s">
        <v>55</v>
      </c>
      <c r="Z504" s="14">
        <v>7.39</v>
      </c>
      <c r="AA504" s="14" t="s">
        <v>36</v>
      </c>
      <c r="AB504" s="12" t="s">
        <v>56</v>
      </c>
      <c r="AC504" s="12" t="s">
        <v>3352</v>
      </c>
      <c r="AD504" s="13">
        <v>45426</v>
      </c>
      <c r="AE504" s="12" t="s">
        <v>110</v>
      </c>
      <c r="AF504" s="12" t="s">
        <v>2087</v>
      </c>
      <c r="AG504" s="12" t="s">
        <v>81</v>
      </c>
      <c r="AH504" s="1">
        <f>HYPERLINK("https://my.pitchbook.com?c=259328-08T","View Company Online")</f>
      </c>
    </row>
    <row r="505">
      <c r="A505" s="3" t="s">
        <v>3353</v>
      </c>
      <c r="B505" s="3" t="s">
        <v>3354</v>
      </c>
      <c r="C505" s="5">
        <v>2</v>
      </c>
      <c r="D505" s="5">
        <v>2</v>
      </c>
      <c r="E505" s="5">
        <v>1</v>
      </c>
      <c r="F505" s="5">
        <v>4</v>
      </c>
      <c r="G505" s="6" t="s">
        <v>36</v>
      </c>
      <c r="H505" s="4" t="s">
        <v>36</v>
      </c>
      <c r="I505" s="7" t="s">
        <v>36</v>
      </c>
      <c r="J505" s="3" t="s">
        <v>36</v>
      </c>
      <c r="K505" s="9" t="s">
        <v>36</v>
      </c>
      <c r="L505" s="6" t="s">
        <v>36</v>
      </c>
      <c r="M505" s="3" t="s">
        <v>36</v>
      </c>
      <c r="N505" s="3" t="s">
        <v>36</v>
      </c>
      <c r="O505" s="8" t="s">
        <v>36</v>
      </c>
      <c r="P505" s="3" t="s">
        <v>36</v>
      </c>
      <c r="Q505" s="3" t="s">
        <v>36</v>
      </c>
      <c r="R505" s="3" t="s">
        <v>36</v>
      </c>
      <c r="S505" s="3" t="s">
        <v>2818</v>
      </c>
      <c r="T505" s="3" t="s">
        <v>1725</v>
      </c>
      <c r="U505" s="3" t="s">
        <v>318</v>
      </c>
      <c r="V505" s="3" t="s">
        <v>39</v>
      </c>
      <c r="W505" s="3" t="s">
        <v>3355</v>
      </c>
      <c r="X505" s="10" t="s">
        <v>3356</v>
      </c>
      <c r="Y505" s="6" t="s">
        <v>55</v>
      </c>
      <c r="Z505" s="4">
        <v>12.85</v>
      </c>
      <c r="AA505" s="4" t="s">
        <v>36</v>
      </c>
      <c r="AB505" s="3" t="s">
        <v>56</v>
      </c>
      <c r="AC505" s="3" t="s">
        <v>3357</v>
      </c>
      <c r="AD505" s="9">
        <v>45425</v>
      </c>
      <c r="AE505" s="3" t="s">
        <v>763</v>
      </c>
      <c r="AF505" s="3" t="s">
        <v>3358</v>
      </c>
      <c r="AG505" s="3" t="s">
        <v>144</v>
      </c>
      <c r="AH505" s="11">
        <f>HYPERLINK("https://my.pitchbook.com?c=259222-33T","View Company Online")</f>
      </c>
    </row>
    <row r="506">
      <c r="A506" s="12" t="s">
        <v>3359</v>
      </c>
      <c r="B506" s="12" t="s">
        <v>3360</v>
      </c>
      <c r="C506" s="19">
        <v>4</v>
      </c>
      <c r="D506" s="19">
        <v>27</v>
      </c>
      <c r="E506" s="19">
        <v>3</v>
      </c>
      <c r="F506" s="19">
        <v>33</v>
      </c>
      <c r="G506" s="15" t="s">
        <v>36</v>
      </c>
      <c r="H506" s="14" t="s">
        <v>36</v>
      </c>
      <c r="I506" s="18" t="s">
        <v>36</v>
      </c>
      <c r="J506" s="12" t="s">
        <v>36</v>
      </c>
      <c r="K506" s="13" t="s">
        <v>36</v>
      </c>
      <c r="L506" s="15" t="s">
        <v>94</v>
      </c>
      <c r="M506" s="12" t="s">
        <v>36</v>
      </c>
      <c r="N506" s="12" t="s">
        <v>94</v>
      </c>
      <c r="O506" s="17" t="s">
        <v>36</v>
      </c>
      <c r="P506" s="12" t="s">
        <v>36</v>
      </c>
      <c r="Q506" s="12" t="s">
        <v>36</v>
      </c>
      <c r="R506" s="12" t="s">
        <v>36</v>
      </c>
      <c r="S506" s="12" t="s">
        <v>36</v>
      </c>
      <c r="T506" s="12" t="s">
        <v>3361</v>
      </c>
      <c r="U506" s="12" t="s">
        <v>96</v>
      </c>
      <c r="V506" s="12" t="s">
        <v>52</v>
      </c>
      <c r="W506" s="12" t="s">
        <v>3362</v>
      </c>
      <c r="X506" s="16" t="s">
        <v>3363</v>
      </c>
      <c r="Y506" s="15" t="s">
        <v>108</v>
      </c>
      <c r="Z506" s="14">
        <v>25</v>
      </c>
      <c r="AA506" s="14" t="s">
        <v>36</v>
      </c>
      <c r="AB506" s="12" t="s">
        <v>56</v>
      </c>
      <c r="AC506" s="12" t="s">
        <v>3364</v>
      </c>
      <c r="AD506" s="13">
        <v>45425</v>
      </c>
      <c r="AE506" s="12" t="s">
        <v>496</v>
      </c>
      <c r="AF506" s="12" t="s">
        <v>3365</v>
      </c>
      <c r="AG506" s="12" t="s">
        <v>81</v>
      </c>
      <c r="AH506" s="1">
        <f>HYPERLINK("https://my.pitchbook.com?c=259223-95T","View Company Online")</f>
      </c>
    </row>
    <row r="507">
      <c r="A507" s="3" t="s">
        <v>3366</v>
      </c>
      <c r="B507" s="3" t="s">
        <v>3367</v>
      </c>
      <c r="C507" s="5" t="s">
        <v>36</v>
      </c>
      <c r="D507" s="5" t="s">
        <v>36</v>
      </c>
      <c r="E507" s="5" t="s">
        <v>36</v>
      </c>
      <c r="F507" s="5" t="s">
        <v>36</v>
      </c>
      <c r="G507" s="6" t="s">
        <v>36</v>
      </c>
      <c r="H507" s="4" t="s">
        <v>36</v>
      </c>
      <c r="I507" s="7" t="s">
        <v>36</v>
      </c>
      <c r="J507" s="3" t="s">
        <v>36</v>
      </c>
      <c r="K507" s="9" t="s">
        <v>36</v>
      </c>
      <c r="L507" s="6" t="s">
        <v>36</v>
      </c>
      <c r="M507" s="3" t="s">
        <v>36</v>
      </c>
      <c r="N507" s="3" t="s">
        <v>36</v>
      </c>
      <c r="O507" s="8" t="s">
        <v>36</v>
      </c>
      <c r="P507" s="3" t="s">
        <v>36</v>
      </c>
      <c r="Q507" s="3" t="s">
        <v>36</v>
      </c>
      <c r="R507" s="3" t="s">
        <v>36</v>
      </c>
      <c r="S507" s="3" t="s">
        <v>36</v>
      </c>
      <c r="T507" s="3" t="s">
        <v>3368</v>
      </c>
      <c r="U507" s="3" t="s">
        <v>279</v>
      </c>
      <c r="V507" s="3" t="s">
        <v>64</v>
      </c>
      <c r="W507" s="3" t="s">
        <v>3369</v>
      </c>
      <c r="X507" s="10" t="s">
        <v>3370</v>
      </c>
      <c r="Y507" s="6" t="s">
        <v>321</v>
      </c>
      <c r="Z507" s="4">
        <v>3.75</v>
      </c>
      <c r="AA507" s="4" t="s">
        <v>36</v>
      </c>
      <c r="AB507" s="3" t="s">
        <v>56</v>
      </c>
      <c r="AC507" s="3" t="s">
        <v>3371</v>
      </c>
      <c r="AD507" s="9">
        <v>45425</v>
      </c>
      <c r="AE507" s="3" t="s">
        <v>283</v>
      </c>
      <c r="AF507" s="3" t="s">
        <v>1507</v>
      </c>
      <c r="AG507" s="3" t="s">
        <v>2088</v>
      </c>
      <c r="AH507" s="11">
        <f>HYPERLINK("https://my.pitchbook.com?c=259256-53T","View Company Online")</f>
      </c>
    </row>
    <row r="508">
      <c r="A508" s="12" t="s">
        <v>3372</v>
      </c>
      <c r="B508" s="12" t="s">
        <v>3373</v>
      </c>
      <c r="C508" s="19" t="s">
        <v>36</v>
      </c>
      <c r="D508" s="19" t="s">
        <v>36</v>
      </c>
      <c r="E508" s="19" t="s">
        <v>36</v>
      </c>
      <c r="F508" s="19" t="s">
        <v>36</v>
      </c>
      <c r="G508" s="15" t="s">
        <v>36</v>
      </c>
      <c r="H508" s="14" t="s">
        <v>36</v>
      </c>
      <c r="I508" s="18" t="s">
        <v>36</v>
      </c>
      <c r="J508" s="12" t="s">
        <v>36</v>
      </c>
      <c r="K508" s="13" t="s">
        <v>36</v>
      </c>
      <c r="L508" s="15" t="s">
        <v>36</v>
      </c>
      <c r="M508" s="12" t="s">
        <v>36</v>
      </c>
      <c r="N508" s="12" t="s">
        <v>36</v>
      </c>
      <c r="O508" s="17" t="s">
        <v>36</v>
      </c>
      <c r="P508" s="12" t="s">
        <v>36</v>
      </c>
      <c r="Q508" s="12" t="s">
        <v>36</v>
      </c>
      <c r="R508" s="12" t="s">
        <v>36</v>
      </c>
      <c r="S508" s="12" t="s">
        <v>36</v>
      </c>
      <c r="T508" s="12" t="s">
        <v>105</v>
      </c>
      <c r="U508" s="12" t="s">
        <v>38</v>
      </c>
      <c r="V508" s="12" t="s">
        <v>39</v>
      </c>
      <c r="W508" s="12" t="s">
        <v>3374</v>
      </c>
      <c r="X508" s="16" t="s">
        <v>3375</v>
      </c>
      <c r="Y508" s="15" t="s">
        <v>42</v>
      </c>
      <c r="Z508" s="14">
        <v>0.01</v>
      </c>
      <c r="AA508" s="14" t="s">
        <v>36</v>
      </c>
      <c r="AB508" s="12" t="s">
        <v>43</v>
      </c>
      <c r="AC508" s="12" t="s">
        <v>3376</v>
      </c>
      <c r="AD508" s="13">
        <v>45422</v>
      </c>
      <c r="AE508" s="12" t="s">
        <v>110</v>
      </c>
      <c r="AF508" s="12" t="s">
        <v>111</v>
      </c>
      <c r="AG508" s="12" t="s">
        <v>81</v>
      </c>
      <c r="AH508" s="1">
        <f>HYPERLINK("https://my.pitchbook.com?c=265399-39T","View Company Online")</f>
      </c>
    </row>
    <row r="509">
      <c r="A509" s="3" t="s">
        <v>3377</v>
      </c>
      <c r="B509" s="3" t="s">
        <v>3378</v>
      </c>
      <c r="C509" s="5" t="s">
        <v>36</v>
      </c>
      <c r="D509" s="5" t="s">
        <v>36</v>
      </c>
      <c r="E509" s="5" t="s">
        <v>36</v>
      </c>
      <c r="F509" s="5" t="s">
        <v>36</v>
      </c>
      <c r="G509" s="6" t="s">
        <v>36</v>
      </c>
      <c r="H509" s="4" t="s">
        <v>36</v>
      </c>
      <c r="I509" s="7">
        <v>28.57</v>
      </c>
      <c r="J509" s="3" t="s">
        <v>327</v>
      </c>
      <c r="K509" s="9" t="s">
        <v>36</v>
      </c>
      <c r="L509" s="6" t="s">
        <v>36</v>
      </c>
      <c r="M509" s="3" t="s">
        <v>36</v>
      </c>
      <c r="N509" s="3" t="s">
        <v>36</v>
      </c>
      <c r="O509" s="8" t="s">
        <v>36</v>
      </c>
      <c r="P509" s="3" t="s">
        <v>36</v>
      </c>
      <c r="Q509" s="3" t="s">
        <v>36</v>
      </c>
      <c r="R509" s="3" t="s">
        <v>36</v>
      </c>
      <c r="S509" s="3" t="s">
        <v>36</v>
      </c>
      <c r="T509" s="3" t="s">
        <v>3379</v>
      </c>
      <c r="U509" s="3" t="s">
        <v>74</v>
      </c>
      <c r="V509" s="3" t="s">
        <v>75</v>
      </c>
      <c r="W509" s="3" t="s">
        <v>3380</v>
      </c>
      <c r="X509" s="10" t="s">
        <v>3381</v>
      </c>
      <c r="Y509" s="6" t="s">
        <v>42</v>
      </c>
      <c r="Z509" s="4">
        <v>3.71</v>
      </c>
      <c r="AA509" s="4">
        <v>13</v>
      </c>
      <c r="AB509" s="3" t="s">
        <v>56</v>
      </c>
      <c r="AC509" s="3" t="s">
        <v>3382</v>
      </c>
      <c r="AD509" s="9">
        <v>45419</v>
      </c>
      <c r="AE509" s="3" t="s">
        <v>79</v>
      </c>
      <c r="AF509" s="3" t="s">
        <v>3383</v>
      </c>
      <c r="AG509" s="3" t="s">
        <v>81</v>
      </c>
      <c r="AH509" s="11">
        <f>HYPERLINK("https://my.pitchbook.com?c=270493-93T","View Company Online")</f>
      </c>
    </row>
    <row r="510">
      <c r="A510" s="12" t="s">
        <v>3384</v>
      </c>
      <c r="B510" s="12" t="s">
        <v>3385</v>
      </c>
      <c r="C510" s="19" t="s">
        <v>36</v>
      </c>
      <c r="D510" s="19" t="s">
        <v>36</v>
      </c>
      <c r="E510" s="19" t="s">
        <v>36</v>
      </c>
      <c r="F510" s="19" t="s">
        <v>36</v>
      </c>
      <c r="G510" s="15" t="s">
        <v>36</v>
      </c>
      <c r="H510" s="14">
        <v>50.89</v>
      </c>
      <c r="I510" s="18">
        <v>29.02</v>
      </c>
      <c r="J510" s="12" t="s">
        <v>521</v>
      </c>
      <c r="K510" s="13" t="s">
        <v>36</v>
      </c>
      <c r="L510" s="15" t="s">
        <v>36</v>
      </c>
      <c r="M510" s="12" t="s">
        <v>36</v>
      </c>
      <c r="N510" s="12" t="s">
        <v>36</v>
      </c>
      <c r="O510" s="17" t="s">
        <v>36</v>
      </c>
      <c r="P510" s="12" t="s">
        <v>36</v>
      </c>
      <c r="Q510" s="12" t="s">
        <v>36</v>
      </c>
      <c r="R510" s="12" t="s">
        <v>36</v>
      </c>
      <c r="S510" s="12" t="s">
        <v>36</v>
      </c>
      <c r="T510" s="12" t="s">
        <v>3386</v>
      </c>
      <c r="U510" s="12" t="s">
        <v>74</v>
      </c>
      <c r="V510" s="12" t="s">
        <v>75</v>
      </c>
      <c r="W510" s="12" t="s">
        <v>3387</v>
      </c>
      <c r="X510" s="16" t="s">
        <v>3388</v>
      </c>
      <c r="Y510" s="15" t="s">
        <v>42</v>
      </c>
      <c r="Z510" s="14">
        <v>0.86</v>
      </c>
      <c r="AA510" s="14">
        <v>1.48</v>
      </c>
      <c r="AB510" s="12" t="s">
        <v>56</v>
      </c>
      <c r="AC510" s="12" t="s">
        <v>3389</v>
      </c>
      <c r="AD510" s="13">
        <v>45419</v>
      </c>
      <c r="AE510" s="12" t="s">
        <v>1243</v>
      </c>
      <c r="AF510" s="12" t="s">
        <v>2752</v>
      </c>
      <c r="AG510" s="12" t="s">
        <v>270</v>
      </c>
      <c r="AH510" s="1">
        <f>HYPERLINK("https://my.pitchbook.com?c=266535-91T","View Company Online")</f>
      </c>
    </row>
    <row r="511">
      <c r="A511" s="3" t="s">
        <v>3390</v>
      </c>
      <c r="B511" s="3" t="s">
        <v>3391</v>
      </c>
      <c r="C511" s="5" t="s">
        <v>36</v>
      </c>
      <c r="D511" s="5" t="s">
        <v>36</v>
      </c>
      <c r="E511" s="5" t="s">
        <v>36</v>
      </c>
      <c r="F511" s="5" t="s">
        <v>36</v>
      </c>
      <c r="G511" s="6" t="s">
        <v>326</v>
      </c>
      <c r="H511" s="4">
        <v>190.31</v>
      </c>
      <c r="I511" s="7">
        <v>24.05</v>
      </c>
      <c r="J511" s="3" t="s">
        <v>521</v>
      </c>
      <c r="K511" s="9" t="s">
        <v>36</v>
      </c>
      <c r="L511" s="6" t="s">
        <v>122</v>
      </c>
      <c r="M511" s="3" t="s">
        <v>36</v>
      </c>
      <c r="N511" s="3" t="s">
        <v>122</v>
      </c>
      <c r="O511" s="8" t="s">
        <v>36</v>
      </c>
      <c r="P511" s="3" t="s">
        <v>36</v>
      </c>
      <c r="Q511" s="3" t="s">
        <v>36</v>
      </c>
      <c r="R511" s="3" t="s">
        <v>36</v>
      </c>
      <c r="S511" s="3" t="s">
        <v>36</v>
      </c>
      <c r="T511" s="3" t="s">
        <v>2509</v>
      </c>
      <c r="U511" s="3" t="s">
        <v>38</v>
      </c>
      <c r="V511" s="3" t="s">
        <v>39</v>
      </c>
      <c r="W511" s="3" t="s">
        <v>3392</v>
      </c>
      <c r="X511" s="10" t="s">
        <v>3393</v>
      </c>
      <c r="Y511" s="6" t="s">
        <v>55</v>
      </c>
      <c r="Z511" s="4">
        <v>10.71</v>
      </c>
      <c r="AA511" s="4">
        <v>36.98</v>
      </c>
      <c r="AB511" s="3" t="s">
        <v>43</v>
      </c>
      <c r="AC511" s="3" t="s">
        <v>3394</v>
      </c>
      <c r="AD511" s="9">
        <v>45418</v>
      </c>
      <c r="AE511" s="3" t="s">
        <v>110</v>
      </c>
      <c r="AF511" s="3" t="s">
        <v>489</v>
      </c>
      <c r="AG511" s="3" t="s">
        <v>81</v>
      </c>
      <c r="AH511" s="11">
        <f>HYPERLINK("https://my.pitchbook.com?c=266108-59T","View Company Online")</f>
      </c>
    </row>
    <row r="512">
      <c r="A512" s="12" t="s">
        <v>3395</v>
      </c>
      <c r="B512" s="12" t="s">
        <v>3396</v>
      </c>
      <c r="C512" s="19" t="s">
        <v>36</v>
      </c>
      <c r="D512" s="19" t="s">
        <v>36</v>
      </c>
      <c r="E512" s="19" t="s">
        <v>36</v>
      </c>
      <c r="F512" s="19" t="s">
        <v>36</v>
      </c>
      <c r="G512" s="15" t="s">
        <v>683</v>
      </c>
      <c r="H512" s="14">
        <v>269.53</v>
      </c>
      <c r="I512" s="18">
        <v>12.84</v>
      </c>
      <c r="J512" s="12" t="s">
        <v>521</v>
      </c>
      <c r="K512" s="13" t="s">
        <v>36</v>
      </c>
      <c r="L512" s="15" t="s">
        <v>36</v>
      </c>
      <c r="M512" s="12" t="s">
        <v>36</v>
      </c>
      <c r="N512" s="12" t="s">
        <v>36</v>
      </c>
      <c r="O512" s="17" t="s">
        <v>36</v>
      </c>
      <c r="P512" s="12" t="s">
        <v>36</v>
      </c>
      <c r="Q512" s="12" t="s">
        <v>36</v>
      </c>
      <c r="R512" s="12" t="s">
        <v>36</v>
      </c>
      <c r="S512" s="12" t="s">
        <v>36</v>
      </c>
      <c r="T512" s="12" t="s">
        <v>3397</v>
      </c>
      <c r="U512" s="12" t="s">
        <v>423</v>
      </c>
      <c r="V512" s="12" t="s">
        <v>64</v>
      </c>
      <c r="W512" s="12" t="s">
        <v>3398</v>
      </c>
      <c r="X512" s="16" t="s">
        <v>3399</v>
      </c>
      <c r="Y512" s="15" t="s">
        <v>55</v>
      </c>
      <c r="Z512" s="14">
        <v>1.07</v>
      </c>
      <c r="AA512" s="14">
        <v>4.26</v>
      </c>
      <c r="AB512" s="12" t="s">
        <v>56</v>
      </c>
      <c r="AC512" s="12" t="s">
        <v>3400</v>
      </c>
      <c r="AD512" s="13">
        <v>45418</v>
      </c>
      <c r="AE512" s="12" t="s">
        <v>562</v>
      </c>
      <c r="AF512" s="12" t="s">
        <v>1061</v>
      </c>
      <c r="AG512" s="12" t="s">
        <v>144</v>
      </c>
      <c r="AH512" s="1">
        <f>HYPERLINK("https://my.pitchbook.com?c=258621-85T","View Company Online")</f>
      </c>
    </row>
    <row r="513">
      <c r="A513" s="3" t="s">
        <v>3401</v>
      </c>
      <c r="B513" s="3" t="s">
        <v>3402</v>
      </c>
      <c r="C513" s="5">
        <v>10</v>
      </c>
      <c r="D513" s="5" t="s">
        <v>36</v>
      </c>
      <c r="E513" s="5">
        <v>7</v>
      </c>
      <c r="F513" s="5">
        <v>10</v>
      </c>
      <c r="G513" s="6" t="s">
        <v>36</v>
      </c>
      <c r="H513" s="4" t="s">
        <v>36</v>
      </c>
      <c r="I513" s="7" t="s">
        <v>36</v>
      </c>
      <c r="J513" s="3" t="s">
        <v>36</v>
      </c>
      <c r="K513" s="9" t="s">
        <v>36</v>
      </c>
      <c r="L513" s="6" t="s">
        <v>36</v>
      </c>
      <c r="M513" s="3" t="s">
        <v>36</v>
      </c>
      <c r="N513" s="3" t="s">
        <v>36</v>
      </c>
      <c r="O513" s="8" t="s">
        <v>36</v>
      </c>
      <c r="P513" s="3" t="s">
        <v>36</v>
      </c>
      <c r="Q513" s="3" t="s">
        <v>36</v>
      </c>
      <c r="R513" s="3" t="s">
        <v>36</v>
      </c>
      <c r="S513" s="3" t="s">
        <v>36</v>
      </c>
      <c r="T513" s="3" t="s">
        <v>1188</v>
      </c>
      <c r="U513" s="3" t="s">
        <v>180</v>
      </c>
      <c r="V513" s="3" t="s">
        <v>52</v>
      </c>
      <c r="W513" s="3" t="s">
        <v>3403</v>
      </c>
      <c r="X513" s="10" t="s">
        <v>3404</v>
      </c>
      <c r="Y513" s="6" t="s">
        <v>55</v>
      </c>
      <c r="Z513" s="4">
        <v>11.78</v>
      </c>
      <c r="AA513" s="4" t="s">
        <v>36</v>
      </c>
      <c r="AB513" s="3" t="s">
        <v>56</v>
      </c>
      <c r="AC513" s="3" t="s">
        <v>3405</v>
      </c>
      <c r="AD513" s="9">
        <v>45418</v>
      </c>
      <c r="AE513" s="3" t="s">
        <v>1192</v>
      </c>
      <c r="AF513" s="3" t="s">
        <v>3024</v>
      </c>
      <c r="AG513" s="3" t="s">
        <v>3406</v>
      </c>
      <c r="AH513" s="11">
        <f>HYPERLINK("https://my.pitchbook.com?c=258598-90T","View Company Online")</f>
      </c>
    </row>
    <row r="514">
      <c r="A514" s="12" t="s">
        <v>3407</v>
      </c>
      <c r="B514" s="12" t="s">
        <v>3408</v>
      </c>
      <c r="C514" s="19" t="s">
        <v>36</v>
      </c>
      <c r="D514" s="19">
        <v>2</v>
      </c>
      <c r="E514" s="19">
        <v>1</v>
      </c>
      <c r="F514" s="19">
        <v>2</v>
      </c>
      <c r="G514" s="15" t="s">
        <v>326</v>
      </c>
      <c r="H514" s="14">
        <v>26.1</v>
      </c>
      <c r="I514" s="18">
        <v>14.42</v>
      </c>
      <c r="J514" s="12" t="s">
        <v>521</v>
      </c>
      <c r="K514" s="13">
        <v>45261</v>
      </c>
      <c r="L514" s="15" t="s">
        <v>36</v>
      </c>
      <c r="M514" s="12" t="s">
        <v>36</v>
      </c>
      <c r="N514" s="12" t="s">
        <v>36</v>
      </c>
      <c r="O514" s="17" t="s">
        <v>36</v>
      </c>
      <c r="P514" s="12" t="s">
        <v>36</v>
      </c>
      <c r="Q514" s="12" t="s">
        <v>36</v>
      </c>
      <c r="R514" s="12" t="s">
        <v>36</v>
      </c>
      <c r="S514" s="12" t="s">
        <v>36</v>
      </c>
      <c r="T514" s="12" t="s">
        <v>2992</v>
      </c>
      <c r="U514" s="12" t="s">
        <v>96</v>
      </c>
      <c r="V514" s="12" t="s">
        <v>52</v>
      </c>
      <c r="W514" s="12" t="s">
        <v>3409</v>
      </c>
      <c r="X514" s="16" t="s">
        <v>3410</v>
      </c>
      <c r="Y514" s="15" t="s">
        <v>192</v>
      </c>
      <c r="Z514" s="14">
        <v>0.72</v>
      </c>
      <c r="AA514" s="14">
        <v>5.01</v>
      </c>
      <c r="AB514" s="12" t="s">
        <v>56</v>
      </c>
      <c r="AC514" s="12" t="s">
        <v>3411</v>
      </c>
      <c r="AD514" s="13">
        <v>45418</v>
      </c>
      <c r="AE514" s="12" t="s">
        <v>100</v>
      </c>
      <c r="AF514" s="12" t="s">
        <v>101</v>
      </c>
      <c r="AG514" s="12" t="s">
        <v>3412</v>
      </c>
      <c r="AH514" s="1">
        <f>HYPERLINK("https://my.pitchbook.com?c=254994-22T","View Company Online")</f>
      </c>
    </row>
    <row r="515">
      <c r="A515" s="3" t="s">
        <v>3413</v>
      </c>
      <c r="B515" s="3" t="s">
        <v>3414</v>
      </c>
      <c r="C515" s="5" t="s">
        <v>36</v>
      </c>
      <c r="D515" s="5" t="s">
        <v>36</v>
      </c>
      <c r="E515" s="5" t="s">
        <v>36</v>
      </c>
      <c r="F515" s="5" t="s">
        <v>36</v>
      </c>
      <c r="G515" s="6" t="s">
        <v>36</v>
      </c>
      <c r="H515" s="4">
        <v>68.55</v>
      </c>
      <c r="I515" s="7">
        <v>48.95</v>
      </c>
      <c r="J515" s="3" t="s">
        <v>521</v>
      </c>
      <c r="K515" s="9" t="s">
        <v>36</v>
      </c>
      <c r="L515" s="6" t="s">
        <v>36</v>
      </c>
      <c r="M515" s="3" t="s">
        <v>36</v>
      </c>
      <c r="N515" s="3" t="s">
        <v>36</v>
      </c>
      <c r="O515" s="8" t="s">
        <v>36</v>
      </c>
      <c r="P515" s="3" t="s">
        <v>36</v>
      </c>
      <c r="Q515" s="3" t="s">
        <v>36</v>
      </c>
      <c r="R515" s="3" t="s">
        <v>36</v>
      </c>
      <c r="S515" s="3" t="s">
        <v>36</v>
      </c>
      <c r="T515" s="3" t="s">
        <v>818</v>
      </c>
      <c r="U515" s="3" t="s">
        <v>74</v>
      </c>
      <c r="V515" s="3" t="s">
        <v>75</v>
      </c>
      <c r="W515" s="3" t="s">
        <v>3415</v>
      </c>
      <c r="X515" s="10" t="s">
        <v>509</v>
      </c>
      <c r="Y515" s="6" t="s">
        <v>42</v>
      </c>
      <c r="Z515" s="4">
        <v>0.72</v>
      </c>
      <c r="AA515" s="4">
        <v>1.48</v>
      </c>
      <c r="AB515" s="3" t="s">
        <v>43</v>
      </c>
      <c r="AC515" s="3" t="s">
        <v>3416</v>
      </c>
      <c r="AD515" s="9">
        <v>45415</v>
      </c>
      <c r="AE515" s="3" t="s">
        <v>570</v>
      </c>
      <c r="AF515" s="3" t="s">
        <v>982</v>
      </c>
      <c r="AG515" s="3" t="s">
        <v>3417</v>
      </c>
      <c r="AH515" s="11">
        <f>HYPERLINK("https://my.pitchbook.com?c=266899-42T","View Company Online")</f>
      </c>
    </row>
    <row r="516">
      <c r="A516" s="12" t="s">
        <v>3418</v>
      </c>
      <c r="B516" s="12" t="s">
        <v>3419</v>
      </c>
      <c r="C516" s="19">
        <v>49</v>
      </c>
      <c r="D516" s="19">
        <v>74</v>
      </c>
      <c r="E516" s="19">
        <v>27</v>
      </c>
      <c r="F516" s="19">
        <v>132</v>
      </c>
      <c r="G516" s="15" t="s">
        <v>36</v>
      </c>
      <c r="H516" s="14" t="s">
        <v>36</v>
      </c>
      <c r="I516" s="18" t="s">
        <v>36</v>
      </c>
      <c r="J516" s="12" t="s">
        <v>36</v>
      </c>
      <c r="K516" s="13" t="s">
        <v>36</v>
      </c>
      <c r="L516" s="15" t="s">
        <v>36</v>
      </c>
      <c r="M516" s="12" t="s">
        <v>36</v>
      </c>
      <c r="N516" s="12" t="s">
        <v>36</v>
      </c>
      <c r="O516" s="17" t="s">
        <v>36</v>
      </c>
      <c r="P516" s="12" t="s">
        <v>36</v>
      </c>
      <c r="Q516" s="12" t="s">
        <v>36</v>
      </c>
      <c r="R516" s="12" t="s">
        <v>36</v>
      </c>
      <c r="S516" s="12" t="s">
        <v>36</v>
      </c>
      <c r="T516" s="12" t="s">
        <v>661</v>
      </c>
      <c r="U516" s="12" t="s">
        <v>51</v>
      </c>
      <c r="V516" s="12" t="s">
        <v>52</v>
      </c>
      <c r="W516" s="12" t="s">
        <v>3420</v>
      </c>
      <c r="X516" s="16" t="s">
        <v>3421</v>
      </c>
      <c r="Y516" s="15" t="s">
        <v>192</v>
      </c>
      <c r="Z516" s="14" t="s">
        <v>36</v>
      </c>
      <c r="AA516" s="14" t="s">
        <v>36</v>
      </c>
      <c r="AB516" s="12" t="s">
        <v>56</v>
      </c>
      <c r="AC516" s="12" t="s">
        <v>3422</v>
      </c>
      <c r="AD516" s="13">
        <v>45415</v>
      </c>
      <c r="AE516" s="12" t="s">
        <v>158</v>
      </c>
      <c r="AF516" s="12" t="s">
        <v>885</v>
      </c>
      <c r="AG516" s="12" t="s">
        <v>81</v>
      </c>
      <c r="AH516" s="1">
        <f>HYPERLINK("https://my.pitchbook.com?c=275021-83T","View Company Online")</f>
      </c>
    </row>
    <row r="517">
      <c r="A517" s="3" t="s">
        <v>3423</v>
      </c>
      <c r="B517" s="3" t="s">
        <v>3424</v>
      </c>
      <c r="C517" s="5" t="s">
        <v>36</v>
      </c>
      <c r="D517" s="5" t="s">
        <v>36</v>
      </c>
      <c r="E517" s="5" t="s">
        <v>36</v>
      </c>
      <c r="F517" s="5" t="s">
        <v>36</v>
      </c>
      <c r="G517" s="6" t="s">
        <v>326</v>
      </c>
      <c r="H517" s="4" t="s">
        <v>36</v>
      </c>
      <c r="I517" s="7">
        <v>32.69</v>
      </c>
      <c r="J517" s="3" t="s">
        <v>327</v>
      </c>
      <c r="K517" s="9" t="s">
        <v>36</v>
      </c>
      <c r="L517" s="6" t="s">
        <v>36</v>
      </c>
      <c r="M517" s="3" t="s">
        <v>36</v>
      </c>
      <c r="N517" s="3" t="s">
        <v>36</v>
      </c>
      <c r="O517" s="8" t="s">
        <v>36</v>
      </c>
      <c r="P517" s="3" t="s">
        <v>36</v>
      </c>
      <c r="Q517" s="3" t="s">
        <v>36</v>
      </c>
      <c r="R517" s="3" t="s">
        <v>36</v>
      </c>
      <c r="S517" s="3" t="s">
        <v>36</v>
      </c>
      <c r="T517" s="3" t="s">
        <v>3425</v>
      </c>
      <c r="U517" s="3" t="s">
        <v>74</v>
      </c>
      <c r="V517" s="3" t="s">
        <v>75</v>
      </c>
      <c r="W517" s="3" t="s">
        <v>3426</v>
      </c>
      <c r="X517" s="10" t="s">
        <v>3427</v>
      </c>
      <c r="Y517" s="6" t="s">
        <v>108</v>
      </c>
      <c r="Z517" s="4">
        <v>10.72</v>
      </c>
      <c r="AA517" s="4">
        <v>32.8</v>
      </c>
      <c r="AB517" s="3" t="s">
        <v>43</v>
      </c>
      <c r="AC517" s="3" t="s">
        <v>3428</v>
      </c>
      <c r="AD517" s="9">
        <v>45414</v>
      </c>
      <c r="AE517" s="3" t="s">
        <v>975</v>
      </c>
      <c r="AF517" s="3" t="s">
        <v>3429</v>
      </c>
      <c r="AG517" s="3" t="s">
        <v>47</v>
      </c>
      <c r="AH517" s="11">
        <f>HYPERLINK("https://my.pitchbook.com?c=258462-82T","View Company Online")</f>
      </c>
    </row>
    <row r="518">
      <c r="A518" s="12" t="s">
        <v>3430</v>
      </c>
      <c r="B518" s="12" t="s">
        <v>3431</v>
      </c>
      <c r="C518" s="19" t="s">
        <v>36</v>
      </c>
      <c r="D518" s="19" t="s">
        <v>36</v>
      </c>
      <c r="E518" s="19" t="s">
        <v>36</v>
      </c>
      <c r="F518" s="19" t="s">
        <v>36</v>
      </c>
      <c r="G518" s="15" t="s">
        <v>36</v>
      </c>
      <c r="H518" s="14">
        <v>249.26</v>
      </c>
      <c r="I518" s="18">
        <v>19.19</v>
      </c>
      <c r="J518" s="12" t="s">
        <v>521</v>
      </c>
      <c r="K518" s="13" t="s">
        <v>36</v>
      </c>
      <c r="L518" s="15" t="s">
        <v>36</v>
      </c>
      <c r="M518" s="12" t="s">
        <v>36</v>
      </c>
      <c r="N518" s="12" t="s">
        <v>36</v>
      </c>
      <c r="O518" s="17" t="s">
        <v>36</v>
      </c>
      <c r="P518" s="12" t="s">
        <v>36</v>
      </c>
      <c r="Q518" s="12" t="s">
        <v>36</v>
      </c>
      <c r="R518" s="12" t="s">
        <v>36</v>
      </c>
      <c r="S518" s="12" t="s">
        <v>36</v>
      </c>
      <c r="T518" s="12" t="s">
        <v>3432</v>
      </c>
      <c r="U518" s="12" t="s">
        <v>1357</v>
      </c>
      <c r="V518" s="12" t="s">
        <v>52</v>
      </c>
      <c r="W518" s="12" t="s">
        <v>3433</v>
      </c>
      <c r="X518" s="16" t="s">
        <v>3434</v>
      </c>
      <c r="Y518" s="15" t="s">
        <v>42</v>
      </c>
      <c r="Z518" s="14">
        <v>0.43</v>
      </c>
      <c r="AA518" s="14">
        <v>1.59</v>
      </c>
      <c r="AB518" s="12" t="s">
        <v>43</v>
      </c>
      <c r="AC518" s="12" t="s">
        <v>3435</v>
      </c>
      <c r="AD518" s="13">
        <v>45414</v>
      </c>
      <c r="AE518" s="12" t="s">
        <v>2808</v>
      </c>
      <c r="AF518" s="12" t="s">
        <v>36</v>
      </c>
      <c r="AG518" s="12" t="s">
        <v>102</v>
      </c>
      <c r="AH518" s="1">
        <f>HYPERLINK("https://my.pitchbook.com?c=282009-79T","View Company Online")</f>
      </c>
    </row>
    <row r="519">
      <c r="A519" s="3" t="s">
        <v>3436</v>
      </c>
      <c r="B519" s="3" t="s">
        <v>3437</v>
      </c>
      <c r="C519" s="5" t="s">
        <v>36</v>
      </c>
      <c r="D519" s="5" t="s">
        <v>36</v>
      </c>
      <c r="E519" s="5" t="s">
        <v>36</v>
      </c>
      <c r="F519" s="5" t="s">
        <v>36</v>
      </c>
      <c r="G519" s="6" t="s">
        <v>36</v>
      </c>
      <c r="H519" s="4" t="s">
        <v>36</v>
      </c>
      <c r="I519" s="7" t="s">
        <v>36</v>
      </c>
      <c r="J519" s="3" t="s">
        <v>36</v>
      </c>
      <c r="K519" s="9" t="s">
        <v>36</v>
      </c>
      <c r="L519" s="6" t="s">
        <v>94</v>
      </c>
      <c r="M519" s="3" t="s">
        <v>36</v>
      </c>
      <c r="N519" s="3" t="s">
        <v>94</v>
      </c>
      <c r="O519" s="8" t="s">
        <v>36</v>
      </c>
      <c r="P519" s="3" t="s">
        <v>36</v>
      </c>
      <c r="Q519" s="3" t="s">
        <v>36</v>
      </c>
      <c r="R519" s="3" t="s">
        <v>36</v>
      </c>
      <c r="S519" s="3" t="s">
        <v>36</v>
      </c>
      <c r="T519" s="3" t="s">
        <v>3438</v>
      </c>
      <c r="U519" s="3" t="s">
        <v>833</v>
      </c>
      <c r="V519" s="3" t="s">
        <v>64</v>
      </c>
      <c r="W519" s="3" t="s">
        <v>3439</v>
      </c>
      <c r="X519" s="10" t="s">
        <v>3440</v>
      </c>
      <c r="Y519" s="6" t="s">
        <v>108</v>
      </c>
      <c r="Z519" s="4" t="s">
        <v>36</v>
      </c>
      <c r="AA519" s="4" t="s">
        <v>36</v>
      </c>
      <c r="AB519" s="3" t="s">
        <v>43</v>
      </c>
      <c r="AC519" s="3" t="s">
        <v>3441</v>
      </c>
      <c r="AD519" s="9">
        <v>45414</v>
      </c>
      <c r="AE519" s="3" t="s">
        <v>837</v>
      </c>
      <c r="AF519" s="3" t="s">
        <v>90</v>
      </c>
      <c r="AG519" s="3" t="s">
        <v>186</v>
      </c>
      <c r="AH519" s="11">
        <f>HYPERLINK("https://my.pitchbook.com?c=259081-39T","View Company Online")</f>
      </c>
    </row>
    <row r="520">
      <c r="A520" s="12" t="s">
        <v>3442</v>
      </c>
      <c r="B520" s="12" t="s">
        <v>3443</v>
      </c>
      <c r="C520" s="19" t="s">
        <v>36</v>
      </c>
      <c r="D520" s="19" t="s">
        <v>36</v>
      </c>
      <c r="E520" s="19" t="s">
        <v>36</v>
      </c>
      <c r="F520" s="19" t="s">
        <v>36</v>
      </c>
      <c r="G520" s="15" t="s">
        <v>36</v>
      </c>
      <c r="H520" s="14" t="s">
        <v>36</v>
      </c>
      <c r="I520" s="18" t="s">
        <v>36</v>
      </c>
      <c r="J520" s="12" t="s">
        <v>36</v>
      </c>
      <c r="K520" s="13" t="s">
        <v>36</v>
      </c>
      <c r="L520" s="15" t="s">
        <v>36</v>
      </c>
      <c r="M520" s="12" t="s">
        <v>36</v>
      </c>
      <c r="N520" s="12" t="s">
        <v>36</v>
      </c>
      <c r="O520" s="17" t="s">
        <v>36</v>
      </c>
      <c r="P520" s="12" t="s">
        <v>36</v>
      </c>
      <c r="Q520" s="12" t="s">
        <v>36</v>
      </c>
      <c r="R520" s="12" t="s">
        <v>36</v>
      </c>
      <c r="S520" s="12" t="s">
        <v>3444</v>
      </c>
      <c r="T520" s="12" t="s">
        <v>3445</v>
      </c>
      <c r="U520" s="12" t="s">
        <v>38</v>
      </c>
      <c r="V520" s="12" t="s">
        <v>39</v>
      </c>
      <c r="W520" s="12" t="s">
        <v>3446</v>
      </c>
      <c r="X520" s="16" t="s">
        <v>221</v>
      </c>
      <c r="Y520" s="15" t="s">
        <v>42</v>
      </c>
      <c r="Z520" s="14" t="s">
        <v>36</v>
      </c>
      <c r="AA520" s="14" t="s">
        <v>36</v>
      </c>
      <c r="AB520" s="12" t="s">
        <v>43</v>
      </c>
      <c r="AC520" s="12" t="s">
        <v>3447</v>
      </c>
      <c r="AD520" s="13">
        <v>45413</v>
      </c>
      <c r="AE520" s="12" t="s">
        <v>110</v>
      </c>
      <c r="AF520" s="12" t="s">
        <v>799</v>
      </c>
      <c r="AG520" s="12" t="s">
        <v>81</v>
      </c>
      <c r="AH520" s="1">
        <f>HYPERLINK("https://my.pitchbook.com?c=259301-44T","View Company Online")</f>
      </c>
    </row>
    <row r="521">
      <c r="A521" s="3" t="s">
        <v>3448</v>
      </c>
      <c r="B521" s="3" t="s">
        <v>3449</v>
      </c>
      <c r="C521" s="5" t="s">
        <v>36</v>
      </c>
      <c r="D521" s="5" t="s">
        <v>36</v>
      </c>
      <c r="E521" s="5" t="s">
        <v>36</v>
      </c>
      <c r="F521" s="5" t="s">
        <v>36</v>
      </c>
      <c r="G521" s="6" t="s">
        <v>36</v>
      </c>
      <c r="H521" s="4" t="s">
        <v>36</v>
      </c>
      <c r="I521" s="7" t="s">
        <v>36</v>
      </c>
      <c r="J521" s="3" t="s">
        <v>36</v>
      </c>
      <c r="K521" s="9" t="s">
        <v>36</v>
      </c>
      <c r="L521" s="6" t="s">
        <v>36</v>
      </c>
      <c r="M521" s="3" t="s">
        <v>36</v>
      </c>
      <c r="N521" s="3" t="s">
        <v>36</v>
      </c>
      <c r="O521" s="8" t="s">
        <v>36</v>
      </c>
      <c r="P521" s="3" t="s">
        <v>36</v>
      </c>
      <c r="Q521" s="3" t="s">
        <v>36</v>
      </c>
      <c r="R521" s="3" t="s">
        <v>36</v>
      </c>
      <c r="S521" s="3" t="s">
        <v>36</v>
      </c>
      <c r="T521" s="3" t="s">
        <v>1023</v>
      </c>
      <c r="U521" s="3" t="s">
        <v>74</v>
      </c>
      <c r="V521" s="3" t="s">
        <v>75</v>
      </c>
      <c r="W521" s="3" t="s">
        <v>3450</v>
      </c>
      <c r="X521" s="10" t="s">
        <v>3451</v>
      </c>
      <c r="Y521" s="6" t="s">
        <v>42</v>
      </c>
      <c r="Z521" s="4" t="s">
        <v>36</v>
      </c>
      <c r="AA521" s="4" t="s">
        <v>36</v>
      </c>
      <c r="AB521" s="3" t="s">
        <v>56</v>
      </c>
      <c r="AC521" s="3" t="s">
        <v>3452</v>
      </c>
      <c r="AD521" s="9">
        <v>45413</v>
      </c>
      <c r="AE521" s="3" t="s">
        <v>79</v>
      </c>
      <c r="AF521" s="3" t="s">
        <v>101</v>
      </c>
      <c r="AG521" s="3" t="s">
        <v>373</v>
      </c>
      <c r="AH521" s="11">
        <f>HYPERLINK("https://my.pitchbook.com?c=259952-86T","View Company Online")</f>
      </c>
    </row>
    <row r="522">
      <c r="A522" s="12" t="s">
        <v>3453</v>
      </c>
      <c r="B522" s="12" t="s">
        <v>3454</v>
      </c>
      <c r="C522" s="19">
        <v>1</v>
      </c>
      <c r="D522" s="19" t="s">
        <v>36</v>
      </c>
      <c r="E522" s="19">
        <v>1</v>
      </c>
      <c r="F522" s="19">
        <v>1</v>
      </c>
      <c r="G522" s="15" t="s">
        <v>36</v>
      </c>
      <c r="H522" s="14" t="s">
        <v>36</v>
      </c>
      <c r="I522" s="18" t="s">
        <v>36</v>
      </c>
      <c r="J522" s="12" t="s">
        <v>36</v>
      </c>
      <c r="K522" s="13" t="s">
        <v>36</v>
      </c>
      <c r="L522" s="15" t="s">
        <v>36</v>
      </c>
      <c r="M522" s="12" t="s">
        <v>36</v>
      </c>
      <c r="N522" s="12" t="s">
        <v>36</v>
      </c>
      <c r="O522" s="17" t="s">
        <v>36</v>
      </c>
      <c r="P522" s="12" t="s">
        <v>36</v>
      </c>
      <c r="Q522" s="12" t="s">
        <v>36</v>
      </c>
      <c r="R522" s="12" t="s">
        <v>36</v>
      </c>
      <c r="S522" s="12" t="s">
        <v>3455</v>
      </c>
      <c r="T522" s="12" t="s">
        <v>676</v>
      </c>
      <c r="U522" s="12" t="s">
        <v>438</v>
      </c>
      <c r="V522" s="12" t="s">
        <v>405</v>
      </c>
      <c r="W522" s="12" t="s">
        <v>3456</v>
      </c>
      <c r="X522" s="16" t="s">
        <v>3457</v>
      </c>
      <c r="Y522" s="15" t="s">
        <v>108</v>
      </c>
      <c r="Z522" s="14" t="s">
        <v>36</v>
      </c>
      <c r="AA522" s="14" t="s">
        <v>36</v>
      </c>
      <c r="AB522" s="12" t="s">
        <v>43</v>
      </c>
      <c r="AC522" s="12" t="s">
        <v>3458</v>
      </c>
      <c r="AD522" s="13">
        <v>45413</v>
      </c>
      <c r="AE522" s="12" t="s">
        <v>438</v>
      </c>
      <c r="AF522" s="12" t="s">
        <v>3459</v>
      </c>
      <c r="AG522" s="12" t="s">
        <v>81</v>
      </c>
      <c r="AH522" s="1">
        <f>HYPERLINK("https://my.pitchbook.com?c=258409-36T","View Company Online")</f>
      </c>
    </row>
    <row r="523">
      <c r="A523" s="3" t="s">
        <v>3460</v>
      </c>
      <c r="B523" s="3" t="s">
        <v>3461</v>
      </c>
      <c r="C523" s="5" t="s">
        <v>36</v>
      </c>
      <c r="D523" s="5" t="s">
        <v>36</v>
      </c>
      <c r="E523" s="5" t="s">
        <v>36</v>
      </c>
      <c r="F523" s="5" t="s">
        <v>36</v>
      </c>
      <c r="G523" s="6" t="s">
        <v>36</v>
      </c>
      <c r="H523" s="4" t="s">
        <v>36</v>
      </c>
      <c r="I523" s="7" t="s">
        <v>36</v>
      </c>
      <c r="J523" s="3" t="s">
        <v>36</v>
      </c>
      <c r="K523" s="9" t="s">
        <v>36</v>
      </c>
      <c r="L523" s="6" t="s">
        <v>36</v>
      </c>
      <c r="M523" s="3" t="s">
        <v>36</v>
      </c>
      <c r="N523" s="3" t="s">
        <v>36</v>
      </c>
      <c r="O523" s="8" t="s">
        <v>36</v>
      </c>
      <c r="P523" s="3" t="s">
        <v>36</v>
      </c>
      <c r="Q523" s="3" t="s">
        <v>36</v>
      </c>
      <c r="R523" s="3" t="s">
        <v>36</v>
      </c>
      <c r="S523" s="3" t="s">
        <v>36</v>
      </c>
      <c r="T523" s="3" t="s">
        <v>3462</v>
      </c>
      <c r="U523" s="3" t="s">
        <v>219</v>
      </c>
      <c r="V523" s="3" t="s">
        <v>75</v>
      </c>
      <c r="W523" s="3" t="s">
        <v>3463</v>
      </c>
      <c r="X523" s="10" t="s">
        <v>3464</v>
      </c>
      <c r="Y523" s="6" t="s">
        <v>42</v>
      </c>
      <c r="Z523" s="4" t="s">
        <v>36</v>
      </c>
      <c r="AA523" s="4" t="s">
        <v>36</v>
      </c>
      <c r="AB523" s="3" t="s">
        <v>43</v>
      </c>
      <c r="AC523" s="3" t="s">
        <v>3465</v>
      </c>
      <c r="AD523" s="9">
        <v>45413</v>
      </c>
      <c r="AE523" s="3" t="s">
        <v>223</v>
      </c>
      <c r="AF523" s="3" t="s">
        <v>1619</v>
      </c>
      <c r="AG523" s="3" t="s">
        <v>1276</v>
      </c>
      <c r="AH523" s="11">
        <f>HYPERLINK("https://my.pitchbook.com?c=276656-77T","View Company Online")</f>
      </c>
    </row>
    <row r="524">
      <c r="A524" s="12" t="s">
        <v>3466</v>
      </c>
      <c r="B524" s="12" t="s">
        <v>3467</v>
      </c>
      <c r="C524" s="19" t="s">
        <v>36</v>
      </c>
      <c r="D524" s="19" t="s">
        <v>36</v>
      </c>
      <c r="E524" s="19" t="s">
        <v>36</v>
      </c>
      <c r="F524" s="19" t="s">
        <v>36</v>
      </c>
      <c r="G524" s="15" t="s">
        <v>36</v>
      </c>
      <c r="H524" s="14" t="s">
        <v>36</v>
      </c>
      <c r="I524" s="18" t="s">
        <v>36</v>
      </c>
      <c r="J524" s="12" t="s">
        <v>36</v>
      </c>
      <c r="K524" s="13" t="s">
        <v>36</v>
      </c>
      <c r="L524" s="15" t="s">
        <v>36</v>
      </c>
      <c r="M524" s="12" t="s">
        <v>36</v>
      </c>
      <c r="N524" s="12" t="s">
        <v>36</v>
      </c>
      <c r="O524" s="17" t="s">
        <v>36</v>
      </c>
      <c r="P524" s="12" t="s">
        <v>36</v>
      </c>
      <c r="Q524" s="12" t="s">
        <v>36</v>
      </c>
      <c r="R524" s="12" t="s">
        <v>36</v>
      </c>
      <c r="S524" s="12" t="s">
        <v>36</v>
      </c>
      <c r="T524" s="12" t="s">
        <v>3468</v>
      </c>
      <c r="U524" s="12" t="s">
        <v>648</v>
      </c>
      <c r="V524" s="12" t="s">
        <v>64</v>
      </c>
      <c r="W524" s="12" t="s">
        <v>3469</v>
      </c>
      <c r="X524" s="16" t="s">
        <v>221</v>
      </c>
      <c r="Y524" s="15" t="s">
        <v>42</v>
      </c>
      <c r="Z524" s="14" t="s">
        <v>36</v>
      </c>
      <c r="AA524" s="14" t="s">
        <v>36</v>
      </c>
      <c r="AB524" s="12" t="s">
        <v>43</v>
      </c>
      <c r="AC524" s="12" t="s">
        <v>3470</v>
      </c>
      <c r="AD524" s="13">
        <v>45413</v>
      </c>
      <c r="AE524" s="12" t="s">
        <v>651</v>
      </c>
      <c r="AF524" s="12" t="s">
        <v>3471</v>
      </c>
      <c r="AG524" s="12" t="s">
        <v>81</v>
      </c>
      <c r="AH524" s="1">
        <f>HYPERLINK("https://my.pitchbook.com?c=259315-03T","View Company Online")</f>
      </c>
    </row>
    <row r="525">
      <c r="A525" s="3" t="s">
        <v>3472</v>
      </c>
      <c r="B525" s="3" t="s">
        <v>3473</v>
      </c>
      <c r="C525" s="5" t="s">
        <v>36</v>
      </c>
      <c r="D525" s="5" t="s">
        <v>36</v>
      </c>
      <c r="E525" s="5" t="s">
        <v>36</v>
      </c>
      <c r="F525" s="5" t="s">
        <v>36</v>
      </c>
      <c r="G525" s="6" t="s">
        <v>36</v>
      </c>
      <c r="H525" s="4" t="s">
        <v>36</v>
      </c>
      <c r="I525" s="7" t="s">
        <v>36</v>
      </c>
      <c r="J525" s="3" t="s">
        <v>36</v>
      </c>
      <c r="K525" s="9" t="s">
        <v>36</v>
      </c>
      <c r="L525" s="6" t="s">
        <v>36</v>
      </c>
      <c r="M525" s="3" t="s">
        <v>36</v>
      </c>
      <c r="N525" s="3" t="s">
        <v>36</v>
      </c>
      <c r="O525" s="8" t="s">
        <v>36</v>
      </c>
      <c r="P525" s="3" t="s">
        <v>36</v>
      </c>
      <c r="Q525" s="3" t="s">
        <v>36</v>
      </c>
      <c r="R525" s="3" t="s">
        <v>36</v>
      </c>
      <c r="S525" s="3" t="s">
        <v>36</v>
      </c>
      <c r="T525" s="3" t="s">
        <v>3474</v>
      </c>
      <c r="U525" s="3" t="s">
        <v>728</v>
      </c>
      <c r="V525" s="3" t="s">
        <v>64</v>
      </c>
      <c r="W525" s="3" t="s">
        <v>3475</v>
      </c>
      <c r="X525" s="10" t="s">
        <v>221</v>
      </c>
      <c r="Y525" s="6" t="s">
        <v>42</v>
      </c>
      <c r="Z525" s="4" t="s">
        <v>36</v>
      </c>
      <c r="AA525" s="4" t="s">
        <v>36</v>
      </c>
      <c r="AB525" s="3" t="s">
        <v>56</v>
      </c>
      <c r="AC525" s="3" t="s">
        <v>3476</v>
      </c>
      <c r="AD525" s="9">
        <v>45413</v>
      </c>
      <c r="AE525" s="3" t="s">
        <v>1600</v>
      </c>
      <c r="AF525" s="3" t="s">
        <v>90</v>
      </c>
      <c r="AG525" s="3" t="s">
        <v>81</v>
      </c>
      <c r="AH525" s="11">
        <f>HYPERLINK("https://my.pitchbook.com?c=259318-99T","View Company Online")</f>
      </c>
    </row>
    <row r="526">
      <c r="A526" s="12" t="s">
        <v>3477</v>
      </c>
      <c r="B526" s="12" t="s">
        <v>3478</v>
      </c>
      <c r="C526" s="19" t="s">
        <v>36</v>
      </c>
      <c r="D526" s="19" t="s">
        <v>36</v>
      </c>
      <c r="E526" s="19" t="s">
        <v>36</v>
      </c>
      <c r="F526" s="19" t="s">
        <v>36</v>
      </c>
      <c r="G526" s="15" t="s">
        <v>36</v>
      </c>
      <c r="H526" s="14" t="s">
        <v>36</v>
      </c>
      <c r="I526" s="18" t="s">
        <v>36</v>
      </c>
      <c r="J526" s="12" t="s">
        <v>36</v>
      </c>
      <c r="K526" s="13">
        <v>45350</v>
      </c>
      <c r="L526" s="15" t="s">
        <v>122</v>
      </c>
      <c r="M526" s="12" t="s">
        <v>36</v>
      </c>
      <c r="N526" s="12" t="s">
        <v>122</v>
      </c>
      <c r="O526" s="17" t="s">
        <v>36</v>
      </c>
      <c r="P526" s="12" t="s">
        <v>36</v>
      </c>
      <c r="Q526" s="12" t="s">
        <v>36</v>
      </c>
      <c r="R526" s="12" t="s">
        <v>36</v>
      </c>
      <c r="S526" s="12" t="s">
        <v>3479</v>
      </c>
      <c r="T526" s="12" t="s">
        <v>37</v>
      </c>
      <c r="U526" s="12" t="s">
        <v>38</v>
      </c>
      <c r="V526" s="12" t="s">
        <v>39</v>
      </c>
      <c r="W526" s="12" t="s">
        <v>3480</v>
      </c>
      <c r="X526" s="16" t="s">
        <v>3481</v>
      </c>
      <c r="Y526" s="15" t="s">
        <v>55</v>
      </c>
      <c r="Z526" s="14">
        <v>50</v>
      </c>
      <c r="AA526" s="14" t="s">
        <v>36</v>
      </c>
      <c r="AB526" s="12" t="s">
        <v>43</v>
      </c>
      <c r="AC526" s="12" t="s">
        <v>3482</v>
      </c>
      <c r="AD526" s="13">
        <v>45413</v>
      </c>
      <c r="AE526" s="12" t="s">
        <v>45</v>
      </c>
      <c r="AF526" s="12" t="s">
        <v>799</v>
      </c>
      <c r="AG526" s="12" t="s">
        <v>81</v>
      </c>
      <c r="AH526" s="1">
        <f>HYPERLINK("https://my.pitchbook.com?c=253209-79T","View Company Online")</f>
      </c>
    </row>
    <row r="527">
      <c r="A527" s="3" t="s">
        <v>3483</v>
      </c>
      <c r="B527" s="3" t="s">
        <v>3484</v>
      </c>
      <c r="C527" s="5" t="s">
        <v>36</v>
      </c>
      <c r="D527" s="5" t="s">
        <v>36</v>
      </c>
      <c r="E527" s="5" t="s">
        <v>36</v>
      </c>
      <c r="F527" s="5" t="s">
        <v>36</v>
      </c>
      <c r="G527" s="6" t="s">
        <v>36</v>
      </c>
      <c r="H527" s="4" t="s">
        <v>36</v>
      </c>
      <c r="I527" s="7" t="s">
        <v>36</v>
      </c>
      <c r="J527" s="3" t="s">
        <v>36</v>
      </c>
      <c r="K527" s="9" t="s">
        <v>36</v>
      </c>
      <c r="L527" s="6" t="s">
        <v>36</v>
      </c>
      <c r="M527" s="3" t="s">
        <v>36</v>
      </c>
      <c r="N527" s="3" t="s">
        <v>36</v>
      </c>
      <c r="O527" s="8" t="s">
        <v>36</v>
      </c>
      <c r="P527" s="3" t="s">
        <v>36</v>
      </c>
      <c r="Q527" s="3" t="s">
        <v>36</v>
      </c>
      <c r="R527" s="3" t="s">
        <v>36</v>
      </c>
      <c r="S527" s="3" t="s">
        <v>36</v>
      </c>
      <c r="T527" s="3" t="s">
        <v>154</v>
      </c>
      <c r="U527" s="3" t="s">
        <v>51</v>
      </c>
      <c r="V527" s="3" t="s">
        <v>52</v>
      </c>
      <c r="W527" s="3" t="s">
        <v>3485</v>
      </c>
      <c r="X527" s="10" t="s">
        <v>3451</v>
      </c>
      <c r="Y527" s="6" t="s">
        <v>42</v>
      </c>
      <c r="Z527" s="4" t="s">
        <v>36</v>
      </c>
      <c r="AA527" s="4" t="s">
        <v>36</v>
      </c>
      <c r="AB527" s="3" t="s">
        <v>56</v>
      </c>
      <c r="AC527" s="3" t="s">
        <v>3486</v>
      </c>
      <c r="AD527" s="9">
        <v>45413</v>
      </c>
      <c r="AE527" s="3" t="s">
        <v>158</v>
      </c>
      <c r="AF527" s="3" t="s">
        <v>36</v>
      </c>
      <c r="AG527" s="3" t="s">
        <v>81</v>
      </c>
      <c r="AH527" s="11">
        <f>HYPERLINK("https://my.pitchbook.com?c=259934-32T","View Company Online")</f>
      </c>
    </row>
    <row r="528">
      <c r="A528" s="12" t="s">
        <v>3487</v>
      </c>
      <c r="B528" s="12" t="s">
        <v>3488</v>
      </c>
      <c r="C528" s="19" t="s">
        <v>36</v>
      </c>
      <c r="D528" s="19" t="s">
        <v>36</v>
      </c>
      <c r="E528" s="19" t="s">
        <v>36</v>
      </c>
      <c r="F528" s="19" t="s">
        <v>36</v>
      </c>
      <c r="G528" s="15" t="s">
        <v>36</v>
      </c>
      <c r="H528" s="14" t="s">
        <v>36</v>
      </c>
      <c r="I528" s="18" t="s">
        <v>36</v>
      </c>
      <c r="J528" s="12" t="s">
        <v>36</v>
      </c>
      <c r="K528" s="13" t="s">
        <v>36</v>
      </c>
      <c r="L528" s="15" t="s">
        <v>36</v>
      </c>
      <c r="M528" s="12" t="s">
        <v>36</v>
      </c>
      <c r="N528" s="12" t="s">
        <v>36</v>
      </c>
      <c r="O528" s="17" t="s">
        <v>36</v>
      </c>
      <c r="P528" s="12" t="s">
        <v>36</v>
      </c>
      <c r="Q528" s="12" t="s">
        <v>36</v>
      </c>
      <c r="R528" s="12" t="s">
        <v>36</v>
      </c>
      <c r="S528" s="12" t="s">
        <v>36</v>
      </c>
      <c r="T528" s="12" t="s">
        <v>105</v>
      </c>
      <c r="U528" s="12" t="s">
        <v>38</v>
      </c>
      <c r="V528" s="12" t="s">
        <v>39</v>
      </c>
      <c r="W528" s="12" t="s">
        <v>3489</v>
      </c>
      <c r="X528" s="16" t="s">
        <v>3490</v>
      </c>
      <c r="Y528" s="15" t="s">
        <v>108</v>
      </c>
      <c r="Z528" s="14" t="s">
        <v>36</v>
      </c>
      <c r="AA528" s="14" t="s">
        <v>36</v>
      </c>
      <c r="AB528" s="12" t="s">
        <v>43</v>
      </c>
      <c r="AC528" s="12" t="s">
        <v>3491</v>
      </c>
      <c r="AD528" s="13">
        <v>45413</v>
      </c>
      <c r="AE528" s="12" t="s">
        <v>110</v>
      </c>
      <c r="AF528" s="12" t="s">
        <v>176</v>
      </c>
      <c r="AG528" s="12" t="s">
        <v>3492</v>
      </c>
      <c r="AH528" s="1">
        <f>HYPERLINK("https://my.pitchbook.com?c=259700-05T","View Company Online")</f>
      </c>
    </row>
    <row r="529">
      <c r="A529" s="3" t="s">
        <v>3493</v>
      </c>
      <c r="B529" s="3" t="s">
        <v>3494</v>
      </c>
      <c r="C529" s="5" t="s">
        <v>36</v>
      </c>
      <c r="D529" s="5" t="s">
        <v>36</v>
      </c>
      <c r="E529" s="5" t="s">
        <v>36</v>
      </c>
      <c r="F529" s="5" t="s">
        <v>36</v>
      </c>
      <c r="G529" s="6" t="s">
        <v>36</v>
      </c>
      <c r="H529" s="4" t="s">
        <v>36</v>
      </c>
      <c r="I529" s="7" t="s">
        <v>36</v>
      </c>
      <c r="J529" s="3" t="s">
        <v>36</v>
      </c>
      <c r="K529" s="9" t="s">
        <v>36</v>
      </c>
      <c r="L529" s="6" t="s">
        <v>36</v>
      </c>
      <c r="M529" s="3" t="s">
        <v>36</v>
      </c>
      <c r="N529" s="3" t="s">
        <v>36</v>
      </c>
      <c r="O529" s="8" t="s">
        <v>36</v>
      </c>
      <c r="P529" s="3" t="s">
        <v>36</v>
      </c>
      <c r="Q529" s="3" t="s">
        <v>36</v>
      </c>
      <c r="R529" s="3" t="s">
        <v>36</v>
      </c>
      <c r="S529" s="3" t="s">
        <v>36</v>
      </c>
      <c r="T529" s="3" t="s">
        <v>154</v>
      </c>
      <c r="U529" s="3" t="s">
        <v>51</v>
      </c>
      <c r="V529" s="3" t="s">
        <v>52</v>
      </c>
      <c r="W529" s="3" t="s">
        <v>3495</v>
      </c>
      <c r="X529" s="10" t="s">
        <v>1710</v>
      </c>
      <c r="Y529" s="6" t="s">
        <v>42</v>
      </c>
      <c r="Z529" s="4" t="s">
        <v>36</v>
      </c>
      <c r="AA529" s="4" t="s">
        <v>36</v>
      </c>
      <c r="AB529" s="3" t="s">
        <v>43</v>
      </c>
      <c r="AC529" s="3" t="s">
        <v>3496</v>
      </c>
      <c r="AD529" s="9">
        <v>45413</v>
      </c>
      <c r="AE529" s="3" t="s">
        <v>158</v>
      </c>
      <c r="AF529" s="3" t="s">
        <v>2858</v>
      </c>
      <c r="AG529" s="3" t="s">
        <v>3497</v>
      </c>
      <c r="AH529" s="11">
        <f>HYPERLINK("https://my.pitchbook.com?c=275130-01T","View Company Online")</f>
      </c>
    </row>
    <row r="530">
      <c r="A530" s="12" t="s">
        <v>3498</v>
      </c>
      <c r="B530" s="12" t="s">
        <v>3499</v>
      </c>
      <c r="C530" s="19" t="s">
        <v>36</v>
      </c>
      <c r="D530" s="19" t="s">
        <v>36</v>
      </c>
      <c r="E530" s="19" t="s">
        <v>36</v>
      </c>
      <c r="F530" s="19" t="s">
        <v>36</v>
      </c>
      <c r="G530" s="15" t="s">
        <v>36</v>
      </c>
      <c r="H530" s="14" t="s">
        <v>36</v>
      </c>
      <c r="I530" s="18" t="s">
        <v>36</v>
      </c>
      <c r="J530" s="12" t="s">
        <v>36</v>
      </c>
      <c r="K530" s="13" t="s">
        <v>36</v>
      </c>
      <c r="L530" s="15" t="s">
        <v>36</v>
      </c>
      <c r="M530" s="12" t="s">
        <v>36</v>
      </c>
      <c r="N530" s="12" t="s">
        <v>36</v>
      </c>
      <c r="O530" s="17" t="s">
        <v>36</v>
      </c>
      <c r="P530" s="12" t="s">
        <v>36</v>
      </c>
      <c r="Q530" s="12" t="s">
        <v>36</v>
      </c>
      <c r="R530" s="12" t="s">
        <v>36</v>
      </c>
      <c r="S530" s="12" t="s">
        <v>36</v>
      </c>
      <c r="T530" s="12" t="s">
        <v>3253</v>
      </c>
      <c r="U530" s="12" t="s">
        <v>38</v>
      </c>
      <c r="V530" s="12" t="s">
        <v>39</v>
      </c>
      <c r="W530" s="12" t="s">
        <v>3500</v>
      </c>
      <c r="X530" s="16" t="s">
        <v>3501</v>
      </c>
      <c r="Y530" s="15" t="s">
        <v>42</v>
      </c>
      <c r="Z530" s="14" t="s">
        <v>36</v>
      </c>
      <c r="AA530" s="14" t="s">
        <v>36</v>
      </c>
      <c r="AB530" s="12" t="s">
        <v>43</v>
      </c>
      <c r="AC530" s="12" t="s">
        <v>3502</v>
      </c>
      <c r="AD530" s="13">
        <v>45413</v>
      </c>
      <c r="AE530" s="12" t="s">
        <v>785</v>
      </c>
      <c r="AF530" s="12" t="s">
        <v>275</v>
      </c>
      <c r="AG530" s="12" t="s">
        <v>81</v>
      </c>
      <c r="AH530" s="1">
        <f>HYPERLINK("https://my.pitchbook.com?c=259311-70T","View Company Online")</f>
      </c>
    </row>
    <row r="531">
      <c r="A531" s="3" t="s">
        <v>3503</v>
      </c>
      <c r="B531" s="3" t="s">
        <v>3504</v>
      </c>
      <c r="C531" s="5" t="s">
        <v>36</v>
      </c>
      <c r="D531" s="5" t="s">
        <v>36</v>
      </c>
      <c r="E531" s="5" t="s">
        <v>36</v>
      </c>
      <c r="F531" s="5" t="s">
        <v>36</v>
      </c>
      <c r="G531" s="6" t="s">
        <v>36</v>
      </c>
      <c r="H531" s="4" t="s">
        <v>36</v>
      </c>
      <c r="I531" s="7" t="s">
        <v>36</v>
      </c>
      <c r="J531" s="3" t="s">
        <v>36</v>
      </c>
      <c r="K531" s="9" t="s">
        <v>36</v>
      </c>
      <c r="L531" s="6" t="s">
        <v>36</v>
      </c>
      <c r="M531" s="3" t="s">
        <v>36</v>
      </c>
      <c r="N531" s="3" t="s">
        <v>36</v>
      </c>
      <c r="O531" s="8" t="s">
        <v>36</v>
      </c>
      <c r="P531" s="3" t="s">
        <v>36</v>
      </c>
      <c r="Q531" s="3" t="s">
        <v>36</v>
      </c>
      <c r="R531" s="3" t="s">
        <v>36</v>
      </c>
      <c r="S531" s="3" t="s">
        <v>36</v>
      </c>
      <c r="T531" s="3" t="s">
        <v>3505</v>
      </c>
      <c r="U531" s="3" t="s">
        <v>85</v>
      </c>
      <c r="V531" s="3" t="s">
        <v>64</v>
      </c>
      <c r="W531" s="3" t="s">
        <v>3506</v>
      </c>
      <c r="X531" s="10" t="s">
        <v>640</v>
      </c>
      <c r="Y531" s="6" t="s">
        <v>42</v>
      </c>
      <c r="Z531" s="4" t="s">
        <v>36</v>
      </c>
      <c r="AA531" s="4" t="s">
        <v>36</v>
      </c>
      <c r="AB531" s="3" t="s">
        <v>56</v>
      </c>
      <c r="AC531" s="3" t="s">
        <v>3507</v>
      </c>
      <c r="AD531" s="9">
        <v>45412</v>
      </c>
      <c r="AE531" s="3" t="s">
        <v>89</v>
      </c>
      <c r="AF531" s="3" t="s">
        <v>546</v>
      </c>
      <c r="AG531" s="3" t="s">
        <v>3508</v>
      </c>
      <c r="AH531" s="11">
        <f>HYPERLINK("https://my.pitchbook.com?c=258304-51T","View Company Online")</f>
      </c>
    </row>
    <row r="532">
      <c r="A532" s="12" t="s">
        <v>3509</v>
      </c>
      <c r="B532" s="12" t="s">
        <v>3510</v>
      </c>
      <c r="C532" s="19" t="s">
        <v>36</v>
      </c>
      <c r="D532" s="19" t="s">
        <v>36</v>
      </c>
      <c r="E532" s="19" t="s">
        <v>36</v>
      </c>
      <c r="F532" s="19" t="s">
        <v>36</v>
      </c>
      <c r="G532" s="15" t="s">
        <v>326</v>
      </c>
      <c r="H532" s="14">
        <v>135.73</v>
      </c>
      <c r="I532" s="18">
        <v>35.49</v>
      </c>
      <c r="J532" s="12" t="s">
        <v>521</v>
      </c>
      <c r="K532" s="13" t="s">
        <v>36</v>
      </c>
      <c r="L532" s="15" t="s">
        <v>36</v>
      </c>
      <c r="M532" s="12" t="s">
        <v>36</v>
      </c>
      <c r="N532" s="12" t="s">
        <v>36</v>
      </c>
      <c r="O532" s="17" t="s">
        <v>36</v>
      </c>
      <c r="P532" s="12" t="s">
        <v>36</v>
      </c>
      <c r="Q532" s="12" t="s">
        <v>36</v>
      </c>
      <c r="R532" s="12" t="s">
        <v>36</v>
      </c>
      <c r="S532" s="12" t="s">
        <v>36</v>
      </c>
      <c r="T532" s="12" t="s">
        <v>1188</v>
      </c>
      <c r="U532" s="12" t="s">
        <v>180</v>
      </c>
      <c r="V532" s="12" t="s">
        <v>52</v>
      </c>
      <c r="W532" s="12" t="s">
        <v>3511</v>
      </c>
      <c r="X532" s="16" t="s">
        <v>3512</v>
      </c>
      <c r="Y532" s="15" t="s">
        <v>42</v>
      </c>
      <c r="Z532" s="14">
        <v>2.15</v>
      </c>
      <c r="AA532" s="14">
        <v>5.69</v>
      </c>
      <c r="AB532" s="12" t="s">
        <v>56</v>
      </c>
      <c r="AC532" s="12" t="s">
        <v>3513</v>
      </c>
      <c r="AD532" s="13">
        <v>45412</v>
      </c>
      <c r="AE532" s="12" t="s">
        <v>1192</v>
      </c>
      <c r="AF532" s="12" t="s">
        <v>3514</v>
      </c>
      <c r="AG532" s="12" t="s">
        <v>47</v>
      </c>
      <c r="AH532" s="1">
        <f>HYPERLINK("https://my.pitchbook.com?c=193316-68T","View Company Online")</f>
      </c>
    </row>
    <row r="533">
      <c r="A533" s="3" t="s">
        <v>3515</v>
      </c>
      <c r="B533" s="3" t="s">
        <v>3516</v>
      </c>
      <c r="C533" s="5" t="s">
        <v>36</v>
      </c>
      <c r="D533" s="5" t="s">
        <v>36</v>
      </c>
      <c r="E533" s="5" t="s">
        <v>36</v>
      </c>
      <c r="F533" s="5" t="s">
        <v>36</v>
      </c>
      <c r="G533" s="6" t="s">
        <v>36</v>
      </c>
      <c r="H533" s="4" t="s">
        <v>36</v>
      </c>
      <c r="I533" s="7" t="s">
        <v>36</v>
      </c>
      <c r="J533" s="3" t="s">
        <v>36</v>
      </c>
      <c r="K533" s="9" t="s">
        <v>36</v>
      </c>
      <c r="L533" s="6" t="s">
        <v>36</v>
      </c>
      <c r="M533" s="3" t="s">
        <v>36</v>
      </c>
      <c r="N533" s="3" t="s">
        <v>36</v>
      </c>
      <c r="O533" s="8" t="s">
        <v>36</v>
      </c>
      <c r="P533" s="3" t="s">
        <v>36</v>
      </c>
      <c r="Q533" s="3" t="s">
        <v>36</v>
      </c>
      <c r="R533" s="3" t="s">
        <v>36</v>
      </c>
      <c r="S533" s="3" t="s">
        <v>36</v>
      </c>
      <c r="T533" s="3" t="s">
        <v>386</v>
      </c>
      <c r="U533" s="3" t="s">
        <v>387</v>
      </c>
      <c r="V533" s="3" t="s">
        <v>367</v>
      </c>
      <c r="W533" s="3" t="s">
        <v>3517</v>
      </c>
      <c r="X533" s="10" t="s">
        <v>3518</v>
      </c>
      <c r="Y533" s="6" t="s">
        <v>55</v>
      </c>
      <c r="Z533" s="4">
        <v>49.36</v>
      </c>
      <c r="AA533" s="4" t="s">
        <v>36</v>
      </c>
      <c r="AB533" s="3" t="s">
        <v>56</v>
      </c>
      <c r="AC533" s="3" t="s">
        <v>3519</v>
      </c>
      <c r="AD533" s="9">
        <v>45411</v>
      </c>
      <c r="AE533" s="3" t="s">
        <v>391</v>
      </c>
      <c r="AF533" s="3" t="s">
        <v>372</v>
      </c>
      <c r="AG533" s="3" t="s">
        <v>3520</v>
      </c>
      <c r="AH533" s="11">
        <f>HYPERLINK("https://my.pitchbook.com?c=258090-22T","View Company Online")</f>
      </c>
    </row>
    <row r="534">
      <c r="A534" s="12" t="s">
        <v>3521</v>
      </c>
      <c r="B534" s="12" t="s">
        <v>3522</v>
      </c>
      <c r="C534" s="19" t="s">
        <v>36</v>
      </c>
      <c r="D534" s="19" t="s">
        <v>36</v>
      </c>
      <c r="E534" s="19" t="s">
        <v>36</v>
      </c>
      <c r="F534" s="19" t="s">
        <v>36</v>
      </c>
      <c r="G534" s="15" t="s">
        <v>326</v>
      </c>
      <c r="H534" s="14" t="s">
        <v>36</v>
      </c>
      <c r="I534" s="18">
        <v>9.38</v>
      </c>
      <c r="J534" s="12" t="s">
        <v>327</v>
      </c>
      <c r="K534" s="13" t="s">
        <v>36</v>
      </c>
      <c r="L534" s="15" t="s">
        <v>36</v>
      </c>
      <c r="M534" s="12" t="s">
        <v>36</v>
      </c>
      <c r="N534" s="12" t="s">
        <v>36</v>
      </c>
      <c r="O534" s="17" t="s">
        <v>36</v>
      </c>
      <c r="P534" s="12" t="s">
        <v>36</v>
      </c>
      <c r="Q534" s="12" t="s">
        <v>36</v>
      </c>
      <c r="R534" s="12" t="s">
        <v>36</v>
      </c>
      <c r="S534" s="12" t="s">
        <v>36</v>
      </c>
      <c r="T534" s="12" t="s">
        <v>3523</v>
      </c>
      <c r="U534" s="12" t="s">
        <v>74</v>
      </c>
      <c r="V534" s="12" t="s">
        <v>75</v>
      </c>
      <c r="W534" s="12" t="s">
        <v>3524</v>
      </c>
      <c r="X534" s="16" t="s">
        <v>3525</v>
      </c>
      <c r="Y534" s="15" t="s">
        <v>55</v>
      </c>
      <c r="Z534" s="14">
        <v>5.36</v>
      </c>
      <c r="AA534" s="14">
        <v>57.18</v>
      </c>
      <c r="AB534" s="12" t="s">
        <v>56</v>
      </c>
      <c r="AC534" s="12" t="s">
        <v>3526</v>
      </c>
      <c r="AD534" s="13">
        <v>45411</v>
      </c>
      <c r="AE534" s="12" t="s">
        <v>3144</v>
      </c>
      <c r="AF534" s="12" t="s">
        <v>1977</v>
      </c>
      <c r="AG534" s="12" t="s">
        <v>3527</v>
      </c>
      <c r="AH534" s="1">
        <f>HYPERLINK("https://my.pitchbook.com?c=258113-98T","View Company Online")</f>
      </c>
    </row>
    <row r="535">
      <c r="A535" s="3" t="s">
        <v>3528</v>
      </c>
      <c r="B535" s="3" t="s">
        <v>3529</v>
      </c>
      <c r="C535" s="5" t="s">
        <v>36</v>
      </c>
      <c r="D535" s="5" t="s">
        <v>36</v>
      </c>
      <c r="E535" s="5" t="s">
        <v>36</v>
      </c>
      <c r="F535" s="5" t="s">
        <v>36</v>
      </c>
      <c r="G535" s="6" t="s">
        <v>36</v>
      </c>
      <c r="H535" s="4">
        <v>4</v>
      </c>
      <c r="I535" s="7">
        <v>29.24</v>
      </c>
      <c r="J535" s="3" t="s">
        <v>521</v>
      </c>
      <c r="K535" s="9" t="s">
        <v>36</v>
      </c>
      <c r="L535" s="6" t="s">
        <v>122</v>
      </c>
      <c r="M535" s="3" t="s">
        <v>36</v>
      </c>
      <c r="N535" s="3" t="s">
        <v>122</v>
      </c>
      <c r="O535" s="8" t="s">
        <v>36</v>
      </c>
      <c r="P535" s="3" t="s">
        <v>3530</v>
      </c>
      <c r="Q535" s="3" t="s">
        <v>3530</v>
      </c>
      <c r="R535" s="3" t="s">
        <v>3531</v>
      </c>
      <c r="S535" s="3" t="s">
        <v>36</v>
      </c>
      <c r="T535" s="3" t="s">
        <v>522</v>
      </c>
      <c r="U535" s="3" t="s">
        <v>38</v>
      </c>
      <c r="V535" s="3" t="s">
        <v>39</v>
      </c>
      <c r="W535" s="3" t="s">
        <v>3532</v>
      </c>
      <c r="X535" s="10" t="s">
        <v>3533</v>
      </c>
      <c r="Y535" s="6" t="s">
        <v>42</v>
      </c>
      <c r="Z535" s="4">
        <v>14.23</v>
      </c>
      <c r="AA535" s="4">
        <v>61.68</v>
      </c>
      <c r="AB535" s="3" t="s">
        <v>43</v>
      </c>
      <c r="AC535" s="3" t="s">
        <v>3534</v>
      </c>
      <c r="AD535" s="9">
        <v>45408</v>
      </c>
      <c r="AE535" s="3" t="s">
        <v>110</v>
      </c>
      <c r="AF535" s="3" t="s">
        <v>3535</v>
      </c>
      <c r="AG535" s="3" t="s">
        <v>81</v>
      </c>
      <c r="AH535" s="11">
        <f>HYPERLINK("https://my.pitchbook.com?c=258115-96T","View Company Online")</f>
      </c>
    </row>
    <row r="536">
      <c r="A536" s="12" t="s">
        <v>3536</v>
      </c>
      <c r="B536" s="12" t="s">
        <v>3537</v>
      </c>
      <c r="C536" s="19" t="s">
        <v>36</v>
      </c>
      <c r="D536" s="19" t="s">
        <v>36</v>
      </c>
      <c r="E536" s="19" t="s">
        <v>36</v>
      </c>
      <c r="F536" s="19" t="s">
        <v>36</v>
      </c>
      <c r="G536" s="15" t="s">
        <v>36</v>
      </c>
      <c r="H536" s="14" t="s">
        <v>36</v>
      </c>
      <c r="I536" s="18">
        <v>27.77</v>
      </c>
      <c r="J536" s="12" t="s">
        <v>327</v>
      </c>
      <c r="K536" s="13" t="s">
        <v>36</v>
      </c>
      <c r="L536" s="15" t="s">
        <v>36</v>
      </c>
      <c r="M536" s="12" t="s">
        <v>36</v>
      </c>
      <c r="N536" s="12" t="s">
        <v>36</v>
      </c>
      <c r="O536" s="17" t="s">
        <v>36</v>
      </c>
      <c r="P536" s="12" t="s">
        <v>36</v>
      </c>
      <c r="Q536" s="12" t="s">
        <v>36</v>
      </c>
      <c r="R536" s="12" t="s">
        <v>36</v>
      </c>
      <c r="S536" s="12" t="s">
        <v>36</v>
      </c>
      <c r="T536" s="12" t="s">
        <v>942</v>
      </c>
      <c r="U536" s="12" t="s">
        <v>38</v>
      </c>
      <c r="V536" s="12" t="s">
        <v>39</v>
      </c>
      <c r="W536" s="12" t="s">
        <v>3538</v>
      </c>
      <c r="X536" s="16" t="s">
        <v>3539</v>
      </c>
      <c r="Y536" s="15" t="s">
        <v>42</v>
      </c>
      <c r="Z536" s="14">
        <v>1.07</v>
      </c>
      <c r="AA536" s="14">
        <v>3.87</v>
      </c>
      <c r="AB536" s="12" t="s">
        <v>43</v>
      </c>
      <c r="AC536" s="12" t="s">
        <v>3540</v>
      </c>
      <c r="AD536" s="13">
        <v>45408</v>
      </c>
      <c r="AE536" s="12" t="s">
        <v>45</v>
      </c>
      <c r="AF536" s="12" t="s">
        <v>215</v>
      </c>
      <c r="AG536" s="12" t="s">
        <v>741</v>
      </c>
      <c r="AH536" s="1">
        <f>HYPERLINK("https://my.pitchbook.com?c=272676-61T","View Company Online")</f>
      </c>
    </row>
    <row r="537">
      <c r="A537" s="3" t="s">
        <v>3541</v>
      </c>
      <c r="B537" s="3" t="s">
        <v>1915</v>
      </c>
      <c r="C537" s="5" t="s">
        <v>36</v>
      </c>
      <c r="D537" s="5" t="s">
        <v>36</v>
      </c>
      <c r="E537" s="5" t="s">
        <v>36</v>
      </c>
      <c r="F537" s="5" t="s">
        <v>36</v>
      </c>
      <c r="G537" s="6" t="s">
        <v>326</v>
      </c>
      <c r="H537" s="4">
        <v>31.84</v>
      </c>
      <c r="I537" s="7">
        <v>30.12</v>
      </c>
      <c r="J537" s="3" t="s">
        <v>327</v>
      </c>
      <c r="K537" s="9" t="s">
        <v>36</v>
      </c>
      <c r="L537" s="6" t="s">
        <v>36</v>
      </c>
      <c r="M537" s="3" t="s">
        <v>36</v>
      </c>
      <c r="N537" s="3" t="s">
        <v>36</v>
      </c>
      <c r="O537" s="8" t="s">
        <v>36</v>
      </c>
      <c r="P537" s="3" t="s">
        <v>36</v>
      </c>
      <c r="Q537" s="3" t="s">
        <v>36</v>
      </c>
      <c r="R537" s="3" t="s">
        <v>36</v>
      </c>
      <c r="S537" s="3" t="s">
        <v>36</v>
      </c>
      <c r="T537" s="3" t="s">
        <v>278</v>
      </c>
      <c r="U537" s="3" t="s">
        <v>279</v>
      </c>
      <c r="V537" s="3" t="s">
        <v>64</v>
      </c>
      <c r="W537" s="3" t="s">
        <v>1916</v>
      </c>
      <c r="X537" s="10" t="s">
        <v>3542</v>
      </c>
      <c r="Y537" s="6" t="s">
        <v>55</v>
      </c>
      <c r="Z537" s="4">
        <v>4.83</v>
      </c>
      <c r="AA537" s="4">
        <v>16.04</v>
      </c>
      <c r="AB537" s="3" t="s">
        <v>56</v>
      </c>
      <c r="AC537" s="3" t="s">
        <v>1918</v>
      </c>
      <c r="AD537" s="9">
        <v>45408</v>
      </c>
      <c r="AE537" s="3" t="s">
        <v>283</v>
      </c>
      <c r="AF537" s="3" t="s">
        <v>1919</v>
      </c>
      <c r="AG537" s="3" t="s">
        <v>443</v>
      </c>
      <c r="AH537" s="11">
        <f>HYPERLINK("https://my.pitchbook.com?c=270341-20T","View Company Online")</f>
      </c>
    </row>
    <row r="538">
      <c r="A538" s="12" t="s">
        <v>3543</v>
      </c>
      <c r="B538" s="12" t="s">
        <v>3544</v>
      </c>
      <c r="C538" s="19" t="s">
        <v>36</v>
      </c>
      <c r="D538" s="19" t="s">
        <v>36</v>
      </c>
      <c r="E538" s="19" t="s">
        <v>36</v>
      </c>
      <c r="F538" s="19" t="s">
        <v>36</v>
      </c>
      <c r="G538" s="15" t="s">
        <v>36</v>
      </c>
      <c r="H538" s="14" t="s">
        <v>36</v>
      </c>
      <c r="I538" s="18" t="s">
        <v>36</v>
      </c>
      <c r="J538" s="12" t="s">
        <v>521</v>
      </c>
      <c r="K538" s="13" t="s">
        <v>36</v>
      </c>
      <c r="L538" s="15" t="s">
        <v>122</v>
      </c>
      <c r="M538" s="12" t="s">
        <v>36</v>
      </c>
      <c r="N538" s="12" t="s">
        <v>122</v>
      </c>
      <c r="O538" s="17" t="s">
        <v>36</v>
      </c>
      <c r="P538" s="12" t="s">
        <v>36</v>
      </c>
      <c r="Q538" s="12" t="s">
        <v>36</v>
      </c>
      <c r="R538" s="12" t="s">
        <v>36</v>
      </c>
      <c r="S538" s="12" t="s">
        <v>36</v>
      </c>
      <c r="T538" s="12" t="s">
        <v>3545</v>
      </c>
      <c r="U538" s="12" t="s">
        <v>38</v>
      </c>
      <c r="V538" s="12" t="s">
        <v>39</v>
      </c>
      <c r="W538" s="12" t="s">
        <v>3546</v>
      </c>
      <c r="X538" s="16" t="s">
        <v>3547</v>
      </c>
      <c r="Y538" s="15" t="s">
        <v>192</v>
      </c>
      <c r="Z538" s="14">
        <v>10.74</v>
      </c>
      <c r="AA538" s="14">
        <v>59.07</v>
      </c>
      <c r="AB538" s="12" t="s">
        <v>43</v>
      </c>
      <c r="AC538" s="12" t="s">
        <v>3548</v>
      </c>
      <c r="AD538" s="13">
        <v>45408</v>
      </c>
      <c r="AE538" s="12" t="s">
        <v>1945</v>
      </c>
      <c r="AF538" s="12" t="s">
        <v>1331</v>
      </c>
      <c r="AG538" s="12" t="s">
        <v>81</v>
      </c>
      <c r="AH538" s="1">
        <f>HYPERLINK("https://my.pitchbook.com?c=263885-14T","View Company Online")</f>
      </c>
    </row>
    <row r="539">
      <c r="A539" s="3" t="s">
        <v>3549</v>
      </c>
      <c r="B539" s="3" t="s">
        <v>3550</v>
      </c>
      <c r="C539" s="5">
        <v>1</v>
      </c>
      <c r="D539" s="5" t="s">
        <v>36</v>
      </c>
      <c r="E539" s="5">
        <v>1</v>
      </c>
      <c r="F539" s="5">
        <v>1</v>
      </c>
      <c r="G539" s="6" t="s">
        <v>683</v>
      </c>
      <c r="H539" s="4">
        <v>17.56</v>
      </c>
      <c r="I539" s="7">
        <v>48.55</v>
      </c>
      <c r="J539" s="3" t="s">
        <v>521</v>
      </c>
      <c r="K539" s="9" t="s">
        <v>36</v>
      </c>
      <c r="L539" s="6" t="s">
        <v>1862</v>
      </c>
      <c r="M539" s="3" t="s">
        <v>36</v>
      </c>
      <c r="N539" s="3" t="s">
        <v>1862</v>
      </c>
      <c r="O539" s="8" t="s">
        <v>36</v>
      </c>
      <c r="P539" s="3" t="s">
        <v>36</v>
      </c>
      <c r="Q539" s="3" t="s">
        <v>36</v>
      </c>
      <c r="R539" s="3" t="s">
        <v>36</v>
      </c>
      <c r="S539" s="3" t="s">
        <v>36</v>
      </c>
      <c r="T539" s="3" t="s">
        <v>3551</v>
      </c>
      <c r="U539" s="3" t="s">
        <v>96</v>
      </c>
      <c r="V539" s="3" t="s">
        <v>52</v>
      </c>
      <c r="W539" s="3" t="s">
        <v>3552</v>
      </c>
      <c r="X539" s="10" t="s">
        <v>3553</v>
      </c>
      <c r="Y539" s="6" t="s">
        <v>108</v>
      </c>
      <c r="Z539" s="4">
        <v>10.74</v>
      </c>
      <c r="AA539" s="4">
        <v>22.12</v>
      </c>
      <c r="AB539" s="3" t="s">
        <v>43</v>
      </c>
      <c r="AC539" s="3" t="s">
        <v>3554</v>
      </c>
      <c r="AD539" s="9">
        <v>45408</v>
      </c>
      <c r="AE539" s="3" t="s">
        <v>496</v>
      </c>
      <c r="AF539" s="3" t="s">
        <v>592</v>
      </c>
      <c r="AG539" s="3" t="s">
        <v>3555</v>
      </c>
      <c r="AH539" s="11">
        <f>HYPERLINK("https://my.pitchbook.com?c=258156-73T","View Company Online")</f>
      </c>
    </row>
    <row r="540">
      <c r="A540" s="12" t="s">
        <v>3556</v>
      </c>
      <c r="B540" s="12" t="s">
        <v>3557</v>
      </c>
      <c r="C540" s="19" t="s">
        <v>36</v>
      </c>
      <c r="D540" s="19" t="s">
        <v>36</v>
      </c>
      <c r="E540" s="19" t="s">
        <v>36</v>
      </c>
      <c r="F540" s="19" t="s">
        <v>36</v>
      </c>
      <c r="G540" s="15" t="s">
        <v>36</v>
      </c>
      <c r="H540" s="14" t="s">
        <v>36</v>
      </c>
      <c r="I540" s="18" t="s">
        <v>36</v>
      </c>
      <c r="J540" s="12" t="s">
        <v>36</v>
      </c>
      <c r="K540" s="13" t="s">
        <v>36</v>
      </c>
      <c r="L540" s="15" t="s">
        <v>36</v>
      </c>
      <c r="M540" s="12" t="s">
        <v>36</v>
      </c>
      <c r="N540" s="12" t="s">
        <v>36</v>
      </c>
      <c r="O540" s="17" t="s">
        <v>36</v>
      </c>
      <c r="P540" s="12" t="s">
        <v>36</v>
      </c>
      <c r="Q540" s="12" t="s">
        <v>36</v>
      </c>
      <c r="R540" s="12" t="s">
        <v>36</v>
      </c>
      <c r="S540" s="12" t="s">
        <v>36</v>
      </c>
      <c r="T540" s="12" t="s">
        <v>154</v>
      </c>
      <c r="U540" s="12" t="s">
        <v>51</v>
      </c>
      <c r="V540" s="12" t="s">
        <v>52</v>
      </c>
      <c r="W540" s="12" t="s">
        <v>3558</v>
      </c>
      <c r="X540" s="16" t="s">
        <v>3559</v>
      </c>
      <c r="Y540" s="15" t="s">
        <v>42</v>
      </c>
      <c r="Z540" s="14">
        <v>1.07</v>
      </c>
      <c r="AA540" s="14" t="s">
        <v>36</v>
      </c>
      <c r="AB540" s="12" t="s">
        <v>43</v>
      </c>
      <c r="AC540" s="12" t="s">
        <v>3560</v>
      </c>
      <c r="AD540" s="13">
        <v>45407</v>
      </c>
      <c r="AE540" s="12" t="s">
        <v>158</v>
      </c>
      <c r="AF540" s="12" t="s">
        <v>36</v>
      </c>
      <c r="AG540" s="12" t="s">
        <v>81</v>
      </c>
      <c r="AH540" s="1">
        <f>HYPERLINK("https://my.pitchbook.com?c=257778-55T","View Company Online")</f>
      </c>
    </row>
    <row r="541">
      <c r="A541" s="3" t="s">
        <v>3561</v>
      </c>
      <c r="B541" s="3" t="s">
        <v>3562</v>
      </c>
      <c r="C541" s="5" t="s">
        <v>36</v>
      </c>
      <c r="D541" s="5" t="s">
        <v>36</v>
      </c>
      <c r="E541" s="5" t="s">
        <v>36</v>
      </c>
      <c r="F541" s="5" t="s">
        <v>36</v>
      </c>
      <c r="G541" s="6" t="s">
        <v>36</v>
      </c>
      <c r="H541" s="4" t="s">
        <v>36</v>
      </c>
      <c r="I541" s="7" t="s">
        <v>36</v>
      </c>
      <c r="J541" s="3" t="s">
        <v>36</v>
      </c>
      <c r="K541" s="9" t="s">
        <v>36</v>
      </c>
      <c r="L541" s="6" t="s">
        <v>122</v>
      </c>
      <c r="M541" s="3" t="s">
        <v>36</v>
      </c>
      <c r="N541" s="3" t="s">
        <v>122</v>
      </c>
      <c r="O541" s="8" t="s">
        <v>36</v>
      </c>
      <c r="P541" s="3" t="s">
        <v>36</v>
      </c>
      <c r="Q541" s="3" t="s">
        <v>36</v>
      </c>
      <c r="R541" s="3" t="s">
        <v>36</v>
      </c>
      <c r="S541" s="3" t="s">
        <v>3563</v>
      </c>
      <c r="T541" s="3" t="s">
        <v>1344</v>
      </c>
      <c r="U541" s="3" t="s">
        <v>38</v>
      </c>
      <c r="V541" s="3" t="s">
        <v>39</v>
      </c>
      <c r="W541" s="3" t="s">
        <v>3564</v>
      </c>
      <c r="X541" s="10" t="s">
        <v>3565</v>
      </c>
      <c r="Y541" s="6" t="s">
        <v>108</v>
      </c>
      <c r="Z541" s="4">
        <v>5.37</v>
      </c>
      <c r="AA541" s="4" t="s">
        <v>36</v>
      </c>
      <c r="AB541" s="3" t="s">
        <v>56</v>
      </c>
      <c r="AC541" s="3" t="s">
        <v>3566</v>
      </c>
      <c r="AD541" s="9">
        <v>45407</v>
      </c>
      <c r="AE541" s="3" t="s">
        <v>110</v>
      </c>
      <c r="AF541" s="3" t="s">
        <v>3567</v>
      </c>
      <c r="AG541" s="3" t="s">
        <v>81</v>
      </c>
      <c r="AH541" s="11">
        <f>HYPERLINK("https://my.pitchbook.com?c=245436-13T","View Company Online")</f>
      </c>
    </row>
    <row r="542">
      <c r="A542" s="12" t="s">
        <v>3568</v>
      </c>
      <c r="B542" s="12" t="s">
        <v>3569</v>
      </c>
      <c r="C542" s="19" t="s">
        <v>36</v>
      </c>
      <c r="D542" s="19" t="s">
        <v>36</v>
      </c>
      <c r="E542" s="19" t="s">
        <v>36</v>
      </c>
      <c r="F542" s="19" t="s">
        <v>36</v>
      </c>
      <c r="G542" s="15" t="s">
        <v>326</v>
      </c>
      <c r="H542" s="14" t="s">
        <v>36</v>
      </c>
      <c r="I542" s="18">
        <v>21.25</v>
      </c>
      <c r="J542" s="12" t="s">
        <v>327</v>
      </c>
      <c r="K542" s="13" t="s">
        <v>36</v>
      </c>
      <c r="L542" s="15" t="s">
        <v>36</v>
      </c>
      <c r="M542" s="12" t="s">
        <v>36</v>
      </c>
      <c r="N542" s="12" t="s">
        <v>36</v>
      </c>
      <c r="O542" s="17" t="s">
        <v>36</v>
      </c>
      <c r="P542" s="12" t="s">
        <v>36</v>
      </c>
      <c r="Q542" s="12" t="s">
        <v>36</v>
      </c>
      <c r="R542" s="12" t="s">
        <v>36</v>
      </c>
      <c r="S542" s="12" t="s">
        <v>3570</v>
      </c>
      <c r="T542" s="12" t="s">
        <v>3571</v>
      </c>
      <c r="U542" s="12" t="s">
        <v>289</v>
      </c>
      <c r="V542" s="12" t="s">
        <v>64</v>
      </c>
      <c r="W542" s="12" t="s">
        <v>3572</v>
      </c>
      <c r="X542" s="16" t="s">
        <v>3573</v>
      </c>
      <c r="Y542" s="15" t="s">
        <v>42</v>
      </c>
      <c r="Z542" s="14">
        <v>1.29</v>
      </c>
      <c r="AA542" s="14">
        <v>6.07</v>
      </c>
      <c r="AB542" s="12" t="s">
        <v>43</v>
      </c>
      <c r="AC542" s="12" t="s">
        <v>3574</v>
      </c>
      <c r="AD542" s="13">
        <v>45407</v>
      </c>
      <c r="AE542" s="12" t="s">
        <v>292</v>
      </c>
      <c r="AF542" s="12" t="s">
        <v>90</v>
      </c>
      <c r="AG542" s="12" t="s">
        <v>81</v>
      </c>
      <c r="AH542" s="1">
        <f>HYPERLINK("https://my.pitchbook.com?c=249480-64T","View Company Online")</f>
      </c>
    </row>
    <row r="543">
      <c r="A543" s="3" t="s">
        <v>3575</v>
      </c>
      <c r="B543" s="3" t="s">
        <v>3576</v>
      </c>
      <c r="C543" s="5">
        <v>1</v>
      </c>
      <c r="D543" s="5">
        <v>2</v>
      </c>
      <c r="E543" s="5">
        <v>1</v>
      </c>
      <c r="F543" s="5">
        <v>3</v>
      </c>
      <c r="G543" s="6" t="s">
        <v>36</v>
      </c>
      <c r="H543" s="4" t="s">
        <v>36</v>
      </c>
      <c r="I543" s="7">
        <v>32.72</v>
      </c>
      <c r="J543" s="3" t="s">
        <v>327</v>
      </c>
      <c r="K543" s="9" t="s">
        <v>36</v>
      </c>
      <c r="L543" s="6" t="s">
        <v>36</v>
      </c>
      <c r="M543" s="3" t="s">
        <v>36</v>
      </c>
      <c r="N543" s="3" t="s">
        <v>36</v>
      </c>
      <c r="O543" s="8" t="s">
        <v>36</v>
      </c>
      <c r="P543" s="3" t="s">
        <v>36</v>
      </c>
      <c r="Q543" s="3" t="s">
        <v>36</v>
      </c>
      <c r="R543" s="3" t="s">
        <v>36</v>
      </c>
      <c r="S543" s="3" t="s">
        <v>36</v>
      </c>
      <c r="T543" s="3" t="s">
        <v>189</v>
      </c>
      <c r="U543" s="3" t="s">
        <v>180</v>
      </c>
      <c r="V543" s="3" t="s">
        <v>52</v>
      </c>
      <c r="W543" s="3" t="s">
        <v>3577</v>
      </c>
      <c r="X543" s="10" t="s">
        <v>3578</v>
      </c>
      <c r="Y543" s="6" t="s">
        <v>55</v>
      </c>
      <c r="Z543" s="4">
        <v>3.22</v>
      </c>
      <c r="AA543" s="4">
        <v>9.85</v>
      </c>
      <c r="AB543" s="3" t="s">
        <v>56</v>
      </c>
      <c r="AC543" s="3" t="s">
        <v>3579</v>
      </c>
      <c r="AD543" s="9">
        <v>45407</v>
      </c>
      <c r="AE543" s="3" t="s">
        <v>184</v>
      </c>
      <c r="AF543" s="3" t="s">
        <v>3580</v>
      </c>
      <c r="AG543" s="3" t="s">
        <v>1276</v>
      </c>
      <c r="AH543" s="11">
        <f>HYPERLINK("https://my.pitchbook.com?c=257758-66T","View Company Online")</f>
      </c>
    </row>
    <row r="544">
      <c r="A544" s="12" t="s">
        <v>3581</v>
      </c>
      <c r="B544" s="12" t="s">
        <v>3582</v>
      </c>
      <c r="C544" s="19">
        <v>3</v>
      </c>
      <c r="D544" s="19">
        <v>2</v>
      </c>
      <c r="E544" s="19">
        <v>1</v>
      </c>
      <c r="F544" s="19">
        <v>5</v>
      </c>
      <c r="G544" s="15" t="s">
        <v>36</v>
      </c>
      <c r="H544" s="14" t="s">
        <v>36</v>
      </c>
      <c r="I544" s="18">
        <v>20.63</v>
      </c>
      <c r="J544" s="12" t="s">
        <v>327</v>
      </c>
      <c r="K544" s="13" t="s">
        <v>36</v>
      </c>
      <c r="L544" s="15" t="s">
        <v>36</v>
      </c>
      <c r="M544" s="12" t="s">
        <v>36</v>
      </c>
      <c r="N544" s="12" t="s">
        <v>36</v>
      </c>
      <c r="O544" s="17" t="s">
        <v>36</v>
      </c>
      <c r="P544" s="12" t="s">
        <v>36</v>
      </c>
      <c r="Q544" s="12" t="s">
        <v>36</v>
      </c>
      <c r="R544" s="12" t="s">
        <v>36</v>
      </c>
      <c r="S544" s="12" t="s">
        <v>36</v>
      </c>
      <c r="T544" s="12" t="s">
        <v>3583</v>
      </c>
      <c r="U544" s="12" t="s">
        <v>38</v>
      </c>
      <c r="V544" s="12" t="s">
        <v>39</v>
      </c>
      <c r="W544" s="12" t="s">
        <v>3584</v>
      </c>
      <c r="X544" s="16" t="s">
        <v>3585</v>
      </c>
      <c r="Y544" s="15" t="s">
        <v>42</v>
      </c>
      <c r="Z544" s="14">
        <v>2.15</v>
      </c>
      <c r="AA544" s="14">
        <v>10.41</v>
      </c>
      <c r="AB544" s="12" t="s">
        <v>56</v>
      </c>
      <c r="AC544" s="12" t="s">
        <v>3586</v>
      </c>
      <c r="AD544" s="13">
        <v>45407</v>
      </c>
      <c r="AE544" s="12" t="s">
        <v>1945</v>
      </c>
      <c r="AF544" s="12" t="s">
        <v>1636</v>
      </c>
      <c r="AG544" s="12" t="s">
        <v>81</v>
      </c>
      <c r="AH544" s="1">
        <f>HYPERLINK("https://my.pitchbook.com?c=257763-52T","View Company Online")</f>
      </c>
    </row>
    <row r="545">
      <c r="A545" s="3" t="s">
        <v>3587</v>
      </c>
      <c r="B545" s="3" t="s">
        <v>528</v>
      </c>
      <c r="C545" s="5" t="s">
        <v>36</v>
      </c>
      <c r="D545" s="5" t="s">
        <v>36</v>
      </c>
      <c r="E545" s="5" t="s">
        <v>36</v>
      </c>
      <c r="F545" s="5" t="s">
        <v>36</v>
      </c>
      <c r="G545" s="6" t="s">
        <v>326</v>
      </c>
      <c r="H545" s="4" t="s">
        <v>36</v>
      </c>
      <c r="I545" s="7">
        <v>27.27</v>
      </c>
      <c r="J545" s="3" t="s">
        <v>521</v>
      </c>
      <c r="K545" s="9" t="s">
        <v>36</v>
      </c>
      <c r="L545" s="6" t="s">
        <v>122</v>
      </c>
      <c r="M545" s="3" t="s">
        <v>36</v>
      </c>
      <c r="N545" s="3" t="s">
        <v>122</v>
      </c>
      <c r="O545" s="8" t="s">
        <v>36</v>
      </c>
      <c r="P545" s="3" t="s">
        <v>36</v>
      </c>
      <c r="Q545" s="3" t="s">
        <v>36</v>
      </c>
      <c r="R545" s="3" t="s">
        <v>36</v>
      </c>
      <c r="S545" s="3" t="s">
        <v>36</v>
      </c>
      <c r="T545" s="3" t="s">
        <v>529</v>
      </c>
      <c r="U545" s="3" t="s">
        <v>38</v>
      </c>
      <c r="V545" s="3" t="s">
        <v>39</v>
      </c>
      <c r="W545" s="3" t="s">
        <v>530</v>
      </c>
      <c r="X545" s="10" t="s">
        <v>3588</v>
      </c>
      <c r="Y545" s="6" t="s">
        <v>108</v>
      </c>
      <c r="Z545" s="4">
        <v>15</v>
      </c>
      <c r="AA545" s="4">
        <v>55</v>
      </c>
      <c r="AB545" s="3" t="s">
        <v>56</v>
      </c>
      <c r="AC545" s="3" t="s">
        <v>532</v>
      </c>
      <c r="AD545" s="9">
        <v>45406</v>
      </c>
      <c r="AE545" s="3" t="s">
        <v>134</v>
      </c>
      <c r="AF545" s="3" t="s">
        <v>533</v>
      </c>
      <c r="AG545" s="3" t="s">
        <v>81</v>
      </c>
      <c r="AH545" s="11">
        <f>HYPERLINK("https://my.pitchbook.com?c=257635-09T","View Company Online")</f>
      </c>
    </row>
    <row r="546">
      <c r="A546" s="12" t="s">
        <v>3589</v>
      </c>
      <c r="B546" s="12" t="s">
        <v>3590</v>
      </c>
      <c r="C546" s="19" t="s">
        <v>36</v>
      </c>
      <c r="D546" s="19">
        <v>2</v>
      </c>
      <c r="E546" s="19">
        <v>1</v>
      </c>
      <c r="F546" s="19">
        <v>2</v>
      </c>
      <c r="G546" s="15" t="s">
        <v>36</v>
      </c>
      <c r="H546" s="14" t="s">
        <v>36</v>
      </c>
      <c r="I546" s="18" t="s">
        <v>36</v>
      </c>
      <c r="J546" s="12" t="s">
        <v>36</v>
      </c>
      <c r="K546" s="13" t="s">
        <v>36</v>
      </c>
      <c r="L546" s="15" t="s">
        <v>36</v>
      </c>
      <c r="M546" s="12" t="s">
        <v>36</v>
      </c>
      <c r="N546" s="12" t="s">
        <v>36</v>
      </c>
      <c r="O546" s="17" t="s">
        <v>36</v>
      </c>
      <c r="P546" s="12" t="s">
        <v>36</v>
      </c>
      <c r="Q546" s="12" t="s">
        <v>36</v>
      </c>
      <c r="R546" s="12" t="s">
        <v>36</v>
      </c>
      <c r="S546" s="12" t="s">
        <v>36</v>
      </c>
      <c r="T546" s="12" t="s">
        <v>3591</v>
      </c>
      <c r="U546" s="12" t="s">
        <v>38</v>
      </c>
      <c r="V546" s="12" t="s">
        <v>39</v>
      </c>
      <c r="W546" s="12" t="s">
        <v>3592</v>
      </c>
      <c r="X546" s="16" t="s">
        <v>3593</v>
      </c>
      <c r="Y546" s="15" t="s">
        <v>192</v>
      </c>
      <c r="Z546" s="14" t="s">
        <v>36</v>
      </c>
      <c r="AA546" s="14" t="s">
        <v>36</v>
      </c>
      <c r="AB546" s="12" t="s">
        <v>56</v>
      </c>
      <c r="AC546" s="12" t="s">
        <v>3594</v>
      </c>
      <c r="AD546" s="13">
        <v>45406</v>
      </c>
      <c r="AE546" s="12" t="s">
        <v>688</v>
      </c>
      <c r="AF546" s="12" t="s">
        <v>118</v>
      </c>
      <c r="AG546" s="12" t="s">
        <v>3595</v>
      </c>
      <c r="AH546" s="1">
        <f>HYPERLINK("https://my.pitchbook.com?c=257698-90T","View Company Online")</f>
      </c>
    </row>
    <row r="547">
      <c r="A547" s="3" t="s">
        <v>3596</v>
      </c>
      <c r="B547" s="3" t="s">
        <v>3597</v>
      </c>
      <c r="C547" s="5" t="s">
        <v>36</v>
      </c>
      <c r="D547" s="5" t="s">
        <v>36</v>
      </c>
      <c r="E547" s="5" t="s">
        <v>36</v>
      </c>
      <c r="F547" s="5" t="s">
        <v>36</v>
      </c>
      <c r="G547" s="6" t="s">
        <v>36</v>
      </c>
      <c r="H547" s="4" t="s">
        <v>36</v>
      </c>
      <c r="I547" s="7" t="s">
        <v>36</v>
      </c>
      <c r="J547" s="3" t="s">
        <v>36</v>
      </c>
      <c r="K547" s="9" t="s">
        <v>36</v>
      </c>
      <c r="L547" s="6" t="s">
        <v>36</v>
      </c>
      <c r="M547" s="3" t="s">
        <v>36</v>
      </c>
      <c r="N547" s="3" t="s">
        <v>36</v>
      </c>
      <c r="O547" s="8" t="s">
        <v>36</v>
      </c>
      <c r="P547" s="3" t="s">
        <v>36</v>
      </c>
      <c r="Q547" s="3" t="s">
        <v>36</v>
      </c>
      <c r="R547" s="3" t="s">
        <v>36</v>
      </c>
      <c r="S547" s="3" t="s">
        <v>36</v>
      </c>
      <c r="T547" s="3" t="s">
        <v>3598</v>
      </c>
      <c r="U547" s="3" t="s">
        <v>74</v>
      </c>
      <c r="V547" s="3" t="s">
        <v>75</v>
      </c>
      <c r="W547" s="3" t="s">
        <v>3599</v>
      </c>
      <c r="X547" s="10" t="s">
        <v>3600</v>
      </c>
      <c r="Y547" s="6" t="s">
        <v>108</v>
      </c>
      <c r="Z547" s="4">
        <v>2.36</v>
      </c>
      <c r="AA547" s="4" t="s">
        <v>36</v>
      </c>
      <c r="AB547" s="3" t="s">
        <v>56</v>
      </c>
      <c r="AC547" s="3" t="s">
        <v>3601</v>
      </c>
      <c r="AD547" s="9">
        <v>45406</v>
      </c>
      <c r="AE547" s="3" t="s">
        <v>975</v>
      </c>
      <c r="AF547" s="3" t="s">
        <v>36</v>
      </c>
      <c r="AG547" s="3" t="s">
        <v>102</v>
      </c>
      <c r="AH547" s="11">
        <f>HYPERLINK("https://my.pitchbook.com?c=257664-88T","View Company Online")</f>
      </c>
    </row>
    <row r="548">
      <c r="A548" s="12" t="s">
        <v>3602</v>
      </c>
      <c r="B548" s="12" t="s">
        <v>3603</v>
      </c>
      <c r="C548" s="19" t="s">
        <v>36</v>
      </c>
      <c r="D548" s="19" t="s">
        <v>36</v>
      </c>
      <c r="E548" s="19" t="s">
        <v>36</v>
      </c>
      <c r="F548" s="19" t="s">
        <v>36</v>
      </c>
      <c r="G548" s="15" t="s">
        <v>36</v>
      </c>
      <c r="H548" s="14" t="s">
        <v>36</v>
      </c>
      <c r="I548" s="18" t="s">
        <v>36</v>
      </c>
      <c r="J548" s="12" t="s">
        <v>36</v>
      </c>
      <c r="K548" s="13" t="s">
        <v>36</v>
      </c>
      <c r="L548" s="15" t="s">
        <v>36</v>
      </c>
      <c r="M548" s="12" t="s">
        <v>36</v>
      </c>
      <c r="N548" s="12" t="s">
        <v>36</v>
      </c>
      <c r="O548" s="17" t="s">
        <v>36</v>
      </c>
      <c r="P548" s="12" t="s">
        <v>36</v>
      </c>
      <c r="Q548" s="12" t="s">
        <v>36</v>
      </c>
      <c r="R548" s="12" t="s">
        <v>36</v>
      </c>
      <c r="S548" s="12" t="s">
        <v>36</v>
      </c>
      <c r="T548" s="12" t="s">
        <v>3604</v>
      </c>
      <c r="U548" s="12" t="s">
        <v>404</v>
      </c>
      <c r="V548" s="12" t="s">
        <v>405</v>
      </c>
      <c r="W548" s="12" t="s">
        <v>3605</v>
      </c>
      <c r="X548" s="16" t="s">
        <v>3606</v>
      </c>
      <c r="Y548" s="15" t="s">
        <v>42</v>
      </c>
      <c r="Z548" s="14">
        <v>3.23</v>
      </c>
      <c r="AA548" s="14" t="s">
        <v>36</v>
      </c>
      <c r="AB548" s="12" t="s">
        <v>43</v>
      </c>
      <c r="AC548" s="12" t="s">
        <v>3607</v>
      </c>
      <c r="AD548" s="13">
        <v>45405</v>
      </c>
      <c r="AE548" s="12" t="s">
        <v>3608</v>
      </c>
      <c r="AF548" s="12" t="s">
        <v>215</v>
      </c>
      <c r="AG548" s="12" t="s">
        <v>81</v>
      </c>
      <c r="AH548" s="1">
        <f>HYPERLINK("https://my.pitchbook.com?c=257533-84T","View Company Online")</f>
      </c>
    </row>
    <row r="549">
      <c r="A549" s="3" t="s">
        <v>3609</v>
      </c>
      <c r="B549" s="3" t="s">
        <v>3610</v>
      </c>
      <c r="C549" s="5" t="s">
        <v>36</v>
      </c>
      <c r="D549" s="5" t="s">
        <v>36</v>
      </c>
      <c r="E549" s="5" t="s">
        <v>36</v>
      </c>
      <c r="F549" s="5" t="s">
        <v>36</v>
      </c>
      <c r="G549" s="6" t="s">
        <v>36</v>
      </c>
      <c r="H549" s="4" t="s">
        <v>36</v>
      </c>
      <c r="I549" s="7" t="s">
        <v>36</v>
      </c>
      <c r="J549" s="3" t="s">
        <v>36</v>
      </c>
      <c r="K549" s="9" t="s">
        <v>36</v>
      </c>
      <c r="L549" s="6" t="s">
        <v>36</v>
      </c>
      <c r="M549" s="3" t="s">
        <v>36</v>
      </c>
      <c r="N549" s="3" t="s">
        <v>36</v>
      </c>
      <c r="O549" s="8" t="s">
        <v>36</v>
      </c>
      <c r="P549" s="3" t="s">
        <v>36</v>
      </c>
      <c r="Q549" s="3" t="s">
        <v>36</v>
      </c>
      <c r="R549" s="3" t="s">
        <v>36</v>
      </c>
      <c r="S549" s="3" t="s">
        <v>36</v>
      </c>
      <c r="T549" s="3" t="s">
        <v>3611</v>
      </c>
      <c r="U549" s="3" t="s">
        <v>833</v>
      </c>
      <c r="V549" s="3" t="s">
        <v>64</v>
      </c>
      <c r="W549" s="3" t="s">
        <v>3612</v>
      </c>
      <c r="X549" s="10" t="s">
        <v>3613</v>
      </c>
      <c r="Y549" s="6" t="s">
        <v>166</v>
      </c>
      <c r="Z549" s="4">
        <v>16.13</v>
      </c>
      <c r="AA549" s="4" t="s">
        <v>36</v>
      </c>
      <c r="AB549" s="3" t="s">
        <v>56</v>
      </c>
      <c r="AC549" s="3" t="s">
        <v>3614</v>
      </c>
      <c r="AD549" s="9">
        <v>45405</v>
      </c>
      <c r="AE549" s="3" t="s">
        <v>3615</v>
      </c>
      <c r="AF549" s="3" t="s">
        <v>2118</v>
      </c>
      <c r="AG549" s="3" t="s">
        <v>3616</v>
      </c>
      <c r="AH549" s="11">
        <f>HYPERLINK("https://my.pitchbook.com?c=257616-19T","View Company Online")</f>
      </c>
    </row>
    <row r="550">
      <c r="A550" s="12" t="s">
        <v>3617</v>
      </c>
      <c r="B550" s="12" t="s">
        <v>3618</v>
      </c>
      <c r="C550" s="19" t="s">
        <v>36</v>
      </c>
      <c r="D550" s="19" t="s">
        <v>36</v>
      </c>
      <c r="E550" s="19" t="s">
        <v>36</v>
      </c>
      <c r="F550" s="19" t="s">
        <v>36</v>
      </c>
      <c r="G550" s="15" t="s">
        <v>36</v>
      </c>
      <c r="H550" s="14" t="s">
        <v>36</v>
      </c>
      <c r="I550" s="18" t="s">
        <v>36</v>
      </c>
      <c r="J550" s="12" t="s">
        <v>36</v>
      </c>
      <c r="K550" s="13">
        <v>44305</v>
      </c>
      <c r="L550" s="15" t="s">
        <v>122</v>
      </c>
      <c r="M550" s="12" t="s">
        <v>36</v>
      </c>
      <c r="N550" s="12" t="s">
        <v>122</v>
      </c>
      <c r="O550" s="17" t="s">
        <v>36</v>
      </c>
      <c r="P550" s="12" t="s">
        <v>36</v>
      </c>
      <c r="Q550" s="12" t="s">
        <v>36</v>
      </c>
      <c r="R550" s="12" t="s">
        <v>36</v>
      </c>
      <c r="S550" s="12" t="s">
        <v>36</v>
      </c>
      <c r="T550" s="12" t="s">
        <v>942</v>
      </c>
      <c r="U550" s="12" t="s">
        <v>38</v>
      </c>
      <c r="V550" s="12" t="s">
        <v>39</v>
      </c>
      <c r="W550" s="12" t="s">
        <v>3619</v>
      </c>
      <c r="X550" s="16" t="s">
        <v>3620</v>
      </c>
      <c r="Y550" s="15" t="s">
        <v>55</v>
      </c>
      <c r="Z550" s="14">
        <v>20</v>
      </c>
      <c r="AA550" s="14" t="s">
        <v>36</v>
      </c>
      <c r="AB550" s="12" t="s">
        <v>56</v>
      </c>
      <c r="AC550" s="12" t="s">
        <v>3621</v>
      </c>
      <c r="AD550" s="13">
        <v>45405</v>
      </c>
      <c r="AE550" s="12" t="s">
        <v>45</v>
      </c>
      <c r="AF550" s="12" t="s">
        <v>450</v>
      </c>
      <c r="AG550" s="12" t="s">
        <v>81</v>
      </c>
      <c r="AH550" s="1">
        <f>HYPERLINK("https://my.pitchbook.com?c=174347-38T","View Company Online")</f>
      </c>
    </row>
    <row r="551">
      <c r="A551" s="3" t="s">
        <v>3622</v>
      </c>
      <c r="B551" s="3" t="s">
        <v>3623</v>
      </c>
      <c r="C551" s="5" t="s">
        <v>36</v>
      </c>
      <c r="D551" s="5" t="s">
        <v>36</v>
      </c>
      <c r="E551" s="5" t="s">
        <v>36</v>
      </c>
      <c r="F551" s="5" t="s">
        <v>36</v>
      </c>
      <c r="G551" s="6" t="s">
        <v>36</v>
      </c>
      <c r="H551" s="4" t="s">
        <v>36</v>
      </c>
      <c r="I551" s="7" t="s">
        <v>36</v>
      </c>
      <c r="J551" s="3" t="s">
        <v>36</v>
      </c>
      <c r="K551" s="9" t="s">
        <v>36</v>
      </c>
      <c r="L551" s="6" t="s">
        <v>36</v>
      </c>
      <c r="M551" s="3" t="s">
        <v>36</v>
      </c>
      <c r="N551" s="3" t="s">
        <v>36</v>
      </c>
      <c r="O551" s="8" t="s">
        <v>36</v>
      </c>
      <c r="P551" s="3" t="s">
        <v>36</v>
      </c>
      <c r="Q551" s="3" t="s">
        <v>36</v>
      </c>
      <c r="R551" s="3" t="s">
        <v>36</v>
      </c>
      <c r="S551" s="3" t="s">
        <v>36</v>
      </c>
      <c r="T551" s="3" t="s">
        <v>3624</v>
      </c>
      <c r="U551" s="3" t="s">
        <v>318</v>
      </c>
      <c r="V551" s="3" t="s">
        <v>39</v>
      </c>
      <c r="W551" s="3" t="s">
        <v>3625</v>
      </c>
      <c r="X551" s="10" t="s">
        <v>3626</v>
      </c>
      <c r="Y551" s="6" t="s">
        <v>108</v>
      </c>
      <c r="Z551" s="4">
        <v>3.77</v>
      </c>
      <c r="AA551" s="4" t="s">
        <v>36</v>
      </c>
      <c r="AB551" s="3" t="s">
        <v>56</v>
      </c>
      <c r="AC551" s="3" t="s">
        <v>3627</v>
      </c>
      <c r="AD551" s="9">
        <v>45404</v>
      </c>
      <c r="AE551" s="3" t="s">
        <v>323</v>
      </c>
      <c r="AF551" s="3" t="s">
        <v>1636</v>
      </c>
      <c r="AG551" s="3" t="s">
        <v>81</v>
      </c>
      <c r="AH551" s="11">
        <f>HYPERLINK("https://my.pitchbook.com?c=273686-59T","View Company Online")</f>
      </c>
    </row>
    <row r="552">
      <c r="A552" s="12" t="s">
        <v>3628</v>
      </c>
      <c r="B552" s="12" t="s">
        <v>3629</v>
      </c>
      <c r="C552" s="19" t="s">
        <v>36</v>
      </c>
      <c r="D552" s="19" t="s">
        <v>36</v>
      </c>
      <c r="E552" s="19" t="s">
        <v>36</v>
      </c>
      <c r="F552" s="19" t="s">
        <v>36</v>
      </c>
      <c r="G552" s="15" t="s">
        <v>326</v>
      </c>
      <c r="H552" s="14">
        <v>4565.12</v>
      </c>
      <c r="I552" s="18">
        <v>23.04</v>
      </c>
      <c r="J552" s="12" t="s">
        <v>521</v>
      </c>
      <c r="K552" s="13" t="s">
        <v>36</v>
      </c>
      <c r="L552" s="15" t="s">
        <v>122</v>
      </c>
      <c r="M552" s="12" t="s">
        <v>36</v>
      </c>
      <c r="N552" s="12" t="s">
        <v>122</v>
      </c>
      <c r="O552" s="17" t="s">
        <v>36</v>
      </c>
      <c r="P552" s="12" t="s">
        <v>36</v>
      </c>
      <c r="Q552" s="12" t="s">
        <v>36</v>
      </c>
      <c r="R552" s="12" t="s">
        <v>36</v>
      </c>
      <c r="S552" s="12" t="s">
        <v>36</v>
      </c>
      <c r="T552" s="12" t="s">
        <v>3630</v>
      </c>
      <c r="U552" s="12" t="s">
        <v>38</v>
      </c>
      <c r="V552" s="12" t="s">
        <v>39</v>
      </c>
      <c r="W552" s="12" t="s">
        <v>3631</v>
      </c>
      <c r="X552" s="16" t="s">
        <v>3632</v>
      </c>
      <c r="Y552" s="15" t="s">
        <v>108</v>
      </c>
      <c r="Z552" s="14">
        <v>26.9</v>
      </c>
      <c r="AA552" s="14">
        <v>86.34</v>
      </c>
      <c r="AB552" s="12" t="s">
        <v>43</v>
      </c>
      <c r="AC552" s="12" t="s">
        <v>3633</v>
      </c>
      <c r="AD552" s="13">
        <v>45404</v>
      </c>
      <c r="AE552" s="12" t="s">
        <v>45</v>
      </c>
      <c r="AF552" s="12" t="s">
        <v>46</v>
      </c>
      <c r="AG552" s="12" t="s">
        <v>81</v>
      </c>
      <c r="AH552" s="1">
        <f>HYPERLINK("https://my.pitchbook.com?c=257428-72T","View Company Online")</f>
      </c>
    </row>
    <row r="553">
      <c r="A553" s="3" t="s">
        <v>3634</v>
      </c>
      <c r="B553" s="3" t="s">
        <v>3635</v>
      </c>
      <c r="C553" s="5" t="s">
        <v>36</v>
      </c>
      <c r="D553" s="5" t="s">
        <v>36</v>
      </c>
      <c r="E553" s="5" t="s">
        <v>36</v>
      </c>
      <c r="F553" s="5" t="s">
        <v>36</v>
      </c>
      <c r="G553" s="6" t="s">
        <v>36</v>
      </c>
      <c r="H553" s="4" t="s">
        <v>36</v>
      </c>
      <c r="I553" s="7" t="s">
        <v>36</v>
      </c>
      <c r="J553" s="3" t="s">
        <v>36</v>
      </c>
      <c r="K553" s="9">
        <v>45245</v>
      </c>
      <c r="L553" s="6" t="s">
        <v>36</v>
      </c>
      <c r="M553" s="3" t="s">
        <v>36</v>
      </c>
      <c r="N553" s="3" t="s">
        <v>36</v>
      </c>
      <c r="O553" s="8" t="s">
        <v>36</v>
      </c>
      <c r="P553" s="3" t="s">
        <v>36</v>
      </c>
      <c r="Q553" s="3" t="s">
        <v>36</v>
      </c>
      <c r="R553" s="3" t="s">
        <v>36</v>
      </c>
      <c r="S553" s="3" t="s">
        <v>36</v>
      </c>
      <c r="T553" s="3" t="s">
        <v>1893</v>
      </c>
      <c r="U553" s="3" t="s">
        <v>648</v>
      </c>
      <c r="V553" s="3" t="s">
        <v>64</v>
      </c>
      <c r="W553" s="3" t="s">
        <v>3636</v>
      </c>
      <c r="X553" s="10" t="s">
        <v>3637</v>
      </c>
      <c r="Y553" s="6" t="s">
        <v>192</v>
      </c>
      <c r="Z553" s="4">
        <v>11.84</v>
      </c>
      <c r="AA553" s="4" t="s">
        <v>36</v>
      </c>
      <c r="AB553" s="3" t="s">
        <v>56</v>
      </c>
      <c r="AC553" s="3" t="s">
        <v>3638</v>
      </c>
      <c r="AD553" s="9">
        <v>45404</v>
      </c>
      <c r="AE553" s="3" t="s">
        <v>1897</v>
      </c>
      <c r="AF553" s="3" t="s">
        <v>1115</v>
      </c>
      <c r="AG553" s="3" t="s">
        <v>3492</v>
      </c>
      <c r="AH553" s="11">
        <f>HYPERLINK("https://my.pitchbook.com?c=257488-57T","View Company Online")</f>
      </c>
    </row>
    <row r="554">
      <c r="A554" s="12" t="s">
        <v>3639</v>
      </c>
      <c r="B554" s="12" t="s">
        <v>3640</v>
      </c>
      <c r="C554" s="19">
        <v>11</v>
      </c>
      <c r="D554" s="19">
        <v>12</v>
      </c>
      <c r="E554" s="19">
        <v>8</v>
      </c>
      <c r="F554" s="19">
        <v>23</v>
      </c>
      <c r="G554" s="15" t="s">
        <v>36</v>
      </c>
      <c r="H554" s="14" t="s">
        <v>36</v>
      </c>
      <c r="I554" s="18" t="s">
        <v>36</v>
      </c>
      <c r="J554" s="12" t="s">
        <v>36</v>
      </c>
      <c r="K554" s="13">
        <v>45012</v>
      </c>
      <c r="L554" s="15" t="s">
        <v>36</v>
      </c>
      <c r="M554" s="12" t="s">
        <v>36</v>
      </c>
      <c r="N554" s="12" t="s">
        <v>36</v>
      </c>
      <c r="O554" s="17" t="s">
        <v>36</v>
      </c>
      <c r="P554" s="12" t="s">
        <v>36</v>
      </c>
      <c r="Q554" s="12" t="s">
        <v>36</v>
      </c>
      <c r="R554" s="12" t="s">
        <v>36</v>
      </c>
      <c r="S554" s="12" t="s">
        <v>36</v>
      </c>
      <c r="T554" s="12" t="s">
        <v>3641</v>
      </c>
      <c r="U554" s="12" t="s">
        <v>1502</v>
      </c>
      <c r="V554" s="12" t="s">
        <v>75</v>
      </c>
      <c r="W554" s="12" t="s">
        <v>3642</v>
      </c>
      <c r="X554" s="16" t="s">
        <v>3643</v>
      </c>
      <c r="Y554" s="15" t="s">
        <v>55</v>
      </c>
      <c r="Z554" s="14">
        <v>22.64</v>
      </c>
      <c r="AA554" s="14" t="s">
        <v>36</v>
      </c>
      <c r="AB554" s="12" t="s">
        <v>56</v>
      </c>
      <c r="AC554" s="12" t="s">
        <v>3644</v>
      </c>
      <c r="AD554" s="13">
        <v>45401</v>
      </c>
      <c r="AE554" s="12" t="s">
        <v>3645</v>
      </c>
      <c r="AF554" s="12" t="s">
        <v>3646</v>
      </c>
      <c r="AG554" s="12" t="s">
        <v>144</v>
      </c>
      <c r="AH554" s="1">
        <f>HYPERLINK("https://my.pitchbook.com?c=219072-79T","View Company Online")</f>
      </c>
    </row>
    <row r="555">
      <c r="A555" s="3" t="s">
        <v>3647</v>
      </c>
      <c r="B555" s="3" t="s">
        <v>3648</v>
      </c>
      <c r="C555" s="5" t="s">
        <v>36</v>
      </c>
      <c r="D555" s="5" t="s">
        <v>36</v>
      </c>
      <c r="E555" s="5" t="s">
        <v>36</v>
      </c>
      <c r="F555" s="5" t="s">
        <v>36</v>
      </c>
      <c r="G555" s="6" t="s">
        <v>36</v>
      </c>
      <c r="H555" s="4" t="s">
        <v>36</v>
      </c>
      <c r="I555" s="7" t="s">
        <v>36</v>
      </c>
      <c r="J555" s="3" t="s">
        <v>36</v>
      </c>
      <c r="K555" s="9" t="s">
        <v>36</v>
      </c>
      <c r="L555" s="6" t="s">
        <v>36</v>
      </c>
      <c r="M555" s="3" t="s">
        <v>36</v>
      </c>
      <c r="N555" s="3" t="s">
        <v>36</v>
      </c>
      <c r="O555" s="8" t="s">
        <v>36</v>
      </c>
      <c r="P555" s="3" t="s">
        <v>36</v>
      </c>
      <c r="Q555" s="3" t="s">
        <v>36</v>
      </c>
      <c r="R555" s="3" t="s">
        <v>36</v>
      </c>
      <c r="S555" s="3" t="s">
        <v>36</v>
      </c>
      <c r="T555" s="3" t="s">
        <v>818</v>
      </c>
      <c r="U555" s="3" t="s">
        <v>74</v>
      </c>
      <c r="V555" s="3" t="s">
        <v>75</v>
      </c>
      <c r="W555" s="3" t="s">
        <v>3649</v>
      </c>
      <c r="X555" s="10" t="s">
        <v>3650</v>
      </c>
      <c r="Y555" s="6" t="s">
        <v>42</v>
      </c>
      <c r="Z555" s="4">
        <v>0.65</v>
      </c>
      <c r="AA555" s="4" t="s">
        <v>36</v>
      </c>
      <c r="AB555" s="3" t="s">
        <v>43</v>
      </c>
      <c r="AC555" s="3" t="s">
        <v>3651</v>
      </c>
      <c r="AD555" s="9">
        <v>45401</v>
      </c>
      <c r="AE555" s="3" t="s">
        <v>570</v>
      </c>
      <c r="AF555" s="3" t="s">
        <v>1977</v>
      </c>
      <c r="AG555" s="3" t="s">
        <v>2218</v>
      </c>
      <c r="AH555" s="11">
        <f>HYPERLINK("https://my.pitchbook.com?c=257393-71T","View Company Online")</f>
      </c>
    </row>
    <row r="556">
      <c r="A556" s="12" t="s">
        <v>3652</v>
      </c>
      <c r="B556" s="12" t="s">
        <v>3653</v>
      </c>
      <c r="C556" s="19" t="s">
        <v>36</v>
      </c>
      <c r="D556" s="19" t="s">
        <v>36</v>
      </c>
      <c r="E556" s="19" t="s">
        <v>36</v>
      </c>
      <c r="F556" s="19" t="s">
        <v>36</v>
      </c>
      <c r="G556" s="15" t="s">
        <v>326</v>
      </c>
      <c r="H556" s="14">
        <v>114.24</v>
      </c>
      <c r="I556" s="18">
        <v>35.33</v>
      </c>
      <c r="J556" s="12" t="s">
        <v>521</v>
      </c>
      <c r="K556" s="13" t="s">
        <v>36</v>
      </c>
      <c r="L556" s="15" t="s">
        <v>36</v>
      </c>
      <c r="M556" s="12" t="s">
        <v>36</v>
      </c>
      <c r="N556" s="12" t="s">
        <v>36</v>
      </c>
      <c r="O556" s="17" t="s">
        <v>36</v>
      </c>
      <c r="P556" s="12" t="s">
        <v>36</v>
      </c>
      <c r="Q556" s="12" t="s">
        <v>36</v>
      </c>
      <c r="R556" s="12" t="s">
        <v>36</v>
      </c>
      <c r="S556" s="12" t="s">
        <v>36</v>
      </c>
      <c r="T556" s="12" t="s">
        <v>3654</v>
      </c>
      <c r="U556" s="12" t="s">
        <v>1580</v>
      </c>
      <c r="V556" s="12" t="s">
        <v>39</v>
      </c>
      <c r="W556" s="12" t="s">
        <v>3655</v>
      </c>
      <c r="X556" s="16" t="s">
        <v>3656</v>
      </c>
      <c r="Y556" s="15" t="s">
        <v>108</v>
      </c>
      <c r="Z556" s="14">
        <v>0.76</v>
      </c>
      <c r="AA556" s="14">
        <v>2.16</v>
      </c>
      <c r="AB556" s="12" t="s">
        <v>56</v>
      </c>
      <c r="AC556" s="12" t="s">
        <v>3657</v>
      </c>
      <c r="AD556" s="13">
        <v>45400</v>
      </c>
      <c r="AE556" s="12" t="s">
        <v>1584</v>
      </c>
      <c r="AF556" s="12" t="s">
        <v>36</v>
      </c>
      <c r="AG556" s="12" t="s">
        <v>2450</v>
      </c>
      <c r="AH556" s="1">
        <f>HYPERLINK("https://my.pitchbook.com?c=248529-88T","View Company Online")</f>
      </c>
    </row>
    <row r="557">
      <c r="A557" s="3" t="s">
        <v>3658</v>
      </c>
      <c r="B557" s="3" t="s">
        <v>3659</v>
      </c>
      <c r="C557" s="5" t="s">
        <v>36</v>
      </c>
      <c r="D557" s="5" t="s">
        <v>36</v>
      </c>
      <c r="E557" s="5" t="s">
        <v>36</v>
      </c>
      <c r="F557" s="5" t="s">
        <v>36</v>
      </c>
      <c r="G557" s="6" t="s">
        <v>326</v>
      </c>
      <c r="H557" s="4">
        <v>462</v>
      </c>
      <c r="I557" s="7">
        <v>41.99</v>
      </c>
      <c r="J557" s="3" t="s">
        <v>521</v>
      </c>
      <c r="K557" s="9" t="s">
        <v>36</v>
      </c>
      <c r="L557" s="6" t="s">
        <v>36</v>
      </c>
      <c r="M557" s="3" t="s">
        <v>36</v>
      </c>
      <c r="N557" s="3" t="s">
        <v>36</v>
      </c>
      <c r="O557" s="8" t="s">
        <v>36</v>
      </c>
      <c r="P557" s="3" t="s">
        <v>36</v>
      </c>
      <c r="Q557" s="3" t="s">
        <v>36</v>
      </c>
      <c r="R557" s="3" t="s">
        <v>36</v>
      </c>
      <c r="S557" s="3" t="s">
        <v>36</v>
      </c>
      <c r="T557" s="3" t="s">
        <v>3660</v>
      </c>
      <c r="U557" s="3" t="s">
        <v>1357</v>
      </c>
      <c r="V557" s="3" t="s">
        <v>52</v>
      </c>
      <c r="W557" s="3" t="s">
        <v>3661</v>
      </c>
      <c r="X557" s="10" t="s">
        <v>3662</v>
      </c>
      <c r="Y557" s="6" t="s">
        <v>108</v>
      </c>
      <c r="Z557" s="4">
        <v>2.74</v>
      </c>
      <c r="AA557" s="4">
        <v>6.53</v>
      </c>
      <c r="AB557" s="3" t="s">
        <v>56</v>
      </c>
      <c r="AC557" s="3" t="s">
        <v>3663</v>
      </c>
      <c r="AD557" s="9">
        <v>45399</v>
      </c>
      <c r="AE557" s="3" t="s">
        <v>2808</v>
      </c>
      <c r="AF557" s="3" t="s">
        <v>36</v>
      </c>
      <c r="AG557" s="3" t="s">
        <v>3664</v>
      </c>
      <c r="AH557" s="11">
        <f>HYPERLINK("https://my.pitchbook.com?c=274041-10T","View Company Online")</f>
      </c>
    </row>
    <row r="558">
      <c r="A558" s="12" t="s">
        <v>3665</v>
      </c>
      <c r="B558" s="12" t="s">
        <v>674</v>
      </c>
      <c r="C558" s="19" t="s">
        <v>36</v>
      </c>
      <c r="D558" s="19" t="s">
        <v>36</v>
      </c>
      <c r="E558" s="19" t="s">
        <v>36</v>
      </c>
      <c r="F558" s="19" t="s">
        <v>36</v>
      </c>
      <c r="G558" s="15" t="s">
        <v>36</v>
      </c>
      <c r="H558" s="14" t="s">
        <v>36</v>
      </c>
      <c r="I558" s="18" t="s">
        <v>36</v>
      </c>
      <c r="J558" s="12" t="s">
        <v>36</v>
      </c>
      <c r="K558" s="13" t="s">
        <v>36</v>
      </c>
      <c r="L558" s="15" t="s">
        <v>36</v>
      </c>
      <c r="M558" s="12" t="s">
        <v>36</v>
      </c>
      <c r="N558" s="12" t="s">
        <v>36</v>
      </c>
      <c r="O558" s="17" t="s">
        <v>36</v>
      </c>
      <c r="P558" s="12" t="s">
        <v>36</v>
      </c>
      <c r="Q558" s="12" t="s">
        <v>36</v>
      </c>
      <c r="R558" s="12" t="s">
        <v>36</v>
      </c>
      <c r="S558" s="12" t="s">
        <v>675</v>
      </c>
      <c r="T558" s="12" t="s">
        <v>676</v>
      </c>
      <c r="U558" s="12" t="s">
        <v>438</v>
      </c>
      <c r="V558" s="12" t="s">
        <v>405</v>
      </c>
      <c r="W558" s="12" t="s">
        <v>677</v>
      </c>
      <c r="X558" s="16" t="s">
        <v>3666</v>
      </c>
      <c r="Y558" s="15" t="s">
        <v>42</v>
      </c>
      <c r="Z558" s="14">
        <v>7</v>
      </c>
      <c r="AA558" s="14" t="s">
        <v>36</v>
      </c>
      <c r="AB558" s="12" t="s">
        <v>43</v>
      </c>
      <c r="AC558" s="12" t="s">
        <v>679</v>
      </c>
      <c r="AD558" s="13">
        <v>45399</v>
      </c>
      <c r="AE558" s="12" t="s">
        <v>438</v>
      </c>
      <c r="AF558" s="12" t="s">
        <v>680</v>
      </c>
      <c r="AG558" s="12" t="s">
        <v>81</v>
      </c>
      <c r="AH558" s="1">
        <f>HYPERLINK("https://my.pitchbook.com?c=257150-80T","View Company Online")</f>
      </c>
    </row>
    <row r="559">
      <c r="A559" s="3" t="s">
        <v>3667</v>
      </c>
      <c r="B559" s="3" t="s">
        <v>3668</v>
      </c>
      <c r="C559" s="5" t="s">
        <v>36</v>
      </c>
      <c r="D559" s="5" t="s">
        <v>36</v>
      </c>
      <c r="E559" s="5" t="s">
        <v>36</v>
      </c>
      <c r="F559" s="5" t="s">
        <v>36</v>
      </c>
      <c r="G559" s="6" t="s">
        <v>36</v>
      </c>
      <c r="H559" s="4">
        <v>473.19</v>
      </c>
      <c r="I559" s="7">
        <v>26.46</v>
      </c>
      <c r="J559" s="3" t="s">
        <v>521</v>
      </c>
      <c r="K559" s="9" t="s">
        <v>36</v>
      </c>
      <c r="L559" s="6" t="s">
        <v>36</v>
      </c>
      <c r="M559" s="3" t="s">
        <v>36</v>
      </c>
      <c r="N559" s="3" t="s">
        <v>36</v>
      </c>
      <c r="O559" s="8" t="s">
        <v>36</v>
      </c>
      <c r="P559" s="3" t="s">
        <v>36</v>
      </c>
      <c r="Q559" s="3" t="s">
        <v>36</v>
      </c>
      <c r="R559" s="3" t="s">
        <v>36</v>
      </c>
      <c r="S559" s="3" t="s">
        <v>36</v>
      </c>
      <c r="T559" s="3" t="s">
        <v>1701</v>
      </c>
      <c r="U559" s="3" t="s">
        <v>74</v>
      </c>
      <c r="V559" s="3" t="s">
        <v>75</v>
      </c>
      <c r="W559" s="3" t="s">
        <v>3669</v>
      </c>
      <c r="X559" s="10" t="s">
        <v>3670</v>
      </c>
      <c r="Y559" s="6" t="s">
        <v>108</v>
      </c>
      <c r="Z559" s="4">
        <v>0.97</v>
      </c>
      <c r="AA559" s="4">
        <v>3.67</v>
      </c>
      <c r="AB559" s="3" t="s">
        <v>56</v>
      </c>
      <c r="AC559" s="3" t="s">
        <v>3671</v>
      </c>
      <c r="AD559" s="9">
        <v>45398</v>
      </c>
      <c r="AE559" s="3" t="s">
        <v>79</v>
      </c>
      <c r="AF559" s="3" t="s">
        <v>1401</v>
      </c>
      <c r="AG559" s="3" t="s">
        <v>102</v>
      </c>
      <c r="AH559" s="11">
        <f>HYPERLINK("https://my.pitchbook.com?c=257253-31T","View Company Online")</f>
      </c>
    </row>
    <row r="560">
      <c r="A560" s="12" t="s">
        <v>3672</v>
      </c>
      <c r="B560" s="12" t="s">
        <v>3673</v>
      </c>
      <c r="C560" s="19">
        <v>1</v>
      </c>
      <c r="D560" s="19" t="s">
        <v>36</v>
      </c>
      <c r="E560" s="19">
        <v>1</v>
      </c>
      <c r="F560" s="19">
        <v>1</v>
      </c>
      <c r="G560" s="15" t="s">
        <v>36</v>
      </c>
      <c r="H560" s="14" t="s">
        <v>36</v>
      </c>
      <c r="I560" s="18">
        <v>4.95</v>
      </c>
      <c r="J560" s="12" t="s">
        <v>327</v>
      </c>
      <c r="K560" s="13" t="s">
        <v>36</v>
      </c>
      <c r="L560" s="15" t="s">
        <v>36</v>
      </c>
      <c r="M560" s="12" t="s">
        <v>36</v>
      </c>
      <c r="N560" s="12" t="s">
        <v>36</v>
      </c>
      <c r="O560" s="17" t="s">
        <v>36</v>
      </c>
      <c r="P560" s="12" t="s">
        <v>36</v>
      </c>
      <c r="Q560" s="12" t="s">
        <v>36</v>
      </c>
      <c r="R560" s="12" t="s">
        <v>36</v>
      </c>
      <c r="S560" s="12" t="s">
        <v>36</v>
      </c>
      <c r="T560" s="12" t="s">
        <v>3674</v>
      </c>
      <c r="U560" s="12" t="s">
        <v>74</v>
      </c>
      <c r="V560" s="12" t="s">
        <v>75</v>
      </c>
      <c r="W560" s="12" t="s">
        <v>3675</v>
      </c>
      <c r="X560" s="16" t="s">
        <v>3676</v>
      </c>
      <c r="Y560" s="15" t="s">
        <v>42</v>
      </c>
      <c r="Z560" s="14">
        <v>4</v>
      </c>
      <c r="AA560" s="14">
        <v>80.91</v>
      </c>
      <c r="AB560" s="12" t="s">
        <v>43</v>
      </c>
      <c r="AC560" s="12" t="s">
        <v>3677</v>
      </c>
      <c r="AD560" s="13">
        <v>45397</v>
      </c>
      <c r="AE560" s="12" t="s">
        <v>975</v>
      </c>
      <c r="AF560" s="12" t="s">
        <v>3678</v>
      </c>
      <c r="AG560" s="12" t="s">
        <v>3679</v>
      </c>
      <c r="AH560" s="1">
        <f>HYPERLINK("https://my.pitchbook.com?c=241911-37T","View Company Online")</f>
      </c>
    </row>
    <row r="561">
      <c r="A561" s="3" t="s">
        <v>3680</v>
      </c>
      <c r="B561" s="3" t="s">
        <v>3681</v>
      </c>
      <c r="C561" s="5" t="s">
        <v>36</v>
      </c>
      <c r="D561" s="5" t="s">
        <v>36</v>
      </c>
      <c r="E561" s="5" t="s">
        <v>36</v>
      </c>
      <c r="F561" s="5" t="s">
        <v>36</v>
      </c>
      <c r="G561" s="6" t="s">
        <v>36</v>
      </c>
      <c r="H561" s="4">
        <v>19.63</v>
      </c>
      <c r="I561" s="7">
        <v>3.82</v>
      </c>
      <c r="J561" s="3" t="s">
        <v>521</v>
      </c>
      <c r="K561" s="9" t="s">
        <v>36</v>
      </c>
      <c r="L561" s="6" t="s">
        <v>36</v>
      </c>
      <c r="M561" s="3" t="s">
        <v>36</v>
      </c>
      <c r="N561" s="3" t="s">
        <v>36</v>
      </c>
      <c r="O561" s="8" t="s">
        <v>36</v>
      </c>
      <c r="P561" s="3" t="s">
        <v>36</v>
      </c>
      <c r="Q561" s="3" t="s">
        <v>36</v>
      </c>
      <c r="R561" s="3" t="s">
        <v>36</v>
      </c>
      <c r="S561" s="3" t="s">
        <v>36</v>
      </c>
      <c r="T561" s="3" t="s">
        <v>3551</v>
      </c>
      <c r="U561" s="3" t="s">
        <v>96</v>
      </c>
      <c r="V561" s="3" t="s">
        <v>52</v>
      </c>
      <c r="W561" s="3" t="s">
        <v>3682</v>
      </c>
      <c r="X561" s="10" t="s">
        <v>3683</v>
      </c>
      <c r="Y561" s="6" t="s">
        <v>42</v>
      </c>
      <c r="Z561" s="4">
        <v>0.49</v>
      </c>
      <c r="AA561" s="4">
        <v>12.78</v>
      </c>
      <c r="AB561" s="3" t="s">
        <v>43</v>
      </c>
      <c r="AC561" s="3" t="s">
        <v>3684</v>
      </c>
      <c r="AD561" s="9">
        <v>45394</v>
      </c>
      <c r="AE561" s="3" t="s">
        <v>496</v>
      </c>
      <c r="AF561" s="3" t="s">
        <v>592</v>
      </c>
      <c r="AG561" s="3" t="s">
        <v>3685</v>
      </c>
      <c r="AH561" s="11">
        <f>HYPERLINK("https://my.pitchbook.com?c=257446-18T","View Company Online")</f>
      </c>
    </row>
    <row r="562">
      <c r="A562" s="12" t="s">
        <v>3686</v>
      </c>
      <c r="B562" s="12" t="s">
        <v>3687</v>
      </c>
      <c r="C562" s="19">
        <v>2</v>
      </c>
      <c r="D562" s="19" t="s">
        <v>36</v>
      </c>
      <c r="E562" s="19">
        <v>2</v>
      </c>
      <c r="F562" s="19">
        <v>2</v>
      </c>
      <c r="G562" s="15" t="s">
        <v>36</v>
      </c>
      <c r="H562" s="14" t="s">
        <v>36</v>
      </c>
      <c r="I562" s="18">
        <v>31.82</v>
      </c>
      <c r="J562" s="12" t="s">
        <v>327</v>
      </c>
      <c r="K562" s="13" t="s">
        <v>36</v>
      </c>
      <c r="L562" s="15" t="s">
        <v>36</v>
      </c>
      <c r="M562" s="12" t="s">
        <v>36</v>
      </c>
      <c r="N562" s="12" t="s">
        <v>36</v>
      </c>
      <c r="O562" s="17" t="s">
        <v>36</v>
      </c>
      <c r="P562" s="12" t="s">
        <v>36</v>
      </c>
      <c r="Q562" s="12" t="s">
        <v>36</v>
      </c>
      <c r="R562" s="12" t="s">
        <v>36</v>
      </c>
      <c r="S562" s="12" t="s">
        <v>36</v>
      </c>
      <c r="T562" s="12" t="s">
        <v>3551</v>
      </c>
      <c r="U562" s="12" t="s">
        <v>96</v>
      </c>
      <c r="V562" s="12" t="s">
        <v>52</v>
      </c>
      <c r="W562" s="12" t="s">
        <v>3688</v>
      </c>
      <c r="X562" s="16" t="s">
        <v>3683</v>
      </c>
      <c r="Y562" s="15" t="s">
        <v>42</v>
      </c>
      <c r="Z562" s="14">
        <v>0.49</v>
      </c>
      <c r="AA562" s="14">
        <v>1.53</v>
      </c>
      <c r="AB562" s="12" t="s">
        <v>43</v>
      </c>
      <c r="AC562" s="12" t="s">
        <v>3689</v>
      </c>
      <c r="AD562" s="13">
        <v>45394</v>
      </c>
      <c r="AE562" s="12" t="s">
        <v>496</v>
      </c>
      <c r="AF562" s="12" t="s">
        <v>592</v>
      </c>
      <c r="AG562" s="12" t="s">
        <v>3690</v>
      </c>
      <c r="AH562" s="1">
        <f>HYPERLINK("https://my.pitchbook.com?c=257451-49T","View Company Online")</f>
      </c>
    </row>
    <row r="563">
      <c r="A563" s="3" t="s">
        <v>3691</v>
      </c>
      <c r="B563" s="3" t="s">
        <v>3692</v>
      </c>
      <c r="C563" s="5" t="s">
        <v>36</v>
      </c>
      <c r="D563" s="5" t="s">
        <v>36</v>
      </c>
      <c r="E563" s="5" t="s">
        <v>36</v>
      </c>
      <c r="F563" s="5" t="s">
        <v>36</v>
      </c>
      <c r="G563" s="6" t="s">
        <v>36</v>
      </c>
      <c r="H563" s="4" t="s">
        <v>36</v>
      </c>
      <c r="I563" s="7" t="s">
        <v>36</v>
      </c>
      <c r="J563" s="3" t="s">
        <v>36</v>
      </c>
      <c r="K563" s="9" t="s">
        <v>36</v>
      </c>
      <c r="L563" s="6" t="s">
        <v>36</v>
      </c>
      <c r="M563" s="3" t="s">
        <v>36</v>
      </c>
      <c r="N563" s="3" t="s">
        <v>36</v>
      </c>
      <c r="O563" s="8" t="s">
        <v>36</v>
      </c>
      <c r="P563" s="3" t="s">
        <v>36</v>
      </c>
      <c r="Q563" s="3" t="s">
        <v>36</v>
      </c>
      <c r="R563" s="3" t="s">
        <v>36</v>
      </c>
      <c r="S563" s="3" t="s">
        <v>36</v>
      </c>
      <c r="T563" s="3" t="s">
        <v>3253</v>
      </c>
      <c r="U563" s="3" t="s">
        <v>38</v>
      </c>
      <c r="V563" s="3" t="s">
        <v>39</v>
      </c>
      <c r="W563" s="3" t="s">
        <v>3693</v>
      </c>
      <c r="X563" s="10" t="s">
        <v>2869</v>
      </c>
      <c r="Y563" s="6" t="s">
        <v>42</v>
      </c>
      <c r="Z563" s="4">
        <v>65.07</v>
      </c>
      <c r="AA563" s="4" t="s">
        <v>36</v>
      </c>
      <c r="AB563" s="3" t="s">
        <v>43</v>
      </c>
      <c r="AC563" s="3" t="s">
        <v>3694</v>
      </c>
      <c r="AD563" s="9">
        <v>45393</v>
      </c>
      <c r="AE563" s="3" t="s">
        <v>785</v>
      </c>
      <c r="AF563" s="3" t="s">
        <v>36</v>
      </c>
      <c r="AG563" s="3" t="s">
        <v>81</v>
      </c>
      <c r="AH563" s="11">
        <f>HYPERLINK("https://my.pitchbook.com?c=256637-35T","View Company Online")</f>
      </c>
    </row>
    <row r="564">
      <c r="A564" s="12" t="s">
        <v>3695</v>
      </c>
      <c r="B564" s="12" t="s">
        <v>3696</v>
      </c>
      <c r="C564" s="19" t="s">
        <v>36</v>
      </c>
      <c r="D564" s="19" t="s">
        <v>36</v>
      </c>
      <c r="E564" s="19" t="s">
        <v>36</v>
      </c>
      <c r="F564" s="19" t="s">
        <v>36</v>
      </c>
      <c r="G564" s="15" t="s">
        <v>36</v>
      </c>
      <c r="H564" s="14" t="s">
        <v>36</v>
      </c>
      <c r="I564" s="18" t="s">
        <v>36</v>
      </c>
      <c r="J564" s="12" t="s">
        <v>36</v>
      </c>
      <c r="K564" s="13" t="s">
        <v>36</v>
      </c>
      <c r="L564" s="15" t="s">
        <v>36</v>
      </c>
      <c r="M564" s="12" t="s">
        <v>36</v>
      </c>
      <c r="N564" s="12" t="s">
        <v>36</v>
      </c>
      <c r="O564" s="17" t="s">
        <v>36</v>
      </c>
      <c r="P564" s="12" t="s">
        <v>36</v>
      </c>
      <c r="Q564" s="12" t="s">
        <v>36</v>
      </c>
      <c r="R564" s="12" t="s">
        <v>36</v>
      </c>
      <c r="S564" s="12" t="s">
        <v>36</v>
      </c>
      <c r="T564" s="12" t="s">
        <v>3697</v>
      </c>
      <c r="U564" s="12" t="s">
        <v>74</v>
      </c>
      <c r="V564" s="12" t="s">
        <v>75</v>
      </c>
      <c r="W564" s="12" t="s">
        <v>3698</v>
      </c>
      <c r="X564" s="16" t="s">
        <v>3375</v>
      </c>
      <c r="Y564" s="15" t="s">
        <v>42</v>
      </c>
      <c r="Z564" s="14">
        <v>0.01</v>
      </c>
      <c r="AA564" s="14" t="s">
        <v>36</v>
      </c>
      <c r="AB564" s="12" t="s">
        <v>43</v>
      </c>
      <c r="AC564" s="12" t="s">
        <v>3699</v>
      </c>
      <c r="AD564" s="13">
        <v>45393</v>
      </c>
      <c r="AE564" s="12" t="s">
        <v>696</v>
      </c>
      <c r="AF564" s="12" t="s">
        <v>1926</v>
      </c>
      <c r="AG564" s="12" t="s">
        <v>81</v>
      </c>
      <c r="AH564" s="1">
        <f>HYPERLINK("https://my.pitchbook.com?c=265528-27T","View Company Online")</f>
      </c>
    </row>
    <row r="565">
      <c r="A565" s="3" t="s">
        <v>3700</v>
      </c>
      <c r="B565" s="3" t="s">
        <v>3701</v>
      </c>
      <c r="C565" s="5">
        <v>2</v>
      </c>
      <c r="D565" s="5">
        <v>3</v>
      </c>
      <c r="E565" s="5">
        <v>1</v>
      </c>
      <c r="F565" s="5">
        <v>5</v>
      </c>
      <c r="G565" s="6" t="s">
        <v>36</v>
      </c>
      <c r="H565" s="4" t="s">
        <v>36</v>
      </c>
      <c r="I565" s="7" t="s">
        <v>36</v>
      </c>
      <c r="J565" s="3" t="s">
        <v>36</v>
      </c>
      <c r="K565" s="9" t="s">
        <v>36</v>
      </c>
      <c r="L565" s="6" t="s">
        <v>36</v>
      </c>
      <c r="M565" s="3" t="s">
        <v>36</v>
      </c>
      <c r="N565" s="3" t="s">
        <v>36</v>
      </c>
      <c r="O565" s="8" t="s">
        <v>36</v>
      </c>
      <c r="P565" s="3" t="s">
        <v>36</v>
      </c>
      <c r="Q565" s="3" t="s">
        <v>36</v>
      </c>
      <c r="R565" s="3" t="s">
        <v>36</v>
      </c>
      <c r="S565" s="3" t="s">
        <v>36</v>
      </c>
      <c r="T565" s="3" t="s">
        <v>2992</v>
      </c>
      <c r="U565" s="3" t="s">
        <v>96</v>
      </c>
      <c r="V565" s="3" t="s">
        <v>52</v>
      </c>
      <c r="W565" s="3" t="s">
        <v>3702</v>
      </c>
      <c r="X565" s="10" t="s">
        <v>3703</v>
      </c>
      <c r="Y565" s="6" t="s">
        <v>55</v>
      </c>
      <c r="Z565" s="4">
        <v>4.34</v>
      </c>
      <c r="AA565" s="4" t="s">
        <v>36</v>
      </c>
      <c r="AB565" s="3" t="s">
        <v>56</v>
      </c>
      <c r="AC565" s="3" t="s">
        <v>3704</v>
      </c>
      <c r="AD565" s="9">
        <v>45392</v>
      </c>
      <c r="AE565" s="3" t="s">
        <v>100</v>
      </c>
      <c r="AF565" s="3" t="s">
        <v>36</v>
      </c>
      <c r="AG565" s="3" t="s">
        <v>3705</v>
      </c>
      <c r="AH565" s="11">
        <f>HYPERLINK("https://my.pitchbook.com?c=256763-80T","View Company Online")</f>
      </c>
    </row>
    <row r="566">
      <c r="A566" s="12" t="s">
        <v>3706</v>
      </c>
      <c r="B566" s="12" t="s">
        <v>3707</v>
      </c>
      <c r="C566" s="19" t="s">
        <v>36</v>
      </c>
      <c r="D566" s="19" t="s">
        <v>36</v>
      </c>
      <c r="E566" s="19" t="s">
        <v>36</v>
      </c>
      <c r="F566" s="19" t="s">
        <v>36</v>
      </c>
      <c r="G566" s="15" t="s">
        <v>36</v>
      </c>
      <c r="H566" s="14">
        <v>446.58</v>
      </c>
      <c r="I566" s="18">
        <v>24.8</v>
      </c>
      <c r="J566" s="12" t="s">
        <v>327</v>
      </c>
      <c r="K566" s="13" t="s">
        <v>36</v>
      </c>
      <c r="L566" s="15" t="s">
        <v>36</v>
      </c>
      <c r="M566" s="12" t="s">
        <v>36</v>
      </c>
      <c r="N566" s="12" t="s">
        <v>36</v>
      </c>
      <c r="O566" s="17" t="s">
        <v>36</v>
      </c>
      <c r="P566" s="12" t="s">
        <v>36</v>
      </c>
      <c r="Q566" s="12" t="s">
        <v>36</v>
      </c>
      <c r="R566" s="12" t="s">
        <v>36</v>
      </c>
      <c r="S566" s="12" t="s">
        <v>36</v>
      </c>
      <c r="T566" s="12" t="s">
        <v>3708</v>
      </c>
      <c r="U566" s="12" t="s">
        <v>1336</v>
      </c>
      <c r="V566" s="12" t="s">
        <v>367</v>
      </c>
      <c r="W566" s="12" t="s">
        <v>3709</v>
      </c>
      <c r="X566" s="16" t="s">
        <v>3710</v>
      </c>
      <c r="Y566" s="15" t="s">
        <v>42</v>
      </c>
      <c r="Z566" s="14">
        <v>1.68</v>
      </c>
      <c r="AA566" s="14">
        <v>6.78</v>
      </c>
      <c r="AB566" s="12" t="s">
        <v>43</v>
      </c>
      <c r="AC566" s="12" t="s">
        <v>3711</v>
      </c>
      <c r="AD566" s="13">
        <v>45392</v>
      </c>
      <c r="AE566" s="12" t="s">
        <v>3712</v>
      </c>
      <c r="AF566" s="12" t="s">
        <v>36</v>
      </c>
      <c r="AG566" s="12" t="s">
        <v>81</v>
      </c>
      <c r="AH566" s="1">
        <f>HYPERLINK("https://my.pitchbook.com?c=266231-08T","View Company Online")</f>
      </c>
    </row>
    <row r="567">
      <c r="A567" s="3" t="s">
        <v>3713</v>
      </c>
      <c r="B567" s="3" t="s">
        <v>3714</v>
      </c>
      <c r="C567" s="5" t="s">
        <v>36</v>
      </c>
      <c r="D567" s="5" t="s">
        <v>36</v>
      </c>
      <c r="E567" s="5" t="s">
        <v>36</v>
      </c>
      <c r="F567" s="5" t="s">
        <v>36</v>
      </c>
      <c r="G567" s="6" t="s">
        <v>326</v>
      </c>
      <c r="H567" s="4" t="s">
        <v>36</v>
      </c>
      <c r="I567" s="7">
        <v>37.5</v>
      </c>
      <c r="J567" s="3" t="s">
        <v>327</v>
      </c>
      <c r="K567" s="9" t="s">
        <v>36</v>
      </c>
      <c r="L567" s="6" t="s">
        <v>1279</v>
      </c>
      <c r="M567" s="3" t="s">
        <v>36</v>
      </c>
      <c r="N567" s="3" t="s">
        <v>1279</v>
      </c>
      <c r="O567" s="8" t="s">
        <v>36</v>
      </c>
      <c r="P567" s="3" t="s">
        <v>36</v>
      </c>
      <c r="Q567" s="3" t="s">
        <v>36</v>
      </c>
      <c r="R567" s="3" t="s">
        <v>36</v>
      </c>
      <c r="S567" s="3" t="s">
        <v>36</v>
      </c>
      <c r="T567" s="3" t="s">
        <v>3715</v>
      </c>
      <c r="U567" s="3" t="s">
        <v>318</v>
      </c>
      <c r="V567" s="3" t="s">
        <v>39</v>
      </c>
      <c r="W567" s="3" t="s">
        <v>3716</v>
      </c>
      <c r="X567" s="10" t="s">
        <v>3717</v>
      </c>
      <c r="Y567" s="6" t="s">
        <v>321</v>
      </c>
      <c r="Z567" s="4">
        <v>9.23</v>
      </c>
      <c r="AA567" s="4">
        <v>24.61</v>
      </c>
      <c r="AB567" s="3" t="s">
        <v>56</v>
      </c>
      <c r="AC567" s="3" t="s">
        <v>3718</v>
      </c>
      <c r="AD567" s="9">
        <v>45391</v>
      </c>
      <c r="AE567" s="3" t="s">
        <v>763</v>
      </c>
      <c r="AF567" s="3" t="s">
        <v>3719</v>
      </c>
      <c r="AG567" s="3" t="s">
        <v>186</v>
      </c>
      <c r="AH567" s="11">
        <f>HYPERLINK("https://my.pitchbook.com?c=256495-15T","View Company Online")</f>
      </c>
    </row>
    <row r="568">
      <c r="A568" s="12" t="s">
        <v>3720</v>
      </c>
      <c r="B568" s="12" t="s">
        <v>3721</v>
      </c>
      <c r="C568" s="19" t="s">
        <v>36</v>
      </c>
      <c r="D568" s="19">
        <v>19</v>
      </c>
      <c r="E568" s="19">
        <v>5</v>
      </c>
      <c r="F568" s="19">
        <v>20</v>
      </c>
      <c r="G568" s="15" t="s">
        <v>683</v>
      </c>
      <c r="H568" s="14" t="s">
        <v>36</v>
      </c>
      <c r="I568" s="18">
        <v>41.35</v>
      </c>
      <c r="J568" s="12" t="s">
        <v>327</v>
      </c>
      <c r="K568" s="13" t="s">
        <v>36</v>
      </c>
      <c r="L568" s="15" t="s">
        <v>122</v>
      </c>
      <c r="M568" s="12" t="s">
        <v>36</v>
      </c>
      <c r="N568" s="12" t="s">
        <v>122</v>
      </c>
      <c r="O568" s="17" t="s">
        <v>36</v>
      </c>
      <c r="P568" s="12" t="s">
        <v>36</v>
      </c>
      <c r="Q568" s="12" t="s">
        <v>36</v>
      </c>
      <c r="R568" s="12" t="s">
        <v>36</v>
      </c>
      <c r="S568" s="12" t="s">
        <v>36</v>
      </c>
      <c r="T568" s="12" t="s">
        <v>3722</v>
      </c>
      <c r="U568" s="12" t="s">
        <v>96</v>
      </c>
      <c r="V568" s="12" t="s">
        <v>52</v>
      </c>
      <c r="W568" s="12" t="s">
        <v>3723</v>
      </c>
      <c r="X568" s="16" t="s">
        <v>3724</v>
      </c>
      <c r="Y568" s="15" t="s">
        <v>108</v>
      </c>
      <c r="Z568" s="14">
        <v>8.25</v>
      </c>
      <c r="AA568" s="14">
        <v>19.94</v>
      </c>
      <c r="AB568" s="12" t="s">
        <v>56</v>
      </c>
      <c r="AC568" s="12" t="s">
        <v>3725</v>
      </c>
      <c r="AD568" s="13">
        <v>45387</v>
      </c>
      <c r="AE568" s="12" t="s">
        <v>100</v>
      </c>
      <c r="AF568" s="12" t="s">
        <v>3726</v>
      </c>
      <c r="AG568" s="12" t="s">
        <v>144</v>
      </c>
      <c r="AH568" s="1">
        <f>HYPERLINK("https://my.pitchbook.com?c=256446-46T","View Company Online")</f>
      </c>
    </row>
    <row r="569">
      <c r="A569" s="3" t="s">
        <v>3727</v>
      </c>
      <c r="B569" s="3" t="s">
        <v>3728</v>
      </c>
      <c r="C569" s="5">
        <v>3</v>
      </c>
      <c r="D569" s="5" t="s">
        <v>36</v>
      </c>
      <c r="E569" s="5">
        <v>1</v>
      </c>
      <c r="F569" s="5">
        <v>3</v>
      </c>
      <c r="G569" s="6" t="s">
        <v>36</v>
      </c>
      <c r="H569" s="4" t="s">
        <v>36</v>
      </c>
      <c r="I569" s="7" t="s">
        <v>36</v>
      </c>
      <c r="J569" s="3" t="s">
        <v>36</v>
      </c>
      <c r="K569" s="9" t="s">
        <v>36</v>
      </c>
      <c r="L569" s="6" t="s">
        <v>122</v>
      </c>
      <c r="M569" s="3" t="s">
        <v>36</v>
      </c>
      <c r="N569" s="3" t="s">
        <v>122</v>
      </c>
      <c r="O569" s="8" t="s">
        <v>36</v>
      </c>
      <c r="P569" s="3" t="s">
        <v>36</v>
      </c>
      <c r="Q569" s="3" t="s">
        <v>36</v>
      </c>
      <c r="R569" s="3" t="s">
        <v>36</v>
      </c>
      <c r="S569" s="3" t="s">
        <v>36</v>
      </c>
      <c r="T569" s="3" t="s">
        <v>3729</v>
      </c>
      <c r="U569" s="3" t="s">
        <v>219</v>
      </c>
      <c r="V569" s="3" t="s">
        <v>75</v>
      </c>
      <c r="W569" s="3" t="s">
        <v>3730</v>
      </c>
      <c r="X569" s="10" t="s">
        <v>3731</v>
      </c>
      <c r="Y569" s="6" t="s">
        <v>108</v>
      </c>
      <c r="Z569" s="4">
        <v>7.71</v>
      </c>
      <c r="AA569" s="4" t="s">
        <v>36</v>
      </c>
      <c r="AB569" s="3" t="s">
        <v>43</v>
      </c>
      <c r="AC569" s="3" t="s">
        <v>3732</v>
      </c>
      <c r="AD569" s="9">
        <v>45387</v>
      </c>
      <c r="AE569" s="3" t="s">
        <v>1032</v>
      </c>
      <c r="AF569" s="3" t="s">
        <v>571</v>
      </c>
      <c r="AG569" s="3" t="s">
        <v>3733</v>
      </c>
      <c r="AH569" s="11">
        <f>HYPERLINK("https://my.pitchbook.com?c=257768-74T","View Company Online")</f>
      </c>
    </row>
    <row r="570">
      <c r="A570" s="12" t="s">
        <v>3734</v>
      </c>
      <c r="B570" s="12" t="s">
        <v>3735</v>
      </c>
      <c r="C570" s="19" t="s">
        <v>36</v>
      </c>
      <c r="D570" s="19" t="s">
        <v>36</v>
      </c>
      <c r="E570" s="19" t="s">
        <v>36</v>
      </c>
      <c r="F570" s="19" t="s">
        <v>36</v>
      </c>
      <c r="G570" s="15" t="s">
        <v>326</v>
      </c>
      <c r="H570" s="14" t="s">
        <v>36</v>
      </c>
      <c r="I570" s="18">
        <v>9.9</v>
      </c>
      <c r="J570" s="12" t="s">
        <v>327</v>
      </c>
      <c r="K570" s="13" t="s">
        <v>36</v>
      </c>
      <c r="L570" s="15" t="s">
        <v>3736</v>
      </c>
      <c r="M570" s="12" t="s">
        <v>36</v>
      </c>
      <c r="N570" s="12" t="s">
        <v>3736</v>
      </c>
      <c r="O570" s="17" t="s">
        <v>36</v>
      </c>
      <c r="P570" s="12" t="s">
        <v>36</v>
      </c>
      <c r="Q570" s="12" t="s">
        <v>36</v>
      </c>
      <c r="R570" s="12" t="s">
        <v>36</v>
      </c>
      <c r="S570" s="12" t="s">
        <v>36</v>
      </c>
      <c r="T570" s="12" t="s">
        <v>522</v>
      </c>
      <c r="U570" s="12" t="s">
        <v>38</v>
      </c>
      <c r="V570" s="12" t="s">
        <v>39</v>
      </c>
      <c r="W570" s="12" t="s">
        <v>3737</v>
      </c>
      <c r="X570" s="16" t="s">
        <v>3738</v>
      </c>
      <c r="Y570" s="15" t="s">
        <v>321</v>
      </c>
      <c r="Z570" s="14">
        <v>145.02</v>
      </c>
      <c r="AA570" s="14">
        <v>1464.16</v>
      </c>
      <c r="AB570" s="12" t="s">
        <v>56</v>
      </c>
      <c r="AC570" s="12" t="s">
        <v>3739</v>
      </c>
      <c r="AD570" s="13">
        <v>45386</v>
      </c>
      <c r="AE570" s="12" t="s">
        <v>110</v>
      </c>
      <c r="AF570" s="12" t="s">
        <v>3740</v>
      </c>
      <c r="AG570" s="12" t="s">
        <v>81</v>
      </c>
      <c r="AH570" s="1">
        <f>HYPERLINK("https://my.pitchbook.com?c=256173-85T","View Company Online")</f>
      </c>
    </row>
    <row r="571">
      <c r="A571" s="3" t="s">
        <v>3741</v>
      </c>
      <c r="B571" s="3" t="s">
        <v>3742</v>
      </c>
      <c r="C571" s="5">
        <v>2</v>
      </c>
      <c r="D571" s="5">
        <v>2</v>
      </c>
      <c r="E571" s="5">
        <v>1</v>
      </c>
      <c r="F571" s="5">
        <v>4</v>
      </c>
      <c r="G571" s="6" t="s">
        <v>36</v>
      </c>
      <c r="H571" s="4" t="s">
        <v>36</v>
      </c>
      <c r="I571" s="7" t="s">
        <v>36</v>
      </c>
      <c r="J571" s="3" t="s">
        <v>36</v>
      </c>
      <c r="K571" s="9" t="s">
        <v>36</v>
      </c>
      <c r="L571" s="6" t="s">
        <v>94</v>
      </c>
      <c r="M571" s="3" t="s">
        <v>36</v>
      </c>
      <c r="N571" s="3" t="s">
        <v>94</v>
      </c>
      <c r="O571" s="8" t="s">
        <v>36</v>
      </c>
      <c r="P571" s="3" t="s">
        <v>36</v>
      </c>
      <c r="Q571" s="3" t="s">
        <v>36</v>
      </c>
      <c r="R571" s="3" t="s">
        <v>36</v>
      </c>
      <c r="S571" s="3" t="s">
        <v>36</v>
      </c>
      <c r="T571" s="3" t="s">
        <v>105</v>
      </c>
      <c r="U571" s="3" t="s">
        <v>38</v>
      </c>
      <c r="V571" s="3" t="s">
        <v>39</v>
      </c>
      <c r="W571" s="3" t="s">
        <v>3743</v>
      </c>
      <c r="X571" s="10" t="s">
        <v>3744</v>
      </c>
      <c r="Y571" s="6" t="s">
        <v>192</v>
      </c>
      <c r="Z571" s="4">
        <v>16.3</v>
      </c>
      <c r="AA571" s="4" t="s">
        <v>36</v>
      </c>
      <c r="AB571" s="3" t="s">
        <v>56</v>
      </c>
      <c r="AC571" s="3" t="s">
        <v>3745</v>
      </c>
      <c r="AD571" s="9">
        <v>45385</v>
      </c>
      <c r="AE571" s="3" t="s">
        <v>110</v>
      </c>
      <c r="AF571" s="3" t="s">
        <v>1842</v>
      </c>
      <c r="AG571" s="3" t="s">
        <v>47</v>
      </c>
      <c r="AH571" s="11">
        <f>HYPERLINK("https://my.pitchbook.com?c=256029-85T","View Company Online")</f>
      </c>
    </row>
    <row r="572">
      <c r="A572" s="12" t="s">
        <v>3746</v>
      </c>
      <c r="B572" s="12" t="s">
        <v>3747</v>
      </c>
      <c r="C572" s="19" t="s">
        <v>36</v>
      </c>
      <c r="D572" s="19" t="s">
        <v>36</v>
      </c>
      <c r="E572" s="19" t="s">
        <v>36</v>
      </c>
      <c r="F572" s="19" t="s">
        <v>36</v>
      </c>
      <c r="G572" s="15" t="s">
        <v>36</v>
      </c>
      <c r="H572" s="14" t="s">
        <v>36</v>
      </c>
      <c r="I572" s="18" t="s">
        <v>36</v>
      </c>
      <c r="J572" s="12" t="s">
        <v>36</v>
      </c>
      <c r="K572" s="13" t="s">
        <v>36</v>
      </c>
      <c r="L572" s="15" t="s">
        <v>122</v>
      </c>
      <c r="M572" s="12" t="s">
        <v>36</v>
      </c>
      <c r="N572" s="12" t="s">
        <v>122</v>
      </c>
      <c r="O572" s="17" t="s">
        <v>36</v>
      </c>
      <c r="P572" s="12" t="s">
        <v>36</v>
      </c>
      <c r="Q572" s="12" t="s">
        <v>36</v>
      </c>
      <c r="R572" s="12" t="s">
        <v>36</v>
      </c>
      <c r="S572" s="12" t="s">
        <v>36</v>
      </c>
      <c r="T572" s="12" t="s">
        <v>3748</v>
      </c>
      <c r="U572" s="12" t="s">
        <v>74</v>
      </c>
      <c r="V572" s="12" t="s">
        <v>75</v>
      </c>
      <c r="W572" s="12" t="s">
        <v>3749</v>
      </c>
      <c r="X572" s="16" t="s">
        <v>3750</v>
      </c>
      <c r="Y572" s="15" t="s">
        <v>55</v>
      </c>
      <c r="Z572" s="14">
        <v>10</v>
      </c>
      <c r="AA572" s="14" t="s">
        <v>36</v>
      </c>
      <c r="AB572" s="12" t="s">
        <v>56</v>
      </c>
      <c r="AC572" s="12" t="s">
        <v>3751</v>
      </c>
      <c r="AD572" s="13">
        <v>45385</v>
      </c>
      <c r="AE572" s="12" t="s">
        <v>570</v>
      </c>
      <c r="AF572" s="12" t="s">
        <v>1257</v>
      </c>
      <c r="AG572" s="12" t="s">
        <v>81</v>
      </c>
      <c r="AH572" s="1">
        <f>HYPERLINK("https://my.pitchbook.com?c=256044-61T","View Company Online")</f>
      </c>
    </row>
    <row r="573">
      <c r="A573" s="3" t="s">
        <v>3752</v>
      </c>
      <c r="B573" s="3" t="s">
        <v>3753</v>
      </c>
      <c r="C573" s="5" t="s">
        <v>36</v>
      </c>
      <c r="D573" s="5" t="s">
        <v>36</v>
      </c>
      <c r="E573" s="5" t="s">
        <v>36</v>
      </c>
      <c r="F573" s="5" t="s">
        <v>36</v>
      </c>
      <c r="G573" s="6" t="s">
        <v>36</v>
      </c>
      <c r="H573" s="4" t="s">
        <v>36</v>
      </c>
      <c r="I573" s="7">
        <v>21.05</v>
      </c>
      <c r="J573" s="3" t="s">
        <v>327</v>
      </c>
      <c r="K573" s="9" t="s">
        <v>36</v>
      </c>
      <c r="L573" s="6" t="s">
        <v>36</v>
      </c>
      <c r="M573" s="3" t="s">
        <v>36</v>
      </c>
      <c r="N573" s="3" t="s">
        <v>36</v>
      </c>
      <c r="O573" s="8" t="s">
        <v>36</v>
      </c>
      <c r="P573" s="3" t="s">
        <v>36</v>
      </c>
      <c r="Q573" s="3" t="s">
        <v>36</v>
      </c>
      <c r="R573" s="3" t="s">
        <v>36</v>
      </c>
      <c r="S573" s="3" t="s">
        <v>36</v>
      </c>
      <c r="T573" s="3" t="s">
        <v>3754</v>
      </c>
      <c r="U573" s="3" t="s">
        <v>1357</v>
      </c>
      <c r="V573" s="3" t="s">
        <v>52</v>
      </c>
      <c r="W573" s="3" t="s">
        <v>3755</v>
      </c>
      <c r="X573" s="10" t="s">
        <v>3756</v>
      </c>
      <c r="Y573" s="6" t="s">
        <v>42</v>
      </c>
      <c r="Z573" s="4">
        <v>3.8</v>
      </c>
      <c r="AA573" s="4">
        <v>18.07</v>
      </c>
      <c r="AB573" s="3" t="s">
        <v>43</v>
      </c>
      <c r="AC573" s="3" t="s">
        <v>3757</v>
      </c>
      <c r="AD573" s="9">
        <v>45385</v>
      </c>
      <c r="AE573" s="3" t="s">
        <v>3204</v>
      </c>
      <c r="AF573" s="3" t="s">
        <v>101</v>
      </c>
      <c r="AG573" s="3" t="s">
        <v>81</v>
      </c>
      <c r="AH573" s="11">
        <f>HYPERLINK("https://my.pitchbook.com?c=256070-44T","View Company Online")</f>
      </c>
    </row>
    <row r="574">
      <c r="A574" s="12" t="s">
        <v>3758</v>
      </c>
      <c r="B574" s="12" t="s">
        <v>3759</v>
      </c>
      <c r="C574" s="19" t="s">
        <v>36</v>
      </c>
      <c r="D574" s="19" t="s">
        <v>36</v>
      </c>
      <c r="E574" s="19" t="s">
        <v>36</v>
      </c>
      <c r="F574" s="19" t="s">
        <v>36</v>
      </c>
      <c r="G574" s="15" t="s">
        <v>36</v>
      </c>
      <c r="H574" s="14" t="s">
        <v>36</v>
      </c>
      <c r="I574" s="18">
        <v>25</v>
      </c>
      <c r="J574" s="12" t="s">
        <v>521</v>
      </c>
      <c r="K574" s="13">
        <v>45350</v>
      </c>
      <c r="L574" s="15" t="s">
        <v>36</v>
      </c>
      <c r="M574" s="12" t="s">
        <v>36</v>
      </c>
      <c r="N574" s="12" t="s">
        <v>36</v>
      </c>
      <c r="O574" s="17" t="s">
        <v>36</v>
      </c>
      <c r="P574" s="12" t="s">
        <v>36</v>
      </c>
      <c r="Q574" s="12" t="s">
        <v>36</v>
      </c>
      <c r="R574" s="12" t="s">
        <v>36</v>
      </c>
      <c r="S574" s="12" t="s">
        <v>36</v>
      </c>
      <c r="T574" s="12" t="s">
        <v>768</v>
      </c>
      <c r="U574" s="12" t="s">
        <v>233</v>
      </c>
      <c r="V574" s="12" t="s">
        <v>39</v>
      </c>
      <c r="W574" s="12" t="s">
        <v>3760</v>
      </c>
      <c r="X574" s="16" t="s">
        <v>3098</v>
      </c>
      <c r="Y574" s="15" t="s">
        <v>55</v>
      </c>
      <c r="Z574" s="14">
        <v>3.8</v>
      </c>
      <c r="AA574" s="14">
        <v>15.22</v>
      </c>
      <c r="AB574" s="12" t="s">
        <v>56</v>
      </c>
      <c r="AC574" s="12" t="s">
        <v>3761</v>
      </c>
      <c r="AD574" s="13">
        <v>45384</v>
      </c>
      <c r="AE574" s="12" t="s">
        <v>236</v>
      </c>
      <c r="AF574" s="12" t="s">
        <v>3762</v>
      </c>
      <c r="AG574" s="12" t="s">
        <v>1078</v>
      </c>
      <c r="AH574" s="1">
        <f>HYPERLINK("https://my.pitchbook.com?c=256001-68T","View Company Online")</f>
      </c>
    </row>
    <row r="575">
      <c r="A575" s="3" t="s">
        <v>3763</v>
      </c>
      <c r="B575" s="3" t="s">
        <v>860</v>
      </c>
      <c r="C575" s="5" t="s">
        <v>36</v>
      </c>
      <c r="D575" s="5" t="s">
        <v>36</v>
      </c>
      <c r="E575" s="5" t="s">
        <v>36</v>
      </c>
      <c r="F575" s="5" t="s">
        <v>36</v>
      </c>
      <c r="G575" s="6" t="s">
        <v>36</v>
      </c>
      <c r="H575" s="4" t="s">
        <v>36</v>
      </c>
      <c r="I575" s="7" t="s">
        <v>36</v>
      </c>
      <c r="J575" s="3" t="s">
        <v>36</v>
      </c>
      <c r="K575" s="9">
        <v>45235</v>
      </c>
      <c r="L575" s="6" t="s">
        <v>36</v>
      </c>
      <c r="M575" s="3" t="s">
        <v>36</v>
      </c>
      <c r="N575" s="3" t="s">
        <v>36</v>
      </c>
      <c r="O575" s="8" t="s">
        <v>36</v>
      </c>
      <c r="P575" s="3" t="s">
        <v>36</v>
      </c>
      <c r="Q575" s="3" t="s">
        <v>36</v>
      </c>
      <c r="R575" s="3" t="s">
        <v>36</v>
      </c>
      <c r="S575" s="3" t="s">
        <v>36</v>
      </c>
      <c r="T575" s="3" t="s">
        <v>861</v>
      </c>
      <c r="U575" s="3" t="s">
        <v>51</v>
      </c>
      <c r="V575" s="3" t="s">
        <v>52</v>
      </c>
      <c r="W575" s="3" t="s">
        <v>862</v>
      </c>
      <c r="X575" s="10" t="s">
        <v>3464</v>
      </c>
      <c r="Y575" s="6" t="s">
        <v>108</v>
      </c>
      <c r="Z575" s="4">
        <v>1.5</v>
      </c>
      <c r="AA575" s="4" t="s">
        <v>36</v>
      </c>
      <c r="AB575" s="3" t="s">
        <v>56</v>
      </c>
      <c r="AC575" s="3" t="s">
        <v>864</v>
      </c>
      <c r="AD575" s="9">
        <v>45383</v>
      </c>
      <c r="AE575" s="3" t="s">
        <v>158</v>
      </c>
      <c r="AF575" s="3" t="s">
        <v>865</v>
      </c>
      <c r="AG575" s="3" t="s">
        <v>144</v>
      </c>
      <c r="AH575" s="11">
        <f>HYPERLINK("https://my.pitchbook.com?c=245415-88T","View Company Online")</f>
      </c>
    </row>
    <row r="576">
      <c r="A576" s="12" t="s">
        <v>3764</v>
      </c>
      <c r="B576" s="12" t="s">
        <v>3765</v>
      </c>
      <c r="C576" s="19" t="s">
        <v>36</v>
      </c>
      <c r="D576" s="19" t="s">
        <v>36</v>
      </c>
      <c r="E576" s="19" t="s">
        <v>36</v>
      </c>
      <c r="F576" s="19" t="s">
        <v>36</v>
      </c>
      <c r="G576" s="15" t="s">
        <v>36</v>
      </c>
      <c r="H576" s="14" t="s">
        <v>36</v>
      </c>
      <c r="I576" s="18" t="s">
        <v>36</v>
      </c>
      <c r="J576" s="12" t="s">
        <v>36</v>
      </c>
      <c r="K576" s="13" t="s">
        <v>36</v>
      </c>
      <c r="L576" s="15" t="s">
        <v>36</v>
      </c>
      <c r="M576" s="12" t="s">
        <v>36</v>
      </c>
      <c r="N576" s="12" t="s">
        <v>36</v>
      </c>
      <c r="O576" s="17" t="s">
        <v>36</v>
      </c>
      <c r="P576" s="12" t="s">
        <v>36</v>
      </c>
      <c r="Q576" s="12" t="s">
        <v>36</v>
      </c>
      <c r="R576" s="12" t="s">
        <v>36</v>
      </c>
      <c r="S576" s="12" t="s">
        <v>36</v>
      </c>
      <c r="T576" s="12" t="s">
        <v>3766</v>
      </c>
      <c r="U576" s="12" t="s">
        <v>38</v>
      </c>
      <c r="V576" s="12" t="s">
        <v>39</v>
      </c>
      <c r="W576" s="12" t="s">
        <v>3767</v>
      </c>
      <c r="X576" s="16" t="s">
        <v>221</v>
      </c>
      <c r="Y576" s="15" t="s">
        <v>42</v>
      </c>
      <c r="Z576" s="14" t="s">
        <v>36</v>
      </c>
      <c r="AA576" s="14" t="s">
        <v>36</v>
      </c>
      <c r="AB576" s="12" t="s">
        <v>43</v>
      </c>
      <c r="AC576" s="12" t="s">
        <v>3768</v>
      </c>
      <c r="AD576" s="13">
        <v>45383</v>
      </c>
      <c r="AE576" s="12" t="s">
        <v>688</v>
      </c>
      <c r="AF576" s="12" t="s">
        <v>1380</v>
      </c>
      <c r="AG576" s="12" t="s">
        <v>81</v>
      </c>
      <c r="AH576" s="1">
        <f>HYPERLINK("https://my.pitchbook.com?c=257243-68T","View Company Online")</f>
      </c>
    </row>
    <row r="577">
      <c r="A577" s="3" t="s">
        <v>3769</v>
      </c>
      <c r="B577" s="3" t="s">
        <v>3770</v>
      </c>
      <c r="C577" s="5" t="s">
        <v>36</v>
      </c>
      <c r="D577" s="5" t="s">
        <v>36</v>
      </c>
      <c r="E577" s="5" t="s">
        <v>36</v>
      </c>
      <c r="F577" s="5" t="s">
        <v>36</v>
      </c>
      <c r="G577" s="6" t="s">
        <v>36</v>
      </c>
      <c r="H577" s="4" t="s">
        <v>36</v>
      </c>
      <c r="I577" s="7" t="s">
        <v>36</v>
      </c>
      <c r="J577" s="3" t="s">
        <v>36</v>
      </c>
      <c r="K577" s="9" t="s">
        <v>36</v>
      </c>
      <c r="L577" s="6" t="s">
        <v>36</v>
      </c>
      <c r="M577" s="3" t="s">
        <v>36</v>
      </c>
      <c r="N577" s="3" t="s">
        <v>36</v>
      </c>
      <c r="O577" s="8" t="s">
        <v>36</v>
      </c>
      <c r="P577" s="3" t="s">
        <v>36</v>
      </c>
      <c r="Q577" s="3" t="s">
        <v>36</v>
      </c>
      <c r="R577" s="3" t="s">
        <v>36</v>
      </c>
      <c r="S577" s="3" t="s">
        <v>36</v>
      </c>
      <c r="T577" s="3" t="s">
        <v>422</v>
      </c>
      <c r="U577" s="3" t="s">
        <v>423</v>
      </c>
      <c r="V577" s="3" t="s">
        <v>64</v>
      </c>
      <c r="W577" s="3" t="s">
        <v>3771</v>
      </c>
      <c r="X577" s="10" t="s">
        <v>3772</v>
      </c>
      <c r="Y577" s="6" t="s">
        <v>42</v>
      </c>
      <c r="Z577" s="4" t="s">
        <v>36</v>
      </c>
      <c r="AA577" s="4" t="s">
        <v>36</v>
      </c>
      <c r="AB577" s="3" t="s">
        <v>56</v>
      </c>
      <c r="AC577" s="3" t="s">
        <v>3773</v>
      </c>
      <c r="AD577" s="9">
        <v>45383</v>
      </c>
      <c r="AE577" s="3" t="s">
        <v>427</v>
      </c>
      <c r="AF577" s="3" t="s">
        <v>571</v>
      </c>
      <c r="AG577" s="3" t="s">
        <v>3774</v>
      </c>
      <c r="AH577" s="11">
        <f>HYPERLINK("https://my.pitchbook.com?c=257305-15T","View Company Online")</f>
      </c>
    </row>
    <row r="578">
      <c r="A578" s="12" t="s">
        <v>3775</v>
      </c>
      <c r="B578" s="12" t="s">
        <v>3776</v>
      </c>
      <c r="C578" s="19" t="s">
        <v>36</v>
      </c>
      <c r="D578" s="19" t="s">
        <v>36</v>
      </c>
      <c r="E578" s="19" t="s">
        <v>36</v>
      </c>
      <c r="F578" s="19" t="s">
        <v>36</v>
      </c>
      <c r="G578" s="15" t="s">
        <v>36</v>
      </c>
      <c r="H578" s="14" t="s">
        <v>36</v>
      </c>
      <c r="I578" s="18" t="s">
        <v>36</v>
      </c>
      <c r="J578" s="12" t="s">
        <v>36</v>
      </c>
      <c r="K578" s="13" t="s">
        <v>36</v>
      </c>
      <c r="L578" s="15" t="s">
        <v>36</v>
      </c>
      <c r="M578" s="12" t="s">
        <v>36</v>
      </c>
      <c r="N578" s="12" t="s">
        <v>36</v>
      </c>
      <c r="O578" s="17" t="s">
        <v>36</v>
      </c>
      <c r="P578" s="12" t="s">
        <v>36</v>
      </c>
      <c r="Q578" s="12" t="s">
        <v>36</v>
      </c>
      <c r="R578" s="12" t="s">
        <v>36</v>
      </c>
      <c r="S578" s="12" t="s">
        <v>36</v>
      </c>
      <c r="T578" s="12" t="s">
        <v>3777</v>
      </c>
      <c r="U578" s="12" t="s">
        <v>728</v>
      </c>
      <c r="V578" s="12" t="s">
        <v>64</v>
      </c>
      <c r="W578" s="12" t="s">
        <v>3778</v>
      </c>
      <c r="X578" s="16" t="s">
        <v>3779</v>
      </c>
      <c r="Y578" s="15" t="s">
        <v>42</v>
      </c>
      <c r="Z578" s="14" t="s">
        <v>36</v>
      </c>
      <c r="AA578" s="14" t="s">
        <v>36</v>
      </c>
      <c r="AB578" s="12" t="s">
        <v>56</v>
      </c>
      <c r="AC578" s="12" t="s">
        <v>3780</v>
      </c>
      <c r="AD578" s="13">
        <v>45383</v>
      </c>
      <c r="AE578" s="12" t="s">
        <v>2154</v>
      </c>
      <c r="AF578" s="12" t="s">
        <v>36</v>
      </c>
      <c r="AG578" s="12" t="s">
        <v>81</v>
      </c>
      <c r="AH578" s="1">
        <f>HYPERLINK("https://my.pitchbook.com?c=256843-00T","View Company Online")</f>
      </c>
    </row>
    <row r="579">
      <c r="A579" s="3" t="s">
        <v>3781</v>
      </c>
      <c r="B579" s="3" t="s">
        <v>3782</v>
      </c>
      <c r="C579" s="5" t="s">
        <v>36</v>
      </c>
      <c r="D579" s="5" t="s">
        <v>36</v>
      </c>
      <c r="E579" s="5" t="s">
        <v>36</v>
      </c>
      <c r="F579" s="5" t="s">
        <v>36</v>
      </c>
      <c r="G579" s="6" t="s">
        <v>36</v>
      </c>
      <c r="H579" s="4" t="s">
        <v>36</v>
      </c>
      <c r="I579" s="7" t="s">
        <v>36</v>
      </c>
      <c r="J579" s="3" t="s">
        <v>36</v>
      </c>
      <c r="K579" s="9" t="s">
        <v>36</v>
      </c>
      <c r="L579" s="6" t="s">
        <v>36</v>
      </c>
      <c r="M579" s="3" t="s">
        <v>36</v>
      </c>
      <c r="N579" s="3" t="s">
        <v>36</v>
      </c>
      <c r="O579" s="8" t="s">
        <v>36</v>
      </c>
      <c r="P579" s="3" t="s">
        <v>36</v>
      </c>
      <c r="Q579" s="3" t="s">
        <v>36</v>
      </c>
      <c r="R579" s="3" t="s">
        <v>36</v>
      </c>
      <c r="S579" s="3" t="s">
        <v>36</v>
      </c>
      <c r="T579" s="3" t="s">
        <v>1125</v>
      </c>
      <c r="U579" s="3" t="s">
        <v>74</v>
      </c>
      <c r="V579" s="3" t="s">
        <v>75</v>
      </c>
      <c r="W579" s="3" t="s">
        <v>3783</v>
      </c>
      <c r="X579" s="10" t="s">
        <v>640</v>
      </c>
      <c r="Y579" s="6" t="s">
        <v>108</v>
      </c>
      <c r="Z579" s="4" t="s">
        <v>36</v>
      </c>
      <c r="AA579" s="4" t="s">
        <v>36</v>
      </c>
      <c r="AB579" s="3" t="s">
        <v>56</v>
      </c>
      <c r="AC579" s="3" t="s">
        <v>3784</v>
      </c>
      <c r="AD579" s="9">
        <v>45383</v>
      </c>
      <c r="AE579" s="3" t="s">
        <v>975</v>
      </c>
      <c r="AF579" s="3" t="s">
        <v>3785</v>
      </c>
      <c r="AG579" s="3" t="s">
        <v>186</v>
      </c>
      <c r="AH579" s="11">
        <f>HYPERLINK("https://my.pitchbook.com?c=257314-87T","View Company Online")</f>
      </c>
    </row>
    <row r="580">
      <c r="A580" s="12" t="s">
        <v>3786</v>
      </c>
      <c r="B580" s="12" t="s">
        <v>1117</v>
      </c>
      <c r="C580" s="19" t="s">
        <v>36</v>
      </c>
      <c r="D580" s="19" t="s">
        <v>36</v>
      </c>
      <c r="E580" s="19" t="s">
        <v>36</v>
      </c>
      <c r="F580" s="19" t="s">
        <v>36</v>
      </c>
      <c r="G580" s="15" t="s">
        <v>36</v>
      </c>
      <c r="H580" s="14" t="s">
        <v>36</v>
      </c>
      <c r="I580" s="18" t="s">
        <v>36</v>
      </c>
      <c r="J580" s="12" t="s">
        <v>36</v>
      </c>
      <c r="K580" s="13" t="s">
        <v>36</v>
      </c>
      <c r="L580" s="15" t="s">
        <v>36</v>
      </c>
      <c r="M580" s="12" t="s">
        <v>36</v>
      </c>
      <c r="N580" s="12" t="s">
        <v>36</v>
      </c>
      <c r="O580" s="17" t="s">
        <v>36</v>
      </c>
      <c r="P580" s="12" t="s">
        <v>36</v>
      </c>
      <c r="Q580" s="12" t="s">
        <v>36</v>
      </c>
      <c r="R580" s="12" t="s">
        <v>36</v>
      </c>
      <c r="S580" s="12" t="s">
        <v>36</v>
      </c>
      <c r="T580" s="12" t="s">
        <v>522</v>
      </c>
      <c r="U580" s="12" t="s">
        <v>38</v>
      </c>
      <c r="V580" s="12" t="s">
        <v>39</v>
      </c>
      <c r="W580" s="12" t="s">
        <v>1118</v>
      </c>
      <c r="X580" s="16" t="s">
        <v>3787</v>
      </c>
      <c r="Y580" s="15" t="s">
        <v>1067</v>
      </c>
      <c r="Z580" s="14" t="s">
        <v>36</v>
      </c>
      <c r="AA580" s="14" t="s">
        <v>36</v>
      </c>
      <c r="AB580" s="12" t="s">
        <v>56</v>
      </c>
      <c r="AC580" s="12" t="s">
        <v>1121</v>
      </c>
      <c r="AD580" s="13">
        <v>45383</v>
      </c>
      <c r="AE580" s="12" t="s">
        <v>110</v>
      </c>
      <c r="AF580" s="12" t="s">
        <v>1122</v>
      </c>
      <c r="AG580" s="12" t="s">
        <v>81</v>
      </c>
      <c r="AH580" s="1">
        <f>HYPERLINK("https://my.pitchbook.com?c=257632-93T","View Company Online")</f>
      </c>
    </row>
    <row r="581">
      <c r="A581" s="3" t="s">
        <v>3788</v>
      </c>
      <c r="B581" s="3" t="s">
        <v>3789</v>
      </c>
      <c r="C581" s="5" t="s">
        <v>36</v>
      </c>
      <c r="D581" s="5" t="s">
        <v>36</v>
      </c>
      <c r="E581" s="5" t="s">
        <v>36</v>
      </c>
      <c r="F581" s="5" t="s">
        <v>36</v>
      </c>
      <c r="G581" s="6" t="s">
        <v>36</v>
      </c>
      <c r="H581" s="4" t="s">
        <v>36</v>
      </c>
      <c r="I581" s="7" t="s">
        <v>36</v>
      </c>
      <c r="J581" s="3" t="s">
        <v>36</v>
      </c>
      <c r="K581" s="9" t="s">
        <v>36</v>
      </c>
      <c r="L581" s="6" t="s">
        <v>36</v>
      </c>
      <c r="M581" s="3" t="s">
        <v>36</v>
      </c>
      <c r="N581" s="3" t="s">
        <v>36</v>
      </c>
      <c r="O581" s="8" t="s">
        <v>36</v>
      </c>
      <c r="P581" s="3" t="s">
        <v>36</v>
      </c>
      <c r="Q581" s="3" t="s">
        <v>36</v>
      </c>
      <c r="R581" s="3" t="s">
        <v>36</v>
      </c>
      <c r="S581" s="3" t="s">
        <v>36</v>
      </c>
      <c r="T581" s="3" t="s">
        <v>3790</v>
      </c>
      <c r="U581" s="3" t="s">
        <v>318</v>
      </c>
      <c r="V581" s="3" t="s">
        <v>39</v>
      </c>
      <c r="W581" s="3" t="s">
        <v>3791</v>
      </c>
      <c r="X581" s="10" t="s">
        <v>730</v>
      </c>
      <c r="Y581" s="6" t="s">
        <v>42</v>
      </c>
      <c r="Z581" s="4" t="s">
        <v>36</v>
      </c>
      <c r="AA581" s="4" t="s">
        <v>36</v>
      </c>
      <c r="AB581" s="3" t="s">
        <v>56</v>
      </c>
      <c r="AC581" s="3" t="s">
        <v>3792</v>
      </c>
      <c r="AD581" s="9">
        <v>45383</v>
      </c>
      <c r="AE581" s="3" t="s">
        <v>763</v>
      </c>
      <c r="AF581" s="3" t="s">
        <v>3793</v>
      </c>
      <c r="AG581" s="3" t="s">
        <v>3794</v>
      </c>
      <c r="AH581" s="11">
        <f>HYPERLINK("https://my.pitchbook.com?c=256775-41T","View Company Online")</f>
      </c>
    </row>
    <row r="582">
      <c r="A582" s="12" t="s">
        <v>3795</v>
      </c>
      <c r="B582" s="12" t="s">
        <v>3796</v>
      </c>
      <c r="C582" s="19" t="s">
        <v>36</v>
      </c>
      <c r="D582" s="19" t="s">
        <v>36</v>
      </c>
      <c r="E582" s="19" t="s">
        <v>36</v>
      </c>
      <c r="F582" s="19" t="s">
        <v>36</v>
      </c>
      <c r="G582" s="15" t="s">
        <v>36</v>
      </c>
      <c r="H582" s="14" t="s">
        <v>36</v>
      </c>
      <c r="I582" s="18" t="s">
        <v>36</v>
      </c>
      <c r="J582" s="12" t="s">
        <v>36</v>
      </c>
      <c r="K582" s="13" t="s">
        <v>36</v>
      </c>
      <c r="L582" s="15" t="s">
        <v>36</v>
      </c>
      <c r="M582" s="12" t="s">
        <v>36</v>
      </c>
      <c r="N582" s="12" t="s">
        <v>36</v>
      </c>
      <c r="O582" s="17" t="s">
        <v>36</v>
      </c>
      <c r="P582" s="12" t="s">
        <v>36</v>
      </c>
      <c r="Q582" s="12" t="s">
        <v>36</v>
      </c>
      <c r="R582" s="12" t="s">
        <v>36</v>
      </c>
      <c r="S582" s="12" t="s">
        <v>36</v>
      </c>
      <c r="T582" s="12" t="s">
        <v>3270</v>
      </c>
      <c r="U582" s="12" t="s">
        <v>1336</v>
      </c>
      <c r="V582" s="12" t="s">
        <v>367</v>
      </c>
      <c r="W582" s="12" t="s">
        <v>3797</v>
      </c>
      <c r="X582" s="16" t="s">
        <v>3798</v>
      </c>
      <c r="Y582" s="15" t="s">
        <v>42</v>
      </c>
      <c r="Z582" s="14" t="s">
        <v>36</v>
      </c>
      <c r="AA582" s="14" t="s">
        <v>36</v>
      </c>
      <c r="AB582" s="12" t="s">
        <v>43</v>
      </c>
      <c r="AC582" s="12" t="s">
        <v>3799</v>
      </c>
      <c r="AD582" s="13">
        <v>45383</v>
      </c>
      <c r="AE582" s="12" t="s">
        <v>2464</v>
      </c>
      <c r="AF582" s="12" t="s">
        <v>372</v>
      </c>
      <c r="AG582" s="12" t="s">
        <v>3800</v>
      </c>
      <c r="AH582" s="1">
        <f>HYPERLINK("https://my.pitchbook.com?c=257009-77T","View Company Online")</f>
      </c>
    </row>
    <row r="583">
      <c r="A583" s="3" t="s">
        <v>3801</v>
      </c>
      <c r="B583" s="3" t="s">
        <v>3802</v>
      </c>
      <c r="C583" s="5" t="s">
        <v>36</v>
      </c>
      <c r="D583" s="5" t="s">
        <v>36</v>
      </c>
      <c r="E583" s="5" t="s">
        <v>36</v>
      </c>
      <c r="F583" s="5" t="s">
        <v>36</v>
      </c>
      <c r="G583" s="6" t="s">
        <v>36</v>
      </c>
      <c r="H583" s="4" t="s">
        <v>36</v>
      </c>
      <c r="I583" s="7" t="s">
        <v>36</v>
      </c>
      <c r="J583" s="3" t="s">
        <v>36</v>
      </c>
      <c r="K583" s="9" t="s">
        <v>36</v>
      </c>
      <c r="L583" s="6" t="s">
        <v>36</v>
      </c>
      <c r="M583" s="3" t="s">
        <v>36</v>
      </c>
      <c r="N583" s="3" t="s">
        <v>36</v>
      </c>
      <c r="O583" s="8" t="s">
        <v>36</v>
      </c>
      <c r="P583" s="3" t="s">
        <v>36</v>
      </c>
      <c r="Q583" s="3" t="s">
        <v>36</v>
      </c>
      <c r="R583" s="3" t="s">
        <v>36</v>
      </c>
      <c r="S583" s="3" t="s">
        <v>36</v>
      </c>
      <c r="T583" s="3" t="s">
        <v>3729</v>
      </c>
      <c r="U583" s="3" t="s">
        <v>219</v>
      </c>
      <c r="V583" s="3" t="s">
        <v>75</v>
      </c>
      <c r="W583" s="3" t="s">
        <v>3803</v>
      </c>
      <c r="X583" s="10" t="s">
        <v>3804</v>
      </c>
      <c r="Y583" s="6" t="s">
        <v>108</v>
      </c>
      <c r="Z583" s="4" t="s">
        <v>36</v>
      </c>
      <c r="AA583" s="4" t="s">
        <v>36</v>
      </c>
      <c r="AB583" s="3" t="s">
        <v>56</v>
      </c>
      <c r="AC583" s="3" t="s">
        <v>3805</v>
      </c>
      <c r="AD583" s="9">
        <v>45383</v>
      </c>
      <c r="AE583" s="3" t="s">
        <v>1032</v>
      </c>
      <c r="AF583" s="3" t="s">
        <v>571</v>
      </c>
      <c r="AG583" s="3" t="s">
        <v>3806</v>
      </c>
      <c r="AH583" s="11">
        <f>HYPERLINK("https://my.pitchbook.com?c=257314-24T","View Company Online")</f>
      </c>
    </row>
    <row r="584">
      <c r="A584" s="12" t="s">
        <v>3807</v>
      </c>
      <c r="B584" s="12" t="s">
        <v>3808</v>
      </c>
      <c r="C584" s="19" t="s">
        <v>36</v>
      </c>
      <c r="D584" s="19" t="s">
        <v>36</v>
      </c>
      <c r="E584" s="19" t="s">
        <v>36</v>
      </c>
      <c r="F584" s="19" t="s">
        <v>36</v>
      </c>
      <c r="G584" s="15" t="s">
        <v>36</v>
      </c>
      <c r="H584" s="14" t="s">
        <v>36</v>
      </c>
      <c r="I584" s="18" t="s">
        <v>36</v>
      </c>
      <c r="J584" s="12" t="s">
        <v>36</v>
      </c>
      <c r="K584" s="13" t="s">
        <v>36</v>
      </c>
      <c r="L584" s="15" t="s">
        <v>36</v>
      </c>
      <c r="M584" s="12" t="s">
        <v>36</v>
      </c>
      <c r="N584" s="12" t="s">
        <v>36</v>
      </c>
      <c r="O584" s="17" t="s">
        <v>36</v>
      </c>
      <c r="P584" s="12" t="s">
        <v>36</v>
      </c>
      <c r="Q584" s="12" t="s">
        <v>36</v>
      </c>
      <c r="R584" s="12" t="s">
        <v>36</v>
      </c>
      <c r="S584" s="12" t="s">
        <v>36</v>
      </c>
      <c r="T584" s="12" t="s">
        <v>3809</v>
      </c>
      <c r="U584" s="12" t="s">
        <v>833</v>
      </c>
      <c r="V584" s="12" t="s">
        <v>64</v>
      </c>
      <c r="W584" s="12" t="s">
        <v>3810</v>
      </c>
      <c r="X584" s="16" t="s">
        <v>2257</v>
      </c>
      <c r="Y584" s="15" t="s">
        <v>42</v>
      </c>
      <c r="Z584" s="14" t="s">
        <v>36</v>
      </c>
      <c r="AA584" s="14" t="s">
        <v>36</v>
      </c>
      <c r="AB584" s="12" t="s">
        <v>43</v>
      </c>
      <c r="AC584" s="12" t="s">
        <v>3811</v>
      </c>
      <c r="AD584" s="13">
        <v>45383</v>
      </c>
      <c r="AE584" s="12" t="s">
        <v>3615</v>
      </c>
      <c r="AF584" s="12" t="s">
        <v>36</v>
      </c>
      <c r="AG584" s="12" t="s">
        <v>81</v>
      </c>
      <c r="AH584" s="1">
        <f>HYPERLINK("https://my.pitchbook.com?c=256387-33T","View Company Online")</f>
      </c>
    </row>
    <row r="585">
      <c r="A585" s="3" t="s">
        <v>3812</v>
      </c>
      <c r="B585" s="3" t="s">
        <v>3813</v>
      </c>
      <c r="C585" s="5" t="s">
        <v>36</v>
      </c>
      <c r="D585" s="5" t="s">
        <v>36</v>
      </c>
      <c r="E585" s="5" t="s">
        <v>36</v>
      </c>
      <c r="F585" s="5" t="s">
        <v>36</v>
      </c>
      <c r="G585" s="6" t="s">
        <v>36</v>
      </c>
      <c r="H585" s="4" t="s">
        <v>36</v>
      </c>
      <c r="I585" s="7" t="s">
        <v>36</v>
      </c>
      <c r="J585" s="3" t="s">
        <v>36</v>
      </c>
      <c r="K585" s="9" t="s">
        <v>36</v>
      </c>
      <c r="L585" s="6" t="s">
        <v>36</v>
      </c>
      <c r="M585" s="3" t="s">
        <v>36</v>
      </c>
      <c r="N585" s="3" t="s">
        <v>36</v>
      </c>
      <c r="O585" s="8" t="s">
        <v>36</v>
      </c>
      <c r="P585" s="3" t="s">
        <v>36</v>
      </c>
      <c r="Q585" s="3" t="s">
        <v>36</v>
      </c>
      <c r="R585" s="3" t="s">
        <v>36</v>
      </c>
      <c r="S585" s="3" t="s">
        <v>36</v>
      </c>
      <c r="T585" s="3" t="s">
        <v>1935</v>
      </c>
      <c r="U585" s="3" t="s">
        <v>38</v>
      </c>
      <c r="V585" s="3" t="s">
        <v>39</v>
      </c>
      <c r="W585" s="3" t="s">
        <v>3814</v>
      </c>
      <c r="X585" s="10" t="s">
        <v>3815</v>
      </c>
      <c r="Y585" s="6" t="s">
        <v>42</v>
      </c>
      <c r="Z585" s="4">
        <v>1.63</v>
      </c>
      <c r="AA585" s="4" t="s">
        <v>36</v>
      </c>
      <c r="AB585" s="3" t="s">
        <v>56</v>
      </c>
      <c r="AC585" s="3" t="s">
        <v>3816</v>
      </c>
      <c r="AD585" s="9">
        <v>45379</v>
      </c>
      <c r="AE585" s="3" t="s">
        <v>45</v>
      </c>
      <c r="AF585" s="3" t="s">
        <v>36</v>
      </c>
      <c r="AG585" s="3" t="s">
        <v>102</v>
      </c>
      <c r="AH585" s="11">
        <f>HYPERLINK("https://my.pitchbook.com?c=255580-12T","View Company Online")</f>
      </c>
    </row>
    <row r="586">
      <c r="A586" s="12" t="s">
        <v>3817</v>
      </c>
      <c r="B586" s="12" t="s">
        <v>3818</v>
      </c>
      <c r="C586" s="19">
        <v>1</v>
      </c>
      <c r="D586" s="19" t="s">
        <v>36</v>
      </c>
      <c r="E586" s="19">
        <v>1</v>
      </c>
      <c r="F586" s="19">
        <v>1</v>
      </c>
      <c r="G586" s="15" t="s">
        <v>36</v>
      </c>
      <c r="H586" s="14" t="s">
        <v>36</v>
      </c>
      <c r="I586" s="18">
        <v>57.45</v>
      </c>
      <c r="J586" s="12" t="s">
        <v>327</v>
      </c>
      <c r="K586" s="13" t="s">
        <v>36</v>
      </c>
      <c r="L586" s="15" t="s">
        <v>36</v>
      </c>
      <c r="M586" s="12" t="s">
        <v>36</v>
      </c>
      <c r="N586" s="12" t="s">
        <v>36</v>
      </c>
      <c r="O586" s="17" t="s">
        <v>36</v>
      </c>
      <c r="P586" s="12" t="s">
        <v>36</v>
      </c>
      <c r="Q586" s="12" t="s">
        <v>36</v>
      </c>
      <c r="R586" s="12" t="s">
        <v>36</v>
      </c>
      <c r="S586" s="12" t="s">
        <v>36</v>
      </c>
      <c r="T586" s="12" t="s">
        <v>1188</v>
      </c>
      <c r="U586" s="12" t="s">
        <v>180</v>
      </c>
      <c r="V586" s="12" t="s">
        <v>52</v>
      </c>
      <c r="W586" s="12" t="s">
        <v>3819</v>
      </c>
      <c r="X586" s="16" t="s">
        <v>3820</v>
      </c>
      <c r="Y586" s="15" t="s">
        <v>108</v>
      </c>
      <c r="Z586" s="14">
        <v>8.16</v>
      </c>
      <c r="AA586" s="14">
        <v>14.2</v>
      </c>
      <c r="AB586" s="12" t="s">
        <v>43</v>
      </c>
      <c r="AC586" s="12" t="s">
        <v>3821</v>
      </c>
      <c r="AD586" s="13">
        <v>45378</v>
      </c>
      <c r="AE586" s="12" t="s">
        <v>1192</v>
      </c>
      <c r="AF586" s="12" t="s">
        <v>3822</v>
      </c>
      <c r="AG586" s="12" t="s">
        <v>3823</v>
      </c>
      <c r="AH586" s="1">
        <f>HYPERLINK("https://my.pitchbook.com?c=255463-84T","View Company Online")</f>
      </c>
    </row>
    <row r="587">
      <c r="A587" s="3" t="s">
        <v>3824</v>
      </c>
      <c r="B587" s="3" t="s">
        <v>3825</v>
      </c>
      <c r="C587" s="5" t="s">
        <v>36</v>
      </c>
      <c r="D587" s="5" t="s">
        <v>36</v>
      </c>
      <c r="E587" s="5" t="s">
        <v>36</v>
      </c>
      <c r="F587" s="5" t="s">
        <v>36</v>
      </c>
      <c r="G587" s="6" t="s">
        <v>326</v>
      </c>
      <c r="H587" s="4" t="s">
        <v>36</v>
      </c>
      <c r="I587" s="7">
        <v>36.2</v>
      </c>
      <c r="J587" s="3" t="s">
        <v>327</v>
      </c>
      <c r="K587" s="9" t="s">
        <v>36</v>
      </c>
      <c r="L587" s="6" t="s">
        <v>122</v>
      </c>
      <c r="M587" s="3" t="s">
        <v>36</v>
      </c>
      <c r="N587" s="3" t="s">
        <v>122</v>
      </c>
      <c r="O587" s="8" t="s">
        <v>36</v>
      </c>
      <c r="P587" s="3" t="s">
        <v>36</v>
      </c>
      <c r="Q587" s="3" t="s">
        <v>36</v>
      </c>
      <c r="R587" s="3" t="s">
        <v>36</v>
      </c>
      <c r="S587" s="3" t="s">
        <v>36</v>
      </c>
      <c r="T587" s="3" t="s">
        <v>3826</v>
      </c>
      <c r="U587" s="3" t="s">
        <v>423</v>
      </c>
      <c r="V587" s="3" t="s">
        <v>64</v>
      </c>
      <c r="W587" s="3" t="s">
        <v>3827</v>
      </c>
      <c r="X587" s="10" t="s">
        <v>3828</v>
      </c>
      <c r="Y587" s="6" t="s">
        <v>55</v>
      </c>
      <c r="Z587" s="4">
        <v>22.85</v>
      </c>
      <c r="AA587" s="4">
        <v>63.11</v>
      </c>
      <c r="AB587" s="3" t="s">
        <v>56</v>
      </c>
      <c r="AC587" s="3" t="s">
        <v>3829</v>
      </c>
      <c r="AD587" s="9">
        <v>45377</v>
      </c>
      <c r="AE587" s="3" t="s">
        <v>1051</v>
      </c>
      <c r="AF587" s="3" t="s">
        <v>1061</v>
      </c>
      <c r="AG587" s="3" t="s">
        <v>81</v>
      </c>
      <c r="AH587" s="11">
        <f>HYPERLINK("https://my.pitchbook.com?c=255260-35T","View Company Online")</f>
      </c>
    </row>
    <row r="588">
      <c r="A588" s="12" t="s">
        <v>3830</v>
      </c>
      <c r="B588" s="12" t="s">
        <v>3831</v>
      </c>
      <c r="C588" s="19">
        <v>9</v>
      </c>
      <c r="D588" s="19">
        <v>10</v>
      </c>
      <c r="E588" s="19">
        <v>5</v>
      </c>
      <c r="F588" s="19">
        <v>19</v>
      </c>
      <c r="G588" s="15" t="s">
        <v>36</v>
      </c>
      <c r="H588" s="14" t="s">
        <v>36</v>
      </c>
      <c r="I588" s="18" t="s">
        <v>36</v>
      </c>
      <c r="J588" s="12" t="s">
        <v>36</v>
      </c>
      <c r="K588" s="13" t="s">
        <v>36</v>
      </c>
      <c r="L588" s="15" t="s">
        <v>122</v>
      </c>
      <c r="M588" s="12" t="s">
        <v>36</v>
      </c>
      <c r="N588" s="12" t="s">
        <v>122</v>
      </c>
      <c r="O588" s="17" t="s">
        <v>36</v>
      </c>
      <c r="P588" s="12" t="s">
        <v>36</v>
      </c>
      <c r="Q588" s="12" t="s">
        <v>36</v>
      </c>
      <c r="R588" s="12" t="s">
        <v>36</v>
      </c>
      <c r="S588" s="12" t="s">
        <v>36</v>
      </c>
      <c r="T588" s="12" t="s">
        <v>2213</v>
      </c>
      <c r="U588" s="12" t="s">
        <v>219</v>
      </c>
      <c r="V588" s="12" t="s">
        <v>75</v>
      </c>
      <c r="W588" s="12" t="s">
        <v>3832</v>
      </c>
      <c r="X588" s="16" t="s">
        <v>3833</v>
      </c>
      <c r="Y588" s="15" t="s">
        <v>192</v>
      </c>
      <c r="Z588" s="14">
        <v>11.97</v>
      </c>
      <c r="AA588" s="14" t="s">
        <v>36</v>
      </c>
      <c r="AB588" s="12" t="s">
        <v>56</v>
      </c>
      <c r="AC588" s="12" t="s">
        <v>3834</v>
      </c>
      <c r="AD588" s="13">
        <v>45377</v>
      </c>
      <c r="AE588" s="12" t="s">
        <v>1912</v>
      </c>
      <c r="AF588" s="12" t="s">
        <v>372</v>
      </c>
      <c r="AG588" s="12" t="s">
        <v>3835</v>
      </c>
      <c r="AH588" s="1">
        <f>HYPERLINK("https://my.pitchbook.com?c=253335-79T","View Company Online")</f>
      </c>
    </row>
    <row r="589">
      <c r="A589" s="3" t="s">
        <v>3836</v>
      </c>
      <c r="B589" s="3" t="s">
        <v>3837</v>
      </c>
      <c r="C589" s="5" t="s">
        <v>36</v>
      </c>
      <c r="D589" s="5" t="s">
        <v>36</v>
      </c>
      <c r="E589" s="5" t="s">
        <v>36</v>
      </c>
      <c r="F589" s="5" t="s">
        <v>36</v>
      </c>
      <c r="G589" s="6" t="s">
        <v>36</v>
      </c>
      <c r="H589" s="4" t="s">
        <v>36</v>
      </c>
      <c r="I589" s="7" t="s">
        <v>36</v>
      </c>
      <c r="J589" s="3" t="s">
        <v>36</v>
      </c>
      <c r="K589" s="9" t="s">
        <v>36</v>
      </c>
      <c r="L589" s="6" t="s">
        <v>36</v>
      </c>
      <c r="M589" s="3" t="s">
        <v>36</v>
      </c>
      <c r="N589" s="3" t="s">
        <v>36</v>
      </c>
      <c r="O589" s="8" t="s">
        <v>36</v>
      </c>
      <c r="P589" s="3" t="s">
        <v>36</v>
      </c>
      <c r="Q589" s="3" t="s">
        <v>36</v>
      </c>
      <c r="R589" s="3" t="s">
        <v>36</v>
      </c>
      <c r="S589" s="3" t="s">
        <v>36</v>
      </c>
      <c r="T589" s="3" t="s">
        <v>2213</v>
      </c>
      <c r="U589" s="3" t="s">
        <v>219</v>
      </c>
      <c r="V589" s="3" t="s">
        <v>75</v>
      </c>
      <c r="W589" s="3" t="s">
        <v>3838</v>
      </c>
      <c r="X589" s="10" t="s">
        <v>3839</v>
      </c>
      <c r="Y589" s="6" t="s">
        <v>42</v>
      </c>
      <c r="Z589" s="4">
        <v>1.09</v>
      </c>
      <c r="AA589" s="4" t="s">
        <v>36</v>
      </c>
      <c r="AB589" s="3" t="s">
        <v>43</v>
      </c>
      <c r="AC589" s="3" t="s">
        <v>3840</v>
      </c>
      <c r="AD589" s="9">
        <v>45377</v>
      </c>
      <c r="AE589" s="3" t="s">
        <v>1912</v>
      </c>
      <c r="AF589" s="3" t="s">
        <v>571</v>
      </c>
      <c r="AG589" s="3" t="s">
        <v>102</v>
      </c>
      <c r="AH589" s="11">
        <f>HYPERLINK("https://my.pitchbook.com?c=255452-14T","View Company Online")</f>
      </c>
    </row>
    <row r="590">
      <c r="A590" s="12" t="s">
        <v>3841</v>
      </c>
      <c r="B590" s="12" t="s">
        <v>3842</v>
      </c>
      <c r="C590" s="19" t="s">
        <v>36</v>
      </c>
      <c r="D590" s="19" t="s">
        <v>36</v>
      </c>
      <c r="E590" s="19" t="s">
        <v>36</v>
      </c>
      <c r="F590" s="19" t="s">
        <v>36</v>
      </c>
      <c r="G590" s="15" t="s">
        <v>36</v>
      </c>
      <c r="H590" s="14" t="s">
        <v>36</v>
      </c>
      <c r="I590" s="18" t="s">
        <v>36</v>
      </c>
      <c r="J590" s="12" t="s">
        <v>36</v>
      </c>
      <c r="K590" s="13" t="s">
        <v>36</v>
      </c>
      <c r="L590" s="15" t="s">
        <v>36</v>
      </c>
      <c r="M590" s="12" t="s">
        <v>36</v>
      </c>
      <c r="N590" s="12" t="s">
        <v>36</v>
      </c>
      <c r="O590" s="17" t="s">
        <v>36</v>
      </c>
      <c r="P590" s="12" t="s">
        <v>36</v>
      </c>
      <c r="Q590" s="12" t="s">
        <v>36</v>
      </c>
      <c r="R590" s="12" t="s">
        <v>36</v>
      </c>
      <c r="S590" s="12" t="s">
        <v>36</v>
      </c>
      <c r="T590" s="12" t="s">
        <v>3843</v>
      </c>
      <c r="U590" s="12" t="s">
        <v>180</v>
      </c>
      <c r="V590" s="12" t="s">
        <v>52</v>
      </c>
      <c r="W590" s="12" t="s">
        <v>3844</v>
      </c>
      <c r="X590" s="16" t="s">
        <v>3845</v>
      </c>
      <c r="Y590" s="15" t="s">
        <v>42</v>
      </c>
      <c r="Z590" s="14">
        <v>4.03</v>
      </c>
      <c r="AA590" s="14" t="s">
        <v>36</v>
      </c>
      <c r="AB590" s="12" t="s">
        <v>43</v>
      </c>
      <c r="AC590" s="12" t="s">
        <v>3846</v>
      </c>
      <c r="AD590" s="13">
        <v>45377</v>
      </c>
      <c r="AE590" s="12" t="s">
        <v>3847</v>
      </c>
      <c r="AF590" s="12" t="s">
        <v>275</v>
      </c>
      <c r="AG590" s="12" t="s">
        <v>3406</v>
      </c>
      <c r="AH590" s="1">
        <f>HYPERLINK("https://my.pitchbook.com?c=249701-32T","View Company Online")</f>
      </c>
    </row>
    <row r="591">
      <c r="A591" s="3" t="s">
        <v>3848</v>
      </c>
      <c r="B591" s="3" t="s">
        <v>3849</v>
      </c>
      <c r="C591" s="5">
        <v>1</v>
      </c>
      <c r="D591" s="5" t="s">
        <v>36</v>
      </c>
      <c r="E591" s="5">
        <v>1</v>
      </c>
      <c r="F591" s="5">
        <v>1</v>
      </c>
      <c r="G591" s="6" t="s">
        <v>36</v>
      </c>
      <c r="H591" s="4" t="s">
        <v>36</v>
      </c>
      <c r="I591" s="7" t="s">
        <v>36</v>
      </c>
      <c r="J591" s="3" t="s">
        <v>36</v>
      </c>
      <c r="K591" s="9" t="s">
        <v>36</v>
      </c>
      <c r="L591" s="6" t="s">
        <v>36</v>
      </c>
      <c r="M591" s="3" t="s">
        <v>36</v>
      </c>
      <c r="N591" s="3" t="s">
        <v>36</v>
      </c>
      <c r="O591" s="8" t="s">
        <v>36</v>
      </c>
      <c r="P591" s="3" t="s">
        <v>36</v>
      </c>
      <c r="Q591" s="3" t="s">
        <v>36</v>
      </c>
      <c r="R591" s="3" t="s">
        <v>36</v>
      </c>
      <c r="S591" s="3" t="s">
        <v>36</v>
      </c>
      <c r="T591" s="3" t="s">
        <v>3850</v>
      </c>
      <c r="U591" s="3" t="s">
        <v>1580</v>
      </c>
      <c r="V591" s="3" t="s">
        <v>39</v>
      </c>
      <c r="W591" s="3" t="s">
        <v>3851</v>
      </c>
      <c r="X591" s="10" t="s">
        <v>3852</v>
      </c>
      <c r="Y591" s="6" t="s">
        <v>166</v>
      </c>
      <c r="Z591" s="4">
        <v>7.18</v>
      </c>
      <c r="AA591" s="4" t="s">
        <v>36</v>
      </c>
      <c r="AB591" s="3" t="s">
        <v>43</v>
      </c>
      <c r="AC591" s="3" t="s">
        <v>3853</v>
      </c>
      <c r="AD591" s="9">
        <v>45376</v>
      </c>
      <c r="AE591" s="3" t="s">
        <v>3854</v>
      </c>
      <c r="AF591" s="3" t="s">
        <v>36</v>
      </c>
      <c r="AG591" s="3" t="s">
        <v>924</v>
      </c>
      <c r="AH591" s="11">
        <f>HYPERLINK("https://my.pitchbook.com?c=255247-21T","View Company Online")</f>
      </c>
    </row>
    <row r="592">
      <c r="A592" s="12" t="s">
        <v>3855</v>
      </c>
      <c r="B592" s="12" t="s">
        <v>3856</v>
      </c>
      <c r="C592" s="19" t="s">
        <v>36</v>
      </c>
      <c r="D592" s="19" t="s">
        <v>36</v>
      </c>
      <c r="E592" s="19" t="s">
        <v>36</v>
      </c>
      <c r="F592" s="19" t="s">
        <v>36</v>
      </c>
      <c r="G592" s="15" t="s">
        <v>36</v>
      </c>
      <c r="H592" s="14" t="s">
        <v>36</v>
      </c>
      <c r="I592" s="18" t="s">
        <v>36</v>
      </c>
      <c r="J592" s="12" t="s">
        <v>36</v>
      </c>
      <c r="K592" s="13" t="s">
        <v>36</v>
      </c>
      <c r="L592" s="15" t="s">
        <v>36</v>
      </c>
      <c r="M592" s="12" t="s">
        <v>36</v>
      </c>
      <c r="N592" s="12" t="s">
        <v>36</v>
      </c>
      <c r="O592" s="17" t="s">
        <v>36</v>
      </c>
      <c r="P592" s="12" t="s">
        <v>36</v>
      </c>
      <c r="Q592" s="12" t="s">
        <v>36</v>
      </c>
      <c r="R592" s="12" t="s">
        <v>36</v>
      </c>
      <c r="S592" s="12" t="s">
        <v>36</v>
      </c>
      <c r="T592" s="12" t="s">
        <v>2285</v>
      </c>
      <c r="U592" s="12" t="s">
        <v>38</v>
      </c>
      <c r="V592" s="12" t="s">
        <v>39</v>
      </c>
      <c r="W592" s="12" t="s">
        <v>3857</v>
      </c>
      <c r="X592" s="16" t="s">
        <v>3858</v>
      </c>
      <c r="Y592" s="15" t="s">
        <v>108</v>
      </c>
      <c r="Z592" s="14">
        <v>1.31</v>
      </c>
      <c r="AA592" s="14" t="s">
        <v>36</v>
      </c>
      <c r="AB592" s="12" t="s">
        <v>56</v>
      </c>
      <c r="AC592" s="12" t="s">
        <v>3859</v>
      </c>
      <c r="AD592" s="13">
        <v>45373</v>
      </c>
      <c r="AE592" s="12" t="s">
        <v>110</v>
      </c>
      <c r="AF592" s="12" t="s">
        <v>3860</v>
      </c>
      <c r="AG592" s="12" t="s">
        <v>741</v>
      </c>
      <c r="AH592" s="1">
        <f>HYPERLINK("https://my.pitchbook.com?c=255237-94T","View Company Online")</f>
      </c>
    </row>
    <row r="593">
      <c r="A593" s="3" t="s">
        <v>3861</v>
      </c>
      <c r="B593" s="3" t="s">
        <v>3862</v>
      </c>
      <c r="C593" s="5">
        <v>4</v>
      </c>
      <c r="D593" s="5">
        <v>12</v>
      </c>
      <c r="E593" s="5">
        <v>4</v>
      </c>
      <c r="F593" s="5">
        <v>16</v>
      </c>
      <c r="G593" s="6" t="s">
        <v>326</v>
      </c>
      <c r="H593" s="4">
        <v>24.69</v>
      </c>
      <c r="I593" s="7">
        <v>34.15</v>
      </c>
      <c r="J593" s="3" t="s">
        <v>521</v>
      </c>
      <c r="K593" s="9" t="s">
        <v>36</v>
      </c>
      <c r="L593" s="6" t="s">
        <v>122</v>
      </c>
      <c r="M593" s="3" t="s">
        <v>36</v>
      </c>
      <c r="N593" s="3" t="s">
        <v>122</v>
      </c>
      <c r="O593" s="8" t="s">
        <v>36</v>
      </c>
      <c r="P593" s="3" t="s">
        <v>36</v>
      </c>
      <c r="Q593" s="3" t="s">
        <v>36</v>
      </c>
      <c r="R593" s="3" t="s">
        <v>36</v>
      </c>
      <c r="S593" s="3" t="s">
        <v>36</v>
      </c>
      <c r="T593" s="3" t="s">
        <v>3729</v>
      </c>
      <c r="U593" s="3" t="s">
        <v>219</v>
      </c>
      <c r="V593" s="3" t="s">
        <v>75</v>
      </c>
      <c r="W593" s="3" t="s">
        <v>3863</v>
      </c>
      <c r="X593" s="10" t="s">
        <v>3864</v>
      </c>
      <c r="Y593" s="6" t="s">
        <v>192</v>
      </c>
      <c r="Z593" s="4">
        <v>2.45</v>
      </c>
      <c r="AA593" s="4">
        <v>4.46</v>
      </c>
      <c r="AB593" s="3" t="s">
        <v>56</v>
      </c>
      <c r="AC593" s="3" t="s">
        <v>3865</v>
      </c>
      <c r="AD593" s="9">
        <v>45373</v>
      </c>
      <c r="AE593" s="3" t="s">
        <v>1032</v>
      </c>
      <c r="AF593" s="3" t="s">
        <v>2915</v>
      </c>
      <c r="AG593" s="3" t="s">
        <v>3866</v>
      </c>
      <c r="AH593" s="11">
        <f>HYPERLINK("https://my.pitchbook.com?c=261067-42T","View Company Online")</f>
      </c>
    </row>
    <row r="594">
      <c r="A594" s="12" t="s">
        <v>3867</v>
      </c>
      <c r="B594" s="12" t="s">
        <v>3868</v>
      </c>
      <c r="C594" s="19" t="s">
        <v>36</v>
      </c>
      <c r="D594" s="19">
        <v>24</v>
      </c>
      <c r="E594" s="19">
        <v>25</v>
      </c>
      <c r="F594" s="19">
        <v>52</v>
      </c>
      <c r="G594" s="15" t="s">
        <v>36</v>
      </c>
      <c r="H594" s="14" t="s">
        <v>36</v>
      </c>
      <c r="I594" s="18" t="s">
        <v>36</v>
      </c>
      <c r="J594" s="12" t="s">
        <v>36</v>
      </c>
      <c r="K594" s="13" t="s">
        <v>36</v>
      </c>
      <c r="L594" s="15" t="s">
        <v>36</v>
      </c>
      <c r="M594" s="12" t="s">
        <v>36</v>
      </c>
      <c r="N594" s="12" t="s">
        <v>36</v>
      </c>
      <c r="O594" s="17" t="s">
        <v>36</v>
      </c>
      <c r="P594" s="12" t="s">
        <v>36</v>
      </c>
      <c r="Q594" s="12" t="s">
        <v>36</v>
      </c>
      <c r="R594" s="12" t="s">
        <v>36</v>
      </c>
      <c r="S594" s="12" t="s">
        <v>36</v>
      </c>
      <c r="T594" s="12" t="s">
        <v>3009</v>
      </c>
      <c r="U594" s="12" t="s">
        <v>1502</v>
      </c>
      <c r="V594" s="12" t="s">
        <v>75</v>
      </c>
      <c r="W594" s="12" t="s">
        <v>3869</v>
      </c>
      <c r="X594" s="16" t="s">
        <v>3870</v>
      </c>
      <c r="Y594" s="15" t="s">
        <v>166</v>
      </c>
      <c r="Z594" s="14">
        <v>38.06</v>
      </c>
      <c r="AA594" s="14" t="s">
        <v>36</v>
      </c>
      <c r="AB594" s="12" t="s">
        <v>56</v>
      </c>
      <c r="AC594" s="12" t="s">
        <v>3871</v>
      </c>
      <c r="AD594" s="13">
        <v>45372</v>
      </c>
      <c r="AE594" s="12" t="s">
        <v>1506</v>
      </c>
      <c r="AF594" s="12" t="s">
        <v>3872</v>
      </c>
      <c r="AG594" s="12" t="s">
        <v>3873</v>
      </c>
      <c r="AH594" s="1">
        <f>HYPERLINK("https://my.pitchbook.com?c=255543-40T","View Company Online")</f>
      </c>
    </row>
    <row r="595">
      <c r="A595" s="3" t="s">
        <v>3874</v>
      </c>
      <c r="B595" s="3" t="s">
        <v>3875</v>
      </c>
      <c r="C595" s="5" t="s">
        <v>36</v>
      </c>
      <c r="D595" s="5" t="s">
        <v>36</v>
      </c>
      <c r="E595" s="5" t="s">
        <v>36</v>
      </c>
      <c r="F595" s="5" t="s">
        <v>36</v>
      </c>
      <c r="G595" s="6" t="s">
        <v>36</v>
      </c>
      <c r="H595" s="4" t="s">
        <v>36</v>
      </c>
      <c r="I595" s="7" t="s">
        <v>36</v>
      </c>
      <c r="J595" s="3" t="s">
        <v>36</v>
      </c>
      <c r="K595" s="9">
        <v>45258</v>
      </c>
      <c r="L595" s="6" t="s">
        <v>36</v>
      </c>
      <c r="M595" s="3" t="s">
        <v>36</v>
      </c>
      <c r="N595" s="3" t="s">
        <v>36</v>
      </c>
      <c r="O595" s="8" t="s">
        <v>36</v>
      </c>
      <c r="P595" s="3" t="s">
        <v>36</v>
      </c>
      <c r="Q595" s="3" t="s">
        <v>36</v>
      </c>
      <c r="R595" s="3" t="s">
        <v>36</v>
      </c>
      <c r="S595" s="3" t="s">
        <v>36</v>
      </c>
      <c r="T595" s="3" t="s">
        <v>105</v>
      </c>
      <c r="U595" s="3" t="s">
        <v>38</v>
      </c>
      <c r="V595" s="3" t="s">
        <v>39</v>
      </c>
      <c r="W595" s="3" t="s">
        <v>3876</v>
      </c>
      <c r="X595" s="10" t="s">
        <v>3877</v>
      </c>
      <c r="Y595" s="6" t="s">
        <v>42</v>
      </c>
      <c r="Z595" s="4">
        <v>1.85</v>
      </c>
      <c r="AA595" s="4" t="s">
        <v>36</v>
      </c>
      <c r="AB595" s="3" t="s">
        <v>43</v>
      </c>
      <c r="AC595" s="3" t="s">
        <v>3878</v>
      </c>
      <c r="AD595" s="9">
        <v>45372</v>
      </c>
      <c r="AE595" s="3" t="s">
        <v>110</v>
      </c>
      <c r="AF595" s="3" t="s">
        <v>111</v>
      </c>
      <c r="AG595" s="3" t="s">
        <v>102</v>
      </c>
      <c r="AH595" s="11">
        <f>HYPERLINK("https://my.pitchbook.com?c=246967-12T","View Company Online")</f>
      </c>
    </row>
    <row r="596">
      <c r="A596" s="12" t="s">
        <v>3879</v>
      </c>
      <c r="B596" s="12" t="s">
        <v>3880</v>
      </c>
      <c r="C596" s="19">
        <v>1</v>
      </c>
      <c r="D596" s="19">
        <v>2</v>
      </c>
      <c r="E596" s="19">
        <v>2</v>
      </c>
      <c r="F596" s="19">
        <v>3</v>
      </c>
      <c r="G596" s="15" t="s">
        <v>36</v>
      </c>
      <c r="H596" s="14">
        <v>20.73</v>
      </c>
      <c r="I596" s="18">
        <v>13.04</v>
      </c>
      <c r="J596" s="12" t="s">
        <v>521</v>
      </c>
      <c r="K596" s="13" t="s">
        <v>36</v>
      </c>
      <c r="L596" s="15" t="s">
        <v>36</v>
      </c>
      <c r="M596" s="12" t="s">
        <v>36</v>
      </c>
      <c r="N596" s="12" t="s">
        <v>36</v>
      </c>
      <c r="O596" s="17" t="s">
        <v>36</v>
      </c>
      <c r="P596" s="12" t="s">
        <v>36</v>
      </c>
      <c r="Q596" s="12" t="s">
        <v>36</v>
      </c>
      <c r="R596" s="12" t="s">
        <v>36</v>
      </c>
      <c r="S596" s="12" t="s">
        <v>36</v>
      </c>
      <c r="T596" s="12" t="s">
        <v>3881</v>
      </c>
      <c r="U596" s="12" t="s">
        <v>51</v>
      </c>
      <c r="V596" s="12" t="s">
        <v>52</v>
      </c>
      <c r="W596" s="12" t="s">
        <v>3882</v>
      </c>
      <c r="X596" s="16" t="s">
        <v>87</v>
      </c>
      <c r="Y596" s="15" t="s">
        <v>42</v>
      </c>
      <c r="Z596" s="14">
        <v>1.63</v>
      </c>
      <c r="AA596" s="14">
        <v>12.5</v>
      </c>
      <c r="AB596" s="12" t="s">
        <v>56</v>
      </c>
      <c r="AC596" s="12" t="s">
        <v>3883</v>
      </c>
      <c r="AD596" s="13">
        <v>45371</v>
      </c>
      <c r="AE596" s="12" t="s">
        <v>2740</v>
      </c>
      <c r="AF596" s="12" t="s">
        <v>159</v>
      </c>
      <c r="AG596" s="12" t="s">
        <v>3884</v>
      </c>
      <c r="AH596" s="1">
        <f>HYPERLINK("https://my.pitchbook.com?c=266333-05T","View Company Online")</f>
      </c>
    </row>
    <row r="597">
      <c r="A597" s="3" t="s">
        <v>3885</v>
      </c>
      <c r="B597" s="3" t="s">
        <v>3886</v>
      </c>
      <c r="C597" s="5">
        <v>4</v>
      </c>
      <c r="D597" s="5">
        <v>1</v>
      </c>
      <c r="E597" s="5">
        <v>2</v>
      </c>
      <c r="F597" s="5">
        <v>9</v>
      </c>
      <c r="G597" s="6" t="s">
        <v>36</v>
      </c>
      <c r="H597" s="4" t="s">
        <v>36</v>
      </c>
      <c r="I597" s="7" t="s">
        <v>36</v>
      </c>
      <c r="J597" s="3" t="s">
        <v>36</v>
      </c>
      <c r="K597" s="9" t="s">
        <v>36</v>
      </c>
      <c r="L597" s="6" t="s">
        <v>36</v>
      </c>
      <c r="M597" s="3" t="s">
        <v>36</v>
      </c>
      <c r="N597" s="3" t="s">
        <v>36</v>
      </c>
      <c r="O597" s="8" t="s">
        <v>36</v>
      </c>
      <c r="P597" s="3" t="s">
        <v>36</v>
      </c>
      <c r="Q597" s="3" t="s">
        <v>36</v>
      </c>
      <c r="R597" s="3" t="s">
        <v>36</v>
      </c>
      <c r="S597" s="3" t="s">
        <v>36</v>
      </c>
      <c r="T597" s="3" t="s">
        <v>3887</v>
      </c>
      <c r="U597" s="3" t="s">
        <v>619</v>
      </c>
      <c r="V597" s="3" t="s">
        <v>378</v>
      </c>
      <c r="W597" s="3" t="s">
        <v>3888</v>
      </c>
      <c r="X597" s="10" t="s">
        <v>3889</v>
      </c>
      <c r="Y597" s="6" t="s">
        <v>55</v>
      </c>
      <c r="Z597" s="4">
        <v>5.11</v>
      </c>
      <c r="AA597" s="4" t="s">
        <v>36</v>
      </c>
      <c r="AB597" s="3" t="s">
        <v>56</v>
      </c>
      <c r="AC597" s="3" t="s">
        <v>3890</v>
      </c>
      <c r="AD597" s="9">
        <v>45370</v>
      </c>
      <c r="AE597" s="3" t="s">
        <v>3891</v>
      </c>
      <c r="AF597" s="3" t="s">
        <v>3892</v>
      </c>
      <c r="AG597" s="3" t="s">
        <v>924</v>
      </c>
      <c r="AH597" s="11">
        <f>HYPERLINK("https://my.pitchbook.com?c=255110-95T","View Company Online")</f>
      </c>
    </row>
    <row r="598">
      <c r="A598" s="12" t="s">
        <v>3893</v>
      </c>
      <c r="B598" s="12" t="s">
        <v>3894</v>
      </c>
      <c r="C598" s="19" t="s">
        <v>36</v>
      </c>
      <c r="D598" s="19" t="s">
        <v>36</v>
      </c>
      <c r="E598" s="19" t="s">
        <v>36</v>
      </c>
      <c r="F598" s="19" t="s">
        <v>36</v>
      </c>
      <c r="G598" s="15" t="s">
        <v>36</v>
      </c>
      <c r="H598" s="14" t="s">
        <v>36</v>
      </c>
      <c r="I598" s="18" t="s">
        <v>36</v>
      </c>
      <c r="J598" s="12" t="s">
        <v>36</v>
      </c>
      <c r="K598" s="13" t="s">
        <v>36</v>
      </c>
      <c r="L598" s="15" t="s">
        <v>36</v>
      </c>
      <c r="M598" s="12" t="s">
        <v>36</v>
      </c>
      <c r="N598" s="12" t="s">
        <v>36</v>
      </c>
      <c r="O598" s="17" t="s">
        <v>36</v>
      </c>
      <c r="P598" s="12" t="s">
        <v>36</v>
      </c>
      <c r="Q598" s="12" t="s">
        <v>36</v>
      </c>
      <c r="R598" s="12" t="s">
        <v>36</v>
      </c>
      <c r="S598" s="12" t="s">
        <v>3895</v>
      </c>
      <c r="T598" s="12" t="s">
        <v>550</v>
      </c>
      <c r="U598" s="12" t="s">
        <v>38</v>
      </c>
      <c r="V598" s="12" t="s">
        <v>39</v>
      </c>
      <c r="W598" s="12" t="s">
        <v>3896</v>
      </c>
      <c r="X598" s="16" t="s">
        <v>3897</v>
      </c>
      <c r="Y598" s="15" t="s">
        <v>192</v>
      </c>
      <c r="Z598" s="14">
        <v>4.88</v>
      </c>
      <c r="AA598" s="14" t="s">
        <v>36</v>
      </c>
      <c r="AB598" s="12" t="s">
        <v>56</v>
      </c>
      <c r="AC598" s="12" t="s">
        <v>3898</v>
      </c>
      <c r="AD598" s="13">
        <v>45365</v>
      </c>
      <c r="AE598" s="12" t="s">
        <v>554</v>
      </c>
      <c r="AF598" s="12" t="s">
        <v>1380</v>
      </c>
      <c r="AG598" s="12" t="s">
        <v>81</v>
      </c>
      <c r="AH598" s="1">
        <f>HYPERLINK("https://my.pitchbook.com?c=254404-27T","View Company Online")</f>
      </c>
    </row>
    <row r="599">
      <c r="A599" s="3" t="s">
        <v>3899</v>
      </c>
      <c r="B599" s="3" t="s">
        <v>3900</v>
      </c>
      <c r="C599" s="5" t="s">
        <v>36</v>
      </c>
      <c r="D599" s="5" t="s">
        <v>36</v>
      </c>
      <c r="E599" s="5" t="s">
        <v>36</v>
      </c>
      <c r="F599" s="5" t="s">
        <v>36</v>
      </c>
      <c r="G599" s="6" t="s">
        <v>36</v>
      </c>
      <c r="H599" s="4" t="s">
        <v>36</v>
      </c>
      <c r="I599" s="7" t="s">
        <v>36</v>
      </c>
      <c r="J599" s="3" t="s">
        <v>36</v>
      </c>
      <c r="K599" s="9" t="s">
        <v>36</v>
      </c>
      <c r="L599" s="6" t="s">
        <v>36</v>
      </c>
      <c r="M599" s="3" t="s">
        <v>36</v>
      </c>
      <c r="N599" s="3" t="s">
        <v>36</v>
      </c>
      <c r="O599" s="8" t="s">
        <v>36</v>
      </c>
      <c r="P599" s="3" t="s">
        <v>36</v>
      </c>
      <c r="Q599" s="3" t="s">
        <v>36</v>
      </c>
      <c r="R599" s="3" t="s">
        <v>36</v>
      </c>
      <c r="S599" s="3" t="s">
        <v>36</v>
      </c>
      <c r="T599" s="3" t="s">
        <v>522</v>
      </c>
      <c r="U599" s="3" t="s">
        <v>38</v>
      </c>
      <c r="V599" s="3" t="s">
        <v>39</v>
      </c>
      <c r="W599" s="3" t="s">
        <v>3901</v>
      </c>
      <c r="X599" s="10" t="s">
        <v>3902</v>
      </c>
      <c r="Y599" s="6" t="s">
        <v>42</v>
      </c>
      <c r="Z599" s="4">
        <v>1.74</v>
      </c>
      <c r="AA599" s="4" t="s">
        <v>36</v>
      </c>
      <c r="AB599" s="3" t="s">
        <v>43</v>
      </c>
      <c r="AC599" s="3" t="s">
        <v>3903</v>
      </c>
      <c r="AD599" s="9">
        <v>45365</v>
      </c>
      <c r="AE599" s="3" t="s">
        <v>110</v>
      </c>
      <c r="AF599" s="3" t="s">
        <v>3904</v>
      </c>
      <c r="AG599" s="3" t="s">
        <v>144</v>
      </c>
      <c r="AH599" s="11">
        <f>HYPERLINK("https://my.pitchbook.com?c=206511-94T","View Company Online")</f>
      </c>
    </row>
    <row r="600">
      <c r="A600" s="12" t="s">
        <v>3905</v>
      </c>
      <c r="B600" s="12" t="s">
        <v>3906</v>
      </c>
      <c r="C600" s="19" t="s">
        <v>36</v>
      </c>
      <c r="D600" s="19" t="s">
        <v>36</v>
      </c>
      <c r="E600" s="19" t="s">
        <v>36</v>
      </c>
      <c r="F600" s="19" t="s">
        <v>36</v>
      </c>
      <c r="G600" s="15" t="s">
        <v>36</v>
      </c>
      <c r="H600" s="14" t="s">
        <v>36</v>
      </c>
      <c r="I600" s="18" t="s">
        <v>36</v>
      </c>
      <c r="J600" s="12" t="s">
        <v>36</v>
      </c>
      <c r="K600" s="13" t="s">
        <v>36</v>
      </c>
      <c r="L600" s="15" t="s">
        <v>36</v>
      </c>
      <c r="M600" s="12" t="s">
        <v>36</v>
      </c>
      <c r="N600" s="12" t="s">
        <v>36</v>
      </c>
      <c r="O600" s="17" t="s">
        <v>36</v>
      </c>
      <c r="P600" s="12" t="s">
        <v>36</v>
      </c>
      <c r="Q600" s="12" t="s">
        <v>36</v>
      </c>
      <c r="R600" s="12" t="s">
        <v>36</v>
      </c>
      <c r="S600" s="12" t="s">
        <v>36</v>
      </c>
      <c r="T600" s="12" t="s">
        <v>3907</v>
      </c>
      <c r="U600" s="12" t="s">
        <v>279</v>
      </c>
      <c r="V600" s="12" t="s">
        <v>64</v>
      </c>
      <c r="W600" s="12" t="s">
        <v>3908</v>
      </c>
      <c r="X600" s="16" t="s">
        <v>3127</v>
      </c>
      <c r="Y600" s="15" t="s">
        <v>42</v>
      </c>
      <c r="Z600" s="14" t="s">
        <v>36</v>
      </c>
      <c r="AA600" s="14" t="s">
        <v>36</v>
      </c>
      <c r="AB600" s="12" t="s">
        <v>56</v>
      </c>
      <c r="AC600" s="12" t="s">
        <v>3909</v>
      </c>
      <c r="AD600" s="13">
        <v>45365</v>
      </c>
      <c r="AE600" s="12" t="s">
        <v>851</v>
      </c>
      <c r="AF600" s="12" t="s">
        <v>36</v>
      </c>
      <c r="AG600" s="12" t="s">
        <v>81</v>
      </c>
      <c r="AH600" s="1">
        <f>HYPERLINK("https://my.pitchbook.com?c=264578-05T","View Company Online")</f>
      </c>
    </row>
    <row r="601">
      <c r="A601" s="3" t="s">
        <v>3910</v>
      </c>
      <c r="B601" s="3" t="s">
        <v>3911</v>
      </c>
      <c r="C601" s="5" t="s">
        <v>36</v>
      </c>
      <c r="D601" s="5" t="s">
        <v>36</v>
      </c>
      <c r="E601" s="5" t="s">
        <v>36</v>
      </c>
      <c r="F601" s="5" t="s">
        <v>36</v>
      </c>
      <c r="G601" s="6" t="s">
        <v>36</v>
      </c>
      <c r="H601" s="4" t="s">
        <v>36</v>
      </c>
      <c r="I601" s="7">
        <v>20.02</v>
      </c>
      <c r="J601" s="3" t="s">
        <v>327</v>
      </c>
      <c r="K601" s="9" t="s">
        <v>36</v>
      </c>
      <c r="L601" s="6" t="s">
        <v>36</v>
      </c>
      <c r="M601" s="3" t="s">
        <v>36</v>
      </c>
      <c r="N601" s="3" t="s">
        <v>36</v>
      </c>
      <c r="O601" s="8" t="s">
        <v>36</v>
      </c>
      <c r="P601" s="3" t="s">
        <v>36</v>
      </c>
      <c r="Q601" s="3" t="s">
        <v>36</v>
      </c>
      <c r="R601" s="3" t="s">
        <v>36</v>
      </c>
      <c r="S601" s="3" t="s">
        <v>36</v>
      </c>
      <c r="T601" s="3" t="s">
        <v>3912</v>
      </c>
      <c r="U601" s="3" t="s">
        <v>1580</v>
      </c>
      <c r="V601" s="3" t="s">
        <v>39</v>
      </c>
      <c r="W601" s="3" t="s">
        <v>3913</v>
      </c>
      <c r="X601" s="10" t="s">
        <v>3914</v>
      </c>
      <c r="Y601" s="6" t="s">
        <v>42</v>
      </c>
      <c r="Z601" s="4">
        <v>5.42</v>
      </c>
      <c r="AA601" s="4">
        <v>27.07</v>
      </c>
      <c r="AB601" s="3" t="s">
        <v>43</v>
      </c>
      <c r="AC601" s="3" t="s">
        <v>3915</v>
      </c>
      <c r="AD601" s="9">
        <v>45364</v>
      </c>
      <c r="AE601" s="3" t="s">
        <v>1584</v>
      </c>
      <c r="AF601" s="3" t="s">
        <v>118</v>
      </c>
      <c r="AG601" s="3" t="s">
        <v>81</v>
      </c>
      <c r="AH601" s="11">
        <f>HYPERLINK("https://my.pitchbook.com?c=254270-62T","View Company Online")</f>
      </c>
    </row>
    <row r="602">
      <c r="A602" s="12" t="s">
        <v>3916</v>
      </c>
      <c r="B602" s="12" t="s">
        <v>3917</v>
      </c>
      <c r="C602" s="19" t="s">
        <v>36</v>
      </c>
      <c r="D602" s="19" t="s">
        <v>36</v>
      </c>
      <c r="E602" s="19" t="s">
        <v>36</v>
      </c>
      <c r="F602" s="19" t="s">
        <v>36</v>
      </c>
      <c r="G602" s="15" t="s">
        <v>36</v>
      </c>
      <c r="H602" s="14" t="s">
        <v>36</v>
      </c>
      <c r="I602" s="18" t="s">
        <v>36</v>
      </c>
      <c r="J602" s="12" t="s">
        <v>36</v>
      </c>
      <c r="K602" s="13" t="s">
        <v>36</v>
      </c>
      <c r="L602" s="15" t="s">
        <v>36</v>
      </c>
      <c r="M602" s="12" t="s">
        <v>36</v>
      </c>
      <c r="N602" s="12" t="s">
        <v>36</v>
      </c>
      <c r="O602" s="17" t="s">
        <v>36</v>
      </c>
      <c r="P602" s="12" t="s">
        <v>36</v>
      </c>
      <c r="Q602" s="12" t="s">
        <v>36</v>
      </c>
      <c r="R602" s="12" t="s">
        <v>36</v>
      </c>
      <c r="S602" s="12" t="s">
        <v>36</v>
      </c>
      <c r="T602" s="12" t="s">
        <v>818</v>
      </c>
      <c r="U602" s="12" t="s">
        <v>74</v>
      </c>
      <c r="V602" s="12" t="s">
        <v>75</v>
      </c>
      <c r="W602" s="12" t="s">
        <v>3918</v>
      </c>
      <c r="X602" s="16" t="s">
        <v>3919</v>
      </c>
      <c r="Y602" s="15" t="s">
        <v>55</v>
      </c>
      <c r="Z602" s="14" t="s">
        <v>36</v>
      </c>
      <c r="AA602" s="14" t="s">
        <v>36</v>
      </c>
      <c r="AB602" s="12" t="s">
        <v>56</v>
      </c>
      <c r="AC602" s="12" t="s">
        <v>3920</v>
      </c>
      <c r="AD602" s="13">
        <v>45364</v>
      </c>
      <c r="AE602" s="12" t="s">
        <v>570</v>
      </c>
      <c r="AF602" s="12" t="s">
        <v>1340</v>
      </c>
      <c r="AG602" s="12" t="s">
        <v>81</v>
      </c>
      <c r="AH602" s="1">
        <f>HYPERLINK("https://my.pitchbook.com?c=254439-82T","View Company Online")</f>
      </c>
    </row>
    <row r="603">
      <c r="A603" s="3" t="s">
        <v>3921</v>
      </c>
      <c r="B603" s="3" t="s">
        <v>3922</v>
      </c>
      <c r="C603" s="5" t="s">
        <v>36</v>
      </c>
      <c r="D603" s="5" t="s">
        <v>36</v>
      </c>
      <c r="E603" s="5" t="s">
        <v>36</v>
      </c>
      <c r="F603" s="5" t="s">
        <v>36</v>
      </c>
      <c r="G603" s="6" t="s">
        <v>36</v>
      </c>
      <c r="H603" s="4" t="s">
        <v>36</v>
      </c>
      <c r="I603" s="7" t="s">
        <v>36</v>
      </c>
      <c r="J603" s="3" t="s">
        <v>36</v>
      </c>
      <c r="K603" s="9" t="s">
        <v>36</v>
      </c>
      <c r="L603" s="6" t="s">
        <v>36</v>
      </c>
      <c r="M603" s="3" t="s">
        <v>36</v>
      </c>
      <c r="N603" s="3" t="s">
        <v>36</v>
      </c>
      <c r="O603" s="8" t="s">
        <v>36</v>
      </c>
      <c r="P603" s="3" t="s">
        <v>36</v>
      </c>
      <c r="Q603" s="3" t="s">
        <v>36</v>
      </c>
      <c r="R603" s="3" t="s">
        <v>36</v>
      </c>
      <c r="S603" s="3" t="s">
        <v>36</v>
      </c>
      <c r="T603" s="3" t="s">
        <v>189</v>
      </c>
      <c r="U603" s="3" t="s">
        <v>180</v>
      </c>
      <c r="V603" s="3" t="s">
        <v>52</v>
      </c>
      <c r="W603" s="3" t="s">
        <v>3923</v>
      </c>
      <c r="X603" s="10" t="s">
        <v>3924</v>
      </c>
      <c r="Y603" s="6" t="s">
        <v>55</v>
      </c>
      <c r="Z603" s="4" t="s">
        <v>36</v>
      </c>
      <c r="AA603" s="4" t="s">
        <v>36</v>
      </c>
      <c r="AB603" s="3" t="s">
        <v>56</v>
      </c>
      <c r="AC603" s="3" t="s">
        <v>3925</v>
      </c>
      <c r="AD603" s="9">
        <v>45364</v>
      </c>
      <c r="AE603" s="3" t="s">
        <v>184</v>
      </c>
      <c r="AF603" s="3" t="s">
        <v>3926</v>
      </c>
      <c r="AG603" s="3" t="s">
        <v>102</v>
      </c>
      <c r="AH603" s="11">
        <f>HYPERLINK("https://my.pitchbook.com?c=280806-40T","View Company Online")</f>
      </c>
    </row>
    <row r="604">
      <c r="A604" s="12" t="s">
        <v>3927</v>
      </c>
      <c r="B604" s="12" t="s">
        <v>3928</v>
      </c>
      <c r="C604" s="19" t="s">
        <v>36</v>
      </c>
      <c r="D604" s="19" t="s">
        <v>36</v>
      </c>
      <c r="E604" s="19" t="s">
        <v>36</v>
      </c>
      <c r="F604" s="19" t="s">
        <v>36</v>
      </c>
      <c r="G604" s="15" t="s">
        <v>36</v>
      </c>
      <c r="H604" s="14" t="s">
        <v>36</v>
      </c>
      <c r="I604" s="18" t="s">
        <v>36</v>
      </c>
      <c r="J604" s="12" t="s">
        <v>36</v>
      </c>
      <c r="K604" s="13" t="s">
        <v>36</v>
      </c>
      <c r="L604" s="15" t="s">
        <v>36</v>
      </c>
      <c r="M604" s="12" t="s">
        <v>36</v>
      </c>
      <c r="N604" s="12" t="s">
        <v>36</v>
      </c>
      <c r="O604" s="17" t="s">
        <v>36</v>
      </c>
      <c r="P604" s="12" t="s">
        <v>36</v>
      </c>
      <c r="Q604" s="12" t="s">
        <v>36</v>
      </c>
      <c r="R604" s="12" t="s">
        <v>36</v>
      </c>
      <c r="S604" s="12" t="s">
        <v>36</v>
      </c>
      <c r="T604" s="12" t="s">
        <v>529</v>
      </c>
      <c r="U604" s="12" t="s">
        <v>38</v>
      </c>
      <c r="V604" s="12" t="s">
        <v>39</v>
      </c>
      <c r="W604" s="12" t="s">
        <v>3929</v>
      </c>
      <c r="X604" s="16" t="s">
        <v>3930</v>
      </c>
      <c r="Y604" s="15" t="s">
        <v>108</v>
      </c>
      <c r="Z604" s="14">
        <v>6.5</v>
      </c>
      <c r="AA604" s="14" t="s">
        <v>36</v>
      </c>
      <c r="AB604" s="12" t="s">
        <v>56</v>
      </c>
      <c r="AC604" s="12" t="s">
        <v>3931</v>
      </c>
      <c r="AD604" s="13">
        <v>45363</v>
      </c>
      <c r="AE604" s="12" t="s">
        <v>134</v>
      </c>
      <c r="AF604" s="12" t="s">
        <v>135</v>
      </c>
      <c r="AG604" s="12" t="s">
        <v>1525</v>
      </c>
      <c r="AH604" s="1">
        <f>HYPERLINK("https://my.pitchbook.com?c=254177-56T","View Company Online")</f>
      </c>
    </row>
    <row r="605">
      <c r="A605" s="3" t="s">
        <v>3932</v>
      </c>
      <c r="B605" s="3" t="s">
        <v>3933</v>
      </c>
      <c r="C605" s="5" t="s">
        <v>36</v>
      </c>
      <c r="D605" s="5" t="s">
        <v>36</v>
      </c>
      <c r="E605" s="5" t="s">
        <v>36</v>
      </c>
      <c r="F605" s="5" t="s">
        <v>36</v>
      </c>
      <c r="G605" s="6" t="s">
        <v>36</v>
      </c>
      <c r="H605" s="4" t="s">
        <v>36</v>
      </c>
      <c r="I605" s="7" t="s">
        <v>36</v>
      </c>
      <c r="J605" s="3" t="s">
        <v>36</v>
      </c>
      <c r="K605" s="9" t="s">
        <v>36</v>
      </c>
      <c r="L605" s="6" t="s">
        <v>36</v>
      </c>
      <c r="M605" s="3" t="s">
        <v>36</v>
      </c>
      <c r="N605" s="3" t="s">
        <v>36</v>
      </c>
      <c r="O605" s="8" t="s">
        <v>36</v>
      </c>
      <c r="P605" s="3" t="s">
        <v>36</v>
      </c>
      <c r="Q605" s="3" t="s">
        <v>36</v>
      </c>
      <c r="R605" s="3" t="s">
        <v>36</v>
      </c>
      <c r="S605" s="3" t="s">
        <v>36</v>
      </c>
      <c r="T605" s="3" t="s">
        <v>522</v>
      </c>
      <c r="U605" s="3" t="s">
        <v>38</v>
      </c>
      <c r="V605" s="3" t="s">
        <v>39</v>
      </c>
      <c r="W605" s="3" t="s">
        <v>3934</v>
      </c>
      <c r="X605" s="10" t="s">
        <v>3935</v>
      </c>
      <c r="Y605" s="6" t="s">
        <v>42</v>
      </c>
      <c r="Z605" s="4">
        <v>2.17</v>
      </c>
      <c r="AA605" s="4" t="s">
        <v>36</v>
      </c>
      <c r="AB605" s="3" t="s">
        <v>43</v>
      </c>
      <c r="AC605" s="3" t="s">
        <v>3936</v>
      </c>
      <c r="AD605" s="9">
        <v>45363</v>
      </c>
      <c r="AE605" s="3" t="s">
        <v>110</v>
      </c>
      <c r="AF605" s="3" t="s">
        <v>111</v>
      </c>
      <c r="AG605" s="3" t="s">
        <v>741</v>
      </c>
      <c r="AH605" s="11">
        <f>HYPERLINK("https://my.pitchbook.com?c=254087-11T","View Company Online")</f>
      </c>
    </row>
    <row r="606">
      <c r="A606" s="12" t="s">
        <v>3937</v>
      </c>
      <c r="B606" s="12" t="s">
        <v>3938</v>
      </c>
      <c r="C606" s="19" t="s">
        <v>36</v>
      </c>
      <c r="D606" s="19" t="s">
        <v>36</v>
      </c>
      <c r="E606" s="19" t="s">
        <v>36</v>
      </c>
      <c r="F606" s="19" t="s">
        <v>36</v>
      </c>
      <c r="G606" s="15" t="s">
        <v>326</v>
      </c>
      <c r="H606" s="14">
        <v>394</v>
      </c>
      <c r="I606" s="18">
        <v>19.99</v>
      </c>
      <c r="J606" s="12" t="s">
        <v>521</v>
      </c>
      <c r="K606" s="13" t="s">
        <v>36</v>
      </c>
      <c r="L606" s="15" t="s">
        <v>122</v>
      </c>
      <c r="M606" s="12" t="s">
        <v>36</v>
      </c>
      <c r="N606" s="12" t="s">
        <v>122</v>
      </c>
      <c r="O606" s="17" t="s">
        <v>36</v>
      </c>
      <c r="P606" s="12" t="s">
        <v>36</v>
      </c>
      <c r="Q606" s="12" t="s">
        <v>36</v>
      </c>
      <c r="R606" s="12" t="s">
        <v>36</v>
      </c>
      <c r="S606" s="12" t="s">
        <v>36</v>
      </c>
      <c r="T606" s="12" t="s">
        <v>3939</v>
      </c>
      <c r="U606" s="12" t="s">
        <v>74</v>
      </c>
      <c r="V606" s="12" t="s">
        <v>75</v>
      </c>
      <c r="W606" s="12" t="s">
        <v>3940</v>
      </c>
      <c r="X606" s="16" t="s">
        <v>3941</v>
      </c>
      <c r="Y606" s="15" t="s">
        <v>108</v>
      </c>
      <c r="Z606" s="14">
        <v>5.41</v>
      </c>
      <c r="AA606" s="14">
        <v>16.25</v>
      </c>
      <c r="AB606" s="12" t="s">
        <v>56</v>
      </c>
      <c r="AC606" s="12" t="s">
        <v>3942</v>
      </c>
      <c r="AD606" s="13">
        <v>45362</v>
      </c>
      <c r="AE606" s="12" t="s">
        <v>975</v>
      </c>
      <c r="AF606" s="12" t="s">
        <v>275</v>
      </c>
      <c r="AG606" s="12" t="s">
        <v>47</v>
      </c>
      <c r="AH606" s="1">
        <f>HYPERLINK("https://my.pitchbook.com?c=253996-03T","View Company Online")</f>
      </c>
    </row>
    <row r="607">
      <c r="A607" s="3" t="s">
        <v>3943</v>
      </c>
      <c r="B607" s="3" t="s">
        <v>3944</v>
      </c>
      <c r="C607" s="5">
        <v>7</v>
      </c>
      <c r="D607" s="5" t="s">
        <v>36</v>
      </c>
      <c r="E607" s="5">
        <v>3</v>
      </c>
      <c r="F607" s="5">
        <v>7</v>
      </c>
      <c r="G607" s="6" t="s">
        <v>326</v>
      </c>
      <c r="H607" s="4">
        <v>1.54</v>
      </c>
      <c r="I607" s="7">
        <v>43.03</v>
      </c>
      <c r="J607" s="3" t="s">
        <v>521</v>
      </c>
      <c r="K607" s="9" t="s">
        <v>36</v>
      </c>
      <c r="L607" s="6" t="s">
        <v>122</v>
      </c>
      <c r="M607" s="3" t="s">
        <v>36</v>
      </c>
      <c r="N607" s="3" t="s">
        <v>122</v>
      </c>
      <c r="O607" s="8" t="s">
        <v>36</v>
      </c>
      <c r="P607" s="3" t="s">
        <v>36</v>
      </c>
      <c r="Q607" s="3" t="s">
        <v>36</v>
      </c>
      <c r="R607" s="3" t="s">
        <v>36</v>
      </c>
      <c r="S607" s="3" t="s">
        <v>36</v>
      </c>
      <c r="T607" s="3" t="s">
        <v>3945</v>
      </c>
      <c r="U607" s="3" t="s">
        <v>366</v>
      </c>
      <c r="V607" s="3" t="s">
        <v>367</v>
      </c>
      <c r="W607" s="3" t="s">
        <v>3946</v>
      </c>
      <c r="X607" s="10" t="s">
        <v>3947</v>
      </c>
      <c r="Y607" s="6" t="s">
        <v>55</v>
      </c>
      <c r="Z607" s="4">
        <v>12.45</v>
      </c>
      <c r="AA607" s="4">
        <v>18.23</v>
      </c>
      <c r="AB607" s="3" t="s">
        <v>56</v>
      </c>
      <c r="AC607" s="3" t="s">
        <v>3948</v>
      </c>
      <c r="AD607" s="9">
        <v>45362</v>
      </c>
      <c r="AE607" s="3" t="s">
        <v>600</v>
      </c>
      <c r="AF607" s="3" t="s">
        <v>982</v>
      </c>
      <c r="AG607" s="3" t="s">
        <v>81</v>
      </c>
      <c r="AH607" s="11">
        <f>HYPERLINK("https://my.pitchbook.com?c=253995-40T","View Company Online")</f>
      </c>
    </row>
    <row r="608">
      <c r="A608" s="12" t="s">
        <v>3949</v>
      </c>
      <c r="B608" s="12" t="s">
        <v>3950</v>
      </c>
      <c r="C608" s="19">
        <v>23</v>
      </c>
      <c r="D608" s="19">
        <v>20</v>
      </c>
      <c r="E608" s="19">
        <v>21</v>
      </c>
      <c r="F608" s="19">
        <v>50</v>
      </c>
      <c r="G608" s="15" t="s">
        <v>36</v>
      </c>
      <c r="H608" s="14" t="s">
        <v>36</v>
      </c>
      <c r="I608" s="18" t="s">
        <v>36</v>
      </c>
      <c r="J608" s="12" t="s">
        <v>36</v>
      </c>
      <c r="K608" s="13" t="s">
        <v>36</v>
      </c>
      <c r="L608" s="15" t="s">
        <v>122</v>
      </c>
      <c r="M608" s="12" t="s">
        <v>36</v>
      </c>
      <c r="N608" s="12" t="s">
        <v>122</v>
      </c>
      <c r="O608" s="17" t="s">
        <v>36</v>
      </c>
      <c r="P608" s="12" t="s">
        <v>36</v>
      </c>
      <c r="Q608" s="12" t="s">
        <v>36</v>
      </c>
      <c r="R608" s="12" t="s">
        <v>36</v>
      </c>
      <c r="S608" s="12" t="s">
        <v>36</v>
      </c>
      <c r="T608" s="12" t="s">
        <v>3951</v>
      </c>
      <c r="U608" s="12" t="s">
        <v>38</v>
      </c>
      <c r="V608" s="12" t="s">
        <v>39</v>
      </c>
      <c r="W608" s="12" t="s">
        <v>3952</v>
      </c>
      <c r="X608" s="16" t="s">
        <v>3953</v>
      </c>
      <c r="Y608" s="15" t="s">
        <v>166</v>
      </c>
      <c r="Z608" s="14">
        <v>73</v>
      </c>
      <c r="AA608" s="14" t="s">
        <v>36</v>
      </c>
      <c r="AB608" s="12" t="s">
        <v>56</v>
      </c>
      <c r="AC608" s="12" t="s">
        <v>3954</v>
      </c>
      <c r="AD608" s="13">
        <v>45358</v>
      </c>
      <c r="AE608" s="12" t="s">
        <v>134</v>
      </c>
      <c r="AF608" s="12" t="s">
        <v>3955</v>
      </c>
      <c r="AG608" s="12" t="s">
        <v>81</v>
      </c>
      <c r="AH608" s="1">
        <f>HYPERLINK("https://my.pitchbook.com?c=253787-50T","View Company Online")</f>
      </c>
    </row>
    <row r="609">
      <c r="A609" s="3" t="s">
        <v>3956</v>
      </c>
      <c r="B609" s="3" t="s">
        <v>3957</v>
      </c>
      <c r="C609" s="5" t="s">
        <v>36</v>
      </c>
      <c r="D609" s="5" t="s">
        <v>36</v>
      </c>
      <c r="E609" s="5">
        <v>1</v>
      </c>
      <c r="F609" s="5">
        <v>1</v>
      </c>
      <c r="G609" s="6" t="s">
        <v>36</v>
      </c>
      <c r="H609" s="4" t="s">
        <v>36</v>
      </c>
      <c r="I609" s="7" t="s">
        <v>36</v>
      </c>
      <c r="J609" s="3" t="s">
        <v>36</v>
      </c>
      <c r="K609" s="9" t="s">
        <v>36</v>
      </c>
      <c r="L609" s="6" t="s">
        <v>94</v>
      </c>
      <c r="M609" s="3" t="s">
        <v>36</v>
      </c>
      <c r="N609" s="3" t="s">
        <v>94</v>
      </c>
      <c r="O609" s="8" t="s">
        <v>36</v>
      </c>
      <c r="P609" s="3" t="s">
        <v>36</v>
      </c>
      <c r="Q609" s="3" t="s">
        <v>36</v>
      </c>
      <c r="R609" s="3" t="s">
        <v>36</v>
      </c>
      <c r="S609" s="3" t="s">
        <v>36</v>
      </c>
      <c r="T609" s="3" t="s">
        <v>3958</v>
      </c>
      <c r="U609" s="3" t="s">
        <v>38</v>
      </c>
      <c r="V609" s="3" t="s">
        <v>39</v>
      </c>
      <c r="W609" s="3" t="s">
        <v>3959</v>
      </c>
      <c r="X609" s="10" t="s">
        <v>3960</v>
      </c>
      <c r="Y609" s="6" t="s">
        <v>192</v>
      </c>
      <c r="Z609" s="4">
        <v>52</v>
      </c>
      <c r="AA609" s="4" t="s">
        <v>36</v>
      </c>
      <c r="AB609" s="3" t="s">
        <v>56</v>
      </c>
      <c r="AC609" s="3" t="s">
        <v>3961</v>
      </c>
      <c r="AD609" s="9">
        <v>45357</v>
      </c>
      <c r="AE609" s="3" t="s">
        <v>110</v>
      </c>
      <c r="AF609" s="3" t="s">
        <v>2397</v>
      </c>
      <c r="AG609" s="3" t="s">
        <v>81</v>
      </c>
      <c r="AH609" s="11">
        <f>HYPERLINK("https://my.pitchbook.com?c=254980-54T","View Company Online")</f>
      </c>
    </row>
    <row r="610">
      <c r="A610" s="12" t="s">
        <v>3962</v>
      </c>
      <c r="B610" s="12" t="s">
        <v>3963</v>
      </c>
      <c r="C610" s="19" t="s">
        <v>36</v>
      </c>
      <c r="D610" s="19" t="s">
        <v>36</v>
      </c>
      <c r="E610" s="19" t="s">
        <v>36</v>
      </c>
      <c r="F610" s="19" t="s">
        <v>36</v>
      </c>
      <c r="G610" s="15" t="s">
        <v>326</v>
      </c>
      <c r="H610" s="14" t="s">
        <v>36</v>
      </c>
      <c r="I610" s="18">
        <v>7.53</v>
      </c>
      <c r="J610" s="12" t="s">
        <v>521</v>
      </c>
      <c r="K610" s="13" t="s">
        <v>36</v>
      </c>
      <c r="L610" s="15" t="s">
        <v>94</v>
      </c>
      <c r="M610" s="12" t="s">
        <v>36</v>
      </c>
      <c r="N610" s="12" t="s">
        <v>94</v>
      </c>
      <c r="O610" s="17" t="s">
        <v>36</v>
      </c>
      <c r="P610" s="12" t="s">
        <v>36</v>
      </c>
      <c r="Q610" s="12" t="s">
        <v>36</v>
      </c>
      <c r="R610" s="12" t="s">
        <v>36</v>
      </c>
      <c r="S610" s="12" t="s">
        <v>36</v>
      </c>
      <c r="T610" s="12" t="s">
        <v>3964</v>
      </c>
      <c r="U610" s="12" t="s">
        <v>289</v>
      </c>
      <c r="V610" s="12" t="s">
        <v>64</v>
      </c>
      <c r="W610" s="12" t="s">
        <v>3965</v>
      </c>
      <c r="X610" s="16" t="s">
        <v>3966</v>
      </c>
      <c r="Y610" s="15" t="s">
        <v>192</v>
      </c>
      <c r="Z610" s="14">
        <v>28.61</v>
      </c>
      <c r="AA610" s="14">
        <v>379.78</v>
      </c>
      <c r="AB610" s="12" t="s">
        <v>56</v>
      </c>
      <c r="AC610" s="12" t="s">
        <v>3967</v>
      </c>
      <c r="AD610" s="13">
        <v>45357</v>
      </c>
      <c r="AE610" s="12" t="s">
        <v>3134</v>
      </c>
      <c r="AF610" s="12" t="s">
        <v>2363</v>
      </c>
      <c r="AG610" s="12" t="s">
        <v>3968</v>
      </c>
      <c r="AH610" s="1">
        <f>HYPERLINK("https://my.pitchbook.com?c=253807-75T","View Company Online")</f>
      </c>
    </row>
    <row r="611">
      <c r="A611" s="3" t="s">
        <v>3969</v>
      </c>
      <c r="B611" s="3" t="s">
        <v>3970</v>
      </c>
      <c r="C611" s="5" t="s">
        <v>36</v>
      </c>
      <c r="D611" s="5" t="s">
        <v>36</v>
      </c>
      <c r="E611" s="5" t="s">
        <v>36</v>
      </c>
      <c r="F611" s="5" t="s">
        <v>36</v>
      </c>
      <c r="G611" s="6" t="s">
        <v>36</v>
      </c>
      <c r="H611" s="4" t="s">
        <v>36</v>
      </c>
      <c r="I611" s="7" t="s">
        <v>36</v>
      </c>
      <c r="J611" s="3" t="s">
        <v>36</v>
      </c>
      <c r="K611" s="9">
        <v>44866</v>
      </c>
      <c r="L611" s="6" t="s">
        <v>36</v>
      </c>
      <c r="M611" s="3" t="s">
        <v>36</v>
      </c>
      <c r="N611" s="3" t="s">
        <v>36</v>
      </c>
      <c r="O611" s="8" t="s">
        <v>36</v>
      </c>
      <c r="P611" s="3" t="s">
        <v>36</v>
      </c>
      <c r="Q611" s="3" t="s">
        <v>36</v>
      </c>
      <c r="R611" s="3" t="s">
        <v>36</v>
      </c>
      <c r="S611" s="3" t="s">
        <v>3444</v>
      </c>
      <c r="T611" s="3" t="s">
        <v>942</v>
      </c>
      <c r="U611" s="3" t="s">
        <v>38</v>
      </c>
      <c r="V611" s="3" t="s">
        <v>39</v>
      </c>
      <c r="W611" s="3" t="s">
        <v>3971</v>
      </c>
      <c r="X611" s="10" t="s">
        <v>3972</v>
      </c>
      <c r="Y611" s="6" t="s">
        <v>42</v>
      </c>
      <c r="Z611" s="4">
        <v>2.16</v>
      </c>
      <c r="AA611" s="4" t="s">
        <v>36</v>
      </c>
      <c r="AB611" s="3" t="s">
        <v>43</v>
      </c>
      <c r="AC611" s="3" t="s">
        <v>3973</v>
      </c>
      <c r="AD611" s="9">
        <v>45356</v>
      </c>
      <c r="AE611" s="3" t="s">
        <v>45</v>
      </c>
      <c r="AF611" s="3" t="s">
        <v>3974</v>
      </c>
      <c r="AG611" s="3" t="s">
        <v>81</v>
      </c>
      <c r="AH611" s="11">
        <f>HYPERLINK("https://my.pitchbook.com?c=207709-84T","View Company Online")</f>
      </c>
    </row>
    <row r="612">
      <c r="A612" s="12" t="s">
        <v>3975</v>
      </c>
      <c r="B612" s="12" t="s">
        <v>3976</v>
      </c>
      <c r="C612" s="19" t="s">
        <v>36</v>
      </c>
      <c r="D612" s="19" t="s">
        <v>36</v>
      </c>
      <c r="E612" s="19" t="s">
        <v>36</v>
      </c>
      <c r="F612" s="19" t="s">
        <v>36</v>
      </c>
      <c r="G612" s="15" t="s">
        <v>36</v>
      </c>
      <c r="H612" s="14" t="s">
        <v>36</v>
      </c>
      <c r="I612" s="18" t="s">
        <v>36</v>
      </c>
      <c r="J612" s="12" t="s">
        <v>36</v>
      </c>
      <c r="K612" s="13" t="s">
        <v>36</v>
      </c>
      <c r="L612" s="15" t="s">
        <v>36</v>
      </c>
      <c r="M612" s="12" t="s">
        <v>36</v>
      </c>
      <c r="N612" s="12" t="s">
        <v>36</v>
      </c>
      <c r="O612" s="17" t="s">
        <v>36</v>
      </c>
      <c r="P612" s="12" t="s">
        <v>36</v>
      </c>
      <c r="Q612" s="12" t="s">
        <v>36</v>
      </c>
      <c r="R612" s="12" t="s">
        <v>36</v>
      </c>
      <c r="S612" s="12" t="s">
        <v>36</v>
      </c>
      <c r="T612" s="12" t="s">
        <v>3977</v>
      </c>
      <c r="U612" s="12" t="s">
        <v>648</v>
      </c>
      <c r="V612" s="12" t="s">
        <v>64</v>
      </c>
      <c r="W612" s="12" t="s">
        <v>3978</v>
      </c>
      <c r="X612" s="16" t="s">
        <v>3979</v>
      </c>
      <c r="Y612" s="15" t="s">
        <v>55</v>
      </c>
      <c r="Z612" s="14">
        <v>10.8</v>
      </c>
      <c r="AA612" s="14" t="s">
        <v>36</v>
      </c>
      <c r="AB612" s="12" t="s">
        <v>56</v>
      </c>
      <c r="AC612" s="12" t="s">
        <v>3980</v>
      </c>
      <c r="AD612" s="13">
        <v>45356</v>
      </c>
      <c r="AE612" s="12" t="s">
        <v>651</v>
      </c>
      <c r="AF612" s="12" t="s">
        <v>3981</v>
      </c>
      <c r="AG612" s="12" t="s">
        <v>81</v>
      </c>
      <c r="AH612" s="1">
        <f>HYPERLINK("https://my.pitchbook.com?c=253547-56T","View Company Online")</f>
      </c>
    </row>
    <row r="613">
      <c r="A613" s="3" t="s">
        <v>3982</v>
      </c>
      <c r="B613" s="3" t="s">
        <v>3983</v>
      </c>
      <c r="C613" s="5" t="s">
        <v>36</v>
      </c>
      <c r="D613" s="5" t="s">
        <v>36</v>
      </c>
      <c r="E613" s="5" t="s">
        <v>36</v>
      </c>
      <c r="F613" s="5" t="s">
        <v>36</v>
      </c>
      <c r="G613" s="6" t="s">
        <v>36</v>
      </c>
      <c r="H613" s="4" t="s">
        <v>36</v>
      </c>
      <c r="I613" s="7" t="s">
        <v>36</v>
      </c>
      <c r="J613" s="3" t="s">
        <v>36</v>
      </c>
      <c r="K613" s="9" t="s">
        <v>36</v>
      </c>
      <c r="L613" s="6" t="s">
        <v>36</v>
      </c>
      <c r="M613" s="3" t="s">
        <v>36</v>
      </c>
      <c r="N613" s="3" t="s">
        <v>36</v>
      </c>
      <c r="O613" s="8" t="s">
        <v>36</v>
      </c>
      <c r="P613" s="3" t="s">
        <v>36</v>
      </c>
      <c r="Q613" s="3" t="s">
        <v>36</v>
      </c>
      <c r="R613" s="3" t="s">
        <v>36</v>
      </c>
      <c r="S613" s="3" t="s">
        <v>36</v>
      </c>
      <c r="T613" s="3" t="s">
        <v>3984</v>
      </c>
      <c r="U613" s="3" t="s">
        <v>648</v>
      </c>
      <c r="V613" s="3" t="s">
        <v>64</v>
      </c>
      <c r="W613" s="3" t="s">
        <v>3985</v>
      </c>
      <c r="X613" s="10" t="s">
        <v>3986</v>
      </c>
      <c r="Y613" s="6" t="s">
        <v>42</v>
      </c>
      <c r="Z613" s="4">
        <v>0.65</v>
      </c>
      <c r="AA613" s="4" t="s">
        <v>36</v>
      </c>
      <c r="AB613" s="3" t="s">
        <v>43</v>
      </c>
      <c r="AC613" s="3" t="s">
        <v>3987</v>
      </c>
      <c r="AD613" s="9">
        <v>45356</v>
      </c>
      <c r="AE613" s="3" t="s">
        <v>3988</v>
      </c>
      <c r="AF613" s="3" t="s">
        <v>90</v>
      </c>
      <c r="AG613" s="3" t="s">
        <v>144</v>
      </c>
      <c r="AH613" s="11">
        <f>HYPERLINK("https://my.pitchbook.com?c=253603-81T","View Company Online")</f>
      </c>
    </row>
    <row r="614">
      <c r="A614" s="12" t="s">
        <v>3989</v>
      </c>
      <c r="B614" s="12" t="s">
        <v>3990</v>
      </c>
      <c r="C614" s="19">
        <v>3</v>
      </c>
      <c r="D614" s="19" t="s">
        <v>36</v>
      </c>
      <c r="E614" s="19">
        <v>1</v>
      </c>
      <c r="F614" s="19">
        <v>3</v>
      </c>
      <c r="G614" s="15" t="s">
        <v>36</v>
      </c>
      <c r="H614" s="14">
        <v>39.41</v>
      </c>
      <c r="I614" s="18">
        <v>46.51</v>
      </c>
      <c r="J614" s="12" t="s">
        <v>521</v>
      </c>
      <c r="K614" s="13" t="s">
        <v>36</v>
      </c>
      <c r="L614" s="15" t="s">
        <v>36</v>
      </c>
      <c r="M614" s="12" t="s">
        <v>36</v>
      </c>
      <c r="N614" s="12" t="s">
        <v>36</v>
      </c>
      <c r="O614" s="17" t="s">
        <v>36</v>
      </c>
      <c r="P614" s="12" t="s">
        <v>36</v>
      </c>
      <c r="Q614" s="12" t="s">
        <v>36</v>
      </c>
      <c r="R614" s="12" t="s">
        <v>36</v>
      </c>
      <c r="S614" s="12" t="s">
        <v>36</v>
      </c>
      <c r="T614" s="12" t="s">
        <v>818</v>
      </c>
      <c r="U614" s="12" t="s">
        <v>74</v>
      </c>
      <c r="V614" s="12" t="s">
        <v>75</v>
      </c>
      <c r="W614" s="12" t="s">
        <v>3991</v>
      </c>
      <c r="X614" s="16" t="s">
        <v>3992</v>
      </c>
      <c r="Y614" s="15" t="s">
        <v>42</v>
      </c>
      <c r="Z614" s="14">
        <v>2.16</v>
      </c>
      <c r="AA614" s="14">
        <v>4.64</v>
      </c>
      <c r="AB614" s="12" t="s">
        <v>43</v>
      </c>
      <c r="AC614" s="12" t="s">
        <v>3993</v>
      </c>
      <c r="AD614" s="13">
        <v>45356</v>
      </c>
      <c r="AE614" s="12" t="s">
        <v>570</v>
      </c>
      <c r="AF614" s="12" t="s">
        <v>546</v>
      </c>
      <c r="AG614" s="12" t="s">
        <v>102</v>
      </c>
      <c r="AH614" s="1">
        <f>HYPERLINK("https://my.pitchbook.com?c=255203-92T","View Company Online")</f>
      </c>
    </row>
    <row r="615">
      <c r="A615" s="3" t="s">
        <v>3994</v>
      </c>
      <c r="B615" s="3" t="s">
        <v>3995</v>
      </c>
      <c r="C615" s="5" t="s">
        <v>36</v>
      </c>
      <c r="D615" s="5" t="s">
        <v>36</v>
      </c>
      <c r="E615" s="5" t="s">
        <v>36</v>
      </c>
      <c r="F615" s="5" t="s">
        <v>36</v>
      </c>
      <c r="G615" s="6" t="s">
        <v>36</v>
      </c>
      <c r="H615" s="4" t="s">
        <v>36</v>
      </c>
      <c r="I615" s="7" t="s">
        <v>36</v>
      </c>
      <c r="J615" s="3" t="s">
        <v>36</v>
      </c>
      <c r="K615" s="9">
        <v>45231</v>
      </c>
      <c r="L615" s="6" t="s">
        <v>36</v>
      </c>
      <c r="M615" s="3" t="s">
        <v>36</v>
      </c>
      <c r="N615" s="3" t="s">
        <v>36</v>
      </c>
      <c r="O615" s="8" t="s">
        <v>36</v>
      </c>
      <c r="P615" s="3" t="s">
        <v>36</v>
      </c>
      <c r="Q615" s="3" t="s">
        <v>36</v>
      </c>
      <c r="R615" s="3" t="s">
        <v>36</v>
      </c>
      <c r="S615" s="3" t="s">
        <v>36</v>
      </c>
      <c r="T615" s="3" t="s">
        <v>3996</v>
      </c>
      <c r="U615" s="3" t="s">
        <v>74</v>
      </c>
      <c r="V615" s="3" t="s">
        <v>75</v>
      </c>
      <c r="W615" s="3" t="s">
        <v>3997</v>
      </c>
      <c r="X615" s="10" t="s">
        <v>3998</v>
      </c>
      <c r="Y615" s="6" t="s">
        <v>42</v>
      </c>
      <c r="Z615" s="4">
        <v>1.84</v>
      </c>
      <c r="AA615" s="4" t="s">
        <v>36</v>
      </c>
      <c r="AB615" s="3" t="s">
        <v>56</v>
      </c>
      <c r="AC615" s="3" t="s">
        <v>3999</v>
      </c>
      <c r="AD615" s="9">
        <v>45356</v>
      </c>
      <c r="AE615" s="3" t="s">
        <v>79</v>
      </c>
      <c r="AF615" s="3" t="s">
        <v>4000</v>
      </c>
      <c r="AG615" s="3" t="s">
        <v>4001</v>
      </c>
      <c r="AH615" s="11">
        <f>HYPERLINK("https://my.pitchbook.com?c=246989-89T","View Company Online")</f>
      </c>
    </row>
    <row r="616">
      <c r="A616" s="12" t="s">
        <v>4002</v>
      </c>
      <c r="B616" s="12" t="s">
        <v>4003</v>
      </c>
      <c r="C616" s="19">
        <v>32</v>
      </c>
      <c r="D616" s="19">
        <v>17</v>
      </c>
      <c r="E616" s="19">
        <v>15</v>
      </c>
      <c r="F616" s="19">
        <v>49</v>
      </c>
      <c r="G616" s="15" t="s">
        <v>36</v>
      </c>
      <c r="H616" s="14" t="s">
        <v>36</v>
      </c>
      <c r="I616" s="18" t="s">
        <v>36</v>
      </c>
      <c r="J616" s="12" t="s">
        <v>36</v>
      </c>
      <c r="K616" s="13">
        <v>45231</v>
      </c>
      <c r="L616" s="15" t="s">
        <v>36</v>
      </c>
      <c r="M616" s="12" t="s">
        <v>36</v>
      </c>
      <c r="N616" s="12" t="s">
        <v>36</v>
      </c>
      <c r="O616" s="17" t="s">
        <v>36</v>
      </c>
      <c r="P616" s="12" t="s">
        <v>36</v>
      </c>
      <c r="Q616" s="12" t="s">
        <v>36</v>
      </c>
      <c r="R616" s="12" t="s">
        <v>36</v>
      </c>
      <c r="S616" s="12" t="s">
        <v>36</v>
      </c>
      <c r="T616" s="12" t="s">
        <v>4004</v>
      </c>
      <c r="U616" s="12" t="s">
        <v>96</v>
      </c>
      <c r="V616" s="12" t="s">
        <v>52</v>
      </c>
      <c r="W616" s="12" t="s">
        <v>4005</v>
      </c>
      <c r="X616" s="16" t="s">
        <v>4006</v>
      </c>
      <c r="Y616" s="15" t="s">
        <v>192</v>
      </c>
      <c r="Z616" s="14">
        <v>16.19</v>
      </c>
      <c r="AA616" s="14" t="s">
        <v>36</v>
      </c>
      <c r="AB616" s="12" t="s">
        <v>56</v>
      </c>
      <c r="AC616" s="12" t="s">
        <v>4007</v>
      </c>
      <c r="AD616" s="13">
        <v>45355</v>
      </c>
      <c r="AE616" s="12" t="s">
        <v>100</v>
      </c>
      <c r="AF616" s="12" t="s">
        <v>3024</v>
      </c>
      <c r="AG616" s="12" t="s">
        <v>969</v>
      </c>
      <c r="AH616" s="1">
        <f>HYPERLINK("https://my.pitchbook.com?c=250945-39T","View Company Online")</f>
      </c>
    </row>
    <row r="617">
      <c r="A617" s="3" t="s">
        <v>4008</v>
      </c>
      <c r="B617" s="3" t="s">
        <v>4009</v>
      </c>
      <c r="C617" s="5" t="s">
        <v>36</v>
      </c>
      <c r="D617" s="5" t="s">
        <v>36</v>
      </c>
      <c r="E617" s="5" t="s">
        <v>36</v>
      </c>
      <c r="F617" s="5" t="s">
        <v>36</v>
      </c>
      <c r="G617" s="6" t="s">
        <v>36</v>
      </c>
      <c r="H617" s="4" t="s">
        <v>36</v>
      </c>
      <c r="I617" s="7" t="s">
        <v>36</v>
      </c>
      <c r="J617" s="3" t="s">
        <v>36</v>
      </c>
      <c r="K617" s="9">
        <v>45280</v>
      </c>
      <c r="L617" s="6" t="s">
        <v>4010</v>
      </c>
      <c r="M617" s="3" t="s">
        <v>36</v>
      </c>
      <c r="N617" s="3" t="s">
        <v>4010</v>
      </c>
      <c r="O617" s="8" t="s">
        <v>36</v>
      </c>
      <c r="P617" s="3" t="s">
        <v>36</v>
      </c>
      <c r="Q617" s="3" t="s">
        <v>36</v>
      </c>
      <c r="R617" s="3" t="s">
        <v>36</v>
      </c>
      <c r="S617" s="3" t="s">
        <v>36</v>
      </c>
      <c r="T617" s="3" t="s">
        <v>1125</v>
      </c>
      <c r="U617" s="3" t="s">
        <v>74</v>
      </c>
      <c r="V617" s="3" t="s">
        <v>75</v>
      </c>
      <c r="W617" s="3" t="s">
        <v>4011</v>
      </c>
      <c r="X617" s="10" t="s">
        <v>4012</v>
      </c>
      <c r="Y617" s="6" t="s">
        <v>42</v>
      </c>
      <c r="Z617" s="4">
        <v>2.16</v>
      </c>
      <c r="AA617" s="4" t="s">
        <v>36</v>
      </c>
      <c r="AB617" s="3" t="s">
        <v>43</v>
      </c>
      <c r="AC617" s="3" t="s">
        <v>4013</v>
      </c>
      <c r="AD617" s="9">
        <v>45355</v>
      </c>
      <c r="AE617" s="3" t="s">
        <v>975</v>
      </c>
      <c r="AF617" s="3" t="s">
        <v>938</v>
      </c>
      <c r="AG617" s="3" t="s">
        <v>81</v>
      </c>
      <c r="AH617" s="11">
        <f>HYPERLINK("https://my.pitchbook.com?c=253476-28T","View Company Online")</f>
      </c>
    </row>
    <row r="618">
      <c r="A618" s="12" t="s">
        <v>4014</v>
      </c>
      <c r="B618" s="12" t="s">
        <v>4015</v>
      </c>
      <c r="C618" s="19">
        <v>7</v>
      </c>
      <c r="D618" s="19" t="s">
        <v>36</v>
      </c>
      <c r="E618" s="19">
        <v>3</v>
      </c>
      <c r="F618" s="19">
        <v>7</v>
      </c>
      <c r="G618" s="15" t="s">
        <v>326</v>
      </c>
      <c r="H618" s="14">
        <v>1.04</v>
      </c>
      <c r="I618" s="18">
        <v>14.39</v>
      </c>
      <c r="J618" s="12" t="s">
        <v>521</v>
      </c>
      <c r="K618" s="13" t="s">
        <v>36</v>
      </c>
      <c r="L618" s="15" t="s">
        <v>36</v>
      </c>
      <c r="M618" s="12" t="s">
        <v>36</v>
      </c>
      <c r="N618" s="12" t="s">
        <v>36</v>
      </c>
      <c r="O618" s="17" t="s">
        <v>36</v>
      </c>
      <c r="P618" s="12" t="s">
        <v>36</v>
      </c>
      <c r="Q618" s="12" t="s">
        <v>36</v>
      </c>
      <c r="R618" s="12" t="s">
        <v>36</v>
      </c>
      <c r="S618" s="12" t="s">
        <v>36</v>
      </c>
      <c r="T618" s="12" t="s">
        <v>4016</v>
      </c>
      <c r="U618" s="12" t="s">
        <v>423</v>
      </c>
      <c r="V618" s="12" t="s">
        <v>64</v>
      </c>
      <c r="W618" s="12" t="s">
        <v>4017</v>
      </c>
      <c r="X618" s="16" t="s">
        <v>4018</v>
      </c>
      <c r="Y618" s="15" t="s">
        <v>108</v>
      </c>
      <c r="Z618" s="14">
        <v>1.08</v>
      </c>
      <c r="AA618" s="14">
        <v>7.5</v>
      </c>
      <c r="AB618" s="12" t="s">
        <v>56</v>
      </c>
      <c r="AC618" s="12" t="s">
        <v>4019</v>
      </c>
      <c r="AD618" s="13">
        <v>45355</v>
      </c>
      <c r="AE618" s="12" t="s">
        <v>1051</v>
      </c>
      <c r="AF618" s="12" t="s">
        <v>4020</v>
      </c>
      <c r="AG618" s="12" t="s">
        <v>81</v>
      </c>
      <c r="AH618" s="1">
        <f>HYPERLINK("https://my.pitchbook.com?c=272626-66T","View Company Online")</f>
      </c>
    </row>
    <row r="619">
      <c r="A619" s="3" t="s">
        <v>4021</v>
      </c>
      <c r="B619" s="3" t="s">
        <v>4022</v>
      </c>
      <c r="C619" s="5">
        <v>1</v>
      </c>
      <c r="D619" s="5" t="s">
        <v>36</v>
      </c>
      <c r="E619" s="5">
        <v>1</v>
      </c>
      <c r="F619" s="5">
        <v>1</v>
      </c>
      <c r="G619" s="6" t="s">
        <v>36</v>
      </c>
      <c r="H619" s="4">
        <v>71.28</v>
      </c>
      <c r="I619" s="7">
        <v>37.5</v>
      </c>
      <c r="J619" s="3" t="s">
        <v>521</v>
      </c>
      <c r="K619" s="9" t="s">
        <v>36</v>
      </c>
      <c r="L619" s="6" t="s">
        <v>36</v>
      </c>
      <c r="M619" s="3" t="s">
        <v>36</v>
      </c>
      <c r="N619" s="3" t="s">
        <v>36</v>
      </c>
      <c r="O619" s="8" t="s">
        <v>36</v>
      </c>
      <c r="P619" s="3" t="s">
        <v>36</v>
      </c>
      <c r="Q619" s="3" t="s">
        <v>36</v>
      </c>
      <c r="R619" s="3" t="s">
        <v>36</v>
      </c>
      <c r="S619" s="3" t="s">
        <v>36</v>
      </c>
      <c r="T619" s="3" t="s">
        <v>818</v>
      </c>
      <c r="U619" s="3" t="s">
        <v>74</v>
      </c>
      <c r="V619" s="3" t="s">
        <v>75</v>
      </c>
      <c r="W619" s="3" t="s">
        <v>4023</v>
      </c>
      <c r="X619" s="10" t="s">
        <v>4024</v>
      </c>
      <c r="Y619" s="6" t="s">
        <v>108</v>
      </c>
      <c r="Z619" s="4">
        <v>2.27</v>
      </c>
      <c r="AA619" s="4">
        <v>6.05</v>
      </c>
      <c r="AB619" s="3" t="s">
        <v>56</v>
      </c>
      <c r="AC619" s="3" t="s">
        <v>4025</v>
      </c>
      <c r="AD619" s="9">
        <v>45355</v>
      </c>
      <c r="AE619" s="3" t="s">
        <v>570</v>
      </c>
      <c r="AF619" s="3" t="s">
        <v>546</v>
      </c>
      <c r="AG619" s="3" t="s">
        <v>4026</v>
      </c>
      <c r="AH619" s="11">
        <f>HYPERLINK("https://my.pitchbook.com?c=282653-65T","View Company Online")</f>
      </c>
    </row>
    <row r="620">
      <c r="A620" s="12" t="s">
        <v>4027</v>
      </c>
      <c r="B620" s="12" t="s">
        <v>4028</v>
      </c>
      <c r="C620" s="19" t="s">
        <v>36</v>
      </c>
      <c r="D620" s="19" t="s">
        <v>36</v>
      </c>
      <c r="E620" s="19" t="s">
        <v>36</v>
      </c>
      <c r="F620" s="19" t="s">
        <v>36</v>
      </c>
      <c r="G620" s="15" t="s">
        <v>36</v>
      </c>
      <c r="H620" s="14" t="s">
        <v>36</v>
      </c>
      <c r="I620" s="18" t="s">
        <v>36</v>
      </c>
      <c r="J620" s="12" t="s">
        <v>36</v>
      </c>
      <c r="K620" s="13" t="s">
        <v>36</v>
      </c>
      <c r="L620" s="15" t="s">
        <v>36</v>
      </c>
      <c r="M620" s="12" t="s">
        <v>36</v>
      </c>
      <c r="N620" s="12" t="s">
        <v>36</v>
      </c>
      <c r="O620" s="17" t="s">
        <v>36</v>
      </c>
      <c r="P620" s="12" t="s">
        <v>36</v>
      </c>
      <c r="Q620" s="12" t="s">
        <v>36</v>
      </c>
      <c r="R620" s="12" t="s">
        <v>36</v>
      </c>
      <c r="S620" s="12" t="s">
        <v>36</v>
      </c>
      <c r="T620" s="12" t="s">
        <v>4029</v>
      </c>
      <c r="U620" s="12" t="s">
        <v>648</v>
      </c>
      <c r="V620" s="12" t="s">
        <v>64</v>
      </c>
      <c r="W620" s="12" t="s">
        <v>4030</v>
      </c>
      <c r="X620" s="16" t="s">
        <v>4031</v>
      </c>
      <c r="Y620" s="15" t="s">
        <v>108</v>
      </c>
      <c r="Z620" s="14" t="s">
        <v>36</v>
      </c>
      <c r="AA620" s="14" t="s">
        <v>36</v>
      </c>
      <c r="AB620" s="12" t="s">
        <v>56</v>
      </c>
      <c r="AC620" s="12" t="s">
        <v>4032</v>
      </c>
      <c r="AD620" s="13">
        <v>45352</v>
      </c>
      <c r="AE620" s="12" t="s">
        <v>1897</v>
      </c>
      <c r="AF620" s="12" t="s">
        <v>1115</v>
      </c>
      <c r="AG620" s="12" t="s">
        <v>81</v>
      </c>
      <c r="AH620" s="1">
        <f>HYPERLINK("https://my.pitchbook.com?c=268995-43T","View Company Online")</f>
      </c>
    </row>
    <row r="621">
      <c r="A621" s="3" t="s">
        <v>4033</v>
      </c>
      <c r="B621" s="3" t="s">
        <v>4034</v>
      </c>
      <c r="C621" s="5" t="s">
        <v>36</v>
      </c>
      <c r="D621" s="5" t="s">
        <v>36</v>
      </c>
      <c r="E621" s="5" t="s">
        <v>36</v>
      </c>
      <c r="F621" s="5" t="s">
        <v>36</v>
      </c>
      <c r="G621" s="6" t="s">
        <v>36</v>
      </c>
      <c r="H621" s="4" t="s">
        <v>36</v>
      </c>
      <c r="I621" s="7" t="s">
        <v>36</v>
      </c>
      <c r="J621" s="3" t="s">
        <v>36</v>
      </c>
      <c r="K621" s="9" t="s">
        <v>36</v>
      </c>
      <c r="L621" s="6" t="s">
        <v>36</v>
      </c>
      <c r="M621" s="3" t="s">
        <v>36</v>
      </c>
      <c r="N621" s="3" t="s">
        <v>36</v>
      </c>
      <c r="O621" s="8" t="s">
        <v>36</v>
      </c>
      <c r="P621" s="3" t="s">
        <v>36</v>
      </c>
      <c r="Q621" s="3" t="s">
        <v>36</v>
      </c>
      <c r="R621" s="3" t="s">
        <v>36</v>
      </c>
      <c r="S621" s="3" t="s">
        <v>36</v>
      </c>
      <c r="T621" s="3" t="s">
        <v>37</v>
      </c>
      <c r="U621" s="3" t="s">
        <v>38</v>
      </c>
      <c r="V621" s="3" t="s">
        <v>39</v>
      </c>
      <c r="W621" s="3" t="s">
        <v>4035</v>
      </c>
      <c r="X621" s="10" t="s">
        <v>4036</v>
      </c>
      <c r="Y621" s="6" t="s">
        <v>108</v>
      </c>
      <c r="Z621" s="4" t="s">
        <v>36</v>
      </c>
      <c r="AA621" s="4" t="s">
        <v>36</v>
      </c>
      <c r="AB621" s="3" t="s">
        <v>43</v>
      </c>
      <c r="AC621" s="3" t="s">
        <v>4037</v>
      </c>
      <c r="AD621" s="9">
        <v>45352</v>
      </c>
      <c r="AE621" s="3" t="s">
        <v>45</v>
      </c>
      <c r="AF621" s="3" t="s">
        <v>799</v>
      </c>
      <c r="AG621" s="3" t="s">
        <v>4038</v>
      </c>
      <c r="AH621" s="11">
        <f>HYPERLINK("https://my.pitchbook.com?c=254427-94T","View Company Online")</f>
      </c>
    </row>
    <row r="622">
      <c r="A622" s="12" t="s">
        <v>4039</v>
      </c>
      <c r="B622" s="12" t="s">
        <v>4040</v>
      </c>
      <c r="C622" s="19" t="s">
        <v>36</v>
      </c>
      <c r="D622" s="19" t="s">
        <v>36</v>
      </c>
      <c r="E622" s="19" t="s">
        <v>36</v>
      </c>
      <c r="F622" s="19" t="s">
        <v>36</v>
      </c>
      <c r="G622" s="15" t="s">
        <v>36</v>
      </c>
      <c r="H622" s="14" t="s">
        <v>36</v>
      </c>
      <c r="I622" s="18" t="s">
        <v>36</v>
      </c>
      <c r="J622" s="12" t="s">
        <v>36</v>
      </c>
      <c r="K622" s="13" t="s">
        <v>36</v>
      </c>
      <c r="L622" s="15" t="s">
        <v>36</v>
      </c>
      <c r="M622" s="12" t="s">
        <v>36</v>
      </c>
      <c r="N622" s="12" t="s">
        <v>36</v>
      </c>
      <c r="O622" s="17" t="s">
        <v>36</v>
      </c>
      <c r="P622" s="12" t="s">
        <v>36</v>
      </c>
      <c r="Q622" s="12" t="s">
        <v>36</v>
      </c>
      <c r="R622" s="12" t="s">
        <v>36</v>
      </c>
      <c r="S622" s="12" t="s">
        <v>36</v>
      </c>
      <c r="T622" s="12" t="s">
        <v>2811</v>
      </c>
      <c r="U622" s="12" t="s">
        <v>219</v>
      </c>
      <c r="V622" s="12" t="s">
        <v>75</v>
      </c>
      <c r="W622" s="12" t="s">
        <v>4041</v>
      </c>
      <c r="X622" s="16" t="s">
        <v>2257</v>
      </c>
      <c r="Y622" s="15" t="s">
        <v>42</v>
      </c>
      <c r="Z622" s="14" t="s">
        <v>36</v>
      </c>
      <c r="AA622" s="14" t="s">
        <v>36</v>
      </c>
      <c r="AB622" s="12" t="s">
        <v>43</v>
      </c>
      <c r="AC622" s="12" t="s">
        <v>4042</v>
      </c>
      <c r="AD622" s="13">
        <v>45352</v>
      </c>
      <c r="AE622" s="12" t="s">
        <v>223</v>
      </c>
      <c r="AF622" s="12" t="s">
        <v>36</v>
      </c>
      <c r="AG622" s="12" t="s">
        <v>81</v>
      </c>
      <c r="AH622" s="1">
        <f>HYPERLINK("https://my.pitchbook.com?c=254375-11T","View Company Online")</f>
      </c>
    </row>
    <row r="623">
      <c r="A623" s="3" t="s">
        <v>4043</v>
      </c>
      <c r="B623" s="3" t="s">
        <v>4044</v>
      </c>
      <c r="C623" s="5" t="s">
        <v>36</v>
      </c>
      <c r="D623" s="5" t="s">
        <v>36</v>
      </c>
      <c r="E623" s="5" t="s">
        <v>36</v>
      </c>
      <c r="F623" s="5" t="s">
        <v>36</v>
      </c>
      <c r="G623" s="6" t="s">
        <v>36</v>
      </c>
      <c r="H623" s="4" t="s">
        <v>36</v>
      </c>
      <c r="I623" s="7" t="s">
        <v>36</v>
      </c>
      <c r="J623" s="3" t="s">
        <v>36</v>
      </c>
      <c r="K623" s="9" t="s">
        <v>36</v>
      </c>
      <c r="L623" s="6" t="s">
        <v>36</v>
      </c>
      <c r="M623" s="3" t="s">
        <v>36</v>
      </c>
      <c r="N623" s="3" t="s">
        <v>36</v>
      </c>
      <c r="O623" s="8" t="s">
        <v>36</v>
      </c>
      <c r="P623" s="3" t="s">
        <v>36</v>
      </c>
      <c r="Q623" s="3" t="s">
        <v>36</v>
      </c>
      <c r="R623" s="3" t="s">
        <v>36</v>
      </c>
      <c r="S623" s="3" t="s">
        <v>36</v>
      </c>
      <c r="T623" s="3" t="s">
        <v>4045</v>
      </c>
      <c r="U623" s="3" t="s">
        <v>728</v>
      </c>
      <c r="V623" s="3" t="s">
        <v>64</v>
      </c>
      <c r="W623" s="3" t="s">
        <v>4046</v>
      </c>
      <c r="X623" s="10" t="s">
        <v>4047</v>
      </c>
      <c r="Y623" s="6" t="s">
        <v>42</v>
      </c>
      <c r="Z623" s="4" t="s">
        <v>36</v>
      </c>
      <c r="AA623" s="4" t="s">
        <v>36</v>
      </c>
      <c r="AB623" s="3" t="s">
        <v>56</v>
      </c>
      <c r="AC623" s="3" t="s">
        <v>4048</v>
      </c>
      <c r="AD623" s="9">
        <v>45352</v>
      </c>
      <c r="AE623" s="3" t="s">
        <v>2154</v>
      </c>
      <c r="AF623" s="3" t="s">
        <v>571</v>
      </c>
      <c r="AG623" s="3" t="s">
        <v>47</v>
      </c>
      <c r="AH623" s="11">
        <f>HYPERLINK("https://my.pitchbook.com?c=270452-53T","View Company Online")</f>
      </c>
    </row>
    <row r="624">
      <c r="A624" s="12" t="s">
        <v>4049</v>
      </c>
      <c r="B624" s="12" t="s">
        <v>4050</v>
      </c>
      <c r="C624" s="19" t="s">
        <v>36</v>
      </c>
      <c r="D624" s="19" t="s">
        <v>36</v>
      </c>
      <c r="E624" s="19" t="s">
        <v>36</v>
      </c>
      <c r="F624" s="19" t="s">
        <v>36</v>
      </c>
      <c r="G624" s="15" t="s">
        <v>36</v>
      </c>
      <c r="H624" s="14" t="s">
        <v>36</v>
      </c>
      <c r="I624" s="18" t="s">
        <v>36</v>
      </c>
      <c r="J624" s="12" t="s">
        <v>36</v>
      </c>
      <c r="K624" s="13" t="s">
        <v>36</v>
      </c>
      <c r="L624" s="15" t="s">
        <v>36</v>
      </c>
      <c r="M624" s="12" t="s">
        <v>36</v>
      </c>
      <c r="N624" s="12" t="s">
        <v>36</v>
      </c>
      <c r="O624" s="17" t="s">
        <v>36</v>
      </c>
      <c r="P624" s="12" t="s">
        <v>36</v>
      </c>
      <c r="Q624" s="12" t="s">
        <v>36</v>
      </c>
      <c r="R624" s="12" t="s">
        <v>36</v>
      </c>
      <c r="S624" s="12" t="s">
        <v>36</v>
      </c>
      <c r="T624" s="12" t="s">
        <v>37</v>
      </c>
      <c r="U624" s="12" t="s">
        <v>38</v>
      </c>
      <c r="V624" s="12" t="s">
        <v>39</v>
      </c>
      <c r="W624" s="12" t="s">
        <v>4051</v>
      </c>
      <c r="X624" s="16" t="s">
        <v>4052</v>
      </c>
      <c r="Y624" s="15" t="s">
        <v>42</v>
      </c>
      <c r="Z624" s="14" t="s">
        <v>36</v>
      </c>
      <c r="AA624" s="14" t="s">
        <v>36</v>
      </c>
      <c r="AB624" s="12" t="s">
        <v>43</v>
      </c>
      <c r="AC624" s="12" t="s">
        <v>4053</v>
      </c>
      <c r="AD624" s="13">
        <v>45352</v>
      </c>
      <c r="AE624" s="12" t="s">
        <v>45</v>
      </c>
      <c r="AF624" s="12" t="s">
        <v>799</v>
      </c>
      <c r="AG624" s="12" t="s">
        <v>112</v>
      </c>
      <c r="AH624" s="1">
        <f>HYPERLINK("https://my.pitchbook.com?c=255795-31T","View Company Online")</f>
      </c>
    </row>
    <row r="625">
      <c r="A625" s="3" t="s">
        <v>4054</v>
      </c>
      <c r="B625" s="3" t="s">
        <v>4055</v>
      </c>
      <c r="C625" s="5" t="s">
        <v>36</v>
      </c>
      <c r="D625" s="5" t="s">
        <v>36</v>
      </c>
      <c r="E625" s="5" t="s">
        <v>36</v>
      </c>
      <c r="F625" s="5" t="s">
        <v>36</v>
      </c>
      <c r="G625" s="6" t="s">
        <v>36</v>
      </c>
      <c r="H625" s="4" t="s">
        <v>36</v>
      </c>
      <c r="I625" s="7">
        <v>9.91</v>
      </c>
      <c r="J625" s="3" t="s">
        <v>327</v>
      </c>
      <c r="K625" s="9">
        <v>45301</v>
      </c>
      <c r="L625" s="6" t="s">
        <v>94</v>
      </c>
      <c r="M625" s="3" t="s">
        <v>36</v>
      </c>
      <c r="N625" s="3" t="s">
        <v>94</v>
      </c>
      <c r="O625" s="8" t="s">
        <v>36</v>
      </c>
      <c r="P625" s="3" t="s">
        <v>36</v>
      </c>
      <c r="Q625" s="3" t="s">
        <v>36</v>
      </c>
      <c r="R625" s="3" t="s">
        <v>36</v>
      </c>
      <c r="S625" s="3" t="s">
        <v>196</v>
      </c>
      <c r="T625" s="3" t="s">
        <v>4056</v>
      </c>
      <c r="U625" s="3" t="s">
        <v>38</v>
      </c>
      <c r="V625" s="3" t="s">
        <v>39</v>
      </c>
      <c r="W625" s="3" t="s">
        <v>4057</v>
      </c>
      <c r="X625" s="10" t="s">
        <v>4058</v>
      </c>
      <c r="Y625" s="6" t="s">
        <v>55</v>
      </c>
      <c r="Z625" s="4">
        <v>55</v>
      </c>
      <c r="AA625" s="4">
        <v>555</v>
      </c>
      <c r="AB625" s="3" t="s">
        <v>56</v>
      </c>
      <c r="AC625" s="3" t="s">
        <v>4059</v>
      </c>
      <c r="AD625" s="9">
        <v>45352</v>
      </c>
      <c r="AE625" s="3" t="s">
        <v>1945</v>
      </c>
      <c r="AF625" s="3" t="s">
        <v>4060</v>
      </c>
      <c r="AG625" s="3" t="s">
        <v>1053</v>
      </c>
      <c r="AH625" s="11">
        <f>HYPERLINK("https://my.pitchbook.com?c=249047-56T","View Company Online")</f>
      </c>
    </row>
    <row r="626">
      <c r="A626" s="12" t="s">
        <v>4061</v>
      </c>
      <c r="B626" s="12" t="s">
        <v>4062</v>
      </c>
      <c r="C626" s="19" t="s">
        <v>36</v>
      </c>
      <c r="D626" s="19" t="s">
        <v>36</v>
      </c>
      <c r="E626" s="19" t="s">
        <v>36</v>
      </c>
      <c r="F626" s="19" t="s">
        <v>36</v>
      </c>
      <c r="G626" s="15" t="s">
        <v>36</v>
      </c>
      <c r="H626" s="14" t="s">
        <v>36</v>
      </c>
      <c r="I626" s="18" t="s">
        <v>36</v>
      </c>
      <c r="J626" s="12" t="s">
        <v>36</v>
      </c>
      <c r="K626" s="13" t="s">
        <v>36</v>
      </c>
      <c r="L626" s="15" t="s">
        <v>36</v>
      </c>
      <c r="M626" s="12" t="s">
        <v>36</v>
      </c>
      <c r="N626" s="12" t="s">
        <v>36</v>
      </c>
      <c r="O626" s="17" t="s">
        <v>36</v>
      </c>
      <c r="P626" s="12" t="s">
        <v>36</v>
      </c>
      <c r="Q626" s="12" t="s">
        <v>36</v>
      </c>
      <c r="R626" s="12" t="s">
        <v>36</v>
      </c>
      <c r="S626" s="12" t="s">
        <v>36</v>
      </c>
      <c r="T626" s="12" t="s">
        <v>4063</v>
      </c>
      <c r="U626" s="12" t="s">
        <v>74</v>
      </c>
      <c r="V626" s="12" t="s">
        <v>75</v>
      </c>
      <c r="W626" s="12" t="s">
        <v>4064</v>
      </c>
      <c r="X626" s="16" t="s">
        <v>2257</v>
      </c>
      <c r="Y626" s="15" t="s">
        <v>42</v>
      </c>
      <c r="Z626" s="14" t="s">
        <v>36</v>
      </c>
      <c r="AA626" s="14" t="s">
        <v>36</v>
      </c>
      <c r="AB626" s="12" t="s">
        <v>43</v>
      </c>
      <c r="AC626" s="12" t="s">
        <v>4065</v>
      </c>
      <c r="AD626" s="13">
        <v>45352</v>
      </c>
      <c r="AE626" s="12" t="s">
        <v>79</v>
      </c>
      <c r="AF626" s="12" t="s">
        <v>135</v>
      </c>
      <c r="AG626" s="12" t="s">
        <v>81</v>
      </c>
      <c r="AH626" s="1">
        <f>HYPERLINK("https://my.pitchbook.com?c=254755-90T","View Company Online")</f>
      </c>
    </row>
    <row r="627">
      <c r="A627" s="3" t="s">
        <v>4066</v>
      </c>
      <c r="B627" s="3" t="s">
        <v>4067</v>
      </c>
      <c r="C627" s="5" t="s">
        <v>36</v>
      </c>
      <c r="D627" s="5" t="s">
        <v>36</v>
      </c>
      <c r="E627" s="5">
        <v>1</v>
      </c>
      <c r="F627" s="5">
        <v>1</v>
      </c>
      <c r="G627" s="6" t="s">
        <v>36</v>
      </c>
      <c r="H627" s="4" t="s">
        <v>36</v>
      </c>
      <c r="I627" s="7" t="s">
        <v>36</v>
      </c>
      <c r="J627" s="3" t="s">
        <v>36</v>
      </c>
      <c r="K627" s="9" t="s">
        <v>36</v>
      </c>
      <c r="L627" s="6" t="s">
        <v>36</v>
      </c>
      <c r="M627" s="3" t="s">
        <v>36</v>
      </c>
      <c r="N627" s="3" t="s">
        <v>36</v>
      </c>
      <c r="O627" s="8" t="s">
        <v>36</v>
      </c>
      <c r="P627" s="3" t="s">
        <v>36</v>
      </c>
      <c r="Q627" s="3" t="s">
        <v>36</v>
      </c>
      <c r="R627" s="3" t="s">
        <v>36</v>
      </c>
      <c r="S627" s="3" t="s">
        <v>36</v>
      </c>
      <c r="T627" s="3" t="s">
        <v>4068</v>
      </c>
      <c r="U627" s="3" t="s">
        <v>366</v>
      </c>
      <c r="V627" s="3" t="s">
        <v>367</v>
      </c>
      <c r="W627" s="3" t="s">
        <v>4069</v>
      </c>
      <c r="X627" s="10" t="s">
        <v>4070</v>
      </c>
      <c r="Y627" s="6" t="s">
        <v>42</v>
      </c>
      <c r="Z627" s="4">
        <v>1.94</v>
      </c>
      <c r="AA627" s="4" t="s">
        <v>36</v>
      </c>
      <c r="AB627" s="3" t="s">
        <v>56</v>
      </c>
      <c r="AC627" s="3" t="s">
        <v>4071</v>
      </c>
      <c r="AD627" s="9">
        <v>45352</v>
      </c>
      <c r="AE627" s="3" t="s">
        <v>600</v>
      </c>
      <c r="AF627" s="3" t="s">
        <v>4072</v>
      </c>
      <c r="AG627" s="3" t="s">
        <v>4073</v>
      </c>
      <c r="AH627" s="11">
        <f>HYPERLINK("https://my.pitchbook.com?c=258459-13T","View Company Online")</f>
      </c>
    </row>
    <row r="628">
      <c r="A628" s="12" t="s">
        <v>4074</v>
      </c>
      <c r="B628" s="12" t="s">
        <v>4075</v>
      </c>
      <c r="C628" s="19" t="s">
        <v>36</v>
      </c>
      <c r="D628" s="19" t="s">
        <v>36</v>
      </c>
      <c r="E628" s="19" t="s">
        <v>36</v>
      </c>
      <c r="F628" s="19" t="s">
        <v>36</v>
      </c>
      <c r="G628" s="15" t="s">
        <v>36</v>
      </c>
      <c r="H628" s="14" t="s">
        <v>36</v>
      </c>
      <c r="I628" s="18" t="s">
        <v>36</v>
      </c>
      <c r="J628" s="12" t="s">
        <v>36</v>
      </c>
      <c r="K628" s="13" t="s">
        <v>36</v>
      </c>
      <c r="L628" s="15" t="s">
        <v>36</v>
      </c>
      <c r="M628" s="12" t="s">
        <v>36</v>
      </c>
      <c r="N628" s="12" t="s">
        <v>36</v>
      </c>
      <c r="O628" s="17" t="s">
        <v>36</v>
      </c>
      <c r="P628" s="12" t="s">
        <v>36</v>
      </c>
      <c r="Q628" s="12" t="s">
        <v>36</v>
      </c>
      <c r="R628" s="12" t="s">
        <v>36</v>
      </c>
      <c r="S628" s="12" t="s">
        <v>36</v>
      </c>
      <c r="T628" s="12" t="s">
        <v>2658</v>
      </c>
      <c r="U628" s="12" t="s">
        <v>38</v>
      </c>
      <c r="V628" s="12" t="s">
        <v>39</v>
      </c>
      <c r="W628" s="12" t="s">
        <v>4076</v>
      </c>
      <c r="X628" s="16" t="s">
        <v>4077</v>
      </c>
      <c r="Y628" s="15" t="s">
        <v>192</v>
      </c>
      <c r="Z628" s="14" t="s">
        <v>36</v>
      </c>
      <c r="AA628" s="14" t="s">
        <v>36</v>
      </c>
      <c r="AB628" s="12" t="s">
        <v>43</v>
      </c>
      <c r="AC628" s="12" t="s">
        <v>4078</v>
      </c>
      <c r="AD628" s="13">
        <v>45352</v>
      </c>
      <c r="AE628" s="12" t="s">
        <v>110</v>
      </c>
      <c r="AF628" s="12" t="s">
        <v>4079</v>
      </c>
      <c r="AG628" s="12" t="s">
        <v>652</v>
      </c>
      <c r="AH628" s="1">
        <f>HYPERLINK("https://my.pitchbook.com?c=255124-18T","View Company Online")</f>
      </c>
    </row>
    <row r="629">
      <c r="A629" s="3" t="s">
        <v>4080</v>
      </c>
      <c r="B629" s="3" t="s">
        <v>4081</v>
      </c>
      <c r="C629" s="5" t="s">
        <v>36</v>
      </c>
      <c r="D629" s="5" t="s">
        <v>36</v>
      </c>
      <c r="E629" s="5" t="s">
        <v>36</v>
      </c>
      <c r="F629" s="5" t="s">
        <v>36</v>
      </c>
      <c r="G629" s="6" t="s">
        <v>36</v>
      </c>
      <c r="H629" s="4" t="s">
        <v>36</v>
      </c>
      <c r="I629" s="7" t="s">
        <v>36</v>
      </c>
      <c r="J629" s="3" t="s">
        <v>36</v>
      </c>
      <c r="K629" s="9" t="s">
        <v>36</v>
      </c>
      <c r="L629" s="6" t="s">
        <v>36</v>
      </c>
      <c r="M629" s="3" t="s">
        <v>36</v>
      </c>
      <c r="N629" s="3" t="s">
        <v>36</v>
      </c>
      <c r="O629" s="8" t="s">
        <v>36</v>
      </c>
      <c r="P629" s="3" t="s">
        <v>36</v>
      </c>
      <c r="Q629" s="3" t="s">
        <v>36</v>
      </c>
      <c r="R629" s="3" t="s">
        <v>36</v>
      </c>
      <c r="S629" s="3" t="s">
        <v>36</v>
      </c>
      <c r="T629" s="3" t="s">
        <v>4082</v>
      </c>
      <c r="U629" s="3" t="s">
        <v>1580</v>
      </c>
      <c r="V629" s="3" t="s">
        <v>39</v>
      </c>
      <c r="W629" s="3" t="s">
        <v>4083</v>
      </c>
      <c r="X629" s="10" t="s">
        <v>4084</v>
      </c>
      <c r="Y629" s="6" t="s">
        <v>42</v>
      </c>
      <c r="Z629" s="4">
        <v>0.86</v>
      </c>
      <c r="AA629" s="4" t="s">
        <v>36</v>
      </c>
      <c r="AB629" s="3" t="s">
        <v>56</v>
      </c>
      <c r="AC629" s="3" t="s">
        <v>4085</v>
      </c>
      <c r="AD629" s="9">
        <v>45351</v>
      </c>
      <c r="AE629" s="3" t="s">
        <v>4086</v>
      </c>
      <c r="AF629" s="3" t="s">
        <v>36</v>
      </c>
      <c r="AG629" s="3" t="s">
        <v>382</v>
      </c>
      <c r="AH629" s="11">
        <f>HYPERLINK("https://my.pitchbook.com?c=261132-85T","View Company Online")</f>
      </c>
    </row>
    <row r="630">
      <c r="A630" s="12" t="s">
        <v>4087</v>
      </c>
      <c r="B630" s="12" t="s">
        <v>1443</v>
      </c>
      <c r="C630" s="19" t="s">
        <v>36</v>
      </c>
      <c r="D630" s="19" t="s">
        <v>36</v>
      </c>
      <c r="E630" s="19" t="s">
        <v>36</v>
      </c>
      <c r="F630" s="19" t="s">
        <v>36</v>
      </c>
      <c r="G630" s="15" t="s">
        <v>36</v>
      </c>
      <c r="H630" s="14" t="s">
        <v>36</v>
      </c>
      <c r="I630" s="18" t="s">
        <v>36</v>
      </c>
      <c r="J630" s="12" t="s">
        <v>36</v>
      </c>
      <c r="K630" s="13" t="s">
        <v>36</v>
      </c>
      <c r="L630" s="15" t="s">
        <v>122</v>
      </c>
      <c r="M630" s="12" t="s">
        <v>36</v>
      </c>
      <c r="N630" s="12" t="s">
        <v>122</v>
      </c>
      <c r="O630" s="17" t="s">
        <v>36</v>
      </c>
      <c r="P630" s="12" t="s">
        <v>36</v>
      </c>
      <c r="Q630" s="12" t="s">
        <v>36</v>
      </c>
      <c r="R630" s="12" t="s">
        <v>36</v>
      </c>
      <c r="S630" s="12" t="s">
        <v>36</v>
      </c>
      <c r="T630" s="12" t="s">
        <v>529</v>
      </c>
      <c r="U630" s="12" t="s">
        <v>38</v>
      </c>
      <c r="V630" s="12" t="s">
        <v>39</v>
      </c>
      <c r="W630" s="12" t="s">
        <v>1444</v>
      </c>
      <c r="X630" s="16" t="s">
        <v>4088</v>
      </c>
      <c r="Y630" s="15" t="s">
        <v>108</v>
      </c>
      <c r="Z630" s="14">
        <v>16.19</v>
      </c>
      <c r="AA630" s="14" t="s">
        <v>36</v>
      </c>
      <c r="AB630" s="12" t="s">
        <v>43</v>
      </c>
      <c r="AC630" s="12" t="s">
        <v>1446</v>
      </c>
      <c r="AD630" s="13">
        <v>45351</v>
      </c>
      <c r="AE630" s="12" t="s">
        <v>134</v>
      </c>
      <c r="AF630" s="12" t="s">
        <v>135</v>
      </c>
      <c r="AG630" s="12" t="s">
        <v>1447</v>
      </c>
      <c r="AH630" s="1">
        <f>HYPERLINK("https://my.pitchbook.com?c=253210-96T","View Company Online")</f>
      </c>
    </row>
    <row r="631">
      <c r="A631" s="3" t="s">
        <v>4089</v>
      </c>
      <c r="B631" s="3" t="s">
        <v>4090</v>
      </c>
      <c r="C631" s="5" t="s">
        <v>36</v>
      </c>
      <c r="D631" s="5" t="s">
        <v>36</v>
      </c>
      <c r="E631" s="5" t="s">
        <v>36</v>
      </c>
      <c r="F631" s="5" t="s">
        <v>36</v>
      </c>
      <c r="G631" s="6" t="s">
        <v>36</v>
      </c>
      <c r="H631" s="4" t="s">
        <v>36</v>
      </c>
      <c r="I631" s="7" t="s">
        <v>36</v>
      </c>
      <c r="J631" s="3" t="s">
        <v>36</v>
      </c>
      <c r="K631" s="9" t="s">
        <v>36</v>
      </c>
      <c r="L631" s="6" t="s">
        <v>36</v>
      </c>
      <c r="M631" s="3" t="s">
        <v>36</v>
      </c>
      <c r="N631" s="3" t="s">
        <v>36</v>
      </c>
      <c r="O631" s="8" t="s">
        <v>36</v>
      </c>
      <c r="P631" s="3" t="s">
        <v>36</v>
      </c>
      <c r="Q631" s="3" t="s">
        <v>36</v>
      </c>
      <c r="R631" s="3" t="s">
        <v>36</v>
      </c>
      <c r="S631" s="3" t="s">
        <v>36</v>
      </c>
      <c r="T631" s="3" t="s">
        <v>4091</v>
      </c>
      <c r="U631" s="3" t="s">
        <v>38</v>
      </c>
      <c r="V631" s="3" t="s">
        <v>39</v>
      </c>
      <c r="W631" s="3" t="s">
        <v>4092</v>
      </c>
      <c r="X631" s="10" t="s">
        <v>577</v>
      </c>
      <c r="Y631" s="6" t="s">
        <v>42</v>
      </c>
      <c r="Z631" s="4" t="s">
        <v>36</v>
      </c>
      <c r="AA631" s="4" t="s">
        <v>36</v>
      </c>
      <c r="AB631" s="3" t="s">
        <v>43</v>
      </c>
      <c r="AC631" s="3" t="s">
        <v>4093</v>
      </c>
      <c r="AD631" s="9">
        <v>45351</v>
      </c>
      <c r="AE631" s="3" t="s">
        <v>1330</v>
      </c>
      <c r="AF631" s="3" t="s">
        <v>36</v>
      </c>
      <c r="AG631" s="3" t="s">
        <v>47</v>
      </c>
      <c r="AH631" s="11">
        <f>HYPERLINK("https://my.pitchbook.com?c=268430-77T","View Company Online")</f>
      </c>
    </row>
    <row r="632">
      <c r="A632" s="12" t="s">
        <v>4094</v>
      </c>
      <c r="B632" s="12" t="s">
        <v>4095</v>
      </c>
      <c r="C632" s="19" t="s">
        <v>36</v>
      </c>
      <c r="D632" s="19" t="s">
        <v>36</v>
      </c>
      <c r="E632" s="19" t="s">
        <v>36</v>
      </c>
      <c r="F632" s="19" t="s">
        <v>36</v>
      </c>
      <c r="G632" s="15" t="s">
        <v>36</v>
      </c>
      <c r="H632" s="14" t="s">
        <v>36</v>
      </c>
      <c r="I632" s="18" t="s">
        <v>36</v>
      </c>
      <c r="J632" s="12" t="s">
        <v>36</v>
      </c>
      <c r="K632" s="13" t="s">
        <v>36</v>
      </c>
      <c r="L632" s="15" t="s">
        <v>122</v>
      </c>
      <c r="M632" s="12" t="s">
        <v>36</v>
      </c>
      <c r="N632" s="12" t="s">
        <v>122</v>
      </c>
      <c r="O632" s="17" t="s">
        <v>36</v>
      </c>
      <c r="P632" s="12" t="s">
        <v>36</v>
      </c>
      <c r="Q632" s="12" t="s">
        <v>36</v>
      </c>
      <c r="R632" s="12" t="s">
        <v>36</v>
      </c>
      <c r="S632" s="12" t="s">
        <v>36</v>
      </c>
      <c r="T632" s="12" t="s">
        <v>522</v>
      </c>
      <c r="U632" s="12" t="s">
        <v>38</v>
      </c>
      <c r="V632" s="12" t="s">
        <v>39</v>
      </c>
      <c r="W632" s="12" t="s">
        <v>4096</v>
      </c>
      <c r="X632" s="16" t="s">
        <v>4097</v>
      </c>
      <c r="Y632" s="15" t="s">
        <v>55</v>
      </c>
      <c r="Z632" s="14">
        <v>22.5</v>
      </c>
      <c r="AA632" s="14" t="s">
        <v>36</v>
      </c>
      <c r="AB632" s="12" t="s">
        <v>56</v>
      </c>
      <c r="AC632" s="12" t="s">
        <v>4098</v>
      </c>
      <c r="AD632" s="13">
        <v>45351</v>
      </c>
      <c r="AE632" s="12" t="s">
        <v>110</v>
      </c>
      <c r="AF632" s="12" t="s">
        <v>4099</v>
      </c>
      <c r="AG632" s="12" t="s">
        <v>4100</v>
      </c>
      <c r="AH632" s="1">
        <f>HYPERLINK("https://my.pitchbook.com?c=253226-62T","View Company Online")</f>
      </c>
    </row>
    <row r="633">
      <c r="A633" s="3" t="s">
        <v>4101</v>
      </c>
      <c r="B633" s="3" t="s">
        <v>4102</v>
      </c>
      <c r="C633" s="5">
        <v>7</v>
      </c>
      <c r="D633" s="5">
        <v>2</v>
      </c>
      <c r="E633" s="5">
        <v>4</v>
      </c>
      <c r="F633" s="5">
        <v>9</v>
      </c>
      <c r="G633" s="6" t="s">
        <v>326</v>
      </c>
      <c r="H633" s="4" t="s">
        <v>36</v>
      </c>
      <c r="I633" s="7">
        <v>52.08</v>
      </c>
      <c r="J633" s="3" t="s">
        <v>521</v>
      </c>
      <c r="K633" s="9" t="s">
        <v>36</v>
      </c>
      <c r="L633" s="6" t="s">
        <v>94</v>
      </c>
      <c r="M633" s="3" t="s">
        <v>36</v>
      </c>
      <c r="N633" s="3" t="s">
        <v>94</v>
      </c>
      <c r="O633" s="8" t="s">
        <v>36</v>
      </c>
      <c r="P633" s="3" t="s">
        <v>36</v>
      </c>
      <c r="Q633" s="3" t="s">
        <v>36</v>
      </c>
      <c r="R633" s="3" t="s">
        <v>36</v>
      </c>
      <c r="S633" s="3" t="s">
        <v>36</v>
      </c>
      <c r="T633" s="3" t="s">
        <v>3208</v>
      </c>
      <c r="U633" s="3" t="s">
        <v>1798</v>
      </c>
      <c r="V633" s="3" t="s">
        <v>39</v>
      </c>
      <c r="W633" s="3" t="s">
        <v>4103</v>
      </c>
      <c r="X633" s="10" t="s">
        <v>4104</v>
      </c>
      <c r="Y633" s="6" t="s">
        <v>55</v>
      </c>
      <c r="Z633" s="4">
        <v>13.49</v>
      </c>
      <c r="AA633" s="4">
        <v>25.91</v>
      </c>
      <c r="AB633" s="3" t="s">
        <v>43</v>
      </c>
      <c r="AC633" s="3" t="s">
        <v>4105</v>
      </c>
      <c r="AD633" s="9">
        <v>45351</v>
      </c>
      <c r="AE633" s="3" t="s">
        <v>1802</v>
      </c>
      <c r="AF633" s="3" t="s">
        <v>372</v>
      </c>
      <c r="AG633" s="3" t="s">
        <v>1835</v>
      </c>
      <c r="AH633" s="11">
        <f>HYPERLINK("https://my.pitchbook.com?c=205643-62T","View Company Online")</f>
      </c>
    </row>
    <row r="634">
      <c r="A634" s="12" t="s">
        <v>4106</v>
      </c>
      <c r="B634" s="12" t="s">
        <v>4107</v>
      </c>
      <c r="C634" s="19" t="s">
        <v>36</v>
      </c>
      <c r="D634" s="19" t="s">
        <v>36</v>
      </c>
      <c r="E634" s="19" t="s">
        <v>36</v>
      </c>
      <c r="F634" s="19" t="s">
        <v>36</v>
      </c>
      <c r="G634" s="15" t="s">
        <v>36</v>
      </c>
      <c r="H634" s="14" t="s">
        <v>36</v>
      </c>
      <c r="I634" s="18">
        <v>26.89</v>
      </c>
      <c r="J634" s="12" t="s">
        <v>521</v>
      </c>
      <c r="K634" s="13">
        <v>45342</v>
      </c>
      <c r="L634" s="15" t="s">
        <v>122</v>
      </c>
      <c r="M634" s="12" t="s">
        <v>36</v>
      </c>
      <c r="N634" s="12" t="s">
        <v>122</v>
      </c>
      <c r="O634" s="17" t="s">
        <v>36</v>
      </c>
      <c r="P634" s="12" t="s">
        <v>36</v>
      </c>
      <c r="Q634" s="12" t="s">
        <v>36</v>
      </c>
      <c r="R634" s="12" t="s">
        <v>36</v>
      </c>
      <c r="S634" s="12" t="s">
        <v>36</v>
      </c>
      <c r="T634" s="12" t="s">
        <v>4108</v>
      </c>
      <c r="U634" s="12" t="s">
        <v>96</v>
      </c>
      <c r="V634" s="12" t="s">
        <v>52</v>
      </c>
      <c r="W634" s="12" t="s">
        <v>4109</v>
      </c>
      <c r="X634" s="16" t="s">
        <v>4110</v>
      </c>
      <c r="Y634" s="15" t="s">
        <v>108</v>
      </c>
      <c r="Z634" s="14">
        <v>16.19</v>
      </c>
      <c r="AA634" s="14">
        <v>60.21</v>
      </c>
      <c r="AB634" s="12" t="s">
        <v>56</v>
      </c>
      <c r="AC634" s="12" t="s">
        <v>4111</v>
      </c>
      <c r="AD634" s="13">
        <v>45350</v>
      </c>
      <c r="AE634" s="12" t="s">
        <v>755</v>
      </c>
      <c r="AF634" s="12" t="s">
        <v>261</v>
      </c>
      <c r="AG634" s="12" t="s">
        <v>81</v>
      </c>
      <c r="AH634" s="1">
        <f>HYPERLINK("https://my.pitchbook.com?c=252431-47T","View Company Online")</f>
      </c>
    </row>
    <row r="635">
      <c r="A635" s="3" t="s">
        <v>4112</v>
      </c>
      <c r="B635" s="3" t="s">
        <v>4113</v>
      </c>
      <c r="C635" s="5" t="s">
        <v>36</v>
      </c>
      <c r="D635" s="5" t="s">
        <v>36</v>
      </c>
      <c r="E635" s="5" t="s">
        <v>36</v>
      </c>
      <c r="F635" s="5" t="s">
        <v>36</v>
      </c>
      <c r="G635" s="6" t="s">
        <v>683</v>
      </c>
      <c r="H635" s="4">
        <v>797.03</v>
      </c>
      <c r="I635" s="7">
        <v>7.28</v>
      </c>
      <c r="J635" s="3" t="s">
        <v>521</v>
      </c>
      <c r="K635" s="9" t="s">
        <v>36</v>
      </c>
      <c r="L635" s="6" t="s">
        <v>36</v>
      </c>
      <c r="M635" s="3" t="s">
        <v>36</v>
      </c>
      <c r="N635" s="3" t="s">
        <v>36</v>
      </c>
      <c r="O635" s="8" t="s">
        <v>36</v>
      </c>
      <c r="P635" s="3" t="s">
        <v>36</v>
      </c>
      <c r="Q635" s="3" t="s">
        <v>36</v>
      </c>
      <c r="R635" s="3" t="s">
        <v>36</v>
      </c>
      <c r="S635" s="3" t="s">
        <v>36</v>
      </c>
      <c r="T635" s="3" t="s">
        <v>1990</v>
      </c>
      <c r="U635" s="3" t="s">
        <v>38</v>
      </c>
      <c r="V635" s="3" t="s">
        <v>39</v>
      </c>
      <c r="W635" s="3" t="s">
        <v>4114</v>
      </c>
      <c r="X635" s="10" t="s">
        <v>4115</v>
      </c>
      <c r="Y635" s="6" t="s">
        <v>321</v>
      </c>
      <c r="Z635" s="4">
        <v>1.8</v>
      </c>
      <c r="AA635" s="4">
        <v>24.73</v>
      </c>
      <c r="AB635" s="3" t="s">
        <v>56</v>
      </c>
      <c r="AC635" s="3" t="s">
        <v>4116</v>
      </c>
      <c r="AD635" s="9">
        <v>45350</v>
      </c>
      <c r="AE635" s="3" t="s">
        <v>110</v>
      </c>
      <c r="AF635" s="3" t="s">
        <v>4117</v>
      </c>
      <c r="AG635" s="3" t="s">
        <v>81</v>
      </c>
      <c r="AH635" s="11">
        <f>HYPERLINK("https://my.pitchbook.com?c=268677-73T","View Company Online")</f>
      </c>
    </row>
    <row r="636">
      <c r="A636" s="12" t="s">
        <v>4118</v>
      </c>
      <c r="B636" s="12" t="s">
        <v>4119</v>
      </c>
      <c r="C636" s="19">
        <v>10</v>
      </c>
      <c r="D636" s="19">
        <v>14</v>
      </c>
      <c r="E636" s="19">
        <v>5</v>
      </c>
      <c r="F636" s="19">
        <v>27</v>
      </c>
      <c r="G636" s="15" t="s">
        <v>36</v>
      </c>
      <c r="H636" s="14" t="s">
        <v>36</v>
      </c>
      <c r="I636" s="18" t="s">
        <v>36</v>
      </c>
      <c r="J636" s="12" t="s">
        <v>36</v>
      </c>
      <c r="K636" s="13" t="s">
        <v>36</v>
      </c>
      <c r="L636" s="15" t="s">
        <v>36</v>
      </c>
      <c r="M636" s="12" t="s">
        <v>36</v>
      </c>
      <c r="N636" s="12" t="s">
        <v>36</v>
      </c>
      <c r="O636" s="17" t="s">
        <v>36</v>
      </c>
      <c r="P636" s="12" t="s">
        <v>36</v>
      </c>
      <c r="Q636" s="12" t="s">
        <v>36</v>
      </c>
      <c r="R636" s="12" t="s">
        <v>36</v>
      </c>
      <c r="S636" s="12" t="s">
        <v>36</v>
      </c>
      <c r="T636" s="12" t="s">
        <v>881</v>
      </c>
      <c r="U636" s="12" t="s">
        <v>51</v>
      </c>
      <c r="V636" s="12" t="s">
        <v>52</v>
      </c>
      <c r="W636" s="12" t="s">
        <v>4120</v>
      </c>
      <c r="X636" s="16" t="s">
        <v>4121</v>
      </c>
      <c r="Y636" s="15" t="s">
        <v>166</v>
      </c>
      <c r="Z636" s="14" t="s">
        <v>36</v>
      </c>
      <c r="AA636" s="14" t="s">
        <v>36</v>
      </c>
      <c r="AB636" s="12" t="s">
        <v>56</v>
      </c>
      <c r="AC636" s="12" t="s">
        <v>4122</v>
      </c>
      <c r="AD636" s="13">
        <v>45350</v>
      </c>
      <c r="AE636" s="12" t="s">
        <v>504</v>
      </c>
      <c r="AF636" s="12" t="s">
        <v>159</v>
      </c>
      <c r="AG636" s="12" t="s">
        <v>81</v>
      </c>
      <c r="AH636" s="1">
        <f>HYPERLINK("https://my.pitchbook.com?c=267243-40T","View Company Online")</f>
      </c>
    </row>
    <row r="637">
      <c r="A637" s="3" t="s">
        <v>4123</v>
      </c>
      <c r="B637" s="3" t="s">
        <v>4124</v>
      </c>
      <c r="C637" s="5" t="s">
        <v>36</v>
      </c>
      <c r="D637" s="5" t="s">
        <v>36</v>
      </c>
      <c r="E637" s="5" t="s">
        <v>36</v>
      </c>
      <c r="F637" s="5" t="s">
        <v>36</v>
      </c>
      <c r="G637" s="6" t="s">
        <v>36</v>
      </c>
      <c r="H637" s="4" t="s">
        <v>36</v>
      </c>
      <c r="I637" s="7" t="s">
        <v>36</v>
      </c>
      <c r="J637" s="3" t="s">
        <v>36</v>
      </c>
      <c r="K637" s="9" t="s">
        <v>36</v>
      </c>
      <c r="L637" s="6" t="s">
        <v>36</v>
      </c>
      <c r="M637" s="3" t="s">
        <v>36</v>
      </c>
      <c r="N637" s="3" t="s">
        <v>36</v>
      </c>
      <c r="O637" s="8" t="s">
        <v>36</v>
      </c>
      <c r="P637" s="3" t="s">
        <v>36</v>
      </c>
      <c r="Q637" s="3" t="s">
        <v>36</v>
      </c>
      <c r="R637" s="3" t="s">
        <v>36</v>
      </c>
      <c r="S637" s="3" t="s">
        <v>36</v>
      </c>
      <c r="T637" s="3" t="s">
        <v>1106</v>
      </c>
      <c r="U637" s="3" t="s">
        <v>38</v>
      </c>
      <c r="V637" s="3" t="s">
        <v>39</v>
      </c>
      <c r="W637" s="3" t="s">
        <v>4125</v>
      </c>
      <c r="X637" s="10" t="s">
        <v>4126</v>
      </c>
      <c r="Y637" s="6" t="s">
        <v>42</v>
      </c>
      <c r="Z637" s="4">
        <v>34.54</v>
      </c>
      <c r="AA637" s="4" t="s">
        <v>36</v>
      </c>
      <c r="AB637" s="3" t="s">
        <v>56</v>
      </c>
      <c r="AC637" s="3" t="s">
        <v>4127</v>
      </c>
      <c r="AD637" s="9">
        <v>45349</v>
      </c>
      <c r="AE637" s="3" t="s">
        <v>110</v>
      </c>
      <c r="AF637" s="3" t="s">
        <v>176</v>
      </c>
      <c r="AG637" s="3" t="s">
        <v>3733</v>
      </c>
      <c r="AH637" s="11">
        <f>HYPERLINK("https://my.pitchbook.com?c=252991-81T","View Company Online")</f>
      </c>
    </row>
    <row r="638">
      <c r="A638" s="12" t="s">
        <v>4128</v>
      </c>
      <c r="B638" s="12" t="s">
        <v>4129</v>
      </c>
      <c r="C638" s="19">
        <v>6</v>
      </c>
      <c r="D638" s="19" t="s">
        <v>36</v>
      </c>
      <c r="E638" s="19">
        <v>4</v>
      </c>
      <c r="F638" s="19">
        <v>6</v>
      </c>
      <c r="G638" s="15" t="s">
        <v>326</v>
      </c>
      <c r="H638" s="14">
        <v>201.88</v>
      </c>
      <c r="I638" s="18">
        <v>37.36</v>
      </c>
      <c r="J638" s="12" t="s">
        <v>521</v>
      </c>
      <c r="K638" s="13">
        <v>45268</v>
      </c>
      <c r="L638" s="15" t="s">
        <v>36</v>
      </c>
      <c r="M638" s="12" t="s">
        <v>36</v>
      </c>
      <c r="N638" s="12" t="s">
        <v>36</v>
      </c>
      <c r="O638" s="17" t="s">
        <v>36</v>
      </c>
      <c r="P638" s="12" t="s">
        <v>36</v>
      </c>
      <c r="Q638" s="12" t="s">
        <v>36</v>
      </c>
      <c r="R638" s="12" t="s">
        <v>36</v>
      </c>
      <c r="S638" s="12" t="s">
        <v>316</v>
      </c>
      <c r="T638" s="12" t="s">
        <v>4130</v>
      </c>
      <c r="U638" s="12" t="s">
        <v>318</v>
      </c>
      <c r="V638" s="12" t="s">
        <v>39</v>
      </c>
      <c r="W638" s="12" t="s">
        <v>4131</v>
      </c>
      <c r="X638" s="16" t="s">
        <v>4132</v>
      </c>
      <c r="Y638" s="15" t="s">
        <v>55</v>
      </c>
      <c r="Z638" s="14">
        <v>20.75</v>
      </c>
      <c r="AA638" s="14">
        <v>55.54</v>
      </c>
      <c r="AB638" s="12" t="s">
        <v>56</v>
      </c>
      <c r="AC638" s="12" t="s">
        <v>4133</v>
      </c>
      <c r="AD638" s="13">
        <v>45349</v>
      </c>
      <c r="AE638" s="12" t="s">
        <v>323</v>
      </c>
      <c r="AF638" s="12" t="s">
        <v>275</v>
      </c>
      <c r="AG638" s="12" t="s">
        <v>81</v>
      </c>
      <c r="AH638" s="1">
        <f>HYPERLINK("https://my.pitchbook.com?c=251103-52T","View Company Online")</f>
      </c>
    </row>
    <row r="639">
      <c r="A639" s="3" t="s">
        <v>4134</v>
      </c>
      <c r="B639" s="3" t="s">
        <v>4135</v>
      </c>
      <c r="C639" s="5" t="s">
        <v>36</v>
      </c>
      <c r="D639" s="5" t="s">
        <v>36</v>
      </c>
      <c r="E639" s="5" t="s">
        <v>36</v>
      </c>
      <c r="F639" s="5" t="s">
        <v>36</v>
      </c>
      <c r="G639" s="6" t="s">
        <v>36</v>
      </c>
      <c r="H639" s="4" t="s">
        <v>36</v>
      </c>
      <c r="I639" s="7" t="s">
        <v>36</v>
      </c>
      <c r="J639" s="3" t="s">
        <v>36</v>
      </c>
      <c r="K639" s="9" t="s">
        <v>36</v>
      </c>
      <c r="L639" s="6" t="s">
        <v>36</v>
      </c>
      <c r="M639" s="3" t="s">
        <v>36</v>
      </c>
      <c r="N639" s="3" t="s">
        <v>36</v>
      </c>
      <c r="O639" s="8" t="s">
        <v>36</v>
      </c>
      <c r="P639" s="3" t="s">
        <v>36</v>
      </c>
      <c r="Q639" s="3" t="s">
        <v>36</v>
      </c>
      <c r="R639" s="3" t="s">
        <v>36</v>
      </c>
      <c r="S639" s="3" t="s">
        <v>36</v>
      </c>
      <c r="T639" s="3" t="s">
        <v>550</v>
      </c>
      <c r="U639" s="3" t="s">
        <v>38</v>
      </c>
      <c r="V639" s="3" t="s">
        <v>39</v>
      </c>
      <c r="W639" s="3" t="s">
        <v>4136</v>
      </c>
      <c r="X639" s="10" t="s">
        <v>4137</v>
      </c>
      <c r="Y639" s="6" t="s">
        <v>108</v>
      </c>
      <c r="Z639" s="4">
        <v>1.5</v>
      </c>
      <c r="AA639" s="4" t="s">
        <v>36</v>
      </c>
      <c r="AB639" s="3" t="s">
        <v>43</v>
      </c>
      <c r="AC639" s="3" t="s">
        <v>4138</v>
      </c>
      <c r="AD639" s="9">
        <v>45349</v>
      </c>
      <c r="AE639" s="3" t="s">
        <v>554</v>
      </c>
      <c r="AF639" s="3" t="s">
        <v>1380</v>
      </c>
      <c r="AG639" s="3" t="s">
        <v>81</v>
      </c>
      <c r="AH639" s="11">
        <f>HYPERLINK("https://my.pitchbook.com?c=252999-46T","View Company Online")</f>
      </c>
    </row>
    <row r="640">
      <c r="A640" s="12" t="s">
        <v>4139</v>
      </c>
      <c r="B640" s="12" t="s">
        <v>4140</v>
      </c>
      <c r="C640" s="19" t="s">
        <v>36</v>
      </c>
      <c r="D640" s="19" t="s">
        <v>36</v>
      </c>
      <c r="E640" s="19" t="s">
        <v>36</v>
      </c>
      <c r="F640" s="19" t="s">
        <v>36</v>
      </c>
      <c r="G640" s="15" t="s">
        <v>326</v>
      </c>
      <c r="H640" s="14">
        <v>390.09</v>
      </c>
      <c r="I640" s="18">
        <v>20.35</v>
      </c>
      <c r="J640" s="12" t="s">
        <v>521</v>
      </c>
      <c r="K640" s="13" t="s">
        <v>36</v>
      </c>
      <c r="L640" s="15" t="s">
        <v>36</v>
      </c>
      <c r="M640" s="12" t="s">
        <v>36</v>
      </c>
      <c r="N640" s="12" t="s">
        <v>36</v>
      </c>
      <c r="O640" s="17" t="s">
        <v>36</v>
      </c>
      <c r="P640" s="12" t="s">
        <v>36</v>
      </c>
      <c r="Q640" s="12" t="s">
        <v>36</v>
      </c>
      <c r="R640" s="12" t="s">
        <v>36</v>
      </c>
      <c r="S640" s="12" t="s">
        <v>36</v>
      </c>
      <c r="T640" s="12" t="s">
        <v>4141</v>
      </c>
      <c r="U640" s="12" t="s">
        <v>74</v>
      </c>
      <c r="V640" s="12" t="s">
        <v>75</v>
      </c>
      <c r="W640" s="12" t="s">
        <v>4142</v>
      </c>
      <c r="X640" s="16" t="s">
        <v>4143</v>
      </c>
      <c r="Y640" s="15" t="s">
        <v>42</v>
      </c>
      <c r="Z640" s="14">
        <v>1.3</v>
      </c>
      <c r="AA640" s="14">
        <v>6.36</v>
      </c>
      <c r="AB640" s="12" t="s">
        <v>56</v>
      </c>
      <c r="AC640" s="12" t="s">
        <v>4144</v>
      </c>
      <c r="AD640" s="13">
        <v>45349</v>
      </c>
      <c r="AE640" s="12" t="s">
        <v>570</v>
      </c>
      <c r="AF640" s="12" t="s">
        <v>2369</v>
      </c>
      <c r="AG640" s="12" t="s">
        <v>81</v>
      </c>
      <c r="AH640" s="1">
        <f>HYPERLINK("https://my.pitchbook.com?c=204840-73T","View Company Online")</f>
      </c>
    </row>
    <row r="641">
      <c r="A641" s="3" t="s">
        <v>4145</v>
      </c>
      <c r="B641" s="3" t="s">
        <v>2943</v>
      </c>
      <c r="C641" s="5" t="s">
        <v>36</v>
      </c>
      <c r="D641" s="5" t="s">
        <v>36</v>
      </c>
      <c r="E641" s="5" t="s">
        <v>36</v>
      </c>
      <c r="F641" s="5" t="s">
        <v>36</v>
      </c>
      <c r="G641" s="6" t="s">
        <v>326</v>
      </c>
      <c r="H641" s="4" t="s">
        <v>36</v>
      </c>
      <c r="I641" s="7">
        <v>21.57</v>
      </c>
      <c r="J641" s="3" t="s">
        <v>327</v>
      </c>
      <c r="K641" s="9">
        <v>45265</v>
      </c>
      <c r="L641" s="6" t="s">
        <v>122</v>
      </c>
      <c r="M641" s="3" t="s">
        <v>36</v>
      </c>
      <c r="N641" s="3" t="s">
        <v>122</v>
      </c>
      <c r="O641" s="8" t="s">
        <v>36</v>
      </c>
      <c r="P641" s="3" t="s">
        <v>36</v>
      </c>
      <c r="Q641" s="3" t="s">
        <v>36</v>
      </c>
      <c r="R641" s="3" t="s">
        <v>36</v>
      </c>
      <c r="S641" s="3" t="s">
        <v>2944</v>
      </c>
      <c r="T641" s="3" t="s">
        <v>1344</v>
      </c>
      <c r="U641" s="3" t="s">
        <v>38</v>
      </c>
      <c r="V641" s="3" t="s">
        <v>39</v>
      </c>
      <c r="W641" s="3" t="s">
        <v>2945</v>
      </c>
      <c r="X641" s="10" t="s">
        <v>4146</v>
      </c>
      <c r="Y641" s="6" t="s">
        <v>108</v>
      </c>
      <c r="Z641" s="4">
        <v>431.3</v>
      </c>
      <c r="AA641" s="4">
        <v>2000</v>
      </c>
      <c r="AB641" s="3" t="s">
        <v>43</v>
      </c>
      <c r="AC641" s="3" t="s">
        <v>2947</v>
      </c>
      <c r="AD641" s="9">
        <v>45348</v>
      </c>
      <c r="AE641" s="3" t="s">
        <v>110</v>
      </c>
      <c r="AF641" s="3" t="s">
        <v>111</v>
      </c>
      <c r="AG641" s="3" t="s">
        <v>81</v>
      </c>
      <c r="AH641" s="11">
        <f>HYPERLINK("https://my.pitchbook.com?c=244446-22T","View Company Online")</f>
      </c>
    </row>
    <row r="642">
      <c r="A642" s="12" t="s">
        <v>4147</v>
      </c>
      <c r="B642" s="12" t="s">
        <v>4148</v>
      </c>
      <c r="C642" s="19" t="s">
        <v>36</v>
      </c>
      <c r="D642" s="19" t="s">
        <v>36</v>
      </c>
      <c r="E642" s="19" t="s">
        <v>36</v>
      </c>
      <c r="F642" s="19" t="s">
        <v>36</v>
      </c>
      <c r="G642" s="15" t="s">
        <v>36</v>
      </c>
      <c r="H642" s="14" t="s">
        <v>36</v>
      </c>
      <c r="I642" s="18" t="s">
        <v>36</v>
      </c>
      <c r="J642" s="12" t="s">
        <v>36</v>
      </c>
      <c r="K642" s="13" t="s">
        <v>36</v>
      </c>
      <c r="L642" s="15" t="s">
        <v>36</v>
      </c>
      <c r="M642" s="12" t="s">
        <v>36</v>
      </c>
      <c r="N642" s="12" t="s">
        <v>36</v>
      </c>
      <c r="O642" s="17" t="s">
        <v>36</v>
      </c>
      <c r="P642" s="12" t="s">
        <v>36</v>
      </c>
      <c r="Q642" s="12" t="s">
        <v>36</v>
      </c>
      <c r="R642" s="12" t="s">
        <v>36</v>
      </c>
      <c r="S642" s="12" t="s">
        <v>196</v>
      </c>
      <c r="T642" s="12" t="s">
        <v>522</v>
      </c>
      <c r="U642" s="12" t="s">
        <v>38</v>
      </c>
      <c r="V642" s="12" t="s">
        <v>39</v>
      </c>
      <c r="W642" s="12" t="s">
        <v>4149</v>
      </c>
      <c r="X642" s="16" t="s">
        <v>4150</v>
      </c>
      <c r="Y642" s="15" t="s">
        <v>42</v>
      </c>
      <c r="Z642" s="14">
        <v>3.78</v>
      </c>
      <c r="AA642" s="14" t="s">
        <v>36</v>
      </c>
      <c r="AB642" s="12" t="s">
        <v>43</v>
      </c>
      <c r="AC642" s="12" t="s">
        <v>4151</v>
      </c>
      <c r="AD642" s="13">
        <v>45348</v>
      </c>
      <c r="AE642" s="12" t="s">
        <v>110</v>
      </c>
      <c r="AF642" s="12" t="s">
        <v>4152</v>
      </c>
      <c r="AG642" s="12" t="s">
        <v>81</v>
      </c>
      <c r="AH642" s="1">
        <f>HYPERLINK("https://my.pitchbook.com?c=257035-87T","View Company Online")</f>
      </c>
    </row>
    <row r="643">
      <c r="A643" s="3" t="s">
        <v>4153</v>
      </c>
      <c r="B643" s="3" t="s">
        <v>4154</v>
      </c>
      <c r="C643" s="5">
        <v>4</v>
      </c>
      <c r="D643" s="5">
        <v>2</v>
      </c>
      <c r="E643" s="5">
        <v>4</v>
      </c>
      <c r="F643" s="5">
        <v>6</v>
      </c>
      <c r="G643" s="6" t="s">
        <v>326</v>
      </c>
      <c r="H643" s="4" t="s">
        <v>36</v>
      </c>
      <c r="I643" s="7">
        <v>29.57</v>
      </c>
      <c r="J643" s="3" t="s">
        <v>327</v>
      </c>
      <c r="K643" s="9" t="s">
        <v>36</v>
      </c>
      <c r="L643" s="6" t="s">
        <v>36</v>
      </c>
      <c r="M643" s="3" t="s">
        <v>36</v>
      </c>
      <c r="N643" s="3" t="s">
        <v>36</v>
      </c>
      <c r="O643" s="8" t="s">
        <v>36</v>
      </c>
      <c r="P643" s="3" t="s">
        <v>36</v>
      </c>
      <c r="Q643" s="3" t="s">
        <v>36</v>
      </c>
      <c r="R643" s="3" t="s">
        <v>36</v>
      </c>
      <c r="S643" s="3" t="s">
        <v>36</v>
      </c>
      <c r="T643" s="3" t="s">
        <v>4155</v>
      </c>
      <c r="U643" s="3" t="s">
        <v>1082</v>
      </c>
      <c r="V643" s="3" t="s">
        <v>378</v>
      </c>
      <c r="W643" s="3" t="s">
        <v>4156</v>
      </c>
      <c r="X643" s="10" t="s">
        <v>4157</v>
      </c>
      <c r="Y643" s="6" t="s">
        <v>108</v>
      </c>
      <c r="Z643" s="4">
        <v>7.56</v>
      </c>
      <c r="AA643" s="4">
        <v>25.56</v>
      </c>
      <c r="AB643" s="3" t="s">
        <v>43</v>
      </c>
      <c r="AC643" s="3" t="s">
        <v>4158</v>
      </c>
      <c r="AD643" s="9">
        <v>45345</v>
      </c>
      <c r="AE643" s="3" t="s">
        <v>1086</v>
      </c>
      <c r="AF643" s="3" t="s">
        <v>4159</v>
      </c>
      <c r="AG643" s="3" t="s">
        <v>1078</v>
      </c>
      <c r="AH643" s="11">
        <f>HYPERLINK("https://my.pitchbook.com?c=223039-63T","View Company Online")</f>
      </c>
    </row>
    <row r="644">
      <c r="A644" s="12" t="s">
        <v>4160</v>
      </c>
      <c r="B644" s="12" t="s">
        <v>4161</v>
      </c>
      <c r="C644" s="19" t="s">
        <v>36</v>
      </c>
      <c r="D644" s="19" t="s">
        <v>36</v>
      </c>
      <c r="E644" s="19" t="s">
        <v>36</v>
      </c>
      <c r="F644" s="19" t="s">
        <v>36</v>
      </c>
      <c r="G644" s="15" t="s">
        <v>36</v>
      </c>
      <c r="H644" s="14" t="s">
        <v>36</v>
      </c>
      <c r="I644" s="18" t="s">
        <v>36</v>
      </c>
      <c r="J644" s="12" t="s">
        <v>36</v>
      </c>
      <c r="K644" s="13" t="s">
        <v>36</v>
      </c>
      <c r="L644" s="15" t="s">
        <v>36</v>
      </c>
      <c r="M644" s="12" t="s">
        <v>36</v>
      </c>
      <c r="N644" s="12" t="s">
        <v>36</v>
      </c>
      <c r="O644" s="17" t="s">
        <v>36</v>
      </c>
      <c r="P644" s="12" t="s">
        <v>36</v>
      </c>
      <c r="Q644" s="12" t="s">
        <v>36</v>
      </c>
      <c r="R644" s="12" t="s">
        <v>36</v>
      </c>
      <c r="S644" s="12" t="s">
        <v>36</v>
      </c>
      <c r="T644" s="12" t="s">
        <v>4162</v>
      </c>
      <c r="U644" s="12" t="s">
        <v>180</v>
      </c>
      <c r="V644" s="12" t="s">
        <v>52</v>
      </c>
      <c r="W644" s="12" t="s">
        <v>4163</v>
      </c>
      <c r="X644" s="16" t="s">
        <v>4164</v>
      </c>
      <c r="Y644" s="15" t="s">
        <v>108</v>
      </c>
      <c r="Z644" s="14">
        <v>1.84</v>
      </c>
      <c r="AA644" s="14" t="s">
        <v>36</v>
      </c>
      <c r="AB644" s="12" t="s">
        <v>43</v>
      </c>
      <c r="AC644" s="12" t="s">
        <v>4165</v>
      </c>
      <c r="AD644" s="13">
        <v>45345</v>
      </c>
      <c r="AE644" s="12" t="s">
        <v>184</v>
      </c>
      <c r="AF644" s="12" t="s">
        <v>4166</v>
      </c>
      <c r="AG644" s="12" t="s">
        <v>652</v>
      </c>
      <c r="AH644" s="1">
        <f>HYPERLINK("https://my.pitchbook.com?c=252816-67T","View Company Online")</f>
      </c>
    </row>
    <row r="645">
      <c r="A645" s="3" t="s">
        <v>4167</v>
      </c>
      <c r="B645" s="3" t="s">
        <v>4168</v>
      </c>
      <c r="C645" s="5" t="s">
        <v>36</v>
      </c>
      <c r="D645" s="5" t="s">
        <v>36</v>
      </c>
      <c r="E645" s="5" t="s">
        <v>36</v>
      </c>
      <c r="F645" s="5" t="s">
        <v>36</v>
      </c>
      <c r="G645" s="6" t="s">
        <v>36</v>
      </c>
      <c r="H645" s="4" t="s">
        <v>36</v>
      </c>
      <c r="I645" s="7">
        <v>23.11</v>
      </c>
      <c r="J645" s="3" t="s">
        <v>327</v>
      </c>
      <c r="K645" s="9" t="s">
        <v>36</v>
      </c>
      <c r="L645" s="6" t="s">
        <v>36</v>
      </c>
      <c r="M645" s="3" t="s">
        <v>36</v>
      </c>
      <c r="N645" s="3" t="s">
        <v>36</v>
      </c>
      <c r="O645" s="8" t="s">
        <v>36</v>
      </c>
      <c r="P645" s="3" t="s">
        <v>36</v>
      </c>
      <c r="Q645" s="3" t="s">
        <v>36</v>
      </c>
      <c r="R645" s="3" t="s">
        <v>36</v>
      </c>
      <c r="S645" s="3" t="s">
        <v>36</v>
      </c>
      <c r="T645" s="3" t="s">
        <v>920</v>
      </c>
      <c r="U645" s="3" t="s">
        <v>318</v>
      </c>
      <c r="V645" s="3" t="s">
        <v>39</v>
      </c>
      <c r="W645" s="3" t="s">
        <v>4169</v>
      </c>
      <c r="X645" s="10" t="s">
        <v>4170</v>
      </c>
      <c r="Y645" s="6" t="s">
        <v>42</v>
      </c>
      <c r="Z645" s="4">
        <v>0.94</v>
      </c>
      <c r="AA645" s="4">
        <v>4.09</v>
      </c>
      <c r="AB645" s="3" t="s">
        <v>43</v>
      </c>
      <c r="AC645" s="3" t="s">
        <v>4171</v>
      </c>
      <c r="AD645" s="9">
        <v>45344</v>
      </c>
      <c r="AE645" s="3" t="s">
        <v>417</v>
      </c>
      <c r="AF645" s="3" t="s">
        <v>592</v>
      </c>
      <c r="AG645" s="3" t="s">
        <v>4172</v>
      </c>
      <c r="AH645" s="11">
        <f>HYPERLINK("https://my.pitchbook.com?c=252753-04T","View Company Online")</f>
      </c>
    </row>
    <row r="646">
      <c r="A646" s="12" t="s">
        <v>4173</v>
      </c>
      <c r="B646" s="12" t="s">
        <v>4174</v>
      </c>
      <c r="C646" s="19">
        <v>19</v>
      </c>
      <c r="D646" s="19">
        <v>18</v>
      </c>
      <c r="E646" s="19">
        <v>11</v>
      </c>
      <c r="F646" s="19">
        <v>39</v>
      </c>
      <c r="G646" s="15" t="s">
        <v>36</v>
      </c>
      <c r="H646" s="14" t="s">
        <v>36</v>
      </c>
      <c r="I646" s="18" t="s">
        <v>36</v>
      </c>
      <c r="J646" s="12" t="s">
        <v>36</v>
      </c>
      <c r="K646" s="13" t="s">
        <v>36</v>
      </c>
      <c r="L646" s="15" t="s">
        <v>1279</v>
      </c>
      <c r="M646" s="12" t="s">
        <v>36</v>
      </c>
      <c r="N646" s="12" t="s">
        <v>1279</v>
      </c>
      <c r="O646" s="17" t="s">
        <v>36</v>
      </c>
      <c r="P646" s="12" t="s">
        <v>36</v>
      </c>
      <c r="Q646" s="12" t="s">
        <v>36</v>
      </c>
      <c r="R646" s="12" t="s">
        <v>36</v>
      </c>
      <c r="S646" s="12" t="s">
        <v>36</v>
      </c>
      <c r="T646" s="12" t="s">
        <v>4175</v>
      </c>
      <c r="U646" s="12" t="s">
        <v>51</v>
      </c>
      <c r="V646" s="12" t="s">
        <v>52</v>
      </c>
      <c r="W646" s="12" t="s">
        <v>4176</v>
      </c>
      <c r="X646" s="16" t="s">
        <v>4177</v>
      </c>
      <c r="Y646" s="15" t="s">
        <v>166</v>
      </c>
      <c r="Z646" s="14">
        <v>26.5</v>
      </c>
      <c r="AA646" s="14" t="s">
        <v>36</v>
      </c>
      <c r="AB646" s="12" t="s">
        <v>56</v>
      </c>
      <c r="AC646" s="12" t="s">
        <v>4178</v>
      </c>
      <c r="AD646" s="13">
        <v>45344</v>
      </c>
      <c r="AE646" s="12" t="s">
        <v>58</v>
      </c>
      <c r="AF646" s="12" t="s">
        <v>3193</v>
      </c>
      <c r="AG646" s="12" t="s">
        <v>4179</v>
      </c>
      <c r="AH646" s="1">
        <f>HYPERLINK("https://my.pitchbook.com?c=253404-73T","View Company Online")</f>
      </c>
    </row>
    <row r="647">
      <c r="A647" s="3" t="s">
        <v>4180</v>
      </c>
      <c r="B647" s="3" t="s">
        <v>4181</v>
      </c>
      <c r="C647" s="5" t="s">
        <v>36</v>
      </c>
      <c r="D647" s="5">
        <v>2</v>
      </c>
      <c r="E647" s="5">
        <v>3</v>
      </c>
      <c r="F647" s="5">
        <v>5</v>
      </c>
      <c r="G647" s="6" t="s">
        <v>683</v>
      </c>
      <c r="H647" s="4">
        <v>230.46</v>
      </c>
      <c r="I647" s="7">
        <v>31.38</v>
      </c>
      <c r="J647" s="3" t="s">
        <v>521</v>
      </c>
      <c r="K647" s="9" t="s">
        <v>36</v>
      </c>
      <c r="L647" s="6" t="s">
        <v>36</v>
      </c>
      <c r="M647" s="3" t="s">
        <v>36</v>
      </c>
      <c r="N647" s="3" t="s">
        <v>36</v>
      </c>
      <c r="O647" s="8" t="s">
        <v>36</v>
      </c>
      <c r="P647" s="3" t="s">
        <v>36</v>
      </c>
      <c r="Q647" s="3" t="s">
        <v>36</v>
      </c>
      <c r="R647" s="3" t="s">
        <v>36</v>
      </c>
      <c r="S647" s="3" t="s">
        <v>196</v>
      </c>
      <c r="T647" s="3" t="s">
        <v>522</v>
      </c>
      <c r="U647" s="3" t="s">
        <v>38</v>
      </c>
      <c r="V647" s="3" t="s">
        <v>39</v>
      </c>
      <c r="W647" s="3" t="s">
        <v>4182</v>
      </c>
      <c r="X647" s="10" t="s">
        <v>4183</v>
      </c>
      <c r="Y647" s="6" t="s">
        <v>42</v>
      </c>
      <c r="Z647" s="4">
        <v>2.83</v>
      </c>
      <c r="AA647" s="4">
        <v>9.01</v>
      </c>
      <c r="AB647" s="3" t="s">
        <v>56</v>
      </c>
      <c r="AC647" s="3" t="s">
        <v>4184</v>
      </c>
      <c r="AD647" s="9">
        <v>45343</v>
      </c>
      <c r="AE647" s="3" t="s">
        <v>110</v>
      </c>
      <c r="AF647" s="3" t="s">
        <v>4185</v>
      </c>
      <c r="AG647" s="3" t="s">
        <v>4186</v>
      </c>
      <c r="AH647" s="11">
        <f>HYPERLINK("https://my.pitchbook.com?c=200942-74T","View Company Online")</f>
      </c>
    </row>
    <row r="648">
      <c r="A648" s="12" t="s">
        <v>4187</v>
      </c>
      <c r="B648" s="12" t="s">
        <v>4188</v>
      </c>
      <c r="C648" s="19" t="s">
        <v>36</v>
      </c>
      <c r="D648" s="19" t="s">
        <v>36</v>
      </c>
      <c r="E648" s="19" t="s">
        <v>36</v>
      </c>
      <c r="F648" s="19" t="s">
        <v>36</v>
      </c>
      <c r="G648" s="15" t="s">
        <v>36</v>
      </c>
      <c r="H648" s="14">
        <v>830.85</v>
      </c>
      <c r="I648" s="18">
        <v>22.36</v>
      </c>
      <c r="J648" s="12" t="s">
        <v>521</v>
      </c>
      <c r="K648" s="13" t="s">
        <v>36</v>
      </c>
      <c r="L648" s="15" t="s">
        <v>36</v>
      </c>
      <c r="M648" s="12" t="s">
        <v>36</v>
      </c>
      <c r="N648" s="12" t="s">
        <v>36</v>
      </c>
      <c r="O648" s="17" t="s">
        <v>36</v>
      </c>
      <c r="P648" s="12" t="s">
        <v>36</v>
      </c>
      <c r="Q648" s="12" t="s">
        <v>36</v>
      </c>
      <c r="R648" s="12" t="s">
        <v>36</v>
      </c>
      <c r="S648" s="12" t="s">
        <v>36</v>
      </c>
      <c r="T648" s="12" t="s">
        <v>1253</v>
      </c>
      <c r="U648" s="12" t="s">
        <v>38</v>
      </c>
      <c r="V648" s="12" t="s">
        <v>39</v>
      </c>
      <c r="W648" s="12" t="s">
        <v>4189</v>
      </c>
      <c r="X648" s="16" t="s">
        <v>4190</v>
      </c>
      <c r="Y648" s="15" t="s">
        <v>42</v>
      </c>
      <c r="Z648" s="14">
        <v>0.25</v>
      </c>
      <c r="AA648" s="14">
        <v>1.11</v>
      </c>
      <c r="AB648" s="12" t="s">
        <v>43</v>
      </c>
      <c r="AC648" s="12" t="s">
        <v>4191</v>
      </c>
      <c r="AD648" s="13">
        <v>45342</v>
      </c>
      <c r="AE648" s="12" t="s">
        <v>45</v>
      </c>
      <c r="AF648" s="12" t="s">
        <v>4192</v>
      </c>
      <c r="AG648" s="12" t="s">
        <v>1362</v>
      </c>
      <c r="AH648" s="1">
        <f>HYPERLINK("https://my.pitchbook.com?c=273318-31T","View Company Online")</f>
      </c>
    </row>
    <row r="649">
      <c r="A649" s="3" t="s">
        <v>4193</v>
      </c>
      <c r="B649" s="3" t="s">
        <v>479</v>
      </c>
      <c r="C649" s="5" t="s">
        <v>36</v>
      </c>
      <c r="D649" s="5" t="s">
        <v>36</v>
      </c>
      <c r="E649" s="5" t="s">
        <v>36</v>
      </c>
      <c r="F649" s="5" t="s">
        <v>36</v>
      </c>
      <c r="G649" s="6" t="s">
        <v>36</v>
      </c>
      <c r="H649" s="4" t="s">
        <v>36</v>
      </c>
      <c r="I649" s="7">
        <v>37.53</v>
      </c>
      <c r="J649" s="3" t="s">
        <v>327</v>
      </c>
      <c r="K649" s="9" t="s">
        <v>36</v>
      </c>
      <c r="L649" s="6" t="s">
        <v>36</v>
      </c>
      <c r="M649" s="3" t="s">
        <v>36</v>
      </c>
      <c r="N649" s="3" t="s">
        <v>36</v>
      </c>
      <c r="O649" s="8" t="s">
        <v>36</v>
      </c>
      <c r="P649" s="3" t="s">
        <v>36</v>
      </c>
      <c r="Q649" s="3" t="s">
        <v>36</v>
      </c>
      <c r="R649" s="3" t="s">
        <v>36</v>
      </c>
      <c r="S649" s="3" t="s">
        <v>196</v>
      </c>
      <c r="T649" s="3" t="s">
        <v>154</v>
      </c>
      <c r="U649" s="3" t="s">
        <v>51</v>
      </c>
      <c r="V649" s="3" t="s">
        <v>52</v>
      </c>
      <c r="W649" s="3" t="s">
        <v>480</v>
      </c>
      <c r="X649" s="10" t="s">
        <v>4194</v>
      </c>
      <c r="Y649" s="6" t="s">
        <v>42</v>
      </c>
      <c r="Z649" s="4">
        <v>35</v>
      </c>
      <c r="AA649" s="4">
        <v>93.26</v>
      </c>
      <c r="AB649" s="3" t="s">
        <v>43</v>
      </c>
      <c r="AC649" s="3" t="s">
        <v>482</v>
      </c>
      <c r="AD649" s="9">
        <v>45341</v>
      </c>
      <c r="AE649" s="3" t="s">
        <v>158</v>
      </c>
      <c r="AF649" s="3" t="s">
        <v>59</v>
      </c>
      <c r="AG649" s="3" t="s">
        <v>81</v>
      </c>
      <c r="AH649" s="11">
        <f>HYPERLINK("https://my.pitchbook.com?c=252435-97T","View Company Online")</f>
      </c>
    </row>
    <row r="650">
      <c r="A650" s="12" t="s">
        <v>4195</v>
      </c>
      <c r="B650" s="12" t="s">
        <v>4196</v>
      </c>
      <c r="C650" s="19" t="s">
        <v>36</v>
      </c>
      <c r="D650" s="19" t="s">
        <v>36</v>
      </c>
      <c r="E650" s="19" t="s">
        <v>36</v>
      </c>
      <c r="F650" s="19" t="s">
        <v>36</v>
      </c>
      <c r="G650" s="15" t="s">
        <v>36</v>
      </c>
      <c r="H650" s="14">
        <v>430.94</v>
      </c>
      <c r="I650" s="18">
        <v>25.45</v>
      </c>
      <c r="J650" s="12" t="s">
        <v>521</v>
      </c>
      <c r="K650" s="13" t="s">
        <v>36</v>
      </c>
      <c r="L650" s="15" t="s">
        <v>36</v>
      </c>
      <c r="M650" s="12" t="s">
        <v>36</v>
      </c>
      <c r="N650" s="12" t="s">
        <v>36</v>
      </c>
      <c r="O650" s="17" t="s">
        <v>36</v>
      </c>
      <c r="P650" s="12" t="s">
        <v>36</v>
      </c>
      <c r="Q650" s="12" t="s">
        <v>36</v>
      </c>
      <c r="R650" s="12" t="s">
        <v>36</v>
      </c>
      <c r="S650" s="12" t="s">
        <v>36</v>
      </c>
      <c r="T650" s="12" t="s">
        <v>4197</v>
      </c>
      <c r="U650" s="12" t="s">
        <v>74</v>
      </c>
      <c r="V650" s="12" t="s">
        <v>75</v>
      </c>
      <c r="W650" s="12" t="s">
        <v>4198</v>
      </c>
      <c r="X650" s="16" t="s">
        <v>577</v>
      </c>
      <c r="Y650" s="15" t="s">
        <v>108</v>
      </c>
      <c r="Z650" s="14">
        <v>1.27</v>
      </c>
      <c r="AA650" s="14">
        <v>5</v>
      </c>
      <c r="AB650" s="12" t="s">
        <v>43</v>
      </c>
      <c r="AC650" s="12" t="s">
        <v>4199</v>
      </c>
      <c r="AD650" s="13">
        <v>45341</v>
      </c>
      <c r="AE650" s="12" t="s">
        <v>696</v>
      </c>
      <c r="AF650" s="12" t="s">
        <v>4200</v>
      </c>
      <c r="AG650" s="12" t="s">
        <v>1362</v>
      </c>
      <c r="AH650" s="1">
        <f>HYPERLINK("https://my.pitchbook.com?c=268429-42T","View Company Online")</f>
      </c>
    </row>
    <row r="651">
      <c r="A651" s="3" t="s">
        <v>4201</v>
      </c>
      <c r="B651" s="3" t="s">
        <v>4202</v>
      </c>
      <c r="C651" s="5" t="s">
        <v>36</v>
      </c>
      <c r="D651" s="5" t="s">
        <v>36</v>
      </c>
      <c r="E651" s="5" t="s">
        <v>36</v>
      </c>
      <c r="F651" s="5" t="s">
        <v>36</v>
      </c>
      <c r="G651" s="6" t="s">
        <v>36</v>
      </c>
      <c r="H651" s="4" t="s">
        <v>36</v>
      </c>
      <c r="I651" s="7" t="s">
        <v>36</v>
      </c>
      <c r="J651" s="3" t="s">
        <v>36</v>
      </c>
      <c r="K651" s="9" t="s">
        <v>36</v>
      </c>
      <c r="L651" s="6" t="s">
        <v>36</v>
      </c>
      <c r="M651" s="3" t="s">
        <v>36</v>
      </c>
      <c r="N651" s="3" t="s">
        <v>36</v>
      </c>
      <c r="O651" s="8" t="s">
        <v>36</v>
      </c>
      <c r="P651" s="3" t="s">
        <v>36</v>
      </c>
      <c r="Q651" s="3" t="s">
        <v>36</v>
      </c>
      <c r="R651" s="3" t="s">
        <v>36</v>
      </c>
      <c r="S651" s="3" t="s">
        <v>36</v>
      </c>
      <c r="T651" s="3" t="s">
        <v>818</v>
      </c>
      <c r="U651" s="3" t="s">
        <v>74</v>
      </c>
      <c r="V651" s="3" t="s">
        <v>75</v>
      </c>
      <c r="W651" s="3" t="s">
        <v>4203</v>
      </c>
      <c r="X651" s="10" t="s">
        <v>4204</v>
      </c>
      <c r="Y651" s="6" t="s">
        <v>55</v>
      </c>
      <c r="Z651" s="4">
        <v>6.48</v>
      </c>
      <c r="AA651" s="4" t="s">
        <v>36</v>
      </c>
      <c r="AB651" s="3" t="s">
        <v>56</v>
      </c>
      <c r="AC651" s="3" t="s">
        <v>4205</v>
      </c>
      <c r="AD651" s="9">
        <v>45341</v>
      </c>
      <c r="AE651" s="3" t="s">
        <v>570</v>
      </c>
      <c r="AF651" s="3" t="s">
        <v>982</v>
      </c>
      <c r="AG651" s="3" t="s">
        <v>81</v>
      </c>
      <c r="AH651" s="11">
        <f>HYPERLINK("https://my.pitchbook.com?c=252331-93T","View Company Online")</f>
      </c>
    </row>
    <row r="652">
      <c r="A652" s="12" t="s">
        <v>4206</v>
      </c>
      <c r="B652" s="12" t="s">
        <v>4207</v>
      </c>
      <c r="C652" s="19">
        <v>1</v>
      </c>
      <c r="D652" s="19">
        <v>2</v>
      </c>
      <c r="E652" s="19">
        <v>1</v>
      </c>
      <c r="F652" s="19">
        <v>3</v>
      </c>
      <c r="G652" s="15" t="s">
        <v>36</v>
      </c>
      <c r="H652" s="14" t="s">
        <v>36</v>
      </c>
      <c r="I652" s="18" t="s">
        <v>36</v>
      </c>
      <c r="J652" s="12" t="s">
        <v>36</v>
      </c>
      <c r="K652" s="13">
        <v>45056</v>
      </c>
      <c r="L652" s="15" t="s">
        <v>122</v>
      </c>
      <c r="M652" s="12" t="s">
        <v>36</v>
      </c>
      <c r="N652" s="12" t="s">
        <v>122</v>
      </c>
      <c r="O652" s="17" t="s">
        <v>36</v>
      </c>
      <c r="P652" s="12" t="s">
        <v>36</v>
      </c>
      <c r="Q652" s="12" t="s">
        <v>36</v>
      </c>
      <c r="R652" s="12" t="s">
        <v>36</v>
      </c>
      <c r="S652" s="12" t="s">
        <v>36</v>
      </c>
      <c r="T652" s="12" t="s">
        <v>3887</v>
      </c>
      <c r="U652" s="12" t="s">
        <v>619</v>
      </c>
      <c r="V652" s="12" t="s">
        <v>378</v>
      </c>
      <c r="W652" s="12" t="s">
        <v>4208</v>
      </c>
      <c r="X652" s="16" t="s">
        <v>4209</v>
      </c>
      <c r="Y652" s="15" t="s">
        <v>42</v>
      </c>
      <c r="Z652" s="14">
        <v>15.15</v>
      </c>
      <c r="AA652" s="14" t="s">
        <v>36</v>
      </c>
      <c r="AB652" s="12" t="s">
        <v>56</v>
      </c>
      <c r="AC652" s="12" t="s">
        <v>4210</v>
      </c>
      <c r="AD652" s="13">
        <v>45338</v>
      </c>
      <c r="AE652" s="12" t="s">
        <v>3891</v>
      </c>
      <c r="AF652" s="12" t="s">
        <v>4211</v>
      </c>
      <c r="AG652" s="12" t="s">
        <v>1078</v>
      </c>
      <c r="AH652" s="1">
        <f>HYPERLINK("https://my.pitchbook.com?c=249187-24T","View Company Online")</f>
      </c>
    </row>
    <row r="653">
      <c r="A653" s="3" t="s">
        <v>4212</v>
      </c>
      <c r="B653" s="3" t="s">
        <v>4213</v>
      </c>
      <c r="C653" s="5">
        <v>10</v>
      </c>
      <c r="D653" s="5">
        <v>19</v>
      </c>
      <c r="E653" s="5">
        <v>7</v>
      </c>
      <c r="F653" s="5">
        <v>29</v>
      </c>
      <c r="G653" s="6" t="s">
        <v>36</v>
      </c>
      <c r="H653" s="4">
        <v>33.23</v>
      </c>
      <c r="I653" s="7">
        <v>28.34</v>
      </c>
      <c r="J653" s="3" t="s">
        <v>521</v>
      </c>
      <c r="K653" s="9" t="s">
        <v>36</v>
      </c>
      <c r="L653" s="6" t="s">
        <v>36</v>
      </c>
      <c r="M653" s="3" t="s">
        <v>36</v>
      </c>
      <c r="N653" s="3" t="s">
        <v>36</v>
      </c>
      <c r="O653" s="8" t="s">
        <v>36</v>
      </c>
      <c r="P653" s="3" t="s">
        <v>36</v>
      </c>
      <c r="Q653" s="3" t="s">
        <v>36</v>
      </c>
      <c r="R653" s="3" t="s">
        <v>36</v>
      </c>
      <c r="S653" s="3" t="s">
        <v>36</v>
      </c>
      <c r="T653" s="3" t="s">
        <v>4214</v>
      </c>
      <c r="U653" s="3" t="s">
        <v>96</v>
      </c>
      <c r="V653" s="3" t="s">
        <v>52</v>
      </c>
      <c r="W653" s="3" t="s">
        <v>4215</v>
      </c>
      <c r="X653" s="10" t="s">
        <v>2442</v>
      </c>
      <c r="Y653" s="6" t="s">
        <v>55</v>
      </c>
      <c r="Z653" s="4">
        <v>2.81</v>
      </c>
      <c r="AA653" s="4">
        <v>9.93</v>
      </c>
      <c r="AB653" s="3" t="s">
        <v>56</v>
      </c>
      <c r="AC653" s="3" t="s">
        <v>4216</v>
      </c>
      <c r="AD653" s="9">
        <v>45337</v>
      </c>
      <c r="AE653" s="3" t="s">
        <v>1414</v>
      </c>
      <c r="AF653" s="3" t="s">
        <v>885</v>
      </c>
      <c r="AG653" s="3" t="s">
        <v>4217</v>
      </c>
      <c r="AH653" s="11">
        <f>HYPERLINK("https://my.pitchbook.com?c=255365-38T","View Company Online")</f>
      </c>
    </row>
    <row r="654">
      <c r="A654" s="12" t="s">
        <v>4218</v>
      </c>
      <c r="B654" s="12" t="s">
        <v>4219</v>
      </c>
      <c r="C654" s="19" t="s">
        <v>36</v>
      </c>
      <c r="D654" s="19" t="s">
        <v>36</v>
      </c>
      <c r="E654" s="19" t="s">
        <v>36</v>
      </c>
      <c r="F654" s="19" t="s">
        <v>36</v>
      </c>
      <c r="G654" s="15" t="s">
        <v>326</v>
      </c>
      <c r="H654" s="14">
        <v>2103.5</v>
      </c>
      <c r="I654" s="18">
        <v>16.37</v>
      </c>
      <c r="J654" s="12" t="s">
        <v>521</v>
      </c>
      <c r="K654" s="13" t="s">
        <v>36</v>
      </c>
      <c r="L654" s="15" t="s">
        <v>36</v>
      </c>
      <c r="M654" s="12" t="s">
        <v>36</v>
      </c>
      <c r="N654" s="12" t="s">
        <v>36</v>
      </c>
      <c r="O654" s="17" t="s">
        <v>36</v>
      </c>
      <c r="P654" s="12" t="s">
        <v>36</v>
      </c>
      <c r="Q654" s="12" t="s">
        <v>36</v>
      </c>
      <c r="R654" s="12" t="s">
        <v>36</v>
      </c>
      <c r="S654" s="12" t="s">
        <v>36</v>
      </c>
      <c r="T654" s="12" t="s">
        <v>472</v>
      </c>
      <c r="U654" s="12" t="s">
        <v>38</v>
      </c>
      <c r="V654" s="12" t="s">
        <v>39</v>
      </c>
      <c r="W654" s="12" t="s">
        <v>4220</v>
      </c>
      <c r="X654" s="16" t="s">
        <v>4221</v>
      </c>
      <c r="Y654" s="15" t="s">
        <v>55</v>
      </c>
      <c r="Z654" s="14">
        <v>3.23</v>
      </c>
      <c r="AA654" s="14">
        <v>19.72</v>
      </c>
      <c r="AB654" s="12" t="s">
        <v>43</v>
      </c>
      <c r="AC654" s="12" t="s">
        <v>4222</v>
      </c>
      <c r="AD654" s="13">
        <v>45337</v>
      </c>
      <c r="AE654" s="12" t="s">
        <v>110</v>
      </c>
      <c r="AF654" s="12" t="s">
        <v>176</v>
      </c>
      <c r="AG654" s="12" t="s">
        <v>81</v>
      </c>
      <c r="AH654" s="1">
        <f>HYPERLINK("https://my.pitchbook.com?c=203331-43T","View Company Online")</f>
      </c>
    </row>
    <row r="655">
      <c r="A655" s="3" t="s">
        <v>4223</v>
      </c>
      <c r="B655" s="3" t="s">
        <v>4224</v>
      </c>
      <c r="C655" s="5">
        <v>1</v>
      </c>
      <c r="D655" s="5">
        <v>73</v>
      </c>
      <c r="E655" s="5">
        <v>33</v>
      </c>
      <c r="F655" s="5">
        <v>93</v>
      </c>
      <c r="G655" s="6" t="s">
        <v>36</v>
      </c>
      <c r="H655" s="4" t="s">
        <v>36</v>
      </c>
      <c r="I655" s="7" t="s">
        <v>36</v>
      </c>
      <c r="J655" s="3" t="s">
        <v>36</v>
      </c>
      <c r="K655" s="9" t="s">
        <v>36</v>
      </c>
      <c r="L655" s="6" t="s">
        <v>36</v>
      </c>
      <c r="M655" s="3" t="s">
        <v>36</v>
      </c>
      <c r="N655" s="3" t="s">
        <v>36</v>
      </c>
      <c r="O655" s="8" t="s">
        <v>36</v>
      </c>
      <c r="P655" s="3" t="s">
        <v>36</v>
      </c>
      <c r="Q655" s="3" t="s">
        <v>36</v>
      </c>
      <c r="R655" s="3" t="s">
        <v>36</v>
      </c>
      <c r="S655" s="3" t="s">
        <v>36</v>
      </c>
      <c r="T655" s="3" t="s">
        <v>4225</v>
      </c>
      <c r="U655" s="3" t="s">
        <v>96</v>
      </c>
      <c r="V655" s="3" t="s">
        <v>52</v>
      </c>
      <c r="W655" s="3" t="s">
        <v>4226</v>
      </c>
      <c r="X655" s="10" t="s">
        <v>2414</v>
      </c>
      <c r="Y655" s="6" t="s">
        <v>55</v>
      </c>
      <c r="Z655" s="4">
        <v>8.5</v>
      </c>
      <c r="AA655" s="4" t="s">
        <v>36</v>
      </c>
      <c r="AB655" s="3" t="s">
        <v>43</v>
      </c>
      <c r="AC655" s="3" t="s">
        <v>4227</v>
      </c>
      <c r="AD655" s="9">
        <v>45335</v>
      </c>
      <c r="AE655" s="3" t="s">
        <v>143</v>
      </c>
      <c r="AF655" s="3" t="s">
        <v>101</v>
      </c>
      <c r="AG655" s="3" t="s">
        <v>4172</v>
      </c>
      <c r="AH655" s="11">
        <f>HYPERLINK("https://my.pitchbook.com?c=252012-43T","View Company Online")</f>
      </c>
    </row>
    <row r="656">
      <c r="A656" s="12" t="s">
        <v>4228</v>
      </c>
      <c r="B656" s="12" t="s">
        <v>4229</v>
      </c>
      <c r="C656" s="19" t="s">
        <v>36</v>
      </c>
      <c r="D656" s="19" t="s">
        <v>36</v>
      </c>
      <c r="E656" s="19" t="s">
        <v>36</v>
      </c>
      <c r="F656" s="19" t="s">
        <v>36</v>
      </c>
      <c r="G656" s="15" t="s">
        <v>326</v>
      </c>
      <c r="H656" s="14">
        <v>40.48</v>
      </c>
      <c r="I656" s="18">
        <v>27.03</v>
      </c>
      <c r="J656" s="12" t="s">
        <v>521</v>
      </c>
      <c r="K656" s="13" t="s">
        <v>36</v>
      </c>
      <c r="L656" s="15" t="s">
        <v>36</v>
      </c>
      <c r="M656" s="12" t="s">
        <v>36</v>
      </c>
      <c r="N656" s="12" t="s">
        <v>36</v>
      </c>
      <c r="O656" s="17" t="s">
        <v>36</v>
      </c>
      <c r="P656" s="12" t="s">
        <v>36</v>
      </c>
      <c r="Q656" s="12" t="s">
        <v>36</v>
      </c>
      <c r="R656" s="12" t="s">
        <v>36</v>
      </c>
      <c r="S656" s="12" t="s">
        <v>36</v>
      </c>
      <c r="T656" s="12" t="s">
        <v>4230</v>
      </c>
      <c r="U656" s="12" t="s">
        <v>38</v>
      </c>
      <c r="V656" s="12" t="s">
        <v>39</v>
      </c>
      <c r="W656" s="12" t="s">
        <v>4231</v>
      </c>
      <c r="X656" s="16" t="s">
        <v>4232</v>
      </c>
      <c r="Y656" s="15" t="s">
        <v>55</v>
      </c>
      <c r="Z656" s="14">
        <v>2.7</v>
      </c>
      <c r="AA656" s="14">
        <v>9.99</v>
      </c>
      <c r="AB656" s="12" t="s">
        <v>56</v>
      </c>
      <c r="AC656" s="12" t="s">
        <v>4233</v>
      </c>
      <c r="AD656" s="13">
        <v>45335</v>
      </c>
      <c r="AE656" s="12" t="s">
        <v>110</v>
      </c>
      <c r="AF656" s="12" t="s">
        <v>982</v>
      </c>
      <c r="AG656" s="12" t="s">
        <v>47</v>
      </c>
      <c r="AH656" s="1">
        <f>HYPERLINK("https://my.pitchbook.com?c=215647-21T","View Company Online")</f>
      </c>
    </row>
    <row r="657">
      <c r="A657" s="3" t="s">
        <v>4234</v>
      </c>
      <c r="B657" s="3" t="s">
        <v>4235</v>
      </c>
      <c r="C657" s="5">
        <v>4</v>
      </c>
      <c r="D657" s="5" t="s">
        <v>36</v>
      </c>
      <c r="E657" s="5">
        <v>3</v>
      </c>
      <c r="F657" s="5">
        <v>4</v>
      </c>
      <c r="G657" s="6" t="s">
        <v>326</v>
      </c>
      <c r="H657" s="4" t="s">
        <v>36</v>
      </c>
      <c r="I657" s="7">
        <v>38.26</v>
      </c>
      <c r="J657" s="3" t="s">
        <v>327</v>
      </c>
      <c r="K657" s="9">
        <v>45313</v>
      </c>
      <c r="L657" s="6" t="s">
        <v>1279</v>
      </c>
      <c r="M657" s="3" t="s">
        <v>36</v>
      </c>
      <c r="N657" s="3" t="s">
        <v>1279</v>
      </c>
      <c r="O657" s="8" t="s">
        <v>36</v>
      </c>
      <c r="P657" s="3" t="s">
        <v>36</v>
      </c>
      <c r="Q657" s="3" t="s">
        <v>36</v>
      </c>
      <c r="R657" s="3" t="s">
        <v>36</v>
      </c>
      <c r="S657" s="3" t="s">
        <v>4236</v>
      </c>
      <c r="T657" s="3" t="s">
        <v>4237</v>
      </c>
      <c r="U657" s="3" t="s">
        <v>219</v>
      </c>
      <c r="V657" s="3" t="s">
        <v>75</v>
      </c>
      <c r="W657" s="3" t="s">
        <v>4238</v>
      </c>
      <c r="X657" s="10" t="s">
        <v>4239</v>
      </c>
      <c r="Y657" s="6" t="s">
        <v>192</v>
      </c>
      <c r="Z657" s="4">
        <v>92.18</v>
      </c>
      <c r="AA657" s="4">
        <v>240.93</v>
      </c>
      <c r="AB657" s="3" t="s">
        <v>56</v>
      </c>
      <c r="AC657" s="3" t="s">
        <v>4240</v>
      </c>
      <c r="AD657" s="9">
        <v>45334</v>
      </c>
      <c r="AE657" s="3" t="s">
        <v>243</v>
      </c>
      <c r="AF657" s="3" t="s">
        <v>4241</v>
      </c>
      <c r="AG657" s="3" t="s">
        <v>1078</v>
      </c>
      <c r="AH657" s="11">
        <f>HYPERLINK("https://my.pitchbook.com?c=252991-99T","View Company Online")</f>
      </c>
    </row>
    <row r="658">
      <c r="A658" s="12" t="s">
        <v>4242</v>
      </c>
      <c r="B658" s="12" t="s">
        <v>4243</v>
      </c>
      <c r="C658" s="19">
        <v>31</v>
      </c>
      <c r="D658" s="19">
        <v>81</v>
      </c>
      <c r="E658" s="19">
        <v>43</v>
      </c>
      <c r="F658" s="19">
        <v>136</v>
      </c>
      <c r="G658" s="15" t="s">
        <v>36</v>
      </c>
      <c r="H658" s="14">
        <v>6.63</v>
      </c>
      <c r="I658" s="18">
        <v>39.13</v>
      </c>
      <c r="J658" s="12" t="s">
        <v>521</v>
      </c>
      <c r="K658" s="13" t="s">
        <v>36</v>
      </c>
      <c r="L658" s="15" t="s">
        <v>36</v>
      </c>
      <c r="M658" s="12" t="s">
        <v>36</v>
      </c>
      <c r="N658" s="12" t="s">
        <v>36</v>
      </c>
      <c r="O658" s="17" t="s">
        <v>36</v>
      </c>
      <c r="P658" s="12" t="s">
        <v>36</v>
      </c>
      <c r="Q658" s="12" t="s">
        <v>36</v>
      </c>
      <c r="R658" s="12" t="s">
        <v>36</v>
      </c>
      <c r="S658" s="12" t="s">
        <v>36</v>
      </c>
      <c r="T658" s="12" t="s">
        <v>4244</v>
      </c>
      <c r="U658" s="12" t="s">
        <v>1798</v>
      </c>
      <c r="V658" s="12" t="s">
        <v>39</v>
      </c>
      <c r="W658" s="12" t="s">
        <v>4245</v>
      </c>
      <c r="X658" s="16" t="s">
        <v>2442</v>
      </c>
      <c r="Y658" s="15" t="s">
        <v>55</v>
      </c>
      <c r="Z658" s="14">
        <v>13.69</v>
      </c>
      <c r="AA658" s="14">
        <v>34.98</v>
      </c>
      <c r="AB658" s="12" t="s">
        <v>56</v>
      </c>
      <c r="AC658" s="12" t="s">
        <v>4246</v>
      </c>
      <c r="AD658" s="13">
        <v>45331</v>
      </c>
      <c r="AE658" s="12" t="s">
        <v>4247</v>
      </c>
      <c r="AF658" s="12" t="s">
        <v>4248</v>
      </c>
      <c r="AG658" s="12" t="s">
        <v>4249</v>
      </c>
      <c r="AH658" s="1">
        <f>HYPERLINK("https://my.pitchbook.com?c=267166-27T","View Company Online")</f>
      </c>
    </row>
    <row r="659">
      <c r="A659" s="3" t="s">
        <v>4250</v>
      </c>
      <c r="B659" s="3" t="s">
        <v>4251</v>
      </c>
      <c r="C659" s="5" t="s">
        <v>36</v>
      </c>
      <c r="D659" s="5" t="s">
        <v>36</v>
      </c>
      <c r="E659" s="5" t="s">
        <v>36</v>
      </c>
      <c r="F659" s="5" t="s">
        <v>36</v>
      </c>
      <c r="G659" s="6" t="s">
        <v>326</v>
      </c>
      <c r="H659" s="4" t="s">
        <v>36</v>
      </c>
      <c r="I659" s="7">
        <v>5.03</v>
      </c>
      <c r="J659" s="3" t="s">
        <v>327</v>
      </c>
      <c r="K659" s="9" t="s">
        <v>36</v>
      </c>
      <c r="L659" s="6" t="s">
        <v>1279</v>
      </c>
      <c r="M659" s="3" t="s">
        <v>36</v>
      </c>
      <c r="N659" s="3" t="s">
        <v>1279</v>
      </c>
      <c r="O659" s="8" t="s">
        <v>36</v>
      </c>
      <c r="P659" s="3" t="s">
        <v>36</v>
      </c>
      <c r="Q659" s="3" t="s">
        <v>36</v>
      </c>
      <c r="R659" s="3" t="s">
        <v>36</v>
      </c>
      <c r="S659" s="3" t="s">
        <v>36</v>
      </c>
      <c r="T659" s="3" t="s">
        <v>4252</v>
      </c>
      <c r="U659" s="3" t="s">
        <v>38</v>
      </c>
      <c r="V659" s="3" t="s">
        <v>39</v>
      </c>
      <c r="W659" s="3" t="s">
        <v>4253</v>
      </c>
      <c r="X659" s="10" t="s">
        <v>4254</v>
      </c>
      <c r="Y659" s="6" t="s">
        <v>321</v>
      </c>
      <c r="Z659" s="4">
        <v>43.48</v>
      </c>
      <c r="AA659" s="4">
        <v>864.12</v>
      </c>
      <c r="AB659" s="3" t="s">
        <v>56</v>
      </c>
      <c r="AC659" s="3" t="s">
        <v>4255</v>
      </c>
      <c r="AD659" s="9">
        <v>45330</v>
      </c>
      <c r="AE659" s="3" t="s">
        <v>45</v>
      </c>
      <c r="AF659" s="3" t="s">
        <v>331</v>
      </c>
      <c r="AG659" s="3" t="s">
        <v>4256</v>
      </c>
      <c r="AH659" s="11">
        <f>HYPERLINK("https://my.pitchbook.com?c=251509-33T","View Company Online")</f>
      </c>
    </row>
    <row r="660">
      <c r="A660" s="12" t="s">
        <v>4257</v>
      </c>
      <c r="B660" s="12" t="s">
        <v>4258</v>
      </c>
      <c r="C660" s="19">
        <v>7</v>
      </c>
      <c r="D660" s="19">
        <v>4</v>
      </c>
      <c r="E660" s="19">
        <v>5</v>
      </c>
      <c r="F660" s="19">
        <v>11</v>
      </c>
      <c r="G660" s="15" t="s">
        <v>36</v>
      </c>
      <c r="H660" s="14" t="s">
        <v>36</v>
      </c>
      <c r="I660" s="18" t="s">
        <v>36</v>
      </c>
      <c r="J660" s="12" t="s">
        <v>36</v>
      </c>
      <c r="K660" s="13">
        <v>45173</v>
      </c>
      <c r="L660" s="15" t="s">
        <v>94</v>
      </c>
      <c r="M660" s="12" t="s">
        <v>36</v>
      </c>
      <c r="N660" s="12" t="s">
        <v>94</v>
      </c>
      <c r="O660" s="17" t="s">
        <v>36</v>
      </c>
      <c r="P660" s="12" t="s">
        <v>36</v>
      </c>
      <c r="Q660" s="12" t="s">
        <v>36</v>
      </c>
      <c r="R660" s="12" t="s">
        <v>36</v>
      </c>
      <c r="S660" s="12" t="s">
        <v>36</v>
      </c>
      <c r="T660" s="12" t="s">
        <v>4259</v>
      </c>
      <c r="U660" s="12" t="s">
        <v>96</v>
      </c>
      <c r="V660" s="12" t="s">
        <v>52</v>
      </c>
      <c r="W660" s="12" t="s">
        <v>4260</v>
      </c>
      <c r="X660" s="16" t="s">
        <v>4261</v>
      </c>
      <c r="Y660" s="15" t="s">
        <v>108</v>
      </c>
      <c r="Z660" s="14">
        <v>15</v>
      </c>
      <c r="AA660" s="14" t="s">
        <v>36</v>
      </c>
      <c r="AB660" s="12" t="s">
        <v>56</v>
      </c>
      <c r="AC660" s="12" t="s">
        <v>4262</v>
      </c>
      <c r="AD660" s="13">
        <v>45330</v>
      </c>
      <c r="AE660" s="12" t="s">
        <v>496</v>
      </c>
      <c r="AF660" s="12" t="s">
        <v>4263</v>
      </c>
      <c r="AG660" s="12" t="s">
        <v>2636</v>
      </c>
      <c r="AH660" s="1">
        <f>HYPERLINK("https://my.pitchbook.com?c=235180-45T","View Company Online")</f>
      </c>
    </row>
    <row r="661">
      <c r="A661" s="3" t="s">
        <v>4264</v>
      </c>
      <c r="B661" s="3" t="s">
        <v>4265</v>
      </c>
      <c r="C661" s="5" t="s">
        <v>36</v>
      </c>
      <c r="D661" s="5" t="s">
        <v>36</v>
      </c>
      <c r="E661" s="5" t="s">
        <v>36</v>
      </c>
      <c r="F661" s="5" t="s">
        <v>36</v>
      </c>
      <c r="G661" s="6" t="s">
        <v>683</v>
      </c>
      <c r="H661" s="4">
        <v>7.05</v>
      </c>
      <c r="I661" s="7">
        <v>12.09</v>
      </c>
      <c r="J661" s="3" t="s">
        <v>521</v>
      </c>
      <c r="K661" s="9">
        <v>44481</v>
      </c>
      <c r="L661" s="6" t="s">
        <v>122</v>
      </c>
      <c r="M661" s="3" t="s">
        <v>36</v>
      </c>
      <c r="N661" s="3" t="s">
        <v>122</v>
      </c>
      <c r="O661" s="8" t="s">
        <v>36</v>
      </c>
      <c r="P661" s="3" t="s">
        <v>3530</v>
      </c>
      <c r="Q661" s="3" t="s">
        <v>3530</v>
      </c>
      <c r="R661" s="3" t="s">
        <v>3531</v>
      </c>
      <c r="S661" s="3" t="s">
        <v>36</v>
      </c>
      <c r="T661" s="3" t="s">
        <v>4266</v>
      </c>
      <c r="U661" s="3" t="s">
        <v>289</v>
      </c>
      <c r="V661" s="3" t="s">
        <v>64</v>
      </c>
      <c r="W661" s="3" t="s">
        <v>4267</v>
      </c>
      <c r="X661" s="10" t="s">
        <v>4268</v>
      </c>
      <c r="Y661" s="6" t="s">
        <v>192</v>
      </c>
      <c r="Z661" s="4">
        <v>13</v>
      </c>
      <c r="AA661" s="4">
        <v>107.5</v>
      </c>
      <c r="AB661" s="3" t="s">
        <v>56</v>
      </c>
      <c r="AC661" s="3" t="s">
        <v>4269</v>
      </c>
      <c r="AD661" s="9">
        <v>45329</v>
      </c>
      <c r="AE661" s="3" t="s">
        <v>292</v>
      </c>
      <c r="AF661" s="3" t="s">
        <v>4270</v>
      </c>
      <c r="AG661" s="3" t="s">
        <v>81</v>
      </c>
      <c r="AH661" s="11">
        <f>HYPERLINK("https://my.pitchbook.com?c=169698-34T","View Company Online")</f>
      </c>
    </row>
    <row r="662">
      <c r="A662" s="12" t="s">
        <v>4271</v>
      </c>
      <c r="B662" s="12" t="s">
        <v>4272</v>
      </c>
      <c r="C662" s="19" t="s">
        <v>36</v>
      </c>
      <c r="D662" s="19" t="s">
        <v>36</v>
      </c>
      <c r="E662" s="19" t="s">
        <v>36</v>
      </c>
      <c r="F662" s="19" t="s">
        <v>36</v>
      </c>
      <c r="G662" s="15" t="s">
        <v>36</v>
      </c>
      <c r="H662" s="14" t="s">
        <v>36</v>
      </c>
      <c r="I662" s="18" t="s">
        <v>36</v>
      </c>
      <c r="J662" s="12" t="s">
        <v>36</v>
      </c>
      <c r="K662" s="13" t="s">
        <v>36</v>
      </c>
      <c r="L662" s="15" t="s">
        <v>36</v>
      </c>
      <c r="M662" s="12" t="s">
        <v>36</v>
      </c>
      <c r="N662" s="12" t="s">
        <v>36</v>
      </c>
      <c r="O662" s="17" t="s">
        <v>36</v>
      </c>
      <c r="P662" s="12" t="s">
        <v>36</v>
      </c>
      <c r="Q662" s="12" t="s">
        <v>36</v>
      </c>
      <c r="R662" s="12" t="s">
        <v>36</v>
      </c>
      <c r="S662" s="12" t="s">
        <v>36</v>
      </c>
      <c r="T662" s="12" t="s">
        <v>105</v>
      </c>
      <c r="U662" s="12" t="s">
        <v>38</v>
      </c>
      <c r="V662" s="12" t="s">
        <v>39</v>
      </c>
      <c r="W662" s="12" t="s">
        <v>4273</v>
      </c>
      <c r="X662" s="16" t="s">
        <v>4274</v>
      </c>
      <c r="Y662" s="15" t="s">
        <v>108</v>
      </c>
      <c r="Z662" s="14" t="s">
        <v>36</v>
      </c>
      <c r="AA662" s="14" t="s">
        <v>36</v>
      </c>
      <c r="AB662" s="12" t="s">
        <v>56</v>
      </c>
      <c r="AC662" s="12" t="s">
        <v>4275</v>
      </c>
      <c r="AD662" s="13">
        <v>45329</v>
      </c>
      <c r="AE662" s="12" t="s">
        <v>110</v>
      </c>
      <c r="AF662" s="12" t="s">
        <v>4276</v>
      </c>
      <c r="AG662" s="12" t="s">
        <v>4277</v>
      </c>
      <c r="AH662" s="1">
        <f>HYPERLINK("https://my.pitchbook.com?c=251516-71T","View Company Online")</f>
      </c>
    </row>
    <row r="663">
      <c r="A663" s="3" t="s">
        <v>4278</v>
      </c>
      <c r="B663" s="3" t="s">
        <v>4279</v>
      </c>
      <c r="C663" s="5" t="s">
        <v>36</v>
      </c>
      <c r="D663" s="5" t="s">
        <v>36</v>
      </c>
      <c r="E663" s="5" t="s">
        <v>36</v>
      </c>
      <c r="F663" s="5" t="s">
        <v>36</v>
      </c>
      <c r="G663" s="6" t="s">
        <v>36</v>
      </c>
      <c r="H663" s="4" t="s">
        <v>36</v>
      </c>
      <c r="I663" s="7" t="s">
        <v>36</v>
      </c>
      <c r="J663" s="3" t="s">
        <v>36</v>
      </c>
      <c r="K663" s="9" t="s">
        <v>36</v>
      </c>
      <c r="L663" s="6" t="s">
        <v>36</v>
      </c>
      <c r="M663" s="3" t="s">
        <v>36</v>
      </c>
      <c r="N663" s="3" t="s">
        <v>36</v>
      </c>
      <c r="O663" s="8" t="s">
        <v>36</v>
      </c>
      <c r="P663" s="3" t="s">
        <v>36</v>
      </c>
      <c r="Q663" s="3" t="s">
        <v>36</v>
      </c>
      <c r="R663" s="3" t="s">
        <v>36</v>
      </c>
      <c r="S663" s="3" t="s">
        <v>36</v>
      </c>
      <c r="T663" s="3" t="s">
        <v>4280</v>
      </c>
      <c r="U663" s="3" t="s">
        <v>38</v>
      </c>
      <c r="V663" s="3" t="s">
        <v>39</v>
      </c>
      <c r="W663" s="3" t="s">
        <v>4281</v>
      </c>
      <c r="X663" s="10" t="s">
        <v>4282</v>
      </c>
      <c r="Y663" s="6" t="s">
        <v>108</v>
      </c>
      <c r="Z663" s="4">
        <v>10.88</v>
      </c>
      <c r="AA663" s="4" t="s">
        <v>36</v>
      </c>
      <c r="AB663" s="3" t="s">
        <v>56</v>
      </c>
      <c r="AC663" s="3" t="s">
        <v>4283</v>
      </c>
      <c r="AD663" s="9">
        <v>45328</v>
      </c>
      <c r="AE663" s="3" t="s">
        <v>1422</v>
      </c>
      <c r="AF663" s="3" t="s">
        <v>4284</v>
      </c>
      <c r="AG663" s="3" t="s">
        <v>81</v>
      </c>
      <c r="AH663" s="11">
        <f>HYPERLINK("https://my.pitchbook.com?c=251317-00T","View Company Online")</f>
      </c>
    </row>
    <row r="664">
      <c r="A664" s="12" t="s">
        <v>4285</v>
      </c>
      <c r="B664" s="12" t="s">
        <v>4286</v>
      </c>
      <c r="C664" s="19" t="s">
        <v>36</v>
      </c>
      <c r="D664" s="19" t="s">
        <v>36</v>
      </c>
      <c r="E664" s="19" t="s">
        <v>36</v>
      </c>
      <c r="F664" s="19" t="s">
        <v>36</v>
      </c>
      <c r="G664" s="15" t="s">
        <v>36</v>
      </c>
      <c r="H664" s="14">
        <v>85.34</v>
      </c>
      <c r="I664" s="18">
        <v>22.46</v>
      </c>
      <c r="J664" s="12" t="s">
        <v>521</v>
      </c>
      <c r="K664" s="13" t="s">
        <v>36</v>
      </c>
      <c r="L664" s="15" t="s">
        <v>36</v>
      </c>
      <c r="M664" s="12" t="s">
        <v>36</v>
      </c>
      <c r="N664" s="12" t="s">
        <v>36</v>
      </c>
      <c r="O664" s="17" t="s">
        <v>36</v>
      </c>
      <c r="P664" s="12" t="s">
        <v>36</v>
      </c>
      <c r="Q664" s="12" t="s">
        <v>36</v>
      </c>
      <c r="R664" s="12" t="s">
        <v>36</v>
      </c>
      <c r="S664" s="12" t="s">
        <v>36</v>
      </c>
      <c r="T664" s="12" t="s">
        <v>4287</v>
      </c>
      <c r="U664" s="12" t="s">
        <v>728</v>
      </c>
      <c r="V664" s="12" t="s">
        <v>64</v>
      </c>
      <c r="W664" s="12" t="s">
        <v>4288</v>
      </c>
      <c r="X664" s="16" t="s">
        <v>4289</v>
      </c>
      <c r="Y664" s="15" t="s">
        <v>42</v>
      </c>
      <c r="Z664" s="14">
        <v>0.39</v>
      </c>
      <c r="AA664" s="14">
        <v>1.73</v>
      </c>
      <c r="AB664" s="12" t="s">
        <v>43</v>
      </c>
      <c r="AC664" s="12" t="s">
        <v>4290</v>
      </c>
      <c r="AD664" s="13">
        <v>45328</v>
      </c>
      <c r="AE664" s="12" t="s">
        <v>732</v>
      </c>
      <c r="AF664" s="12" t="s">
        <v>36</v>
      </c>
      <c r="AG664" s="12" t="s">
        <v>4291</v>
      </c>
      <c r="AH664" s="1">
        <f>HYPERLINK("https://my.pitchbook.com?c=265976-11T","View Company Online")</f>
      </c>
    </row>
    <row r="665">
      <c r="A665" s="3" t="s">
        <v>4292</v>
      </c>
      <c r="B665" s="3" t="s">
        <v>4293</v>
      </c>
      <c r="C665" s="5" t="s">
        <v>36</v>
      </c>
      <c r="D665" s="5" t="s">
        <v>36</v>
      </c>
      <c r="E665" s="5" t="s">
        <v>36</v>
      </c>
      <c r="F665" s="5" t="s">
        <v>36</v>
      </c>
      <c r="G665" s="6" t="s">
        <v>36</v>
      </c>
      <c r="H665" s="4" t="s">
        <v>36</v>
      </c>
      <c r="I665" s="7" t="s">
        <v>36</v>
      </c>
      <c r="J665" s="3" t="s">
        <v>36</v>
      </c>
      <c r="K665" s="9" t="s">
        <v>36</v>
      </c>
      <c r="L665" s="6" t="s">
        <v>36</v>
      </c>
      <c r="M665" s="3" t="s">
        <v>36</v>
      </c>
      <c r="N665" s="3" t="s">
        <v>36</v>
      </c>
      <c r="O665" s="8" t="s">
        <v>36</v>
      </c>
      <c r="P665" s="3" t="s">
        <v>36</v>
      </c>
      <c r="Q665" s="3" t="s">
        <v>36</v>
      </c>
      <c r="R665" s="3" t="s">
        <v>36</v>
      </c>
      <c r="S665" s="3" t="s">
        <v>36</v>
      </c>
      <c r="T665" s="3" t="s">
        <v>522</v>
      </c>
      <c r="U665" s="3" t="s">
        <v>38</v>
      </c>
      <c r="V665" s="3" t="s">
        <v>39</v>
      </c>
      <c r="W665" s="3" t="s">
        <v>4294</v>
      </c>
      <c r="X665" s="10" t="s">
        <v>4295</v>
      </c>
      <c r="Y665" s="6" t="s">
        <v>42</v>
      </c>
      <c r="Z665" s="4" t="s">
        <v>36</v>
      </c>
      <c r="AA665" s="4" t="s">
        <v>36</v>
      </c>
      <c r="AB665" s="3" t="s">
        <v>43</v>
      </c>
      <c r="AC665" s="3" t="s">
        <v>4296</v>
      </c>
      <c r="AD665" s="9">
        <v>45327</v>
      </c>
      <c r="AE665" s="3" t="s">
        <v>110</v>
      </c>
      <c r="AF665" s="3" t="s">
        <v>176</v>
      </c>
      <c r="AG665" s="3" t="s">
        <v>81</v>
      </c>
      <c r="AH665" s="11">
        <f>HYPERLINK("https://my.pitchbook.com?c=269706-52T","View Company Online")</f>
      </c>
    </row>
    <row r="666">
      <c r="A666" s="12" t="s">
        <v>4297</v>
      </c>
      <c r="B666" s="12" t="s">
        <v>357</v>
      </c>
      <c r="C666" s="19" t="s">
        <v>36</v>
      </c>
      <c r="D666" s="19" t="s">
        <v>36</v>
      </c>
      <c r="E666" s="19" t="s">
        <v>36</v>
      </c>
      <c r="F666" s="19" t="s">
        <v>36</v>
      </c>
      <c r="G666" s="15" t="s">
        <v>326</v>
      </c>
      <c r="H666" s="14" t="s">
        <v>36</v>
      </c>
      <c r="I666" s="18">
        <v>22.88</v>
      </c>
      <c r="J666" s="12" t="s">
        <v>327</v>
      </c>
      <c r="K666" s="13">
        <v>45275</v>
      </c>
      <c r="L666" s="15" t="s">
        <v>36</v>
      </c>
      <c r="M666" s="12" t="s">
        <v>36</v>
      </c>
      <c r="N666" s="12" t="s">
        <v>36</v>
      </c>
      <c r="O666" s="17" t="s">
        <v>36</v>
      </c>
      <c r="P666" s="12" t="s">
        <v>36</v>
      </c>
      <c r="Q666" s="12" t="s">
        <v>36</v>
      </c>
      <c r="R666" s="12" t="s">
        <v>36</v>
      </c>
      <c r="S666" s="12" t="s">
        <v>36</v>
      </c>
      <c r="T666" s="12" t="s">
        <v>358</v>
      </c>
      <c r="U666" s="12" t="s">
        <v>74</v>
      </c>
      <c r="V666" s="12" t="s">
        <v>75</v>
      </c>
      <c r="W666" s="12" t="s">
        <v>359</v>
      </c>
      <c r="X666" s="16" t="s">
        <v>4298</v>
      </c>
      <c r="Y666" s="15" t="s">
        <v>108</v>
      </c>
      <c r="Z666" s="14">
        <v>8.17</v>
      </c>
      <c r="AA666" s="14">
        <v>35.7</v>
      </c>
      <c r="AB666" s="12" t="s">
        <v>43</v>
      </c>
      <c r="AC666" s="12" t="s">
        <v>361</v>
      </c>
      <c r="AD666" s="13">
        <v>45327</v>
      </c>
      <c r="AE666" s="12" t="s">
        <v>362</v>
      </c>
      <c r="AF666" s="12" t="s">
        <v>250</v>
      </c>
      <c r="AG666" s="12" t="s">
        <v>81</v>
      </c>
      <c r="AH666" s="1">
        <f>HYPERLINK("https://my.pitchbook.com?c=251177-77T","View Company Online")</f>
      </c>
    </row>
    <row r="667">
      <c r="A667" s="3" t="s">
        <v>4299</v>
      </c>
      <c r="B667" s="3" t="s">
        <v>4300</v>
      </c>
      <c r="C667" s="5">
        <v>5</v>
      </c>
      <c r="D667" s="5">
        <v>4</v>
      </c>
      <c r="E667" s="5">
        <v>4</v>
      </c>
      <c r="F667" s="5">
        <v>10</v>
      </c>
      <c r="G667" s="6" t="s">
        <v>36</v>
      </c>
      <c r="H667" s="4" t="s">
        <v>36</v>
      </c>
      <c r="I667" s="7" t="s">
        <v>36</v>
      </c>
      <c r="J667" s="3" t="s">
        <v>36</v>
      </c>
      <c r="K667" s="9">
        <v>45317</v>
      </c>
      <c r="L667" s="6" t="s">
        <v>36</v>
      </c>
      <c r="M667" s="3" t="s">
        <v>36</v>
      </c>
      <c r="N667" s="3" t="s">
        <v>36</v>
      </c>
      <c r="O667" s="8" t="s">
        <v>36</v>
      </c>
      <c r="P667" s="3" t="s">
        <v>36</v>
      </c>
      <c r="Q667" s="3" t="s">
        <v>36</v>
      </c>
      <c r="R667" s="3" t="s">
        <v>36</v>
      </c>
      <c r="S667" s="3" t="s">
        <v>36</v>
      </c>
      <c r="T667" s="3" t="s">
        <v>522</v>
      </c>
      <c r="U667" s="3" t="s">
        <v>38</v>
      </c>
      <c r="V667" s="3" t="s">
        <v>39</v>
      </c>
      <c r="W667" s="3" t="s">
        <v>4301</v>
      </c>
      <c r="X667" s="10" t="s">
        <v>4302</v>
      </c>
      <c r="Y667" s="6" t="s">
        <v>55</v>
      </c>
      <c r="Z667" s="4">
        <v>1.91</v>
      </c>
      <c r="AA667" s="4" t="s">
        <v>36</v>
      </c>
      <c r="AB667" s="3" t="s">
        <v>56</v>
      </c>
      <c r="AC667" s="3" t="s">
        <v>4303</v>
      </c>
      <c r="AD667" s="9">
        <v>45327</v>
      </c>
      <c r="AE667" s="3" t="s">
        <v>110</v>
      </c>
      <c r="AF667" s="3" t="s">
        <v>275</v>
      </c>
      <c r="AG667" s="3" t="s">
        <v>4172</v>
      </c>
      <c r="AH667" s="11">
        <f>HYPERLINK("https://my.pitchbook.com?c=257073-31T","View Company Online")</f>
      </c>
    </row>
    <row r="668">
      <c r="A668" s="12" t="s">
        <v>4304</v>
      </c>
      <c r="B668" s="12" t="s">
        <v>4305</v>
      </c>
      <c r="C668" s="19" t="s">
        <v>36</v>
      </c>
      <c r="D668" s="19" t="s">
        <v>36</v>
      </c>
      <c r="E668" s="19" t="s">
        <v>36</v>
      </c>
      <c r="F668" s="19" t="s">
        <v>36</v>
      </c>
      <c r="G668" s="15" t="s">
        <v>36</v>
      </c>
      <c r="H668" s="14" t="s">
        <v>36</v>
      </c>
      <c r="I668" s="18" t="s">
        <v>36</v>
      </c>
      <c r="J668" s="12" t="s">
        <v>36</v>
      </c>
      <c r="K668" s="13" t="s">
        <v>36</v>
      </c>
      <c r="L668" s="15" t="s">
        <v>36</v>
      </c>
      <c r="M668" s="12" t="s">
        <v>36</v>
      </c>
      <c r="N668" s="12" t="s">
        <v>36</v>
      </c>
      <c r="O668" s="17" t="s">
        <v>36</v>
      </c>
      <c r="P668" s="12" t="s">
        <v>36</v>
      </c>
      <c r="Q668" s="12" t="s">
        <v>36</v>
      </c>
      <c r="R668" s="12" t="s">
        <v>36</v>
      </c>
      <c r="S668" s="12" t="s">
        <v>36</v>
      </c>
      <c r="T668" s="12" t="s">
        <v>4306</v>
      </c>
      <c r="U668" s="12" t="s">
        <v>63</v>
      </c>
      <c r="V668" s="12" t="s">
        <v>64</v>
      </c>
      <c r="W668" s="12" t="s">
        <v>4307</v>
      </c>
      <c r="X668" s="16" t="s">
        <v>4308</v>
      </c>
      <c r="Y668" s="15" t="s">
        <v>108</v>
      </c>
      <c r="Z668" s="14">
        <v>10.9</v>
      </c>
      <c r="AA668" s="14" t="s">
        <v>36</v>
      </c>
      <c r="AB668" s="12" t="s">
        <v>56</v>
      </c>
      <c r="AC668" s="12" t="s">
        <v>4309</v>
      </c>
      <c r="AD668" s="13">
        <v>45324</v>
      </c>
      <c r="AE668" s="12" t="s">
        <v>4310</v>
      </c>
      <c r="AF668" s="12" t="s">
        <v>4311</v>
      </c>
      <c r="AG668" s="12" t="s">
        <v>81</v>
      </c>
      <c r="AH668" s="1">
        <f>HYPERLINK("https://my.pitchbook.com?c=251112-97T","View Company Online")</f>
      </c>
    </row>
    <row r="669">
      <c r="A669" s="3" t="s">
        <v>4312</v>
      </c>
      <c r="B669" s="3" t="s">
        <v>4313</v>
      </c>
      <c r="C669" s="5" t="s">
        <v>36</v>
      </c>
      <c r="D669" s="5" t="s">
        <v>36</v>
      </c>
      <c r="E669" s="5" t="s">
        <v>36</v>
      </c>
      <c r="F669" s="5" t="s">
        <v>36</v>
      </c>
      <c r="G669" s="6" t="s">
        <v>36</v>
      </c>
      <c r="H669" s="4" t="s">
        <v>36</v>
      </c>
      <c r="I669" s="7" t="s">
        <v>36</v>
      </c>
      <c r="J669" s="3" t="s">
        <v>36</v>
      </c>
      <c r="K669" s="9" t="s">
        <v>36</v>
      </c>
      <c r="L669" s="6" t="s">
        <v>36</v>
      </c>
      <c r="M669" s="3" t="s">
        <v>36</v>
      </c>
      <c r="N669" s="3" t="s">
        <v>36</v>
      </c>
      <c r="O669" s="8" t="s">
        <v>36</v>
      </c>
      <c r="P669" s="3" t="s">
        <v>36</v>
      </c>
      <c r="Q669" s="3" t="s">
        <v>36</v>
      </c>
      <c r="R669" s="3" t="s">
        <v>36</v>
      </c>
      <c r="S669" s="3" t="s">
        <v>36</v>
      </c>
      <c r="T669" s="3" t="s">
        <v>529</v>
      </c>
      <c r="U669" s="3" t="s">
        <v>38</v>
      </c>
      <c r="V669" s="3" t="s">
        <v>39</v>
      </c>
      <c r="W669" s="3" t="s">
        <v>4314</v>
      </c>
      <c r="X669" s="10" t="s">
        <v>577</v>
      </c>
      <c r="Y669" s="6" t="s">
        <v>55</v>
      </c>
      <c r="Z669" s="4" t="s">
        <v>36</v>
      </c>
      <c r="AA669" s="4" t="s">
        <v>36</v>
      </c>
      <c r="AB669" s="3" t="s">
        <v>56</v>
      </c>
      <c r="AC669" s="3" t="s">
        <v>4315</v>
      </c>
      <c r="AD669" s="9">
        <v>45324</v>
      </c>
      <c r="AE669" s="3" t="s">
        <v>134</v>
      </c>
      <c r="AF669" s="3" t="s">
        <v>135</v>
      </c>
      <c r="AG669" s="3" t="s">
        <v>47</v>
      </c>
      <c r="AH669" s="11">
        <f>HYPERLINK("https://my.pitchbook.com?c=256719-25T","View Company Online")</f>
      </c>
    </row>
    <row r="670">
      <c r="A670" s="12" t="s">
        <v>4316</v>
      </c>
      <c r="B670" s="12" t="s">
        <v>4317</v>
      </c>
      <c r="C670" s="19" t="s">
        <v>36</v>
      </c>
      <c r="D670" s="19" t="s">
        <v>36</v>
      </c>
      <c r="E670" s="19" t="s">
        <v>36</v>
      </c>
      <c r="F670" s="19" t="s">
        <v>36</v>
      </c>
      <c r="G670" s="15" t="s">
        <v>683</v>
      </c>
      <c r="H670" s="14">
        <v>1513.28</v>
      </c>
      <c r="I670" s="18">
        <v>17.25</v>
      </c>
      <c r="J670" s="12" t="s">
        <v>521</v>
      </c>
      <c r="K670" s="13" t="s">
        <v>36</v>
      </c>
      <c r="L670" s="15" t="s">
        <v>36</v>
      </c>
      <c r="M670" s="12" t="s">
        <v>36</v>
      </c>
      <c r="N670" s="12" t="s">
        <v>36</v>
      </c>
      <c r="O670" s="17" t="s">
        <v>36</v>
      </c>
      <c r="P670" s="12" t="s">
        <v>36</v>
      </c>
      <c r="Q670" s="12" t="s">
        <v>36</v>
      </c>
      <c r="R670" s="12" t="s">
        <v>36</v>
      </c>
      <c r="S670" s="12" t="s">
        <v>36</v>
      </c>
      <c r="T670" s="12" t="s">
        <v>4318</v>
      </c>
      <c r="U670" s="12" t="s">
        <v>366</v>
      </c>
      <c r="V670" s="12" t="s">
        <v>367</v>
      </c>
      <c r="W670" s="12" t="s">
        <v>4319</v>
      </c>
      <c r="X670" s="16" t="s">
        <v>4320</v>
      </c>
      <c r="Y670" s="15" t="s">
        <v>55</v>
      </c>
      <c r="Z670" s="14">
        <v>3.5</v>
      </c>
      <c r="AA670" s="14">
        <v>20.3</v>
      </c>
      <c r="AB670" s="12" t="s">
        <v>56</v>
      </c>
      <c r="AC670" s="12" t="s">
        <v>4321</v>
      </c>
      <c r="AD670" s="13">
        <v>45323</v>
      </c>
      <c r="AE670" s="12" t="s">
        <v>371</v>
      </c>
      <c r="AF670" s="12" t="s">
        <v>982</v>
      </c>
      <c r="AG670" s="12" t="s">
        <v>4322</v>
      </c>
      <c r="AH670" s="1">
        <f>HYPERLINK("https://my.pitchbook.com?c=251972-11T","View Company Online")</f>
      </c>
    </row>
    <row r="671">
      <c r="A671" s="3" t="s">
        <v>4323</v>
      </c>
      <c r="B671" s="3" t="s">
        <v>4324</v>
      </c>
      <c r="C671" s="5" t="s">
        <v>36</v>
      </c>
      <c r="D671" s="5">
        <v>2</v>
      </c>
      <c r="E671" s="5">
        <v>1</v>
      </c>
      <c r="F671" s="5">
        <v>2</v>
      </c>
      <c r="G671" s="6" t="s">
        <v>36</v>
      </c>
      <c r="H671" s="4" t="s">
        <v>36</v>
      </c>
      <c r="I671" s="7" t="s">
        <v>36</v>
      </c>
      <c r="J671" s="3" t="s">
        <v>36</v>
      </c>
      <c r="K671" s="9" t="s">
        <v>36</v>
      </c>
      <c r="L671" s="6" t="s">
        <v>36</v>
      </c>
      <c r="M671" s="3" t="s">
        <v>36</v>
      </c>
      <c r="N671" s="3" t="s">
        <v>36</v>
      </c>
      <c r="O671" s="8" t="s">
        <v>36</v>
      </c>
      <c r="P671" s="3" t="s">
        <v>36</v>
      </c>
      <c r="Q671" s="3" t="s">
        <v>36</v>
      </c>
      <c r="R671" s="3" t="s">
        <v>36</v>
      </c>
      <c r="S671" s="3" t="s">
        <v>36</v>
      </c>
      <c r="T671" s="3" t="s">
        <v>3591</v>
      </c>
      <c r="U671" s="3" t="s">
        <v>38</v>
      </c>
      <c r="V671" s="3" t="s">
        <v>39</v>
      </c>
      <c r="W671" s="3" t="s">
        <v>4325</v>
      </c>
      <c r="X671" s="10" t="s">
        <v>4326</v>
      </c>
      <c r="Y671" s="6" t="s">
        <v>108</v>
      </c>
      <c r="Z671" s="4" t="s">
        <v>36</v>
      </c>
      <c r="AA671" s="4" t="s">
        <v>36</v>
      </c>
      <c r="AB671" s="3" t="s">
        <v>43</v>
      </c>
      <c r="AC671" s="3" t="s">
        <v>4327</v>
      </c>
      <c r="AD671" s="9">
        <v>45323</v>
      </c>
      <c r="AE671" s="3" t="s">
        <v>688</v>
      </c>
      <c r="AF671" s="3" t="s">
        <v>118</v>
      </c>
      <c r="AG671" s="3" t="s">
        <v>4328</v>
      </c>
      <c r="AH671" s="11">
        <f>HYPERLINK("https://my.pitchbook.com?c=253225-90T","View Company Online")</f>
      </c>
    </row>
    <row r="672">
      <c r="A672" s="12" t="s">
        <v>4329</v>
      </c>
      <c r="B672" s="12" t="s">
        <v>4330</v>
      </c>
      <c r="C672" s="19" t="s">
        <v>36</v>
      </c>
      <c r="D672" s="19" t="s">
        <v>36</v>
      </c>
      <c r="E672" s="19" t="s">
        <v>36</v>
      </c>
      <c r="F672" s="19" t="s">
        <v>36</v>
      </c>
      <c r="G672" s="15" t="s">
        <v>326</v>
      </c>
      <c r="H672" s="14" t="s">
        <v>36</v>
      </c>
      <c r="I672" s="18">
        <v>28.83</v>
      </c>
      <c r="J672" s="12" t="s">
        <v>327</v>
      </c>
      <c r="K672" s="13">
        <v>45297</v>
      </c>
      <c r="L672" s="15" t="s">
        <v>36</v>
      </c>
      <c r="M672" s="12" t="s">
        <v>36</v>
      </c>
      <c r="N672" s="12" t="s">
        <v>36</v>
      </c>
      <c r="O672" s="17" t="s">
        <v>36</v>
      </c>
      <c r="P672" s="12" t="s">
        <v>36</v>
      </c>
      <c r="Q672" s="12" t="s">
        <v>36</v>
      </c>
      <c r="R672" s="12" t="s">
        <v>36</v>
      </c>
      <c r="S672" s="12" t="s">
        <v>4331</v>
      </c>
      <c r="T672" s="12" t="s">
        <v>1023</v>
      </c>
      <c r="U672" s="12" t="s">
        <v>74</v>
      </c>
      <c r="V672" s="12" t="s">
        <v>75</v>
      </c>
      <c r="W672" s="12" t="s">
        <v>4332</v>
      </c>
      <c r="X672" s="16" t="s">
        <v>4333</v>
      </c>
      <c r="Y672" s="15" t="s">
        <v>42</v>
      </c>
      <c r="Z672" s="14">
        <v>1.31</v>
      </c>
      <c r="AA672" s="14">
        <v>4.54</v>
      </c>
      <c r="AB672" s="12" t="s">
        <v>43</v>
      </c>
      <c r="AC672" s="12" t="s">
        <v>4334</v>
      </c>
      <c r="AD672" s="13">
        <v>45323</v>
      </c>
      <c r="AE672" s="12" t="s">
        <v>79</v>
      </c>
      <c r="AF672" s="12" t="s">
        <v>275</v>
      </c>
      <c r="AG672" s="12" t="s">
        <v>1803</v>
      </c>
      <c r="AH672" s="1">
        <f>HYPERLINK("https://my.pitchbook.com?c=251465-32T","View Company Online")</f>
      </c>
    </row>
    <row r="673">
      <c r="A673" s="3" t="s">
        <v>4335</v>
      </c>
      <c r="B673" s="3" t="s">
        <v>831</v>
      </c>
      <c r="C673" s="5">
        <v>1</v>
      </c>
      <c r="D673" s="5">
        <v>2</v>
      </c>
      <c r="E673" s="5">
        <v>1</v>
      </c>
      <c r="F673" s="5">
        <v>3</v>
      </c>
      <c r="G673" s="6" t="s">
        <v>36</v>
      </c>
      <c r="H673" s="4" t="s">
        <v>36</v>
      </c>
      <c r="I673" s="7" t="s">
        <v>36</v>
      </c>
      <c r="J673" s="3" t="s">
        <v>36</v>
      </c>
      <c r="K673" s="9" t="s">
        <v>36</v>
      </c>
      <c r="L673" s="6" t="s">
        <v>36</v>
      </c>
      <c r="M673" s="3" t="s">
        <v>36</v>
      </c>
      <c r="N673" s="3" t="s">
        <v>36</v>
      </c>
      <c r="O673" s="8" t="s">
        <v>36</v>
      </c>
      <c r="P673" s="3" t="s">
        <v>36</v>
      </c>
      <c r="Q673" s="3" t="s">
        <v>36</v>
      </c>
      <c r="R673" s="3" t="s">
        <v>36</v>
      </c>
      <c r="S673" s="3" t="s">
        <v>36</v>
      </c>
      <c r="T673" s="3" t="s">
        <v>832</v>
      </c>
      <c r="U673" s="3" t="s">
        <v>833</v>
      </c>
      <c r="V673" s="3" t="s">
        <v>64</v>
      </c>
      <c r="W673" s="3" t="s">
        <v>834</v>
      </c>
      <c r="X673" s="10" t="s">
        <v>4336</v>
      </c>
      <c r="Y673" s="6" t="s">
        <v>42</v>
      </c>
      <c r="Z673" s="4" t="s">
        <v>36</v>
      </c>
      <c r="AA673" s="4" t="s">
        <v>36</v>
      </c>
      <c r="AB673" s="3" t="s">
        <v>43</v>
      </c>
      <c r="AC673" s="3" t="s">
        <v>836</v>
      </c>
      <c r="AD673" s="9">
        <v>45323</v>
      </c>
      <c r="AE673" s="3" t="s">
        <v>837</v>
      </c>
      <c r="AF673" s="3" t="s">
        <v>838</v>
      </c>
      <c r="AG673" s="3" t="s">
        <v>81</v>
      </c>
      <c r="AH673" s="11">
        <f>HYPERLINK("https://my.pitchbook.com?c=252568-36T","View Company Online")</f>
      </c>
    </row>
    <row r="674">
      <c r="A674" s="12" t="s">
        <v>4337</v>
      </c>
      <c r="B674" s="12" t="s">
        <v>4338</v>
      </c>
      <c r="C674" s="19" t="s">
        <v>36</v>
      </c>
      <c r="D674" s="19" t="s">
        <v>36</v>
      </c>
      <c r="E674" s="19" t="s">
        <v>36</v>
      </c>
      <c r="F674" s="19" t="s">
        <v>36</v>
      </c>
      <c r="G674" s="15" t="s">
        <v>36</v>
      </c>
      <c r="H674" s="14" t="s">
        <v>36</v>
      </c>
      <c r="I674" s="18" t="s">
        <v>36</v>
      </c>
      <c r="J674" s="12" t="s">
        <v>36</v>
      </c>
      <c r="K674" s="13" t="s">
        <v>36</v>
      </c>
      <c r="L674" s="15" t="s">
        <v>36</v>
      </c>
      <c r="M674" s="12" t="s">
        <v>36</v>
      </c>
      <c r="N674" s="12" t="s">
        <v>36</v>
      </c>
      <c r="O674" s="17" t="s">
        <v>36</v>
      </c>
      <c r="P674" s="12" t="s">
        <v>36</v>
      </c>
      <c r="Q674" s="12" t="s">
        <v>36</v>
      </c>
      <c r="R674" s="12" t="s">
        <v>36</v>
      </c>
      <c r="S674" s="12" t="s">
        <v>36</v>
      </c>
      <c r="T674" s="12" t="s">
        <v>2453</v>
      </c>
      <c r="U674" s="12" t="s">
        <v>219</v>
      </c>
      <c r="V674" s="12" t="s">
        <v>75</v>
      </c>
      <c r="W674" s="12" t="s">
        <v>4339</v>
      </c>
      <c r="X674" s="16" t="s">
        <v>4340</v>
      </c>
      <c r="Y674" s="15" t="s">
        <v>42</v>
      </c>
      <c r="Z674" s="14" t="s">
        <v>36</v>
      </c>
      <c r="AA674" s="14" t="s">
        <v>36</v>
      </c>
      <c r="AB674" s="12" t="s">
        <v>56</v>
      </c>
      <c r="AC674" s="12" t="s">
        <v>4341</v>
      </c>
      <c r="AD674" s="13">
        <v>45323</v>
      </c>
      <c r="AE674" s="12" t="s">
        <v>1007</v>
      </c>
      <c r="AF674" s="12" t="s">
        <v>90</v>
      </c>
      <c r="AG674" s="12" t="s">
        <v>4342</v>
      </c>
      <c r="AH674" s="1">
        <f>HYPERLINK("https://my.pitchbook.com?c=251554-42T","View Company Online")</f>
      </c>
    </row>
    <row r="675">
      <c r="A675" s="3" t="s">
        <v>4343</v>
      </c>
      <c r="B675" s="3" t="s">
        <v>4344</v>
      </c>
      <c r="C675" s="5" t="s">
        <v>36</v>
      </c>
      <c r="D675" s="5" t="s">
        <v>36</v>
      </c>
      <c r="E675" s="5" t="s">
        <v>36</v>
      </c>
      <c r="F675" s="5" t="s">
        <v>36</v>
      </c>
      <c r="G675" s="6" t="s">
        <v>36</v>
      </c>
      <c r="H675" s="4" t="s">
        <v>36</v>
      </c>
      <c r="I675" s="7" t="s">
        <v>36</v>
      </c>
      <c r="J675" s="3" t="s">
        <v>36</v>
      </c>
      <c r="K675" s="9" t="s">
        <v>36</v>
      </c>
      <c r="L675" s="6" t="s">
        <v>36</v>
      </c>
      <c r="M675" s="3" t="s">
        <v>36</v>
      </c>
      <c r="N675" s="3" t="s">
        <v>36</v>
      </c>
      <c r="O675" s="8" t="s">
        <v>36</v>
      </c>
      <c r="P675" s="3" t="s">
        <v>36</v>
      </c>
      <c r="Q675" s="3" t="s">
        <v>36</v>
      </c>
      <c r="R675" s="3" t="s">
        <v>36</v>
      </c>
      <c r="S675" s="3" t="s">
        <v>36</v>
      </c>
      <c r="T675" s="3" t="s">
        <v>4345</v>
      </c>
      <c r="U675" s="3" t="s">
        <v>1357</v>
      </c>
      <c r="V675" s="3" t="s">
        <v>52</v>
      </c>
      <c r="W675" s="3" t="s">
        <v>4346</v>
      </c>
      <c r="X675" s="10" t="s">
        <v>4347</v>
      </c>
      <c r="Y675" s="6" t="s">
        <v>192</v>
      </c>
      <c r="Z675" s="4" t="s">
        <v>36</v>
      </c>
      <c r="AA675" s="4" t="s">
        <v>36</v>
      </c>
      <c r="AB675" s="3" t="s">
        <v>56</v>
      </c>
      <c r="AC675" s="3" t="s">
        <v>4348</v>
      </c>
      <c r="AD675" s="9">
        <v>45323</v>
      </c>
      <c r="AE675" s="3" t="s">
        <v>2377</v>
      </c>
      <c r="AF675" s="3" t="s">
        <v>4349</v>
      </c>
      <c r="AG675" s="3" t="s">
        <v>4350</v>
      </c>
      <c r="AH675" s="11">
        <f>HYPERLINK("https://my.pitchbook.com?c=258208-03T","View Company Online")</f>
      </c>
    </row>
    <row r="676">
      <c r="A676" s="12" t="s">
        <v>4351</v>
      </c>
      <c r="B676" s="12" t="s">
        <v>4352</v>
      </c>
      <c r="C676" s="19" t="s">
        <v>36</v>
      </c>
      <c r="D676" s="19" t="s">
        <v>36</v>
      </c>
      <c r="E676" s="19" t="s">
        <v>36</v>
      </c>
      <c r="F676" s="19" t="s">
        <v>36</v>
      </c>
      <c r="G676" s="15" t="s">
        <v>36</v>
      </c>
      <c r="H676" s="14" t="s">
        <v>36</v>
      </c>
      <c r="I676" s="18" t="s">
        <v>36</v>
      </c>
      <c r="J676" s="12" t="s">
        <v>36</v>
      </c>
      <c r="K676" s="13" t="s">
        <v>36</v>
      </c>
      <c r="L676" s="15" t="s">
        <v>36</v>
      </c>
      <c r="M676" s="12" t="s">
        <v>36</v>
      </c>
      <c r="N676" s="12" t="s">
        <v>36</v>
      </c>
      <c r="O676" s="17" t="s">
        <v>36</v>
      </c>
      <c r="P676" s="12" t="s">
        <v>36</v>
      </c>
      <c r="Q676" s="12" t="s">
        <v>36</v>
      </c>
      <c r="R676" s="12" t="s">
        <v>36</v>
      </c>
      <c r="S676" s="12" t="s">
        <v>36</v>
      </c>
      <c r="T676" s="12" t="s">
        <v>4353</v>
      </c>
      <c r="U676" s="12" t="s">
        <v>74</v>
      </c>
      <c r="V676" s="12" t="s">
        <v>75</v>
      </c>
      <c r="W676" s="12" t="s">
        <v>4354</v>
      </c>
      <c r="X676" s="16" t="s">
        <v>4355</v>
      </c>
      <c r="Y676" s="15" t="s">
        <v>108</v>
      </c>
      <c r="Z676" s="14" t="s">
        <v>36</v>
      </c>
      <c r="AA676" s="14" t="s">
        <v>36</v>
      </c>
      <c r="AB676" s="12" t="s">
        <v>56</v>
      </c>
      <c r="AC676" s="12" t="s">
        <v>4356</v>
      </c>
      <c r="AD676" s="13">
        <v>45323</v>
      </c>
      <c r="AE676" s="12" t="s">
        <v>696</v>
      </c>
      <c r="AF676" s="12" t="s">
        <v>4357</v>
      </c>
      <c r="AG676" s="12" t="s">
        <v>4358</v>
      </c>
      <c r="AH676" s="1">
        <f>HYPERLINK("https://my.pitchbook.com?c=253267-30T","View Company Online")</f>
      </c>
    </row>
    <row r="677">
      <c r="A677" s="3" t="s">
        <v>4359</v>
      </c>
      <c r="B677" s="3" t="s">
        <v>4360</v>
      </c>
      <c r="C677" s="5" t="s">
        <v>36</v>
      </c>
      <c r="D677" s="5" t="s">
        <v>36</v>
      </c>
      <c r="E677" s="5" t="s">
        <v>36</v>
      </c>
      <c r="F677" s="5" t="s">
        <v>36</v>
      </c>
      <c r="G677" s="6" t="s">
        <v>36</v>
      </c>
      <c r="H677" s="4" t="s">
        <v>36</v>
      </c>
      <c r="I677" s="7" t="s">
        <v>36</v>
      </c>
      <c r="J677" s="3" t="s">
        <v>36</v>
      </c>
      <c r="K677" s="9" t="s">
        <v>36</v>
      </c>
      <c r="L677" s="6" t="s">
        <v>36</v>
      </c>
      <c r="M677" s="3" t="s">
        <v>36</v>
      </c>
      <c r="N677" s="3" t="s">
        <v>36</v>
      </c>
      <c r="O677" s="8" t="s">
        <v>36</v>
      </c>
      <c r="P677" s="3" t="s">
        <v>36</v>
      </c>
      <c r="Q677" s="3" t="s">
        <v>36</v>
      </c>
      <c r="R677" s="3" t="s">
        <v>36</v>
      </c>
      <c r="S677" s="3" t="s">
        <v>36</v>
      </c>
      <c r="T677" s="3" t="s">
        <v>4361</v>
      </c>
      <c r="U677" s="3" t="s">
        <v>648</v>
      </c>
      <c r="V677" s="3" t="s">
        <v>64</v>
      </c>
      <c r="W677" s="3" t="s">
        <v>4362</v>
      </c>
      <c r="X677" s="10" t="s">
        <v>4363</v>
      </c>
      <c r="Y677" s="6" t="s">
        <v>42</v>
      </c>
      <c r="Z677" s="4" t="s">
        <v>36</v>
      </c>
      <c r="AA677" s="4" t="s">
        <v>36</v>
      </c>
      <c r="AB677" s="3" t="s">
        <v>56</v>
      </c>
      <c r="AC677" s="3" t="s">
        <v>4364</v>
      </c>
      <c r="AD677" s="9">
        <v>45323</v>
      </c>
      <c r="AE677" s="3" t="s">
        <v>651</v>
      </c>
      <c r="AF677" s="3" t="s">
        <v>36</v>
      </c>
      <c r="AG677" s="3" t="s">
        <v>741</v>
      </c>
      <c r="AH677" s="11">
        <f>HYPERLINK("https://my.pitchbook.com?c=273124-72T","View Company Online")</f>
      </c>
    </row>
    <row r="678">
      <c r="A678" s="12" t="s">
        <v>4365</v>
      </c>
      <c r="B678" s="12" t="s">
        <v>4366</v>
      </c>
      <c r="C678" s="19" t="s">
        <v>36</v>
      </c>
      <c r="D678" s="19" t="s">
        <v>36</v>
      </c>
      <c r="E678" s="19" t="s">
        <v>36</v>
      </c>
      <c r="F678" s="19" t="s">
        <v>36</v>
      </c>
      <c r="G678" s="15" t="s">
        <v>36</v>
      </c>
      <c r="H678" s="14" t="s">
        <v>36</v>
      </c>
      <c r="I678" s="18" t="s">
        <v>36</v>
      </c>
      <c r="J678" s="12" t="s">
        <v>36</v>
      </c>
      <c r="K678" s="13" t="s">
        <v>36</v>
      </c>
      <c r="L678" s="15" t="s">
        <v>36</v>
      </c>
      <c r="M678" s="12" t="s">
        <v>36</v>
      </c>
      <c r="N678" s="12" t="s">
        <v>36</v>
      </c>
      <c r="O678" s="17" t="s">
        <v>36</v>
      </c>
      <c r="P678" s="12" t="s">
        <v>36</v>
      </c>
      <c r="Q678" s="12" t="s">
        <v>36</v>
      </c>
      <c r="R678" s="12" t="s">
        <v>36</v>
      </c>
      <c r="S678" s="12" t="s">
        <v>36</v>
      </c>
      <c r="T678" s="12" t="s">
        <v>1645</v>
      </c>
      <c r="U678" s="12" t="s">
        <v>38</v>
      </c>
      <c r="V678" s="12" t="s">
        <v>39</v>
      </c>
      <c r="W678" s="12" t="s">
        <v>4367</v>
      </c>
      <c r="X678" s="16" t="s">
        <v>4368</v>
      </c>
      <c r="Y678" s="15" t="s">
        <v>108</v>
      </c>
      <c r="Z678" s="14" t="s">
        <v>36</v>
      </c>
      <c r="AA678" s="14" t="s">
        <v>36</v>
      </c>
      <c r="AB678" s="12" t="s">
        <v>43</v>
      </c>
      <c r="AC678" s="12" t="s">
        <v>4369</v>
      </c>
      <c r="AD678" s="13">
        <v>45323</v>
      </c>
      <c r="AE678" s="12" t="s">
        <v>110</v>
      </c>
      <c r="AF678" s="12" t="s">
        <v>1999</v>
      </c>
      <c r="AG678" s="12" t="s">
        <v>81</v>
      </c>
      <c r="AH678" s="1">
        <f>HYPERLINK("https://my.pitchbook.com?c=251311-78T","View Company Online")</f>
      </c>
    </row>
    <row r="679">
      <c r="A679" s="3" t="s">
        <v>4370</v>
      </c>
      <c r="B679" s="3" t="s">
        <v>4371</v>
      </c>
      <c r="C679" s="5" t="s">
        <v>36</v>
      </c>
      <c r="D679" s="5" t="s">
        <v>36</v>
      </c>
      <c r="E679" s="5" t="s">
        <v>36</v>
      </c>
      <c r="F679" s="5" t="s">
        <v>36</v>
      </c>
      <c r="G679" s="6" t="s">
        <v>326</v>
      </c>
      <c r="H679" s="4">
        <v>814.46</v>
      </c>
      <c r="I679" s="7">
        <v>30.59</v>
      </c>
      <c r="J679" s="3" t="s">
        <v>521</v>
      </c>
      <c r="K679" s="9" t="s">
        <v>36</v>
      </c>
      <c r="L679" s="6" t="s">
        <v>36</v>
      </c>
      <c r="M679" s="3" t="s">
        <v>36</v>
      </c>
      <c r="N679" s="3" t="s">
        <v>36</v>
      </c>
      <c r="O679" s="8" t="s">
        <v>36</v>
      </c>
      <c r="P679" s="3" t="s">
        <v>36</v>
      </c>
      <c r="Q679" s="3" t="s">
        <v>36</v>
      </c>
      <c r="R679" s="3" t="s">
        <v>36</v>
      </c>
      <c r="S679" s="3" t="s">
        <v>36</v>
      </c>
      <c r="T679" s="3" t="s">
        <v>3641</v>
      </c>
      <c r="U679" s="3" t="s">
        <v>85</v>
      </c>
      <c r="V679" s="3" t="s">
        <v>64</v>
      </c>
      <c r="W679" s="3" t="s">
        <v>4372</v>
      </c>
      <c r="X679" s="10" t="s">
        <v>4373</v>
      </c>
      <c r="Y679" s="6" t="s">
        <v>166</v>
      </c>
      <c r="Z679" s="4">
        <v>14.27</v>
      </c>
      <c r="AA679" s="4">
        <v>46.66</v>
      </c>
      <c r="AB679" s="3" t="s">
        <v>56</v>
      </c>
      <c r="AC679" s="3" t="s">
        <v>4374</v>
      </c>
      <c r="AD679" s="9">
        <v>45323</v>
      </c>
      <c r="AE679" s="3" t="s">
        <v>3645</v>
      </c>
      <c r="AF679" s="3" t="s">
        <v>4375</v>
      </c>
      <c r="AG679" s="3" t="s">
        <v>3595</v>
      </c>
      <c r="AH679" s="11">
        <f>HYPERLINK("https://my.pitchbook.com?c=253186-12T","View Company Online")</f>
      </c>
    </row>
    <row r="680">
      <c r="A680" s="12" t="s">
        <v>4376</v>
      </c>
      <c r="B680" s="12" t="s">
        <v>4377</v>
      </c>
      <c r="C680" s="19" t="s">
        <v>36</v>
      </c>
      <c r="D680" s="19" t="s">
        <v>36</v>
      </c>
      <c r="E680" s="19" t="s">
        <v>36</v>
      </c>
      <c r="F680" s="19" t="s">
        <v>36</v>
      </c>
      <c r="G680" s="15" t="s">
        <v>36</v>
      </c>
      <c r="H680" s="14" t="s">
        <v>36</v>
      </c>
      <c r="I680" s="18">
        <v>20</v>
      </c>
      <c r="J680" s="12" t="s">
        <v>327</v>
      </c>
      <c r="K680" s="13" t="s">
        <v>36</v>
      </c>
      <c r="L680" s="15" t="s">
        <v>36</v>
      </c>
      <c r="M680" s="12" t="s">
        <v>36</v>
      </c>
      <c r="N680" s="12" t="s">
        <v>36</v>
      </c>
      <c r="O680" s="17" t="s">
        <v>36</v>
      </c>
      <c r="P680" s="12" t="s">
        <v>36</v>
      </c>
      <c r="Q680" s="12" t="s">
        <v>36</v>
      </c>
      <c r="R680" s="12" t="s">
        <v>36</v>
      </c>
      <c r="S680" s="12" t="s">
        <v>36</v>
      </c>
      <c r="T680" s="12" t="s">
        <v>2558</v>
      </c>
      <c r="U680" s="12" t="s">
        <v>38</v>
      </c>
      <c r="V680" s="12" t="s">
        <v>39</v>
      </c>
      <c r="W680" s="12" t="s">
        <v>4378</v>
      </c>
      <c r="X680" s="16" t="s">
        <v>4379</v>
      </c>
      <c r="Y680" s="15" t="s">
        <v>42</v>
      </c>
      <c r="Z680" s="14">
        <v>1.64</v>
      </c>
      <c r="AA680" s="14">
        <v>8.18</v>
      </c>
      <c r="AB680" s="12" t="s">
        <v>43</v>
      </c>
      <c r="AC680" s="12" t="s">
        <v>4380</v>
      </c>
      <c r="AD680" s="13">
        <v>45323</v>
      </c>
      <c r="AE680" s="12" t="s">
        <v>110</v>
      </c>
      <c r="AF680" s="12" t="s">
        <v>36</v>
      </c>
      <c r="AG680" s="12" t="s">
        <v>81</v>
      </c>
      <c r="AH680" s="1">
        <f>HYPERLINK("https://my.pitchbook.com?c=258158-44T","View Company Online")</f>
      </c>
    </row>
    <row r="681">
      <c r="A681" s="3" t="s">
        <v>4381</v>
      </c>
      <c r="B681" s="3" t="s">
        <v>4382</v>
      </c>
      <c r="C681" s="5">
        <v>4</v>
      </c>
      <c r="D681" s="5">
        <v>43</v>
      </c>
      <c r="E681" s="5">
        <v>11</v>
      </c>
      <c r="F681" s="5">
        <v>50</v>
      </c>
      <c r="G681" s="6" t="s">
        <v>326</v>
      </c>
      <c r="H681" s="4">
        <v>147.33</v>
      </c>
      <c r="I681" s="7">
        <v>28.94</v>
      </c>
      <c r="J681" s="3" t="s">
        <v>327</v>
      </c>
      <c r="K681" s="9">
        <v>45279</v>
      </c>
      <c r="L681" s="6" t="s">
        <v>122</v>
      </c>
      <c r="M681" s="3" t="s">
        <v>36</v>
      </c>
      <c r="N681" s="3" t="s">
        <v>122</v>
      </c>
      <c r="O681" s="8" t="s">
        <v>36</v>
      </c>
      <c r="P681" s="3" t="s">
        <v>36</v>
      </c>
      <c r="Q681" s="3" t="s">
        <v>36</v>
      </c>
      <c r="R681" s="3" t="s">
        <v>36</v>
      </c>
      <c r="S681" s="3" t="s">
        <v>36</v>
      </c>
      <c r="T681" s="3" t="s">
        <v>4383</v>
      </c>
      <c r="U681" s="3" t="s">
        <v>1580</v>
      </c>
      <c r="V681" s="3" t="s">
        <v>39</v>
      </c>
      <c r="W681" s="3" t="s">
        <v>4384</v>
      </c>
      <c r="X681" s="10" t="s">
        <v>4385</v>
      </c>
      <c r="Y681" s="6" t="s">
        <v>55</v>
      </c>
      <c r="Z681" s="4">
        <v>16.36</v>
      </c>
      <c r="AA681" s="4">
        <v>56.52</v>
      </c>
      <c r="AB681" s="3" t="s">
        <v>56</v>
      </c>
      <c r="AC681" s="3" t="s">
        <v>4386</v>
      </c>
      <c r="AD681" s="9">
        <v>45323</v>
      </c>
      <c r="AE681" s="3" t="s">
        <v>4387</v>
      </c>
      <c r="AF681" s="3" t="s">
        <v>275</v>
      </c>
      <c r="AG681" s="3" t="s">
        <v>81</v>
      </c>
      <c r="AH681" s="11">
        <f>HYPERLINK("https://my.pitchbook.com?c=250874-83T","View Company Online")</f>
      </c>
    </row>
    <row r="682">
      <c r="A682" s="12" t="s">
        <v>4388</v>
      </c>
      <c r="B682" s="12" t="s">
        <v>4389</v>
      </c>
      <c r="C682" s="19" t="s">
        <v>36</v>
      </c>
      <c r="D682" s="19" t="s">
        <v>36</v>
      </c>
      <c r="E682" s="19" t="s">
        <v>36</v>
      </c>
      <c r="F682" s="19" t="s">
        <v>36</v>
      </c>
      <c r="G682" s="15" t="s">
        <v>36</v>
      </c>
      <c r="H682" s="14" t="s">
        <v>36</v>
      </c>
      <c r="I682" s="18" t="s">
        <v>36</v>
      </c>
      <c r="J682" s="12" t="s">
        <v>36</v>
      </c>
      <c r="K682" s="13" t="s">
        <v>36</v>
      </c>
      <c r="L682" s="15" t="s">
        <v>36</v>
      </c>
      <c r="M682" s="12" t="s">
        <v>36</v>
      </c>
      <c r="N682" s="12" t="s">
        <v>36</v>
      </c>
      <c r="O682" s="17" t="s">
        <v>36</v>
      </c>
      <c r="P682" s="12" t="s">
        <v>36</v>
      </c>
      <c r="Q682" s="12" t="s">
        <v>36</v>
      </c>
      <c r="R682" s="12" t="s">
        <v>36</v>
      </c>
      <c r="S682" s="12" t="s">
        <v>565</v>
      </c>
      <c r="T682" s="12" t="s">
        <v>1162</v>
      </c>
      <c r="U682" s="12" t="s">
        <v>423</v>
      </c>
      <c r="V682" s="12" t="s">
        <v>64</v>
      </c>
      <c r="W682" s="12" t="s">
        <v>4390</v>
      </c>
      <c r="X682" s="16" t="s">
        <v>1399</v>
      </c>
      <c r="Y682" s="15" t="s">
        <v>42</v>
      </c>
      <c r="Z682" s="14" t="s">
        <v>36</v>
      </c>
      <c r="AA682" s="14" t="s">
        <v>36</v>
      </c>
      <c r="AB682" s="12" t="s">
        <v>56</v>
      </c>
      <c r="AC682" s="12" t="s">
        <v>4391</v>
      </c>
      <c r="AD682" s="13">
        <v>45323</v>
      </c>
      <c r="AE682" s="12" t="s">
        <v>562</v>
      </c>
      <c r="AF682" s="12" t="s">
        <v>36</v>
      </c>
      <c r="AG682" s="12" t="s">
        <v>666</v>
      </c>
      <c r="AH682" s="1">
        <f>HYPERLINK("https://my.pitchbook.com?c=270092-44T","View Company Online")</f>
      </c>
    </row>
    <row r="683">
      <c r="A683" s="3" t="s">
        <v>4392</v>
      </c>
      <c r="B683" s="3" t="s">
        <v>4393</v>
      </c>
      <c r="C683" s="5" t="s">
        <v>36</v>
      </c>
      <c r="D683" s="5" t="s">
        <v>36</v>
      </c>
      <c r="E683" s="5" t="s">
        <v>36</v>
      </c>
      <c r="F683" s="5" t="s">
        <v>36</v>
      </c>
      <c r="G683" s="6" t="s">
        <v>36</v>
      </c>
      <c r="H683" s="4" t="s">
        <v>36</v>
      </c>
      <c r="I683" s="7" t="s">
        <v>36</v>
      </c>
      <c r="J683" s="3" t="s">
        <v>36</v>
      </c>
      <c r="K683" s="9" t="s">
        <v>36</v>
      </c>
      <c r="L683" s="6" t="s">
        <v>36</v>
      </c>
      <c r="M683" s="3" t="s">
        <v>36</v>
      </c>
      <c r="N683" s="3" t="s">
        <v>36</v>
      </c>
      <c r="O683" s="8" t="s">
        <v>36</v>
      </c>
      <c r="P683" s="3" t="s">
        <v>36</v>
      </c>
      <c r="Q683" s="3" t="s">
        <v>36</v>
      </c>
      <c r="R683" s="3" t="s">
        <v>36</v>
      </c>
      <c r="S683" s="3" t="s">
        <v>36</v>
      </c>
      <c r="T683" s="3" t="s">
        <v>4394</v>
      </c>
      <c r="U683" s="3" t="s">
        <v>423</v>
      </c>
      <c r="V683" s="3" t="s">
        <v>64</v>
      </c>
      <c r="W683" s="3" t="s">
        <v>4395</v>
      </c>
      <c r="X683" s="10" t="s">
        <v>4336</v>
      </c>
      <c r="Y683" s="6" t="s">
        <v>108</v>
      </c>
      <c r="Z683" s="4" t="s">
        <v>36</v>
      </c>
      <c r="AA683" s="4" t="s">
        <v>36</v>
      </c>
      <c r="AB683" s="3" t="s">
        <v>43</v>
      </c>
      <c r="AC683" s="3" t="s">
        <v>4396</v>
      </c>
      <c r="AD683" s="9">
        <v>45323</v>
      </c>
      <c r="AE683" s="3" t="s">
        <v>1051</v>
      </c>
      <c r="AF683" s="3" t="s">
        <v>4397</v>
      </c>
      <c r="AG683" s="3" t="s">
        <v>81</v>
      </c>
      <c r="AH683" s="11">
        <f>HYPERLINK("https://my.pitchbook.com?c=252580-33T","View Company Online")</f>
      </c>
    </row>
    <row r="684">
      <c r="A684" s="12" t="s">
        <v>4398</v>
      </c>
      <c r="B684" s="12" t="s">
        <v>4399</v>
      </c>
      <c r="C684" s="19" t="s">
        <v>36</v>
      </c>
      <c r="D684" s="19" t="s">
        <v>36</v>
      </c>
      <c r="E684" s="19" t="s">
        <v>36</v>
      </c>
      <c r="F684" s="19" t="s">
        <v>36</v>
      </c>
      <c r="G684" s="15" t="s">
        <v>36</v>
      </c>
      <c r="H684" s="14" t="s">
        <v>36</v>
      </c>
      <c r="I684" s="18" t="s">
        <v>36</v>
      </c>
      <c r="J684" s="12" t="s">
        <v>36</v>
      </c>
      <c r="K684" s="13" t="s">
        <v>36</v>
      </c>
      <c r="L684" s="15" t="s">
        <v>36</v>
      </c>
      <c r="M684" s="12" t="s">
        <v>36</v>
      </c>
      <c r="N684" s="12" t="s">
        <v>36</v>
      </c>
      <c r="O684" s="17" t="s">
        <v>36</v>
      </c>
      <c r="P684" s="12" t="s">
        <v>36</v>
      </c>
      <c r="Q684" s="12" t="s">
        <v>36</v>
      </c>
      <c r="R684" s="12" t="s">
        <v>36</v>
      </c>
      <c r="S684" s="12" t="s">
        <v>36</v>
      </c>
      <c r="T684" s="12" t="s">
        <v>4400</v>
      </c>
      <c r="U684" s="12" t="s">
        <v>38</v>
      </c>
      <c r="V684" s="12" t="s">
        <v>39</v>
      </c>
      <c r="W684" s="12" t="s">
        <v>4401</v>
      </c>
      <c r="X684" s="16" t="s">
        <v>4402</v>
      </c>
      <c r="Y684" s="15" t="s">
        <v>42</v>
      </c>
      <c r="Z684" s="14" t="s">
        <v>36</v>
      </c>
      <c r="AA684" s="14" t="s">
        <v>36</v>
      </c>
      <c r="AB684" s="12" t="s">
        <v>56</v>
      </c>
      <c r="AC684" s="12" t="s">
        <v>4403</v>
      </c>
      <c r="AD684" s="13">
        <v>45323</v>
      </c>
      <c r="AE684" s="12" t="s">
        <v>110</v>
      </c>
      <c r="AF684" s="12" t="s">
        <v>101</v>
      </c>
      <c r="AG684" s="12" t="s">
        <v>347</v>
      </c>
      <c r="AH684" s="1">
        <f>HYPERLINK("https://my.pitchbook.com?c=251871-04T","View Company Online")</f>
      </c>
    </row>
    <row r="685">
      <c r="A685" s="3" t="s">
        <v>4404</v>
      </c>
      <c r="B685" s="3" t="s">
        <v>4405</v>
      </c>
      <c r="C685" s="5">
        <v>1</v>
      </c>
      <c r="D685" s="5" t="s">
        <v>36</v>
      </c>
      <c r="E685" s="5">
        <v>1</v>
      </c>
      <c r="F685" s="5">
        <v>1</v>
      </c>
      <c r="G685" s="6" t="s">
        <v>36</v>
      </c>
      <c r="H685" s="4" t="s">
        <v>36</v>
      </c>
      <c r="I685" s="7" t="s">
        <v>36</v>
      </c>
      <c r="J685" s="3" t="s">
        <v>36</v>
      </c>
      <c r="K685" s="9" t="s">
        <v>36</v>
      </c>
      <c r="L685" s="6" t="s">
        <v>36</v>
      </c>
      <c r="M685" s="3" t="s">
        <v>36</v>
      </c>
      <c r="N685" s="3" t="s">
        <v>36</v>
      </c>
      <c r="O685" s="8" t="s">
        <v>36</v>
      </c>
      <c r="P685" s="3" t="s">
        <v>36</v>
      </c>
      <c r="Q685" s="3" t="s">
        <v>36</v>
      </c>
      <c r="R685" s="3" t="s">
        <v>36</v>
      </c>
      <c r="S685" s="3" t="s">
        <v>36</v>
      </c>
      <c r="T685" s="3" t="s">
        <v>4406</v>
      </c>
      <c r="U685" s="3" t="s">
        <v>833</v>
      </c>
      <c r="V685" s="3" t="s">
        <v>64</v>
      </c>
      <c r="W685" s="3" t="s">
        <v>4407</v>
      </c>
      <c r="X685" s="10" t="s">
        <v>4336</v>
      </c>
      <c r="Y685" s="6" t="s">
        <v>108</v>
      </c>
      <c r="Z685" s="4" t="s">
        <v>36</v>
      </c>
      <c r="AA685" s="4" t="s">
        <v>36</v>
      </c>
      <c r="AB685" s="3" t="s">
        <v>56</v>
      </c>
      <c r="AC685" s="3" t="s">
        <v>4408</v>
      </c>
      <c r="AD685" s="9">
        <v>45323</v>
      </c>
      <c r="AE685" s="3" t="s">
        <v>1069</v>
      </c>
      <c r="AF685" s="3" t="s">
        <v>36</v>
      </c>
      <c r="AG685" s="3" t="s">
        <v>47</v>
      </c>
      <c r="AH685" s="11">
        <f>HYPERLINK("https://my.pitchbook.com?c=252449-02T","View Company Online")</f>
      </c>
    </row>
    <row r="686">
      <c r="A686" s="12" t="s">
        <v>4409</v>
      </c>
      <c r="B686" s="12" t="s">
        <v>4410</v>
      </c>
      <c r="C686" s="19" t="s">
        <v>36</v>
      </c>
      <c r="D686" s="19" t="s">
        <v>36</v>
      </c>
      <c r="E686" s="19" t="s">
        <v>36</v>
      </c>
      <c r="F686" s="19" t="s">
        <v>36</v>
      </c>
      <c r="G686" s="15" t="s">
        <v>36</v>
      </c>
      <c r="H686" s="14" t="s">
        <v>36</v>
      </c>
      <c r="I686" s="18" t="s">
        <v>36</v>
      </c>
      <c r="J686" s="12" t="s">
        <v>36</v>
      </c>
      <c r="K686" s="13" t="s">
        <v>36</v>
      </c>
      <c r="L686" s="15" t="s">
        <v>36</v>
      </c>
      <c r="M686" s="12" t="s">
        <v>36</v>
      </c>
      <c r="N686" s="12" t="s">
        <v>36</v>
      </c>
      <c r="O686" s="17" t="s">
        <v>36</v>
      </c>
      <c r="P686" s="12" t="s">
        <v>36</v>
      </c>
      <c r="Q686" s="12" t="s">
        <v>36</v>
      </c>
      <c r="R686" s="12" t="s">
        <v>36</v>
      </c>
      <c r="S686" s="12" t="s">
        <v>4411</v>
      </c>
      <c r="T686" s="12" t="s">
        <v>4412</v>
      </c>
      <c r="U686" s="12" t="s">
        <v>38</v>
      </c>
      <c r="V686" s="12" t="s">
        <v>39</v>
      </c>
      <c r="W686" s="12" t="s">
        <v>4413</v>
      </c>
      <c r="X686" s="16" t="s">
        <v>4414</v>
      </c>
      <c r="Y686" s="15" t="s">
        <v>55</v>
      </c>
      <c r="Z686" s="14" t="s">
        <v>36</v>
      </c>
      <c r="AA686" s="14" t="s">
        <v>36</v>
      </c>
      <c r="AB686" s="12" t="s">
        <v>43</v>
      </c>
      <c r="AC686" s="12" t="s">
        <v>4415</v>
      </c>
      <c r="AD686" s="13">
        <v>45323</v>
      </c>
      <c r="AE686" s="12" t="s">
        <v>688</v>
      </c>
      <c r="AF686" s="12" t="s">
        <v>680</v>
      </c>
      <c r="AG686" s="12" t="s">
        <v>4416</v>
      </c>
      <c r="AH686" s="1">
        <f>HYPERLINK("https://my.pitchbook.com?c=253125-46T","View Company Online")</f>
      </c>
    </row>
    <row r="687">
      <c r="A687" s="3" t="s">
        <v>4417</v>
      </c>
      <c r="B687" s="3" t="s">
        <v>4418</v>
      </c>
      <c r="C687" s="5" t="s">
        <v>36</v>
      </c>
      <c r="D687" s="5" t="s">
        <v>36</v>
      </c>
      <c r="E687" s="5" t="s">
        <v>36</v>
      </c>
      <c r="F687" s="5" t="s">
        <v>36</v>
      </c>
      <c r="G687" s="6" t="s">
        <v>326</v>
      </c>
      <c r="H687" s="4">
        <v>226.18</v>
      </c>
      <c r="I687" s="7">
        <v>10.02</v>
      </c>
      <c r="J687" s="3" t="s">
        <v>521</v>
      </c>
      <c r="K687" s="9" t="s">
        <v>36</v>
      </c>
      <c r="L687" s="6" t="s">
        <v>36</v>
      </c>
      <c r="M687" s="3" t="s">
        <v>36</v>
      </c>
      <c r="N687" s="3" t="s">
        <v>36</v>
      </c>
      <c r="O687" s="8" t="s">
        <v>36</v>
      </c>
      <c r="P687" s="3" t="s">
        <v>36</v>
      </c>
      <c r="Q687" s="3" t="s">
        <v>36</v>
      </c>
      <c r="R687" s="3" t="s">
        <v>36</v>
      </c>
      <c r="S687" s="3" t="s">
        <v>36</v>
      </c>
      <c r="T687" s="3" t="s">
        <v>154</v>
      </c>
      <c r="U687" s="3" t="s">
        <v>51</v>
      </c>
      <c r="V687" s="3" t="s">
        <v>52</v>
      </c>
      <c r="W687" s="3" t="s">
        <v>4419</v>
      </c>
      <c r="X687" s="10" t="s">
        <v>509</v>
      </c>
      <c r="Y687" s="6" t="s">
        <v>108</v>
      </c>
      <c r="Z687" s="4">
        <v>4.64</v>
      </c>
      <c r="AA687" s="4">
        <v>38.85</v>
      </c>
      <c r="AB687" s="3" t="s">
        <v>56</v>
      </c>
      <c r="AC687" s="3" t="s">
        <v>4420</v>
      </c>
      <c r="AD687" s="9">
        <v>45322</v>
      </c>
      <c r="AE687" s="3" t="s">
        <v>158</v>
      </c>
      <c r="AF687" s="3" t="s">
        <v>159</v>
      </c>
      <c r="AG687" s="3" t="s">
        <v>4421</v>
      </c>
      <c r="AH687" s="11">
        <f>HYPERLINK("https://my.pitchbook.com?c=249930-82T","View Company Online")</f>
      </c>
    </row>
    <row r="688">
      <c r="A688" s="12" t="s">
        <v>4422</v>
      </c>
      <c r="B688" s="12" t="s">
        <v>4423</v>
      </c>
      <c r="C688" s="19" t="s">
        <v>36</v>
      </c>
      <c r="D688" s="19" t="s">
        <v>36</v>
      </c>
      <c r="E688" s="19" t="s">
        <v>36</v>
      </c>
      <c r="F688" s="19" t="s">
        <v>36</v>
      </c>
      <c r="G688" s="15" t="s">
        <v>326</v>
      </c>
      <c r="H688" s="14">
        <v>24.86</v>
      </c>
      <c r="I688" s="18">
        <v>25.88</v>
      </c>
      <c r="J688" s="12" t="s">
        <v>521</v>
      </c>
      <c r="K688" s="13" t="s">
        <v>36</v>
      </c>
      <c r="L688" s="15" t="s">
        <v>36</v>
      </c>
      <c r="M688" s="12" t="s">
        <v>36</v>
      </c>
      <c r="N688" s="12" t="s">
        <v>36</v>
      </c>
      <c r="O688" s="17" t="s">
        <v>36</v>
      </c>
      <c r="P688" s="12" t="s">
        <v>36</v>
      </c>
      <c r="Q688" s="12" t="s">
        <v>36</v>
      </c>
      <c r="R688" s="12" t="s">
        <v>36</v>
      </c>
      <c r="S688" s="12" t="s">
        <v>36</v>
      </c>
      <c r="T688" s="12" t="s">
        <v>395</v>
      </c>
      <c r="U688" s="12" t="s">
        <v>63</v>
      </c>
      <c r="V688" s="12" t="s">
        <v>64</v>
      </c>
      <c r="W688" s="12" t="s">
        <v>4424</v>
      </c>
      <c r="X688" s="16" t="s">
        <v>4425</v>
      </c>
      <c r="Y688" s="15" t="s">
        <v>108</v>
      </c>
      <c r="Z688" s="14">
        <v>2.28</v>
      </c>
      <c r="AA688" s="14">
        <v>8.81</v>
      </c>
      <c r="AB688" s="12" t="s">
        <v>43</v>
      </c>
      <c r="AC688" s="12" t="s">
        <v>4426</v>
      </c>
      <c r="AD688" s="13">
        <v>45322</v>
      </c>
      <c r="AE688" s="12" t="s">
        <v>399</v>
      </c>
      <c r="AF688" s="12" t="s">
        <v>36</v>
      </c>
      <c r="AG688" s="12" t="s">
        <v>81</v>
      </c>
      <c r="AH688" s="1">
        <f>HYPERLINK("https://my.pitchbook.com?c=256280-86T","View Company Online")</f>
      </c>
    </row>
    <row r="689">
      <c r="A689" s="3" t="s">
        <v>4427</v>
      </c>
      <c r="B689" s="3" t="s">
        <v>4428</v>
      </c>
      <c r="C689" s="5" t="s">
        <v>36</v>
      </c>
      <c r="D689" s="5" t="s">
        <v>36</v>
      </c>
      <c r="E689" s="5" t="s">
        <v>36</v>
      </c>
      <c r="F689" s="5" t="s">
        <v>36</v>
      </c>
      <c r="G689" s="6" t="s">
        <v>36</v>
      </c>
      <c r="H689" s="4" t="s">
        <v>36</v>
      </c>
      <c r="I689" s="7" t="s">
        <v>36</v>
      </c>
      <c r="J689" s="3" t="s">
        <v>36</v>
      </c>
      <c r="K689" s="9" t="s">
        <v>36</v>
      </c>
      <c r="L689" s="6" t="s">
        <v>122</v>
      </c>
      <c r="M689" s="3" t="s">
        <v>36</v>
      </c>
      <c r="N689" s="3" t="s">
        <v>122</v>
      </c>
      <c r="O689" s="8" t="s">
        <v>36</v>
      </c>
      <c r="P689" s="3" t="s">
        <v>36</v>
      </c>
      <c r="Q689" s="3" t="s">
        <v>36</v>
      </c>
      <c r="R689" s="3" t="s">
        <v>36</v>
      </c>
      <c r="S689" s="3" t="s">
        <v>36</v>
      </c>
      <c r="T689" s="3" t="s">
        <v>4429</v>
      </c>
      <c r="U689" s="3" t="s">
        <v>289</v>
      </c>
      <c r="V689" s="3" t="s">
        <v>64</v>
      </c>
      <c r="W689" s="3" t="s">
        <v>4430</v>
      </c>
      <c r="X689" s="10" t="s">
        <v>4431</v>
      </c>
      <c r="Y689" s="6" t="s">
        <v>192</v>
      </c>
      <c r="Z689" s="4">
        <v>3.27</v>
      </c>
      <c r="AA689" s="4" t="s">
        <v>36</v>
      </c>
      <c r="AB689" s="3" t="s">
        <v>56</v>
      </c>
      <c r="AC689" s="3" t="s">
        <v>4432</v>
      </c>
      <c r="AD689" s="9">
        <v>45322</v>
      </c>
      <c r="AE689" s="3" t="s">
        <v>3134</v>
      </c>
      <c r="AF689" s="3" t="s">
        <v>2118</v>
      </c>
      <c r="AG689" s="3" t="s">
        <v>1202</v>
      </c>
      <c r="AH689" s="11">
        <f>HYPERLINK("https://my.pitchbook.com?c=264171-61T","View Company Online")</f>
      </c>
    </row>
    <row r="690">
      <c r="A690" s="12" t="s">
        <v>4433</v>
      </c>
      <c r="B690" s="12" t="s">
        <v>4434</v>
      </c>
      <c r="C690" s="19" t="s">
        <v>36</v>
      </c>
      <c r="D690" s="19" t="s">
        <v>36</v>
      </c>
      <c r="E690" s="19" t="s">
        <v>36</v>
      </c>
      <c r="F690" s="19" t="s">
        <v>36</v>
      </c>
      <c r="G690" s="15" t="s">
        <v>36</v>
      </c>
      <c r="H690" s="14" t="s">
        <v>36</v>
      </c>
      <c r="I690" s="18" t="s">
        <v>36</v>
      </c>
      <c r="J690" s="12" t="s">
        <v>36</v>
      </c>
      <c r="K690" s="13" t="s">
        <v>36</v>
      </c>
      <c r="L690" s="15" t="s">
        <v>36</v>
      </c>
      <c r="M690" s="12" t="s">
        <v>36</v>
      </c>
      <c r="N690" s="12" t="s">
        <v>36</v>
      </c>
      <c r="O690" s="17" t="s">
        <v>36</v>
      </c>
      <c r="P690" s="12" t="s">
        <v>36</v>
      </c>
      <c r="Q690" s="12" t="s">
        <v>36</v>
      </c>
      <c r="R690" s="12" t="s">
        <v>36</v>
      </c>
      <c r="S690" s="12" t="s">
        <v>36</v>
      </c>
      <c r="T690" s="12" t="s">
        <v>550</v>
      </c>
      <c r="U690" s="12" t="s">
        <v>38</v>
      </c>
      <c r="V690" s="12" t="s">
        <v>39</v>
      </c>
      <c r="W690" s="12" t="s">
        <v>4435</v>
      </c>
      <c r="X690" s="16" t="s">
        <v>4436</v>
      </c>
      <c r="Y690" s="15" t="s">
        <v>55</v>
      </c>
      <c r="Z690" s="14">
        <v>1.5</v>
      </c>
      <c r="AA690" s="14" t="s">
        <v>36</v>
      </c>
      <c r="AB690" s="12" t="s">
        <v>56</v>
      </c>
      <c r="AC690" s="12" t="s">
        <v>4437</v>
      </c>
      <c r="AD690" s="13">
        <v>45321</v>
      </c>
      <c r="AE690" s="12" t="s">
        <v>554</v>
      </c>
      <c r="AF690" s="12" t="s">
        <v>4438</v>
      </c>
      <c r="AG690" s="12" t="s">
        <v>47</v>
      </c>
      <c r="AH690" s="1">
        <f>HYPERLINK("https://my.pitchbook.com?c=250579-18T","View Company Online")</f>
      </c>
    </row>
    <row r="691">
      <c r="A691" s="3" t="s">
        <v>4439</v>
      </c>
      <c r="B691" s="3" t="s">
        <v>4440</v>
      </c>
      <c r="C691" s="5" t="s">
        <v>36</v>
      </c>
      <c r="D691" s="5" t="s">
        <v>36</v>
      </c>
      <c r="E691" s="5" t="s">
        <v>36</v>
      </c>
      <c r="F691" s="5" t="s">
        <v>36</v>
      </c>
      <c r="G691" s="6" t="s">
        <v>36</v>
      </c>
      <c r="H691" s="4" t="s">
        <v>36</v>
      </c>
      <c r="I691" s="7" t="s">
        <v>36</v>
      </c>
      <c r="J691" s="3" t="s">
        <v>36</v>
      </c>
      <c r="K691" s="9" t="s">
        <v>36</v>
      </c>
      <c r="L691" s="6" t="s">
        <v>36</v>
      </c>
      <c r="M691" s="3" t="s">
        <v>36</v>
      </c>
      <c r="N691" s="3" t="s">
        <v>36</v>
      </c>
      <c r="O691" s="8" t="s">
        <v>36</v>
      </c>
      <c r="P691" s="3" t="s">
        <v>36</v>
      </c>
      <c r="Q691" s="3" t="s">
        <v>36</v>
      </c>
      <c r="R691" s="3" t="s">
        <v>36</v>
      </c>
      <c r="S691" s="3" t="s">
        <v>36</v>
      </c>
      <c r="T691" s="3" t="s">
        <v>661</v>
      </c>
      <c r="U691" s="3" t="s">
        <v>51</v>
      </c>
      <c r="V691" s="3" t="s">
        <v>52</v>
      </c>
      <c r="W691" s="3" t="s">
        <v>4441</v>
      </c>
      <c r="X691" s="10" t="s">
        <v>2442</v>
      </c>
      <c r="Y691" s="6" t="s">
        <v>192</v>
      </c>
      <c r="Z691" s="4">
        <v>2.84</v>
      </c>
      <c r="AA691" s="4" t="s">
        <v>36</v>
      </c>
      <c r="AB691" s="3" t="s">
        <v>56</v>
      </c>
      <c r="AC691" s="3" t="s">
        <v>4442</v>
      </c>
      <c r="AD691" s="9">
        <v>45321</v>
      </c>
      <c r="AE691" s="3" t="s">
        <v>158</v>
      </c>
      <c r="AF691" s="3" t="s">
        <v>665</v>
      </c>
      <c r="AG691" s="3" t="s">
        <v>81</v>
      </c>
      <c r="AH691" s="11">
        <f>HYPERLINK("https://my.pitchbook.com?c=255367-81T","View Company Online")</f>
      </c>
    </row>
    <row r="692">
      <c r="A692" s="12" t="s">
        <v>4443</v>
      </c>
      <c r="B692" s="12" t="s">
        <v>4444</v>
      </c>
      <c r="C692" s="19" t="s">
        <v>36</v>
      </c>
      <c r="D692" s="19" t="s">
        <v>36</v>
      </c>
      <c r="E692" s="19" t="s">
        <v>36</v>
      </c>
      <c r="F692" s="19" t="s">
        <v>36</v>
      </c>
      <c r="G692" s="15" t="s">
        <v>36</v>
      </c>
      <c r="H692" s="14" t="s">
        <v>36</v>
      </c>
      <c r="I692" s="18" t="s">
        <v>36</v>
      </c>
      <c r="J692" s="12" t="s">
        <v>36</v>
      </c>
      <c r="K692" s="13">
        <v>44941</v>
      </c>
      <c r="L692" s="15" t="s">
        <v>36</v>
      </c>
      <c r="M692" s="12" t="s">
        <v>36</v>
      </c>
      <c r="N692" s="12" t="s">
        <v>36</v>
      </c>
      <c r="O692" s="17" t="s">
        <v>36</v>
      </c>
      <c r="P692" s="12" t="s">
        <v>36</v>
      </c>
      <c r="Q692" s="12" t="s">
        <v>36</v>
      </c>
      <c r="R692" s="12" t="s">
        <v>36</v>
      </c>
      <c r="S692" s="12" t="s">
        <v>36</v>
      </c>
      <c r="T692" s="12" t="s">
        <v>2490</v>
      </c>
      <c r="U692" s="12" t="s">
        <v>318</v>
      </c>
      <c r="V692" s="12" t="s">
        <v>39</v>
      </c>
      <c r="W692" s="12" t="s">
        <v>4445</v>
      </c>
      <c r="X692" s="16" t="s">
        <v>4446</v>
      </c>
      <c r="Y692" s="15" t="s">
        <v>192</v>
      </c>
      <c r="Z692" s="14">
        <v>5.25</v>
      </c>
      <c r="AA692" s="14" t="s">
        <v>36</v>
      </c>
      <c r="AB692" s="12" t="s">
        <v>56</v>
      </c>
      <c r="AC692" s="12" t="s">
        <v>4447</v>
      </c>
      <c r="AD692" s="13">
        <v>45320</v>
      </c>
      <c r="AE692" s="12" t="s">
        <v>417</v>
      </c>
      <c r="AF692" s="12" t="s">
        <v>4448</v>
      </c>
      <c r="AG692" s="12" t="s">
        <v>4449</v>
      </c>
      <c r="AH692" s="1">
        <f>HYPERLINK("https://my.pitchbook.com?c=250412-77T","View Company Online")</f>
      </c>
    </row>
    <row r="693">
      <c r="A693" s="3" t="s">
        <v>4450</v>
      </c>
      <c r="B693" s="3" t="s">
        <v>4451</v>
      </c>
      <c r="C693" s="5" t="s">
        <v>36</v>
      </c>
      <c r="D693" s="5" t="s">
        <v>36</v>
      </c>
      <c r="E693" s="5" t="s">
        <v>36</v>
      </c>
      <c r="F693" s="5" t="s">
        <v>36</v>
      </c>
      <c r="G693" s="6" t="s">
        <v>36</v>
      </c>
      <c r="H693" s="4" t="s">
        <v>36</v>
      </c>
      <c r="I693" s="7" t="s">
        <v>36</v>
      </c>
      <c r="J693" s="3" t="s">
        <v>36</v>
      </c>
      <c r="K693" s="9" t="s">
        <v>36</v>
      </c>
      <c r="L693" s="6" t="s">
        <v>36</v>
      </c>
      <c r="M693" s="3" t="s">
        <v>36</v>
      </c>
      <c r="N693" s="3" t="s">
        <v>36</v>
      </c>
      <c r="O693" s="8" t="s">
        <v>36</v>
      </c>
      <c r="P693" s="3" t="s">
        <v>36</v>
      </c>
      <c r="Q693" s="3" t="s">
        <v>36</v>
      </c>
      <c r="R693" s="3" t="s">
        <v>36</v>
      </c>
      <c r="S693" s="3" t="s">
        <v>36</v>
      </c>
      <c r="T693" s="3" t="s">
        <v>4452</v>
      </c>
      <c r="U693" s="3" t="s">
        <v>74</v>
      </c>
      <c r="V693" s="3" t="s">
        <v>75</v>
      </c>
      <c r="W693" s="3" t="s">
        <v>4453</v>
      </c>
      <c r="X693" s="10" t="s">
        <v>4454</v>
      </c>
      <c r="Y693" s="6" t="s">
        <v>42</v>
      </c>
      <c r="Z693" s="4">
        <v>27.32</v>
      </c>
      <c r="AA693" s="4" t="s">
        <v>36</v>
      </c>
      <c r="AB693" s="3" t="s">
        <v>43</v>
      </c>
      <c r="AC693" s="3" t="s">
        <v>4455</v>
      </c>
      <c r="AD693" s="9">
        <v>45320</v>
      </c>
      <c r="AE693" s="3" t="s">
        <v>1243</v>
      </c>
      <c r="AF693" s="3" t="s">
        <v>2703</v>
      </c>
      <c r="AG693" s="3" t="s">
        <v>81</v>
      </c>
      <c r="AH693" s="11">
        <f>HYPERLINK("https://my.pitchbook.com?c=251245-27T","View Company Online")</f>
      </c>
    </row>
    <row r="694">
      <c r="A694" s="12" t="s">
        <v>4456</v>
      </c>
      <c r="B694" s="12" t="s">
        <v>774</v>
      </c>
      <c r="C694" s="19">
        <v>1</v>
      </c>
      <c r="D694" s="19" t="s">
        <v>36</v>
      </c>
      <c r="E694" s="19">
        <v>1</v>
      </c>
      <c r="F694" s="19">
        <v>1</v>
      </c>
      <c r="G694" s="15" t="s">
        <v>36</v>
      </c>
      <c r="H694" s="14">
        <v>189.21</v>
      </c>
      <c r="I694" s="18">
        <v>10.5</v>
      </c>
      <c r="J694" s="12" t="s">
        <v>521</v>
      </c>
      <c r="K694" s="13">
        <v>45108</v>
      </c>
      <c r="L694" s="15" t="s">
        <v>36</v>
      </c>
      <c r="M694" s="12" t="s">
        <v>36</v>
      </c>
      <c r="N694" s="12" t="s">
        <v>36</v>
      </c>
      <c r="O694" s="17" t="s">
        <v>36</v>
      </c>
      <c r="P694" s="12" t="s">
        <v>36</v>
      </c>
      <c r="Q694" s="12" t="s">
        <v>36</v>
      </c>
      <c r="R694" s="12" t="s">
        <v>36</v>
      </c>
      <c r="S694" s="12" t="s">
        <v>36</v>
      </c>
      <c r="T694" s="12" t="s">
        <v>37</v>
      </c>
      <c r="U694" s="12" t="s">
        <v>38</v>
      </c>
      <c r="V694" s="12" t="s">
        <v>39</v>
      </c>
      <c r="W694" s="12" t="s">
        <v>775</v>
      </c>
      <c r="X694" s="16" t="s">
        <v>4457</v>
      </c>
      <c r="Y694" s="15" t="s">
        <v>55</v>
      </c>
      <c r="Z694" s="14">
        <v>4.82</v>
      </c>
      <c r="AA694" s="14">
        <v>45.95</v>
      </c>
      <c r="AB694" s="12" t="s">
        <v>43</v>
      </c>
      <c r="AC694" s="12" t="s">
        <v>777</v>
      </c>
      <c r="AD694" s="13">
        <v>45320</v>
      </c>
      <c r="AE694" s="12" t="s">
        <v>45</v>
      </c>
      <c r="AF694" s="12" t="s">
        <v>778</v>
      </c>
      <c r="AG694" s="12" t="s">
        <v>81</v>
      </c>
      <c r="AH694" s="1">
        <f>HYPERLINK("https://my.pitchbook.com?c=232768-63T","View Company Online")</f>
      </c>
    </row>
    <row r="695">
      <c r="A695" s="3" t="s">
        <v>4458</v>
      </c>
      <c r="B695" s="3" t="s">
        <v>4459</v>
      </c>
      <c r="C695" s="5" t="s">
        <v>36</v>
      </c>
      <c r="D695" s="5" t="s">
        <v>36</v>
      </c>
      <c r="E695" s="5" t="s">
        <v>36</v>
      </c>
      <c r="F695" s="5" t="s">
        <v>36</v>
      </c>
      <c r="G695" s="6" t="s">
        <v>36</v>
      </c>
      <c r="H695" s="4" t="s">
        <v>36</v>
      </c>
      <c r="I695" s="7" t="s">
        <v>36</v>
      </c>
      <c r="J695" s="3" t="s">
        <v>36</v>
      </c>
      <c r="K695" s="9" t="s">
        <v>36</v>
      </c>
      <c r="L695" s="6" t="s">
        <v>36</v>
      </c>
      <c r="M695" s="3" t="s">
        <v>36</v>
      </c>
      <c r="N695" s="3" t="s">
        <v>36</v>
      </c>
      <c r="O695" s="8" t="s">
        <v>36</v>
      </c>
      <c r="P695" s="3" t="s">
        <v>36</v>
      </c>
      <c r="Q695" s="3" t="s">
        <v>36</v>
      </c>
      <c r="R695" s="3" t="s">
        <v>36</v>
      </c>
      <c r="S695" s="3" t="s">
        <v>36</v>
      </c>
      <c r="T695" s="3" t="s">
        <v>2558</v>
      </c>
      <c r="U695" s="3" t="s">
        <v>38</v>
      </c>
      <c r="V695" s="3" t="s">
        <v>39</v>
      </c>
      <c r="W695" s="3" t="s">
        <v>4460</v>
      </c>
      <c r="X695" s="10" t="s">
        <v>4461</v>
      </c>
      <c r="Y695" s="6" t="s">
        <v>108</v>
      </c>
      <c r="Z695" s="4">
        <v>4.92</v>
      </c>
      <c r="AA695" s="4" t="s">
        <v>36</v>
      </c>
      <c r="AB695" s="3" t="s">
        <v>43</v>
      </c>
      <c r="AC695" s="3" t="s">
        <v>4462</v>
      </c>
      <c r="AD695" s="9">
        <v>45320</v>
      </c>
      <c r="AE695" s="3" t="s">
        <v>110</v>
      </c>
      <c r="AF695" s="3" t="s">
        <v>4463</v>
      </c>
      <c r="AG695" s="3" t="s">
        <v>652</v>
      </c>
      <c r="AH695" s="11">
        <f>HYPERLINK("https://my.pitchbook.com?c=250697-35T","View Company Online")</f>
      </c>
    </row>
    <row r="696">
      <c r="A696" s="12" t="s">
        <v>4464</v>
      </c>
      <c r="B696" s="12" t="s">
        <v>4465</v>
      </c>
      <c r="C696" s="19" t="s">
        <v>36</v>
      </c>
      <c r="D696" s="19" t="s">
        <v>36</v>
      </c>
      <c r="E696" s="19" t="s">
        <v>36</v>
      </c>
      <c r="F696" s="19" t="s">
        <v>36</v>
      </c>
      <c r="G696" s="15" t="s">
        <v>2497</v>
      </c>
      <c r="H696" s="14">
        <v>2.44</v>
      </c>
      <c r="I696" s="18">
        <v>45.44</v>
      </c>
      <c r="J696" s="12" t="s">
        <v>521</v>
      </c>
      <c r="K696" s="13" t="s">
        <v>36</v>
      </c>
      <c r="L696" s="15" t="s">
        <v>36</v>
      </c>
      <c r="M696" s="12" t="s">
        <v>36</v>
      </c>
      <c r="N696" s="12" t="s">
        <v>36</v>
      </c>
      <c r="O696" s="17" t="s">
        <v>36</v>
      </c>
      <c r="P696" s="12" t="s">
        <v>36</v>
      </c>
      <c r="Q696" s="12" t="s">
        <v>36</v>
      </c>
      <c r="R696" s="12" t="s">
        <v>36</v>
      </c>
      <c r="S696" s="12" t="s">
        <v>36</v>
      </c>
      <c r="T696" s="12" t="s">
        <v>4466</v>
      </c>
      <c r="U696" s="12" t="s">
        <v>1357</v>
      </c>
      <c r="V696" s="12" t="s">
        <v>52</v>
      </c>
      <c r="W696" s="12" t="s">
        <v>4467</v>
      </c>
      <c r="X696" s="16" t="s">
        <v>4468</v>
      </c>
      <c r="Y696" s="15" t="s">
        <v>55</v>
      </c>
      <c r="Z696" s="14">
        <v>3.28</v>
      </c>
      <c r="AA696" s="14">
        <v>7.21</v>
      </c>
      <c r="AB696" s="12" t="s">
        <v>56</v>
      </c>
      <c r="AC696" s="12" t="s">
        <v>4469</v>
      </c>
      <c r="AD696" s="13">
        <v>45320</v>
      </c>
      <c r="AE696" s="12" t="s">
        <v>2377</v>
      </c>
      <c r="AF696" s="12" t="s">
        <v>4470</v>
      </c>
      <c r="AG696" s="12" t="s">
        <v>1369</v>
      </c>
      <c r="AH696" s="1">
        <f>HYPERLINK("https://my.pitchbook.com?c=263304-55T","View Company Online")</f>
      </c>
    </row>
    <row r="697">
      <c r="A697" s="3" t="s">
        <v>4471</v>
      </c>
      <c r="B697" s="3" t="s">
        <v>4472</v>
      </c>
      <c r="C697" s="5">
        <v>1</v>
      </c>
      <c r="D697" s="5">
        <v>22</v>
      </c>
      <c r="E697" s="5">
        <v>8</v>
      </c>
      <c r="F697" s="5">
        <v>26</v>
      </c>
      <c r="G697" s="6" t="s">
        <v>36</v>
      </c>
      <c r="H697" s="4" t="s">
        <v>36</v>
      </c>
      <c r="I697" s="7" t="s">
        <v>36</v>
      </c>
      <c r="J697" s="3" t="s">
        <v>36</v>
      </c>
      <c r="K697" s="9" t="s">
        <v>36</v>
      </c>
      <c r="L697" s="6" t="s">
        <v>36</v>
      </c>
      <c r="M697" s="3" t="s">
        <v>36</v>
      </c>
      <c r="N697" s="3" t="s">
        <v>36</v>
      </c>
      <c r="O697" s="8" t="s">
        <v>36</v>
      </c>
      <c r="P697" s="3" t="s">
        <v>36</v>
      </c>
      <c r="Q697" s="3" t="s">
        <v>36</v>
      </c>
      <c r="R697" s="3" t="s">
        <v>36</v>
      </c>
      <c r="S697" s="3" t="s">
        <v>36</v>
      </c>
      <c r="T697" s="3" t="s">
        <v>4473</v>
      </c>
      <c r="U697" s="3" t="s">
        <v>318</v>
      </c>
      <c r="V697" s="3" t="s">
        <v>39</v>
      </c>
      <c r="W697" s="3" t="s">
        <v>4474</v>
      </c>
      <c r="X697" s="10" t="s">
        <v>4475</v>
      </c>
      <c r="Y697" s="6" t="s">
        <v>166</v>
      </c>
      <c r="Z697" s="4">
        <v>5.46</v>
      </c>
      <c r="AA697" s="4" t="s">
        <v>36</v>
      </c>
      <c r="AB697" s="3" t="s">
        <v>56</v>
      </c>
      <c r="AC697" s="3" t="s">
        <v>4476</v>
      </c>
      <c r="AD697" s="9">
        <v>45320</v>
      </c>
      <c r="AE697" s="3" t="s">
        <v>417</v>
      </c>
      <c r="AF697" s="3" t="s">
        <v>4477</v>
      </c>
      <c r="AG697" s="3" t="s">
        <v>765</v>
      </c>
      <c r="AH697" s="11">
        <f>HYPERLINK("https://my.pitchbook.com?c=250418-44T","View Company Online")</f>
      </c>
    </row>
    <row r="698">
      <c r="A698" s="12" t="s">
        <v>4478</v>
      </c>
      <c r="B698" s="12" t="s">
        <v>4479</v>
      </c>
      <c r="C698" s="19" t="s">
        <v>36</v>
      </c>
      <c r="D698" s="19" t="s">
        <v>36</v>
      </c>
      <c r="E698" s="19" t="s">
        <v>36</v>
      </c>
      <c r="F698" s="19" t="s">
        <v>36</v>
      </c>
      <c r="G698" s="15" t="s">
        <v>36</v>
      </c>
      <c r="H698" s="14" t="s">
        <v>36</v>
      </c>
      <c r="I698" s="18">
        <v>23.45</v>
      </c>
      <c r="J698" s="12" t="s">
        <v>327</v>
      </c>
      <c r="K698" s="13" t="s">
        <v>36</v>
      </c>
      <c r="L698" s="15" t="s">
        <v>36</v>
      </c>
      <c r="M698" s="12" t="s">
        <v>36</v>
      </c>
      <c r="N698" s="12" t="s">
        <v>36</v>
      </c>
      <c r="O698" s="17" t="s">
        <v>36</v>
      </c>
      <c r="P698" s="12" t="s">
        <v>36</v>
      </c>
      <c r="Q698" s="12" t="s">
        <v>36</v>
      </c>
      <c r="R698" s="12" t="s">
        <v>36</v>
      </c>
      <c r="S698" s="12" t="s">
        <v>36</v>
      </c>
      <c r="T698" s="12" t="s">
        <v>172</v>
      </c>
      <c r="U698" s="12" t="s">
        <v>38</v>
      </c>
      <c r="V698" s="12" t="s">
        <v>39</v>
      </c>
      <c r="W698" s="12" t="s">
        <v>4480</v>
      </c>
      <c r="X698" s="16" t="s">
        <v>4481</v>
      </c>
      <c r="Y698" s="15" t="s">
        <v>42</v>
      </c>
      <c r="Z698" s="14">
        <v>0.55</v>
      </c>
      <c r="AA698" s="14">
        <v>2.33</v>
      </c>
      <c r="AB698" s="12" t="s">
        <v>43</v>
      </c>
      <c r="AC698" s="12" t="s">
        <v>4482</v>
      </c>
      <c r="AD698" s="13">
        <v>45317</v>
      </c>
      <c r="AE698" s="12" t="s">
        <v>110</v>
      </c>
      <c r="AF698" s="12" t="s">
        <v>2238</v>
      </c>
      <c r="AG698" s="12" t="s">
        <v>186</v>
      </c>
      <c r="AH698" s="1">
        <f>HYPERLINK("https://my.pitchbook.com?c=250350-22T","View Company Online")</f>
      </c>
    </row>
    <row r="699">
      <c r="A699" s="3" t="s">
        <v>4483</v>
      </c>
      <c r="B699" s="3" t="s">
        <v>4484</v>
      </c>
      <c r="C699" s="5" t="s">
        <v>36</v>
      </c>
      <c r="D699" s="5" t="s">
        <v>36</v>
      </c>
      <c r="E699" s="5" t="s">
        <v>36</v>
      </c>
      <c r="F699" s="5" t="s">
        <v>36</v>
      </c>
      <c r="G699" s="6" t="s">
        <v>36</v>
      </c>
      <c r="H699" s="4">
        <v>151.82</v>
      </c>
      <c r="I699" s="7">
        <v>13.65</v>
      </c>
      <c r="J699" s="3" t="s">
        <v>521</v>
      </c>
      <c r="K699" s="9" t="s">
        <v>36</v>
      </c>
      <c r="L699" s="6" t="s">
        <v>36</v>
      </c>
      <c r="M699" s="3" t="s">
        <v>36</v>
      </c>
      <c r="N699" s="3" t="s">
        <v>36</v>
      </c>
      <c r="O699" s="8" t="s">
        <v>36</v>
      </c>
      <c r="P699" s="3" t="s">
        <v>36</v>
      </c>
      <c r="Q699" s="3" t="s">
        <v>36</v>
      </c>
      <c r="R699" s="3" t="s">
        <v>36</v>
      </c>
      <c r="S699" s="3" t="s">
        <v>36</v>
      </c>
      <c r="T699" s="3" t="s">
        <v>4485</v>
      </c>
      <c r="U699" s="3" t="s">
        <v>219</v>
      </c>
      <c r="V699" s="3" t="s">
        <v>75</v>
      </c>
      <c r="W699" s="3" t="s">
        <v>4486</v>
      </c>
      <c r="X699" s="10" t="s">
        <v>4487</v>
      </c>
      <c r="Y699" s="6" t="s">
        <v>108</v>
      </c>
      <c r="Z699" s="4">
        <v>0.69</v>
      </c>
      <c r="AA699" s="4">
        <v>5.09</v>
      </c>
      <c r="AB699" s="3" t="s">
        <v>56</v>
      </c>
      <c r="AC699" s="3" t="s">
        <v>4488</v>
      </c>
      <c r="AD699" s="9">
        <v>45317</v>
      </c>
      <c r="AE699" s="3" t="s">
        <v>1912</v>
      </c>
      <c r="AF699" s="3" t="s">
        <v>372</v>
      </c>
      <c r="AG699" s="3" t="s">
        <v>932</v>
      </c>
      <c r="AH699" s="11">
        <f>HYPERLINK("https://my.pitchbook.com?c=250470-01T","View Company Online")</f>
      </c>
    </row>
    <row r="700">
      <c r="A700" s="12" t="s">
        <v>4489</v>
      </c>
      <c r="B700" s="12" t="s">
        <v>4490</v>
      </c>
      <c r="C700" s="19" t="s">
        <v>36</v>
      </c>
      <c r="D700" s="19" t="s">
        <v>36</v>
      </c>
      <c r="E700" s="19" t="s">
        <v>36</v>
      </c>
      <c r="F700" s="19" t="s">
        <v>36</v>
      </c>
      <c r="G700" s="15" t="s">
        <v>36</v>
      </c>
      <c r="H700" s="14" t="s">
        <v>36</v>
      </c>
      <c r="I700" s="18" t="s">
        <v>36</v>
      </c>
      <c r="J700" s="12" t="s">
        <v>36</v>
      </c>
      <c r="K700" s="13" t="s">
        <v>36</v>
      </c>
      <c r="L700" s="15" t="s">
        <v>36</v>
      </c>
      <c r="M700" s="12" t="s">
        <v>36</v>
      </c>
      <c r="N700" s="12" t="s">
        <v>36</v>
      </c>
      <c r="O700" s="17" t="s">
        <v>36</v>
      </c>
      <c r="P700" s="12" t="s">
        <v>36</v>
      </c>
      <c r="Q700" s="12" t="s">
        <v>36</v>
      </c>
      <c r="R700" s="12" t="s">
        <v>36</v>
      </c>
      <c r="S700" s="12" t="s">
        <v>2314</v>
      </c>
      <c r="T700" s="12" t="s">
        <v>4491</v>
      </c>
      <c r="U700" s="12" t="s">
        <v>38</v>
      </c>
      <c r="V700" s="12" t="s">
        <v>39</v>
      </c>
      <c r="W700" s="12" t="s">
        <v>4492</v>
      </c>
      <c r="X700" s="16" t="s">
        <v>4493</v>
      </c>
      <c r="Y700" s="15" t="s">
        <v>42</v>
      </c>
      <c r="Z700" s="14" t="s">
        <v>36</v>
      </c>
      <c r="AA700" s="14" t="s">
        <v>36</v>
      </c>
      <c r="AB700" s="12" t="s">
        <v>43</v>
      </c>
      <c r="AC700" s="12" t="s">
        <v>4494</v>
      </c>
      <c r="AD700" s="13">
        <v>45317</v>
      </c>
      <c r="AE700" s="12" t="s">
        <v>134</v>
      </c>
      <c r="AF700" s="12" t="s">
        <v>4495</v>
      </c>
      <c r="AG700" s="12" t="s">
        <v>81</v>
      </c>
      <c r="AH700" s="1">
        <f>HYPERLINK("https://my.pitchbook.com?c=265467-97T","View Company Online")</f>
      </c>
    </row>
    <row r="701">
      <c r="A701" s="3" t="s">
        <v>4496</v>
      </c>
      <c r="B701" s="3" t="s">
        <v>4497</v>
      </c>
      <c r="C701" s="5" t="s">
        <v>36</v>
      </c>
      <c r="D701" s="5" t="s">
        <v>36</v>
      </c>
      <c r="E701" s="5" t="s">
        <v>36</v>
      </c>
      <c r="F701" s="5" t="s">
        <v>36</v>
      </c>
      <c r="G701" s="6" t="s">
        <v>36</v>
      </c>
      <c r="H701" s="4">
        <v>10</v>
      </c>
      <c r="I701" s="7">
        <v>14</v>
      </c>
      <c r="J701" s="3" t="s">
        <v>521</v>
      </c>
      <c r="K701" s="9" t="s">
        <v>36</v>
      </c>
      <c r="L701" s="6" t="s">
        <v>36</v>
      </c>
      <c r="M701" s="3" t="s">
        <v>36</v>
      </c>
      <c r="N701" s="3" t="s">
        <v>36</v>
      </c>
      <c r="O701" s="8" t="s">
        <v>36</v>
      </c>
      <c r="P701" s="3" t="s">
        <v>36</v>
      </c>
      <c r="Q701" s="3" t="s">
        <v>36</v>
      </c>
      <c r="R701" s="3" t="s">
        <v>36</v>
      </c>
      <c r="S701" s="3" t="s">
        <v>36</v>
      </c>
      <c r="T701" s="3" t="s">
        <v>1162</v>
      </c>
      <c r="U701" s="3" t="s">
        <v>423</v>
      </c>
      <c r="V701" s="3" t="s">
        <v>64</v>
      </c>
      <c r="W701" s="3" t="s">
        <v>4498</v>
      </c>
      <c r="X701" s="10" t="s">
        <v>4499</v>
      </c>
      <c r="Y701" s="6" t="s">
        <v>42</v>
      </c>
      <c r="Z701" s="4">
        <v>0.14</v>
      </c>
      <c r="AA701" s="4">
        <v>1</v>
      </c>
      <c r="AB701" s="3" t="s">
        <v>56</v>
      </c>
      <c r="AC701" s="3" t="s">
        <v>4500</v>
      </c>
      <c r="AD701" s="9">
        <v>45316</v>
      </c>
      <c r="AE701" s="3" t="s">
        <v>562</v>
      </c>
      <c r="AF701" s="3" t="s">
        <v>938</v>
      </c>
      <c r="AG701" s="3" t="s">
        <v>4501</v>
      </c>
      <c r="AH701" s="11">
        <f>HYPERLINK("https://my.pitchbook.com?c=267042-61T","View Company Online")</f>
      </c>
    </row>
    <row r="702">
      <c r="A702" s="12" t="s">
        <v>4502</v>
      </c>
      <c r="B702" s="12" t="s">
        <v>4503</v>
      </c>
      <c r="C702" s="19" t="s">
        <v>36</v>
      </c>
      <c r="D702" s="19" t="s">
        <v>36</v>
      </c>
      <c r="E702" s="19" t="s">
        <v>36</v>
      </c>
      <c r="F702" s="19" t="s">
        <v>36</v>
      </c>
      <c r="G702" s="15" t="s">
        <v>36</v>
      </c>
      <c r="H702" s="14" t="s">
        <v>36</v>
      </c>
      <c r="I702" s="18">
        <v>46.03</v>
      </c>
      <c r="J702" s="12" t="s">
        <v>327</v>
      </c>
      <c r="K702" s="13" t="s">
        <v>36</v>
      </c>
      <c r="L702" s="15" t="s">
        <v>36</v>
      </c>
      <c r="M702" s="12" t="s">
        <v>36</v>
      </c>
      <c r="N702" s="12" t="s">
        <v>36</v>
      </c>
      <c r="O702" s="17" t="s">
        <v>36</v>
      </c>
      <c r="P702" s="12" t="s">
        <v>36</v>
      </c>
      <c r="Q702" s="12" t="s">
        <v>36</v>
      </c>
      <c r="R702" s="12" t="s">
        <v>36</v>
      </c>
      <c r="S702" s="12" t="s">
        <v>36</v>
      </c>
      <c r="T702" s="12" t="s">
        <v>4504</v>
      </c>
      <c r="U702" s="12" t="s">
        <v>219</v>
      </c>
      <c r="V702" s="12" t="s">
        <v>75</v>
      </c>
      <c r="W702" s="12" t="s">
        <v>4505</v>
      </c>
      <c r="X702" s="16" t="s">
        <v>4499</v>
      </c>
      <c r="Y702" s="15" t="s">
        <v>42</v>
      </c>
      <c r="Z702" s="14">
        <v>1.64</v>
      </c>
      <c r="AA702" s="14">
        <v>3.57</v>
      </c>
      <c r="AB702" s="12" t="s">
        <v>43</v>
      </c>
      <c r="AC702" s="12" t="s">
        <v>4506</v>
      </c>
      <c r="AD702" s="13">
        <v>45315</v>
      </c>
      <c r="AE702" s="12" t="s">
        <v>1032</v>
      </c>
      <c r="AF702" s="12" t="s">
        <v>36</v>
      </c>
      <c r="AG702" s="12" t="s">
        <v>3180</v>
      </c>
      <c r="AH702" s="1">
        <f>HYPERLINK("https://my.pitchbook.com?c=250184-17T","View Company Online")</f>
      </c>
    </row>
    <row r="703">
      <c r="A703" s="3" t="s">
        <v>4507</v>
      </c>
      <c r="B703" s="3" t="s">
        <v>4508</v>
      </c>
      <c r="C703" s="5" t="s">
        <v>36</v>
      </c>
      <c r="D703" s="5" t="s">
        <v>36</v>
      </c>
      <c r="E703" s="5" t="s">
        <v>36</v>
      </c>
      <c r="F703" s="5" t="s">
        <v>36</v>
      </c>
      <c r="G703" s="6" t="s">
        <v>36</v>
      </c>
      <c r="H703" s="4">
        <v>22.17</v>
      </c>
      <c r="I703" s="7">
        <v>23.8</v>
      </c>
      <c r="J703" s="3" t="s">
        <v>521</v>
      </c>
      <c r="K703" s="9" t="s">
        <v>36</v>
      </c>
      <c r="L703" s="6" t="s">
        <v>36</v>
      </c>
      <c r="M703" s="3" t="s">
        <v>36</v>
      </c>
      <c r="N703" s="3" t="s">
        <v>36</v>
      </c>
      <c r="O703" s="8" t="s">
        <v>36</v>
      </c>
      <c r="P703" s="3" t="s">
        <v>36</v>
      </c>
      <c r="Q703" s="3" t="s">
        <v>36</v>
      </c>
      <c r="R703" s="3" t="s">
        <v>36</v>
      </c>
      <c r="S703" s="3" t="s">
        <v>565</v>
      </c>
      <c r="T703" s="3" t="s">
        <v>4509</v>
      </c>
      <c r="U703" s="3" t="s">
        <v>1091</v>
      </c>
      <c r="V703" s="3" t="s">
        <v>378</v>
      </c>
      <c r="W703" s="3" t="s">
        <v>4510</v>
      </c>
      <c r="X703" s="10" t="s">
        <v>4511</v>
      </c>
      <c r="Y703" s="6" t="s">
        <v>108</v>
      </c>
      <c r="Z703" s="4">
        <v>1.64</v>
      </c>
      <c r="AA703" s="4">
        <v>5.75</v>
      </c>
      <c r="AB703" s="3" t="s">
        <v>56</v>
      </c>
      <c r="AC703" s="3" t="s">
        <v>4512</v>
      </c>
      <c r="AD703" s="9">
        <v>45315</v>
      </c>
      <c r="AE703" s="3" t="s">
        <v>1095</v>
      </c>
      <c r="AF703" s="3" t="s">
        <v>4513</v>
      </c>
      <c r="AG703" s="3" t="s">
        <v>4514</v>
      </c>
      <c r="AH703" s="11">
        <f>HYPERLINK("https://my.pitchbook.com?c=251270-92T","View Company Online")</f>
      </c>
    </row>
    <row r="704">
      <c r="A704" s="12" t="s">
        <v>4515</v>
      </c>
      <c r="B704" s="12" t="s">
        <v>4516</v>
      </c>
      <c r="C704" s="19" t="s">
        <v>36</v>
      </c>
      <c r="D704" s="19" t="s">
        <v>36</v>
      </c>
      <c r="E704" s="19" t="s">
        <v>36</v>
      </c>
      <c r="F704" s="19" t="s">
        <v>36</v>
      </c>
      <c r="G704" s="15" t="s">
        <v>36</v>
      </c>
      <c r="H704" s="14" t="s">
        <v>36</v>
      </c>
      <c r="I704" s="18">
        <v>18.86</v>
      </c>
      <c r="J704" s="12" t="s">
        <v>327</v>
      </c>
      <c r="K704" s="13" t="s">
        <v>36</v>
      </c>
      <c r="L704" s="15" t="s">
        <v>36</v>
      </c>
      <c r="M704" s="12" t="s">
        <v>36</v>
      </c>
      <c r="N704" s="12" t="s">
        <v>36</v>
      </c>
      <c r="O704" s="17" t="s">
        <v>36</v>
      </c>
      <c r="P704" s="12" t="s">
        <v>36</v>
      </c>
      <c r="Q704" s="12" t="s">
        <v>36</v>
      </c>
      <c r="R704" s="12" t="s">
        <v>36</v>
      </c>
      <c r="S704" s="12" t="s">
        <v>36</v>
      </c>
      <c r="T704" s="12" t="s">
        <v>630</v>
      </c>
      <c r="U704" s="12" t="s">
        <v>38</v>
      </c>
      <c r="V704" s="12" t="s">
        <v>39</v>
      </c>
      <c r="W704" s="12" t="s">
        <v>4517</v>
      </c>
      <c r="X704" s="16" t="s">
        <v>4518</v>
      </c>
      <c r="Y704" s="15" t="s">
        <v>42</v>
      </c>
      <c r="Z704" s="14">
        <v>1.64</v>
      </c>
      <c r="AA704" s="14">
        <v>8.72</v>
      </c>
      <c r="AB704" s="12" t="s">
        <v>43</v>
      </c>
      <c r="AC704" s="12" t="s">
        <v>4519</v>
      </c>
      <c r="AD704" s="13">
        <v>45315</v>
      </c>
      <c r="AE704" s="12" t="s">
        <v>110</v>
      </c>
      <c r="AF704" s="12" t="s">
        <v>634</v>
      </c>
      <c r="AG704" s="12" t="s">
        <v>4520</v>
      </c>
      <c r="AH704" s="1">
        <f>HYPERLINK("https://my.pitchbook.com?c=250122-07T","View Company Online")</f>
      </c>
    </row>
    <row r="705">
      <c r="A705" s="3" t="s">
        <v>4521</v>
      </c>
      <c r="B705" s="3" t="s">
        <v>4522</v>
      </c>
      <c r="C705" s="5">
        <v>6</v>
      </c>
      <c r="D705" s="5" t="s">
        <v>36</v>
      </c>
      <c r="E705" s="5">
        <v>2</v>
      </c>
      <c r="F705" s="5">
        <v>6</v>
      </c>
      <c r="G705" s="6" t="s">
        <v>36</v>
      </c>
      <c r="H705" s="4" t="s">
        <v>36</v>
      </c>
      <c r="I705" s="7">
        <v>37.41</v>
      </c>
      <c r="J705" s="3" t="s">
        <v>327</v>
      </c>
      <c r="K705" s="9">
        <v>45237</v>
      </c>
      <c r="L705" s="6" t="s">
        <v>122</v>
      </c>
      <c r="M705" s="3" t="s">
        <v>36</v>
      </c>
      <c r="N705" s="3" t="s">
        <v>122</v>
      </c>
      <c r="O705" s="8" t="s">
        <v>36</v>
      </c>
      <c r="P705" s="3" t="s">
        <v>36</v>
      </c>
      <c r="Q705" s="3" t="s">
        <v>36</v>
      </c>
      <c r="R705" s="3" t="s">
        <v>36</v>
      </c>
      <c r="S705" s="3" t="s">
        <v>4523</v>
      </c>
      <c r="T705" s="3" t="s">
        <v>4237</v>
      </c>
      <c r="U705" s="3" t="s">
        <v>219</v>
      </c>
      <c r="V705" s="3" t="s">
        <v>75</v>
      </c>
      <c r="W705" s="3" t="s">
        <v>4524</v>
      </c>
      <c r="X705" s="10" t="s">
        <v>4525</v>
      </c>
      <c r="Y705" s="6" t="s">
        <v>55</v>
      </c>
      <c r="Z705" s="4">
        <v>10.97</v>
      </c>
      <c r="AA705" s="4">
        <v>29.31</v>
      </c>
      <c r="AB705" s="3" t="s">
        <v>56</v>
      </c>
      <c r="AC705" s="3" t="s">
        <v>4526</v>
      </c>
      <c r="AD705" s="9">
        <v>45314</v>
      </c>
      <c r="AE705" s="3" t="s">
        <v>243</v>
      </c>
      <c r="AF705" s="3" t="s">
        <v>3114</v>
      </c>
      <c r="AG705" s="3" t="s">
        <v>144</v>
      </c>
      <c r="AH705" s="11">
        <f>HYPERLINK("https://my.pitchbook.com?c=250000-75T","View Company Online")</f>
      </c>
    </row>
    <row r="706">
      <c r="A706" s="12" t="s">
        <v>4527</v>
      </c>
      <c r="B706" s="12" t="s">
        <v>4528</v>
      </c>
      <c r="C706" s="19" t="s">
        <v>36</v>
      </c>
      <c r="D706" s="19" t="s">
        <v>36</v>
      </c>
      <c r="E706" s="19" t="s">
        <v>36</v>
      </c>
      <c r="F706" s="19" t="s">
        <v>36</v>
      </c>
      <c r="G706" s="15" t="s">
        <v>326</v>
      </c>
      <c r="H706" s="14">
        <v>1038.57</v>
      </c>
      <c r="I706" s="18">
        <v>32.57</v>
      </c>
      <c r="J706" s="12" t="s">
        <v>521</v>
      </c>
      <c r="K706" s="13" t="s">
        <v>36</v>
      </c>
      <c r="L706" s="15" t="s">
        <v>36</v>
      </c>
      <c r="M706" s="12" t="s">
        <v>36</v>
      </c>
      <c r="N706" s="12" t="s">
        <v>36</v>
      </c>
      <c r="O706" s="17" t="s">
        <v>36</v>
      </c>
      <c r="P706" s="12" t="s">
        <v>36</v>
      </c>
      <c r="Q706" s="12" t="s">
        <v>36</v>
      </c>
      <c r="R706" s="12" t="s">
        <v>36</v>
      </c>
      <c r="S706" s="12" t="s">
        <v>36</v>
      </c>
      <c r="T706" s="12" t="s">
        <v>4529</v>
      </c>
      <c r="U706" s="12" t="s">
        <v>38</v>
      </c>
      <c r="V706" s="12" t="s">
        <v>39</v>
      </c>
      <c r="W706" s="12" t="s">
        <v>4530</v>
      </c>
      <c r="X706" s="16" t="s">
        <v>4531</v>
      </c>
      <c r="Y706" s="15" t="s">
        <v>42</v>
      </c>
      <c r="Z706" s="14">
        <v>8.77</v>
      </c>
      <c r="AA706" s="14">
        <v>20.2</v>
      </c>
      <c r="AB706" s="12" t="s">
        <v>56</v>
      </c>
      <c r="AC706" s="12" t="s">
        <v>4532</v>
      </c>
      <c r="AD706" s="13">
        <v>45314</v>
      </c>
      <c r="AE706" s="12" t="s">
        <v>1422</v>
      </c>
      <c r="AF706" s="12" t="s">
        <v>4533</v>
      </c>
      <c r="AG706" s="12" t="s">
        <v>81</v>
      </c>
      <c r="AH706" s="1">
        <f>HYPERLINK("https://my.pitchbook.com?c=250095-97T","View Company Online")</f>
      </c>
    </row>
    <row r="707">
      <c r="A707" s="3" t="s">
        <v>4534</v>
      </c>
      <c r="B707" s="3" t="s">
        <v>4535</v>
      </c>
      <c r="C707" s="5" t="s">
        <v>36</v>
      </c>
      <c r="D707" s="5">
        <v>1</v>
      </c>
      <c r="E707" s="5">
        <v>1</v>
      </c>
      <c r="F707" s="5">
        <v>2</v>
      </c>
      <c r="G707" s="6" t="s">
        <v>326</v>
      </c>
      <c r="H707" s="4">
        <v>989.75</v>
      </c>
      <c r="I707" s="7">
        <v>36.29</v>
      </c>
      <c r="J707" s="3" t="s">
        <v>521</v>
      </c>
      <c r="K707" s="9" t="s">
        <v>36</v>
      </c>
      <c r="L707" s="6" t="s">
        <v>36</v>
      </c>
      <c r="M707" s="3" t="s">
        <v>36</v>
      </c>
      <c r="N707" s="3" t="s">
        <v>36</v>
      </c>
      <c r="O707" s="8" t="s">
        <v>36</v>
      </c>
      <c r="P707" s="3" t="s">
        <v>36</v>
      </c>
      <c r="Q707" s="3" t="s">
        <v>36</v>
      </c>
      <c r="R707" s="3" t="s">
        <v>36</v>
      </c>
      <c r="S707" s="3" t="s">
        <v>36</v>
      </c>
      <c r="T707" s="3" t="s">
        <v>522</v>
      </c>
      <c r="U707" s="3" t="s">
        <v>38</v>
      </c>
      <c r="V707" s="3" t="s">
        <v>39</v>
      </c>
      <c r="W707" s="3" t="s">
        <v>4536</v>
      </c>
      <c r="X707" s="10" t="s">
        <v>4537</v>
      </c>
      <c r="Y707" s="6" t="s">
        <v>108</v>
      </c>
      <c r="Z707" s="4">
        <v>1.68</v>
      </c>
      <c r="AA707" s="4">
        <v>4.62</v>
      </c>
      <c r="AB707" s="3" t="s">
        <v>56</v>
      </c>
      <c r="AC707" s="3" t="s">
        <v>4538</v>
      </c>
      <c r="AD707" s="9">
        <v>45313</v>
      </c>
      <c r="AE707" s="3" t="s">
        <v>110</v>
      </c>
      <c r="AF707" s="3" t="s">
        <v>4539</v>
      </c>
      <c r="AG707" s="3" t="s">
        <v>81</v>
      </c>
      <c r="AH707" s="11">
        <f>HYPERLINK("https://my.pitchbook.com?c=171218-35T","View Company Online")</f>
      </c>
    </row>
    <row r="708">
      <c r="A708" s="12" t="s">
        <v>4540</v>
      </c>
      <c r="B708" s="12" t="s">
        <v>4541</v>
      </c>
      <c r="C708" s="19" t="s">
        <v>36</v>
      </c>
      <c r="D708" s="19" t="s">
        <v>36</v>
      </c>
      <c r="E708" s="19" t="s">
        <v>36</v>
      </c>
      <c r="F708" s="19" t="s">
        <v>36</v>
      </c>
      <c r="G708" s="15" t="s">
        <v>683</v>
      </c>
      <c r="H708" s="14">
        <v>91.39</v>
      </c>
      <c r="I708" s="18">
        <v>14.31</v>
      </c>
      <c r="J708" s="12" t="s">
        <v>521</v>
      </c>
      <c r="K708" s="13" t="s">
        <v>36</v>
      </c>
      <c r="L708" s="15" t="s">
        <v>36</v>
      </c>
      <c r="M708" s="12" t="s">
        <v>36</v>
      </c>
      <c r="N708" s="12" t="s">
        <v>36</v>
      </c>
      <c r="O708" s="17" t="s">
        <v>36</v>
      </c>
      <c r="P708" s="12" t="s">
        <v>36</v>
      </c>
      <c r="Q708" s="12" t="s">
        <v>36</v>
      </c>
      <c r="R708" s="12" t="s">
        <v>36</v>
      </c>
      <c r="S708" s="12" t="s">
        <v>36</v>
      </c>
      <c r="T708" s="12" t="s">
        <v>4542</v>
      </c>
      <c r="U708" s="12" t="s">
        <v>279</v>
      </c>
      <c r="V708" s="12" t="s">
        <v>64</v>
      </c>
      <c r="W708" s="12" t="s">
        <v>4543</v>
      </c>
      <c r="X708" s="16" t="s">
        <v>4544</v>
      </c>
      <c r="Y708" s="15" t="s">
        <v>42</v>
      </c>
      <c r="Z708" s="14">
        <v>1.61</v>
      </c>
      <c r="AA708" s="14">
        <v>11.27</v>
      </c>
      <c r="AB708" s="12" t="s">
        <v>43</v>
      </c>
      <c r="AC708" s="12" t="s">
        <v>4545</v>
      </c>
      <c r="AD708" s="13">
        <v>45313</v>
      </c>
      <c r="AE708" s="12" t="s">
        <v>283</v>
      </c>
      <c r="AF708" s="12" t="s">
        <v>36</v>
      </c>
      <c r="AG708" s="12" t="s">
        <v>81</v>
      </c>
      <c r="AH708" s="1">
        <f>HYPERLINK("https://my.pitchbook.com?c=277754-05T","View Company Online")</f>
      </c>
    </row>
    <row r="709">
      <c r="A709" s="3" t="s">
        <v>4546</v>
      </c>
      <c r="B709" s="3" t="s">
        <v>4547</v>
      </c>
      <c r="C709" s="5" t="s">
        <v>36</v>
      </c>
      <c r="D709" s="5" t="s">
        <v>36</v>
      </c>
      <c r="E709" s="5" t="s">
        <v>36</v>
      </c>
      <c r="F709" s="5" t="s">
        <v>36</v>
      </c>
      <c r="G709" s="6" t="s">
        <v>36</v>
      </c>
      <c r="H709" s="4">
        <v>45.62</v>
      </c>
      <c r="I709" s="7">
        <v>30.79</v>
      </c>
      <c r="J709" s="3" t="s">
        <v>521</v>
      </c>
      <c r="K709" s="9" t="s">
        <v>36</v>
      </c>
      <c r="L709" s="6" t="s">
        <v>36</v>
      </c>
      <c r="M709" s="3" t="s">
        <v>36</v>
      </c>
      <c r="N709" s="3" t="s">
        <v>36</v>
      </c>
      <c r="O709" s="8" t="s">
        <v>36</v>
      </c>
      <c r="P709" s="3" t="s">
        <v>36</v>
      </c>
      <c r="Q709" s="3" t="s">
        <v>36</v>
      </c>
      <c r="R709" s="3" t="s">
        <v>36</v>
      </c>
      <c r="S709" s="3" t="s">
        <v>36</v>
      </c>
      <c r="T709" s="3" t="s">
        <v>4548</v>
      </c>
      <c r="U709" s="3" t="s">
        <v>38</v>
      </c>
      <c r="V709" s="3" t="s">
        <v>39</v>
      </c>
      <c r="W709" s="3" t="s">
        <v>4549</v>
      </c>
      <c r="X709" s="10" t="s">
        <v>4550</v>
      </c>
      <c r="Y709" s="6" t="s">
        <v>42</v>
      </c>
      <c r="Z709" s="4">
        <v>3.1</v>
      </c>
      <c r="AA709" s="4">
        <v>10.08</v>
      </c>
      <c r="AB709" s="3" t="s">
        <v>43</v>
      </c>
      <c r="AC709" s="3" t="s">
        <v>4551</v>
      </c>
      <c r="AD709" s="9">
        <v>45309</v>
      </c>
      <c r="AE709" s="3" t="s">
        <v>110</v>
      </c>
      <c r="AF709" s="3" t="s">
        <v>4552</v>
      </c>
      <c r="AG709" s="3" t="s">
        <v>81</v>
      </c>
      <c r="AH709" s="11">
        <f>HYPERLINK("https://my.pitchbook.com?c=202139-56T","View Company Online")</f>
      </c>
    </row>
    <row r="710">
      <c r="A710" s="12" t="s">
        <v>4553</v>
      </c>
      <c r="B710" s="12" t="s">
        <v>4554</v>
      </c>
      <c r="C710" s="19" t="s">
        <v>36</v>
      </c>
      <c r="D710" s="19" t="s">
        <v>36</v>
      </c>
      <c r="E710" s="19" t="s">
        <v>36</v>
      </c>
      <c r="F710" s="19" t="s">
        <v>36</v>
      </c>
      <c r="G710" s="15" t="s">
        <v>36</v>
      </c>
      <c r="H710" s="14" t="s">
        <v>36</v>
      </c>
      <c r="I710" s="18" t="s">
        <v>36</v>
      </c>
      <c r="J710" s="12" t="s">
        <v>36</v>
      </c>
      <c r="K710" s="13" t="s">
        <v>36</v>
      </c>
      <c r="L710" s="15" t="s">
        <v>122</v>
      </c>
      <c r="M710" s="12" t="s">
        <v>36</v>
      </c>
      <c r="N710" s="12" t="s">
        <v>122</v>
      </c>
      <c r="O710" s="17" t="s">
        <v>36</v>
      </c>
      <c r="P710" s="12" t="s">
        <v>36</v>
      </c>
      <c r="Q710" s="12" t="s">
        <v>36</v>
      </c>
      <c r="R710" s="12" t="s">
        <v>36</v>
      </c>
      <c r="S710" s="12" t="s">
        <v>36</v>
      </c>
      <c r="T710" s="12" t="s">
        <v>1725</v>
      </c>
      <c r="U710" s="12" t="s">
        <v>318</v>
      </c>
      <c r="V710" s="12" t="s">
        <v>39</v>
      </c>
      <c r="W710" s="12" t="s">
        <v>4555</v>
      </c>
      <c r="X710" s="16" t="s">
        <v>4556</v>
      </c>
      <c r="Y710" s="15" t="s">
        <v>108</v>
      </c>
      <c r="Z710" s="14" t="s">
        <v>36</v>
      </c>
      <c r="AA710" s="14" t="s">
        <v>36</v>
      </c>
      <c r="AB710" s="12" t="s">
        <v>56</v>
      </c>
      <c r="AC710" s="12" t="s">
        <v>4557</v>
      </c>
      <c r="AD710" s="13">
        <v>45309</v>
      </c>
      <c r="AE710" s="12" t="s">
        <v>763</v>
      </c>
      <c r="AF710" s="12" t="s">
        <v>111</v>
      </c>
      <c r="AG710" s="12" t="s">
        <v>4558</v>
      </c>
      <c r="AH710" s="1">
        <f>HYPERLINK("https://my.pitchbook.com?c=249779-62T","View Company Online")</f>
      </c>
    </row>
    <row r="711">
      <c r="A711" s="3" t="s">
        <v>4559</v>
      </c>
      <c r="B711" s="3" t="s">
        <v>4560</v>
      </c>
      <c r="C711" s="5" t="s">
        <v>36</v>
      </c>
      <c r="D711" s="5" t="s">
        <v>36</v>
      </c>
      <c r="E711" s="5" t="s">
        <v>36</v>
      </c>
      <c r="F711" s="5" t="s">
        <v>36</v>
      </c>
      <c r="G711" s="6" t="s">
        <v>326</v>
      </c>
      <c r="H711" s="4" t="s">
        <v>36</v>
      </c>
      <c r="I711" s="7">
        <v>22.14</v>
      </c>
      <c r="J711" s="3" t="s">
        <v>327</v>
      </c>
      <c r="K711" s="9" t="s">
        <v>36</v>
      </c>
      <c r="L711" s="6" t="s">
        <v>94</v>
      </c>
      <c r="M711" s="3" t="s">
        <v>36</v>
      </c>
      <c r="N711" s="3" t="s">
        <v>94</v>
      </c>
      <c r="O711" s="8" t="s">
        <v>36</v>
      </c>
      <c r="P711" s="3" t="s">
        <v>36</v>
      </c>
      <c r="Q711" s="3" t="s">
        <v>36</v>
      </c>
      <c r="R711" s="3" t="s">
        <v>36</v>
      </c>
      <c r="S711" s="3" t="s">
        <v>36</v>
      </c>
      <c r="T711" s="3" t="s">
        <v>37</v>
      </c>
      <c r="U711" s="3" t="s">
        <v>38</v>
      </c>
      <c r="V711" s="3" t="s">
        <v>39</v>
      </c>
      <c r="W711" s="3" t="s">
        <v>4561</v>
      </c>
      <c r="X711" s="10" t="s">
        <v>4562</v>
      </c>
      <c r="Y711" s="6" t="s">
        <v>55</v>
      </c>
      <c r="Z711" s="4">
        <v>50.5</v>
      </c>
      <c r="AA711" s="4">
        <v>228.12</v>
      </c>
      <c r="AB711" s="3" t="s">
        <v>43</v>
      </c>
      <c r="AC711" s="3" t="s">
        <v>4563</v>
      </c>
      <c r="AD711" s="9">
        <v>45309</v>
      </c>
      <c r="AE711" s="3" t="s">
        <v>45</v>
      </c>
      <c r="AF711" s="3" t="s">
        <v>799</v>
      </c>
      <c r="AG711" s="3" t="s">
        <v>81</v>
      </c>
      <c r="AH711" s="11">
        <f>HYPERLINK("https://my.pitchbook.com?c=249733-63T","View Company Online")</f>
      </c>
    </row>
    <row r="712">
      <c r="A712" s="12" t="s">
        <v>4564</v>
      </c>
      <c r="B712" s="12" t="s">
        <v>4565</v>
      </c>
      <c r="C712" s="19" t="s">
        <v>36</v>
      </c>
      <c r="D712" s="19" t="s">
        <v>36</v>
      </c>
      <c r="E712" s="19" t="s">
        <v>36</v>
      </c>
      <c r="F712" s="19" t="s">
        <v>36</v>
      </c>
      <c r="G712" s="15" t="s">
        <v>326</v>
      </c>
      <c r="H712" s="14">
        <v>158.31</v>
      </c>
      <c r="I712" s="18">
        <v>14.34</v>
      </c>
      <c r="J712" s="12" t="s">
        <v>521</v>
      </c>
      <c r="K712" s="13">
        <v>45261</v>
      </c>
      <c r="L712" s="15" t="s">
        <v>1279</v>
      </c>
      <c r="M712" s="12" t="s">
        <v>36</v>
      </c>
      <c r="N712" s="12" t="s">
        <v>1279</v>
      </c>
      <c r="O712" s="17" t="s">
        <v>36</v>
      </c>
      <c r="P712" s="12" t="s">
        <v>36</v>
      </c>
      <c r="Q712" s="12" t="s">
        <v>36</v>
      </c>
      <c r="R712" s="12" t="s">
        <v>36</v>
      </c>
      <c r="S712" s="12" t="s">
        <v>36</v>
      </c>
      <c r="T712" s="12" t="s">
        <v>942</v>
      </c>
      <c r="U712" s="12" t="s">
        <v>38</v>
      </c>
      <c r="V712" s="12" t="s">
        <v>39</v>
      </c>
      <c r="W712" s="12" t="s">
        <v>4566</v>
      </c>
      <c r="X712" s="16" t="s">
        <v>4567</v>
      </c>
      <c r="Y712" s="15" t="s">
        <v>192</v>
      </c>
      <c r="Z712" s="14">
        <v>17.19</v>
      </c>
      <c r="AA712" s="14">
        <v>119.85</v>
      </c>
      <c r="AB712" s="12" t="s">
        <v>56</v>
      </c>
      <c r="AC712" s="12" t="s">
        <v>4568</v>
      </c>
      <c r="AD712" s="13">
        <v>45309</v>
      </c>
      <c r="AE712" s="12" t="s">
        <v>45</v>
      </c>
      <c r="AF712" s="12" t="s">
        <v>4569</v>
      </c>
      <c r="AG712" s="12" t="s">
        <v>81</v>
      </c>
      <c r="AH712" s="1">
        <f>HYPERLINK("https://my.pitchbook.com?c=249867-64T","View Company Online")</f>
      </c>
    </row>
    <row r="713">
      <c r="A713" s="3" t="s">
        <v>4570</v>
      </c>
      <c r="B713" s="3" t="s">
        <v>4571</v>
      </c>
      <c r="C713" s="5">
        <v>3</v>
      </c>
      <c r="D713" s="5">
        <v>8</v>
      </c>
      <c r="E713" s="5">
        <v>4</v>
      </c>
      <c r="F713" s="5">
        <v>11</v>
      </c>
      <c r="G713" s="6" t="s">
        <v>326</v>
      </c>
      <c r="H713" s="4">
        <v>1.31</v>
      </c>
      <c r="I713" s="7">
        <v>37.28</v>
      </c>
      <c r="J713" s="3" t="s">
        <v>521</v>
      </c>
      <c r="K713" s="9" t="s">
        <v>36</v>
      </c>
      <c r="L713" s="6" t="s">
        <v>122</v>
      </c>
      <c r="M713" s="3" t="s">
        <v>36</v>
      </c>
      <c r="N713" s="3" t="s">
        <v>122</v>
      </c>
      <c r="O713" s="8" t="s">
        <v>36</v>
      </c>
      <c r="P713" s="3" t="s">
        <v>36</v>
      </c>
      <c r="Q713" s="3" t="s">
        <v>36</v>
      </c>
      <c r="R713" s="3" t="s">
        <v>36</v>
      </c>
      <c r="S713" s="3" t="s">
        <v>36</v>
      </c>
      <c r="T713" s="3" t="s">
        <v>4572</v>
      </c>
      <c r="U713" s="3" t="s">
        <v>423</v>
      </c>
      <c r="V713" s="3" t="s">
        <v>64</v>
      </c>
      <c r="W713" s="3" t="s">
        <v>4573</v>
      </c>
      <c r="X713" s="10" t="s">
        <v>4574</v>
      </c>
      <c r="Y713" s="6" t="s">
        <v>55</v>
      </c>
      <c r="Z713" s="4">
        <v>6.59</v>
      </c>
      <c r="AA713" s="4">
        <v>17.67</v>
      </c>
      <c r="AB713" s="3" t="s">
        <v>43</v>
      </c>
      <c r="AC713" s="3" t="s">
        <v>4575</v>
      </c>
      <c r="AD713" s="9">
        <v>45309</v>
      </c>
      <c r="AE713" s="3" t="s">
        <v>2871</v>
      </c>
      <c r="AF713" s="3" t="s">
        <v>571</v>
      </c>
      <c r="AG713" s="3" t="s">
        <v>186</v>
      </c>
      <c r="AH713" s="11">
        <f>HYPERLINK("https://my.pitchbook.com?c=249684-22T","View Company Online")</f>
      </c>
    </row>
    <row r="714">
      <c r="A714" s="12" t="s">
        <v>4576</v>
      </c>
      <c r="B714" s="12" t="s">
        <v>4577</v>
      </c>
      <c r="C714" s="19" t="s">
        <v>36</v>
      </c>
      <c r="D714" s="19" t="s">
        <v>36</v>
      </c>
      <c r="E714" s="19" t="s">
        <v>36</v>
      </c>
      <c r="F714" s="19" t="s">
        <v>36</v>
      </c>
      <c r="G714" s="15" t="s">
        <v>36</v>
      </c>
      <c r="H714" s="14" t="s">
        <v>36</v>
      </c>
      <c r="I714" s="18" t="s">
        <v>36</v>
      </c>
      <c r="J714" s="12" t="s">
        <v>36</v>
      </c>
      <c r="K714" s="13" t="s">
        <v>36</v>
      </c>
      <c r="L714" s="15" t="s">
        <v>36</v>
      </c>
      <c r="M714" s="12" t="s">
        <v>36</v>
      </c>
      <c r="N714" s="12" t="s">
        <v>36</v>
      </c>
      <c r="O714" s="17" t="s">
        <v>36</v>
      </c>
      <c r="P714" s="12" t="s">
        <v>36</v>
      </c>
      <c r="Q714" s="12" t="s">
        <v>36</v>
      </c>
      <c r="R714" s="12" t="s">
        <v>36</v>
      </c>
      <c r="S714" s="12" t="s">
        <v>36</v>
      </c>
      <c r="T714" s="12" t="s">
        <v>1048</v>
      </c>
      <c r="U714" s="12" t="s">
        <v>423</v>
      </c>
      <c r="V714" s="12" t="s">
        <v>64</v>
      </c>
      <c r="W714" s="12" t="s">
        <v>4578</v>
      </c>
      <c r="X714" s="16" t="s">
        <v>4579</v>
      </c>
      <c r="Y714" s="15" t="s">
        <v>42</v>
      </c>
      <c r="Z714" s="14">
        <v>16</v>
      </c>
      <c r="AA714" s="14" t="s">
        <v>36</v>
      </c>
      <c r="AB714" s="12" t="s">
        <v>56</v>
      </c>
      <c r="AC714" s="12" t="s">
        <v>4580</v>
      </c>
      <c r="AD714" s="13">
        <v>45308</v>
      </c>
      <c r="AE714" s="12" t="s">
        <v>1051</v>
      </c>
      <c r="AF714" s="12" t="s">
        <v>1061</v>
      </c>
      <c r="AG714" s="12" t="s">
        <v>81</v>
      </c>
      <c r="AH714" s="1">
        <f>HYPERLINK("https://my.pitchbook.com?c=251512-21T","View Company Online")</f>
      </c>
    </row>
    <row r="715">
      <c r="A715" s="3" t="s">
        <v>4581</v>
      </c>
      <c r="B715" s="3" t="s">
        <v>4582</v>
      </c>
      <c r="C715" s="5">
        <v>4</v>
      </c>
      <c r="D715" s="5">
        <v>4</v>
      </c>
      <c r="E715" s="5">
        <v>4</v>
      </c>
      <c r="F715" s="5">
        <v>8</v>
      </c>
      <c r="G715" s="6" t="s">
        <v>36</v>
      </c>
      <c r="H715" s="4" t="s">
        <v>36</v>
      </c>
      <c r="I715" s="7">
        <v>35.12</v>
      </c>
      <c r="J715" s="3" t="s">
        <v>327</v>
      </c>
      <c r="K715" s="9">
        <v>45280</v>
      </c>
      <c r="L715" s="6" t="s">
        <v>94</v>
      </c>
      <c r="M715" s="3" t="s">
        <v>36</v>
      </c>
      <c r="N715" s="3" t="s">
        <v>94</v>
      </c>
      <c r="O715" s="8" t="s">
        <v>36</v>
      </c>
      <c r="P715" s="3" t="s">
        <v>36</v>
      </c>
      <c r="Q715" s="3" t="s">
        <v>36</v>
      </c>
      <c r="R715" s="3" t="s">
        <v>36</v>
      </c>
      <c r="S715" s="3" t="s">
        <v>36</v>
      </c>
      <c r="T715" s="3" t="s">
        <v>4583</v>
      </c>
      <c r="U715" s="3" t="s">
        <v>96</v>
      </c>
      <c r="V715" s="3" t="s">
        <v>52</v>
      </c>
      <c r="W715" s="3" t="s">
        <v>4584</v>
      </c>
      <c r="X715" s="10" t="s">
        <v>4585</v>
      </c>
      <c r="Y715" s="6" t="s">
        <v>192</v>
      </c>
      <c r="Z715" s="4">
        <v>17.57</v>
      </c>
      <c r="AA715" s="4">
        <v>50.04</v>
      </c>
      <c r="AB715" s="3" t="s">
        <v>56</v>
      </c>
      <c r="AC715" s="3" t="s">
        <v>4586</v>
      </c>
      <c r="AD715" s="9">
        <v>45308</v>
      </c>
      <c r="AE715" s="3" t="s">
        <v>100</v>
      </c>
      <c r="AF715" s="3" t="s">
        <v>4587</v>
      </c>
      <c r="AG715" s="3" t="s">
        <v>652</v>
      </c>
      <c r="AH715" s="11">
        <f>HYPERLINK("https://my.pitchbook.com?c=249676-93T","View Company Online")</f>
      </c>
    </row>
    <row r="716">
      <c r="A716" s="12" t="s">
        <v>4588</v>
      </c>
      <c r="B716" s="12" t="s">
        <v>4589</v>
      </c>
      <c r="C716" s="19" t="s">
        <v>36</v>
      </c>
      <c r="D716" s="19" t="s">
        <v>36</v>
      </c>
      <c r="E716" s="19" t="s">
        <v>36</v>
      </c>
      <c r="F716" s="19" t="s">
        <v>36</v>
      </c>
      <c r="G716" s="15" t="s">
        <v>36</v>
      </c>
      <c r="H716" s="14" t="s">
        <v>36</v>
      </c>
      <c r="I716" s="18" t="s">
        <v>36</v>
      </c>
      <c r="J716" s="12" t="s">
        <v>36</v>
      </c>
      <c r="K716" s="13" t="s">
        <v>36</v>
      </c>
      <c r="L716" s="15" t="s">
        <v>36</v>
      </c>
      <c r="M716" s="12" t="s">
        <v>36</v>
      </c>
      <c r="N716" s="12" t="s">
        <v>36</v>
      </c>
      <c r="O716" s="17" t="s">
        <v>36</v>
      </c>
      <c r="P716" s="12" t="s">
        <v>36</v>
      </c>
      <c r="Q716" s="12" t="s">
        <v>36</v>
      </c>
      <c r="R716" s="12" t="s">
        <v>36</v>
      </c>
      <c r="S716" s="12" t="s">
        <v>36</v>
      </c>
      <c r="T716" s="12" t="s">
        <v>4590</v>
      </c>
      <c r="U716" s="12" t="s">
        <v>1357</v>
      </c>
      <c r="V716" s="12" t="s">
        <v>52</v>
      </c>
      <c r="W716" s="12" t="s">
        <v>4591</v>
      </c>
      <c r="X716" s="16" t="s">
        <v>4592</v>
      </c>
      <c r="Y716" s="15" t="s">
        <v>42</v>
      </c>
      <c r="Z716" s="14">
        <v>7.14</v>
      </c>
      <c r="AA716" s="14" t="s">
        <v>36</v>
      </c>
      <c r="AB716" s="12" t="s">
        <v>56</v>
      </c>
      <c r="AC716" s="12" t="s">
        <v>4593</v>
      </c>
      <c r="AD716" s="13">
        <v>45307</v>
      </c>
      <c r="AE716" s="12" t="s">
        <v>2377</v>
      </c>
      <c r="AF716" s="12" t="s">
        <v>275</v>
      </c>
      <c r="AG716" s="12" t="s">
        <v>102</v>
      </c>
      <c r="AH716" s="1">
        <f>HYPERLINK("https://my.pitchbook.com?c=249489-73T","View Company Online")</f>
      </c>
    </row>
    <row r="717">
      <c r="A717" s="3" t="s">
        <v>4594</v>
      </c>
      <c r="B717" s="3" t="s">
        <v>4595</v>
      </c>
      <c r="C717" s="5" t="s">
        <v>36</v>
      </c>
      <c r="D717" s="5" t="s">
        <v>36</v>
      </c>
      <c r="E717" s="5" t="s">
        <v>36</v>
      </c>
      <c r="F717" s="5" t="s">
        <v>36</v>
      </c>
      <c r="G717" s="6" t="s">
        <v>326</v>
      </c>
      <c r="H717" s="4">
        <v>209.51</v>
      </c>
      <c r="I717" s="7">
        <v>6.27</v>
      </c>
      <c r="J717" s="3" t="s">
        <v>521</v>
      </c>
      <c r="K717" s="9" t="s">
        <v>36</v>
      </c>
      <c r="L717" s="6" t="s">
        <v>36</v>
      </c>
      <c r="M717" s="3" t="s">
        <v>36</v>
      </c>
      <c r="N717" s="3" t="s">
        <v>36</v>
      </c>
      <c r="O717" s="8" t="s">
        <v>36</v>
      </c>
      <c r="P717" s="3" t="s">
        <v>36</v>
      </c>
      <c r="Q717" s="3" t="s">
        <v>36</v>
      </c>
      <c r="R717" s="3" t="s">
        <v>36</v>
      </c>
      <c r="S717" s="3" t="s">
        <v>36</v>
      </c>
      <c r="T717" s="3" t="s">
        <v>522</v>
      </c>
      <c r="U717" s="3" t="s">
        <v>38</v>
      </c>
      <c r="V717" s="3" t="s">
        <v>39</v>
      </c>
      <c r="W717" s="3" t="s">
        <v>4596</v>
      </c>
      <c r="X717" s="10" t="s">
        <v>4597</v>
      </c>
      <c r="Y717" s="6" t="s">
        <v>42</v>
      </c>
      <c r="Z717" s="4">
        <v>0.29</v>
      </c>
      <c r="AA717" s="4">
        <v>4.59</v>
      </c>
      <c r="AB717" s="3" t="s">
        <v>56</v>
      </c>
      <c r="AC717" s="3" t="s">
        <v>4598</v>
      </c>
      <c r="AD717" s="9">
        <v>45307</v>
      </c>
      <c r="AE717" s="3" t="s">
        <v>110</v>
      </c>
      <c r="AF717" s="3" t="s">
        <v>36</v>
      </c>
      <c r="AG717" s="3" t="s">
        <v>1447</v>
      </c>
      <c r="AH717" s="11">
        <f>HYPERLINK("https://my.pitchbook.com?c=260452-45T","View Company Online")</f>
      </c>
    </row>
    <row r="718">
      <c r="A718" s="12" t="s">
        <v>4599</v>
      </c>
      <c r="B718" s="12" t="s">
        <v>4600</v>
      </c>
      <c r="C718" s="19" t="s">
        <v>36</v>
      </c>
      <c r="D718" s="19" t="s">
        <v>36</v>
      </c>
      <c r="E718" s="19" t="s">
        <v>36</v>
      </c>
      <c r="F718" s="19" t="s">
        <v>36</v>
      </c>
      <c r="G718" s="15" t="s">
        <v>36</v>
      </c>
      <c r="H718" s="14" t="s">
        <v>36</v>
      </c>
      <c r="I718" s="18">
        <v>14.99</v>
      </c>
      <c r="J718" s="12" t="s">
        <v>327</v>
      </c>
      <c r="K718" s="13" t="s">
        <v>36</v>
      </c>
      <c r="L718" s="15" t="s">
        <v>122</v>
      </c>
      <c r="M718" s="12" t="s">
        <v>36</v>
      </c>
      <c r="N718" s="12" t="s">
        <v>122</v>
      </c>
      <c r="O718" s="17" t="s">
        <v>36</v>
      </c>
      <c r="P718" s="12" t="s">
        <v>36</v>
      </c>
      <c r="Q718" s="12" t="s">
        <v>36</v>
      </c>
      <c r="R718" s="12" t="s">
        <v>36</v>
      </c>
      <c r="S718" s="12" t="s">
        <v>36</v>
      </c>
      <c r="T718" s="12" t="s">
        <v>4601</v>
      </c>
      <c r="U718" s="12" t="s">
        <v>38</v>
      </c>
      <c r="V718" s="12" t="s">
        <v>39</v>
      </c>
      <c r="W718" s="12" t="s">
        <v>4602</v>
      </c>
      <c r="X718" s="16" t="s">
        <v>4603</v>
      </c>
      <c r="Y718" s="15" t="s">
        <v>42</v>
      </c>
      <c r="Z718" s="14">
        <v>3.84</v>
      </c>
      <c r="AA718" s="14">
        <v>25.64</v>
      </c>
      <c r="AB718" s="12" t="s">
        <v>56</v>
      </c>
      <c r="AC718" s="12" t="s">
        <v>4604</v>
      </c>
      <c r="AD718" s="13">
        <v>45307</v>
      </c>
      <c r="AE718" s="12" t="s">
        <v>110</v>
      </c>
      <c r="AF718" s="12" t="s">
        <v>4605</v>
      </c>
      <c r="AG718" s="12" t="s">
        <v>1276</v>
      </c>
      <c r="AH718" s="1">
        <f>HYPERLINK("https://my.pitchbook.com?c=266785-48T","View Company Online")</f>
      </c>
    </row>
    <row r="719">
      <c r="A719" s="3" t="s">
        <v>4606</v>
      </c>
      <c r="B719" s="3" t="s">
        <v>4607</v>
      </c>
      <c r="C719" s="5" t="s">
        <v>36</v>
      </c>
      <c r="D719" s="5">
        <v>2</v>
      </c>
      <c r="E719" s="5">
        <v>3</v>
      </c>
      <c r="F719" s="5">
        <v>4</v>
      </c>
      <c r="G719" s="6" t="s">
        <v>326</v>
      </c>
      <c r="H719" s="4" t="s">
        <v>36</v>
      </c>
      <c r="I719" s="7">
        <v>20.48</v>
      </c>
      <c r="J719" s="3" t="s">
        <v>327</v>
      </c>
      <c r="K719" s="9">
        <v>45273</v>
      </c>
      <c r="L719" s="6" t="s">
        <v>94</v>
      </c>
      <c r="M719" s="3" t="s">
        <v>36</v>
      </c>
      <c r="N719" s="3" t="s">
        <v>94</v>
      </c>
      <c r="O719" s="8" t="s">
        <v>36</v>
      </c>
      <c r="P719" s="3" t="s">
        <v>36</v>
      </c>
      <c r="Q719" s="3" t="s">
        <v>36</v>
      </c>
      <c r="R719" s="3" t="s">
        <v>36</v>
      </c>
      <c r="S719" s="3" t="s">
        <v>453</v>
      </c>
      <c r="T719" s="3" t="s">
        <v>4608</v>
      </c>
      <c r="U719" s="3" t="s">
        <v>455</v>
      </c>
      <c r="V719" s="3" t="s">
        <v>367</v>
      </c>
      <c r="W719" s="3" t="s">
        <v>4609</v>
      </c>
      <c r="X719" s="10" t="s">
        <v>4610</v>
      </c>
      <c r="Y719" s="6" t="s">
        <v>55</v>
      </c>
      <c r="Z719" s="4">
        <v>333.89</v>
      </c>
      <c r="AA719" s="4">
        <v>1630.1</v>
      </c>
      <c r="AB719" s="3" t="s">
        <v>43</v>
      </c>
      <c r="AC719" s="3" t="s">
        <v>4611</v>
      </c>
      <c r="AD719" s="9">
        <v>45306</v>
      </c>
      <c r="AE719" s="3" t="s">
        <v>459</v>
      </c>
      <c r="AF719" s="3" t="s">
        <v>4612</v>
      </c>
      <c r="AG719" s="3" t="s">
        <v>81</v>
      </c>
      <c r="AH719" s="11">
        <f>HYPERLINK("https://my.pitchbook.com?c=248146-30T","View Company Online")</f>
      </c>
    </row>
    <row r="720">
      <c r="A720" s="12" t="s">
        <v>4613</v>
      </c>
      <c r="B720" s="12" t="s">
        <v>4614</v>
      </c>
      <c r="C720" s="19">
        <v>10</v>
      </c>
      <c r="D720" s="19">
        <v>6</v>
      </c>
      <c r="E720" s="19">
        <v>6</v>
      </c>
      <c r="F720" s="19">
        <v>16</v>
      </c>
      <c r="G720" s="15" t="s">
        <v>36</v>
      </c>
      <c r="H720" s="14" t="s">
        <v>36</v>
      </c>
      <c r="I720" s="18" t="s">
        <v>36</v>
      </c>
      <c r="J720" s="12" t="s">
        <v>36</v>
      </c>
      <c r="K720" s="13">
        <v>45253</v>
      </c>
      <c r="L720" s="15" t="s">
        <v>36</v>
      </c>
      <c r="M720" s="12" t="s">
        <v>36</v>
      </c>
      <c r="N720" s="12" t="s">
        <v>36</v>
      </c>
      <c r="O720" s="17" t="s">
        <v>36</v>
      </c>
      <c r="P720" s="12" t="s">
        <v>36</v>
      </c>
      <c r="Q720" s="12" t="s">
        <v>36</v>
      </c>
      <c r="R720" s="12" t="s">
        <v>36</v>
      </c>
      <c r="S720" s="12" t="s">
        <v>36</v>
      </c>
      <c r="T720" s="12" t="s">
        <v>4615</v>
      </c>
      <c r="U720" s="12" t="s">
        <v>219</v>
      </c>
      <c r="V720" s="12" t="s">
        <v>75</v>
      </c>
      <c r="W720" s="12" t="s">
        <v>4616</v>
      </c>
      <c r="X720" s="16" t="s">
        <v>4617</v>
      </c>
      <c r="Y720" s="15" t="s">
        <v>108</v>
      </c>
      <c r="Z720" s="14">
        <v>37.34</v>
      </c>
      <c r="AA720" s="14" t="s">
        <v>36</v>
      </c>
      <c r="AB720" s="12" t="s">
        <v>56</v>
      </c>
      <c r="AC720" s="12" t="s">
        <v>4618</v>
      </c>
      <c r="AD720" s="13">
        <v>45306</v>
      </c>
      <c r="AE720" s="12" t="s">
        <v>2914</v>
      </c>
      <c r="AF720" s="12" t="s">
        <v>571</v>
      </c>
      <c r="AG720" s="12" t="s">
        <v>4619</v>
      </c>
      <c r="AH720" s="1">
        <f>HYPERLINK("https://my.pitchbook.com?c=249420-25T","View Company Online")</f>
      </c>
    </row>
    <row r="721">
      <c r="A721" s="3" t="s">
        <v>4620</v>
      </c>
      <c r="B721" s="3" t="s">
        <v>4621</v>
      </c>
      <c r="C721" s="5" t="s">
        <v>36</v>
      </c>
      <c r="D721" s="5" t="s">
        <v>36</v>
      </c>
      <c r="E721" s="5" t="s">
        <v>36</v>
      </c>
      <c r="F721" s="5" t="s">
        <v>36</v>
      </c>
      <c r="G721" s="6" t="s">
        <v>36</v>
      </c>
      <c r="H721" s="4" t="s">
        <v>36</v>
      </c>
      <c r="I721" s="7" t="s">
        <v>36</v>
      </c>
      <c r="J721" s="3" t="s">
        <v>36</v>
      </c>
      <c r="K721" s="9" t="s">
        <v>36</v>
      </c>
      <c r="L721" s="6" t="s">
        <v>36</v>
      </c>
      <c r="M721" s="3" t="s">
        <v>36</v>
      </c>
      <c r="N721" s="3" t="s">
        <v>36</v>
      </c>
      <c r="O721" s="8" t="s">
        <v>36</v>
      </c>
      <c r="P721" s="3" t="s">
        <v>36</v>
      </c>
      <c r="Q721" s="3" t="s">
        <v>36</v>
      </c>
      <c r="R721" s="3" t="s">
        <v>36</v>
      </c>
      <c r="S721" s="3" t="s">
        <v>4622</v>
      </c>
      <c r="T721" s="3" t="s">
        <v>4623</v>
      </c>
      <c r="U721" s="3" t="s">
        <v>74</v>
      </c>
      <c r="V721" s="3" t="s">
        <v>75</v>
      </c>
      <c r="W721" s="3" t="s">
        <v>4624</v>
      </c>
      <c r="X721" s="10" t="s">
        <v>4625</v>
      </c>
      <c r="Y721" s="6" t="s">
        <v>55</v>
      </c>
      <c r="Z721" s="4">
        <v>10.98</v>
      </c>
      <c r="AA721" s="4" t="s">
        <v>36</v>
      </c>
      <c r="AB721" s="3" t="s">
        <v>43</v>
      </c>
      <c r="AC721" s="3" t="s">
        <v>4626</v>
      </c>
      <c r="AD721" s="9">
        <v>45303</v>
      </c>
      <c r="AE721" s="3" t="s">
        <v>975</v>
      </c>
      <c r="AF721" s="3" t="s">
        <v>1619</v>
      </c>
      <c r="AG721" s="3" t="s">
        <v>2088</v>
      </c>
      <c r="AH721" s="11">
        <f>HYPERLINK("https://my.pitchbook.com?c=249347-53T","View Company Online")</f>
      </c>
    </row>
    <row r="722">
      <c r="A722" s="12" t="s">
        <v>4627</v>
      </c>
      <c r="B722" s="12" t="s">
        <v>4628</v>
      </c>
      <c r="C722" s="19" t="s">
        <v>36</v>
      </c>
      <c r="D722" s="19" t="s">
        <v>36</v>
      </c>
      <c r="E722" s="19" t="s">
        <v>36</v>
      </c>
      <c r="F722" s="19" t="s">
        <v>36</v>
      </c>
      <c r="G722" s="15" t="s">
        <v>36</v>
      </c>
      <c r="H722" s="14" t="s">
        <v>36</v>
      </c>
      <c r="I722" s="18" t="s">
        <v>36</v>
      </c>
      <c r="J722" s="12" t="s">
        <v>36</v>
      </c>
      <c r="K722" s="13" t="s">
        <v>36</v>
      </c>
      <c r="L722" s="15" t="s">
        <v>36</v>
      </c>
      <c r="M722" s="12" t="s">
        <v>36</v>
      </c>
      <c r="N722" s="12" t="s">
        <v>36</v>
      </c>
      <c r="O722" s="17" t="s">
        <v>36</v>
      </c>
      <c r="P722" s="12" t="s">
        <v>36</v>
      </c>
      <c r="Q722" s="12" t="s">
        <v>36</v>
      </c>
      <c r="R722" s="12" t="s">
        <v>36</v>
      </c>
      <c r="S722" s="12" t="s">
        <v>36</v>
      </c>
      <c r="T722" s="12" t="s">
        <v>1365</v>
      </c>
      <c r="U722" s="12" t="s">
        <v>38</v>
      </c>
      <c r="V722" s="12" t="s">
        <v>39</v>
      </c>
      <c r="W722" s="12" t="s">
        <v>4629</v>
      </c>
      <c r="X722" s="16" t="s">
        <v>2433</v>
      </c>
      <c r="Y722" s="15" t="s">
        <v>55</v>
      </c>
      <c r="Z722" s="14">
        <v>0.33</v>
      </c>
      <c r="AA722" s="14" t="s">
        <v>36</v>
      </c>
      <c r="AB722" s="12" t="s">
        <v>56</v>
      </c>
      <c r="AC722" s="12" t="s">
        <v>4630</v>
      </c>
      <c r="AD722" s="13">
        <v>45303</v>
      </c>
      <c r="AE722" s="12" t="s">
        <v>110</v>
      </c>
      <c r="AF722" s="12" t="s">
        <v>3860</v>
      </c>
      <c r="AG722" s="12" t="s">
        <v>186</v>
      </c>
      <c r="AH722" s="1">
        <f>HYPERLINK("https://my.pitchbook.com?c=269372-71T","View Company Online")</f>
      </c>
    </row>
    <row r="723">
      <c r="A723" s="3" t="s">
        <v>4631</v>
      </c>
      <c r="B723" s="3" t="s">
        <v>4632</v>
      </c>
      <c r="C723" s="5" t="s">
        <v>36</v>
      </c>
      <c r="D723" s="5" t="s">
        <v>36</v>
      </c>
      <c r="E723" s="5" t="s">
        <v>36</v>
      </c>
      <c r="F723" s="5" t="s">
        <v>36</v>
      </c>
      <c r="G723" s="6" t="s">
        <v>326</v>
      </c>
      <c r="H723" s="4">
        <v>835.96</v>
      </c>
      <c r="I723" s="7">
        <v>49.27</v>
      </c>
      <c r="J723" s="3" t="s">
        <v>327</v>
      </c>
      <c r="K723" s="9" t="s">
        <v>36</v>
      </c>
      <c r="L723" s="6" t="s">
        <v>94</v>
      </c>
      <c r="M723" s="3" t="s">
        <v>36</v>
      </c>
      <c r="N723" s="3" t="s">
        <v>94</v>
      </c>
      <c r="O723" s="8" t="s">
        <v>36</v>
      </c>
      <c r="P723" s="3" t="s">
        <v>36</v>
      </c>
      <c r="Q723" s="3" t="s">
        <v>36</v>
      </c>
      <c r="R723" s="3" t="s">
        <v>36</v>
      </c>
      <c r="S723" s="3" t="s">
        <v>4633</v>
      </c>
      <c r="T723" s="3" t="s">
        <v>1125</v>
      </c>
      <c r="U723" s="3" t="s">
        <v>74</v>
      </c>
      <c r="V723" s="3" t="s">
        <v>75</v>
      </c>
      <c r="W723" s="3" t="s">
        <v>4634</v>
      </c>
      <c r="X723" s="10" t="s">
        <v>4635</v>
      </c>
      <c r="Y723" s="6" t="s">
        <v>55</v>
      </c>
      <c r="Z723" s="4">
        <v>29.65</v>
      </c>
      <c r="AA723" s="4">
        <v>60.17</v>
      </c>
      <c r="AB723" s="3" t="s">
        <v>56</v>
      </c>
      <c r="AC723" s="3" t="s">
        <v>4636</v>
      </c>
      <c r="AD723" s="9">
        <v>45303</v>
      </c>
      <c r="AE723" s="3" t="s">
        <v>975</v>
      </c>
      <c r="AF723" s="3" t="s">
        <v>2132</v>
      </c>
      <c r="AG723" s="3" t="s">
        <v>4637</v>
      </c>
      <c r="AH723" s="11">
        <f>HYPERLINK("https://my.pitchbook.com?c=249876-37T","View Company Online")</f>
      </c>
    </row>
    <row r="724">
      <c r="A724" s="12" t="s">
        <v>4638</v>
      </c>
      <c r="B724" s="12" t="s">
        <v>4639</v>
      </c>
      <c r="C724" s="19" t="s">
        <v>36</v>
      </c>
      <c r="D724" s="19" t="s">
        <v>36</v>
      </c>
      <c r="E724" s="19" t="s">
        <v>36</v>
      </c>
      <c r="F724" s="19" t="s">
        <v>36</v>
      </c>
      <c r="G724" s="15" t="s">
        <v>2497</v>
      </c>
      <c r="H724" s="14">
        <v>2535.14</v>
      </c>
      <c r="I724" s="18">
        <v>13.72</v>
      </c>
      <c r="J724" s="12" t="s">
        <v>521</v>
      </c>
      <c r="K724" s="13" t="s">
        <v>36</v>
      </c>
      <c r="L724" s="15" t="s">
        <v>36</v>
      </c>
      <c r="M724" s="12" t="s">
        <v>36</v>
      </c>
      <c r="N724" s="12" t="s">
        <v>36</v>
      </c>
      <c r="O724" s="17" t="s">
        <v>36</v>
      </c>
      <c r="P724" s="12" t="s">
        <v>36</v>
      </c>
      <c r="Q724" s="12" t="s">
        <v>36</v>
      </c>
      <c r="R724" s="12" t="s">
        <v>36</v>
      </c>
      <c r="S724" s="12" t="s">
        <v>36</v>
      </c>
      <c r="T724" s="12" t="s">
        <v>4640</v>
      </c>
      <c r="U724" s="12" t="s">
        <v>833</v>
      </c>
      <c r="V724" s="12" t="s">
        <v>64</v>
      </c>
      <c r="W724" s="12" t="s">
        <v>4641</v>
      </c>
      <c r="X724" s="16" t="s">
        <v>4642</v>
      </c>
      <c r="Y724" s="15" t="s">
        <v>108</v>
      </c>
      <c r="Z724" s="14">
        <v>0.61</v>
      </c>
      <c r="AA724" s="14">
        <v>4.45</v>
      </c>
      <c r="AB724" s="12" t="s">
        <v>56</v>
      </c>
      <c r="AC724" s="12" t="s">
        <v>4643</v>
      </c>
      <c r="AD724" s="13">
        <v>45301</v>
      </c>
      <c r="AE724" s="12" t="s">
        <v>1687</v>
      </c>
      <c r="AF724" s="12" t="s">
        <v>90</v>
      </c>
      <c r="AG724" s="12" t="s">
        <v>81</v>
      </c>
      <c r="AH724" s="1">
        <f>HYPERLINK("https://my.pitchbook.com?c=276438-16T","View Company Online")</f>
      </c>
    </row>
    <row r="725">
      <c r="A725" s="3" t="s">
        <v>4644</v>
      </c>
      <c r="B725" s="3" t="s">
        <v>2488</v>
      </c>
      <c r="C725" s="5" t="s">
        <v>36</v>
      </c>
      <c r="D725" s="5" t="s">
        <v>36</v>
      </c>
      <c r="E725" s="5" t="s">
        <v>36</v>
      </c>
      <c r="F725" s="5" t="s">
        <v>36</v>
      </c>
      <c r="G725" s="6" t="s">
        <v>36</v>
      </c>
      <c r="H725" s="4" t="s">
        <v>36</v>
      </c>
      <c r="I725" s="7" t="s">
        <v>36</v>
      </c>
      <c r="J725" s="3" t="s">
        <v>36</v>
      </c>
      <c r="K725" s="9" t="s">
        <v>36</v>
      </c>
      <c r="L725" s="6" t="s">
        <v>36</v>
      </c>
      <c r="M725" s="3" t="s">
        <v>36</v>
      </c>
      <c r="N725" s="3" t="s">
        <v>36</v>
      </c>
      <c r="O725" s="8" t="s">
        <v>36</v>
      </c>
      <c r="P725" s="3" t="s">
        <v>36</v>
      </c>
      <c r="Q725" s="3" t="s">
        <v>36</v>
      </c>
      <c r="R725" s="3" t="s">
        <v>36</v>
      </c>
      <c r="S725" s="3" t="s">
        <v>2489</v>
      </c>
      <c r="T725" s="3" t="s">
        <v>2490</v>
      </c>
      <c r="U725" s="3" t="s">
        <v>318</v>
      </c>
      <c r="V725" s="3" t="s">
        <v>39</v>
      </c>
      <c r="W725" s="3" t="s">
        <v>2491</v>
      </c>
      <c r="X725" s="10" t="s">
        <v>4645</v>
      </c>
      <c r="Y725" s="6" t="s">
        <v>108</v>
      </c>
      <c r="Z725" s="4" t="s">
        <v>36</v>
      </c>
      <c r="AA725" s="4" t="s">
        <v>36</v>
      </c>
      <c r="AB725" s="3" t="s">
        <v>43</v>
      </c>
      <c r="AC725" s="3" t="s">
        <v>2493</v>
      </c>
      <c r="AD725" s="9">
        <v>45301</v>
      </c>
      <c r="AE725" s="3" t="s">
        <v>417</v>
      </c>
      <c r="AF725" s="3" t="s">
        <v>2494</v>
      </c>
      <c r="AG725" s="3" t="s">
        <v>144</v>
      </c>
      <c r="AH725" s="11">
        <f>HYPERLINK("https://my.pitchbook.com?c=249143-05T","View Company Online")</f>
      </c>
    </row>
    <row r="726">
      <c r="A726" s="12" t="s">
        <v>4646</v>
      </c>
      <c r="B726" s="12" t="s">
        <v>4647</v>
      </c>
      <c r="C726" s="19" t="s">
        <v>36</v>
      </c>
      <c r="D726" s="19" t="s">
        <v>36</v>
      </c>
      <c r="E726" s="19" t="s">
        <v>36</v>
      </c>
      <c r="F726" s="19" t="s">
        <v>36</v>
      </c>
      <c r="G726" s="15" t="s">
        <v>36</v>
      </c>
      <c r="H726" s="14" t="s">
        <v>36</v>
      </c>
      <c r="I726" s="18" t="s">
        <v>36</v>
      </c>
      <c r="J726" s="12" t="s">
        <v>36</v>
      </c>
      <c r="K726" s="13" t="s">
        <v>36</v>
      </c>
      <c r="L726" s="15" t="s">
        <v>36</v>
      </c>
      <c r="M726" s="12" t="s">
        <v>36</v>
      </c>
      <c r="N726" s="12" t="s">
        <v>36</v>
      </c>
      <c r="O726" s="17" t="s">
        <v>36</v>
      </c>
      <c r="P726" s="12" t="s">
        <v>36</v>
      </c>
      <c r="Q726" s="12" t="s">
        <v>36</v>
      </c>
      <c r="R726" s="12" t="s">
        <v>36</v>
      </c>
      <c r="S726" s="12" t="s">
        <v>36</v>
      </c>
      <c r="T726" s="12" t="s">
        <v>4648</v>
      </c>
      <c r="U726" s="12" t="s">
        <v>74</v>
      </c>
      <c r="V726" s="12" t="s">
        <v>75</v>
      </c>
      <c r="W726" s="12" t="s">
        <v>4649</v>
      </c>
      <c r="X726" s="16" t="s">
        <v>241</v>
      </c>
      <c r="Y726" s="15" t="s">
        <v>475</v>
      </c>
      <c r="Z726" s="14" t="s">
        <v>36</v>
      </c>
      <c r="AA726" s="14" t="s">
        <v>36</v>
      </c>
      <c r="AB726" s="12" t="s">
        <v>56</v>
      </c>
      <c r="AC726" s="12" t="s">
        <v>4650</v>
      </c>
      <c r="AD726" s="13">
        <v>45301</v>
      </c>
      <c r="AE726" s="12" t="s">
        <v>362</v>
      </c>
      <c r="AF726" s="12" t="s">
        <v>4651</v>
      </c>
      <c r="AG726" s="12" t="s">
        <v>81</v>
      </c>
      <c r="AH726" s="1">
        <f>HYPERLINK("https://my.pitchbook.com?c=249094-90T","View Company Online")</f>
      </c>
    </row>
    <row r="727">
      <c r="A727" s="3" t="s">
        <v>4652</v>
      </c>
      <c r="B727" s="3" t="s">
        <v>4653</v>
      </c>
      <c r="C727" s="5">
        <v>2</v>
      </c>
      <c r="D727" s="5">
        <v>12</v>
      </c>
      <c r="E727" s="5">
        <v>4</v>
      </c>
      <c r="F727" s="5">
        <v>15</v>
      </c>
      <c r="G727" s="6" t="s">
        <v>36</v>
      </c>
      <c r="H727" s="4" t="s">
        <v>36</v>
      </c>
      <c r="I727" s="7" t="s">
        <v>36</v>
      </c>
      <c r="J727" s="3" t="s">
        <v>36</v>
      </c>
      <c r="K727" s="9" t="s">
        <v>36</v>
      </c>
      <c r="L727" s="6" t="s">
        <v>36</v>
      </c>
      <c r="M727" s="3" t="s">
        <v>36</v>
      </c>
      <c r="N727" s="3" t="s">
        <v>36</v>
      </c>
      <c r="O727" s="8" t="s">
        <v>36</v>
      </c>
      <c r="P727" s="3" t="s">
        <v>36</v>
      </c>
      <c r="Q727" s="3" t="s">
        <v>36</v>
      </c>
      <c r="R727" s="3" t="s">
        <v>36</v>
      </c>
      <c r="S727" s="3" t="s">
        <v>36</v>
      </c>
      <c r="T727" s="3" t="s">
        <v>4654</v>
      </c>
      <c r="U727" s="3" t="s">
        <v>1580</v>
      </c>
      <c r="V727" s="3" t="s">
        <v>39</v>
      </c>
      <c r="W727" s="3" t="s">
        <v>4655</v>
      </c>
      <c r="X727" s="10" t="s">
        <v>4656</v>
      </c>
      <c r="Y727" s="6" t="s">
        <v>55</v>
      </c>
      <c r="Z727" s="4">
        <v>37.29</v>
      </c>
      <c r="AA727" s="4" t="s">
        <v>36</v>
      </c>
      <c r="AB727" s="3" t="s">
        <v>56</v>
      </c>
      <c r="AC727" s="3" t="s">
        <v>4657</v>
      </c>
      <c r="AD727" s="9">
        <v>45301</v>
      </c>
      <c r="AE727" s="3" t="s">
        <v>4086</v>
      </c>
      <c r="AF727" s="3" t="s">
        <v>36</v>
      </c>
      <c r="AG727" s="3" t="s">
        <v>81</v>
      </c>
      <c r="AH727" s="11">
        <f>HYPERLINK("https://my.pitchbook.com?c=249071-77T","View Company Online")</f>
      </c>
    </row>
    <row r="728">
      <c r="A728" s="12" t="s">
        <v>4658</v>
      </c>
      <c r="B728" s="12" t="s">
        <v>4659</v>
      </c>
      <c r="C728" s="19">
        <v>5</v>
      </c>
      <c r="D728" s="19">
        <v>2</v>
      </c>
      <c r="E728" s="19">
        <v>2</v>
      </c>
      <c r="F728" s="19">
        <v>9</v>
      </c>
      <c r="G728" s="15" t="s">
        <v>326</v>
      </c>
      <c r="H728" s="14">
        <v>1028.18</v>
      </c>
      <c r="I728" s="18">
        <v>16.47</v>
      </c>
      <c r="J728" s="12" t="s">
        <v>521</v>
      </c>
      <c r="K728" s="13" t="s">
        <v>36</v>
      </c>
      <c r="L728" s="15" t="s">
        <v>36</v>
      </c>
      <c r="M728" s="12" t="s">
        <v>36</v>
      </c>
      <c r="N728" s="12" t="s">
        <v>36</v>
      </c>
      <c r="O728" s="17" t="s">
        <v>36</v>
      </c>
      <c r="P728" s="12" t="s">
        <v>36</v>
      </c>
      <c r="Q728" s="12" t="s">
        <v>36</v>
      </c>
      <c r="R728" s="12" t="s">
        <v>36</v>
      </c>
      <c r="S728" s="12" t="s">
        <v>36</v>
      </c>
      <c r="T728" s="12" t="s">
        <v>1227</v>
      </c>
      <c r="U728" s="12" t="s">
        <v>74</v>
      </c>
      <c r="V728" s="12" t="s">
        <v>75</v>
      </c>
      <c r="W728" s="12" t="s">
        <v>4660</v>
      </c>
      <c r="X728" s="16" t="s">
        <v>4661</v>
      </c>
      <c r="Y728" s="15" t="s">
        <v>55</v>
      </c>
      <c r="Z728" s="14">
        <v>3.89</v>
      </c>
      <c r="AA728" s="14">
        <v>23.61</v>
      </c>
      <c r="AB728" s="12" t="s">
        <v>56</v>
      </c>
      <c r="AC728" s="12" t="s">
        <v>4662</v>
      </c>
      <c r="AD728" s="13">
        <v>45300</v>
      </c>
      <c r="AE728" s="12" t="s">
        <v>570</v>
      </c>
      <c r="AF728" s="12" t="s">
        <v>36</v>
      </c>
      <c r="AG728" s="12" t="s">
        <v>1193</v>
      </c>
      <c r="AH728" s="1">
        <f>HYPERLINK("https://my.pitchbook.com?c=284766-76T","View Company Online")</f>
      </c>
    </row>
    <row r="729">
      <c r="A729" s="3" t="s">
        <v>4663</v>
      </c>
      <c r="B729" s="3" t="s">
        <v>4664</v>
      </c>
      <c r="C729" s="5" t="s">
        <v>36</v>
      </c>
      <c r="D729" s="5" t="s">
        <v>36</v>
      </c>
      <c r="E729" s="5" t="s">
        <v>36</v>
      </c>
      <c r="F729" s="5" t="s">
        <v>36</v>
      </c>
      <c r="G729" s="6" t="s">
        <v>36</v>
      </c>
      <c r="H729" s="4" t="s">
        <v>36</v>
      </c>
      <c r="I729" s="7" t="s">
        <v>36</v>
      </c>
      <c r="J729" s="3" t="s">
        <v>36</v>
      </c>
      <c r="K729" s="9">
        <v>45282</v>
      </c>
      <c r="L729" s="6" t="s">
        <v>1279</v>
      </c>
      <c r="M729" s="3" t="s">
        <v>36</v>
      </c>
      <c r="N729" s="3" t="s">
        <v>1279</v>
      </c>
      <c r="O729" s="8" t="s">
        <v>36</v>
      </c>
      <c r="P729" s="3" t="s">
        <v>36</v>
      </c>
      <c r="Q729" s="3" t="s">
        <v>36</v>
      </c>
      <c r="R729" s="3" t="s">
        <v>36</v>
      </c>
      <c r="S729" s="3" t="s">
        <v>36</v>
      </c>
      <c r="T729" s="3" t="s">
        <v>855</v>
      </c>
      <c r="U729" s="3" t="s">
        <v>648</v>
      </c>
      <c r="V729" s="3" t="s">
        <v>64</v>
      </c>
      <c r="W729" s="3" t="s">
        <v>4665</v>
      </c>
      <c r="X729" s="10" t="s">
        <v>4666</v>
      </c>
      <c r="Y729" s="6" t="s">
        <v>321</v>
      </c>
      <c r="Z729" s="4">
        <v>50</v>
      </c>
      <c r="AA729" s="4" t="s">
        <v>36</v>
      </c>
      <c r="AB729" s="3" t="s">
        <v>56</v>
      </c>
      <c r="AC729" s="3" t="s">
        <v>4667</v>
      </c>
      <c r="AD729" s="9">
        <v>45300</v>
      </c>
      <c r="AE729" s="3" t="s">
        <v>651</v>
      </c>
      <c r="AF729" s="3" t="s">
        <v>4668</v>
      </c>
      <c r="AG729" s="3" t="s">
        <v>81</v>
      </c>
      <c r="AH729" s="11">
        <f>HYPERLINK("https://my.pitchbook.com?c=252420-76T","View Company Online")</f>
      </c>
    </row>
    <row r="730">
      <c r="A730" s="12" t="s">
        <v>4669</v>
      </c>
      <c r="B730" s="12" t="s">
        <v>4670</v>
      </c>
      <c r="C730" s="19" t="s">
        <v>36</v>
      </c>
      <c r="D730" s="19" t="s">
        <v>36</v>
      </c>
      <c r="E730" s="19" t="s">
        <v>36</v>
      </c>
      <c r="F730" s="19" t="s">
        <v>36</v>
      </c>
      <c r="G730" s="15" t="s">
        <v>36</v>
      </c>
      <c r="H730" s="14" t="s">
        <v>36</v>
      </c>
      <c r="I730" s="18" t="s">
        <v>36</v>
      </c>
      <c r="J730" s="12" t="s">
        <v>36</v>
      </c>
      <c r="K730" s="13">
        <v>45205</v>
      </c>
      <c r="L730" s="15" t="s">
        <v>122</v>
      </c>
      <c r="M730" s="12" t="s">
        <v>36</v>
      </c>
      <c r="N730" s="12" t="s">
        <v>122</v>
      </c>
      <c r="O730" s="17" t="s">
        <v>36</v>
      </c>
      <c r="P730" s="12" t="s">
        <v>36</v>
      </c>
      <c r="Q730" s="12" t="s">
        <v>36</v>
      </c>
      <c r="R730" s="12" t="s">
        <v>36</v>
      </c>
      <c r="S730" s="12" t="s">
        <v>36</v>
      </c>
      <c r="T730" s="12" t="s">
        <v>1701</v>
      </c>
      <c r="U730" s="12" t="s">
        <v>74</v>
      </c>
      <c r="V730" s="12" t="s">
        <v>75</v>
      </c>
      <c r="W730" s="12" t="s">
        <v>4671</v>
      </c>
      <c r="X730" s="16" t="s">
        <v>4672</v>
      </c>
      <c r="Y730" s="15" t="s">
        <v>192</v>
      </c>
      <c r="Z730" s="14">
        <v>8.76</v>
      </c>
      <c r="AA730" s="14" t="s">
        <v>36</v>
      </c>
      <c r="AB730" s="12" t="s">
        <v>56</v>
      </c>
      <c r="AC730" s="12" t="s">
        <v>4673</v>
      </c>
      <c r="AD730" s="13">
        <v>45299</v>
      </c>
      <c r="AE730" s="12" t="s">
        <v>79</v>
      </c>
      <c r="AF730" s="12" t="s">
        <v>4674</v>
      </c>
      <c r="AG730" s="12" t="s">
        <v>4675</v>
      </c>
      <c r="AH730" s="1">
        <f>HYPERLINK("https://my.pitchbook.com?c=245039-95T","View Company Online")</f>
      </c>
    </row>
    <row r="731">
      <c r="A731" s="3" t="s">
        <v>4676</v>
      </c>
      <c r="B731" s="3" t="s">
        <v>2232</v>
      </c>
      <c r="C731" s="5" t="s">
        <v>36</v>
      </c>
      <c r="D731" s="5" t="s">
        <v>36</v>
      </c>
      <c r="E731" s="5" t="s">
        <v>36</v>
      </c>
      <c r="F731" s="5" t="s">
        <v>36</v>
      </c>
      <c r="G731" s="6" t="s">
        <v>36</v>
      </c>
      <c r="H731" s="4" t="s">
        <v>36</v>
      </c>
      <c r="I731" s="7" t="s">
        <v>36</v>
      </c>
      <c r="J731" s="3" t="s">
        <v>36</v>
      </c>
      <c r="K731" s="9" t="s">
        <v>36</v>
      </c>
      <c r="L731" s="6" t="s">
        <v>36</v>
      </c>
      <c r="M731" s="3" t="s">
        <v>36</v>
      </c>
      <c r="N731" s="3" t="s">
        <v>36</v>
      </c>
      <c r="O731" s="8" t="s">
        <v>36</v>
      </c>
      <c r="P731" s="3" t="s">
        <v>36</v>
      </c>
      <c r="Q731" s="3" t="s">
        <v>36</v>
      </c>
      <c r="R731" s="3" t="s">
        <v>36</v>
      </c>
      <c r="S731" s="3" t="s">
        <v>36</v>
      </c>
      <c r="T731" s="3" t="s">
        <v>2233</v>
      </c>
      <c r="U731" s="3" t="s">
        <v>74</v>
      </c>
      <c r="V731" s="3" t="s">
        <v>75</v>
      </c>
      <c r="W731" s="3" t="s">
        <v>2234</v>
      </c>
      <c r="X731" s="10" t="s">
        <v>4677</v>
      </c>
      <c r="Y731" s="6" t="s">
        <v>55</v>
      </c>
      <c r="Z731" s="4">
        <v>2.92</v>
      </c>
      <c r="AA731" s="4" t="s">
        <v>36</v>
      </c>
      <c r="AB731" s="3" t="s">
        <v>56</v>
      </c>
      <c r="AC731" s="3" t="s">
        <v>2236</v>
      </c>
      <c r="AD731" s="9">
        <v>45296</v>
      </c>
      <c r="AE731" s="3" t="s">
        <v>2237</v>
      </c>
      <c r="AF731" s="3" t="s">
        <v>2238</v>
      </c>
      <c r="AG731" s="3" t="s">
        <v>81</v>
      </c>
      <c r="AH731" s="11">
        <f>HYPERLINK("https://my.pitchbook.com?c=264443-86T","View Company Online")</f>
      </c>
    </row>
    <row r="732">
      <c r="A732" s="12" t="s">
        <v>4678</v>
      </c>
      <c r="B732" s="12" t="s">
        <v>4679</v>
      </c>
      <c r="C732" s="19" t="s">
        <v>36</v>
      </c>
      <c r="D732" s="19" t="s">
        <v>36</v>
      </c>
      <c r="E732" s="19" t="s">
        <v>36</v>
      </c>
      <c r="F732" s="19" t="s">
        <v>36</v>
      </c>
      <c r="G732" s="15" t="s">
        <v>36</v>
      </c>
      <c r="H732" s="14" t="s">
        <v>36</v>
      </c>
      <c r="I732" s="18" t="s">
        <v>36</v>
      </c>
      <c r="J732" s="12" t="s">
        <v>36</v>
      </c>
      <c r="K732" s="13" t="s">
        <v>36</v>
      </c>
      <c r="L732" s="15" t="s">
        <v>36</v>
      </c>
      <c r="M732" s="12" t="s">
        <v>36</v>
      </c>
      <c r="N732" s="12" t="s">
        <v>36</v>
      </c>
      <c r="O732" s="17" t="s">
        <v>36</v>
      </c>
      <c r="P732" s="12" t="s">
        <v>36</v>
      </c>
      <c r="Q732" s="12" t="s">
        <v>36</v>
      </c>
      <c r="R732" s="12" t="s">
        <v>36</v>
      </c>
      <c r="S732" s="12" t="s">
        <v>36</v>
      </c>
      <c r="T732" s="12" t="s">
        <v>1701</v>
      </c>
      <c r="U732" s="12" t="s">
        <v>74</v>
      </c>
      <c r="V732" s="12" t="s">
        <v>75</v>
      </c>
      <c r="W732" s="12" t="s">
        <v>4680</v>
      </c>
      <c r="X732" s="16" t="s">
        <v>4681</v>
      </c>
      <c r="Y732" s="15" t="s">
        <v>42</v>
      </c>
      <c r="Z732" s="14" t="s">
        <v>36</v>
      </c>
      <c r="AA732" s="14" t="s">
        <v>36</v>
      </c>
      <c r="AB732" s="12" t="s">
        <v>43</v>
      </c>
      <c r="AC732" s="12" t="s">
        <v>4682</v>
      </c>
      <c r="AD732" s="13">
        <v>45296</v>
      </c>
      <c r="AE732" s="12" t="s">
        <v>79</v>
      </c>
      <c r="AF732" s="12" t="s">
        <v>3904</v>
      </c>
      <c r="AG732" s="12" t="s">
        <v>144</v>
      </c>
      <c r="AH732" s="1">
        <f>HYPERLINK("https://my.pitchbook.com?c=272750-05T","View Company Online")</f>
      </c>
    </row>
    <row r="733">
      <c r="A733" s="3" t="s">
        <v>4683</v>
      </c>
      <c r="B733" s="3" t="s">
        <v>4684</v>
      </c>
      <c r="C733" s="5" t="s">
        <v>36</v>
      </c>
      <c r="D733" s="5" t="s">
        <v>36</v>
      </c>
      <c r="E733" s="5" t="s">
        <v>36</v>
      </c>
      <c r="F733" s="5" t="s">
        <v>36</v>
      </c>
      <c r="G733" s="6" t="s">
        <v>326</v>
      </c>
      <c r="H733" s="4" t="s">
        <v>36</v>
      </c>
      <c r="I733" s="7">
        <v>27.2</v>
      </c>
      <c r="J733" s="3" t="s">
        <v>327</v>
      </c>
      <c r="K733" s="9" t="s">
        <v>36</v>
      </c>
      <c r="L733" s="6" t="s">
        <v>94</v>
      </c>
      <c r="M733" s="3" t="s">
        <v>36</v>
      </c>
      <c r="N733" s="3" t="s">
        <v>94</v>
      </c>
      <c r="O733" s="8" t="s">
        <v>36</v>
      </c>
      <c r="P733" s="3" t="s">
        <v>36</v>
      </c>
      <c r="Q733" s="3" t="s">
        <v>36</v>
      </c>
      <c r="R733" s="3" t="s">
        <v>36</v>
      </c>
      <c r="S733" s="3" t="s">
        <v>196</v>
      </c>
      <c r="T733" s="3" t="s">
        <v>189</v>
      </c>
      <c r="U733" s="3" t="s">
        <v>180</v>
      </c>
      <c r="V733" s="3" t="s">
        <v>52</v>
      </c>
      <c r="W733" s="3" t="s">
        <v>4685</v>
      </c>
      <c r="X733" s="10" t="s">
        <v>4686</v>
      </c>
      <c r="Y733" s="6" t="s">
        <v>55</v>
      </c>
      <c r="Z733" s="4">
        <v>32.81</v>
      </c>
      <c r="AA733" s="4">
        <v>120.43</v>
      </c>
      <c r="AB733" s="3" t="s">
        <v>56</v>
      </c>
      <c r="AC733" s="3" t="s">
        <v>4687</v>
      </c>
      <c r="AD733" s="9">
        <v>45296</v>
      </c>
      <c r="AE733" s="3" t="s">
        <v>184</v>
      </c>
      <c r="AF733" s="3" t="s">
        <v>3024</v>
      </c>
      <c r="AG733" s="3" t="s">
        <v>81</v>
      </c>
      <c r="AH733" s="11">
        <f>HYPERLINK("https://my.pitchbook.com?c=248813-47T","View Company Online")</f>
      </c>
    </row>
    <row r="734">
      <c r="A734" s="12" t="s">
        <v>4688</v>
      </c>
      <c r="B734" s="12" t="s">
        <v>1675</v>
      </c>
      <c r="C734" s="19" t="s">
        <v>36</v>
      </c>
      <c r="D734" s="19" t="s">
        <v>36</v>
      </c>
      <c r="E734" s="19" t="s">
        <v>36</v>
      </c>
      <c r="F734" s="19" t="s">
        <v>36</v>
      </c>
      <c r="G734" s="15" t="s">
        <v>683</v>
      </c>
      <c r="H734" s="14">
        <v>19.78</v>
      </c>
      <c r="I734" s="18">
        <v>33.16</v>
      </c>
      <c r="J734" s="12" t="s">
        <v>521</v>
      </c>
      <c r="K734" s="13" t="s">
        <v>36</v>
      </c>
      <c r="L734" s="15" t="s">
        <v>36</v>
      </c>
      <c r="M734" s="12" t="s">
        <v>36</v>
      </c>
      <c r="N734" s="12" t="s">
        <v>36</v>
      </c>
      <c r="O734" s="17" t="s">
        <v>36</v>
      </c>
      <c r="P734" s="12" t="s">
        <v>36</v>
      </c>
      <c r="Q734" s="12" t="s">
        <v>36</v>
      </c>
      <c r="R734" s="12" t="s">
        <v>36</v>
      </c>
      <c r="S734" s="12" t="s">
        <v>36</v>
      </c>
      <c r="T734" s="12" t="s">
        <v>1676</v>
      </c>
      <c r="U734" s="12" t="s">
        <v>85</v>
      </c>
      <c r="V734" s="12" t="s">
        <v>64</v>
      </c>
      <c r="W734" s="12" t="s">
        <v>1677</v>
      </c>
      <c r="X734" s="16" t="s">
        <v>4689</v>
      </c>
      <c r="Y734" s="15" t="s">
        <v>55</v>
      </c>
      <c r="Z734" s="14">
        <v>1.86</v>
      </c>
      <c r="AA734" s="14">
        <v>4.09</v>
      </c>
      <c r="AB734" s="12" t="s">
        <v>56</v>
      </c>
      <c r="AC734" s="12" t="s">
        <v>1678</v>
      </c>
      <c r="AD734" s="13">
        <v>45295</v>
      </c>
      <c r="AE734" s="12" t="s">
        <v>89</v>
      </c>
      <c r="AF734" s="12" t="s">
        <v>1507</v>
      </c>
      <c r="AG734" s="12" t="s">
        <v>47</v>
      </c>
      <c r="AH734" s="1">
        <f>HYPERLINK("https://my.pitchbook.com?c=248725-45T","View Company Online")</f>
      </c>
    </row>
    <row r="735">
      <c r="A735" s="3" t="s">
        <v>4690</v>
      </c>
      <c r="B735" s="3" t="s">
        <v>4691</v>
      </c>
      <c r="C735" s="5" t="s">
        <v>36</v>
      </c>
      <c r="D735" s="5" t="s">
        <v>36</v>
      </c>
      <c r="E735" s="5" t="s">
        <v>36</v>
      </c>
      <c r="F735" s="5" t="s">
        <v>36</v>
      </c>
      <c r="G735" s="6" t="s">
        <v>36</v>
      </c>
      <c r="H735" s="4" t="s">
        <v>36</v>
      </c>
      <c r="I735" s="7" t="s">
        <v>36</v>
      </c>
      <c r="J735" s="3" t="s">
        <v>36</v>
      </c>
      <c r="K735" s="9" t="s">
        <v>36</v>
      </c>
      <c r="L735" s="6" t="s">
        <v>36</v>
      </c>
      <c r="M735" s="3" t="s">
        <v>36</v>
      </c>
      <c r="N735" s="3" t="s">
        <v>36</v>
      </c>
      <c r="O735" s="8" t="s">
        <v>36</v>
      </c>
      <c r="P735" s="3" t="s">
        <v>36</v>
      </c>
      <c r="Q735" s="3" t="s">
        <v>36</v>
      </c>
      <c r="R735" s="3" t="s">
        <v>36</v>
      </c>
      <c r="S735" s="3" t="s">
        <v>36</v>
      </c>
      <c r="T735" s="3" t="s">
        <v>4692</v>
      </c>
      <c r="U735" s="3" t="s">
        <v>85</v>
      </c>
      <c r="V735" s="3" t="s">
        <v>64</v>
      </c>
      <c r="W735" s="3" t="s">
        <v>4693</v>
      </c>
      <c r="X735" s="10" t="s">
        <v>4694</v>
      </c>
      <c r="Y735" s="6" t="s">
        <v>108</v>
      </c>
      <c r="Z735" s="4" t="s">
        <v>36</v>
      </c>
      <c r="AA735" s="4" t="s">
        <v>36</v>
      </c>
      <c r="AB735" s="3" t="s">
        <v>56</v>
      </c>
      <c r="AC735" s="3" t="s">
        <v>4695</v>
      </c>
      <c r="AD735" s="9">
        <v>45295</v>
      </c>
      <c r="AE735" s="3" t="s">
        <v>89</v>
      </c>
      <c r="AF735" s="3" t="s">
        <v>269</v>
      </c>
      <c r="AG735" s="3" t="s">
        <v>1353</v>
      </c>
      <c r="AH735" s="11">
        <f>HYPERLINK("https://my.pitchbook.com?c=249207-85T","View Company Online")</f>
      </c>
    </row>
    <row r="736">
      <c r="A736" s="12" t="s">
        <v>4696</v>
      </c>
      <c r="B736" s="12" t="s">
        <v>4697</v>
      </c>
      <c r="C736" s="19" t="s">
        <v>36</v>
      </c>
      <c r="D736" s="19" t="s">
        <v>36</v>
      </c>
      <c r="E736" s="19" t="s">
        <v>36</v>
      </c>
      <c r="F736" s="19" t="s">
        <v>36</v>
      </c>
      <c r="G736" s="15" t="s">
        <v>36</v>
      </c>
      <c r="H736" s="14" t="s">
        <v>36</v>
      </c>
      <c r="I736" s="18" t="s">
        <v>36</v>
      </c>
      <c r="J736" s="12" t="s">
        <v>36</v>
      </c>
      <c r="K736" s="13" t="s">
        <v>36</v>
      </c>
      <c r="L736" s="15" t="s">
        <v>36</v>
      </c>
      <c r="M736" s="12" t="s">
        <v>36</v>
      </c>
      <c r="N736" s="12" t="s">
        <v>36</v>
      </c>
      <c r="O736" s="17" t="s">
        <v>36</v>
      </c>
      <c r="P736" s="12" t="s">
        <v>36</v>
      </c>
      <c r="Q736" s="12" t="s">
        <v>36</v>
      </c>
      <c r="R736" s="12" t="s">
        <v>36</v>
      </c>
      <c r="S736" s="12" t="s">
        <v>36</v>
      </c>
      <c r="T736" s="12" t="s">
        <v>522</v>
      </c>
      <c r="U736" s="12" t="s">
        <v>38</v>
      </c>
      <c r="V736" s="12" t="s">
        <v>39</v>
      </c>
      <c r="W736" s="12" t="s">
        <v>4698</v>
      </c>
      <c r="X736" s="16" t="s">
        <v>4699</v>
      </c>
      <c r="Y736" s="15" t="s">
        <v>42</v>
      </c>
      <c r="Z736" s="14">
        <v>0.62</v>
      </c>
      <c r="AA736" s="14" t="s">
        <v>36</v>
      </c>
      <c r="AB736" s="12" t="s">
        <v>56</v>
      </c>
      <c r="AC736" s="12" t="s">
        <v>4700</v>
      </c>
      <c r="AD736" s="13">
        <v>45295</v>
      </c>
      <c r="AE736" s="12" t="s">
        <v>110</v>
      </c>
      <c r="AF736" s="12" t="s">
        <v>176</v>
      </c>
      <c r="AG736" s="12" t="s">
        <v>899</v>
      </c>
      <c r="AH736" s="1">
        <f>HYPERLINK("https://my.pitchbook.com?c=246367-63T","View Company Online")</f>
      </c>
    </row>
    <row r="737">
      <c r="A737" s="3" t="s">
        <v>4701</v>
      </c>
      <c r="B737" s="3" t="s">
        <v>4702</v>
      </c>
      <c r="C737" s="5" t="s">
        <v>36</v>
      </c>
      <c r="D737" s="5" t="s">
        <v>36</v>
      </c>
      <c r="E737" s="5" t="s">
        <v>36</v>
      </c>
      <c r="F737" s="5" t="s">
        <v>36</v>
      </c>
      <c r="G737" s="6" t="s">
        <v>36</v>
      </c>
      <c r="H737" s="4" t="s">
        <v>36</v>
      </c>
      <c r="I737" s="7" t="s">
        <v>36</v>
      </c>
      <c r="J737" s="3" t="s">
        <v>36</v>
      </c>
      <c r="K737" s="9" t="s">
        <v>36</v>
      </c>
      <c r="L737" s="6" t="s">
        <v>36</v>
      </c>
      <c r="M737" s="3" t="s">
        <v>36</v>
      </c>
      <c r="N737" s="3" t="s">
        <v>36</v>
      </c>
      <c r="O737" s="8" t="s">
        <v>36</v>
      </c>
      <c r="P737" s="3" t="s">
        <v>36</v>
      </c>
      <c r="Q737" s="3" t="s">
        <v>36</v>
      </c>
      <c r="R737" s="3" t="s">
        <v>36</v>
      </c>
      <c r="S737" s="3" t="s">
        <v>36</v>
      </c>
      <c r="T737" s="3" t="s">
        <v>596</v>
      </c>
      <c r="U737" s="3" t="s">
        <v>366</v>
      </c>
      <c r="V737" s="3" t="s">
        <v>367</v>
      </c>
      <c r="W737" s="3" t="s">
        <v>4703</v>
      </c>
      <c r="X737" s="10" t="s">
        <v>3464</v>
      </c>
      <c r="Y737" s="6" t="s">
        <v>42</v>
      </c>
      <c r="Z737" s="4" t="s">
        <v>36</v>
      </c>
      <c r="AA737" s="4" t="s">
        <v>36</v>
      </c>
      <c r="AB737" s="3" t="s">
        <v>43</v>
      </c>
      <c r="AC737" s="3" t="s">
        <v>4704</v>
      </c>
      <c r="AD737" s="9">
        <v>45295</v>
      </c>
      <c r="AE737" s="3" t="s">
        <v>600</v>
      </c>
      <c r="AF737" s="3" t="s">
        <v>1619</v>
      </c>
      <c r="AG737" s="3" t="s">
        <v>4705</v>
      </c>
      <c r="AH737" s="11">
        <f>HYPERLINK("https://my.pitchbook.com?c=276684-31T","View Company Online")</f>
      </c>
    </row>
    <row r="738">
      <c r="A738" s="12" t="s">
        <v>4706</v>
      </c>
      <c r="B738" s="12" t="s">
        <v>4707</v>
      </c>
      <c r="C738" s="19">
        <v>46</v>
      </c>
      <c r="D738" s="19">
        <v>28</v>
      </c>
      <c r="E738" s="19">
        <v>18</v>
      </c>
      <c r="F738" s="19">
        <v>82</v>
      </c>
      <c r="G738" s="15" t="s">
        <v>36</v>
      </c>
      <c r="H738" s="14" t="s">
        <v>36</v>
      </c>
      <c r="I738" s="18" t="s">
        <v>36</v>
      </c>
      <c r="J738" s="12" t="s">
        <v>36</v>
      </c>
      <c r="K738" s="13" t="s">
        <v>36</v>
      </c>
      <c r="L738" s="15" t="s">
        <v>1279</v>
      </c>
      <c r="M738" s="12" t="s">
        <v>36</v>
      </c>
      <c r="N738" s="12" t="s">
        <v>1279</v>
      </c>
      <c r="O738" s="17" t="s">
        <v>36</v>
      </c>
      <c r="P738" s="12" t="s">
        <v>36</v>
      </c>
      <c r="Q738" s="12" t="s">
        <v>36</v>
      </c>
      <c r="R738" s="12" t="s">
        <v>36</v>
      </c>
      <c r="S738" s="12" t="s">
        <v>36</v>
      </c>
      <c r="T738" s="12" t="s">
        <v>881</v>
      </c>
      <c r="U738" s="12" t="s">
        <v>51</v>
      </c>
      <c r="V738" s="12" t="s">
        <v>52</v>
      </c>
      <c r="W738" s="12" t="s">
        <v>4708</v>
      </c>
      <c r="X738" s="16" t="s">
        <v>4709</v>
      </c>
      <c r="Y738" s="15" t="s">
        <v>166</v>
      </c>
      <c r="Z738" s="14">
        <v>42.62</v>
      </c>
      <c r="AA738" s="14" t="s">
        <v>36</v>
      </c>
      <c r="AB738" s="12" t="s">
        <v>56</v>
      </c>
      <c r="AC738" s="12" t="s">
        <v>4710</v>
      </c>
      <c r="AD738" s="13">
        <v>45294</v>
      </c>
      <c r="AE738" s="12" t="s">
        <v>504</v>
      </c>
      <c r="AF738" s="12" t="s">
        <v>885</v>
      </c>
      <c r="AG738" s="12" t="s">
        <v>47</v>
      </c>
      <c r="AH738" s="1">
        <f>HYPERLINK("https://my.pitchbook.com?c=248655-25T","View Company Online")</f>
      </c>
    </row>
    <row r="739">
      <c r="A739" s="3" t="s">
        <v>4711</v>
      </c>
      <c r="B739" s="3" t="s">
        <v>4712</v>
      </c>
      <c r="C739" s="5" t="s">
        <v>36</v>
      </c>
      <c r="D739" s="5" t="s">
        <v>36</v>
      </c>
      <c r="E739" s="5" t="s">
        <v>36</v>
      </c>
      <c r="F739" s="5" t="s">
        <v>36</v>
      </c>
      <c r="G739" s="6" t="s">
        <v>36</v>
      </c>
      <c r="H739" s="4" t="s">
        <v>36</v>
      </c>
      <c r="I739" s="7" t="s">
        <v>36</v>
      </c>
      <c r="J739" s="3" t="s">
        <v>36</v>
      </c>
      <c r="K739" s="9" t="s">
        <v>36</v>
      </c>
      <c r="L739" s="6" t="s">
        <v>122</v>
      </c>
      <c r="M739" s="3" t="s">
        <v>36</v>
      </c>
      <c r="N739" s="3" t="s">
        <v>122</v>
      </c>
      <c r="O739" s="8" t="s">
        <v>36</v>
      </c>
      <c r="P739" s="3" t="s">
        <v>36</v>
      </c>
      <c r="Q739" s="3" t="s">
        <v>36</v>
      </c>
      <c r="R739" s="3" t="s">
        <v>36</v>
      </c>
      <c r="S739" s="3" t="s">
        <v>36</v>
      </c>
      <c r="T739" s="3" t="s">
        <v>522</v>
      </c>
      <c r="U739" s="3" t="s">
        <v>38</v>
      </c>
      <c r="V739" s="3" t="s">
        <v>39</v>
      </c>
      <c r="W739" s="3" t="s">
        <v>4713</v>
      </c>
      <c r="X739" s="10" t="s">
        <v>4714</v>
      </c>
      <c r="Y739" s="6" t="s">
        <v>108</v>
      </c>
      <c r="Z739" s="4">
        <v>5</v>
      </c>
      <c r="AA739" s="4" t="s">
        <v>36</v>
      </c>
      <c r="AB739" s="3" t="s">
        <v>43</v>
      </c>
      <c r="AC739" s="3" t="s">
        <v>4715</v>
      </c>
      <c r="AD739" s="9">
        <v>45294</v>
      </c>
      <c r="AE739" s="3" t="s">
        <v>110</v>
      </c>
      <c r="AF739" s="3" t="s">
        <v>1401</v>
      </c>
      <c r="AG739" s="3" t="s">
        <v>81</v>
      </c>
      <c r="AH739" s="11">
        <f>HYPERLINK("https://my.pitchbook.com?c=258562-63T","View Company Online")</f>
      </c>
    </row>
    <row r="740">
      <c r="A740" s="12" t="s">
        <v>4716</v>
      </c>
      <c r="B740" s="12" t="s">
        <v>4717</v>
      </c>
      <c r="C740" s="19" t="s">
        <v>36</v>
      </c>
      <c r="D740" s="19" t="s">
        <v>36</v>
      </c>
      <c r="E740" s="19" t="s">
        <v>36</v>
      </c>
      <c r="F740" s="19" t="s">
        <v>36</v>
      </c>
      <c r="G740" s="15" t="s">
        <v>36</v>
      </c>
      <c r="H740" s="14" t="s">
        <v>36</v>
      </c>
      <c r="I740" s="18" t="s">
        <v>36</v>
      </c>
      <c r="J740" s="12" t="s">
        <v>36</v>
      </c>
      <c r="K740" s="13" t="s">
        <v>36</v>
      </c>
      <c r="L740" s="15" t="s">
        <v>36</v>
      </c>
      <c r="M740" s="12" t="s">
        <v>36</v>
      </c>
      <c r="N740" s="12" t="s">
        <v>36</v>
      </c>
      <c r="O740" s="17" t="s">
        <v>36</v>
      </c>
      <c r="P740" s="12" t="s">
        <v>36</v>
      </c>
      <c r="Q740" s="12" t="s">
        <v>36</v>
      </c>
      <c r="R740" s="12" t="s">
        <v>36</v>
      </c>
      <c r="S740" s="12" t="s">
        <v>36</v>
      </c>
      <c r="T740" s="12" t="s">
        <v>676</v>
      </c>
      <c r="U740" s="12" t="s">
        <v>438</v>
      </c>
      <c r="V740" s="12" t="s">
        <v>405</v>
      </c>
      <c r="W740" s="12" t="s">
        <v>4718</v>
      </c>
      <c r="X740" s="16" t="s">
        <v>2433</v>
      </c>
      <c r="Y740" s="15" t="s">
        <v>42</v>
      </c>
      <c r="Z740" s="14" t="s">
        <v>36</v>
      </c>
      <c r="AA740" s="14" t="s">
        <v>36</v>
      </c>
      <c r="AB740" s="12" t="s">
        <v>43</v>
      </c>
      <c r="AC740" s="12" t="s">
        <v>4719</v>
      </c>
      <c r="AD740" s="13">
        <v>45292</v>
      </c>
      <c r="AE740" s="12" t="s">
        <v>438</v>
      </c>
      <c r="AF740" s="12" t="s">
        <v>1257</v>
      </c>
      <c r="AG740" s="12" t="s">
        <v>81</v>
      </c>
      <c r="AH740" s="1">
        <f>HYPERLINK("https://my.pitchbook.com?c=280729-36T","View Company Online")</f>
      </c>
    </row>
    <row r="741">
      <c r="A741" s="3" t="s">
        <v>4720</v>
      </c>
      <c r="B741" s="3" t="s">
        <v>4721</v>
      </c>
      <c r="C741" s="5" t="s">
        <v>36</v>
      </c>
      <c r="D741" s="5" t="s">
        <v>36</v>
      </c>
      <c r="E741" s="5" t="s">
        <v>36</v>
      </c>
      <c r="F741" s="5" t="s">
        <v>36</v>
      </c>
      <c r="G741" s="6" t="s">
        <v>36</v>
      </c>
      <c r="H741" s="4" t="s">
        <v>36</v>
      </c>
      <c r="I741" s="7" t="s">
        <v>36</v>
      </c>
      <c r="J741" s="3" t="s">
        <v>36</v>
      </c>
      <c r="K741" s="9" t="s">
        <v>36</v>
      </c>
      <c r="L741" s="6" t="s">
        <v>36</v>
      </c>
      <c r="M741" s="3" t="s">
        <v>36</v>
      </c>
      <c r="N741" s="3" t="s">
        <v>36</v>
      </c>
      <c r="O741" s="8" t="s">
        <v>36</v>
      </c>
      <c r="P741" s="3" t="s">
        <v>36</v>
      </c>
      <c r="Q741" s="3" t="s">
        <v>36</v>
      </c>
      <c r="R741" s="3" t="s">
        <v>36</v>
      </c>
      <c r="S741" s="3" t="s">
        <v>36</v>
      </c>
      <c r="T741" s="3" t="s">
        <v>123</v>
      </c>
      <c r="U741" s="3" t="s">
        <v>38</v>
      </c>
      <c r="V741" s="3" t="s">
        <v>39</v>
      </c>
      <c r="W741" s="3" t="s">
        <v>4722</v>
      </c>
      <c r="X741" s="10" t="s">
        <v>1322</v>
      </c>
      <c r="Y741" s="6" t="s">
        <v>42</v>
      </c>
      <c r="Z741" s="4">
        <v>0.67</v>
      </c>
      <c r="AA741" s="4" t="s">
        <v>36</v>
      </c>
      <c r="AB741" s="3" t="s">
        <v>43</v>
      </c>
      <c r="AC741" s="3" t="s">
        <v>4723</v>
      </c>
      <c r="AD741" s="9">
        <v>45292</v>
      </c>
      <c r="AE741" s="3" t="s">
        <v>110</v>
      </c>
      <c r="AF741" s="3" t="s">
        <v>4724</v>
      </c>
      <c r="AG741" s="3" t="s">
        <v>4725</v>
      </c>
      <c r="AH741" s="11">
        <f>HYPERLINK("https://my.pitchbook.com?c=266531-86T","View Company Online")</f>
      </c>
    </row>
    <row r="742">
      <c r="A742" s="12" t="s">
        <v>4726</v>
      </c>
      <c r="B742" s="12" t="s">
        <v>4727</v>
      </c>
      <c r="C742" s="19" t="s">
        <v>36</v>
      </c>
      <c r="D742" s="19">
        <v>2</v>
      </c>
      <c r="E742" s="19">
        <v>1</v>
      </c>
      <c r="F742" s="19">
        <v>2</v>
      </c>
      <c r="G742" s="15" t="s">
        <v>36</v>
      </c>
      <c r="H742" s="14" t="s">
        <v>36</v>
      </c>
      <c r="I742" s="18" t="s">
        <v>36</v>
      </c>
      <c r="J742" s="12" t="s">
        <v>36</v>
      </c>
      <c r="K742" s="13" t="s">
        <v>36</v>
      </c>
      <c r="L742" s="15" t="s">
        <v>36</v>
      </c>
      <c r="M742" s="12" t="s">
        <v>36</v>
      </c>
      <c r="N742" s="12" t="s">
        <v>36</v>
      </c>
      <c r="O742" s="17" t="s">
        <v>36</v>
      </c>
      <c r="P742" s="12" t="s">
        <v>36</v>
      </c>
      <c r="Q742" s="12" t="s">
        <v>36</v>
      </c>
      <c r="R742" s="12" t="s">
        <v>36</v>
      </c>
      <c r="S742" s="12" t="s">
        <v>36</v>
      </c>
      <c r="T742" s="12" t="s">
        <v>3264</v>
      </c>
      <c r="U742" s="12" t="s">
        <v>96</v>
      </c>
      <c r="V742" s="12" t="s">
        <v>52</v>
      </c>
      <c r="W742" s="12" t="s">
        <v>4728</v>
      </c>
      <c r="X742" s="16" t="s">
        <v>730</v>
      </c>
      <c r="Y742" s="15" t="s">
        <v>108</v>
      </c>
      <c r="Z742" s="14" t="s">
        <v>36</v>
      </c>
      <c r="AA742" s="14" t="s">
        <v>36</v>
      </c>
      <c r="AB742" s="12" t="s">
        <v>56</v>
      </c>
      <c r="AC742" s="12" t="s">
        <v>4729</v>
      </c>
      <c r="AD742" s="13">
        <v>45292</v>
      </c>
      <c r="AE742" s="12" t="s">
        <v>496</v>
      </c>
      <c r="AF742" s="12" t="s">
        <v>4730</v>
      </c>
      <c r="AG742" s="12" t="s">
        <v>512</v>
      </c>
      <c r="AH742" s="1">
        <f>HYPERLINK("https://my.pitchbook.com?c=256828-60T","View Company Online")</f>
      </c>
    </row>
    <row r="743">
      <c r="A743" s="3" t="s">
        <v>4731</v>
      </c>
      <c r="B743" s="3" t="s">
        <v>4732</v>
      </c>
      <c r="C743" s="5" t="s">
        <v>36</v>
      </c>
      <c r="D743" s="5" t="s">
        <v>36</v>
      </c>
      <c r="E743" s="5" t="s">
        <v>36</v>
      </c>
      <c r="F743" s="5" t="s">
        <v>36</v>
      </c>
      <c r="G743" s="6" t="s">
        <v>36</v>
      </c>
      <c r="H743" s="4" t="s">
        <v>36</v>
      </c>
      <c r="I743" s="7" t="s">
        <v>36</v>
      </c>
      <c r="J743" s="3" t="s">
        <v>36</v>
      </c>
      <c r="K743" s="9" t="s">
        <v>36</v>
      </c>
      <c r="L743" s="6" t="s">
        <v>36</v>
      </c>
      <c r="M743" s="3" t="s">
        <v>36</v>
      </c>
      <c r="N743" s="3" t="s">
        <v>36</v>
      </c>
      <c r="O743" s="8" t="s">
        <v>36</v>
      </c>
      <c r="P743" s="3" t="s">
        <v>36</v>
      </c>
      <c r="Q743" s="3" t="s">
        <v>36</v>
      </c>
      <c r="R743" s="3" t="s">
        <v>36</v>
      </c>
      <c r="S743" s="3" t="s">
        <v>36</v>
      </c>
      <c r="T743" s="3" t="s">
        <v>4733</v>
      </c>
      <c r="U743" s="3" t="s">
        <v>423</v>
      </c>
      <c r="V743" s="3" t="s">
        <v>64</v>
      </c>
      <c r="W743" s="3" t="s">
        <v>4734</v>
      </c>
      <c r="X743" s="10" t="s">
        <v>4735</v>
      </c>
      <c r="Y743" s="6" t="s">
        <v>42</v>
      </c>
      <c r="Z743" s="4" t="s">
        <v>36</v>
      </c>
      <c r="AA743" s="4" t="s">
        <v>36</v>
      </c>
      <c r="AB743" s="3" t="s">
        <v>43</v>
      </c>
      <c r="AC743" s="3" t="s">
        <v>4736</v>
      </c>
      <c r="AD743" s="9">
        <v>45292</v>
      </c>
      <c r="AE743" s="3" t="s">
        <v>1051</v>
      </c>
      <c r="AF743" s="3" t="s">
        <v>90</v>
      </c>
      <c r="AG743" s="3" t="s">
        <v>81</v>
      </c>
      <c r="AH743" s="11">
        <f>HYPERLINK("https://my.pitchbook.com?c=249482-98T","View Company Online")</f>
      </c>
    </row>
    <row r="744">
      <c r="A744" s="12" t="s">
        <v>4737</v>
      </c>
      <c r="B744" s="12" t="s">
        <v>4738</v>
      </c>
      <c r="C744" s="19" t="s">
        <v>36</v>
      </c>
      <c r="D744" s="19" t="s">
        <v>36</v>
      </c>
      <c r="E744" s="19" t="s">
        <v>36</v>
      </c>
      <c r="F744" s="19" t="s">
        <v>36</v>
      </c>
      <c r="G744" s="15" t="s">
        <v>36</v>
      </c>
      <c r="H744" s="14" t="s">
        <v>36</v>
      </c>
      <c r="I744" s="18" t="s">
        <v>36</v>
      </c>
      <c r="J744" s="12" t="s">
        <v>36</v>
      </c>
      <c r="K744" s="13" t="s">
        <v>36</v>
      </c>
      <c r="L744" s="15" t="s">
        <v>36</v>
      </c>
      <c r="M744" s="12" t="s">
        <v>36</v>
      </c>
      <c r="N744" s="12" t="s">
        <v>36</v>
      </c>
      <c r="O744" s="17" t="s">
        <v>36</v>
      </c>
      <c r="P744" s="12" t="s">
        <v>36</v>
      </c>
      <c r="Q744" s="12" t="s">
        <v>36</v>
      </c>
      <c r="R744" s="12" t="s">
        <v>36</v>
      </c>
      <c r="S744" s="12" t="s">
        <v>36</v>
      </c>
      <c r="T744" s="12" t="s">
        <v>3208</v>
      </c>
      <c r="U744" s="12" t="s">
        <v>1798</v>
      </c>
      <c r="V744" s="12" t="s">
        <v>39</v>
      </c>
      <c r="W744" s="12" t="s">
        <v>4739</v>
      </c>
      <c r="X744" s="16" t="s">
        <v>4740</v>
      </c>
      <c r="Y744" s="15" t="s">
        <v>42</v>
      </c>
      <c r="Z744" s="14" t="s">
        <v>36</v>
      </c>
      <c r="AA744" s="14" t="s">
        <v>36</v>
      </c>
      <c r="AB744" s="12" t="s">
        <v>43</v>
      </c>
      <c r="AC744" s="12" t="s">
        <v>4741</v>
      </c>
      <c r="AD744" s="13">
        <v>45292</v>
      </c>
      <c r="AE744" s="12" t="s">
        <v>1802</v>
      </c>
      <c r="AF744" s="12" t="s">
        <v>275</v>
      </c>
      <c r="AG744" s="12" t="s">
        <v>81</v>
      </c>
      <c r="AH744" s="1">
        <f>HYPERLINK("https://my.pitchbook.com?c=272137-24T","View Company Online")</f>
      </c>
    </row>
    <row r="745">
      <c r="A745" s="3" t="s">
        <v>4742</v>
      </c>
      <c r="B745" s="3" t="s">
        <v>4743</v>
      </c>
      <c r="C745" s="5">
        <v>7</v>
      </c>
      <c r="D745" s="5" t="s">
        <v>36</v>
      </c>
      <c r="E745" s="5">
        <v>4</v>
      </c>
      <c r="F745" s="5">
        <v>8</v>
      </c>
      <c r="G745" s="6" t="s">
        <v>36</v>
      </c>
      <c r="H745" s="4" t="s">
        <v>36</v>
      </c>
      <c r="I745" s="7" t="s">
        <v>36</v>
      </c>
      <c r="J745" s="3" t="s">
        <v>36</v>
      </c>
      <c r="K745" s="9" t="s">
        <v>36</v>
      </c>
      <c r="L745" s="6" t="s">
        <v>36</v>
      </c>
      <c r="M745" s="3" t="s">
        <v>36</v>
      </c>
      <c r="N745" s="3" t="s">
        <v>36</v>
      </c>
      <c r="O745" s="8" t="s">
        <v>36</v>
      </c>
      <c r="P745" s="3" t="s">
        <v>36</v>
      </c>
      <c r="Q745" s="3" t="s">
        <v>36</v>
      </c>
      <c r="R745" s="3" t="s">
        <v>36</v>
      </c>
      <c r="S745" s="3" t="s">
        <v>36</v>
      </c>
      <c r="T745" s="3" t="s">
        <v>4744</v>
      </c>
      <c r="U745" s="3" t="s">
        <v>51</v>
      </c>
      <c r="V745" s="3" t="s">
        <v>52</v>
      </c>
      <c r="W745" s="3" t="s">
        <v>4745</v>
      </c>
      <c r="X745" s="10" t="s">
        <v>2414</v>
      </c>
      <c r="Y745" s="6" t="s">
        <v>42</v>
      </c>
      <c r="Z745" s="4" t="s">
        <v>36</v>
      </c>
      <c r="AA745" s="4" t="s">
        <v>36</v>
      </c>
      <c r="AB745" s="3" t="s">
        <v>56</v>
      </c>
      <c r="AC745" s="3" t="s">
        <v>4746</v>
      </c>
      <c r="AD745" s="9">
        <v>45292</v>
      </c>
      <c r="AE745" s="3" t="s">
        <v>158</v>
      </c>
      <c r="AF745" s="3" t="s">
        <v>2673</v>
      </c>
      <c r="AG745" s="3" t="s">
        <v>144</v>
      </c>
      <c r="AH745" s="11">
        <f>HYPERLINK("https://my.pitchbook.com?c=276170-32T","View Company Online")</f>
      </c>
    </row>
    <row r="746">
      <c r="A746" s="12" t="s">
        <v>4747</v>
      </c>
      <c r="B746" s="12" t="s">
        <v>4748</v>
      </c>
      <c r="C746" s="19" t="s">
        <v>36</v>
      </c>
      <c r="D746" s="19" t="s">
        <v>36</v>
      </c>
      <c r="E746" s="19" t="s">
        <v>36</v>
      </c>
      <c r="F746" s="19" t="s">
        <v>36</v>
      </c>
      <c r="G746" s="15" t="s">
        <v>36</v>
      </c>
      <c r="H746" s="14" t="s">
        <v>36</v>
      </c>
      <c r="I746" s="18" t="s">
        <v>36</v>
      </c>
      <c r="J746" s="12" t="s">
        <v>36</v>
      </c>
      <c r="K746" s="13" t="s">
        <v>36</v>
      </c>
      <c r="L746" s="15" t="s">
        <v>36</v>
      </c>
      <c r="M746" s="12" t="s">
        <v>36</v>
      </c>
      <c r="N746" s="12" t="s">
        <v>36</v>
      </c>
      <c r="O746" s="17" t="s">
        <v>36</v>
      </c>
      <c r="P746" s="12" t="s">
        <v>36</v>
      </c>
      <c r="Q746" s="12" t="s">
        <v>36</v>
      </c>
      <c r="R746" s="12" t="s">
        <v>36</v>
      </c>
      <c r="S746" s="12" t="s">
        <v>36</v>
      </c>
      <c r="T746" s="12" t="s">
        <v>881</v>
      </c>
      <c r="U746" s="12" t="s">
        <v>51</v>
      </c>
      <c r="V746" s="12" t="s">
        <v>52</v>
      </c>
      <c r="W746" s="12" t="s">
        <v>4749</v>
      </c>
      <c r="X746" s="16" t="s">
        <v>4750</v>
      </c>
      <c r="Y746" s="15" t="s">
        <v>166</v>
      </c>
      <c r="Z746" s="14" t="s">
        <v>36</v>
      </c>
      <c r="AA746" s="14" t="s">
        <v>36</v>
      </c>
      <c r="AB746" s="12" t="s">
        <v>56</v>
      </c>
      <c r="AC746" s="12" t="s">
        <v>4751</v>
      </c>
      <c r="AD746" s="13">
        <v>45292</v>
      </c>
      <c r="AE746" s="12" t="s">
        <v>504</v>
      </c>
      <c r="AF746" s="12" t="s">
        <v>159</v>
      </c>
      <c r="AG746" s="12" t="s">
        <v>81</v>
      </c>
      <c r="AH746" s="1">
        <f>HYPERLINK("https://my.pitchbook.com?c=281431-63T","View Company Online")</f>
      </c>
    </row>
    <row r="747">
      <c r="A747" s="3" t="s">
        <v>4752</v>
      </c>
      <c r="B747" s="3" t="s">
        <v>4753</v>
      </c>
      <c r="C747" s="5" t="s">
        <v>36</v>
      </c>
      <c r="D747" s="5" t="s">
        <v>36</v>
      </c>
      <c r="E747" s="5" t="s">
        <v>36</v>
      </c>
      <c r="F747" s="5" t="s">
        <v>36</v>
      </c>
      <c r="G747" s="6" t="s">
        <v>36</v>
      </c>
      <c r="H747" s="4" t="s">
        <v>36</v>
      </c>
      <c r="I747" s="7" t="s">
        <v>36</v>
      </c>
      <c r="J747" s="3" t="s">
        <v>36</v>
      </c>
      <c r="K747" s="9" t="s">
        <v>36</v>
      </c>
      <c r="L747" s="6" t="s">
        <v>36</v>
      </c>
      <c r="M747" s="3" t="s">
        <v>36</v>
      </c>
      <c r="N747" s="3" t="s">
        <v>36</v>
      </c>
      <c r="O747" s="8" t="s">
        <v>36</v>
      </c>
      <c r="P747" s="3" t="s">
        <v>36</v>
      </c>
      <c r="Q747" s="3" t="s">
        <v>36</v>
      </c>
      <c r="R747" s="3" t="s">
        <v>36</v>
      </c>
      <c r="S747" s="3" t="s">
        <v>36</v>
      </c>
      <c r="T747" s="3" t="s">
        <v>1253</v>
      </c>
      <c r="U747" s="3" t="s">
        <v>38</v>
      </c>
      <c r="V747" s="3" t="s">
        <v>39</v>
      </c>
      <c r="W747" s="3" t="s">
        <v>4754</v>
      </c>
      <c r="X747" s="10" t="s">
        <v>560</v>
      </c>
      <c r="Y747" s="6" t="s">
        <v>42</v>
      </c>
      <c r="Z747" s="4" t="s">
        <v>36</v>
      </c>
      <c r="AA747" s="4" t="s">
        <v>36</v>
      </c>
      <c r="AB747" s="3" t="s">
        <v>43</v>
      </c>
      <c r="AC747" s="3" t="s">
        <v>4755</v>
      </c>
      <c r="AD747" s="9">
        <v>45292</v>
      </c>
      <c r="AE747" s="3" t="s">
        <v>45</v>
      </c>
      <c r="AF747" s="3" t="s">
        <v>36</v>
      </c>
      <c r="AG747" s="3" t="s">
        <v>81</v>
      </c>
      <c r="AH747" s="11">
        <f>HYPERLINK("https://my.pitchbook.com?c=281962-99T","View Company Online")</f>
      </c>
    </row>
    <row r="748">
      <c r="A748" s="12" t="s">
        <v>4756</v>
      </c>
      <c r="B748" s="12" t="s">
        <v>4757</v>
      </c>
      <c r="C748" s="19" t="s">
        <v>36</v>
      </c>
      <c r="D748" s="19" t="s">
        <v>36</v>
      </c>
      <c r="E748" s="19" t="s">
        <v>36</v>
      </c>
      <c r="F748" s="19" t="s">
        <v>36</v>
      </c>
      <c r="G748" s="15" t="s">
        <v>36</v>
      </c>
      <c r="H748" s="14" t="s">
        <v>36</v>
      </c>
      <c r="I748" s="18" t="s">
        <v>36</v>
      </c>
      <c r="J748" s="12" t="s">
        <v>36</v>
      </c>
      <c r="K748" s="13" t="s">
        <v>36</v>
      </c>
      <c r="L748" s="15" t="s">
        <v>36</v>
      </c>
      <c r="M748" s="12" t="s">
        <v>36</v>
      </c>
      <c r="N748" s="12" t="s">
        <v>36</v>
      </c>
      <c r="O748" s="17" t="s">
        <v>36</v>
      </c>
      <c r="P748" s="12" t="s">
        <v>36</v>
      </c>
      <c r="Q748" s="12" t="s">
        <v>36</v>
      </c>
      <c r="R748" s="12" t="s">
        <v>36</v>
      </c>
      <c r="S748" s="12" t="s">
        <v>36</v>
      </c>
      <c r="T748" s="12" t="s">
        <v>4758</v>
      </c>
      <c r="U748" s="12" t="s">
        <v>38</v>
      </c>
      <c r="V748" s="12" t="s">
        <v>39</v>
      </c>
      <c r="W748" s="12" t="s">
        <v>4759</v>
      </c>
      <c r="X748" s="16" t="s">
        <v>4760</v>
      </c>
      <c r="Y748" s="15" t="s">
        <v>42</v>
      </c>
      <c r="Z748" s="14" t="s">
        <v>36</v>
      </c>
      <c r="AA748" s="14" t="s">
        <v>36</v>
      </c>
      <c r="AB748" s="12" t="s">
        <v>43</v>
      </c>
      <c r="AC748" s="12" t="s">
        <v>4761</v>
      </c>
      <c r="AD748" s="13">
        <v>45292</v>
      </c>
      <c r="AE748" s="12" t="s">
        <v>1330</v>
      </c>
      <c r="AF748" s="12" t="s">
        <v>275</v>
      </c>
      <c r="AG748" s="12" t="s">
        <v>81</v>
      </c>
      <c r="AH748" s="1">
        <f>HYPERLINK("https://my.pitchbook.com?c=250471-54T","View Company Online")</f>
      </c>
    </row>
    <row r="749">
      <c r="A749" s="3" t="s">
        <v>4762</v>
      </c>
      <c r="B749" s="3" t="s">
        <v>4763</v>
      </c>
      <c r="C749" s="5">
        <v>20</v>
      </c>
      <c r="D749" s="5">
        <v>97</v>
      </c>
      <c r="E749" s="5">
        <v>70</v>
      </c>
      <c r="F749" s="5">
        <v>130</v>
      </c>
      <c r="G749" s="6" t="s">
        <v>36</v>
      </c>
      <c r="H749" s="4" t="s">
        <v>36</v>
      </c>
      <c r="I749" s="7" t="s">
        <v>36</v>
      </c>
      <c r="J749" s="3" t="s">
        <v>36</v>
      </c>
      <c r="K749" s="9" t="s">
        <v>36</v>
      </c>
      <c r="L749" s="6" t="s">
        <v>36</v>
      </c>
      <c r="M749" s="3" t="s">
        <v>36</v>
      </c>
      <c r="N749" s="3" t="s">
        <v>36</v>
      </c>
      <c r="O749" s="8" t="s">
        <v>36</v>
      </c>
      <c r="P749" s="3" t="s">
        <v>36</v>
      </c>
      <c r="Q749" s="3" t="s">
        <v>36</v>
      </c>
      <c r="R749" s="3" t="s">
        <v>36</v>
      </c>
      <c r="S749" s="3" t="s">
        <v>196</v>
      </c>
      <c r="T749" s="3" t="s">
        <v>522</v>
      </c>
      <c r="U749" s="3" t="s">
        <v>38</v>
      </c>
      <c r="V749" s="3" t="s">
        <v>39</v>
      </c>
      <c r="W749" s="3" t="s">
        <v>4764</v>
      </c>
      <c r="X749" s="10" t="s">
        <v>4765</v>
      </c>
      <c r="Y749" s="6" t="s">
        <v>1067</v>
      </c>
      <c r="Z749" s="4" t="s">
        <v>36</v>
      </c>
      <c r="AA749" s="4" t="s">
        <v>36</v>
      </c>
      <c r="AB749" s="3" t="s">
        <v>56</v>
      </c>
      <c r="AC749" s="3" t="s">
        <v>4766</v>
      </c>
      <c r="AD749" s="9">
        <v>45292</v>
      </c>
      <c r="AE749" s="3" t="s">
        <v>110</v>
      </c>
      <c r="AF749" s="3" t="s">
        <v>111</v>
      </c>
      <c r="AG749" s="3" t="s">
        <v>81</v>
      </c>
      <c r="AH749" s="11">
        <f>HYPERLINK("https://my.pitchbook.com?c=249576-13T","View Company Online")</f>
      </c>
    </row>
    <row r="750">
      <c r="A750" s="12" t="s">
        <v>4767</v>
      </c>
      <c r="B750" s="12" t="s">
        <v>4768</v>
      </c>
      <c r="C750" s="19" t="s">
        <v>36</v>
      </c>
      <c r="D750" s="19" t="s">
        <v>36</v>
      </c>
      <c r="E750" s="19" t="s">
        <v>36</v>
      </c>
      <c r="F750" s="19" t="s">
        <v>36</v>
      </c>
      <c r="G750" s="15" t="s">
        <v>36</v>
      </c>
      <c r="H750" s="14" t="s">
        <v>36</v>
      </c>
      <c r="I750" s="18" t="s">
        <v>36</v>
      </c>
      <c r="J750" s="12" t="s">
        <v>36</v>
      </c>
      <c r="K750" s="13" t="s">
        <v>36</v>
      </c>
      <c r="L750" s="15" t="s">
        <v>36</v>
      </c>
      <c r="M750" s="12" t="s">
        <v>36</v>
      </c>
      <c r="N750" s="12" t="s">
        <v>36</v>
      </c>
      <c r="O750" s="17" t="s">
        <v>36</v>
      </c>
      <c r="P750" s="12" t="s">
        <v>36</v>
      </c>
      <c r="Q750" s="12" t="s">
        <v>36</v>
      </c>
      <c r="R750" s="12" t="s">
        <v>36</v>
      </c>
      <c r="S750" s="12" t="s">
        <v>565</v>
      </c>
      <c r="T750" s="12" t="s">
        <v>818</v>
      </c>
      <c r="U750" s="12" t="s">
        <v>74</v>
      </c>
      <c r="V750" s="12" t="s">
        <v>75</v>
      </c>
      <c r="W750" s="12" t="s">
        <v>4769</v>
      </c>
      <c r="X750" s="16" t="s">
        <v>4770</v>
      </c>
      <c r="Y750" s="15" t="s">
        <v>42</v>
      </c>
      <c r="Z750" s="14" t="s">
        <v>36</v>
      </c>
      <c r="AA750" s="14" t="s">
        <v>36</v>
      </c>
      <c r="AB750" s="12" t="s">
        <v>43</v>
      </c>
      <c r="AC750" s="12" t="s">
        <v>4771</v>
      </c>
      <c r="AD750" s="13">
        <v>45292</v>
      </c>
      <c r="AE750" s="12" t="s">
        <v>570</v>
      </c>
      <c r="AF750" s="12" t="s">
        <v>372</v>
      </c>
      <c r="AG750" s="12" t="s">
        <v>652</v>
      </c>
      <c r="AH750" s="1">
        <f>HYPERLINK("https://my.pitchbook.com?c=275910-22T","View Company Online")</f>
      </c>
    </row>
    <row r="751">
      <c r="A751" s="3" t="s">
        <v>4772</v>
      </c>
      <c r="B751" s="3" t="s">
        <v>4773</v>
      </c>
      <c r="C751" s="5">
        <v>96</v>
      </c>
      <c r="D751" s="5">
        <v>76</v>
      </c>
      <c r="E751" s="5">
        <v>39</v>
      </c>
      <c r="F751" s="5">
        <v>185</v>
      </c>
      <c r="G751" s="6" t="s">
        <v>36</v>
      </c>
      <c r="H751" s="4" t="s">
        <v>36</v>
      </c>
      <c r="I751" s="7" t="s">
        <v>36</v>
      </c>
      <c r="J751" s="3" t="s">
        <v>36</v>
      </c>
      <c r="K751" s="9" t="s">
        <v>36</v>
      </c>
      <c r="L751" s="6" t="s">
        <v>36</v>
      </c>
      <c r="M751" s="3" t="s">
        <v>36</v>
      </c>
      <c r="N751" s="3" t="s">
        <v>36</v>
      </c>
      <c r="O751" s="8" t="s">
        <v>36</v>
      </c>
      <c r="P751" s="3" t="s">
        <v>36</v>
      </c>
      <c r="Q751" s="3" t="s">
        <v>36</v>
      </c>
      <c r="R751" s="3" t="s">
        <v>36</v>
      </c>
      <c r="S751" s="3" t="s">
        <v>4774</v>
      </c>
      <c r="T751" s="3" t="s">
        <v>4775</v>
      </c>
      <c r="U751" s="3" t="s">
        <v>51</v>
      </c>
      <c r="V751" s="3" t="s">
        <v>52</v>
      </c>
      <c r="W751" s="3" t="s">
        <v>4776</v>
      </c>
      <c r="X751" s="10" t="s">
        <v>4777</v>
      </c>
      <c r="Y751" s="6" t="s">
        <v>166</v>
      </c>
      <c r="Z751" s="4" t="s">
        <v>36</v>
      </c>
      <c r="AA751" s="4" t="s">
        <v>36</v>
      </c>
      <c r="AB751" s="3" t="s">
        <v>56</v>
      </c>
      <c r="AC751" s="3" t="s">
        <v>4778</v>
      </c>
      <c r="AD751" s="9">
        <v>45292</v>
      </c>
      <c r="AE751" s="3" t="s">
        <v>158</v>
      </c>
      <c r="AF751" s="3" t="s">
        <v>885</v>
      </c>
      <c r="AG751" s="3" t="s">
        <v>81</v>
      </c>
      <c r="AH751" s="11">
        <f>HYPERLINK("https://my.pitchbook.com?c=249281-47T","View Company Online")</f>
      </c>
    </row>
    <row r="752">
      <c r="A752" s="12" t="s">
        <v>4779</v>
      </c>
      <c r="B752" s="12" t="s">
        <v>4780</v>
      </c>
      <c r="C752" s="19" t="s">
        <v>36</v>
      </c>
      <c r="D752" s="19" t="s">
        <v>36</v>
      </c>
      <c r="E752" s="19" t="s">
        <v>36</v>
      </c>
      <c r="F752" s="19" t="s">
        <v>36</v>
      </c>
      <c r="G752" s="15" t="s">
        <v>36</v>
      </c>
      <c r="H752" s="14" t="s">
        <v>36</v>
      </c>
      <c r="I752" s="18" t="s">
        <v>36</v>
      </c>
      <c r="J752" s="12" t="s">
        <v>36</v>
      </c>
      <c r="K752" s="13" t="s">
        <v>36</v>
      </c>
      <c r="L752" s="15" t="s">
        <v>36</v>
      </c>
      <c r="M752" s="12" t="s">
        <v>36</v>
      </c>
      <c r="N752" s="12" t="s">
        <v>36</v>
      </c>
      <c r="O752" s="17" t="s">
        <v>36</v>
      </c>
      <c r="P752" s="12" t="s">
        <v>36</v>
      </c>
      <c r="Q752" s="12" t="s">
        <v>36</v>
      </c>
      <c r="R752" s="12" t="s">
        <v>36</v>
      </c>
      <c r="S752" s="12" t="s">
        <v>36</v>
      </c>
      <c r="T752" s="12" t="s">
        <v>4781</v>
      </c>
      <c r="U752" s="12" t="s">
        <v>38</v>
      </c>
      <c r="V752" s="12" t="s">
        <v>39</v>
      </c>
      <c r="W752" s="12" t="s">
        <v>4782</v>
      </c>
      <c r="X752" s="16" t="s">
        <v>1000</v>
      </c>
      <c r="Y752" s="15" t="s">
        <v>42</v>
      </c>
      <c r="Z752" s="14" t="s">
        <v>36</v>
      </c>
      <c r="AA752" s="14" t="s">
        <v>36</v>
      </c>
      <c r="AB752" s="12" t="s">
        <v>43</v>
      </c>
      <c r="AC752" s="12" t="s">
        <v>4783</v>
      </c>
      <c r="AD752" s="13">
        <v>45292</v>
      </c>
      <c r="AE752" s="12" t="s">
        <v>1330</v>
      </c>
      <c r="AF752" s="12" t="s">
        <v>3172</v>
      </c>
      <c r="AG752" s="12" t="s">
        <v>2033</v>
      </c>
      <c r="AH752" s="1">
        <f>HYPERLINK("https://my.pitchbook.com?c=279319-60T","View Company Online")</f>
      </c>
    </row>
    <row r="753">
      <c r="A753" s="3" t="s">
        <v>4784</v>
      </c>
      <c r="B753" s="3" t="s">
        <v>4785</v>
      </c>
      <c r="C753" s="5">
        <v>2</v>
      </c>
      <c r="D753" s="5" t="s">
        <v>36</v>
      </c>
      <c r="E753" s="5">
        <v>1</v>
      </c>
      <c r="F753" s="5">
        <v>2</v>
      </c>
      <c r="G753" s="6" t="s">
        <v>36</v>
      </c>
      <c r="H753" s="4" t="s">
        <v>36</v>
      </c>
      <c r="I753" s="7" t="s">
        <v>36</v>
      </c>
      <c r="J753" s="3" t="s">
        <v>36</v>
      </c>
      <c r="K753" s="9" t="s">
        <v>36</v>
      </c>
      <c r="L753" s="6" t="s">
        <v>36</v>
      </c>
      <c r="M753" s="3" t="s">
        <v>36</v>
      </c>
      <c r="N753" s="3" t="s">
        <v>36</v>
      </c>
      <c r="O753" s="8" t="s">
        <v>36</v>
      </c>
      <c r="P753" s="3" t="s">
        <v>36</v>
      </c>
      <c r="Q753" s="3" t="s">
        <v>36</v>
      </c>
      <c r="R753" s="3" t="s">
        <v>36</v>
      </c>
      <c r="S753" s="3" t="s">
        <v>36</v>
      </c>
      <c r="T753" s="3" t="s">
        <v>4786</v>
      </c>
      <c r="U753" s="3" t="s">
        <v>74</v>
      </c>
      <c r="V753" s="3" t="s">
        <v>75</v>
      </c>
      <c r="W753" s="3" t="s">
        <v>4787</v>
      </c>
      <c r="X753" s="10" t="s">
        <v>4788</v>
      </c>
      <c r="Y753" s="6" t="s">
        <v>55</v>
      </c>
      <c r="Z753" s="4" t="s">
        <v>36</v>
      </c>
      <c r="AA753" s="4" t="s">
        <v>36</v>
      </c>
      <c r="AB753" s="3" t="s">
        <v>56</v>
      </c>
      <c r="AC753" s="3" t="s">
        <v>4789</v>
      </c>
      <c r="AD753" s="9">
        <v>45292</v>
      </c>
      <c r="AE753" s="3" t="s">
        <v>79</v>
      </c>
      <c r="AF753" s="3" t="s">
        <v>1115</v>
      </c>
      <c r="AG753" s="3" t="s">
        <v>144</v>
      </c>
      <c r="AH753" s="11">
        <f>HYPERLINK("https://my.pitchbook.com?c=274939-48T","View Company Online")</f>
      </c>
    </row>
    <row r="754">
      <c r="A754" s="12" t="s">
        <v>4790</v>
      </c>
      <c r="B754" s="12" t="s">
        <v>4791</v>
      </c>
      <c r="C754" s="19" t="s">
        <v>36</v>
      </c>
      <c r="D754" s="19" t="s">
        <v>36</v>
      </c>
      <c r="E754" s="19" t="s">
        <v>36</v>
      </c>
      <c r="F754" s="19" t="s">
        <v>36</v>
      </c>
      <c r="G754" s="15" t="s">
        <v>36</v>
      </c>
      <c r="H754" s="14" t="s">
        <v>36</v>
      </c>
      <c r="I754" s="18" t="s">
        <v>36</v>
      </c>
      <c r="J754" s="12" t="s">
        <v>36</v>
      </c>
      <c r="K754" s="13" t="s">
        <v>36</v>
      </c>
      <c r="L754" s="15" t="s">
        <v>36</v>
      </c>
      <c r="M754" s="12" t="s">
        <v>36</v>
      </c>
      <c r="N754" s="12" t="s">
        <v>36</v>
      </c>
      <c r="O754" s="17" t="s">
        <v>36</v>
      </c>
      <c r="P754" s="12" t="s">
        <v>36</v>
      </c>
      <c r="Q754" s="12" t="s">
        <v>36</v>
      </c>
      <c r="R754" s="12" t="s">
        <v>36</v>
      </c>
      <c r="S754" s="12" t="s">
        <v>36</v>
      </c>
      <c r="T754" s="12" t="s">
        <v>4792</v>
      </c>
      <c r="U754" s="12" t="s">
        <v>219</v>
      </c>
      <c r="V754" s="12" t="s">
        <v>75</v>
      </c>
      <c r="W754" s="12" t="s">
        <v>4793</v>
      </c>
      <c r="X754" s="16" t="s">
        <v>4794</v>
      </c>
      <c r="Y754" s="15" t="s">
        <v>42</v>
      </c>
      <c r="Z754" s="14">
        <v>0.05</v>
      </c>
      <c r="AA754" s="14" t="s">
        <v>36</v>
      </c>
      <c r="AB754" s="12" t="s">
        <v>43</v>
      </c>
      <c r="AC754" s="12" t="s">
        <v>4795</v>
      </c>
      <c r="AD754" s="13">
        <v>45292</v>
      </c>
      <c r="AE754" s="12" t="s">
        <v>1007</v>
      </c>
      <c r="AF754" s="12" t="s">
        <v>36</v>
      </c>
      <c r="AG754" s="12" t="s">
        <v>4796</v>
      </c>
      <c r="AH754" s="1">
        <f>HYPERLINK("https://my.pitchbook.com?c=265072-51T","View Company Online")</f>
      </c>
    </row>
    <row r="755">
      <c r="A755" s="3" t="s">
        <v>4797</v>
      </c>
      <c r="B755" s="3" t="s">
        <v>4798</v>
      </c>
      <c r="C755" s="5" t="s">
        <v>36</v>
      </c>
      <c r="D755" s="5" t="s">
        <v>36</v>
      </c>
      <c r="E755" s="5" t="s">
        <v>36</v>
      </c>
      <c r="F755" s="5" t="s">
        <v>36</v>
      </c>
      <c r="G755" s="6" t="s">
        <v>36</v>
      </c>
      <c r="H755" s="4" t="s">
        <v>36</v>
      </c>
      <c r="I755" s="7" t="s">
        <v>36</v>
      </c>
      <c r="J755" s="3" t="s">
        <v>36</v>
      </c>
      <c r="K755" s="9" t="s">
        <v>36</v>
      </c>
      <c r="L755" s="6" t="s">
        <v>36</v>
      </c>
      <c r="M755" s="3" t="s">
        <v>36</v>
      </c>
      <c r="N755" s="3" t="s">
        <v>36</v>
      </c>
      <c r="O755" s="8" t="s">
        <v>36</v>
      </c>
      <c r="P755" s="3" t="s">
        <v>36</v>
      </c>
      <c r="Q755" s="3" t="s">
        <v>36</v>
      </c>
      <c r="R755" s="3" t="s">
        <v>36</v>
      </c>
      <c r="S755" s="3" t="s">
        <v>36</v>
      </c>
      <c r="T755" s="3" t="s">
        <v>1106</v>
      </c>
      <c r="U755" s="3" t="s">
        <v>38</v>
      </c>
      <c r="V755" s="3" t="s">
        <v>39</v>
      </c>
      <c r="W755" s="3" t="s">
        <v>4799</v>
      </c>
      <c r="X755" s="10" t="s">
        <v>4800</v>
      </c>
      <c r="Y755" s="6" t="s">
        <v>55</v>
      </c>
      <c r="Z755" s="4">
        <v>6.55</v>
      </c>
      <c r="AA755" s="4" t="s">
        <v>36</v>
      </c>
      <c r="AB755" s="3" t="s">
        <v>56</v>
      </c>
      <c r="AC755" s="3" t="s">
        <v>4801</v>
      </c>
      <c r="AD755" s="9">
        <v>45292</v>
      </c>
      <c r="AE755" s="3" t="s">
        <v>110</v>
      </c>
      <c r="AF755" s="3" t="s">
        <v>1331</v>
      </c>
      <c r="AG755" s="3" t="s">
        <v>81</v>
      </c>
      <c r="AH755" s="11">
        <f>HYPERLINK("https://my.pitchbook.com?c=249687-55T","View Company Online")</f>
      </c>
    </row>
    <row r="756">
      <c r="A756" s="12" t="s">
        <v>4802</v>
      </c>
      <c r="B756" s="12" t="s">
        <v>4803</v>
      </c>
      <c r="C756" s="19" t="s">
        <v>36</v>
      </c>
      <c r="D756" s="19" t="s">
        <v>36</v>
      </c>
      <c r="E756" s="19" t="s">
        <v>36</v>
      </c>
      <c r="F756" s="19" t="s">
        <v>36</v>
      </c>
      <c r="G756" s="15" t="s">
        <v>36</v>
      </c>
      <c r="H756" s="14" t="s">
        <v>36</v>
      </c>
      <c r="I756" s="18" t="s">
        <v>36</v>
      </c>
      <c r="J756" s="12" t="s">
        <v>36</v>
      </c>
      <c r="K756" s="13" t="s">
        <v>36</v>
      </c>
      <c r="L756" s="15" t="s">
        <v>36</v>
      </c>
      <c r="M756" s="12" t="s">
        <v>36</v>
      </c>
      <c r="N756" s="12" t="s">
        <v>36</v>
      </c>
      <c r="O756" s="17" t="s">
        <v>36</v>
      </c>
      <c r="P756" s="12" t="s">
        <v>36</v>
      </c>
      <c r="Q756" s="12" t="s">
        <v>36</v>
      </c>
      <c r="R756" s="12" t="s">
        <v>36</v>
      </c>
      <c r="S756" s="12" t="s">
        <v>36</v>
      </c>
      <c r="T756" s="12" t="s">
        <v>4804</v>
      </c>
      <c r="U756" s="12" t="s">
        <v>404</v>
      </c>
      <c r="V756" s="12" t="s">
        <v>405</v>
      </c>
      <c r="W756" s="12" t="s">
        <v>4805</v>
      </c>
      <c r="X756" s="16" t="s">
        <v>4806</v>
      </c>
      <c r="Y756" s="15" t="s">
        <v>42</v>
      </c>
      <c r="Z756" s="14" t="s">
        <v>36</v>
      </c>
      <c r="AA756" s="14" t="s">
        <v>36</v>
      </c>
      <c r="AB756" s="12" t="s">
        <v>43</v>
      </c>
      <c r="AC756" s="12" t="s">
        <v>4807</v>
      </c>
      <c r="AD756" s="13">
        <v>45292</v>
      </c>
      <c r="AE756" s="12" t="s">
        <v>3608</v>
      </c>
      <c r="AF756" s="12" t="s">
        <v>799</v>
      </c>
      <c r="AG756" s="12" t="s">
        <v>81</v>
      </c>
      <c r="AH756" s="1">
        <f>HYPERLINK("https://my.pitchbook.com?c=248592-61T","View Company Online")</f>
      </c>
    </row>
    <row r="757">
      <c r="A757" s="3" t="s">
        <v>4808</v>
      </c>
      <c r="B757" s="3" t="s">
        <v>4809</v>
      </c>
      <c r="C757" s="5" t="s">
        <v>36</v>
      </c>
      <c r="D757" s="5" t="s">
        <v>36</v>
      </c>
      <c r="E757" s="5" t="s">
        <v>36</v>
      </c>
      <c r="F757" s="5" t="s">
        <v>36</v>
      </c>
      <c r="G757" s="6" t="s">
        <v>36</v>
      </c>
      <c r="H757" s="4" t="s">
        <v>36</v>
      </c>
      <c r="I757" s="7" t="s">
        <v>36</v>
      </c>
      <c r="J757" s="3" t="s">
        <v>36</v>
      </c>
      <c r="K757" s="9" t="s">
        <v>36</v>
      </c>
      <c r="L757" s="6" t="s">
        <v>36</v>
      </c>
      <c r="M757" s="3" t="s">
        <v>36</v>
      </c>
      <c r="N757" s="3" t="s">
        <v>36</v>
      </c>
      <c r="O757" s="8" t="s">
        <v>36</v>
      </c>
      <c r="P757" s="3" t="s">
        <v>36</v>
      </c>
      <c r="Q757" s="3" t="s">
        <v>36</v>
      </c>
      <c r="R757" s="3" t="s">
        <v>36</v>
      </c>
      <c r="S757" s="3" t="s">
        <v>36</v>
      </c>
      <c r="T757" s="3" t="s">
        <v>1335</v>
      </c>
      <c r="U757" s="3" t="s">
        <v>1336</v>
      </c>
      <c r="V757" s="3" t="s">
        <v>367</v>
      </c>
      <c r="W757" s="3" t="s">
        <v>4810</v>
      </c>
      <c r="X757" s="10" t="s">
        <v>4811</v>
      </c>
      <c r="Y757" s="6" t="s">
        <v>42</v>
      </c>
      <c r="Z757" s="4" t="s">
        <v>36</v>
      </c>
      <c r="AA757" s="4" t="s">
        <v>36</v>
      </c>
      <c r="AB757" s="3" t="s">
        <v>43</v>
      </c>
      <c r="AC757" s="3" t="s">
        <v>4812</v>
      </c>
      <c r="AD757" s="9">
        <v>45292</v>
      </c>
      <c r="AE757" s="3" t="s">
        <v>1339</v>
      </c>
      <c r="AF757" s="3" t="s">
        <v>36</v>
      </c>
      <c r="AG757" s="3" t="s">
        <v>4813</v>
      </c>
      <c r="AH757" s="11">
        <f>HYPERLINK("https://my.pitchbook.com?c=281915-74T","View Company Online")</f>
      </c>
    </row>
    <row r="758">
      <c r="A758" s="12" t="s">
        <v>4814</v>
      </c>
      <c r="B758" s="12" t="s">
        <v>4815</v>
      </c>
      <c r="C758" s="19" t="s">
        <v>36</v>
      </c>
      <c r="D758" s="19" t="s">
        <v>36</v>
      </c>
      <c r="E758" s="19" t="s">
        <v>36</v>
      </c>
      <c r="F758" s="19" t="s">
        <v>36</v>
      </c>
      <c r="G758" s="15" t="s">
        <v>36</v>
      </c>
      <c r="H758" s="14" t="s">
        <v>36</v>
      </c>
      <c r="I758" s="18" t="s">
        <v>36</v>
      </c>
      <c r="J758" s="12" t="s">
        <v>36</v>
      </c>
      <c r="K758" s="13" t="s">
        <v>36</v>
      </c>
      <c r="L758" s="15" t="s">
        <v>36</v>
      </c>
      <c r="M758" s="12" t="s">
        <v>36</v>
      </c>
      <c r="N758" s="12" t="s">
        <v>36</v>
      </c>
      <c r="O758" s="17" t="s">
        <v>36</v>
      </c>
      <c r="P758" s="12" t="s">
        <v>36</v>
      </c>
      <c r="Q758" s="12" t="s">
        <v>36</v>
      </c>
      <c r="R758" s="12" t="s">
        <v>36</v>
      </c>
      <c r="S758" s="12" t="s">
        <v>36</v>
      </c>
      <c r="T758" s="12" t="s">
        <v>4816</v>
      </c>
      <c r="U758" s="12" t="s">
        <v>38</v>
      </c>
      <c r="V758" s="12" t="s">
        <v>39</v>
      </c>
      <c r="W758" s="12" t="s">
        <v>4817</v>
      </c>
      <c r="X758" s="16" t="s">
        <v>4818</v>
      </c>
      <c r="Y758" s="15" t="s">
        <v>55</v>
      </c>
      <c r="Z758" s="14" t="s">
        <v>36</v>
      </c>
      <c r="AA758" s="14" t="s">
        <v>36</v>
      </c>
      <c r="AB758" s="12" t="s">
        <v>43</v>
      </c>
      <c r="AC758" s="12" t="s">
        <v>4819</v>
      </c>
      <c r="AD758" s="13">
        <v>45292</v>
      </c>
      <c r="AE758" s="12" t="s">
        <v>785</v>
      </c>
      <c r="AF758" s="12" t="s">
        <v>3334</v>
      </c>
      <c r="AG758" s="12" t="s">
        <v>81</v>
      </c>
      <c r="AH758" s="1">
        <f>HYPERLINK("https://my.pitchbook.com?c=265883-50T","View Company Online")</f>
      </c>
    </row>
    <row r="759">
      <c r="A759" s="3" t="s">
        <v>4820</v>
      </c>
      <c r="B759" s="3" t="s">
        <v>4821</v>
      </c>
      <c r="C759" s="5" t="s">
        <v>36</v>
      </c>
      <c r="D759" s="5" t="s">
        <v>36</v>
      </c>
      <c r="E759" s="5" t="s">
        <v>36</v>
      </c>
      <c r="F759" s="5" t="s">
        <v>36</v>
      </c>
      <c r="G759" s="6" t="s">
        <v>36</v>
      </c>
      <c r="H759" s="4" t="s">
        <v>36</v>
      </c>
      <c r="I759" s="7" t="s">
        <v>36</v>
      </c>
      <c r="J759" s="3" t="s">
        <v>36</v>
      </c>
      <c r="K759" s="9" t="s">
        <v>36</v>
      </c>
      <c r="L759" s="6" t="s">
        <v>36</v>
      </c>
      <c r="M759" s="3" t="s">
        <v>36</v>
      </c>
      <c r="N759" s="3" t="s">
        <v>36</v>
      </c>
      <c r="O759" s="8" t="s">
        <v>36</v>
      </c>
      <c r="P759" s="3" t="s">
        <v>36</v>
      </c>
      <c r="Q759" s="3" t="s">
        <v>36</v>
      </c>
      <c r="R759" s="3" t="s">
        <v>36</v>
      </c>
      <c r="S759" s="3" t="s">
        <v>36</v>
      </c>
      <c r="T759" s="3" t="s">
        <v>4822</v>
      </c>
      <c r="U759" s="3" t="s">
        <v>38</v>
      </c>
      <c r="V759" s="3" t="s">
        <v>39</v>
      </c>
      <c r="W759" s="3" t="s">
        <v>4823</v>
      </c>
      <c r="X759" s="10" t="s">
        <v>1427</v>
      </c>
      <c r="Y759" s="6" t="s">
        <v>42</v>
      </c>
      <c r="Z759" s="4" t="s">
        <v>36</v>
      </c>
      <c r="AA759" s="4" t="s">
        <v>36</v>
      </c>
      <c r="AB759" s="3" t="s">
        <v>43</v>
      </c>
      <c r="AC759" s="3" t="s">
        <v>4824</v>
      </c>
      <c r="AD759" s="9">
        <v>45292</v>
      </c>
      <c r="AE759" s="3" t="s">
        <v>110</v>
      </c>
      <c r="AF759" s="3" t="s">
        <v>176</v>
      </c>
      <c r="AG759" s="3" t="s">
        <v>1978</v>
      </c>
      <c r="AH759" s="11">
        <f>HYPERLINK("https://my.pitchbook.com?c=249371-29T","View Company Online")</f>
      </c>
    </row>
    <row r="760">
      <c r="A760" s="12" t="s">
        <v>4825</v>
      </c>
      <c r="B760" s="12" t="s">
        <v>4826</v>
      </c>
      <c r="C760" s="19" t="s">
        <v>36</v>
      </c>
      <c r="D760" s="19" t="s">
        <v>36</v>
      </c>
      <c r="E760" s="19" t="s">
        <v>36</v>
      </c>
      <c r="F760" s="19" t="s">
        <v>36</v>
      </c>
      <c r="G760" s="15" t="s">
        <v>36</v>
      </c>
      <c r="H760" s="14" t="s">
        <v>36</v>
      </c>
      <c r="I760" s="18" t="s">
        <v>36</v>
      </c>
      <c r="J760" s="12" t="s">
        <v>36</v>
      </c>
      <c r="K760" s="13" t="s">
        <v>36</v>
      </c>
      <c r="L760" s="15" t="s">
        <v>36</v>
      </c>
      <c r="M760" s="12" t="s">
        <v>36</v>
      </c>
      <c r="N760" s="12" t="s">
        <v>36</v>
      </c>
      <c r="O760" s="17" t="s">
        <v>36</v>
      </c>
      <c r="P760" s="12" t="s">
        <v>36</v>
      </c>
      <c r="Q760" s="12" t="s">
        <v>36</v>
      </c>
      <c r="R760" s="12" t="s">
        <v>36</v>
      </c>
      <c r="S760" s="12" t="s">
        <v>36</v>
      </c>
      <c r="T760" s="12" t="s">
        <v>4827</v>
      </c>
      <c r="U760" s="12" t="s">
        <v>648</v>
      </c>
      <c r="V760" s="12" t="s">
        <v>64</v>
      </c>
      <c r="W760" s="12" t="s">
        <v>4828</v>
      </c>
      <c r="X760" s="16" t="s">
        <v>3127</v>
      </c>
      <c r="Y760" s="15" t="s">
        <v>42</v>
      </c>
      <c r="Z760" s="14" t="s">
        <v>36</v>
      </c>
      <c r="AA760" s="14" t="s">
        <v>36</v>
      </c>
      <c r="AB760" s="12" t="s">
        <v>56</v>
      </c>
      <c r="AC760" s="12" t="s">
        <v>4829</v>
      </c>
      <c r="AD760" s="13">
        <v>45292</v>
      </c>
      <c r="AE760" s="12" t="s">
        <v>3988</v>
      </c>
      <c r="AF760" s="12" t="s">
        <v>4284</v>
      </c>
      <c r="AG760" s="12" t="s">
        <v>81</v>
      </c>
      <c r="AH760" s="1">
        <f>HYPERLINK("https://my.pitchbook.com?c=264956-14T","View Company Online")</f>
      </c>
    </row>
    <row r="761">
      <c r="A761" s="3" t="s">
        <v>4830</v>
      </c>
      <c r="B761" s="3" t="s">
        <v>4831</v>
      </c>
      <c r="C761" s="5">
        <v>1</v>
      </c>
      <c r="D761" s="5">
        <v>19</v>
      </c>
      <c r="E761" s="5">
        <v>6</v>
      </c>
      <c r="F761" s="5">
        <v>24</v>
      </c>
      <c r="G761" s="6" t="s">
        <v>36</v>
      </c>
      <c r="H761" s="4" t="s">
        <v>36</v>
      </c>
      <c r="I761" s="7" t="s">
        <v>36</v>
      </c>
      <c r="J761" s="3" t="s">
        <v>36</v>
      </c>
      <c r="K761" s="9" t="s">
        <v>36</v>
      </c>
      <c r="L761" s="6" t="s">
        <v>36</v>
      </c>
      <c r="M761" s="3" t="s">
        <v>36</v>
      </c>
      <c r="N761" s="3" t="s">
        <v>36</v>
      </c>
      <c r="O761" s="8" t="s">
        <v>36</v>
      </c>
      <c r="P761" s="3" t="s">
        <v>36</v>
      </c>
      <c r="Q761" s="3" t="s">
        <v>36</v>
      </c>
      <c r="R761" s="3" t="s">
        <v>36</v>
      </c>
      <c r="S761" s="3" t="s">
        <v>36</v>
      </c>
      <c r="T761" s="3" t="s">
        <v>3729</v>
      </c>
      <c r="U761" s="3" t="s">
        <v>219</v>
      </c>
      <c r="V761" s="3" t="s">
        <v>75</v>
      </c>
      <c r="W761" s="3" t="s">
        <v>4832</v>
      </c>
      <c r="X761" s="10" t="s">
        <v>640</v>
      </c>
      <c r="Y761" s="6" t="s">
        <v>42</v>
      </c>
      <c r="Z761" s="4" t="s">
        <v>36</v>
      </c>
      <c r="AA761" s="4" t="s">
        <v>36</v>
      </c>
      <c r="AB761" s="3" t="s">
        <v>56</v>
      </c>
      <c r="AC761" s="3" t="s">
        <v>4833</v>
      </c>
      <c r="AD761" s="9">
        <v>45292</v>
      </c>
      <c r="AE761" s="3" t="s">
        <v>1032</v>
      </c>
      <c r="AF761" s="3" t="s">
        <v>4834</v>
      </c>
      <c r="AG761" s="3" t="s">
        <v>4835</v>
      </c>
      <c r="AH761" s="11">
        <f>HYPERLINK("https://my.pitchbook.com?c=264292-48T","View Company Online")</f>
      </c>
    </row>
    <row r="762">
      <c r="A762" s="12" t="s">
        <v>4836</v>
      </c>
      <c r="B762" s="12" t="s">
        <v>4837</v>
      </c>
      <c r="C762" s="19" t="s">
        <v>36</v>
      </c>
      <c r="D762" s="19" t="s">
        <v>36</v>
      </c>
      <c r="E762" s="19" t="s">
        <v>36</v>
      </c>
      <c r="F762" s="19" t="s">
        <v>36</v>
      </c>
      <c r="G762" s="15" t="s">
        <v>36</v>
      </c>
      <c r="H762" s="14" t="s">
        <v>36</v>
      </c>
      <c r="I762" s="18" t="s">
        <v>36</v>
      </c>
      <c r="J762" s="12" t="s">
        <v>36</v>
      </c>
      <c r="K762" s="13" t="s">
        <v>36</v>
      </c>
      <c r="L762" s="15" t="s">
        <v>122</v>
      </c>
      <c r="M762" s="12" t="s">
        <v>36</v>
      </c>
      <c r="N762" s="12" t="s">
        <v>122</v>
      </c>
      <c r="O762" s="17" t="s">
        <v>36</v>
      </c>
      <c r="P762" s="12" t="s">
        <v>36</v>
      </c>
      <c r="Q762" s="12" t="s">
        <v>36</v>
      </c>
      <c r="R762" s="12" t="s">
        <v>36</v>
      </c>
      <c r="S762" s="12" t="s">
        <v>36</v>
      </c>
      <c r="T762" s="12" t="s">
        <v>4838</v>
      </c>
      <c r="U762" s="12" t="s">
        <v>423</v>
      </c>
      <c r="V762" s="12" t="s">
        <v>64</v>
      </c>
      <c r="W762" s="12" t="s">
        <v>4839</v>
      </c>
      <c r="X762" s="16" t="s">
        <v>4840</v>
      </c>
      <c r="Y762" s="15" t="s">
        <v>108</v>
      </c>
      <c r="Z762" s="14">
        <v>3.28</v>
      </c>
      <c r="AA762" s="14" t="s">
        <v>36</v>
      </c>
      <c r="AB762" s="12" t="s">
        <v>56</v>
      </c>
      <c r="AC762" s="12" t="s">
        <v>4841</v>
      </c>
      <c r="AD762" s="13">
        <v>45292</v>
      </c>
      <c r="AE762" s="12" t="s">
        <v>562</v>
      </c>
      <c r="AF762" s="12" t="s">
        <v>4842</v>
      </c>
      <c r="AG762" s="12" t="s">
        <v>81</v>
      </c>
      <c r="AH762" s="1">
        <f>HYPERLINK("https://my.pitchbook.com?c=277808-41T","View Company Online")</f>
      </c>
    </row>
    <row r="763">
      <c r="A763" s="3" t="s">
        <v>4843</v>
      </c>
      <c r="B763" s="3" t="s">
        <v>4844</v>
      </c>
      <c r="C763" s="5" t="s">
        <v>36</v>
      </c>
      <c r="D763" s="5" t="s">
        <v>36</v>
      </c>
      <c r="E763" s="5" t="s">
        <v>36</v>
      </c>
      <c r="F763" s="5" t="s">
        <v>36</v>
      </c>
      <c r="G763" s="6" t="s">
        <v>36</v>
      </c>
      <c r="H763" s="4" t="s">
        <v>36</v>
      </c>
      <c r="I763" s="7" t="s">
        <v>36</v>
      </c>
      <c r="J763" s="3" t="s">
        <v>36</v>
      </c>
      <c r="K763" s="9" t="s">
        <v>36</v>
      </c>
      <c r="L763" s="6" t="s">
        <v>36</v>
      </c>
      <c r="M763" s="3" t="s">
        <v>36</v>
      </c>
      <c r="N763" s="3" t="s">
        <v>36</v>
      </c>
      <c r="O763" s="8" t="s">
        <v>36</v>
      </c>
      <c r="P763" s="3" t="s">
        <v>36</v>
      </c>
      <c r="Q763" s="3" t="s">
        <v>36</v>
      </c>
      <c r="R763" s="3" t="s">
        <v>36</v>
      </c>
      <c r="S763" s="3" t="s">
        <v>36</v>
      </c>
      <c r="T763" s="3" t="s">
        <v>4845</v>
      </c>
      <c r="U763" s="3" t="s">
        <v>366</v>
      </c>
      <c r="V763" s="3" t="s">
        <v>367</v>
      </c>
      <c r="W763" s="3" t="s">
        <v>4846</v>
      </c>
      <c r="X763" s="10" t="s">
        <v>1000</v>
      </c>
      <c r="Y763" s="6" t="s">
        <v>42</v>
      </c>
      <c r="Z763" s="4" t="s">
        <v>36</v>
      </c>
      <c r="AA763" s="4" t="s">
        <v>36</v>
      </c>
      <c r="AB763" s="3" t="s">
        <v>43</v>
      </c>
      <c r="AC763" s="3" t="s">
        <v>4847</v>
      </c>
      <c r="AD763" s="9">
        <v>45292</v>
      </c>
      <c r="AE763" s="3" t="s">
        <v>600</v>
      </c>
      <c r="AF763" s="3" t="s">
        <v>372</v>
      </c>
      <c r="AG763" s="3" t="s">
        <v>81</v>
      </c>
      <c r="AH763" s="11">
        <f>HYPERLINK("https://my.pitchbook.com?c=279379-63T","View Company Online")</f>
      </c>
    </row>
    <row r="764">
      <c r="A764" s="12" t="s">
        <v>4848</v>
      </c>
      <c r="B764" s="12" t="s">
        <v>4849</v>
      </c>
      <c r="C764" s="19" t="s">
        <v>36</v>
      </c>
      <c r="D764" s="19" t="s">
        <v>36</v>
      </c>
      <c r="E764" s="19" t="s">
        <v>36</v>
      </c>
      <c r="F764" s="19" t="s">
        <v>36</v>
      </c>
      <c r="G764" s="15" t="s">
        <v>36</v>
      </c>
      <c r="H764" s="14" t="s">
        <v>36</v>
      </c>
      <c r="I764" s="18" t="s">
        <v>36</v>
      </c>
      <c r="J764" s="12" t="s">
        <v>36</v>
      </c>
      <c r="K764" s="13" t="s">
        <v>36</v>
      </c>
      <c r="L764" s="15" t="s">
        <v>36</v>
      </c>
      <c r="M764" s="12" t="s">
        <v>36</v>
      </c>
      <c r="N764" s="12" t="s">
        <v>36</v>
      </c>
      <c r="O764" s="17" t="s">
        <v>36</v>
      </c>
      <c r="P764" s="12" t="s">
        <v>36</v>
      </c>
      <c r="Q764" s="12" t="s">
        <v>36</v>
      </c>
      <c r="R764" s="12" t="s">
        <v>36</v>
      </c>
      <c r="S764" s="12" t="s">
        <v>36</v>
      </c>
      <c r="T764" s="12" t="s">
        <v>4850</v>
      </c>
      <c r="U764" s="12" t="s">
        <v>1082</v>
      </c>
      <c r="V764" s="12" t="s">
        <v>378</v>
      </c>
      <c r="W764" s="12" t="s">
        <v>4851</v>
      </c>
      <c r="X764" s="16" t="s">
        <v>4852</v>
      </c>
      <c r="Y764" s="15" t="s">
        <v>42</v>
      </c>
      <c r="Z764" s="14" t="s">
        <v>36</v>
      </c>
      <c r="AA764" s="14" t="s">
        <v>36</v>
      </c>
      <c r="AB764" s="12" t="s">
        <v>56</v>
      </c>
      <c r="AC764" s="12" t="s">
        <v>4853</v>
      </c>
      <c r="AD764" s="13">
        <v>45292</v>
      </c>
      <c r="AE764" s="12" t="s">
        <v>2061</v>
      </c>
      <c r="AF764" s="12" t="s">
        <v>36</v>
      </c>
      <c r="AG764" s="12" t="s">
        <v>81</v>
      </c>
      <c r="AH764" s="1">
        <f>HYPERLINK("https://my.pitchbook.com?c=272429-83T","View Company Online")</f>
      </c>
    </row>
    <row r="765">
      <c r="A765" s="3" t="s">
        <v>4854</v>
      </c>
      <c r="B765" s="3" t="s">
        <v>4855</v>
      </c>
      <c r="C765" s="5" t="s">
        <v>36</v>
      </c>
      <c r="D765" s="5">
        <v>4</v>
      </c>
      <c r="E765" s="5">
        <v>2</v>
      </c>
      <c r="F765" s="5">
        <v>4</v>
      </c>
      <c r="G765" s="6" t="s">
        <v>36</v>
      </c>
      <c r="H765" s="4" t="s">
        <v>36</v>
      </c>
      <c r="I765" s="7" t="s">
        <v>36</v>
      </c>
      <c r="J765" s="3" t="s">
        <v>36</v>
      </c>
      <c r="K765" s="9" t="s">
        <v>36</v>
      </c>
      <c r="L765" s="6" t="s">
        <v>36</v>
      </c>
      <c r="M765" s="3" t="s">
        <v>36</v>
      </c>
      <c r="N765" s="3" t="s">
        <v>36</v>
      </c>
      <c r="O765" s="8" t="s">
        <v>36</v>
      </c>
      <c r="P765" s="3" t="s">
        <v>36</v>
      </c>
      <c r="Q765" s="3" t="s">
        <v>36</v>
      </c>
      <c r="R765" s="3" t="s">
        <v>36</v>
      </c>
      <c r="S765" s="3" t="s">
        <v>36</v>
      </c>
      <c r="T765" s="3" t="s">
        <v>4856</v>
      </c>
      <c r="U765" s="3" t="s">
        <v>219</v>
      </c>
      <c r="V765" s="3" t="s">
        <v>75</v>
      </c>
      <c r="W765" s="3" t="s">
        <v>4857</v>
      </c>
      <c r="X765" s="10" t="s">
        <v>4858</v>
      </c>
      <c r="Y765" s="6" t="s">
        <v>108</v>
      </c>
      <c r="Z765" s="4" t="s">
        <v>36</v>
      </c>
      <c r="AA765" s="4" t="s">
        <v>36</v>
      </c>
      <c r="AB765" s="3" t="s">
        <v>56</v>
      </c>
      <c r="AC765" s="3" t="s">
        <v>4859</v>
      </c>
      <c r="AD765" s="9">
        <v>45292</v>
      </c>
      <c r="AE765" s="3" t="s">
        <v>1912</v>
      </c>
      <c r="AF765" s="3" t="s">
        <v>36</v>
      </c>
      <c r="AG765" s="3" t="s">
        <v>112</v>
      </c>
      <c r="AH765" s="11">
        <f>HYPERLINK("https://my.pitchbook.com?c=249480-82T","View Company Online")</f>
      </c>
    </row>
    <row r="766">
      <c r="A766" s="12" t="s">
        <v>4860</v>
      </c>
      <c r="B766" s="12" t="s">
        <v>4861</v>
      </c>
      <c r="C766" s="19" t="s">
        <v>36</v>
      </c>
      <c r="D766" s="19">
        <v>4</v>
      </c>
      <c r="E766" s="19">
        <v>1</v>
      </c>
      <c r="F766" s="19">
        <v>5</v>
      </c>
      <c r="G766" s="15" t="s">
        <v>36</v>
      </c>
      <c r="H766" s="14">
        <v>148.2</v>
      </c>
      <c r="I766" s="18">
        <v>8.86</v>
      </c>
      <c r="J766" s="12" t="s">
        <v>521</v>
      </c>
      <c r="K766" s="13" t="s">
        <v>36</v>
      </c>
      <c r="L766" s="15" t="s">
        <v>36</v>
      </c>
      <c r="M766" s="12" t="s">
        <v>36</v>
      </c>
      <c r="N766" s="12" t="s">
        <v>36</v>
      </c>
      <c r="O766" s="17" t="s">
        <v>36</v>
      </c>
      <c r="P766" s="12" t="s">
        <v>36</v>
      </c>
      <c r="Q766" s="12" t="s">
        <v>36</v>
      </c>
      <c r="R766" s="12" t="s">
        <v>36</v>
      </c>
      <c r="S766" s="12" t="s">
        <v>36</v>
      </c>
      <c r="T766" s="12" t="s">
        <v>881</v>
      </c>
      <c r="U766" s="12" t="s">
        <v>51</v>
      </c>
      <c r="V766" s="12" t="s">
        <v>52</v>
      </c>
      <c r="W766" s="12" t="s">
        <v>4862</v>
      </c>
      <c r="X766" s="16" t="s">
        <v>4863</v>
      </c>
      <c r="Y766" s="15" t="s">
        <v>321</v>
      </c>
      <c r="Z766" s="14">
        <v>1.76</v>
      </c>
      <c r="AA766" s="14">
        <v>19.85</v>
      </c>
      <c r="AB766" s="12" t="s">
        <v>56</v>
      </c>
      <c r="AC766" s="12" t="s">
        <v>4864</v>
      </c>
      <c r="AD766" s="13">
        <v>45292</v>
      </c>
      <c r="AE766" s="12" t="s">
        <v>504</v>
      </c>
      <c r="AF766" s="12" t="s">
        <v>4865</v>
      </c>
      <c r="AG766" s="12" t="s">
        <v>4866</v>
      </c>
      <c r="AH766" s="1">
        <f>HYPERLINK("https://my.pitchbook.com?c=249391-00T","View Company Online")</f>
      </c>
    </row>
    <row r="767">
      <c r="A767" s="3" t="s">
        <v>4867</v>
      </c>
      <c r="B767" s="3" t="s">
        <v>4868</v>
      </c>
      <c r="C767" s="5" t="s">
        <v>36</v>
      </c>
      <c r="D767" s="5" t="s">
        <v>36</v>
      </c>
      <c r="E767" s="5" t="s">
        <v>36</v>
      </c>
      <c r="F767" s="5" t="s">
        <v>36</v>
      </c>
      <c r="G767" s="6" t="s">
        <v>36</v>
      </c>
      <c r="H767" s="4" t="s">
        <v>36</v>
      </c>
      <c r="I767" s="7" t="s">
        <v>36</v>
      </c>
      <c r="J767" s="3" t="s">
        <v>36</v>
      </c>
      <c r="K767" s="9" t="s">
        <v>36</v>
      </c>
      <c r="L767" s="6" t="s">
        <v>36</v>
      </c>
      <c r="M767" s="3" t="s">
        <v>36</v>
      </c>
      <c r="N767" s="3" t="s">
        <v>36</v>
      </c>
      <c r="O767" s="8" t="s">
        <v>36</v>
      </c>
      <c r="P767" s="3" t="s">
        <v>36</v>
      </c>
      <c r="Q767" s="3" t="s">
        <v>36</v>
      </c>
      <c r="R767" s="3" t="s">
        <v>36</v>
      </c>
      <c r="S767" s="3" t="s">
        <v>36</v>
      </c>
      <c r="T767" s="3" t="s">
        <v>4869</v>
      </c>
      <c r="U767" s="3" t="s">
        <v>38</v>
      </c>
      <c r="V767" s="3" t="s">
        <v>39</v>
      </c>
      <c r="W767" s="3" t="s">
        <v>4870</v>
      </c>
      <c r="X767" s="10" t="s">
        <v>4871</v>
      </c>
      <c r="Y767" s="6" t="s">
        <v>42</v>
      </c>
      <c r="Z767" s="4" t="s">
        <v>36</v>
      </c>
      <c r="AA767" s="4" t="s">
        <v>36</v>
      </c>
      <c r="AB767" s="3" t="s">
        <v>43</v>
      </c>
      <c r="AC767" s="3" t="s">
        <v>4872</v>
      </c>
      <c r="AD767" s="9">
        <v>45292</v>
      </c>
      <c r="AE767" s="3" t="s">
        <v>45</v>
      </c>
      <c r="AF767" s="3" t="s">
        <v>4873</v>
      </c>
      <c r="AG767" s="3" t="s">
        <v>81</v>
      </c>
      <c r="AH767" s="11">
        <f>HYPERLINK("https://my.pitchbook.com?c=249097-96T","View Company Online")</f>
      </c>
    </row>
    <row r="768">
      <c r="A768" s="12" t="s">
        <v>4874</v>
      </c>
      <c r="B768" s="12" t="s">
        <v>4875</v>
      </c>
      <c r="C768" s="19" t="s">
        <v>36</v>
      </c>
      <c r="D768" s="19" t="s">
        <v>36</v>
      </c>
      <c r="E768" s="19" t="s">
        <v>36</v>
      </c>
      <c r="F768" s="19" t="s">
        <v>36</v>
      </c>
      <c r="G768" s="15" t="s">
        <v>36</v>
      </c>
      <c r="H768" s="14" t="s">
        <v>36</v>
      </c>
      <c r="I768" s="18" t="s">
        <v>36</v>
      </c>
      <c r="J768" s="12" t="s">
        <v>36</v>
      </c>
      <c r="K768" s="13" t="s">
        <v>36</v>
      </c>
      <c r="L768" s="15" t="s">
        <v>36</v>
      </c>
      <c r="M768" s="12" t="s">
        <v>36</v>
      </c>
      <c r="N768" s="12" t="s">
        <v>36</v>
      </c>
      <c r="O768" s="17" t="s">
        <v>36</v>
      </c>
      <c r="P768" s="12" t="s">
        <v>36</v>
      </c>
      <c r="Q768" s="12" t="s">
        <v>36</v>
      </c>
      <c r="R768" s="12" t="s">
        <v>36</v>
      </c>
      <c r="S768" s="12" t="s">
        <v>36</v>
      </c>
      <c r="T768" s="12" t="s">
        <v>4876</v>
      </c>
      <c r="U768" s="12" t="s">
        <v>1357</v>
      </c>
      <c r="V768" s="12" t="s">
        <v>52</v>
      </c>
      <c r="W768" s="12" t="s">
        <v>4877</v>
      </c>
      <c r="X768" s="16" t="s">
        <v>4770</v>
      </c>
      <c r="Y768" s="15" t="s">
        <v>42</v>
      </c>
      <c r="Z768" s="14" t="s">
        <v>36</v>
      </c>
      <c r="AA768" s="14" t="s">
        <v>36</v>
      </c>
      <c r="AB768" s="12" t="s">
        <v>43</v>
      </c>
      <c r="AC768" s="12" t="s">
        <v>4878</v>
      </c>
      <c r="AD768" s="13">
        <v>45292</v>
      </c>
      <c r="AE768" s="12" t="s">
        <v>2808</v>
      </c>
      <c r="AF768" s="12" t="s">
        <v>101</v>
      </c>
      <c r="AG768" s="12" t="s">
        <v>81</v>
      </c>
      <c r="AH768" s="1">
        <f>HYPERLINK("https://my.pitchbook.com?c=275904-28T","View Company Online")</f>
      </c>
    </row>
    <row r="769">
      <c r="A769" s="3" t="s">
        <v>4879</v>
      </c>
      <c r="B769" s="3" t="s">
        <v>4880</v>
      </c>
      <c r="C769" s="5" t="s">
        <v>36</v>
      </c>
      <c r="D769" s="5" t="s">
        <v>36</v>
      </c>
      <c r="E769" s="5" t="s">
        <v>36</v>
      </c>
      <c r="F769" s="5" t="s">
        <v>36</v>
      </c>
      <c r="G769" s="6" t="s">
        <v>36</v>
      </c>
      <c r="H769" s="4" t="s">
        <v>36</v>
      </c>
      <c r="I769" s="7" t="s">
        <v>36</v>
      </c>
      <c r="J769" s="3" t="s">
        <v>36</v>
      </c>
      <c r="K769" s="9" t="s">
        <v>36</v>
      </c>
      <c r="L769" s="6" t="s">
        <v>36</v>
      </c>
      <c r="M769" s="3" t="s">
        <v>36</v>
      </c>
      <c r="N769" s="3" t="s">
        <v>36</v>
      </c>
      <c r="O769" s="8" t="s">
        <v>36</v>
      </c>
      <c r="P769" s="3" t="s">
        <v>36</v>
      </c>
      <c r="Q769" s="3" t="s">
        <v>36</v>
      </c>
      <c r="R769" s="3" t="s">
        <v>36</v>
      </c>
      <c r="S769" s="3" t="s">
        <v>36</v>
      </c>
      <c r="T769" s="3" t="s">
        <v>4881</v>
      </c>
      <c r="U769" s="3" t="s">
        <v>38</v>
      </c>
      <c r="V769" s="3" t="s">
        <v>39</v>
      </c>
      <c r="W769" s="3" t="s">
        <v>4882</v>
      </c>
      <c r="X769" s="10" t="s">
        <v>4735</v>
      </c>
      <c r="Y769" s="6" t="s">
        <v>42</v>
      </c>
      <c r="Z769" s="4" t="s">
        <v>36</v>
      </c>
      <c r="AA769" s="4" t="s">
        <v>36</v>
      </c>
      <c r="AB769" s="3" t="s">
        <v>43</v>
      </c>
      <c r="AC769" s="3" t="s">
        <v>4883</v>
      </c>
      <c r="AD769" s="9">
        <v>45292</v>
      </c>
      <c r="AE769" s="3" t="s">
        <v>110</v>
      </c>
      <c r="AF769" s="3" t="s">
        <v>4884</v>
      </c>
      <c r="AG769" s="3" t="s">
        <v>81</v>
      </c>
      <c r="AH769" s="11">
        <f>HYPERLINK("https://my.pitchbook.com?c=249295-69T","View Company Online")</f>
      </c>
    </row>
    <row r="770">
      <c r="A770" s="12" t="s">
        <v>4885</v>
      </c>
      <c r="B770" s="12" t="s">
        <v>4886</v>
      </c>
      <c r="C770" s="19" t="s">
        <v>36</v>
      </c>
      <c r="D770" s="19" t="s">
        <v>36</v>
      </c>
      <c r="E770" s="19" t="s">
        <v>36</v>
      </c>
      <c r="F770" s="19" t="s">
        <v>36</v>
      </c>
      <c r="G770" s="15" t="s">
        <v>36</v>
      </c>
      <c r="H770" s="14" t="s">
        <v>36</v>
      </c>
      <c r="I770" s="18" t="s">
        <v>36</v>
      </c>
      <c r="J770" s="12" t="s">
        <v>36</v>
      </c>
      <c r="K770" s="13" t="s">
        <v>36</v>
      </c>
      <c r="L770" s="15" t="s">
        <v>36</v>
      </c>
      <c r="M770" s="12" t="s">
        <v>36</v>
      </c>
      <c r="N770" s="12" t="s">
        <v>36</v>
      </c>
      <c r="O770" s="17" t="s">
        <v>36</v>
      </c>
      <c r="P770" s="12" t="s">
        <v>36</v>
      </c>
      <c r="Q770" s="12" t="s">
        <v>36</v>
      </c>
      <c r="R770" s="12" t="s">
        <v>36</v>
      </c>
      <c r="S770" s="12" t="s">
        <v>36</v>
      </c>
      <c r="T770" s="12" t="s">
        <v>4887</v>
      </c>
      <c r="U770" s="12" t="s">
        <v>74</v>
      </c>
      <c r="V770" s="12" t="s">
        <v>75</v>
      </c>
      <c r="W770" s="12" t="s">
        <v>4888</v>
      </c>
      <c r="X770" s="16" t="s">
        <v>4889</v>
      </c>
      <c r="Y770" s="15" t="s">
        <v>108</v>
      </c>
      <c r="Z770" s="14" t="s">
        <v>36</v>
      </c>
      <c r="AA770" s="14" t="s">
        <v>36</v>
      </c>
      <c r="AB770" s="12" t="s">
        <v>56</v>
      </c>
      <c r="AC770" s="12" t="s">
        <v>4890</v>
      </c>
      <c r="AD770" s="13">
        <v>45292</v>
      </c>
      <c r="AE770" s="12" t="s">
        <v>3144</v>
      </c>
      <c r="AF770" s="12" t="s">
        <v>4891</v>
      </c>
      <c r="AG770" s="12" t="s">
        <v>81</v>
      </c>
      <c r="AH770" s="1">
        <f>HYPERLINK("https://my.pitchbook.com?c=280419-31T","View Company Online")</f>
      </c>
    </row>
    <row r="771">
      <c r="A771" s="3" t="s">
        <v>4892</v>
      </c>
      <c r="B771" s="3" t="s">
        <v>4893</v>
      </c>
      <c r="C771" s="5" t="s">
        <v>36</v>
      </c>
      <c r="D771" s="5" t="s">
        <v>36</v>
      </c>
      <c r="E771" s="5" t="s">
        <v>36</v>
      </c>
      <c r="F771" s="5" t="s">
        <v>36</v>
      </c>
      <c r="G771" s="6" t="s">
        <v>36</v>
      </c>
      <c r="H771" s="4" t="s">
        <v>36</v>
      </c>
      <c r="I771" s="7" t="s">
        <v>36</v>
      </c>
      <c r="J771" s="3" t="s">
        <v>36</v>
      </c>
      <c r="K771" s="9" t="s">
        <v>36</v>
      </c>
      <c r="L771" s="6" t="s">
        <v>36</v>
      </c>
      <c r="M771" s="3" t="s">
        <v>36</v>
      </c>
      <c r="N771" s="3" t="s">
        <v>36</v>
      </c>
      <c r="O771" s="8" t="s">
        <v>36</v>
      </c>
      <c r="P771" s="3" t="s">
        <v>36</v>
      </c>
      <c r="Q771" s="3" t="s">
        <v>36</v>
      </c>
      <c r="R771" s="3" t="s">
        <v>36</v>
      </c>
      <c r="S771" s="3" t="s">
        <v>36</v>
      </c>
      <c r="T771" s="3" t="s">
        <v>4894</v>
      </c>
      <c r="U771" s="3" t="s">
        <v>438</v>
      </c>
      <c r="V771" s="3" t="s">
        <v>405</v>
      </c>
      <c r="W771" s="3" t="s">
        <v>4895</v>
      </c>
      <c r="X771" s="10" t="s">
        <v>4896</v>
      </c>
      <c r="Y771" s="6" t="s">
        <v>108</v>
      </c>
      <c r="Z771" s="4">
        <v>1.86</v>
      </c>
      <c r="AA771" s="4" t="s">
        <v>36</v>
      </c>
      <c r="AB771" s="3" t="s">
        <v>43</v>
      </c>
      <c r="AC771" s="3" t="s">
        <v>4897</v>
      </c>
      <c r="AD771" s="9">
        <v>45292</v>
      </c>
      <c r="AE771" s="3" t="s">
        <v>438</v>
      </c>
      <c r="AF771" s="3" t="s">
        <v>3034</v>
      </c>
      <c r="AG771" s="3" t="s">
        <v>4796</v>
      </c>
      <c r="AH771" s="11">
        <f>HYPERLINK("https://my.pitchbook.com?c=249367-15T","View Company Online")</f>
      </c>
    </row>
    <row r="772">
      <c r="A772" s="12" t="s">
        <v>4898</v>
      </c>
      <c r="B772" s="12" t="s">
        <v>4899</v>
      </c>
      <c r="C772" s="19" t="s">
        <v>36</v>
      </c>
      <c r="D772" s="19" t="s">
        <v>36</v>
      </c>
      <c r="E772" s="19" t="s">
        <v>36</v>
      </c>
      <c r="F772" s="19" t="s">
        <v>36</v>
      </c>
      <c r="G772" s="15" t="s">
        <v>36</v>
      </c>
      <c r="H772" s="14" t="s">
        <v>36</v>
      </c>
      <c r="I772" s="18" t="s">
        <v>36</v>
      </c>
      <c r="J772" s="12" t="s">
        <v>36</v>
      </c>
      <c r="K772" s="13" t="s">
        <v>36</v>
      </c>
      <c r="L772" s="15" t="s">
        <v>36</v>
      </c>
      <c r="M772" s="12" t="s">
        <v>36</v>
      </c>
      <c r="N772" s="12" t="s">
        <v>36</v>
      </c>
      <c r="O772" s="17" t="s">
        <v>36</v>
      </c>
      <c r="P772" s="12" t="s">
        <v>36</v>
      </c>
      <c r="Q772" s="12" t="s">
        <v>36</v>
      </c>
      <c r="R772" s="12" t="s">
        <v>36</v>
      </c>
      <c r="S772" s="12" t="s">
        <v>36</v>
      </c>
      <c r="T772" s="12" t="s">
        <v>550</v>
      </c>
      <c r="U772" s="12" t="s">
        <v>38</v>
      </c>
      <c r="V772" s="12" t="s">
        <v>39</v>
      </c>
      <c r="W772" s="12" t="s">
        <v>4900</v>
      </c>
      <c r="X772" s="16" t="s">
        <v>4901</v>
      </c>
      <c r="Y772" s="15" t="s">
        <v>42</v>
      </c>
      <c r="Z772" s="14" t="s">
        <v>36</v>
      </c>
      <c r="AA772" s="14" t="s">
        <v>36</v>
      </c>
      <c r="AB772" s="12" t="s">
        <v>43</v>
      </c>
      <c r="AC772" s="12" t="s">
        <v>4902</v>
      </c>
      <c r="AD772" s="13">
        <v>45292</v>
      </c>
      <c r="AE772" s="12" t="s">
        <v>554</v>
      </c>
      <c r="AF772" s="12" t="s">
        <v>4903</v>
      </c>
      <c r="AG772" s="12" t="s">
        <v>81</v>
      </c>
      <c r="AH772" s="1">
        <f>HYPERLINK("https://my.pitchbook.com?c=270452-71T","View Company Online")</f>
      </c>
    </row>
    <row r="773">
      <c r="A773" s="3" t="s">
        <v>4904</v>
      </c>
      <c r="B773" s="3" t="s">
        <v>4905</v>
      </c>
      <c r="C773" s="5" t="s">
        <v>36</v>
      </c>
      <c r="D773" s="5" t="s">
        <v>36</v>
      </c>
      <c r="E773" s="5" t="s">
        <v>36</v>
      </c>
      <c r="F773" s="5" t="s">
        <v>36</v>
      </c>
      <c r="G773" s="6" t="s">
        <v>36</v>
      </c>
      <c r="H773" s="4" t="s">
        <v>36</v>
      </c>
      <c r="I773" s="7" t="s">
        <v>36</v>
      </c>
      <c r="J773" s="3" t="s">
        <v>36</v>
      </c>
      <c r="K773" s="9" t="s">
        <v>36</v>
      </c>
      <c r="L773" s="6" t="s">
        <v>36</v>
      </c>
      <c r="M773" s="3" t="s">
        <v>36</v>
      </c>
      <c r="N773" s="3" t="s">
        <v>36</v>
      </c>
      <c r="O773" s="8" t="s">
        <v>36</v>
      </c>
      <c r="P773" s="3" t="s">
        <v>36</v>
      </c>
      <c r="Q773" s="3" t="s">
        <v>36</v>
      </c>
      <c r="R773" s="3" t="s">
        <v>36</v>
      </c>
      <c r="S773" s="3" t="s">
        <v>36</v>
      </c>
      <c r="T773" s="3" t="s">
        <v>105</v>
      </c>
      <c r="U773" s="3" t="s">
        <v>38</v>
      </c>
      <c r="V773" s="3" t="s">
        <v>39</v>
      </c>
      <c r="W773" s="3" t="s">
        <v>4906</v>
      </c>
      <c r="X773" s="10" t="s">
        <v>4907</v>
      </c>
      <c r="Y773" s="6" t="s">
        <v>192</v>
      </c>
      <c r="Z773" s="4" t="s">
        <v>36</v>
      </c>
      <c r="AA773" s="4" t="s">
        <v>36</v>
      </c>
      <c r="AB773" s="3" t="s">
        <v>56</v>
      </c>
      <c r="AC773" s="3" t="s">
        <v>4908</v>
      </c>
      <c r="AD773" s="9">
        <v>45292</v>
      </c>
      <c r="AE773" s="3" t="s">
        <v>110</v>
      </c>
      <c r="AF773" s="3" t="s">
        <v>3762</v>
      </c>
      <c r="AG773" s="3" t="s">
        <v>47</v>
      </c>
      <c r="AH773" s="11">
        <f>HYPERLINK("https://my.pitchbook.com?c=248646-70T","View Company Online")</f>
      </c>
    </row>
    <row r="774">
      <c r="A774" s="12" t="s">
        <v>4909</v>
      </c>
      <c r="B774" s="12" t="s">
        <v>4910</v>
      </c>
      <c r="C774" s="19" t="s">
        <v>36</v>
      </c>
      <c r="D774" s="19" t="s">
        <v>36</v>
      </c>
      <c r="E774" s="19" t="s">
        <v>36</v>
      </c>
      <c r="F774" s="19" t="s">
        <v>36</v>
      </c>
      <c r="G774" s="15" t="s">
        <v>36</v>
      </c>
      <c r="H774" s="14" t="s">
        <v>36</v>
      </c>
      <c r="I774" s="18" t="s">
        <v>36</v>
      </c>
      <c r="J774" s="12" t="s">
        <v>36</v>
      </c>
      <c r="K774" s="13" t="s">
        <v>36</v>
      </c>
      <c r="L774" s="15" t="s">
        <v>36</v>
      </c>
      <c r="M774" s="12" t="s">
        <v>36</v>
      </c>
      <c r="N774" s="12" t="s">
        <v>36</v>
      </c>
      <c r="O774" s="17" t="s">
        <v>36</v>
      </c>
      <c r="P774" s="12" t="s">
        <v>36</v>
      </c>
      <c r="Q774" s="12" t="s">
        <v>36</v>
      </c>
      <c r="R774" s="12" t="s">
        <v>36</v>
      </c>
      <c r="S774" s="12" t="s">
        <v>36</v>
      </c>
      <c r="T774" s="12" t="s">
        <v>4911</v>
      </c>
      <c r="U774" s="12" t="s">
        <v>63</v>
      </c>
      <c r="V774" s="12" t="s">
        <v>64</v>
      </c>
      <c r="W774" s="12" t="s">
        <v>4912</v>
      </c>
      <c r="X774" s="16" t="s">
        <v>4913</v>
      </c>
      <c r="Y774" s="15" t="s">
        <v>42</v>
      </c>
      <c r="Z774" s="14" t="s">
        <v>36</v>
      </c>
      <c r="AA774" s="14" t="s">
        <v>36</v>
      </c>
      <c r="AB774" s="12" t="s">
        <v>43</v>
      </c>
      <c r="AC774" s="12" t="s">
        <v>4914</v>
      </c>
      <c r="AD774" s="13">
        <v>45292</v>
      </c>
      <c r="AE774" s="12" t="s">
        <v>399</v>
      </c>
      <c r="AF774" s="12" t="s">
        <v>36</v>
      </c>
      <c r="AG774" s="12" t="s">
        <v>81</v>
      </c>
      <c r="AH774" s="1">
        <f>HYPERLINK("https://my.pitchbook.com?c=256483-27T","View Company Online")</f>
      </c>
    </row>
    <row r="775">
      <c r="A775" s="3" t="s">
        <v>4915</v>
      </c>
      <c r="B775" s="3" t="s">
        <v>4916</v>
      </c>
      <c r="C775" s="5" t="s">
        <v>36</v>
      </c>
      <c r="D775" s="5" t="s">
        <v>36</v>
      </c>
      <c r="E775" s="5" t="s">
        <v>36</v>
      </c>
      <c r="F775" s="5" t="s">
        <v>36</v>
      </c>
      <c r="G775" s="6" t="s">
        <v>36</v>
      </c>
      <c r="H775" s="4" t="s">
        <v>36</v>
      </c>
      <c r="I775" s="7" t="s">
        <v>36</v>
      </c>
      <c r="J775" s="3" t="s">
        <v>36</v>
      </c>
      <c r="K775" s="9" t="s">
        <v>36</v>
      </c>
      <c r="L775" s="6" t="s">
        <v>36</v>
      </c>
      <c r="M775" s="3" t="s">
        <v>36</v>
      </c>
      <c r="N775" s="3" t="s">
        <v>36</v>
      </c>
      <c r="O775" s="8" t="s">
        <v>36</v>
      </c>
      <c r="P775" s="3" t="s">
        <v>36</v>
      </c>
      <c r="Q775" s="3" t="s">
        <v>36</v>
      </c>
      <c r="R775" s="3" t="s">
        <v>36</v>
      </c>
      <c r="S775" s="3" t="s">
        <v>36</v>
      </c>
      <c r="T775" s="3" t="s">
        <v>4917</v>
      </c>
      <c r="U775" s="3" t="s">
        <v>38</v>
      </c>
      <c r="V775" s="3" t="s">
        <v>39</v>
      </c>
      <c r="W775" s="3" t="s">
        <v>4918</v>
      </c>
      <c r="X775" s="10" t="s">
        <v>627</v>
      </c>
      <c r="Y775" s="6" t="s">
        <v>108</v>
      </c>
      <c r="Z775" s="4" t="s">
        <v>36</v>
      </c>
      <c r="AA775" s="4" t="s">
        <v>36</v>
      </c>
      <c r="AB775" s="3" t="s">
        <v>43</v>
      </c>
      <c r="AC775" s="3" t="s">
        <v>4919</v>
      </c>
      <c r="AD775" s="9">
        <v>45292</v>
      </c>
      <c r="AE775" s="3" t="s">
        <v>134</v>
      </c>
      <c r="AF775" s="3" t="s">
        <v>135</v>
      </c>
      <c r="AG775" s="3" t="s">
        <v>81</v>
      </c>
      <c r="AH775" s="11">
        <f>HYPERLINK("https://my.pitchbook.com?c=282203-92T","View Company Online")</f>
      </c>
    </row>
    <row r="776">
      <c r="A776" s="12" t="s">
        <v>4920</v>
      </c>
      <c r="B776" s="12" t="s">
        <v>4921</v>
      </c>
      <c r="C776" s="19" t="s">
        <v>36</v>
      </c>
      <c r="D776" s="19">
        <v>2</v>
      </c>
      <c r="E776" s="19">
        <v>1</v>
      </c>
      <c r="F776" s="19">
        <v>2</v>
      </c>
      <c r="G776" s="15" t="s">
        <v>36</v>
      </c>
      <c r="H776" s="14" t="s">
        <v>36</v>
      </c>
      <c r="I776" s="18" t="s">
        <v>36</v>
      </c>
      <c r="J776" s="12" t="s">
        <v>36</v>
      </c>
      <c r="K776" s="13" t="s">
        <v>36</v>
      </c>
      <c r="L776" s="15" t="s">
        <v>36</v>
      </c>
      <c r="M776" s="12" t="s">
        <v>36</v>
      </c>
      <c r="N776" s="12" t="s">
        <v>36</v>
      </c>
      <c r="O776" s="17" t="s">
        <v>36</v>
      </c>
      <c r="P776" s="12" t="s">
        <v>36</v>
      </c>
      <c r="Q776" s="12" t="s">
        <v>36</v>
      </c>
      <c r="R776" s="12" t="s">
        <v>36</v>
      </c>
      <c r="S776" s="12" t="s">
        <v>36</v>
      </c>
      <c r="T776" s="12" t="s">
        <v>4922</v>
      </c>
      <c r="U776" s="12" t="s">
        <v>387</v>
      </c>
      <c r="V776" s="12" t="s">
        <v>367</v>
      </c>
      <c r="W776" s="12" t="s">
        <v>4923</v>
      </c>
      <c r="X776" s="16" t="s">
        <v>577</v>
      </c>
      <c r="Y776" s="15" t="s">
        <v>42</v>
      </c>
      <c r="Z776" s="14" t="s">
        <v>36</v>
      </c>
      <c r="AA776" s="14" t="s">
        <v>36</v>
      </c>
      <c r="AB776" s="12" t="s">
        <v>43</v>
      </c>
      <c r="AC776" s="12" t="s">
        <v>4924</v>
      </c>
      <c r="AD776" s="13">
        <v>45292</v>
      </c>
      <c r="AE776" s="12" t="s">
        <v>391</v>
      </c>
      <c r="AF776" s="12" t="s">
        <v>372</v>
      </c>
      <c r="AG776" s="12" t="s">
        <v>382</v>
      </c>
      <c r="AH776" s="1">
        <f>HYPERLINK("https://my.pitchbook.com?c=273434-41T","View Company Online")</f>
      </c>
    </row>
    <row r="777">
      <c r="A777" s="3" t="s">
        <v>4925</v>
      </c>
      <c r="B777" s="3" t="s">
        <v>4926</v>
      </c>
      <c r="C777" s="5" t="s">
        <v>36</v>
      </c>
      <c r="D777" s="5" t="s">
        <v>36</v>
      </c>
      <c r="E777" s="5" t="s">
        <v>36</v>
      </c>
      <c r="F777" s="5" t="s">
        <v>36</v>
      </c>
      <c r="G777" s="6" t="s">
        <v>36</v>
      </c>
      <c r="H777" s="4" t="s">
        <v>36</v>
      </c>
      <c r="I777" s="7" t="s">
        <v>36</v>
      </c>
      <c r="J777" s="3" t="s">
        <v>36</v>
      </c>
      <c r="K777" s="9" t="s">
        <v>36</v>
      </c>
      <c r="L777" s="6" t="s">
        <v>36</v>
      </c>
      <c r="M777" s="3" t="s">
        <v>36</v>
      </c>
      <c r="N777" s="3" t="s">
        <v>36</v>
      </c>
      <c r="O777" s="8" t="s">
        <v>36</v>
      </c>
      <c r="P777" s="3" t="s">
        <v>36</v>
      </c>
      <c r="Q777" s="3" t="s">
        <v>36</v>
      </c>
      <c r="R777" s="3" t="s">
        <v>36</v>
      </c>
      <c r="S777" s="3" t="s">
        <v>36</v>
      </c>
      <c r="T777" s="3" t="s">
        <v>3958</v>
      </c>
      <c r="U777" s="3" t="s">
        <v>38</v>
      </c>
      <c r="V777" s="3" t="s">
        <v>39</v>
      </c>
      <c r="W777" s="3" t="s">
        <v>4927</v>
      </c>
      <c r="X777" s="10" t="s">
        <v>4928</v>
      </c>
      <c r="Y777" s="6" t="s">
        <v>108</v>
      </c>
      <c r="Z777" s="4" t="s">
        <v>36</v>
      </c>
      <c r="AA777" s="4" t="s">
        <v>36</v>
      </c>
      <c r="AB777" s="3" t="s">
        <v>43</v>
      </c>
      <c r="AC777" s="3" t="s">
        <v>4929</v>
      </c>
      <c r="AD777" s="9">
        <v>45292</v>
      </c>
      <c r="AE777" s="3" t="s">
        <v>110</v>
      </c>
      <c r="AF777" s="3" t="s">
        <v>4930</v>
      </c>
      <c r="AG777" s="3" t="s">
        <v>81</v>
      </c>
      <c r="AH777" s="11">
        <f>HYPERLINK("https://my.pitchbook.com?c=249292-99T","View Company Online")</f>
      </c>
    </row>
    <row r="778">
      <c r="A778" s="12" t="s">
        <v>4931</v>
      </c>
      <c r="B778" s="12" t="s">
        <v>4932</v>
      </c>
      <c r="C778" s="19" t="s">
        <v>36</v>
      </c>
      <c r="D778" s="19" t="s">
        <v>36</v>
      </c>
      <c r="E778" s="19" t="s">
        <v>36</v>
      </c>
      <c r="F778" s="19" t="s">
        <v>36</v>
      </c>
      <c r="G778" s="15" t="s">
        <v>36</v>
      </c>
      <c r="H778" s="14" t="s">
        <v>36</v>
      </c>
      <c r="I778" s="18" t="s">
        <v>36</v>
      </c>
      <c r="J778" s="12" t="s">
        <v>36</v>
      </c>
      <c r="K778" s="13" t="s">
        <v>36</v>
      </c>
      <c r="L778" s="15" t="s">
        <v>36</v>
      </c>
      <c r="M778" s="12" t="s">
        <v>36</v>
      </c>
      <c r="N778" s="12" t="s">
        <v>36</v>
      </c>
      <c r="O778" s="17" t="s">
        <v>36</v>
      </c>
      <c r="P778" s="12" t="s">
        <v>36</v>
      </c>
      <c r="Q778" s="12" t="s">
        <v>36</v>
      </c>
      <c r="R778" s="12" t="s">
        <v>36</v>
      </c>
      <c r="S778" s="12" t="s">
        <v>36</v>
      </c>
      <c r="T778" s="12" t="s">
        <v>4933</v>
      </c>
      <c r="U778" s="12" t="s">
        <v>74</v>
      </c>
      <c r="V778" s="12" t="s">
        <v>75</v>
      </c>
      <c r="W778" s="12" t="s">
        <v>4934</v>
      </c>
      <c r="X778" s="16" t="s">
        <v>4935</v>
      </c>
      <c r="Y778" s="15" t="s">
        <v>321</v>
      </c>
      <c r="Z778" s="14" t="s">
        <v>36</v>
      </c>
      <c r="AA778" s="14" t="s">
        <v>36</v>
      </c>
      <c r="AB778" s="12" t="s">
        <v>56</v>
      </c>
      <c r="AC778" s="12" t="s">
        <v>4936</v>
      </c>
      <c r="AD778" s="13">
        <v>45292</v>
      </c>
      <c r="AE778" s="12" t="s">
        <v>79</v>
      </c>
      <c r="AF778" s="12" t="s">
        <v>1201</v>
      </c>
      <c r="AG778" s="12" t="s">
        <v>81</v>
      </c>
      <c r="AH778" s="1">
        <f>HYPERLINK("https://my.pitchbook.com?c=250618-96T","View Company Online")</f>
      </c>
    </row>
    <row r="779">
      <c r="A779" s="3" t="s">
        <v>4937</v>
      </c>
      <c r="B779" s="3" t="s">
        <v>4938</v>
      </c>
      <c r="C779" s="5" t="s">
        <v>36</v>
      </c>
      <c r="D779" s="5" t="s">
        <v>36</v>
      </c>
      <c r="E779" s="5" t="s">
        <v>36</v>
      </c>
      <c r="F779" s="5" t="s">
        <v>36</v>
      </c>
      <c r="G779" s="6" t="s">
        <v>326</v>
      </c>
      <c r="H779" s="4" t="s">
        <v>36</v>
      </c>
      <c r="I779" s="7">
        <v>30.4</v>
      </c>
      <c r="J779" s="3" t="s">
        <v>327</v>
      </c>
      <c r="K779" s="9" t="s">
        <v>36</v>
      </c>
      <c r="L779" s="6" t="s">
        <v>36</v>
      </c>
      <c r="M779" s="3" t="s">
        <v>36</v>
      </c>
      <c r="N779" s="3" t="s">
        <v>36</v>
      </c>
      <c r="O779" s="8" t="s">
        <v>36</v>
      </c>
      <c r="P779" s="3" t="s">
        <v>36</v>
      </c>
      <c r="Q779" s="3" t="s">
        <v>36</v>
      </c>
      <c r="R779" s="3" t="s">
        <v>36</v>
      </c>
      <c r="S779" s="3" t="s">
        <v>36</v>
      </c>
      <c r="T779" s="3" t="s">
        <v>4939</v>
      </c>
      <c r="U779" s="3" t="s">
        <v>619</v>
      </c>
      <c r="V779" s="3" t="s">
        <v>378</v>
      </c>
      <c r="W779" s="3" t="s">
        <v>4940</v>
      </c>
      <c r="X779" s="10" t="s">
        <v>4941</v>
      </c>
      <c r="Y779" s="6" t="s">
        <v>55</v>
      </c>
      <c r="Z779" s="4">
        <v>6.55</v>
      </c>
      <c r="AA779" s="4">
        <v>21.54</v>
      </c>
      <c r="AB779" s="3" t="s">
        <v>56</v>
      </c>
      <c r="AC779" s="3" t="s">
        <v>4942</v>
      </c>
      <c r="AD779" s="9">
        <v>45289</v>
      </c>
      <c r="AE779" s="3" t="s">
        <v>623</v>
      </c>
      <c r="AF779" s="3" t="s">
        <v>4943</v>
      </c>
      <c r="AG779" s="3" t="s">
        <v>144</v>
      </c>
      <c r="AH779" s="11">
        <f>HYPERLINK("https://my.pitchbook.com?c=235231-75T","View Company Online")</f>
      </c>
    </row>
    <row r="780">
      <c r="A780" s="12" t="s">
        <v>4944</v>
      </c>
      <c r="B780" s="12" t="s">
        <v>4945</v>
      </c>
      <c r="C780" s="19">
        <v>1</v>
      </c>
      <c r="D780" s="19">
        <v>8</v>
      </c>
      <c r="E780" s="19">
        <v>1</v>
      </c>
      <c r="F780" s="19">
        <v>9</v>
      </c>
      <c r="G780" s="15" t="s">
        <v>326</v>
      </c>
      <c r="H780" s="14">
        <v>1658.59</v>
      </c>
      <c r="I780" s="18">
        <v>20.39</v>
      </c>
      <c r="J780" s="12" t="s">
        <v>521</v>
      </c>
      <c r="K780" s="13" t="s">
        <v>36</v>
      </c>
      <c r="L780" s="15" t="s">
        <v>36</v>
      </c>
      <c r="M780" s="12" t="s">
        <v>36</v>
      </c>
      <c r="N780" s="12" t="s">
        <v>36</v>
      </c>
      <c r="O780" s="17" t="s">
        <v>36</v>
      </c>
      <c r="P780" s="12" t="s">
        <v>36</v>
      </c>
      <c r="Q780" s="12" t="s">
        <v>36</v>
      </c>
      <c r="R780" s="12" t="s">
        <v>36</v>
      </c>
      <c r="S780" s="12" t="s">
        <v>4946</v>
      </c>
      <c r="T780" s="12" t="s">
        <v>596</v>
      </c>
      <c r="U780" s="12" t="s">
        <v>366</v>
      </c>
      <c r="V780" s="12" t="s">
        <v>367</v>
      </c>
      <c r="W780" s="12" t="s">
        <v>4947</v>
      </c>
      <c r="X780" s="16" t="s">
        <v>817</v>
      </c>
      <c r="Y780" s="15" t="s">
        <v>108</v>
      </c>
      <c r="Z780" s="14">
        <v>0.88</v>
      </c>
      <c r="AA780" s="14">
        <v>4.32</v>
      </c>
      <c r="AB780" s="12" t="s">
        <v>56</v>
      </c>
      <c r="AC780" s="12" t="s">
        <v>4948</v>
      </c>
      <c r="AD780" s="13">
        <v>45289</v>
      </c>
      <c r="AE780" s="12" t="s">
        <v>600</v>
      </c>
      <c r="AF780" s="12" t="s">
        <v>982</v>
      </c>
      <c r="AG780" s="12" t="s">
        <v>102</v>
      </c>
      <c r="AH780" s="1">
        <f>HYPERLINK("https://my.pitchbook.com?c=282764-71T","View Company Online")</f>
      </c>
    </row>
    <row r="781">
      <c r="A781" s="3" t="s">
        <v>4949</v>
      </c>
      <c r="B781" s="3" t="s">
        <v>4950</v>
      </c>
      <c r="C781" s="5" t="s">
        <v>36</v>
      </c>
      <c r="D781" s="5" t="s">
        <v>36</v>
      </c>
      <c r="E781" s="5" t="s">
        <v>36</v>
      </c>
      <c r="F781" s="5" t="s">
        <v>36</v>
      </c>
      <c r="G781" s="6" t="s">
        <v>36</v>
      </c>
      <c r="H781" s="4">
        <v>324.03</v>
      </c>
      <c r="I781" s="7">
        <v>22.77</v>
      </c>
      <c r="J781" s="3" t="s">
        <v>521</v>
      </c>
      <c r="K781" s="9" t="s">
        <v>36</v>
      </c>
      <c r="L781" s="6" t="s">
        <v>36</v>
      </c>
      <c r="M781" s="3" t="s">
        <v>36</v>
      </c>
      <c r="N781" s="3" t="s">
        <v>36</v>
      </c>
      <c r="O781" s="8" t="s">
        <v>36</v>
      </c>
      <c r="P781" s="3" t="s">
        <v>36</v>
      </c>
      <c r="Q781" s="3" t="s">
        <v>36</v>
      </c>
      <c r="R781" s="3" t="s">
        <v>36</v>
      </c>
      <c r="S781" s="3" t="s">
        <v>36</v>
      </c>
      <c r="T781" s="3" t="s">
        <v>1227</v>
      </c>
      <c r="U781" s="3" t="s">
        <v>74</v>
      </c>
      <c r="V781" s="3" t="s">
        <v>75</v>
      </c>
      <c r="W781" s="3" t="s">
        <v>4951</v>
      </c>
      <c r="X781" s="10" t="s">
        <v>4952</v>
      </c>
      <c r="Y781" s="6" t="s">
        <v>42</v>
      </c>
      <c r="Z781" s="4">
        <v>1.25</v>
      </c>
      <c r="AA781" s="4">
        <v>5.51</v>
      </c>
      <c r="AB781" s="3" t="s">
        <v>43</v>
      </c>
      <c r="AC781" s="3" t="s">
        <v>4953</v>
      </c>
      <c r="AD781" s="9">
        <v>45288</v>
      </c>
      <c r="AE781" s="3" t="s">
        <v>570</v>
      </c>
      <c r="AF781" s="3" t="s">
        <v>1619</v>
      </c>
      <c r="AG781" s="3" t="s">
        <v>81</v>
      </c>
      <c r="AH781" s="11">
        <f>HYPERLINK("https://my.pitchbook.com?c=250473-16T","View Company Online")</f>
      </c>
    </row>
    <row r="782">
      <c r="A782" s="12" t="s">
        <v>4954</v>
      </c>
      <c r="B782" s="12" t="s">
        <v>4955</v>
      </c>
      <c r="C782" s="19" t="s">
        <v>36</v>
      </c>
      <c r="D782" s="19" t="s">
        <v>36</v>
      </c>
      <c r="E782" s="19" t="s">
        <v>36</v>
      </c>
      <c r="F782" s="19" t="s">
        <v>36</v>
      </c>
      <c r="G782" s="15" t="s">
        <v>36</v>
      </c>
      <c r="H782" s="14" t="s">
        <v>36</v>
      </c>
      <c r="I782" s="18" t="s">
        <v>36</v>
      </c>
      <c r="J782" s="12" t="s">
        <v>36</v>
      </c>
      <c r="K782" s="13" t="s">
        <v>36</v>
      </c>
      <c r="L782" s="15" t="s">
        <v>36</v>
      </c>
      <c r="M782" s="12" t="s">
        <v>36</v>
      </c>
      <c r="N782" s="12" t="s">
        <v>36</v>
      </c>
      <c r="O782" s="17" t="s">
        <v>36</v>
      </c>
      <c r="P782" s="12" t="s">
        <v>36</v>
      </c>
      <c r="Q782" s="12" t="s">
        <v>36</v>
      </c>
      <c r="R782" s="12" t="s">
        <v>36</v>
      </c>
      <c r="S782" s="12" t="s">
        <v>36</v>
      </c>
      <c r="T782" s="12" t="s">
        <v>472</v>
      </c>
      <c r="U782" s="12" t="s">
        <v>38</v>
      </c>
      <c r="V782" s="12" t="s">
        <v>39</v>
      </c>
      <c r="W782" s="12" t="s">
        <v>4956</v>
      </c>
      <c r="X782" s="16" t="s">
        <v>4957</v>
      </c>
      <c r="Y782" s="15" t="s">
        <v>192</v>
      </c>
      <c r="Z782" s="14">
        <v>1.11</v>
      </c>
      <c r="AA782" s="14" t="s">
        <v>36</v>
      </c>
      <c r="AB782" s="12" t="s">
        <v>56</v>
      </c>
      <c r="AC782" s="12" t="s">
        <v>4958</v>
      </c>
      <c r="AD782" s="13">
        <v>45287</v>
      </c>
      <c r="AE782" s="12" t="s">
        <v>110</v>
      </c>
      <c r="AF782" s="12" t="s">
        <v>526</v>
      </c>
      <c r="AG782" s="12" t="s">
        <v>81</v>
      </c>
      <c r="AH782" s="1">
        <f>HYPERLINK("https://my.pitchbook.com?c=250477-66T","View Company Online")</f>
      </c>
    </row>
    <row r="783">
      <c r="A783" s="3" t="s">
        <v>4959</v>
      </c>
      <c r="B783" s="3" t="s">
        <v>4960</v>
      </c>
      <c r="C783" s="5">
        <v>11</v>
      </c>
      <c r="D783" s="5">
        <v>12</v>
      </c>
      <c r="E783" s="5">
        <v>5</v>
      </c>
      <c r="F783" s="5">
        <v>24</v>
      </c>
      <c r="G783" s="6" t="s">
        <v>326</v>
      </c>
      <c r="H783" s="4">
        <v>186.09</v>
      </c>
      <c r="I783" s="7">
        <v>32.95</v>
      </c>
      <c r="J783" s="3" t="s">
        <v>521</v>
      </c>
      <c r="K783" s="9">
        <v>45286</v>
      </c>
      <c r="L783" s="6" t="s">
        <v>122</v>
      </c>
      <c r="M783" s="3" t="s">
        <v>36</v>
      </c>
      <c r="N783" s="3" t="s">
        <v>122</v>
      </c>
      <c r="O783" s="8" t="s">
        <v>36</v>
      </c>
      <c r="P783" s="3" t="s">
        <v>36</v>
      </c>
      <c r="Q783" s="3" t="s">
        <v>36</v>
      </c>
      <c r="R783" s="3" t="s">
        <v>36</v>
      </c>
      <c r="S783" s="3" t="s">
        <v>36</v>
      </c>
      <c r="T783" s="3" t="s">
        <v>3264</v>
      </c>
      <c r="U783" s="3" t="s">
        <v>96</v>
      </c>
      <c r="V783" s="3" t="s">
        <v>52</v>
      </c>
      <c r="W783" s="3" t="s">
        <v>4961</v>
      </c>
      <c r="X783" s="10" t="s">
        <v>4962</v>
      </c>
      <c r="Y783" s="6" t="s">
        <v>55</v>
      </c>
      <c r="Z783" s="4">
        <v>8.2</v>
      </c>
      <c r="AA783" s="4">
        <v>24.87</v>
      </c>
      <c r="AB783" s="3" t="s">
        <v>56</v>
      </c>
      <c r="AC783" s="3" t="s">
        <v>4963</v>
      </c>
      <c r="AD783" s="9">
        <v>45286</v>
      </c>
      <c r="AE783" s="3" t="s">
        <v>496</v>
      </c>
      <c r="AF783" s="3" t="s">
        <v>4964</v>
      </c>
      <c r="AG783" s="3" t="s">
        <v>4637</v>
      </c>
      <c r="AH783" s="11">
        <f>HYPERLINK("https://my.pitchbook.com?c=247530-61T","View Company Online")</f>
      </c>
    </row>
    <row r="784">
      <c r="A784" s="12" t="s">
        <v>4965</v>
      </c>
      <c r="B784" s="12" t="s">
        <v>4966</v>
      </c>
      <c r="C784" s="19" t="s">
        <v>36</v>
      </c>
      <c r="D784" s="19" t="s">
        <v>36</v>
      </c>
      <c r="E784" s="19" t="s">
        <v>36</v>
      </c>
      <c r="F784" s="19" t="s">
        <v>36</v>
      </c>
      <c r="G784" s="15" t="s">
        <v>36</v>
      </c>
      <c r="H784" s="14" t="s">
        <v>36</v>
      </c>
      <c r="I784" s="18" t="s">
        <v>36</v>
      </c>
      <c r="J784" s="12" t="s">
        <v>36</v>
      </c>
      <c r="K784" s="13">
        <v>45186</v>
      </c>
      <c r="L784" s="15" t="s">
        <v>36</v>
      </c>
      <c r="M784" s="12" t="s">
        <v>36</v>
      </c>
      <c r="N784" s="12" t="s">
        <v>36</v>
      </c>
      <c r="O784" s="17" t="s">
        <v>36</v>
      </c>
      <c r="P784" s="12" t="s">
        <v>36</v>
      </c>
      <c r="Q784" s="12" t="s">
        <v>36</v>
      </c>
      <c r="R784" s="12" t="s">
        <v>36</v>
      </c>
      <c r="S784" s="12" t="s">
        <v>36</v>
      </c>
      <c r="T784" s="12" t="s">
        <v>4967</v>
      </c>
      <c r="U784" s="12" t="s">
        <v>219</v>
      </c>
      <c r="V784" s="12" t="s">
        <v>75</v>
      </c>
      <c r="W784" s="12" t="s">
        <v>4968</v>
      </c>
      <c r="X784" s="16" t="s">
        <v>4969</v>
      </c>
      <c r="Y784" s="15" t="s">
        <v>108</v>
      </c>
      <c r="Z784" s="14">
        <v>0.27</v>
      </c>
      <c r="AA784" s="14" t="s">
        <v>36</v>
      </c>
      <c r="AB784" s="12" t="s">
        <v>43</v>
      </c>
      <c r="AC784" s="12" t="s">
        <v>4970</v>
      </c>
      <c r="AD784" s="13">
        <v>45286</v>
      </c>
      <c r="AE784" s="12" t="s">
        <v>1912</v>
      </c>
      <c r="AF784" s="12" t="s">
        <v>4971</v>
      </c>
      <c r="AG784" s="12" t="s">
        <v>81</v>
      </c>
      <c r="AH784" s="1">
        <f>HYPERLINK("https://my.pitchbook.com?c=241792-57T","View Company Online")</f>
      </c>
    </row>
    <row r="785">
      <c r="A785" s="3" t="s">
        <v>4972</v>
      </c>
      <c r="B785" s="3" t="s">
        <v>4973</v>
      </c>
      <c r="C785" s="5" t="s">
        <v>36</v>
      </c>
      <c r="D785" s="5" t="s">
        <v>36</v>
      </c>
      <c r="E785" s="5" t="s">
        <v>36</v>
      </c>
      <c r="F785" s="5" t="s">
        <v>36</v>
      </c>
      <c r="G785" s="6" t="s">
        <v>36</v>
      </c>
      <c r="H785" s="4" t="s">
        <v>36</v>
      </c>
      <c r="I785" s="7">
        <v>41.07</v>
      </c>
      <c r="J785" s="3" t="s">
        <v>327</v>
      </c>
      <c r="K785" s="9" t="s">
        <v>36</v>
      </c>
      <c r="L785" s="6" t="s">
        <v>36</v>
      </c>
      <c r="M785" s="3" t="s">
        <v>36</v>
      </c>
      <c r="N785" s="3" t="s">
        <v>36</v>
      </c>
      <c r="O785" s="8" t="s">
        <v>36</v>
      </c>
      <c r="P785" s="3" t="s">
        <v>36</v>
      </c>
      <c r="Q785" s="3" t="s">
        <v>36</v>
      </c>
      <c r="R785" s="3" t="s">
        <v>36</v>
      </c>
      <c r="S785" s="3" t="s">
        <v>36</v>
      </c>
      <c r="T785" s="3" t="s">
        <v>4974</v>
      </c>
      <c r="U785" s="3" t="s">
        <v>38</v>
      </c>
      <c r="V785" s="3" t="s">
        <v>39</v>
      </c>
      <c r="W785" s="3" t="s">
        <v>4975</v>
      </c>
      <c r="X785" s="10" t="s">
        <v>4976</v>
      </c>
      <c r="Y785" s="6" t="s">
        <v>42</v>
      </c>
      <c r="Z785" s="4">
        <v>1.63</v>
      </c>
      <c r="AA785" s="4">
        <v>3.98</v>
      </c>
      <c r="AB785" s="3" t="s">
        <v>43</v>
      </c>
      <c r="AC785" s="3" t="s">
        <v>4977</v>
      </c>
      <c r="AD785" s="9">
        <v>45284</v>
      </c>
      <c r="AE785" s="3" t="s">
        <v>134</v>
      </c>
      <c r="AF785" s="3" t="s">
        <v>2752</v>
      </c>
      <c r="AG785" s="3" t="s">
        <v>81</v>
      </c>
      <c r="AH785" s="11">
        <f>HYPERLINK("https://my.pitchbook.com?c=252227-17T","View Company Online")</f>
      </c>
    </row>
    <row r="786">
      <c r="A786" s="12" t="s">
        <v>4978</v>
      </c>
      <c r="B786" s="12" t="s">
        <v>4979</v>
      </c>
      <c r="C786" s="19" t="s">
        <v>36</v>
      </c>
      <c r="D786" s="19" t="s">
        <v>36</v>
      </c>
      <c r="E786" s="19" t="s">
        <v>36</v>
      </c>
      <c r="F786" s="19" t="s">
        <v>36</v>
      </c>
      <c r="G786" s="15" t="s">
        <v>36</v>
      </c>
      <c r="H786" s="14" t="s">
        <v>36</v>
      </c>
      <c r="I786" s="18" t="s">
        <v>36</v>
      </c>
      <c r="J786" s="12" t="s">
        <v>36</v>
      </c>
      <c r="K786" s="13" t="s">
        <v>36</v>
      </c>
      <c r="L786" s="15" t="s">
        <v>36</v>
      </c>
      <c r="M786" s="12" t="s">
        <v>36</v>
      </c>
      <c r="N786" s="12" t="s">
        <v>36</v>
      </c>
      <c r="O786" s="17" t="s">
        <v>36</v>
      </c>
      <c r="P786" s="12" t="s">
        <v>36</v>
      </c>
      <c r="Q786" s="12" t="s">
        <v>36</v>
      </c>
      <c r="R786" s="12" t="s">
        <v>36</v>
      </c>
      <c r="S786" s="12" t="s">
        <v>36</v>
      </c>
      <c r="T786" s="12" t="s">
        <v>189</v>
      </c>
      <c r="U786" s="12" t="s">
        <v>180</v>
      </c>
      <c r="V786" s="12" t="s">
        <v>52</v>
      </c>
      <c r="W786" s="12" t="s">
        <v>4980</v>
      </c>
      <c r="X786" s="16" t="s">
        <v>4981</v>
      </c>
      <c r="Y786" s="15" t="s">
        <v>108</v>
      </c>
      <c r="Z786" s="14">
        <v>0.16</v>
      </c>
      <c r="AA786" s="14" t="s">
        <v>36</v>
      </c>
      <c r="AB786" s="12" t="s">
        <v>56</v>
      </c>
      <c r="AC786" s="12" t="s">
        <v>4982</v>
      </c>
      <c r="AD786" s="13">
        <v>45282</v>
      </c>
      <c r="AE786" s="12" t="s">
        <v>184</v>
      </c>
      <c r="AF786" s="12" t="s">
        <v>3580</v>
      </c>
      <c r="AG786" s="12" t="s">
        <v>741</v>
      </c>
      <c r="AH786" s="1">
        <f>HYPERLINK("https://my.pitchbook.com?c=249902-11T","View Company Online")</f>
      </c>
    </row>
    <row r="787">
      <c r="A787" s="3" t="s">
        <v>4983</v>
      </c>
      <c r="B787" s="3" t="s">
        <v>4984</v>
      </c>
      <c r="C787" s="5" t="s">
        <v>36</v>
      </c>
      <c r="D787" s="5" t="s">
        <v>36</v>
      </c>
      <c r="E787" s="5" t="s">
        <v>36</v>
      </c>
      <c r="F787" s="5" t="s">
        <v>36</v>
      </c>
      <c r="G787" s="6" t="s">
        <v>36</v>
      </c>
      <c r="H787" s="4">
        <v>25.97</v>
      </c>
      <c r="I787" s="7">
        <v>9.57</v>
      </c>
      <c r="J787" s="3" t="s">
        <v>521</v>
      </c>
      <c r="K787" s="9" t="s">
        <v>36</v>
      </c>
      <c r="L787" s="6" t="s">
        <v>36</v>
      </c>
      <c r="M787" s="3" t="s">
        <v>36</v>
      </c>
      <c r="N787" s="3" t="s">
        <v>36</v>
      </c>
      <c r="O787" s="8" t="s">
        <v>36</v>
      </c>
      <c r="P787" s="3" t="s">
        <v>36</v>
      </c>
      <c r="Q787" s="3" t="s">
        <v>36</v>
      </c>
      <c r="R787" s="3" t="s">
        <v>36</v>
      </c>
      <c r="S787" s="3" t="s">
        <v>36</v>
      </c>
      <c r="T787" s="3" t="s">
        <v>4985</v>
      </c>
      <c r="U787" s="3" t="s">
        <v>38</v>
      </c>
      <c r="V787" s="3" t="s">
        <v>39</v>
      </c>
      <c r="W787" s="3" t="s">
        <v>4986</v>
      </c>
      <c r="X787" s="10" t="s">
        <v>1710</v>
      </c>
      <c r="Y787" s="6" t="s">
        <v>42</v>
      </c>
      <c r="Z787" s="4">
        <v>0.29</v>
      </c>
      <c r="AA787" s="4">
        <v>3.01</v>
      </c>
      <c r="AB787" s="3" t="s">
        <v>43</v>
      </c>
      <c r="AC787" s="3" t="s">
        <v>4987</v>
      </c>
      <c r="AD787" s="9">
        <v>45282</v>
      </c>
      <c r="AE787" s="3" t="s">
        <v>110</v>
      </c>
      <c r="AF787" s="3" t="s">
        <v>111</v>
      </c>
      <c r="AG787" s="3" t="s">
        <v>144</v>
      </c>
      <c r="AH787" s="11">
        <f>HYPERLINK("https://my.pitchbook.com?c=257395-87T","View Company Online")</f>
      </c>
    </row>
    <row r="788">
      <c r="A788" s="12" t="s">
        <v>4988</v>
      </c>
      <c r="B788" s="12" t="s">
        <v>4989</v>
      </c>
      <c r="C788" s="19">
        <v>2</v>
      </c>
      <c r="D788" s="19">
        <v>2</v>
      </c>
      <c r="E788" s="19">
        <v>4</v>
      </c>
      <c r="F788" s="19">
        <v>5</v>
      </c>
      <c r="G788" s="15" t="s">
        <v>36</v>
      </c>
      <c r="H788" s="14" t="s">
        <v>36</v>
      </c>
      <c r="I788" s="18" t="s">
        <v>36</v>
      </c>
      <c r="J788" s="12" t="s">
        <v>36</v>
      </c>
      <c r="K788" s="13" t="s">
        <v>36</v>
      </c>
      <c r="L788" s="15" t="s">
        <v>36</v>
      </c>
      <c r="M788" s="12" t="s">
        <v>36</v>
      </c>
      <c r="N788" s="12" t="s">
        <v>36</v>
      </c>
      <c r="O788" s="17" t="s">
        <v>36</v>
      </c>
      <c r="P788" s="12" t="s">
        <v>36</v>
      </c>
      <c r="Q788" s="12" t="s">
        <v>36</v>
      </c>
      <c r="R788" s="12" t="s">
        <v>36</v>
      </c>
      <c r="S788" s="12" t="s">
        <v>4990</v>
      </c>
      <c r="T788" s="12" t="s">
        <v>1188</v>
      </c>
      <c r="U788" s="12" t="s">
        <v>180</v>
      </c>
      <c r="V788" s="12" t="s">
        <v>52</v>
      </c>
      <c r="W788" s="12" t="s">
        <v>4991</v>
      </c>
      <c r="X788" s="16" t="s">
        <v>4992</v>
      </c>
      <c r="Y788" s="15" t="s">
        <v>108</v>
      </c>
      <c r="Z788" s="14">
        <v>5.55</v>
      </c>
      <c r="AA788" s="14" t="s">
        <v>36</v>
      </c>
      <c r="AB788" s="12" t="s">
        <v>43</v>
      </c>
      <c r="AC788" s="12" t="s">
        <v>4993</v>
      </c>
      <c r="AD788" s="13">
        <v>45281</v>
      </c>
      <c r="AE788" s="12" t="s">
        <v>1192</v>
      </c>
      <c r="AF788" s="12" t="s">
        <v>4994</v>
      </c>
      <c r="AG788" s="12" t="s">
        <v>81</v>
      </c>
      <c r="AH788" s="1">
        <f>HYPERLINK("https://my.pitchbook.com?c=252620-74T","View Company Online")</f>
      </c>
    </row>
    <row r="789">
      <c r="A789" s="3" t="s">
        <v>4995</v>
      </c>
      <c r="B789" s="3" t="s">
        <v>4996</v>
      </c>
      <c r="C789" s="5">
        <v>1</v>
      </c>
      <c r="D789" s="5">
        <v>4</v>
      </c>
      <c r="E789" s="5">
        <v>1</v>
      </c>
      <c r="F789" s="5">
        <v>5</v>
      </c>
      <c r="G789" s="6" t="s">
        <v>36</v>
      </c>
      <c r="H789" s="4" t="s">
        <v>36</v>
      </c>
      <c r="I789" s="7">
        <v>31.93</v>
      </c>
      <c r="J789" s="3" t="s">
        <v>327</v>
      </c>
      <c r="K789" s="9" t="s">
        <v>36</v>
      </c>
      <c r="L789" s="6" t="s">
        <v>36</v>
      </c>
      <c r="M789" s="3" t="s">
        <v>36</v>
      </c>
      <c r="N789" s="3" t="s">
        <v>36</v>
      </c>
      <c r="O789" s="8" t="s">
        <v>36</v>
      </c>
      <c r="P789" s="3" t="s">
        <v>36</v>
      </c>
      <c r="Q789" s="3" t="s">
        <v>36</v>
      </c>
      <c r="R789" s="3" t="s">
        <v>36</v>
      </c>
      <c r="S789" s="3" t="s">
        <v>36</v>
      </c>
      <c r="T789" s="3" t="s">
        <v>4997</v>
      </c>
      <c r="U789" s="3" t="s">
        <v>38</v>
      </c>
      <c r="V789" s="3" t="s">
        <v>39</v>
      </c>
      <c r="W789" s="3" t="s">
        <v>4998</v>
      </c>
      <c r="X789" s="10" t="s">
        <v>4999</v>
      </c>
      <c r="Y789" s="6" t="s">
        <v>192</v>
      </c>
      <c r="Z789" s="4">
        <v>3.59</v>
      </c>
      <c r="AA789" s="4">
        <v>11.25</v>
      </c>
      <c r="AB789" s="3" t="s">
        <v>56</v>
      </c>
      <c r="AC789" s="3" t="s">
        <v>5000</v>
      </c>
      <c r="AD789" s="9">
        <v>45281</v>
      </c>
      <c r="AE789" s="3" t="s">
        <v>1945</v>
      </c>
      <c r="AF789" s="3" t="s">
        <v>5001</v>
      </c>
      <c r="AG789" s="3" t="s">
        <v>81</v>
      </c>
      <c r="AH789" s="11">
        <f>HYPERLINK("https://my.pitchbook.com?c=248151-52T","View Company Online")</f>
      </c>
    </row>
    <row r="790">
      <c r="A790" s="12" t="s">
        <v>5002</v>
      </c>
      <c r="B790" s="12" t="s">
        <v>5003</v>
      </c>
      <c r="C790" s="19" t="s">
        <v>36</v>
      </c>
      <c r="D790" s="19" t="s">
        <v>36</v>
      </c>
      <c r="E790" s="19" t="s">
        <v>36</v>
      </c>
      <c r="F790" s="19" t="s">
        <v>36</v>
      </c>
      <c r="G790" s="15" t="s">
        <v>36</v>
      </c>
      <c r="H790" s="14" t="s">
        <v>36</v>
      </c>
      <c r="I790" s="18" t="s">
        <v>36</v>
      </c>
      <c r="J790" s="12" t="s">
        <v>36</v>
      </c>
      <c r="K790" s="13" t="s">
        <v>36</v>
      </c>
      <c r="L790" s="15" t="s">
        <v>36</v>
      </c>
      <c r="M790" s="12" t="s">
        <v>36</v>
      </c>
      <c r="N790" s="12" t="s">
        <v>36</v>
      </c>
      <c r="O790" s="17" t="s">
        <v>36</v>
      </c>
      <c r="P790" s="12" t="s">
        <v>36</v>
      </c>
      <c r="Q790" s="12" t="s">
        <v>36</v>
      </c>
      <c r="R790" s="12" t="s">
        <v>36</v>
      </c>
      <c r="S790" s="12" t="s">
        <v>36</v>
      </c>
      <c r="T790" s="12" t="s">
        <v>2647</v>
      </c>
      <c r="U790" s="12" t="s">
        <v>1502</v>
      </c>
      <c r="V790" s="12" t="s">
        <v>75</v>
      </c>
      <c r="W790" s="12" t="s">
        <v>5004</v>
      </c>
      <c r="X790" s="16" t="s">
        <v>5005</v>
      </c>
      <c r="Y790" s="15" t="s">
        <v>42</v>
      </c>
      <c r="Z790" s="14">
        <v>6.53</v>
      </c>
      <c r="AA790" s="14" t="s">
        <v>36</v>
      </c>
      <c r="AB790" s="12" t="s">
        <v>43</v>
      </c>
      <c r="AC790" s="12" t="s">
        <v>5006</v>
      </c>
      <c r="AD790" s="13">
        <v>45281</v>
      </c>
      <c r="AE790" s="12" t="s">
        <v>1822</v>
      </c>
      <c r="AF790" s="12" t="s">
        <v>5007</v>
      </c>
      <c r="AG790" s="12" t="s">
        <v>1601</v>
      </c>
      <c r="AH790" s="1">
        <f>HYPERLINK("https://my.pitchbook.com?c=248304-70T","View Company Online")</f>
      </c>
    </row>
    <row r="791">
      <c r="A791" s="3" t="s">
        <v>5008</v>
      </c>
      <c r="B791" s="3" t="s">
        <v>5009</v>
      </c>
      <c r="C791" s="5" t="s">
        <v>36</v>
      </c>
      <c r="D791" s="5" t="s">
        <v>36</v>
      </c>
      <c r="E791" s="5" t="s">
        <v>36</v>
      </c>
      <c r="F791" s="5" t="s">
        <v>36</v>
      </c>
      <c r="G791" s="6" t="s">
        <v>36</v>
      </c>
      <c r="H791" s="4" t="s">
        <v>36</v>
      </c>
      <c r="I791" s="7" t="s">
        <v>36</v>
      </c>
      <c r="J791" s="3" t="s">
        <v>36</v>
      </c>
      <c r="K791" s="9" t="s">
        <v>36</v>
      </c>
      <c r="L791" s="6" t="s">
        <v>36</v>
      </c>
      <c r="M791" s="3" t="s">
        <v>36</v>
      </c>
      <c r="N791" s="3" t="s">
        <v>36</v>
      </c>
      <c r="O791" s="8" t="s">
        <v>36</v>
      </c>
      <c r="P791" s="3" t="s">
        <v>36</v>
      </c>
      <c r="Q791" s="3" t="s">
        <v>36</v>
      </c>
      <c r="R791" s="3" t="s">
        <v>36</v>
      </c>
      <c r="S791" s="3" t="s">
        <v>36</v>
      </c>
      <c r="T791" s="3" t="s">
        <v>522</v>
      </c>
      <c r="U791" s="3" t="s">
        <v>38</v>
      </c>
      <c r="V791" s="3" t="s">
        <v>39</v>
      </c>
      <c r="W791" s="3" t="s">
        <v>5010</v>
      </c>
      <c r="X791" s="10" t="s">
        <v>5011</v>
      </c>
      <c r="Y791" s="6" t="s">
        <v>108</v>
      </c>
      <c r="Z791" s="4" t="s">
        <v>36</v>
      </c>
      <c r="AA791" s="4" t="s">
        <v>36</v>
      </c>
      <c r="AB791" s="3" t="s">
        <v>56</v>
      </c>
      <c r="AC791" s="3" t="s">
        <v>5012</v>
      </c>
      <c r="AD791" s="9">
        <v>45280</v>
      </c>
      <c r="AE791" s="3" t="s">
        <v>110</v>
      </c>
      <c r="AF791" s="3" t="s">
        <v>176</v>
      </c>
      <c r="AG791" s="3" t="s">
        <v>5013</v>
      </c>
      <c r="AH791" s="11">
        <f>HYPERLINK("https://my.pitchbook.com?c=248668-21T","View Company Online")</f>
      </c>
    </row>
    <row r="792">
      <c r="A792" s="12" t="s">
        <v>5014</v>
      </c>
      <c r="B792" s="12" t="s">
        <v>5015</v>
      </c>
      <c r="C792" s="19" t="s">
        <v>36</v>
      </c>
      <c r="D792" s="19" t="s">
        <v>36</v>
      </c>
      <c r="E792" s="19" t="s">
        <v>36</v>
      </c>
      <c r="F792" s="19" t="s">
        <v>36</v>
      </c>
      <c r="G792" s="15" t="s">
        <v>326</v>
      </c>
      <c r="H792" s="14">
        <v>5017.69</v>
      </c>
      <c r="I792" s="18">
        <v>17.48</v>
      </c>
      <c r="J792" s="12" t="s">
        <v>521</v>
      </c>
      <c r="K792" s="13" t="s">
        <v>36</v>
      </c>
      <c r="L792" s="15" t="s">
        <v>36</v>
      </c>
      <c r="M792" s="12" t="s">
        <v>36</v>
      </c>
      <c r="N792" s="12" t="s">
        <v>36</v>
      </c>
      <c r="O792" s="17" t="s">
        <v>36</v>
      </c>
      <c r="P792" s="12" t="s">
        <v>36</v>
      </c>
      <c r="Q792" s="12" t="s">
        <v>36</v>
      </c>
      <c r="R792" s="12" t="s">
        <v>36</v>
      </c>
      <c r="S792" s="12" t="s">
        <v>36</v>
      </c>
      <c r="T792" s="12" t="s">
        <v>3315</v>
      </c>
      <c r="U792" s="12" t="s">
        <v>74</v>
      </c>
      <c r="V792" s="12" t="s">
        <v>75</v>
      </c>
      <c r="W792" s="12" t="s">
        <v>5016</v>
      </c>
      <c r="X792" s="16" t="s">
        <v>5017</v>
      </c>
      <c r="Y792" s="15" t="s">
        <v>42</v>
      </c>
      <c r="Z792" s="14">
        <v>1.78</v>
      </c>
      <c r="AA792" s="14">
        <v>10.17</v>
      </c>
      <c r="AB792" s="12" t="s">
        <v>56</v>
      </c>
      <c r="AC792" s="12" t="s">
        <v>5018</v>
      </c>
      <c r="AD792" s="13">
        <v>45280</v>
      </c>
      <c r="AE792" s="12" t="s">
        <v>2237</v>
      </c>
      <c r="AF792" s="12" t="s">
        <v>5019</v>
      </c>
      <c r="AG792" s="12" t="s">
        <v>5020</v>
      </c>
      <c r="AH792" s="1">
        <f>HYPERLINK("https://my.pitchbook.com?c=250650-73T","View Company Online")</f>
      </c>
    </row>
    <row r="793">
      <c r="A793" s="3" t="s">
        <v>5021</v>
      </c>
      <c r="B793" s="3" t="s">
        <v>5022</v>
      </c>
      <c r="C793" s="5" t="s">
        <v>36</v>
      </c>
      <c r="D793" s="5" t="s">
        <v>36</v>
      </c>
      <c r="E793" s="5" t="s">
        <v>36</v>
      </c>
      <c r="F793" s="5" t="s">
        <v>36</v>
      </c>
      <c r="G793" s="6" t="s">
        <v>36</v>
      </c>
      <c r="H793" s="4" t="s">
        <v>36</v>
      </c>
      <c r="I793" s="7" t="s">
        <v>36</v>
      </c>
      <c r="J793" s="3" t="s">
        <v>36</v>
      </c>
      <c r="K793" s="9" t="s">
        <v>36</v>
      </c>
      <c r="L793" s="6" t="s">
        <v>36</v>
      </c>
      <c r="M793" s="3" t="s">
        <v>36</v>
      </c>
      <c r="N793" s="3" t="s">
        <v>36</v>
      </c>
      <c r="O793" s="8" t="s">
        <v>36</v>
      </c>
      <c r="P793" s="3" t="s">
        <v>36</v>
      </c>
      <c r="Q793" s="3" t="s">
        <v>36</v>
      </c>
      <c r="R793" s="3" t="s">
        <v>36</v>
      </c>
      <c r="S793" s="3" t="s">
        <v>36</v>
      </c>
      <c r="T793" s="3" t="s">
        <v>1990</v>
      </c>
      <c r="U793" s="3" t="s">
        <v>38</v>
      </c>
      <c r="V793" s="3" t="s">
        <v>39</v>
      </c>
      <c r="W793" s="3" t="s">
        <v>5023</v>
      </c>
      <c r="X793" s="10" t="s">
        <v>5024</v>
      </c>
      <c r="Y793" s="6" t="s">
        <v>108</v>
      </c>
      <c r="Z793" s="4">
        <v>0.7</v>
      </c>
      <c r="AA793" s="4" t="s">
        <v>36</v>
      </c>
      <c r="AB793" s="3" t="s">
        <v>43</v>
      </c>
      <c r="AC793" s="3" t="s">
        <v>5025</v>
      </c>
      <c r="AD793" s="9">
        <v>45280</v>
      </c>
      <c r="AE793" s="3" t="s">
        <v>110</v>
      </c>
      <c r="AF793" s="3" t="s">
        <v>36</v>
      </c>
      <c r="AG793" s="3" t="s">
        <v>741</v>
      </c>
      <c r="AH793" s="11">
        <f>HYPERLINK("https://my.pitchbook.com?c=248105-44T","View Company Online")</f>
      </c>
    </row>
    <row r="794">
      <c r="A794" s="12" t="s">
        <v>5026</v>
      </c>
      <c r="B794" s="12" t="s">
        <v>5027</v>
      </c>
      <c r="C794" s="19">
        <v>11</v>
      </c>
      <c r="D794" s="19">
        <v>34</v>
      </c>
      <c r="E794" s="19">
        <v>11</v>
      </c>
      <c r="F794" s="19">
        <v>59</v>
      </c>
      <c r="G794" s="15" t="s">
        <v>36</v>
      </c>
      <c r="H794" s="14" t="s">
        <v>36</v>
      </c>
      <c r="I794" s="18">
        <v>8.19</v>
      </c>
      <c r="J794" s="12" t="s">
        <v>327</v>
      </c>
      <c r="K794" s="13">
        <v>45258</v>
      </c>
      <c r="L794" s="15" t="s">
        <v>122</v>
      </c>
      <c r="M794" s="12" t="s">
        <v>36</v>
      </c>
      <c r="N794" s="12" t="s">
        <v>122</v>
      </c>
      <c r="O794" s="17" t="s">
        <v>36</v>
      </c>
      <c r="P794" s="12" t="s">
        <v>36</v>
      </c>
      <c r="Q794" s="12" t="s">
        <v>36</v>
      </c>
      <c r="R794" s="12" t="s">
        <v>36</v>
      </c>
      <c r="S794" s="12" t="s">
        <v>36</v>
      </c>
      <c r="T794" s="12" t="s">
        <v>2321</v>
      </c>
      <c r="U794" s="12" t="s">
        <v>51</v>
      </c>
      <c r="V794" s="12" t="s">
        <v>52</v>
      </c>
      <c r="W794" s="12" t="s">
        <v>5028</v>
      </c>
      <c r="X794" s="16" t="s">
        <v>5029</v>
      </c>
      <c r="Y794" s="15" t="s">
        <v>42</v>
      </c>
      <c r="Z794" s="14">
        <v>26.55</v>
      </c>
      <c r="AA794" s="14">
        <v>323.98</v>
      </c>
      <c r="AB794" s="12" t="s">
        <v>56</v>
      </c>
      <c r="AC794" s="12" t="s">
        <v>5030</v>
      </c>
      <c r="AD794" s="13">
        <v>45279</v>
      </c>
      <c r="AE794" s="12" t="s">
        <v>504</v>
      </c>
      <c r="AF794" s="12" t="s">
        <v>3193</v>
      </c>
      <c r="AG794" s="12" t="s">
        <v>47</v>
      </c>
      <c r="AH794" s="1">
        <f>HYPERLINK("https://my.pitchbook.com?c=164281-69T","View Company Online")</f>
      </c>
    </row>
    <row r="795">
      <c r="A795" s="3" t="s">
        <v>5031</v>
      </c>
      <c r="B795" s="3" t="s">
        <v>5032</v>
      </c>
      <c r="C795" s="5">
        <v>9</v>
      </c>
      <c r="D795" s="5">
        <v>6</v>
      </c>
      <c r="E795" s="5">
        <v>3</v>
      </c>
      <c r="F795" s="5">
        <v>15</v>
      </c>
      <c r="G795" s="6" t="s">
        <v>36</v>
      </c>
      <c r="H795" s="4" t="s">
        <v>36</v>
      </c>
      <c r="I795" s="7">
        <v>29.62</v>
      </c>
      <c r="J795" s="3" t="s">
        <v>521</v>
      </c>
      <c r="K795" s="9">
        <v>45162</v>
      </c>
      <c r="L795" s="6" t="s">
        <v>36</v>
      </c>
      <c r="M795" s="3" t="s">
        <v>36</v>
      </c>
      <c r="N795" s="3" t="s">
        <v>36</v>
      </c>
      <c r="O795" s="8" t="s">
        <v>36</v>
      </c>
      <c r="P795" s="3" t="s">
        <v>36</v>
      </c>
      <c r="Q795" s="3" t="s">
        <v>36</v>
      </c>
      <c r="R795" s="3" t="s">
        <v>36</v>
      </c>
      <c r="S795" s="3" t="s">
        <v>36</v>
      </c>
      <c r="T795" s="3" t="s">
        <v>5033</v>
      </c>
      <c r="U795" s="3" t="s">
        <v>366</v>
      </c>
      <c r="V795" s="3" t="s">
        <v>367</v>
      </c>
      <c r="W795" s="3" t="s">
        <v>5034</v>
      </c>
      <c r="X795" s="10" t="s">
        <v>2442</v>
      </c>
      <c r="Y795" s="6" t="s">
        <v>55</v>
      </c>
      <c r="Z795" s="4">
        <v>4.35</v>
      </c>
      <c r="AA795" s="4">
        <v>14.69</v>
      </c>
      <c r="AB795" s="3" t="s">
        <v>56</v>
      </c>
      <c r="AC795" s="3" t="s">
        <v>5035</v>
      </c>
      <c r="AD795" s="9">
        <v>45279</v>
      </c>
      <c r="AE795" s="3" t="s">
        <v>600</v>
      </c>
      <c r="AF795" s="3" t="s">
        <v>5036</v>
      </c>
      <c r="AG795" s="3" t="s">
        <v>392</v>
      </c>
      <c r="AH795" s="11">
        <f>HYPERLINK("https://my.pitchbook.com?c=245010-61T","View Company Online")</f>
      </c>
    </row>
    <row r="796">
      <c r="A796" s="12" t="s">
        <v>5037</v>
      </c>
      <c r="B796" s="12" t="s">
        <v>5038</v>
      </c>
      <c r="C796" s="19" t="s">
        <v>36</v>
      </c>
      <c r="D796" s="19" t="s">
        <v>36</v>
      </c>
      <c r="E796" s="19" t="s">
        <v>36</v>
      </c>
      <c r="F796" s="19" t="s">
        <v>36</v>
      </c>
      <c r="G796" s="15" t="s">
        <v>36</v>
      </c>
      <c r="H796" s="14" t="s">
        <v>36</v>
      </c>
      <c r="I796" s="18" t="s">
        <v>36</v>
      </c>
      <c r="J796" s="12" t="s">
        <v>36</v>
      </c>
      <c r="K796" s="13" t="s">
        <v>36</v>
      </c>
      <c r="L796" s="15" t="s">
        <v>36</v>
      </c>
      <c r="M796" s="12" t="s">
        <v>36</v>
      </c>
      <c r="N796" s="12" t="s">
        <v>36</v>
      </c>
      <c r="O796" s="17" t="s">
        <v>36</v>
      </c>
      <c r="P796" s="12" t="s">
        <v>36</v>
      </c>
      <c r="Q796" s="12" t="s">
        <v>36</v>
      </c>
      <c r="R796" s="12" t="s">
        <v>36</v>
      </c>
      <c r="S796" s="12" t="s">
        <v>36</v>
      </c>
      <c r="T796" s="12" t="s">
        <v>5039</v>
      </c>
      <c r="U796" s="12" t="s">
        <v>74</v>
      </c>
      <c r="V796" s="12" t="s">
        <v>75</v>
      </c>
      <c r="W796" s="12" t="s">
        <v>5040</v>
      </c>
      <c r="X796" s="16" t="s">
        <v>5041</v>
      </c>
      <c r="Y796" s="15" t="s">
        <v>42</v>
      </c>
      <c r="Z796" s="14">
        <v>5.44</v>
      </c>
      <c r="AA796" s="14" t="s">
        <v>36</v>
      </c>
      <c r="AB796" s="12" t="s">
        <v>56</v>
      </c>
      <c r="AC796" s="12" t="s">
        <v>5042</v>
      </c>
      <c r="AD796" s="13">
        <v>45279</v>
      </c>
      <c r="AE796" s="12" t="s">
        <v>1243</v>
      </c>
      <c r="AF796" s="12" t="s">
        <v>36</v>
      </c>
      <c r="AG796" s="12" t="s">
        <v>81</v>
      </c>
      <c r="AH796" s="1">
        <f>HYPERLINK("https://my.pitchbook.com?c=248398-30T","View Company Online")</f>
      </c>
    </row>
    <row r="797">
      <c r="A797" s="3" t="s">
        <v>5043</v>
      </c>
      <c r="B797" s="3" t="s">
        <v>5044</v>
      </c>
      <c r="C797" s="5">
        <v>1</v>
      </c>
      <c r="D797" s="5">
        <v>16</v>
      </c>
      <c r="E797" s="5">
        <v>6</v>
      </c>
      <c r="F797" s="5">
        <v>20</v>
      </c>
      <c r="G797" s="6" t="s">
        <v>326</v>
      </c>
      <c r="H797" s="4" t="s">
        <v>36</v>
      </c>
      <c r="I797" s="7">
        <v>9.15</v>
      </c>
      <c r="J797" s="3" t="s">
        <v>327</v>
      </c>
      <c r="K797" s="9" t="s">
        <v>36</v>
      </c>
      <c r="L797" s="6" t="s">
        <v>36</v>
      </c>
      <c r="M797" s="3" t="s">
        <v>36</v>
      </c>
      <c r="N797" s="3" t="s">
        <v>36</v>
      </c>
      <c r="O797" s="8" t="s">
        <v>36</v>
      </c>
      <c r="P797" s="3" t="s">
        <v>36</v>
      </c>
      <c r="Q797" s="3" t="s">
        <v>36</v>
      </c>
      <c r="R797" s="3" t="s">
        <v>36</v>
      </c>
      <c r="S797" s="3" t="s">
        <v>36</v>
      </c>
      <c r="T797" s="3" t="s">
        <v>5045</v>
      </c>
      <c r="U797" s="3" t="s">
        <v>318</v>
      </c>
      <c r="V797" s="3" t="s">
        <v>39</v>
      </c>
      <c r="W797" s="3" t="s">
        <v>5046</v>
      </c>
      <c r="X797" s="10" t="s">
        <v>5047</v>
      </c>
      <c r="Y797" s="6" t="s">
        <v>321</v>
      </c>
      <c r="Z797" s="4">
        <v>2.18</v>
      </c>
      <c r="AA797" s="4">
        <v>23.77</v>
      </c>
      <c r="AB797" s="3" t="s">
        <v>56</v>
      </c>
      <c r="AC797" s="3" t="s">
        <v>5048</v>
      </c>
      <c r="AD797" s="9">
        <v>45279</v>
      </c>
      <c r="AE797" s="3" t="s">
        <v>763</v>
      </c>
      <c r="AF797" s="3" t="s">
        <v>5049</v>
      </c>
      <c r="AG797" s="3" t="s">
        <v>186</v>
      </c>
      <c r="AH797" s="11">
        <f>HYPERLINK("https://my.pitchbook.com?c=248184-55T","View Company Online")</f>
      </c>
    </row>
    <row r="798">
      <c r="A798" s="12" t="s">
        <v>5050</v>
      </c>
      <c r="B798" s="12" t="s">
        <v>5051</v>
      </c>
      <c r="C798" s="19" t="s">
        <v>36</v>
      </c>
      <c r="D798" s="19" t="s">
        <v>36</v>
      </c>
      <c r="E798" s="19" t="s">
        <v>36</v>
      </c>
      <c r="F798" s="19" t="s">
        <v>36</v>
      </c>
      <c r="G798" s="15" t="s">
        <v>36</v>
      </c>
      <c r="H798" s="14" t="s">
        <v>36</v>
      </c>
      <c r="I798" s="18" t="s">
        <v>36</v>
      </c>
      <c r="J798" s="12" t="s">
        <v>36</v>
      </c>
      <c r="K798" s="13" t="s">
        <v>36</v>
      </c>
      <c r="L798" s="15" t="s">
        <v>36</v>
      </c>
      <c r="M798" s="12" t="s">
        <v>36</v>
      </c>
      <c r="N798" s="12" t="s">
        <v>36</v>
      </c>
      <c r="O798" s="17" t="s">
        <v>36</v>
      </c>
      <c r="P798" s="12" t="s">
        <v>36</v>
      </c>
      <c r="Q798" s="12" t="s">
        <v>36</v>
      </c>
      <c r="R798" s="12" t="s">
        <v>36</v>
      </c>
      <c r="S798" s="12" t="s">
        <v>36</v>
      </c>
      <c r="T798" s="12" t="s">
        <v>5052</v>
      </c>
      <c r="U798" s="12" t="s">
        <v>438</v>
      </c>
      <c r="V798" s="12" t="s">
        <v>405</v>
      </c>
      <c r="W798" s="12" t="s">
        <v>5053</v>
      </c>
      <c r="X798" s="16" t="s">
        <v>5054</v>
      </c>
      <c r="Y798" s="15" t="s">
        <v>55</v>
      </c>
      <c r="Z798" s="14">
        <v>108.81</v>
      </c>
      <c r="AA798" s="14" t="s">
        <v>36</v>
      </c>
      <c r="AB798" s="12" t="s">
        <v>43</v>
      </c>
      <c r="AC798" s="12" t="s">
        <v>5055</v>
      </c>
      <c r="AD798" s="13">
        <v>45278</v>
      </c>
      <c r="AE798" s="12" t="s">
        <v>438</v>
      </c>
      <c r="AF798" s="12" t="s">
        <v>331</v>
      </c>
      <c r="AG798" s="12" t="s">
        <v>741</v>
      </c>
      <c r="AH798" s="1">
        <f>HYPERLINK("https://my.pitchbook.com?c=247891-06T","View Company Online")</f>
      </c>
    </row>
    <row r="799">
      <c r="A799" s="3" t="s">
        <v>5056</v>
      </c>
      <c r="B799" s="3" t="s">
        <v>1534</v>
      </c>
      <c r="C799" s="5">
        <v>4</v>
      </c>
      <c r="D799" s="5">
        <v>31</v>
      </c>
      <c r="E799" s="5">
        <v>8</v>
      </c>
      <c r="F799" s="5">
        <v>35</v>
      </c>
      <c r="G799" s="6" t="s">
        <v>36</v>
      </c>
      <c r="H799" s="4" t="s">
        <v>36</v>
      </c>
      <c r="I799" s="7" t="s">
        <v>36</v>
      </c>
      <c r="J799" s="3" t="s">
        <v>36</v>
      </c>
      <c r="K799" s="9" t="s">
        <v>36</v>
      </c>
      <c r="L799" s="6" t="s">
        <v>36</v>
      </c>
      <c r="M799" s="3" t="s">
        <v>36</v>
      </c>
      <c r="N799" s="3" t="s">
        <v>36</v>
      </c>
      <c r="O799" s="8" t="s">
        <v>36</v>
      </c>
      <c r="P799" s="3" t="s">
        <v>36</v>
      </c>
      <c r="Q799" s="3" t="s">
        <v>36</v>
      </c>
      <c r="R799" s="3" t="s">
        <v>36</v>
      </c>
      <c r="S799" s="3" t="s">
        <v>36</v>
      </c>
      <c r="T799" s="3" t="s">
        <v>1535</v>
      </c>
      <c r="U799" s="3" t="s">
        <v>96</v>
      </c>
      <c r="V799" s="3" t="s">
        <v>52</v>
      </c>
      <c r="W799" s="3" t="s">
        <v>1536</v>
      </c>
      <c r="X799" s="10" t="s">
        <v>2442</v>
      </c>
      <c r="Y799" s="6" t="s">
        <v>192</v>
      </c>
      <c r="Z799" s="4">
        <v>1.4</v>
      </c>
      <c r="AA799" s="4" t="s">
        <v>36</v>
      </c>
      <c r="AB799" s="3" t="s">
        <v>56</v>
      </c>
      <c r="AC799" s="3" t="s">
        <v>1538</v>
      </c>
      <c r="AD799" s="9">
        <v>45275</v>
      </c>
      <c r="AE799" s="3" t="s">
        <v>1414</v>
      </c>
      <c r="AF799" s="3" t="s">
        <v>885</v>
      </c>
      <c r="AG799" s="3" t="s">
        <v>81</v>
      </c>
      <c r="AH799" s="11">
        <f>HYPERLINK("https://my.pitchbook.com?c=250372-63T","View Company Online")</f>
      </c>
    </row>
    <row r="800">
      <c r="A800" s="12" t="s">
        <v>5057</v>
      </c>
      <c r="B800" s="12" t="s">
        <v>2825</v>
      </c>
      <c r="C800" s="19" t="s">
        <v>36</v>
      </c>
      <c r="D800" s="19" t="s">
        <v>36</v>
      </c>
      <c r="E800" s="19" t="s">
        <v>36</v>
      </c>
      <c r="F800" s="19" t="s">
        <v>36</v>
      </c>
      <c r="G800" s="15" t="s">
        <v>326</v>
      </c>
      <c r="H800" s="14">
        <v>35.03</v>
      </c>
      <c r="I800" s="18">
        <v>7.54</v>
      </c>
      <c r="J800" s="12" t="s">
        <v>521</v>
      </c>
      <c r="K800" s="13" t="s">
        <v>36</v>
      </c>
      <c r="L800" s="15" t="s">
        <v>36</v>
      </c>
      <c r="M800" s="12" t="s">
        <v>36</v>
      </c>
      <c r="N800" s="12" t="s">
        <v>36</v>
      </c>
      <c r="O800" s="17" t="s">
        <v>36</v>
      </c>
      <c r="P800" s="12" t="s">
        <v>36</v>
      </c>
      <c r="Q800" s="12" t="s">
        <v>36</v>
      </c>
      <c r="R800" s="12" t="s">
        <v>36</v>
      </c>
      <c r="S800" s="12" t="s">
        <v>1588</v>
      </c>
      <c r="T800" s="12" t="s">
        <v>2826</v>
      </c>
      <c r="U800" s="12" t="s">
        <v>38</v>
      </c>
      <c r="V800" s="12" t="s">
        <v>39</v>
      </c>
      <c r="W800" s="12" t="s">
        <v>2827</v>
      </c>
      <c r="X800" s="16" t="s">
        <v>5058</v>
      </c>
      <c r="Y800" s="15" t="s">
        <v>321</v>
      </c>
      <c r="Z800" s="14">
        <v>3.26</v>
      </c>
      <c r="AA800" s="14">
        <v>43.3</v>
      </c>
      <c r="AB800" s="12" t="s">
        <v>56</v>
      </c>
      <c r="AC800" s="12" t="s">
        <v>2829</v>
      </c>
      <c r="AD800" s="13">
        <v>45275</v>
      </c>
      <c r="AE800" s="12" t="s">
        <v>1200</v>
      </c>
      <c r="AF800" s="12" t="s">
        <v>2830</v>
      </c>
      <c r="AG800" s="12" t="s">
        <v>2831</v>
      </c>
      <c r="AH800" s="1">
        <f>HYPERLINK("https://my.pitchbook.com?c=250650-37T","View Company Online")</f>
      </c>
    </row>
    <row r="801">
      <c r="A801" s="3" t="s">
        <v>5059</v>
      </c>
      <c r="B801" s="3" t="s">
        <v>5060</v>
      </c>
      <c r="C801" s="5" t="s">
        <v>36</v>
      </c>
      <c r="D801" s="5" t="s">
        <v>36</v>
      </c>
      <c r="E801" s="5" t="s">
        <v>36</v>
      </c>
      <c r="F801" s="5" t="s">
        <v>36</v>
      </c>
      <c r="G801" s="6" t="s">
        <v>326</v>
      </c>
      <c r="H801" s="4" t="s">
        <v>36</v>
      </c>
      <c r="I801" s="7">
        <v>14.22</v>
      </c>
      <c r="J801" s="3" t="s">
        <v>327</v>
      </c>
      <c r="K801" s="9" t="s">
        <v>36</v>
      </c>
      <c r="L801" s="6" t="s">
        <v>36</v>
      </c>
      <c r="M801" s="3" t="s">
        <v>36</v>
      </c>
      <c r="N801" s="3" t="s">
        <v>36</v>
      </c>
      <c r="O801" s="8" t="s">
        <v>36</v>
      </c>
      <c r="P801" s="3" t="s">
        <v>36</v>
      </c>
      <c r="Q801" s="3" t="s">
        <v>36</v>
      </c>
      <c r="R801" s="3" t="s">
        <v>36</v>
      </c>
      <c r="S801" s="3" t="s">
        <v>36</v>
      </c>
      <c r="T801" s="3" t="s">
        <v>2811</v>
      </c>
      <c r="U801" s="3" t="s">
        <v>219</v>
      </c>
      <c r="V801" s="3" t="s">
        <v>75</v>
      </c>
      <c r="W801" s="3" t="s">
        <v>5061</v>
      </c>
      <c r="X801" s="10" t="s">
        <v>5062</v>
      </c>
      <c r="Y801" s="6" t="s">
        <v>42</v>
      </c>
      <c r="Z801" s="4">
        <v>7.61</v>
      </c>
      <c r="AA801" s="4">
        <v>53.53</v>
      </c>
      <c r="AB801" s="3" t="s">
        <v>43</v>
      </c>
      <c r="AC801" s="3" t="s">
        <v>5063</v>
      </c>
      <c r="AD801" s="9">
        <v>45274</v>
      </c>
      <c r="AE801" s="3" t="s">
        <v>223</v>
      </c>
      <c r="AF801" s="3" t="s">
        <v>982</v>
      </c>
      <c r="AG801" s="3" t="s">
        <v>5064</v>
      </c>
      <c r="AH801" s="11">
        <f>HYPERLINK("https://my.pitchbook.com?c=247686-58T","View Company Online")</f>
      </c>
    </row>
    <row r="802">
      <c r="A802" s="12" t="s">
        <v>5065</v>
      </c>
      <c r="B802" s="12" t="s">
        <v>5066</v>
      </c>
      <c r="C802" s="19" t="s">
        <v>36</v>
      </c>
      <c r="D802" s="19" t="s">
        <v>36</v>
      </c>
      <c r="E802" s="19" t="s">
        <v>36</v>
      </c>
      <c r="F802" s="19" t="s">
        <v>36</v>
      </c>
      <c r="G802" s="15" t="s">
        <v>36</v>
      </c>
      <c r="H802" s="14" t="s">
        <v>36</v>
      </c>
      <c r="I802" s="18" t="s">
        <v>36</v>
      </c>
      <c r="J802" s="12" t="s">
        <v>36</v>
      </c>
      <c r="K802" s="13" t="s">
        <v>36</v>
      </c>
      <c r="L802" s="15" t="s">
        <v>36</v>
      </c>
      <c r="M802" s="12" t="s">
        <v>36</v>
      </c>
      <c r="N802" s="12" t="s">
        <v>36</v>
      </c>
      <c r="O802" s="17" t="s">
        <v>36</v>
      </c>
      <c r="P802" s="12" t="s">
        <v>36</v>
      </c>
      <c r="Q802" s="12" t="s">
        <v>36</v>
      </c>
      <c r="R802" s="12" t="s">
        <v>36</v>
      </c>
      <c r="S802" s="12" t="s">
        <v>36</v>
      </c>
      <c r="T802" s="12" t="s">
        <v>5067</v>
      </c>
      <c r="U802" s="12" t="s">
        <v>38</v>
      </c>
      <c r="V802" s="12" t="s">
        <v>39</v>
      </c>
      <c r="W802" s="12" t="s">
        <v>5068</v>
      </c>
      <c r="X802" s="16" t="s">
        <v>5069</v>
      </c>
      <c r="Y802" s="15" t="s">
        <v>42</v>
      </c>
      <c r="Z802" s="14">
        <v>3.26</v>
      </c>
      <c r="AA802" s="14" t="s">
        <v>36</v>
      </c>
      <c r="AB802" s="12" t="s">
        <v>56</v>
      </c>
      <c r="AC802" s="12" t="s">
        <v>5070</v>
      </c>
      <c r="AD802" s="13">
        <v>45274</v>
      </c>
      <c r="AE802" s="12" t="s">
        <v>110</v>
      </c>
      <c r="AF802" s="12" t="s">
        <v>111</v>
      </c>
      <c r="AG802" s="12" t="s">
        <v>102</v>
      </c>
      <c r="AH802" s="1">
        <f>HYPERLINK("https://my.pitchbook.com?c=247643-92T","View Company Online")</f>
      </c>
    </row>
    <row r="803">
      <c r="A803" s="3" t="s">
        <v>5071</v>
      </c>
      <c r="B803" s="3" t="s">
        <v>5072</v>
      </c>
      <c r="C803" s="5" t="s">
        <v>36</v>
      </c>
      <c r="D803" s="5" t="s">
        <v>36</v>
      </c>
      <c r="E803" s="5" t="s">
        <v>36</v>
      </c>
      <c r="F803" s="5" t="s">
        <v>36</v>
      </c>
      <c r="G803" s="6" t="s">
        <v>36</v>
      </c>
      <c r="H803" s="4" t="s">
        <v>36</v>
      </c>
      <c r="I803" s="7" t="s">
        <v>36</v>
      </c>
      <c r="J803" s="3" t="s">
        <v>36</v>
      </c>
      <c r="K803" s="9" t="s">
        <v>36</v>
      </c>
      <c r="L803" s="6" t="s">
        <v>36</v>
      </c>
      <c r="M803" s="3" t="s">
        <v>36</v>
      </c>
      <c r="N803" s="3" t="s">
        <v>36</v>
      </c>
      <c r="O803" s="8" t="s">
        <v>36</v>
      </c>
      <c r="P803" s="3" t="s">
        <v>36</v>
      </c>
      <c r="Q803" s="3" t="s">
        <v>36</v>
      </c>
      <c r="R803" s="3" t="s">
        <v>36</v>
      </c>
      <c r="S803" s="3" t="s">
        <v>36</v>
      </c>
      <c r="T803" s="3" t="s">
        <v>5073</v>
      </c>
      <c r="U803" s="3" t="s">
        <v>648</v>
      </c>
      <c r="V803" s="3" t="s">
        <v>64</v>
      </c>
      <c r="W803" s="3" t="s">
        <v>5074</v>
      </c>
      <c r="X803" s="10" t="s">
        <v>5075</v>
      </c>
      <c r="Y803" s="6" t="s">
        <v>42</v>
      </c>
      <c r="Z803" s="4">
        <v>4.35</v>
      </c>
      <c r="AA803" s="4" t="s">
        <v>36</v>
      </c>
      <c r="AB803" s="3" t="s">
        <v>43</v>
      </c>
      <c r="AC803" s="3" t="s">
        <v>5076</v>
      </c>
      <c r="AD803" s="9">
        <v>45273</v>
      </c>
      <c r="AE803" s="3" t="s">
        <v>1897</v>
      </c>
      <c r="AF803" s="3" t="s">
        <v>36</v>
      </c>
      <c r="AG803" s="3" t="s">
        <v>144</v>
      </c>
      <c r="AH803" s="11">
        <f>HYPERLINK("https://my.pitchbook.com?c=247545-01T","View Company Online")</f>
      </c>
    </row>
    <row r="804">
      <c r="A804" s="12" t="s">
        <v>5077</v>
      </c>
      <c r="B804" s="12" t="s">
        <v>5078</v>
      </c>
      <c r="C804" s="19" t="s">
        <v>36</v>
      </c>
      <c r="D804" s="19" t="s">
        <v>36</v>
      </c>
      <c r="E804" s="19" t="s">
        <v>36</v>
      </c>
      <c r="F804" s="19" t="s">
        <v>36</v>
      </c>
      <c r="G804" s="15" t="s">
        <v>36</v>
      </c>
      <c r="H804" s="14" t="s">
        <v>36</v>
      </c>
      <c r="I804" s="18" t="s">
        <v>36</v>
      </c>
      <c r="J804" s="12" t="s">
        <v>36</v>
      </c>
      <c r="K804" s="13" t="s">
        <v>36</v>
      </c>
      <c r="L804" s="15" t="s">
        <v>122</v>
      </c>
      <c r="M804" s="12" t="s">
        <v>36</v>
      </c>
      <c r="N804" s="12" t="s">
        <v>122</v>
      </c>
      <c r="O804" s="17" t="s">
        <v>36</v>
      </c>
      <c r="P804" s="12" t="s">
        <v>36</v>
      </c>
      <c r="Q804" s="12" t="s">
        <v>36</v>
      </c>
      <c r="R804" s="12" t="s">
        <v>36</v>
      </c>
      <c r="S804" s="12" t="s">
        <v>36</v>
      </c>
      <c r="T804" s="12" t="s">
        <v>123</v>
      </c>
      <c r="U804" s="12" t="s">
        <v>38</v>
      </c>
      <c r="V804" s="12" t="s">
        <v>39</v>
      </c>
      <c r="W804" s="12" t="s">
        <v>5079</v>
      </c>
      <c r="X804" s="16" t="s">
        <v>5080</v>
      </c>
      <c r="Y804" s="15" t="s">
        <v>108</v>
      </c>
      <c r="Z804" s="14">
        <v>21.74</v>
      </c>
      <c r="AA804" s="14" t="s">
        <v>36</v>
      </c>
      <c r="AB804" s="12" t="s">
        <v>43</v>
      </c>
      <c r="AC804" s="12" t="s">
        <v>5081</v>
      </c>
      <c r="AD804" s="13">
        <v>45273</v>
      </c>
      <c r="AE804" s="12" t="s">
        <v>110</v>
      </c>
      <c r="AF804" s="12" t="s">
        <v>36</v>
      </c>
      <c r="AG804" s="12" t="s">
        <v>2618</v>
      </c>
      <c r="AH804" s="1">
        <f>HYPERLINK("https://my.pitchbook.com?c=247501-72T","View Company Online")</f>
      </c>
    </row>
    <row r="805">
      <c r="A805" s="3" t="s">
        <v>5082</v>
      </c>
      <c r="B805" s="3" t="s">
        <v>5083</v>
      </c>
      <c r="C805" s="5" t="s">
        <v>36</v>
      </c>
      <c r="D805" s="5" t="s">
        <v>36</v>
      </c>
      <c r="E805" s="5" t="s">
        <v>36</v>
      </c>
      <c r="F805" s="5" t="s">
        <v>36</v>
      </c>
      <c r="G805" s="6" t="s">
        <v>36</v>
      </c>
      <c r="H805" s="4" t="s">
        <v>36</v>
      </c>
      <c r="I805" s="7" t="s">
        <v>36</v>
      </c>
      <c r="J805" s="3" t="s">
        <v>36</v>
      </c>
      <c r="K805" s="9" t="s">
        <v>36</v>
      </c>
      <c r="L805" s="6" t="s">
        <v>36</v>
      </c>
      <c r="M805" s="3" t="s">
        <v>36</v>
      </c>
      <c r="N805" s="3" t="s">
        <v>36</v>
      </c>
      <c r="O805" s="8" t="s">
        <v>36</v>
      </c>
      <c r="P805" s="3" t="s">
        <v>36</v>
      </c>
      <c r="Q805" s="3" t="s">
        <v>36</v>
      </c>
      <c r="R805" s="3" t="s">
        <v>36</v>
      </c>
      <c r="S805" s="3" t="s">
        <v>36</v>
      </c>
      <c r="T805" s="3" t="s">
        <v>550</v>
      </c>
      <c r="U805" s="3" t="s">
        <v>38</v>
      </c>
      <c r="V805" s="3" t="s">
        <v>39</v>
      </c>
      <c r="W805" s="3" t="s">
        <v>5084</v>
      </c>
      <c r="X805" s="10" t="s">
        <v>2433</v>
      </c>
      <c r="Y805" s="6" t="s">
        <v>42</v>
      </c>
      <c r="Z805" s="4">
        <v>0.81</v>
      </c>
      <c r="AA805" s="4" t="s">
        <v>36</v>
      </c>
      <c r="AB805" s="3" t="s">
        <v>56</v>
      </c>
      <c r="AC805" s="3" t="s">
        <v>5085</v>
      </c>
      <c r="AD805" s="9">
        <v>45272</v>
      </c>
      <c r="AE805" s="3" t="s">
        <v>554</v>
      </c>
      <c r="AF805" s="3" t="s">
        <v>1380</v>
      </c>
      <c r="AG805" s="3" t="s">
        <v>81</v>
      </c>
      <c r="AH805" s="11">
        <f>HYPERLINK("https://my.pitchbook.com?c=252228-43T","View Company Online")</f>
      </c>
    </row>
    <row r="806">
      <c r="A806" s="12" t="s">
        <v>5086</v>
      </c>
      <c r="B806" s="12" t="s">
        <v>5087</v>
      </c>
      <c r="C806" s="19">
        <v>1</v>
      </c>
      <c r="D806" s="19">
        <v>4</v>
      </c>
      <c r="E806" s="19">
        <v>2</v>
      </c>
      <c r="F806" s="19">
        <v>5</v>
      </c>
      <c r="G806" s="15" t="s">
        <v>36</v>
      </c>
      <c r="H806" s="14" t="s">
        <v>36</v>
      </c>
      <c r="I806" s="18" t="s">
        <v>36</v>
      </c>
      <c r="J806" s="12" t="s">
        <v>36</v>
      </c>
      <c r="K806" s="13" t="s">
        <v>36</v>
      </c>
      <c r="L806" s="15" t="s">
        <v>36</v>
      </c>
      <c r="M806" s="12" t="s">
        <v>36</v>
      </c>
      <c r="N806" s="12" t="s">
        <v>36</v>
      </c>
      <c r="O806" s="17" t="s">
        <v>36</v>
      </c>
      <c r="P806" s="12" t="s">
        <v>36</v>
      </c>
      <c r="Q806" s="12" t="s">
        <v>36</v>
      </c>
      <c r="R806" s="12" t="s">
        <v>36</v>
      </c>
      <c r="S806" s="12" t="s">
        <v>36</v>
      </c>
      <c r="T806" s="12" t="s">
        <v>2992</v>
      </c>
      <c r="U806" s="12" t="s">
        <v>96</v>
      </c>
      <c r="V806" s="12" t="s">
        <v>52</v>
      </c>
      <c r="W806" s="12" t="s">
        <v>5088</v>
      </c>
      <c r="X806" s="16" t="s">
        <v>5089</v>
      </c>
      <c r="Y806" s="15" t="s">
        <v>55</v>
      </c>
      <c r="Z806" s="14">
        <v>3.26</v>
      </c>
      <c r="AA806" s="14" t="s">
        <v>36</v>
      </c>
      <c r="AB806" s="12" t="s">
        <v>56</v>
      </c>
      <c r="AC806" s="12" t="s">
        <v>5090</v>
      </c>
      <c r="AD806" s="13">
        <v>45272</v>
      </c>
      <c r="AE806" s="12" t="s">
        <v>100</v>
      </c>
      <c r="AF806" s="12" t="s">
        <v>5091</v>
      </c>
      <c r="AG806" s="12" t="s">
        <v>4796</v>
      </c>
      <c r="AH806" s="1">
        <f>HYPERLINK("https://my.pitchbook.com?c=247465-27T","View Company Online")</f>
      </c>
    </row>
    <row r="807">
      <c r="A807" s="3" t="s">
        <v>5092</v>
      </c>
      <c r="B807" s="3" t="s">
        <v>5093</v>
      </c>
      <c r="C807" s="5" t="s">
        <v>36</v>
      </c>
      <c r="D807" s="5" t="s">
        <v>36</v>
      </c>
      <c r="E807" s="5" t="s">
        <v>36</v>
      </c>
      <c r="F807" s="5" t="s">
        <v>36</v>
      </c>
      <c r="G807" s="6" t="s">
        <v>326</v>
      </c>
      <c r="H807" s="4">
        <v>185.22</v>
      </c>
      <c r="I807" s="7">
        <v>34.33</v>
      </c>
      <c r="J807" s="3" t="s">
        <v>521</v>
      </c>
      <c r="K807" s="9" t="s">
        <v>36</v>
      </c>
      <c r="L807" s="6" t="s">
        <v>36</v>
      </c>
      <c r="M807" s="3" t="s">
        <v>36</v>
      </c>
      <c r="N807" s="3" t="s">
        <v>36</v>
      </c>
      <c r="O807" s="8" t="s">
        <v>36</v>
      </c>
      <c r="P807" s="3" t="s">
        <v>36</v>
      </c>
      <c r="Q807" s="3" t="s">
        <v>36</v>
      </c>
      <c r="R807" s="3" t="s">
        <v>36</v>
      </c>
      <c r="S807" s="3" t="s">
        <v>36</v>
      </c>
      <c r="T807" s="3" t="s">
        <v>3201</v>
      </c>
      <c r="U807" s="3" t="s">
        <v>1357</v>
      </c>
      <c r="V807" s="3" t="s">
        <v>52</v>
      </c>
      <c r="W807" s="3" t="s">
        <v>5094</v>
      </c>
      <c r="X807" s="10" t="s">
        <v>5095</v>
      </c>
      <c r="Y807" s="6" t="s">
        <v>55</v>
      </c>
      <c r="Z807" s="4">
        <v>10.86</v>
      </c>
      <c r="AA807" s="4">
        <v>31.65</v>
      </c>
      <c r="AB807" s="3" t="s">
        <v>56</v>
      </c>
      <c r="AC807" s="3" t="s">
        <v>5096</v>
      </c>
      <c r="AD807" s="9">
        <v>45272</v>
      </c>
      <c r="AE807" s="3" t="s">
        <v>3204</v>
      </c>
      <c r="AF807" s="3" t="s">
        <v>101</v>
      </c>
      <c r="AG807" s="3" t="s">
        <v>47</v>
      </c>
      <c r="AH807" s="11">
        <f>HYPERLINK("https://my.pitchbook.com?c=249703-03T","View Company Online")</f>
      </c>
    </row>
    <row r="808">
      <c r="A808" s="12" t="s">
        <v>5097</v>
      </c>
      <c r="B808" s="12" t="s">
        <v>5098</v>
      </c>
      <c r="C808" s="19" t="s">
        <v>36</v>
      </c>
      <c r="D808" s="19" t="s">
        <v>36</v>
      </c>
      <c r="E808" s="19" t="s">
        <v>36</v>
      </c>
      <c r="F808" s="19" t="s">
        <v>36</v>
      </c>
      <c r="G808" s="15" t="s">
        <v>36</v>
      </c>
      <c r="H808" s="14" t="s">
        <v>36</v>
      </c>
      <c r="I808" s="18" t="s">
        <v>36</v>
      </c>
      <c r="J808" s="12" t="s">
        <v>36</v>
      </c>
      <c r="K808" s="13">
        <v>45231</v>
      </c>
      <c r="L808" s="15" t="s">
        <v>36</v>
      </c>
      <c r="M808" s="12" t="s">
        <v>36</v>
      </c>
      <c r="N808" s="12" t="s">
        <v>36</v>
      </c>
      <c r="O808" s="17" t="s">
        <v>36</v>
      </c>
      <c r="P808" s="12" t="s">
        <v>36</v>
      </c>
      <c r="Q808" s="12" t="s">
        <v>36</v>
      </c>
      <c r="R808" s="12" t="s">
        <v>36</v>
      </c>
      <c r="S808" s="12" t="s">
        <v>36</v>
      </c>
      <c r="T808" s="12" t="s">
        <v>5099</v>
      </c>
      <c r="U808" s="12" t="s">
        <v>648</v>
      </c>
      <c r="V808" s="12" t="s">
        <v>64</v>
      </c>
      <c r="W808" s="12" t="s">
        <v>5100</v>
      </c>
      <c r="X808" s="16" t="s">
        <v>5101</v>
      </c>
      <c r="Y808" s="15" t="s">
        <v>42</v>
      </c>
      <c r="Z808" s="14" t="s">
        <v>36</v>
      </c>
      <c r="AA808" s="14" t="s">
        <v>36</v>
      </c>
      <c r="AB808" s="12" t="s">
        <v>56</v>
      </c>
      <c r="AC808" s="12" t="s">
        <v>5102</v>
      </c>
      <c r="AD808" s="13">
        <v>45269</v>
      </c>
      <c r="AE808" s="12" t="s">
        <v>651</v>
      </c>
      <c r="AF808" s="12" t="s">
        <v>36</v>
      </c>
      <c r="AG808" s="12" t="s">
        <v>81</v>
      </c>
      <c r="AH808" s="1">
        <f>HYPERLINK("https://my.pitchbook.com?c=247449-88T","View Company Online")</f>
      </c>
    </row>
    <row r="809">
      <c r="A809" s="3" t="s">
        <v>5103</v>
      </c>
      <c r="B809" s="3" t="s">
        <v>5104</v>
      </c>
      <c r="C809" s="5" t="s">
        <v>36</v>
      </c>
      <c r="D809" s="5" t="s">
        <v>36</v>
      </c>
      <c r="E809" s="5" t="s">
        <v>36</v>
      </c>
      <c r="F809" s="5" t="s">
        <v>36</v>
      </c>
      <c r="G809" s="6" t="s">
        <v>36</v>
      </c>
      <c r="H809" s="4" t="s">
        <v>36</v>
      </c>
      <c r="I809" s="7" t="s">
        <v>36</v>
      </c>
      <c r="J809" s="3" t="s">
        <v>36</v>
      </c>
      <c r="K809" s="9" t="s">
        <v>36</v>
      </c>
      <c r="L809" s="6" t="s">
        <v>36</v>
      </c>
      <c r="M809" s="3" t="s">
        <v>36</v>
      </c>
      <c r="N809" s="3" t="s">
        <v>36</v>
      </c>
      <c r="O809" s="8" t="s">
        <v>36</v>
      </c>
      <c r="P809" s="3" t="s">
        <v>36</v>
      </c>
      <c r="Q809" s="3" t="s">
        <v>36</v>
      </c>
      <c r="R809" s="3" t="s">
        <v>36</v>
      </c>
      <c r="S809" s="3" t="s">
        <v>36</v>
      </c>
      <c r="T809" s="3" t="s">
        <v>522</v>
      </c>
      <c r="U809" s="3" t="s">
        <v>38</v>
      </c>
      <c r="V809" s="3" t="s">
        <v>39</v>
      </c>
      <c r="W809" s="3" t="s">
        <v>5105</v>
      </c>
      <c r="X809" s="10" t="s">
        <v>5106</v>
      </c>
      <c r="Y809" s="6" t="s">
        <v>108</v>
      </c>
      <c r="Z809" s="4">
        <v>1.95</v>
      </c>
      <c r="AA809" s="4" t="s">
        <v>36</v>
      </c>
      <c r="AB809" s="3" t="s">
        <v>43</v>
      </c>
      <c r="AC809" s="3" t="s">
        <v>5107</v>
      </c>
      <c r="AD809" s="9">
        <v>45268</v>
      </c>
      <c r="AE809" s="3" t="s">
        <v>110</v>
      </c>
      <c r="AF809" s="3" t="s">
        <v>5108</v>
      </c>
      <c r="AG809" s="3" t="s">
        <v>81</v>
      </c>
      <c r="AH809" s="11">
        <f>HYPERLINK("https://my.pitchbook.com?c=247217-05T","View Company Online")</f>
      </c>
    </row>
    <row r="810">
      <c r="A810" s="12" t="s">
        <v>5109</v>
      </c>
      <c r="B810" s="12" t="s">
        <v>5110</v>
      </c>
      <c r="C810" s="19">
        <v>11</v>
      </c>
      <c r="D810" s="19">
        <v>21</v>
      </c>
      <c r="E810" s="19">
        <v>7</v>
      </c>
      <c r="F810" s="19">
        <v>32</v>
      </c>
      <c r="G810" s="15" t="s">
        <v>683</v>
      </c>
      <c r="H810" s="14" t="s">
        <v>36</v>
      </c>
      <c r="I810" s="18">
        <v>33.26</v>
      </c>
      <c r="J810" s="12" t="s">
        <v>327</v>
      </c>
      <c r="K810" s="13" t="s">
        <v>36</v>
      </c>
      <c r="L810" s="15" t="s">
        <v>122</v>
      </c>
      <c r="M810" s="12" t="s">
        <v>36</v>
      </c>
      <c r="N810" s="12" t="s">
        <v>122</v>
      </c>
      <c r="O810" s="17" t="s">
        <v>36</v>
      </c>
      <c r="P810" s="12" t="s">
        <v>36</v>
      </c>
      <c r="Q810" s="12" t="s">
        <v>36</v>
      </c>
      <c r="R810" s="12" t="s">
        <v>36</v>
      </c>
      <c r="S810" s="12" t="s">
        <v>36</v>
      </c>
      <c r="T810" s="12" t="s">
        <v>2121</v>
      </c>
      <c r="U810" s="12" t="s">
        <v>387</v>
      </c>
      <c r="V810" s="12" t="s">
        <v>367</v>
      </c>
      <c r="W810" s="12" t="s">
        <v>5111</v>
      </c>
      <c r="X810" s="16" t="s">
        <v>5112</v>
      </c>
      <c r="Y810" s="15" t="s">
        <v>192</v>
      </c>
      <c r="Z810" s="14">
        <v>27.14</v>
      </c>
      <c r="AA810" s="14">
        <v>81.6</v>
      </c>
      <c r="AB810" s="12" t="s">
        <v>56</v>
      </c>
      <c r="AC810" s="12" t="s">
        <v>5113</v>
      </c>
      <c r="AD810" s="13">
        <v>45268</v>
      </c>
      <c r="AE810" s="12" t="s">
        <v>391</v>
      </c>
      <c r="AF810" s="12" t="s">
        <v>871</v>
      </c>
      <c r="AG810" s="12" t="s">
        <v>5114</v>
      </c>
      <c r="AH810" s="1">
        <f>HYPERLINK("https://my.pitchbook.com?c=247830-04T","View Company Online")</f>
      </c>
    </row>
    <row r="811">
      <c r="A811" s="3" t="s">
        <v>5115</v>
      </c>
      <c r="B811" s="3" t="s">
        <v>5116</v>
      </c>
      <c r="C811" s="5" t="s">
        <v>36</v>
      </c>
      <c r="D811" s="5">
        <v>19</v>
      </c>
      <c r="E811" s="5">
        <v>3</v>
      </c>
      <c r="F811" s="5">
        <v>21</v>
      </c>
      <c r="G811" s="6" t="s">
        <v>36</v>
      </c>
      <c r="H811" s="4" t="s">
        <v>36</v>
      </c>
      <c r="I811" s="7" t="s">
        <v>36</v>
      </c>
      <c r="J811" s="3" t="s">
        <v>36</v>
      </c>
      <c r="K811" s="9" t="s">
        <v>36</v>
      </c>
      <c r="L811" s="6" t="s">
        <v>36</v>
      </c>
      <c r="M811" s="3" t="s">
        <v>36</v>
      </c>
      <c r="N811" s="3" t="s">
        <v>36</v>
      </c>
      <c r="O811" s="8" t="s">
        <v>36</v>
      </c>
      <c r="P811" s="3" t="s">
        <v>36</v>
      </c>
      <c r="Q811" s="3" t="s">
        <v>36</v>
      </c>
      <c r="R811" s="3" t="s">
        <v>36</v>
      </c>
      <c r="S811" s="3" t="s">
        <v>36</v>
      </c>
      <c r="T811" s="3" t="s">
        <v>5117</v>
      </c>
      <c r="U811" s="3" t="s">
        <v>1580</v>
      </c>
      <c r="V811" s="3" t="s">
        <v>39</v>
      </c>
      <c r="W811" s="3" t="s">
        <v>5118</v>
      </c>
      <c r="X811" s="10" t="s">
        <v>5119</v>
      </c>
      <c r="Y811" s="6" t="s">
        <v>166</v>
      </c>
      <c r="Z811" s="4">
        <v>17.3</v>
      </c>
      <c r="AA811" s="4" t="s">
        <v>36</v>
      </c>
      <c r="AB811" s="3" t="s">
        <v>56</v>
      </c>
      <c r="AC811" s="3" t="s">
        <v>5120</v>
      </c>
      <c r="AD811" s="9">
        <v>45267</v>
      </c>
      <c r="AE811" s="3" t="s">
        <v>4387</v>
      </c>
      <c r="AF811" s="3" t="s">
        <v>4477</v>
      </c>
      <c r="AG811" s="3" t="s">
        <v>81</v>
      </c>
      <c r="AH811" s="11">
        <f>HYPERLINK("https://my.pitchbook.com?c=247115-89T","View Company Online")</f>
      </c>
    </row>
    <row r="812">
      <c r="A812" s="12" t="s">
        <v>5121</v>
      </c>
      <c r="B812" s="12" t="s">
        <v>5122</v>
      </c>
      <c r="C812" s="19">
        <v>7</v>
      </c>
      <c r="D812" s="19">
        <v>2</v>
      </c>
      <c r="E812" s="19">
        <v>4</v>
      </c>
      <c r="F812" s="19">
        <v>9</v>
      </c>
      <c r="G812" s="15" t="s">
        <v>36</v>
      </c>
      <c r="H812" s="14" t="s">
        <v>36</v>
      </c>
      <c r="I812" s="18" t="s">
        <v>36</v>
      </c>
      <c r="J812" s="12" t="s">
        <v>36</v>
      </c>
      <c r="K812" s="13" t="s">
        <v>36</v>
      </c>
      <c r="L812" s="15" t="s">
        <v>36</v>
      </c>
      <c r="M812" s="12" t="s">
        <v>36</v>
      </c>
      <c r="N812" s="12" t="s">
        <v>36</v>
      </c>
      <c r="O812" s="17" t="s">
        <v>36</v>
      </c>
      <c r="P812" s="12" t="s">
        <v>36</v>
      </c>
      <c r="Q812" s="12" t="s">
        <v>36</v>
      </c>
      <c r="R812" s="12" t="s">
        <v>36</v>
      </c>
      <c r="S812" s="12" t="s">
        <v>36</v>
      </c>
      <c r="T812" s="12" t="s">
        <v>5123</v>
      </c>
      <c r="U812" s="12" t="s">
        <v>74</v>
      </c>
      <c r="V812" s="12" t="s">
        <v>75</v>
      </c>
      <c r="W812" s="12" t="s">
        <v>5124</v>
      </c>
      <c r="X812" s="16" t="s">
        <v>5125</v>
      </c>
      <c r="Y812" s="15" t="s">
        <v>192</v>
      </c>
      <c r="Z812" s="14">
        <v>65.11</v>
      </c>
      <c r="AA812" s="14" t="s">
        <v>36</v>
      </c>
      <c r="AB812" s="12" t="s">
        <v>56</v>
      </c>
      <c r="AC812" s="12" t="s">
        <v>5126</v>
      </c>
      <c r="AD812" s="13">
        <v>45267</v>
      </c>
      <c r="AE812" s="12" t="s">
        <v>1888</v>
      </c>
      <c r="AF812" s="12" t="s">
        <v>982</v>
      </c>
      <c r="AG812" s="12" t="s">
        <v>5127</v>
      </c>
      <c r="AH812" s="1">
        <f>HYPERLINK("https://my.pitchbook.com?c=247104-46T","View Company Online")</f>
      </c>
    </row>
    <row r="813">
      <c r="A813" s="3" t="s">
        <v>5128</v>
      </c>
      <c r="B813" s="3" t="s">
        <v>3862</v>
      </c>
      <c r="C813" s="5">
        <v>4</v>
      </c>
      <c r="D813" s="5">
        <v>12</v>
      </c>
      <c r="E813" s="5">
        <v>4</v>
      </c>
      <c r="F813" s="5">
        <v>16</v>
      </c>
      <c r="G813" s="6" t="s">
        <v>36</v>
      </c>
      <c r="H813" s="4">
        <v>7.29</v>
      </c>
      <c r="I813" s="7">
        <v>40.64</v>
      </c>
      <c r="J813" s="3" t="s">
        <v>521</v>
      </c>
      <c r="K813" s="9" t="s">
        <v>36</v>
      </c>
      <c r="L813" s="6" t="s">
        <v>36</v>
      </c>
      <c r="M813" s="3" t="s">
        <v>36</v>
      </c>
      <c r="N813" s="3" t="s">
        <v>36</v>
      </c>
      <c r="O813" s="8" t="s">
        <v>36</v>
      </c>
      <c r="P813" s="3" t="s">
        <v>36</v>
      </c>
      <c r="Q813" s="3" t="s">
        <v>36</v>
      </c>
      <c r="R813" s="3" t="s">
        <v>36</v>
      </c>
      <c r="S813" s="3" t="s">
        <v>36</v>
      </c>
      <c r="T813" s="3" t="s">
        <v>3729</v>
      </c>
      <c r="U813" s="3" t="s">
        <v>219</v>
      </c>
      <c r="V813" s="3" t="s">
        <v>75</v>
      </c>
      <c r="W813" s="3" t="s">
        <v>3863</v>
      </c>
      <c r="X813" s="10" t="s">
        <v>5129</v>
      </c>
      <c r="Y813" s="6" t="s">
        <v>55</v>
      </c>
      <c r="Z813" s="4">
        <v>0.35</v>
      </c>
      <c r="AA813" s="4">
        <v>0.87</v>
      </c>
      <c r="AB813" s="3" t="s">
        <v>56</v>
      </c>
      <c r="AC813" s="3" t="s">
        <v>3865</v>
      </c>
      <c r="AD813" s="9">
        <v>45267</v>
      </c>
      <c r="AE813" s="3" t="s">
        <v>1032</v>
      </c>
      <c r="AF813" s="3" t="s">
        <v>2915</v>
      </c>
      <c r="AG813" s="3" t="s">
        <v>3866</v>
      </c>
      <c r="AH813" s="11">
        <f>HYPERLINK("https://my.pitchbook.com?c=182746-09T","View Company Online")</f>
      </c>
    </row>
    <row r="814">
      <c r="A814" s="12" t="s">
        <v>5130</v>
      </c>
      <c r="B814" s="12" t="s">
        <v>5131</v>
      </c>
      <c r="C814" s="19" t="s">
        <v>36</v>
      </c>
      <c r="D814" s="19" t="s">
        <v>36</v>
      </c>
      <c r="E814" s="19" t="s">
        <v>36</v>
      </c>
      <c r="F814" s="19" t="s">
        <v>36</v>
      </c>
      <c r="G814" s="15" t="s">
        <v>2497</v>
      </c>
      <c r="H814" s="14">
        <v>2.19</v>
      </c>
      <c r="I814" s="18">
        <v>46.97</v>
      </c>
      <c r="J814" s="12" t="s">
        <v>521</v>
      </c>
      <c r="K814" s="13" t="s">
        <v>36</v>
      </c>
      <c r="L814" s="15" t="s">
        <v>36</v>
      </c>
      <c r="M814" s="12" t="s">
        <v>36</v>
      </c>
      <c r="N814" s="12" t="s">
        <v>36</v>
      </c>
      <c r="O814" s="17" t="s">
        <v>36</v>
      </c>
      <c r="P814" s="12" t="s">
        <v>36</v>
      </c>
      <c r="Q814" s="12" t="s">
        <v>36</v>
      </c>
      <c r="R814" s="12" t="s">
        <v>36</v>
      </c>
      <c r="S814" s="12" t="s">
        <v>36</v>
      </c>
      <c r="T814" s="12" t="s">
        <v>5132</v>
      </c>
      <c r="U814" s="12" t="s">
        <v>38</v>
      </c>
      <c r="V814" s="12" t="s">
        <v>39</v>
      </c>
      <c r="W814" s="12" t="s">
        <v>5133</v>
      </c>
      <c r="X814" s="16" t="s">
        <v>5134</v>
      </c>
      <c r="Y814" s="15" t="s">
        <v>108</v>
      </c>
      <c r="Z814" s="14">
        <v>1.92</v>
      </c>
      <c r="AA814" s="14">
        <v>4.09</v>
      </c>
      <c r="AB814" s="12" t="s">
        <v>56</v>
      </c>
      <c r="AC814" s="12" t="s">
        <v>5135</v>
      </c>
      <c r="AD814" s="13">
        <v>45267</v>
      </c>
      <c r="AE814" s="12" t="s">
        <v>110</v>
      </c>
      <c r="AF814" s="12" t="s">
        <v>176</v>
      </c>
      <c r="AG814" s="12" t="s">
        <v>757</v>
      </c>
      <c r="AH814" s="1">
        <f>HYPERLINK("https://my.pitchbook.com?c=186334-03T","View Company Online")</f>
      </c>
    </row>
    <row r="815">
      <c r="A815" s="3" t="s">
        <v>5136</v>
      </c>
      <c r="B815" s="3" t="s">
        <v>5137</v>
      </c>
      <c r="C815" s="5" t="s">
        <v>36</v>
      </c>
      <c r="D815" s="5" t="s">
        <v>36</v>
      </c>
      <c r="E815" s="5" t="s">
        <v>36</v>
      </c>
      <c r="F815" s="5" t="s">
        <v>36</v>
      </c>
      <c r="G815" s="6" t="s">
        <v>326</v>
      </c>
      <c r="H815" s="4">
        <v>109.05</v>
      </c>
      <c r="I815" s="7">
        <v>20.54</v>
      </c>
      <c r="J815" s="3" t="s">
        <v>521</v>
      </c>
      <c r="K815" s="9" t="s">
        <v>36</v>
      </c>
      <c r="L815" s="6" t="s">
        <v>36</v>
      </c>
      <c r="M815" s="3" t="s">
        <v>36</v>
      </c>
      <c r="N815" s="3" t="s">
        <v>36</v>
      </c>
      <c r="O815" s="8" t="s">
        <v>36</v>
      </c>
      <c r="P815" s="3" t="s">
        <v>36</v>
      </c>
      <c r="Q815" s="3" t="s">
        <v>36</v>
      </c>
      <c r="R815" s="3" t="s">
        <v>36</v>
      </c>
      <c r="S815" s="3" t="s">
        <v>36</v>
      </c>
      <c r="T815" s="3" t="s">
        <v>5138</v>
      </c>
      <c r="U815" s="3" t="s">
        <v>74</v>
      </c>
      <c r="V815" s="3" t="s">
        <v>75</v>
      </c>
      <c r="W815" s="3" t="s">
        <v>5139</v>
      </c>
      <c r="X815" s="10" t="s">
        <v>5140</v>
      </c>
      <c r="Y815" s="6" t="s">
        <v>55</v>
      </c>
      <c r="Z815" s="4">
        <v>5.43</v>
      </c>
      <c r="AA815" s="4">
        <v>15.32</v>
      </c>
      <c r="AB815" s="3" t="s">
        <v>43</v>
      </c>
      <c r="AC815" s="3" t="s">
        <v>5141</v>
      </c>
      <c r="AD815" s="9">
        <v>45267</v>
      </c>
      <c r="AE815" s="3" t="s">
        <v>570</v>
      </c>
      <c r="AF815" s="3" t="s">
        <v>1619</v>
      </c>
      <c r="AG815" s="3" t="s">
        <v>186</v>
      </c>
      <c r="AH815" s="11">
        <f>HYPERLINK("https://my.pitchbook.com?c=247427-74T","View Company Online")</f>
      </c>
    </row>
    <row r="816">
      <c r="A816" s="12" t="s">
        <v>5142</v>
      </c>
      <c r="B816" s="12" t="s">
        <v>5143</v>
      </c>
      <c r="C816" s="19" t="s">
        <v>36</v>
      </c>
      <c r="D816" s="19" t="s">
        <v>36</v>
      </c>
      <c r="E816" s="19" t="s">
        <v>36</v>
      </c>
      <c r="F816" s="19" t="s">
        <v>36</v>
      </c>
      <c r="G816" s="15" t="s">
        <v>326</v>
      </c>
      <c r="H816" s="14">
        <v>31.26</v>
      </c>
      <c r="I816" s="18">
        <v>16.55</v>
      </c>
      <c r="J816" s="12" t="s">
        <v>521</v>
      </c>
      <c r="K816" s="13" t="s">
        <v>36</v>
      </c>
      <c r="L816" s="15" t="s">
        <v>36</v>
      </c>
      <c r="M816" s="12" t="s">
        <v>36</v>
      </c>
      <c r="N816" s="12" t="s">
        <v>36</v>
      </c>
      <c r="O816" s="17" t="s">
        <v>36</v>
      </c>
      <c r="P816" s="12" t="s">
        <v>36</v>
      </c>
      <c r="Q816" s="12" t="s">
        <v>36</v>
      </c>
      <c r="R816" s="12" t="s">
        <v>36</v>
      </c>
      <c r="S816" s="12" t="s">
        <v>36</v>
      </c>
      <c r="T816" s="12" t="s">
        <v>5144</v>
      </c>
      <c r="U816" s="12" t="s">
        <v>180</v>
      </c>
      <c r="V816" s="12" t="s">
        <v>52</v>
      </c>
      <c r="W816" s="12" t="s">
        <v>5145</v>
      </c>
      <c r="X816" s="16" t="s">
        <v>509</v>
      </c>
      <c r="Y816" s="15" t="s">
        <v>108</v>
      </c>
      <c r="Z816" s="14">
        <v>0.74</v>
      </c>
      <c r="AA816" s="14">
        <v>4.46</v>
      </c>
      <c r="AB816" s="12" t="s">
        <v>43</v>
      </c>
      <c r="AC816" s="12" t="s">
        <v>5146</v>
      </c>
      <c r="AD816" s="13">
        <v>45266</v>
      </c>
      <c r="AE816" s="12" t="s">
        <v>1192</v>
      </c>
      <c r="AF816" s="12" t="s">
        <v>5147</v>
      </c>
      <c r="AG816" s="12" t="s">
        <v>5148</v>
      </c>
      <c r="AH816" s="1">
        <f>HYPERLINK("https://my.pitchbook.com?c=247427-29T","View Company Online")</f>
      </c>
    </row>
    <row r="817">
      <c r="A817" s="3" t="s">
        <v>5149</v>
      </c>
      <c r="B817" s="3" t="s">
        <v>5150</v>
      </c>
      <c r="C817" s="5">
        <v>1</v>
      </c>
      <c r="D817" s="5">
        <v>4</v>
      </c>
      <c r="E817" s="5">
        <v>3</v>
      </c>
      <c r="F817" s="5">
        <v>5</v>
      </c>
      <c r="G817" s="6" t="s">
        <v>36</v>
      </c>
      <c r="H817" s="4" t="s">
        <v>36</v>
      </c>
      <c r="I817" s="7" t="s">
        <v>36</v>
      </c>
      <c r="J817" s="3" t="s">
        <v>36</v>
      </c>
      <c r="K817" s="9">
        <v>45180</v>
      </c>
      <c r="L817" s="6" t="s">
        <v>122</v>
      </c>
      <c r="M817" s="3" t="s">
        <v>36</v>
      </c>
      <c r="N817" s="3" t="s">
        <v>122</v>
      </c>
      <c r="O817" s="8" t="s">
        <v>36</v>
      </c>
      <c r="P817" s="3" t="s">
        <v>36</v>
      </c>
      <c r="Q817" s="3" t="s">
        <v>36</v>
      </c>
      <c r="R817" s="3" t="s">
        <v>36</v>
      </c>
      <c r="S817" s="3" t="s">
        <v>5151</v>
      </c>
      <c r="T817" s="3" t="s">
        <v>5152</v>
      </c>
      <c r="U817" s="3" t="s">
        <v>233</v>
      </c>
      <c r="V817" s="3" t="s">
        <v>39</v>
      </c>
      <c r="W817" s="3" t="s">
        <v>5153</v>
      </c>
      <c r="X817" s="10" t="s">
        <v>5154</v>
      </c>
      <c r="Y817" s="6" t="s">
        <v>42</v>
      </c>
      <c r="Z817" s="4">
        <v>16.28</v>
      </c>
      <c r="AA817" s="4" t="s">
        <v>36</v>
      </c>
      <c r="AB817" s="3" t="s">
        <v>56</v>
      </c>
      <c r="AC817" s="3" t="s">
        <v>5155</v>
      </c>
      <c r="AD817" s="9">
        <v>45266</v>
      </c>
      <c r="AE817" s="3" t="s">
        <v>236</v>
      </c>
      <c r="AF817" s="3" t="s">
        <v>5156</v>
      </c>
      <c r="AG817" s="3" t="s">
        <v>81</v>
      </c>
      <c r="AH817" s="11">
        <f>HYPERLINK("https://my.pitchbook.com?c=247015-09T","View Company Online")</f>
      </c>
    </row>
    <row r="818">
      <c r="A818" s="12" t="s">
        <v>5157</v>
      </c>
      <c r="B818" s="12" t="s">
        <v>5158</v>
      </c>
      <c r="C818" s="19" t="s">
        <v>36</v>
      </c>
      <c r="D818" s="19" t="s">
        <v>36</v>
      </c>
      <c r="E818" s="19" t="s">
        <v>36</v>
      </c>
      <c r="F818" s="19" t="s">
        <v>36</v>
      </c>
      <c r="G818" s="15" t="s">
        <v>36</v>
      </c>
      <c r="H818" s="14" t="s">
        <v>36</v>
      </c>
      <c r="I818" s="18" t="s">
        <v>36</v>
      </c>
      <c r="J818" s="12" t="s">
        <v>36</v>
      </c>
      <c r="K818" s="13" t="s">
        <v>36</v>
      </c>
      <c r="L818" s="15" t="s">
        <v>36</v>
      </c>
      <c r="M818" s="12" t="s">
        <v>36</v>
      </c>
      <c r="N818" s="12" t="s">
        <v>36</v>
      </c>
      <c r="O818" s="17" t="s">
        <v>36</v>
      </c>
      <c r="P818" s="12" t="s">
        <v>36</v>
      </c>
      <c r="Q818" s="12" t="s">
        <v>36</v>
      </c>
      <c r="R818" s="12" t="s">
        <v>36</v>
      </c>
      <c r="S818" s="12" t="s">
        <v>36</v>
      </c>
      <c r="T818" s="12" t="s">
        <v>5159</v>
      </c>
      <c r="U818" s="12" t="s">
        <v>74</v>
      </c>
      <c r="V818" s="12" t="s">
        <v>75</v>
      </c>
      <c r="W818" s="12" t="s">
        <v>5160</v>
      </c>
      <c r="X818" s="16" t="s">
        <v>5161</v>
      </c>
      <c r="Y818" s="15" t="s">
        <v>42</v>
      </c>
      <c r="Z818" s="14">
        <v>2.71</v>
      </c>
      <c r="AA818" s="14" t="s">
        <v>36</v>
      </c>
      <c r="AB818" s="12" t="s">
        <v>56</v>
      </c>
      <c r="AC818" s="12" t="s">
        <v>5162</v>
      </c>
      <c r="AD818" s="13">
        <v>45265</v>
      </c>
      <c r="AE818" s="12" t="s">
        <v>79</v>
      </c>
      <c r="AF818" s="12" t="s">
        <v>1201</v>
      </c>
      <c r="AG818" s="12" t="s">
        <v>102</v>
      </c>
      <c r="AH818" s="1">
        <f>HYPERLINK("https://my.pitchbook.com?c=246911-86T","View Company Online")</f>
      </c>
    </row>
    <row r="819">
      <c r="A819" s="3" t="s">
        <v>5163</v>
      </c>
      <c r="B819" s="3" t="s">
        <v>3419</v>
      </c>
      <c r="C819" s="5">
        <v>49</v>
      </c>
      <c r="D819" s="5">
        <v>74</v>
      </c>
      <c r="E819" s="5">
        <v>27</v>
      </c>
      <c r="F819" s="5">
        <v>132</v>
      </c>
      <c r="G819" s="6" t="s">
        <v>683</v>
      </c>
      <c r="H819" s="4" t="s">
        <v>36</v>
      </c>
      <c r="I819" s="7">
        <v>48.41</v>
      </c>
      <c r="J819" s="3" t="s">
        <v>327</v>
      </c>
      <c r="K819" s="9" t="s">
        <v>36</v>
      </c>
      <c r="L819" s="6" t="s">
        <v>94</v>
      </c>
      <c r="M819" s="3" t="s">
        <v>36</v>
      </c>
      <c r="N819" s="3" t="s">
        <v>94</v>
      </c>
      <c r="O819" s="8" t="s">
        <v>36</v>
      </c>
      <c r="P819" s="3" t="s">
        <v>36</v>
      </c>
      <c r="Q819" s="3" t="s">
        <v>36</v>
      </c>
      <c r="R819" s="3" t="s">
        <v>36</v>
      </c>
      <c r="S819" s="3" t="s">
        <v>36</v>
      </c>
      <c r="T819" s="3" t="s">
        <v>661</v>
      </c>
      <c r="U819" s="3" t="s">
        <v>51</v>
      </c>
      <c r="V819" s="3" t="s">
        <v>52</v>
      </c>
      <c r="W819" s="3" t="s">
        <v>3420</v>
      </c>
      <c r="X819" s="10" t="s">
        <v>5164</v>
      </c>
      <c r="Y819" s="6" t="s">
        <v>55</v>
      </c>
      <c r="Z819" s="4">
        <v>32.55</v>
      </c>
      <c r="AA819" s="4">
        <v>67.23</v>
      </c>
      <c r="AB819" s="3" t="s">
        <v>56</v>
      </c>
      <c r="AC819" s="3" t="s">
        <v>3422</v>
      </c>
      <c r="AD819" s="9">
        <v>45265</v>
      </c>
      <c r="AE819" s="3" t="s">
        <v>158</v>
      </c>
      <c r="AF819" s="3" t="s">
        <v>885</v>
      </c>
      <c r="AG819" s="3" t="s">
        <v>81</v>
      </c>
      <c r="AH819" s="11">
        <f>HYPERLINK("https://my.pitchbook.com?c=246918-25T","View Company Online")</f>
      </c>
    </row>
    <row r="820">
      <c r="A820" s="12" t="s">
        <v>5165</v>
      </c>
      <c r="B820" s="12" t="s">
        <v>5166</v>
      </c>
      <c r="C820" s="19" t="s">
        <v>36</v>
      </c>
      <c r="D820" s="19" t="s">
        <v>36</v>
      </c>
      <c r="E820" s="19" t="s">
        <v>36</v>
      </c>
      <c r="F820" s="19" t="s">
        <v>36</v>
      </c>
      <c r="G820" s="15" t="s">
        <v>36</v>
      </c>
      <c r="H820" s="14">
        <v>0.45</v>
      </c>
      <c r="I820" s="18">
        <v>15.18</v>
      </c>
      <c r="J820" s="12" t="s">
        <v>521</v>
      </c>
      <c r="K820" s="13" t="s">
        <v>36</v>
      </c>
      <c r="L820" s="15" t="s">
        <v>36</v>
      </c>
      <c r="M820" s="12" t="s">
        <v>36</v>
      </c>
      <c r="N820" s="12" t="s">
        <v>36</v>
      </c>
      <c r="O820" s="17" t="s">
        <v>36</v>
      </c>
      <c r="P820" s="12" t="s">
        <v>36</v>
      </c>
      <c r="Q820" s="12" t="s">
        <v>36</v>
      </c>
      <c r="R820" s="12" t="s">
        <v>36</v>
      </c>
      <c r="S820" s="12" t="s">
        <v>36</v>
      </c>
      <c r="T820" s="12" t="s">
        <v>189</v>
      </c>
      <c r="U820" s="12" t="s">
        <v>180</v>
      </c>
      <c r="V820" s="12" t="s">
        <v>52</v>
      </c>
      <c r="W820" s="12" t="s">
        <v>5167</v>
      </c>
      <c r="X820" s="16" t="s">
        <v>5168</v>
      </c>
      <c r="Y820" s="15" t="s">
        <v>108</v>
      </c>
      <c r="Z820" s="14">
        <v>0.53</v>
      </c>
      <c r="AA820" s="14">
        <v>3.49</v>
      </c>
      <c r="AB820" s="12" t="s">
        <v>43</v>
      </c>
      <c r="AC820" s="12" t="s">
        <v>5169</v>
      </c>
      <c r="AD820" s="13">
        <v>45265</v>
      </c>
      <c r="AE820" s="12" t="s">
        <v>184</v>
      </c>
      <c r="AF820" s="12" t="s">
        <v>5170</v>
      </c>
      <c r="AG820" s="12" t="s">
        <v>81</v>
      </c>
      <c r="AH820" s="1">
        <f>HYPERLINK("https://my.pitchbook.com?c=224625-79T","View Company Online")</f>
      </c>
    </row>
    <row r="821">
      <c r="A821" s="3" t="s">
        <v>5171</v>
      </c>
      <c r="B821" s="3" t="s">
        <v>5172</v>
      </c>
      <c r="C821" s="5" t="s">
        <v>36</v>
      </c>
      <c r="D821" s="5" t="s">
        <v>36</v>
      </c>
      <c r="E821" s="5" t="s">
        <v>36</v>
      </c>
      <c r="F821" s="5" t="s">
        <v>36</v>
      </c>
      <c r="G821" s="6" t="s">
        <v>326</v>
      </c>
      <c r="H821" s="4">
        <v>96.12</v>
      </c>
      <c r="I821" s="7">
        <v>42.24</v>
      </c>
      <c r="J821" s="3" t="s">
        <v>521</v>
      </c>
      <c r="K821" s="9">
        <v>45259</v>
      </c>
      <c r="L821" s="6" t="s">
        <v>36</v>
      </c>
      <c r="M821" s="3" t="s">
        <v>36</v>
      </c>
      <c r="N821" s="3" t="s">
        <v>36</v>
      </c>
      <c r="O821" s="8" t="s">
        <v>36</v>
      </c>
      <c r="P821" s="3" t="s">
        <v>36</v>
      </c>
      <c r="Q821" s="3" t="s">
        <v>36</v>
      </c>
      <c r="R821" s="3" t="s">
        <v>36</v>
      </c>
      <c r="S821" s="3" t="s">
        <v>36</v>
      </c>
      <c r="T821" s="3" t="s">
        <v>5173</v>
      </c>
      <c r="U821" s="3" t="s">
        <v>38</v>
      </c>
      <c r="V821" s="3" t="s">
        <v>39</v>
      </c>
      <c r="W821" s="3" t="s">
        <v>5174</v>
      </c>
      <c r="X821" s="10" t="s">
        <v>5175</v>
      </c>
      <c r="Y821" s="6" t="s">
        <v>108</v>
      </c>
      <c r="Z821" s="4">
        <v>4.18</v>
      </c>
      <c r="AA821" s="4">
        <v>9.9</v>
      </c>
      <c r="AB821" s="3" t="s">
        <v>56</v>
      </c>
      <c r="AC821" s="3" t="s">
        <v>5176</v>
      </c>
      <c r="AD821" s="9">
        <v>45265</v>
      </c>
      <c r="AE821" s="3" t="s">
        <v>1422</v>
      </c>
      <c r="AF821" s="3" t="s">
        <v>5177</v>
      </c>
      <c r="AG821" s="3" t="s">
        <v>5178</v>
      </c>
      <c r="AH821" s="11">
        <f>HYPERLINK("https://my.pitchbook.com?c=246517-57T","View Company Online")</f>
      </c>
    </row>
    <row r="822">
      <c r="A822" s="12" t="s">
        <v>5179</v>
      </c>
      <c r="B822" s="12" t="s">
        <v>5180</v>
      </c>
      <c r="C822" s="19" t="s">
        <v>36</v>
      </c>
      <c r="D822" s="19" t="s">
        <v>36</v>
      </c>
      <c r="E822" s="19" t="s">
        <v>36</v>
      </c>
      <c r="F822" s="19" t="s">
        <v>36</v>
      </c>
      <c r="G822" s="15" t="s">
        <v>36</v>
      </c>
      <c r="H822" s="14" t="s">
        <v>36</v>
      </c>
      <c r="I822" s="18" t="s">
        <v>36</v>
      </c>
      <c r="J822" s="12" t="s">
        <v>36</v>
      </c>
      <c r="K822" s="13" t="s">
        <v>36</v>
      </c>
      <c r="L822" s="15" t="s">
        <v>122</v>
      </c>
      <c r="M822" s="12" t="s">
        <v>36</v>
      </c>
      <c r="N822" s="12" t="s">
        <v>122</v>
      </c>
      <c r="O822" s="17" t="s">
        <v>36</v>
      </c>
      <c r="P822" s="12" t="s">
        <v>36</v>
      </c>
      <c r="Q822" s="12" t="s">
        <v>36</v>
      </c>
      <c r="R822" s="12" t="s">
        <v>36</v>
      </c>
      <c r="S822" s="12" t="s">
        <v>36</v>
      </c>
      <c r="T822" s="12" t="s">
        <v>5181</v>
      </c>
      <c r="U822" s="12" t="s">
        <v>38</v>
      </c>
      <c r="V822" s="12" t="s">
        <v>39</v>
      </c>
      <c r="W822" s="12" t="s">
        <v>5182</v>
      </c>
      <c r="X822" s="16" t="s">
        <v>5183</v>
      </c>
      <c r="Y822" s="15" t="s">
        <v>55</v>
      </c>
      <c r="Z822" s="14">
        <v>11.93</v>
      </c>
      <c r="AA822" s="14" t="s">
        <v>36</v>
      </c>
      <c r="AB822" s="12" t="s">
        <v>43</v>
      </c>
      <c r="AC822" s="12" t="s">
        <v>5184</v>
      </c>
      <c r="AD822" s="13">
        <v>45265</v>
      </c>
      <c r="AE822" s="12" t="s">
        <v>110</v>
      </c>
      <c r="AF822" s="12" t="s">
        <v>5185</v>
      </c>
      <c r="AG822" s="12" t="s">
        <v>144</v>
      </c>
      <c r="AH822" s="1">
        <f>HYPERLINK("https://my.pitchbook.com?c=247110-58T","View Company Online")</f>
      </c>
    </row>
    <row r="823">
      <c r="A823" s="3" t="s">
        <v>5186</v>
      </c>
      <c r="B823" s="3" t="s">
        <v>5187</v>
      </c>
      <c r="C823" s="5" t="s">
        <v>36</v>
      </c>
      <c r="D823" s="5" t="s">
        <v>36</v>
      </c>
      <c r="E823" s="5" t="s">
        <v>36</v>
      </c>
      <c r="F823" s="5" t="s">
        <v>36</v>
      </c>
      <c r="G823" s="6" t="s">
        <v>326</v>
      </c>
      <c r="H823" s="4">
        <v>29.13</v>
      </c>
      <c r="I823" s="7">
        <v>30.55</v>
      </c>
      <c r="J823" s="3" t="s">
        <v>521</v>
      </c>
      <c r="K823" s="9" t="s">
        <v>36</v>
      </c>
      <c r="L823" s="6" t="s">
        <v>36</v>
      </c>
      <c r="M823" s="3" t="s">
        <v>36</v>
      </c>
      <c r="N823" s="3" t="s">
        <v>36</v>
      </c>
      <c r="O823" s="8" t="s">
        <v>36</v>
      </c>
      <c r="P823" s="3" t="s">
        <v>36</v>
      </c>
      <c r="Q823" s="3" t="s">
        <v>36</v>
      </c>
      <c r="R823" s="3" t="s">
        <v>36</v>
      </c>
      <c r="S823" s="3" t="s">
        <v>36</v>
      </c>
      <c r="T823" s="3" t="s">
        <v>5188</v>
      </c>
      <c r="U823" s="3" t="s">
        <v>38</v>
      </c>
      <c r="V823" s="3" t="s">
        <v>39</v>
      </c>
      <c r="W823" s="3" t="s">
        <v>5189</v>
      </c>
      <c r="X823" s="10" t="s">
        <v>5190</v>
      </c>
      <c r="Y823" s="6" t="s">
        <v>108</v>
      </c>
      <c r="Z823" s="4">
        <v>1.52</v>
      </c>
      <c r="AA823" s="4">
        <v>2.74</v>
      </c>
      <c r="AB823" s="3" t="s">
        <v>43</v>
      </c>
      <c r="AC823" s="3" t="s">
        <v>5191</v>
      </c>
      <c r="AD823" s="9">
        <v>45264</v>
      </c>
      <c r="AE823" s="3" t="s">
        <v>110</v>
      </c>
      <c r="AF823" s="3" t="s">
        <v>5192</v>
      </c>
      <c r="AG823" s="3" t="s">
        <v>5193</v>
      </c>
      <c r="AH823" s="11">
        <f>HYPERLINK("https://my.pitchbook.com?c=246926-08T","View Company Online")</f>
      </c>
    </row>
    <row r="824">
      <c r="A824" s="12" t="s">
        <v>5194</v>
      </c>
      <c r="B824" s="12" t="s">
        <v>5195</v>
      </c>
      <c r="C824" s="19" t="s">
        <v>36</v>
      </c>
      <c r="D824" s="19" t="s">
        <v>36</v>
      </c>
      <c r="E824" s="19" t="s">
        <v>36</v>
      </c>
      <c r="F824" s="19" t="s">
        <v>36</v>
      </c>
      <c r="G824" s="15" t="s">
        <v>36</v>
      </c>
      <c r="H824" s="14" t="s">
        <v>36</v>
      </c>
      <c r="I824" s="18" t="s">
        <v>36</v>
      </c>
      <c r="J824" s="12" t="s">
        <v>36</v>
      </c>
      <c r="K824" s="13" t="s">
        <v>36</v>
      </c>
      <c r="L824" s="15" t="s">
        <v>36</v>
      </c>
      <c r="M824" s="12" t="s">
        <v>36</v>
      </c>
      <c r="N824" s="12" t="s">
        <v>36</v>
      </c>
      <c r="O824" s="17" t="s">
        <v>36</v>
      </c>
      <c r="P824" s="12" t="s">
        <v>36</v>
      </c>
      <c r="Q824" s="12" t="s">
        <v>36</v>
      </c>
      <c r="R824" s="12" t="s">
        <v>36</v>
      </c>
      <c r="S824" s="12" t="s">
        <v>36</v>
      </c>
      <c r="T824" s="12" t="s">
        <v>5196</v>
      </c>
      <c r="U824" s="12" t="s">
        <v>38</v>
      </c>
      <c r="V824" s="12" t="s">
        <v>39</v>
      </c>
      <c r="W824" s="12" t="s">
        <v>5197</v>
      </c>
      <c r="X824" s="16" t="s">
        <v>4190</v>
      </c>
      <c r="Y824" s="15" t="s">
        <v>42</v>
      </c>
      <c r="Z824" s="14" t="s">
        <v>36</v>
      </c>
      <c r="AA824" s="14" t="s">
        <v>36</v>
      </c>
      <c r="AB824" s="12" t="s">
        <v>43</v>
      </c>
      <c r="AC824" s="12" t="s">
        <v>5198</v>
      </c>
      <c r="AD824" s="13">
        <v>45261</v>
      </c>
      <c r="AE824" s="12" t="s">
        <v>1422</v>
      </c>
      <c r="AF824" s="12" t="s">
        <v>5199</v>
      </c>
      <c r="AG824" s="12" t="s">
        <v>787</v>
      </c>
      <c r="AH824" s="1">
        <f>HYPERLINK("https://my.pitchbook.com?c=273321-01T","View Company Online")</f>
      </c>
    </row>
    <row r="825">
      <c r="A825" s="3" t="s">
        <v>5200</v>
      </c>
      <c r="B825" s="3" t="s">
        <v>5201</v>
      </c>
      <c r="C825" s="5" t="s">
        <v>36</v>
      </c>
      <c r="D825" s="5" t="s">
        <v>36</v>
      </c>
      <c r="E825" s="5" t="s">
        <v>36</v>
      </c>
      <c r="F825" s="5" t="s">
        <v>36</v>
      </c>
      <c r="G825" s="6" t="s">
        <v>326</v>
      </c>
      <c r="H825" s="4">
        <v>21.56</v>
      </c>
      <c r="I825" s="7">
        <v>36.6</v>
      </c>
      <c r="J825" s="3" t="s">
        <v>521</v>
      </c>
      <c r="K825" s="9" t="s">
        <v>36</v>
      </c>
      <c r="L825" s="6" t="s">
        <v>36</v>
      </c>
      <c r="M825" s="3" t="s">
        <v>36</v>
      </c>
      <c r="N825" s="3" t="s">
        <v>36</v>
      </c>
      <c r="O825" s="8" t="s">
        <v>36</v>
      </c>
      <c r="P825" s="3" t="s">
        <v>36</v>
      </c>
      <c r="Q825" s="3" t="s">
        <v>36</v>
      </c>
      <c r="R825" s="3" t="s">
        <v>36</v>
      </c>
      <c r="S825" s="3" t="s">
        <v>36</v>
      </c>
      <c r="T825" s="3" t="s">
        <v>5202</v>
      </c>
      <c r="U825" s="3" t="s">
        <v>219</v>
      </c>
      <c r="V825" s="3" t="s">
        <v>75</v>
      </c>
      <c r="W825" s="3" t="s">
        <v>5203</v>
      </c>
      <c r="X825" s="10" t="s">
        <v>5204</v>
      </c>
      <c r="Y825" s="6" t="s">
        <v>42</v>
      </c>
      <c r="Z825" s="4">
        <v>1.49</v>
      </c>
      <c r="AA825" s="4">
        <v>4.08</v>
      </c>
      <c r="AB825" s="3" t="s">
        <v>43</v>
      </c>
      <c r="AC825" s="3" t="s">
        <v>5205</v>
      </c>
      <c r="AD825" s="9">
        <v>45261</v>
      </c>
      <c r="AE825" s="3" t="s">
        <v>1007</v>
      </c>
      <c r="AF825" s="3" t="s">
        <v>1619</v>
      </c>
      <c r="AG825" s="3" t="s">
        <v>3595</v>
      </c>
      <c r="AH825" s="11">
        <f>HYPERLINK("https://my.pitchbook.com?c=253292-14T","View Company Online")</f>
      </c>
    </row>
    <row r="826">
      <c r="A826" s="12" t="s">
        <v>5206</v>
      </c>
      <c r="B826" s="12" t="s">
        <v>5207</v>
      </c>
      <c r="C826" s="19" t="s">
        <v>36</v>
      </c>
      <c r="D826" s="19" t="s">
        <v>36</v>
      </c>
      <c r="E826" s="19" t="s">
        <v>36</v>
      </c>
      <c r="F826" s="19" t="s">
        <v>36</v>
      </c>
      <c r="G826" s="15" t="s">
        <v>36</v>
      </c>
      <c r="H826" s="14" t="s">
        <v>36</v>
      </c>
      <c r="I826" s="18" t="s">
        <v>36</v>
      </c>
      <c r="J826" s="12" t="s">
        <v>36</v>
      </c>
      <c r="K826" s="13" t="s">
        <v>36</v>
      </c>
      <c r="L826" s="15" t="s">
        <v>36</v>
      </c>
      <c r="M826" s="12" t="s">
        <v>36</v>
      </c>
      <c r="N826" s="12" t="s">
        <v>36</v>
      </c>
      <c r="O826" s="17" t="s">
        <v>36</v>
      </c>
      <c r="P826" s="12" t="s">
        <v>36</v>
      </c>
      <c r="Q826" s="12" t="s">
        <v>36</v>
      </c>
      <c r="R826" s="12" t="s">
        <v>36</v>
      </c>
      <c r="S826" s="12" t="s">
        <v>36</v>
      </c>
      <c r="T826" s="12" t="s">
        <v>5208</v>
      </c>
      <c r="U826" s="12" t="s">
        <v>833</v>
      </c>
      <c r="V826" s="12" t="s">
        <v>64</v>
      </c>
      <c r="W826" s="12" t="s">
        <v>5209</v>
      </c>
      <c r="X826" s="16" t="s">
        <v>267</v>
      </c>
      <c r="Y826" s="15" t="s">
        <v>42</v>
      </c>
      <c r="Z826" s="14" t="s">
        <v>36</v>
      </c>
      <c r="AA826" s="14" t="s">
        <v>36</v>
      </c>
      <c r="AB826" s="12" t="s">
        <v>56</v>
      </c>
      <c r="AC826" s="12" t="s">
        <v>5210</v>
      </c>
      <c r="AD826" s="13">
        <v>45261</v>
      </c>
      <c r="AE826" s="12" t="s">
        <v>1769</v>
      </c>
      <c r="AF826" s="12" t="s">
        <v>571</v>
      </c>
      <c r="AG826" s="12" t="s">
        <v>5211</v>
      </c>
      <c r="AH826" s="1">
        <f>HYPERLINK("https://my.pitchbook.com?c=247504-96T","View Company Online")</f>
      </c>
    </row>
    <row r="827">
      <c r="A827" s="3" t="s">
        <v>5212</v>
      </c>
      <c r="B827" s="3" t="s">
        <v>5213</v>
      </c>
      <c r="C827" s="5" t="s">
        <v>36</v>
      </c>
      <c r="D827" s="5" t="s">
        <v>36</v>
      </c>
      <c r="E827" s="5" t="s">
        <v>36</v>
      </c>
      <c r="F827" s="5" t="s">
        <v>36</v>
      </c>
      <c r="G827" s="6" t="s">
        <v>36</v>
      </c>
      <c r="H827" s="4" t="s">
        <v>36</v>
      </c>
      <c r="I827" s="7" t="s">
        <v>36</v>
      </c>
      <c r="J827" s="3" t="s">
        <v>36</v>
      </c>
      <c r="K827" s="9" t="s">
        <v>36</v>
      </c>
      <c r="L827" s="6" t="s">
        <v>36</v>
      </c>
      <c r="M827" s="3" t="s">
        <v>36</v>
      </c>
      <c r="N827" s="3" t="s">
        <v>36</v>
      </c>
      <c r="O827" s="8" t="s">
        <v>36</v>
      </c>
      <c r="P827" s="3" t="s">
        <v>36</v>
      </c>
      <c r="Q827" s="3" t="s">
        <v>36</v>
      </c>
      <c r="R827" s="3" t="s">
        <v>36</v>
      </c>
      <c r="S827" s="3" t="s">
        <v>36</v>
      </c>
      <c r="T827" s="3" t="s">
        <v>647</v>
      </c>
      <c r="U827" s="3" t="s">
        <v>648</v>
      </c>
      <c r="V827" s="3" t="s">
        <v>64</v>
      </c>
      <c r="W827" s="3" t="s">
        <v>5214</v>
      </c>
      <c r="X827" s="10" t="s">
        <v>1399</v>
      </c>
      <c r="Y827" s="6" t="s">
        <v>42</v>
      </c>
      <c r="Z827" s="4" t="s">
        <v>36</v>
      </c>
      <c r="AA827" s="4" t="s">
        <v>36</v>
      </c>
      <c r="AB827" s="3" t="s">
        <v>56</v>
      </c>
      <c r="AC827" s="3" t="s">
        <v>5215</v>
      </c>
      <c r="AD827" s="9">
        <v>45261</v>
      </c>
      <c r="AE827" s="3" t="s">
        <v>651</v>
      </c>
      <c r="AF827" s="3" t="s">
        <v>36</v>
      </c>
      <c r="AG827" s="3" t="s">
        <v>1905</v>
      </c>
      <c r="AH827" s="11">
        <f>HYPERLINK("https://my.pitchbook.com?c=247040-83T","View Company Online")</f>
      </c>
    </row>
    <row r="828">
      <c r="A828" s="12" t="s">
        <v>5216</v>
      </c>
      <c r="B828" s="12" t="s">
        <v>5217</v>
      </c>
      <c r="C828" s="19" t="s">
        <v>36</v>
      </c>
      <c r="D828" s="19" t="s">
        <v>36</v>
      </c>
      <c r="E828" s="19" t="s">
        <v>36</v>
      </c>
      <c r="F828" s="19" t="s">
        <v>36</v>
      </c>
      <c r="G828" s="15" t="s">
        <v>36</v>
      </c>
      <c r="H828" s="14" t="s">
        <v>36</v>
      </c>
      <c r="I828" s="18" t="s">
        <v>36</v>
      </c>
      <c r="J828" s="12" t="s">
        <v>36</v>
      </c>
      <c r="K828" s="13" t="s">
        <v>36</v>
      </c>
      <c r="L828" s="15" t="s">
        <v>36</v>
      </c>
      <c r="M828" s="12" t="s">
        <v>36</v>
      </c>
      <c r="N828" s="12" t="s">
        <v>36</v>
      </c>
      <c r="O828" s="17" t="s">
        <v>36</v>
      </c>
      <c r="P828" s="12" t="s">
        <v>36</v>
      </c>
      <c r="Q828" s="12" t="s">
        <v>36</v>
      </c>
      <c r="R828" s="12" t="s">
        <v>36</v>
      </c>
      <c r="S828" s="12" t="s">
        <v>36</v>
      </c>
      <c r="T828" s="12" t="s">
        <v>5218</v>
      </c>
      <c r="U828" s="12" t="s">
        <v>74</v>
      </c>
      <c r="V828" s="12" t="s">
        <v>75</v>
      </c>
      <c r="W828" s="12" t="s">
        <v>5219</v>
      </c>
      <c r="X828" s="16" t="s">
        <v>5220</v>
      </c>
      <c r="Y828" s="15" t="s">
        <v>42</v>
      </c>
      <c r="Z828" s="14" t="s">
        <v>36</v>
      </c>
      <c r="AA828" s="14" t="s">
        <v>36</v>
      </c>
      <c r="AB828" s="12" t="s">
        <v>56</v>
      </c>
      <c r="AC828" s="12" t="s">
        <v>5221</v>
      </c>
      <c r="AD828" s="13">
        <v>45261</v>
      </c>
      <c r="AE828" s="12" t="s">
        <v>3144</v>
      </c>
      <c r="AF828" s="12" t="s">
        <v>1977</v>
      </c>
      <c r="AG828" s="12" t="s">
        <v>741</v>
      </c>
      <c r="AH828" s="1">
        <f>HYPERLINK("https://my.pitchbook.com?c=247755-52T","View Company Online")</f>
      </c>
    </row>
    <row r="829">
      <c r="A829" s="3" t="s">
        <v>5222</v>
      </c>
      <c r="B829" s="3" t="s">
        <v>341</v>
      </c>
      <c r="C829" s="5" t="s">
        <v>36</v>
      </c>
      <c r="D829" s="5" t="s">
        <v>36</v>
      </c>
      <c r="E829" s="5" t="s">
        <v>36</v>
      </c>
      <c r="F829" s="5" t="s">
        <v>36</v>
      </c>
      <c r="G829" s="6" t="s">
        <v>36</v>
      </c>
      <c r="H829" s="4">
        <v>229.51</v>
      </c>
      <c r="I829" s="7">
        <v>22.53</v>
      </c>
      <c r="J829" s="3" t="s">
        <v>521</v>
      </c>
      <c r="K829" s="9" t="s">
        <v>36</v>
      </c>
      <c r="L829" s="6" t="s">
        <v>36</v>
      </c>
      <c r="M829" s="3" t="s">
        <v>36</v>
      </c>
      <c r="N829" s="3" t="s">
        <v>36</v>
      </c>
      <c r="O829" s="8" t="s">
        <v>36</v>
      </c>
      <c r="P829" s="3" t="s">
        <v>36</v>
      </c>
      <c r="Q829" s="3" t="s">
        <v>36</v>
      </c>
      <c r="R829" s="3" t="s">
        <v>36</v>
      </c>
      <c r="S829" s="3" t="s">
        <v>36</v>
      </c>
      <c r="T829" s="3" t="s">
        <v>342</v>
      </c>
      <c r="U829" s="3" t="s">
        <v>38</v>
      </c>
      <c r="V829" s="3" t="s">
        <v>39</v>
      </c>
      <c r="W829" s="3" t="s">
        <v>343</v>
      </c>
      <c r="X829" s="10" t="s">
        <v>5223</v>
      </c>
      <c r="Y829" s="6" t="s">
        <v>42</v>
      </c>
      <c r="Z829" s="4">
        <v>1.4</v>
      </c>
      <c r="AA829" s="4">
        <v>6.23</v>
      </c>
      <c r="AB829" s="3" t="s">
        <v>43</v>
      </c>
      <c r="AC829" s="3" t="s">
        <v>345</v>
      </c>
      <c r="AD829" s="9">
        <v>45261</v>
      </c>
      <c r="AE829" s="3" t="s">
        <v>110</v>
      </c>
      <c r="AF829" s="3" t="s">
        <v>346</v>
      </c>
      <c r="AG829" s="3" t="s">
        <v>347</v>
      </c>
      <c r="AH829" s="11">
        <f>HYPERLINK("https://my.pitchbook.com?c=251234-56T","View Company Online")</f>
      </c>
    </row>
    <row r="830">
      <c r="A830" s="12" t="s">
        <v>5224</v>
      </c>
      <c r="B830" s="12" t="s">
        <v>5225</v>
      </c>
      <c r="C830" s="19" t="s">
        <v>36</v>
      </c>
      <c r="D830" s="19" t="s">
        <v>36</v>
      </c>
      <c r="E830" s="19" t="s">
        <v>36</v>
      </c>
      <c r="F830" s="19" t="s">
        <v>36</v>
      </c>
      <c r="G830" s="15" t="s">
        <v>36</v>
      </c>
      <c r="H830" s="14">
        <v>64.91</v>
      </c>
      <c r="I830" s="18">
        <v>24.43</v>
      </c>
      <c r="J830" s="12" t="s">
        <v>521</v>
      </c>
      <c r="K830" s="13" t="s">
        <v>36</v>
      </c>
      <c r="L830" s="15" t="s">
        <v>36</v>
      </c>
      <c r="M830" s="12" t="s">
        <v>36</v>
      </c>
      <c r="N830" s="12" t="s">
        <v>36</v>
      </c>
      <c r="O830" s="17" t="s">
        <v>36</v>
      </c>
      <c r="P830" s="12" t="s">
        <v>36</v>
      </c>
      <c r="Q830" s="12" t="s">
        <v>36</v>
      </c>
      <c r="R830" s="12" t="s">
        <v>36</v>
      </c>
      <c r="S830" s="12" t="s">
        <v>36</v>
      </c>
      <c r="T830" s="12" t="s">
        <v>5226</v>
      </c>
      <c r="U830" s="12" t="s">
        <v>833</v>
      </c>
      <c r="V830" s="12" t="s">
        <v>64</v>
      </c>
      <c r="W830" s="12" t="s">
        <v>5227</v>
      </c>
      <c r="X830" s="16" t="s">
        <v>5228</v>
      </c>
      <c r="Y830" s="15" t="s">
        <v>42</v>
      </c>
      <c r="Z830" s="14">
        <v>2.19</v>
      </c>
      <c r="AA830" s="14">
        <v>8.95</v>
      </c>
      <c r="AB830" s="12" t="s">
        <v>43</v>
      </c>
      <c r="AC830" s="12" t="s">
        <v>5229</v>
      </c>
      <c r="AD830" s="13">
        <v>45261</v>
      </c>
      <c r="AE830" s="12" t="s">
        <v>1769</v>
      </c>
      <c r="AF830" s="12" t="s">
        <v>90</v>
      </c>
      <c r="AG830" s="12" t="s">
        <v>81</v>
      </c>
      <c r="AH830" s="1">
        <f>HYPERLINK("https://my.pitchbook.com?c=227242-00T","View Company Online")</f>
      </c>
    </row>
    <row r="831">
      <c r="A831" s="3" t="s">
        <v>5230</v>
      </c>
      <c r="B831" s="3" t="s">
        <v>5231</v>
      </c>
      <c r="C831" s="5" t="s">
        <v>36</v>
      </c>
      <c r="D831" s="5" t="s">
        <v>36</v>
      </c>
      <c r="E831" s="5" t="s">
        <v>36</v>
      </c>
      <c r="F831" s="5" t="s">
        <v>36</v>
      </c>
      <c r="G831" s="6" t="s">
        <v>36</v>
      </c>
      <c r="H831" s="4" t="s">
        <v>36</v>
      </c>
      <c r="I831" s="7" t="s">
        <v>36</v>
      </c>
      <c r="J831" s="3" t="s">
        <v>36</v>
      </c>
      <c r="K831" s="9" t="s">
        <v>36</v>
      </c>
      <c r="L831" s="6" t="s">
        <v>36</v>
      </c>
      <c r="M831" s="3" t="s">
        <v>36</v>
      </c>
      <c r="N831" s="3" t="s">
        <v>36</v>
      </c>
      <c r="O831" s="8" t="s">
        <v>36</v>
      </c>
      <c r="P831" s="3" t="s">
        <v>36</v>
      </c>
      <c r="Q831" s="3" t="s">
        <v>36</v>
      </c>
      <c r="R831" s="3" t="s">
        <v>36</v>
      </c>
      <c r="S831" s="3" t="s">
        <v>36</v>
      </c>
      <c r="T831" s="3" t="s">
        <v>5232</v>
      </c>
      <c r="U831" s="3" t="s">
        <v>318</v>
      </c>
      <c r="V831" s="3" t="s">
        <v>39</v>
      </c>
      <c r="W831" s="3" t="s">
        <v>5233</v>
      </c>
      <c r="X831" s="10" t="s">
        <v>5234</v>
      </c>
      <c r="Y831" s="6" t="s">
        <v>42</v>
      </c>
      <c r="Z831" s="4" t="s">
        <v>36</v>
      </c>
      <c r="AA831" s="4" t="s">
        <v>36</v>
      </c>
      <c r="AB831" s="3" t="s">
        <v>56</v>
      </c>
      <c r="AC831" s="3" t="s">
        <v>5235</v>
      </c>
      <c r="AD831" s="9">
        <v>45261</v>
      </c>
      <c r="AE831" s="3" t="s">
        <v>417</v>
      </c>
      <c r="AF831" s="3" t="s">
        <v>5236</v>
      </c>
      <c r="AG831" s="3" t="s">
        <v>5237</v>
      </c>
      <c r="AH831" s="11">
        <f>HYPERLINK("https://my.pitchbook.com?c=247504-60T","View Company Online")</f>
      </c>
    </row>
    <row r="832">
      <c r="A832" s="12" t="s">
        <v>5238</v>
      </c>
      <c r="B832" s="12" t="s">
        <v>5239</v>
      </c>
      <c r="C832" s="19" t="s">
        <v>36</v>
      </c>
      <c r="D832" s="19" t="s">
        <v>36</v>
      </c>
      <c r="E832" s="19" t="s">
        <v>36</v>
      </c>
      <c r="F832" s="19" t="s">
        <v>36</v>
      </c>
      <c r="G832" s="15" t="s">
        <v>36</v>
      </c>
      <c r="H832" s="14" t="s">
        <v>36</v>
      </c>
      <c r="I832" s="18" t="s">
        <v>36</v>
      </c>
      <c r="J832" s="12" t="s">
        <v>36</v>
      </c>
      <c r="K832" s="13" t="s">
        <v>36</v>
      </c>
      <c r="L832" s="15" t="s">
        <v>36</v>
      </c>
      <c r="M832" s="12" t="s">
        <v>36</v>
      </c>
      <c r="N832" s="12" t="s">
        <v>36</v>
      </c>
      <c r="O832" s="17" t="s">
        <v>36</v>
      </c>
      <c r="P832" s="12" t="s">
        <v>36</v>
      </c>
      <c r="Q832" s="12" t="s">
        <v>36</v>
      </c>
      <c r="R832" s="12" t="s">
        <v>36</v>
      </c>
      <c r="S832" s="12" t="s">
        <v>36</v>
      </c>
      <c r="T832" s="12" t="s">
        <v>5240</v>
      </c>
      <c r="U832" s="12" t="s">
        <v>423</v>
      </c>
      <c r="V832" s="12" t="s">
        <v>64</v>
      </c>
      <c r="W832" s="12" t="s">
        <v>5241</v>
      </c>
      <c r="X832" s="16" t="s">
        <v>5242</v>
      </c>
      <c r="Y832" s="15" t="s">
        <v>42</v>
      </c>
      <c r="Z832" s="14" t="s">
        <v>36</v>
      </c>
      <c r="AA832" s="14" t="s">
        <v>36</v>
      </c>
      <c r="AB832" s="12" t="s">
        <v>56</v>
      </c>
      <c r="AC832" s="12" t="s">
        <v>5243</v>
      </c>
      <c r="AD832" s="13">
        <v>45261</v>
      </c>
      <c r="AE832" s="12" t="s">
        <v>427</v>
      </c>
      <c r="AF832" s="12" t="s">
        <v>90</v>
      </c>
      <c r="AG832" s="12" t="s">
        <v>81</v>
      </c>
      <c r="AH832" s="1">
        <f>HYPERLINK("https://my.pitchbook.com?c=247020-04T","View Company Online")</f>
      </c>
    </row>
    <row r="833">
      <c r="A833" s="3" t="s">
        <v>5244</v>
      </c>
      <c r="B833" s="3" t="s">
        <v>5245</v>
      </c>
      <c r="C833" s="5" t="s">
        <v>36</v>
      </c>
      <c r="D833" s="5" t="s">
        <v>36</v>
      </c>
      <c r="E833" s="5" t="s">
        <v>36</v>
      </c>
      <c r="F833" s="5" t="s">
        <v>36</v>
      </c>
      <c r="G833" s="6" t="s">
        <v>36</v>
      </c>
      <c r="H833" s="4" t="s">
        <v>36</v>
      </c>
      <c r="I833" s="7" t="s">
        <v>36</v>
      </c>
      <c r="J833" s="3" t="s">
        <v>36</v>
      </c>
      <c r="K833" s="9" t="s">
        <v>36</v>
      </c>
      <c r="L833" s="6" t="s">
        <v>36</v>
      </c>
      <c r="M833" s="3" t="s">
        <v>36</v>
      </c>
      <c r="N833" s="3" t="s">
        <v>36</v>
      </c>
      <c r="O833" s="8" t="s">
        <v>36</v>
      </c>
      <c r="P833" s="3" t="s">
        <v>36</v>
      </c>
      <c r="Q833" s="3" t="s">
        <v>36</v>
      </c>
      <c r="R833" s="3" t="s">
        <v>36</v>
      </c>
      <c r="S833" s="3" t="s">
        <v>36</v>
      </c>
      <c r="T833" s="3" t="s">
        <v>522</v>
      </c>
      <c r="U833" s="3" t="s">
        <v>38</v>
      </c>
      <c r="V833" s="3" t="s">
        <v>39</v>
      </c>
      <c r="W833" s="3" t="s">
        <v>5246</v>
      </c>
      <c r="X833" s="10" t="s">
        <v>221</v>
      </c>
      <c r="Y833" s="6" t="s">
        <v>42</v>
      </c>
      <c r="Z833" s="4" t="s">
        <v>36</v>
      </c>
      <c r="AA833" s="4" t="s">
        <v>36</v>
      </c>
      <c r="AB833" s="3" t="s">
        <v>56</v>
      </c>
      <c r="AC833" s="3" t="s">
        <v>5247</v>
      </c>
      <c r="AD833" s="9">
        <v>45261</v>
      </c>
      <c r="AE833" s="3" t="s">
        <v>110</v>
      </c>
      <c r="AF833" s="3" t="s">
        <v>176</v>
      </c>
      <c r="AG833" s="3" t="s">
        <v>741</v>
      </c>
      <c r="AH833" s="11">
        <f>HYPERLINK("https://my.pitchbook.com?c=247010-86T","View Company Online")</f>
      </c>
    </row>
    <row r="834">
      <c r="A834" s="12" t="s">
        <v>5248</v>
      </c>
      <c r="B834" s="12" t="s">
        <v>5249</v>
      </c>
      <c r="C834" s="19" t="s">
        <v>36</v>
      </c>
      <c r="D834" s="19" t="s">
        <v>36</v>
      </c>
      <c r="E834" s="19" t="s">
        <v>36</v>
      </c>
      <c r="F834" s="19" t="s">
        <v>36</v>
      </c>
      <c r="G834" s="15" t="s">
        <v>36</v>
      </c>
      <c r="H834" s="14" t="s">
        <v>36</v>
      </c>
      <c r="I834" s="18" t="s">
        <v>36</v>
      </c>
      <c r="J834" s="12" t="s">
        <v>36</v>
      </c>
      <c r="K834" s="13" t="s">
        <v>36</v>
      </c>
      <c r="L834" s="15" t="s">
        <v>36</v>
      </c>
      <c r="M834" s="12" t="s">
        <v>36</v>
      </c>
      <c r="N834" s="12" t="s">
        <v>36</v>
      </c>
      <c r="O834" s="17" t="s">
        <v>36</v>
      </c>
      <c r="P834" s="12" t="s">
        <v>36</v>
      </c>
      <c r="Q834" s="12" t="s">
        <v>36</v>
      </c>
      <c r="R834" s="12" t="s">
        <v>36</v>
      </c>
      <c r="S834" s="12" t="s">
        <v>196</v>
      </c>
      <c r="T834" s="12" t="s">
        <v>123</v>
      </c>
      <c r="U834" s="12" t="s">
        <v>38</v>
      </c>
      <c r="V834" s="12" t="s">
        <v>39</v>
      </c>
      <c r="W834" s="12" t="s">
        <v>5250</v>
      </c>
      <c r="X834" s="16" t="s">
        <v>5251</v>
      </c>
      <c r="Y834" s="15" t="s">
        <v>42</v>
      </c>
      <c r="Z834" s="14" t="s">
        <v>36</v>
      </c>
      <c r="AA834" s="14" t="s">
        <v>36</v>
      </c>
      <c r="AB834" s="12" t="s">
        <v>43</v>
      </c>
      <c r="AC834" s="12" t="s">
        <v>5252</v>
      </c>
      <c r="AD834" s="13">
        <v>45261</v>
      </c>
      <c r="AE834" s="12" t="s">
        <v>110</v>
      </c>
      <c r="AF834" s="12" t="s">
        <v>275</v>
      </c>
      <c r="AG834" s="12" t="s">
        <v>2088</v>
      </c>
      <c r="AH834" s="1">
        <f>HYPERLINK("https://my.pitchbook.com?c=246968-83T","View Company Online")</f>
      </c>
    </row>
    <row r="835">
      <c r="A835" s="3" t="s">
        <v>5253</v>
      </c>
      <c r="B835" s="3" t="s">
        <v>5254</v>
      </c>
      <c r="C835" s="5" t="s">
        <v>36</v>
      </c>
      <c r="D835" s="5" t="s">
        <v>36</v>
      </c>
      <c r="E835" s="5" t="s">
        <v>36</v>
      </c>
      <c r="F835" s="5" t="s">
        <v>36</v>
      </c>
      <c r="G835" s="6" t="s">
        <v>36</v>
      </c>
      <c r="H835" s="4" t="s">
        <v>36</v>
      </c>
      <c r="I835" s="7" t="s">
        <v>36</v>
      </c>
      <c r="J835" s="3" t="s">
        <v>36</v>
      </c>
      <c r="K835" s="9" t="s">
        <v>36</v>
      </c>
      <c r="L835" s="6" t="s">
        <v>36</v>
      </c>
      <c r="M835" s="3" t="s">
        <v>36</v>
      </c>
      <c r="N835" s="3" t="s">
        <v>36</v>
      </c>
      <c r="O835" s="8" t="s">
        <v>36</v>
      </c>
      <c r="P835" s="3" t="s">
        <v>36</v>
      </c>
      <c r="Q835" s="3" t="s">
        <v>36</v>
      </c>
      <c r="R835" s="3" t="s">
        <v>36</v>
      </c>
      <c r="S835" s="3" t="s">
        <v>36</v>
      </c>
      <c r="T835" s="3" t="s">
        <v>1350</v>
      </c>
      <c r="U835" s="3" t="s">
        <v>38</v>
      </c>
      <c r="V835" s="3" t="s">
        <v>39</v>
      </c>
      <c r="W835" s="3" t="s">
        <v>5255</v>
      </c>
      <c r="X835" s="10" t="s">
        <v>221</v>
      </c>
      <c r="Y835" s="6" t="s">
        <v>42</v>
      </c>
      <c r="Z835" s="4" t="s">
        <v>36</v>
      </c>
      <c r="AA835" s="4" t="s">
        <v>36</v>
      </c>
      <c r="AB835" s="3" t="s">
        <v>43</v>
      </c>
      <c r="AC835" s="3" t="s">
        <v>5256</v>
      </c>
      <c r="AD835" s="9">
        <v>45261</v>
      </c>
      <c r="AE835" s="3" t="s">
        <v>785</v>
      </c>
      <c r="AF835" s="3" t="s">
        <v>36</v>
      </c>
      <c r="AG835" s="3" t="s">
        <v>5257</v>
      </c>
      <c r="AH835" s="11">
        <f>HYPERLINK("https://my.pitchbook.com?c=247506-22T","View Company Online")</f>
      </c>
    </row>
    <row r="836">
      <c r="A836" s="12" t="s">
        <v>5258</v>
      </c>
      <c r="B836" s="12" t="s">
        <v>5259</v>
      </c>
      <c r="C836" s="19" t="s">
        <v>36</v>
      </c>
      <c r="D836" s="19" t="s">
        <v>36</v>
      </c>
      <c r="E836" s="19" t="s">
        <v>36</v>
      </c>
      <c r="F836" s="19" t="s">
        <v>36</v>
      </c>
      <c r="G836" s="15" t="s">
        <v>36</v>
      </c>
      <c r="H836" s="14" t="s">
        <v>36</v>
      </c>
      <c r="I836" s="18" t="s">
        <v>36</v>
      </c>
      <c r="J836" s="12" t="s">
        <v>36</v>
      </c>
      <c r="K836" s="13" t="s">
        <v>36</v>
      </c>
      <c r="L836" s="15" t="s">
        <v>36</v>
      </c>
      <c r="M836" s="12" t="s">
        <v>36</v>
      </c>
      <c r="N836" s="12" t="s">
        <v>36</v>
      </c>
      <c r="O836" s="17" t="s">
        <v>36</v>
      </c>
      <c r="P836" s="12" t="s">
        <v>36</v>
      </c>
      <c r="Q836" s="12" t="s">
        <v>36</v>
      </c>
      <c r="R836" s="12" t="s">
        <v>36</v>
      </c>
      <c r="S836" s="12" t="s">
        <v>36</v>
      </c>
      <c r="T836" s="12" t="s">
        <v>818</v>
      </c>
      <c r="U836" s="12" t="s">
        <v>74</v>
      </c>
      <c r="V836" s="12" t="s">
        <v>75</v>
      </c>
      <c r="W836" s="12" t="s">
        <v>5260</v>
      </c>
      <c r="X836" s="16" t="s">
        <v>1399</v>
      </c>
      <c r="Y836" s="15" t="s">
        <v>42</v>
      </c>
      <c r="Z836" s="14" t="s">
        <v>36</v>
      </c>
      <c r="AA836" s="14" t="s">
        <v>36</v>
      </c>
      <c r="AB836" s="12" t="s">
        <v>56</v>
      </c>
      <c r="AC836" s="12" t="s">
        <v>5261</v>
      </c>
      <c r="AD836" s="13">
        <v>45261</v>
      </c>
      <c r="AE836" s="12" t="s">
        <v>570</v>
      </c>
      <c r="AF836" s="12" t="s">
        <v>372</v>
      </c>
      <c r="AG836" s="12" t="s">
        <v>5262</v>
      </c>
      <c r="AH836" s="1">
        <f>HYPERLINK("https://my.pitchbook.com?c=248025-61T","View Company Online")</f>
      </c>
    </row>
    <row r="837">
      <c r="A837" s="3" t="s">
        <v>5263</v>
      </c>
      <c r="B837" s="3" t="s">
        <v>5264</v>
      </c>
      <c r="C837" s="5" t="s">
        <v>36</v>
      </c>
      <c r="D837" s="5" t="s">
        <v>36</v>
      </c>
      <c r="E837" s="5" t="s">
        <v>36</v>
      </c>
      <c r="F837" s="5" t="s">
        <v>36</v>
      </c>
      <c r="G837" s="6" t="s">
        <v>36</v>
      </c>
      <c r="H837" s="4" t="s">
        <v>36</v>
      </c>
      <c r="I837" s="7" t="s">
        <v>36</v>
      </c>
      <c r="J837" s="3" t="s">
        <v>36</v>
      </c>
      <c r="K837" s="9" t="s">
        <v>36</v>
      </c>
      <c r="L837" s="6" t="s">
        <v>36</v>
      </c>
      <c r="M837" s="3" t="s">
        <v>36</v>
      </c>
      <c r="N837" s="3" t="s">
        <v>36</v>
      </c>
      <c r="O837" s="8" t="s">
        <v>36</v>
      </c>
      <c r="P837" s="3" t="s">
        <v>36</v>
      </c>
      <c r="Q837" s="3" t="s">
        <v>36</v>
      </c>
      <c r="R837" s="3" t="s">
        <v>36</v>
      </c>
      <c r="S837" s="3" t="s">
        <v>36</v>
      </c>
      <c r="T837" s="3" t="s">
        <v>37</v>
      </c>
      <c r="U837" s="3" t="s">
        <v>38</v>
      </c>
      <c r="V837" s="3" t="s">
        <v>39</v>
      </c>
      <c r="W837" s="3" t="s">
        <v>5265</v>
      </c>
      <c r="X837" s="10" t="s">
        <v>5266</v>
      </c>
      <c r="Y837" s="6" t="s">
        <v>42</v>
      </c>
      <c r="Z837" s="4" t="s">
        <v>36</v>
      </c>
      <c r="AA837" s="4" t="s">
        <v>36</v>
      </c>
      <c r="AB837" s="3" t="s">
        <v>43</v>
      </c>
      <c r="AC837" s="3" t="s">
        <v>5267</v>
      </c>
      <c r="AD837" s="9">
        <v>45261</v>
      </c>
      <c r="AE837" s="3" t="s">
        <v>45</v>
      </c>
      <c r="AF837" s="3" t="s">
        <v>215</v>
      </c>
      <c r="AG837" s="3" t="s">
        <v>5268</v>
      </c>
      <c r="AH837" s="11">
        <f>HYPERLINK("https://my.pitchbook.com?c=248094-10T","View Company Online")</f>
      </c>
    </row>
    <row r="838">
      <c r="A838" s="12" t="s">
        <v>5269</v>
      </c>
      <c r="B838" s="12" t="s">
        <v>5270</v>
      </c>
      <c r="C838" s="19" t="s">
        <v>36</v>
      </c>
      <c r="D838" s="19" t="s">
        <v>36</v>
      </c>
      <c r="E838" s="19" t="s">
        <v>36</v>
      </c>
      <c r="F838" s="19" t="s">
        <v>36</v>
      </c>
      <c r="G838" s="15" t="s">
        <v>36</v>
      </c>
      <c r="H838" s="14" t="s">
        <v>36</v>
      </c>
      <c r="I838" s="18" t="s">
        <v>36</v>
      </c>
      <c r="J838" s="12" t="s">
        <v>36</v>
      </c>
      <c r="K838" s="13">
        <v>44896</v>
      </c>
      <c r="L838" s="15" t="s">
        <v>36</v>
      </c>
      <c r="M838" s="12" t="s">
        <v>36</v>
      </c>
      <c r="N838" s="12" t="s">
        <v>36</v>
      </c>
      <c r="O838" s="17" t="s">
        <v>36</v>
      </c>
      <c r="P838" s="12" t="s">
        <v>36</v>
      </c>
      <c r="Q838" s="12" t="s">
        <v>36</v>
      </c>
      <c r="R838" s="12" t="s">
        <v>36</v>
      </c>
      <c r="S838" s="12" t="s">
        <v>36</v>
      </c>
      <c r="T838" s="12" t="s">
        <v>5271</v>
      </c>
      <c r="U838" s="12" t="s">
        <v>619</v>
      </c>
      <c r="V838" s="12" t="s">
        <v>378</v>
      </c>
      <c r="W838" s="12" t="s">
        <v>5272</v>
      </c>
      <c r="X838" s="16" t="s">
        <v>5273</v>
      </c>
      <c r="Y838" s="15" t="s">
        <v>108</v>
      </c>
      <c r="Z838" s="14" t="s">
        <v>36</v>
      </c>
      <c r="AA838" s="14" t="s">
        <v>36</v>
      </c>
      <c r="AB838" s="12" t="s">
        <v>56</v>
      </c>
      <c r="AC838" s="12" t="s">
        <v>5274</v>
      </c>
      <c r="AD838" s="13">
        <v>45261</v>
      </c>
      <c r="AE838" s="12" t="s">
        <v>623</v>
      </c>
      <c r="AF838" s="12" t="s">
        <v>36</v>
      </c>
      <c r="AG838" s="12" t="s">
        <v>81</v>
      </c>
      <c r="AH838" s="1">
        <f>HYPERLINK("https://my.pitchbook.com?c=228492-82T","View Company Online")</f>
      </c>
    </row>
    <row r="839">
      <c r="A839" s="3" t="s">
        <v>5275</v>
      </c>
      <c r="B839" s="3" t="s">
        <v>5276</v>
      </c>
      <c r="C839" s="5" t="s">
        <v>36</v>
      </c>
      <c r="D839" s="5" t="s">
        <v>36</v>
      </c>
      <c r="E839" s="5" t="s">
        <v>36</v>
      </c>
      <c r="F839" s="5" t="s">
        <v>36</v>
      </c>
      <c r="G839" s="6" t="s">
        <v>326</v>
      </c>
      <c r="H839" s="4">
        <v>22.85</v>
      </c>
      <c r="I839" s="7">
        <v>20</v>
      </c>
      <c r="J839" s="3" t="s">
        <v>521</v>
      </c>
      <c r="K839" s="9" t="s">
        <v>36</v>
      </c>
      <c r="L839" s="6" t="s">
        <v>36</v>
      </c>
      <c r="M839" s="3" t="s">
        <v>36</v>
      </c>
      <c r="N839" s="3" t="s">
        <v>36</v>
      </c>
      <c r="O839" s="8" t="s">
        <v>36</v>
      </c>
      <c r="P839" s="3" t="s">
        <v>36</v>
      </c>
      <c r="Q839" s="3" t="s">
        <v>36</v>
      </c>
      <c r="R839" s="3" t="s">
        <v>36</v>
      </c>
      <c r="S839" s="3" t="s">
        <v>36</v>
      </c>
      <c r="T839" s="3" t="s">
        <v>464</v>
      </c>
      <c r="U839" s="3" t="s">
        <v>38</v>
      </c>
      <c r="V839" s="3" t="s">
        <v>39</v>
      </c>
      <c r="W839" s="3" t="s">
        <v>5277</v>
      </c>
      <c r="X839" s="10" t="s">
        <v>5278</v>
      </c>
      <c r="Y839" s="6" t="s">
        <v>42</v>
      </c>
      <c r="Z839" s="4">
        <v>0.44</v>
      </c>
      <c r="AA839" s="4">
        <v>2.2</v>
      </c>
      <c r="AB839" s="3" t="s">
        <v>43</v>
      </c>
      <c r="AC839" s="3" t="s">
        <v>5279</v>
      </c>
      <c r="AD839" s="9">
        <v>45261</v>
      </c>
      <c r="AE839" s="3" t="s">
        <v>110</v>
      </c>
      <c r="AF839" s="3" t="s">
        <v>468</v>
      </c>
      <c r="AG839" s="3" t="s">
        <v>5280</v>
      </c>
      <c r="AH839" s="11">
        <f>HYPERLINK("https://my.pitchbook.com?c=250468-48T","View Company Online")</f>
      </c>
    </row>
    <row r="840">
      <c r="A840" s="12" t="s">
        <v>5281</v>
      </c>
      <c r="B840" s="12" t="s">
        <v>5282</v>
      </c>
      <c r="C840" s="19" t="s">
        <v>36</v>
      </c>
      <c r="D840" s="19" t="s">
        <v>36</v>
      </c>
      <c r="E840" s="19" t="s">
        <v>36</v>
      </c>
      <c r="F840" s="19" t="s">
        <v>36</v>
      </c>
      <c r="G840" s="15" t="s">
        <v>36</v>
      </c>
      <c r="H840" s="14" t="s">
        <v>36</v>
      </c>
      <c r="I840" s="18" t="s">
        <v>36</v>
      </c>
      <c r="J840" s="12" t="s">
        <v>36</v>
      </c>
      <c r="K840" s="13" t="s">
        <v>36</v>
      </c>
      <c r="L840" s="15" t="s">
        <v>36</v>
      </c>
      <c r="M840" s="12" t="s">
        <v>36</v>
      </c>
      <c r="N840" s="12" t="s">
        <v>36</v>
      </c>
      <c r="O840" s="17" t="s">
        <v>36</v>
      </c>
      <c r="P840" s="12" t="s">
        <v>36</v>
      </c>
      <c r="Q840" s="12" t="s">
        <v>36</v>
      </c>
      <c r="R840" s="12" t="s">
        <v>36</v>
      </c>
      <c r="S840" s="12" t="s">
        <v>36</v>
      </c>
      <c r="T840" s="12" t="s">
        <v>1838</v>
      </c>
      <c r="U840" s="12" t="s">
        <v>38</v>
      </c>
      <c r="V840" s="12" t="s">
        <v>39</v>
      </c>
      <c r="W840" s="12" t="s">
        <v>5283</v>
      </c>
      <c r="X840" s="16" t="s">
        <v>5284</v>
      </c>
      <c r="Y840" s="15" t="s">
        <v>108</v>
      </c>
      <c r="Z840" s="14">
        <v>1.51</v>
      </c>
      <c r="AA840" s="14" t="s">
        <v>36</v>
      </c>
      <c r="AB840" s="12" t="s">
        <v>43</v>
      </c>
      <c r="AC840" s="12" t="s">
        <v>5285</v>
      </c>
      <c r="AD840" s="13">
        <v>45261</v>
      </c>
      <c r="AE840" s="12" t="s">
        <v>110</v>
      </c>
      <c r="AF840" s="12" t="s">
        <v>5286</v>
      </c>
      <c r="AG840" s="12" t="s">
        <v>81</v>
      </c>
      <c r="AH840" s="1">
        <f>HYPERLINK("https://my.pitchbook.com?c=246989-98T","View Company Online")</f>
      </c>
    </row>
    <row r="841">
      <c r="A841" s="3" t="s">
        <v>5287</v>
      </c>
      <c r="B841" s="3" t="s">
        <v>4313</v>
      </c>
      <c r="C841" s="5" t="s">
        <v>36</v>
      </c>
      <c r="D841" s="5" t="s">
        <v>36</v>
      </c>
      <c r="E841" s="5" t="s">
        <v>36</v>
      </c>
      <c r="F841" s="5" t="s">
        <v>36</v>
      </c>
      <c r="G841" s="6" t="s">
        <v>36</v>
      </c>
      <c r="H841" s="4">
        <v>7.35</v>
      </c>
      <c r="I841" s="7">
        <v>23.6</v>
      </c>
      <c r="J841" s="3" t="s">
        <v>521</v>
      </c>
      <c r="K841" s="9" t="s">
        <v>36</v>
      </c>
      <c r="L841" s="6" t="s">
        <v>122</v>
      </c>
      <c r="M841" s="3" t="s">
        <v>36</v>
      </c>
      <c r="N841" s="3" t="s">
        <v>122</v>
      </c>
      <c r="O841" s="8" t="s">
        <v>36</v>
      </c>
      <c r="P841" s="3" t="s">
        <v>36</v>
      </c>
      <c r="Q841" s="3" t="s">
        <v>36</v>
      </c>
      <c r="R841" s="3" t="s">
        <v>36</v>
      </c>
      <c r="S841" s="3" t="s">
        <v>36</v>
      </c>
      <c r="T841" s="3" t="s">
        <v>529</v>
      </c>
      <c r="U841" s="3" t="s">
        <v>38</v>
      </c>
      <c r="V841" s="3" t="s">
        <v>39</v>
      </c>
      <c r="W841" s="3" t="s">
        <v>4314</v>
      </c>
      <c r="X841" s="10" t="s">
        <v>5288</v>
      </c>
      <c r="Y841" s="6" t="s">
        <v>108</v>
      </c>
      <c r="Z841" s="4">
        <v>6.49</v>
      </c>
      <c r="AA841" s="4">
        <v>16.5</v>
      </c>
      <c r="AB841" s="3" t="s">
        <v>43</v>
      </c>
      <c r="AC841" s="3" t="s">
        <v>4315</v>
      </c>
      <c r="AD841" s="9">
        <v>45261</v>
      </c>
      <c r="AE841" s="3" t="s">
        <v>134</v>
      </c>
      <c r="AF841" s="3" t="s">
        <v>135</v>
      </c>
      <c r="AG841" s="3" t="s">
        <v>47</v>
      </c>
      <c r="AH841" s="11">
        <f>HYPERLINK("https://my.pitchbook.com?c=249442-21T","View Company Online")</f>
      </c>
    </row>
    <row r="842">
      <c r="A842" s="12" t="s">
        <v>5289</v>
      </c>
      <c r="B842" s="12" t="s">
        <v>5290</v>
      </c>
      <c r="C842" s="19" t="s">
        <v>36</v>
      </c>
      <c r="D842" s="19" t="s">
        <v>36</v>
      </c>
      <c r="E842" s="19" t="s">
        <v>36</v>
      </c>
      <c r="F842" s="19" t="s">
        <v>36</v>
      </c>
      <c r="G842" s="15" t="s">
        <v>36</v>
      </c>
      <c r="H842" s="14" t="s">
        <v>36</v>
      </c>
      <c r="I842" s="18" t="s">
        <v>36</v>
      </c>
      <c r="J842" s="12" t="s">
        <v>36</v>
      </c>
      <c r="K842" s="13" t="s">
        <v>36</v>
      </c>
      <c r="L842" s="15" t="s">
        <v>36</v>
      </c>
      <c r="M842" s="12" t="s">
        <v>36</v>
      </c>
      <c r="N842" s="12" t="s">
        <v>36</v>
      </c>
      <c r="O842" s="17" t="s">
        <v>36</v>
      </c>
      <c r="P842" s="12" t="s">
        <v>36</v>
      </c>
      <c r="Q842" s="12" t="s">
        <v>36</v>
      </c>
      <c r="R842" s="12" t="s">
        <v>36</v>
      </c>
      <c r="S842" s="12" t="s">
        <v>36</v>
      </c>
      <c r="T842" s="12" t="s">
        <v>5291</v>
      </c>
      <c r="U842" s="12" t="s">
        <v>366</v>
      </c>
      <c r="V842" s="12" t="s">
        <v>367</v>
      </c>
      <c r="W842" s="12" t="s">
        <v>5292</v>
      </c>
      <c r="X842" s="16" t="s">
        <v>5293</v>
      </c>
      <c r="Y842" s="15" t="s">
        <v>42</v>
      </c>
      <c r="Z842" s="14" t="s">
        <v>36</v>
      </c>
      <c r="AA842" s="14" t="s">
        <v>36</v>
      </c>
      <c r="AB842" s="12" t="s">
        <v>43</v>
      </c>
      <c r="AC842" s="12" t="s">
        <v>5294</v>
      </c>
      <c r="AD842" s="13">
        <v>45261</v>
      </c>
      <c r="AE842" s="12" t="s">
        <v>371</v>
      </c>
      <c r="AF842" s="12" t="s">
        <v>601</v>
      </c>
      <c r="AG842" s="12" t="s">
        <v>5295</v>
      </c>
      <c r="AH842" s="1">
        <f>HYPERLINK("https://my.pitchbook.com?c=247826-80T","View Company Online")</f>
      </c>
    </row>
    <row r="843">
      <c r="A843" s="3" t="s">
        <v>5296</v>
      </c>
      <c r="B843" s="3" t="s">
        <v>5297</v>
      </c>
      <c r="C843" s="5" t="s">
        <v>36</v>
      </c>
      <c r="D843" s="5" t="s">
        <v>36</v>
      </c>
      <c r="E843" s="5" t="s">
        <v>36</v>
      </c>
      <c r="F843" s="5" t="s">
        <v>36</v>
      </c>
      <c r="G843" s="6" t="s">
        <v>36</v>
      </c>
      <c r="H843" s="4" t="s">
        <v>36</v>
      </c>
      <c r="I843" s="7" t="s">
        <v>36</v>
      </c>
      <c r="J843" s="3" t="s">
        <v>36</v>
      </c>
      <c r="K843" s="9" t="s">
        <v>36</v>
      </c>
      <c r="L843" s="6" t="s">
        <v>36</v>
      </c>
      <c r="M843" s="3" t="s">
        <v>36</v>
      </c>
      <c r="N843" s="3" t="s">
        <v>36</v>
      </c>
      <c r="O843" s="8" t="s">
        <v>36</v>
      </c>
      <c r="P843" s="3" t="s">
        <v>36</v>
      </c>
      <c r="Q843" s="3" t="s">
        <v>36</v>
      </c>
      <c r="R843" s="3" t="s">
        <v>36</v>
      </c>
      <c r="S843" s="3" t="s">
        <v>36</v>
      </c>
      <c r="T843" s="3" t="s">
        <v>4412</v>
      </c>
      <c r="U843" s="3" t="s">
        <v>38</v>
      </c>
      <c r="V843" s="3" t="s">
        <v>39</v>
      </c>
      <c r="W843" s="3" t="s">
        <v>5298</v>
      </c>
      <c r="X843" s="10" t="s">
        <v>221</v>
      </c>
      <c r="Y843" s="6" t="s">
        <v>42</v>
      </c>
      <c r="Z843" s="4" t="s">
        <v>36</v>
      </c>
      <c r="AA843" s="4" t="s">
        <v>36</v>
      </c>
      <c r="AB843" s="3" t="s">
        <v>43</v>
      </c>
      <c r="AC843" s="3" t="s">
        <v>5299</v>
      </c>
      <c r="AD843" s="9">
        <v>45261</v>
      </c>
      <c r="AE843" s="3" t="s">
        <v>688</v>
      </c>
      <c r="AF843" s="3" t="s">
        <v>2350</v>
      </c>
      <c r="AG843" s="3" t="s">
        <v>81</v>
      </c>
      <c r="AH843" s="11">
        <f>HYPERLINK("https://my.pitchbook.com?c=247185-46T","View Company Online")</f>
      </c>
    </row>
    <row r="844">
      <c r="A844" s="12" t="s">
        <v>5300</v>
      </c>
      <c r="B844" s="12" t="s">
        <v>5301</v>
      </c>
      <c r="C844" s="19" t="s">
        <v>36</v>
      </c>
      <c r="D844" s="19" t="s">
        <v>36</v>
      </c>
      <c r="E844" s="19" t="s">
        <v>36</v>
      </c>
      <c r="F844" s="19" t="s">
        <v>36</v>
      </c>
      <c r="G844" s="15" t="s">
        <v>36</v>
      </c>
      <c r="H844" s="14">
        <v>6.23</v>
      </c>
      <c r="I844" s="18">
        <v>16.67</v>
      </c>
      <c r="J844" s="12" t="s">
        <v>521</v>
      </c>
      <c r="K844" s="13" t="s">
        <v>36</v>
      </c>
      <c r="L844" s="15" t="s">
        <v>36</v>
      </c>
      <c r="M844" s="12" t="s">
        <v>36</v>
      </c>
      <c r="N844" s="12" t="s">
        <v>36</v>
      </c>
      <c r="O844" s="17" t="s">
        <v>36</v>
      </c>
      <c r="P844" s="12" t="s">
        <v>36</v>
      </c>
      <c r="Q844" s="12" t="s">
        <v>36</v>
      </c>
      <c r="R844" s="12" t="s">
        <v>36</v>
      </c>
      <c r="S844" s="12" t="s">
        <v>36</v>
      </c>
      <c r="T844" s="12" t="s">
        <v>5302</v>
      </c>
      <c r="U844" s="12" t="s">
        <v>74</v>
      </c>
      <c r="V844" s="12" t="s">
        <v>75</v>
      </c>
      <c r="W844" s="12" t="s">
        <v>5303</v>
      </c>
      <c r="X844" s="16" t="s">
        <v>5304</v>
      </c>
      <c r="Y844" s="15" t="s">
        <v>42</v>
      </c>
      <c r="Z844" s="14">
        <v>1.3</v>
      </c>
      <c r="AA844" s="14">
        <v>3.9</v>
      </c>
      <c r="AB844" s="12" t="s">
        <v>43</v>
      </c>
      <c r="AC844" s="12" t="s">
        <v>5305</v>
      </c>
      <c r="AD844" s="13">
        <v>45261</v>
      </c>
      <c r="AE844" s="12" t="s">
        <v>362</v>
      </c>
      <c r="AF844" s="12" t="s">
        <v>468</v>
      </c>
      <c r="AG844" s="12" t="s">
        <v>81</v>
      </c>
      <c r="AH844" s="1">
        <f>HYPERLINK("https://my.pitchbook.com?c=246741-49T","View Company Online")</f>
      </c>
    </row>
    <row r="845">
      <c r="A845" s="3" t="s">
        <v>5306</v>
      </c>
      <c r="B845" s="3" t="s">
        <v>5307</v>
      </c>
      <c r="C845" s="5">
        <v>1</v>
      </c>
      <c r="D845" s="5">
        <v>2</v>
      </c>
      <c r="E845" s="5">
        <v>1</v>
      </c>
      <c r="F845" s="5">
        <v>3</v>
      </c>
      <c r="G845" s="6" t="s">
        <v>36</v>
      </c>
      <c r="H845" s="4" t="s">
        <v>36</v>
      </c>
      <c r="I845" s="7" t="s">
        <v>36</v>
      </c>
      <c r="J845" s="3" t="s">
        <v>36</v>
      </c>
      <c r="K845" s="9" t="s">
        <v>36</v>
      </c>
      <c r="L845" s="6" t="s">
        <v>36</v>
      </c>
      <c r="M845" s="3" t="s">
        <v>36</v>
      </c>
      <c r="N845" s="3" t="s">
        <v>36</v>
      </c>
      <c r="O845" s="8" t="s">
        <v>36</v>
      </c>
      <c r="P845" s="3" t="s">
        <v>36</v>
      </c>
      <c r="Q845" s="3" t="s">
        <v>36</v>
      </c>
      <c r="R845" s="3" t="s">
        <v>36</v>
      </c>
      <c r="S845" s="3" t="s">
        <v>36</v>
      </c>
      <c r="T845" s="3" t="s">
        <v>1048</v>
      </c>
      <c r="U845" s="3" t="s">
        <v>423</v>
      </c>
      <c r="V845" s="3" t="s">
        <v>64</v>
      </c>
      <c r="W845" s="3" t="s">
        <v>5308</v>
      </c>
      <c r="X845" s="10" t="s">
        <v>5309</v>
      </c>
      <c r="Y845" s="6" t="s">
        <v>42</v>
      </c>
      <c r="Z845" s="4">
        <v>0.6</v>
      </c>
      <c r="AA845" s="4" t="s">
        <v>36</v>
      </c>
      <c r="AB845" s="3" t="s">
        <v>43</v>
      </c>
      <c r="AC845" s="3" t="s">
        <v>5310</v>
      </c>
      <c r="AD845" s="9">
        <v>45260</v>
      </c>
      <c r="AE845" s="3" t="s">
        <v>1051</v>
      </c>
      <c r="AF845" s="3" t="s">
        <v>571</v>
      </c>
      <c r="AG845" s="3" t="s">
        <v>5311</v>
      </c>
      <c r="AH845" s="11">
        <f>HYPERLINK("https://my.pitchbook.com?c=279676-45T","View Company Online")</f>
      </c>
    </row>
    <row r="846">
      <c r="A846" s="12" t="s">
        <v>5312</v>
      </c>
      <c r="B846" s="12" t="s">
        <v>5313</v>
      </c>
      <c r="C846" s="19" t="s">
        <v>36</v>
      </c>
      <c r="D846" s="19" t="s">
        <v>36</v>
      </c>
      <c r="E846" s="19" t="s">
        <v>36</v>
      </c>
      <c r="F846" s="19" t="s">
        <v>36</v>
      </c>
      <c r="G846" s="15" t="s">
        <v>36</v>
      </c>
      <c r="H846" s="14" t="s">
        <v>36</v>
      </c>
      <c r="I846" s="18" t="s">
        <v>36</v>
      </c>
      <c r="J846" s="12" t="s">
        <v>36</v>
      </c>
      <c r="K846" s="13" t="s">
        <v>36</v>
      </c>
      <c r="L846" s="15" t="s">
        <v>36</v>
      </c>
      <c r="M846" s="12" t="s">
        <v>36</v>
      </c>
      <c r="N846" s="12" t="s">
        <v>36</v>
      </c>
      <c r="O846" s="17" t="s">
        <v>36</v>
      </c>
      <c r="P846" s="12" t="s">
        <v>36</v>
      </c>
      <c r="Q846" s="12" t="s">
        <v>36</v>
      </c>
      <c r="R846" s="12" t="s">
        <v>36</v>
      </c>
      <c r="S846" s="12" t="s">
        <v>36</v>
      </c>
      <c r="T846" s="12" t="s">
        <v>596</v>
      </c>
      <c r="U846" s="12" t="s">
        <v>366</v>
      </c>
      <c r="V846" s="12" t="s">
        <v>367</v>
      </c>
      <c r="W846" s="12" t="s">
        <v>5314</v>
      </c>
      <c r="X846" s="16" t="s">
        <v>5315</v>
      </c>
      <c r="Y846" s="15" t="s">
        <v>192</v>
      </c>
      <c r="Z846" s="14">
        <v>108.1</v>
      </c>
      <c r="AA846" s="14" t="s">
        <v>36</v>
      </c>
      <c r="AB846" s="12" t="s">
        <v>56</v>
      </c>
      <c r="AC846" s="12" t="s">
        <v>5316</v>
      </c>
      <c r="AD846" s="13">
        <v>45260</v>
      </c>
      <c r="AE846" s="12" t="s">
        <v>600</v>
      </c>
      <c r="AF846" s="12" t="s">
        <v>982</v>
      </c>
      <c r="AG846" s="12" t="s">
        <v>5317</v>
      </c>
      <c r="AH846" s="1">
        <f>HYPERLINK("https://my.pitchbook.com?c=246626-29T","View Company Online")</f>
      </c>
    </row>
    <row r="847">
      <c r="A847" s="3" t="s">
        <v>5318</v>
      </c>
      <c r="B847" s="3" t="s">
        <v>5319</v>
      </c>
      <c r="C847" s="5">
        <v>7</v>
      </c>
      <c r="D847" s="5">
        <v>33</v>
      </c>
      <c r="E847" s="5">
        <v>6</v>
      </c>
      <c r="F847" s="5">
        <v>41</v>
      </c>
      <c r="G847" s="6" t="s">
        <v>326</v>
      </c>
      <c r="H847" s="4" t="s">
        <v>36</v>
      </c>
      <c r="I847" s="7">
        <v>31.14</v>
      </c>
      <c r="J847" s="3" t="s">
        <v>327</v>
      </c>
      <c r="K847" s="9">
        <v>45070</v>
      </c>
      <c r="L847" s="6" t="s">
        <v>94</v>
      </c>
      <c r="M847" s="3" t="s">
        <v>36</v>
      </c>
      <c r="N847" s="3" t="s">
        <v>94</v>
      </c>
      <c r="O847" s="8" t="s">
        <v>36</v>
      </c>
      <c r="P847" s="3" t="s">
        <v>36</v>
      </c>
      <c r="Q847" s="3" t="s">
        <v>36</v>
      </c>
      <c r="R847" s="3" t="s">
        <v>36</v>
      </c>
      <c r="S847" s="3" t="s">
        <v>5320</v>
      </c>
      <c r="T847" s="3" t="s">
        <v>5321</v>
      </c>
      <c r="U847" s="3" t="s">
        <v>74</v>
      </c>
      <c r="V847" s="3" t="s">
        <v>75</v>
      </c>
      <c r="W847" s="3" t="s">
        <v>5322</v>
      </c>
      <c r="X847" s="10" t="s">
        <v>5323</v>
      </c>
      <c r="Y847" s="6" t="s">
        <v>55</v>
      </c>
      <c r="Z847" s="4">
        <v>28.91</v>
      </c>
      <c r="AA847" s="4">
        <v>92.83</v>
      </c>
      <c r="AB847" s="3" t="s">
        <v>56</v>
      </c>
      <c r="AC847" s="3" t="s">
        <v>5324</v>
      </c>
      <c r="AD847" s="9">
        <v>45259</v>
      </c>
      <c r="AE847" s="3" t="s">
        <v>570</v>
      </c>
      <c r="AF847" s="3" t="s">
        <v>5325</v>
      </c>
      <c r="AG847" s="3" t="s">
        <v>81</v>
      </c>
      <c r="AH847" s="11">
        <f>HYPERLINK("https://my.pitchbook.com?c=225879-31T","View Company Online")</f>
      </c>
    </row>
    <row r="848">
      <c r="A848" s="12" t="s">
        <v>5326</v>
      </c>
      <c r="B848" s="12" t="s">
        <v>5327</v>
      </c>
      <c r="C848" s="19" t="s">
        <v>36</v>
      </c>
      <c r="D848" s="19" t="s">
        <v>36</v>
      </c>
      <c r="E848" s="19" t="s">
        <v>36</v>
      </c>
      <c r="F848" s="19" t="s">
        <v>36</v>
      </c>
      <c r="G848" s="15" t="s">
        <v>683</v>
      </c>
      <c r="H848" s="14">
        <v>1189.5</v>
      </c>
      <c r="I848" s="18">
        <v>25.28</v>
      </c>
      <c r="J848" s="12" t="s">
        <v>521</v>
      </c>
      <c r="K848" s="13">
        <v>45209</v>
      </c>
      <c r="L848" s="15" t="s">
        <v>36</v>
      </c>
      <c r="M848" s="12" t="s">
        <v>36</v>
      </c>
      <c r="N848" s="12" t="s">
        <v>36</v>
      </c>
      <c r="O848" s="17" t="s">
        <v>36</v>
      </c>
      <c r="P848" s="12" t="s">
        <v>36</v>
      </c>
      <c r="Q848" s="12" t="s">
        <v>36</v>
      </c>
      <c r="R848" s="12" t="s">
        <v>36</v>
      </c>
      <c r="S848" s="12" t="s">
        <v>36</v>
      </c>
      <c r="T848" s="12" t="s">
        <v>472</v>
      </c>
      <c r="U848" s="12" t="s">
        <v>38</v>
      </c>
      <c r="V848" s="12" t="s">
        <v>39</v>
      </c>
      <c r="W848" s="12" t="s">
        <v>5328</v>
      </c>
      <c r="X848" s="16" t="s">
        <v>5329</v>
      </c>
      <c r="Y848" s="15" t="s">
        <v>192</v>
      </c>
      <c r="Z848" s="14">
        <v>19.44</v>
      </c>
      <c r="AA848" s="14">
        <v>62.38</v>
      </c>
      <c r="AB848" s="12" t="s">
        <v>56</v>
      </c>
      <c r="AC848" s="12" t="s">
        <v>5330</v>
      </c>
      <c r="AD848" s="13">
        <v>45259</v>
      </c>
      <c r="AE848" s="12" t="s">
        <v>110</v>
      </c>
      <c r="AF848" s="12" t="s">
        <v>5331</v>
      </c>
      <c r="AG848" s="12" t="s">
        <v>81</v>
      </c>
      <c r="AH848" s="1">
        <f>HYPERLINK("https://my.pitchbook.com?c=246867-31T","View Company Online")</f>
      </c>
    </row>
    <row r="849">
      <c r="A849" s="3" t="s">
        <v>5332</v>
      </c>
      <c r="B849" s="3" t="s">
        <v>5333</v>
      </c>
      <c r="C849" s="5" t="s">
        <v>36</v>
      </c>
      <c r="D849" s="5" t="s">
        <v>36</v>
      </c>
      <c r="E849" s="5" t="s">
        <v>36</v>
      </c>
      <c r="F849" s="5" t="s">
        <v>36</v>
      </c>
      <c r="G849" s="6" t="s">
        <v>36</v>
      </c>
      <c r="H849" s="4" t="s">
        <v>36</v>
      </c>
      <c r="I849" s="7" t="s">
        <v>36</v>
      </c>
      <c r="J849" s="3" t="s">
        <v>36</v>
      </c>
      <c r="K849" s="9" t="s">
        <v>36</v>
      </c>
      <c r="L849" s="6" t="s">
        <v>36</v>
      </c>
      <c r="M849" s="3" t="s">
        <v>36</v>
      </c>
      <c r="N849" s="3" t="s">
        <v>36</v>
      </c>
      <c r="O849" s="8" t="s">
        <v>36</v>
      </c>
      <c r="P849" s="3" t="s">
        <v>36</v>
      </c>
      <c r="Q849" s="3" t="s">
        <v>36</v>
      </c>
      <c r="R849" s="3" t="s">
        <v>36</v>
      </c>
      <c r="S849" s="3" t="s">
        <v>36</v>
      </c>
      <c r="T849" s="3" t="s">
        <v>5334</v>
      </c>
      <c r="U849" s="3" t="s">
        <v>728</v>
      </c>
      <c r="V849" s="3" t="s">
        <v>64</v>
      </c>
      <c r="W849" s="3" t="s">
        <v>5335</v>
      </c>
      <c r="X849" s="10" t="s">
        <v>2869</v>
      </c>
      <c r="Y849" s="6" t="s">
        <v>108</v>
      </c>
      <c r="Z849" s="4">
        <v>5.39</v>
      </c>
      <c r="AA849" s="4" t="s">
        <v>36</v>
      </c>
      <c r="AB849" s="3" t="s">
        <v>56</v>
      </c>
      <c r="AC849" s="3" t="s">
        <v>5336</v>
      </c>
      <c r="AD849" s="9">
        <v>45258</v>
      </c>
      <c r="AE849" s="3" t="s">
        <v>1600</v>
      </c>
      <c r="AF849" s="3" t="s">
        <v>5337</v>
      </c>
      <c r="AG849" s="3" t="s">
        <v>1453</v>
      </c>
      <c r="AH849" s="11">
        <f>HYPERLINK("https://my.pitchbook.com?c=246440-89T","View Company Online")</f>
      </c>
    </row>
    <row r="850">
      <c r="A850" s="12" t="s">
        <v>5338</v>
      </c>
      <c r="B850" s="12" t="s">
        <v>5339</v>
      </c>
      <c r="C850" s="19">
        <v>12</v>
      </c>
      <c r="D850" s="19">
        <v>31</v>
      </c>
      <c r="E850" s="19">
        <v>16</v>
      </c>
      <c r="F850" s="19">
        <v>58</v>
      </c>
      <c r="G850" s="15" t="s">
        <v>36</v>
      </c>
      <c r="H850" s="14" t="s">
        <v>36</v>
      </c>
      <c r="I850" s="18" t="s">
        <v>36</v>
      </c>
      <c r="J850" s="12" t="s">
        <v>36</v>
      </c>
      <c r="K850" s="13">
        <v>45167</v>
      </c>
      <c r="L850" s="15" t="s">
        <v>94</v>
      </c>
      <c r="M850" s="12" t="s">
        <v>36</v>
      </c>
      <c r="N850" s="12" t="s">
        <v>94</v>
      </c>
      <c r="O850" s="17" t="s">
        <v>36</v>
      </c>
      <c r="P850" s="12" t="s">
        <v>36</v>
      </c>
      <c r="Q850" s="12" t="s">
        <v>36</v>
      </c>
      <c r="R850" s="12" t="s">
        <v>36</v>
      </c>
      <c r="S850" s="12" t="s">
        <v>36</v>
      </c>
      <c r="T850" s="12" t="s">
        <v>881</v>
      </c>
      <c r="U850" s="12" t="s">
        <v>51</v>
      </c>
      <c r="V850" s="12" t="s">
        <v>52</v>
      </c>
      <c r="W850" s="12" t="s">
        <v>5340</v>
      </c>
      <c r="X850" s="16" t="s">
        <v>5341</v>
      </c>
      <c r="Y850" s="15" t="s">
        <v>192</v>
      </c>
      <c r="Z850" s="14">
        <v>29.07</v>
      </c>
      <c r="AA850" s="14" t="s">
        <v>36</v>
      </c>
      <c r="AB850" s="12" t="s">
        <v>56</v>
      </c>
      <c r="AC850" s="12" t="s">
        <v>5342</v>
      </c>
      <c r="AD850" s="13">
        <v>45258</v>
      </c>
      <c r="AE850" s="12" t="s">
        <v>504</v>
      </c>
      <c r="AF850" s="12" t="s">
        <v>5343</v>
      </c>
      <c r="AG850" s="12" t="s">
        <v>539</v>
      </c>
      <c r="AH850" s="1">
        <f>HYPERLINK("https://my.pitchbook.com?c=233252-47T","View Company Online")</f>
      </c>
    </row>
    <row r="851">
      <c r="A851" s="3" t="s">
        <v>5344</v>
      </c>
      <c r="B851" s="3" t="s">
        <v>5345</v>
      </c>
      <c r="C851" s="5">
        <v>1</v>
      </c>
      <c r="D851" s="5">
        <v>7</v>
      </c>
      <c r="E851" s="5">
        <v>5</v>
      </c>
      <c r="F851" s="5">
        <v>10</v>
      </c>
      <c r="G851" s="6" t="s">
        <v>36</v>
      </c>
      <c r="H851" s="4" t="s">
        <v>36</v>
      </c>
      <c r="I851" s="7" t="s">
        <v>36</v>
      </c>
      <c r="J851" s="3" t="s">
        <v>36</v>
      </c>
      <c r="K851" s="9" t="s">
        <v>36</v>
      </c>
      <c r="L851" s="6" t="s">
        <v>36</v>
      </c>
      <c r="M851" s="3" t="s">
        <v>36</v>
      </c>
      <c r="N851" s="3" t="s">
        <v>36</v>
      </c>
      <c r="O851" s="8" t="s">
        <v>36</v>
      </c>
      <c r="P851" s="3" t="s">
        <v>36</v>
      </c>
      <c r="Q851" s="3" t="s">
        <v>36</v>
      </c>
      <c r="R851" s="3" t="s">
        <v>36</v>
      </c>
      <c r="S851" s="3" t="s">
        <v>36</v>
      </c>
      <c r="T851" s="3" t="s">
        <v>5346</v>
      </c>
      <c r="U851" s="3" t="s">
        <v>38</v>
      </c>
      <c r="V851" s="3" t="s">
        <v>39</v>
      </c>
      <c r="W851" s="3" t="s">
        <v>5347</v>
      </c>
      <c r="X851" s="10" t="s">
        <v>5348</v>
      </c>
      <c r="Y851" s="6" t="s">
        <v>108</v>
      </c>
      <c r="Z851" s="4">
        <v>89.5</v>
      </c>
      <c r="AA851" s="4" t="s">
        <v>36</v>
      </c>
      <c r="AB851" s="3" t="s">
        <v>56</v>
      </c>
      <c r="AC851" s="3" t="s">
        <v>5349</v>
      </c>
      <c r="AD851" s="9">
        <v>45258</v>
      </c>
      <c r="AE851" s="3" t="s">
        <v>110</v>
      </c>
      <c r="AF851" s="3" t="s">
        <v>5350</v>
      </c>
      <c r="AG851" s="3" t="s">
        <v>2574</v>
      </c>
      <c r="AH851" s="11">
        <f>HYPERLINK("https://my.pitchbook.com?c=246522-07T","View Company Online")</f>
      </c>
    </row>
    <row r="852">
      <c r="A852" s="12" t="s">
        <v>5351</v>
      </c>
      <c r="B852" s="12" t="s">
        <v>5352</v>
      </c>
      <c r="C852" s="19">
        <v>1</v>
      </c>
      <c r="D852" s="19">
        <v>2</v>
      </c>
      <c r="E852" s="19">
        <v>2</v>
      </c>
      <c r="F852" s="19">
        <v>3</v>
      </c>
      <c r="G852" s="15" t="s">
        <v>36</v>
      </c>
      <c r="H852" s="14" t="s">
        <v>36</v>
      </c>
      <c r="I852" s="18">
        <v>32.04</v>
      </c>
      <c r="J852" s="12" t="s">
        <v>327</v>
      </c>
      <c r="K852" s="13" t="s">
        <v>36</v>
      </c>
      <c r="L852" s="15" t="s">
        <v>36</v>
      </c>
      <c r="M852" s="12" t="s">
        <v>36</v>
      </c>
      <c r="N852" s="12" t="s">
        <v>36</v>
      </c>
      <c r="O852" s="17" t="s">
        <v>36</v>
      </c>
      <c r="P852" s="12" t="s">
        <v>36</v>
      </c>
      <c r="Q852" s="12" t="s">
        <v>36</v>
      </c>
      <c r="R852" s="12" t="s">
        <v>36</v>
      </c>
      <c r="S852" s="12" t="s">
        <v>5353</v>
      </c>
      <c r="T852" s="12" t="s">
        <v>5354</v>
      </c>
      <c r="U852" s="12" t="s">
        <v>833</v>
      </c>
      <c r="V852" s="12" t="s">
        <v>64</v>
      </c>
      <c r="W852" s="12" t="s">
        <v>5355</v>
      </c>
      <c r="X852" s="16" t="s">
        <v>5356</v>
      </c>
      <c r="Y852" s="15" t="s">
        <v>108</v>
      </c>
      <c r="Z852" s="14">
        <v>5.39</v>
      </c>
      <c r="AA852" s="14">
        <v>16.83</v>
      </c>
      <c r="AB852" s="12" t="s">
        <v>43</v>
      </c>
      <c r="AC852" s="12" t="s">
        <v>5357</v>
      </c>
      <c r="AD852" s="13">
        <v>45258</v>
      </c>
      <c r="AE852" s="12" t="s">
        <v>1769</v>
      </c>
      <c r="AF852" s="12" t="s">
        <v>2703</v>
      </c>
      <c r="AG852" s="12" t="s">
        <v>81</v>
      </c>
      <c r="AH852" s="1">
        <f>HYPERLINK("https://my.pitchbook.com?c=246414-43T","View Company Online")</f>
      </c>
    </row>
    <row r="853">
      <c r="A853" s="3" t="s">
        <v>5358</v>
      </c>
      <c r="B853" s="3" t="s">
        <v>5359</v>
      </c>
      <c r="C853" s="5" t="s">
        <v>36</v>
      </c>
      <c r="D853" s="5" t="s">
        <v>36</v>
      </c>
      <c r="E853" s="5" t="s">
        <v>36</v>
      </c>
      <c r="F853" s="5" t="s">
        <v>36</v>
      </c>
      <c r="G853" s="6" t="s">
        <v>36</v>
      </c>
      <c r="H853" s="4" t="s">
        <v>36</v>
      </c>
      <c r="I853" s="7" t="s">
        <v>36</v>
      </c>
      <c r="J853" s="3" t="s">
        <v>36</v>
      </c>
      <c r="K853" s="9" t="s">
        <v>36</v>
      </c>
      <c r="L853" s="6" t="s">
        <v>36</v>
      </c>
      <c r="M853" s="3" t="s">
        <v>36</v>
      </c>
      <c r="N853" s="3" t="s">
        <v>36</v>
      </c>
      <c r="O853" s="8" t="s">
        <v>36</v>
      </c>
      <c r="P853" s="3" t="s">
        <v>36</v>
      </c>
      <c r="Q853" s="3" t="s">
        <v>36</v>
      </c>
      <c r="R853" s="3" t="s">
        <v>36</v>
      </c>
      <c r="S853" s="3" t="s">
        <v>36</v>
      </c>
      <c r="T853" s="3" t="s">
        <v>123</v>
      </c>
      <c r="U853" s="3" t="s">
        <v>38</v>
      </c>
      <c r="V853" s="3" t="s">
        <v>39</v>
      </c>
      <c r="W853" s="3" t="s">
        <v>5360</v>
      </c>
      <c r="X853" s="10" t="s">
        <v>5361</v>
      </c>
      <c r="Y853" s="6" t="s">
        <v>108</v>
      </c>
      <c r="Z853" s="4">
        <v>0.92</v>
      </c>
      <c r="AA853" s="4" t="s">
        <v>36</v>
      </c>
      <c r="AB853" s="3" t="s">
        <v>43</v>
      </c>
      <c r="AC853" s="3" t="s">
        <v>5362</v>
      </c>
      <c r="AD853" s="9">
        <v>45258</v>
      </c>
      <c r="AE853" s="3" t="s">
        <v>110</v>
      </c>
      <c r="AF853" s="3" t="s">
        <v>176</v>
      </c>
      <c r="AG853" s="3" t="s">
        <v>899</v>
      </c>
      <c r="AH853" s="11">
        <f>HYPERLINK("https://my.pitchbook.com?c=246613-96T","View Company Online")</f>
      </c>
    </row>
    <row r="854">
      <c r="A854" s="12" t="s">
        <v>5363</v>
      </c>
      <c r="B854" s="12" t="s">
        <v>5364</v>
      </c>
      <c r="C854" s="19">
        <v>20</v>
      </c>
      <c r="D854" s="19">
        <v>106</v>
      </c>
      <c r="E854" s="19">
        <v>18</v>
      </c>
      <c r="F854" s="19">
        <v>132</v>
      </c>
      <c r="G854" s="15" t="s">
        <v>36</v>
      </c>
      <c r="H854" s="14" t="s">
        <v>36</v>
      </c>
      <c r="I854" s="18" t="s">
        <v>36</v>
      </c>
      <c r="J854" s="12" t="s">
        <v>36</v>
      </c>
      <c r="K854" s="13" t="s">
        <v>36</v>
      </c>
      <c r="L854" s="15" t="s">
        <v>36</v>
      </c>
      <c r="M854" s="12" t="s">
        <v>36</v>
      </c>
      <c r="N854" s="12" t="s">
        <v>36</v>
      </c>
      <c r="O854" s="17" t="s">
        <v>36</v>
      </c>
      <c r="P854" s="12" t="s">
        <v>36</v>
      </c>
      <c r="Q854" s="12" t="s">
        <v>36</v>
      </c>
      <c r="R854" s="12" t="s">
        <v>36</v>
      </c>
      <c r="S854" s="12" t="s">
        <v>36</v>
      </c>
      <c r="T854" s="12" t="s">
        <v>4225</v>
      </c>
      <c r="U854" s="12" t="s">
        <v>96</v>
      </c>
      <c r="V854" s="12" t="s">
        <v>52</v>
      </c>
      <c r="W854" s="12" t="s">
        <v>5365</v>
      </c>
      <c r="X854" s="16" t="s">
        <v>2442</v>
      </c>
      <c r="Y854" s="15" t="s">
        <v>166</v>
      </c>
      <c r="Z854" s="14">
        <v>4.31</v>
      </c>
      <c r="AA854" s="14" t="s">
        <v>36</v>
      </c>
      <c r="AB854" s="12" t="s">
        <v>56</v>
      </c>
      <c r="AC854" s="12" t="s">
        <v>5366</v>
      </c>
      <c r="AD854" s="13">
        <v>45258</v>
      </c>
      <c r="AE854" s="12" t="s">
        <v>143</v>
      </c>
      <c r="AF854" s="12" t="s">
        <v>159</v>
      </c>
      <c r="AG854" s="12" t="s">
        <v>3406</v>
      </c>
      <c r="AH854" s="1">
        <f>HYPERLINK("https://my.pitchbook.com?c=250398-82T","View Company Online")</f>
      </c>
    </row>
    <row r="855">
      <c r="A855" s="3" t="s">
        <v>5367</v>
      </c>
      <c r="B855" s="3" t="s">
        <v>5368</v>
      </c>
      <c r="C855" s="5" t="s">
        <v>36</v>
      </c>
      <c r="D855" s="5" t="s">
        <v>36</v>
      </c>
      <c r="E855" s="5" t="s">
        <v>36</v>
      </c>
      <c r="F855" s="5" t="s">
        <v>36</v>
      </c>
      <c r="G855" s="6" t="s">
        <v>326</v>
      </c>
      <c r="H855" s="4" t="s">
        <v>36</v>
      </c>
      <c r="I855" s="7">
        <v>27.89</v>
      </c>
      <c r="J855" s="3" t="s">
        <v>327</v>
      </c>
      <c r="K855" s="9" t="s">
        <v>36</v>
      </c>
      <c r="L855" s="6" t="s">
        <v>122</v>
      </c>
      <c r="M855" s="3" t="s">
        <v>36</v>
      </c>
      <c r="N855" s="3" t="s">
        <v>122</v>
      </c>
      <c r="O855" s="8" t="s">
        <v>36</v>
      </c>
      <c r="P855" s="3" t="s">
        <v>36</v>
      </c>
      <c r="Q855" s="3" t="s">
        <v>36</v>
      </c>
      <c r="R855" s="3" t="s">
        <v>36</v>
      </c>
      <c r="S855" s="3" t="s">
        <v>36</v>
      </c>
      <c r="T855" s="3" t="s">
        <v>5369</v>
      </c>
      <c r="U855" s="3" t="s">
        <v>38</v>
      </c>
      <c r="V855" s="3" t="s">
        <v>39</v>
      </c>
      <c r="W855" s="3" t="s">
        <v>5370</v>
      </c>
      <c r="X855" s="10" t="s">
        <v>5371</v>
      </c>
      <c r="Y855" s="6" t="s">
        <v>108</v>
      </c>
      <c r="Z855" s="4">
        <v>7.55</v>
      </c>
      <c r="AA855" s="4">
        <v>27.06</v>
      </c>
      <c r="AB855" s="3" t="s">
        <v>56</v>
      </c>
      <c r="AC855" s="3" t="s">
        <v>5372</v>
      </c>
      <c r="AD855" s="9">
        <v>45258</v>
      </c>
      <c r="AE855" s="3" t="s">
        <v>45</v>
      </c>
      <c r="AF855" s="3" t="s">
        <v>331</v>
      </c>
      <c r="AG855" s="3" t="s">
        <v>81</v>
      </c>
      <c r="AH855" s="11">
        <f>HYPERLINK("https://my.pitchbook.com?c=246417-49T","View Company Online")</f>
      </c>
    </row>
    <row r="856">
      <c r="A856" s="12" t="s">
        <v>5373</v>
      </c>
      <c r="B856" s="12" t="s">
        <v>824</v>
      </c>
      <c r="C856" s="19" t="s">
        <v>36</v>
      </c>
      <c r="D856" s="19" t="s">
        <v>36</v>
      </c>
      <c r="E856" s="19" t="s">
        <v>36</v>
      </c>
      <c r="F856" s="19" t="s">
        <v>36</v>
      </c>
      <c r="G856" s="15" t="s">
        <v>36</v>
      </c>
      <c r="H856" s="14" t="s">
        <v>36</v>
      </c>
      <c r="I856" s="18" t="s">
        <v>36</v>
      </c>
      <c r="J856" s="12" t="s">
        <v>36</v>
      </c>
      <c r="K856" s="13">
        <v>44771</v>
      </c>
      <c r="L856" s="15" t="s">
        <v>1862</v>
      </c>
      <c r="M856" s="12" t="s">
        <v>36</v>
      </c>
      <c r="N856" s="12" t="s">
        <v>1862</v>
      </c>
      <c r="O856" s="17" t="s">
        <v>36</v>
      </c>
      <c r="P856" s="12" t="s">
        <v>36</v>
      </c>
      <c r="Q856" s="12" t="s">
        <v>36</v>
      </c>
      <c r="R856" s="12" t="s">
        <v>36</v>
      </c>
      <c r="S856" s="12" t="s">
        <v>825</v>
      </c>
      <c r="T856" s="12" t="s">
        <v>507</v>
      </c>
      <c r="U856" s="12" t="s">
        <v>51</v>
      </c>
      <c r="V856" s="12" t="s">
        <v>52</v>
      </c>
      <c r="W856" s="12" t="s">
        <v>826</v>
      </c>
      <c r="X856" s="16" t="s">
        <v>5374</v>
      </c>
      <c r="Y856" s="15" t="s">
        <v>166</v>
      </c>
      <c r="Z856" s="14">
        <v>32.31</v>
      </c>
      <c r="AA856" s="14" t="s">
        <v>36</v>
      </c>
      <c r="AB856" s="12" t="s">
        <v>43</v>
      </c>
      <c r="AC856" s="12" t="s">
        <v>828</v>
      </c>
      <c r="AD856" s="13">
        <v>45257</v>
      </c>
      <c r="AE856" s="12" t="s">
        <v>504</v>
      </c>
      <c r="AF856" s="12" t="s">
        <v>829</v>
      </c>
      <c r="AG856" s="12" t="s">
        <v>81</v>
      </c>
      <c r="AH856" s="1">
        <f>HYPERLINK("https://my.pitchbook.com?c=206456-23T","View Company Online")</f>
      </c>
    </row>
    <row r="857">
      <c r="A857" s="3" t="s">
        <v>5375</v>
      </c>
      <c r="B857" s="3" t="s">
        <v>5376</v>
      </c>
      <c r="C857" s="5" t="s">
        <v>36</v>
      </c>
      <c r="D857" s="5" t="s">
        <v>36</v>
      </c>
      <c r="E857" s="5" t="s">
        <v>36</v>
      </c>
      <c r="F857" s="5" t="s">
        <v>36</v>
      </c>
      <c r="G857" s="6" t="s">
        <v>36</v>
      </c>
      <c r="H857" s="4">
        <v>182.79</v>
      </c>
      <c r="I857" s="7">
        <v>32.64</v>
      </c>
      <c r="J857" s="3" t="s">
        <v>521</v>
      </c>
      <c r="K857" s="9" t="s">
        <v>36</v>
      </c>
      <c r="L857" s="6" t="s">
        <v>36</v>
      </c>
      <c r="M857" s="3" t="s">
        <v>36</v>
      </c>
      <c r="N857" s="3" t="s">
        <v>36</v>
      </c>
      <c r="O857" s="8" t="s">
        <v>36</v>
      </c>
      <c r="P857" s="3" t="s">
        <v>36</v>
      </c>
      <c r="Q857" s="3" t="s">
        <v>36</v>
      </c>
      <c r="R857" s="3" t="s">
        <v>36</v>
      </c>
      <c r="S857" s="3" t="s">
        <v>36</v>
      </c>
      <c r="T857" s="3" t="s">
        <v>5377</v>
      </c>
      <c r="U857" s="3" t="s">
        <v>38</v>
      </c>
      <c r="V857" s="3" t="s">
        <v>39</v>
      </c>
      <c r="W857" s="3" t="s">
        <v>5378</v>
      </c>
      <c r="X857" s="10" t="s">
        <v>5379</v>
      </c>
      <c r="Y857" s="6" t="s">
        <v>108</v>
      </c>
      <c r="Z857" s="4">
        <v>1.4</v>
      </c>
      <c r="AA857" s="4">
        <v>3.23</v>
      </c>
      <c r="AB857" s="3" t="s">
        <v>43</v>
      </c>
      <c r="AC857" s="3" t="s">
        <v>5380</v>
      </c>
      <c r="AD857" s="9">
        <v>45257</v>
      </c>
      <c r="AE857" s="3" t="s">
        <v>1200</v>
      </c>
      <c r="AF857" s="3" t="s">
        <v>3860</v>
      </c>
      <c r="AG857" s="3" t="s">
        <v>81</v>
      </c>
      <c r="AH857" s="11">
        <f>HYPERLINK("https://my.pitchbook.com?c=255317-59T","View Company Online")</f>
      </c>
    </row>
    <row r="858">
      <c r="A858" s="12" t="s">
        <v>5381</v>
      </c>
      <c r="B858" s="12" t="s">
        <v>5382</v>
      </c>
      <c r="C858" s="19" t="s">
        <v>36</v>
      </c>
      <c r="D858" s="19" t="s">
        <v>36</v>
      </c>
      <c r="E858" s="19" t="s">
        <v>36</v>
      </c>
      <c r="F858" s="19" t="s">
        <v>36</v>
      </c>
      <c r="G858" s="15" t="s">
        <v>36</v>
      </c>
      <c r="H858" s="14" t="s">
        <v>36</v>
      </c>
      <c r="I858" s="18" t="s">
        <v>36</v>
      </c>
      <c r="J858" s="12" t="s">
        <v>36</v>
      </c>
      <c r="K858" s="13" t="s">
        <v>36</v>
      </c>
      <c r="L858" s="15" t="s">
        <v>36</v>
      </c>
      <c r="M858" s="12" t="s">
        <v>36</v>
      </c>
      <c r="N858" s="12" t="s">
        <v>36</v>
      </c>
      <c r="O858" s="17" t="s">
        <v>36</v>
      </c>
      <c r="P858" s="12" t="s">
        <v>36</v>
      </c>
      <c r="Q858" s="12" t="s">
        <v>36</v>
      </c>
      <c r="R858" s="12" t="s">
        <v>36</v>
      </c>
      <c r="S858" s="12" t="s">
        <v>3479</v>
      </c>
      <c r="T858" s="12" t="s">
        <v>1253</v>
      </c>
      <c r="U858" s="12" t="s">
        <v>38</v>
      </c>
      <c r="V858" s="12" t="s">
        <v>39</v>
      </c>
      <c r="W858" s="12" t="s">
        <v>5383</v>
      </c>
      <c r="X858" s="16" t="s">
        <v>5384</v>
      </c>
      <c r="Y858" s="15" t="s">
        <v>108</v>
      </c>
      <c r="Z858" s="14">
        <v>1.93</v>
      </c>
      <c r="AA858" s="14" t="s">
        <v>36</v>
      </c>
      <c r="AB858" s="12" t="s">
        <v>43</v>
      </c>
      <c r="AC858" s="12" t="s">
        <v>5385</v>
      </c>
      <c r="AD858" s="13">
        <v>45255</v>
      </c>
      <c r="AE858" s="12" t="s">
        <v>45</v>
      </c>
      <c r="AF858" s="12" t="s">
        <v>799</v>
      </c>
      <c r="AG858" s="12" t="s">
        <v>373</v>
      </c>
      <c r="AH858" s="1">
        <f>HYPERLINK("https://my.pitchbook.com?c=246334-51T","View Company Online")</f>
      </c>
    </row>
    <row r="859">
      <c r="A859" s="3" t="s">
        <v>5386</v>
      </c>
      <c r="B859" s="3" t="s">
        <v>5387</v>
      </c>
      <c r="C859" s="5" t="s">
        <v>36</v>
      </c>
      <c r="D859" s="5" t="s">
        <v>36</v>
      </c>
      <c r="E859" s="5" t="s">
        <v>36</v>
      </c>
      <c r="F859" s="5" t="s">
        <v>36</v>
      </c>
      <c r="G859" s="6" t="s">
        <v>326</v>
      </c>
      <c r="H859" s="4">
        <v>519.28</v>
      </c>
      <c r="I859" s="7">
        <v>21.36</v>
      </c>
      <c r="J859" s="3" t="s">
        <v>521</v>
      </c>
      <c r="K859" s="9" t="s">
        <v>36</v>
      </c>
      <c r="L859" s="6" t="s">
        <v>36</v>
      </c>
      <c r="M859" s="3" t="s">
        <v>36</v>
      </c>
      <c r="N859" s="3" t="s">
        <v>36</v>
      </c>
      <c r="O859" s="8" t="s">
        <v>36</v>
      </c>
      <c r="P859" s="3" t="s">
        <v>36</v>
      </c>
      <c r="Q859" s="3" t="s">
        <v>36</v>
      </c>
      <c r="R859" s="3" t="s">
        <v>36</v>
      </c>
      <c r="S859" s="3" t="s">
        <v>36</v>
      </c>
      <c r="T859" s="3" t="s">
        <v>5388</v>
      </c>
      <c r="U859" s="3" t="s">
        <v>1357</v>
      </c>
      <c r="V859" s="3" t="s">
        <v>52</v>
      </c>
      <c r="W859" s="3" t="s">
        <v>5389</v>
      </c>
      <c r="X859" s="10" t="s">
        <v>5390</v>
      </c>
      <c r="Y859" s="6" t="s">
        <v>42</v>
      </c>
      <c r="Z859" s="4">
        <v>1.29</v>
      </c>
      <c r="AA859" s="4">
        <v>6.03</v>
      </c>
      <c r="AB859" s="3" t="s">
        <v>43</v>
      </c>
      <c r="AC859" s="3" t="s">
        <v>5391</v>
      </c>
      <c r="AD859" s="9">
        <v>45254</v>
      </c>
      <c r="AE859" s="3" t="s">
        <v>2377</v>
      </c>
      <c r="AF859" s="3" t="s">
        <v>1977</v>
      </c>
      <c r="AG859" s="3" t="s">
        <v>81</v>
      </c>
      <c r="AH859" s="11">
        <f>HYPERLINK("https://my.pitchbook.com?c=251174-08T","View Company Online")</f>
      </c>
    </row>
    <row r="860">
      <c r="A860" s="12" t="s">
        <v>5392</v>
      </c>
      <c r="B860" s="12" t="s">
        <v>5393</v>
      </c>
      <c r="C860" s="19" t="s">
        <v>36</v>
      </c>
      <c r="D860" s="19" t="s">
        <v>36</v>
      </c>
      <c r="E860" s="19" t="s">
        <v>36</v>
      </c>
      <c r="F860" s="19" t="s">
        <v>36</v>
      </c>
      <c r="G860" s="15" t="s">
        <v>326</v>
      </c>
      <c r="H860" s="14" t="s">
        <v>36</v>
      </c>
      <c r="I860" s="18">
        <v>26.81</v>
      </c>
      <c r="J860" s="12" t="s">
        <v>327</v>
      </c>
      <c r="K860" s="13">
        <v>44588</v>
      </c>
      <c r="L860" s="15" t="s">
        <v>36</v>
      </c>
      <c r="M860" s="12" t="s">
        <v>36</v>
      </c>
      <c r="N860" s="12" t="s">
        <v>36</v>
      </c>
      <c r="O860" s="17" t="s">
        <v>36</v>
      </c>
      <c r="P860" s="12" t="s">
        <v>36</v>
      </c>
      <c r="Q860" s="12" t="s">
        <v>36</v>
      </c>
      <c r="R860" s="12" t="s">
        <v>36</v>
      </c>
      <c r="S860" s="12" t="s">
        <v>36</v>
      </c>
      <c r="T860" s="12" t="s">
        <v>5394</v>
      </c>
      <c r="U860" s="12" t="s">
        <v>85</v>
      </c>
      <c r="V860" s="12" t="s">
        <v>64</v>
      </c>
      <c r="W860" s="12" t="s">
        <v>5395</v>
      </c>
      <c r="X860" s="16" t="s">
        <v>5396</v>
      </c>
      <c r="Y860" s="15" t="s">
        <v>166</v>
      </c>
      <c r="Z860" s="14">
        <v>18.89</v>
      </c>
      <c r="AA860" s="14">
        <v>70.48</v>
      </c>
      <c r="AB860" s="12" t="s">
        <v>56</v>
      </c>
      <c r="AC860" s="12" t="s">
        <v>5397</v>
      </c>
      <c r="AD860" s="13">
        <v>45254</v>
      </c>
      <c r="AE860" s="12" t="s">
        <v>89</v>
      </c>
      <c r="AF860" s="12" t="s">
        <v>5398</v>
      </c>
      <c r="AG860" s="12" t="s">
        <v>81</v>
      </c>
      <c r="AH860" s="1">
        <f>HYPERLINK("https://my.pitchbook.com?c=246348-19T","View Company Online")</f>
      </c>
    </row>
    <row r="861">
      <c r="A861" s="3" t="s">
        <v>5399</v>
      </c>
      <c r="B861" s="3" t="s">
        <v>5400</v>
      </c>
      <c r="C861" s="5" t="s">
        <v>36</v>
      </c>
      <c r="D861" s="5" t="s">
        <v>36</v>
      </c>
      <c r="E861" s="5" t="s">
        <v>36</v>
      </c>
      <c r="F861" s="5" t="s">
        <v>36</v>
      </c>
      <c r="G861" s="6" t="s">
        <v>36</v>
      </c>
      <c r="H861" s="4" t="s">
        <v>36</v>
      </c>
      <c r="I861" s="7" t="s">
        <v>36</v>
      </c>
      <c r="J861" s="3" t="s">
        <v>36</v>
      </c>
      <c r="K861" s="9" t="s">
        <v>36</v>
      </c>
      <c r="L861" s="6" t="s">
        <v>122</v>
      </c>
      <c r="M861" s="3" t="s">
        <v>36</v>
      </c>
      <c r="N861" s="3" t="s">
        <v>122</v>
      </c>
      <c r="O861" s="8" t="s">
        <v>36</v>
      </c>
      <c r="P861" s="3" t="s">
        <v>36</v>
      </c>
      <c r="Q861" s="3" t="s">
        <v>36</v>
      </c>
      <c r="R861" s="3" t="s">
        <v>36</v>
      </c>
      <c r="S861" s="3" t="s">
        <v>36</v>
      </c>
      <c r="T861" s="3" t="s">
        <v>5401</v>
      </c>
      <c r="U861" s="3" t="s">
        <v>38</v>
      </c>
      <c r="V861" s="3" t="s">
        <v>39</v>
      </c>
      <c r="W861" s="3" t="s">
        <v>5402</v>
      </c>
      <c r="X861" s="10" t="s">
        <v>5403</v>
      </c>
      <c r="Y861" s="6" t="s">
        <v>108</v>
      </c>
      <c r="Z861" s="4">
        <v>10.72</v>
      </c>
      <c r="AA861" s="4" t="s">
        <v>36</v>
      </c>
      <c r="AB861" s="3" t="s">
        <v>43</v>
      </c>
      <c r="AC861" s="3" t="s">
        <v>5404</v>
      </c>
      <c r="AD861" s="9">
        <v>45253</v>
      </c>
      <c r="AE861" s="3" t="s">
        <v>110</v>
      </c>
      <c r="AF861" s="3" t="s">
        <v>176</v>
      </c>
      <c r="AG861" s="3" t="s">
        <v>186</v>
      </c>
      <c r="AH861" s="11">
        <f>HYPERLINK("https://my.pitchbook.com?c=246103-93T","View Company Online")</f>
      </c>
    </row>
    <row r="862">
      <c r="A862" s="12" t="s">
        <v>5405</v>
      </c>
      <c r="B862" s="12" t="s">
        <v>5406</v>
      </c>
      <c r="C862" s="19" t="s">
        <v>36</v>
      </c>
      <c r="D862" s="19" t="s">
        <v>36</v>
      </c>
      <c r="E862" s="19" t="s">
        <v>36</v>
      </c>
      <c r="F862" s="19" t="s">
        <v>36</v>
      </c>
      <c r="G862" s="15" t="s">
        <v>36</v>
      </c>
      <c r="H862" s="14" t="s">
        <v>36</v>
      </c>
      <c r="I862" s="18" t="s">
        <v>36</v>
      </c>
      <c r="J862" s="12" t="s">
        <v>36</v>
      </c>
      <c r="K862" s="13" t="s">
        <v>36</v>
      </c>
      <c r="L862" s="15" t="s">
        <v>36</v>
      </c>
      <c r="M862" s="12" t="s">
        <v>36</v>
      </c>
      <c r="N862" s="12" t="s">
        <v>36</v>
      </c>
      <c r="O862" s="17" t="s">
        <v>36</v>
      </c>
      <c r="P862" s="12" t="s">
        <v>36</v>
      </c>
      <c r="Q862" s="12" t="s">
        <v>36</v>
      </c>
      <c r="R862" s="12" t="s">
        <v>36</v>
      </c>
      <c r="S862" s="12" t="s">
        <v>36</v>
      </c>
      <c r="T862" s="12" t="s">
        <v>2992</v>
      </c>
      <c r="U862" s="12" t="s">
        <v>96</v>
      </c>
      <c r="V862" s="12" t="s">
        <v>52</v>
      </c>
      <c r="W862" s="12" t="s">
        <v>5407</v>
      </c>
      <c r="X862" s="16" t="s">
        <v>5408</v>
      </c>
      <c r="Y862" s="15" t="s">
        <v>42</v>
      </c>
      <c r="Z862" s="14">
        <v>2.36</v>
      </c>
      <c r="AA862" s="14" t="s">
        <v>36</v>
      </c>
      <c r="AB862" s="12" t="s">
        <v>43</v>
      </c>
      <c r="AC862" s="12" t="s">
        <v>5409</v>
      </c>
      <c r="AD862" s="13">
        <v>45252</v>
      </c>
      <c r="AE862" s="12" t="s">
        <v>100</v>
      </c>
      <c r="AF862" s="12" t="s">
        <v>3024</v>
      </c>
      <c r="AG862" s="12" t="s">
        <v>382</v>
      </c>
      <c r="AH862" s="1">
        <f>HYPERLINK("https://my.pitchbook.com?c=227845-00T","View Company Online")</f>
      </c>
    </row>
    <row r="863">
      <c r="A863" s="3" t="s">
        <v>5410</v>
      </c>
      <c r="B863" s="3" t="s">
        <v>5411</v>
      </c>
      <c r="C863" s="5" t="s">
        <v>36</v>
      </c>
      <c r="D863" s="5">
        <v>2</v>
      </c>
      <c r="E863" s="5">
        <v>1</v>
      </c>
      <c r="F863" s="5">
        <v>2</v>
      </c>
      <c r="G863" s="6" t="s">
        <v>36</v>
      </c>
      <c r="H863" s="4">
        <v>145.4</v>
      </c>
      <c r="I863" s="7">
        <v>35.4</v>
      </c>
      <c r="J863" s="3" t="s">
        <v>327</v>
      </c>
      <c r="K863" s="9" t="s">
        <v>36</v>
      </c>
      <c r="L863" s="6" t="s">
        <v>36</v>
      </c>
      <c r="M863" s="3" t="s">
        <v>36</v>
      </c>
      <c r="N863" s="3" t="s">
        <v>36</v>
      </c>
      <c r="O863" s="8" t="s">
        <v>36</v>
      </c>
      <c r="P863" s="3" t="s">
        <v>36</v>
      </c>
      <c r="Q863" s="3" t="s">
        <v>36</v>
      </c>
      <c r="R863" s="3" t="s">
        <v>36</v>
      </c>
      <c r="S863" s="3" t="s">
        <v>36</v>
      </c>
      <c r="T863" s="3" t="s">
        <v>5412</v>
      </c>
      <c r="U863" s="3" t="s">
        <v>63</v>
      </c>
      <c r="V863" s="3" t="s">
        <v>64</v>
      </c>
      <c r="W863" s="3" t="s">
        <v>5413</v>
      </c>
      <c r="X863" s="10" t="s">
        <v>5414</v>
      </c>
      <c r="Y863" s="6" t="s">
        <v>42</v>
      </c>
      <c r="Z863" s="4">
        <v>1.61</v>
      </c>
      <c r="AA863" s="4">
        <v>2.31</v>
      </c>
      <c r="AB863" s="3" t="s">
        <v>43</v>
      </c>
      <c r="AC863" s="3" t="s">
        <v>5415</v>
      </c>
      <c r="AD863" s="9">
        <v>45252</v>
      </c>
      <c r="AE863" s="3" t="s">
        <v>68</v>
      </c>
      <c r="AF863" s="3" t="s">
        <v>5416</v>
      </c>
      <c r="AG863" s="3" t="s">
        <v>47</v>
      </c>
      <c r="AH863" s="11">
        <f>HYPERLINK("https://my.pitchbook.com?c=245985-49T","View Company Online")</f>
      </c>
    </row>
    <row r="864">
      <c r="A864" s="12" t="s">
        <v>5417</v>
      </c>
      <c r="B864" s="12" t="s">
        <v>5418</v>
      </c>
      <c r="C864" s="19" t="s">
        <v>36</v>
      </c>
      <c r="D864" s="19" t="s">
        <v>36</v>
      </c>
      <c r="E864" s="19" t="s">
        <v>36</v>
      </c>
      <c r="F864" s="19" t="s">
        <v>36</v>
      </c>
      <c r="G864" s="15" t="s">
        <v>36</v>
      </c>
      <c r="H864" s="14">
        <v>937.45</v>
      </c>
      <c r="I864" s="18">
        <v>16.45</v>
      </c>
      <c r="J864" s="12" t="s">
        <v>521</v>
      </c>
      <c r="K864" s="13" t="s">
        <v>36</v>
      </c>
      <c r="L864" s="15" t="s">
        <v>36</v>
      </c>
      <c r="M864" s="12" t="s">
        <v>36</v>
      </c>
      <c r="N864" s="12" t="s">
        <v>36</v>
      </c>
      <c r="O864" s="17" t="s">
        <v>36</v>
      </c>
      <c r="P864" s="12" t="s">
        <v>36</v>
      </c>
      <c r="Q864" s="12" t="s">
        <v>36</v>
      </c>
      <c r="R864" s="12" t="s">
        <v>36</v>
      </c>
      <c r="S864" s="12" t="s">
        <v>36</v>
      </c>
      <c r="T864" s="12" t="s">
        <v>1935</v>
      </c>
      <c r="U864" s="12" t="s">
        <v>38</v>
      </c>
      <c r="V864" s="12" t="s">
        <v>39</v>
      </c>
      <c r="W864" s="12" t="s">
        <v>5419</v>
      </c>
      <c r="X864" s="16" t="s">
        <v>5420</v>
      </c>
      <c r="Y864" s="15" t="s">
        <v>42</v>
      </c>
      <c r="Z864" s="14">
        <v>1.07</v>
      </c>
      <c r="AA864" s="14">
        <v>3.68</v>
      </c>
      <c r="AB864" s="12" t="s">
        <v>43</v>
      </c>
      <c r="AC864" s="12" t="s">
        <v>5421</v>
      </c>
      <c r="AD864" s="13">
        <v>45252</v>
      </c>
      <c r="AE864" s="12" t="s">
        <v>45</v>
      </c>
      <c r="AF864" s="12" t="s">
        <v>331</v>
      </c>
      <c r="AG864" s="12" t="s">
        <v>5422</v>
      </c>
      <c r="AH864" s="1">
        <f>HYPERLINK("https://my.pitchbook.com?c=246072-16T","View Company Online")</f>
      </c>
    </row>
    <row r="865">
      <c r="A865" s="3" t="s">
        <v>5423</v>
      </c>
      <c r="B865" s="3" t="s">
        <v>5424</v>
      </c>
      <c r="C865" s="5" t="s">
        <v>36</v>
      </c>
      <c r="D865" s="5" t="s">
        <v>36</v>
      </c>
      <c r="E865" s="5" t="s">
        <v>36</v>
      </c>
      <c r="F865" s="5" t="s">
        <v>36</v>
      </c>
      <c r="G865" s="6" t="s">
        <v>36</v>
      </c>
      <c r="H865" s="4" t="s">
        <v>36</v>
      </c>
      <c r="I865" s="7">
        <v>17.45</v>
      </c>
      <c r="J865" s="3" t="s">
        <v>327</v>
      </c>
      <c r="K865" s="9">
        <v>44927</v>
      </c>
      <c r="L865" s="6" t="s">
        <v>1279</v>
      </c>
      <c r="M865" s="3" t="s">
        <v>36</v>
      </c>
      <c r="N865" s="3" t="s">
        <v>1279</v>
      </c>
      <c r="O865" s="8" t="s">
        <v>36</v>
      </c>
      <c r="P865" s="3" t="s">
        <v>36</v>
      </c>
      <c r="Q865" s="3" t="s">
        <v>36</v>
      </c>
      <c r="R865" s="3" t="s">
        <v>36</v>
      </c>
      <c r="S865" s="3" t="s">
        <v>36</v>
      </c>
      <c r="T865" s="3" t="s">
        <v>5425</v>
      </c>
      <c r="U865" s="3" t="s">
        <v>38</v>
      </c>
      <c r="V865" s="3" t="s">
        <v>39</v>
      </c>
      <c r="W865" s="3" t="s">
        <v>5426</v>
      </c>
      <c r="X865" s="10" t="s">
        <v>5427</v>
      </c>
      <c r="Y865" s="6" t="s">
        <v>166</v>
      </c>
      <c r="Z865" s="4">
        <v>42.82</v>
      </c>
      <c r="AA865" s="4">
        <v>245.43</v>
      </c>
      <c r="AB865" s="3" t="s">
        <v>56</v>
      </c>
      <c r="AC865" s="3" t="s">
        <v>5428</v>
      </c>
      <c r="AD865" s="9">
        <v>45251</v>
      </c>
      <c r="AE865" s="3" t="s">
        <v>45</v>
      </c>
      <c r="AF865" s="3" t="s">
        <v>1257</v>
      </c>
      <c r="AG865" s="3" t="s">
        <v>47</v>
      </c>
      <c r="AH865" s="11">
        <f>HYPERLINK("https://my.pitchbook.com?c=245850-85T","View Company Online")</f>
      </c>
    </row>
    <row r="866">
      <c r="A866" s="12" t="s">
        <v>5429</v>
      </c>
      <c r="B866" s="12" t="s">
        <v>5430</v>
      </c>
      <c r="C866" s="19">
        <v>5</v>
      </c>
      <c r="D866" s="19">
        <v>4</v>
      </c>
      <c r="E866" s="19">
        <v>5</v>
      </c>
      <c r="F866" s="19">
        <v>9</v>
      </c>
      <c r="G866" s="15" t="s">
        <v>36</v>
      </c>
      <c r="H866" s="14" t="s">
        <v>36</v>
      </c>
      <c r="I866" s="18" t="s">
        <v>36</v>
      </c>
      <c r="J866" s="12" t="s">
        <v>36</v>
      </c>
      <c r="K866" s="13" t="s">
        <v>36</v>
      </c>
      <c r="L866" s="15" t="s">
        <v>122</v>
      </c>
      <c r="M866" s="12" t="s">
        <v>36</v>
      </c>
      <c r="N866" s="12" t="s">
        <v>122</v>
      </c>
      <c r="O866" s="17" t="s">
        <v>36</v>
      </c>
      <c r="P866" s="12" t="s">
        <v>36</v>
      </c>
      <c r="Q866" s="12" t="s">
        <v>36</v>
      </c>
      <c r="R866" s="12" t="s">
        <v>36</v>
      </c>
      <c r="S866" s="12" t="s">
        <v>2699</v>
      </c>
      <c r="T866" s="12" t="s">
        <v>5431</v>
      </c>
      <c r="U866" s="12" t="s">
        <v>219</v>
      </c>
      <c r="V866" s="12" t="s">
        <v>75</v>
      </c>
      <c r="W866" s="12" t="s">
        <v>5432</v>
      </c>
      <c r="X866" s="16" t="s">
        <v>5433</v>
      </c>
      <c r="Y866" s="15" t="s">
        <v>55</v>
      </c>
      <c r="Z866" s="14">
        <v>17</v>
      </c>
      <c r="AA866" s="14" t="s">
        <v>36</v>
      </c>
      <c r="AB866" s="12" t="s">
        <v>56</v>
      </c>
      <c r="AC866" s="12" t="s">
        <v>5434</v>
      </c>
      <c r="AD866" s="13">
        <v>45251</v>
      </c>
      <c r="AE866" s="12" t="s">
        <v>1912</v>
      </c>
      <c r="AF866" s="12" t="s">
        <v>5435</v>
      </c>
      <c r="AG866" s="12" t="s">
        <v>47</v>
      </c>
      <c r="AH866" s="1">
        <f>HYPERLINK("https://my.pitchbook.com?c=245875-87T","View Company Online")</f>
      </c>
    </row>
    <row r="867">
      <c r="A867" s="3" t="s">
        <v>5436</v>
      </c>
      <c r="B867" s="3" t="s">
        <v>5437</v>
      </c>
      <c r="C867" s="5" t="s">
        <v>36</v>
      </c>
      <c r="D867" s="5" t="s">
        <v>36</v>
      </c>
      <c r="E867" s="5" t="s">
        <v>36</v>
      </c>
      <c r="F867" s="5" t="s">
        <v>36</v>
      </c>
      <c r="G867" s="6" t="s">
        <v>36</v>
      </c>
      <c r="H867" s="4" t="s">
        <v>36</v>
      </c>
      <c r="I867" s="7">
        <v>34.05</v>
      </c>
      <c r="J867" s="3" t="s">
        <v>327</v>
      </c>
      <c r="K867" s="9" t="s">
        <v>36</v>
      </c>
      <c r="L867" s="6" t="s">
        <v>122</v>
      </c>
      <c r="M867" s="3" t="s">
        <v>36</v>
      </c>
      <c r="N867" s="3" t="s">
        <v>122</v>
      </c>
      <c r="O867" s="8" t="s">
        <v>36</v>
      </c>
      <c r="P867" s="3" t="s">
        <v>36</v>
      </c>
      <c r="Q867" s="3" t="s">
        <v>36</v>
      </c>
      <c r="R867" s="3" t="s">
        <v>36</v>
      </c>
      <c r="S867" s="3" t="s">
        <v>36</v>
      </c>
      <c r="T867" s="3" t="s">
        <v>522</v>
      </c>
      <c r="U867" s="3" t="s">
        <v>38</v>
      </c>
      <c r="V867" s="3" t="s">
        <v>39</v>
      </c>
      <c r="W867" s="3" t="s">
        <v>5438</v>
      </c>
      <c r="X867" s="10" t="s">
        <v>5439</v>
      </c>
      <c r="Y867" s="6" t="s">
        <v>108</v>
      </c>
      <c r="Z867" s="4">
        <v>10.69</v>
      </c>
      <c r="AA867" s="4">
        <v>31.4</v>
      </c>
      <c r="AB867" s="3" t="s">
        <v>56</v>
      </c>
      <c r="AC867" s="3" t="s">
        <v>5440</v>
      </c>
      <c r="AD867" s="9">
        <v>45250</v>
      </c>
      <c r="AE867" s="3" t="s">
        <v>110</v>
      </c>
      <c r="AF867" s="3" t="s">
        <v>3076</v>
      </c>
      <c r="AG867" s="3" t="s">
        <v>5441</v>
      </c>
      <c r="AH867" s="11">
        <f>HYPERLINK("https://my.pitchbook.com?c=245779-66T","View Company Online")</f>
      </c>
    </row>
    <row r="868">
      <c r="A868" s="12" t="s">
        <v>5442</v>
      </c>
      <c r="B868" s="12" t="s">
        <v>5443</v>
      </c>
      <c r="C868" s="19">
        <v>1</v>
      </c>
      <c r="D868" s="19">
        <v>4</v>
      </c>
      <c r="E868" s="19">
        <v>1</v>
      </c>
      <c r="F868" s="19">
        <v>5</v>
      </c>
      <c r="G868" s="15" t="s">
        <v>36</v>
      </c>
      <c r="H868" s="14" t="s">
        <v>36</v>
      </c>
      <c r="I868" s="18" t="s">
        <v>36</v>
      </c>
      <c r="J868" s="12" t="s">
        <v>36</v>
      </c>
      <c r="K868" s="13" t="s">
        <v>36</v>
      </c>
      <c r="L868" s="15" t="s">
        <v>36</v>
      </c>
      <c r="M868" s="12" t="s">
        <v>36</v>
      </c>
      <c r="N868" s="12" t="s">
        <v>36</v>
      </c>
      <c r="O868" s="17" t="s">
        <v>36</v>
      </c>
      <c r="P868" s="12" t="s">
        <v>36</v>
      </c>
      <c r="Q868" s="12" t="s">
        <v>36</v>
      </c>
      <c r="R868" s="12" t="s">
        <v>36</v>
      </c>
      <c r="S868" s="12" t="s">
        <v>36</v>
      </c>
      <c r="T868" s="12" t="s">
        <v>386</v>
      </c>
      <c r="U868" s="12" t="s">
        <v>387</v>
      </c>
      <c r="V868" s="12" t="s">
        <v>367</v>
      </c>
      <c r="W868" s="12" t="s">
        <v>5444</v>
      </c>
      <c r="X868" s="16" t="s">
        <v>5445</v>
      </c>
      <c r="Y868" s="15" t="s">
        <v>475</v>
      </c>
      <c r="Z868" s="14">
        <v>32.08</v>
      </c>
      <c r="AA868" s="14" t="s">
        <v>36</v>
      </c>
      <c r="AB868" s="12" t="s">
        <v>56</v>
      </c>
      <c r="AC868" s="12" t="s">
        <v>5446</v>
      </c>
      <c r="AD868" s="13">
        <v>45250</v>
      </c>
      <c r="AE868" s="12" t="s">
        <v>391</v>
      </c>
      <c r="AF868" s="12" t="s">
        <v>5447</v>
      </c>
      <c r="AG868" s="12" t="s">
        <v>102</v>
      </c>
      <c r="AH868" s="1">
        <f>HYPERLINK("https://my.pitchbook.com?c=245781-28T","View Company Online")</f>
      </c>
    </row>
    <row r="869">
      <c r="A869" s="3" t="s">
        <v>5448</v>
      </c>
      <c r="B869" s="3" t="s">
        <v>5449</v>
      </c>
      <c r="C869" s="5" t="s">
        <v>36</v>
      </c>
      <c r="D869" s="5" t="s">
        <v>36</v>
      </c>
      <c r="E869" s="5" t="s">
        <v>36</v>
      </c>
      <c r="F869" s="5" t="s">
        <v>36</v>
      </c>
      <c r="G869" s="6" t="s">
        <v>36</v>
      </c>
      <c r="H869" s="4" t="s">
        <v>36</v>
      </c>
      <c r="I869" s="7">
        <v>18</v>
      </c>
      <c r="J869" s="3" t="s">
        <v>521</v>
      </c>
      <c r="K869" s="9">
        <v>44986</v>
      </c>
      <c r="L869" s="6" t="s">
        <v>36</v>
      </c>
      <c r="M869" s="3" t="s">
        <v>36</v>
      </c>
      <c r="N869" s="3" t="s">
        <v>36</v>
      </c>
      <c r="O869" s="8" t="s">
        <v>36</v>
      </c>
      <c r="P869" s="3" t="s">
        <v>36</v>
      </c>
      <c r="Q869" s="3" t="s">
        <v>36</v>
      </c>
      <c r="R869" s="3" t="s">
        <v>36</v>
      </c>
      <c r="S869" s="3" t="s">
        <v>36</v>
      </c>
      <c r="T869" s="3" t="s">
        <v>4412</v>
      </c>
      <c r="U869" s="3" t="s">
        <v>38</v>
      </c>
      <c r="V869" s="3" t="s">
        <v>39</v>
      </c>
      <c r="W869" s="3" t="s">
        <v>5450</v>
      </c>
      <c r="X869" s="10" t="s">
        <v>5451</v>
      </c>
      <c r="Y869" s="6" t="s">
        <v>42</v>
      </c>
      <c r="Z869" s="4">
        <v>18</v>
      </c>
      <c r="AA869" s="4">
        <v>100</v>
      </c>
      <c r="AB869" s="3" t="s">
        <v>43</v>
      </c>
      <c r="AC869" s="3" t="s">
        <v>5452</v>
      </c>
      <c r="AD869" s="9">
        <v>45249</v>
      </c>
      <c r="AE869" s="3" t="s">
        <v>688</v>
      </c>
      <c r="AF869" s="3" t="s">
        <v>118</v>
      </c>
      <c r="AG869" s="3" t="s">
        <v>81</v>
      </c>
      <c r="AH869" s="11">
        <f>HYPERLINK("https://my.pitchbook.com?c=219913-75T","View Company Online")</f>
      </c>
    </row>
    <row r="870">
      <c r="A870" s="12" t="s">
        <v>5453</v>
      </c>
      <c r="B870" s="12" t="s">
        <v>5454</v>
      </c>
      <c r="C870" s="19" t="s">
        <v>36</v>
      </c>
      <c r="D870" s="19" t="s">
        <v>36</v>
      </c>
      <c r="E870" s="19" t="s">
        <v>36</v>
      </c>
      <c r="F870" s="19" t="s">
        <v>36</v>
      </c>
      <c r="G870" s="15" t="s">
        <v>36</v>
      </c>
      <c r="H870" s="14" t="s">
        <v>36</v>
      </c>
      <c r="I870" s="18">
        <v>23.08</v>
      </c>
      <c r="J870" s="12" t="s">
        <v>327</v>
      </c>
      <c r="K870" s="13" t="s">
        <v>36</v>
      </c>
      <c r="L870" s="15" t="s">
        <v>36</v>
      </c>
      <c r="M870" s="12" t="s">
        <v>36</v>
      </c>
      <c r="N870" s="12" t="s">
        <v>36</v>
      </c>
      <c r="O870" s="17" t="s">
        <v>36</v>
      </c>
      <c r="P870" s="12" t="s">
        <v>36</v>
      </c>
      <c r="Q870" s="12" t="s">
        <v>36</v>
      </c>
      <c r="R870" s="12" t="s">
        <v>36</v>
      </c>
      <c r="S870" s="12" t="s">
        <v>36</v>
      </c>
      <c r="T870" s="12" t="s">
        <v>3201</v>
      </c>
      <c r="U870" s="12" t="s">
        <v>1357</v>
      </c>
      <c r="V870" s="12" t="s">
        <v>52</v>
      </c>
      <c r="W870" s="12" t="s">
        <v>5455</v>
      </c>
      <c r="X870" s="16" t="s">
        <v>5456</v>
      </c>
      <c r="Y870" s="15" t="s">
        <v>108</v>
      </c>
      <c r="Z870" s="14">
        <v>5.33</v>
      </c>
      <c r="AA870" s="14">
        <v>23.1</v>
      </c>
      <c r="AB870" s="12" t="s">
        <v>43</v>
      </c>
      <c r="AC870" s="12" t="s">
        <v>5457</v>
      </c>
      <c r="AD870" s="13">
        <v>45247</v>
      </c>
      <c r="AE870" s="12" t="s">
        <v>3204</v>
      </c>
      <c r="AF870" s="12" t="s">
        <v>36</v>
      </c>
      <c r="AG870" s="12" t="s">
        <v>5458</v>
      </c>
      <c r="AH870" s="1">
        <f>HYPERLINK("https://my.pitchbook.com?c=245612-71T","View Company Online")</f>
      </c>
    </row>
    <row r="871">
      <c r="A871" s="3" t="s">
        <v>5459</v>
      </c>
      <c r="B871" s="3" t="s">
        <v>1136</v>
      </c>
      <c r="C871" s="5" t="s">
        <v>36</v>
      </c>
      <c r="D871" s="5" t="s">
        <v>36</v>
      </c>
      <c r="E871" s="5" t="s">
        <v>36</v>
      </c>
      <c r="F871" s="5" t="s">
        <v>36</v>
      </c>
      <c r="G871" s="6" t="s">
        <v>36</v>
      </c>
      <c r="H871" s="4" t="s">
        <v>36</v>
      </c>
      <c r="I871" s="7" t="s">
        <v>36</v>
      </c>
      <c r="J871" s="3" t="s">
        <v>36</v>
      </c>
      <c r="K871" s="9">
        <v>45020</v>
      </c>
      <c r="L871" s="6" t="s">
        <v>36</v>
      </c>
      <c r="M871" s="3" t="s">
        <v>36</v>
      </c>
      <c r="N871" s="3" t="s">
        <v>36</v>
      </c>
      <c r="O871" s="8" t="s">
        <v>36</v>
      </c>
      <c r="P871" s="3" t="s">
        <v>36</v>
      </c>
      <c r="Q871" s="3" t="s">
        <v>36</v>
      </c>
      <c r="R871" s="3" t="s">
        <v>36</v>
      </c>
      <c r="S871" s="3" t="s">
        <v>36</v>
      </c>
      <c r="T871" s="3" t="s">
        <v>692</v>
      </c>
      <c r="U871" s="3" t="s">
        <v>74</v>
      </c>
      <c r="V871" s="3" t="s">
        <v>75</v>
      </c>
      <c r="W871" s="3" t="s">
        <v>1137</v>
      </c>
      <c r="X871" s="10" t="s">
        <v>5460</v>
      </c>
      <c r="Y871" s="6" t="s">
        <v>42</v>
      </c>
      <c r="Z871" s="4">
        <v>1.6</v>
      </c>
      <c r="AA871" s="4" t="s">
        <v>36</v>
      </c>
      <c r="AB871" s="3" t="s">
        <v>56</v>
      </c>
      <c r="AC871" s="3" t="s">
        <v>1139</v>
      </c>
      <c r="AD871" s="9">
        <v>45247</v>
      </c>
      <c r="AE871" s="3" t="s">
        <v>696</v>
      </c>
      <c r="AF871" s="3" t="s">
        <v>1140</v>
      </c>
      <c r="AG871" s="3" t="s">
        <v>81</v>
      </c>
      <c r="AH871" s="11">
        <f>HYPERLINK("https://my.pitchbook.com?c=220442-59T","View Company Online")</f>
      </c>
    </row>
    <row r="872">
      <c r="A872" s="12" t="s">
        <v>5461</v>
      </c>
      <c r="B872" s="12" t="s">
        <v>5462</v>
      </c>
      <c r="C872" s="19" t="s">
        <v>36</v>
      </c>
      <c r="D872" s="19" t="s">
        <v>36</v>
      </c>
      <c r="E872" s="19" t="s">
        <v>36</v>
      </c>
      <c r="F872" s="19" t="s">
        <v>36</v>
      </c>
      <c r="G872" s="15" t="s">
        <v>326</v>
      </c>
      <c r="H872" s="14">
        <v>0.32</v>
      </c>
      <c r="I872" s="18">
        <v>38.24</v>
      </c>
      <c r="J872" s="12" t="s">
        <v>521</v>
      </c>
      <c r="K872" s="13" t="s">
        <v>36</v>
      </c>
      <c r="L872" s="15" t="s">
        <v>122</v>
      </c>
      <c r="M872" s="12" t="s">
        <v>36</v>
      </c>
      <c r="N872" s="12" t="s">
        <v>122</v>
      </c>
      <c r="O872" s="17" t="s">
        <v>36</v>
      </c>
      <c r="P872" s="12" t="s">
        <v>36</v>
      </c>
      <c r="Q872" s="12" t="s">
        <v>36</v>
      </c>
      <c r="R872" s="12" t="s">
        <v>36</v>
      </c>
      <c r="S872" s="12" t="s">
        <v>5463</v>
      </c>
      <c r="T872" s="12" t="s">
        <v>5464</v>
      </c>
      <c r="U872" s="12" t="s">
        <v>1336</v>
      </c>
      <c r="V872" s="12" t="s">
        <v>367</v>
      </c>
      <c r="W872" s="12" t="s">
        <v>5465</v>
      </c>
      <c r="X872" s="16" t="s">
        <v>5466</v>
      </c>
      <c r="Y872" s="15" t="s">
        <v>108</v>
      </c>
      <c r="Z872" s="14">
        <v>5.54</v>
      </c>
      <c r="AA872" s="14">
        <v>14.48</v>
      </c>
      <c r="AB872" s="12" t="s">
        <v>56</v>
      </c>
      <c r="AC872" s="12" t="s">
        <v>5467</v>
      </c>
      <c r="AD872" s="13">
        <v>45246</v>
      </c>
      <c r="AE872" s="12" t="s">
        <v>1339</v>
      </c>
      <c r="AF872" s="12" t="s">
        <v>2369</v>
      </c>
      <c r="AG872" s="12" t="s">
        <v>144</v>
      </c>
      <c r="AH872" s="1">
        <f>HYPERLINK("https://my.pitchbook.com?c=208060-57T","View Company Online")</f>
      </c>
    </row>
    <row r="873">
      <c r="A873" s="3" t="s">
        <v>5468</v>
      </c>
      <c r="B873" s="3" t="s">
        <v>5469</v>
      </c>
      <c r="C873" s="5" t="s">
        <v>36</v>
      </c>
      <c r="D873" s="5" t="s">
        <v>36</v>
      </c>
      <c r="E873" s="5" t="s">
        <v>36</v>
      </c>
      <c r="F873" s="5" t="s">
        <v>36</v>
      </c>
      <c r="G873" s="6" t="s">
        <v>36</v>
      </c>
      <c r="H873" s="4" t="s">
        <v>36</v>
      </c>
      <c r="I873" s="7" t="s">
        <v>36</v>
      </c>
      <c r="J873" s="3" t="s">
        <v>36</v>
      </c>
      <c r="K873" s="9" t="s">
        <v>36</v>
      </c>
      <c r="L873" s="6" t="s">
        <v>36</v>
      </c>
      <c r="M873" s="3" t="s">
        <v>36</v>
      </c>
      <c r="N873" s="3" t="s">
        <v>36</v>
      </c>
      <c r="O873" s="8" t="s">
        <v>36</v>
      </c>
      <c r="P873" s="3" t="s">
        <v>36</v>
      </c>
      <c r="Q873" s="3" t="s">
        <v>36</v>
      </c>
      <c r="R873" s="3" t="s">
        <v>36</v>
      </c>
      <c r="S873" s="3" t="s">
        <v>36</v>
      </c>
      <c r="T873" s="3" t="s">
        <v>5470</v>
      </c>
      <c r="U873" s="3" t="s">
        <v>38</v>
      </c>
      <c r="V873" s="3" t="s">
        <v>39</v>
      </c>
      <c r="W873" s="3" t="s">
        <v>5471</v>
      </c>
      <c r="X873" s="10" t="s">
        <v>2433</v>
      </c>
      <c r="Y873" s="6" t="s">
        <v>108</v>
      </c>
      <c r="Z873" s="4">
        <v>0.53</v>
      </c>
      <c r="AA873" s="4" t="s">
        <v>36</v>
      </c>
      <c r="AB873" s="3" t="s">
        <v>56</v>
      </c>
      <c r="AC873" s="3" t="s">
        <v>5472</v>
      </c>
      <c r="AD873" s="9">
        <v>45245</v>
      </c>
      <c r="AE873" s="3" t="s">
        <v>1422</v>
      </c>
      <c r="AF873" s="3" t="s">
        <v>5473</v>
      </c>
      <c r="AG873" s="3" t="s">
        <v>5474</v>
      </c>
      <c r="AH873" s="11">
        <f>HYPERLINK("https://my.pitchbook.com?c=252230-68T","View Company Online")</f>
      </c>
    </row>
    <row r="874">
      <c r="A874" s="12" t="s">
        <v>5475</v>
      </c>
      <c r="B874" s="12" t="s">
        <v>5476</v>
      </c>
      <c r="C874" s="19" t="s">
        <v>36</v>
      </c>
      <c r="D874" s="19" t="s">
        <v>36</v>
      </c>
      <c r="E874" s="19">
        <v>2</v>
      </c>
      <c r="F874" s="19">
        <v>3</v>
      </c>
      <c r="G874" s="15" t="s">
        <v>36</v>
      </c>
      <c r="H874" s="14" t="s">
        <v>36</v>
      </c>
      <c r="I874" s="18" t="s">
        <v>36</v>
      </c>
      <c r="J874" s="12" t="s">
        <v>36</v>
      </c>
      <c r="K874" s="13" t="s">
        <v>36</v>
      </c>
      <c r="L874" s="15" t="s">
        <v>36</v>
      </c>
      <c r="M874" s="12" t="s">
        <v>36</v>
      </c>
      <c r="N874" s="12" t="s">
        <v>36</v>
      </c>
      <c r="O874" s="17" t="s">
        <v>36</v>
      </c>
      <c r="P874" s="12" t="s">
        <v>36</v>
      </c>
      <c r="Q874" s="12" t="s">
        <v>36</v>
      </c>
      <c r="R874" s="12" t="s">
        <v>36</v>
      </c>
      <c r="S874" s="12" t="s">
        <v>595</v>
      </c>
      <c r="T874" s="12" t="s">
        <v>596</v>
      </c>
      <c r="U874" s="12" t="s">
        <v>366</v>
      </c>
      <c r="V874" s="12" t="s">
        <v>367</v>
      </c>
      <c r="W874" s="12" t="s">
        <v>5477</v>
      </c>
      <c r="X874" s="16" t="s">
        <v>5478</v>
      </c>
      <c r="Y874" s="15" t="s">
        <v>55</v>
      </c>
      <c r="Z874" s="14">
        <v>48.95</v>
      </c>
      <c r="AA874" s="14" t="s">
        <v>36</v>
      </c>
      <c r="AB874" s="12" t="s">
        <v>43</v>
      </c>
      <c r="AC874" s="12" t="s">
        <v>5479</v>
      </c>
      <c r="AD874" s="13">
        <v>45245</v>
      </c>
      <c r="AE874" s="12" t="s">
        <v>600</v>
      </c>
      <c r="AF874" s="12" t="s">
        <v>982</v>
      </c>
      <c r="AG874" s="12" t="s">
        <v>419</v>
      </c>
      <c r="AH874" s="1">
        <f>HYPERLINK("https://my.pitchbook.com?c=245403-28T","View Company Online")</f>
      </c>
    </row>
    <row r="875">
      <c r="A875" s="3" t="s">
        <v>5480</v>
      </c>
      <c r="B875" s="3" t="s">
        <v>349</v>
      </c>
      <c r="C875" s="5" t="s">
        <v>36</v>
      </c>
      <c r="D875" s="5" t="s">
        <v>36</v>
      </c>
      <c r="E875" s="5" t="s">
        <v>36</v>
      </c>
      <c r="F875" s="5" t="s">
        <v>36</v>
      </c>
      <c r="G875" s="6" t="s">
        <v>36</v>
      </c>
      <c r="H875" s="4">
        <v>7.68</v>
      </c>
      <c r="I875" s="7">
        <v>21.23</v>
      </c>
      <c r="J875" s="3" t="s">
        <v>521</v>
      </c>
      <c r="K875" s="9" t="s">
        <v>36</v>
      </c>
      <c r="L875" s="6" t="s">
        <v>122</v>
      </c>
      <c r="M875" s="3" t="s">
        <v>36</v>
      </c>
      <c r="N875" s="3" t="s">
        <v>122</v>
      </c>
      <c r="O875" s="8" t="s">
        <v>36</v>
      </c>
      <c r="P875" s="3" t="s">
        <v>36</v>
      </c>
      <c r="Q875" s="3" t="s">
        <v>36</v>
      </c>
      <c r="R875" s="3" t="s">
        <v>36</v>
      </c>
      <c r="S875" s="3" t="s">
        <v>36</v>
      </c>
      <c r="T875" s="3" t="s">
        <v>350</v>
      </c>
      <c r="U875" s="3" t="s">
        <v>38</v>
      </c>
      <c r="V875" s="3" t="s">
        <v>39</v>
      </c>
      <c r="W875" s="3" t="s">
        <v>351</v>
      </c>
      <c r="X875" s="10" t="s">
        <v>5481</v>
      </c>
      <c r="Y875" s="6" t="s">
        <v>192</v>
      </c>
      <c r="Z875" s="4">
        <v>11.24</v>
      </c>
      <c r="AA875" s="4">
        <v>52.95</v>
      </c>
      <c r="AB875" s="3" t="s">
        <v>43</v>
      </c>
      <c r="AC875" s="3" t="s">
        <v>353</v>
      </c>
      <c r="AD875" s="9">
        <v>45245</v>
      </c>
      <c r="AE875" s="3" t="s">
        <v>110</v>
      </c>
      <c r="AF875" s="3" t="s">
        <v>354</v>
      </c>
      <c r="AG875" s="3" t="s">
        <v>355</v>
      </c>
      <c r="AH875" s="11">
        <f>HYPERLINK("https://my.pitchbook.com?c=245468-71T","View Company Online")</f>
      </c>
    </row>
    <row r="876">
      <c r="A876" s="12" t="s">
        <v>5482</v>
      </c>
      <c r="B876" s="12" t="s">
        <v>5483</v>
      </c>
      <c r="C876" s="19" t="s">
        <v>36</v>
      </c>
      <c r="D876" s="19" t="s">
        <v>36</v>
      </c>
      <c r="E876" s="19" t="s">
        <v>36</v>
      </c>
      <c r="F876" s="19" t="s">
        <v>36</v>
      </c>
      <c r="G876" s="15" t="s">
        <v>36</v>
      </c>
      <c r="H876" s="14">
        <v>44.87</v>
      </c>
      <c r="I876" s="18">
        <v>21.8</v>
      </c>
      <c r="J876" s="12" t="s">
        <v>521</v>
      </c>
      <c r="K876" s="13" t="s">
        <v>36</v>
      </c>
      <c r="L876" s="15" t="s">
        <v>36</v>
      </c>
      <c r="M876" s="12" t="s">
        <v>36</v>
      </c>
      <c r="N876" s="12" t="s">
        <v>36</v>
      </c>
      <c r="O876" s="17" t="s">
        <v>36</v>
      </c>
      <c r="P876" s="12" t="s">
        <v>36</v>
      </c>
      <c r="Q876" s="12" t="s">
        <v>36</v>
      </c>
      <c r="R876" s="12" t="s">
        <v>36</v>
      </c>
      <c r="S876" s="12" t="s">
        <v>36</v>
      </c>
      <c r="T876" s="12" t="s">
        <v>5484</v>
      </c>
      <c r="U876" s="12" t="s">
        <v>219</v>
      </c>
      <c r="V876" s="12" t="s">
        <v>75</v>
      </c>
      <c r="W876" s="12" t="s">
        <v>5485</v>
      </c>
      <c r="X876" s="16" t="s">
        <v>5486</v>
      </c>
      <c r="Y876" s="15" t="s">
        <v>42</v>
      </c>
      <c r="Z876" s="14">
        <v>0.95</v>
      </c>
      <c r="AA876" s="14">
        <v>2.18</v>
      </c>
      <c r="AB876" s="12" t="s">
        <v>43</v>
      </c>
      <c r="AC876" s="12" t="s">
        <v>5487</v>
      </c>
      <c r="AD876" s="13">
        <v>45245</v>
      </c>
      <c r="AE876" s="12" t="s">
        <v>223</v>
      </c>
      <c r="AF876" s="12" t="s">
        <v>36</v>
      </c>
      <c r="AG876" s="12" t="s">
        <v>969</v>
      </c>
      <c r="AH876" s="1">
        <f>HYPERLINK("https://my.pitchbook.com?c=245560-15T","View Company Online")</f>
      </c>
    </row>
    <row r="877">
      <c r="A877" s="3" t="s">
        <v>5488</v>
      </c>
      <c r="B877" s="3" t="s">
        <v>5489</v>
      </c>
      <c r="C877" s="5" t="s">
        <v>36</v>
      </c>
      <c r="D877" s="5" t="s">
        <v>36</v>
      </c>
      <c r="E877" s="5" t="s">
        <v>36</v>
      </c>
      <c r="F877" s="5" t="s">
        <v>36</v>
      </c>
      <c r="G877" s="6" t="s">
        <v>683</v>
      </c>
      <c r="H877" s="4">
        <v>6.3</v>
      </c>
      <c r="I877" s="7">
        <v>30.69</v>
      </c>
      <c r="J877" s="3" t="s">
        <v>521</v>
      </c>
      <c r="K877" s="9" t="s">
        <v>36</v>
      </c>
      <c r="L877" s="6" t="s">
        <v>36</v>
      </c>
      <c r="M877" s="3" t="s">
        <v>36</v>
      </c>
      <c r="N877" s="3" t="s">
        <v>36</v>
      </c>
      <c r="O877" s="8" t="s">
        <v>36</v>
      </c>
      <c r="P877" s="3" t="s">
        <v>36</v>
      </c>
      <c r="Q877" s="3" t="s">
        <v>36</v>
      </c>
      <c r="R877" s="3" t="s">
        <v>36</v>
      </c>
      <c r="S877" s="3" t="s">
        <v>36</v>
      </c>
      <c r="T877" s="3" t="s">
        <v>5490</v>
      </c>
      <c r="U877" s="3" t="s">
        <v>648</v>
      </c>
      <c r="V877" s="3" t="s">
        <v>64</v>
      </c>
      <c r="W877" s="3" t="s">
        <v>5491</v>
      </c>
      <c r="X877" s="10" t="s">
        <v>5492</v>
      </c>
      <c r="Y877" s="6" t="s">
        <v>42</v>
      </c>
      <c r="Z877" s="4">
        <v>1.49</v>
      </c>
      <c r="AA877" s="4">
        <v>4.85</v>
      </c>
      <c r="AB877" s="3" t="s">
        <v>43</v>
      </c>
      <c r="AC877" s="3" t="s">
        <v>5493</v>
      </c>
      <c r="AD877" s="9">
        <v>45245</v>
      </c>
      <c r="AE877" s="3" t="s">
        <v>3988</v>
      </c>
      <c r="AF877" s="3" t="s">
        <v>5494</v>
      </c>
      <c r="AG877" s="3" t="s">
        <v>347</v>
      </c>
      <c r="AH877" s="11">
        <f>HYPERLINK("https://my.pitchbook.com?c=264575-71T","View Company Online")</f>
      </c>
    </row>
    <row r="878">
      <c r="A878" s="12" t="s">
        <v>5495</v>
      </c>
      <c r="B878" s="12" t="s">
        <v>4440</v>
      </c>
      <c r="C878" s="19" t="s">
        <v>36</v>
      </c>
      <c r="D878" s="19" t="s">
        <v>36</v>
      </c>
      <c r="E878" s="19" t="s">
        <v>36</v>
      </c>
      <c r="F878" s="19" t="s">
        <v>36</v>
      </c>
      <c r="G878" s="15" t="s">
        <v>36</v>
      </c>
      <c r="H878" s="14" t="s">
        <v>36</v>
      </c>
      <c r="I878" s="18" t="s">
        <v>36</v>
      </c>
      <c r="J878" s="12" t="s">
        <v>36</v>
      </c>
      <c r="K878" s="13" t="s">
        <v>36</v>
      </c>
      <c r="L878" s="15" t="s">
        <v>36</v>
      </c>
      <c r="M878" s="12" t="s">
        <v>36</v>
      </c>
      <c r="N878" s="12" t="s">
        <v>36</v>
      </c>
      <c r="O878" s="17" t="s">
        <v>36</v>
      </c>
      <c r="P878" s="12" t="s">
        <v>36</v>
      </c>
      <c r="Q878" s="12" t="s">
        <v>36</v>
      </c>
      <c r="R878" s="12" t="s">
        <v>36</v>
      </c>
      <c r="S878" s="12" t="s">
        <v>36</v>
      </c>
      <c r="T878" s="12" t="s">
        <v>661</v>
      </c>
      <c r="U878" s="12" t="s">
        <v>51</v>
      </c>
      <c r="V878" s="12" t="s">
        <v>52</v>
      </c>
      <c r="W878" s="12" t="s">
        <v>4441</v>
      </c>
      <c r="X878" s="16" t="s">
        <v>5496</v>
      </c>
      <c r="Y878" s="15" t="s">
        <v>55</v>
      </c>
      <c r="Z878" s="14">
        <v>54</v>
      </c>
      <c r="AA878" s="14" t="s">
        <v>36</v>
      </c>
      <c r="AB878" s="12" t="s">
        <v>56</v>
      </c>
      <c r="AC878" s="12" t="s">
        <v>4442</v>
      </c>
      <c r="AD878" s="13">
        <v>45245</v>
      </c>
      <c r="AE878" s="12" t="s">
        <v>158</v>
      </c>
      <c r="AF878" s="12" t="s">
        <v>665</v>
      </c>
      <c r="AG878" s="12" t="s">
        <v>81</v>
      </c>
      <c r="AH878" s="1">
        <f>HYPERLINK("https://my.pitchbook.com?c=220537-99T","View Company Online")</f>
      </c>
    </row>
    <row r="879">
      <c r="A879" s="3" t="s">
        <v>5497</v>
      </c>
      <c r="B879" s="3" t="s">
        <v>5498</v>
      </c>
      <c r="C879" s="5" t="s">
        <v>36</v>
      </c>
      <c r="D879" s="5">
        <v>2</v>
      </c>
      <c r="E879" s="5">
        <v>1</v>
      </c>
      <c r="F879" s="5">
        <v>2</v>
      </c>
      <c r="G879" s="6" t="s">
        <v>36</v>
      </c>
      <c r="H879" s="4">
        <v>136.9</v>
      </c>
      <c r="I879" s="7">
        <v>26.31</v>
      </c>
      <c r="J879" s="3" t="s">
        <v>521</v>
      </c>
      <c r="K879" s="9" t="s">
        <v>36</v>
      </c>
      <c r="L879" s="6" t="s">
        <v>36</v>
      </c>
      <c r="M879" s="3" t="s">
        <v>36</v>
      </c>
      <c r="N879" s="3" t="s">
        <v>36</v>
      </c>
      <c r="O879" s="8" t="s">
        <v>36</v>
      </c>
      <c r="P879" s="3" t="s">
        <v>36</v>
      </c>
      <c r="Q879" s="3" t="s">
        <v>36</v>
      </c>
      <c r="R879" s="3" t="s">
        <v>36</v>
      </c>
      <c r="S879" s="3" t="s">
        <v>36</v>
      </c>
      <c r="T879" s="3" t="s">
        <v>5499</v>
      </c>
      <c r="U879" s="3" t="s">
        <v>1082</v>
      </c>
      <c r="V879" s="3" t="s">
        <v>378</v>
      </c>
      <c r="W879" s="3" t="s">
        <v>5500</v>
      </c>
      <c r="X879" s="10" t="s">
        <v>5501</v>
      </c>
      <c r="Y879" s="6" t="s">
        <v>42</v>
      </c>
      <c r="Z879" s="4">
        <v>1.1</v>
      </c>
      <c r="AA879" s="4">
        <v>4.19</v>
      </c>
      <c r="AB879" s="3" t="s">
        <v>56</v>
      </c>
      <c r="AC879" s="3" t="s">
        <v>5502</v>
      </c>
      <c r="AD879" s="9">
        <v>45245</v>
      </c>
      <c r="AE879" s="3" t="s">
        <v>1086</v>
      </c>
      <c r="AF879" s="3" t="s">
        <v>5503</v>
      </c>
      <c r="AG879" s="3" t="s">
        <v>5504</v>
      </c>
      <c r="AH879" s="11">
        <f>HYPERLINK("https://my.pitchbook.com?c=246746-89T","View Company Online")</f>
      </c>
    </row>
    <row r="880">
      <c r="A880" s="12" t="s">
        <v>5505</v>
      </c>
      <c r="B880" s="12" t="s">
        <v>5506</v>
      </c>
      <c r="C880" s="19" t="s">
        <v>36</v>
      </c>
      <c r="D880" s="19" t="s">
        <v>36</v>
      </c>
      <c r="E880" s="19" t="s">
        <v>36</v>
      </c>
      <c r="F880" s="19" t="s">
        <v>36</v>
      </c>
      <c r="G880" s="15" t="s">
        <v>36</v>
      </c>
      <c r="H880" s="14">
        <v>62.31</v>
      </c>
      <c r="I880" s="18">
        <v>16.97</v>
      </c>
      <c r="J880" s="12" t="s">
        <v>521</v>
      </c>
      <c r="K880" s="13" t="s">
        <v>36</v>
      </c>
      <c r="L880" s="15" t="s">
        <v>36</v>
      </c>
      <c r="M880" s="12" t="s">
        <v>36</v>
      </c>
      <c r="N880" s="12" t="s">
        <v>36</v>
      </c>
      <c r="O880" s="17" t="s">
        <v>36</v>
      </c>
      <c r="P880" s="12" t="s">
        <v>36</v>
      </c>
      <c r="Q880" s="12" t="s">
        <v>36</v>
      </c>
      <c r="R880" s="12" t="s">
        <v>36</v>
      </c>
      <c r="S880" s="12" t="s">
        <v>36</v>
      </c>
      <c r="T880" s="12" t="s">
        <v>5507</v>
      </c>
      <c r="U880" s="12" t="s">
        <v>279</v>
      </c>
      <c r="V880" s="12" t="s">
        <v>64</v>
      </c>
      <c r="W880" s="12" t="s">
        <v>5508</v>
      </c>
      <c r="X880" s="16" t="s">
        <v>5414</v>
      </c>
      <c r="Y880" s="15" t="s">
        <v>42</v>
      </c>
      <c r="Z880" s="14">
        <v>0.39</v>
      </c>
      <c r="AA880" s="14">
        <v>2.3</v>
      </c>
      <c r="AB880" s="12" t="s">
        <v>43</v>
      </c>
      <c r="AC880" s="12" t="s">
        <v>5509</v>
      </c>
      <c r="AD880" s="13">
        <v>45244</v>
      </c>
      <c r="AE880" s="12" t="s">
        <v>283</v>
      </c>
      <c r="AF880" s="12" t="s">
        <v>1977</v>
      </c>
      <c r="AG880" s="12" t="s">
        <v>186</v>
      </c>
      <c r="AH880" s="1">
        <f>HYPERLINK("https://my.pitchbook.com?c=266663-35T","View Company Online")</f>
      </c>
    </row>
    <row r="881">
      <c r="A881" s="3" t="s">
        <v>5510</v>
      </c>
      <c r="B881" s="3" t="s">
        <v>5511</v>
      </c>
      <c r="C881" s="5" t="s">
        <v>36</v>
      </c>
      <c r="D881" s="5">
        <v>1</v>
      </c>
      <c r="E881" s="5">
        <v>2</v>
      </c>
      <c r="F881" s="5">
        <v>5</v>
      </c>
      <c r="G881" s="6" t="s">
        <v>36</v>
      </c>
      <c r="H881" s="4" t="s">
        <v>36</v>
      </c>
      <c r="I881" s="7">
        <v>12.59</v>
      </c>
      <c r="J881" s="3" t="s">
        <v>521</v>
      </c>
      <c r="K881" s="9">
        <v>45119</v>
      </c>
      <c r="L881" s="6" t="s">
        <v>122</v>
      </c>
      <c r="M881" s="3" t="s">
        <v>36</v>
      </c>
      <c r="N881" s="3" t="s">
        <v>122</v>
      </c>
      <c r="O881" s="8" t="s">
        <v>36</v>
      </c>
      <c r="P881" s="3" t="s">
        <v>36</v>
      </c>
      <c r="Q881" s="3" t="s">
        <v>36</v>
      </c>
      <c r="R881" s="3" t="s">
        <v>36</v>
      </c>
      <c r="S881" s="3" t="s">
        <v>36</v>
      </c>
      <c r="T881" s="3" t="s">
        <v>5512</v>
      </c>
      <c r="U881" s="3" t="s">
        <v>38</v>
      </c>
      <c r="V881" s="3" t="s">
        <v>39</v>
      </c>
      <c r="W881" s="3" t="s">
        <v>5513</v>
      </c>
      <c r="X881" s="10" t="s">
        <v>5514</v>
      </c>
      <c r="Y881" s="6" t="s">
        <v>55</v>
      </c>
      <c r="Z881" s="4">
        <v>10.63</v>
      </c>
      <c r="AA881" s="4">
        <v>84.39</v>
      </c>
      <c r="AB881" s="3" t="s">
        <v>43</v>
      </c>
      <c r="AC881" s="3" t="s">
        <v>5515</v>
      </c>
      <c r="AD881" s="9">
        <v>45244</v>
      </c>
      <c r="AE881" s="3" t="s">
        <v>45</v>
      </c>
      <c r="AF881" s="3" t="s">
        <v>215</v>
      </c>
      <c r="AG881" s="3" t="s">
        <v>81</v>
      </c>
      <c r="AH881" s="11">
        <f>HYPERLINK("https://my.pitchbook.com?c=233247-97T","View Company Online")</f>
      </c>
    </row>
    <row r="882">
      <c r="A882" s="12" t="s">
        <v>5516</v>
      </c>
      <c r="B882" s="12" t="s">
        <v>5517</v>
      </c>
      <c r="C882" s="19" t="s">
        <v>36</v>
      </c>
      <c r="D882" s="19">
        <v>2</v>
      </c>
      <c r="E882" s="19">
        <v>1</v>
      </c>
      <c r="F882" s="19">
        <v>2</v>
      </c>
      <c r="G882" s="15" t="s">
        <v>326</v>
      </c>
      <c r="H882" s="14">
        <v>27.18</v>
      </c>
      <c r="I882" s="18">
        <v>39.56</v>
      </c>
      <c r="J882" s="12" t="s">
        <v>521</v>
      </c>
      <c r="K882" s="13" t="s">
        <v>36</v>
      </c>
      <c r="L882" s="15" t="s">
        <v>122</v>
      </c>
      <c r="M882" s="12" t="s">
        <v>36</v>
      </c>
      <c r="N882" s="12" t="s">
        <v>122</v>
      </c>
      <c r="O882" s="17" t="s">
        <v>36</v>
      </c>
      <c r="P882" s="12" t="s">
        <v>36</v>
      </c>
      <c r="Q882" s="12" t="s">
        <v>36</v>
      </c>
      <c r="R882" s="12" t="s">
        <v>36</v>
      </c>
      <c r="S882" s="12" t="s">
        <v>36</v>
      </c>
      <c r="T882" s="12" t="s">
        <v>5518</v>
      </c>
      <c r="U882" s="12" t="s">
        <v>318</v>
      </c>
      <c r="V882" s="12" t="s">
        <v>39</v>
      </c>
      <c r="W882" s="12" t="s">
        <v>5519</v>
      </c>
      <c r="X882" s="16" t="s">
        <v>5520</v>
      </c>
      <c r="Y882" s="15" t="s">
        <v>108</v>
      </c>
      <c r="Z882" s="14">
        <v>9.88</v>
      </c>
      <c r="AA882" s="14">
        <v>24.99</v>
      </c>
      <c r="AB882" s="12" t="s">
        <v>56</v>
      </c>
      <c r="AC882" s="12" t="s">
        <v>5521</v>
      </c>
      <c r="AD882" s="13">
        <v>45244</v>
      </c>
      <c r="AE882" s="12" t="s">
        <v>763</v>
      </c>
      <c r="AF882" s="12" t="s">
        <v>5522</v>
      </c>
      <c r="AG882" s="12" t="s">
        <v>81</v>
      </c>
      <c r="AH882" s="1">
        <f>HYPERLINK("https://my.pitchbook.com?c=248975-47T","View Company Online")</f>
      </c>
    </row>
    <row r="883">
      <c r="A883" s="3" t="s">
        <v>5523</v>
      </c>
      <c r="B883" s="3" t="s">
        <v>5524</v>
      </c>
      <c r="C883" s="5" t="s">
        <v>36</v>
      </c>
      <c r="D883" s="5" t="s">
        <v>36</v>
      </c>
      <c r="E883" s="5" t="s">
        <v>36</v>
      </c>
      <c r="F883" s="5" t="s">
        <v>36</v>
      </c>
      <c r="G883" s="6" t="s">
        <v>36</v>
      </c>
      <c r="H883" s="4" t="s">
        <v>36</v>
      </c>
      <c r="I883" s="7" t="s">
        <v>36</v>
      </c>
      <c r="J883" s="3" t="s">
        <v>36</v>
      </c>
      <c r="K883" s="9" t="s">
        <v>36</v>
      </c>
      <c r="L883" s="6" t="s">
        <v>36</v>
      </c>
      <c r="M883" s="3" t="s">
        <v>36</v>
      </c>
      <c r="N883" s="3" t="s">
        <v>36</v>
      </c>
      <c r="O883" s="8" t="s">
        <v>36</v>
      </c>
      <c r="P883" s="3" t="s">
        <v>36</v>
      </c>
      <c r="Q883" s="3" t="s">
        <v>36</v>
      </c>
      <c r="R883" s="3" t="s">
        <v>36</v>
      </c>
      <c r="S883" s="3" t="s">
        <v>36</v>
      </c>
      <c r="T883" s="3" t="s">
        <v>5525</v>
      </c>
      <c r="U883" s="3" t="s">
        <v>38</v>
      </c>
      <c r="V883" s="3" t="s">
        <v>39</v>
      </c>
      <c r="W883" s="3" t="s">
        <v>5526</v>
      </c>
      <c r="X883" s="10" t="s">
        <v>5527</v>
      </c>
      <c r="Y883" s="6" t="s">
        <v>108</v>
      </c>
      <c r="Z883" s="4">
        <v>1.49</v>
      </c>
      <c r="AA883" s="4" t="s">
        <v>36</v>
      </c>
      <c r="AB883" s="3" t="s">
        <v>56</v>
      </c>
      <c r="AC883" s="3" t="s">
        <v>5528</v>
      </c>
      <c r="AD883" s="9">
        <v>45244</v>
      </c>
      <c r="AE883" s="3" t="s">
        <v>110</v>
      </c>
      <c r="AF883" s="3" t="s">
        <v>5529</v>
      </c>
      <c r="AG883" s="3" t="s">
        <v>47</v>
      </c>
      <c r="AH883" s="11">
        <f>HYPERLINK("https://my.pitchbook.com?c=247149-01T","View Company Online")</f>
      </c>
    </row>
    <row r="884">
      <c r="A884" s="12" t="s">
        <v>5530</v>
      </c>
      <c r="B884" s="12" t="s">
        <v>5531</v>
      </c>
      <c r="C884" s="19" t="s">
        <v>36</v>
      </c>
      <c r="D884" s="19" t="s">
        <v>36</v>
      </c>
      <c r="E884" s="19" t="s">
        <v>36</v>
      </c>
      <c r="F884" s="19" t="s">
        <v>36</v>
      </c>
      <c r="G884" s="15" t="s">
        <v>36</v>
      </c>
      <c r="H884" s="14">
        <v>259.64</v>
      </c>
      <c r="I884" s="18">
        <v>21.19</v>
      </c>
      <c r="J884" s="12" t="s">
        <v>521</v>
      </c>
      <c r="K884" s="13" t="s">
        <v>36</v>
      </c>
      <c r="L884" s="15" t="s">
        <v>36</v>
      </c>
      <c r="M884" s="12" t="s">
        <v>36</v>
      </c>
      <c r="N884" s="12" t="s">
        <v>36</v>
      </c>
      <c r="O884" s="17" t="s">
        <v>36</v>
      </c>
      <c r="P884" s="12" t="s">
        <v>36</v>
      </c>
      <c r="Q884" s="12" t="s">
        <v>36</v>
      </c>
      <c r="R884" s="12" t="s">
        <v>36</v>
      </c>
      <c r="S884" s="12" t="s">
        <v>36</v>
      </c>
      <c r="T884" s="12" t="s">
        <v>485</v>
      </c>
      <c r="U884" s="12" t="s">
        <v>38</v>
      </c>
      <c r="V884" s="12" t="s">
        <v>39</v>
      </c>
      <c r="W884" s="12" t="s">
        <v>5532</v>
      </c>
      <c r="X884" s="16" t="s">
        <v>5533</v>
      </c>
      <c r="Y884" s="15" t="s">
        <v>42</v>
      </c>
      <c r="Z884" s="14">
        <v>0.71</v>
      </c>
      <c r="AA884" s="14">
        <v>3.37</v>
      </c>
      <c r="AB884" s="12" t="s">
        <v>43</v>
      </c>
      <c r="AC884" s="12" t="s">
        <v>5534</v>
      </c>
      <c r="AD884" s="13">
        <v>45244</v>
      </c>
      <c r="AE884" s="12" t="s">
        <v>110</v>
      </c>
      <c r="AF884" s="12" t="s">
        <v>3535</v>
      </c>
      <c r="AG884" s="12" t="s">
        <v>81</v>
      </c>
      <c r="AH884" s="1">
        <f>HYPERLINK("https://my.pitchbook.com?c=276684-85T","View Company Online")</f>
      </c>
    </row>
    <row r="885">
      <c r="A885" s="3" t="s">
        <v>5535</v>
      </c>
      <c r="B885" s="3" t="s">
        <v>5536</v>
      </c>
      <c r="C885" s="5">
        <v>22</v>
      </c>
      <c r="D885" s="5">
        <v>59</v>
      </c>
      <c r="E885" s="5">
        <v>32</v>
      </c>
      <c r="F885" s="5">
        <v>116</v>
      </c>
      <c r="G885" s="6" t="s">
        <v>36</v>
      </c>
      <c r="H885" s="4" t="s">
        <v>36</v>
      </c>
      <c r="I885" s="7" t="s">
        <v>36</v>
      </c>
      <c r="J885" s="3" t="s">
        <v>36</v>
      </c>
      <c r="K885" s="9" t="s">
        <v>36</v>
      </c>
      <c r="L885" s="6" t="s">
        <v>36</v>
      </c>
      <c r="M885" s="3" t="s">
        <v>36</v>
      </c>
      <c r="N885" s="3" t="s">
        <v>36</v>
      </c>
      <c r="O885" s="8" t="s">
        <v>36</v>
      </c>
      <c r="P885" s="3" t="s">
        <v>36</v>
      </c>
      <c r="Q885" s="3" t="s">
        <v>36</v>
      </c>
      <c r="R885" s="3" t="s">
        <v>36</v>
      </c>
      <c r="S885" s="3" t="s">
        <v>36</v>
      </c>
      <c r="T885" s="3" t="s">
        <v>5537</v>
      </c>
      <c r="U885" s="3" t="s">
        <v>96</v>
      </c>
      <c r="V885" s="3" t="s">
        <v>52</v>
      </c>
      <c r="W885" s="3" t="s">
        <v>5538</v>
      </c>
      <c r="X885" s="10" t="s">
        <v>5539</v>
      </c>
      <c r="Y885" s="6" t="s">
        <v>321</v>
      </c>
      <c r="Z885" s="4">
        <v>24</v>
      </c>
      <c r="AA885" s="4" t="s">
        <v>36</v>
      </c>
      <c r="AB885" s="3" t="s">
        <v>56</v>
      </c>
      <c r="AC885" s="3" t="s">
        <v>5540</v>
      </c>
      <c r="AD885" s="9">
        <v>45243</v>
      </c>
      <c r="AE885" s="3" t="s">
        <v>100</v>
      </c>
      <c r="AF885" s="3" t="s">
        <v>5541</v>
      </c>
      <c r="AG885" s="3" t="s">
        <v>81</v>
      </c>
      <c r="AH885" s="11">
        <f>HYPERLINK("https://my.pitchbook.com?c=245277-28T","View Company Online")</f>
      </c>
    </row>
    <row r="886">
      <c r="A886" s="12" t="s">
        <v>5542</v>
      </c>
      <c r="B886" s="12" t="s">
        <v>5543</v>
      </c>
      <c r="C886" s="19" t="s">
        <v>36</v>
      </c>
      <c r="D886" s="19" t="s">
        <v>36</v>
      </c>
      <c r="E886" s="19" t="s">
        <v>36</v>
      </c>
      <c r="F886" s="19" t="s">
        <v>36</v>
      </c>
      <c r="G886" s="15" t="s">
        <v>36</v>
      </c>
      <c r="H886" s="14" t="s">
        <v>36</v>
      </c>
      <c r="I886" s="18" t="s">
        <v>36</v>
      </c>
      <c r="J886" s="12" t="s">
        <v>36</v>
      </c>
      <c r="K886" s="13" t="s">
        <v>36</v>
      </c>
      <c r="L886" s="15" t="s">
        <v>36</v>
      </c>
      <c r="M886" s="12" t="s">
        <v>36</v>
      </c>
      <c r="N886" s="12" t="s">
        <v>36</v>
      </c>
      <c r="O886" s="17" t="s">
        <v>36</v>
      </c>
      <c r="P886" s="12" t="s">
        <v>36</v>
      </c>
      <c r="Q886" s="12" t="s">
        <v>36</v>
      </c>
      <c r="R886" s="12" t="s">
        <v>36</v>
      </c>
      <c r="S886" s="12" t="s">
        <v>196</v>
      </c>
      <c r="T886" s="12" t="s">
        <v>5544</v>
      </c>
      <c r="U886" s="12" t="s">
        <v>38</v>
      </c>
      <c r="V886" s="12" t="s">
        <v>39</v>
      </c>
      <c r="W886" s="12" t="s">
        <v>5545</v>
      </c>
      <c r="X886" s="16" t="s">
        <v>5546</v>
      </c>
      <c r="Y886" s="15" t="s">
        <v>108</v>
      </c>
      <c r="Z886" s="14">
        <v>2.02</v>
      </c>
      <c r="AA886" s="14" t="s">
        <v>36</v>
      </c>
      <c r="AB886" s="12" t="s">
        <v>43</v>
      </c>
      <c r="AC886" s="12" t="s">
        <v>5547</v>
      </c>
      <c r="AD886" s="13">
        <v>45243</v>
      </c>
      <c r="AE886" s="12" t="s">
        <v>110</v>
      </c>
      <c r="AF886" s="12" t="s">
        <v>2238</v>
      </c>
      <c r="AG886" s="12" t="s">
        <v>81</v>
      </c>
      <c r="AH886" s="1">
        <f>HYPERLINK("https://my.pitchbook.com?c=242731-45T","View Company Online")</f>
      </c>
    </row>
    <row r="887">
      <c r="A887" s="3" t="s">
        <v>5548</v>
      </c>
      <c r="B887" s="3" t="s">
        <v>5549</v>
      </c>
      <c r="C887" s="5">
        <v>1</v>
      </c>
      <c r="D887" s="5" t="s">
        <v>36</v>
      </c>
      <c r="E887" s="5">
        <v>1</v>
      </c>
      <c r="F887" s="5">
        <v>1</v>
      </c>
      <c r="G887" s="6" t="s">
        <v>36</v>
      </c>
      <c r="H887" s="4" t="s">
        <v>36</v>
      </c>
      <c r="I887" s="7" t="s">
        <v>36</v>
      </c>
      <c r="J887" s="3" t="s">
        <v>36</v>
      </c>
      <c r="K887" s="9" t="s">
        <v>36</v>
      </c>
      <c r="L887" s="6" t="s">
        <v>94</v>
      </c>
      <c r="M887" s="3" t="s">
        <v>36</v>
      </c>
      <c r="N887" s="3" t="s">
        <v>94</v>
      </c>
      <c r="O887" s="8" t="s">
        <v>36</v>
      </c>
      <c r="P887" s="3" t="s">
        <v>36</v>
      </c>
      <c r="Q887" s="3" t="s">
        <v>36</v>
      </c>
      <c r="R887" s="3" t="s">
        <v>36</v>
      </c>
      <c r="S887" s="3" t="s">
        <v>565</v>
      </c>
      <c r="T887" s="3" t="s">
        <v>5550</v>
      </c>
      <c r="U887" s="3" t="s">
        <v>74</v>
      </c>
      <c r="V887" s="3" t="s">
        <v>75</v>
      </c>
      <c r="W887" s="3" t="s">
        <v>5551</v>
      </c>
      <c r="X887" s="10" t="s">
        <v>5552</v>
      </c>
      <c r="Y887" s="6" t="s">
        <v>55</v>
      </c>
      <c r="Z887" s="4">
        <v>11.68</v>
      </c>
      <c r="AA887" s="4" t="s">
        <v>36</v>
      </c>
      <c r="AB887" s="3" t="s">
        <v>43</v>
      </c>
      <c r="AC887" s="3" t="s">
        <v>5553</v>
      </c>
      <c r="AD887" s="9">
        <v>45243</v>
      </c>
      <c r="AE887" s="3" t="s">
        <v>975</v>
      </c>
      <c r="AF887" s="3" t="s">
        <v>982</v>
      </c>
      <c r="AG887" s="3" t="s">
        <v>5554</v>
      </c>
      <c r="AH887" s="11">
        <f>HYPERLINK("https://my.pitchbook.com?c=245266-93T","View Company Online")</f>
      </c>
    </row>
    <row r="888">
      <c r="A888" s="12" t="s">
        <v>5555</v>
      </c>
      <c r="B888" s="12" t="s">
        <v>5556</v>
      </c>
      <c r="C888" s="19">
        <v>19</v>
      </c>
      <c r="D888" s="19" t="s">
        <v>36</v>
      </c>
      <c r="E888" s="19">
        <v>8</v>
      </c>
      <c r="F888" s="19">
        <v>22</v>
      </c>
      <c r="G888" s="15" t="s">
        <v>36</v>
      </c>
      <c r="H888" s="14">
        <v>6.04</v>
      </c>
      <c r="I888" s="18">
        <v>15.69</v>
      </c>
      <c r="J888" s="12" t="s">
        <v>521</v>
      </c>
      <c r="K888" s="13" t="s">
        <v>36</v>
      </c>
      <c r="L888" s="15" t="s">
        <v>36</v>
      </c>
      <c r="M888" s="12" t="s">
        <v>36</v>
      </c>
      <c r="N888" s="12" t="s">
        <v>36</v>
      </c>
      <c r="O888" s="17" t="s">
        <v>36</v>
      </c>
      <c r="P888" s="12" t="s">
        <v>36</v>
      </c>
      <c r="Q888" s="12" t="s">
        <v>36</v>
      </c>
      <c r="R888" s="12" t="s">
        <v>36</v>
      </c>
      <c r="S888" s="12" t="s">
        <v>36</v>
      </c>
      <c r="T888" s="12" t="s">
        <v>5557</v>
      </c>
      <c r="U888" s="12" t="s">
        <v>1798</v>
      </c>
      <c r="V888" s="12" t="s">
        <v>39</v>
      </c>
      <c r="W888" s="12" t="s">
        <v>5558</v>
      </c>
      <c r="X888" s="16" t="s">
        <v>5559</v>
      </c>
      <c r="Y888" s="15" t="s">
        <v>108</v>
      </c>
      <c r="Z888" s="14">
        <v>4.78</v>
      </c>
      <c r="AA888" s="14">
        <v>30.48</v>
      </c>
      <c r="AB888" s="12" t="s">
        <v>43</v>
      </c>
      <c r="AC888" s="12" t="s">
        <v>5560</v>
      </c>
      <c r="AD888" s="13">
        <v>45243</v>
      </c>
      <c r="AE888" s="12" t="s">
        <v>5561</v>
      </c>
      <c r="AF888" s="12" t="s">
        <v>36</v>
      </c>
      <c r="AG888" s="12" t="s">
        <v>382</v>
      </c>
      <c r="AH888" s="1">
        <f>HYPERLINK("https://my.pitchbook.com?c=245251-90T","View Company Online")</f>
      </c>
    </row>
    <row r="889">
      <c r="A889" s="3" t="s">
        <v>5562</v>
      </c>
      <c r="B889" s="3" t="s">
        <v>5563</v>
      </c>
      <c r="C889" s="5" t="s">
        <v>36</v>
      </c>
      <c r="D889" s="5" t="s">
        <v>36</v>
      </c>
      <c r="E889" s="5" t="s">
        <v>36</v>
      </c>
      <c r="F889" s="5" t="s">
        <v>36</v>
      </c>
      <c r="G889" s="6" t="s">
        <v>36</v>
      </c>
      <c r="H889" s="4" t="s">
        <v>36</v>
      </c>
      <c r="I889" s="7">
        <v>19</v>
      </c>
      <c r="J889" s="3" t="s">
        <v>36</v>
      </c>
      <c r="K889" s="9" t="s">
        <v>36</v>
      </c>
      <c r="L889" s="6" t="s">
        <v>36</v>
      </c>
      <c r="M889" s="3" t="s">
        <v>36</v>
      </c>
      <c r="N889" s="3" t="s">
        <v>36</v>
      </c>
      <c r="O889" s="8" t="s">
        <v>36</v>
      </c>
      <c r="P889" s="3" t="s">
        <v>36</v>
      </c>
      <c r="Q889" s="3" t="s">
        <v>36</v>
      </c>
      <c r="R889" s="3" t="s">
        <v>36</v>
      </c>
      <c r="S889" s="3" t="s">
        <v>36</v>
      </c>
      <c r="T889" s="3" t="s">
        <v>5564</v>
      </c>
      <c r="U889" s="3" t="s">
        <v>74</v>
      </c>
      <c r="V889" s="3" t="s">
        <v>75</v>
      </c>
      <c r="W889" s="3" t="s">
        <v>5565</v>
      </c>
      <c r="X889" s="10" t="s">
        <v>5566</v>
      </c>
      <c r="Y889" s="6" t="s">
        <v>55</v>
      </c>
      <c r="Z889" s="4">
        <v>2.65</v>
      </c>
      <c r="AA889" s="4" t="s">
        <v>36</v>
      </c>
      <c r="AB889" s="3" t="s">
        <v>43</v>
      </c>
      <c r="AC889" s="3" t="s">
        <v>5567</v>
      </c>
      <c r="AD889" s="9">
        <v>45242</v>
      </c>
      <c r="AE889" s="3" t="s">
        <v>3144</v>
      </c>
      <c r="AF889" s="3" t="s">
        <v>5568</v>
      </c>
      <c r="AG889" s="3" t="s">
        <v>81</v>
      </c>
      <c r="AH889" s="11">
        <f>HYPERLINK("https://my.pitchbook.com?c=245247-58T","View Company Online")</f>
      </c>
    </row>
    <row r="890">
      <c r="A890" s="12" t="s">
        <v>5569</v>
      </c>
      <c r="B890" s="12" t="s">
        <v>5570</v>
      </c>
      <c r="C890" s="19">
        <v>9</v>
      </c>
      <c r="D890" s="19">
        <v>6</v>
      </c>
      <c r="E890" s="19">
        <v>6</v>
      </c>
      <c r="F890" s="19">
        <v>15</v>
      </c>
      <c r="G890" s="15" t="s">
        <v>683</v>
      </c>
      <c r="H890" s="14">
        <v>491.24</v>
      </c>
      <c r="I890" s="18">
        <v>22.63</v>
      </c>
      <c r="J890" s="12" t="s">
        <v>521</v>
      </c>
      <c r="K890" s="13" t="s">
        <v>36</v>
      </c>
      <c r="L890" s="15" t="s">
        <v>36</v>
      </c>
      <c r="M890" s="12" t="s">
        <v>36</v>
      </c>
      <c r="N890" s="12" t="s">
        <v>36</v>
      </c>
      <c r="O890" s="17" t="s">
        <v>36</v>
      </c>
      <c r="P890" s="12" t="s">
        <v>36</v>
      </c>
      <c r="Q890" s="12" t="s">
        <v>36</v>
      </c>
      <c r="R890" s="12" t="s">
        <v>36</v>
      </c>
      <c r="S890" s="12" t="s">
        <v>36</v>
      </c>
      <c r="T890" s="12" t="s">
        <v>2992</v>
      </c>
      <c r="U890" s="12" t="s">
        <v>96</v>
      </c>
      <c r="V890" s="12" t="s">
        <v>52</v>
      </c>
      <c r="W890" s="12" t="s">
        <v>5571</v>
      </c>
      <c r="X890" s="16" t="s">
        <v>730</v>
      </c>
      <c r="Y890" s="15" t="s">
        <v>166</v>
      </c>
      <c r="Z890" s="14">
        <v>7.42</v>
      </c>
      <c r="AA890" s="14">
        <v>30.22</v>
      </c>
      <c r="AB890" s="12" t="s">
        <v>56</v>
      </c>
      <c r="AC890" s="12" t="s">
        <v>5572</v>
      </c>
      <c r="AD890" s="13">
        <v>45239</v>
      </c>
      <c r="AE890" s="12" t="s">
        <v>100</v>
      </c>
      <c r="AF890" s="12" t="s">
        <v>5573</v>
      </c>
      <c r="AG890" s="12" t="s">
        <v>382</v>
      </c>
      <c r="AH890" s="1">
        <f>HYPERLINK("https://my.pitchbook.com?c=245111-41T","View Company Online")</f>
      </c>
    </row>
    <row r="891">
      <c r="A891" s="3" t="s">
        <v>5574</v>
      </c>
      <c r="B891" s="3" t="s">
        <v>5575</v>
      </c>
      <c r="C891" s="5" t="s">
        <v>36</v>
      </c>
      <c r="D891" s="5" t="s">
        <v>36</v>
      </c>
      <c r="E891" s="5" t="s">
        <v>36</v>
      </c>
      <c r="F891" s="5" t="s">
        <v>36</v>
      </c>
      <c r="G891" s="6" t="s">
        <v>326</v>
      </c>
      <c r="H891" s="4">
        <v>211.51</v>
      </c>
      <c r="I891" s="7">
        <v>14.2</v>
      </c>
      <c r="J891" s="3" t="s">
        <v>521</v>
      </c>
      <c r="K891" s="9" t="s">
        <v>36</v>
      </c>
      <c r="L891" s="6" t="s">
        <v>36</v>
      </c>
      <c r="M891" s="3" t="s">
        <v>36</v>
      </c>
      <c r="N891" s="3" t="s">
        <v>36</v>
      </c>
      <c r="O891" s="8" t="s">
        <v>36</v>
      </c>
      <c r="P891" s="3" t="s">
        <v>36</v>
      </c>
      <c r="Q891" s="3" t="s">
        <v>36</v>
      </c>
      <c r="R891" s="3" t="s">
        <v>36</v>
      </c>
      <c r="S891" s="3" t="s">
        <v>36</v>
      </c>
      <c r="T891" s="3" t="s">
        <v>5576</v>
      </c>
      <c r="U891" s="3" t="s">
        <v>38</v>
      </c>
      <c r="V891" s="3" t="s">
        <v>39</v>
      </c>
      <c r="W891" s="3" t="s">
        <v>5577</v>
      </c>
      <c r="X891" s="10" t="s">
        <v>5578</v>
      </c>
      <c r="Y891" s="6" t="s">
        <v>108</v>
      </c>
      <c r="Z891" s="4">
        <v>7.42</v>
      </c>
      <c r="AA891" s="4">
        <v>34.86</v>
      </c>
      <c r="AB891" s="3" t="s">
        <v>43</v>
      </c>
      <c r="AC891" s="3" t="s">
        <v>5579</v>
      </c>
      <c r="AD891" s="9">
        <v>45239</v>
      </c>
      <c r="AE891" s="3" t="s">
        <v>110</v>
      </c>
      <c r="AF891" s="3" t="s">
        <v>5580</v>
      </c>
      <c r="AG891" s="3" t="s">
        <v>81</v>
      </c>
      <c r="AH891" s="11">
        <f>HYPERLINK("https://my.pitchbook.com?c=241141-42T","View Company Online")</f>
      </c>
    </row>
    <row r="892">
      <c r="A892" s="12" t="s">
        <v>5581</v>
      </c>
      <c r="B892" s="12" t="s">
        <v>5582</v>
      </c>
      <c r="C892" s="19" t="s">
        <v>36</v>
      </c>
      <c r="D892" s="19" t="s">
        <v>36</v>
      </c>
      <c r="E892" s="19" t="s">
        <v>36</v>
      </c>
      <c r="F892" s="19" t="s">
        <v>36</v>
      </c>
      <c r="G892" s="15" t="s">
        <v>36</v>
      </c>
      <c r="H892" s="14" t="s">
        <v>36</v>
      </c>
      <c r="I892" s="18">
        <v>20.01</v>
      </c>
      <c r="J892" s="12" t="s">
        <v>327</v>
      </c>
      <c r="K892" s="13" t="s">
        <v>36</v>
      </c>
      <c r="L892" s="15" t="s">
        <v>36</v>
      </c>
      <c r="M892" s="12" t="s">
        <v>36</v>
      </c>
      <c r="N892" s="12" t="s">
        <v>36</v>
      </c>
      <c r="O892" s="17" t="s">
        <v>36</v>
      </c>
      <c r="P892" s="12" t="s">
        <v>36</v>
      </c>
      <c r="Q892" s="12" t="s">
        <v>36</v>
      </c>
      <c r="R892" s="12" t="s">
        <v>36</v>
      </c>
      <c r="S892" s="12" t="s">
        <v>36</v>
      </c>
      <c r="T892" s="12" t="s">
        <v>5583</v>
      </c>
      <c r="U892" s="12" t="s">
        <v>38</v>
      </c>
      <c r="V892" s="12" t="s">
        <v>39</v>
      </c>
      <c r="W892" s="12" t="s">
        <v>5584</v>
      </c>
      <c r="X892" s="16" t="s">
        <v>5585</v>
      </c>
      <c r="Y892" s="15" t="s">
        <v>42</v>
      </c>
      <c r="Z892" s="14">
        <v>2.12</v>
      </c>
      <c r="AA892" s="14">
        <v>10.6</v>
      </c>
      <c r="AB892" s="12" t="s">
        <v>43</v>
      </c>
      <c r="AC892" s="12" t="s">
        <v>5586</v>
      </c>
      <c r="AD892" s="13">
        <v>45238</v>
      </c>
      <c r="AE892" s="12" t="s">
        <v>1945</v>
      </c>
      <c r="AF892" s="12" t="s">
        <v>111</v>
      </c>
      <c r="AG892" s="12" t="s">
        <v>144</v>
      </c>
      <c r="AH892" s="1">
        <f>HYPERLINK("https://my.pitchbook.com?c=245027-26T","View Company Online")</f>
      </c>
    </row>
    <row r="893">
      <c r="A893" s="3" t="s">
        <v>5587</v>
      </c>
      <c r="B893" s="3" t="s">
        <v>5588</v>
      </c>
      <c r="C893" s="5" t="s">
        <v>36</v>
      </c>
      <c r="D893" s="5" t="s">
        <v>36</v>
      </c>
      <c r="E893" s="5" t="s">
        <v>36</v>
      </c>
      <c r="F893" s="5" t="s">
        <v>36</v>
      </c>
      <c r="G893" s="6" t="s">
        <v>36</v>
      </c>
      <c r="H893" s="4" t="s">
        <v>36</v>
      </c>
      <c r="I893" s="7" t="s">
        <v>36</v>
      </c>
      <c r="J893" s="3" t="s">
        <v>36</v>
      </c>
      <c r="K893" s="9" t="s">
        <v>36</v>
      </c>
      <c r="L893" s="6" t="s">
        <v>36</v>
      </c>
      <c r="M893" s="3" t="s">
        <v>36</v>
      </c>
      <c r="N893" s="3" t="s">
        <v>36</v>
      </c>
      <c r="O893" s="8" t="s">
        <v>36</v>
      </c>
      <c r="P893" s="3" t="s">
        <v>36</v>
      </c>
      <c r="Q893" s="3" t="s">
        <v>36</v>
      </c>
      <c r="R893" s="3" t="s">
        <v>36</v>
      </c>
      <c r="S893" s="3" t="s">
        <v>36</v>
      </c>
      <c r="T893" s="3" t="s">
        <v>5589</v>
      </c>
      <c r="U893" s="3" t="s">
        <v>38</v>
      </c>
      <c r="V893" s="3" t="s">
        <v>39</v>
      </c>
      <c r="W893" s="3" t="s">
        <v>5590</v>
      </c>
      <c r="X893" s="10" t="s">
        <v>5591</v>
      </c>
      <c r="Y893" s="6" t="s">
        <v>55</v>
      </c>
      <c r="Z893" s="4">
        <v>3.71</v>
      </c>
      <c r="AA893" s="4" t="s">
        <v>36</v>
      </c>
      <c r="AB893" s="3" t="s">
        <v>56</v>
      </c>
      <c r="AC893" s="3" t="s">
        <v>5592</v>
      </c>
      <c r="AD893" s="9">
        <v>45238</v>
      </c>
      <c r="AE893" s="3" t="s">
        <v>110</v>
      </c>
      <c r="AF893" s="3" t="s">
        <v>2409</v>
      </c>
      <c r="AG893" s="3" t="s">
        <v>81</v>
      </c>
      <c r="AH893" s="11">
        <f>HYPERLINK("https://my.pitchbook.com?c=244990-99T","View Company Online")</f>
      </c>
    </row>
    <row r="894">
      <c r="A894" s="12" t="s">
        <v>5593</v>
      </c>
      <c r="B894" s="12" t="s">
        <v>5594</v>
      </c>
      <c r="C894" s="19" t="s">
        <v>36</v>
      </c>
      <c r="D894" s="19" t="s">
        <v>36</v>
      </c>
      <c r="E894" s="19" t="s">
        <v>36</v>
      </c>
      <c r="F894" s="19" t="s">
        <v>36</v>
      </c>
      <c r="G894" s="15" t="s">
        <v>326</v>
      </c>
      <c r="H894" s="14">
        <v>2077.13</v>
      </c>
      <c r="I894" s="18">
        <v>6.63</v>
      </c>
      <c r="J894" s="12" t="s">
        <v>521</v>
      </c>
      <c r="K894" s="13" t="s">
        <v>36</v>
      </c>
      <c r="L894" s="15" t="s">
        <v>36</v>
      </c>
      <c r="M894" s="12" t="s">
        <v>36</v>
      </c>
      <c r="N894" s="12" t="s">
        <v>36</v>
      </c>
      <c r="O894" s="17" t="s">
        <v>36</v>
      </c>
      <c r="P894" s="12" t="s">
        <v>36</v>
      </c>
      <c r="Q894" s="12" t="s">
        <v>36</v>
      </c>
      <c r="R894" s="12" t="s">
        <v>36</v>
      </c>
      <c r="S894" s="12" t="s">
        <v>36</v>
      </c>
      <c r="T894" s="12" t="s">
        <v>5595</v>
      </c>
      <c r="U894" s="12" t="s">
        <v>38</v>
      </c>
      <c r="V894" s="12" t="s">
        <v>39</v>
      </c>
      <c r="W894" s="12" t="s">
        <v>5596</v>
      </c>
      <c r="X894" s="16" t="s">
        <v>5597</v>
      </c>
      <c r="Y894" s="15" t="s">
        <v>55</v>
      </c>
      <c r="Z894" s="14">
        <v>0.32</v>
      </c>
      <c r="AA894" s="14">
        <v>4.8</v>
      </c>
      <c r="AB894" s="12" t="s">
        <v>56</v>
      </c>
      <c r="AC894" s="12" t="s">
        <v>5598</v>
      </c>
      <c r="AD894" s="13">
        <v>45238</v>
      </c>
      <c r="AE894" s="12" t="s">
        <v>1422</v>
      </c>
      <c r="AF894" s="12" t="s">
        <v>5599</v>
      </c>
      <c r="AG894" s="12" t="s">
        <v>81</v>
      </c>
      <c r="AH894" s="1">
        <f>HYPERLINK("https://my.pitchbook.com?c=248146-48T","View Company Online")</f>
      </c>
    </row>
    <row r="895">
      <c r="A895" s="3" t="s">
        <v>5600</v>
      </c>
      <c r="B895" s="3" t="s">
        <v>5601</v>
      </c>
      <c r="C895" s="5" t="s">
        <v>36</v>
      </c>
      <c r="D895" s="5" t="s">
        <v>36</v>
      </c>
      <c r="E895" s="5" t="s">
        <v>36</v>
      </c>
      <c r="F895" s="5" t="s">
        <v>36</v>
      </c>
      <c r="G895" s="6" t="s">
        <v>36</v>
      </c>
      <c r="H895" s="4" t="s">
        <v>36</v>
      </c>
      <c r="I895" s="7" t="s">
        <v>36</v>
      </c>
      <c r="J895" s="3" t="s">
        <v>36</v>
      </c>
      <c r="K895" s="9" t="s">
        <v>36</v>
      </c>
      <c r="L895" s="6" t="s">
        <v>122</v>
      </c>
      <c r="M895" s="3" t="s">
        <v>36</v>
      </c>
      <c r="N895" s="3" t="s">
        <v>122</v>
      </c>
      <c r="O895" s="8" t="s">
        <v>36</v>
      </c>
      <c r="P895" s="3" t="s">
        <v>36</v>
      </c>
      <c r="Q895" s="3" t="s">
        <v>36</v>
      </c>
      <c r="R895" s="3" t="s">
        <v>36</v>
      </c>
      <c r="S895" s="3" t="s">
        <v>36</v>
      </c>
      <c r="T895" s="3" t="s">
        <v>5602</v>
      </c>
      <c r="U895" s="3" t="s">
        <v>318</v>
      </c>
      <c r="V895" s="3" t="s">
        <v>39</v>
      </c>
      <c r="W895" s="3" t="s">
        <v>5603</v>
      </c>
      <c r="X895" s="10" t="s">
        <v>5604</v>
      </c>
      <c r="Y895" s="6" t="s">
        <v>192</v>
      </c>
      <c r="Z895" s="4">
        <v>7.42</v>
      </c>
      <c r="AA895" s="4" t="s">
        <v>36</v>
      </c>
      <c r="AB895" s="3" t="s">
        <v>56</v>
      </c>
      <c r="AC895" s="3" t="s">
        <v>5605</v>
      </c>
      <c r="AD895" s="9">
        <v>45238</v>
      </c>
      <c r="AE895" s="3" t="s">
        <v>763</v>
      </c>
      <c r="AF895" s="3" t="s">
        <v>5606</v>
      </c>
      <c r="AG895" s="3" t="s">
        <v>332</v>
      </c>
      <c r="AH895" s="11">
        <f>HYPERLINK("https://my.pitchbook.com?c=245014-30T","View Company Online")</f>
      </c>
    </row>
    <row r="896">
      <c r="A896" s="12" t="s">
        <v>5607</v>
      </c>
      <c r="B896" s="12" t="s">
        <v>5608</v>
      </c>
      <c r="C896" s="19" t="s">
        <v>36</v>
      </c>
      <c r="D896" s="19">
        <v>2</v>
      </c>
      <c r="E896" s="19">
        <v>1</v>
      </c>
      <c r="F896" s="19">
        <v>4</v>
      </c>
      <c r="G896" s="15" t="s">
        <v>326</v>
      </c>
      <c r="H896" s="14">
        <v>1008.42</v>
      </c>
      <c r="I896" s="18">
        <v>34.67</v>
      </c>
      <c r="J896" s="12" t="s">
        <v>521</v>
      </c>
      <c r="K896" s="13">
        <v>45169</v>
      </c>
      <c r="L896" s="15" t="s">
        <v>36</v>
      </c>
      <c r="M896" s="12" t="s">
        <v>36</v>
      </c>
      <c r="N896" s="12" t="s">
        <v>36</v>
      </c>
      <c r="O896" s="17" t="s">
        <v>36</v>
      </c>
      <c r="P896" s="12" t="s">
        <v>36</v>
      </c>
      <c r="Q896" s="12" t="s">
        <v>36</v>
      </c>
      <c r="R896" s="12" t="s">
        <v>36</v>
      </c>
      <c r="S896" s="12" t="s">
        <v>36</v>
      </c>
      <c r="T896" s="12" t="s">
        <v>1106</v>
      </c>
      <c r="U896" s="12" t="s">
        <v>38</v>
      </c>
      <c r="V896" s="12" t="s">
        <v>39</v>
      </c>
      <c r="W896" s="12" t="s">
        <v>5609</v>
      </c>
      <c r="X896" s="16" t="s">
        <v>5610</v>
      </c>
      <c r="Y896" s="15" t="s">
        <v>42</v>
      </c>
      <c r="Z896" s="14">
        <v>5.34</v>
      </c>
      <c r="AA896" s="14">
        <v>15.41</v>
      </c>
      <c r="AB896" s="12" t="s">
        <v>56</v>
      </c>
      <c r="AC896" s="12" t="s">
        <v>5611</v>
      </c>
      <c r="AD896" s="13">
        <v>45237</v>
      </c>
      <c r="AE896" s="12" t="s">
        <v>110</v>
      </c>
      <c r="AF896" s="12" t="s">
        <v>275</v>
      </c>
      <c r="AG896" s="12" t="s">
        <v>652</v>
      </c>
      <c r="AH896" s="1">
        <f>HYPERLINK("https://my.pitchbook.com?c=244845-64T","View Company Online")</f>
      </c>
    </row>
    <row r="897">
      <c r="A897" s="3" t="s">
        <v>5612</v>
      </c>
      <c r="B897" s="3" t="s">
        <v>5613</v>
      </c>
      <c r="C897" s="5">
        <v>11</v>
      </c>
      <c r="D897" s="5">
        <v>4</v>
      </c>
      <c r="E897" s="5">
        <v>8</v>
      </c>
      <c r="F897" s="5">
        <v>16</v>
      </c>
      <c r="G897" s="6" t="s">
        <v>36</v>
      </c>
      <c r="H897" s="4" t="s">
        <v>36</v>
      </c>
      <c r="I897" s="7" t="s">
        <v>36</v>
      </c>
      <c r="J897" s="3" t="s">
        <v>36</v>
      </c>
      <c r="K897" s="9">
        <v>45135</v>
      </c>
      <c r="L897" s="6" t="s">
        <v>36</v>
      </c>
      <c r="M897" s="3" t="s">
        <v>36</v>
      </c>
      <c r="N897" s="3" t="s">
        <v>36</v>
      </c>
      <c r="O897" s="8" t="s">
        <v>36</v>
      </c>
      <c r="P897" s="3" t="s">
        <v>36</v>
      </c>
      <c r="Q897" s="3" t="s">
        <v>36</v>
      </c>
      <c r="R897" s="3" t="s">
        <v>36</v>
      </c>
      <c r="S897" s="3" t="s">
        <v>316</v>
      </c>
      <c r="T897" s="3" t="s">
        <v>5614</v>
      </c>
      <c r="U897" s="3" t="s">
        <v>318</v>
      </c>
      <c r="V897" s="3" t="s">
        <v>39</v>
      </c>
      <c r="W897" s="3" t="s">
        <v>5615</v>
      </c>
      <c r="X897" s="10" t="s">
        <v>5616</v>
      </c>
      <c r="Y897" s="6" t="s">
        <v>55</v>
      </c>
      <c r="Z897" s="4">
        <v>56.15</v>
      </c>
      <c r="AA897" s="4" t="s">
        <v>36</v>
      </c>
      <c r="AB897" s="3" t="s">
        <v>56</v>
      </c>
      <c r="AC897" s="3" t="s">
        <v>5617</v>
      </c>
      <c r="AD897" s="9">
        <v>45237</v>
      </c>
      <c r="AE897" s="3" t="s">
        <v>417</v>
      </c>
      <c r="AF897" s="3" t="s">
        <v>5618</v>
      </c>
      <c r="AG897" s="3" t="s">
        <v>2542</v>
      </c>
      <c r="AH897" s="11">
        <f>HYPERLINK("https://my.pitchbook.com?c=218993-32T","View Company Online")</f>
      </c>
    </row>
    <row r="898">
      <c r="A898" s="12" t="s">
        <v>5619</v>
      </c>
      <c r="B898" s="12" t="s">
        <v>5620</v>
      </c>
      <c r="C898" s="19" t="s">
        <v>36</v>
      </c>
      <c r="D898" s="19" t="s">
        <v>36</v>
      </c>
      <c r="E898" s="19" t="s">
        <v>36</v>
      </c>
      <c r="F898" s="19" t="s">
        <v>36</v>
      </c>
      <c r="G898" s="15" t="s">
        <v>326</v>
      </c>
      <c r="H898" s="14" t="s">
        <v>36</v>
      </c>
      <c r="I898" s="18">
        <v>16.25</v>
      </c>
      <c r="J898" s="12" t="s">
        <v>327</v>
      </c>
      <c r="K898" s="13" t="s">
        <v>36</v>
      </c>
      <c r="L898" s="15" t="s">
        <v>36</v>
      </c>
      <c r="M898" s="12" t="s">
        <v>36</v>
      </c>
      <c r="N898" s="12" t="s">
        <v>36</v>
      </c>
      <c r="O898" s="17" t="s">
        <v>36</v>
      </c>
      <c r="P898" s="12" t="s">
        <v>36</v>
      </c>
      <c r="Q898" s="12" t="s">
        <v>36</v>
      </c>
      <c r="R898" s="12" t="s">
        <v>36</v>
      </c>
      <c r="S898" s="12" t="s">
        <v>36</v>
      </c>
      <c r="T898" s="12" t="s">
        <v>5621</v>
      </c>
      <c r="U898" s="12" t="s">
        <v>956</v>
      </c>
      <c r="V898" s="12" t="s">
        <v>405</v>
      </c>
      <c r="W898" s="12" t="s">
        <v>5622</v>
      </c>
      <c r="X898" s="16" t="s">
        <v>5623</v>
      </c>
      <c r="Y898" s="15" t="s">
        <v>108</v>
      </c>
      <c r="Z898" s="14">
        <v>3.71</v>
      </c>
      <c r="AA898" s="14">
        <v>22.82</v>
      </c>
      <c r="AB898" s="12" t="s">
        <v>43</v>
      </c>
      <c r="AC898" s="12" t="s">
        <v>5624</v>
      </c>
      <c r="AD898" s="13">
        <v>45236</v>
      </c>
      <c r="AE898" s="12" t="s">
        <v>5625</v>
      </c>
      <c r="AF898" s="12" t="s">
        <v>2054</v>
      </c>
      <c r="AG898" s="12" t="s">
        <v>2618</v>
      </c>
      <c r="AH898" s="1">
        <f>HYPERLINK("https://my.pitchbook.com?c=244770-94T","View Company Online")</f>
      </c>
    </row>
    <row r="899">
      <c r="A899" s="3" t="s">
        <v>5626</v>
      </c>
      <c r="B899" s="3" t="s">
        <v>5627</v>
      </c>
      <c r="C899" s="5" t="s">
        <v>36</v>
      </c>
      <c r="D899" s="5" t="s">
        <v>36</v>
      </c>
      <c r="E899" s="5" t="s">
        <v>36</v>
      </c>
      <c r="F899" s="5" t="s">
        <v>36</v>
      </c>
      <c r="G899" s="6" t="s">
        <v>326</v>
      </c>
      <c r="H899" s="4" t="s">
        <v>36</v>
      </c>
      <c r="I899" s="7">
        <v>32.49</v>
      </c>
      <c r="J899" s="3" t="s">
        <v>327</v>
      </c>
      <c r="K899" s="9" t="s">
        <v>36</v>
      </c>
      <c r="L899" s="6" t="s">
        <v>36</v>
      </c>
      <c r="M899" s="3" t="s">
        <v>36</v>
      </c>
      <c r="N899" s="3" t="s">
        <v>36</v>
      </c>
      <c r="O899" s="8" t="s">
        <v>36</v>
      </c>
      <c r="P899" s="3" t="s">
        <v>36</v>
      </c>
      <c r="Q899" s="3" t="s">
        <v>36</v>
      </c>
      <c r="R899" s="3" t="s">
        <v>36</v>
      </c>
      <c r="S899" s="3" t="s">
        <v>36</v>
      </c>
      <c r="T899" s="3" t="s">
        <v>37</v>
      </c>
      <c r="U899" s="3" t="s">
        <v>38</v>
      </c>
      <c r="V899" s="3" t="s">
        <v>39</v>
      </c>
      <c r="W899" s="3" t="s">
        <v>5628</v>
      </c>
      <c r="X899" s="10" t="s">
        <v>5629</v>
      </c>
      <c r="Y899" s="6" t="s">
        <v>55</v>
      </c>
      <c r="Z899" s="4">
        <v>10.59</v>
      </c>
      <c r="AA899" s="4">
        <v>32.6</v>
      </c>
      <c r="AB899" s="3" t="s">
        <v>43</v>
      </c>
      <c r="AC899" s="3" t="s">
        <v>5630</v>
      </c>
      <c r="AD899" s="9">
        <v>45236</v>
      </c>
      <c r="AE899" s="3" t="s">
        <v>45</v>
      </c>
      <c r="AF899" s="3" t="s">
        <v>331</v>
      </c>
      <c r="AG899" s="3" t="s">
        <v>81</v>
      </c>
      <c r="AH899" s="11">
        <f>HYPERLINK("https://my.pitchbook.com?c=244775-62T","View Company Online")</f>
      </c>
    </row>
    <row r="900">
      <c r="A900" s="12" t="s">
        <v>5631</v>
      </c>
      <c r="B900" s="12" t="s">
        <v>5632</v>
      </c>
      <c r="C900" s="19" t="s">
        <v>36</v>
      </c>
      <c r="D900" s="19" t="s">
        <v>36</v>
      </c>
      <c r="E900" s="19" t="s">
        <v>36</v>
      </c>
      <c r="F900" s="19" t="s">
        <v>36</v>
      </c>
      <c r="G900" s="15" t="s">
        <v>36</v>
      </c>
      <c r="H900" s="14" t="s">
        <v>36</v>
      </c>
      <c r="I900" s="18" t="s">
        <v>36</v>
      </c>
      <c r="J900" s="12" t="s">
        <v>36</v>
      </c>
      <c r="K900" s="13" t="s">
        <v>36</v>
      </c>
      <c r="L900" s="15" t="s">
        <v>122</v>
      </c>
      <c r="M900" s="12" t="s">
        <v>36</v>
      </c>
      <c r="N900" s="12" t="s">
        <v>122</v>
      </c>
      <c r="O900" s="17" t="s">
        <v>36</v>
      </c>
      <c r="P900" s="12" t="s">
        <v>36</v>
      </c>
      <c r="Q900" s="12" t="s">
        <v>36</v>
      </c>
      <c r="R900" s="12" t="s">
        <v>36</v>
      </c>
      <c r="S900" s="12" t="s">
        <v>36</v>
      </c>
      <c r="T900" s="12" t="s">
        <v>278</v>
      </c>
      <c r="U900" s="12" t="s">
        <v>279</v>
      </c>
      <c r="V900" s="12" t="s">
        <v>64</v>
      </c>
      <c r="W900" s="12" t="s">
        <v>5633</v>
      </c>
      <c r="X900" s="16" t="s">
        <v>5634</v>
      </c>
      <c r="Y900" s="15" t="s">
        <v>42</v>
      </c>
      <c r="Z900" s="14">
        <v>12.71</v>
      </c>
      <c r="AA900" s="14" t="s">
        <v>36</v>
      </c>
      <c r="AB900" s="12" t="s">
        <v>56</v>
      </c>
      <c r="AC900" s="12" t="s">
        <v>5635</v>
      </c>
      <c r="AD900" s="13">
        <v>45236</v>
      </c>
      <c r="AE900" s="12" t="s">
        <v>283</v>
      </c>
      <c r="AF900" s="12" t="s">
        <v>5636</v>
      </c>
      <c r="AG900" s="12" t="s">
        <v>81</v>
      </c>
      <c r="AH900" s="1">
        <f>HYPERLINK("https://my.pitchbook.com?c=244782-10T","View Company Online")</f>
      </c>
    </row>
    <row r="901">
      <c r="A901" s="3" t="s">
        <v>5637</v>
      </c>
      <c r="B901" s="3" t="s">
        <v>5638</v>
      </c>
      <c r="C901" s="5">
        <v>1</v>
      </c>
      <c r="D901" s="5">
        <v>2</v>
      </c>
      <c r="E901" s="5">
        <v>1</v>
      </c>
      <c r="F901" s="5">
        <v>4</v>
      </c>
      <c r="G901" s="6" t="s">
        <v>36</v>
      </c>
      <c r="H901" s="4" t="s">
        <v>36</v>
      </c>
      <c r="I901" s="7" t="s">
        <v>36</v>
      </c>
      <c r="J901" s="3" t="s">
        <v>36</v>
      </c>
      <c r="K901" s="9" t="s">
        <v>36</v>
      </c>
      <c r="L901" s="6" t="s">
        <v>5639</v>
      </c>
      <c r="M901" s="3" t="s">
        <v>36</v>
      </c>
      <c r="N901" s="3" t="s">
        <v>5639</v>
      </c>
      <c r="O901" s="8" t="s">
        <v>36</v>
      </c>
      <c r="P901" s="3" t="s">
        <v>36</v>
      </c>
      <c r="Q901" s="3" t="s">
        <v>36</v>
      </c>
      <c r="R901" s="3" t="s">
        <v>36</v>
      </c>
      <c r="S901" s="3" t="s">
        <v>36</v>
      </c>
      <c r="T901" s="3" t="s">
        <v>1125</v>
      </c>
      <c r="U901" s="3" t="s">
        <v>74</v>
      </c>
      <c r="V901" s="3" t="s">
        <v>75</v>
      </c>
      <c r="W901" s="3" t="s">
        <v>5640</v>
      </c>
      <c r="X901" s="10" t="s">
        <v>5641</v>
      </c>
      <c r="Y901" s="6" t="s">
        <v>192</v>
      </c>
      <c r="Z901" s="4" t="s">
        <v>36</v>
      </c>
      <c r="AA901" s="4" t="s">
        <v>36</v>
      </c>
      <c r="AB901" s="3" t="s">
        <v>56</v>
      </c>
      <c r="AC901" s="3" t="s">
        <v>5642</v>
      </c>
      <c r="AD901" s="9">
        <v>45236</v>
      </c>
      <c r="AE901" s="3" t="s">
        <v>975</v>
      </c>
      <c r="AF901" s="3" t="s">
        <v>36</v>
      </c>
      <c r="AG901" s="3" t="s">
        <v>81</v>
      </c>
      <c r="AH901" s="11">
        <f>HYPERLINK("https://my.pitchbook.com?c=247480-93T","View Company Online")</f>
      </c>
    </row>
    <row r="902">
      <c r="A902" s="12" t="s">
        <v>5643</v>
      </c>
      <c r="B902" s="12" t="s">
        <v>5644</v>
      </c>
      <c r="C902" s="19">
        <v>1</v>
      </c>
      <c r="D902" s="19" t="s">
        <v>36</v>
      </c>
      <c r="E902" s="19">
        <v>1</v>
      </c>
      <c r="F902" s="19">
        <v>1</v>
      </c>
      <c r="G902" s="15" t="s">
        <v>326</v>
      </c>
      <c r="H902" s="14">
        <v>18.49</v>
      </c>
      <c r="I902" s="18">
        <v>27.67</v>
      </c>
      <c r="J902" s="12" t="s">
        <v>521</v>
      </c>
      <c r="K902" s="13" t="s">
        <v>36</v>
      </c>
      <c r="L902" s="15" t="s">
        <v>36</v>
      </c>
      <c r="M902" s="12" t="s">
        <v>36</v>
      </c>
      <c r="N902" s="12" t="s">
        <v>36</v>
      </c>
      <c r="O902" s="17" t="s">
        <v>36</v>
      </c>
      <c r="P902" s="12" t="s">
        <v>36</v>
      </c>
      <c r="Q902" s="12" t="s">
        <v>36</v>
      </c>
      <c r="R902" s="12" t="s">
        <v>36</v>
      </c>
      <c r="S902" s="12" t="s">
        <v>5645</v>
      </c>
      <c r="T902" s="12" t="s">
        <v>5646</v>
      </c>
      <c r="U902" s="12" t="s">
        <v>38</v>
      </c>
      <c r="V902" s="12" t="s">
        <v>39</v>
      </c>
      <c r="W902" s="12" t="s">
        <v>5647</v>
      </c>
      <c r="X902" s="16" t="s">
        <v>5648</v>
      </c>
      <c r="Y902" s="15" t="s">
        <v>55</v>
      </c>
      <c r="Z902" s="14">
        <v>12.27</v>
      </c>
      <c r="AA902" s="14">
        <v>22.17</v>
      </c>
      <c r="AB902" s="12" t="s">
        <v>56</v>
      </c>
      <c r="AC902" s="12" t="s">
        <v>5649</v>
      </c>
      <c r="AD902" s="13">
        <v>45233</v>
      </c>
      <c r="AE902" s="12" t="s">
        <v>110</v>
      </c>
      <c r="AF902" s="12" t="s">
        <v>5156</v>
      </c>
      <c r="AG902" s="12" t="s">
        <v>81</v>
      </c>
      <c r="AH902" s="1">
        <f>HYPERLINK("https://my.pitchbook.com?c=246630-25T","View Company Online")</f>
      </c>
    </row>
    <row r="903">
      <c r="A903" s="3" t="s">
        <v>5650</v>
      </c>
      <c r="B903" s="3" t="s">
        <v>5651</v>
      </c>
      <c r="C903" s="5" t="s">
        <v>36</v>
      </c>
      <c r="D903" s="5" t="s">
        <v>36</v>
      </c>
      <c r="E903" s="5" t="s">
        <v>36</v>
      </c>
      <c r="F903" s="5" t="s">
        <v>36</v>
      </c>
      <c r="G903" s="6" t="s">
        <v>36</v>
      </c>
      <c r="H903" s="4" t="s">
        <v>36</v>
      </c>
      <c r="I903" s="7" t="s">
        <v>36</v>
      </c>
      <c r="J903" s="3" t="s">
        <v>36</v>
      </c>
      <c r="K903" s="9" t="s">
        <v>36</v>
      </c>
      <c r="L903" s="6" t="s">
        <v>36</v>
      </c>
      <c r="M903" s="3" t="s">
        <v>36</v>
      </c>
      <c r="N903" s="3" t="s">
        <v>36</v>
      </c>
      <c r="O903" s="8" t="s">
        <v>36</v>
      </c>
      <c r="P903" s="3" t="s">
        <v>36</v>
      </c>
      <c r="Q903" s="3" t="s">
        <v>36</v>
      </c>
      <c r="R903" s="3" t="s">
        <v>36</v>
      </c>
      <c r="S903" s="3" t="s">
        <v>5652</v>
      </c>
      <c r="T903" s="3" t="s">
        <v>253</v>
      </c>
      <c r="U903" s="3" t="s">
        <v>38</v>
      </c>
      <c r="V903" s="3" t="s">
        <v>39</v>
      </c>
      <c r="W903" s="3" t="s">
        <v>5653</v>
      </c>
      <c r="X903" s="10" t="s">
        <v>5654</v>
      </c>
      <c r="Y903" s="6" t="s">
        <v>55</v>
      </c>
      <c r="Z903" s="4">
        <v>7</v>
      </c>
      <c r="AA903" s="4" t="s">
        <v>36</v>
      </c>
      <c r="AB903" s="3" t="s">
        <v>43</v>
      </c>
      <c r="AC903" s="3" t="s">
        <v>5655</v>
      </c>
      <c r="AD903" s="9">
        <v>45232</v>
      </c>
      <c r="AE903" s="3" t="s">
        <v>110</v>
      </c>
      <c r="AF903" s="3" t="s">
        <v>5001</v>
      </c>
      <c r="AG903" s="3" t="s">
        <v>81</v>
      </c>
      <c r="AH903" s="11">
        <f>HYPERLINK("https://my.pitchbook.com?c=244622-89T","View Company Online")</f>
      </c>
    </row>
    <row r="904">
      <c r="A904" s="12" t="s">
        <v>5656</v>
      </c>
      <c r="B904" s="12" t="s">
        <v>315</v>
      </c>
      <c r="C904" s="19">
        <v>16</v>
      </c>
      <c r="D904" s="19">
        <v>5</v>
      </c>
      <c r="E904" s="19">
        <v>14</v>
      </c>
      <c r="F904" s="19">
        <v>21</v>
      </c>
      <c r="G904" s="15" t="s">
        <v>36</v>
      </c>
      <c r="H904" s="14" t="s">
        <v>36</v>
      </c>
      <c r="I904" s="18" t="s">
        <v>36</v>
      </c>
      <c r="J904" s="12" t="s">
        <v>36</v>
      </c>
      <c r="K904" s="13" t="s">
        <v>36</v>
      </c>
      <c r="L904" s="15" t="s">
        <v>36</v>
      </c>
      <c r="M904" s="12" t="s">
        <v>36</v>
      </c>
      <c r="N904" s="12" t="s">
        <v>36</v>
      </c>
      <c r="O904" s="17" t="s">
        <v>36</v>
      </c>
      <c r="P904" s="12" t="s">
        <v>36</v>
      </c>
      <c r="Q904" s="12" t="s">
        <v>36</v>
      </c>
      <c r="R904" s="12" t="s">
        <v>36</v>
      </c>
      <c r="S904" s="12" t="s">
        <v>316</v>
      </c>
      <c r="T904" s="12" t="s">
        <v>317</v>
      </c>
      <c r="U904" s="12" t="s">
        <v>318</v>
      </c>
      <c r="V904" s="12" t="s">
        <v>39</v>
      </c>
      <c r="W904" s="12" t="s">
        <v>319</v>
      </c>
      <c r="X904" s="16" t="s">
        <v>5657</v>
      </c>
      <c r="Y904" s="15" t="s">
        <v>166</v>
      </c>
      <c r="Z904" s="14" t="s">
        <v>36</v>
      </c>
      <c r="AA904" s="14" t="s">
        <v>36</v>
      </c>
      <c r="AB904" s="12" t="s">
        <v>43</v>
      </c>
      <c r="AC904" s="12" t="s">
        <v>322</v>
      </c>
      <c r="AD904" s="13">
        <v>45231</v>
      </c>
      <c r="AE904" s="12" t="s">
        <v>323</v>
      </c>
      <c r="AF904" s="12" t="s">
        <v>36</v>
      </c>
      <c r="AG904" s="12" t="s">
        <v>81</v>
      </c>
      <c r="AH904" s="1">
        <f>HYPERLINK("https://my.pitchbook.com?c=284180-95T","View Company Online")</f>
      </c>
    </row>
    <row r="905">
      <c r="A905" s="3" t="s">
        <v>5658</v>
      </c>
      <c r="B905" s="3" t="s">
        <v>5659</v>
      </c>
      <c r="C905" s="5" t="s">
        <v>36</v>
      </c>
      <c r="D905" s="5" t="s">
        <v>36</v>
      </c>
      <c r="E905" s="5" t="s">
        <v>36</v>
      </c>
      <c r="F905" s="5" t="s">
        <v>36</v>
      </c>
      <c r="G905" s="6" t="s">
        <v>36</v>
      </c>
      <c r="H905" s="4" t="s">
        <v>36</v>
      </c>
      <c r="I905" s="7" t="s">
        <v>36</v>
      </c>
      <c r="J905" s="3" t="s">
        <v>36</v>
      </c>
      <c r="K905" s="9" t="s">
        <v>36</v>
      </c>
      <c r="L905" s="6" t="s">
        <v>36</v>
      </c>
      <c r="M905" s="3" t="s">
        <v>36</v>
      </c>
      <c r="N905" s="3" t="s">
        <v>36</v>
      </c>
      <c r="O905" s="8" t="s">
        <v>36</v>
      </c>
      <c r="P905" s="3" t="s">
        <v>36</v>
      </c>
      <c r="Q905" s="3" t="s">
        <v>36</v>
      </c>
      <c r="R905" s="3" t="s">
        <v>36</v>
      </c>
      <c r="S905" s="3" t="s">
        <v>36</v>
      </c>
      <c r="T905" s="3" t="s">
        <v>1125</v>
      </c>
      <c r="U905" s="3" t="s">
        <v>74</v>
      </c>
      <c r="V905" s="3" t="s">
        <v>75</v>
      </c>
      <c r="W905" s="3" t="s">
        <v>5660</v>
      </c>
      <c r="X905" s="10" t="s">
        <v>5661</v>
      </c>
      <c r="Y905" s="6" t="s">
        <v>42</v>
      </c>
      <c r="Z905" s="4" t="s">
        <v>36</v>
      </c>
      <c r="AA905" s="4" t="s">
        <v>36</v>
      </c>
      <c r="AB905" s="3" t="s">
        <v>43</v>
      </c>
      <c r="AC905" s="3" t="s">
        <v>5662</v>
      </c>
      <c r="AD905" s="9">
        <v>45231</v>
      </c>
      <c r="AE905" s="3" t="s">
        <v>975</v>
      </c>
      <c r="AF905" s="3" t="s">
        <v>5663</v>
      </c>
      <c r="AG905" s="3" t="s">
        <v>1823</v>
      </c>
      <c r="AH905" s="11">
        <f>HYPERLINK("https://my.pitchbook.com?c=246553-84T","View Company Online")</f>
      </c>
    </row>
    <row r="906">
      <c r="A906" s="12" t="s">
        <v>5664</v>
      </c>
      <c r="B906" s="12" t="s">
        <v>5665</v>
      </c>
      <c r="C906" s="19">
        <v>2</v>
      </c>
      <c r="D906" s="19">
        <v>13</v>
      </c>
      <c r="E906" s="19">
        <v>3</v>
      </c>
      <c r="F906" s="19">
        <v>15</v>
      </c>
      <c r="G906" s="15" t="s">
        <v>36</v>
      </c>
      <c r="H906" s="14" t="s">
        <v>36</v>
      </c>
      <c r="I906" s="18" t="s">
        <v>36</v>
      </c>
      <c r="J906" s="12" t="s">
        <v>36</v>
      </c>
      <c r="K906" s="13" t="s">
        <v>36</v>
      </c>
      <c r="L906" s="15" t="s">
        <v>36</v>
      </c>
      <c r="M906" s="12" t="s">
        <v>36</v>
      </c>
      <c r="N906" s="12" t="s">
        <v>36</v>
      </c>
      <c r="O906" s="17" t="s">
        <v>36</v>
      </c>
      <c r="P906" s="12" t="s">
        <v>36</v>
      </c>
      <c r="Q906" s="12" t="s">
        <v>36</v>
      </c>
      <c r="R906" s="12" t="s">
        <v>36</v>
      </c>
      <c r="S906" s="12" t="s">
        <v>36</v>
      </c>
      <c r="T906" s="12" t="s">
        <v>5666</v>
      </c>
      <c r="U906" s="12" t="s">
        <v>219</v>
      </c>
      <c r="V906" s="12" t="s">
        <v>75</v>
      </c>
      <c r="W906" s="12" t="s">
        <v>5667</v>
      </c>
      <c r="X906" s="16" t="s">
        <v>5668</v>
      </c>
      <c r="Y906" s="15" t="s">
        <v>55</v>
      </c>
      <c r="Z906" s="14" t="s">
        <v>36</v>
      </c>
      <c r="AA906" s="14" t="s">
        <v>36</v>
      </c>
      <c r="AB906" s="12" t="s">
        <v>56</v>
      </c>
      <c r="AC906" s="12" t="s">
        <v>5669</v>
      </c>
      <c r="AD906" s="13">
        <v>45231</v>
      </c>
      <c r="AE906" s="12" t="s">
        <v>223</v>
      </c>
      <c r="AF906" s="12" t="s">
        <v>372</v>
      </c>
      <c r="AG906" s="12" t="s">
        <v>5670</v>
      </c>
      <c r="AH906" s="1">
        <f>HYPERLINK("https://my.pitchbook.com?c=247015-45T","View Company Online")</f>
      </c>
    </row>
    <row r="907">
      <c r="A907" s="3" t="s">
        <v>5671</v>
      </c>
      <c r="B907" s="3" t="s">
        <v>5672</v>
      </c>
      <c r="C907" s="5" t="s">
        <v>36</v>
      </c>
      <c r="D907" s="5" t="s">
        <v>36</v>
      </c>
      <c r="E907" s="5" t="s">
        <v>36</v>
      </c>
      <c r="F907" s="5" t="s">
        <v>36</v>
      </c>
      <c r="G907" s="6" t="s">
        <v>36</v>
      </c>
      <c r="H907" s="4" t="s">
        <v>36</v>
      </c>
      <c r="I907" s="7" t="s">
        <v>36</v>
      </c>
      <c r="J907" s="3" t="s">
        <v>36</v>
      </c>
      <c r="K907" s="9" t="s">
        <v>36</v>
      </c>
      <c r="L907" s="6" t="s">
        <v>36</v>
      </c>
      <c r="M907" s="3" t="s">
        <v>36</v>
      </c>
      <c r="N907" s="3" t="s">
        <v>36</v>
      </c>
      <c r="O907" s="8" t="s">
        <v>36</v>
      </c>
      <c r="P907" s="3" t="s">
        <v>36</v>
      </c>
      <c r="Q907" s="3" t="s">
        <v>36</v>
      </c>
      <c r="R907" s="3" t="s">
        <v>36</v>
      </c>
      <c r="S907" s="3" t="s">
        <v>36</v>
      </c>
      <c r="T907" s="3" t="s">
        <v>522</v>
      </c>
      <c r="U907" s="3" t="s">
        <v>38</v>
      </c>
      <c r="V907" s="3" t="s">
        <v>39</v>
      </c>
      <c r="W907" s="3" t="s">
        <v>5673</v>
      </c>
      <c r="X907" s="10" t="s">
        <v>5674</v>
      </c>
      <c r="Y907" s="6" t="s">
        <v>42</v>
      </c>
      <c r="Z907" s="4" t="s">
        <v>36</v>
      </c>
      <c r="AA907" s="4" t="s">
        <v>36</v>
      </c>
      <c r="AB907" s="3" t="s">
        <v>56</v>
      </c>
      <c r="AC907" s="3" t="s">
        <v>5675</v>
      </c>
      <c r="AD907" s="9">
        <v>45231</v>
      </c>
      <c r="AE907" s="3" t="s">
        <v>110</v>
      </c>
      <c r="AF907" s="3" t="s">
        <v>176</v>
      </c>
      <c r="AG907" s="3" t="s">
        <v>81</v>
      </c>
      <c r="AH907" s="11">
        <f>HYPERLINK("https://my.pitchbook.com?c=246029-59T","View Company Online")</f>
      </c>
    </row>
    <row r="908">
      <c r="A908" s="12" t="s">
        <v>5676</v>
      </c>
      <c r="B908" s="12" t="s">
        <v>5677</v>
      </c>
      <c r="C908" s="19" t="s">
        <v>36</v>
      </c>
      <c r="D908" s="19" t="s">
        <v>36</v>
      </c>
      <c r="E908" s="19" t="s">
        <v>36</v>
      </c>
      <c r="F908" s="19" t="s">
        <v>36</v>
      </c>
      <c r="G908" s="15" t="s">
        <v>36</v>
      </c>
      <c r="H908" s="14" t="s">
        <v>36</v>
      </c>
      <c r="I908" s="18" t="s">
        <v>36</v>
      </c>
      <c r="J908" s="12" t="s">
        <v>36</v>
      </c>
      <c r="K908" s="13" t="s">
        <v>36</v>
      </c>
      <c r="L908" s="15" t="s">
        <v>36</v>
      </c>
      <c r="M908" s="12" t="s">
        <v>36</v>
      </c>
      <c r="N908" s="12" t="s">
        <v>36</v>
      </c>
      <c r="O908" s="17" t="s">
        <v>36</v>
      </c>
      <c r="P908" s="12" t="s">
        <v>36</v>
      </c>
      <c r="Q908" s="12" t="s">
        <v>36</v>
      </c>
      <c r="R908" s="12" t="s">
        <v>36</v>
      </c>
      <c r="S908" s="12" t="s">
        <v>36</v>
      </c>
      <c r="T908" s="12" t="s">
        <v>5678</v>
      </c>
      <c r="U908" s="12" t="s">
        <v>74</v>
      </c>
      <c r="V908" s="12" t="s">
        <v>75</v>
      </c>
      <c r="W908" s="12" t="s">
        <v>5679</v>
      </c>
      <c r="X908" s="16" t="s">
        <v>5680</v>
      </c>
      <c r="Y908" s="15" t="s">
        <v>42</v>
      </c>
      <c r="Z908" s="14" t="s">
        <v>36</v>
      </c>
      <c r="AA908" s="14" t="s">
        <v>36</v>
      </c>
      <c r="AB908" s="12" t="s">
        <v>43</v>
      </c>
      <c r="AC908" s="12" t="s">
        <v>5681</v>
      </c>
      <c r="AD908" s="13">
        <v>45231</v>
      </c>
      <c r="AE908" s="12" t="s">
        <v>79</v>
      </c>
      <c r="AF908" s="12" t="s">
        <v>5682</v>
      </c>
      <c r="AG908" s="12" t="s">
        <v>899</v>
      </c>
      <c r="AH908" s="1">
        <f>HYPERLINK("https://my.pitchbook.com?c=245724-85T","View Company Online")</f>
      </c>
    </row>
    <row r="909">
      <c r="A909" s="3" t="s">
        <v>5683</v>
      </c>
      <c r="B909" s="3" t="s">
        <v>5684</v>
      </c>
      <c r="C909" s="5" t="s">
        <v>36</v>
      </c>
      <c r="D909" s="5" t="s">
        <v>36</v>
      </c>
      <c r="E909" s="5" t="s">
        <v>36</v>
      </c>
      <c r="F909" s="5" t="s">
        <v>36</v>
      </c>
      <c r="G909" s="6" t="s">
        <v>36</v>
      </c>
      <c r="H909" s="4" t="s">
        <v>36</v>
      </c>
      <c r="I909" s="7" t="s">
        <v>36</v>
      </c>
      <c r="J909" s="3" t="s">
        <v>36</v>
      </c>
      <c r="K909" s="9" t="s">
        <v>36</v>
      </c>
      <c r="L909" s="6" t="s">
        <v>36</v>
      </c>
      <c r="M909" s="3" t="s">
        <v>36</v>
      </c>
      <c r="N909" s="3" t="s">
        <v>36</v>
      </c>
      <c r="O909" s="8" t="s">
        <v>36</v>
      </c>
      <c r="P909" s="3" t="s">
        <v>36</v>
      </c>
      <c r="Q909" s="3" t="s">
        <v>36</v>
      </c>
      <c r="R909" s="3" t="s">
        <v>36</v>
      </c>
      <c r="S909" s="3" t="s">
        <v>36</v>
      </c>
      <c r="T909" s="3" t="s">
        <v>3168</v>
      </c>
      <c r="U909" s="3" t="s">
        <v>289</v>
      </c>
      <c r="V909" s="3" t="s">
        <v>64</v>
      </c>
      <c r="W909" s="3" t="s">
        <v>5685</v>
      </c>
      <c r="X909" s="10" t="s">
        <v>5686</v>
      </c>
      <c r="Y909" s="6" t="s">
        <v>42</v>
      </c>
      <c r="Z909" s="4" t="s">
        <v>36</v>
      </c>
      <c r="AA909" s="4" t="s">
        <v>36</v>
      </c>
      <c r="AB909" s="3" t="s">
        <v>43</v>
      </c>
      <c r="AC909" s="3" t="s">
        <v>5687</v>
      </c>
      <c r="AD909" s="9">
        <v>45231</v>
      </c>
      <c r="AE909" s="3" t="s">
        <v>3134</v>
      </c>
      <c r="AF909" s="3" t="s">
        <v>1296</v>
      </c>
      <c r="AG909" s="3" t="s">
        <v>144</v>
      </c>
      <c r="AH909" s="11">
        <f>HYPERLINK("https://my.pitchbook.com?c=245066-41T","View Company Online")</f>
      </c>
    </row>
    <row r="910">
      <c r="A910" s="12" t="s">
        <v>5688</v>
      </c>
      <c r="B910" s="12" t="s">
        <v>5689</v>
      </c>
      <c r="C910" s="19" t="s">
        <v>36</v>
      </c>
      <c r="D910" s="19" t="s">
        <v>36</v>
      </c>
      <c r="E910" s="19" t="s">
        <v>36</v>
      </c>
      <c r="F910" s="19" t="s">
        <v>36</v>
      </c>
      <c r="G910" s="15" t="s">
        <v>36</v>
      </c>
      <c r="H910" s="14" t="s">
        <v>36</v>
      </c>
      <c r="I910" s="18" t="s">
        <v>36</v>
      </c>
      <c r="J910" s="12" t="s">
        <v>36</v>
      </c>
      <c r="K910" s="13" t="s">
        <v>36</v>
      </c>
      <c r="L910" s="15" t="s">
        <v>36</v>
      </c>
      <c r="M910" s="12" t="s">
        <v>36</v>
      </c>
      <c r="N910" s="12" t="s">
        <v>36</v>
      </c>
      <c r="O910" s="17" t="s">
        <v>36</v>
      </c>
      <c r="P910" s="12" t="s">
        <v>36</v>
      </c>
      <c r="Q910" s="12" t="s">
        <v>36</v>
      </c>
      <c r="R910" s="12" t="s">
        <v>36</v>
      </c>
      <c r="S910" s="12" t="s">
        <v>36</v>
      </c>
      <c r="T910" s="12" t="s">
        <v>5690</v>
      </c>
      <c r="U910" s="12" t="s">
        <v>289</v>
      </c>
      <c r="V910" s="12" t="s">
        <v>64</v>
      </c>
      <c r="W910" s="12" t="s">
        <v>5691</v>
      </c>
      <c r="X910" s="16" t="s">
        <v>5692</v>
      </c>
      <c r="Y910" s="15" t="s">
        <v>42</v>
      </c>
      <c r="Z910" s="14" t="s">
        <v>36</v>
      </c>
      <c r="AA910" s="14" t="s">
        <v>36</v>
      </c>
      <c r="AB910" s="12" t="s">
        <v>43</v>
      </c>
      <c r="AC910" s="12" t="s">
        <v>5693</v>
      </c>
      <c r="AD910" s="13">
        <v>45231</v>
      </c>
      <c r="AE910" s="12" t="s">
        <v>3134</v>
      </c>
      <c r="AF910" s="12" t="s">
        <v>90</v>
      </c>
      <c r="AG910" s="12" t="s">
        <v>81</v>
      </c>
      <c r="AH910" s="1">
        <f>HYPERLINK("https://my.pitchbook.com?c=245054-44T","View Company Online")</f>
      </c>
    </row>
    <row r="911">
      <c r="A911" s="3" t="s">
        <v>5694</v>
      </c>
      <c r="B911" s="3" t="s">
        <v>5695</v>
      </c>
      <c r="C911" s="5" t="s">
        <v>36</v>
      </c>
      <c r="D911" s="5" t="s">
        <v>36</v>
      </c>
      <c r="E911" s="5" t="s">
        <v>36</v>
      </c>
      <c r="F911" s="5" t="s">
        <v>36</v>
      </c>
      <c r="G911" s="6" t="s">
        <v>36</v>
      </c>
      <c r="H911" s="4" t="s">
        <v>36</v>
      </c>
      <c r="I911" s="7" t="s">
        <v>36</v>
      </c>
      <c r="J911" s="3" t="s">
        <v>36</v>
      </c>
      <c r="K911" s="9" t="s">
        <v>36</v>
      </c>
      <c r="L911" s="6" t="s">
        <v>36</v>
      </c>
      <c r="M911" s="3" t="s">
        <v>36</v>
      </c>
      <c r="N911" s="3" t="s">
        <v>36</v>
      </c>
      <c r="O911" s="8" t="s">
        <v>36</v>
      </c>
      <c r="P911" s="3" t="s">
        <v>36</v>
      </c>
      <c r="Q911" s="3" t="s">
        <v>36</v>
      </c>
      <c r="R911" s="3" t="s">
        <v>36</v>
      </c>
      <c r="S911" s="3" t="s">
        <v>36</v>
      </c>
      <c r="T911" s="3" t="s">
        <v>5696</v>
      </c>
      <c r="U911" s="3" t="s">
        <v>180</v>
      </c>
      <c r="V911" s="3" t="s">
        <v>52</v>
      </c>
      <c r="W911" s="3" t="s">
        <v>5697</v>
      </c>
      <c r="X911" s="10" t="s">
        <v>2257</v>
      </c>
      <c r="Y911" s="6" t="s">
        <v>42</v>
      </c>
      <c r="Z911" s="4" t="s">
        <v>36</v>
      </c>
      <c r="AA911" s="4" t="s">
        <v>36</v>
      </c>
      <c r="AB911" s="3" t="s">
        <v>43</v>
      </c>
      <c r="AC911" s="3" t="s">
        <v>5698</v>
      </c>
      <c r="AD911" s="9">
        <v>45231</v>
      </c>
      <c r="AE911" s="3" t="s">
        <v>3847</v>
      </c>
      <c r="AF911" s="3" t="s">
        <v>5699</v>
      </c>
      <c r="AG911" s="3" t="s">
        <v>81</v>
      </c>
      <c r="AH911" s="11">
        <f>HYPERLINK("https://my.pitchbook.com?c=246820-51T","View Company Online")</f>
      </c>
    </row>
    <row r="912">
      <c r="A912" s="12" t="s">
        <v>5700</v>
      </c>
      <c r="B912" s="12" t="s">
        <v>5701</v>
      </c>
      <c r="C912" s="19" t="s">
        <v>36</v>
      </c>
      <c r="D912" s="19" t="s">
        <v>36</v>
      </c>
      <c r="E912" s="19" t="s">
        <v>36</v>
      </c>
      <c r="F912" s="19" t="s">
        <v>36</v>
      </c>
      <c r="G912" s="15" t="s">
        <v>36</v>
      </c>
      <c r="H912" s="14" t="s">
        <v>36</v>
      </c>
      <c r="I912" s="18" t="s">
        <v>36</v>
      </c>
      <c r="J912" s="12" t="s">
        <v>36</v>
      </c>
      <c r="K912" s="13" t="s">
        <v>36</v>
      </c>
      <c r="L912" s="15" t="s">
        <v>36</v>
      </c>
      <c r="M912" s="12" t="s">
        <v>36</v>
      </c>
      <c r="N912" s="12" t="s">
        <v>36</v>
      </c>
      <c r="O912" s="17" t="s">
        <v>36</v>
      </c>
      <c r="P912" s="12" t="s">
        <v>36</v>
      </c>
      <c r="Q912" s="12" t="s">
        <v>36</v>
      </c>
      <c r="R912" s="12" t="s">
        <v>36</v>
      </c>
      <c r="S912" s="12" t="s">
        <v>36</v>
      </c>
      <c r="T912" s="12" t="s">
        <v>5702</v>
      </c>
      <c r="U912" s="12" t="s">
        <v>38</v>
      </c>
      <c r="V912" s="12" t="s">
        <v>39</v>
      </c>
      <c r="W912" s="12" t="s">
        <v>5703</v>
      </c>
      <c r="X912" s="16" t="s">
        <v>5674</v>
      </c>
      <c r="Y912" s="15" t="s">
        <v>42</v>
      </c>
      <c r="Z912" s="14" t="s">
        <v>36</v>
      </c>
      <c r="AA912" s="14" t="s">
        <v>36</v>
      </c>
      <c r="AB912" s="12" t="s">
        <v>56</v>
      </c>
      <c r="AC912" s="12" t="s">
        <v>5704</v>
      </c>
      <c r="AD912" s="13">
        <v>45231</v>
      </c>
      <c r="AE912" s="12" t="s">
        <v>134</v>
      </c>
      <c r="AF912" s="12" t="s">
        <v>2752</v>
      </c>
      <c r="AG912" s="12" t="s">
        <v>81</v>
      </c>
      <c r="AH912" s="1">
        <f>HYPERLINK("https://my.pitchbook.com?c=246163-42T","View Company Online")</f>
      </c>
    </row>
    <row r="913">
      <c r="A913" s="3" t="s">
        <v>5705</v>
      </c>
      <c r="B913" s="3" t="s">
        <v>5706</v>
      </c>
      <c r="C913" s="5" t="s">
        <v>36</v>
      </c>
      <c r="D913" s="5" t="s">
        <v>36</v>
      </c>
      <c r="E913" s="5" t="s">
        <v>36</v>
      </c>
      <c r="F913" s="5" t="s">
        <v>36</v>
      </c>
      <c r="G913" s="6" t="s">
        <v>36</v>
      </c>
      <c r="H913" s="4" t="s">
        <v>36</v>
      </c>
      <c r="I913" s="7" t="s">
        <v>36</v>
      </c>
      <c r="J913" s="3" t="s">
        <v>36</v>
      </c>
      <c r="K913" s="9" t="s">
        <v>36</v>
      </c>
      <c r="L913" s="6" t="s">
        <v>36</v>
      </c>
      <c r="M913" s="3" t="s">
        <v>36</v>
      </c>
      <c r="N913" s="3" t="s">
        <v>36</v>
      </c>
      <c r="O913" s="8" t="s">
        <v>36</v>
      </c>
      <c r="P913" s="3" t="s">
        <v>36</v>
      </c>
      <c r="Q913" s="3" t="s">
        <v>36</v>
      </c>
      <c r="R913" s="3" t="s">
        <v>36</v>
      </c>
      <c r="S913" s="3" t="s">
        <v>36</v>
      </c>
      <c r="T913" s="3" t="s">
        <v>5707</v>
      </c>
      <c r="U913" s="3" t="s">
        <v>279</v>
      </c>
      <c r="V913" s="3" t="s">
        <v>64</v>
      </c>
      <c r="W913" s="3" t="s">
        <v>5708</v>
      </c>
      <c r="X913" s="10" t="s">
        <v>5709</v>
      </c>
      <c r="Y913" s="6" t="s">
        <v>5710</v>
      </c>
      <c r="Z913" s="4" t="s">
        <v>36</v>
      </c>
      <c r="AA913" s="4" t="s">
        <v>36</v>
      </c>
      <c r="AB913" s="3" t="s">
        <v>56</v>
      </c>
      <c r="AC913" s="3" t="s">
        <v>5711</v>
      </c>
      <c r="AD913" s="9">
        <v>45231</v>
      </c>
      <c r="AE913" s="3" t="s">
        <v>283</v>
      </c>
      <c r="AF913" s="3" t="s">
        <v>2363</v>
      </c>
      <c r="AG913" s="3" t="s">
        <v>81</v>
      </c>
      <c r="AH913" s="11">
        <f>HYPERLINK("https://my.pitchbook.com?c=250068-97T","View Company Online")</f>
      </c>
    </row>
    <row r="914">
      <c r="A914" s="12" t="s">
        <v>5712</v>
      </c>
      <c r="B914" s="12" t="s">
        <v>5713</v>
      </c>
      <c r="C914" s="19" t="s">
        <v>36</v>
      </c>
      <c r="D914" s="19" t="s">
        <v>36</v>
      </c>
      <c r="E914" s="19" t="s">
        <v>36</v>
      </c>
      <c r="F914" s="19" t="s">
        <v>36</v>
      </c>
      <c r="G914" s="15" t="s">
        <v>36</v>
      </c>
      <c r="H914" s="14" t="s">
        <v>36</v>
      </c>
      <c r="I914" s="18" t="s">
        <v>36</v>
      </c>
      <c r="J914" s="12" t="s">
        <v>36</v>
      </c>
      <c r="K914" s="13" t="s">
        <v>36</v>
      </c>
      <c r="L914" s="15" t="s">
        <v>36</v>
      </c>
      <c r="M914" s="12" t="s">
        <v>36</v>
      </c>
      <c r="N914" s="12" t="s">
        <v>36</v>
      </c>
      <c r="O914" s="17" t="s">
        <v>36</v>
      </c>
      <c r="P914" s="12" t="s">
        <v>36</v>
      </c>
      <c r="Q914" s="12" t="s">
        <v>36</v>
      </c>
      <c r="R914" s="12" t="s">
        <v>36</v>
      </c>
      <c r="S914" s="12" t="s">
        <v>36</v>
      </c>
      <c r="T914" s="12" t="s">
        <v>3303</v>
      </c>
      <c r="U914" s="12" t="s">
        <v>38</v>
      </c>
      <c r="V914" s="12" t="s">
        <v>39</v>
      </c>
      <c r="W914" s="12" t="s">
        <v>5714</v>
      </c>
      <c r="X914" s="16" t="s">
        <v>5715</v>
      </c>
      <c r="Y914" s="15" t="s">
        <v>42</v>
      </c>
      <c r="Z914" s="14">
        <v>0.25</v>
      </c>
      <c r="AA914" s="14" t="s">
        <v>36</v>
      </c>
      <c r="AB914" s="12" t="s">
        <v>56</v>
      </c>
      <c r="AC914" s="12" t="s">
        <v>5716</v>
      </c>
      <c r="AD914" s="13">
        <v>45231</v>
      </c>
      <c r="AE914" s="12" t="s">
        <v>1945</v>
      </c>
      <c r="AF914" s="12" t="s">
        <v>5717</v>
      </c>
      <c r="AG914" s="12" t="s">
        <v>5718</v>
      </c>
      <c r="AH914" s="1">
        <f>HYPERLINK("https://my.pitchbook.com?c=246540-43T","View Company Online")</f>
      </c>
    </row>
    <row r="915">
      <c r="A915" s="3" t="s">
        <v>5719</v>
      </c>
      <c r="B915" s="3" t="s">
        <v>5720</v>
      </c>
      <c r="C915" s="5" t="s">
        <v>36</v>
      </c>
      <c r="D915" s="5" t="s">
        <v>36</v>
      </c>
      <c r="E915" s="5" t="s">
        <v>36</v>
      </c>
      <c r="F915" s="5" t="s">
        <v>36</v>
      </c>
      <c r="G915" s="6" t="s">
        <v>36</v>
      </c>
      <c r="H915" s="4" t="s">
        <v>36</v>
      </c>
      <c r="I915" s="7">
        <v>8.72</v>
      </c>
      <c r="J915" s="3" t="s">
        <v>327</v>
      </c>
      <c r="K915" s="9" t="s">
        <v>36</v>
      </c>
      <c r="L915" s="6" t="s">
        <v>36</v>
      </c>
      <c r="M915" s="3" t="s">
        <v>36</v>
      </c>
      <c r="N915" s="3" t="s">
        <v>36</v>
      </c>
      <c r="O915" s="8" t="s">
        <v>36</v>
      </c>
      <c r="P915" s="3" t="s">
        <v>36</v>
      </c>
      <c r="Q915" s="3" t="s">
        <v>36</v>
      </c>
      <c r="R915" s="3" t="s">
        <v>36</v>
      </c>
      <c r="S915" s="3" t="s">
        <v>36</v>
      </c>
      <c r="T915" s="3" t="s">
        <v>5721</v>
      </c>
      <c r="U915" s="3" t="s">
        <v>1502</v>
      </c>
      <c r="V915" s="3" t="s">
        <v>75</v>
      </c>
      <c r="W915" s="3" t="s">
        <v>5722</v>
      </c>
      <c r="X915" s="10" t="s">
        <v>5723</v>
      </c>
      <c r="Y915" s="6" t="s">
        <v>42</v>
      </c>
      <c r="Z915" s="4">
        <v>0.63</v>
      </c>
      <c r="AA915" s="4">
        <v>7.27</v>
      </c>
      <c r="AB915" s="3" t="s">
        <v>43</v>
      </c>
      <c r="AC915" s="3" t="s">
        <v>5724</v>
      </c>
      <c r="AD915" s="9">
        <v>45230</v>
      </c>
      <c r="AE915" s="3" t="s">
        <v>1506</v>
      </c>
      <c r="AF915" s="3" t="s">
        <v>275</v>
      </c>
      <c r="AG915" s="3" t="s">
        <v>81</v>
      </c>
      <c r="AH915" s="11">
        <f>HYPERLINK("https://my.pitchbook.com?c=266984-20T","View Company Online")</f>
      </c>
    </row>
    <row r="916">
      <c r="A916" s="12" t="s">
        <v>5725</v>
      </c>
      <c r="B916" s="12" t="s">
        <v>5726</v>
      </c>
      <c r="C916" s="19">
        <v>9</v>
      </c>
      <c r="D916" s="19" t="s">
        <v>36</v>
      </c>
      <c r="E916" s="19">
        <v>3</v>
      </c>
      <c r="F916" s="19">
        <v>10</v>
      </c>
      <c r="G916" s="15" t="s">
        <v>2497</v>
      </c>
      <c r="H916" s="14">
        <v>1.48</v>
      </c>
      <c r="I916" s="18">
        <v>33.51</v>
      </c>
      <c r="J916" s="12" t="s">
        <v>521</v>
      </c>
      <c r="K916" s="13" t="s">
        <v>36</v>
      </c>
      <c r="L916" s="15" t="s">
        <v>122</v>
      </c>
      <c r="M916" s="12" t="s">
        <v>36</v>
      </c>
      <c r="N916" s="12" t="s">
        <v>122</v>
      </c>
      <c r="O916" s="17" t="s">
        <v>36</v>
      </c>
      <c r="P916" s="12" t="s">
        <v>36</v>
      </c>
      <c r="Q916" s="12" t="s">
        <v>36</v>
      </c>
      <c r="R916" s="12" t="s">
        <v>36</v>
      </c>
      <c r="S916" s="12" t="s">
        <v>36</v>
      </c>
      <c r="T916" s="12" t="s">
        <v>3790</v>
      </c>
      <c r="U916" s="12" t="s">
        <v>318</v>
      </c>
      <c r="V916" s="12" t="s">
        <v>39</v>
      </c>
      <c r="W916" s="12" t="s">
        <v>5727</v>
      </c>
      <c r="X916" s="16" t="s">
        <v>5728</v>
      </c>
      <c r="Y916" s="15" t="s">
        <v>55</v>
      </c>
      <c r="Z916" s="14">
        <v>2.64</v>
      </c>
      <c r="AA916" s="14">
        <v>7.89</v>
      </c>
      <c r="AB916" s="12" t="s">
        <v>56</v>
      </c>
      <c r="AC916" s="12" t="s">
        <v>5729</v>
      </c>
      <c r="AD916" s="13">
        <v>45230</v>
      </c>
      <c r="AE916" s="12" t="s">
        <v>763</v>
      </c>
      <c r="AF916" s="12" t="s">
        <v>159</v>
      </c>
      <c r="AG916" s="12" t="s">
        <v>899</v>
      </c>
      <c r="AH916" s="1">
        <f>HYPERLINK("https://my.pitchbook.com?c=245431-36T","View Company Online")</f>
      </c>
    </row>
    <row r="917">
      <c r="A917" s="3" t="s">
        <v>5730</v>
      </c>
      <c r="B917" s="3" t="s">
        <v>5731</v>
      </c>
      <c r="C917" s="5" t="s">
        <v>36</v>
      </c>
      <c r="D917" s="5" t="s">
        <v>36</v>
      </c>
      <c r="E917" s="5" t="s">
        <v>36</v>
      </c>
      <c r="F917" s="5" t="s">
        <v>36</v>
      </c>
      <c r="G917" s="6" t="s">
        <v>326</v>
      </c>
      <c r="H917" s="4">
        <v>4.4</v>
      </c>
      <c r="I917" s="7">
        <v>38.89</v>
      </c>
      <c r="J917" s="3" t="s">
        <v>521</v>
      </c>
      <c r="K917" s="9" t="s">
        <v>36</v>
      </c>
      <c r="L917" s="6" t="s">
        <v>122</v>
      </c>
      <c r="M917" s="3" t="s">
        <v>36</v>
      </c>
      <c r="N917" s="3" t="s">
        <v>122</v>
      </c>
      <c r="O917" s="8" t="s">
        <v>36</v>
      </c>
      <c r="P917" s="3" t="s">
        <v>36</v>
      </c>
      <c r="Q917" s="3" t="s">
        <v>36</v>
      </c>
      <c r="R917" s="3" t="s">
        <v>36</v>
      </c>
      <c r="S917" s="3" t="s">
        <v>36</v>
      </c>
      <c r="T917" s="3" t="s">
        <v>5732</v>
      </c>
      <c r="U917" s="3" t="s">
        <v>96</v>
      </c>
      <c r="V917" s="3" t="s">
        <v>52</v>
      </c>
      <c r="W917" s="3" t="s">
        <v>5733</v>
      </c>
      <c r="X917" s="10" t="s">
        <v>5734</v>
      </c>
      <c r="Y917" s="6" t="s">
        <v>42</v>
      </c>
      <c r="Z917" s="4">
        <v>6.34</v>
      </c>
      <c r="AA917" s="4">
        <v>11.36</v>
      </c>
      <c r="AB917" s="3" t="s">
        <v>56</v>
      </c>
      <c r="AC917" s="3" t="s">
        <v>5735</v>
      </c>
      <c r="AD917" s="9">
        <v>45230</v>
      </c>
      <c r="AE917" s="3" t="s">
        <v>496</v>
      </c>
      <c r="AF917" s="3" t="s">
        <v>5736</v>
      </c>
      <c r="AG917" s="3" t="s">
        <v>652</v>
      </c>
      <c r="AH917" s="11">
        <f>HYPERLINK("https://my.pitchbook.com?c=245103-76T","View Company Online")</f>
      </c>
    </row>
    <row r="918">
      <c r="A918" s="12" t="s">
        <v>5737</v>
      </c>
      <c r="B918" s="12" t="s">
        <v>5738</v>
      </c>
      <c r="C918" s="19" t="s">
        <v>36</v>
      </c>
      <c r="D918" s="19" t="s">
        <v>36</v>
      </c>
      <c r="E918" s="19" t="s">
        <v>36</v>
      </c>
      <c r="F918" s="19" t="s">
        <v>36</v>
      </c>
      <c r="G918" s="15" t="s">
        <v>326</v>
      </c>
      <c r="H918" s="14">
        <v>45.96</v>
      </c>
      <c r="I918" s="18">
        <v>16.67</v>
      </c>
      <c r="J918" s="12" t="s">
        <v>521</v>
      </c>
      <c r="K918" s="13" t="s">
        <v>36</v>
      </c>
      <c r="L918" s="15" t="s">
        <v>36</v>
      </c>
      <c r="M918" s="12" t="s">
        <v>36</v>
      </c>
      <c r="N918" s="12" t="s">
        <v>36</v>
      </c>
      <c r="O918" s="17" t="s">
        <v>36</v>
      </c>
      <c r="P918" s="12" t="s">
        <v>36</v>
      </c>
      <c r="Q918" s="12" t="s">
        <v>36</v>
      </c>
      <c r="R918" s="12" t="s">
        <v>36</v>
      </c>
      <c r="S918" s="12" t="s">
        <v>36</v>
      </c>
      <c r="T918" s="12" t="s">
        <v>37</v>
      </c>
      <c r="U918" s="12" t="s">
        <v>38</v>
      </c>
      <c r="V918" s="12" t="s">
        <v>39</v>
      </c>
      <c r="W918" s="12" t="s">
        <v>5739</v>
      </c>
      <c r="X918" s="16" t="s">
        <v>5740</v>
      </c>
      <c r="Y918" s="15" t="s">
        <v>108</v>
      </c>
      <c r="Z918" s="14">
        <v>0.42</v>
      </c>
      <c r="AA918" s="14">
        <v>2.54</v>
      </c>
      <c r="AB918" s="12" t="s">
        <v>43</v>
      </c>
      <c r="AC918" s="12" t="s">
        <v>5741</v>
      </c>
      <c r="AD918" s="13">
        <v>45226</v>
      </c>
      <c r="AE918" s="12" t="s">
        <v>45</v>
      </c>
      <c r="AF918" s="12" t="s">
        <v>615</v>
      </c>
      <c r="AG918" s="12" t="s">
        <v>81</v>
      </c>
      <c r="AH918" s="1">
        <f>HYPERLINK("https://my.pitchbook.com?c=244281-52T","View Company Online")</f>
      </c>
    </row>
    <row r="919">
      <c r="A919" s="3" t="s">
        <v>5742</v>
      </c>
      <c r="B919" s="3" t="s">
        <v>5743</v>
      </c>
      <c r="C919" s="5" t="s">
        <v>36</v>
      </c>
      <c r="D919" s="5" t="s">
        <v>36</v>
      </c>
      <c r="E919" s="5" t="s">
        <v>36</v>
      </c>
      <c r="F919" s="5" t="s">
        <v>36</v>
      </c>
      <c r="G919" s="6" t="s">
        <v>326</v>
      </c>
      <c r="H919" s="4">
        <v>4397.54</v>
      </c>
      <c r="I919" s="7">
        <v>6.14</v>
      </c>
      <c r="J919" s="3" t="s">
        <v>521</v>
      </c>
      <c r="K919" s="9" t="s">
        <v>36</v>
      </c>
      <c r="L919" s="6" t="s">
        <v>36</v>
      </c>
      <c r="M919" s="3" t="s">
        <v>36</v>
      </c>
      <c r="N919" s="3" t="s">
        <v>36</v>
      </c>
      <c r="O919" s="8" t="s">
        <v>36</v>
      </c>
      <c r="P919" s="3" t="s">
        <v>36</v>
      </c>
      <c r="Q919" s="3" t="s">
        <v>36</v>
      </c>
      <c r="R919" s="3" t="s">
        <v>36</v>
      </c>
      <c r="S919" s="3" t="s">
        <v>36</v>
      </c>
      <c r="T919" s="3" t="s">
        <v>5744</v>
      </c>
      <c r="U919" s="3" t="s">
        <v>74</v>
      </c>
      <c r="V919" s="3" t="s">
        <v>75</v>
      </c>
      <c r="W919" s="3" t="s">
        <v>5745</v>
      </c>
      <c r="X919" s="10" t="s">
        <v>5746</v>
      </c>
      <c r="Y919" s="6" t="s">
        <v>108</v>
      </c>
      <c r="Z919" s="4">
        <v>0.42</v>
      </c>
      <c r="AA919" s="4">
        <v>6.85</v>
      </c>
      <c r="AB919" s="3" t="s">
        <v>56</v>
      </c>
      <c r="AC919" s="3" t="s">
        <v>5747</v>
      </c>
      <c r="AD919" s="9">
        <v>45225</v>
      </c>
      <c r="AE919" s="3" t="s">
        <v>975</v>
      </c>
      <c r="AF919" s="3" t="s">
        <v>1115</v>
      </c>
      <c r="AG919" s="3" t="s">
        <v>81</v>
      </c>
      <c r="AH919" s="11">
        <f>HYPERLINK("https://my.pitchbook.com?c=248393-80T","View Company Online")</f>
      </c>
    </row>
    <row r="920">
      <c r="A920" s="12" t="s">
        <v>5748</v>
      </c>
      <c r="B920" s="12" t="s">
        <v>5749</v>
      </c>
      <c r="C920" s="19" t="s">
        <v>36</v>
      </c>
      <c r="D920" s="19" t="s">
        <v>36</v>
      </c>
      <c r="E920" s="19" t="s">
        <v>36</v>
      </c>
      <c r="F920" s="19" t="s">
        <v>36</v>
      </c>
      <c r="G920" s="15" t="s">
        <v>36</v>
      </c>
      <c r="H920" s="14">
        <v>24.82</v>
      </c>
      <c r="I920" s="18">
        <v>22.95</v>
      </c>
      <c r="J920" s="12" t="s">
        <v>521</v>
      </c>
      <c r="K920" s="13" t="s">
        <v>36</v>
      </c>
      <c r="L920" s="15" t="s">
        <v>36</v>
      </c>
      <c r="M920" s="12" t="s">
        <v>36</v>
      </c>
      <c r="N920" s="12" t="s">
        <v>36</v>
      </c>
      <c r="O920" s="17" t="s">
        <v>36</v>
      </c>
      <c r="P920" s="12" t="s">
        <v>36</v>
      </c>
      <c r="Q920" s="12" t="s">
        <v>36</v>
      </c>
      <c r="R920" s="12" t="s">
        <v>36</v>
      </c>
      <c r="S920" s="12" t="s">
        <v>36</v>
      </c>
      <c r="T920" s="12" t="s">
        <v>5750</v>
      </c>
      <c r="U920" s="12" t="s">
        <v>38</v>
      </c>
      <c r="V920" s="12" t="s">
        <v>39</v>
      </c>
      <c r="W920" s="12" t="s">
        <v>5751</v>
      </c>
      <c r="X920" s="16" t="s">
        <v>2433</v>
      </c>
      <c r="Y920" s="15" t="s">
        <v>42</v>
      </c>
      <c r="Z920" s="14">
        <v>0.75</v>
      </c>
      <c r="AA920" s="14">
        <v>3.28</v>
      </c>
      <c r="AB920" s="12" t="s">
        <v>43</v>
      </c>
      <c r="AC920" s="12" t="s">
        <v>5752</v>
      </c>
      <c r="AD920" s="13">
        <v>45225</v>
      </c>
      <c r="AE920" s="12" t="s">
        <v>554</v>
      </c>
      <c r="AF920" s="12" t="s">
        <v>1380</v>
      </c>
      <c r="AG920" s="12" t="s">
        <v>81</v>
      </c>
      <c r="AH920" s="1">
        <f>HYPERLINK("https://my.pitchbook.com?c=266119-75T","View Company Online")</f>
      </c>
    </row>
    <row r="921">
      <c r="A921" s="3" t="s">
        <v>5753</v>
      </c>
      <c r="B921" s="3" t="s">
        <v>5754</v>
      </c>
      <c r="C921" s="5" t="s">
        <v>36</v>
      </c>
      <c r="D921" s="5" t="s">
        <v>36</v>
      </c>
      <c r="E921" s="5" t="s">
        <v>36</v>
      </c>
      <c r="F921" s="5" t="s">
        <v>36</v>
      </c>
      <c r="G921" s="6" t="s">
        <v>36</v>
      </c>
      <c r="H921" s="4" t="s">
        <v>36</v>
      </c>
      <c r="I921" s="7" t="s">
        <v>36</v>
      </c>
      <c r="J921" s="3" t="s">
        <v>36</v>
      </c>
      <c r="K921" s="9" t="s">
        <v>36</v>
      </c>
      <c r="L921" s="6" t="s">
        <v>36</v>
      </c>
      <c r="M921" s="3" t="s">
        <v>36</v>
      </c>
      <c r="N921" s="3" t="s">
        <v>36</v>
      </c>
      <c r="O921" s="8" t="s">
        <v>36</v>
      </c>
      <c r="P921" s="3" t="s">
        <v>36</v>
      </c>
      <c r="Q921" s="3" t="s">
        <v>36</v>
      </c>
      <c r="R921" s="3" t="s">
        <v>36</v>
      </c>
      <c r="S921" s="3" t="s">
        <v>36</v>
      </c>
      <c r="T921" s="3" t="s">
        <v>147</v>
      </c>
      <c r="U921" s="3" t="s">
        <v>74</v>
      </c>
      <c r="V921" s="3" t="s">
        <v>75</v>
      </c>
      <c r="W921" s="3" t="s">
        <v>5755</v>
      </c>
      <c r="X921" s="10" t="s">
        <v>5756</v>
      </c>
      <c r="Y921" s="6" t="s">
        <v>108</v>
      </c>
      <c r="Z921" s="4" t="s">
        <v>36</v>
      </c>
      <c r="AA921" s="4" t="s">
        <v>36</v>
      </c>
      <c r="AB921" s="3" t="s">
        <v>56</v>
      </c>
      <c r="AC921" s="3" t="s">
        <v>5757</v>
      </c>
      <c r="AD921" s="9">
        <v>45224</v>
      </c>
      <c r="AE921" s="3" t="s">
        <v>79</v>
      </c>
      <c r="AF921" s="3" t="s">
        <v>5758</v>
      </c>
      <c r="AG921" s="3" t="s">
        <v>81</v>
      </c>
      <c r="AH921" s="11">
        <f>HYPERLINK("https://my.pitchbook.com?c=243993-07T","View Company Online")</f>
      </c>
    </row>
    <row r="922">
      <c r="A922" s="12" t="s">
        <v>5759</v>
      </c>
      <c r="B922" s="12" t="s">
        <v>5760</v>
      </c>
      <c r="C922" s="19">
        <v>48</v>
      </c>
      <c r="D922" s="19">
        <v>52</v>
      </c>
      <c r="E922" s="19">
        <v>20</v>
      </c>
      <c r="F922" s="19">
        <v>109</v>
      </c>
      <c r="G922" s="15" t="s">
        <v>36</v>
      </c>
      <c r="H922" s="14" t="s">
        <v>36</v>
      </c>
      <c r="I922" s="18" t="s">
        <v>36</v>
      </c>
      <c r="J922" s="12" t="s">
        <v>36</v>
      </c>
      <c r="K922" s="13" t="s">
        <v>36</v>
      </c>
      <c r="L922" s="15" t="s">
        <v>1846</v>
      </c>
      <c r="M922" s="12" t="s">
        <v>36</v>
      </c>
      <c r="N922" s="12" t="s">
        <v>1846</v>
      </c>
      <c r="O922" s="17" t="s">
        <v>36</v>
      </c>
      <c r="P922" s="12" t="s">
        <v>36</v>
      </c>
      <c r="Q922" s="12" t="s">
        <v>36</v>
      </c>
      <c r="R922" s="12" t="s">
        <v>36</v>
      </c>
      <c r="S922" s="12" t="s">
        <v>36</v>
      </c>
      <c r="T922" s="12" t="s">
        <v>881</v>
      </c>
      <c r="U922" s="12" t="s">
        <v>51</v>
      </c>
      <c r="V922" s="12" t="s">
        <v>52</v>
      </c>
      <c r="W922" s="12" t="s">
        <v>5761</v>
      </c>
      <c r="X922" s="16" t="s">
        <v>5762</v>
      </c>
      <c r="Y922" s="15" t="s">
        <v>1120</v>
      </c>
      <c r="Z922" s="14">
        <v>52.82</v>
      </c>
      <c r="AA922" s="14" t="s">
        <v>36</v>
      </c>
      <c r="AB922" s="12" t="s">
        <v>56</v>
      </c>
      <c r="AC922" s="12" t="s">
        <v>5763</v>
      </c>
      <c r="AD922" s="13">
        <v>45224</v>
      </c>
      <c r="AE922" s="12" t="s">
        <v>504</v>
      </c>
      <c r="AF922" s="12" t="s">
        <v>665</v>
      </c>
      <c r="AG922" s="12" t="s">
        <v>81</v>
      </c>
      <c r="AH922" s="1">
        <f>HYPERLINK("https://my.pitchbook.com?c=220626-10T","View Company Online")</f>
      </c>
    </row>
    <row r="923">
      <c r="A923" s="3" t="s">
        <v>5764</v>
      </c>
      <c r="B923" s="3" t="s">
        <v>5765</v>
      </c>
      <c r="C923" s="5" t="s">
        <v>36</v>
      </c>
      <c r="D923" s="5" t="s">
        <v>36</v>
      </c>
      <c r="E923" s="5" t="s">
        <v>36</v>
      </c>
      <c r="F923" s="5" t="s">
        <v>36</v>
      </c>
      <c r="G923" s="6" t="s">
        <v>326</v>
      </c>
      <c r="H923" s="4">
        <v>1276.4</v>
      </c>
      <c r="I923" s="7">
        <v>21.79</v>
      </c>
      <c r="J923" s="3" t="s">
        <v>521</v>
      </c>
      <c r="K923" s="9" t="s">
        <v>36</v>
      </c>
      <c r="L923" s="6" t="s">
        <v>36</v>
      </c>
      <c r="M923" s="3" t="s">
        <v>36</v>
      </c>
      <c r="N923" s="3" t="s">
        <v>36</v>
      </c>
      <c r="O923" s="8" t="s">
        <v>36</v>
      </c>
      <c r="P923" s="3" t="s">
        <v>36</v>
      </c>
      <c r="Q923" s="3" t="s">
        <v>36</v>
      </c>
      <c r="R923" s="3" t="s">
        <v>36</v>
      </c>
      <c r="S923" s="3" t="s">
        <v>36</v>
      </c>
      <c r="T923" s="3" t="s">
        <v>550</v>
      </c>
      <c r="U923" s="3" t="s">
        <v>38</v>
      </c>
      <c r="V923" s="3" t="s">
        <v>39</v>
      </c>
      <c r="W923" s="3" t="s">
        <v>5766</v>
      </c>
      <c r="X923" s="10" t="s">
        <v>5767</v>
      </c>
      <c r="Y923" s="6" t="s">
        <v>42</v>
      </c>
      <c r="Z923" s="4">
        <v>4.65</v>
      </c>
      <c r="AA923" s="4">
        <v>21.34</v>
      </c>
      <c r="AB923" s="3" t="s">
        <v>43</v>
      </c>
      <c r="AC923" s="3" t="s">
        <v>5768</v>
      </c>
      <c r="AD923" s="9">
        <v>45223</v>
      </c>
      <c r="AE923" s="3" t="s">
        <v>554</v>
      </c>
      <c r="AF923" s="3" t="s">
        <v>5769</v>
      </c>
      <c r="AG923" s="3" t="s">
        <v>1479</v>
      </c>
      <c r="AH923" s="11">
        <f>HYPERLINK("https://my.pitchbook.com?c=269512-39T","View Company Online")</f>
      </c>
    </row>
    <row r="924">
      <c r="A924" s="12" t="s">
        <v>5770</v>
      </c>
      <c r="B924" s="12" t="s">
        <v>5771</v>
      </c>
      <c r="C924" s="19">
        <v>2</v>
      </c>
      <c r="D924" s="19" t="s">
        <v>36</v>
      </c>
      <c r="E924" s="19">
        <v>1</v>
      </c>
      <c r="F924" s="19">
        <v>2</v>
      </c>
      <c r="G924" s="15" t="s">
        <v>326</v>
      </c>
      <c r="H924" s="14">
        <v>17.66</v>
      </c>
      <c r="I924" s="18">
        <v>35.29</v>
      </c>
      <c r="J924" s="12" t="s">
        <v>521</v>
      </c>
      <c r="K924" s="13" t="s">
        <v>36</v>
      </c>
      <c r="L924" s="15" t="s">
        <v>36</v>
      </c>
      <c r="M924" s="12" t="s">
        <v>36</v>
      </c>
      <c r="N924" s="12" t="s">
        <v>36</v>
      </c>
      <c r="O924" s="17" t="s">
        <v>36</v>
      </c>
      <c r="P924" s="12" t="s">
        <v>36</v>
      </c>
      <c r="Q924" s="12" t="s">
        <v>36</v>
      </c>
      <c r="R924" s="12" t="s">
        <v>36</v>
      </c>
      <c r="S924" s="12" t="s">
        <v>36</v>
      </c>
      <c r="T924" s="12" t="s">
        <v>5772</v>
      </c>
      <c r="U924" s="12" t="s">
        <v>96</v>
      </c>
      <c r="V924" s="12" t="s">
        <v>52</v>
      </c>
      <c r="W924" s="12" t="s">
        <v>5773</v>
      </c>
      <c r="X924" s="16" t="s">
        <v>5774</v>
      </c>
      <c r="Y924" s="15" t="s">
        <v>55</v>
      </c>
      <c r="Z924" s="14">
        <v>1.9</v>
      </c>
      <c r="AA924" s="14">
        <v>5.39</v>
      </c>
      <c r="AB924" s="12" t="s">
        <v>56</v>
      </c>
      <c r="AC924" s="12" t="s">
        <v>5775</v>
      </c>
      <c r="AD924" s="13">
        <v>45223</v>
      </c>
      <c r="AE924" s="12" t="s">
        <v>755</v>
      </c>
      <c r="AF924" s="12" t="s">
        <v>159</v>
      </c>
      <c r="AG924" s="12" t="s">
        <v>1843</v>
      </c>
      <c r="AH924" s="1">
        <f>HYPERLINK("https://my.pitchbook.com?c=244095-58T","View Company Online")</f>
      </c>
    </row>
    <row r="925">
      <c r="A925" s="3" t="s">
        <v>5776</v>
      </c>
      <c r="B925" s="3" t="s">
        <v>5777</v>
      </c>
      <c r="C925" s="5" t="s">
        <v>36</v>
      </c>
      <c r="D925" s="5" t="s">
        <v>36</v>
      </c>
      <c r="E925" s="5" t="s">
        <v>36</v>
      </c>
      <c r="F925" s="5" t="s">
        <v>36</v>
      </c>
      <c r="G925" s="6" t="s">
        <v>2497</v>
      </c>
      <c r="H925" s="4">
        <v>898.36</v>
      </c>
      <c r="I925" s="7">
        <v>12.13</v>
      </c>
      <c r="J925" s="3" t="s">
        <v>521</v>
      </c>
      <c r="K925" s="9" t="s">
        <v>36</v>
      </c>
      <c r="L925" s="6" t="s">
        <v>36</v>
      </c>
      <c r="M925" s="3" t="s">
        <v>36</v>
      </c>
      <c r="N925" s="3" t="s">
        <v>36</v>
      </c>
      <c r="O925" s="8" t="s">
        <v>36</v>
      </c>
      <c r="P925" s="3" t="s">
        <v>36</v>
      </c>
      <c r="Q925" s="3" t="s">
        <v>36</v>
      </c>
      <c r="R925" s="3" t="s">
        <v>36</v>
      </c>
      <c r="S925" s="3" t="s">
        <v>36</v>
      </c>
      <c r="T925" s="3" t="s">
        <v>3843</v>
      </c>
      <c r="U925" s="3" t="s">
        <v>180</v>
      </c>
      <c r="V925" s="3" t="s">
        <v>52</v>
      </c>
      <c r="W925" s="3" t="s">
        <v>5778</v>
      </c>
      <c r="X925" s="10" t="s">
        <v>5779</v>
      </c>
      <c r="Y925" s="6" t="s">
        <v>55</v>
      </c>
      <c r="Z925" s="4">
        <v>0.37</v>
      </c>
      <c r="AA925" s="4">
        <v>3.02</v>
      </c>
      <c r="AB925" s="3" t="s">
        <v>56</v>
      </c>
      <c r="AC925" s="3" t="s">
        <v>5780</v>
      </c>
      <c r="AD925" s="9">
        <v>45223</v>
      </c>
      <c r="AE925" s="3" t="s">
        <v>3847</v>
      </c>
      <c r="AF925" s="3" t="s">
        <v>3514</v>
      </c>
      <c r="AG925" s="3" t="s">
        <v>1078</v>
      </c>
      <c r="AH925" s="11">
        <f>HYPERLINK("https://my.pitchbook.com?c=244027-90T","View Company Online")</f>
      </c>
    </row>
    <row r="926">
      <c r="A926" s="12" t="s">
        <v>5781</v>
      </c>
      <c r="B926" s="12" t="s">
        <v>5782</v>
      </c>
      <c r="C926" s="19" t="s">
        <v>36</v>
      </c>
      <c r="D926" s="19">
        <v>2</v>
      </c>
      <c r="E926" s="19">
        <v>1</v>
      </c>
      <c r="F926" s="19">
        <v>3</v>
      </c>
      <c r="G926" s="15" t="s">
        <v>36</v>
      </c>
      <c r="H926" s="14" t="s">
        <v>36</v>
      </c>
      <c r="I926" s="18">
        <v>26.6</v>
      </c>
      <c r="J926" s="12" t="s">
        <v>327</v>
      </c>
      <c r="K926" s="13">
        <v>45078</v>
      </c>
      <c r="L926" s="15" t="s">
        <v>36</v>
      </c>
      <c r="M926" s="12" t="s">
        <v>36</v>
      </c>
      <c r="N926" s="12" t="s">
        <v>36</v>
      </c>
      <c r="O926" s="17" t="s">
        <v>36</v>
      </c>
      <c r="P926" s="12" t="s">
        <v>36</v>
      </c>
      <c r="Q926" s="12" t="s">
        <v>36</v>
      </c>
      <c r="R926" s="12" t="s">
        <v>36</v>
      </c>
      <c r="S926" s="12" t="s">
        <v>36</v>
      </c>
      <c r="T926" s="12" t="s">
        <v>5783</v>
      </c>
      <c r="U926" s="12" t="s">
        <v>366</v>
      </c>
      <c r="V926" s="12" t="s">
        <v>367</v>
      </c>
      <c r="W926" s="12" t="s">
        <v>5784</v>
      </c>
      <c r="X926" s="16" t="s">
        <v>5785</v>
      </c>
      <c r="Y926" s="15" t="s">
        <v>55</v>
      </c>
      <c r="Z926" s="14">
        <v>2.11</v>
      </c>
      <c r="AA926" s="14">
        <v>7.94</v>
      </c>
      <c r="AB926" s="12" t="s">
        <v>56</v>
      </c>
      <c r="AC926" s="12" t="s">
        <v>5786</v>
      </c>
      <c r="AD926" s="13">
        <v>45223</v>
      </c>
      <c r="AE926" s="12" t="s">
        <v>600</v>
      </c>
      <c r="AF926" s="12" t="s">
        <v>1340</v>
      </c>
      <c r="AG926" s="12" t="s">
        <v>81</v>
      </c>
      <c r="AH926" s="1">
        <f>HYPERLINK("https://my.pitchbook.com?c=232359-67T","View Company Online")</f>
      </c>
    </row>
    <row r="927">
      <c r="A927" s="3" t="s">
        <v>5787</v>
      </c>
      <c r="B927" s="3" t="s">
        <v>5788</v>
      </c>
      <c r="C927" s="5" t="s">
        <v>36</v>
      </c>
      <c r="D927" s="5" t="s">
        <v>36</v>
      </c>
      <c r="E927" s="5" t="s">
        <v>36</v>
      </c>
      <c r="F927" s="5" t="s">
        <v>36</v>
      </c>
      <c r="G927" s="6" t="s">
        <v>36</v>
      </c>
      <c r="H927" s="4">
        <v>399.44</v>
      </c>
      <c r="I927" s="7">
        <v>15.5</v>
      </c>
      <c r="J927" s="3" t="s">
        <v>521</v>
      </c>
      <c r="K927" s="9" t="s">
        <v>36</v>
      </c>
      <c r="L927" s="6" t="s">
        <v>36</v>
      </c>
      <c r="M927" s="3" t="s">
        <v>36</v>
      </c>
      <c r="N927" s="3" t="s">
        <v>36</v>
      </c>
      <c r="O927" s="8" t="s">
        <v>36</v>
      </c>
      <c r="P927" s="3" t="s">
        <v>36</v>
      </c>
      <c r="Q927" s="3" t="s">
        <v>36</v>
      </c>
      <c r="R927" s="3" t="s">
        <v>36</v>
      </c>
      <c r="S927" s="3" t="s">
        <v>36</v>
      </c>
      <c r="T927" s="3" t="s">
        <v>5789</v>
      </c>
      <c r="U927" s="3" t="s">
        <v>648</v>
      </c>
      <c r="V927" s="3" t="s">
        <v>64</v>
      </c>
      <c r="W927" s="3" t="s">
        <v>5790</v>
      </c>
      <c r="X927" s="10" t="s">
        <v>5791</v>
      </c>
      <c r="Y927" s="6" t="s">
        <v>42</v>
      </c>
      <c r="Z927" s="4">
        <v>0.58</v>
      </c>
      <c r="AA927" s="4">
        <v>3.75</v>
      </c>
      <c r="AB927" s="3" t="s">
        <v>56</v>
      </c>
      <c r="AC927" s="3" t="s">
        <v>5792</v>
      </c>
      <c r="AD927" s="9">
        <v>45222</v>
      </c>
      <c r="AE927" s="3" t="s">
        <v>651</v>
      </c>
      <c r="AF927" s="3" t="s">
        <v>5793</v>
      </c>
      <c r="AG927" s="3" t="s">
        <v>5794</v>
      </c>
      <c r="AH927" s="11">
        <f>HYPERLINK("https://my.pitchbook.com?c=250944-49T","View Company Online")</f>
      </c>
    </row>
    <row r="928">
      <c r="A928" s="12" t="s">
        <v>5795</v>
      </c>
      <c r="B928" s="12" t="s">
        <v>5796</v>
      </c>
      <c r="C928" s="19">
        <v>8</v>
      </c>
      <c r="D928" s="19">
        <v>136</v>
      </c>
      <c r="E928" s="19">
        <v>42</v>
      </c>
      <c r="F928" s="19">
        <v>204</v>
      </c>
      <c r="G928" s="15" t="s">
        <v>2497</v>
      </c>
      <c r="H928" s="14">
        <v>0.36</v>
      </c>
      <c r="I928" s="18">
        <v>9.03</v>
      </c>
      <c r="J928" s="12" t="s">
        <v>521</v>
      </c>
      <c r="K928" s="13" t="s">
        <v>36</v>
      </c>
      <c r="L928" s="15" t="s">
        <v>36</v>
      </c>
      <c r="M928" s="12" t="s">
        <v>36</v>
      </c>
      <c r="N928" s="12" t="s">
        <v>36</v>
      </c>
      <c r="O928" s="17" t="s">
        <v>36</v>
      </c>
      <c r="P928" s="12" t="s">
        <v>36</v>
      </c>
      <c r="Q928" s="12" t="s">
        <v>36</v>
      </c>
      <c r="R928" s="12" t="s">
        <v>36</v>
      </c>
      <c r="S928" s="12" t="s">
        <v>36</v>
      </c>
      <c r="T928" s="12" t="s">
        <v>2213</v>
      </c>
      <c r="U928" s="12" t="s">
        <v>219</v>
      </c>
      <c r="V928" s="12" t="s">
        <v>75</v>
      </c>
      <c r="W928" s="12" t="s">
        <v>5797</v>
      </c>
      <c r="X928" s="16" t="s">
        <v>5798</v>
      </c>
      <c r="Y928" s="15" t="s">
        <v>475</v>
      </c>
      <c r="Z928" s="14">
        <v>1.06</v>
      </c>
      <c r="AA928" s="14">
        <v>11.76</v>
      </c>
      <c r="AB928" s="12" t="s">
        <v>56</v>
      </c>
      <c r="AC928" s="12" t="s">
        <v>5799</v>
      </c>
      <c r="AD928" s="13">
        <v>45222</v>
      </c>
      <c r="AE928" s="12" t="s">
        <v>1912</v>
      </c>
      <c r="AF928" s="12" t="s">
        <v>1969</v>
      </c>
      <c r="AG928" s="12" t="s">
        <v>5800</v>
      </c>
      <c r="AH928" s="1">
        <f>HYPERLINK("https://my.pitchbook.com?c=248143-87T","View Company Online")</f>
      </c>
    </row>
    <row r="929">
      <c r="A929" s="3" t="s">
        <v>5801</v>
      </c>
      <c r="B929" s="3" t="s">
        <v>5802</v>
      </c>
      <c r="C929" s="5" t="s">
        <v>36</v>
      </c>
      <c r="D929" s="5" t="s">
        <v>36</v>
      </c>
      <c r="E929" s="5" t="s">
        <v>36</v>
      </c>
      <c r="F929" s="5" t="s">
        <v>36</v>
      </c>
      <c r="G929" s="6" t="s">
        <v>36</v>
      </c>
      <c r="H929" s="4" t="s">
        <v>36</v>
      </c>
      <c r="I929" s="7" t="s">
        <v>36</v>
      </c>
      <c r="J929" s="3" t="s">
        <v>36</v>
      </c>
      <c r="K929" s="9" t="s">
        <v>36</v>
      </c>
      <c r="L929" s="6" t="s">
        <v>36</v>
      </c>
      <c r="M929" s="3" t="s">
        <v>36</v>
      </c>
      <c r="N929" s="3" t="s">
        <v>36</v>
      </c>
      <c r="O929" s="8" t="s">
        <v>36</v>
      </c>
      <c r="P929" s="3" t="s">
        <v>36</v>
      </c>
      <c r="Q929" s="3" t="s">
        <v>36</v>
      </c>
      <c r="R929" s="3" t="s">
        <v>36</v>
      </c>
      <c r="S929" s="3" t="s">
        <v>36</v>
      </c>
      <c r="T929" s="3" t="s">
        <v>2658</v>
      </c>
      <c r="U929" s="3" t="s">
        <v>38</v>
      </c>
      <c r="V929" s="3" t="s">
        <v>39</v>
      </c>
      <c r="W929" s="3" t="s">
        <v>5803</v>
      </c>
      <c r="X929" s="10" t="s">
        <v>577</v>
      </c>
      <c r="Y929" s="6" t="s">
        <v>42</v>
      </c>
      <c r="Z929" s="4" t="s">
        <v>36</v>
      </c>
      <c r="AA929" s="4" t="s">
        <v>36</v>
      </c>
      <c r="AB929" s="3" t="s">
        <v>56</v>
      </c>
      <c r="AC929" s="3" t="s">
        <v>5804</v>
      </c>
      <c r="AD929" s="9">
        <v>45222</v>
      </c>
      <c r="AE929" s="3" t="s">
        <v>110</v>
      </c>
      <c r="AF929" s="3" t="s">
        <v>372</v>
      </c>
      <c r="AG929" s="3" t="s">
        <v>1362</v>
      </c>
      <c r="AH929" s="11">
        <f>HYPERLINK("https://my.pitchbook.com?c=250651-36T","View Company Online")</f>
      </c>
    </row>
    <row r="930">
      <c r="A930" s="12" t="s">
        <v>5805</v>
      </c>
      <c r="B930" s="12" t="s">
        <v>5806</v>
      </c>
      <c r="C930" s="19" t="s">
        <v>36</v>
      </c>
      <c r="D930" s="19" t="s">
        <v>36</v>
      </c>
      <c r="E930" s="19" t="s">
        <v>36</v>
      </c>
      <c r="F930" s="19" t="s">
        <v>36</v>
      </c>
      <c r="G930" s="15" t="s">
        <v>36</v>
      </c>
      <c r="H930" s="14">
        <v>623.14</v>
      </c>
      <c r="I930" s="18">
        <v>35.49</v>
      </c>
      <c r="J930" s="12" t="s">
        <v>521</v>
      </c>
      <c r="K930" s="13" t="s">
        <v>36</v>
      </c>
      <c r="L930" s="15" t="s">
        <v>36</v>
      </c>
      <c r="M930" s="12" t="s">
        <v>36</v>
      </c>
      <c r="N930" s="12" t="s">
        <v>36</v>
      </c>
      <c r="O930" s="17" t="s">
        <v>36</v>
      </c>
      <c r="P930" s="12" t="s">
        <v>36</v>
      </c>
      <c r="Q930" s="12" t="s">
        <v>36</v>
      </c>
      <c r="R930" s="12" t="s">
        <v>36</v>
      </c>
      <c r="S930" s="12" t="s">
        <v>36</v>
      </c>
      <c r="T930" s="12" t="s">
        <v>5807</v>
      </c>
      <c r="U930" s="12" t="s">
        <v>1580</v>
      </c>
      <c r="V930" s="12" t="s">
        <v>39</v>
      </c>
      <c r="W930" s="12" t="s">
        <v>5808</v>
      </c>
      <c r="X930" s="16" t="s">
        <v>5809</v>
      </c>
      <c r="Y930" s="15" t="s">
        <v>42</v>
      </c>
      <c r="Z930" s="14">
        <v>6.98</v>
      </c>
      <c r="AA930" s="14">
        <v>19.67</v>
      </c>
      <c r="AB930" s="12" t="s">
        <v>43</v>
      </c>
      <c r="AC930" s="12" t="s">
        <v>5810</v>
      </c>
      <c r="AD930" s="13">
        <v>45218</v>
      </c>
      <c r="AE930" s="12" t="s">
        <v>2785</v>
      </c>
      <c r="AF930" s="12" t="s">
        <v>36</v>
      </c>
      <c r="AG930" s="12" t="s">
        <v>652</v>
      </c>
      <c r="AH930" s="1">
        <f>HYPERLINK("https://my.pitchbook.com?c=243706-06T","View Company Online")</f>
      </c>
    </row>
    <row r="931">
      <c r="A931" s="3" t="s">
        <v>5811</v>
      </c>
      <c r="B931" s="3" t="s">
        <v>5812</v>
      </c>
      <c r="C931" s="5" t="s">
        <v>36</v>
      </c>
      <c r="D931" s="5" t="s">
        <v>36</v>
      </c>
      <c r="E931" s="5" t="s">
        <v>36</v>
      </c>
      <c r="F931" s="5" t="s">
        <v>36</v>
      </c>
      <c r="G931" s="6" t="s">
        <v>326</v>
      </c>
      <c r="H931" s="4">
        <v>449.45</v>
      </c>
      <c r="I931" s="7">
        <v>18.69</v>
      </c>
      <c r="J931" s="3" t="s">
        <v>327</v>
      </c>
      <c r="K931" s="9" t="s">
        <v>36</v>
      </c>
      <c r="L931" s="6" t="s">
        <v>122</v>
      </c>
      <c r="M931" s="3" t="s">
        <v>36</v>
      </c>
      <c r="N931" s="3" t="s">
        <v>122</v>
      </c>
      <c r="O931" s="8" t="s">
        <v>36</v>
      </c>
      <c r="P931" s="3" t="s">
        <v>36</v>
      </c>
      <c r="Q931" s="3" t="s">
        <v>36</v>
      </c>
      <c r="R931" s="3" t="s">
        <v>36</v>
      </c>
      <c r="S931" s="3" t="s">
        <v>36</v>
      </c>
      <c r="T931" s="3" t="s">
        <v>37</v>
      </c>
      <c r="U931" s="3" t="s">
        <v>38</v>
      </c>
      <c r="V931" s="3" t="s">
        <v>39</v>
      </c>
      <c r="W931" s="3" t="s">
        <v>5813</v>
      </c>
      <c r="X931" s="10" t="s">
        <v>5814</v>
      </c>
      <c r="Y931" s="6" t="s">
        <v>192</v>
      </c>
      <c r="Z931" s="4">
        <v>15.87</v>
      </c>
      <c r="AA931" s="4">
        <v>84.92</v>
      </c>
      <c r="AB931" s="3" t="s">
        <v>56</v>
      </c>
      <c r="AC931" s="3" t="s">
        <v>5815</v>
      </c>
      <c r="AD931" s="9">
        <v>45217</v>
      </c>
      <c r="AE931" s="3" t="s">
        <v>45</v>
      </c>
      <c r="AF931" s="3" t="s">
        <v>5816</v>
      </c>
      <c r="AG931" s="3" t="s">
        <v>81</v>
      </c>
      <c r="AH931" s="11">
        <f>HYPERLINK("https://my.pitchbook.com?c=247334-86T","View Company Online")</f>
      </c>
    </row>
    <row r="932">
      <c r="A932" s="12" t="s">
        <v>5817</v>
      </c>
      <c r="B932" s="12" t="s">
        <v>5818</v>
      </c>
      <c r="C932" s="19" t="s">
        <v>36</v>
      </c>
      <c r="D932" s="19" t="s">
        <v>36</v>
      </c>
      <c r="E932" s="19" t="s">
        <v>36</v>
      </c>
      <c r="F932" s="19" t="s">
        <v>36</v>
      </c>
      <c r="G932" s="15" t="s">
        <v>36</v>
      </c>
      <c r="H932" s="14" t="s">
        <v>36</v>
      </c>
      <c r="I932" s="18" t="s">
        <v>36</v>
      </c>
      <c r="J932" s="12" t="s">
        <v>36</v>
      </c>
      <c r="K932" s="13" t="s">
        <v>36</v>
      </c>
      <c r="L932" s="15" t="s">
        <v>36</v>
      </c>
      <c r="M932" s="12" t="s">
        <v>36</v>
      </c>
      <c r="N932" s="12" t="s">
        <v>36</v>
      </c>
      <c r="O932" s="17" t="s">
        <v>36</v>
      </c>
      <c r="P932" s="12" t="s">
        <v>36</v>
      </c>
      <c r="Q932" s="12" t="s">
        <v>36</v>
      </c>
      <c r="R932" s="12" t="s">
        <v>36</v>
      </c>
      <c r="S932" s="12" t="s">
        <v>36</v>
      </c>
      <c r="T932" s="12" t="s">
        <v>522</v>
      </c>
      <c r="U932" s="12" t="s">
        <v>38</v>
      </c>
      <c r="V932" s="12" t="s">
        <v>39</v>
      </c>
      <c r="W932" s="12" t="s">
        <v>5819</v>
      </c>
      <c r="X932" s="16" t="s">
        <v>5820</v>
      </c>
      <c r="Y932" s="15" t="s">
        <v>42</v>
      </c>
      <c r="Z932" s="14">
        <v>1.27</v>
      </c>
      <c r="AA932" s="14" t="s">
        <v>36</v>
      </c>
      <c r="AB932" s="12" t="s">
        <v>56</v>
      </c>
      <c r="AC932" s="12" t="s">
        <v>5821</v>
      </c>
      <c r="AD932" s="13">
        <v>45217</v>
      </c>
      <c r="AE932" s="12" t="s">
        <v>110</v>
      </c>
      <c r="AF932" s="12" t="s">
        <v>1159</v>
      </c>
      <c r="AG932" s="12" t="s">
        <v>81</v>
      </c>
      <c r="AH932" s="1">
        <f>HYPERLINK("https://my.pitchbook.com?c=243515-53T","View Company Online")</f>
      </c>
    </row>
    <row r="933">
      <c r="A933" s="3" t="s">
        <v>5822</v>
      </c>
      <c r="B933" s="3" t="s">
        <v>5823</v>
      </c>
      <c r="C933" s="5" t="s">
        <v>36</v>
      </c>
      <c r="D933" s="5" t="s">
        <v>36</v>
      </c>
      <c r="E933" s="5" t="s">
        <v>36</v>
      </c>
      <c r="F933" s="5" t="s">
        <v>36</v>
      </c>
      <c r="G933" s="6" t="s">
        <v>36</v>
      </c>
      <c r="H933" s="4" t="s">
        <v>36</v>
      </c>
      <c r="I933" s="7" t="s">
        <v>36</v>
      </c>
      <c r="J933" s="3" t="s">
        <v>36</v>
      </c>
      <c r="K933" s="9" t="s">
        <v>36</v>
      </c>
      <c r="L933" s="6" t="s">
        <v>36</v>
      </c>
      <c r="M933" s="3" t="s">
        <v>36</v>
      </c>
      <c r="N933" s="3" t="s">
        <v>36</v>
      </c>
      <c r="O933" s="8" t="s">
        <v>36</v>
      </c>
      <c r="P933" s="3" t="s">
        <v>36</v>
      </c>
      <c r="Q933" s="3" t="s">
        <v>36</v>
      </c>
      <c r="R933" s="3" t="s">
        <v>36</v>
      </c>
      <c r="S933" s="3" t="s">
        <v>36</v>
      </c>
      <c r="T933" s="3" t="s">
        <v>5824</v>
      </c>
      <c r="U933" s="3" t="s">
        <v>2279</v>
      </c>
      <c r="V933" s="3" t="s">
        <v>378</v>
      </c>
      <c r="W933" s="3" t="s">
        <v>5825</v>
      </c>
      <c r="X933" s="10" t="s">
        <v>5826</v>
      </c>
      <c r="Y933" s="6" t="s">
        <v>108</v>
      </c>
      <c r="Z933" s="4" t="s">
        <v>36</v>
      </c>
      <c r="AA933" s="4" t="s">
        <v>36</v>
      </c>
      <c r="AB933" s="3" t="s">
        <v>43</v>
      </c>
      <c r="AC933" s="3" t="s">
        <v>5827</v>
      </c>
      <c r="AD933" s="9">
        <v>45217</v>
      </c>
      <c r="AE933" s="3" t="s">
        <v>5828</v>
      </c>
      <c r="AF933" s="3" t="s">
        <v>982</v>
      </c>
      <c r="AG933" s="3" t="s">
        <v>5829</v>
      </c>
      <c r="AH933" s="11">
        <f>HYPERLINK("https://my.pitchbook.com?c=244643-59T","View Company Online")</f>
      </c>
    </row>
    <row r="934">
      <c r="A934" s="12" t="s">
        <v>5830</v>
      </c>
      <c r="B934" s="12" t="s">
        <v>5831</v>
      </c>
      <c r="C934" s="19" t="s">
        <v>36</v>
      </c>
      <c r="D934" s="19" t="s">
        <v>36</v>
      </c>
      <c r="E934" s="19" t="s">
        <v>36</v>
      </c>
      <c r="F934" s="19" t="s">
        <v>36</v>
      </c>
      <c r="G934" s="15" t="s">
        <v>36</v>
      </c>
      <c r="H934" s="14">
        <v>233.68</v>
      </c>
      <c r="I934" s="18">
        <v>12.9</v>
      </c>
      <c r="J934" s="12" t="s">
        <v>521</v>
      </c>
      <c r="K934" s="13" t="s">
        <v>36</v>
      </c>
      <c r="L934" s="15" t="s">
        <v>36</v>
      </c>
      <c r="M934" s="12" t="s">
        <v>36</v>
      </c>
      <c r="N934" s="12" t="s">
        <v>36</v>
      </c>
      <c r="O934" s="17" t="s">
        <v>36</v>
      </c>
      <c r="P934" s="12" t="s">
        <v>36</v>
      </c>
      <c r="Q934" s="12" t="s">
        <v>36</v>
      </c>
      <c r="R934" s="12" t="s">
        <v>36</v>
      </c>
      <c r="S934" s="12" t="s">
        <v>36</v>
      </c>
      <c r="T934" s="12" t="s">
        <v>5832</v>
      </c>
      <c r="U934" s="12" t="s">
        <v>219</v>
      </c>
      <c r="V934" s="12" t="s">
        <v>75</v>
      </c>
      <c r="W934" s="12" t="s">
        <v>5833</v>
      </c>
      <c r="X934" s="16" t="s">
        <v>5834</v>
      </c>
      <c r="Y934" s="15" t="s">
        <v>42</v>
      </c>
      <c r="Z934" s="14">
        <v>1.06</v>
      </c>
      <c r="AA934" s="14">
        <v>8.2</v>
      </c>
      <c r="AB934" s="12" t="s">
        <v>43</v>
      </c>
      <c r="AC934" s="12" t="s">
        <v>5835</v>
      </c>
      <c r="AD934" s="13">
        <v>45216</v>
      </c>
      <c r="AE934" s="12" t="s">
        <v>223</v>
      </c>
      <c r="AF934" s="12" t="s">
        <v>275</v>
      </c>
      <c r="AG934" s="12" t="s">
        <v>800</v>
      </c>
      <c r="AH934" s="1">
        <f>HYPERLINK("https://my.pitchbook.com?c=243429-58T","View Company Online")</f>
      </c>
    </row>
    <row r="935">
      <c r="A935" s="3" t="s">
        <v>5836</v>
      </c>
      <c r="B935" s="3" t="s">
        <v>5837</v>
      </c>
      <c r="C935" s="5" t="s">
        <v>36</v>
      </c>
      <c r="D935" s="5" t="s">
        <v>36</v>
      </c>
      <c r="E935" s="5" t="s">
        <v>36</v>
      </c>
      <c r="F935" s="5" t="s">
        <v>36</v>
      </c>
      <c r="G935" s="6" t="s">
        <v>36</v>
      </c>
      <c r="H935" s="4" t="s">
        <v>36</v>
      </c>
      <c r="I935" s="7">
        <v>24.2</v>
      </c>
      <c r="J935" s="3" t="s">
        <v>327</v>
      </c>
      <c r="K935" s="9" t="s">
        <v>36</v>
      </c>
      <c r="L935" s="6" t="s">
        <v>36</v>
      </c>
      <c r="M935" s="3" t="s">
        <v>36</v>
      </c>
      <c r="N935" s="3" t="s">
        <v>36</v>
      </c>
      <c r="O935" s="8" t="s">
        <v>36</v>
      </c>
      <c r="P935" s="3" t="s">
        <v>36</v>
      </c>
      <c r="Q935" s="3" t="s">
        <v>36</v>
      </c>
      <c r="R935" s="3" t="s">
        <v>36</v>
      </c>
      <c r="S935" s="3" t="s">
        <v>36</v>
      </c>
      <c r="T935" s="3" t="s">
        <v>5838</v>
      </c>
      <c r="U935" s="3" t="s">
        <v>289</v>
      </c>
      <c r="V935" s="3" t="s">
        <v>64</v>
      </c>
      <c r="W935" s="3" t="s">
        <v>5839</v>
      </c>
      <c r="X935" s="10" t="s">
        <v>5840</v>
      </c>
      <c r="Y935" s="6" t="s">
        <v>42</v>
      </c>
      <c r="Z935" s="4">
        <v>1.27</v>
      </c>
      <c r="AA935" s="4">
        <v>3.49</v>
      </c>
      <c r="AB935" s="3" t="s">
        <v>56</v>
      </c>
      <c r="AC935" s="3" t="s">
        <v>5841</v>
      </c>
      <c r="AD935" s="9">
        <v>45216</v>
      </c>
      <c r="AE935" s="3" t="s">
        <v>292</v>
      </c>
      <c r="AF935" s="3" t="s">
        <v>36</v>
      </c>
      <c r="AG935" s="3" t="s">
        <v>5842</v>
      </c>
      <c r="AH935" s="11">
        <f>HYPERLINK("https://my.pitchbook.com?c=243430-30T","View Company Online")</f>
      </c>
    </row>
    <row r="936">
      <c r="A936" s="12" t="s">
        <v>5843</v>
      </c>
      <c r="B936" s="12" t="s">
        <v>5844</v>
      </c>
      <c r="C936" s="19" t="s">
        <v>36</v>
      </c>
      <c r="D936" s="19" t="s">
        <v>36</v>
      </c>
      <c r="E936" s="19" t="s">
        <v>36</v>
      </c>
      <c r="F936" s="19" t="s">
        <v>36</v>
      </c>
      <c r="G936" s="15" t="s">
        <v>326</v>
      </c>
      <c r="H936" s="14" t="s">
        <v>36</v>
      </c>
      <c r="I936" s="18">
        <v>31.4</v>
      </c>
      <c r="J936" s="12" t="s">
        <v>327</v>
      </c>
      <c r="K936" s="13" t="s">
        <v>36</v>
      </c>
      <c r="L936" s="15" t="s">
        <v>36</v>
      </c>
      <c r="M936" s="12" t="s">
        <v>36</v>
      </c>
      <c r="N936" s="12" t="s">
        <v>36</v>
      </c>
      <c r="O936" s="17" t="s">
        <v>36</v>
      </c>
      <c r="P936" s="12" t="s">
        <v>36</v>
      </c>
      <c r="Q936" s="12" t="s">
        <v>36</v>
      </c>
      <c r="R936" s="12" t="s">
        <v>36</v>
      </c>
      <c r="S936" s="12" t="s">
        <v>36</v>
      </c>
      <c r="T936" s="12" t="s">
        <v>2308</v>
      </c>
      <c r="U936" s="12" t="s">
        <v>38</v>
      </c>
      <c r="V936" s="12" t="s">
        <v>39</v>
      </c>
      <c r="W936" s="12" t="s">
        <v>5845</v>
      </c>
      <c r="X936" s="16" t="s">
        <v>5846</v>
      </c>
      <c r="Y936" s="15" t="s">
        <v>108</v>
      </c>
      <c r="Z936" s="14">
        <v>6.88</v>
      </c>
      <c r="AA936" s="14">
        <v>21.91</v>
      </c>
      <c r="AB936" s="12" t="s">
        <v>56</v>
      </c>
      <c r="AC936" s="12" t="s">
        <v>5847</v>
      </c>
      <c r="AD936" s="13">
        <v>45216</v>
      </c>
      <c r="AE936" s="12" t="s">
        <v>45</v>
      </c>
      <c r="AF936" s="12" t="s">
        <v>5816</v>
      </c>
      <c r="AG936" s="12" t="s">
        <v>47</v>
      </c>
      <c r="AH936" s="1">
        <f>HYPERLINK("https://my.pitchbook.com?c=243367-66T","View Company Online")</f>
      </c>
    </row>
    <row r="937">
      <c r="A937" s="3" t="s">
        <v>5848</v>
      </c>
      <c r="B937" s="3" t="s">
        <v>5849</v>
      </c>
      <c r="C937" s="5">
        <v>2</v>
      </c>
      <c r="D937" s="5">
        <v>1</v>
      </c>
      <c r="E937" s="5">
        <v>2</v>
      </c>
      <c r="F937" s="5">
        <v>3</v>
      </c>
      <c r="G937" s="6" t="s">
        <v>326</v>
      </c>
      <c r="H937" s="4" t="s">
        <v>36</v>
      </c>
      <c r="I937" s="7">
        <v>37.95</v>
      </c>
      <c r="J937" s="3" t="s">
        <v>327</v>
      </c>
      <c r="K937" s="9">
        <v>45043</v>
      </c>
      <c r="L937" s="6" t="s">
        <v>36</v>
      </c>
      <c r="M937" s="3" t="s">
        <v>36</v>
      </c>
      <c r="N937" s="3" t="s">
        <v>36</v>
      </c>
      <c r="O937" s="8" t="s">
        <v>36</v>
      </c>
      <c r="P937" s="3" t="s">
        <v>36</v>
      </c>
      <c r="Q937" s="3" t="s">
        <v>36</v>
      </c>
      <c r="R937" s="3" t="s">
        <v>36</v>
      </c>
      <c r="S937" s="3" t="s">
        <v>36</v>
      </c>
      <c r="T937" s="3" t="s">
        <v>5850</v>
      </c>
      <c r="U937" s="3" t="s">
        <v>180</v>
      </c>
      <c r="V937" s="3" t="s">
        <v>52</v>
      </c>
      <c r="W937" s="3" t="s">
        <v>5851</v>
      </c>
      <c r="X937" s="10" t="s">
        <v>5852</v>
      </c>
      <c r="Y937" s="6" t="s">
        <v>108</v>
      </c>
      <c r="Z937" s="4">
        <v>8.47</v>
      </c>
      <c r="AA937" s="4">
        <v>22.31</v>
      </c>
      <c r="AB937" s="3" t="s">
        <v>56</v>
      </c>
      <c r="AC937" s="3" t="s">
        <v>5853</v>
      </c>
      <c r="AD937" s="9">
        <v>45216</v>
      </c>
      <c r="AE937" s="3" t="s">
        <v>184</v>
      </c>
      <c r="AF937" s="3" t="s">
        <v>5854</v>
      </c>
      <c r="AG937" s="3" t="s">
        <v>81</v>
      </c>
      <c r="AH937" s="11">
        <f>HYPERLINK("https://my.pitchbook.com?c=243417-34T","View Company Online")</f>
      </c>
    </row>
    <row r="938">
      <c r="A938" s="12" t="s">
        <v>5855</v>
      </c>
      <c r="B938" s="12" t="s">
        <v>5856</v>
      </c>
      <c r="C938" s="19" t="s">
        <v>36</v>
      </c>
      <c r="D938" s="19" t="s">
        <v>36</v>
      </c>
      <c r="E938" s="19" t="s">
        <v>36</v>
      </c>
      <c r="F938" s="19" t="s">
        <v>36</v>
      </c>
      <c r="G938" s="15" t="s">
        <v>36</v>
      </c>
      <c r="H938" s="14" t="s">
        <v>36</v>
      </c>
      <c r="I938" s="18" t="s">
        <v>36</v>
      </c>
      <c r="J938" s="12" t="s">
        <v>36</v>
      </c>
      <c r="K938" s="13" t="s">
        <v>36</v>
      </c>
      <c r="L938" s="15" t="s">
        <v>36</v>
      </c>
      <c r="M938" s="12" t="s">
        <v>36</v>
      </c>
      <c r="N938" s="12" t="s">
        <v>36</v>
      </c>
      <c r="O938" s="17" t="s">
        <v>36</v>
      </c>
      <c r="P938" s="12" t="s">
        <v>36</v>
      </c>
      <c r="Q938" s="12" t="s">
        <v>36</v>
      </c>
      <c r="R938" s="12" t="s">
        <v>36</v>
      </c>
      <c r="S938" s="12" t="s">
        <v>36</v>
      </c>
      <c r="T938" s="12" t="s">
        <v>105</v>
      </c>
      <c r="U938" s="12" t="s">
        <v>38</v>
      </c>
      <c r="V938" s="12" t="s">
        <v>39</v>
      </c>
      <c r="W938" s="12" t="s">
        <v>5857</v>
      </c>
      <c r="X938" s="16" t="s">
        <v>5858</v>
      </c>
      <c r="Y938" s="15" t="s">
        <v>42</v>
      </c>
      <c r="Z938" s="14">
        <v>2.22</v>
      </c>
      <c r="AA938" s="14" t="s">
        <v>36</v>
      </c>
      <c r="AB938" s="12" t="s">
        <v>56</v>
      </c>
      <c r="AC938" s="12" t="s">
        <v>5859</v>
      </c>
      <c r="AD938" s="13">
        <v>45215</v>
      </c>
      <c r="AE938" s="12" t="s">
        <v>110</v>
      </c>
      <c r="AF938" s="12" t="s">
        <v>176</v>
      </c>
      <c r="AG938" s="12" t="s">
        <v>81</v>
      </c>
      <c r="AH938" s="1">
        <f>HYPERLINK("https://my.pitchbook.com?c=243324-37T","View Company Online")</f>
      </c>
    </row>
    <row r="939">
      <c r="A939" s="3" t="s">
        <v>5860</v>
      </c>
      <c r="B939" s="3" t="s">
        <v>5861</v>
      </c>
      <c r="C939" s="5">
        <v>2</v>
      </c>
      <c r="D939" s="5" t="s">
        <v>36</v>
      </c>
      <c r="E939" s="5">
        <v>1</v>
      </c>
      <c r="F939" s="5">
        <v>2</v>
      </c>
      <c r="G939" s="6" t="s">
        <v>36</v>
      </c>
      <c r="H939" s="4">
        <v>4.35</v>
      </c>
      <c r="I939" s="7">
        <v>16.3</v>
      </c>
      <c r="J939" s="3" t="s">
        <v>521</v>
      </c>
      <c r="K939" s="9" t="s">
        <v>36</v>
      </c>
      <c r="L939" s="6" t="s">
        <v>36</v>
      </c>
      <c r="M939" s="3" t="s">
        <v>36</v>
      </c>
      <c r="N939" s="3" t="s">
        <v>36</v>
      </c>
      <c r="O939" s="8" t="s">
        <v>36</v>
      </c>
      <c r="P939" s="3" t="s">
        <v>36</v>
      </c>
      <c r="Q939" s="3" t="s">
        <v>36</v>
      </c>
      <c r="R939" s="3" t="s">
        <v>36</v>
      </c>
      <c r="S939" s="3" t="s">
        <v>36</v>
      </c>
      <c r="T939" s="3" t="s">
        <v>2811</v>
      </c>
      <c r="U939" s="3" t="s">
        <v>219</v>
      </c>
      <c r="V939" s="3" t="s">
        <v>75</v>
      </c>
      <c r="W939" s="3" t="s">
        <v>5862</v>
      </c>
      <c r="X939" s="10" t="s">
        <v>5863</v>
      </c>
      <c r="Y939" s="6" t="s">
        <v>42</v>
      </c>
      <c r="Z939" s="4">
        <v>1.69</v>
      </c>
      <c r="AA939" s="4">
        <v>5.29</v>
      </c>
      <c r="AB939" s="3" t="s">
        <v>43</v>
      </c>
      <c r="AC939" s="3" t="s">
        <v>5864</v>
      </c>
      <c r="AD939" s="9">
        <v>45215</v>
      </c>
      <c r="AE939" s="3" t="s">
        <v>223</v>
      </c>
      <c r="AF939" s="3" t="s">
        <v>372</v>
      </c>
      <c r="AG939" s="3" t="s">
        <v>652</v>
      </c>
      <c r="AH939" s="11">
        <f>HYPERLINK("https://my.pitchbook.com?c=243285-76T","View Company Online")</f>
      </c>
    </row>
    <row r="940">
      <c r="A940" s="12" t="s">
        <v>5865</v>
      </c>
      <c r="B940" s="12" t="s">
        <v>5866</v>
      </c>
      <c r="C940" s="19" t="s">
        <v>36</v>
      </c>
      <c r="D940" s="19" t="s">
        <v>36</v>
      </c>
      <c r="E940" s="19" t="s">
        <v>36</v>
      </c>
      <c r="F940" s="19" t="s">
        <v>36</v>
      </c>
      <c r="G940" s="15" t="s">
        <v>36</v>
      </c>
      <c r="H940" s="14">
        <v>139.17</v>
      </c>
      <c r="I940" s="18">
        <v>18</v>
      </c>
      <c r="J940" s="12" t="s">
        <v>521</v>
      </c>
      <c r="K940" s="13" t="s">
        <v>36</v>
      </c>
      <c r="L940" s="15" t="s">
        <v>36</v>
      </c>
      <c r="M940" s="12" t="s">
        <v>36</v>
      </c>
      <c r="N940" s="12" t="s">
        <v>36</v>
      </c>
      <c r="O940" s="17" t="s">
        <v>36</v>
      </c>
      <c r="P940" s="12" t="s">
        <v>36</v>
      </c>
      <c r="Q940" s="12" t="s">
        <v>36</v>
      </c>
      <c r="R940" s="12" t="s">
        <v>36</v>
      </c>
      <c r="S940" s="12" t="s">
        <v>36</v>
      </c>
      <c r="T940" s="12" t="s">
        <v>5867</v>
      </c>
      <c r="U940" s="12" t="s">
        <v>438</v>
      </c>
      <c r="V940" s="12" t="s">
        <v>405</v>
      </c>
      <c r="W940" s="12" t="s">
        <v>5868</v>
      </c>
      <c r="X940" s="16" t="s">
        <v>5869</v>
      </c>
      <c r="Y940" s="15" t="s">
        <v>42</v>
      </c>
      <c r="Z940" s="14">
        <v>0.53</v>
      </c>
      <c r="AA940" s="14">
        <v>2.6</v>
      </c>
      <c r="AB940" s="12" t="s">
        <v>43</v>
      </c>
      <c r="AC940" s="12" t="s">
        <v>5870</v>
      </c>
      <c r="AD940" s="13">
        <v>45215</v>
      </c>
      <c r="AE940" s="12" t="s">
        <v>438</v>
      </c>
      <c r="AF940" s="12" t="s">
        <v>215</v>
      </c>
      <c r="AG940" s="12" t="s">
        <v>5871</v>
      </c>
      <c r="AH940" s="1">
        <f>HYPERLINK("https://my.pitchbook.com?c=243309-07T","View Company Online")</f>
      </c>
    </row>
    <row r="941">
      <c r="A941" s="3" t="s">
        <v>5872</v>
      </c>
      <c r="B941" s="3" t="s">
        <v>5873</v>
      </c>
      <c r="C941" s="5" t="s">
        <v>36</v>
      </c>
      <c r="D941" s="5" t="s">
        <v>36</v>
      </c>
      <c r="E941" s="5" t="s">
        <v>36</v>
      </c>
      <c r="F941" s="5" t="s">
        <v>36</v>
      </c>
      <c r="G941" s="6" t="s">
        <v>36</v>
      </c>
      <c r="H941" s="4" t="s">
        <v>36</v>
      </c>
      <c r="I941" s="7" t="s">
        <v>36</v>
      </c>
      <c r="J941" s="3" t="s">
        <v>36</v>
      </c>
      <c r="K941" s="9" t="s">
        <v>36</v>
      </c>
      <c r="L941" s="6" t="s">
        <v>36</v>
      </c>
      <c r="M941" s="3" t="s">
        <v>36</v>
      </c>
      <c r="N941" s="3" t="s">
        <v>36</v>
      </c>
      <c r="O941" s="8" t="s">
        <v>36</v>
      </c>
      <c r="P941" s="3" t="s">
        <v>36</v>
      </c>
      <c r="Q941" s="3" t="s">
        <v>36</v>
      </c>
      <c r="R941" s="3" t="s">
        <v>36</v>
      </c>
      <c r="S941" s="3" t="s">
        <v>36</v>
      </c>
      <c r="T941" s="3" t="s">
        <v>5874</v>
      </c>
      <c r="U941" s="3" t="s">
        <v>318</v>
      </c>
      <c r="V941" s="3" t="s">
        <v>39</v>
      </c>
      <c r="W941" s="3" t="s">
        <v>5875</v>
      </c>
      <c r="X941" s="10" t="s">
        <v>5876</v>
      </c>
      <c r="Y941" s="6" t="s">
        <v>42</v>
      </c>
      <c r="Z941" s="4">
        <v>7.41</v>
      </c>
      <c r="AA941" s="4" t="s">
        <v>36</v>
      </c>
      <c r="AB941" s="3" t="s">
        <v>43</v>
      </c>
      <c r="AC941" s="3" t="s">
        <v>5877</v>
      </c>
      <c r="AD941" s="9">
        <v>45215</v>
      </c>
      <c r="AE941" s="3" t="s">
        <v>763</v>
      </c>
      <c r="AF941" s="3" t="s">
        <v>36</v>
      </c>
      <c r="AG941" s="3" t="s">
        <v>969</v>
      </c>
      <c r="AH941" s="11">
        <f>HYPERLINK("https://my.pitchbook.com?c=243443-26T","View Company Online")</f>
      </c>
    </row>
    <row r="942">
      <c r="A942" s="12" t="s">
        <v>5878</v>
      </c>
      <c r="B942" s="12" t="s">
        <v>5879</v>
      </c>
      <c r="C942" s="19" t="s">
        <v>36</v>
      </c>
      <c r="D942" s="19" t="s">
        <v>36</v>
      </c>
      <c r="E942" s="19" t="s">
        <v>36</v>
      </c>
      <c r="F942" s="19" t="s">
        <v>36</v>
      </c>
      <c r="G942" s="15" t="s">
        <v>36</v>
      </c>
      <c r="H942" s="14">
        <v>162.28</v>
      </c>
      <c r="I942" s="18">
        <v>6.02</v>
      </c>
      <c r="J942" s="12" t="s">
        <v>521</v>
      </c>
      <c r="K942" s="13" t="s">
        <v>36</v>
      </c>
      <c r="L942" s="15" t="s">
        <v>36</v>
      </c>
      <c r="M942" s="12" t="s">
        <v>36</v>
      </c>
      <c r="N942" s="12" t="s">
        <v>36</v>
      </c>
      <c r="O942" s="17" t="s">
        <v>36</v>
      </c>
      <c r="P942" s="12" t="s">
        <v>36</v>
      </c>
      <c r="Q942" s="12" t="s">
        <v>36</v>
      </c>
      <c r="R942" s="12" t="s">
        <v>36</v>
      </c>
      <c r="S942" s="12" t="s">
        <v>36</v>
      </c>
      <c r="T942" s="12" t="s">
        <v>522</v>
      </c>
      <c r="U942" s="12" t="s">
        <v>38</v>
      </c>
      <c r="V942" s="12" t="s">
        <v>39</v>
      </c>
      <c r="W942" s="12" t="s">
        <v>5880</v>
      </c>
      <c r="X942" s="16" t="s">
        <v>5881</v>
      </c>
      <c r="Y942" s="15" t="s">
        <v>42</v>
      </c>
      <c r="Z942" s="14">
        <v>0.11</v>
      </c>
      <c r="AA942" s="14">
        <v>1.76</v>
      </c>
      <c r="AB942" s="12" t="s">
        <v>43</v>
      </c>
      <c r="AC942" s="12" t="s">
        <v>5882</v>
      </c>
      <c r="AD942" s="13">
        <v>45215</v>
      </c>
      <c r="AE942" s="12" t="s">
        <v>110</v>
      </c>
      <c r="AF942" s="12" t="s">
        <v>2759</v>
      </c>
      <c r="AG942" s="12" t="s">
        <v>81</v>
      </c>
      <c r="AH942" s="1">
        <f>HYPERLINK("https://my.pitchbook.com?c=247003-75T","View Company Online")</f>
      </c>
    </row>
    <row r="943">
      <c r="A943" s="3" t="s">
        <v>5883</v>
      </c>
      <c r="B943" s="3" t="s">
        <v>5884</v>
      </c>
      <c r="C943" s="5">
        <v>2</v>
      </c>
      <c r="D943" s="5">
        <v>10</v>
      </c>
      <c r="E943" s="5">
        <v>3</v>
      </c>
      <c r="F943" s="5">
        <v>13</v>
      </c>
      <c r="G943" s="6" t="s">
        <v>36</v>
      </c>
      <c r="H943" s="4" t="s">
        <v>36</v>
      </c>
      <c r="I943" s="7" t="s">
        <v>36</v>
      </c>
      <c r="J943" s="3" t="s">
        <v>36</v>
      </c>
      <c r="K943" s="9" t="s">
        <v>36</v>
      </c>
      <c r="L943" s="6" t="s">
        <v>122</v>
      </c>
      <c r="M943" s="3" t="s">
        <v>36</v>
      </c>
      <c r="N943" s="3" t="s">
        <v>122</v>
      </c>
      <c r="O943" s="8" t="s">
        <v>36</v>
      </c>
      <c r="P943" s="3" t="s">
        <v>36</v>
      </c>
      <c r="Q943" s="3" t="s">
        <v>36</v>
      </c>
      <c r="R943" s="3" t="s">
        <v>36</v>
      </c>
      <c r="S943" s="3" t="s">
        <v>453</v>
      </c>
      <c r="T943" s="3" t="s">
        <v>4608</v>
      </c>
      <c r="U943" s="3" t="s">
        <v>455</v>
      </c>
      <c r="V943" s="3" t="s">
        <v>367</v>
      </c>
      <c r="W943" s="3" t="s">
        <v>5885</v>
      </c>
      <c r="X943" s="10" t="s">
        <v>5886</v>
      </c>
      <c r="Y943" s="6" t="s">
        <v>55</v>
      </c>
      <c r="Z943" s="4">
        <v>15.92</v>
      </c>
      <c r="AA943" s="4" t="s">
        <v>36</v>
      </c>
      <c r="AB943" s="3" t="s">
        <v>43</v>
      </c>
      <c r="AC943" s="3" t="s">
        <v>5887</v>
      </c>
      <c r="AD943" s="9">
        <v>45211</v>
      </c>
      <c r="AE943" s="3" t="s">
        <v>459</v>
      </c>
      <c r="AF943" s="3" t="s">
        <v>5888</v>
      </c>
      <c r="AG943" s="3" t="s">
        <v>392</v>
      </c>
      <c r="AH943" s="11">
        <f>HYPERLINK("https://my.pitchbook.com?c=243101-80T","View Company Online")</f>
      </c>
    </row>
    <row r="944">
      <c r="A944" s="12" t="s">
        <v>5889</v>
      </c>
      <c r="B944" s="12" t="s">
        <v>5890</v>
      </c>
      <c r="C944" s="19" t="s">
        <v>36</v>
      </c>
      <c r="D944" s="19" t="s">
        <v>36</v>
      </c>
      <c r="E944" s="19" t="s">
        <v>36</v>
      </c>
      <c r="F944" s="19" t="s">
        <v>36</v>
      </c>
      <c r="G944" s="15" t="s">
        <v>36</v>
      </c>
      <c r="H944" s="14">
        <v>52.63</v>
      </c>
      <c r="I944" s="18">
        <v>48.4</v>
      </c>
      <c r="J944" s="12" t="s">
        <v>521</v>
      </c>
      <c r="K944" s="13" t="s">
        <v>36</v>
      </c>
      <c r="L944" s="15" t="s">
        <v>36</v>
      </c>
      <c r="M944" s="12" t="s">
        <v>36</v>
      </c>
      <c r="N944" s="12" t="s">
        <v>36</v>
      </c>
      <c r="O944" s="17" t="s">
        <v>36</v>
      </c>
      <c r="P944" s="12" t="s">
        <v>36</v>
      </c>
      <c r="Q944" s="12" t="s">
        <v>36</v>
      </c>
      <c r="R944" s="12" t="s">
        <v>36</v>
      </c>
      <c r="S944" s="12" t="s">
        <v>36</v>
      </c>
      <c r="T944" s="12" t="s">
        <v>5518</v>
      </c>
      <c r="U944" s="12" t="s">
        <v>318</v>
      </c>
      <c r="V944" s="12" t="s">
        <v>39</v>
      </c>
      <c r="W944" s="12" t="s">
        <v>5891</v>
      </c>
      <c r="X944" s="16" t="s">
        <v>5892</v>
      </c>
      <c r="Y944" s="15" t="s">
        <v>108</v>
      </c>
      <c r="Z944" s="14">
        <v>2.69</v>
      </c>
      <c r="AA944" s="14">
        <v>5.55</v>
      </c>
      <c r="AB944" s="12" t="s">
        <v>56</v>
      </c>
      <c r="AC944" s="12" t="s">
        <v>5893</v>
      </c>
      <c r="AD944" s="13">
        <v>45211</v>
      </c>
      <c r="AE944" s="12" t="s">
        <v>763</v>
      </c>
      <c r="AF944" s="12" t="s">
        <v>5894</v>
      </c>
      <c r="AG944" s="12" t="s">
        <v>5895</v>
      </c>
      <c r="AH944" s="1">
        <f>HYPERLINK("https://my.pitchbook.com?c=248341-78T","View Company Online")</f>
      </c>
    </row>
    <row r="945">
      <c r="A945" s="3" t="s">
        <v>5896</v>
      </c>
      <c r="B945" s="3" t="s">
        <v>5897</v>
      </c>
      <c r="C945" s="5" t="s">
        <v>36</v>
      </c>
      <c r="D945" s="5" t="s">
        <v>36</v>
      </c>
      <c r="E945" s="5" t="s">
        <v>36</v>
      </c>
      <c r="F945" s="5" t="s">
        <v>36</v>
      </c>
      <c r="G945" s="6" t="s">
        <v>2497</v>
      </c>
      <c r="H945" s="4">
        <v>517.91</v>
      </c>
      <c r="I945" s="7">
        <v>27.78</v>
      </c>
      <c r="J945" s="3" t="s">
        <v>521</v>
      </c>
      <c r="K945" s="9" t="s">
        <v>36</v>
      </c>
      <c r="L945" s="6" t="s">
        <v>36</v>
      </c>
      <c r="M945" s="3" t="s">
        <v>36</v>
      </c>
      <c r="N945" s="3" t="s">
        <v>36</v>
      </c>
      <c r="O945" s="8" t="s">
        <v>36</v>
      </c>
      <c r="P945" s="3" t="s">
        <v>36</v>
      </c>
      <c r="Q945" s="3" t="s">
        <v>36</v>
      </c>
      <c r="R945" s="3" t="s">
        <v>36</v>
      </c>
      <c r="S945" s="3" t="s">
        <v>36</v>
      </c>
      <c r="T945" s="3" t="s">
        <v>105</v>
      </c>
      <c r="U945" s="3" t="s">
        <v>38</v>
      </c>
      <c r="V945" s="3" t="s">
        <v>39</v>
      </c>
      <c r="W945" s="3" t="s">
        <v>5898</v>
      </c>
      <c r="X945" s="10" t="s">
        <v>5899</v>
      </c>
      <c r="Y945" s="6" t="s">
        <v>108</v>
      </c>
      <c r="Z945" s="4">
        <v>1.49</v>
      </c>
      <c r="AA945" s="4">
        <v>4.69</v>
      </c>
      <c r="AB945" s="3" t="s">
        <v>56</v>
      </c>
      <c r="AC945" s="3" t="s">
        <v>5900</v>
      </c>
      <c r="AD945" s="9">
        <v>45211</v>
      </c>
      <c r="AE945" s="3" t="s">
        <v>110</v>
      </c>
      <c r="AF945" s="3" t="s">
        <v>5901</v>
      </c>
      <c r="AG945" s="3" t="s">
        <v>81</v>
      </c>
      <c r="AH945" s="11">
        <f>HYPERLINK("https://my.pitchbook.com?c=227640-97T","View Company Online")</f>
      </c>
    </row>
    <row r="946">
      <c r="A946" s="12" t="s">
        <v>5902</v>
      </c>
      <c r="B946" s="12" t="s">
        <v>5903</v>
      </c>
      <c r="C946" s="19">
        <v>6</v>
      </c>
      <c r="D946" s="19">
        <v>6</v>
      </c>
      <c r="E946" s="19">
        <v>8</v>
      </c>
      <c r="F946" s="19">
        <v>15</v>
      </c>
      <c r="G946" s="15" t="s">
        <v>683</v>
      </c>
      <c r="H946" s="14" t="s">
        <v>36</v>
      </c>
      <c r="I946" s="18">
        <v>38.25</v>
      </c>
      <c r="J946" s="12" t="s">
        <v>327</v>
      </c>
      <c r="K946" s="13" t="s">
        <v>36</v>
      </c>
      <c r="L946" s="15" t="s">
        <v>5904</v>
      </c>
      <c r="M946" s="12" t="s">
        <v>36</v>
      </c>
      <c r="N946" s="12" t="s">
        <v>5904</v>
      </c>
      <c r="O946" s="17" t="s">
        <v>36</v>
      </c>
      <c r="P946" s="12" t="s">
        <v>36</v>
      </c>
      <c r="Q946" s="12" t="s">
        <v>36</v>
      </c>
      <c r="R946" s="12" t="s">
        <v>36</v>
      </c>
      <c r="S946" s="12" t="s">
        <v>36</v>
      </c>
      <c r="T946" s="12" t="s">
        <v>189</v>
      </c>
      <c r="U946" s="12" t="s">
        <v>180</v>
      </c>
      <c r="V946" s="12" t="s">
        <v>52</v>
      </c>
      <c r="W946" s="12" t="s">
        <v>5905</v>
      </c>
      <c r="X946" s="16" t="s">
        <v>5906</v>
      </c>
      <c r="Y946" s="15" t="s">
        <v>192</v>
      </c>
      <c r="Z946" s="14">
        <v>10.61</v>
      </c>
      <c r="AA946" s="14">
        <v>27.74</v>
      </c>
      <c r="AB946" s="12" t="s">
        <v>56</v>
      </c>
      <c r="AC946" s="12" t="s">
        <v>5907</v>
      </c>
      <c r="AD946" s="13">
        <v>45211</v>
      </c>
      <c r="AE946" s="12" t="s">
        <v>184</v>
      </c>
      <c r="AF946" s="12" t="s">
        <v>5908</v>
      </c>
      <c r="AG946" s="12" t="s">
        <v>81</v>
      </c>
      <c r="AH946" s="1">
        <f>HYPERLINK("https://my.pitchbook.com?c=243092-35T","View Company Online")</f>
      </c>
    </row>
    <row r="947">
      <c r="A947" s="3" t="s">
        <v>5909</v>
      </c>
      <c r="B947" s="3" t="s">
        <v>5910</v>
      </c>
      <c r="C947" s="5">
        <v>1</v>
      </c>
      <c r="D947" s="5">
        <v>6</v>
      </c>
      <c r="E947" s="5">
        <v>2</v>
      </c>
      <c r="F947" s="5">
        <v>7</v>
      </c>
      <c r="G947" s="6" t="s">
        <v>36</v>
      </c>
      <c r="H947" s="4" t="s">
        <v>36</v>
      </c>
      <c r="I947" s="7" t="s">
        <v>36</v>
      </c>
      <c r="J947" s="3" t="s">
        <v>36</v>
      </c>
      <c r="K947" s="9" t="s">
        <v>36</v>
      </c>
      <c r="L947" s="6" t="s">
        <v>36</v>
      </c>
      <c r="M947" s="3" t="s">
        <v>36</v>
      </c>
      <c r="N947" s="3" t="s">
        <v>36</v>
      </c>
      <c r="O947" s="8" t="s">
        <v>36</v>
      </c>
      <c r="P947" s="3" t="s">
        <v>36</v>
      </c>
      <c r="Q947" s="3" t="s">
        <v>36</v>
      </c>
      <c r="R947" s="3" t="s">
        <v>36</v>
      </c>
      <c r="S947" s="3" t="s">
        <v>36</v>
      </c>
      <c r="T947" s="3" t="s">
        <v>5911</v>
      </c>
      <c r="U947" s="3" t="s">
        <v>74</v>
      </c>
      <c r="V947" s="3" t="s">
        <v>75</v>
      </c>
      <c r="W947" s="3" t="s">
        <v>5912</v>
      </c>
      <c r="X947" s="10" t="s">
        <v>5913</v>
      </c>
      <c r="Y947" s="6" t="s">
        <v>55</v>
      </c>
      <c r="Z947" s="4">
        <v>4.56</v>
      </c>
      <c r="AA947" s="4" t="s">
        <v>36</v>
      </c>
      <c r="AB947" s="3" t="s">
        <v>56</v>
      </c>
      <c r="AC947" s="3" t="s">
        <v>5914</v>
      </c>
      <c r="AD947" s="9">
        <v>45210</v>
      </c>
      <c r="AE947" s="3" t="s">
        <v>79</v>
      </c>
      <c r="AF947" s="3" t="s">
        <v>176</v>
      </c>
      <c r="AG947" s="3" t="s">
        <v>81</v>
      </c>
      <c r="AH947" s="11">
        <f>HYPERLINK("https://my.pitchbook.com?c=244236-70T","View Company Online")</f>
      </c>
    </row>
    <row r="948">
      <c r="A948" s="12" t="s">
        <v>5915</v>
      </c>
      <c r="B948" s="12" t="s">
        <v>5916</v>
      </c>
      <c r="C948" s="19">
        <v>3</v>
      </c>
      <c r="D948" s="19">
        <v>4</v>
      </c>
      <c r="E948" s="19">
        <v>3</v>
      </c>
      <c r="F948" s="19">
        <v>7</v>
      </c>
      <c r="G948" s="15" t="s">
        <v>326</v>
      </c>
      <c r="H948" s="14">
        <v>149.55</v>
      </c>
      <c r="I948" s="18">
        <v>24.04</v>
      </c>
      <c r="J948" s="12" t="s">
        <v>521</v>
      </c>
      <c r="K948" s="13" t="s">
        <v>36</v>
      </c>
      <c r="L948" s="15" t="s">
        <v>36</v>
      </c>
      <c r="M948" s="12" t="s">
        <v>36</v>
      </c>
      <c r="N948" s="12" t="s">
        <v>36</v>
      </c>
      <c r="O948" s="17" t="s">
        <v>36</v>
      </c>
      <c r="P948" s="12" t="s">
        <v>36</v>
      </c>
      <c r="Q948" s="12" t="s">
        <v>36</v>
      </c>
      <c r="R948" s="12" t="s">
        <v>36</v>
      </c>
      <c r="S948" s="12" t="s">
        <v>36</v>
      </c>
      <c r="T948" s="12" t="s">
        <v>5917</v>
      </c>
      <c r="U948" s="12" t="s">
        <v>96</v>
      </c>
      <c r="V948" s="12" t="s">
        <v>52</v>
      </c>
      <c r="W948" s="12" t="s">
        <v>5918</v>
      </c>
      <c r="X948" s="16" t="s">
        <v>5919</v>
      </c>
      <c r="Y948" s="15" t="s">
        <v>192</v>
      </c>
      <c r="Z948" s="14">
        <v>6.72</v>
      </c>
      <c r="AA948" s="14">
        <v>27.96</v>
      </c>
      <c r="AB948" s="12" t="s">
        <v>43</v>
      </c>
      <c r="AC948" s="12" t="s">
        <v>5920</v>
      </c>
      <c r="AD948" s="13">
        <v>45209</v>
      </c>
      <c r="AE948" s="12" t="s">
        <v>755</v>
      </c>
      <c r="AF948" s="12" t="s">
        <v>275</v>
      </c>
      <c r="AG948" s="12" t="s">
        <v>81</v>
      </c>
      <c r="AH948" s="1">
        <f>HYPERLINK("https://my.pitchbook.com?c=224241-31T","View Company Online")</f>
      </c>
    </row>
    <row r="949">
      <c r="A949" s="3" t="s">
        <v>5921</v>
      </c>
      <c r="B949" s="3" t="s">
        <v>5922</v>
      </c>
      <c r="C949" s="5" t="s">
        <v>36</v>
      </c>
      <c r="D949" s="5" t="s">
        <v>36</v>
      </c>
      <c r="E949" s="5" t="s">
        <v>36</v>
      </c>
      <c r="F949" s="5" t="s">
        <v>36</v>
      </c>
      <c r="G949" s="6" t="s">
        <v>326</v>
      </c>
      <c r="H949" s="4" t="s">
        <v>36</v>
      </c>
      <c r="I949" s="7">
        <v>25.9</v>
      </c>
      <c r="J949" s="3" t="s">
        <v>327</v>
      </c>
      <c r="K949" s="9" t="s">
        <v>36</v>
      </c>
      <c r="L949" s="6" t="s">
        <v>122</v>
      </c>
      <c r="M949" s="3" t="s">
        <v>36</v>
      </c>
      <c r="N949" s="3" t="s">
        <v>122</v>
      </c>
      <c r="O949" s="8" t="s">
        <v>36</v>
      </c>
      <c r="P949" s="3" t="s">
        <v>36</v>
      </c>
      <c r="Q949" s="3" t="s">
        <v>36</v>
      </c>
      <c r="R949" s="3" t="s">
        <v>36</v>
      </c>
      <c r="S949" s="3" t="s">
        <v>36</v>
      </c>
      <c r="T949" s="3" t="s">
        <v>5923</v>
      </c>
      <c r="U949" s="3" t="s">
        <v>956</v>
      </c>
      <c r="V949" s="3" t="s">
        <v>405</v>
      </c>
      <c r="W949" s="3" t="s">
        <v>5924</v>
      </c>
      <c r="X949" s="10" t="s">
        <v>5925</v>
      </c>
      <c r="Y949" s="6" t="s">
        <v>108</v>
      </c>
      <c r="Z949" s="4">
        <v>11.68</v>
      </c>
      <c r="AA949" s="4">
        <v>45.1</v>
      </c>
      <c r="AB949" s="3" t="s">
        <v>43</v>
      </c>
      <c r="AC949" s="3" t="s">
        <v>5926</v>
      </c>
      <c r="AD949" s="9">
        <v>45209</v>
      </c>
      <c r="AE949" s="3" t="s">
        <v>1851</v>
      </c>
      <c r="AF949" s="3" t="s">
        <v>961</v>
      </c>
      <c r="AG949" s="3" t="s">
        <v>382</v>
      </c>
      <c r="AH949" s="11">
        <f>HYPERLINK("https://my.pitchbook.com?c=242881-12T","View Company Online")</f>
      </c>
    </row>
    <row r="950">
      <c r="A950" s="12" t="s">
        <v>5927</v>
      </c>
      <c r="B950" s="12" t="s">
        <v>5928</v>
      </c>
      <c r="C950" s="19" t="s">
        <v>36</v>
      </c>
      <c r="D950" s="19" t="s">
        <v>36</v>
      </c>
      <c r="E950" s="19" t="s">
        <v>36</v>
      </c>
      <c r="F950" s="19" t="s">
        <v>36</v>
      </c>
      <c r="G950" s="15" t="s">
        <v>36</v>
      </c>
      <c r="H950" s="14" t="s">
        <v>36</v>
      </c>
      <c r="I950" s="18" t="s">
        <v>36</v>
      </c>
      <c r="J950" s="12" t="s">
        <v>36</v>
      </c>
      <c r="K950" s="13" t="s">
        <v>36</v>
      </c>
      <c r="L950" s="15" t="s">
        <v>36</v>
      </c>
      <c r="M950" s="12" t="s">
        <v>36</v>
      </c>
      <c r="N950" s="12" t="s">
        <v>36</v>
      </c>
      <c r="O950" s="17" t="s">
        <v>36</v>
      </c>
      <c r="P950" s="12" t="s">
        <v>36</v>
      </c>
      <c r="Q950" s="12" t="s">
        <v>36</v>
      </c>
      <c r="R950" s="12" t="s">
        <v>36</v>
      </c>
      <c r="S950" s="12" t="s">
        <v>36</v>
      </c>
      <c r="T950" s="12" t="s">
        <v>5929</v>
      </c>
      <c r="U950" s="12" t="s">
        <v>38</v>
      </c>
      <c r="V950" s="12" t="s">
        <v>39</v>
      </c>
      <c r="W950" s="12" t="s">
        <v>5930</v>
      </c>
      <c r="X950" s="16" t="s">
        <v>5284</v>
      </c>
      <c r="Y950" s="15" t="s">
        <v>42</v>
      </c>
      <c r="Z950" s="14">
        <v>0.8</v>
      </c>
      <c r="AA950" s="14" t="s">
        <v>36</v>
      </c>
      <c r="AB950" s="12" t="s">
        <v>56</v>
      </c>
      <c r="AC950" s="12" t="s">
        <v>5931</v>
      </c>
      <c r="AD950" s="13">
        <v>45209</v>
      </c>
      <c r="AE950" s="12" t="s">
        <v>110</v>
      </c>
      <c r="AF950" s="12" t="s">
        <v>546</v>
      </c>
      <c r="AG950" s="12" t="s">
        <v>666</v>
      </c>
      <c r="AH950" s="1">
        <f>HYPERLINK("https://my.pitchbook.com?c=242947-00T","View Company Online")</f>
      </c>
    </row>
    <row r="951">
      <c r="A951" s="3" t="s">
        <v>5932</v>
      </c>
      <c r="B951" s="3" t="s">
        <v>5933</v>
      </c>
      <c r="C951" s="5" t="s">
        <v>36</v>
      </c>
      <c r="D951" s="5" t="s">
        <v>36</v>
      </c>
      <c r="E951" s="5" t="s">
        <v>36</v>
      </c>
      <c r="F951" s="5" t="s">
        <v>36</v>
      </c>
      <c r="G951" s="6" t="s">
        <v>36</v>
      </c>
      <c r="H951" s="4" t="s">
        <v>36</v>
      </c>
      <c r="I951" s="7" t="s">
        <v>36</v>
      </c>
      <c r="J951" s="3" t="s">
        <v>36</v>
      </c>
      <c r="K951" s="9" t="s">
        <v>36</v>
      </c>
      <c r="L951" s="6" t="s">
        <v>36</v>
      </c>
      <c r="M951" s="3" t="s">
        <v>36</v>
      </c>
      <c r="N951" s="3" t="s">
        <v>36</v>
      </c>
      <c r="O951" s="8" t="s">
        <v>36</v>
      </c>
      <c r="P951" s="3" t="s">
        <v>36</v>
      </c>
      <c r="Q951" s="3" t="s">
        <v>36</v>
      </c>
      <c r="R951" s="3" t="s">
        <v>36</v>
      </c>
      <c r="S951" s="3" t="s">
        <v>36</v>
      </c>
      <c r="T951" s="3" t="s">
        <v>295</v>
      </c>
      <c r="U951" s="3" t="s">
        <v>219</v>
      </c>
      <c r="V951" s="3" t="s">
        <v>75</v>
      </c>
      <c r="W951" s="3" t="s">
        <v>220</v>
      </c>
      <c r="X951" s="10" t="s">
        <v>5934</v>
      </c>
      <c r="Y951" s="6" t="s">
        <v>42</v>
      </c>
      <c r="Z951" s="4" t="s">
        <v>36</v>
      </c>
      <c r="AA951" s="4" t="s">
        <v>36</v>
      </c>
      <c r="AB951" s="3" t="s">
        <v>43</v>
      </c>
      <c r="AC951" s="3" t="s">
        <v>5935</v>
      </c>
      <c r="AD951" s="9">
        <v>45209</v>
      </c>
      <c r="AE951" s="3" t="s">
        <v>223</v>
      </c>
      <c r="AF951" s="3" t="s">
        <v>36</v>
      </c>
      <c r="AG951" s="3" t="s">
        <v>5936</v>
      </c>
      <c r="AH951" s="11">
        <f>HYPERLINK("https://my.pitchbook.com?c=281004-85T","View Company Online")</f>
      </c>
    </row>
    <row r="952">
      <c r="A952" s="12" t="s">
        <v>5937</v>
      </c>
      <c r="B952" s="12" t="s">
        <v>1695</v>
      </c>
      <c r="C952" s="19" t="s">
        <v>36</v>
      </c>
      <c r="D952" s="19" t="s">
        <v>36</v>
      </c>
      <c r="E952" s="19" t="s">
        <v>36</v>
      </c>
      <c r="F952" s="19" t="s">
        <v>36</v>
      </c>
      <c r="G952" s="15" t="s">
        <v>36</v>
      </c>
      <c r="H952" s="14" t="s">
        <v>36</v>
      </c>
      <c r="I952" s="18" t="s">
        <v>36</v>
      </c>
      <c r="J952" s="12" t="s">
        <v>36</v>
      </c>
      <c r="K952" s="13" t="s">
        <v>36</v>
      </c>
      <c r="L952" s="15" t="s">
        <v>36</v>
      </c>
      <c r="M952" s="12" t="s">
        <v>36</v>
      </c>
      <c r="N952" s="12" t="s">
        <v>36</v>
      </c>
      <c r="O952" s="17" t="s">
        <v>36</v>
      </c>
      <c r="P952" s="12" t="s">
        <v>36</v>
      </c>
      <c r="Q952" s="12" t="s">
        <v>36</v>
      </c>
      <c r="R952" s="12" t="s">
        <v>36</v>
      </c>
      <c r="S952" s="12" t="s">
        <v>36</v>
      </c>
      <c r="T952" s="12" t="s">
        <v>422</v>
      </c>
      <c r="U952" s="12" t="s">
        <v>423</v>
      </c>
      <c r="V952" s="12" t="s">
        <v>64</v>
      </c>
      <c r="W952" s="12" t="s">
        <v>1696</v>
      </c>
      <c r="X952" s="16" t="s">
        <v>5938</v>
      </c>
      <c r="Y952" s="15" t="s">
        <v>192</v>
      </c>
      <c r="Z952" s="14">
        <v>8.5</v>
      </c>
      <c r="AA952" s="14" t="s">
        <v>36</v>
      </c>
      <c r="AB952" s="12" t="s">
        <v>43</v>
      </c>
      <c r="AC952" s="12" t="s">
        <v>1698</v>
      </c>
      <c r="AD952" s="13">
        <v>45208</v>
      </c>
      <c r="AE952" s="12" t="s">
        <v>427</v>
      </c>
      <c r="AF952" s="12" t="s">
        <v>90</v>
      </c>
      <c r="AG952" s="12" t="s">
        <v>81</v>
      </c>
      <c r="AH952" s="1">
        <f>HYPERLINK("https://my.pitchbook.com?c=242845-30T","View Company Online")</f>
      </c>
    </row>
    <row r="953">
      <c r="A953" s="3" t="s">
        <v>5939</v>
      </c>
      <c r="B953" s="3" t="s">
        <v>5940</v>
      </c>
      <c r="C953" s="5" t="s">
        <v>36</v>
      </c>
      <c r="D953" s="5" t="s">
        <v>36</v>
      </c>
      <c r="E953" s="5" t="s">
        <v>36</v>
      </c>
      <c r="F953" s="5" t="s">
        <v>36</v>
      </c>
      <c r="G953" s="6" t="s">
        <v>326</v>
      </c>
      <c r="H953" s="4" t="s">
        <v>36</v>
      </c>
      <c r="I953" s="7">
        <v>22.15</v>
      </c>
      <c r="J953" s="3" t="s">
        <v>327</v>
      </c>
      <c r="K953" s="9" t="s">
        <v>36</v>
      </c>
      <c r="L953" s="6" t="s">
        <v>122</v>
      </c>
      <c r="M953" s="3" t="s">
        <v>36</v>
      </c>
      <c r="N953" s="3" t="s">
        <v>122</v>
      </c>
      <c r="O953" s="8" t="s">
        <v>36</v>
      </c>
      <c r="P953" s="3" t="s">
        <v>36</v>
      </c>
      <c r="Q953" s="3" t="s">
        <v>36</v>
      </c>
      <c r="R953" s="3" t="s">
        <v>36</v>
      </c>
      <c r="S953" s="3" t="s">
        <v>5151</v>
      </c>
      <c r="T953" s="3" t="s">
        <v>4974</v>
      </c>
      <c r="U953" s="3" t="s">
        <v>38</v>
      </c>
      <c r="V953" s="3" t="s">
        <v>39</v>
      </c>
      <c r="W953" s="3" t="s">
        <v>5941</v>
      </c>
      <c r="X953" s="10" t="s">
        <v>5942</v>
      </c>
      <c r="Y953" s="6" t="s">
        <v>108</v>
      </c>
      <c r="Z953" s="4">
        <v>26.56</v>
      </c>
      <c r="AA953" s="4">
        <v>119.9</v>
      </c>
      <c r="AB953" s="3" t="s">
        <v>56</v>
      </c>
      <c r="AC953" s="3" t="s">
        <v>5943</v>
      </c>
      <c r="AD953" s="9">
        <v>45208</v>
      </c>
      <c r="AE953" s="3" t="s">
        <v>134</v>
      </c>
      <c r="AF953" s="3" t="s">
        <v>135</v>
      </c>
      <c r="AG953" s="3" t="s">
        <v>81</v>
      </c>
      <c r="AH953" s="11">
        <f>HYPERLINK("https://my.pitchbook.com?c=242794-72T","View Company Online")</f>
      </c>
    </row>
    <row r="954">
      <c r="A954" s="12" t="s">
        <v>5944</v>
      </c>
      <c r="B954" s="12" t="s">
        <v>5945</v>
      </c>
      <c r="C954" s="19" t="s">
        <v>36</v>
      </c>
      <c r="D954" s="19" t="s">
        <v>36</v>
      </c>
      <c r="E954" s="19" t="s">
        <v>36</v>
      </c>
      <c r="F954" s="19" t="s">
        <v>36</v>
      </c>
      <c r="G954" s="15" t="s">
        <v>36</v>
      </c>
      <c r="H954" s="14" t="s">
        <v>36</v>
      </c>
      <c r="I954" s="18" t="s">
        <v>36</v>
      </c>
      <c r="J954" s="12" t="s">
        <v>36</v>
      </c>
      <c r="K954" s="13" t="s">
        <v>36</v>
      </c>
      <c r="L954" s="15" t="s">
        <v>36</v>
      </c>
      <c r="M954" s="12" t="s">
        <v>36</v>
      </c>
      <c r="N954" s="12" t="s">
        <v>36</v>
      </c>
      <c r="O954" s="17" t="s">
        <v>36</v>
      </c>
      <c r="P954" s="12" t="s">
        <v>36</v>
      </c>
      <c r="Q954" s="12" t="s">
        <v>36</v>
      </c>
      <c r="R954" s="12" t="s">
        <v>36</v>
      </c>
      <c r="S954" s="12" t="s">
        <v>36</v>
      </c>
      <c r="T954" s="12" t="s">
        <v>464</v>
      </c>
      <c r="U954" s="12" t="s">
        <v>38</v>
      </c>
      <c r="V954" s="12" t="s">
        <v>39</v>
      </c>
      <c r="W954" s="12" t="s">
        <v>5946</v>
      </c>
      <c r="X954" s="16" t="s">
        <v>5947</v>
      </c>
      <c r="Y954" s="15" t="s">
        <v>108</v>
      </c>
      <c r="Z954" s="14">
        <v>4.78</v>
      </c>
      <c r="AA954" s="14" t="s">
        <v>36</v>
      </c>
      <c r="AB954" s="12" t="s">
        <v>43</v>
      </c>
      <c r="AC954" s="12" t="s">
        <v>5948</v>
      </c>
      <c r="AD954" s="13">
        <v>45208</v>
      </c>
      <c r="AE954" s="12" t="s">
        <v>110</v>
      </c>
      <c r="AF954" s="12" t="s">
        <v>468</v>
      </c>
      <c r="AG954" s="12" t="s">
        <v>81</v>
      </c>
      <c r="AH954" s="1">
        <f>HYPERLINK("https://my.pitchbook.com?c=242793-91T","View Company Online")</f>
      </c>
    </row>
    <row r="955">
      <c r="A955" s="3" t="s">
        <v>5949</v>
      </c>
      <c r="B955" s="3" t="s">
        <v>5950</v>
      </c>
      <c r="C955" s="5">
        <v>10</v>
      </c>
      <c r="D955" s="5">
        <v>8</v>
      </c>
      <c r="E955" s="5">
        <v>4</v>
      </c>
      <c r="F955" s="5">
        <v>18</v>
      </c>
      <c r="G955" s="6" t="s">
        <v>36</v>
      </c>
      <c r="H955" s="4">
        <v>6.8</v>
      </c>
      <c r="I955" s="7">
        <v>60.54</v>
      </c>
      <c r="J955" s="3" t="s">
        <v>327</v>
      </c>
      <c r="K955" s="9">
        <v>44244</v>
      </c>
      <c r="L955" s="6" t="s">
        <v>122</v>
      </c>
      <c r="M955" s="3" t="s">
        <v>36</v>
      </c>
      <c r="N955" s="3" t="s">
        <v>122</v>
      </c>
      <c r="O955" s="8" t="s">
        <v>36</v>
      </c>
      <c r="P955" s="3" t="s">
        <v>36</v>
      </c>
      <c r="Q955" s="3" t="s">
        <v>36</v>
      </c>
      <c r="R955" s="3" t="s">
        <v>36</v>
      </c>
      <c r="S955" s="3" t="s">
        <v>36</v>
      </c>
      <c r="T955" s="3" t="s">
        <v>492</v>
      </c>
      <c r="U955" s="3" t="s">
        <v>96</v>
      </c>
      <c r="V955" s="3" t="s">
        <v>52</v>
      </c>
      <c r="W955" s="3" t="s">
        <v>5951</v>
      </c>
      <c r="X955" s="10" t="s">
        <v>5952</v>
      </c>
      <c r="Y955" s="6" t="s">
        <v>42</v>
      </c>
      <c r="Z955" s="4">
        <v>6.12</v>
      </c>
      <c r="AA955" s="4">
        <v>10.1</v>
      </c>
      <c r="AB955" s="3" t="s">
        <v>43</v>
      </c>
      <c r="AC955" s="3" t="s">
        <v>5953</v>
      </c>
      <c r="AD955" s="9">
        <v>45205</v>
      </c>
      <c r="AE955" s="3" t="s">
        <v>496</v>
      </c>
      <c r="AF955" s="3" t="s">
        <v>5954</v>
      </c>
      <c r="AG955" s="3" t="s">
        <v>652</v>
      </c>
      <c r="AH955" s="11">
        <f>HYPERLINK("https://my.pitchbook.com?c=166973-32T","View Company Online")</f>
      </c>
    </row>
    <row r="956">
      <c r="A956" s="12" t="s">
        <v>5955</v>
      </c>
      <c r="B956" s="12" t="s">
        <v>2095</v>
      </c>
      <c r="C956" s="19" t="s">
        <v>36</v>
      </c>
      <c r="D956" s="19" t="s">
        <v>36</v>
      </c>
      <c r="E956" s="19" t="s">
        <v>36</v>
      </c>
      <c r="F956" s="19" t="s">
        <v>36</v>
      </c>
      <c r="G956" s="15" t="s">
        <v>326</v>
      </c>
      <c r="H956" s="14">
        <v>5.63</v>
      </c>
      <c r="I956" s="18">
        <v>23.35</v>
      </c>
      <c r="J956" s="12" t="s">
        <v>521</v>
      </c>
      <c r="K956" s="13" t="s">
        <v>36</v>
      </c>
      <c r="L956" s="15" t="s">
        <v>36</v>
      </c>
      <c r="M956" s="12" t="s">
        <v>36</v>
      </c>
      <c r="N956" s="12" t="s">
        <v>36</v>
      </c>
      <c r="O956" s="17" t="s">
        <v>36</v>
      </c>
      <c r="P956" s="12" t="s">
        <v>36</v>
      </c>
      <c r="Q956" s="12" t="s">
        <v>36</v>
      </c>
      <c r="R956" s="12" t="s">
        <v>36</v>
      </c>
      <c r="S956" s="12" t="s">
        <v>36</v>
      </c>
      <c r="T956" s="12" t="s">
        <v>2096</v>
      </c>
      <c r="U956" s="12" t="s">
        <v>85</v>
      </c>
      <c r="V956" s="12" t="s">
        <v>64</v>
      </c>
      <c r="W956" s="12" t="s">
        <v>2097</v>
      </c>
      <c r="X956" s="16" t="s">
        <v>5956</v>
      </c>
      <c r="Y956" s="15" t="s">
        <v>108</v>
      </c>
      <c r="Z956" s="14">
        <v>6.06</v>
      </c>
      <c r="AA956" s="14">
        <v>13.93</v>
      </c>
      <c r="AB956" s="12" t="s">
        <v>56</v>
      </c>
      <c r="AC956" s="12" t="s">
        <v>2099</v>
      </c>
      <c r="AD956" s="13">
        <v>45205</v>
      </c>
      <c r="AE956" s="12" t="s">
        <v>89</v>
      </c>
      <c r="AF956" s="12" t="s">
        <v>36</v>
      </c>
      <c r="AG956" s="12" t="s">
        <v>81</v>
      </c>
      <c r="AH956" s="1">
        <f>HYPERLINK("https://my.pitchbook.com?c=214035-94T","View Company Online")</f>
      </c>
    </row>
    <row r="957">
      <c r="A957" s="3" t="s">
        <v>5957</v>
      </c>
      <c r="B957" s="3" t="s">
        <v>5958</v>
      </c>
      <c r="C957" s="5" t="s">
        <v>36</v>
      </c>
      <c r="D957" s="5" t="s">
        <v>36</v>
      </c>
      <c r="E957" s="5" t="s">
        <v>36</v>
      </c>
      <c r="F957" s="5" t="s">
        <v>36</v>
      </c>
      <c r="G957" s="6" t="s">
        <v>36</v>
      </c>
      <c r="H957" s="4" t="s">
        <v>36</v>
      </c>
      <c r="I957" s="7" t="s">
        <v>36</v>
      </c>
      <c r="J957" s="3" t="s">
        <v>36</v>
      </c>
      <c r="K957" s="9">
        <v>45097</v>
      </c>
      <c r="L957" s="6" t="s">
        <v>122</v>
      </c>
      <c r="M957" s="3" t="s">
        <v>36</v>
      </c>
      <c r="N957" s="3" t="s">
        <v>122</v>
      </c>
      <c r="O957" s="8" t="s">
        <v>36</v>
      </c>
      <c r="P957" s="3" t="s">
        <v>36</v>
      </c>
      <c r="Q957" s="3" t="s">
        <v>36</v>
      </c>
      <c r="R957" s="3" t="s">
        <v>36</v>
      </c>
      <c r="S957" s="3" t="s">
        <v>36</v>
      </c>
      <c r="T957" s="3" t="s">
        <v>1227</v>
      </c>
      <c r="U957" s="3" t="s">
        <v>74</v>
      </c>
      <c r="V957" s="3" t="s">
        <v>75</v>
      </c>
      <c r="W957" s="3" t="s">
        <v>5959</v>
      </c>
      <c r="X957" s="10" t="s">
        <v>5960</v>
      </c>
      <c r="Y957" s="6" t="s">
        <v>108</v>
      </c>
      <c r="Z957" s="4">
        <v>42.54</v>
      </c>
      <c r="AA957" s="4" t="s">
        <v>36</v>
      </c>
      <c r="AB957" s="3" t="s">
        <v>43</v>
      </c>
      <c r="AC957" s="3" t="s">
        <v>5961</v>
      </c>
      <c r="AD957" s="9">
        <v>45205</v>
      </c>
      <c r="AE957" s="3" t="s">
        <v>570</v>
      </c>
      <c r="AF957" s="3" t="s">
        <v>1756</v>
      </c>
      <c r="AG957" s="3" t="s">
        <v>5962</v>
      </c>
      <c r="AH957" s="11">
        <f>HYPERLINK("https://my.pitchbook.com?c=242681-95T","View Company Online")</f>
      </c>
    </row>
    <row r="958">
      <c r="A958" s="12" t="s">
        <v>5963</v>
      </c>
      <c r="B958" s="12" t="s">
        <v>5964</v>
      </c>
      <c r="C958" s="19" t="s">
        <v>36</v>
      </c>
      <c r="D958" s="19" t="s">
        <v>36</v>
      </c>
      <c r="E958" s="19" t="s">
        <v>36</v>
      </c>
      <c r="F958" s="19" t="s">
        <v>36</v>
      </c>
      <c r="G958" s="15" t="s">
        <v>36</v>
      </c>
      <c r="H958" s="14" t="s">
        <v>36</v>
      </c>
      <c r="I958" s="18" t="s">
        <v>36</v>
      </c>
      <c r="J958" s="12" t="s">
        <v>36</v>
      </c>
      <c r="K958" s="13" t="s">
        <v>36</v>
      </c>
      <c r="L958" s="15" t="s">
        <v>36</v>
      </c>
      <c r="M958" s="12" t="s">
        <v>36</v>
      </c>
      <c r="N958" s="12" t="s">
        <v>36</v>
      </c>
      <c r="O958" s="17" t="s">
        <v>36</v>
      </c>
      <c r="P958" s="12" t="s">
        <v>36</v>
      </c>
      <c r="Q958" s="12" t="s">
        <v>36</v>
      </c>
      <c r="R958" s="12" t="s">
        <v>36</v>
      </c>
      <c r="S958" s="12" t="s">
        <v>36</v>
      </c>
      <c r="T958" s="12" t="s">
        <v>5965</v>
      </c>
      <c r="U958" s="12" t="s">
        <v>423</v>
      </c>
      <c r="V958" s="12" t="s">
        <v>64</v>
      </c>
      <c r="W958" s="12" t="s">
        <v>5966</v>
      </c>
      <c r="X958" s="16" t="s">
        <v>5967</v>
      </c>
      <c r="Y958" s="15" t="s">
        <v>42</v>
      </c>
      <c r="Z958" s="14">
        <v>1.28</v>
      </c>
      <c r="AA958" s="14" t="s">
        <v>36</v>
      </c>
      <c r="AB958" s="12" t="s">
        <v>56</v>
      </c>
      <c r="AC958" s="12" t="s">
        <v>5968</v>
      </c>
      <c r="AD958" s="13">
        <v>45204</v>
      </c>
      <c r="AE958" s="12" t="s">
        <v>5969</v>
      </c>
      <c r="AF958" s="12" t="s">
        <v>1052</v>
      </c>
      <c r="AG958" s="12" t="s">
        <v>899</v>
      </c>
      <c r="AH958" s="1">
        <f>HYPERLINK("https://my.pitchbook.com?c=242603-83T","View Company Online")</f>
      </c>
    </row>
    <row r="959">
      <c r="A959" s="3" t="s">
        <v>5970</v>
      </c>
      <c r="B959" s="3" t="s">
        <v>978</v>
      </c>
      <c r="C959" s="5" t="s">
        <v>36</v>
      </c>
      <c r="D959" s="5" t="s">
        <v>36</v>
      </c>
      <c r="E959" s="5" t="s">
        <v>36</v>
      </c>
      <c r="F959" s="5" t="s">
        <v>36</v>
      </c>
      <c r="G959" s="6" t="s">
        <v>36</v>
      </c>
      <c r="H959" s="4" t="s">
        <v>36</v>
      </c>
      <c r="I959" s="7" t="s">
        <v>36</v>
      </c>
      <c r="J959" s="3" t="s">
        <v>36</v>
      </c>
      <c r="K959" s="9">
        <v>45017</v>
      </c>
      <c r="L959" s="6" t="s">
        <v>36</v>
      </c>
      <c r="M959" s="3" t="s">
        <v>36</v>
      </c>
      <c r="N959" s="3" t="s">
        <v>36</v>
      </c>
      <c r="O959" s="8" t="s">
        <v>36</v>
      </c>
      <c r="P959" s="3" t="s">
        <v>36</v>
      </c>
      <c r="Q959" s="3" t="s">
        <v>36</v>
      </c>
      <c r="R959" s="3" t="s">
        <v>36</v>
      </c>
      <c r="S959" s="3" t="s">
        <v>36</v>
      </c>
      <c r="T959" s="3" t="s">
        <v>596</v>
      </c>
      <c r="U959" s="3" t="s">
        <v>366</v>
      </c>
      <c r="V959" s="3" t="s">
        <v>367</v>
      </c>
      <c r="W959" s="3" t="s">
        <v>979</v>
      </c>
      <c r="X959" s="10" t="s">
        <v>5971</v>
      </c>
      <c r="Y959" s="6" t="s">
        <v>42</v>
      </c>
      <c r="Z959" s="4">
        <v>10.64</v>
      </c>
      <c r="AA959" s="4" t="s">
        <v>36</v>
      </c>
      <c r="AB959" s="3" t="s">
        <v>43</v>
      </c>
      <c r="AC959" s="3" t="s">
        <v>981</v>
      </c>
      <c r="AD959" s="9">
        <v>45204</v>
      </c>
      <c r="AE959" s="3" t="s">
        <v>600</v>
      </c>
      <c r="AF959" s="3" t="s">
        <v>982</v>
      </c>
      <c r="AG959" s="3" t="s">
        <v>983</v>
      </c>
      <c r="AH959" s="11">
        <f>HYPERLINK("https://my.pitchbook.com?c=227257-39T","View Company Online")</f>
      </c>
    </row>
    <row r="960">
      <c r="A960" s="12" t="s">
        <v>5972</v>
      </c>
      <c r="B960" s="12" t="s">
        <v>5973</v>
      </c>
      <c r="C960" s="19" t="s">
        <v>36</v>
      </c>
      <c r="D960" s="19">
        <v>9</v>
      </c>
      <c r="E960" s="19">
        <v>1</v>
      </c>
      <c r="F960" s="19">
        <v>9</v>
      </c>
      <c r="G960" s="15" t="s">
        <v>326</v>
      </c>
      <c r="H960" s="14">
        <v>623.14</v>
      </c>
      <c r="I960" s="18">
        <v>18.18</v>
      </c>
      <c r="J960" s="12" t="s">
        <v>521</v>
      </c>
      <c r="K960" s="13" t="s">
        <v>36</v>
      </c>
      <c r="L960" s="15" t="s">
        <v>36</v>
      </c>
      <c r="M960" s="12" t="s">
        <v>36</v>
      </c>
      <c r="N960" s="12" t="s">
        <v>36</v>
      </c>
      <c r="O960" s="17" t="s">
        <v>36</v>
      </c>
      <c r="P960" s="12" t="s">
        <v>36</v>
      </c>
      <c r="Q960" s="12" t="s">
        <v>36</v>
      </c>
      <c r="R960" s="12" t="s">
        <v>36</v>
      </c>
      <c r="S960" s="12" t="s">
        <v>36</v>
      </c>
      <c r="T960" s="12" t="s">
        <v>596</v>
      </c>
      <c r="U960" s="12" t="s">
        <v>366</v>
      </c>
      <c r="V960" s="12" t="s">
        <v>367</v>
      </c>
      <c r="W960" s="12" t="s">
        <v>5974</v>
      </c>
      <c r="X960" s="16" t="s">
        <v>5975</v>
      </c>
      <c r="Y960" s="15" t="s">
        <v>42</v>
      </c>
      <c r="Z960" s="14">
        <v>0.62</v>
      </c>
      <c r="AA960" s="14">
        <v>3.42</v>
      </c>
      <c r="AB960" s="12" t="s">
        <v>56</v>
      </c>
      <c r="AC960" s="12" t="s">
        <v>5976</v>
      </c>
      <c r="AD960" s="13">
        <v>45204</v>
      </c>
      <c r="AE960" s="12" t="s">
        <v>600</v>
      </c>
      <c r="AF960" s="12" t="s">
        <v>5977</v>
      </c>
      <c r="AG960" s="12" t="s">
        <v>144</v>
      </c>
      <c r="AH960" s="1">
        <f>HYPERLINK("https://my.pitchbook.com?c=253572-76T","View Company Online")</f>
      </c>
    </row>
    <row r="961">
      <c r="A961" s="3" t="s">
        <v>5978</v>
      </c>
      <c r="B961" s="3" t="s">
        <v>5979</v>
      </c>
      <c r="C961" s="5">
        <v>7</v>
      </c>
      <c r="D961" s="5">
        <v>4</v>
      </c>
      <c r="E961" s="5">
        <v>6</v>
      </c>
      <c r="F961" s="5">
        <v>13</v>
      </c>
      <c r="G961" s="6" t="s">
        <v>36</v>
      </c>
      <c r="H961" s="4" t="s">
        <v>36</v>
      </c>
      <c r="I961" s="7" t="s">
        <v>36</v>
      </c>
      <c r="J961" s="3" t="s">
        <v>36</v>
      </c>
      <c r="K961" s="9" t="s">
        <v>36</v>
      </c>
      <c r="L961" s="6" t="s">
        <v>36</v>
      </c>
      <c r="M961" s="3" t="s">
        <v>36</v>
      </c>
      <c r="N961" s="3" t="s">
        <v>36</v>
      </c>
      <c r="O961" s="8" t="s">
        <v>36</v>
      </c>
      <c r="P961" s="3" t="s">
        <v>36</v>
      </c>
      <c r="Q961" s="3" t="s">
        <v>36</v>
      </c>
      <c r="R961" s="3" t="s">
        <v>36</v>
      </c>
      <c r="S961" s="3" t="s">
        <v>36</v>
      </c>
      <c r="T961" s="3" t="s">
        <v>529</v>
      </c>
      <c r="U961" s="3" t="s">
        <v>38</v>
      </c>
      <c r="V961" s="3" t="s">
        <v>39</v>
      </c>
      <c r="W961" s="3" t="s">
        <v>5980</v>
      </c>
      <c r="X961" s="10" t="s">
        <v>5981</v>
      </c>
      <c r="Y961" s="6" t="s">
        <v>108</v>
      </c>
      <c r="Z961" s="4">
        <v>4.47</v>
      </c>
      <c r="AA961" s="4" t="s">
        <v>36</v>
      </c>
      <c r="AB961" s="3" t="s">
        <v>43</v>
      </c>
      <c r="AC961" s="3" t="s">
        <v>5982</v>
      </c>
      <c r="AD961" s="9">
        <v>45204</v>
      </c>
      <c r="AE961" s="3" t="s">
        <v>134</v>
      </c>
      <c r="AF961" s="3" t="s">
        <v>5983</v>
      </c>
      <c r="AG961" s="3" t="s">
        <v>81</v>
      </c>
      <c r="AH961" s="11">
        <f>HYPERLINK("https://my.pitchbook.com?c=242586-01T","View Company Online")</f>
      </c>
    </row>
    <row r="962">
      <c r="A962" s="12" t="s">
        <v>5984</v>
      </c>
      <c r="B962" s="12" t="s">
        <v>5985</v>
      </c>
      <c r="C962" s="19" t="s">
        <v>36</v>
      </c>
      <c r="D962" s="19" t="s">
        <v>36</v>
      </c>
      <c r="E962" s="19" t="s">
        <v>36</v>
      </c>
      <c r="F962" s="19" t="s">
        <v>36</v>
      </c>
      <c r="G962" s="15" t="s">
        <v>36</v>
      </c>
      <c r="H962" s="14" t="s">
        <v>36</v>
      </c>
      <c r="I962" s="18" t="s">
        <v>36</v>
      </c>
      <c r="J962" s="12" t="s">
        <v>36</v>
      </c>
      <c r="K962" s="13" t="s">
        <v>36</v>
      </c>
      <c r="L962" s="15" t="s">
        <v>36</v>
      </c>
      <c r="M962" s="12" t="s">
        <v>36</v>
      </c>
      <c r="N962" s="12" t="s">
        <v>36</v>
      </c>
      <c r="O962" s="17" t="s">
        <v>36</v>
      </c>
      <c r="P962" s="12" t="s">
        <v>36</v>
      </c>
      <c r="Q962" s="12" t="s">
        <v>36</v>
      </c>
      <c r="R962" s="12" t="s">
        <v>36</v>
      </c>
      <c r="S962" s="12" t="s">
        <v>36</v>
      </c>
      <c r="T962" s="12" t="s">
        <v>1838</v>
      </c>
      <c r="U962" s="12" t="s">
        <v>38</v>
      </c>
      <c r="V962" s="12" t="s">
        <v>39</v>
      </c>
      <c r="W962" s="12" t="s">
        <v>5986</v>
      </c>
      <c r="X962" s="16" t="s">
        <v>5987</v>
      </c>
      <c r="Y962" s="15" t="s">
        <v>108</v>
      </c>
      <c r="Z962" s="14">
        <v>4.26</v>
      </c>
      <c r="AA962" s="14" t="s">
        <v>36</v>
      </c>
      <c r="AB962" s="12" t="s">
        <v>43</v>
      </c>
      <c r="AC962" s="12" t="s">
        <v>5988</v>
      </c>
      <c r="AD962" s="13">
        <v>45204</v>
      </c>
      <c r="AE962" s="12" t="s">
        <v>110</v>
      </c>
      <c r="AF962" s="12" t="s">
        <v>176</v>
      </c>
      <c r="AG962" s="12" t="s">
        <v>81</v>
      </c>
      <c r="AH962" s="1">
        <f>HYPERLINK("https://my.pitchbook.com?c=242573-05T","View Company Online")</f>
      </c>
    </row>
    <row r="963">
      <c r="A963" s="3" t="s">
        <v>5989</v>
      </c>
      <c r="B963" s="3" t="s">
        <v>691</v>
      </c>
      <c r="C963" s="5" t="s">
        <v>36</v>
      </c>
      <c r="D963" s="5" t="s">
        <v>36</v>
      </c>
      <c r="E963" s="5" t="s">
        <v>36</v>
      </c>
      <c r="F963" s="5" t="s">
        <v>36</v>
      </c>
      <c r="G963" s="6" t="s">
        <v>36</v>
      </c>
      <c r="H963" s="4" t="s">
        <v>36</v>
      </c>
      <c r="I963" s="7" t="s">
        <v>36</v>
      </c>
      <c r="J963" s="3" t="s">
        <v>36</v>
      </c>
      <c r="K963" s="9" t="s">
        <v>36</v>
      </c>
      <c r="L963" s="6" t="s">
        <v>36</v>
      </c>
      <c r="M963" s="3" t="s">
        <v>36</v>
      </c>
      <c r="N963" s="3" t="s">
        <v>36</v>
      </c>
      <c r="O963" s="8" t="s">
        <v>36</v>
      </c>
      <c r="P963" s="3" t="s">
        <v>36</v>
      </c>
      <c r="Q963" s="3" t="s">
        <v>36</v>
      </c>
      <c r="R963" s="3" t="s">
        <v>36</v>
      </c>
      <c r="S963" s="3" t="s">
        <v>36</v>
      </c>
      <c r="T963" s="3" t="s">
        <v>692</v>
      </c>
      <c r="U963" s="3" t="s">
        <v>74</v>
      </c>
      <c r="V963" s="3" t="s">
        <v>75</v>
      </c>
      <c r="W963" s="3" t="s">
        <v>693</v>
      </c>
      <c r="X963" s="10" t="s">
        <v>2414</v>
      </c>
      <c r="Y963" s="6" t="s">
        <v>42</v>
      </c>
      <c r="Z963" s="4">
        <v>2.13</v>
      </c>
      <c r="AA963" s="4" t="s">
        <v>36</v>
      </c>
      <c r="AB963" s="3" t="s">
        <v>43</v>
      </c>
      <c r="AC963" s="3" t="s">
        <v>695</v>
      </c>
      <c r="AD963" s="9">
        <v>45203</v>
      </c>
      <c r="AE963" s="3" t="s">
        <v>696</v>
      </c>
      <c r="AF963" s="3" t="s">
        <v>176</v>
      </c>
      <c r="AG963" s="3" t="s">
        <v>697</v>
      </c>
      <c r="AH963" s="11">
        <f>HYPERLINK("https://my.pitchbook.com?c=242551-99T","View Company Online")</f>
      </c>
    </row>
    <row r="964">
      <c r="A964" s="12" t="s">
        <v>5990</v>
      </c>
      <c r="B964" s="12" t="s">
        <v>1437</v>
      </c>
      <c r="C964" s="19" t="s">
        <v>36</v>
      </c>
      <c r="D964" s="19" t="s">
        <v>36</v>
      </c>
      <c r="E964" s="19" t="s">
        <v>36</v>
      </c>
      <c r="F964" s="19" t="s">
        <v>36</v>
      </c>
      <c r="G964" s="15" t="s">
        <v>36</v>
      </c>
      <c r="H964" s="14" t="s">
        <v>36</v>
      </c>
      <c r="I964" s="18" t="s">
        <v>36</v>
      </c>
      <c r="J964" s="12" t="s">
        <v>36</v>
      </c>
      <c r="K964" s="13" t="s">
        <v>36</v>
      </c>
      <c r="L964" s="15" t="s">
        <v>36</v>
      </c>
      <c r="M964" s="12" t="s">
        <v>36</v>
      </c>
      <c r="N964" s="12" t="s">
        <v>36</v>
      </c>
      <c r="O964" s="17" t="s">
        <v>36</v>
      </c>
      <c r="P964" s="12" t="s">
        <v>36</v>
      </c>
      <c r="Q964" s="12" t="s">
        <v>36</v>
      </c>
      <c r="R964" s="12" t="s">
        <v>36</v>
      </c>
      <c r="S964" s="12" t="s">
        <v>36</v>
      </c>
      <c r="T964" s="12" t="s">
        <v>1438</v>
      </c>
      <c r="U964" s="12" t="s">
        <v>219</v>
      </c>
      <c r="V964" s="12" t="s">
        <v>75</v>
      </c>
      <c r="W964" s="12" t="s">
        <v>1439</v>
      </c>
      <c r="X964" s="16" t="s">
        <v>3464</v>
      </c>
      <c r="Y964" s="15" t="s">
        <v>55</v>
      </c>
      <c r="Z964" s="14" t="s">
        <v>36</v>
      </c>
      <c r="AA964" s="14" t="s">
        <v>36</v>
      </c>
      <c r="AB964" s="12" t="s">
        <v>43</v>
      </c>
      <c r="AC964" s="12" t="s">
        <v>1441</v>
      </c>
      <c r="AD964" s="13">
        <v>45202</v>
      </c>
      <c r="AE964" s="12" t="s">
        <v>243</v>
      </c>
      <c r="AF964" s="12" t="s">
        <v>1052</v>
      </c>
      <c r="AG964" s="12" t="s">
        <v>81</v>
      </c>
      <c r="AH964" s="1">
        <f>HYPERLINK("https://my.pitchbook.com?c=276685-57T","View Company Online")</f>
      </c>
    </row>
    <row r="965">
      <c r="A965" s="3" t="s">
        <v>5991</v>
      </c>
      <c r="B965" s="3" t="s">
        <v>810</v>
      </c>
      <c r="C965" s="5" t="s">
        <v>36</v>
      </c>
      <c r="D965" s="5" t="s">
        <v>36</v>
      </c>
      <c r="E965" s="5" t="s">
        <v>36</v>
      </c>
      <c r="F965" s="5" t="s">
        <v>36</v>
      </c>
      <c r="G965" s="6" t="s">
        <v>36</v>
      </c>
      <c r="H965" s="4" t="s">
        <v>36</v>
      </c>
      <c r="I965" s="7" t="s">
        <v>36</v>
      </c>
      <c r="J965" s="3" t="s">
        <v>36</v>
      </c>
      <c r="K965" s="9" t="s">
        <v>36</v>
      </c>
      <c r="L965" s="6" t="s">
        <v>36</v>
      </c>
      <c r="M965" s="3" t="s">
        <v>36</v>
      </c>
      <c r="N965" s="3" t="s">
        <v>36</v>
      </c>
      <c r="O965" s="8" t="s">
        <v>36</v>
      </c>
      <c r="P965" s="3" t="s">
        <v>36</v>
      </c>
      <c r="Q965" s="3" t="s">
        <v>36</v>
      </c>
      <c r="R965" s="3" t="s">
        <v>36</v>
      </c>
      <c r="S965" s="3" t="s">
        <v>36</v>
      </c>
      <c r="T965" s="3" t="s">
        <v>811</v>
      </c>
      <c r="U965" s="3" t="s">
        <v>38</v>
      </c>
      <c r="V965" s="3" t="s">
        <v>39</v>
      </c>
      <c r="W965" s="3" t="s">
        <v>812</v>
      </c>
      <c r="X965" s="10" t="s">
        <v>5992</v>
      </c>
      <c r="Y965" s="6" t="s">
        <v>192</v>
      </c>
      <c r="Z965" s="4">
        <v>3.41</v>
      </c>
      <c r="AA965" s="4" t="s">
        <v>36</v>
      </c>
      <c r="AB965" s="3" t="s">
        <v>43</v>
      </c>
      <c r="AC965" s="3" t="s">
        <v>814</v>
      </c>
      <c r="AD965" s="9">
        <v>45202</v>
      </c>
      <c r="AE965" s="3" t="s">
        <v>339</v>
      </c>
      <c r="AF965" s="3" t="s">
        <v>815</v>
      </c>
      <c r="AG965" s="3" t="s">
        <v>81</v>
      </c>
      <c r="AH965" s="11">
        <f>HYPERLINK("https://my.pitchbook.com?c=241862-23T","View Company Online")</f>
      </c>
    </row>
    <row r="966">
      <c r="A966" s="12" t="s">
        <v>5993</v>
      </c>
      <c r="B966" s="12" t="s">
        <v>5994</v>
      </c>
      <c r="C966" s="19" t="s">
        <v>36</v>
      </c>
      <c r="D966" s="19" t="s">
        <v>36</v>
      </c>
      <c r="E966" s="19" t="s">
        <v>36</v>
      </c>
      <c r="F966" s="19" t="s">
        <v>36</v>
      </c>
      <c r="G966" s="15" t="s">
        <v>683</v>
      </c>
      <c r="H966" s="14">
        <v>29.39</v>
      </c>
      <c r="I966" s="18">
        <v>28.04</v>
      </c>
      <c r="J966" s="12" t="s">
        <v>521</v>
      </c>
      <c r="K966" s="13" t="s">
        <v>36</v>
      </c>
      <c r="L966" s="15" t="s">
        <v>122</v>
      </c>
      <c r="M966" s="12" t="s">
        <v>36</v>
      </c>
      <c r="N966" s="12" t="s">
        <v>122</v>
      </c>
      <c r="O966" s="17" t="s">
        <v>36</v>
      </c>
      <c r="P966" s="12" t="s">
        <v>36</v>
      </c>
      <c r="Q966" s="12" t="s">
        <v>36</v>
      </c>
      <c r="R966" s="12" t="s">
        <v>36</v>
      </c>
      <c r="S966" s="12" t="s">
        <v>36</v>
      </c>
      <c r="T966" s="12" t="s">
        <v>1701</v>
      </c>
      <c r="U966" s="12" t="s">
        <v>74</v>
      </c>
      <c r="V966" s="12" t="s">
        <v>75</v>
      </c>
      <c r="W966" s="12" t="s">
        <v>5995</v>
      </c>
      <c r="X966" s="16" t="s">
        <v>5996</v>
      </c>
      <c r="Y966" s="15" t="s">
        <v>108</v>
      </c>
      <c r="Z966" s="14">
        <v>5.34</v>
      </c>
      <c r="AA966" s="14">
        <v>13.99</v>
      </c>
      <c r="AB966" s="12" t="s">
        <v>43</v>
      </c>
      <c r="AC966" s="12" t="s">
        <v>5997</v>
      </c>
      <c r="AD966" s="13">
        <v>45201</v>
      </c>
      <c r="AE966" s="12" t="s">
        <v>79</v>
      </c>
      <c r="AF966" s="12" t="s">
        <v>4724</v>
      </c>
      <c r="AG966" s="12" t="s">
        <v>332</v>
      </c>
      <c r="AH966" s="1">
        <f>HYPERLINK("https://my.pitchbook.com?c=242327-62T","View Company Online")</f>
      </c>
    </row>
    <row r="967">
      <c r="A967" s="3" t="s">
        <v>5998</v>
      </c>
      <c r="B967" s="3" t="s">
        <v>719</v>
      </c>
      <c r="C967" s="5" t="s">
        <v>36</v>
      </c>
      <c r="D967" s="5" t="s">
        <v>36</v>
      </c>
      <c r="E967" s="5" t="s">
        <v>36</v>
      </c>
      <c r="F967" s="5" t="s">
        <v>36</v>
      </c>
      <c r="G967" s="6" t="s">
        <v>36</v>
      </c>
      <c r="H967" s="4">
        <v>13.7</v>
      </c>
      <c r="I967" s="7">
        <v>17.6</v>
      </c>
      <c r="J967" s="3" t="s">
        <v>521</v>
      </c>
      <c r="K967" s="9" t="s">
        <v>36</v>
      </c>
      <c r="L967" s="6" t="s">
        <v>36</v>
      </c>
      <c r="M967" s="3" t="s">
        <v>36</v>
      </c>
      <c r="N967" s="3" t="s">
        <v>36</v>
      </c>
      <c r="O967" s="8" t="s">
        <v>36</v>
      </c>
      <c r="P967" s="3" t="s">
        <v>36</v>
      </c>
      <c r="Q967" s="3" t="s">
        <v>36</v>
      </c>
      <c r="R967" s="3" t="s">
        <v>36</v>
      </c>
      <c r="S967" s="3" t="s">
        <v>36</v>
      </c>
      <c r="T967" s="3" t="s">
        <v>720</v>
      </c>
      <c r="U967" s="3" t="s">
        <v>318</v>
      </c>
      <c r="V967" s="3" t="s">
        <v>39</v>
      </c>
      <c r="W967" s="3" t="s">
        <v>721</v>
      </c>
      <c r="X967" s="10" t="s">
        <v>5999</v>
      </c>
      <c r="Y967" s="6" t="s">
        <v>42</v>
      </c>
      <c r="Z967" s="4">
        <v>0.56</v>
      </c>
      <c r="AA967" s="4">
        <v>3.19</v>
      </c>
      <c r="AB967" s="3" t="s">
        <v>56</v>
      </c>
      <c r="AC967" s="3" t="s">
        <v>723</v>
      </c>
      <c r="AD967" s="9">
        <v>45201</v>
      </c>
      <c r="AE967" s="3" t="s">
        <v>417</v>
      </c>
      <c r="AF967" s="3" t="s">
        <v>724</v>
      </c>
      <c r="AG967" s="3" t="s">
        <v>81</v>
      </c>
      <c r="AH967" s="11">
        <f>HYPERLINK("https://my.pitchbook.com?c=267001-03T","View Company Online")</f>
      </c>
    </row>
    <row r="968">
      <c r="A968" s="12" t="s">
        <v>6000</v>
      </c>
      <c r="B968" s="12" t="s">
        <v>6001</v>
      </c>
      <c r="C968" s="19" t="s">
        <v>36</v>
      </c>
      <c r="D968" s="19" t="s">
        <v>36</v>
      </c>
      <c r="E968" s="19" t="s">
        <v>36</v>
      </c>
      <c r="F968" s="19" t="s">
        <v>36</v>
      </c>
      <c r="G968" s="15" t="s">
        <v>36</v>
      </c>
      <c r="H968" s="14" t="s">
        <v>36</v>
      </c>
      <c r="I968" s="18" t="s">
        <v>36</v>
      </c>
      <c r="J968" s="12" t="s">
        <v>36</v>
      </c>
      <c r="K968" s="13" t="s">
        <v>36</v>
      </c>
      <c r="L968" s="15" t="s">
        <v>36</v>
      </c>
      <c r="M968" s="12" t="s">
        <v>36</v>
      </c>
      <c r="N968" s="12" t="s">
        <v>36</v>
      </c>
      <c r="O968" s="17" t="s">
        <v>36</v>
      </c>
      <c r="P968" s="12" t="s">
        <v>36</v>
      </c>
      <c r="Q968" s="12" t="s">
        <v>36</v>
      </c>
      <c r="R968" s="12" t="s">
        <v>36</v>
      </c>
      <c r="S968" s="12" t="s">
        <v>36</v>
      </c>
      <c r="T968" s="12" t="s">
        <v>6002</v>
      </c>
      <c r="U968" s="12" t="s">
        <v>619</v>
      </c>
      <c r="V968" s="12" t="s">
        <v>378</v>
      </c>
      <c r="W968" s="12" t="s">
        <v>6003</v>
      </c>
      <c r="X968" s="16" t="s">
        <v>6004</v>
      </c>
      <c r="Y968" s="15" t="s">
        <v>42</v>
      </c>
      <c r="Z968" s="14" t="s">
        <v>36</v>
      </c>
      <c r="AA968" s="14" t="s">
        <v>36</v>
      </c>
      <c r="AB968" s="12" t="s">
        <v>56</v>
      </c>
      <c r="AC968" s="12" t="s">
        <v>6005</v>
      </c>
      <c r="AD968" s="13">
        <v>45200</v>
      </c>
      <c r="AE968" s="12" t="s">
        <v>623</v>
      </c>
      <c r="AF968" s="12" t="s">
        <v>6006</v>
      </c>
      <c r="AG968" s="12" t="s">
        <v>392</v>
      </c>
      <c r="AH968" s="1">
        <f>HYPERLINK("https://my.pitchbook.com?c=282128-14T","View Company Online")</f>
      </c>
    </row>
    <row r="969">
      <c r="A969" s="3" t="s">
        <v>6007</v>
      </c>
      <c r="B969" s="3" t="s">
        <v>6008</v>
      </c>
      <c r="C969" s="5" t="s">
        <v>36</v>
      </c>
      <c r="D969" s="5" t="s">
        <v>36</v>
      </c>
      <c r="E969" s="5" t="s">
        <v>36</v>
      </c>
      <c r="F969" s="5" t="s">
        <v>36</v>
      </c>
      <c r="G969" s="6" t="s">
        <v>36</v>
      </c>
      <c r="H969" s="4" t="s">
        <v>36</v>
      </c>
      <c r="I969" s="7" t="s">
        <v>36</v>
      </c>
      <c r="J969" s="3" t="s">
        <v>36</v>
      </c>
      <c r="K969" s="9" t="s">
        <v>36</v>
      </c>
      <c r="L969" s="6" t="s">
        <v>36</v>
      </c>
      <c r="M969" s="3" t="s">
        <v>36</v>
      </c>
      <c r="N969" s="3" t="s">
        <v>36</v>
      </c>
      <c r="O969" s="8" t="s">
        <v>36</v>
      </c>
      <c r="P969" s="3" t="s">
        <v>36</v>
      </c>
      <c r="Q969" s="3" t="s">
        <v>36</v>
      </c>
      <c r="R969" s="3" t="s">
        <v>36</v>
      </c>
      <c r="S969" s="3" t="s">
        <v>36</v>
      </c>
      <c r="T969" s="3" t="s">
        <v>6009</v>
      </c>
      <c r="U969" s="3" t="s">
        <v>38</v>
      </c>
      <c r="V969" s="3" t="s">
        <v>39</v>
      </c>
      <c r="W969" s="3" t="s">
        <v>6010</v>
      </c>
      <c r="X969" s="10" t="s">
        <v>730</v>
      </c>
      <c r="Y969" s="6" t="s">
        <v>42</v>
      </c>
      <c r="Z969" s="4" t="s">
        <v>36</v>
      </c>
      <c r="AA969" s="4" t="s">
        <v>36</v>
      </c>
      <c r="AB969" s="3" t="s">
        <v>43</v>
      </c>
      <c r="AC969" s="3" t="s">
        <v>6011</v>
      </c>
      <c r="AD969" s="9">
        <v>45200</v>
      </c>
      <c r="AE969" s="3" t="s">
        <v>6012</v>
      </c>
      <c r="AF969" s="3" t="s">
        <v>815</v>
      </c>
      <c r="AG969" s="3" t="s">
        <v>6013</v>
      </c>
      <c r="AH969" s="11">
        <f>HYPERLINK("https://my.pitchbook.com?c=251292-61T","View Company Online")</f>
      </c>
    </row>
    <row r="970">
      <c r="A970" s="12" t="s">
        <v>6014</v>
      </c>
      <c r="B970" s="12" t="s">
        <v>6015</v>
      </c>
      <c r="C970" s="19" t="s">
        <v>36</v>
      </c>
      <c r="D970" s="19" t="s">
        <v>36</v>
      </c>
      <c r="E970" s="19" t="s">
        <v>36</v>
      </c>
      <c r="F970" s="19" t="s">
        <v>36</v>
      </c>
      <c r="G970" s="15" t="s">
        <v>36</v>
      </c>
      <c r="H970" s="14" t="s">
        <v>36</v>
      </c>
      <c r="I970" s="18" t="s">
        <v>36</v>
      </c>
      <c r="J970" s="12" t="s">
        <v>36</v>
      </c>
      <c r="K970" s="13" t="s">
        <v>36</v>
      </c>
      <c r="L970" s="15" t="s">
        <v>36</v>
      </c>
      <c r="M970" s="12" t="s">
        <v>36</v>
      </c>
      <c r="N970" s="12" t="s">
        <v>36</v>
      </c>
      <c r="O970" s="17" t="s">
        <v>36</v>
      </c>
      <c r="P970" s="12" t="s">
        <v>36</v>
      </c>
      <c r="Q970" s="12" t="s">
        <v>36</v>
      </c>
      <c r="R970" s="12" t="s">
        <v>36</v>
      </c>
      <c r="S970" s="12" t="s">
        <v>36</v>
      </c>
      <c r="T970" s="12" t="s">
        <v>1701</v>
      </c>
      <c r="U970" s="12" t="s">
        <v>74</v>
      </c>
      <c r="V970" s="12" t="s">
        <v>75</v>
      </c>
      <c r="W970" s="12" t="s">
        <v>6016</v>
      </c>
      <c r="X970" s="16" t="s">
        <v>1427</v>
      </c>
      <c r="Y970" s="15" t="s">
        <v>108</v>
      </c>
      <c r="Z970" s="14" t="s">
        <v>36</v>
      </c>
      <c r="AA970" s="14" t="s">
        <v>36</v>
      </c>
      <c r="AB970" s="12" t="s">
        <v>56</v>
      </c>
      <c r="AC970" s="12" t="s">
        <v>6017</v>
      </c>
      <c r="AD970" s="13">
        <v>45200</v>
      </c>
      <c r="AE970" s="12" t="s">
        <v>79</v>
      </c>
      <c r="AF970" s="12" t="s">
        <v>176</v>
      </c>
      <c r="AG970" s="12" t="s">
        <v>47</v>
      </c>
      <c r="AH970" s="1">
        <f>HYPERLINK("https://my.pitchbook.com?c=243515-44T","View Company Online")</f>
      </c>
    </row>
    <row r="971">
      <c r="A971" s="3" t="s">
        <v>6018</v>
      </c>
      <c r="B971" s="3" t="s">
        <v>6019</v>
      </c>
      <c r="C971" s="5">
        <v>1</v>
      </c>
      <c r="D971" s="5">
        <v>2</v>
      </c>
      <c r="E971" s="5">
        <v>1</v>
      </c>
      <c r="F971" s="5">
        <v>3</v>
      </c>
      <c r="G971" s="6" t="s">
        <v>36</v>
      </c>
      <c r="H971" s="4" t="s">
        <v>36</v>
      </c>
      <c r="I971" s="7" t="s">
        <v>36</v>
      </c>
      <c r="J971" s="3" t="s">
        <v>36</v>
      </c>
      <c r="K971" s="9" t="s">
        <v>36</v>
      </c>
      <c r="L971" s="6" t="s">
        <v>36</v>
      </c>
      <c r="M971" s="3" t="s">
        <v>36</v>
      </c>
      <c r="N971" s="3" t="s">
        <v>36</v>
      </c>
      <c r="O971" s="8" t="s">
        <v>36</v>
      </c>
      <c r="P971" s="3" t="s">
        <v>36</v>
      </c>
      <c r="Q971" s="3" t="s">
        <v>36</v>
      </c>
      <c r="R971" s="3" t="s">
        <v>36</v>
      </c>
      <c r="S971" s="3" t="s">
        <v>36</v>
      </c>
      <c r="T971" s="3" t="s">
        <v>6020</v>
      </c>
      <c r="U971" s="3" t="s">
        <v>833</v>
      </c>
      <c r="V971" s="3" t="s">
        <v>64</v>
      </c>
      <c r="W971" s="3" t="s">
        <v>6021</v>
      </c>
      <c r="X971" s="10" t="s">
        <v>6022</v>
      </c>
      <c r="Y971" s="6" t="s">
        <v>108</v>
      </c>
      <c r="Z971" s="4" t="s">
        <v>36</v>
      </c>
      <c r="AA971" s="4" t="s">
        <v>36</v>
      </c>
      <c r="AB971" s="3" t="s">
        <v>56</v>
      </c>
      <c r="AC971" s="3" t="s">
        <v>6023</v>
      </c>
      <c r="AD971" s="9">
        <v>45200</v>
      </c>
      <c r="AE971" s="3" t="s">
        <v>3615</v>
      </c>
      <c r="AF971" s="3" t="s">
        <v>90</v>
      </c>
      <c r="AG971" s="3" t="s">
        <v>81</v>
      </c>
      <c r="AH971" s="11">
        <f>HYPERLINK("https://my.pitchbook.com?c=244191-52T","View Company Online")</f>
      </c>
    </row>
    <row r="972">
      <c r="A972" s="12" t="s">
        <v>6024</v>
      </c>
      <c r="B972" s="12" t="s">
        <v>6025</v>
      </c>
      <c r="C972" s="19" t="s">
        <v>36</v>
      </c>
      <c r="D972" s="19" t="s">
        <v>36</v>
      </c>
      <c r="E972" s="19" t="s">
        <v>36</v>
      </c>
      <c r="F972" s="19" t="s">
        <v>36</v>
      </c>
      <c r="G972" s="15" t="s">
        <v>36</v>
      </c>
      <c r="H972" s="14" t="s">
        <v>36</v>
      </c>
      <c r="I972" s="18" t="s">
        <v>36</v>
      </c>
      <c r="J972" s="12" t="s">
        <v>36</v>
      </c>
      <c r="K972" s="13" t="s">
        <v>36</v>
      </c>
      <c r="L972" s="15" t="s">
        <v>36</v>
      </c>
      <c r="M972" s="12" t="s">
        <v>36</v>
      </c>
      <c r="N972" s="12" t="s">
        <v>36</v>
      </c>
      <c r="O972" s="17" t="s">
        <v>36</v>
      </c>
      <c r="P972" s="12" t="s">
        <v>36</v>
      </c>
      <c r="Q972" s="12" t="s">
        <v>36</v>
      </c>
      <c r="R972" s="12" t="s">
        <v>36</v>
      </c>
      <c r="S972" s="12" t="s">
        <v>36</v>
      </c>
      <c r="T972" s="12" t="s">
        <v>123</v>
      </c>
      <c r="U972" s="12" t="s">
        <v>38</v>
      </c>
      <c r="V972" s="12" t="s">
        <v>39</v>
      </c>
      <c r="W972" s="12" t="s">
        <v>6026</v>
      </c>
      <c r="X972" s="16" t="s">
        <v>6027</v>
      </c>
      <c r="Y972" s="15" t="s">
        <v>42</v>
      </c>
      <c r="Z972" s="14" t="s">
        <v>36</v>
      </c>
      <c r="AA972" s="14" t="s">
        <v>36</v>
      </c>
      <c r="AB972" s="12" t="s">
        <v>43</v>
      </c>
      <c r="AC972" s="12" t="s">
        <v>6028</v>
      </c>
      <c r="AD972" s="13">
        <v>45200</v>
      </c>
      <c r="AE972" s="12" t="s">
        <v>110</v>
      </c>
      <c r="AF972" s="12" t="s">
        <v>36</v>
      </c>
      <c r="AG972" s="12" t="s">
        <v>81</v>
      </c>
      <c r="AH972" s="1">
        <f>HYPERLINK("https://my.pitchbook.com?c=244342-09T","View Company Online")</f>
      </c>
    </row>
    <row r="973">
      <c r="A973" s="3" t="s">
        <v>6029</v>
      </c>
      <c r="B973" s="3" t="s">
        <v>6030</v>
      </c>
      <c r="C973" s="5" t="s">
        <v>36</v>
      </c>
      <c r="D973" s="5" t="s">
        <v>36</v>
      </c>
      <c r="E973" s="5" t="s">
        <v>36</v>
      </c>
      <c r="F973" s="5" t="s">
        <v>36</v>
      </c>
      <c r="G973" s="6" t="s">
        <v>36</v>
      </c>
      <c r="H973" s="4" t="s">
        <v>36</v>
      </c>
      <c r="I973" s="7">
        <v>29.11</v>
      </c>
      <c r="J973" s="3" t="s">
        <v>327</v>
      </c>
      <c r="K973" s="9" t="s">
        <v>36</v>
      </c>
      <c r="L973" s="6" t="s">
        <v>36</v>
      </c>
      <c r="M973" s="3" t="s">
        <v>36</v>
      </c>
      <c r="N973" s="3" t="s">
        <v>36</v>
      </c>
      <c r="O973" s="8" t="s">
        <v>36</v>
      </c>
      <c r="P973" s="3" t="s">
        <v>36</v>
      </c>
      <c r="Q973" s="3" t="s">
        <v>36</v>
      </c>
      <c r="R973" s="3" t="s">
        <v>36</v>
      </c>
      <c r="S973" s="3" t="s">
        <v>6031</v>
      </c>
      <c r="T973" s="3" t="s">
        <v>6032</v>
      </c>
      <c r="U973" s="3" t="s">
        <v>318</v>
      </c>
      <c r="V973" s="3" t="s">
        <v>39</v>
      </c>
      <c r="W973" s="3" t="s">
        <v>6033</v>
      </c>
      <c r="X973" s="10" t="s">
        <v>6034</v>
      </c>
      <c r="Y973" s="6" t="s">
        <v>55</v>
      </c>
      <c r="Z973" s="4">
        <v>5.83</v>
      </c>
      <c r="AA973" s="4">
        <v>20.01</v>
      </c>
      <c r="AB973" s="3" t="s">
        <v>43</v>
      </c>
      <c r="AC973" s="3" t="s">
        <v>6035</v>
      </c>
      <c r="AD973" s="9">
        <v>45200</v>
      </c>
      <c r="AE973" s="3" t="s">
        <v>417</v>
      </c>
      <c r="AF973" s="3" t="s">
        <v>592</v>
      </c>
      <c r="AG973" s="3" t="s">
        <v>81</v>
      </c>
      <c r="AH973" s="11">
        <f>HYPERLINK("https://my.pitchbook.com?c=244657-00T","View Company Online")</f>
      </c>
    </row>
    <row r="974">
      <c r="A974" s="12" t="s">
        <v>6036</v>
      </c>
      <c r="B974" s="12" t="s">
        <v>3308</v>
      </c>
      <c r="C974" s="19" t="s">
        <v>36</v>
      </c>
      <c r="D974" s="19" t="s">
        <v>36</v>
      </c>
      <c r="E974" s="19" t="s">
        <v>36</v>
      </c>
      <c r="F974" s="19" t="s">
        <v>36</v>
      </c>
      <c r="G974" s="15" t="s">
        <v>36</v>
      </c>
      <c r="H974" s="14" t="s">
        <v>36</v>
      </c>
      <c r="I974" s="18" t="s">
        <v>36</v>
      </c>
      <c r="J974" s="12" t="s">
        <v>36</v>
      </c>
      <c r="K974" s="13" t="s">
        <v>36</v>
      </c>
      <c r="L974" s="15" t="s">
        <v>36</v>
      </c>
      <c r="M974" s="12" t="s">
        <v>36</v>
      </c>
      <c r="N974" s="12" t="s">
        <v>36</v>
      </c>
      <c r="O974" s="17" t="s">
        <v>36</v>
      </c>
      <c r="P974" s="12" t="s">
        <v>36</v>
      </c>
      <c r="Q974" s="12" t="s">
        <v>36</v>
      </c>
      <c r="R974" s="12" t="s">
        <v>36</v>
      </c>
      <c r="S974" s="12" t="s">
        <v>36</v>
      </c>
      <c r="T974" s="12" t="s">
        <v>3309</v>
      </c>
      <c r="U974" s="12" t="s">
        <v>38</v>
      </c>
      <c r="V974" s="12" t="s">
        <v>39</v>
      </c>
      <c r="W974" s="12" t="s">
        <v>3310</v>
      </c>
      <c r="X974" s="16" t="s">
        <v>6037</v>
      </c>
      <c r="Y974" s="15" t="s">
        <v>108</v>
      </c>
      <c r="Z974" s="14">
        <v>0.1</v>
      </c>
      <c r="AA974" s="14" t="s">
        <v>36</v>
      </c>
      <c r="AB974" s="12" t="s">
        <v>43</v>
      </c>
      <c r="AC974" s="12" t="s">
        <v>3312</v>
      </c>
      <c r="AD974" s="13">
        <v>45200</v>
      </c>
      <c r="AE974" s="12" t="s">
        <v>554</v>
      </c>
      <c r="AF974" s="12" t="s">
        <v>555</v>
      </c>
      <c r="AG974" s="12" t="s">
        <v>899</v>
      </c>
      <c r="AH974" s="1">
        <f>HYPERLINK("https://my.pitchbook.com?c=244247-68T","View Company Online")</f>
      </c>
    </row>
    <row r="975">
      <c r="A975" s="3" t="s">
        <v>6038</v>
      </c>
      <c r="B975" s="3" t="s">
        <v>6039</v>
      </c>
      <c r="C975" s="5" t="s">
        <v>36</v>
      </c>
      <c r="D975" s="5" t="s">
        <v>36</v>
      </c>
      <c r="E975" s="5">
        <v>9</v>
      </c>
      <c r="F975" s="5">
        <v>9</v>
      </c>
      <c r="G975" s="6" t="s">
        <v>36</v>
      </c>
      <c r="H975" s="4" t="s">
        <v>36</v>
      </c>
      <c r="I975" s="7" t="s">
        <v>36</v>
      </c>
      <c r="J975" s="3" t="s">
        <v>36</v>
      </c>
      <c r="K975" s="9" t="s">
        <v>36</v>
      </c>
      <c r="L975" s="6" t="s">
        <v>36</v>
      </c>
      <c r="M975" s="3" t="s">
        <v>36</v>
      </c>
      <c r="N975" s="3" t="s">
        <v>36</v>
      </c>
      <c r="O975" s="8" t="s">
        <v>36</v>
      </c>
      <c r="P975" s="3" t="s">
        <v>36</v>
      </c>
      <c r="Q975" s="3" t="s">
        <v>36</v>
      </c>
      <c r="R975" s="3" t="s">
        <v>36</v>
      </c>
      <c r="S975" s="3" t="s">
        <v>36</v>
      </c>
      <c r="T975" s="3" t="s">
        <v>6040</v>
      </c>
      <c r="U975" s="3" t="s">
        <v>833</v>
      </c>
      <c r="V975" s="3" t="s">
        <v>64</v>
      </c>
      <c r="W975" s="3" t="s">
        <v>6041</v>
      </c>
      <c r="X975" s="10" t="s">
        <v>6042</v>
      </c>
      <c r="Y975" s="6" t="s">
        <v>42</v>
      </c>
      <c r="Z975" s="4" t="s">
        <v>36</v>
      </c>
      <c r="AA975" s="4" t="s">
        <v>36</v>
      </c>
      <c r="AB975" s="3" t="s">
        <v>56</v>
      </c>
      <c r="AC975" s="3" t="s">
        <v>6043</v>
      </c>
      <c r="AD975" s="9">
        <v>45200</v>
      </c>
      <c r="AE975" s="3" t="s">
        <v>837</v>
      </c>
      <c r="AF975" s="3" t="s">
        <v>733</v>
      </c>
      <c r="AG975" s="3" t="s">
        <v>81</v>
      </c>
      <c r="AH975" s="11">
        <f>HYPERLINK("https://my.pitchbook.com?c=244415-44T","View Company Online")</f>
      </c>
    </row>
    <row r="976">
      <c r="A976" s="12" t="s">
        <v>6044</v>
      </c>
      <c r="B976" s="12" t="s">
        <v>2043</v>
      </c>
      <c r="C976" s="19" t="s">
        <v>36</v>
      </c>
      <c r="D976" s="19" t="s">
        <v>36</v>
      </c>
      <c r="E976" s="19" t="s">
        <v>36</v>
      </c>
      <c r="F976" s="19" t="s">
        <v>36</v>
      </c>
      <c r="G976" s="15" t="s">
        <v>36</v>
      </c>
      <c r="H976" s="14" t="s">
        <v>36</v>
      </c>
      <c r="I976" s="18" t="s">
        <v>36</v>
      </c>
      <c r="J976" s="12" t="s">
        <v>36</v>
      </c>
      <c r="K976" s="13" t="s">
        <v>36</v>
      </c>
      <c r="L976" s="15" t="s">
        <v>36</v>
      </c>
      <c r="M976" s="12" t="s">
        <v>36</v>
      </c>
      <c r="N976" s="12" t="s">
        <v>36</v>
      </c>
      <c r="O976" s="17" t="s">
        <v>36</v>
      </c>
      <c r="P976" s="12" t="s">
        <v>36</v>
      </c>
      <c r="Q976" s="12" t="s">
        <v>36</v>
      </c>
      <c r="R976" s="12" t="s">
        <v>36</v>
      </c>
      <c r="S976" s="12" t="s">
        <v>36</v>
      </c>
      <c r="T976" s="12" t="s">
        <v>2044</v>
      </c>
      <c r="U976" s="12" t="s">
        <v>74</v>
      </c>
      <c r="V976" s="12" t="s">
        <v>75</v>
      </c>
      <c r="W976" s="12" t="s">
        <v>2045</v>
      </c>
      <c r="X976" s="16" t="s">
        <v>5228</v>
      </c>
      <c r="Y976" s="15" t="s">
        <v>42</v>
      </c>
      <c r="Z976" s="14" t="s">
        <v>36</v>
      </c>
      <c r="AA976" s="14" t="s">
        <v>36</v>
      </c>
      <c r="AB976" s="12" t="s">
        <v>43</v>
      </c>
      <c r="AC976" s="12" t="s">
        <v>2047</v>
      </c>
      <c r="AD976" s="13">
        <v>45200</v>
      </c>
      <c r="AE976" s="12" t="s">
        <v>79</v>
      </c>
      <c r="AF976" s="12" t="s">
        <v>36</v>
      </c>
      <c r="AG976" s="12" t="s">
        <v>81</v>
      </c>
      <c r="AH976" s="1">
        <f>HYPERLINK("https://my.pitchbook.com?c=244345-15T","View Company Online")</f>
      </c>
    </row>
    <row r="977">
      <c r="A977" s="3" t="s">
        <v>6045</v>
      </c>
      <c r="B977" s="3" t="s">
        <v>6046</v>
      </c>
      <c r="C977" s="5" t="s">
        <v>36</v>
      </c>
      <c r="D977" s="5" t="s">
        <v>36</v>
      </c>
      <c r="E977" s="5" t="s">
        <v>36</v>
      </c>
      <c r="F977" s="5" t="s">
        <v>36</v>
      </c>
      <c r="G977" s="6" t="s">
        <v>36</v>
      </c>
      <c r="H977" s="4" t="s">
        <v>36</v>
      </c>
      <c r="I977" s="7" t="s">
        <v>36</v>
      </c>
      <c r="J977" s="3" t="s">
        <v>36</v>
      </c>
      <c r="K977" s="9" t="s">
        <v>36</v>
      </c>
      <c r="L977" s="6" t="s">
        <v>36</v>
      </c>
      <c r="M977" s="3" t="s">
        <v>36</v>
      </c>
      <c r="N977" s="3" t="s">
        <v>36</v>
      </c>
      <c r="O977" s="8" t="s">
        <v>36</v>
      </c>
      <c r="P977" s="3" t="s">
        <v>36</v>
      </c>
      <c r="Q977" s="3" t="s">
        <v>36</v>
      </c>
      <c r="R977" s="3" t="s">
        <v>36</v>
      </c>
      <c r="S977" s="3" t="s">
        <v>36</v>
      </c>
      <c r="T977" s="3" t="s">
        <v>179</v>
      </c>
      <c r="U977" s="3" t="s">
        <v>180</v>
      </c>
      <c r="V977" s="3" t="s">
        <v>52</v>
      </c>
      <c r="W977" s="3" t="s">
        <v>6047</v>
      </c>
      <c r="X977" s="10" t="s">
        <v>267</v>
      </c>
      <c r="Y977" s="6" t="s">
        <v>42</v>
      </c>
      <c r="Z977" s="4" t="s">
        <v>36</v>
      </c>
      <c r="AA977" s="4" t="s">
        <v>36</v>
      </c>
      <c r="AB977" s="3" t="s">
        <v>43</v>
      </c>
      <c r="AC977" s="3" t="s">
        <v>6048</v>
      </c>
      <c r="AD977" s="9">
        <v>45200</v>
      </c>
      <c r="AE977" s="3" t="s">
        <v>184</v>
      </c>
      <c r="AF977" s="3" t="s">
        <v>3024</v>
      </c>
      <c r="AG977" s="3" t="s">
        <v>270</v>
      </c>
      <c r="AH977" s="11">
        <f>HYPERLINK("https://my.pitchbook.com?c=242597-17T","View Company Online")</f>
      </c>
    </row>
    <row r="978">
      <c r="A978" s="12" t="s">
        <v>6049</v>
      </c>
      <c r="B978" s="12" t="s">
        <v>6050</v>
      </c>
      <c r="C978" s="19" t="s">
        <v>36</v>
      </c>
      <c r="D978" s="19" t="s">
        <v>36</v>
      </c>
      <c r="E978" s="19" t="s">
        <v>36</v>
      </c>
      <c r="F978" s="19" t="s">
        <v>36</v>
      </c>
      <c r="G978" s="15" t="s">
        <v>36</v>
      </c>
      <c r="H978" s="14" t="s">
        <v>36</v>
      </c>
      <c r="I978" s="18" t="s">
        <v>36</v>
      </c>
      <c r="J978" s="12" t="s">
        <v>36</v>
      </c>
      <c r="K978" s="13" t="s">
        <v>36</v>
      </c>
      <c r="L978" s="15" t="s">
        <v>36</v>
      </c>
      <c r="M978" s="12" t="s">
        <v>36</v>
      </c>
      <c r="N978" s="12" t="s">
        <v>36</v>
      </c>
      <c r="O978" s="17" t="s">
        <v>36</v>
      </c>
      <c r="P978" s="12" t="s">
        <v>36</v>
      </c>
      <c r="Q978" s="12" t="s">
        <v>36</v>
      </c>
      <c r="R978" s="12" t="s">
        <v>36</v>
      </c>
      <c r="S978" s="12" t="s">
        <v>36</v>
      </c>
      <c r="T978" s="12" t="s">
        <v>6051</v>
      </c>
      <c r="U978" s="12" t="s">
        <v>74</v>
      </c>
      <c r="V978" s="12" t="s">
        <v>75</v>
      </c>
      <c r="W978" s="12" t="s">
        <v>6052</v>
      </c>
      <c r="X978" s="16" t="s">
        <v>6053</v>
      </c>
      <c r="Y978" s="15" t="s">
        <v>42</v>
      </c>
      <c r="Z978" s="14">
        <v>0.93</v>
      </c>
      <c r="AA978" s="14" t="s">
        <v>36</v>
      </c>
      <c r="AB978" s="12" t="s">
        <v>43</v>
      </c>
      <c r="AC978" s="12" t="s">
        <v>6054</v>
      </c>
      <c r="AD978" s="13">
        <v>45200</v>
      </c>
      <c r="AE978" s="12" t="s">
        <v>3144</v>
      </c>
      <c r="AF978" s="12" t="s">
        <v>6055</v>
      </c>
      <c r="AG978" s="12" t="s">
        <v>5504</v>
      </c>
      <c r="AH978" s="1">
        <f>HYPERLINK("https://my.pitchbook.com?c=214879-69T","View Company Online")</f>
      </c>
    </row>
    <row r="979">
      <c r="A979" s="3" t="s">
        <v>6056</v>
      </c>
      <c r="B979" s="3" t="s">
        <v>6057</v>
      </c>
      <c r="C979" s="5" t="s">
        <v>36</v>
      </c>
      <c r="D979" s="5" t="s">
        <v>36</v>
      </c>
      <c r="E979" s="5" t="s">
        <v>36</v>
      </c>
      <c r="F979" s="5" t="s">
        <v>36</v>
      </c>
      <c r="G979" s="6" t="s">
        <v>683</v>
      </c>
      <c r="H979" s="4" t="s">
        <v>36</v>
      </c>
      <c r="I979" s="7">
        <v>38.97</v>
      </c>
      <c r="J979" s="3" t="s">
        <v>327</v>
      </c>
      <c r="K979" s="9" t="s">
        <v>36</v>
      </c>
      <c r="L979" s="6" t="s">
        <v>122</v>
      </c>
      <c r="M979" s="3" t="s">
        <v>36</v>
      </c>
      <c r="N979" s="3" t="s">
        <v>122</v>
      </c>
      <c r="O979" s="8" t="s">
        <v>36</v>
      </c>
      <c r="P979" s="3" t="s">
        <v>36</v>
      </c>
      <c r="Q979" s="3" t="s">
        <v>36</v>
      </c>
      <c r="R979" s="3" t="s">
        <v>36</v>
      </c>
      <c r="S979" s="3" t="s">
        <v>36</v>
      </c>
      <c r="T979" s="3" t="s">
        <v>6058</v>
      </c>
      <c r="U979" s="3" t="s">
        <v>38</v>
      </c>
      <c r="V979" s="3" t="s">
        <v>39</v>
      </c>
      <c r="W979" s="3" t="s">
        <v>6059</v>
      </c>
      <c r="X979" s="10" t="s">
        <v>6060</v>
      </c>
      <c r="Y979" s="6" t="s">
        <v>55</v>
      </c>
      <c r="Z979" s="4">
        <v>5.24</v>
      </c>
      <c r="AA979" s="4">
        <v>13.45</v>
      </c>
      <c r="AB979" s="3" t="s">
        <v>56</v>
      </c>
      <c r="AC979" s="3" t="s">
        <v>6061</v>
      </c>
      <c r="AD979" s="9">
        <v>45200</v>
      </c>
      <c r="AE979" s="3" t="s">
        <v>688</v>
      </c>
      <c r="AF979" s="3" t="s">
        <v>6062</v>
      </c>
      <c r="AG979" s="3" t="s">
        <v>102</v>
      </c>
      <c r="AH979" s="11">
        <f>HYPERLINK("https://my.pitchbook.com?c=242864-02T","View Company Online")</f>
      </c>
    </row>
    <row r="980">
      <c r="A980" s="12" t="s">
        <v>6063</v>
      </c>
      <c r="B980" s="12" t="s">
        <v>6064</v>
      </c>
      <c r="C980" s="19" t="s">
        <v>36</v>
      </c>
      <c r="D980" s="19" t="s">
        <v>36</v>
      </c>
      <c r="E980" s="19" t="s">
        <v>36</v>
      </c>
      <c r="F980" s="19" t="s">
        <v>36</v>
      </c>
      <c r="G980" s="15" t="s">
        <v>326</v>
      </c>
      <c r="H980" s="14">
        <v>8.89</v>
      </c>
      <c r="I980" s="18">
        <v>27.02</v>
      </c>
      <c r="J980" s="12" t="s">
        <v>521</v>
      </c>
      <c r="K980" s="13" t="s">
        <v>36</v>
      </c>
      <c r="L980" s="15" t="s">
        <v>122</v>
      </c>
      <c r="M980" s="12" t="s">
        <v>36</v>
      </c>
      <c r="N980" s="12" t="s">
        <v>122</v>
      </c>
      <c r="O980" s="17" t="s">
        <v>36</v>
      </c>
      <c r="P980" s="12" t="s">
        <v>36</v>
      </c>
      <c r="Q980" s="12" t="s">
        <v>36</v>
      </c>
      <c r="R980" s="12" t="s">
        <v>36</v>
      </c>
      <c r="S980" s="12" t="s">
        <v>36</v>
      </c>
      <c r="T980" s="12" t="s">
        <v>2925</v>
      </c>
      <c r="U980" s="12" t="s">
        <v>38</v>
      </c>
      <c r="V980" s="12" t="s">
        <v>39</v>
      </c>
      <c r="W980" s="12" t="s">
        <v>6065</v>
      </c>
      <c r="X980" s="16" t="s">
        <v>6066</v>
      </c>
      <c r="Y980" s="15" t="s">
        <v>108</v>
      </c>
      <c r="Z980" s="14">
        <v>5.83</v>
      </c>
      <c r="AA980" s="14">
        <v>17.25</v>
      </c>
      <c r="AB980" s="12" t="s">
        <v>43</v>
      </c>
      <c r="AC980" s="12" t="s">
        <v>6067</v>
      </c>
      <c r="AD980" s="13">
        <v>45200</v>
      </c>
      <c r="AE980" s="12" t="s">
        <v>110</v>
      </c>
      <c r="AF980" s="12" t="s">
        <v>2087</v>
      </c>
      <c r="AG980" s="12" t="s">
        <v>6068</v>
      </c>
      <c r="AH980" s="1">
        <f>HYPERLINK("https://my.pitchbook.com?c=245883-34T","View Company Online")</f>
      </c>
    </row>
    <row r="981">
      <c r="A981" s="3" t="s">
        <v>6069</v>
      </c>
      <c r="B981" s="3" t="s">
        <v>6070</v>
      </c>
      <c r="C981" s="5" t="s">
        <v>36</v>
      </c>
      <c r="D981" s="5">
        <v>10</v>
      </c>
      <c r="E981" s="5">
        <v>1</v>
      </c>
      <c r="F981" s="5">
        <v>10</v>
      </c>
      <c r="G981" s="6" t="s">
        <v>36</v>
      </c>
      <c r="H981" s="4" t="s">
        <v>36</v>
      </c>
      <c r="I981" s="7" t="s">
        <v>36</v>
      </c>
      <c r="J981" s="3" t="s">
        <v>36</v>
      </c>
      <c r="K981" s="9">
        <v>45170</v>
      </c>
      <c r="L981" s="6" t="s">
        <v>36</v>
      </c>
      <c r="M981" s="3" t="s">
        <v>36</v>
      </c>
      <c r="N981" s="3" t="s">
        <v>36</v>
      </c>
      <c r="O981" s="8" t="s">
        <v>36</v>
      </c>
      <c r="P981" s="3" t="s">
        <v>36</v>
      </c>
      <c r="Q981" s="3" t="s">
        <v>36</v>
      </c>
      <c r="R981" s="3" t="s">
        <v>36</v>
      </c>
      <c r="S981" s="3" t="s">
        <v>36</v>
      </c>
      <c r="T981" s="3" t="s">
        <v>6071</v>
      </c>
      <c r="U981" s="3" t="s">
        <v>51</v>
      </c>
      <c r="V981" s="3" t="s">
        <v>52</v>
      </c>
      <c r="W981" s="3" t="s">
        <v>6072</v>
      </c>
      <c r="X981" s="10" t="s">
        <v>6073</v>
      </c>
      <c r="Y981" s="6" t="s">
        <v>192</v>
      </c>
      <c r="Z981" s="4" t="s">
        <v>36</v>
      </c>
      <c r="AA981" s="4" t="s">
        <v>36</v>
      </c>
      <c r="AB981" s="3" t="s">
        <v>56</v>
      </c>
      <c r="AC981" s="3" t="s">
        <v>6074</v>
      </c>
      <c r="AD981" s="9">
        <v>45200</v>
      </c>
      <c r="AE981" s="3" t="s">
        <v>504</v>
      </c>
      <c r="AF981" s="3" t="s">
        <v>159</v>
      </c>
      <c r="AG981" s="3" t="s">
        <v>6075</v>
      </c>
      <c r="AH981" s="11">
        <f>HYPERLINK("https://my.pitchbook.com?c=245902-51T","View Company Online")</f>
      </c>
    </row>
    <row r="982">
      <c r="A982" s="12" t="s">
        <v>6076</v>
      </c>
      <c r="B982" s="12" t="s">
        <v>6077</v>
      </c>
      <c r="C982" s="19" t="s">
        <v>36</v>
      </c>
      <c r="D982" s="19" t="s">
        <v>36</v>
      </c>
      <c r="E982" s="19" t="s">
        <v>36</v>
      </c>
      <c r="F982" s="19" t="s">
        <v>36</v>
      </c>
      <c r="G982" s="15" t="s">
        <v>36</v>
      </c>
      <c r="H982" s="14" t="s">
        <v>36</v>
      </c>
      <c r="I982" s="18" t="s">
        <v>36</v>
      </c>
      <c r="J982" s="12" t="s">
        <v>36</v>
      </c>
      <c r="K982" s="13" t="s">
        <v>36</v>
      </c>
      <c r="L982" s="15" t="s">
        <v>36</v>
      </c>
      <c r="M982" s="12" t="s">
        <v>36</v>
      </c>
      <c r="N982" s="12" t="s">
        <v>36</v>
      </c>
      <c r="O982" s="17" t="s">
        <v>36</v>
      </c>
      <c r="P982" s="12" t="s">
        <v>36</v>
      </c>
      <c r="Q982" s="12" t="s">
        <v>36</v>
      </c>
      <c r="R982" s="12" t="s">
        <v>36</v>
      </c>
      <c r="S982" s="12" t="s">
        <v>36</v>
      </c>
      <c r="T982" s="12" t="s">
        <v>630</v>
      </c>
      <c r="U982" s="12" t="s">
        <v>38</v>
      </c>
      <c r="V982" s="12" t="s">
        <v>39</v>
      </c>
      <c r="W982" s="12" t="s">
        <v>6078</v>
      </c>
      <c r="X982" s="16" t="s">
        <v>6079</v>
      </c>
      <c r="Y982" s="15" t="s">
        <v>42</v>
      </c>
      <c r="Z982" s="14" t="s">
        <v>36</v>
      </c>
      <c r="AA982" s="14" t="s">
        <v>36</v>
      </c>
      <c r="AB982" s="12" t="s">
        <v>43</v>
      </c>
      <c r="AC982" s="12" t="s">
        <v>6080</v>
      </c>
      <c r="AD982" s="13">
        <v>45200</v>
      </c>
      <c r="AE982" s="12" t="s">
        <v>110</v>
      </c>
      <c r="AF982" s="12" t="s">
        <v>36</v>
      </c>
      <c r="AG982" s="12" t="s">
        <v>924</v>
      </c>
      <c r="AH982" s="1">
        <f>HYPERLINK("https://my.pitchbook.com?c=244393-21T","View Company Online")</f>
      </c>
    </row>
    <row r="983">
      <c r="A983" s="3" t="s">
        <v>6081</v>
      </c>
      <c r="B983" s="3" t="s">
        <v>6082</v>
      </c>
      <c r="C983" s="5" t="s">
        <v>36</v>
      </c>
      <c r="D983" s="5" t="s">
        <v>36</v>
      </c>
      <c r="E983" s="5" t="s">
        <v>36</v>
      </c>
      <c r="F983" s="5" t="s">
        <v>36</v>
      </c>
      <c r="G983" s="6" t="s">
        <v>36</v>
      </c>
      <c r="H983" s="4" t="s">
        <v>36</v>
      </c>
      <c r="I983" s="7">
        <v>2.5</v>
      </c>
      <c r="J983" s="3" t="s">
        <v>521</v>
      </c>
      <c r="K983" s="9">
        <v>45187</v>
      </c>
      <c r="L983" s="6" t="s">
        <v>36</v>
      </c>
      <c r="M983" s="3" t="s">
        <v>36</v>
      </c>
      <c r="N983" s="3" t="s">
        <v>36</v>
      </c>
      <c r="O983" s="8" t="s">
        <v>36</v>
      </c>
      <c r="P983" s="3" t="s">
        <v>36</v>
      </c>
      <c r="Q983" s="3" t="s">
        <v>36</v>
      </c>
      <c r="R983" s="3" t="s">
        <v>36</v>
      </c>
      <c r="S983" s="3" t="s">
        <v>36</v>
      </c>
      <c r="T983" s="3" t="s">
        <v>3330</v>
      </c>
      <c r="U983" s="3" t="s">
        <v>438</v>
      </c>
      <c r="V983" s="3" t="s">
        <v>405</v>
      </c>
      <c r="W983" s="3" t="s">
        <v>6083</v>
      </c>
      <c r="X983" s="10" t="s">
        <v>6084</v>
      </c>
      <c r="Y983" s="6" t="s">
        <v>55</v>
      </c>
      <c r="Z983" s="4">
        <v>0.1</v>
      </c>
      <c r="AA983" s="4">
        <v>4</v>
      </c>
      <c r="AB983" s="3" t="s">
        <v>56</v>
      </c>
      <c r="AC983" s="3" t="s">
        <v>6085</v>
      </c>
      <c r="AD983" s="9">
        <v>45200</v>
      </c>
      <c r="AE983" s="3" t="s">
        <v>438</v>
      </c>
      <c r="AF983" s="3" t="s">
        <v>3334</v>
      </c>
      <c r="AG983" s="3" t="s">
        <v>81</v>
      </c>
      <c r="AH983" s="11">
        <f>HYPERLINK("https://my.pitchbook.com?c=244809-37T","View Company Online")</f>
      </c>
    </row>
    <row r="984">
      <c r="A984" s="12" t="s">
        <v>6086</v>
      </c>
      <c r="B984" s="12" t="s">
        <v>2938</v>
      </c>
      <c r="C984" s="19" t="s">
        <v>36</v>
      </c>
      <c r="D984" s="19" t="s">
        <v>36</v>
      </c>
      <c r="E984" s="19" t="s">
        <v>36</v>
      </c>
      <c r="F984" s="19" t="s">
        <v>36</v>
      </c>
      <c r="G984" s="15" t="s">
        <v>36</v>
      </c>
      <c r="H984" s="14" t="s">
        <v>36</v>
      </c>
      <c r="I984" s="18" t="s">
        <v>36</v>
      </c>
      <c r="J984" s="12" t="s">
        <v>36</v>
      </c>
      <c r="K984" s="13" t="s">
        <v>36</v>
      </c>
      <c r="L984" s="15" t="s">
        <v>36</v>
      </c>
      <c r="M984" s="12" t="s">
        <v>36</v>
      </c>
      <c r="N984" s="12" t="s">
        <v>36</v>
      </c>
      <c r="O984" s="17" t="s">
        <v>36</v>
      </c>
      <c r="P984" s="12" t="s">
        <v>36</v>
      </c>
      <c r="Q984" s="12" t="s">
        <v>36</v>
      </c>
      <c r="R984" s="12" t="s">
        <v>36</v>
      </c>
      <c r="S984" s="12" t="s">
        <v>36</v>
      </c>
      <c r="T984" s="12" t="s">
        <v>37</v>
      </c>
      <c r="U984" s="12" t="s">
        <v>38</v>
      </c>
      <c r="V984" s="12" t="s">
        <v>39</v>
      </c>
      <c r="W984" s="12" t="s">
        <v>2939</v>
      </c>
      <c r="X984" s="16" t="s">
        <v>6087</v>
      </c>
      <c r="Y984" s="15" t="s">
        <v>42</v>
      </c>
      <c r="Z984" s="14">
        <v>3.5</v>
      </c>
      <c r="AA984" s="14" t="s">
        <v>36</v>
      </c>
      <c r="AB984" s="12" t="s">
        <v>43</v>
      </c>
      <c r="AC984" s="12" t="s">
        <v>2941</v>
      </c>
      <c r="AD984" s="13">
        <v>45200</v>
      </c>
      <c r="AE984" s="12" t="s">
        <v>45</v>
      </c>
      <c r="AF984" s="12" t="s">
        <v>215</v>
      </c>
      <c r="AG984" s="12" t="s">
        <v>81</v>
      </c>
      <c r="AH984" s="1">
        <f>HYPERLINK("https://my.pitchbook.com?c=244501-12T","View Company Online")</f>
      </c>
    </row>
    <row r="985">
      <c r="A985" s="3" t="s">
        <v>6088</v>
      </c>
      <c r="B985" s="3" t="s">
        <v>6089</v>
      </c>
      <c r="C985" s="5">
        <v>12</v>
      </c>
      <c r="D985" s="5" t="s">
        <v>36</v>
      </c>
      <c r="E985" s="5">
        <v>3</v>
      </c>
      <c r="F985" s="5">
        <v>12</v>
      </c>
      <c r="G985" s="6" t="s">
        <v>36</v>
      </c>
      <c r="H985" s="4" t="s">
        <v>36</v>
      </c>
      <c r="I985" s="7" t="s">
        <v>36</v>
      </c>
      <c r="J985" s="3" t="s">
        <v>36</v>
      </c>
      <c r="K985" s="9">
        <v>44776</v>
      </c>
      <c r="L985" s="6" t="s">
        <v>36</v>
      </c>
      <c r="M985" s="3" t="s">
        <v>36</v>
      </c>
      <c r="N985" s="3" t="s">
        <v>36</v>
      </c>
      <c r="O985" s="8" t="s">
        <v>36</v>
      </c>
      <c r="P985" s="3" t="s">
        <v>36</v>
      </c>
      <c r="Q985" s="3" t="s">
        <v>36</v>
      </c>
      <c r="R985" s="3" t="s">
        <v>36</v>
      </c>
      <c r="S985" s="3" t="s">
        <v>36</v>
      </c>
      <c r="T985" s="3" t="s">
        <v>1162</v>
      </c>
      <c r="U985" s="3" t="s">
        <v>423</v>
      </c>
      <c r="V985" s="3" t="s">
        <v>64</v>
      </c>
      <c r="W985" s="3" t="s">
        <v>6090</v>
      </c>
      <c r="X985" s="10" t="s">
        <v>6091</v>
      </c>
      <c r="Y985" s="6" t="s">
        <v>108</v>
      </c>
      <c r="Z985" s="4" t="s">
        <v>36</v>
      </c>
      <c r="AA985" s="4" t="s">
        <v>36</v>
      </c>
      <c r="AB985" s="3" t="s">
        <v>43</v>
      </c>
      <c r="AC985" s="3" t="s">
        <v>6092</v>
      </c>
      <c r="AD985" s="9">
        <v>45199</v>
      </c>
      <c r="AE985" s="3" t="s">
        <v>562</v>
      </c>
      <c r="AF985" s="3" t="s">
        <v>938</v>
      </c>
      <c r="AG985" s="3" t="s">
        <v>81</v>
      </c>
      <c r="AH985" s="11">
        <f>HYPERLINK("https://my.pitchbook.com?c=208521-28T","View Company Online")</f>
      </c>
    </row>
    <row r="986">
      <c r="A986" s="12" t="s">
        <v>6093</v>
      </c>
      <c r="B986" s="12" t="s">
        <v>6094</v>
      </c>
      <c r="C986" s="19" t="s">
        <v>36</v>
      </c>
      <c r="D986" s="19" t="s">
        <v>36</v>
      </c>
      <c r="E986" s="19" t="s">
        <v>36</v>
      </c>
      <c r="F986" s="19" t="s">
        <v>36</v>
      </c>
      <c r="G986" s="15" t="s">
        <v>36</v>
      </c>
      <c r="H986" s="14" t="s">
        <v>36</v>
      </c>
      <c r="I986" s="18" t="s">
        <v>36</v>
      </c>
      <c r="J986" s="12" t="s">
        <v>36</v>
      </c>
      <c r="K986" s="13" t="s">
        <v>36</v>
      </c>
      <c r="L986" s="15" t="s">
        <v>36</v>
      </c>
      <c r="M986" s="12" t="s">
        <v>36</v>
      </c>
      <c r="N986" s="12" t="s">
        <v>36</v>
      </c>
      <c r="O986" s="17" t="s">
        <v>36</v>
      </c>
      <c r="P986" s="12" t="s">
        <v>36</v>
      </c>
      <c r="Q986" s="12" t="s">
        <v>36</v>
      </c>
      <c r="R986" s="12" t="s">
        <v>36</v>
      </c>
      <c r="S986" s="12" t="s">
        <v>36</v>
      </c>
      <c r="T986" s="12" t="s">
        <v>6095</v>
      </c>
      <c r="U986" s="12" t="s">
        <v>51</v>
      </c>
      <c r="V986" s="12" t="s">
        <v>52</v>
      </c>
      <c r="W986" s="12" t="s">
        <v>6096</v>
      </c>
      <c r="X986" s="16" t="s">
        <v>6097</v>
      </c>
      <c r="Y986" s="15" t="s">
        <v>108</v>
      </c>
      <c r="Z986" s="14" t="s">
        <v>36</v>
      </c>
      <c r="AA986" s="14" t="s">
        <v>36</v>
      </c>
      <c r="AB986" s="12" t="s">
        <v>43</v>
      </c>
      <c r="AC986" s="12" t="s">
        <v>6098</v>
      </c>
      <c r="AD986" s="13">
        <v>45198</v>
      </c>
      <c r="AE986" s="12" t="s">
        <v>158</v>
      </c>
      <c r="AF986" s="12" t="s">
        <v>6099</v>
      </c>
      <c r="AG986" s="12" t="s">
        <v>81</v>
      </c>
      <c r="AH986" s="1">
        <f>HYPERLINK("https://my.pitchbook.com?c=215351-20T","View Company Online")</f>
      </c>
    </row>
    <row r="987">
      <c r="A987" s="3" t="s">
        <v>6100</v>
      </c>
      <c r="B987" s="3" t="s">
        <v>6101</v>
      </c>
      <c r="C987" s="5" t="s">
        <v>36</v>
      </c>
      <c r="D987" s="5" t="s">
        <v>36</v>
      </c>
      <c r="E987" s="5" t="s">
        <v>36</v>
      </c>
      <c r="F987" s="5" t="s">
        <v>36</v>
      </c>
      <c r="G987" s="6" t="s">
        <v>36</v>
      </c>
      <c r="H987" s="4">
        <v>126.98</v>
      </c>
      <c r="I987" s="7">
        <v>20.22</v>
      </c>
      <c r="J987" s="3" t="s">
        <v>521</v>
      </c>
      <c r="K987" s="9" t="s">
        <v>36</v>
      </c>
      <c r="L987" s="6" t="s">
        <v>36</v>
      </c>
      <c r="M987" s="3" t="s">
        <v>36</v>
      </c>
      <c r="N987" s="3" t="s">
        <v>36</v>
      </c>
      <c r="O987" s="8" t="s">
        <v>36</v>
      </c>
      <c r="P987" s="3" t="s">
        <v>36</v>
      </c>
      <c r="Q987" s="3" t="s">
        <v>36</v>
      </c>
      <c r="R987" s="3" t="s">
        <v>36</v>
      </c>
      <c r="S987" s="3" t="s">
        <v>36</v>
      </c>
      <c r="T987" s="3" t="s">
        <v>522</v>
      </c>
      <c r="U987" s="3" t="s">
        <v>38</v>
      </c>
      <c r="V987" s="3" t="s">
        <v>39</v>
      </c>
      <c r="W987" s="3" t="s">
        <v>6102</v>
      </c>
      <c r="X987" s="10" t="s">
        <v>6103</v>
      </c>
      <c r="Y987" s="6" t="s">
        <v>55</v>
      </c>
      <c r="Z987" s="4">
        <v>2.67</v>
      </c>
      <c r="AA987" s="4">
        <v>10.37</v>
      </c>
      <c r="AB987" s="3" t="s">
        <v>56</v>
      </c>
      <c r="AC987" s="3" t="s">
        <v>6104</v>
      </c>
      <c r="AD987" s="9">
        <v>45198</v>
      </c>
      <c r="AE987" s="3" t="s">
        <v>110</v>
      </c>
      <c r="AF987" s="3" t="s">
        <v>80</v>
      </c>
      <c r="AG987" s="3" t="s">
        <v>6068</v>
      </c>
      <c r="AH987" s="11">
        <f>HYPERLINK("https://my.pitchbook.com?c=242259-40T","View Company Online")</f>
      </c>
    </row>
    <row r="988">
      <c r="A988" s="12" t="s">
        <v>6105</v>
      </c>
      <c r="B988" s="12" t="s">
        <v>6106</v>
      </c>
      <c r="C988" s="19" t="s">
        <v>36</v>
      </c>
      <c r="D988" s="19" t="s">
        <v>36</v>
      </c>
      <c r="E988" s="19" t="s">
        <v>36</v>
      </c>
      <c r="F988" s="19" t="s">
        <v>36</v>
      </c>
      <c r="G988" s="15" t="s">
        <v>36</v>
      </c>
      <c r="H988" s="14" t="s">
        <v>36</v>
      </c>
      <c r="I988" s="18" t="s">
        <v>36</v>
      </c>
      <c r="J988" s="12" t="s">
        <v>36</v>
      </c>
      <c r="K988" s="13" t="s">
        <v>36</v>
      </c>
      <c r="L988" s="15" t="s">
        <v>36</v>
      </c>
      <c r="M988" s="12" t="s">
        <v>36</v>
      </c>
      <c r="N988" s="12" t="s">
        <v>36</v>
      </c>
      <c r="O988" s="17" t="s">
        <v>36</v>
      </c>
      <c r="P988" s="12" t="s">
        <v>36</v>
      </c>
      <c r="Q988" s="12" t="s">
        <v>36</v>
      </c>
      <c r="R988" s="12" t="s">
        <v>36</v>
      </c>
      <c r="S988" s="12" t="s">
        <v>36</v>
      </c>
      <c r="T988" s="12" t="s">
        <v>6107</v>
      </c>
      <c r="U988" s="12" t="s">
        <v>74</v>
      </c>
      <c r="V988" s="12" t="s">
        <v>75</v>
      </c>
      <c r="W988" s="12" t="s">
        <v>6108</v>
      </c>
      <c r="X988" s="16" t="s">
        <v>6109</v>
      </c>
      <c r="Y988" s="15" t="s">
        <v>192</v>
      </c>
      <c r="Z988" s="14" t="s">
        <v>36</v>
      </c>
      <c r="AA988" s="14" t="s">
        <v>36</v>
      </c>
      <c r="AB988" s="12" t="s">
        <v>56</v>
      </c>
      <c r="AC988" s="12" t="s">
        <v>6110</v>
      </c>
      <c r="AD988" s="13">
        <v>45197</v>
      </c>
      <c r="AE988" s="12" t="s">
        <v>975</v>
      </c>
      <c r="AF988" s="12" t="s">
        <v>36</v>
      </c>
      <c r="AG988" s="12" t="s">
        <v>1905</v>
      </c>
      <c r="AH988" s="1">
        <f>HYPERLINK("https://my.pitchbook.com?c=242264-35T","View Company Online")</f>
      </c>
    </row>
    <row r="989">
      <c r="A989" s="3" t="s">
        <v>6111</v>
      </c>
      <c r="B989" s="3" t="s">
        <v>6112</v>
      </c>
      <c r="C989" s="5" t="s">
        <v>36</v>
      </c>
      <c r="D989" s="5" t="s">
        <v>36</v>
      </c>
      <c r="E989" s="5" t="s">
        <v>36</v>
      </c>
      <c r="F989" s="5" t="s">
        <v>36</v>
      </c>
      <c r="G989" s="6" t="s">
        <v>36</v>
      </c>
      <c r="H989" s="4" t="s">
        <v>36</v>
      </c>
      <c r="I989" s="7">
        <v>45.56</v>
      </c>
      <c r="J989" s="3" t="s">
        <v>327</v>
      </c>
      <c r="K989" s="9" t="s">
        <v>36</v>
      </c>
      <c r="L989" s="6" t="s">
        <v>36</v>
      </c>
      <c r="M989" s="3" t="s">
        <v>36</v>
      </c>
      <c r="N989" s="3" t="s">
        <v>36</v>
      </c>
      <c r="O989" s="8" t="s">
        <v>36</v>
      </c>
      <c r="P989" s="3" t="s">
        <v>36</v>
      </c>
      <c r="Q989" s="3" t="s">
        <v>36</v>
      </c>
      <c r="R989" s="3" t="s">
        <v>36</v>
      </c>
      <c r="S989" s="3" t="s">
        <v>453</v>
      </c>
      <c r="T989" s="3" t="s">
        <v>3175</v>
      </c>
      <c r="U989" s="3" t="s">
        <v>74</v>
      </c>
      <c r="V989" s="3" t="s">
        <v>75</v>
      </c>
      <c r="W989" s="3" t="s">
        <v>6113</v>
      </c>
      <c r="X989" s="10" t="s">
        <v>6114</v>
      </c>
      <c r="Y989" s="6" t="s">
        <v>42</v>
      </c>
      <c r="Z989" s="4">
        <v>50.33</v>
      </c>
      <c r="AA989" s="4">
        <v>110.49</v>
      </c>
      <c r="AB989" s="3" t="s">
        <v>43</v>
      </c>
      <c r="AC989" s="3" t="s">
        <v>6115</v>
      </c>
      <c r="AD989" s="9">
        <v>45197</v>
      </c>
      <c r="AE989" s="3" t="s">
        <v>975</v>
      </c>
      <c r="AF989" s="3" t="s">
        <v>36</v>
      </c>
      <c r="AG989" s="3" t="s">
        <v>81</v>
      </c>
      <c r="AH989" s="11">
        <f>HYPERLINK("https://my.pitchbook.com?c=242225-65T","View Company Online")</f>
      </c>
    </row>
    <row r="990">
      <c r="A990" s="12" t="s">
        <v>6116</v>
      </c>
      <c r="B990" s="12" t="s">
        <v>6117</v>
      </c>
      <c r="C990" s="19" t="s">
        <v>36</v>
      </c>
      <c r="D990" s="19" t="s">
        <v>36</v>
      </c>
      <c r="E990" s="19" t="s">
        <v>36</v>
      </c>
      <c r="F990" s="19" t="s">
        <v>36</v>
      </c>
      <c r="G990" s="15" t="s">
        <v>36</v>
      </c>
      <c r="H990" s="14" t="s">
        <v>36</v>
      </c>
      <c r="I990" s="18" t="s">
        <v>36</v>
      </c>
      <c r="J990" s="12" t="s">
        <v>36</v>
      </c>
      <c r="K990" s="13" t="s">
        <v>36</v>
      </c>
      <c r="L990" s="15" t="s">
        <v>36</v>
      </c>
      <c r="M990" s="12" t="s">
        <v>36</v>
      </c>
      <c r="N990" s="12" t="s">
        <v>36</v>
      </c>
      <c r="O990" s="17" t="s">
        <v>36</v>
      </c>
      <c r="P990" s="12" t="s">
        <v>36</v>
      </c>
      <c r="Q990" s="12" t="s">
        <v>36</v>
      </c>
      <c r="R990" s="12" t="s">
        <v>36</v>
      </c>
      <c r="S990" s="12" t="s">
        <v>36</v>
      </c>
      <c r="T990" s="12" t="s">
        <v>6118</v>
      </c>
      <c r="U990" s="12" t="s">
        <v>1144</v>
      </c>
      <c r="V990" s="12" t="s">
        <v>378</v>
      </c>
      <c r="W990" s="12" t="s">
        <v>6119</v>
      </c>
      <c r="X990" s="16" t="s">
        <v>6120</v>
      </c>
      <c r="Y990" s="15" t="s">
        <v>42</v>
      </c>
      <c r="Z990" s="14">
        <v>7.5</v>
      </c>
      <c r="AA990" s="14" t="s">
        <v>36</v>
      </c>
      <c r="AB990" s="12" t="s">
        <v>56</v>
      </c>
      <c r="AC990" s="12" t="s">
        <v>6121</v>
      </c>
      <c r="AD990" s="13">
        <v>45197</v>
      </c>
      <c r="AE990" s="12" t="s">
        <v>1148</v>
      </c>
      <c r="AF990" s="12" t="s">
        <v>601</v>
      </c>
      <c r="AG990" s="12" t="s">
        <v>6122</v>
      </c>
      <c r="AH990" s="1">
        <f>HYPERLINK("https://my.pitchbook.com?c=242271-19T","View Company Online")</f>
      </c>
    </row>
    <row r="991">
      <c r="A991" s="3" t="s">
        <v>6123</v>
      </c>
      <c r="B991" s="3" t="s">
        <v>6124</v>
      </c>
      <c r="C991" s="5" t="s">
        <v>36</v>
      </c>
      <c r="D991" s="5" t="s">
        <v>36</v>
      </c>
      <c r="E991" s="5" t="s">
        <v>36</v>
      </c>
      <c r="F991" s="5" t="s">
        <v>36</v>
      </c>
      <c r="G991" s="6" t="s">
        <v>36</v>
      </c>
      <c r="H991" s="4" t="s">
        <v>36</v>
      </c>
      <c r="I991" s="7">
        <v>25</v>
      </c>
      <c r="J991" s="3" t="s">
        <v>36</v>
      </c>
      <c r="K991" s="9" t="s">
        <v>36</v>
      </c>
      <c r="L991" s="6" t="s">
        <v>36</v>
      </c>
      <c r="M991" s="3" t="s">
        <v>36</v>
      </c>
      <c r="N991" s="3" t="s">
        <v>36</v>
      </c>
      <c r="O991" s="8" t="s">
        <v>36</v>
      </c>
      <c r="P991" s="3" t="s">
        <v>36</v>
      </c>
      <c r="Q991" s="3" t="s">
        <v>36</v>
      </c>
      <c r="R991" s="3" t="s">
        <v>36</v>
      </c>
      <c r="S991" s="3" t="s">
        <v>2699</v>
      </c>
      <c r="T991" s="3" t="s">
        <v>6125</v>
      </c>
      <c r="U991" s="3" t="s">
        <v>219</v>
      </c>
      <c r="V991" s="3" t="s">
        <v>75</v>
      </c>
      <c r="W991" s="3" t="s">
        <v>6126</v>
      </c>
      <c r="X991" s="10" t="s">
        <v>6127</v>
      </c>
      <c r="Y991" s="6" t="s">
        <v>108</v>
      </c>
      <c r="Z991" s="4" t="s">
        <v>36</v>
      </c>
      <c r="AA991" s="4" t="s">
        <v>36</v>
      </c>
      <c r="AB991" s="3" t="s">
        <v>43</v>
      </c>
      <c r="AC991" s="3" t="s">
        <v>6128</v>
      </c>
      <c r="AD991" s="9">
        <v>45197</v>
      </c>
      <c r="AE991" s="3" t="s">
        <v>1032</v>
      </c>
      <c r="AF991" s="3" t="s">
        <v>5435</v>
      </c>
      <c r="AG991" s="3" t="s">
        <v>6129</v>
      </c>
      <c r="AH991" s="11">
        <f>HYPERLINK("https://my.pitchbook.com?c=242292-52T","View Company Online")</f>
      </c>
    </row>
    <row r="992">
      <c r="A992" s="12" t="s">
        <v>6130</v>
      </c>
      <c r="B992" s="12" t="s">
        <v>6131</v>
      </c>
      <c r="C992" s="19">
        <v>180</v>
      </c>
      <c r="D992" s="19">
        <v>606</v>
      </c>
      <c r="E992" s="19">
        <v>197</v>
      </c>
      <c r="F992" s="19">
        <v>860</v>
      </c>
      <c r="G992" s="15" t="s">
        <v>36</v>
      </c>
      <c r="H992" s="14" t="s">
        <v>36</v>
      </c>
      <c r="I992" s="18" t="s">
        <v>36</v>
      </c>
      <c r="J992" s="12" t="s">
        <v>36</v>
      </c>
      <c r="K992" s="13" t="s">
        <v>36</v>
      </c>
      <c r="L992" s="15" t="s">
        <v>36</v>
      </c>
      <c r="M992" s="12" t="s">
        <v>36</v>
      </c>
      <c r="N992" s="12" t="s">
        <v>36</v>
      </c>
      <c r="O992" s="17" t="s">
        <v>36</v>
      </c>
      <c r="P992" s="12" t="s">
        <v>36</v>
      </c>
      <c r="Q992" s="12" t="s">
        <v>36</v>
      </c>
      <c r="R992" s="12" t="s">
        <v>36</v>
      </c>
      <c r="S992" s="12" t="s">
        <v>36</v>
      </c>
      <c r="T992" s="12" t="s">
        <v>317</v>
      </c>
      <c r="U992" s="12" t="s">
        <v>318</v>
      </c>
      <c r="V992" s="12" t="s">
        <v>39</v>
      </c>
      <c r="W992" s="12" t="s">
        <v>6132</v>
      </c>
      <c r="X992" s="16" t="s">
        <v>6133</v>
      </c>
      <c r="Y992" s="15" t="s">
        <v>1067</v>
      </c>
      <c r="Z992" s="14">
        <v>128.2</v>
      </c>
      <c r="AA992" s="14" t="s">
        <v>36</v>
      </c>
      <c r="AB992" s="12" t="s">
        <v>56</v>
      </c>
      <c r="AC992" s="12" t="s">
        <v>6134</v>
      </c>
      <c r="AD992" s="13">
        <v>45195</v>
      </c>
      <c r="AE992" s="12" t="s">
        <v>323</v>
      </c>
      <c r="AF992" s="12" t="s">
        <v>6135</v>
      </c>
      <c r="AG992" s="12" t="s">
        <v>6136</v>
      </c>
      <c r="AH992" s="1">
        <f>HYPERLINK("https://my.pitchbook.com?c=241984-90T","View Company Online")</f>
      </c>
    </row>
    <row r="993">
      <c r="A993" s="3" t="s">
        <v>6137</v>
      </c>
      <c r="B993" s="3" t="s">
        <v>6138</v>
      </c>
      <c r="C993" s="5">
        <v>15</v>
      </c>
      <c r="D993" s="5">
        <v>11</v>
      </c>
      <c r="E993" s="5">
        <v>6</v>
      </c>
      <c r="F993" s="5">
        <v>26</v>
      </c>
      <c r="G993" s="6" t="s">
        <v>683</v>
      </c>
      <c r="H993" s="4" t="s">
        <v>36</v>
      </c>
      <c r="I993" s="7">
        <v>41.49</v>
      </c>
      <c r="J993" s="3" t="s">
        <v>327</v>
      </c>
      <c r="K993" s="9">
        <v>45078</v>
      </c>
      <c r="L993" s="6" t="s">
        <v>94</v>
      </c>
      <c r="M993" s="3" t="s">
        <v>36</v>
      </c>
      <c r="N993" s="3" t="s">
        <v>94</v>
      </c>
      <c r="O993" s="8" t="s">
        <v>36</v>
      </c>
      <c r="P993" s="3" t="s">
        <v>36</v>
      </c>
      <c r="Q993" s="3" t="s">
        <v>36</v>
      </c>
      <c r="R993" s="3" t="s">
        <v>36</v>
      </c>
      <c r="S993" s="3" t="s">
        <v>36</v>
      </c>
      <c r="T993" s="3" t="s">
        <v>6139</v>
      </c>
      <c r="U993" s="3" t="s">
        <v>1502</v>
      </c>
      <c r="V993" s="3" t="s">
        <v>75</v>
      </c>
      <c r="W993" s="3" t="s">
        <v>6140</v>
      </c>
      <c r="X993" s="10" t="s">
        <v>6141</v>
      </c>
      <c r="Y993" s="6" t="s">
        <v>55</v>
      </c>
      <c r="Z993" s="4">
        <v>20.62</v>
      </c>
      <c r="AA993" s="4">
        <v>49.69</v>
      </c>
      <c r="AB993" s="3" t="s">
        <v>56</v>
      </c>
      <c r="AC993" s="3" t="s">
        <v>6142</v>
      </c>
      <c r="AD993" s="9">
        <v>45195</v>
      </c>
      <c r="AE993" s="3" t="s">
        <v>1822</v>
      </c>
      <c r="AF993" s="3" t="s">
        <v>982</v>
      </c>
      <c r="AG993" s="3" t="s">
        <v>81</v>
      </c>
      <c r="AH993" s="11">
        <f>HYPERLINK("https://my.pitchbook.com?c=241993-27T","View Company Online")</f>
      </c>
    </row>
    <row r="994">
      <c r="A994" s="12" t="s">
        <v>6143</v>
      </c>
      <c r="B994" s="12" t="s">
        <v>6144</v>
      </c>
      <c r="C994" s="19">
        <v>5</v>
      </c>
      <c r="D994" s="19" t="s">
        <v>36</v>
      </c>
      <c r="E994" s="19">
        <v>2</v>
      </c>
      <c r="F994" s="19">
        <v>6</v>
      </c>
      <c r="G994" s="15" t="s">
        <v>326</v>
      </c>
      <c r="H994" s="14" t="s">
        <v>36</v>
      </c>
      <c r="I994" s="18">
        <v>26.95</v>
      </c>
      <c r="J994" s="12" t="s">
        <v>327</v>
      </c>
      <c r="K994" s="13" t="s">
        <v>36</v>
      </c>
      <c r="L994" s="15" t="s">
        <v>36</v>
      </c>
      <c r="M994" s="12" t="s">
        <v>36</v>
      </c>
      <c r="N994" s="12" t="s">
        <v>36</v>
      </c>
      <c r="O994" s="17" t="s">
        <v>36</v>
      </c>
      <c r="P994" s="12" t="s">
        <v>36</v>
      </c>
      <c r="Q994" s="12" t="s">
        <v>36</v>
      </c>
      <c r="R994" s="12" t="s">
        <v>36</v>
      </c>
      <c r="S994" s="12" t="s">
        <v>36</v>
      </c>
      <c r="T994" s="12" t="s">
        <v>6145</v>
      </c>
      <c r="U994" s="12" t="s">
        <v>74</v>
      </c>
      <c r="V994" s="12" t="s">
        <v>75</v>
      </c>
      <c r="W994" s="12" t="s">
        <v>6146</v>
      </c>
      <c r="X994" s="16" t="s">
        <v>6147</v>
      </c>
      <c r="Y994" s="15" t="s">
        <v>55</v>
      </c>
      <c r="Z994" s="14">
        <v>2.9</v>
      </c>
      <c r="AA994" s="14">
        <v>10.75</v>
      </c>
      <c r="AB994" s="12" t="s">
        <v>56</v>
      </c>
      <c r="AC994" s="12" t="s">
        <v>6148</v>
      </c>
      <c r="AD994" s="13">
        <v>45195</v>
      </c>
      <c r="AE994" s="12" t="s">
        <v>1888</v>
      </c>
      <c r="AF994" s="12" t="s">
        <v>6149</v>
      </c>
      <c r="AG994" s="12" t="s">
        <v>6150</v>
      </c>
      <c r="AH994" s="1">
        <f>HYPERLINK("https://my.pitchbook.com?c=242004-34T","View Company Online")</f>
      </c>
    </row>
    <row r="995">
      <c r="A995" s="3" t="s">
        <v>6151</v>
      </c>
      <c r="B995" s="3" t="s">
        <v>6152</v>
      </c>
      <c r="C995" s="5" t="s">
        <v>36</v>
      </c>
      <c r="D995" s="5" t="s">
        <v>36</v>
      </c>
      <c r="E995" s="5" t="s">
        <v>36</v>
      </c>
      <c r="F995" s="5" t="s">
        <v>36</v>
      </c>
      <c r="G995" s="6" t="s">
        <v>36</v>
      </c>
      <c r="H995" s="4" t="s">
        <v>36</v>
      </c>
      <c r="I995" s="7">
        <v>25.23</v>
      </c>
      <c r="J995" s="3" t="s">
        <v>327</v>
      </c>
      <c r="K995" s="9">
        <v>44958</v>
      </c>
      <c r="L995" s="6" t="s">
        <v>36</v>
      </c>
      <c r="M995" s="3" t="s">
        <v>36</v>
      </c>
      <c r="N995" s="3" t="s">
        <v>36</v>
      </c>
      <c r="O995" s="8" t="s">
        <v>36</v>
      </c>
      <c r="P995" s="3" t="s">
        <v>36</v>
      </c>
      <c r="Q995" s="3" t="s">
        <v>36</v>
      </c>
      <c r="R995" s="3" t="s">
        <v>36</v>
      </c>
      <c r="S995" s="3" t="s">
        <v>36</v>
      </c>
      <c r="T995" s="3" t="s">
        <v>6153</v>
      </c>
      <c r="U995" s="3" t="s">
        <v>219</v>
      </c>
      <c r="V995" s="3" t="s">
        <v>75</v>
      </c>
      <c r="W995" s="3" t="s">
        <v>6154</v>
      </c>
      <c r="X995" s="10" t="s">
        <v>6155</v>
      </c>
      <c r="Y995" s="6" t="s">
        <v>42</v>
      </c>
      <c r="Z995" s="4">
        <v>2.25</v>
      </c>
      <c r="AA995" s="4">
        <v>8.93</v>
      </c>
      <c r="AB995" s="3" t="s">
        <v>43</v>
      </c>
      <c r="AC995" s="3" t="s">
        <v>6156</v>
      </c>
      <c r="AD995" s="9">
        <v>45194</v>
      </c>
      <c r="AE995" s="3" t="s">
        <v>1007</v>
      </c>
      <c r="AF995" s="3" t="s">
        <v>938</v>
      </c>
      <c r="AG995" s="3" t="s">
        <v>47</v>
      </c>
      <c r="AH995" s="11">
        <f>HYPERLINK("https://my.pitchbook.com?c=225389-53T","View Company Online")</f>
      </c>
    </row>
    <row r="996">
      <c r="A996" s="12" t="s">
        <v>6157</v>
      </c>
      <c r="B996" s="12" t="s">
        <v>6158</v>
      </c>
      <c r="C996" s="19" t="s">
        <v>36</v>
      </c>
      <c r="D996" s="19" t="s">
        <v>36</v>
      </c>
      <c r="E996" s="19" t="s">
        <v>36</v>
      </c>
      <c r="F996" s="19" t="s">
        <v>36</v>
      </c>
      <c r="G996" s="15" t="s">
        <v>36</v>
      </c>
      <c r="H996" s="14" t="s">
        <v>36</v>
      </c>
      <c r="I996" s="18" t="s">
        <v>36</v>
      </c>
      <c r="J996" s="12" t="s">
        <v>36</v>
      </c>
      <c r="K996" s="13" t="s">
        <v>36</v>
      </c>
      <c r="L996" s="15" t="s">
        <v>36</v>
      </c>
      <c r="M996" s="12" t="s">
        <v>36</v>
      </c>
      <c r="N996" s="12" t="s">
        <v>36</v>
      </c>
      <c r="O996" s="17" t="s">
        <v>36</v>
      </c>
      <c r="P996" s="12" t="s">
        <v>36</v>
      </c>
      <c r="Q996" s="12" t="s">
        <v>36</v>
      </c>
      <c r="R996" s="12" t="s">
        <v>36</v>
      </c>
      <c r="S996" s="12" t="s">
        <v>36</v>
      </c>
      <c r="T996" s="12" t="s">
        <v>6159</v>
      </c>
      <c r="U996" s="12" t="s">
        <v>648</v>
      </c>
      <c r="V996" s="12" t="s">
        <v>64</v>
      </c>
      <c r="W996" s="12" t="s">
        <v>6160</v>
      </c>
      <c r="X996" s="16" t="s">
        <v>6161</v>
      </c>
      <c r="Y996" s="15" t="s">
        <v>42</v>
      </c>
      <c r="Z996" s="14">
        <v>1.93</v>
      </c>
      <c r="AA996" s="14" t="s">
        <v>36</v>
      </c>
      <c r="AB996" s="12" t="s">
        <v>43</v>
      </c>
      <c r="AC996" s="12" t="s">
        <v>6162</v>
      </c>
      <c r="AD996" s="13">
        <v>45194</v>
      </c>
      <c r="AE996" s="12" t="s">
        <v>3988</v>
      </c>
      <c r="AF996" s="12" t="s">
        <v>36</v>
      </c>
      <c r="AG996" s="12" t="s">
        <v>6068</v>
      </c>
      <c r="AH996" s="1">
        <f>HYPERLINK("https://my.pitchbook.com?c=233485-21T","View Company Online")</f>
      </c>
    </row>
    <row r="997">
      <c r="A997" s="3" t="s">
        <v>6163</v>
      </c>
      <c r="B997" s="3" t="s">
        <v>6164</v>
      </c>
      <c r="C997" s="5" t="s">
        <v>36</v>
      </c>
      <c r="D997" s="5" t="s">
        <v>36</v>
      </c>
      <c r="E997" s="5" t="s">
        <v>36</v>
      </c>
      <c r="F997" s="5" t="s">
        <v>36</v>
      </c>
      <c r="G997" s="6" t="s">
        <v>326</v>
      </c>
      <c r="H997" s="4">
        <v>142.82</v>
      </c>
      <c r="I997" s="7">
        <v>42.02</v>
      </c>
      <c r="J997" s="3" t="s">
        <v>521</v>
      </c>
      <c r="K997" s="9" t="s">
        <v>36</v>
      </c>
      <c r="L997" s="6" t="s">
        <v>36</v>
      </c>
      <c r="M997" s="3" t="s">
        <v>36</v>
      </c>
      <c r="N997" s="3" t="s">
        <v>36</v>
      </c>
      <c r="O997" s="8" t="s">
        <v>36</v>
      </c>
      <c r="P997" s="3" t="s">
        <v>36</v>
      </c>
      <c r="Q997" s="3" t="s">
        <v>36</v>
      </c>
      <c r="R997" s="3" t="s">
        <v>36</v>
      </c>
      <c r="S997" s="3" t="s">
        <v>36</v>
      </c>
      <c r="T997" s="3" t="s">
        <v>189</v>
      </c>
      <c r="U997" s="3" t="s">
        <v>180</v>
      </c>
      <c r="V997" s="3" t="s">
        <v>52</v>
      </c>
      <c r="W997" s="3" t="s">
        <v>6165</v>
      </c>
      <c r="X997" s="10" t="s">
        <v>6166</v>
      </c>
      <c r="Y997" s="6" t="s">
        <v>42</v>
      </c>
      <c r="Z997" s="4">
        <v>1.22</v>
      </c>
      <c r="AA997" s="4">
        <v>2.9</v>
      </c>
      <c r="AB997" s="3" t="s">
        <v>43</v>
      </c>
      <c r="AC997" s="3" t="s">
        <v>6167</v>
      </c>
      <c r="AD997" s="9">
        <v>45194</v>
      </c>
      <c r="AE997" s="3" t="s">
        <v>184</v>
      </c>
      <c r="AF997" s="3" t="s">
        <v>101</v>
      </c>
      <c r="AG997" s="3" t="s">
        <v>47</v>
      </c>
      <c r="AH997" s="11">
        <f>HYPERLINK("https://my.pitchbook.com?c=246993-49T","View Company Online")</f>
      </c>
    </row>
    <row r="998">
      <c r="A998" s="12" t="s">
        <v>6168</v>
      </c>
      <c r="B998" s="12" t="s">
        <v>6169</v>
      </c>
      <c r="C998" s="19" t="s">
        <v>36</v>
      </c>
      <c r="D998" s="19" t="s">
        <v>36</v>
      </c>
      <c r="E998" s="19" t="s">
        <v>36</v>
      </c>
      <c r="F998" s="19" t="s">
        <v>36</v>
      </c>
      <c r="G998" s="15" t="s">
        <v>36</v>
      </c>
      <c r="H998" s="14">
        <v>27.84</v>
      </c>
      <c r="I998" s="18">
        <v>31.02</v>
      </c>
      <c r="J998" s="12" t="s">
        <v>521</v>
      </c>
      <c r="K998" s="13" t="s">
        <v>36</v>
      </c>
      <c r="L998" s="15" t="s">
        <v>36</v>
      </c>
      <c r="M998" s="12" t="s">
        <v>36</v>
      </c>
      <c r="N998" s="12" t="s">
        <v>36</v>
      </c>
      <c r="O998" s="17" t="s">
        <v>36</v>
      </c>
      <c r="P998" s="12" t="s">
        <v>36</v>
      </c>
      <c r="Q998" s="12" t="s">
        <v>36</v>
      </c>
      <c r="R998" s="12" t="s">
        <v>36</v>
      </c>
      <c r="S998" s="12" t="s">
        <v>36</v>
      </c>
      <c r="T998" s="12" t="s">
        <v>1560</v>
      </c>
      <c r="U998" s="12" t="s">
        <v>438</v>
      </c>
      <c r="V998" s="12" t="s">
        <v>405</v>
      </c>
      <c r="W998" s="12" t="s">
        <v>6170</v>
      </c>
      <c r="X998" s="16" t="s">
        <v>6171</v>
      </c>
      <c r="Y998" s="15" t="s">
        <v>42</v>
      </c>
      <c r="Z998" s="14">
        <v>0.86</v>
      </c>
      <c r="AA998" s="14">
        <v>1.56</v>
      </c>
      <c r="AB998" s="12" t="s">
        <v>43</v>
      </c>
      <c r="AC998" s="12" t="s">
        <v>6172</v>
      </c>
      <c r="AD998" s="13">
        <v>45194</v>
      </c>
      <c r="AE998" s="12" t="s">
        <v>438</v>
      </c>
      <c r="AF998" s="12" t="s">
        <v>799</v>
      </c>
      <c r="AG998" s="12" t="s">
        <v>47</v>
      </c>
      <c r="AH998" s="1">
        <f>HYPERLINK("https://my.pitchbook.com?c=257286-43T","View Company Online")</f>
      </c>
    </row>
    <row r="999">
      <c r="A999" s="3" t="s">
        <v>6173</v>
      </c>
      <c r="B999" s="3" t="s">
        <v>6174</v>
      </c>
      <c r="C999" s="5" t="s">
        <v>36</v>
      </c>
      <c r="D999" s="5" t="s">
        <v>36</v>
      </c>
      <c r="E999" s="5" t="s">
        <v>36</v>
      </c>
      <c r="F999" s="5" t="s">
        <v>36</v>
      </c>
      <c r="G999" s="6" t="s">
        <v>36</v>
      </c>
      <c r="H999" s="4" t="s">
        <v>36</v>
      </c>
      <c r="I999" s="7" t="s">
        <v>36</v>
      </c>
      <c r="J999" s="3" t="s">
        <v>36</v>
      </c>
      <c r="K999" s="9" t="s">
        <v>36</v>
      </c>
      <c r="L999" s="6" t="s">
        <v>36</v>
      </c>
      <c r="M999" s="3" t="s">
        <v>36</v>
      </c>
      <c r="N999" s="3" t="s">
        <v>36</v>
      </c>
      <c r="O999" s="8" t="s">
        <v>36</v>
      </c>
      <c r="P999" s="3" t="s">
        <v>36</v>
      </c>
      <c r="Q999" s="3" t="s">
        <v>36</v>
      </c>
      <c r="R999" s="3" t="s">
        <v>36</v>
      </c>
      <c r="S999" s="3" t="s">
        <v>36</v>
      </c>
      <c r="T999" s="3" t="s">
        <v>1260</v>
      </c>
      <c r="U999" s="3" t="s">
        <v>38</v>
      </c>
      <c r="V999" s="3" t="s">
        <v>39</v>
      </c>
      <c r="W999" s="3" t="s">
        <v>6175</v>
      </c>
      <c r="X999" s="10" t="s">
        <v>6176</v>
      </c>
      <c r="Y999" s="6" t="s">
        <v>108</v>
      </c>
      <c r="Z999" s="4" t="s">
        <v>36</v>
      </c>
      <c r="AA999" s="4" t="s">
        <v>36</v>
      </c>
      <c r="AB999" s="3" t="s">
        <v>56</v>
      </c>
      <c r="AC999" s="3" t="s">
        <v>6177</v>
      </c>
      <c r="AD999" s="9">
        <v>45194</v>
      </c>
      <c r="AE999" s="3" t="s">
        <v>110</v>
      </c>
      <c r="AF999" s="3" t="s">
        <v>6178</v>
      </c>
      <c r="AG999" s="3" t="s">
        <v>392</v>
      </c>
      <c r="AH999" s="11">
        <f>HYPERLINK("https://my.pitchbook.com?c=242057-17T","View Company Online")</f>
      </c>
    </row>
    <row r="1000">
      <c r="A1000" s="12" t="s">
        <v>6179</v>
      </c>
      <c r="B1000" s="12" t="s">
        <v>6180</v>
      </c>
      <c r="C1000" s="19" t="s">
        <v>36</v>
      </c>
      <c r="D1000" s="19" t="s">
        <v>36</v>
      </c>
      <c r="E1000" s="19" t="s">
        <v>36</v>
      </c>
      <c r="F1000" s="19" t="s">
        <v>36</v>
      </c>
      <c r="G1000" s="15" t="s">
        <v>326</v>
      </c>
      <c r="H1000" s="14">
        <v>25.5</v>
      </c>
      <c r="I1000" s="18">
        <v>25.36</v>
      </c>
      <c r="J1000" s="12" t="s">
        <v>521</v>
      </c>
      <c r="K1000" s="13" t="s">
        <v>36</v>
      </c>
      <c r="L1000" s="15" t="s">
        <v>36</v>
      </c>
      <c r="M1000" s="12" t="s">
        <v>36</v>
      </c>
      <c r="N1000" s="12" t="s">
        <v>36</v>
      </c>
      <c r="O1000" s="17" t="s">
        <v>36</v>
      </c>
      <c r="P1000" s="12" t="s">
        <v>36</v>
      </c>
      <c r="Q1000" s="12" t="s">
        <v>36</v>
      </c>
      <c r="R1000" s="12" t="s">
        <v>36</v>
      </c>
      <c r="S1000" s="12" t="s">
        <v>36</v>
      </c>
      <c r="T1000" s="12" t="s">
        <v>6181</v>
      </c>
      <c r="U1000" s="12" t="s">
        <v>289</v>
      </c>
      <c r="V1000" s="12" t="s">
        <v>64</v>
      </c>
      <c r="W1000" s="12" t="s">
        <v>6182</v>
      </c>
      <c r="X1000" s="16" t="s">
        <v>6183</v>
      </c>
      <c r="Y1000" s="15" t="s">
        <v>108</v>
      </c>
      <c r="Z1000" s="14">
        <v>2.37</v>
      </c>
      <c r="AA1000" s="14">
        <v>9.32</v>
      </c>
      <c r="AB1000" s="12" t="s">
        <v>43</v>
      </c>
      <c r="AC1000" s="12" t="s">
        <v>6184</v>
      </c>
      <c r="AD1000" s="13">
        <v>45191</v>
      </c>
      <c r="AE1000" s="12" t="s">
        <v>292</v>
      </c>
      <c r="AF1000" s="12" t="s">
        <v>90</v>
      </c>
      <c r="AG1000" s="12" t="s">
        <v>81</v>
      </c>
      <c r="AH1000" s="1">
        <f>HYPERLINK("https://my.pitchbook.com?c=244568-98T","View Company Online")</f>
      </c>
    </row>
    <row r="1001">
      <c r="A1001" s="3" t="s">
        <v>6185</v>
      </c>
      <c r="B1001" s="3" t="s">
        <v>6186</v>
      </c>
      <c r="C1001" s="5" t="s">
        <v>36</v>
      </c>
      <c r="D1001" s="5" t="s">
        <v>36</v>
      </c>
      <c r="E1001" s="5" t="s">
        <v>36</v>
      </c>
      <c r="F1001" s="5" t="s">
        <v>36</v>
      </c>
      <c r="G1001" s="6" t="s">
        <v>36</v>
      </c>
      <c r="H1001" s="4">
        <v>51.93</v>
      </c>
      <c r="I1001" s="7">
        <v>41.1</v>
      </c>
      <c r="J1001" s="3" t="s">
        <v>521</v>
      </c>
      <c r="K1001" s="9" t="s">
        <v>36</v>
      </c>
      <c r="L1001" s="6" t="s">
        <v>36</v>
      </c>
      <c r="M1001" s="3" t="s">
        <v>36</v>
      </c>
      <c r="N1001" s="3" t="s">
        <v>36</v>
      </c>
      <c r="O1001" s="8" t="s">
        <v>36</v>
      </c>
      <c r="P1001" s="3" t="s">
        <v>36</v>
      </c>
      <c r="Q1001" s="3" t="s">
        <v>36</v>
      </c>
      <c r="R1001" s="3" t="s">
        <v>36</v>
      </c>
      <c r="S1001" s="3" t="s">
        <v>36</v>
      </c>
      <c r="T1001" s="3" t="s">
        <v>661</v>
      </c>
      <c r="U1001" s="3" t="s">
        <v>51</v>
      </c>
      <c r="V1001" s="3" t="s">
        <v>52</v>
      </c>
      <c r="W1001" s="3" t="s">
        <v>6187</v>
      </c>
      <c r="X1001" s="10" t="s">
        <v>6188</v>
      </c>
      <c r="Y1001" s="6" t="s">
        <v>42</v>
      </c>
      <c r="Z1001" s="4">
        <v>2.58</v>
      </c>
      <c r="AA1001" s="4">
        <v>2.75</v>
      </c>
      <c r="AB1001" s="3" t="s">
        <v>43</v>
      </c>
      <c r="AC1001" s="3" t="s">
        <v>6189</v>
      </c>
      <c r="AD1001" s="9">
        <v>45191</v>
      </c>
      <c r="AE1001" s="3" t="s">
        <v>158</v>
      </c>
      <c r="AF1001" s="3" t="s">
        <v>3193</v>
      </c>
      <c r="AG1001" s="3" t="s">
        <v>186</v>
      </c>
      <c r="AH1001" s="11">
        <f>HYPERLINK("https://my.pitchbook.com?c=241817-41T","View Company Online")</f>
      </c>
    </row>
    <row r="1002">
      <c r="A1002" s="12" t="s">
        <v>6190</v>
      </c>
      <c r="B1002" s="12" t="s">
        <v>6191</v>
      </c>
      <c r="C1002" s="19" t="s">
        <v>36</v>
      </c>
      <c r="D1002" s="19" t="s">
        <v>36</v>
      </c>
      <c r="E1002" s="19" t="s">
        <v>36</v>
      </c>
      <c r="F1002" s="19" t="s">
        <v>36</v>
      </c>
      <c r="G1002" s="15" t="s">
        <v>326</v>
      </c>
      <c r="H1002" s="14">
        <v>1.79</v>
      </c>
      <c r="I1002" s="18">
        <v>37.76</v>
      </c>
      <c r="J1002" s="12" t="s">
        <v>521</v>
      </c>
      <c r="K1002" s="13" t="s">
        <v>36</v>
      </c>
      <c r="L1002" s="15" t="s">
        <v>36</v>
      </c>
      <c r="M1002" s="12" t="s">
        <v>36</v>
      </c>
      <c r="N1002" s="12" t="s">
        <v>36</v>
      </c>
      <c r="O1002" s="17" t="s">
        <v>36</v>
      </c>
      <c r="P1002" s="12" t="s">
        <v>36</v>
      </c>
      <c r="Q1002" s="12" t="s">
        <v>36</v>
      </c>
      <c r="R1002" s="12" t="s">
        <v>36</v>
      </c>
      <c r="S1002" s="12" t="s">
        <v>36</v>
      </c>
      <c r="T1002" s="12" t="s">
        <v>6192</v>
      </c>
      <c r="U1002" s="12" t="s">
        <v>1357</v>
      </c>
      <c r="V1002" s="12" t="s">
        <v>52</v>
      </c>
      <c r="W1002" s="12" t="s">
        <v>6193</v>
      </c>
      <c r="X1002" s="16" t="s">
        <v>6194</v>
      </c>
      <c r="Y1002" s="15" t="s">
        <v>108</v>
      </c>
      <c r="Z1002" s="14">
        <v>10.75</v>
      </c>
      <c r="AA1002" s="14">
        <v>17.08</v>
      </c>
      <c r="AB1002" s="12" t="s">
        <v>43</v>
      </c>
      <c r="AC1002" s="12" t="s">
        <v>6195</v>
      </c>
      <c r="AD1002" s="13">
        <v>45191</v>
      </c>
      <c r="AE1002" s="12" t="s">
        <v>2377</v>
      </c>
      <c r="AF1002" s="12" t="s">
        <v>101</v>
      </c>
      <c r="AG1002" s="12" t="s">
        <v>6196</v>
      </c>
      <c r="AH1002" s="1">
        <f>HYPERLINK("https://my.pitchbook.com?c=226316-89T","View Company Online")</f>
      </c>
    </row>
    <row r="1003">
      <c r="A1003" s="3" t="s">
        <v>6197</v>
      </c>
      <c r="B1003" s="3" t="s">
        <v>6198</v>
      </c>
      <c r="C1003" s="5" t="s">
        <v>36</v>
      </c>
      <c r="D1003" s="5" t="s">
        <v>36</v>
      </c>
      <c r="E1003" s="5" t="s">
        <v>36</v>
      </c>
      <c r="F1003" s="5" t="s">
        <v>36</v>
      </c>
      <c r="G1003" s="6" t="s">
        <v>36</v>
      </c>
      <c r="H1003" s="4" t="s">
        <v>36</v>
      </c>
      <c r="I1003" s="7" t="s">
        <v>36</v>
      </c>
      <c r="J1003" s="3" t="s">
        <v>36</v>
      </c>
      <c r="K1003" s="9" t="s">
        <v>36</v>
      </c>
      <c r="L1003" s="6" t="s">
        <v>36</v>
      </c>
      <c r="M1003" s="3" t="s">
        <v>36</v>
      </c>
      <c r="N1003" s="3" t="s">
        <v>36</v>
      </c>
      <c r="O1003" s="8" t="s">
        <v>36</v>
      </c>
      <c r="P1003" s="3" t="s">
        <v>36</v>
      </c>
      <c r="Q1003" s="3" t="s">
        <v>36</v>
      </c>
      <c r="R1003" s="3" t="s">
        <v>36</v>
      </c>
      <c r="S1003" s="3" t="s">
        <v>36</v>
      </c>
      <c r="T1003" s="3" t="s">
        <v>522</v>
      </c>
      <c r="U1003" s="3" t="s">
        <v>38</v>
      </c>
      <c r="V1003" s="3" t="s">
        <v>39</v>
      </c>
      <c r="W1003" s="3" t="s">
        <v>6199</v>
      </c>
      <c r="X1003" s="10" t="s">
        <v>2442</v>
      </c>
      <c r="Y1003" s="6" t="s">
        <v>108</v>
      </c>
      <c r="Z1003" s="4">
        <v>1.51</v>
      </c>
      <c r="AA1003" s="4" t="s">
        <v>36</v>
      </c>
      <c r="AB1003" s="3" t="s">
        <v>56</v>
      </c>
      <c r="AC1003" s="3" t="s">
        <v>6200</v>
      </c>
      <c r="AD1003" s="9">
        <v>45191</v>
      </c>
      <c r="AE1003" s="3" t="s">
        <v>110</v>
      </c>
      <c r="AF1003" s="3" t="s">
        <v>526</v>
      </c>
      <c r="AG1003" s="3" t="s">
        <v>6201</v>
      </c>
      <c r="AH1003" s="11">
        <f>HYPERLINK("https://my.pitchbook.com?c=244994-41T","View Company Online")</f>
      </c>
    </row>
    <row r="1004">
      <c r="A1004" s="12" t="s">
        <v>6202</v>
      </c>
      <c r="B1004" s="12" t="s">
        <v>6203</v>
      </c>
      <c r="C1004" s="19" t="s">
        <v>36</v>
      </c>
      <c r="D1004" s="19" t="s">
        <v>36</v>
      </c>
      <c r="E1004" s="19" t="s">
        <v>36</v>
      </c>
      <c r="F1004" s="19" t="s">
        <v>36</v>
      </c>
      <c r="G1004" s="15" t="s">
        <v>326</v>
      </c>
      <c r="H1004" s="14">
        <v>138.47</v>
      </c>
      <c r="I1004" s="18">
        <v>11.1</v>
      </c>
      <c r="J1004" s="12" t="s">
        <v>521</v>
      </c>
      <c r="K1004" s="13" t="s">
        <v>36</v>
      </c>
      <c r="L1004" s="15" t="s">
        <v>36</v>
      </c>
      <c r="M1004" s="12" t="s">
        <v>36</v>
      </c>
      <c r="N1004" s="12" t="s">
        <v>36</v>
      </c>
      <c r="O1004" s="17" t="s">
        <v>36</v>
      </c>
      <c r="P1004" s="12" t="s">
        <v>36</v>
      </c>
      <c r="Q1004" s="12" t="s">
        <v>36</v>
      </c>
      <c r="R1004" s="12" t="s">
        <v>36</v>
      </c>
      <c r="S1004" s="12" t="s">
        <v>36</v>
      </c>
      <c r="T1004" s="12" t="s">
        <v>1048</v>
      </c>
      <c r="U1004" s="12" t="s">
        <v>423</v>
      </c>
      <c r="V1004" s="12" t="s">
        <v>64</v>
      </c>
      <c r="W1004" s="12" t="s">
        <v>6204</v>
      </c>
      <c r="X1004" s="16" t="s">
        <v>6205</v>
      </c>
      <c r="Y1004" s="15" t="s">
        <v>108</v>
      </c>
      <c r="Z1004" s="14">
        <v>1.07</v>
      </c>
      <c r="AA1004" s="14">
        <v>4.84</v>
      </c>
      <c r="AB1004" s="12" t="s">
        <v>43</v>
      </c>
      <c r="AC1004" s="12" t="s">
        <v>6206</v>
      </c>
      <c r="AD1004" s="13">
        <v>45190</v>
      </c>
      <c r="AE1004" s="12" t="s">
        <v>1051</v>
      </c>
      <c r="AF1004" s="12" t="s">
        <v>90</v>
      </c>
      <c r="AG1004" s="12" t="s">
        <v>102</v>
      </c>
      <c r="AH1004" s="1">
        <f>HYPERLINK("https://my.pitchbook.com?c=241705-00T","View Company Online")</f>
      </c>
    </row>
    <row r="1005">
      <c r="A1005" s="3" t="s">
        <v>6207</v>
      </c>
      <c r="B1005" s="3" t="s">
        <v>867</v>
      </c>
      <c r="C1005" s="5" t="s">
        <v>36</v>
      </c>
      <c r="D1005" s="5" t="s">
        <v>36</v>
      </c>
      <c r="E1005" s="5" t="s">
        <v>36</v>
      </c>
      <c r="F1005" s="5" t="s">
        <v>36</v>
      </c>
      <c r="G1005" s="6" t="s">
        <v>36</v>
      </c>
      <c r="H1005" s="4" t="s">
        <v>36</v>
      </c>
      <c r="I1005" s="7" t="s">
        <v>36</v>
      </c>
      <c r="J1005" s="3" t="s">
        <v>36</v>
      </c>
      <c r="K1005" s="9" t="s">
        <v>36</v>
      </c>
      <c r="L1005" s="6" t="s">
        <v>36</v>
      </c>
      <c r="M1005" s="3" t="s">
        <v>36</v>
      </c>
      <c r="N1005" s="3" t="s">
        <v>36</v>
      </c>
      <c r="O1005" s="8" t="s">
        <v>36</v>
      </c>
      <c r="P1005" s="3" t="s">
        <v>36</v>
      </c>
      <c r="Q1005" s="3" t="s">
        <v>36</v>
      </c>
      <c r="R1005" s="3" t="s">
        <v>36</v>
      </c>
      <c r="S1005" s="3" t="s">
        <v>36</v>
      </c>
      <c r="T1005" s="3" t="s">
        <v>386</v>
      </c>
      <c r="U1005" s="3" t="s">
        <v>387</v>
      </c>
      <c r="V1005" s="3" t="s">
        <v>367</v>
      </c>
      <c r="W1005" s="3" t="s">
        <v>868</v>
      </c>
      <c r="X1005" s="10" t="s">
        <v>6208</v>
      </c>
      <c r="Y1005" s="6" t="s">
        <v>108</v>
      </c>
      <c r="Z1005" s="4" t="s">
        <v>36</v>
      </c>
      <c r="AA1005" s="4" t="s">
        <v>36</v>
      </c>
      <c r="AB1005" s="3" t="s">
        <v>43</v>
      </c>
      <c r="AC1005" s="3" t="s">
        <v>870</v>
      </c>
      <c r="AD1005" s="9">
        <v>45190</v>
      </c>
      <c r="AE1005" s="3" t="s">
        <v>391</v>
      </c>
      <c r="AF1005" s="3" t="s">
        <v>871</v>
      </c>
      <c r="AG1005" s="3" t="s">
        <v>47</v>
      </c>
      <c r="AH1005" s="11">
        <f>HYPERLINK("https://my.pitchbook.com?c=256994-02T","View Company Online")</f>
      </c>
    </row>
    <row r="1006">
      <c r="A1006" s="12" t="s">
        <v>6209</v>
      </c>
      <c r="B1006" s="12" t="s">
        <v>6210</v>
      </c>
      <c r="C1006" s="19" t="s">
        <v>36</v>
      </c>
      <c r="D1006" s="19" t="s">
        <v>36</v>
      </c>
      <c r="E1006" s="19" t="s">
        <v>36</v>
      </c>
      <c r="F1006" s="19" t="s">
        <v>36</v>
      </c>
      <c r="G1006" s="15" t="s">
        <v>36</v>
      </c>
      <c r="H1006" s="14" t="s">
        <v>36</v>
      </c>
      <c r="I1006" s="18" t="s">
        <v>36</v>
      </c>
      <c r="J1006" s="12" t="s">
        <v>36</v>
      </c>
      <c r="K1006" s="13" t="s">
        <v>36</v>
      </c>
      <c r="L1006" s="15" t="s">
        <v>94</v>
      </c>
      <c r="M1006" s="12" t="s">
        <v>36</v>
      </c>
      <c r="N1006" s="12" t="s">
        <v>94</v>
      </c>
      <c r="O1006" s="17" t="s">
        <v>36</v>
      </c>
      <c r="P1006" s="12" t="s">
        <v>36</v>
      </c>
      <c r="Q1006" s="12" t="s">
        <v>36</v>
      </c>
      <c r="R1006" s="12" t="s">
        <v>36</v>
      </c>
      <c r="S1006" s="12" t="s">
        <v>36</v>
      </c>
      <c r="T1006" s="12" t="s">
        <v>1941</v>
      </c>
      <c r="U1006" s="12" t="s">
        <v>38</v>
      </c>
      <c r="V1006" s="12" t="s">
        <v>39</v>
      </c>
      <c r="W1006" s="12" t="s">
        <v>6211</v>
      </c>
      <c r="X1006" s="16" t="s">
        <v>6212</v>
      </c>
      <c r="Y1006" s="15" t="s">
        <v>192</v>
      </c>
      <c r="Z1006" s="14">
        <v>43.03</v>
      </c>
      <c r="AA1006" s="14" t="s">
        <v>36</v>
      </c>
      <c r="AB1006" s="12" t="s">
        <v>56</v>
      </c>
      <c r="AC1006" s="12" t="s">
        <v>6213</v>
      </c>
      <c r="AD1006" s="13">
        <v>45190</v>
      </c>
      <c r="AE1006" s="12" t="s">
        <v>1945</v>
      </c>
      <c r="AF1006" s="12" t="s">
        <v>6214</v>
      </c>
      <c r="AG1006" s="12" t="s">
        <v>81</v>
      </c>
      <c r="AH1006" s="1">
        <f>HYPERLINK("https://my.pitchbook.com?c=241687-09T","View Company Online")</f>
      </c>
    </row>
    <row r="1007">
      <c r="A1007" s="3" t="s">
        <v>6215</v>
      </c>
      <c r="B1007" s="3" t="s">
        <v>6216</v>
      </c>
      <c r="C1007" s="5" t="s">
        <v>36</v>
      </c>
      <c r="D1007" s="5" t="s">
        <v>36</v>
      </c>
      <c r="E1007" s="5" t="s">
        <v>36</v>
      </c>
      <c r="F1007" s="5" t="s">
        <v>36</v>
      </c>
      <c r="G1007" s="6" t="s">
        <v>326</v>
      </c>
      <c r="H1007" s="4">
        <v>10.81</v>
      </c>
      <c r="I1007" s="7">
        <v>32.9</v>
      </c>
      <c r="J1007" s="3" t="s">
        <v>521</v>
      </c>
      <c r="K1007" s="9" t="s">
        <v>36</v>
      </c>
      <c r="L1007" s="6" t="s">
        <v>36</v>
      </c>
      <c r="M1007" s="3" t="s">
        <v>36</v>
      </c>
      <c r="N1007" s="3" t="s">
        <v>36</v>
      </c>
      <c r="O1007" s="8" t="s">
        <v>36</v>
      </c>
      <c r="P1007" s="3" t="s">
        <v>36</v>
      </c>
      <c r="Q1007" s="3" t="s">
        <v>36</v>
      </c>
      <c r="R1007" s="3" t="s">
        <v>36</v>
      </c>
      <c r="S1007" s="3" t="s">
        <v>36</v>
      </c>
      <c r="T1007" s="3" t="s">
        <v>6217</v>
      </c>
      <c r="U1007" s="3" t="s">
        <v>38</v>
      </c>
      <c r="V1007" s="3" t="s">
        <v>39</v>
      </c>
      <c r="W1007" s="3" t="s">
        <v>6218</v>
      </c>
      <c r="X1007" s="10" t="s">
        <v>6219</v>
      </c>
      <c r="Y1007" s="6" t="s">
        <v>108</v>
      </c>
      <c r="Z1007" s="4">
        <v>5.49</v>
      </c>
      <c r="AA1007" s="4">
        <v>16.67</v>
      </c>
      <c r="AB1007" s="3" t="s">
        <v>56</v>
      </c>
      <c r="AC1007" s="3" t="s">
        <v>6220</v>
      </c>
      <c r="AD1007" s="9">
        <v>45190</v>
      </c>
      <c r="AE1007" s="3" t="s">
        <v>1200</v>
      </c>
      <c r="AF1007" s="3" t="s">
        <v>6221</v>
      </c>
      <c r="AG1007" s="3" t="s">
        <v>924</v>
      </c>
      <c r="AH1007" s="11">
        <f>HYPERLINK("https://my.pitchbook.com?c=242258-95T","View Company Online")</f>
      </c>
    </row>
    <row r="1008">
      <c r="A1008" s="12" t="s">
        <v>6222</v>
      </c>
      <c r="B1008" s="12" t="s">
        <v>6223</v>
      </c>
      <c r="C1008" s="19" t="s">
        <v>36</v>
      </c>
      <c r="D1008" s="19" t="s">
        <v>36</v>
      </c>
      <c r="E1008" s="19" t="s">
        <v>36</v>
      </c>
      <c r="F1008" s="19" t="s">
        <v>36</v>
      </c>
      <c r="G1008" s="15" t="s">
        <v>36</v>
      </c>
      <c r="H1008" s="14" t="s">
        <v>36</v>
      </c>
      <c r="I1008" s="18" t="s">
        <v>36</v>
      </c>
      <c r="J1008" s="12" t="s">
        <v>36</v>
      </c>
      <c r="K1008" s="13" t="s">
        <v>36</v>
      </c>
      <c r="L1008" s="15" t="s">
        <v>36</v>
      </c>
      <c r="M1008" s="12" t="s">
        <v>36</v>
      </c>
      <c r="N1008" s="12" t="s">
        <v>36</v>
      </c>
      <c r="O1008" s="17" t="s">
        <v>36</v>
      </c>
      <c r="P1008" s="12" t="s">
        <v>36</v>
      </c>
      <c r="Q1008" s="12" t="s">
        <v>36</v>
      </c>
      <c r="R1008" s="12" t="s">
        <v>36</v>
      </c>
      <c r="S1008" s="12" t="s">
        <v>36</v>
      </c>
      <c r="T1008" s="12" t="s">
        <v>6224</v>
      </c>
      <c r="U1008" s="12" t="s">
        <v>38</v>
      </c>
      <c r="V1008" s="12" t="s">
        <v>39</v>
      </c>
      <c r="W1008" s="12" t="s">
        <v>6225</v>
      </c>
      <c r="X1008" s="16" t="s">
        <v>6226</v>
      </c>
      <c r="Y1008" s="15" t="s">
        <v>42</v>
      </c>
      <c r="Z1008" s="14">
        <v>1.63</v>
      </c>
      <c r="AA1008" s="14" t="s">
        <v>36</v>
      </c>
      <c r="AB1008" s="12" t="s">
        <v>43</v>
      </c>
      <c r="AC1008" s="12" t="s">
        <v>6227</v>
      </c>
      <c r="AD1008" s="13">
        <v>45189</v>
      </c>
      <c r="AE1008" s="12" t="s">
        <v>45</v>
      </c>
      <c r="AF1008" s="12" t="s">
        <v>331</v>
      </c>
      <c r="AG1008" s="12" t="s">
        <v>373</v>
      </c>
      <c r="AH1008" s="1">
        <f>HYPERLINK("https://my.pitchbook.com?c=241674-49T","View Company Online")</f>
      </c>
    </row>
    <row r="1009">
      <c r="A1009" s="3" t="s">
        <v>6228</v>
      </c>
      <c r="B1009" s="3" t="s">
        <v>6229</v>
      </c>
      <c r="C1009" s="5" t="s">
        <v>36</v>
      </c>
      <c r="D1009" s="5" t="s">
        <v>36</v>
      </c>
      <c r="E1009" s="5" t="s">
        <v>36</v>
      </c>
      <c r="F1009" s="5" t="s">
        <v>36</v>
      </c>
      <c r="G1009" s="6" t="s">
        <v>36</v>
      </c>
      <c r="H1009" s="4" t="s">
        <v>36</v>
      </c>
      <c r="I1009" s="7">
        <v>6.25</v>
      </c>
      <c r="J1009" s="3" t="s">
        <v>521</v>
      </c>
      <c r="K1009" s="9" t="s">
        <v>36</v>
      </c>
      <c r="L1009" s="6" t="s">
        <v>36</v>
      </c>
      <c r="M1009" s="3" t="s">
        <v>36</v>
      </c>
      <c r="N1009" s="3" t="s">
        <v>36</v>
      </c>
      <c r="O1009" s="8" t="s">
        <v>36</v>
      </c>
      <c r="P1009" s="3" t="s">
        <v>36</v>
      </c>
      <c r="Q1009" s="3" t="s">
        <v>36</v>
      </c>
      <c r="R1009" s="3" t="s">
        <v>36</v>
      </c>
      <c r="S1009" s="3" t="s">
        <v>36</v>
      </c>
      <c r="T1009" s="3" t="s">
        <v>6230</v>
      </c>
      <c r="U1009" s="3" t="s">
        <v>74</v>
      </c>
      <c r="V1009" s="3" t="s">
        <v>75</v>
      </c>
      <c r="W1009" s="3" t="s">
        <v>6231</v>
      </c>
      <c r="X1009" s="10" t="s">
        <v>6232</v>
      </c>
      <c r="Y1009" s="6" t="s">
        <v>42</v>
      </c>
      <c r="Z1009" s="4">
        <v>0.58</v>
      </c>
      <c r="AA1009" s="4">
        <v>9.32</v>
      </c>
      <c r="AB1009" s="3" t="s">
        <v>43</v>
      </c>
      <c r="AC1009" s="3" t="s">
        <v>6233</v>
      </c>
      <c r="AD1009" s="9">
        <v>45189</v>
      </c>
      <c r="AE1009" s="3" t="s">
        <v>975</v>
      </c>
      <c r="AF1009" s="3" t="s">
        <v>6234</v>
      </c>
      <c r="AG1009" s="3" t="s">
        <v>81</v>
      </c>
      <c r="AH1009" s="11">
        <f>HYPERLINK("https://my.pitchbook.com?c=241682-77T","View Company Online")</f>
      </c>
    </row>
    <row r="1010">
      <c r="A1010" s="12" t="s">
        <v>6235</v>
      </c>
      <c r="B1010" s="12" t="s">
        <v>6236</v>
      </c>
      <c r="C1010" s="19" t="s">
        <v>36</v>
      </c>
      <c r="D1010" s="19" t="s">
        <v>36</v>
      </c>
      <c r="E1010" s="19" t="s">
        <v>36</v>
      </c>
      <c r="F1010" s="19" t="s">
        <v>36</v>
      </c>
      <c r="G1010" s="15" t="s">
        <v>36</v>
      </c>
      <c r="H1010" s="14" t="s">
        <v>36</v>
      </c>
      <c r="I1010" s="18" t="s">
        <v>36</v>
      </c>
      <c r="J1010" s="12" t="s">
        <v>36</v>
      </c>
      <c r="K1010" s="13" t="s">
        <v>36</v>
      </c>
      <c r="L1010" s="15" t="s">
        <v>36</v>
      </c>
      <c r="M1010" s="12" t="s">
        <v>36</v>
      </c>
      <c r="N1010" s="12" t="s">
        <v>36</v>
      </c>
      <c r="O1010" s="17" t="s">
        <v>36</v>
      </c>
      <c r="P1010" s="12" t="s">
        <v>36</v>
      </c>
      <c r="Q1010" s="12" t="s">
        <v>36</v>
      </c>
      <c r="R1010" s="12" t="s">
        <v>36</v>
      </c>
      <c r="S1010" s="12" t="s">
        <v>36</v>
      </c>
      <c r="T1010" s="12" t="s">
        <v>522</v>
      </c>
      <c r="U1010" s="12" t="s">
        <v>38</v>
      </c>
      <c r="V1010" s="12" t="s">
        <v>39</v>
      </c>
      <c r="W1010" s="12" t="s">
        <v>6237</v>
      </c>
      <c r="X1010" s="16" t="s">
        <v>6238</v>
      </c>
      <c r="Y1010" s="15" t="s">
        <v>108</v>
      </c>
      <c r="Z1010" s="14">
        <v>1.17</v>
      </c>
      <c r="AA1010" s="14" t="s">
        <v>36</v>
      </c>
      <c r="AB1010" s="12" t="s">
        <v>43</v>
      </c>
      <c r="AC1010" s="12" t="s">
        <v>6239</v>
      </c>
      <c r="AD1010" s="13">
        <v>45189</v>
      </c>
      <c r="AE1010" s="12" t="s">
        <v>110</v>
      </c>
      <c r="AF1010" s="12" t="s">
        <v>111</v>
      </c>
      <c r="AG1010" s="12" t="s">
        <v>102</v>
      </c>
      <c r="AH1010" s="1">
        <f>HYPERLINK("https://my.pitchbook.com?c=241645-15T","View Company Online")</f>
      </c>
    </row>
    <row r="1011">
      <c r="A1011" s="3" t="s">
        <v>6240</v>
      </c>
      <c r="B1011" s="3" t="s">
        <v>6241</v>
      </c>
      <c r="C1011" s="5" t="s">
        <v>36</v>
      </c>
      <c r="D1011" s="5" t="s">
        <v>36</v>
      </c>
      <c r="E1011" s="5" t="s">
        <v>36</v>
      </c>
      <c r="F1011" s="5" t="s">
        <v>36</v>
      </c>
      <c r="G1011" s="6" t="s">
        <v>326</v>
      </c>
      <c r="H1011" s="4">
        <v>10.28</v>
      </c>
      <c r="I1011" s="7">
        <v>5.65</v>
      </c>
      <c r="J1011" s="3" t="s">
        <v>521</v>
      </c>
      <c r="K1011" s="9" t="s">
        <v>36</v>
      </c>
      <c r="L1011" s="6" t="s">
        <v>36</v>
      </c>
      <c r="M1011" s="3" t="s">
        <v>36</v>
      </c>
      <c r="N1011" s="3" t="s">
        <v>36</v>
      </c>
      <c r="O1011" s="8" t="s">
        <v>36</v>
      </c>
      <c r="P1011" s="3" t="s">
        <v>36</v>
      </c>
      <c r="Q1011" s="3" t="s">
        <v>36</v>
      </c>
      <c r="R1011" s="3" t="s">
        <v>36</v>
      </c>
      <c r="S1011" s="3" t="s">
        <v>36</v>
      </c>
      <c r="T1011" s="3" t="s">
        <v>1941</v>
      </c>
      <c r="U1011" s="3" t="s">
        <v>38</v>
      </c>
      <c r="V1011" s="3" t="s">
        <v>39</v>
      </c>
      <c r="W1011" s="3" t="s">
        <v>6242</v>
      </c>
      <c r="X1011" s="10" t="s">
        <v>6243</v>
      </c>
      <c r="Y1011" s="6" t="s">
        <v>42</v>
      </c>
      <c r="Z1011" s="4">
        <v>0.09</v>
      </c>
      <c r="AA1011" s="4">
        <v>1.66</v>
      </c>
      <c r="AB1011" s="3" t="s">
        <v>56</v>
      </c>
      <c r="AC1011" s="3" t="s">
        <v>6244</v>
      </c>
      <c r="AD1011" s="9">
        <v>45189</v>
      </c>
      <c r="AE1011" s="3" t="s">
        <v>1945</v>
      </c>
      <c r="AF1011" s="3" t="s">
        <v>4552</v>
      </c>
      <c r="AG1011" s="3" t="s">
        <v>81</v>
      </c>
      <c r="AH1011" s="11">
        <f>HYPERLINK("https://my.pitchbook.com?c=241579-81T","View Company Online")</f>
      </c>
    </row>
    <row r="1012">
      <c r="A1012" s="12" t="s">
        <v>6245</v>
      </c>
      <c r="B1012" s="12" t="s">
        <v>6246</v>
      </c>
      <c r="C1012" s="19" t="s">
        <v>36</v>
      </c>
      <c r="D1012" s="19" t="s">
        <v>36</v>
      </c>
      <c r="E1012" s="19" t="s">
        <v>36</v>
      </c>
      <c r="F1012" s="19" t="s">
        <v>36</v>
      </c>
      <c r="G1012" s="15" t="s">
        <v>36</v>
      </c>
      <c r="H1012" s="14" t="s">
        <v>36</v>
      </c>
      <c r="I1012" s="18" t="s">
        <v>36</v>
      </c>
      <c r="J1012" s="12" t="s">
        <v>36</v>
      </c>
      <c r="K1012" s="13" t="s">
        <v>36</v>
      </c>
      <c r="L1012" s="15" t="s">
        <v>36</v>
      </c>
      <c r="M1012" s="12" t="s">
        <v>36</v>
      </c>
      <c r="N1012" s="12" t="s">
        <v>36</v>
      </c>
      <c r="O1012" s="17" t="s">
        <v>36</v>
      </c>
      <c r="P1012" s="12" t="s">
        <v>36</v>
      </c>
      <c r="Q1012" s="12" t="s">
        <v>36</v>
      </c>
      <c r="R1012" s="12" t="s">
        <v>36</v>
      </c>
      <c r="S1012" s="12" t="s">
        <v>36</v>
      </c>
      <c r="T1012" s="12" t="s">
        <v>6247</v>
      </c>
      <c r="U1012" s="12" t="s">
        <v>85</v>
      </c>
      <c r="V1012" s="12" t="s">
        <v>64</v>
      </c>
      <c r="W1012" s="12" t="s">
        <v>6248</v>
      </c>
      <c r="X1012" s="16" t="s">
        <v>6249</v>
      </c>
      <c r="Y1012" s="15" t="s">
        <v>55</v>
      </c>
      <c r="Z1012" s="14">
        <v>21.54</v>
      </c>
      <c r="AA1012" s="14" t="s">
        <v>36</v>
      </c>
      <c r="AB1012" s="12" t="s">
        <v>43</v>
      </c>
      <c r="AC1012" s="12" t="s">
        <v>6250</v>
      </c>
      <c r="AD1012" s="13">
        <v>45188</v>
      </c>
      <c r="AE1012" s="12" t="s">
        <v>89</v>
      </c>
      <c r="AF1012" s="12" t="s">
        <v>6251</v>
      </c>
      <c r="AG1012" s="12" t="s">
        <v>81</v>
      </c>
      <c r="AH1012" s="1">
        <f>HYPERLINK("https://my.pitchbook.com?c=241559-92T","View Company Online")</f>
      </c>
    </row>
    <row r="1013">
      <c r="A1013" s="3" t="s">
        <v>6252</v>
      </c>
      <c r="B1013" s="3" t="s">
        <v>6253</v>
      </c>
      <c r="C1013" s="5" t="s">
        <v>36</v>
      </c>
      <c r="D1013" s="5" t="s">
        <v>36</v>
      </c>
      <c r="E1013" s="5" t="s">
        <v>36</v>
      </c>
      <c r="F1013" s="5" t="s">
        <v>36</v>
      </c>
      <c r="G1013" s="6" t="s">
        <v>36</v>
      </c>
      <c r="H1013" s="4" t="s">
        <v>36</v>
      </c>
      <c r="I1013" s="7" t="s">
        <v>36</v>
      </c>
      <c r="J1013" s="3" t="s">
        <v>36</v>
      </c>
      <c r="K1013" s="9">
        <v>44866</v>
      </c>
      <c r="L1013" s="6" t="s">
        <v>122</v>
      </c>
      <c r="M1013" s="3" t="s">
        <v>36</v>
      </c>
      <c r="N1013" s="3" t="s">
        <v>122</v>
      </c>
      <c r="O1013" s="8" t="s">
        <v>36</v>
      </c>
      <c r="P1013" s="3" t="s">
        <v>36</v>
      </c>
      <c r="Q1013" s="3" t="s">
        <v>36</v>
      </c>
      <c r="R1013" s="3" t="s">
        <v>36</v>
      </c>
      <c r="S1013" s="3" t="s">
        <v>36</v>
      </c>
      <c r="T1013" s="3" t="s">
        <v>6254</v>
      </c>
      <c r="U1013" s="3" t="s">
        <v>279</v>
      </c>
      <c r="V1013" s="3" t="s">
        <v>64</v>
      </c>
      <c r="W1013" s="3" t="s">
        <v>6255</v>
      </c>
      <c r="X1013" s="10" t="s">
        <v>6256</v>
      </c>
      <c r="Y1013" s="6" t="s">
        <v>108</v>
      </c>
      <c r="Z1013" s="4">
        <v>23.7</v>
      </c>
      <c r="AA1013" s="4" t="s">
        <v>36</v>
      </c>
      <c r="AB1013" s="3" t="s">
        <v>43</v>
      </c>
      <c r="AC1013" s="3" t="s">
        <v>6257</v>
      </c>
      <c r="AD1013" s="9">
        <v>45188</v>
      </c>
      <c r="AE1013" s="3" t="s">
        <v>740</v>
      </c>
      <c r="AF1013" s="3" t="s">
        <v>3040</v>
      </c>
      <c r="AG1013" s="3" t="s">
        <v>81</v>
      </c>
      <c r="AH1013" s="11">
        <f>HYPERLINK("https://my.pitchbook.com?c=193929-67T","View Company Online")</f>
      </c>
    </row>
    <row r="1014">
      <c r="A1014" s="12" t="s">
        <v>6258</v>
      </c>
      <c r="B1014" s="12" t="s">
        <v>6259</v>
      </c>
      <c r="C1014" s="19" t="s">
        <v>36</v>
      </c>
      <c r="D1014" s="19" t="s">
        <v>36</v>
      </c>
      <c r="E1014" s="19" t="s">
        <v>36</v>
      </c>
      <c r="F1014" s="19" t="s">
        <v>36</v>
      </c>
      <c r="G1014" s="15" t="s">
        <v>36</v>
      </c>
      <c r="H1014" s="14" t="s">
        <v>36</v>
      </c>
      <c r="I1014" s="18" t="s">
        <v>36</v>
      </c>
      <c r="J1014" s="12" t="s">
        <v>36</v>
      </c>
      <c r="K1014" s="13">
        <v>44197</v>
      </c>
      <c r="L1014" s="15" t="s">
        <v>36</v>
      </c>
      <c r="M1014" s="12" t="s">
        <v>36</v>
      </c>
      <c r="N1014" s="12" t="s">
        <v>36</v>
      </c>
      <c r="O1014" s="17" t="s">
        <v>36</v>
      </c>
      <c r="P1014" s="12" t="s">
        <v>36</v>
      </c>
      <c r="Q1014" s="12" t="s">
        <v>36</v>
      </c>
      <c r="R1014" s="12" t="s">
        <v>36</v>
      </c>
      <c r="S1014" s="12" t="s">
        <v>36</v>
      </c>
      <c r="T1014" s="12" t="s">
        <v>6260</v>
      </c>
      <c r="U1014" s="12" t="s">
        <v>289</v>
      </c>
      <c r="V1014" s="12" t="s">
        <v>64</v>
      </c>
      <c r="W1014" s="12" t="s">
        <v>6261</v>
      </c>
      <c r="X1014" s="16" t="s">
        <v>6262</v>
      </c>
      <c r="Y1014" s="15" t="s">
        <v>321</v>
      </c>
      <c r="Z1014" s="14">
        <v>6.7</v>
      </c>
      <c r="AA1014" s="14" t="s">
        <v>36</v>
      </c>
      <c r="AB1014" s="12" t="s">
        <v>56</v>
      </c>
      <c r="AC1014" s="12" t="s">
        <v>6263</v>
      </c>
      <c r="AD1014" s="13">
        <v>45188</v>
      </c>
      <c r="AE1014" s="12" t="s">
        <v>3134</v>
      </c>
      <c r="AF1014" s="12" t="s">
        <v>6264</v>
      </c>
      <c r="AG1014" s="12" t="s">
        <v>81</v>
      </c>
      <c r="AH1014" s="1">
        <f>HYPERLINK("https://my.pitchbook.com?c=234179-92T","View Company Online")</f>
      </c>
    </row>
    <row r="1015">
      <c r="A1015" s="3" t="s">
        <v>6265</v>
      </c>
      <c r="B1015" s="3" t="s">
        <v>1195</v>
      </c>
      <c r="C1015" s="5" t="s">
        <v>36</v>
      </c>
      <c r="D1015" s="5" t="s">
        <v>36</v>
      </c>
      <c r="E1015" s="5" t="s">
        <v>36</v>
      </c>
      <c r="F1015" s="5" t="s">
        <v>36</v>
      </c>
      <c r="G1015" s="6" t="s">
        <v>36</v>
      </c>
      <c r="H1015" s="4" t="s">
        <v>36</v>
      </c>
      <c r="I1015" s="7" t="s">
        <v>36</v>
      </c>
      <c r="J1015" s="3" t="s">
        <v>36</v>
      </c>
      <c r="K1015" s="9" t="s">
        <v>36</v>
      </c>
      <c r="L1015" s="6" t="s">
        <v>36</v>
      </c>
      <c r="M1015" s="3" t="s">
        <v>36</v>
      </c>
      <c r="N1015" s="3" t="s">
        <v>36</v>
      </c>
      <c r="O1015" s="8" t="s">
        <v>36</v>
      </c>
      <c r="P1015" s="3" t="s">
        <v>36</v>
      </c>
      <c r="Q1015" s="3" t="s">
        <v>36</v>
      </c>
      <c r="R1015" s="3" t="s">
        <v>36</v>
      </c>
      <c r="S1015" s="3" t="s">
        <v>36</v>
      </c>
      <c r="T1015" s="3" t="s">
        <v>1196</v>
      </c>
      <c r="U1015" s="3" t="s">
        <v>38</v>
      </c>
      <c r="V1015" s="3" t="s">
        <v>39</v>
      </c>
      <c r="W1015" s="3" t="s">
        <v>1197</v>
      </c>
      <c r="X1015" s="10" t="s">
        <v>6266</v>
      </c>
      <c r="Y1015" s="6" t="s">
        <v>108</v>
      </c>
      <c r="Z1015" s="4">
        <v>96.94</v>
      </c>
      <c r="AA1015" s="4" t="s">
        <v>36</v>
      </c>
      <c r="AB1015" s="3" t="s">
        <v>43</v>
      </c>
      <c r="AC1015" s="3" t="s">
        <v>1199</v>
      </c>
      <c r="AD1015" s="9">
        <v>45188</v>
      </c>
      <c r="AE1015" s="3" t="s">
        <v>1200</v>
      </c>
      <c r="AF1015" s="3" t="s">
        <v>1201</v>
      </c>
      <c r="AG1015" s="3" t="s">
        <v>1202</v>
      </c>
      <c r="AH1015" s="11">
        <f>HYPERLINK("https://my.pitchbook.com?c=242178-13T","View Company Online")</f>
      </c>
    </row>
    <row r="1016">
      <c r="A1016" s="12" t="s">
        <v>6267</v>
      </c>
      <c r="B1016" s="12" t="s">
        <v>6268</v>
      </c>
      <c r="C1016" s="19" t="s">
        <v>36</v>
      </c>
      <c r="D1016" s="19" t="s">
        <v>36</v>
      </c>
      <c r="E1016" s="19" t="s">
        <v>36</v>
      </c>
      <c r="F1016" s="19" t="s">
        <v>36</v>
      </c>
      <c r="G1016" s="15" t="s">
        <v>36</v>
      </c>
      <c r="H1016" s="14" t="s">
        <v>36</v>
      </c>
      <c r="I1016" s="18" t="s">
        <v>36</v>
      </c>
      <c r="J1016" s="12" t="s">
        <v>36</v>
      </c>
      <c r="K1016" s="13" t="s">
        <v>36</v>
      </c>
      <c r="L1016" s="15" t="s">
        <v>36</v>
      </c>
      <c r="M1016" s="12" t="s">
        <v>36</v>
      </c>
      <c r="N1016" s="12" t="s">
        <v>36</v>
      </c>
      <c r="O1016" s="17" t="s">
        <v>36</v>
      </c>
      <c r="P1016" s="12" t="s">
        <v>36</v>
      </c>
      <c r="Q1016" s="12" t="s">
        <v>36</v>
      </c>
      <c r="R1016" s="12" t="s">
        <v>36</v>
      </c>
      <c r="S1016" s="12" t="s">
        <v>36</v>
      </c>
      <c r="T1016" s="12" t="s">
        <v>6269</v>
      </c>
      <c r="U1016" s="12" t="s">
        <v>1357</v>
      </c>
      <c r="V1016" s="12" t="s">
        <v>52</v>
      </c>
      <c r="W1016" s="12" t="s">
        <v>6270</v>
      </c>
      <c r="X1016" s="16" t="s">
        <v>6271</v>
      </c>
      <c r="Y1016" s="15" t="s">
        <v>55</v>
      </c>
      <c r="Z1016" s="14">
        <v>6.46</v>
      </c>
      <c r="AA1016" s="14" t="s">
        <v>36</v>
      </c>
      <c r="AB1016" s="12" t="s">
        <v>43</v>
      </c>
      <c r="AC1016" s="12" t="s">
        <v>6272</v>
      </c>
      <c r="AD1016" s="13">
        <v>45188</v>
      </c>
      <c r="AE1016" s="12" t="s">
        <v>2808</v>
      </c>
      <c r="AF1016" s="12" t="s">
        <v>36</v>
      </c>
      <c r="AG1016" s="12" t="s">
        <v>1479</v>
      </c>
      <c r="AH1016" s="1">
        <f>HYPERLINK("https://my.pitchbook.com?c=241769-80T","View Company Online")</f>
      </c>
    </row>
    <row r="1017">
      <c r="A1017" s="3" t="s">
        <v>6273</v>
      </c>
      <c r="B1017" s="3" t="s">
        <v>6274</v>
      </c>
      <c r="C1017" s="5">
        <v>3</v>
      </c>
      <c r="D1017" s="5">
        <v>8</v>
      </c>
      <c r="E1017" s="5">
        <v>4</v>
      </c>
      <c r="F1017" s="5">
        <v>12</v>
      </c>
      <c r="G1017" s="6" t="s">
        <v>326</v>
      </c>
      <c r="H1017" s="4" t="s">
        <v>36</v>
      </c>
      <c r="I1017" s="7">
        <v>25.51</v>
      </c>
      <c r="J1017" s="3" t="s">
        <v>327</v>
      </c>
      <c r="K1017" s="9" t="s">
        <v>36</v>
      </c>
      <c r="L1017" s="6" t="s">
        <v>36</v>
      </c>
      <c r="M1017" s="3" t="s">
        <v>36</v>
      </c>
      <c r="N1017" s="3" t="s">
        <v>36</v>
      </c>
      <c r="O1017" s="8" t="s">
        <v>36</v>
      </c>
      <c r="P1017" s="3" t="s">
        <v>36</v>
      </c>
      <c r="Q1017" s="3" t="s">
        <v>36</v>
      </c>
      <c r="R1017" s="3" t="s">
        <v>36</v>
      </c>
      <c r="S1017" s="3" t="s">
        <v>36</v>
      </c>
      <c r="T1017" s="3" t="s">
        <v>2515</v>
      </c>
      <c r="U1017" s="3" t="s">
        <v>74</v>
      </c>
      <c r="V1017" s="3" t="s">
        <v>75</v>
      </c>
      <c r="W1017" s="3" t="s">
        <v>6275</v>
      </c>
      <c r="X1017" s="10" t="s">
        <v>6276</v>
      </c>
      <c r="Y1017" s="6" t="s">
        <v>192</v>
      </c>
      <c r="Z1017" s="4">
        <v>116.4</v>
      </c>
      <c r="AA1017" s="4">
        <v>456.25</v>
      </c>
      <c r="AB1017" s="3" t="s">
        <v>56</v>
      </c>
      <c r="AC1017" s="3" t="s">
        <v>6277</v>
      </c>
      <c r="AD1017" s="9">
        <v>45187</v>
      </c>
      <c r="AE1017" s="3" t="s">
        <v>570</v>
      </c>
      <c r="AF1017" s="3" t="s">
        <v>6278</v>
      </c>
      <c r="AG1017" s="3" t="s">
        <v>382</v>
      </c>
      <c r="AH1017" s="11">
        <f>HYPERLINK("https://my.pitchbook.com?c=241734-61T","View Company Online")</f>
      </c>
    </row>
    <row r="1018">
      <c r="A1018" s="12" t="s">
        <v>6279</v>
      </c>
      <c r="B1018" s="12" t="s">
        <v>6280</v>
      </c>
      <c r="C1018" s="19" t="s">
        <v>36</v>
      </c>
      <c r="D1018" s="19">
        <v>2</v>
      </c>
      <c r="E1018" s="19">
        <v>1</v>
      </c>
      <c r="F1018" s="19">
        <v>2</v>
      </c>
      <c r="G1018" s="15" t="s">
        <v>36</v>
      </c>
      <c r="H1018" s="14" t="s">
        <v>36</v>
      </c>
      <c r="I1018" s="18" t="s">
        <v>36</v>
      </c>
      <c r="J1018" s="12" t="s">
        <v>521</v>
      </c>
      <c r="K1018" s="13" t="s">
        <v>36</v>
      </c>
      <c r="L1018" s="15" t="s">
        <v>36</v>
      </c>
      <c r="M1018" s="12" t="s">
        <v>36</v>
      </c>
      <c r="N1018" s="12" t="s">
        <v>36</v>
      </c>
      <c r="O1018" s="17" t="s">
        <v>36</v>
      </c>
      <c r="P1018" s="12" t="s">
        <v>36</v>
      </c>
      <c r="Q1018" s="12" t="s">
        <v>36</v>
      </c>
      <c r="R1018" s="12" t="s">
        <v>36</v>
      </c>
      <c r="S1018" s="12" t="s">
        <v>36</v>
      </c>
      <c r="T1018" s="12" t="s">
        <v>6281</v>
      </c>
      <c r="U1018" s="12" t="s">
        <v>96</v>
      </c>
      <c r="V1018" s="12" t="s">
        <v>52</v>
      </c>
      <c r="W1018" s="12" t="s">
        <v>6282</v>
      </c>
      <c r="X1018" s="16" t="s">
        <v>6283</v>
      </c>
      <c r="Y1018" s="15" t="s">
        <v>42</v>
      </c>
      <c r="Z1018" s="14">
        <v>2.37</v>
      </c>
      <c r="AA1018" s="14">
        <v>7.76</v>
      </c>
      <c r="AB1018" s="12" t="s">
        <v>43</v>
      </c>
      <c r="AC1018" s="12" t="s">
        <v>6284</v>
      </c>
      <c r="AD1018" s="13">
        <v>45187</v>
      </c>
      <c r="AE1018" s="12" t="s">
        <v>1414</v>
      </c>
      <c r="AF1018" s="12" t="s">
        <v>6285</v>
      </c>
      <c r="AG1018" s="12" t="s">
        <v>81</v>
      </c>
      <c r="AH1018" s="1">
        <f>HYPERLINK("https://my.pitchbook.com?c=241546-24T","View Company Online")</f>
      </c>
    </row>
    <row r="1019">
      <c r="A1019" s="3" t="s">
        <v>6286</v>
      </c>
      <c r="B1019" s="3" t="s">
        <v>6287</v>
      </c>
      <c r="C1019" s="5" t="s">
        <v>36</v>
      </c>
      <c r="D1019" s="5" t="s">
        <v>36</v>
      </c>
      <c r="E1019" s="5" t="s">
        <v>36</v>
      </c>
      <c r="F1019" s="5" t="s">
        <v>36</v>
      </c>
      <c r="G1019" s="6" t="s">
        <v>36</v>
      </c>
      <c r="H1019" s="4" t="s">
        <v>36</v>
      </c>
      <c r="I1019" s="7" t="s">
        <v>36</v>
      </c>
      <c r="J1019" s="3" t="s">
        <v>36</v>
      </c>
      <c r="K1019" s="9" t="s">
        <v>36</v>
      </c>
      <c r="L1019" s="6" t="s">
        <v>36</v>
      </c>
      <c r="M1019" s="3" t="s">
        <v>36</v>
      </c>
      <c r="N1019" s="3" t="s">
        <v>36</v>
      </c>
      <c r="O1019" s="8" t="s">
        <v>36</v>
      </c>
      <c r="P1019" s="3" t="s">
        <v>36</v>
      </c>
      <c r="Q1019" s="3" t="s">
        <v>36</v>
      </c>
      <c r="R1019" s="3" t="s">
        <v>36</v>
      </c>
      <c r="S1019" s="3" t="s">
        <v>36</v>
      </c>
      <c r="T1019" s="3" t="s">
        <v>6288</v>
      </c>
      <c r="U1019" s="3" t="s">
        <v>85</v>
      </c>
      <c r="V1019" s="3" t="s">
        <v>64</v>
      </c>
      <c r="W1019" s="3" t="s">
        <v>6289</v>
      </c>
      <c r="X1019" s="10" t="s">
        <v>6290</v>
      </c>
      <c r="Y1019" s="6" t="s">
        <v>42</v>
      </c>
      <c r="Z1019" s="4">
        <v>0.22</v>
      </c>
      <c r="AA1019" s="4" t="s">
        <v>36</v>
      </c>
      <c r="AB1019" s="3" t="s">
        <v>43</v>
      </c>
      <c r="AC1019" s="3" t="s">
        <v>6291</v>
      </c>
      <c r="AD1019" s="9">
        <v>45187</v>
      </c>
      <c r="AE1019" s="3" t="s">
        <v>89</v>
      </c>
      <c r="AF1019" s="3" t="s">
        <v>6292</v>
      </c>
      <c r="AG1019" s="3" t="s">
        <v>81</v>
      </c>
      <c r="AH1019" s="11">
        <f>HYPERLINK("https://my.pitchbook.com?c=241791-49T","View Company Online")</f>
      </c>
    </row>
    <row r="1020">
      <c r="A1020" s="12" t="s">
        <v>6293</v>
      </c>
      <c r="B1020" s="12" t="s">
        <v>6294</v>
      </c>
      <c r="C1020" s="19" t="s">
        <v>36</v>
      </c>
      <c r="D1020" s="19" t="s">
        <v>36</v>
      </c>
      <c r="E1020" s="19" t="s">
        <v>36</v>
      </c>
      <c r="F1020" s="19" t="s">
        <v>36</v>
      </c>
      <c r="G1020" s="15" t="s">
        <v>36</v>
      </c>
      <c r="H1020" s="14" t="s">
        <v>36</v>
      </c>
      <c r="I1020" s="18" t="s">
        <v>36</v>
      </c>
      <c r="J1020" s="12" t="s">
        <v>36</v>
      </c>
      <c r="K1020" s="13">
        <v>45186</v>
      </c>
      <c r="L1020" s="15" t="s">
        <v>36</v>
      </c>
      <c r="M1020" s="12" t="s">
        <v>36</v>
      </c>
      <c r="N1020" s="12" t="s">
        <v>36</v>
      </c>
      <c r="O1020" s="17" t="s">
        <v>36</v>
      </c>
      <c r="P1020" s="12" t="s">
        <v>36</v>
      </c>
      <c r="Q1020" s="12" t="s">
        <v>36</v>
      </c>
      <c r="R1020" s="12" t="s">
        <v>36</v>
      </c>
      <c r="S1020" s="12" t="s">
        <v>36</v>
      </c>
      <c r="T1020" s="12" t="s">
        <v>522</v>
      </c>
      <c r="U1020" s="12" t="s">
        <v>38</v>
      </c>
      <c r="V1020" s="12" t="s">
        <v>39</v>
      </c>
      <c r="W1020" s="12" t="s">
        <v>6295</v>
      </c>
      <c r="X1020" s="16" t="s">
        <v>2433</v>
      </c>
      <c r="Y1020" s="15" t="s">
        <v>42</v>
      </c>
      <c r="Z1020" s="14">
        <v>1.5</v>
      </c>
      <c r="AA1020" s="14" t="s">
        <v>36</v>
      </c>
      <c r="AB1020" s="12" t="s">
        <v>43</v>
      </c>
      <c r="AC1020" s="12" t="s">
        <v>6296</v>
      </c>
      <c r="AD1020" s="13">
        <v>45186</v>
      </c>
      <c r="AE1020" s="12" t="s">
        <v>110</v>
      </c>
      <c r="AF1020" s="12" t="s">
        <v>36</v>
      </c>
      <c r="AG1020" s="12" t="s">
        <v>81</v>
      </c>
      <c r="AH1020" s="1">
        <f>HYPERLINK("https://my.pitchbook.com?c=241068-16T","View Company Online")</f>
      </c>
    </row>
    <row r="1021">
      <c r="A1021" s="3" t="s">
        <v>6297</v>
      </c>
      <c r="B1021" s="3" t="s">
        <v>6298</v>
      </c>
      <c r="C1021" s="5" t="s">
        <v>36</v>
      </c>
      <c r="D1021" s="5" t="s">
        <v>36</v>
      </c>
      <c r="E1021" s="5" t="s">
        <v>36</v>
      </c>
      <c r="F1021" s="5" t="s">
        <v>36</v>
      </c>
      <c r="G1021" s="6" t="s">
        <v>36</v>
      </c>
      <c r="H1021" s="4" t="s">
        <v>36</v>
      </c>
      <c r="I1021" s="7" t="s">
        <v>36</v>
      </c>
      <c r="J1021" s="3" t="s">
        <v>36</v>
      </c>
      <c r="K1021" s="9" t="s">
        <v>36</v>
      </c>
      <c r="L1021" s="6" t="s">
        <v>36</v>
      </c>
      <c r="M1021" s="3" t="s">
        <v>36</v>
      </c>
      <c r="N1021" s="3" t="s">
        <v>36</v>
      </c>
      <c r="O1021" s="8" t="s">
        <v>36</v>
      </c>
      <c r="P1021" s="3" t="s">
        <v>36</v>
      </c>
      <c r="Q1021" s="3" t="s">
        <v>36</v>
      </c>
      <c r="R1021" s="3" t="s">
        <v>36</v>
      </c>
      <c r="S1021" s="3" t="s">
        <v>36</v>
      </c>
      <c r="T1021" s="3" t="s">
        <v>6299</v>
      </c>
      <c r="U1021" s="3" t="s">
        <v>728</v>
      </c>
      <c r="V1021" s="3" t="s">
        <v>64</v>
      </c>
      <c r="W1021" s="3" t="s">
        <v>6300</v>
      </c>
      <c r="X1021" s="10" t="s">
        <v>6301</v>
      </c>
      <c r="Y1021" s="6" t="s">
        <v>42</v>
      </c>
      <c r="Z1021" s="4">
        <v>6.16</v>
      </c>
      <c r="AA1021" s="4" t="s">
        <v>36</v>
      </c>
      <c r="AB1021" s="3" t="s">
        <v>56</v>
      </c>
      <c r="AC1021" s="3" t="s">
        <v>6302</v>
      </c>
      <c r="AD1021" s="9">
        <v>45184</v>
      </c>
      <c r="AE1021" s="3" t="s">
        <v>1600</v>
      </c>
      <c r="AF1021" s="3" t="s">
        <v>1061</v>
      </c>
      <c r="AG1021" s="3" t="s">
        <v>1705</v>
      </c>
      <c r="AH1021" s="11">
        <f>HYPERLINK("https://my.pitchbook.com?c=241646-32T","View Company Online")</f>
      </c>
    </row>
    <row r="1022">
      <c r="A1022" s="12" t="s">
        <v>6303</v>
      </c>
      <c r="B1022" s="12" t="s">
        <v>138</v>
      </c>
      <c r="C1022" s="19">
        <v>1</v>
      </c>
      <c r="D1022" s="19" t="s">
        <v>36</v>
      </c>
      <c r="E1022" s="19">
        <v>1</v>
      </c>
      <c r="F1022" s="19">
        <v>1</v>
      </c>
      <c r="G1022" s="15" t="s">
        <v>36</v>
      </c>
      <c r="H1022" s="14" t="s">
        <v>36</v>
      </c>
      <c r="I1022" s="18" t="s">
        <v>36</v>
      </c>
      <c r="J1022" s="12" t="s">
        <v>36</v>
      </c>
      <c r="K1022" s="13" t="s">
        <v>36</v>
      </c>
      <c r="L1022" s="15" t="s">
        <v>36</v>
      </c>
      <c r="M1022" s="12" t="s">
        <v>36</v>
      </c>
      <c r="N1022" s="12" t="s">
        <v>36</v>
      </c>
      <c r="O1022" s="17" t="s">
        <v>36</v>
      </c>
      <c r="P1022" s="12" t="s">
        <v>36</v>
      </c>
      <c r="Q1022" s="12" t="s">
        <v>36</v>
      </c>
      <c r="R1022" s="12" t="s">
        <v>36</v>
      </c>
      <c r="S1022" s="12" t="s">
        <v>36</v>
      </c>
      <c r="T1022" s="12" t="s">
        <v>139</v>
      </c>
      <c r="U1022" s="12" t="s">
        <v>96</v>
      </c>
      <c r="V1022" s="12" t="s">
        <v>52</v>
      </c>
      <c r="W1022" s="12" t="s">
        <v>140</v>
      </c>
      <c r="X1022" s="16" t="s">
        <v>6304</v>
      </c>
      <c r="Y1022" s="15" t="s">
        <v>42</v>
      </c>
      <c r="Z1022" s="14">
        <v>3.24</v>
      </c>
      <c r="AA1022" s="14" t="s">
        <v>36</v>
      </c>
      <c r="AB1022" s="12" t="s">
        <v>43</v>
      </c>
      <c r="AC1022" s="12" t="s">
        <v>142</v>
      </c>
      <c r="AD1022" s="13">
        <v>45183</v>
      </c>
      <c r="AE1022" s="12" t="s">
        <v>143</v>
      </c>
      <c r="AF1022" s="12" t="s">
        <v>101</v>
      </c>
      <c r="AG1022" s="12" t="s">
        <v>144</v>
      </c>
      <c r="AH1022" s="1">
        <f>HYPERLINK("https://my.pitchbook.com?c=241281-01T","View Company Online")</f>
      </c>
    </row>
    <row r="1023">
      <c r="A1023" s="3" t="s">
        <v>6305</v>
      </c>
      <c r="B1023" s="3" t="s">
        <v>6306</v>
      </c>
      <c r="C1023" s="5">
        <v>19</v>
      </c>
      <c r="D1023" s="5">
        <v>14</v>
      </c>
      <c r="E1023" s="5">
        <v>21</v>
      </c>
      <c r="F1023" s="5">
        <v>38</v>
      </c>
      <c r="G1023" s="6" t="s">
        <v>36</v>
      </c>
      <c r="H1023" s="4" t="s">
        <v>36</v>
      </c>
      <c r="I1023" s="7" t="s">
        <v>36</v>
      </c>
      <c r="J1023" s="3" t="s">
        <v>36</v>
      </c>
      <c r="K1023" s="9">
        <v>45108</v>
      </c>
      <c r="L1023" s="6" t="s">
        <v>1279</v>
      </c>
      <c r="M1023" s="3" t="s">
        <v>36</v>
      </c>
      <c r="N1023" s="3" t="s">
        <v>1279</v>
      </c>
      <c r="O1023" s="8" t="s">
        <v>36</v>
      </c>
      <c r="P1023" s="3" t="s">
        <v>36</v>
      </c>
      <c r="Q1023" s="3" t="s">
        <v>36</v>
      </c>
      <c r="R1023" s="3" t="s">
        <v>36</v>
      </c>
      <c r="S1023" s="3" t="s">
        <v>36</v>
      </c>
      <c r="T1023" s="3" t="s">
        <v>2213</v>
      </c>
      <c r="U1023" s="3" t="s">
        <v>219</v>
      </c>
      <c r="V1023" s="3" t="s">
        <v>75</v>
      </c>
      <c r="W1023" s="3" t="s">
        <v>6307</v>
      </c>
      <c r="X1023" s="10" t="s">
        <v>6308</v>
      </c>
      <c r="Y1023" s="6" t="s">
        <v>166</v>
      </c>
      <c r="Z1023" s="4">
        <v>1567.08</v>
      </c>
      <c r="AA1023" s="4" t="s">
        <v>36</v>
      </c>
      <c r="AB1023" s="3" t="s">
        <v>56</v>
      </c>
      <c r="AC1023" s="3" t="s">
        <v>6309</v>
      </c>
      <c r="AD1023" s="9">
        <v>45183</v>
      </c>
      <c r="AE1023" s="3" t="s">
        <v>1912</v>
      </c>
      <c r="AF1023" s="3" t="s">
        <v>982</v>
      </c>
      <c r="AG1023" s="3" t="s">
        <v>969</v>
      </c>
      <c r="AH1023" s="11">
        <f>HYPERLINK("https://my.pitchbook.com?c=226100-80T","View Company Online")</f>
      </c>
    </row>
    <row r="1024">
      <c r="A1024" s="12" t="s">
        <v>6310</v>
      </c>
      <c r="B1024" s="12" t="s">
        <v>6311</v>
      </c>
      <c r="C1024" s="19" t="s">
        <v>36</v>
      </c>
      <c r="D1024" s="19" t="s">
        <v>36</v>
      </c>
      <c r="E1024" s="19" t="s">
        <v>36</v>
      </c>
      <c r="F1024" s="19" t="s">
        <v>36</v>
      </c>
      <c r="G1024" s="15" t="s">
        <v>36</v>
      </c>
      <c r="H1024" s="14" t="s">
        <v>36</v>
      </c>
      <c r="I1024" s="18" t="s">
        <v>36</v>
      </c>
      <c r="J1024" s="12" t="s">
        <v>36</v>
      </c>
      <c r="K1024" s="13" t="s">
        <v>36</v>
      </c>
      <c r="L1024" s="15" t="s">
        <v>36</v>
      </c>
      <c r="M1024" s="12" t="s">
        <v>36</v>
      </c>
      <c r="N1024" s="12" t="s">
        <v>36</v>
      </c>
      <c r="O1024" s="17" t="s">
        <v>36</v>
      </c>
      <c r="P1024" s="12" t="s">
        <v>36</v>
      </c>
      <c r="Q1024" s="12" t="s">
        <v>36</v>
      </c>
      <c r="R1024" s="12" t="s">
        <v>36</v>
      </c>
      <c r="S1024" s="12" t="s">
        <v>36</v>
      </c>
      <c r="T1024" s="12" t="s">
        <v>6312</v>
      </c>
      <c r="U1024" s="12" t="s">
        <v>38</v>
      </c>
      <c r="V1024" s="12" t="s">
        <v>39</v>
      </c>
      <c r="W1024" s="12" t="s">
        <v>6313</v>
      </c>
      <c r="X1024" s="16" t="s">
        <v>6314</v>
      </c>
      <c r="Y1024" s="15" t="s">
        <v>108</v>
      </c>
      <c r="Z1024" s="14">
        <v>2.16</v>
      </c>
      <c r="AA1024" s="14" t="s">
        <v>36</v>
      </c>
      <c r="AB1024" s="12" t="s">
        <v>43</v>
      </c>
      <c r="AC1024" s="12" t="s">
        <v>6315</v>
      </c>
      <c r="AD1024" s="13">
        <v>45182</v>
      </c>
      <c r="AE1024" s="12" t="s">
        <v>45</v>
      </c>
      <c r="AF1024" s="12" t="s">
        <v>6316</v>
      </c>
      <c r="AG1024" s="12" t="s">
        <v>47</v>
      </c>
      <c r="AH1024" s="1">
        <f>HYPERLINK("https://my.pitchbook.com?c=241460-20T","View Company Online")</f>
      </c>
    </row>
    <row r="1025">
      <c r="A1025" s="3" t="s">
        <v>6317</v>
      </c>
      <c r="B1025" s="3" t="s">
        <v>6318</v>
      </c>
      <c r="C1025" s="5" t="s">
        <v>36</v>
      </c>
      <c r="D1025" s="5" t="s">
        <v>36</v>
      </c>
      <c r="E1025" s="5" t="s">
        <v>36</v>
      </c>
      <c r="F1025" s="5" t="s">
        <v>36</v>
      </c>
      <c r="G1025" s="6" t="s">
        <v>326</v>
      </c>
      <c r="H1025" s="4">
        <v>41.63</v>
      </c>
      <c r="I1025" s="7">
        <v>22.75</v>
      </c>
      <c r="J1025" s="3" t="s">
        <v>521</v>
      </c>
      <c r="K1025" s="9" t="s">
        <v>36</v>
      </c>
      <c r="L1025" s="6" t="s">
        <v>36</v>
      </c>
      <c r="M1025" s="3" t="s">
        <v>36</v>
      </c>
      <c r="N1025" s="3" t="s">
        <v>36</v>
      </c>
      <c r="O1025" s="8" t="s">
        <v>36</v>
      </c>
      <c r="P1025" s="3" t="s">
        <v>36</v>
      </c>
      <c r="Q1025" s="3" t="s">
        <v>36</v>
      </c>
      <c r="R1025" s="3" t="s">
        <v>36</v>
      </c>
      <c r="S1025" s="3" t="s">
        <v>36</v>
      </c>
      <c r="T1025" s="3" t="s">
        <v>6319</v>
      </c>
      <c r="U1025" s="3" t="s">
        <v>956</v>
      </c>
      <c r="V1025" s="3" t="s">
        <v>405</v>
      </c>
      <c r="W1025" s="3" t="s">
        <v>6320</v>
      </c>
      <c r="X1025" s="10" t="s">
        <v>6321</v>
      </c>
      <c r="Y1025" s="6" t="s">
        <v>108</v>
      </c>
      <c r="Z1025" s="4">
        <v>1.65</v>
      </c>
      <c r="AA1025" s="4">
        <v>7.27</v>
      </c>
      <c r="AB1025" s="3" t="s">
        <v>43</v>
      </c>
      <c r="AC1025" s="3" t="s">
        <v>6322</v>
      </c>
      <c r="AD1025" s="9">
        <v>45181</v>
      </c>
      <c r="AE1025" s="3" t="s">
        <v>6323</v>
      </c>
      <c r="AF1025" s="3" t="s">
        <v>2054</v>
      </c>
      <c r="AG1025" s="3" t="s">
        <v>47</v>
      </c>
      <c r="AH1025" s="11">
        <f>HYPERLINK("https://my.pitchbook.com?c=244521-28T","View Company Online")</f>
      </c>
    </row>
    <row r="1026">
      <c r="A1026" s="12" t="s">
        <v>6324</v>
      </c>
      <c r="B1026" s="12" t="s">
        <v>6325</v>
      </c>
      <c r="C1026" s="19" t="s">
        <v>36</v>
      </c>
      <c r="D1026" s="19" t="s">
        <v>36</v>
      </c>
      <c r="E1026" s="19" t="s">
        <v>36</v>
      </c>
      <c r="F1026" s="19" t="s">
        <v>36</v>
      </c>
      <c r="G1026" s="15" t="s">
        <v>36</v>
      </c>
      <c r="H1026" s="14" t="s">
        <v>36</v>
      </c>
      <c r="I1026" s="18" t="s">
        <v>36</v>
      </c>
      <c r="J1026" s="12" t="s">
        <v>36</v>
      </c>
      <c r="K1026" s="13" t="s">
        <v>36</v>
      </c>
      <c r="L1026" s="15" t="s">
        <v>36</v>
      </c>
      <c r="M1026" s="12" t="s">
        <v>36</v>
      </c>
      <c r="N1026" s="12" t="s">
        <v>36</v>
      </c>
      <c r="O1026" s="17" t="s">
        <v>36</v>
      </c>
      <c r="P1026" s="12" t="s">
        <v>36</v>
      </c>
      <c r="Q1026" s="12" t="s">
        <v>36</v>
      </c>
      <c r="R1026" s="12" t="s">
        <v>36</v>
      </c>
      <c r="S1026" s="12" t="s">
        <v>36</v>
      </c>
      <c r="T1026" s="12" t="s">
        <v>6326</v>
      </c>
      <c r="U1026" s="12" t="s">
        <v>38</v>
      </c>
      <c r="V1026" s="12" t="s">
        <v>39</v>
      </c>
      <c r="W1026" s="12" t="s">
        <v>6327</v>
      </c>
      <c r="X1026" s="16" t="s">
        <v>2869</v>
      </c>
      <c r="Y1026" s="15" t="s">
        <v>42</v>
      </c>
      <c r="Z1026" s="14">
        <v>3.25</v>
      </c>
      <c r="AA1026" s="14" t="s">
        <v>36</v>
      </c>
      <c r="AB1026" s="12" t="s">
        <v>43</v>
      </c>
      <c r="AC1026" s="12" t="s">
        <v>6328</v>
      </c>
      <c r="AD1026" s="13">
        <v>45181</v>
      </c>
      <c r="AE1026" s="12" t="s">
        <v>45</v>
      </c>
      <c r="AF1026" s="12" t="s">
        <v>1115</v>
      </c>
      <c r="AG1026" s="12" t="s">
        <v>81</v>
      </c>
      <c r="AH1026" s="1">
        <f>HYPERLINK("https://my.pitchbook.com?c=241041-52T","View Company Online")</f>
      </c>
    </row>
    <row r="1027">
      <c r="A1027" s="3" t="s">
        <v>6329</v>
      </c>
      <c r="B1027" s="3" t="s">
        <v>6330</v>
      </c>
      <c r="C1027" s="5" t="s">
        <v>36</v>
      </c>
      <c r="D1027" s="5" t="s">
        <v>36</v>
      </c>
      <c r="E1027" s="5" t="s">
        <v>36</v>
      </c>
      <c r="F1027" s="5" t="s">
        <v>36</v>
      </c>
      <c r="G1027" s="6" t="s">
        <v>36</v>
      </c>
      <c r="H1027" s="4" t="s">
        <v>36</v>
      </c>
      <c r="I1027" s="7">
        <v>19.35</v>
      </c>
      <c r="J1027" s="3" t="s">
        <v>327</v>
      </c>
      <c r="K1027" s="9" t="s">
        <v>36</v>
      </c>
      <c r="L1027" s="6" t="s">
        <v>36</v>
      </c>
      <c r="M1027" s="3" t="s">
        <v>36</v>
      </c>
      <c r="N1027" s="3" t="s">
        <v>36</v>
      </c>
      <c r="O1027" s="8" t="s">
        <v>36</v>
      </c>
      <c r="P1027" s="3" t="s">
        <v>36</v>
      </c>
      <c r="Q1027" s="3" t="s">
        <v>36</v>
      </c>
      <c r="R1027" s="3" t="s">
        <v>36</v>
      </c>
      <c r="S1027" s="3" t="s">
        <v>36</v>
      </c>
      <c r="T1027" s="3" t="s">
        <v>6331</v>
      </c>
      <c r="U1027" s="3" t="s">
        <v>728</v>
      </c>
      <c r="V1027" s="3" t="s">
        <v>64</v>
      </c>
      <c r="W1027" s="3" t="s">
        <v>6332</v>
      </c>
      <c r="X1027" s="10" t="s">
        <v>6333</v>
      </c>
      <c r="Y1027" s="6" t="s">
        <v>108</v>
      </c>
      <c r="Z1027" s="4">
        <v>4.04</v>
      </c>
      <c r="AA1027" s="4">
        <v>20.85</v>
      </c>
      <c r="AB1027" s="3" t="s">
        <v>56</v>
      </c>
      <c r="AC1027" s="3" t="s">
        <v>6334</v>
      </c>
      <c r="AD1027" s="9">
        <v>45181</v>
      </c>
      <c r="AE1027" s="3" t="s">
        <v>2154</v>
      </c>
      <c r="AF1027" s="3" t="s">
        <v>90</v>
      </c>
      <c r="AG1027" s="3" t="s">
        <v>81</v>
      </c>
      <c r="AH1027" s="11">
        <f>HYPERLINK("https://my.pitchbook.com?c=241031-26T","View Company Online")</f>
      </c>
    </row>
    <row r="1028">
      <c r="A1028" s="12" t="s">
        <v>6335</v>
      </c>
      <c r="B1028" s="12" t="s">
        <v>6336</v>
      </c>
      <c r="C1028" s="19">
        <v>12</v>
      </c>
      <c r="D1028" s="19">
        <v>6</v>
      </c>
      <c r="E1028" s="19">
        <v>4</v>
      </c>
      <c r="F1028" s="19">
        <v>18</v>
      </c>
      <c r="G1028" s="15" t="s">
        <v>36</v>
      </c>
      <c r="H1028" s="14" t="s">
        <v>36</v>
      </c>
      <c r="I1028" s="18" t="s">
        <v>36</v>
      </c>
      <c r="J1028" s="12" t="s">
        <v>36</v>
      </c>
      <c r="K1028" s="13" t="s">
        <v>36</v>
      </c>
      <c r="L1028" s="15" t="s">
        <v>122</v>
      </c>
      <c r="M1028" s="12" t="s">
        <v>36</v>
      </c>
      <c r="N1028" s="12" t="s">
        <v>122</v>
      </c>
      <c r="O1028" s="17" t="s">
        <v>36</v>
      </c>
      <c r="P1028" s="12" t="s">
        <v>36</v>
      </c>
      <c r="Q1028" s="12" t="s">
        <v>36</v>
      </c>
      <c r="R1028" s="12" t="s">
        <v>36</v>
      </c>
      <c r="S1028" s="12" t="s">
        <v>36</v>
      </c>
      <c r="T1028" s="12" t="s">
        <v>4155</v>
      </c>
      <c r="U1028" s="12" t="s">
        <v>1082</v>
      </c>
      <c r="V1028" s="12" t="s">
        <v>378</v>
      </c>
      <c r="W1028" s="12" t="s">
        <v>6337</v>
      </c>
      <c r="X1028" s="16" t="s">
        <v>6338</v>
      </c>
      <c r="Y1028" s="15" t="s">
        <v>166</v>
      </c>
      <c r="Z1028" s="14">
        <v>17.31</v>
      </c>
      <c r="AA1028" s="14" t="s">
        <v>36</v>
      </c>
      <c r="AB1028" s="12" t="s">
        <v>43</v>
      </c>
      <c r="AC1028" s="12" t="s">
        <v>6339</v>
      </c>
      <c r="AD1028" s="13">
        <v>45181</v>
      </c>
      <c r="AE1028" s="12" t="s">
        <v>1086</v>
      </c>
      <c r="AF1028" s="12" t="s">
        <v>1781</v>
      </c>
      <c r="AG1028" s="12" t="s">
        <v>6340</v>
      </c>
      <c r="AH1028" s="1">
        <f>HYPERLINK("https://my.pitchbook.com?c=241032-52T","View Company Online")</f>
      </c>
    </row>
    <row r="1029">
      <c r="A1029" s="3" t="s">
        <v>6341</v>
      </c>
      <c r="B1029" s="3" t="s">
        <v>6342</v>
      </c>
      <c r="C1029" s="5">
        <v>6</v>
      </c>
      <c r="D1029" s="5">
        <v>33</v>
      </c>
      <c r="E1029" s="5">
        <v>13</v>
      </c>
      <c r="F1029" s="5">
        <v>42</v>
      </c>
      <c r="G1029" s="6" t="s">
        <v>2497</v>
      </c>
      <c r="H1029" s="4">
        <v>19.73</v>
      </c>
      <c r="I1029" s="7">
        <v>23.74</v>
      </c>
      <c r="J1029" s="3" t="s">
        <v>521</v>
      </c>
      <c r="K1029" s="9">
        <v>45135</v>
      </c>
      <c r="L1029" s="6" t="s">
        <v>36</v>
      </c>
      <c r="M1029" s="3" t="s">
        <v>36</v>
      </c>
      <c r="N1029" s="3" t="s">
        <v>36</v>
      </c>
      <c r="O1029" s="8" t="s">
        <v>36</v>
      </c>
      <c r="P1029" s="3" t="s">
        <v>36</v>
      </c>
      <c r="Q1029" s="3" t="s">
        <v>36</v>
      </c>
      <c r="R1029" s="3" t="s">
        <v>36</v>
      </c>
      <c r="S1029" s="3" t="s">
        <v>36</v>
      </c>
      <c r="T1029" s="3" t="s">
        <v>6343</v>
      </c>
      <c r="U1029" s="3" t="s">
        <v>318</v>
      </c>
      <c r="V1029" s="3" t="s">
        <v>39</v>
      </c>
      <c r="W1029" s="3" t="s">
        <v>6344</v>
      </c>
      <c r="X1029" s="10" t="s">
        <v>6345</v>
      </c>
      <c r="Y1029" s="6" t="s">
        <v>55</v>
      </c>
      <c r="Z1029" s="4">
        <v>4.8</v>
      </c>
      <c r="AA1029" s="4">
        <v>18.69</v>
      </c>
      <c r="AB1029" s="3" t="s">
        <v>56</v>
      </c>
      <c r="AC1029" s="3" t="s">
        <v>6346</v>
      </c>
      <c r="AD1029" s="9">
        <v>45181</v>
      </c>
      <c r="AE1029" s="3" t="s">
        <v>323</v>
      </c>
      <c r="AF1029" s="3" t="s">
        <v>6347</v>
      </c>
      <c r="AG1029" s="3" t="s">
        <v>969</v>
      </c>
      <c r="AH1029" s="11">
        <f>HYPERLINK("https://my.pitchbook.com?c=241090-30T","View Company Online")</f>
      </c>
    </row>
    <row r="1030">
      <c r="A1030" s="12" t="s">
        <v>6348</v>
      </c>
      <c r="B1030" s="12" t="s">
        <v>6349</v>
      </c>
      <c r="C1030" s="19" t="s">
        <v>36</v>
      </c>
      <c r="D1030" s="19" t="s">
        <v>36</v>
      </c>
      <c r="E1030" s="19" t="s">
        <v>36</v>
      </c>
      <c r="F1030" s="19" t="s">
        <v>36</v>
      </c>
      <c r="G1030" s="15" t="s">
        <v>36</v>
      </c>
      <c r="H1030" s="14" t="s">
        <v>36</v>
      </c>
      <c r="I1030" s="18" t="s">
        <v>36</v>
      </c>
      <c r="J1030" s="12" t="s">
        <v>36</v>
      </c>
      <c r="K1030" s="13" t="s">
        <v>36</v>
      </c>
      <c r="L1030" s="15" t="s">
        <v>36</v>
      </c>
      <c r="M1030" s="12" t="s">
        <v>36</v>
      </c>
      <c r="N1030" s="12" t="s">
        <v>36</v>
      </c>
      <c r="O1030" s="17" t="s">
        <v>36</v>
      </c>
      <c r="P1030" s="12" t="s">
        <v>36</v>
      </c>
      <c r="Q1030" s="12" t="s">
        <v>36</v>
      </c>
      <c r="R1030" s="12" t="s">
        <v>36</v>
      </c>
      <c r="S1030" s="12" t="s">
        <v>36</v>
      </c>
      <c r="T1030" s="12" t="s">
        <v>6350</v>
      </c>
      <c r="U1030" s="12" t="s">
        <v>289</v>
      </c>
      <c r="V1030" s="12" t="s">
        <v>64</v>
      </c>
      <c r="W1030" s="12" t="s">
        <v>6351</v>
      </c>
      <c r="X1030" s="16" t="s">
        <v>6352</v>
      </c>
      <c r="Y1030" s="15" t="s">
        <v>108</v>
      </c>
      <c r="Z1030" s="14">
        <v>2.49</v>
      </c>
      <c r="AA1030" s="14" t="s">
        <v>36</v>
      </c>
      <c r="AB1030" s="12" t="s">
        <v>43</v>
      </c>
      <c r="AC1030" s="12" t="s">
        <v>6353</v>
      </c>
      <c r="AD1030" s="13">
        <v>45181</v>
      </c>
      <c r="AE1030" s="12" t="s">
        <v>3134</v>
      </c>
      <c r="AF1030" s="12" t="s">
        <v>6354</v>
      </c>
      <c r="AG1030" s="12" t="s">
        <v>1447</v>
      </c>
      <c r="AH1030" s="1">
        <f>HYPERLINK("https://my.pitchbook.com?c=271890-73T","View Company Online")</f>
      </c>
    </row>
    <row r="1031">
      <c r="A1031" s="3" t="s">
        <v>6355</v>
      </c>
      <c r="B1031" s="3" t="s">
        <v>6356</v>
      </c>
      <c r="C1031" s="5" t="s">
        <v>36</v>
      </c>
      <c r="D1031" s="5" t="s">
        <v>36</v>
      </c>
      <c r="E1031" s="5" t="s">
        <v>36</v>
      </c>
      <c r="F1031" s="5" t="s">
        <v>36</v>
      </c>
      <c r="G1031" s="6" t="s">
        <v>36</v>
      </c>
      <c r="H1031" s="4" t="s">
        <v>36</v>
      </c>
      <c r="I1031" s="7">
        <v>29.82</v>
      </c>
      <c r="J1031" s="3" t="s">
        <v>521</v>
      </c>
      <c r="K1031" s="9">
        <v>45051</v>
      </c>
      <c r="L1031" s="6" t="s">
        <v>36</v>
      </c>
      <c r="M1031" s="3" t="s">
        <v>36</v>
      </c>
      <c r="N1031" s="3" t="s">
        <v>36</v>
      </c>
      <c r="O1031" s="8" t="s">
        <v>36</v>
      </c>
      <c r="P1031" s="3" t="s">
        <v>36</v>
      </c>
      <c r="Q1031" s="3" t="s">
        <v>36</v>
      </c>
      <c r="R1031" s="3" t="s">
        <v>36</v>
      </c>
      <c r="S1031" s="3" t="s">
        <v>36</v>
      </c>
      <c r="T1031" s="3" t="s">
        <v>6357</v>
      </c>
      <c r="U1031" s="3" t="s">
        <v>85</v>
      </c>
      <c r="V1031" s="3" t="s">
        <v>64</v>
      </c>
      <c r="W1031" s="3" t="s">
        <v>6358</v>
      </c>
      <c r="X1031" s="10" t="s">
        <v>6359</v>
      </c>
      <c r="Y1031" s="6" t="s">
        <v>108</v>
      </c>
      <c r="Z1031" s="4">
        <v>3.25</v>
      </c>
      <c r="AA1031" s="4">
        <v>10.9</v>
      </c>
      <c r="AB1031" s="3" t="s">
        <v>43</v>
      </c>
      <c r="AC1031" s="3" t="s">
        <v>6360</v>
      </c>
      <c r="AD1031" s="9">
        <v>45180</v>
      </c>
      <c r="AE1031" s="3" t="s">
        <v>89</v>
      </c>
      <c r="AF1031" s="3" t="s">
        <v>5007</v>
      </c>
      <c r="AG1031" s="3" t="s">
        <v>2299</v>
      </c>
      <c r="AH1031" s="11">
        <f>HYPERLINK("https://my.pitchbook.com?c=232202-08T","View Company Online")</f>
      </c>
    </row>
    <row r="1032">
      <c r="A1032" s="12" t="s">
        <v>6361</v>
      </c>
      <c r="B1032" s="12" t="s">
        <v>682</v>
      </c>
      <c r="C1032" s="19" t="s">
        <v>36</v>
      </c>
      <c r="D1032" s="19" t="s">
        <v>36</v>
      </c>
      <c r="E1032" s="19" t="s">
        <v>36</v>
      </c>
      <c r="F1032" s="19" t="s">
        <v>36</v>
      </c>
      <c r="G1032" s="15" t="s">
        <v>326</v>
      </c>
      <c r="H1032" s="14">
        <v>530.62</v>
      </c>
      <c r="I1032" s="18">
        <v>21.66</v>
      </c>
      <c r="J1032" s="12" t="s">
        <v>521</v>
      </c>
      <c r="K1032" s="13">
        <v>44530</v>
      </c>
      <c r="L1032" s="15" t="s">
        <v>36</v>
      </c>
      <c r="M1032" s="12" t="s">
        <v>36</v>
      </c>
      <c r="N1032" s="12" t="s">
        <v>36</v>
      </c>
      <c r="O1032" s="17" t="s">
        <v>36</v>
      </c>
      <c r="P1032" s="12" t="s">
        <v>36</v>
      </c>
      <c r="Q1032" s="12" t="s">
        <v>36</v>
      </c>
      <c r="R1032" s="12" t="s">
        <v>36</v>
      </c>
      <c r="S1032" s="12" t="s">
        <v>36</v>
      </c>
      <c r="T1032" s="12" t="s">
        <v>684</v>
      </c>
      <c r="U1032" s="12" t="s">
        <v>38</v>
      </c>
      <c r="V1032" s="12" t="s">
        <v>39</v>
      </c>
      <c r="W1032" s="12" t="s">
        <v>685</v>
      </c>
      <c r="X1032" s="16" t="s">
        <v>6362</v>
      </c>
      <c r="Y1032" s="15" t="s">
        <v>42</v>
      </c>
      <c r="Z1032" s="14">
        <v>3.22</v>
      </c>
      <c r="AA1032" s="14">
        <v>14.88</v>
      </c>
      <c r="AB1032" s="12" t="s">
        <v>56</v>
      </c>
      <c r="AC1032" s="12" t="s">
        <v>687</v>
      </c>
      <c r="AD1032" s="13">
        <v>45180</v>
      </c>
      <c r="AE1032" s="12" t="s">
        <v>688</v>
      </c>
      <c r="AF1032" s="12" t="s">
        <v>118</v>
      </c>
      <c r="AG1032" s="12" t="s">
        <v>689</v>
      </c>
      <c r="AH1032" s="1">
        <f>HYPERLINK("https://my.pitchbook.com?c=183872-26T","View Company Online")</f>
      </c>
    </row>
    <row r="1033">
      <c r="A1033" s="3" t="s">
        <v>6363</v>
      </c>
      <c r="B1033" s="3" t="s">
        <v>6364</v>
      </c>
      <c r="C1033" s="5" t="s">
        <v>36</v>
      </c>
      <c r="D1033" s="5" t="s">
        <v>36</v>
      </c>
      <c r="E1033" s="5" t="s">
        <v>36</v>
      </c>
      <c r="F1033" s="5" t="s">
        <v>36</v>
      </c>
      <c r="G1033" s="6" t="s">
        <v>36</v>
      </c>
      <c r="H1033" s="4" t="s">
        <v>36</v>
      </c>
      <c r="I1033" s="7">
        <v>56.04</v>
      </c>
      <c r="J1033" s="3" t="s">
        <v>327</v>
      </c>
      <c r="K1033" s="9">
        <v>45076</v>
      </c>
      <c r="L1033" s="6" t="s">
        <v>122</v>
      </c>
      <c r="M1033" s="3" t="s">
        <v>36</v>
      </c>
      <c r="N1033" s="3" t="s">
        <v>122</v>
      </c>
      <c r="O1033" s="8" t="s">
        <v>36</v>
      </c>
      <c r="P1033" s="3" t="s">
        <v>36</v>
      </c>
      <c r="Q1033" s="3" t="s">
        <v>36</v>
      </c>
      <c r="R1033" s="3" t="s">
        <v>36</v>
      </c>
      <c r="S1033" s="3" t="s">
        <v>1588</v>
      </c>
      <c r="T1033" s="3" t="s">
        <v>1188</v>
      </c>
      <c r="U1033" s="3" t="s">
        <v>180</v>
      </c>
      <c r="V1033" s="3" t="s">
        <v>52</v>
      </c>
      <c r="W1033" s="3" t="s">
        <v>6365</v>
      </c>
      <c r="X1033" s="10" t="s">
        <v>6366</v>
      </c>
      <c r="Y1033" s="6" t="s">
        <v>108</v>
      </c>
      <c r="Z1033" s="4">
        <v>7.04</v>
      </c>
      <c r="AA1033" s="4">
        <v>12.56</v>
      </c>
      <c r="AB1033" s="3" t="s">
        <v>56</v>
      </c>
      <c r="AC1033" s="3" t="s">
        <v>6367</v>
      </c>
      <c r="AD1033" s="9">
        <v>45180</v>
      </c>
      <c r="AE1033" s="3" t="s">
        <v>1192</v>
      </c>
      <c r="AF1033" s="3" t="s">
        <v>101</v>
      </c>
      <c r="AG1033" s="3" t="s">
        <v>6368</v>
      </c>
      <c r="AH1033" s="11">
        <f>HYPERLINK("https://my.pitchbook.com?c=241633-63T","View Company Online")</f>
      </c>
    </row>
    <row r="1034">
      <c r="A1034" s="12" t="s">
        <v>6369</v>
      </c>
      <c r="B1034" s="12" t="s">
        <v>6370</v>
      </c>
      <c r="C1034" s="19" t="s">
        <v>36</v>
      </c>
      <c r="D1034" s="19" t="s">
        <v>36</v>
      </c>
      <c r="E1034" s="19" t="s">
        <v>36</v>
      </c>
      <c r="F1034" s="19" t="s">
        <v>36</v>
      </c>
      <c r="G1034" s="15" t="s">
        <v>326</v>
      </c>
      <c r="H1034" s="14">
        <v>299.11</v>
      </c>
      <c r="I1034" s="18">
        <v>13.23</v>
      </c>
      <c r="J1034" s="12" t="s">
        <v>521</v>
      </c>
      <c r="K1034" s="13" t="s">
        <v>36</v>
      </c>
      <c r="L1034" s="15" t="s">
        <v>36</v>
      </c>
      <c r="M1034" s="12" t="s">
        <v>36</v>
      </c>
      <c r="N1034" s="12" t="s">
        <v>36</v>
      </c>
      <c r="O1034" s="17" t="s">
        <v>36</v>
      </c>
      <c r="P1034" s="12" t="s">
        <v>36</v>
      </c>
      <c r="Q1034" s="12" t="s">
        <v>36</v>
      </c>
      <c r="R1034" s="12" t="s">
        <v>36</v>
      </c>
      <c r="S1034" s="12" t="s">
        <v>36</v>
      </c>
      <c r="T1034" s="12" t="s">
        <v>522</v>
      </c>
      <c r="U1034" s="12" t="s">
        <v>38</v>
      </c>
      <c r="V1034" s="12" t="s">
        <v>39</v>
      </c>
      <c r="W1034" s="12" t="s">
        <v>6371</v>
      </c>
      <c r="X1034" s="16" t="s">
        <v>2257</v>
      </c>
      <c r="Y1034" s="15" t="s">
        <v>55</v>
      </c>
      <c r="Z1034" s="14">
        <v>0.33</v>
      </c>
      <c r="AA1034" s="14">
        <v>2.5</v>
      </c>
      <c r="AB1034" s="12" t="s">
        <v>43</v>
      </c>
      <c r="AC1034" s="12" t="s">
        <v>6372</v>
      </c>
      <c r="AD1034" s="13">
        <v>45177</v>
      </c>
      <c r="AE1034" s="12" t="s">
        <v>110</v>
      </c>
      <c r="AF1034" s="12" t="s">
        <v>905</v>
      </c>
      <c r="AG1034" s="12" t="s">
        <v>2760</v>
      </c>
      <c r="AH1034" s="1">
        <f>HYPERLINK("https://my.pitchbook.com?c=241790-41T","View Company Online")</f>
      </c>
    </row>
    <row r="1035">
      <c r="A1035" s="3" t="s">
        <v>6373</v>
      </c>
      <c r="B1035" s="3" t="s">
        <v>6374</v>
      </c>
      <c r="C1035" s="5" t="s">
        <v>36</v>
      </c>
      <c r="D1035" s="5" t="s">
        <v>36</v>
      </c>
      <c r="E1035" s="5" t="s">
        <v>36</v>
      </c>
      <c r="F1035" s="5" t="s">
        <v>36</v>
      </c>
      <c r="G1035" s="6" t="s">
        <v>36</v>
      </c>
      <c r="H1035" s="4">
        <v>1317.94</v>
      </c>
      <c r="I1035" s="7">
        <v>28.68</v>
      </c>
      <c r="J1035" s="3" t="s">
        <v>521</v>
      </c>
      <c r="K1035" s="9">
        <v>44927</v>
      </c>
      <c r="L1035" s="6" t="s">
        <v>122</v>
      </c>
      <c r="M1035" s="3" t="s">
        <v>36</v>
      </c>
      <c r="N1035" s="3" t="s">
        <v>122</v>
      </c>
      <c r="O1035" s="8" t="s">
        <v>36</v>
      </c>
      <c r="P1035" s="3" t="s">
        <v>36</v>
      </c>
      <c r="Q1035" s="3" t="s">
        <v>36</v>
      </c>
      <c r="R1035" s="3" t="s">
        <v>36</v>
      </c>
      <c r="S1035" s="3" t="s">
        <v>36</v>
      </c>
      <c r="T1035" s="3" t="s">
        <v>3790</v>
      </c>
      <c r="U1035" s="3" t="s">
        <v>318</v>
      </c>
      <c r="V1035" s="3" t="s">
        <v>39</v>
      </c>
      <c r="W1035" s="3" t="s">
        <v>6375</v>
      </c>
      <c r="X1035" s="10" t="s">
        <v>6376</v>
      </c>
      <c r="Y1035" s="6" t="s">
        <v>108</v>
      </c>
      <c r="Z1035" s="4">
        <v>1.94</v>
      </c>
      <c r="AA1035" s="4">
        <v>6.78</v>
      </c>
      <c r="AB1035" s="3" t="s">
        <v>43</v>
      </c>
      <c r="AC1035" s="3" t="s">
        <v>6377</v>
      </c>
      <c r="AD1035" s="9">
        <v>45176</v>
      </c>
      <c r="AE1035" s="3" t="s">
        <v>763</v>
      </c>
      <c r="AF1035" s="3" t="s">
        <v>176</v>
      </c>
      <c r="AG1035" s="3" t="s">
        <v>539</v>
      </c>
      <c r="AH1035" s="11">
        <f>HYPERLINK("https://my.pitchbook.com?c=242880-85T","View Company Online")</f>
      </c>
    </row>
    <row r="1036">
      <c r="A1036" s="12" t="s">
        <v>6378</v>
      </c>
      <c r="B1036" s="12" t="s">
        <v>6379</v>
      </c>
      <c r="C1036" s="19" t="s">
        <v>36</v>
      </c>
      <c r="D1036" s="19" t="s">
        <v>36</v>
      </c>
      <c r="E1036" s="19" t="s">
        <v>36</v>
      </c>
      <c r="F1036" s="19" t="s">
        <v>36</v>
      </c>
      <c r="G1036" s="15" t="s">
        <v>36</v>
      </c>
      <c r="H1036" s="14" t="s">
        <v>36</v>
      </c>
      <c r="I1036" s="18" t="s">
        <v>36</v>
      </c>
      <c r="J1036" s="12" t="s">
        <v>36</v>
      </c>
      <c r="K1036" s="13">
        <v>44883</v>
      </c>
      <c r="L1036" s="15" t="s">
        <v>36</v>
      </c>
      <c r="M1036" s="12" t="s">
        <v>36</v>
      </c>
      <c r="N1036" s="12" t="s">
        <v>36</v>
      </c>
      <c r="O1036" s="17" t="s">
        <v>36</v>
      </c>
      <c r="P1036" s="12" t="s">
        <v>36</v>
      </c>
      <c r="Q1036" s="12" t="s">
        <v>36</v>
      </c>
      <c r="R1036" s="12" t="s">
        <v>36</v>
      </c>
      <c r="S1036" s="12" t="s">
        <v>36</v>
      </c>
      <c r="T1036" s="12" t="s">
        <v>123</v>
      </c>
      <c r="U1036" s="12" t="s">
        <v>38</v>
      </c>
      <c r="V1036" s="12" t="s">
        <v>39</v>
      </c>
      <c r="W1036" s="12" t="s">
        <v>6380</v>
      </c>
      <c r="X1036" s="16" t="s">
        <v>6381</v>
      </c>
      <c r="Y1036" s="15" t="s">
        <v>108</v>
      </c>
      <c r="Z1036" s="14" t="s">
        <v>36</v>
      </c>
      <c r="AA1036" s="14" t="s">
        <v>36</v>
      </c>
      <c r="AB1036" s="12" t="s">
        <v>43</v>
      </c>
      <c r="AC1036" s="12" t="s">
        <v>6382</v>
      </c>
      <c r="AD1036" s="13">
        <v>45176</v>
      </c>
      <c r="AE1036" s="12" t="s">
        <v>110</v>
      </c>
      <c r="AF1036" s="12" t="s">
        <v>6383</v>
      </c>
      <c r="AG1036" s="12" t="s">
        <v>81</v>
      </c>
      <c r="AH1036" s="1">
        <f>HYPERLINK("https://my.pitchbook.com?c=208776-16T","View Company Online")</f>
      </c>
    </row>
    <row r="1037">
      <c r="A1037" s="3" t="s">
        <v>6384</v>
      </c>
      <c r="B1037" s="3" t="s">
        <v>6385</v>
      </c>
      <c r="C1037" s="5" t="s">
        <v>36</v>
      </c>
      <c r="D1037" s="5" t="s">
        <v>36</v>
      </c>
      <c r="E1037" s="5" t="s">
        <v>36</v>
      </c>
      <c r="F1037" s="5" t="s">
        <v>36</v>
      </c>
      <c r="G1037" s="6" t="s">
        <v>326</v>
      </c>
      <c r="H1037" s="4">
        <v>185.55</v>
      </c>
      <c r="I1037" s="7">
        <v>5.51</v>
      </c>
      <c r="J1037" s="3" t="s">
        <v>521</v>
      </c>
      <c r="K1037" s="9" t="s">
        <v>36</v>
      </c>
      <c r="L1037" s="6" t="s">
        <v>36</v>
      </c>
      <c r="M1037" s="3" t="s">
        <v>36</v>
      </c>
      <c r="N1037" s="3" t="s">
        <v>36</v>
      </c>
      <c r="O1037" s="8" t="s">
        <v>36</v>
      </c>
      <c r="P1037" s="3" t="s">
        <v>36</v>
      </c>
      <c r="Q1037" s="3" t="s">
        <v>36</v>
      </c>
      <c r="R1037" s="3" t="s">
        <v>36</v>
      </c>
      <c r="S1037" s="3" t="s">
        <v>36</v>
      </c>
      <c r="T1037" s="3" t="s">
        <v>189</v>
      </c>
      <c r="U1037" s="3" t="s">
        <v>180</v>
      </c>
      <c r="V1037" s="3" t="s">
        <v>52</v>
      </c>
      <c r="W1037" s="3" t="s">
        <v>6386</v>
      </c>
      <c r="X1037" s="10" t="s">
        <v>6387</v>
      </c>
      <c r="Y1037" s="6" t="s">
        <v>108</v>
      </c>
      <c r="Z1037" s="4">
        <v>0.29</v>
      </c>
      <c r="AA1037" s="4">
        <v>5.24</v>
      </c>
      <c r="AB1037" s="3" t="s">
        <v>56</v>
      </c>
      <c r="AC1037" s="3" t="s">
        <v>6388</v>
      </c>
      <c r="AD1037" s="9">
        <v>45176</v>
      </c>
      <c r="AE1037" s="3" t="s">
        <v>184</v>
      </c>
      <c r="AF1037" s="3" t="s">
        <v>6389</v>
      </c>
      <c r="AG1037" s="3" t="s">
        <v>186</v>
      </c>
      <c r="AH1037" s="11">
        <f>HYPERLINK("https://my.pitchbook.com?c=246023-47T","View Company Online")</f>
      </c>
    </row>
    <row r="1038">
      <c r="A1038" s="12" t="s">
        <v>6390</v>
      </c>
      <c r="B1038" s="12" t="s">
        <v>6391</v>
      </c>
      <c r="C1038" s="19" t="s">
        <v>36</v>
      </c>
      <c r="D1038" s="19" t="s">
        <v>36</v>
      </c>
      <c r="E1038" s="19" t="s">
        <v>36</v>
      </c>
      <c r="F1038" s="19" t="s">
        <v>36</v>
      </c>
      <c r="G1038" s="15" t="s">
        <v>36</v>
      </c>
      <c r="H1038" s="14" t="s">
        <v>36</v>
      </c>
      <c r="I1038" s="18" t="s">
        <v>36</v>
      </c>
      <c r="J1038" s="12" t="s">
        <v>36</v>
      </c>
      <c r="K1038" s="13" t="s">
        <v>36</v>
      </c>
      <c r="L1038" s="15" t="s">
        <v>36</v>
      </c>
      <c r="M1038" s="12" t="s">
        <v>36</v>
      </c>
      <c r="N1038" s="12" t="s">
        <v>36</v>
      </c>
      <c r="O1038" s="17" t="s">
        <v>36</v>
      </c>
      <c r="P1038" s="12" t="s">
        <v>36</v>
      </c>
      <c r="Q1038" s="12" t="s">
        <v>36</v>
      </c>
      <c r="R1038" s="12" t="s">
        <v>36</v>
      </c>
      <c r="S1038" s="12" t="s">
        <v>36</v>
      </c>
      <c r="T1038" s="12" t="s">
        <v>6392</v>
      </c>
      <c r="U1038" s="12" t="s">
        <v>289</v>
      </c>
      <c r="V1038" s="12" t="s">
        <v>64</v>
      </c>
      <c r="W1038" s="12" t="s">
        <v>6393</v>
      </c>
      <c r="X1038" s="16" t="s">
        <v>6394</v>
      </c>
      <c r="Y1038" s="15" t="s">
        <v>108</v>
      </c>
      <c r="Z1038" s="14">
        <v>4.9</v>
      </c>
      <c r="AA1038" s="14" t="s">
        <v>36</v>
      </c>
      <c r="AB1038" s="12" t="s">
        <v>43</v>
      </c>
      <c r="AC1038" s="12" t="s">
        <v>6395</v>
      </c>
      <c r="AD1038" s="13">
        <v>45174</v>
      </c>
      <c r="AE1038" s="12" t="s">
        <v>292</v>
      </c>
      <c r="AF1038" s="12" t="s">
        <v>2767</v>
      </c>
      <c r="AG1038" s="12" t="s">
        <v>81</v>
      </c>
      <c r="AH1038" s="1">
        <f>HYPERLINK("https://my.pitchbook.com?c=235894-78T","View Company Online")</f>
      </c>
    </row>
    <row r="1039">
      <c r="A1039" s="3" t="s">
        <v>6396</v>
      </c>
      <c r="B1039" s="3" t="s">
        <v>6397</v>
      </c>
      <c r="C1039" s="5" t="s">
        <v>36</v>
      </c>
      <c r="D1039" s="5" t="s">
        <v>36</v>
      </c>
      <c r="E1039" s="5" t="s">
        <v>36</v>
      </c>
      <c r="F1039" s="5" t="s">
        <v>36</v>
      </c>
      <c r="G1039" s="6" t="s">
        <v>683</v>
      </c>
      <c r="H1039" s="4">
        <v>18.22</v>
      </c>
      <c r="I1039" s="7">
        <v>18.51</v>
      </c>
      <c r="J1039" s="3" t="s">
        <v>521</v>
      </c>
      <c r="K1039" s="9" t="s">
        <v>36</v>
      </c>
      <c r="L1039" s="6" t="s">
        <v>36</v>
      </c>
      <c r="M1039" s="3" t="s">
        <v>36</v>
      </c>
      <c r="N1039" s="3" t="s">
        <v>36</v>
      </c>
      <c r="O1039" s="8" t="s">
        <v>36</v>
      </c>
      <c r="P1039" s="3" t="s">
        <v>36</v>
      </c>
      <c r="Q1039" s="3" t="s">
        <v>36</v>
      </c>
      <c r="R1039" s="3" t="s">
        <v>36</v>
      </c>
      <c r="S1039" s="3" t="s">
        <v>36</v>
      </c>
      <c r="T1039" s="3" t="s">
        <v>464</v>
      </c>
      <c r="U1039" s="3" t="s">
        <v>38</v>
      </c>
      <c r="V1039" s="3" t="s">
        <v>39</v>
      </c>
      <c r="W1039" s="3" t="s">
        <v>6398</v>
      </c>
      <c r="X1039" s="10" t="s">
        <v>6399</v>
      </c>
      <c r="Y1039" s="6" t="s">
        <v>55</v>
      </c>
      <c r="Z1039" s="4">
        <v>4.97</v>
      </c>
      <c r="AA1039" s="4">
        <v>26.83</v>
      </c>
      <c r="AB1039" s="3" t="s">
        <v>56</v>
      </c>
      <c r="AC1039" s="3" t="s">
        <v>6400</v>
      </c>
      <c r="AD1039" s="9">
        <v>45174</v>
      </c>
      <c r="AE1039" s="3" t="s">
        <v>110</v>
      </c>
      <c r="AF1039" s="3" t="s">
        <v>468</v>
      </c>
      <c r="AG1039" s="3" t="s">
        <v>652</v>
      </c>
      <c r="AH1039" s="11">
        <f>HYPERLINK("https://my.pitchbook.com?c=235293-22T","View Company Online")</f>
      </c>
    </row>
    <row r="1040">
      <c r="A1040" s="12" t="s">
        <v>6401</v>
      </c>
      <c r="B1040" s="12" t="s">
        <v>1928</v>
      </c>
      <c r="C1040" s="19" t="s">
        <v>36</v>
      </c>
      <c r="D1040" s="19" t="s">
        <v>36</v>
      </c>
      <c r="E1040" s="19" t="s">
        <v>36</v>
      </c>
      <c r="F1040" s="19" t="s">
        <v>36</v>
      </c>
      <c r="G1040" s="15" t="s">
        <v>36</v>
      </c>
      <c r="H1040" s="14" t="s">
        <v>36</v>
      </c>
      <c r="I1040" s="18" t="s">
        <v>36</v>
      </c>
      <c r="J1040" s="12" t="s">
        <v>36</v>
      </c>
      <c r="K1040" s="13" t="s">
        <v>36</v>
      </c>
      <c r="L1040" s="15" t="s">
        <v>36</v>
      </c>
      <c r="M1040" s="12" t="s">
        <v>36</v>
      </c>
      <c r="N1040" s="12" t="s">
        <v>36</v>
      </c>
      <c r="O1040" s="17" t="s">
        <v>36</v>
      </c>
      <c r="P1040" s="12" t="s">
        <v>36</v>
      </c>
      <c r="Q1040" s="12" t="s">
        <v>36</v>
      </c>
      <c r="R1040" s="12" t="s">
        <v>36</v>
      </c>
      <c r="S1040" s="12" t="s">
        <v>36</v>
      </c>
      <c r="T1040" s="12" t="s">
        <v>1929</v>
      </c>
      <c r="U1040" s="12" t="s">
        <v>85</v>
      </c>
      <c r="V1040" s="12" t="s">
        <v>64</v>
      </c>
      <c r="W1040" s="12" t="s">
        <v>1930</v>
      </c>
      <c r="X1040" s="16" t="s">
        <v>6402</v>
      </c>
      <c r="Y1040" s="15" t="s">
        <v>42</v>
      </c>
      <c r="Z1040" s="14" t="s">
        <v>36</v>
      </c>
      <c r="AA1040" s="14" t="s">
        <v>36</v>
      </c>
      <c r="AB1040" s="12" t="s">
        <v>43</v>
      </c>
      <c r="AC1040" s="12" t="s">
        <v>1932</v>
      </c>
      <c r="AD1040" s="13">
        <v>45172</v>
      </c>
      <c r="AE1040" s="12" t="s">
        <v>89</v>
      </c>
      <c r="AF1040" s="12" t="s">
        <v>601</v>
      </c>
      <c r="AG1040" s="12" t="s">
        <v>983</v>
      </c>
      <c r="AH1040" s="1">
        <f>HYPERLINK("https://my.pitchbook.com?c=272431-99T","View Company Online")</f>
      </c>
    </row>
    <row r="1041">
      <c r="A1041" s="3" t="s">
        <v>6403</v>
      </c>
      <c r="B1041" s="3" t="s">
        <v>6404</v>
      </c>
      <c r="C1041" s="5" t="s">
        <v>36</v>
      </c>
      <c r="D1041" s="5" t="s">
        <v>36</v>
      </c>
      <c r="E1041" s="5" t="s">
        <v>36</v>
      </c>
      <c r="F1041" s="5" t="s">
        <v>36</v>
      </c>
      <c r="G1041" s="6" t="s">
        <v>36</v>
      </c>
      <c r="H1041" s="4" t="s">
        <v>36</v>
      </c>
      <c r="I1041" s="7" t="s">
        <v>36</v>
      </c>
      <c r="J1041" s="3" t="s">
        <v>36</v>
      </c>
      <c r="K1041" s="9" t="s">
        <v>36</v>
      </c>
      <c r="L1041" s="6" t="s">
        <v>122</v>
      </c>
      <c r="M1041" s="3" t="s">
        <v>36</v>
      </c>
      <c r="N1041" s="3" t="s">
        <v>122</v>
      </c>
      <c r="O1041" s="8" t="s">
        <v>36</v>
      </c>
      <c r="P1041" s="3" t="s">
        <v>36</v>
      </c>
      <c r="Q1041" s="3" t="s">
        <v>36</v>
      </c>
      <c r="R1041" s="3" t="s">
        <v>36</v>
      </c>
      <c r="S1041" s="3" t="s">
        <v>36</v>
      </c>
      <c r="T1041" s="3" t="s">
        <v>6299</v>
      </c>
      <c r="U1041" s="3" t="s">
        <v>728</v>
      </c>
      <c r="V1041" s="3" t="s">
        <v>64</v>
      </c>
      <c r="W1041" s="3" t="s">
        <v>6405</v>
      </c>
      <c r="X1041" s="10" t="s">
        <v>6406</v>
      </c>
      <c r="Y1041" s="6" t="s">
        <v>108</v>
      </c>
      <c r="Z1041" s="4">
        <v>4.36</v>
      </c>
      <c r="AA1041" s="4" t="s">
        <v>36</v>
      </c>
      <c r="AB1041" s="3" t="s">
        <v>43</v>
      </c>
      <c r="AC1041" s="3" t="s">
        <v>6407</v>
      </c>
      <c r="AD1041" s="9">
        <v>45170</v>
      </c>
      <c r="AE1041" s="3" t="s">
        <v>1600</v>
      </c>
      <c r="AF1041" s="3" t="s">
        <v>1061</v>
      </c>
      <c r="AG1041" s="3" t="s">
        <v>81</v>
      </c>
      <c r="AH1041" s="11">
        <f>HYPERLINK("https://my.pitchbook.com?c=241600-51T","View Company Online")</f>
      </c>
    </row>
    <row r="1042">
      <c r="A1042" s="12" t="s">
        <v>6408</v>
      </c>
      <c r="B1042" s="12" t="s">
        <v>6409</v>
      </c>
      <c r="C1042" s="19">
        <v>1</v>
      </c>
      <c r="D1042" s="19" t="s">
        <v>36</v>
      </c>
      <c r="E1042" s="19">
        <v>1</v>
      </c>
      <c r="F1042" s="19">
        <v>1</v>
      </c>
      <c r="G1042" s="15" t="s">
        <v>36</v>
      </c>
      <c r="H1042" s="14" t="s">
        <v>36</v>
      </c>
      <c r="I1042" s="18" t="s">
        <v>36</v>
      </c>
      <c r="J1042" s="12" t="s">
        <v>36</v>
      </c>
      <c r="K1042" s="13" t="s">
        <v>36</v>
      </c>
      <c r="L1042" s="15" t="s">
        <v>36</v>
      </c>
      <c r="M1042" s="12" t="s">
        <v>36</v>
      </c>
      <c r="N1042" s="12" t="s">
        <v>36</v>
      </c>
      <c r="O1042" s="17" t="s">
        <v>36</v>
      </c>
      <c r="P1042" s="12" t="s">
        <v>36</v>
      </c>
      <c r="Q1042" s="12" t="s">
        <v>36</v>
      </c>
      <c r="R1042" s="12" t="s">
        <v>36</v>
      </c>
      <c r="S1042" s="12" t="s">
        <v>36</v>
      </c>
      <c r="T1042" s="12" t="s">
        <v>1162</v>
      </c>
      <c r="U1042" s="12" t="s">
        <v>423</v>
      </c>
      <c r="V1042" s="12" t="s">
        <v>64</v>
      </c>
      <c r="W1042" s="12" t="s">
        <v>6410</v>
      </c>
      <c r="X1042" s="16" t="s">
        <v>4047</v>
      </c>
      <c r="Y1042" s="15" t="s">
        <v>42</v>
      </c>
      <c r="Z1042" s="14" t="s">
        <v>36</v>
      </c>
      <c r="AA1042" s="14" t="s">
        <v>36</v>
      </c>
      <c r="AB1042" s="12" t="s">
        <v>43</v>
      </c>
      <c r="AC1042" s="12" t="s">
        <v>6411</v>
      </c>
      <c r="AD1042" s="13">
        <v>45170</v>
      </c>
      <c r="AE1042" s="12" t="s">
        <v>562</v>
      </c>
      <c r="AF1042" s="12" t="s">
        <v>1061</v>
      </c>
      <c r="AG1042" s="12" t="s">
        <v>81</v>
      </c>
      <c r="AH1042" s="1">
        <f>HYPERLINK("https://my.pitchbook.com?c=253152-37T","View Company Online")</f>
      </c>
    </row>
    <row r="1043">
      <c r="A1043" s="3" t="s">
        <v>6412</v>
      </c>
      <c r="B1043" s="3" t="s">
        <v>6413</v>
      </c>
      <c r="C1043" s="5" t="s">
        <v>36</v>
      </c>
      <c r="D1043" s="5" t="s">
        <v>36</v>
      </c>
      <c r="E1043" s="5" t="s">
        <v>36</v>
      </c>
      <c r="F1043" s="5" t="s">
        <v>36</v>
      </c>
      <c r="G1043" s="6" t="s">
        <v>36</v>
      </c>
      <c r="H1043" s="4">
        <v>3404.83</v>
      </c>
      <c r="I1043" s="7">
        <v>17.39</v>
      </c>
      <c r="J1043" s="3" t="s">
        <v>521</v>
      </c>
      <c r="K1043" s="9" t="s">
        <v>36</v>
      </c>
      <c r="L1043" s="6" t="s">
        <v>36</v>
      </c>
      <c r="M1043" s="3" t="s">
        <v>36</v>
      </c>
      <c r="N1043" s="3" t="s">
        <v>36</v>
      </c>
      <c r="O1043" s="8" t="s">
        <v>36</v>
      </c>
      <c r="P1043" s="3" t="s">
        <v>36</v>
      </c>
      <c r="Q1043" s="3" t="s">
        <v>36</v>
      </c>
      <c r="R1043" s="3" t="s">
        <v>36</v>
      </c>
      <c r="S1043" s="3" t="s">
        <v>36</v>
      </c>
      <c r="T1043" s="3" t="s">
        <v>1738</v>
      </c>
      <c r="U1043" s="3" t="s">
        <v>74</v>
      </c>
      <c r="V1043" s="3" t="s">
        <v>75</v>
      </c>
      <c r="W1043" s="3" t="s">
        <v>6414</v>
      </c>
      <c r="X1043" s="10" t="s">
        <v>6415</v>
      </c>
      <c r="Y1043" s="6" t="s">
        <v>42</v>
      </c>
      <c r="Z1043" s="4">
        <v>0.97</v>
      </c>
      <c r="AA1043" s="4">
        <v>5.55</v>
      </c>
      <c r="AB1043" s="3" t="s">
        <v>56</v>
      </c>
      <c r="AC1043" s="3" t="s">
        <v>6416</v>
      </c>
      <c r="AD1043" s="9">
        <v>45170</v>
      </c>
      <c r="AE1043" s="3" t="s">
        <v>975</v>
      </c>
      <c r="AF1043" s="3" t="s">
        <v>6417</v>
      </c>
      <c r="AG1043" s="3" t="s">
        <v>6418</v>
      </c>
      <c r="AH1043" s="11">
        <f>HYPERLINK("https://my.pitchbook.com?c=241870-24T","View Company Online")</f>
      </c>
    </row>
    <row r="1044">
      <c r="A1044" s="12" t="s">
        <v>6419</v>
      </c>
      <c r="B1044" s="12" t="s">
        <v>6420</v>
      </c>
      <c r="C1044" s="19" t="s">
        <v>36</v>
      </c>
      <c r="D1044" s="19">
        <v>7</v>
      </c>
      <c r="E1044" s="19">
        <v>1</v>
      </c>
      <c r="F1044" s="19">
        <v>7</v>
      </c>
      <c r="G1044" s="15" t="s">
        <v>36</v>
      </c>
      <c r="H1044" s="14" t="s">
        <v>36</v>
      </c>
      <c r="I1044" s="18" t="s">
        <v>36</v>
      </c>
      <c r="J1044" s="12" t="s">
        <v>36</v>
      </c>
      <c r="K1044" s="13" t="s">
        <v>36</v>
      </c>
      <c r="L1044" s="15" t="s">
        <v>36</v>
      </c>
      <c r="M1044" s="12" t="s">
        <v>36</v>
      </c>
      <c r="N1044" s="12" t="s">
        <v>36</v>
      </c>
      <c r="O1044" s="17" t="s">
        <v>36</v>
      </c>
      <c r="P1044" s="12" t="s">
        <v>36</v>
      </c>
      <c r="Q1044" s="12" t="s">
        <v>36</v>
      </c>
      <c r="R1044" s="12" t="s">
        <v>36</v>
      </c>
      <c r="S1044" s="12" t="s">
        <v>36</v>
      </c>
      <c r="T1044" s="12" t="s">
        <v>4917</v>
      </c>
      <c r="U1044" s="12" t="s">
        <v>38</v>
      </c>
      <c r="V1044" s="12" t="s">
        <v>39</v>
      </c>
      <c r="W1044" s="12" t="s">
        <v>6421</v>
      </c>
      <c r="X1044" s="16" t="s">
        <v>6422</v>
      </c>
      <c r="Y1044" s="15" t="s">
        <v>55</v>
      </c>
      <c r="Z1044" s="14" t="s">
        <v>36</v>
      </c>
      <c r="AA1044" s="14" t="s">
        <v>36</v>
      </c>
      <c r="AB1044" s="12" t="s">
        <v>56</v>
      </c>
      <c r="AC1044" s="12" t="s">
        <v>6423</v>
      </c>
      <c r="AD1044" s="13">
        <v>45170</v>
      </c>
      <c r="AE1044" s="12" t="s">
        <v>134</v>
      </c>
      <c r="AF1044" s="12" t="s">
        <v>135</v>
      </c>
      <c r="AG1044" s="12" t="s">
        <v>81</v>
      </c>
      <c r="AH1044" s="1">
        <f>HYPERLINK("https://my.pitchbook.com?c=241973-74T","View Company Online")</f>
      </c>
    </row>
    <row r="1045">
      <c r="A1045" s="3" t="s">
        <v>6424</v>
      </c>
      <c r="B1045" s="3" t="s">
        <v>6425</v>
      </c>
      <c r="C1045" s="5" t="s">
        <v>36</v>
      </c>
      <c r="D1045" s="5" t="s">
        <v>36</v>
      </c>
      <c r="E1045" s="5" t="s">
        <v>36</v>
      </c>
      <c r="F1045" s="5" t="s">
        <v>36</v>
      </c>
      <c r="G1045" s="6" t="s">
        <v>683</v>
      </c>
      <c r="H1045" s="4">
        <v>311.57</v>
      </c>
      <c r="I1045" s="7">
        <v>37.31</v>
      </c>
      <c r="J1045" s="3" t="s">
        <v>521</v>
      </c>
      <c r="K1045" s="9">
        <v>44571</v>
      </c>
      <c r="L1045" s="6" t="s">
        <v>36</v>
      </c>
      <c r="M1045" s="3" t="s">
        <v>36</v>
      </c>
      <c r="N1045" s="3" t="s">
        <v>36</v>
      </c>
      <c r="O1045" s="8" t="s">
        <v>36</v>
      </c>
      <c r="P1045" s="3" t="s">
        <v>36</v>
      </c>
      <c r="Q1045" s="3" t="s">
        <v>36</v>
      </c>
      <c r="R1045" s="3" t="s">
        <v>36</v>
      </c>
      <c r="S1045" s="3" t="s">
        <v>36</v>
      </c>
      <c r="T1045" s="3" t="s">
        <v>6426</v>
      </c>
      <c r="U1045" s="3" t="s">
        <v>318</v>
      </c>
      <c r="V1045" s="3" t="s">
        <v>39</v>
      </c>
      <c r="W1045" s="3" t="s">
        <v>6427</v>
      </c>
      <c r="X1045" s="10" t="s">
        <v>6428</v>
      </c>
      <c r="Y1045" s="6" t="s">
        <v>108</v>
      </c>
      <c r="Z1045" s="4">
        <v>1.11</v>
      </c>
      <c r="AA1045" s="4">
        <v>2.96</v>
      </c>
      <c r="AB1045" s="3" t="s">
        <v>43</v>
      </c>
      <c r="AC1045" s="3" t="s">
        <v>6429</v>
      </c>
      <c r="AD1045" s="9">
        <v>45170</v>
      </c>
      <c r="AE1045" s="3" t="s">
        <v>1020</v>
      </c>
      <c r="AF1045" s="3" t="s">
        <v>571</v>
      </c>
      <c r="AG1045" s="3" t="s">
        <v>332</v>
      </c>
      <c r="AH1045" s="11">
        <f>HYPERLINK("https://my.pitchbook.com?c=186365-44T","View Company Online")</f>
      </c>
    </row>
    <row r="1046">
      <c r="A1046" s="12" t="s">
        <v>6430</v>
      </c>
      <c r="B1046" s="12" t="s">
        <v>6431</v>
      </c>
      <c r="C1046" s="19" t="s">
        <v>36</v>
      </c>
      <c r="D1046" s="19" t="s">
        <v>36</v>
      </c>
      <c r="E1046" s="19" t="s">
        <v>36</v>
      </c>
      <c r="F1046" s="19" t="s">
        <v>36</v>
      </c>
      <c r="G1046" s="15" t="s">
        <v>36</v>
      </c>
      <c r="H1046" s="14" t="s">
        <v>36</v>
      </c>
      <c r="I1046" s="18" t="s">
        <v>36</v>
      </c>
      <c r="J1046" s="12" t="s">
        <v>36</v>
      </c>
      <c r="K1046" s="13" t="s">
        <v>36</v>
      </c>
      <c r="L1046" s="15" t="s">
        <v>36</v>
      </c>
      <c r="M1046" s="12" t="s">
        <v>36</v>
      </c>
      <c r="N1046" s="12" t="s">
        <v>36</v>
      </c>
      <c r="O1046" s="17" t="s">
        <v>36</v>
      </c>
      <c r="P1046" s="12" t="s">
        <v>36</v>
      </c>
      <c r="Q1046" s="12" t="s">
        <v>36</v>
      </c>
      <c r="R1046" s="12" t="s">
        <v>36</v>
      </c>
      <c r="S1046" s="12" t="s">
        <v>36</v>
      </c>
      <c r="T1046" s="12" t="s">
        <v>522</v>
      </c>
      <c r="U1046" s="12" t="s">
        <v>38</v>
      </c>
      <c r="V1046" s="12" t="s">
        <v>39</v>
      </c>
      <c r="W1046" s="12" t="s">
        <v>6432</v>
      </c>
      <c r="X1046" s="16" t="s">
        <v>6433</v>
      </c>
      <c r="Y1046" s="15" t="s">
        <v>55</v>
      </c>
      <c r="Z1046" s="14" t="s">
        <v>36</v>
      </c>
      <c r="AA1046" s="14" t="s">
        <v>36</v>
      </c>
      <c r="AB1046" s="12" t="s">
        <v>43</v>
      </c>
      <c r="AC1046" s="12" t="s">
        <v>6434</v>
      </c>
      <c r="AD1046" s="13">
        <v>45170</v>
      </c>
      <c r="AE1046" s="12" t="s">
        <v>110</v>
      </c>
      <c r="AF1046" s="12" t="s">
        <v>256</v>
      </c>
      <c r="AG1046" s="12" t="s">
        <v>81</v>
      </c>
      <c r="AH1046" s="1">
        <f>HYPERLINK("https://my.pitchbook.com?c=241135-75T","View Company Online")</f>
      </c>
    </row>
    <row r="1047">
      <c r="A1047" s="3" t="s">
        <v>6435</v>
      </c>
      <c r="B1047" s="3" t="s">
        <v>6436</v>
      </c>
      <c r="C1047" s="5" t="s">
        <v>36</v>
      </c>
      <c r="D1047" s="5" t="s">
        <v>36</v>
      </c>
      <c r="E1047" s="5" t="s">
        <v>36</v>
      </c>
      <c r="F1047" s="5" t="s">
        <v>36</v>
      </c>
      <c r="G1047" s="6" t="s">
        <v>36</v>
      </c>
      <c r="H1047" s="4" t="s">
        <v>36</v>
      </c>
      <c r="I1047" s="7" t="s">
        <v>36</v>
      </c>
      <c r="J1047" s="3" t="s">
        <v>36</v>
      </c>
      <c r="K1047" s="9" t="s">
        <v>36</v>
      </c>
      <c r="L1047" s="6" t="s">
        <v>122</v>
      </c>
      <c r="M1047" s="3" t="s">
        <v>36</v>
      </c>
      <c r="N1047" s="3" t="s">
        <v>122</v>
      </c>
      <c r="O1047" s="8" t="s">
        <v>36</v>
      </c>
      <c r="P1047" s="3" t="s">
        <v>36</v>
      </c>
      <c r="Q1047" s="3" t="s">
        <v>36</v>
      </c>
      <c r="R1047" s="3" t="s">
        <v>36</v>
      </c>
      <c r="S1047" s="3" t="s">
        <v>36</v>
      </c>
      <c r="T1047" s="3" t="s">
        <v>1260</v>
      </c>
      <c r="U1047" s="3" t="s">
        <v>38</v>
      </c>
      <c r="V1047" s="3" t="s">
        <v>39</v>
      </c>
      <c r="W1047" s="3" t="s">
        <v>6437</v>
      </c>
      <c r="X1047" s="10" t="s">
        <v>6438</v>
      </c>
      <c r="Y1047" s="6" t="s">
        <v>55</v>
      </c>
      <c r="Z1047" s="4">
        <v>10.91</v>
      </c>
      <c r="AA1047" s="4" t="s">
        <v>36</v>
      </c>
      <c r="AB1047" s="3" t="s">
        <v>43</v>
      </c>
      <c r="AC1047" s="3" t="s">
        <v>6439</v>
      </c>
      <c r="AD1047" s="9">
        <v>45170</v>
      </c>
      <c r="AE1047" s="3" t="s">
        <v>110</v>
      </c>
      <c r="AF1047" s="3" t="s">
        <v>111</v>
      </c>
      <c r="AG1047" s="3" t="s">
        <v>81</v>
      </c>
      <c r="AH1047" s="11">
        <f>HYPERLINK("https://my.pitchbook.com?c=233286-67T","View Company Online")</f>
      </c>
    </row>
    <row r="1048">
      <c r="A1048" s="12" t="s">
        <v>6440</v>
      </c>
      <c r="B1048" s="12" t="s">
        <v>6441</v>
      </c>
      <c r="C1048" s="19" t="s">
        <v>36</v>
      </c>
      <c r="D1048" s="19" t="s">
        <v>36</v>
      </c>
      <c r="E1048" s="19" t="s">
        <v>36</v>
      </c>
      <c r="F1048" s="19" t="s">
        <v>36</v>
      </c>
      <c r="G1048" s="15" t="s">
        <v>36</v>
      </c>
      <c r="H1048" s="14" t="s">
        <v>36</v>
      </c>
      <c r="I1048" s="18" t="s">
        <v>36</v>
      </c>
      <c r="J1048" s="12" t="s">
        <v>36</v>
      </c>
      <c r="K1048" s="13" t="s">
        <v>36</v>
      </c>
      <c r="L1048" s="15" t="s">
        <v>36</v>
      </c>
      <c r="M1048" s="12" t="s">
        <v>36</v>
      </c>
      <c r="N1048" s="12" t="s">
        <v>36</v>
      </c>
      <c r="O1048" s="17" t="s">
        <v>36</v>
      </c>
      <c r="P1048" s="12" t="s">
        <v>36</v>
      </c>
      <c r="Q1048" s="12" t="s">
        <v>36</v>
      </c>
      <c r="R1048" s="12" t="s">
        <v>36</v>
      </c>
      <c r="S1048" s="12" t="s">
        <v>36</v>
      </c>
      <c r="T1048" s="12" t="s">
        <v>1344</v>
      </c>
      <c r="U1048" s="12" t="s">
        <v>38</v>
      </c>
      <c r="V1048" s="12" t="s">
        <v>39</v>
      </c>
      <c r="W1048" s="12" t="s">
        <v>6442</v>
      </c>
      <c r="X1048" s="16" t="s">
        <v>6443</v>
      </c>
      <c r="Y1048" s="15" t="s">
        <v>108</v>
      </c>
      <c r="Z1048" s="14" t="s">
        <v>36</v>
      </c>
      <c r="AA1048" s="14" t="s">
        <v>36</v>
      </c>
      <c r="AB1048" s="12" t="s">
        <v>43</v>
      </c>
      <c r="AC1048" s="12" t="s">
        <v>6444</v>
      </c>
      <c r="AD1048" s="13">
        <v>45170</v>
      </c>
      <c r="AE1048" s="12" t="s">
        <v>110</v>
      </c>
      <c r="AF1048" s="12" t="s">
        <v>680</v>
      </c>
      <c r="AG1048" s="12" t="s">
        <v>81</v>
      </c>
      <c r="AH1048" s="1">
        <f>HYPERLINK("https://my.pitchbook.com?c=241738-66T","View Company Online")</f>
      </c>
    </row>
    <row r="1049">
      <c r="A1049" s="3" t="s">
        <v>6445</v>
      </c>
      <c r="B1049" s="3" t="s">
        <v>6446</v>
      </c>
      <c r="C1049" s="5">
        <v>2</v>
      </c>
      <c r="D1049" s="5" t="s">
        <v>36</v>
      </c>
      <c r="E1049" s="5">
        <v>2</v>
      </c>
      <c r="F1049" s="5">
        <v>2</v>
      </c>
      <c r="G1049" s="6" t="s">
        <v>36</v>
      </c>
      <c r="H1049" s="4" t="s">
        <v>36</v>
      </c>
      <c r="I1049" s="7" t="s">
        <v>36</v>
      </c>
      <c r="J1049" s="3" t="s">
        <v>36</v>
      </c>
      <c r="K1049" s="9">
        <v>45167</v>
      </c>
      <c r="L1049" s="6" t="s">
        <v>122</v>
      </c>
      <c r="M1049" s="3" t="s">
        <v>36</v>
      </c>
      <c r="N1049" s="3" t="s">
        <v>122</v>
      </c>
      <c r="O1049" s="8" t="s">
        <v>36</v>
      </c>
      <c r="P1049" s="3" t="s">
        <v>36</v>
      </c>
      <c r="Q1049" s="3" t="s">
        <v>36</v>
      </c>
      <c r="R1049" s="3" t="s">
        <v>36</v>
      </c>
      <c r="S1049" s="3" t="s">
        <v>36</v>
      </c>
      <c r="T1049" s="3" t="s">
        <v>881</v>
      </c>
      <c r="U1049" s="3" t="s">
        <v>51</v>
      </c>
      <c r="V1049" s="3" t="s">
        <v>52</v>
      </c>
      <c r="W1049" s="3" t="s">
        <v>6447</v>
      </c>
      <c r="X1049" s="10" t="s">
        <v>6448</v>
      </c>
      <c r="Y1049" s="6" t="s">
        <v>192</v>
      </c>
      <c r="Z1049" s="4">
        <v>0.65</v>
      </c>
      <c r="AA1049" s="4" t="s">
        <v>36</v>
      </c>
      <c r="AB1049" s="3" t="s">
        <v>56</v>
      </c>
      <c r="AC1049" s="3" t="s">
        <v>6449</v>
      </c>
      <c r="AD1049" s="9">
        <v>45170</v>
      </c>
      <c r="AE1049" s="3" t="s">
        <v>504</v>
      </c>
      <c r="AF1049" s="3" t="s">
        <v>665</v>
      </c>
      <c r="AG1049" s="3" t="s">
        <v>81</v>
      </c>
      <c r="AH1049" s="11">
        <f>HYPERLINK("https://my.pitchbook.com?c=234966-43T","View Company Online")</f>
      </c>
    </row>
    <row r="1050">
      <c r="A1050" s="12" t="s">
        <v>6450</v>
      </c>
      <c r="B1050" s="12" t="s">
        <v>6451</v>
      </c>
      <c r="C1050" s="19" t="s">
        <v>36</v>
      </c>
      <c r="D1050" s="19" t="s">
        <v>36</v>
      </c>
      <c r="E1050" s="19" t="s">
        <v>36</v>
      </c>
      <c r="F1050" s="19" t="s">
        <v>36</v>
      </c>
      <c r="G1050" s="15" t="s">
        <v>36</v>
      </c>
      <c r="H1050" s="14" t="s">
        <v>36</v>
      </c>
      <c r="I1050" s="18" t="s">
        <v>36</v>
      </c>
      <c r="J1050" s="12" t="s">
        <v>36</v>
      </c>
      <c r="K1050" s="13" t="s">
        <v>36</v>
      </c>
      <c r="L1050" s="15" t="s">
        <v>36</v>
      </c>
      <c r="M1050" s="12" t="s">
        <v>36</v>
      </c>
      <c r="N1050" s="12" t="s">
        <v>36</v>
      </c>
      <c r="O1050" s="17" t="s">
        <v>36</v>
      </c>
      <c r="P1050" s="12" t="s">
        <v>36</v>
      </c>
      <c r="Q1050" s="12" t="s">
        <v>36</v>
      </c>
      <c r="R1050" s="12" t="s">
        <v>36</v>
      </c>
      <c r="S1050" s="12" t="s">
        <v>36</v>
      </c>
      <c r="T1050" s="12" t="s">
        <v>811</v>
      </c>
      <c r="U1050" s="12" t="s">
        <v>38</v>
      </c>
      <c r="V1050" s="12" t="s">
        <v>39</v>
      </c>
      <c r="W1050" s="12" t="s">
        <v>6452</v>
      </c>
      <c r="X1050" s="16" t="s">
        <v>6453</v>
      </c>
      <c r="Y1050" s="15" t="s">
        <v>42</v>
      </c>
      <c r="Z1050" s="14" t="s">
        <v>36</v>
      </c>
      <c r="AA1050" s="14" t="s">
        <v>36</v>
      </c>
      <c r="AB1050" s="12" t="s">
        <v>43</v>
      </c>
      <c r="AC1050" s="12" t="s">
        <v>6454</v>
      </c>
      <c r="AD1050" s="13">
        <v>45170</v>
      </c>
      <c r="AE1050" s="12" t="s">
        <v>339</v>
      </c>
      <c r="AF1050" s="12" t="s">
        <v>176</v>
      </c>
      <c r="AG1050" s="12" t="s">
        <v>81</v>
      </c>
      <c r="AH1050" s="1">
        <f>HYPERLINK("https://my.pitchbook.com?c=241977-88T","View Company Online")</f>
      </c>
    </row>
    <row r="1051">
      <c r="A1051" s="3" t="s">
        <v>6455</v>
      </c>
      <c r="B1051" s="3" t="s">
        <v>6456</v>
      </c>
      <c r="C1051" s="5" t="s">
        <v>36</v>
      </c>
      <c r="D1051" s="5" t="s">
        <v>36</v>
      </c>
      <c r="E1051" s="5" t="s">
        <v>36</v>
      </c>
      <c r="F1051" s="5" t="s">
        <v>36</v>
      </c>
      <c r="G1051" s="6" t="s">
        <v>326</v>
      </c>
      <c r="H1051" s="4">
        <v>830.85</v>
      </c>
      <c r="I1051" s="7">
        <v>6.62</v>
      </c>
      <c r="J1051" s="3" t="s">
        <v>521</v>
      </c>
      <c r="K1051" s="9" t="s">
        <v>36</v>
      </c>
      <c r="L1051" s="6" t="s">
        <v>36</v>
      </c>
      <c r="M1051" s="3" t="s">
        <v>36</v>
      </c>
      <c r="N1051" s="3" t="s">
        <v>36</v>
      </c>
      <c r="O1051" s="8" t="s">
        <v>36</v>
      </c>
      <c r="P1051" s="3" t="s">
        <v>36</v>
      </c>
      <c r="Q1051" s="3" t="s">
        <v>36</v>
      </c>
      <c r="R1051" s="3" t="s">
        <v>36</v>
      </c>
      <c r="S1051" s="3" t="s">
        <v>36</v>
      </c>
      <c r="T1051" s="3" t="s">
        <v>3270</v>
      </c>
      <c r="U1051" s="3" t="s">
        <v>1336</v>
      </c>
      <c r="V1051" s="3" t="s">
        <v>367</v>
      </c>
      <c r="W1051" s="3" t="s">
        <v>6457</v>
      </c>
      <c r="X1051" s="10" t="s">
        <v>6458</v>
      </c>
      <c r="Y1051" s="6" t="s">
        <v>55</v>
      </c>
      <c r="Z1051" s="4">
        <v>5.17</v>
      </c>
      <c r="AA1051" s="4">
        <v>78.14</v>
      </c>
      <c r="AB1051" s="3" t="s">
        <v>56</v>
      </c>
      <c r="AC1051" s="3" t="s">
        <v>6459</v>
      </c>
      <c r="AD1051" s="9">
        <v>45169</v>
      </c>
      <c r="AE1051" s="3" t="s">
        <v>2464</v>
      </c>
      <c r="AF1051" s="3" t="s">
        <v>982</v>
      </c>
      <c r="AG1051" s="3" t="s">
        <v>81</v>
      </c>
      <c r="AH1051" s="11">
        <f>HYPERLINK("https://my.pitchbook.com?c=244430-65T","View Company Online")</f>
      </c>
    </row>
    <row r="1052">
      <c r="A1052" s="12" t="s">
        <v>6460</v>
      </c>
      <c r="B1052" s="12" t="s">
        <v>6461</v>
      </c>
      <c r="C1052" s="19" t="s">
        <v>36</v>
      </c>
      <c r="D1052" s="19" t="s">
        <v>36</v>
      </c>
      <c r="E1052" s="19" t="s">
        <v>36</v>
      </c>
      <c r="F1052" s="19" t="s">
        <v>36</v>
      </c>
      <c r="G1052" s="15" t="s">
        <v>36</v>
      </c>
      <c r="H1052" s="14" t="s">
        <v>36</v>
      </c>
      <c r="I1052" s="18" t="s">
        <v>36</v>
      </c>
      <c r="J1052" s="12" t="s">
        <v>36</v>
      </c>
      <c r="K1052" s="13" t="s">
        <v>36</v>
      </c>
      <c r="L1052" s="15" t="s">
        <v>122</v>
      </c>
      <c r="M1052" s="12" t="s">
        <v>36</v>
      </c>
      <c r="N1052" s="12" t="s">
        <v>122</v>
      </c>
      <c r="O1052" s="17" t="s">
        <v>36</v>
      </c>
      <c r="P1052" s="12" t="s">
        <v>36</v>
      </c>
      <c r="Q1052" s="12" t="s">
        <v>36</v>
      </c>
      <c r="R1052" s="12" t="s">
        <v>36</v>
      </c>
      <c r="S1052" s="12" t="s">
        <v>36</v>
      </c>
      <c r="T1052" s="12" t="s">
        <v>6462</v>
      </c>
      <c r="U1052" s="12" t="s">
        <v>1357</v>
      </c>
      <c r="V1052" s="12" t="s">
        <v>52</v>
      </c>
      <c r="W1052" s="12" t="s">
        <v>6463</v>
      </c>
      <c r="X1052" s="16" t="s">
        <v>6464</v>
      </c>
      <c r="Y1052" s="15" t="s">
        <v>108</v>
      </c>
      <c r="Z1052" s="14">
        <v>10.91</v>
      </c>
      <c r="AA1052" s="14" t="s">
        <v>36</v>
      </c>
      <c r="AB1052" s="12" t="s">
        <v>43</v>
      </c>
      <c r="AC1052" s="12" t="s">
        <v>6465</v>
      </c>
      <c r="AD1052" s="13">
        <v>45169</v>
      </c>
      <c r="AE1052" s="12" t="s">
        <v>2808</v>
      </c>
      <c r="AF1052" s="12" t="s">
        <v>6466</v>
      </c>
      <c r="AG1052" s="12" t="s">
        <v>81</v>
      </c>
      <c r="AH1052" s="1">
        <f>HYPERLINK("https://my.pitchbook.com?c=235009-09T","View Company Online")</f>
      </c>
    </row>
    <row r="1053">
      <c r="A1053" s="3" t="s">
        <v>6467</v>
      </c>
      <c r="B1053" s="3" t="s">
        <v>6468</v>
      </c>
      <c r="C1053" s="5" t="s">
        <v>36</v>
      </c>
      <c r="D1053" s="5" t="s">
        <v>36</v>
      </c>
      <c r="E1053" s="5" t="s">
        <v>36</v>
      </c>
      <c r="F1053" s="5" t="s">
        <v>36</v>
      </c>
      <c r="G1053" s="6" t="s">
        <v>326</v>
      </c>
      <c r="H1053" s="4">
        <v>92.07</v>
      </c>
      <c r="I1053" s="7">
        <v>27.42</v>
      </c>
      <c r="J1053" s="3" t="s">
        <v>521</v>
      </c>
      <c r="K1053" s="9" t="s">
        <v>36</v>
      </c>
      <c r="L1053" s="6" t="s">
        <v>122</v>
      </c>
      <c r="M1053" s="3" t="s">
        <v>36</v>
      </c>
      <c r="N1053" s="3" t="s">
        <v>122</v>
      </c>
      <c r="O1053" s="8" t="s">
        <v>36</v>
      </c>
      <c r="P1053" s="3" t="s">
        <v>36</v>
      </c>
      <c r="Q1053" s="3" t="s">
        <v>36</v>
      </c>
      <c r="R1053" s="3" t="s">
        <v>36</v>
      </c>
      <c r="S1053" s="3" t="s">
        <v>36</v>
      </c>
      <c r="T1053" s="3" t="s">
        <v>6469</v>
      </c>
      <c r="U1053" s="3" t="s">
        <v>956</v>
      </c>
      <c r="V1053" s="3" t="s">
        <v>405</v>
      </c>
      <c r="W1053" s="3" t="s">
        <v>6470</v>
      </c>
      <c r="X1053" s="10" t="s">
        <v>6471</v>
      </c>
      <c r="Y1053" s="6" t="s">
        <v>108</v>
      </c>
      <c r="Z1053" s="4">
        <v>12.01</v>
      </c>
      <c r="AA1053" s="4">
        <v>33.83</v>
      </c>
      <c r="AB1053" s="3" t="s">
        <v>43</v>
      </c>
      <c r="AC1053" s="3" t="s">
        <v>6472</v>
      </c>
      <c r="AD1053" s="9">
        <v>45168</v>
      </c>
      <c r="AE1053" s="3" t="s">
        <v>1851</v>
      </c>
      <c r="AF1053" s="3" t="s">
        <v>1545</v>
      </c>
      <c r="AG1053" s="3" t="s">
        <v>81</v>
      </c>
      <c r="AH1053" s="11">
        <f>HYPERLINK("https://my.pitchbook.com?c=234905-23T","View Company Online")</f>
      </c>
    </row>
    <row r="1054">
      <c r="A1054" s="12" t="s">
        <v>6473</v>
      </c>
      <c r="B1054" s="12" t="s">
        <v>6474</v>
      </c>
      <c r="C1054" s="19">
        <v>1</v>
      </c>
      <c r="D1054" s="19" t="s">
        <v>36</v>
      </c>
      <c r="E1054" s="19">
        <v>1</v>
      </c>
      <c r="F1054" s="19">
        <v>1</v>
      </c>
      <c r="G1054" s="15" t="s">
        <v>36</v>
      </c>
      <c r="H1054" s="14" t="s">
        <v>36</v>
      </c>
      <c r="I1054" s="18" t="s">
        <v>36</v>
      </c>
      <c r="J1054" s="12" t="s">
        <v>36</v>
      </c>
      <c r="K1054" s="13" t="s">
        <v>36</v>
      </c>
      <c r="L1054" s="15" t="s">
        <v>36</v>
      </c>
      <c r="M1054" s="12" t="s">
        <v>36</v>
      </c>
      <c r="N1054" s="12" t="s">
        <v>36</v>
      </c>
      <c r="O1054" s="17" t="s">
        <v>36</v>
      </c>
      <c r="P1054" s="12" t="s">
        <v>36</v>
      </c>
      <c r="Q1054" s="12" t="s">
        <v>36</v>
      </c>
      <c r="R1054" s="12" t="s">
        <v>36</v>
      </c>
      <c r="S1054" s="12" t="s">
        <v>36</v>
      </c>
      <c r="T1054" s="12" t="s">
        <v>522</v>
      </c>
      <c r="U1054" s="12" t="s">
        <v>38</v>
      </c>
      <c r="V1054" s="12" t="s">
        <v>39</v>
      </c>
      <c r="W1054" s="12" t="s">
        <v>6475</v>
      </c>
      <c r="X1054" s="16" t="s">
        <v>6476</v>
      </c>
      <c r="Y1054" s="15" t="s">
        <v>108</v>
      </c>
      <c r="Z1054" s="14">
        <v>1.31</v>
      </c>
      <c r="AA1054" s="14" t="s">
        <v>36</v>
      </c>
      <c r="AB1054" s="12" t="s">
        <v>43</v>
      </c>
      <c r="AC1054" s="12" t="s">
        <v>6477</v>
      </c>
      <c r="AD1054" s="13">
        <v>45168</v>
      </c>
      <c r="AE1054" s="12" t="s">
        <v>110</v>
      </c>
      <c r="AF1054" s="12" t="s">
        <v>111</v>
      </c>
      <c r="AG1054" s="12" t="s">
        <v>741</v>
      </c>
      <c r="AH1054" s="1">
        <f>HYPERLINK("https://my.pitchbook.com?c=234942-67T","View Company Online")</f>
      </c>
    </row>
    <row r="1055">
      <c r="A1055" s="3" t="s">
        <v>6478</v>
      </c>
      <c r="B1055" s="3" t="s">
        <v>6479</v>
      </c>
      <c r="C1055" s="5" t="s">
        <v>36</v>
      </c>
      <c r="D1055" s="5" t="s">
        <v>36</v>
      </c>
      <c r="E1055" s="5" t="s">
        <v>36</v>
      </c>
      <c r="F1055" s="5" t="s">
        <v>36</v>
      </c>
      <c r="G1055" s="6" t="s">
        <v>36</v>
      </c>
      <c r="H1055" s="4" t="s">
        <v>36</v>
      </c>
      <c r="I1055" s="7" t="s">
        <v>36</v>
      </c>
      <c r="J1055" s="3" t="s">
        <v>36</v>
      </c>
      <c r="K1055" s="9" t="s">
        <v>36</v>
      </c>
      <c r="L1055" s="6" t="s">
        <v>36</v>
      </c>
      <c r="M1055" s="3" t="s">
        <v>36</v>
      </c>
      <c r="N1055" s="3" t="s">
        <v>36</v>
      </c>
      <c r="O1055" s="8" t="s">
        <v>36</v>
      </c>
      <c r="P1055" s="3" t="s">
        <v>36</v>
      </c>
      <c r="Q1055" s="3" t="s">
        <v>36</v>
      </c>
      <c r="R1055" s="3" t="s">
        <v>36</v>
      </c>
      <c r="S1055" s="3" t="s">
        <v>36</v>
      </c>
      <c r="T1055" s="3" t="s">
        <v>6480</v>
      </c>
      <c r="U1055" s="3" t="s">
        <v>74</v>
      </c>
      <c r="V1055" s="3" t="s">
        <v>75</v>
      </c>
      <c r="W1055" s="3" t="s">
        <v>6481</v>
      </c>
      <c r="X1055" s="10" t="s">
        <v>6482</v>
      </c>
      <c r="Y1055" s="6" t="s">
        <v>42</v>
      </c>
      <c r="Z1055" s="4" t="s">
        <v>36</v>
      </c>
      <c r="AA1055" s="4" t="s">
        <v>36</v>
      </c>
      <c r="AB1055" s="3" t="s">
        <v>43</v>
      </c>
      <c r="AC1055" s="3" t="s">
        <v>6483</v>
      </c>
      <c r="AD1055" s="9">
        <v>45167</v>
      </c>
      <c r="AE1055" s="3" t="s">
        <v>570</v>
      </c>
      <c r="AF1055" s="3" t="s">
        <v>372</v>
      </c>
      <c r="AG1055" s="3" t="s">
        <v>144</v>
      </c>
      <c r="AH1055" s="11">
        <f>HYPERLINK("https://my.pitchbook.com?c=234975-52T","View Company Online")</f>
      </c>
    </row>
    <row r="1056">
      <c r="A1056" s="12" t="s">
        <v>6484</v>
      </c>
      <c r="B1056" s="12" t="s">
        <v>6485</v>
      </c>
      <c r="C1056" s="19" t="s">
        <v>36</v>
      </c>
      <c r="D1056" s="19" t="s">
        <v>36</v>
      </c>
      <c r="E1056" s="19" t="s">
        <v>36</v>
      </c>
      <c r="F1056" s="19" t="s">
        <v>36</v>
      </c>
      <c r="G1056" s="15" t="s">
        <v>36</v>
      </c>
      <c r="H1056" s="14" t="s">
        <v>36</v>
      </c>
      <c r="I1056" s="18" t="s">
        <v>36</v>
      </c>
      <c r="J1056" s="12" t="s">
        <v>36</v>
      </c>
      <c r="K1056" s="13" t="s">
        <v>36</v>
      </c>
      <c r="L1056" s="15" t="s">
        <v>94</v>
      </c>
      <c r="M1056" s="12" t="s">
        <v>36</v>
      </c>
      <c r="N1056" s="12" t="s">
        <v>94</v>
      </c>
      <c r="O1056" s="17" t="s">
        <v>36</v>
      </c>
      <c r="P1056" s="12" t="s">
        <v>36</v>
      </c>
      <c r="Q1056" s="12" t="s">
        <v>36</v>
      </c>
      <c r="R1056" s="12" t="s">
        <v>36</v>
      </c>
      <c r="S1056" s="12" t="s">
        <v>36</v>
      </c>
      <c r="T1056" s="12" t="s">
        <v>105</v>
      </c>
      <c r="U1056" s="12" t="s">
        <v>38</v>
      </c>
      <c r="V1056" s="12" t="s">
        <v>39</v>
      </c>
      <c r="W1056" s="12" t="s">
        <v>6486</v>
      </c>
      <c r="X1056" s="16" t="s">
        <v>2229</v>
      </c>
      <c r="Y1056" s="15" t="s">
        <v>192</v>
      </c>
      <c r="Z1056" s="14" t="s">
        <v>36</v>
      </c>
      <c r="AA1056" s="14" t="s">
        <v>36</v>
      </c>
      <c r="AB1056" s="12" t="s">
        <v>56</v>
      </c>
      <c r="AC1056" s="12" t="s">
        <v>6487</v>
      </c>
      <c r="AD1056" s="13">
        <v>45161</v>
      </c>
      <c r="AE1056" s="12" t="s">
        <v>110</v>
      </c>
      <c r="AF1056" s="12" t="s">
        <v>6488</v>
      </c>
      <c r="AG1056" s="12" t="s">
        <v>81</v>
      </c>
      <c r="AH1056" s="1">
        <f>HYPERLINK("https://my.pitchbook.com?c=242313-58T","View Company Online")</f>
      </c>
    </row>
    <row r="1057">
      <c r="A1057" s="3" t="s">
        <v>6489</v>
      </c>
      <c r="B1057" s="3" t="s">
        <v>6490</v>
      </c>
      <c r="C1057" s="5" t="s">
        <v>36</v>
      </c>
      <c r="D1057" s="5" t="s">
        <v>36</v>
      </c>
      <c r="E1057" s="5" t="s">
        <v>36</v>
      </c>
      <c r="F1057" s="5" t="s">
        <v>36</v>
      </c>
      <c r="G1057" s="6" t="s">
        <v>36</v>
      </c>
      <c r="H1057" s="4">
        <v>32.64</v>
      </c>
      <c r="I1057" s="7">
        <v>12</v>
      </c>
      <c r="J1057" s="3" t="s">
        <v>521</v>
      </c>
      <c r="K1057" s="9" t="s">
        <v>36</v>
      </c>
      <c r="L1057" s="6" t="s">
        <v>36</v>
      </c>
      <c r="M1057" s="3" t="s">
        <v>36</v>
      </c>
      <c r="N1057" s="3" t="s">
        <v>36</v>
      </c>
      <c r="O1057" s="8" t="s">
        <v>36</v>
      </c>
      <c r="P1057" s="3" t="s">
        <v>36</v>
      </c>
      <c r="Q1057" s="3" t="s">
        <v>36</v>
      </c>
      <c r="R1057" s="3" t="s">
        <v>36</v>
      </c>
      <c r="S1057" s="3" t="s">
        <v>36</v>
      </c>
      <c r="T1057" s="3" t="s">
        <v>105</v>
      </c>
      <c r="U1057" s="3" t="s">
        <v>38</v>
      </c>
      <c r="V1057" s="3" t="s">
        <v>39</v>
      </c>
      <c r="W1057" s="3" t="s">
        <v>6491</v>
      </c>
      <c r="X1057" s="10" t="s">
        <v>6492</v>
      </c>
      <c r="Y1057" s="6" t="s">
        <v>42</v>
      </c>
      <c r="Z1057" s="4">
        <v>0.33</v>
      </c>
      <c r="AA1057" s="4">
        <v>2.74</v>
      </c>
      <c r="AB1057" s="3" t="s">
        <v>43</v>
      </c>
      <c r="AC1057" s="3" t="s">
        <v>6493</v>
      </c>
      <c r="AD1057" s="9">
        <v>45160</v>
      </c>
      <c r="AE1057" s="3" t="s">
        <v>110</v>
      </c>
      <c r="AF1057" s="3" t="s">
        <v>3172</v>
      </c>
      <c r="AG1057" s="3" t="s">
        <v>382</v>
      </c>
      <c r="AH1057" s="11">
        <f>HYPERLINK("https://my.pitchbook.com?c=225329-77T","View Company Online")</f>
      </c>
    </row>
    <row r="1058">
      <c r="A1058" s="12" t="s">
        <v>6494</v>
      </c>
      <c r="B1058" s="12" t="s">
        <v>6495</v>
      </c>
      <c r="C1058" s="19" t="s">
        <v>36</v>
      </c>
      <c r="D1058" s="19" t="s">
        <v>36</v>
      </c>
      <c r="E1058" s="19" t="s">
        <v>36</v>
      </c>
      <c r="F1058" s="19" t="s">
        <v>36</v>
      </c>
      <c r="G1058" s="15" t="s">
        <v>326</v>
      </c>
      <c r="H1058" s="14" t="s">
        <v>36</v>
      </c>
      <c r="I1058" s="18">
        <v>41.96</v>
      </c>
      <c r="J1058" s="12" t="s">
        <v>327</v>
      </c>
      <c r="K1058" s="13" t="s">
        <v>36</v>
      </c>
      <c r="L1058" s="15" t="s">
        <v>36</v>
      </c>
      <c r="M1058" s="12" t="s">
        <v>36</v>
      </c>
      <c r="N1058" s="12" t="s">
        <v>36</v>
      </c>
      <c r="O1058" s="17" t="s">
        <v>36</v>
      </c>
      <c r="P1058" s="12" t="s">
        <v>36</v>
      </c>
      <c r="Q1058" s="12" t="s">
        <v>36</v>
      </c>
      <c r="R1058" s="12" t="s">
        <v>36</v>
      </c>
      <c r="S1058" s="12" t="s">
        <v>36</v>
      </c>
      <c r="T1058" s="12" t="s">
        <v>6496</v>
      </c>
      <c r="U1058" s="12" t="s">
        <v>219</v>
      </c>
      <c r="V1058" s="12" t="s">
        <v>75</v>
      </c>
      <c r="W1058" s="12" t="s">
        <v>6497</v>
      </c>
      <c r="X1058" s="16" t="s">
        <v>6498</v>
      </c>
      <c r="Y1058" s="15" t="s">
        <v>108</v>
      </c>
      <c r="Z1058" s="14">
        <v>6.86</v>
      </c>
      <c r="AA1058" s="14">
        <v>16.35</v>
      </c>
      <c r="AB1058" s="12" t="s">
        <v>56</v>
      </c>
      <c r="AC1058" s="12" t="s">
        <v>6499</v>
      </c>
      <c r="AD1058" s="13">
        <v>45159</v>
      </c>
      <c r="AE1058" s="12" t="s">
        <v>223</v>
      </c>
      <c r="AF1058" s="12" t="s">
        <v>6500</v>
      </c>
      <c r="AG1058" s="12" t="s">
        <v>2542</v>
      </c>
      <c r="AH1058" s="1">
        <f>HYPERLINK("https://my.pitchbook.com?c=234289-90T","View Company Online")</f>
      </c>
    </row>
    <row r="1059">
      <c r="A1059" s="3" t="s">
        <v>6501</v>
      </c>
      <c r="B1059" s="3" t="s">
        <v>6502</v>
      </c>
      <c r="C1059" s="5">
        <v>1</v>
      </c>
      <c r="D1059" s="5">
        <v>8</v>
      </c>
      <c r="E1059" s="5">
        <v>9</v>
      </c>
      <c r="F1059" s="5">
        <v>9</v>
      </c>
      <c r="G1059" s="6" t="s">
        <v>36</v>
      </c>
      <c r="H1059" s="4">
        <v>33.23</v>
      </c>
      <c r="I1059" s="7">
        <v>23.81</v>
      </c>
      <c r="J1059" s="3" t="s">
        <v>521</v>
      </c>
      <c r="K1059" s="9" t="s">
        <v>36</v>
      </c>
      <c r="L1059" s="6" t="s">
        <v>36</v>
      </c>
      <c r="M1059" s="3" t="s">
        <v>36</v>
      </c>
      <c r="N1059" s="3" t="s">
        <v>36</v>
      </c>
      <c r="O1059" s="8" t="s">
        <v>36</v>
      </c>
      <c r="P1059" s="3" t="s">
        <v>36</v>
      </c>
      <c r="Q1059" s="3" t="s">
        <v>36</v>
      </c>
      <c r="R1059" s="3" t="s">
        <v>36</v>
      </c>
      <c r="S1059" s="3" t="s">
        <v>36</v>
      </c>
      <c r="T1059" s="3" t="s">
        <v>232</v>
      </c>
      <c r="U1059" s="3" t="s">
        <v>233</v>
      </c>
      <c r="V1059" s="3" t="s">
        <v>39</v>
      </c>
      <c r="W1059" s="3" t="s">
        <v>6503</v>
      </c>
      <c r="X1059" s="10" t="s">
        <v>6504</v>
      </c>
      <c r="Y1059" s="6" t="s">
        <v>42</v>
      </c>
      <c r="Z1059" s="4">
        <v>1.1</v>
      </c>
      <c r="AA1059" s="4">
        <v>4.62</v>
      </c>
      <c r="AB1059" s="3" t="s">
        <v>56</v>
      </c>
      <c r="AC1059" s="3" t="s">
        <v>6505</v>
      </c>
      <c r="AD1059" s="9">
        <v>45156</v>
      </c>
      <c r="AE1059" s="3" t="s">
        <v>236</v>
      </c>
      <c r="AF1059" s="3" t="s">
        <v>571</v>
      </c>
      <c r="AG1059" s="3" t="s">
        <v>2715</v>
      </c>
      <c r="AH1059" s="11">
        <f>HYPERLINK("https://my.pitchbook.com?c=232453-90T","View Company Online")</f>
      </c>
    </row>
    <row r="1060">
      <c r="A1060" s="12" t="s">
        <v>6506</v>
      </c>
      <c r="B1060" s="12" t="s">
        <v>5180</v>
      </c>
      <c r="C1060" s="19" t="s">
        <v>36</v>
      </c>
      <c r="D1060" s="19" t="s">
        <v>36</v>
      </c>
      <c r="E1060" s="19" t="s">
        <v>36</v>
      </c>
      <c r="F1060" s="19" t="s">
        <v>36</v>
      </c>
      <c r="G1060" s="15" t="s">
        <v>326</v>
      </c>
      <c r="H1060" s="14">
        <v>13.29</v>
      </c>
      <c r="I1060" s="18">
        <v>27.67</v>
      </c>
      <c r="J1060" s="12" t="s">
        <v>521</v>
      </c>
      <c r="K1060" s="13" t="s">
        <v>36</v>
      </c>
      <c r="L1060" s="15" t="s">
        <v>36</v>
      </c>
      <c r="M1060" s="12" t="s">
        <v>36</v>
      </c>
      <c r="N1060" s="12" t="s">
        <v>36</v>
      </c>
      <c r="O1060" s="17" t="s">
        <v>36</v>
      </c>
      <c r="P1060" s="12" t="s">
        <v>36</v>
      </c>
      <c r="Q1060" s="12" t="s">
        <v>36</v>
      </c>
      <c r="R1060" s="12" t="s">
        <v>36</v>
      </c>
      <c r="S1060" s="12" t="s">
        <v>36</v>
      </c>
      <c r="T1060" s="12" t="s">
        <v>5181</v>
      </c>
      <c r="U1060" s="12" t="s">
        <v>38</v>
      </c>
      <c r="V1060" s="12" t="s">
        <v>39</v>
      </c>
      <c r="W1060" s="12" t="s">
        <v>5182</v>
      </c>
      <c r="X1060" s="16" t="s">
        <v>6507</v>
      </c>
      <c r="Y1060" s="15" t="s">
        <v>108</v>
      </c>
      <c r="Z1060" s="14">
        <v>6.62</v>
      </c>
      <c r="AA1060" s="14">
        <v>23.92</v>
      </c>
      <c r="AB1060" s="12" t="s">
        <v>43</v>
      </c>
      <c r="AC1060" s="12" t="s">
        <v>5184</v>
      </c>
      <c r="AD1060" s="13">
        <v>45154</v>
      </c>
      <c r="AE1060" s="12" t="s">
        <v>110</v>
      </c>
      <c r="AF1060" s="12" t="s">
        <v>5185</v>
      </c>
      <c r="AG1060" s="12" t="s">
        <v>144</v>
      </c>
      <c r="AH1060" s="1">
        <f>HYPERLINK("https://my.pitchbook.com?c=226990-81T","View Company Online")</f>
      </c>
    </row>
    <row r="1061">
      <c r="A1061" s="3" t="s">
        <v>6508</v>
      </c>
      <c r="B1061" s="3" t="s">
        <v>6509</v>
      </c>
      <c r="C1061" s="5">
        <v>2</v>
      </c>
      <c r="D1061" s="5" t="s">
        <v>36</v>
      </c>
      <c r="E1061" s="5">
        <v>1</v>
      </c>
      <c r="F1061" s="5">
        <v>3</v>
      </c>
      <c r="G1061" s="6" t="s">
        <v>36</v>
      </c>
      <c r="H1061" s="4" t="s">
        <v>36</v>
      </c>
      <c r="I1061" s="7" t="s">
        <v>36</v>
      </c>
      <c r="J1061" s="3" t="s">
        <v>36</v>
      </c>
      <c r="K1061" s="9" t="s">
        <v>36</v>
      </c>
      <c r="L1061" s="6" t="s">
        <v>122</v>
      </c>
      <c r="M1061" s="3" t="s">
        <v>36</v>
      </c>
      <c r="N1061" s="3" t="s">
        <v>122</v>
      </c>
      <c r="O1061" s="8" t="s">
        <v>36</v>
      </c>
      <c r="P1061" s="3" t="s">
        <v>36</v>
      </c>
      <c r="Q1061" s="3" t="s">
        <v>36</v>
      </c>
      <c r="R1061" s="3" t="s">
        <v>36</v>
      </c>
      <c r="S1061" s="3" t="s">
        <v>36</v>
      </c>
      <c r="T1061" s="3" t="s">
        <v>2321</v>
      </c>
      <c r="U1061" s="3" t="s">
        <v>51</v>
      </c>
      <c r="V1061" s="3" t="s">
        <v>52</v>
      </c>
      <c r="W1061" s="3" t="s">
        <v>6510</v>
      </c>
      <c r="X1061" s="10" t="s">
        <v>6511</v>
      </c>
      <c r="Y1061" s="6" t="s">
        <v>108</v>
      </c>
      <c r="Z1061" s="4">
        <v>71.85</v>
      </c>
      <c r="AA1061" s="4" t="s">
        <v>36</v>
      </c>
      <c r="AB1061" s="3" t="s">
        <v>43</v>
      </c>
      <c r="AC1061" s="3" t="s">
        <v>6512</v>
      </c>
      <c r="AD1061" s="9">
        <v>45152</v>
      </c>
      <c r="AE1061" s="3" t="s">
        <v>504</v>
      </c>
      <c r="AF1061" s="3" t="s">
        <v>159</v>
      </c>
      <c r="AG1061" s="3" t="s">
        <v>81</v>
      </c>
      <c r="AH1061" s="11">
        <f>HYPERLINK("https://my.pitchbook.com?c=239422-24T","View Company Online")</f>
      </c>
    </row>
    <row r="1062">
      <c r="A1062" s="12" t="s">
        <v>6513</v>
      </c>
      <c r="B1062" s="12" t="s">
        <v>6514</v>
      </c>
      <c r="C1062" s="19" t="s">
        <v>36</v>
      </c>
      <c r="D1062" s="19" t="s">
        <v>36</v>
      </c>
      <c r="E1062" s="19" t="s">
        <v>36</v>
      </c>
      <c r="F1062" s="19" t="s">
        <v>36</v>
      </c>
      <c r="G1062" s="15" t="s">
        <v>36</v>
      </c>
      <c r="H1062" s="14" t="s">
        <v>36</v>
      </c>
      <c r="I1062" s="18">
        <v>41.56</v>
      </c>
      <c r="J1062" s="12" t="s">
        <v>327</v>
      </c>
      <c r="K1062" s="13" t="s">
        <v>36</v>
      </c>
      <c r="L1062" s="15" t="s">
        <v>36</v>
      </c>
      <c r="M1062" s="12" t="s">
        <v>36</v>
      </c>
      <c r="N1062" s="12" t="s">
        <v>36</v>
      </c>
      <c r="O1062" s="17" t="s">
        <v>36</v>
      </c>
      <c r="P1062" s="12" t="s">
        <v>36</v>
      </c>
      <c r="Q1062" s="12" t="s">
        <v>36</v>
      </c>
      <c r="R1062" s="12" t="s">
        <v>36</v>
      </c>
      <c r="S1062" s="12" t="s">
        <v>36</v>
      </c>
      <c r="T1062" s="12" t="s">
        <v>6515</v>
      </c>
      <c r="U1062" s="12" t="s">
        <v>74</v>
      </c>
      <c r="V1062" s="12" t="s">
        <v>75</v>
      </c>
      <c r="W1062" s="12" t="s">
        <v>6516</v>
      </c>
      <c r="X1062" s="16" t="s">
        <v>6517</v>
      </c>
      <c r="Y1062" s="15" t="s">
        <v>42</v>
      </c>
      <c r="Z1062" s="14">
        <v>3.32</v>
      </c>
      <c r="AA1062" s="14">
        <v>8</v>
      </c>
      <c r="AB1062" s="12" t="s">
        <v>43</v>
      </c>
      <c r="AC1062" s="12" t="s">
        <v>6518</v>
      </c>
      <c r="AD1062" s="13">
        <v>45148</v>
      </c>
      <c r="AE1062" s="12" t="s">
        <v>975</v>
      </c>
      <c r="AF1062" s="12" t="s">
        <v>6519</v>
      </c>
      <c r="AG1062" s="12" t="s">
        <v>6520</v>
      </c>
      <c r="AH1062" s="1">
        <f>HYPERLINK("https://my.pitchbook.com?c=243640-36T","View Company Online")</f>
      </c>
    </row>
    <row r="1063">
      <c r="A1063" s="3" t="s">
        <v>6521</v>
      </c>
      <c r="B1063" s="3" t="s">
        <v>2301</v>
      </c>
      <c r="C1063" s="5">
        <v>2</v>
      </c>
      <c r="D1063" s="5" t="s">
        <v>36</v>
      </c>
      <c r="E1063" s="5">
        <v>1</v>
      </c>
      <c r="F1063" s="5">
        <v>2</v>
      </c>
      <c r="G1063" s="6" t="s">
        <v>326</v>
      </c>
      <c r="H1063" s="4">
        <v>25.25</v>
      </c>
      <c r="I1063" s="7">
        <v>5.22</v>
      </c>
      <c r="J1063" s="3" t="s">
        <v>521</v>
      </c>
      <c r="K1063" s="9">
        <v>45120</v>
      </c>
      <c r="L1063" s="6" t="s">
        <v>3736</v>
      </c>
      <c r="M1063" s="3" t="s">
        <v>36</v>
      </c>
      <c r="N1063" s="3" t="s">
        <v>3736</v>
      </c>
      <c r="O1063" s="8" t="s">
        <v>36</v>
      </c>
      <c r="P1063" s="3" t="s">
        <v>3530</v>
      </c>
      <c r="Q1063" s="3" t="s">
        <v>3530</v>
      </c>
      <c r="R1063" s="3" t="s">
        <v>3531</v>
      </c>
      <c r="S1063" s="3" t="s">
        <v>2302</v>
      </c>
      <c r="T1063" s="3" t="s">
        <v>1344</v>
      </c>
      <c r="U1063" s="3" t="s">
        <v>38</v>
      </c>
      <c r="V1063" s="3" t="s">
        <v>39</v>
      </c>
      <c r="W1063" s="3" t="s">
        <v>2303</v>
      </c>
      <c r="X1063" s="10" t="s">
        <v>6522</v>
      </c>
      <c r="Y1063" s="6" t="s">
        <v>192</v>
      </c>
      <c r="Z1063" s="4">
        <v>235</v>
      </c>
      <c r="AA1063" s="4">
        <v>4500</v>
      </c>
      <c r="AB1063" s="3" t="s">
        <v>56</v>
      </c>
      <c r="AC1063" s="3" t="s">
        <v>2305</v>
      </c>
      <c r="AD1063" s="9">
        <v>45147</v>
      </c>
      <c r="AE1063" s="3" t="s">
        <v>110</v>
      </c>
      <c r="AF1063" s="3" t="s">
        <v>111</v>
      </c>
      <c r="AG1063" s="3" t="s">
        <v>81</v>
      </c>
      <c r="AH1063" s="11">
        <f>HYPERLINK("https://my.pitchbook.com?c=228321-37T","View Company Online")</f>
      </c>
    </row>
    <row r="1064">
      <c r="A1064" s="12" t="s">
        <v>6523</v>
      </c>
      <c r="B1064" s="12" t="s">
        <v>6524</v>
      </c>
      <c r="C1064" s="19" t="s">
        <v>36</v>
      </c>
      <c r="D1064" s="19" t="s">
        <v>36</v>
      </c>
      <c r="E1064" s="19" t="s">
        <v>36</v>
      </c>
      <c r="F1064" s="19" t="s">
        <v>36</v>
      </c>
      <c r="G1064" s="15" t="s">
        <v>326</v>
      </c>
      <c r="H1064" s="14" t="s">
        <v>36</v>
      </c>
      <c r="I1064" s="18">
        <v>17.47</v>
      </c>
      <c r="J1064" s="12" t="s">
        <v>327</v>
      </c>
      <c r="K1064" s="13" t="s">
        <v>36</v>
      </c>
      <c r="L1064" s="15" t="s">
        <v>36</v>
      </c>
      <c r="M1064" s="12" t="s">
        <v>36</v>
      </c>
      <c r="N1064" s="12" t="s">
        <v>36</v>
      </c>
      <c r="O1064" s="17" t="s">
        <v>36</v>
      </c>
      <c r="P1064" s="12" t="s">
        <v>36</v>
      </c>
      <c r="Q1064" s="12" t="s">
        <v>36</v>
      </c>
      <c r="R1064" s="12" t="s">
        <v>36</v>
      </c>
      <c r="S1064" s="12" t="s">
        <v>36</v>
      </c>
      <c r="T1064" s="12" t="s">
        <v>105</v>
      </c>
      <c r="U1064" s="12" t="s">
        <v>38</v>
      </c>
      <c r="V1064" s="12" t="s">
        <v>39</v>
      </c>
      <c r="W1064" s="12" t="s">
        <v>6525</v>
      </c>
      <c r="X1064" s="16" t="s">
        <v>6526</v>
      </c>
      <c r="Y1064" s="15" t="s">
        <v>108</v>
      </c>
      <c r="Z1064" s="14">
        <v>2.22</v>
      </c>
      <c r="AA1064" s="14">
        <v>12.69</v>
      </c>
      <c r="AB1064" s="12" t="s">
        <v>56</v>
      </c>
      <c r="AC1064" s="12" t="s">
        <v>6527</v>
      </c>
      <c r="AD1064" s="13">
        <v>45147</v>
      </c>
      <c r="AE1064" s="12" t="s">
        <v>110</v>
      </c>
      <c r="AF1064" s="12" t="s">
        <v>111</v>
      </c>
      <c r="AG1064" s="12" t="s">
        <v>6528</v>
      </c>
      <c r="AH1064" s="1">
        <f>HYPERLINK("https://my.pitchbook.com?c=240901-30T","View Company Online")</f>
      </c>
    </row>
    <row r="1065">
      <c r="A1065" s="3" t="s">
        <v>6529</v>
      </c>
      <c r="B1065" s="3" t="s">
        <v>6530</v>
      </c>
      <c r="C1065" s="5" t="s">
        <v>36</v>
      </c>
      <c r="D1065" s="5" t="s">
        <v>36</v>
      </c>
      <c r="E1065" s="5" t="s">
        <v>36</v>
      </c>
      <c r="F1065" s="5" t="s">
        <v>36</v>
      </c>
      <c r="G1065" s="6" t="s">
        <v>683</v>
      </c>
      <c r="H1065" s="4">
        <v>256.89</v>
      </c>
      <c r="I1065" s="7">
        <v>9.84</v>
      </c>
      <c r="J1065" s="3" t="s">
        <v>521</v>
      </c>
      <c r="K1065" s="9" t="s">
        <v>36</v>
      </c>
      <c r="L1065" s="6" t="s">
        <v>36</v>
      </c>
      <c r="M1065" s="3" t="s">
        <v>36</v>
      </c>
      <c r="N1065" s="3" t="s">
        <v>36</v>
      </c>
      <c r="O1065" s="8" t="s">
        <v>36</v>
      </c>
      <c r="P1065" s="3" t="s">
        <v>36</v>
      </c>
      <c r="Q1065" s="3" t="s">
        <v>36</v>
      </c>
      <c r="R1065" s="3" t="s">
        <v>36</v>
      </c>
      <c r="S1065" s="3" t="s">
        <v>6531</v>
      </c>
      <c r="T1065" s="3" t="s">
        <v>6532</v>
      </c>
      <c r="U1065" s="3" t="s">
        <v>63</v>
      </c>
      <c r="V1065" s="3" t="s">
        <v>64</v>
      </c>
      <c r="W1065" s="3" t="s">
        <v>6533</v>
      </c>
      <c r="X1065" s="10" t="s">
        <v>6534</v>
      </c>
      <c r="Y1065" s="6" t="s">
        <v>55</v>
      </c>
      <c r="Z1065" s="4">
        <v>21.02</v>
      </c>
      <c r="AA1065" s="4">
        <v>213.68</v>
      </c>
      <c r="AB1065" s="3" t="s">
        <v>56</v>
      </c>
      <c r="AC1065" s="3" t="s">
        <v>6535</v>
      </c>
      <c r="AD1065" s="9">
        <v>45146</v>
      </c>
      <c r="AE1065" s="3" t="s">
        <v>68</v>
      </c>
      <c r="AF1065" s="3" t="s">
        <v>6536</v>
      </c>
      <c r="AG1065" s="3" t="s">
        <v>81</v>
      </c>
      <c r="AH1065" s="11">
        <f>HYPERLINK("https://my.pitchbook.com?c=283191-31T","View Company Online")</f>
      </c>
    </row>
    <row r="1066">
      <c r="A1066" s="12" t="s">
        <v>6537</v>
      </c>
      <c r="B1066" s="12" t="s">
        <v>6538</v>
      </c>
      <c r="C1066" s="19" t="s">
        <v>36</v>
      </c>
      <c r="D1066" s="19" t="s">
        <v>36</v>
      </c>
      <c r="E1066" s="19" t="s">
        <v>36</v>
      </c>
      <c r="F1066" s="19" t="s">
        <v>36</v>
      </c>
      <c r="G1066" s="15" t="s">
        <v>36</v>
      </c>
      <c r="H1066" s="14" t="s">
        <v>36</v>
      </c>
      <c r="I1066" s="18" t="s">
        <v>36</v>
      </c>
      <c r="J1066" s="12" t="s">
        <v>36</v>
      </c>
      <c r="K1066" s="13" t="s">
        <v>36</v>
      </c>
      <c r="L1066" s="15" t="s">
        <v>36</v>
      </c>
      <c r="M1066" s="12" t="s">
        <v>36</v>
      </c>
      <c r="N1066" s="12" t="s">
        <v>36</v>
      </c>
      <c r="O1066" s="17" t="s">
        <v>36</v>
      </c>
      <c r="P1066" s="12" t="s">
        <v>36</v>
      </c>
      <c r="Q1066" s="12" t="s">
        <v>36</v>
      </c>
      <c r="R1066" s="12" t="s">
        <v>36</v>
      </c>
      <c r="S1066" s="12" t="s">
        <v>36</v>
      </c>
      <c r="T1066" s="12" t="s">
        <v>6539</v>
      </c>
      <c r="U1066" s="12" t="s">
        <v>1336</v>
      </c>
      <c r="V1066" s="12" t="s">
        <v>367</v>
      </c>
      <c r="W1066" s="12" t="s">
        <v>6540</v>
      </c>
      <c r="X1066" s="16" t="s">
        <v>3464</v>
      </c>
      <c r="Y1066" s="15" t="s">
        <v>108</v>
      </c>
      <c r="Z1066" s="14" t="s">
        <v>36</v>
      </c>
      <c r="AA1066" s="14" t="s">
        <v>36</v>
      </c>
      <c r="AB1066" s="12" t="s">
        <v>43</v>
      </c>
      <c r="AC1066" s="12" t="s">
        <v>6541</v>
      </c>
      <c r="AD1066" s="13">
        <v>45146</v>
      </c>
      <c r="AE1066" s="12" t="s">
        <v>2464</v>
      </c>
      <c r="AF1066" s="12" t="s">
        <v>6542</v>
      </c>
      <c r="AG1066" s="12" t="s">
        <v>2299</v>
      </c>
      <c r="AH1066" s="1">
        <f>HYPERLINK("https://my.pitchbook.com?c=276686-02T","View Company Online")</f>
      </c>
    </row>
    <row r="1067">
      <c r="A1067" s="3" t="s">
        <v>6543</v>
      </c>
      <c r="B1067" s="3" t="s">
        <v>6544</v>
      </c>
      <c r="C1067" s="5" t="s">
        <v>36</v>
      </c>
      <c r="D1067" s="5" t="s">
        <v>36</v>
      </c>
      <c r="E1067" s="5" t="s">
        <v>36</v>
      </c>
      <c r="F1067" s="5" t="s">
        <v>36</v>
      </c>
      <c r="G1067" s="6" t="s">
        <v>683</v>
      </c>
      <c r="H1067" s="4" t="s">
        <v>36</v>
      </c>
      <c r="I1067" s="7">
        <v>21.96</v>
      </c>
      <c r="J1067" s="3" t="s">
        <v>327</v>
      </c>
      <c r="K1067" s="9">
        <v>44771</v>
      </c>
      <c r="L1067" s="6" t="s">
        <v>36</v>
      </c>
      <c r="M1067" s="3" t="s">
        <v>36</v>
      </c>
      <c r="N1067" s="3" t="s">
        <v>36</v>
      </c>
      <c r="O1067" s="8" t="s">
        <v>36</v>
      </c>
      <c r="P1067" s="3" t="s">
        <v>36</v>
      </c>
      <c r="Q1067" s="3" t="s">
        <v>36</v>
      </c>
      <c r="R1067" s="3" t="s">
        <v>36</v>
      </c>
      <c r="S1067" s="3" t="s">
        <v>36</v>
      </c>
      <c r="T1067" s="3" t="s">
        <v>37</v>
      </c>
      <c r="U1067" s="3" t="s">
        <v>38</v>
      </c>
      <c r="V1067" s="3" t="s">
        <v>39</v>
      </c>
      <c r="W1067" s="3" t="s">
        <v>6545</v>
      </c>
      <c r="X1067" s="10" t="s">
        <v>6546</v>
      </c>
      <c r="Y1067" s="6" t="s">
        <v>55</v>
      </c>
      <c r="Z1067" s="4">
        <v>5.54</v>
      </c>
      <c r="AA1067" s="4">
        <v>25.23</v>
      </c>
      <c r="AB1067" s="3" t="s">
        <v>56</v>
      </c>
      <c r="AC1067" s="3" t="s">
        <v>6547</v>
      </c>
      <c r="AD1067" s="9">
        <v>45144</v>
      </c>
      <c r="AE1067" s="3" t="s">
        <v>45</v>
      </c>
      <c r="AF1067" s="3" t="s">
        <v>215</v>
      </c>
      <c r="AG1067" s="3" t="s">
        <v>81</v>
      </c>
      <c r="AH1067" s="11">
        <f>HYPERLINK("https://my.pitchbook.com?c=204526-36T","View Company Online")</f>
      </c>
    </row>
    <row r="1068">
      <c r="A1068" s="12" t="s">
        <v>6548</v>
      </c>
      <c r="B1068" s="12" t="s">
        <v>6549</v>
      </c>
      <c r="C1068" s="19" t="s">
        <v>36</v>
      </c>
      <c r="D1068" s="19" t="s">
        <v>36</v>
      </c>
      <c r="E1068" s="19" t="s">
        <v>36</v>
      </c>
      <c r="F1068" s="19" t="s">
        <v>36</v>
      </c>
      <c r="G1068" s="15" t="s">
        <v>36</v>
      </c>
      <c r="H1068" s="14" t="s">
        <v>36</v>
      </c>
      <c r="I1068" s="18" t="s">
        <v>36</v>
      </c>
      <c r="J1068" s="12" t="s">
        <v>36</v>
      </c>
      <c r="K1068" s="13">
        <v>45015</v>
      </c>
      <c r="L1068" s="15" t="s">
        <v>36</v>
      </c>
      <c r="M1068" s="12" t="s">
        <v>36</v>
      </c>
      <c r="N1068" s="12" t="s">
        <v>36</v>
      </c>
      <c r="O1068" s="17" t="s">
        <v>36</v>
      </c>
      <c r="P1068" s="12" t="s">
        <v>36</v>
      </c>
      <c r="Q1068" s="12" t="s">
        <v>36</v>
      </c>
      <c r="R1068" s="12" t="s">
        <v>36</v>
      </c>
      <c r="S1068" s="12" t="s">
        <v>36</v>
      </c>
      <c r="T1068" s="12" t="s">
        <v>6550</v>
      </c>
      <c r="U1068" s="12" t="s">
        <v>38</v>
      </c>
      <c r="V1068" s="12" t="s">
        <v>39</v>
      </c>
      <c r="W1068" s="12" t="s">
        <v>6551</v>
      </c>
      <c r="X1068" s="16" t="s">
        <v>6552</v>
      </c>
      <c r="Y1068" s="15" t="s">
        <v>108</v>
      </c>
      <c r="Z1068" s="14">
        <v>1.59</v>
      </c>
      <c r="AA1068" s="14" t="s">
        <v>36</v>
      </c>
      <c r="AB1068" s="12" t="s">
        <v>43</v>
      </c>
      <c r="AC1068" s="12" t="s">
        <v>6553</v>
      </c>
      <c r="AD1068" s="13">
        <v>45142</v>
      </c>
      <c r="AE1068" s="12" t="s">
        <v>554</v>
      </c>
      <c r="AF1068" s="12" t="s">
        <v>1380</v>
      </c>
      <c r="AG1068" s="12" t="s">
        <v>6554</v>
      </c>
      <c r="AH1068" s="1">
        <f>HYPERLINK("https://my.pitchbook.com?c=224677-72T","View Company Online")</f>
      </c>
    </row>
    <row r="1069">
      <c r="A1069" s="3" t="s">
        <v>6555</v>
      </c>
      <c r="B1069" s="3" t="s">
        <v>6556</v>
      </c>
      <c r="C1069" s="5" t="s">
        <v>36</v>
      </c>
      <c r="D1069" s="5" t="s">
        <v>36</v>
      </c>
      <c r="E1069" s="5" t="s">
        <v>36</v>
      </c>
      <c r="F1069" s="5" t="s">
        <v>36</v>
      </c>
      <c r="G1069" s="6" t="s">
        <v>36</v>
      </c>
      <c r="H1069" s="4">
        <v>90.66</v>
      </c>
      <c r="I1069" s="7">
        <v>27.05</v>
      </c>
      <c r="J1069" s="3" t="s">
        <v>521</v>
      </c>
      <c r="K1069" s="9" t="s">
        <v>36</v>
      </c>
      <c r="L1069" s="6" t="s">
        <v>1279</v>
      </c>
      <c r="M1069" s="3" t="s">
        <v>36</v>
      </c>
      <c r="N1069" s="3" t="s">
        <v>1279</v>
      </c>
      <c r="O1069" s="8" t="s">
        <v>36</v>
      </c>
      <c r="P1069" s="3" t="s">
        <v>36</v>
      </c>
      <c r="Q1069" s="3" t="s">
        <v>36</v>
      </c>
      <c r="R1069" s="3" t="s">
        <v>36</v>
      </c>
      <c r="S1069" s="3" t="s">
        <v>36</v>
      </c>
      <c r="T1069" s="3" t="s">
        <v>6557</v>
      </c>
      <c r="U1069" s="3" t="s">
        <v>648</v>
      </c>
      <c r="V1069" s="3" t="s">
        <v>64</v>
      </c>
      <c r="W1069" s="3" t="s">
        <v>6558</v>
      </c>
      <c r="X1069" s="10" t="s">
        <v>6559</v>
      </c>
      <c r="Y1069" s="6" t="s">
        <v>166</v>
      </c>
      <c r="Z1069" s="4">
        <v>33.21</v>
      </c>
      <c r="AA1069" s="4">
        <v>81.82</v>
      </c>
      <c r="AB1069" s="3" t="s">
        <v>56</v>
      </c>
      <c r="AC1069" s="3" t="s">
        <v>6560</v>
      </c>
      <c r="AD1069" s="9">
        <v>45142</v>
      </c>
      <c r="AE1069" s="3" t="s">
        <v>1897</v>
      </c>
      <c r="AF1069" s="3" t="s">
        <v>1115</v>
      </c>
      <c r="AG1069" s="3" t="s">
        <v>81</v>
      </c>
      <c r="AH1069" s="11">
        <f>HYPERLINK("https://my.pitchbook.com?c=247958-02T","View Company Online")</f>
      </c>
    </row>
    <row r="1070">
      <c r="A1070" s="12" t="s">
        <v>6561</v>
      </c>
      <c r="B1070" s="12" t="s">
        <v>6562</v>
      </c>
      <c r="C1070" s="19" t="s">
        <v>36</v>
      </c>
      <c r="D1070" s="19" t="s">
        <v>36</v>
      </c>
      <c r="E1070" s="19" t="s">
        <v>36</v>
      </c>
      <c r="F1070" s="19" t="s">
        <v>36</v>
      </c>
      <c r="G1070" s="15" t="s">
        <v>683</v>
      </c>
      <c r="H1070" s="14">
        <v>43.64</v>
      </c>
      <c r="I1070" s="18">
        <v>30.13</v>
      </c>
      <c r="J1070" s="12" t="s">
        <v>521</v>
      </c>
      <c r="K1070" s="13" t="s">
        <v>36</v>
      </c>
      <c r="L1070" s="15" t="s">
        <v>122</v>
      </c>
      <c r="M1070" s="12" t="s">
        <v>36</v>
      </c>
      <c r="N1070" s="12" t="s">
        <v>122</v>
      </c>
      <c r="O1070" s="17" t="s">
        <v>36</v>
      </c>
      <c r="P1070" s="12" t="s">
        <v>36</v>
      </c>
      <c r="Q1070" s="12" t="s">
        <v>36</v>
      </c>
      <c r="R1070" s="12" t="s">
        <v>36</v>
      </c>
      <c r="S1070" s="12" t="s">
        <v>36</v>
      </c>
      <c r="T1070" s="12" t="s">
        <v>6563</v>
      </c>
      <c r="U1070" s="12" t="s">
        <v>38</v>
      </c>
      <c r="V1070" s="12" t="s">
        <v>39</v>
      </c>
      <c r="W1070" s="12" t="s">
        <v>6564</v>
      </c>
      <c r="X1070" s="16" t="s">
        <v>6565</v>
      </c>
      <c r="Y1070" s="15" t="s">
        <v>55</v>
      </c>
      <c r="Z1070" s="14">
        <v>3.55</v>
      </c>
      <c r="AA1070" s="14">
        <v>11.78</v>
      </c>
      <c r="AB1070" s="12" t="s">
        <v>56</v>
      </c>
      <c r="AC1070" s="12" t="s">
        <v>6566</v>
      </c>
      <c r="AD1070" s="13">
        <v>45142</v>
      </c>
      <c r="AE1070" s="12" t="s">
        <v>45</v>
      </c>
      <c r="AF1070" s="12" t="s">
        <v>215</v>
      </c>
      <c r="AG1070" s="12" t="s">
        <v>3492</v>
      </c>
      <c r="AH1070" s="1">
        <f>HYPERLINK("https://my.pitchbook.com?c=277378-48T","View Company Online")</f>
      </c>
    </row>
    <row r="1071">
      <c r="A1071" s="3" t="s">
        <v>6567</v>
      </c>
      <c r="B1071" s="3" t="s">
        <v>2503</v>
      </c>
      <c r="C1071" s="5" t="s">
        <v>36</v>
      </c>
      <c r="D1071" s="5" t="s">
        <v>36</v>
      </c>
      <c r="E1071" s="5" t="s">
        <v>36</v>
      </c>
      <c r="F1071" s="5" t="s">
        <v>36</v>
      </c>
      <c r="G1071" s="6" t="s">
        <v>36</v>
      </c>
      <c r="H1071" s="4">
        <v>215.5</v>
      </c>
      <c r="I1071" s="7">
        <v>18.48</v>
      </c>
      <c r="J1071" s="3" t="s">
        <v>521</v>
      </c>
      <c r="K1071" s="9" t="s">
        <v>36</v>
      </c>
      <c r="L1071" s="6" t="s">
        <v>36</v>
      </c>
      <c r="M1071" s="3" t="s">
        <v>36</v>
      </c>
      <c r="N1071" s="3" t="s">
        <v>36</v>
      </c>
      <c r="O1071" s="8" t="s">
        <v>36</v>
      </c>
      <c r="P1071" s="3" t="s">
        <v>36</v>
      </c>
      <c r="Q1071" s="3" t="s">
        <v>36</v>
      </c>
      <c r="R1071" s="3" t="s">
        <v>36</v>
      </c>
      <c r="S1071" s="3" t="s">
        <v>36</v>
      </c>
      <c r="T1071" s="3" t="s">
        <v>550</v>
      </c>
      <c r="U1071" s="3" t="s">
        <v>38</v>
      </c>
      <c r="V1071" s="3" t="s">
        <v>39</v>
      </c>
      <c r="W1071" s="3" t="s">
        <v>2504</v>
      </c>
      <c r="X1071" s="10" t="s">
        <v>6568</v>
      </c>
      <c r="Y1071" s="6" t="s">
        <v>108</v>
      </c>
      <c r="Z1071" s="4">
        <v>5.21</v>
      </c>
      <c r="AA1071" s="4">
        <v>28.17</v>
      </c>
      <c r="AB1071" s="3" t="s">
        <v>43</v>
      </c>
      <c r="AC1071" s="3" t="s">
        <v>2506</v>
      </c>
      <c r="AD1071" s="9">
        <v>45142</v>
      </c>
      <c r="AE1071" s="3" t="s">
        <v>554</v>
      </c>
      <c r="AF1071" s="3" t="s">
        <v>118</v>
      </c>
      <c r="AG1071" s="3" t="s">
        <v>81</v>
      </c>
      <c r="AH1071" s="11">
        <f>HYPERLINK("https://my.pitchbook.com?c=233209-81T","View Company Online")</f>
      </c>
    </row>
    <row r="1072">
      <c r="A1072" s="12" t="s">
        <v>6569</v>
      </c>
      <c r="B1072" s="12" t="s">
        <v>6570</v>
      </c>
      <c r="C1072" s="19" t="s">
        <v>36</v>
      </c>
      <c r="D1072" s="19" t="s">
        <v>36</v>
      </c>
      <c r="E1072" s="19" t="s">
        <v>36</v>
      </c>
      <c r="F1072" s="19" t="s">
        <v>36</v>
      </c>
      <c r="G1072" s="15" t="s">
        <v>326</v>
      </c>
      <c r="H1072" s="14">
        <v>1623.35</v>
      </c>
      <c r="I1072" s="18">
        <v>27.35</v>
      </c>
      <c r="J1072" s="12" t="s">
        <v>521</v>
      </c>
      <c r="K1072" s="13" t="s">
        <v>36</v>
      </c>
      <c r="L1072" s="15" t="s">
        <v>36</v>
      </c>
      <c r="M1072" s="12" t="s">
        <v>36</v>
      </c>
      <c r="N1072" s="12" t="s">
        <v>36</v>
      </c>
      <c r="O1072" s="17" t="s">
        <v>36</v>
      </c>
      <c r="P1072" s="12" t="s">
        <v>36</v>
      </c>
      <c r="Q1072" s="12" t="s">
        <v>36</v>
      </c>
      <c r="R1072" s="12" t="s">
        <v>36</v>
      </c>
      <c r="S1072" s="12" t="s">
        <v>36</v>
      </c>
      <c r="T1072" s="12" t="s">
        <v>4827</v>
      </c>
      <c r="U1072" s="12" t="s">
        <v>648</v>
      </c>
      <c r="V1072" s="12" t="s">
        <v>64</v>
      </c>
      <c r="W1072" s="12" t="s">
        <v>6571</v>
      </c>
      <c r="X1072" s="16" t="s">
        <v>6572</v>
      </c>
      <c r="Y1072" s="15" t="s">
        <v>108</v>
      </c>
      <c r="Z1072" s="14">
        <v>6.74</v>
      </c>
      <c r="AA1072" s="14">
        <v>24.65</v>
      </c>
      <c r="AB1072" s="12" t="s">
        <v>56</v>
      </c>
      <c r="AC1072" s="12" t="s">
        <v>6573</v>
      </c>
      <c r="AD1072" s="13">
        <v>45142</v>
      </c>
      <c r="AE1072" s="12" t="s">
        <v>3988</v>
      </c>
      <c r="AF1072" s="12" t="s">
        <v>4200</v>
      </c>
      <c r="AG1072" s="12" t="s">
        <v>6574</v>
      </c>
      <c r="AH1072" s="1">
        <f>HYPERLINK("https://my.pitchbook.com?c=189186-22T","View Company Online")</f>
      </c>
    </row>
    <row r="1073">
      <c r="A1073" s="3" t="s">
        <v>6575</v>
      </c>
      <c r="B1073" s="3" t="s">
        <v>6576</v>
      </c>
      <c r="C1073" s="5">
        <v>7</v>
      </c>
      <c r="D1073" s="5" t="s">
        <v>36</v>
      </c>
      <c r="E1073" s="5">
        <v>1</v>
      </c>
      <c r="F1073" s="5">
        <v>7</v>
      </c>
      <c r="G1073" s="6" t="s">
        <v>683</v>
      </c>
      <c r="H1073" s="4">
        <v>184</v>
      </c>
      <c r="I1073" s="7">
        <v>27.84</v>
      </c>
      <c r="J1073" s="3" t="s">
        <v>521</v>
      </c>
      <c r="K1073" s="9" t="s">
        <v>36</v>
      </c>
      <c r="L1073" s="6" t="s">
        <v>122</v>
      </c>
      <c r="M1073" s="3" t="s">
        <v>36</v>
      </c>
      <c r="N1073" s="3" t="s">
        <v>122</v>
      </c>
      <c r="O1073" s="8" t="s">
        <v>36</v>
      </c>
      <c r="P1073" s="3" t="s">
        <v>36</v>
      </c>
      <c r="Q1073" s="3" t="s">
        <v>36</v>
      </c>
      <c r="R1073" s="3" t="s">
        <v>36</v>
      </c>
      <c r="S1073" s="3" t="s">
        <v>36</v>
      </c>
      <c r="T1073" s="3" t="s">
        <v>6577</v>
      </c>
      <c r="U1073" s="3" t="s">
        <v>423</v>
      </c>
      <c r="V1073" s="3" t="s">
        <v>64</v>
      </c>
      <c r="W1073" s="3" t="s">
        <v>6578</v>
      </c>
      <c r="X1073" s="10" t="s">
        <v>6579</v>
      </c>
      <c r="Y1073" s="6" t="s">
        <v>55</v>
      </c>
      <c r="Z1073" s="4">
        <v>35.92</v>
      </c>
      <c r="AA1073" s="4">
        <v>129.04</v>
      </c>
      <c r="AB1073" s="3" t="s">
        <v>43</v>
      </c>
      <c r="AC1073" s="3" t="s">
        <v>6580</v>
      </c>
      <c r="AD1073" s="9">
        <v>45141</v>
      </c>
      <c r="AE1073" s="3" t="s">
        <v>562</v>
      </c>
      <c r="AF1073" s="3" t="s">
        <v>2525</v>
      </c>
      <c r="AG1073" s="3" t="s">
        <v>81</v>
      </c>
      <c r="AH1073" s="11">
        <f>HYPERLINK("https://my.pitchbook.com?c=242352-82T","View Company Online")</f>
      </c>
    </row>
    <row r="1074">
      <c r="A1074" s="12" t="s">
        <v>6581</v>
      </c>
      <c r="B1074" s="12" t="s">
        <v>6582</v>
      </c>
      <c r="C1074" s="19" t="s">
        <v>36</v>
      </c>
      <c r="D1074" s="19" t="s">
        <v>36</v>
      </c>
      <c r="E1074" s="19" t="s">
        <v>36</v>
      </c>
      <c r="F1074" s="19" t="s">
        <v>36</v>
      </c>
      <c r="G1074" s="15" t="s">
        <v>36</v>
      </c>
      <c r="H1074" s="14" t="s">
        <v>36</v>
      </c>
      <c r="I1074" s="18" t="s">
        <v>36</v>
      </c>
      <c r="J1074" s="12" t="s">
        <v>36</v>
      </c>
      <c r="K1074" s="13" t="s">
        <v>36</v>
      </c>
      <c r="L1074" s="15" t="s">
        <v>36</v>
      </c>
      <c r="M1074" s="12" t="s">
        <v>36</v>
      </c>
      <c r="N1074" s="12" t="s">
        <v>36</v>
      </c>
      <c r="O1074" s="17" t="s">
        <v>36</v>
      </c>
      <c r="P1074" s="12" t="s">
        <v>36</v>
      </c>
      <c r="Q1074" s="12" t="s">
        <v>36</v>
      </c>
      <c r="R1074" s="12" t="s">
        <v>36</v>
      </c>
      <c r="S1074" s="12" t="s">
        <v>6583</v>
      </c>
      <c r="T1074" s="12" t="s">
        <v>6584</v>
      </c>
      <c r="U1074" s="12" t="s">
        <v>74</v>
      </c>
      <c r="V1074" s="12" t="s">
        <v>75</v>
      </c>
      <c r="W1074" s="12" t="s">
        <v>6585</v>
      </c>
      <c r="X1074" s="16" t="s">
        <v>6586</v>
      </c>
      <c r="Y1074" s="15" t="s">
        <v>108</v>
      </c>
      <c r="Z1074" s="14">
        <v>9.96</v>
      </c>
      <c r="AA1074" s="14" t="s">
        <v>36</v>
      </c>
      <c r="AB1074" s="12" t="s">
        <v>56</v>
      </c>
      <c r="AC1074" s="12" t="s">
        <v>6587</v>
      </c>
      <c r="AD1074" s="13">
        <v>45139</v>
      </c>
      <c r="AE1074" s="12" t="s">
        <v>79</v>
      </c>
      <c r="AF1074" s="12" t="s">
        <v>6588</v>
      </c>
      <c r="AG1074" s="12" t="s">
        <v>144</v>
      </c>
      <c r="AH1074" s="1">
        <f>HYPERLINK("https://my.pitchbook.com?c=228578-14T","View Company Online")</f>
      </c>
    </row>
    <row r="1075">
      <c r="A1075" s="3" t="s">
        <v>6589</v>
      </c>
      <c r="B1075" s="3" t="s">
        <v>6590</v>
      </c>
      <c r="C1075" s="5" t="s">
        <v>36</v>
      </c>
      <c r="D1075" s="5" t="s">
        <v>36</v>
      </c>
      <c r="E1075" s="5" t="s">
        <v>36</v>
      </c>
      <c r="F1075" s="5" t="s">
        <v>36</v>
      </c>
      <c r="G1075" s="6" t="s">
        <v>36</v>
      </c>
      <c r="H1075" s="4" t="s">
        <v>36</v>
      </c>
      <c r="I1075" s="7" t="s">
        <v>36</v>
      </c>
      <c r="J1075" s="3" t="s">
        <v>36</v>
      </c>
      <c r="K1075" s="9" t="s">
        <v>36</v>
      </c>
      <c r="L1075" s="6" t="s">
        <v>36</v>
      </c>
      <c r="M1075" s="3" t="s">
        <v>36</v>
      </c>
      <c r="N1075" s="3" t="s">
        <v>36</v>
      </c>
      <c r="O1075" s="8" t="s">
        <v>36</v>
      </c>
      <c r="P1075" s="3" t="s">
        <v>36</v>
      </c>
      <c r="Q1075" s="3" t="s">
        <v>36</v>
      </c>
      <c r="R1075" s="3" t="s">
        <v>36</v>
      </c>
      <c r="S1075" s="3" t="s">
        <v>36</v>
      </c>
      <c r="T1075" s="3" t="s">
        <v>5240</v>
      </c>
      <c r="U1075" s="3" t="s">
        <v>423</v>
      </c>
      <c r="V1075" s="3" t="s">
        <v>64</v>
      </c>
      <c r="W1075" s="3" t="s">
        <v>6591</v>
      </c>
      <c r="X1075" s="10" t="s">
        <v>6592</v>
      </c>
      <c r="Y1075" s="6" t="s">
        <v>108</v>
      </c>
      <c r="Z1075" s="4" t="s">
        <v>36</v>
      </c>
      <c r="AA1075" s="4" t="s">
        <v>36</v>
      </c>
      <c r="AB1075" s="3" t="s">
        <v>43</v>
      </c>
      <c r="AC1075" s="3" t="s">
        <v>6593</v>
      </c>
      <c r="AD1075" s="9">
        <v>45139</v>
      </c>
      <c r="AE1075" s="3" t="s">
        <v>427</v>
      </c>
      <c r="AF1075" s="3" t="s">
        <v>571</v>
      </c>
      <c r="AG1075" s="3" t="s">
        <v>741</v>
      </c>
      <c r="AH1075" s="11">
        <f>HYPERLINK("https://my.pitchbook.com?c=233856-91T","View Company Online")</f>
      </c>
    </row>
    <row r="1076">
      <c r="A1076" s="12" t="s">
        <v>6594</v>
      </c>
      <c r="B1076" s="12" t="s">
        <v>6595</v>
      </c>
      <c r="C1076" s="19" t="s">
        <v>36</v>
      </c>
      <c r="D1076" s="19" t="s">
        <v>36</v>
      </c>
      <c r="E1076" s="19" t="s">
        <v>36</v>
      </c>
      <c r="F1076" s="19" t="s">
        <v>36</v>
      </c>
      <c r="G1076" s="15" t="s">
        <v>36</v>
      </c>
      <c r="H1076" s="14">
        <v>840.53</v>
      </c>
      <c r="I1076" s="18">
        <v>24.27</v>
      </c>
      <c r="J1076" s="12" t="s">
        <v>521</v>
      </c>
      <c r="K1076" s="13" t="s">
        <v>36</v>
      </c>
      <c r="L1076" s="15" t="s">
        <v>122</v>
      </c>
      <c r="M1076" s="12" t="s">
        <v>36</v>
      </c>
      <c r="N1076" s="12" t="s">
        <v>122</v>
      </c>
      <c r="O1076" s="17" t="s">
        <v>36</v>
      </c>
      <c r="P1076" s="12" t="s">
        <v>36</v>
      </c>
      <c r="Q1076" s="12" t="s">
        <v>36</v>
      </c>
      <c r="R1076" s="12" t="s">
        <v>36</v>
      </c>
      <c r="S1076" s="12" t="s">
        <v>36</v>
      </c>
      <c r="T1076" s="12" t="s">
        <v>6596</v>
      </c>
      <c r="U1076" s="12" t="s">
        <v>63</v>
      </c>
      <c r="V1076" s="12" t="s">
        <v>64</v>
      </c>
      <c r="W1076" s="12" t="s">
        <v>6597</v>
      </c>
      <c r="X1076" s="16" t="s">
        <v>6598</v>
      </c>
      <c r="Y1076" s="15" t="s">
        <v>192</v>
      </c>
      <c r="Z1076" s="14">
        <v>5.43</v>
      </c>
      <c r="AA1076" s="14">
        <v>22.38</v>
      </c>
      <c r="AB1076" s="12" t="s">
        <v>56</v>
      </c>
      <c r="AC1076" s="12" t="s">
        <v>6599</v>
      </c>
      <c r="AD1076" s="13">
        <v>45139</v>
      </c>
      <c r="AE1076" s="12" t="s">
        <v>399</v>
      </c>
      <c r="AF1076" s="12" t="s">
        <v>6600</v>
      </c>
      <c r="AG1076" s="12" t="s">
        <v>81</v>
      </c>
      <c r="AH1076" s="1">
        <f>HYPERLINK("https://my.pitchbook.com?c=233160-49T","View Company Online")</f>
      </c>
    </row>
    <row r="1077">
      <c r="A1077" s="3" t="s">
        <v>6601</v>
      </c>
      <c r="B1077" s="3" t="s">
        <v>6602</v>
      </c>
      <c r="C1077" s="5" t="s">
        <v>36</v>
      </c>
      <c r="D1077" s="5" t="s">
        <v>36</v>
      </c>
      <c r="E1077" s="5" t="s">
        <v>36</v>
      </c>
      <c r="F1077" s="5" t="s">
        <v>36</v>
      </c>
      <c r="G1077" s="6" t="s">
        <v>36</v>
      </c>
      <c r="H1077" s="4">
        <v>0.78</v>
      </c>
      <c r="I1077" s="7">
        <v>28.68</v>
      </c>
      <c r="J1077" s="3" t="s">
        <v>521</v>
      </c>
      <c r="K1077" s="9" t="s">
        <v>36</v>
      </c>
      <c r="L1077" s="6" t="s">
        <v>36</v>
      </c>
      <c r="M1077" s="3" t="s">
        <v>36</v>
      </c>
      <c r="N1077" s="3" t="s">
        <v>36</v>
      </c>
      <c r="O1077" s="8" t="s">
        <v>36</v>
      </c>
      <c r="P1077" s="3" t="s">
        <v>36</v>
      </c>
      <c r="Q1077" s="3" t="s">
        <v>36</v>
      </c>
      <c r="R1077" s="3" t="s">
        <v>36</v>
      </c>
      <c r="S1077" s="3" t="s">
        <v>2072</v>
      </c>
      <c r="T1077" s="3" t="s">
        <v>6603</v>
      </c>
      <c r="U1077" s="3" t="s">
        <v>74</v>
      </c>
      <c r="V1077" s="3" t="s">
        <v>75</v>
      </c>
      <c r="W1077" s="3" t="s">
        <v>6604</v>
      </c>
      <c r="X1077" s="10" t="s">
        <v>3559</v>
      </c>
      <c r="Y1077" s="6" t="s">
        <v>42</v>
      </c>
      <c r="Z1077" s="4">
        <v>0.5</v>
      </c>
      <c r="AA1077" s="4">
        <v>1.74</v>
      </c>
      <c r="AB1077" s="3" t="s">
        <v>43</v>
      </c>
      <c r="AC1077" s="3" t="s">
        <v>6605</v>
      </c>
      <c r="AD1077" s="9">
        <v>45139</v>
      </c>
      <c r="AE1077" s="3" t="s">
        <v>570</v>
      </c>
      <c r="AF1077" s="3" t="s">
        <v>1208</v>
      </c>
      <c r="AG1077" s="3" t="s">
        <v>81</v>
      </c>
      <c r="AH1077" s="11">
        <f>HYPERLINK("https://my.pitchbook.com?c=233178-94T","View Company Online")</f>
      </c>
    </row>
    <row r="1078">
      <c r="A1078" s="12" t="s">
        <v>6606</v>
      </c>
      <c r="B1078" s="12" t="s">
        <v>6607</v>
      </c>
      <c r="C1078" s="19" t="s">
        <v>36</v>
      </c>
      <c r="D1078" s="19" t="s">
        <v>36</v>
      </c>
      <c r="E1078" s="19" t="s">
        <v>36</v>
      </c>
      <c r="F1078" s="19" t="s">
        <v>36</v>
      </c>
      <c r="G1078" s="15" t="s">
        <v>36</v>
      </c>
      <c r="H1078" s="14" t="s">
        <v>36</v>
      </c>
      <c r="I1078" s="18" t="s">
        <v>36</v>
      </c>
      <c r="J1078" s="12" t="s">
        <v>36</v>
      </c>
      <c r="K1078" s="13" t="s">
        <v>36</v>
      </c>
      <c r="L1078" s="15" t="s">
        <v>36</v>
      </c>
      <c r="M1078" s="12" t="s">
        <v>36</v>
      </c>
      <c r="N1078" s="12" t="s">
        <v>36</v>
      </c>
      <c r="O1078" s="17" t="s">
        <v>36</v>
      </c>
      <c r="P1078" s="12" t="s">
        <v>36</v>
      </c>
      <c r="Q1078" s="12" t="s">
        <v>36</v>
      </c>
      <c r="R1078" s="12" t="s">
        <v>36</v>
      </c>
      <c r="S1078" s="12" t="s">
        <v>36</v>
      </c>
      <c r="T1078" s="12" t="s">
        <v>6608</v>
      </c>
      <c r="U1078" s="12" t="s">
        <v>74</v>
      </c>
      <c r="V1078" s="12" t="s">
        <v>75</v>
      </c>
      <c r="W1078" s="12" t="s">
        <v>6609</v>
      </c>
      <c r="X1078" s="16" t="s">
        <v>730</v>
      </c>
      <c r="Y1078" s="15" t="s">
        <v>42</v>
      </c>
      <c r="Z1078" s="14" t="s">
        <v>36</v>
      </c>
      <c r="AA1078" s="14" t="s">
        <v>36</v>
      </c>
      <c r="AB1078" s="12" t="s">
        <v>56</v>
      </c>
      <c r="AC1078" s="12" t="s">
        <v>6610</v>
      </c>
      <c r="AD1078" s="13">
        <v>45139</v>
      </c>
      <c r="AE1078" s="12" t="s">
        <v>1243</v>
      </c>
      <c r="AF1078" s="12" t="s">
        <v>36</v>
      </c>
      <c r="AG1078" s="12" t="s">
        <v>6611</v>
      </c>
      <c r="AH1078" s="1">
        <f>HYPERLINK("https://my.pitchbook.com?c=251297-65T","View Company Online")</f>
      </c>
    </row>
    <row r="1079">
      <c r="A1079" s="3" t="s">
        <v>6612</v>
      </c>
      <c r="B1079" s="3" t="s">
        <v>6613</v>
      </c>
      <c r="C1079" s="5" t="s">
        <v>36</v>
      </c>
      <c r="D1079" s="5" t="s">
        <v>36</v>
      </c>
      <c r="E1079" s="5" t="s">
        <v>36</v>
      </c>
      <c r="F1079" s="5" t="s">
        <v>36</v>
      </c>
      <c r="G1079" s="6" t="s">
        <v>36</v>
      </c>
      <c r="H1079" s="4" t="s">
        <v>36</v>
      </c>
      <c r="I1079" s="7">
        <v>21.33</v>
      </c>
      <c r="J1079" s="3" t="s">
        <v>327</v>
      </c>
      <c r="K1079" s="9" t="s">
        <v>36</v>
      </c>
      <c r="L1079" s="6" t="s">
        <v>36</v>
      </c>
      <c r="M1079" s="3" t="s">
        <v>36</v>
      </c>
      <c r="N1079" s="3" t="s">
        <v>36</v>
      </c>
      <c r="O1079" s="8" t="s">
        <v>36</v>
      </c>
      <c r="P1079" s="3" t="s">
        <v>36</v>
      </c>
      <c r="Q1079" s="3" t="s">
        <v>36</v>
      </c>
      <c r="R1079" s="3" t="s">
        <v>36</v>
      </c>
      <c r="S1079" s="3" t="s">
        <v>36</v>
      </c>
      <c r="T1079" s="3" t="s">
        <v>6614</v>
      </c>
      <c r="U1079" s="3" t="s">
        <v>279</v>
      </c>
      <c r="V1079" s="3" t="s">
        <v>64</v>
      </c>
      <c r="W1079" s="3" t="s">
        <v>6615</v>
      </c>
      <c r="X1079" s="10" t="s">
        <v>6616</v>
      </c>
      <c r="Y1079" s="6" t="s">
        <v>42</v>
      </c>
      <c r="Z1079" s="4">
        <v>3.87</v>
      </c>
      <c r="AA1079" s="4">
        <v>18.15</v>
      </c>
      <c r="AB1079" s="3" t="s">
        <v>43</v>
      </c>
      <c r="AC1079" s="3" t="s">
        <v>6617</v>
      </c>
      <c r="AD1079" s="9">
        <v>45139</v>
      </c>
      <c r="AE1079" s="3" t="s">
        <v>740</v>
      </c>
      <c r="AF1079" s="3" t="s">
        <v>275</v>
      </c>
      <c r="AG1079" s="3" t="s">
        <v>81</v>
      </c>
      <c r="AH1079" s="11">
        <f>HYPERLINK("https://my.pitchbook.com?c=245396-62T","View Company Online")</f>
      </c>
    </row>
    <row r="1080">
      <c r="A1080" s="12" t="s">
        <v>6618</v>
      </c>
      <c r="B1080" s="12" t="s">
        <v>6619</v>
      </c>
      <c r="C1080" s="19" t="s">
        <v>36</v>
      </c>
      <c r="D1080" s="19">
        <v>3</v>
      </c>
      <c r="E1080" s="19">
        <v>2</v>
      </c>
      <c r="F1080" s="19">
        <v>3</v>
      </c>
      <c r="G1080" s="15" t="s">
        <v>683</v>
      </c>
      <c r="H1080" s="14" t="s">
        <v>36</v>
      </c>
      <c r="I1080" s="18">
        <v>4.6</v>
      </c>
      <c r="J1080" s="12" t="s">
        <v>521</v>
      </c>
      <c r="K1080" s="13" t="s">
        <v>36</v>
      </c>
      <c r="L1080" s="15" t="s">
        <v>36</v>
      </c>
      <c r="M1080" s="12" t="s">
        <v>36</v>
      </c>
      <c r="N1080" s="12" t="s">
        <v>36</v>
      </c>
      <c r="O1080" s="17" t="s">
        <v>36</v>
      </c>
      <c r="P1080" s="12" t="s">
        <v>36</v>
      </c>
      <c r="Q1080" s="12" t="s">
        <v>36</v>
      </c>
      <c r="R1080" s="12" t="s">
        <v>36</v>
      </c>
      <c r="S1080" s="12" t="s">
        <v>36</v>
      </c>
      <c r="T1080" s="12" t="s">
        <v>1596</v>
      </c>
      <c r="U1080" s="12" t="s">
        <v>728</v>
      </c>
      <c r="V1080" s="12" t="s">
        <v>64</v>
      </c>
      <c r="W1080" s="12" t="s">
        <v>6620</v>
      </c>
      <c r="X1080" s="16" t="s">
        <v>4677</v>
      </c>
      <c r="Y1080" s="15" t="s">
        <v>55</v>
      </c>
      <c r="Z1080" s="14">
        <v>0.52</v>
      </c>
      <c r="AA1080" s="14">
        <v>11.17</v>
      </c>
      <c r="AB1080" s="12" t="s">
        <v>43</v>
      </c>
      <c r="AC1080" s="12" t="s">
        <v>6621</v>
      </c>
      <c r="AD1080" s="13">
        <v>45139</v>
      </c>
      <c r="AE1080" s="12" t="s">
        <v>1600</v>
      </c>
      <c r="AF1080" s="12" t="s">
        <v>1061</v>
      </c>
      <c r="AG1080" s="12" t="s">
        <v>6013</v>
      </c>
      <c r="AH1080" s="1">
        <f>HYPERLINK("https://my.pitchbook.com?c=264547-54T","View Company Online")</f>
      </c>
    </row>
    <row r="1081">
      <c r="A1081" s="3" t="s">
        <v>6622</v>
      </c>
      <c r="B1081" s="3" t="s">
        <v>2277</v>
      </c>
      <c r="C1081" s="5" t="s">
        <v>36</v>
      </c>
      <c r="D1081" s="5" t="s">
        <v>36</v>
      </c>
      <c r="E1081" s="5" t="s">
        <v>36</v>
      </c>
      <c r="F1081" s="5" t="s">
        <v>36</v>
      </c>
      <c r="G1081" s="6" t="s">
        <v>36</v>
      </c>
      <c r="H1081" s="4" t="s">
        <v>36</v>
      </c>
      <c r="I1081" s="7" t="s">
        <v>36</v>
      </c>
      <c r="J1081" s="3" t="s">
        <v>36</v>
      </c>
      <c r="K1081" s="9" t="s">
        <v>36</v>
      </c>
      <c r="L1081" s="6" t="s">
        <v>36</v>
      </c>
      <c r="M1081" s="3" t="s">
        <v>36</v>
      </c>
      <c r="N1081" s="3" t="s">
        <v>36</v>
      </c>
      <c r="O1081" s="8" t="s">
        <v>36</v>
      </c>
      <c r="P1081" s="3" t="s">
        <v>36</v>
      </c>
      <c r="Q1081" s="3" t="s">
        <v>36</v>
      </c>
      <c r="R1081" s="3" t="s">
        <v>36</v>
      </c>
      <c r="S1081" s="3" t="s">
        <v>36</v>
      </c>
      <c r="T1081" s="3" t="s">
        <v>2278</v>
      </c>
      <c r="U1081" s="3" t="s">
        <v>2279</v>
      </c>
      <c r="V1081" s="3" t="s">
        <v>378</v>
      </c>
      <c r="W1081" s="3" t="s">
        <v>2280</v>
      </c>
      <c r="X1081" s="10" t="s">
        <v>980</v>
      </c>
      <c r="Y1081" s="6" t="s">
        <v>108</v>
      </c>
      <c r="Z1081" s="4" t="s">
        <v>36</v>
      </c>
      <c r="AA1081" s="4" t="s">
        <v>36</v>
      </c>
      <c r="AB1081" s="3" t="s">
        <v>43</v>
      </c>
      <c r="AC1081" s="3" t="s">
        <v>2281</v>
      </c>
      <c r="AD1081" s="9">
        <v>45139</v>
      </c>
      <c r="AE1081" s="3" t="s">
        <v>2282</v>
      </c>
      <c r="AF1081" s="3" t="s">
        <v>372</v>
      </c>
      <c r="AG1081" s="3" t="s">
        <v>899</v>
      </c>
      <c r="AH1081" s="11">
        <f>HYPERLINK("https://my.pitchbook.com?c=254801-89T","View Company Online")</f>
      </c>
    </row>
    <row r="1082">
      <c r="A1082" s="12" t="s">
        <v>6623</v>
      </c>
      <c r="B1082" s="12" t="s">
        <v>6624</v>
      </c>
      <c r="C1082" s="19" t="s">
        <v>36</v>
      </c>
      <c r="D1082" s="19" t="s">
        <v>36</v>
      </c>
      <c r="E1082" s="19" t="s">
        <v>36</v>
      </c>
      <c r="F1082" s="19" t="s">
        <v>36</v>
      </c>
      <c r="G1082" s="15" t="s">
        <v>36</v>
      </c>
      <c r="H1082" s="14" t="s">
        <v>36</v>
      </c>
      <c r="I1082" s="18" t="s">
        <v>36</v>
      </c>
      <c r="J1082" s="12" t="s">
        <v>36</v>
      </c>
      <c r="K1082" s="13" t="s">
        <v>36</v>
      </c>
      <c r="L1082" s="15" t="s">
        <v>36</v>
      </c>
      <c r="M1082" s="12" t="s">
        <v>36</v>
      </c>
      <c r="N1082" s="12" t="s">
        <v>36</v>
      </c>
      <c r="O1082" s="17" t="s">
        <v>36</v>
      </c>
      <c r="P1082" s="12" t="s">
        <v>36</v>
      </c>
      <c r="Q1082" s="12" t="s">
        <v>36</v>
      </c>
      <c r="R1082" s="12" t="s">
        <v>36</v>
      </c>
      <c r="S1082" s="12" t="s">
        <v>36</v>
      </c>
      <c r="T1082" s="12" t="s">
        <v>6625</v>
      </c>
      <c r="U1082" s="12" t="s">
        <v>38</v>
      </c>
      <c r="V1082" s="12" t="s">
        <v>39</v>
      </c>
      <c r="W1082" s="12" t="s">
        <v>6626</v>
      </c>
      <c r="X1082" s="16" t="s">
        <v>730</v>
      </c>
      <c r="Y1082" s="15" t="s">
        <v>42</v>
      </c>
      <c r="Z1082" s="14" t="s">
        <v>36</v>
      </c>
      <c r="AA1082" s="14" t="s">
        <v>36</v>
      </c>
      <c r="AB1082" s="12" t="s">
        <v>43</v>
      </c>
      <c r="AC1082" s="12" t="s">
        <v>6627</v>
      </c>
      <c r="AD1082" s="13">
        <v>45139</v>
      </c>
      <c r="AE1082" s="12" t="s">
        <v>110</v>
      </c>
      <c r="AF1082" s="12" t="s">
        <v>215</v>
      </c>
      <c r="AG1082" s="12" t="s">
        <v>6628</v>
      </c>
      <c r="AH1082" s="1">
        <f>HYPERLINK("https://my.pitchbook.com?c=251299-09T","View Company Online")</f>
      </c>
    </row>
    <row r="1083">
      <c r="A1083" s="3" t="s">
        <v>6629</v>
      </c>
      <c r="B1083" s="3" t="s">
        <v>6630</v>
      </c>
      <c r="C1083" s="5" t="s">
        <v>36</v>
      </c>
      <c r="D1083" s="5" t="s">
        <v>36</v>
      </c>
      <c r="E1083" s="5" t="s">
        <v>36</v>
      </c>
      <c r="F1083" s="5" t="s">
        <v>36</v>
      </c>
      <c r="G1083" s="6" t="s">
        <v>36</v>
      </c>
      <c r="H1083" s="4" t="s">
        <v>36</v>
      </c>
      <c r="I1083" s="7" t="s">
        <v>36</v>
      </c>
      <c r="J1083" s="3" t="s">
        <v>36</v>
      </c>
      <c r="K1083" s="9" t="s">
        <v>36</v>
      </c>
      <c r="L1083" s="6" t="s">
        <v>36</v>
      </c>
      <c r="M1083" s="3" t="s">
        <v>36</v>
      </c>
      <c r="N1083" s="3" t="s">
        <v>36</v>
      </c>
      <c r="O1083" s="8" t="s">
        <v>36</v>
      </c>
      <c r="P1083" s="3" t="s">
        <v>36</v>
      </c>
      <c r="Q1083" s="3" t="s">
        <v>36</v>
      </c>
      <c r="R1083" s="3" t="s">
        <v>36</v>
      </c>
      <c r="S1083" s="3" t="s">
        <v>36</v>
      </c>
      <c r="T1083" s="3" t="s">
        <v>1884</v>
      </c>
      <c r="U1083" s="3" t="s">
        <v>74</v>
      </c>
      <c r="V1083" s="3" t="s">
        <v>75</v>
      </c>
      <c r="W1083" s="3" t="s">
        <v>6631</v>
      </c>
      <c r="X1083" s="10" t="s">
        <v>6632</v>
      </c>
      <c r="Y1083" s="6" t="s">
        <v>42</v>
      </c>
      <c r="Z1083" s="4" t="s">
        <v>36</v>
      </c>
      <c r="AA1083" s="4" t="s">
        <v>36</v>
      </c>
      <c r="AB1083" s="3" t="s">
        <v>56</v>
      </c>
      <c r="AC1083" s="3" t="s">
        <v>6633</v>
      </c>
      <c r="AD1083" s="9">
        <v>45138</v>
      </c>
      <c r="AE1083" s="3" t="s">
        <v>1888</v>
      </c>
      <c r="AF1083" s="3" t="s">
        <v>571</v>
      </c>
      <c r="AG1083" s="3" t="s">
        <v>6634</v>
      </c>
      <c r="AH1083" s="11">
        <f>HYPERLINK("https://my.pitchbook.com?c=241358-95T","View Company Online")</f>
      </c>
    </row>
    <row r="1084">
      <c r="A1084" s="12" t="s">
        <v>6635</v>
      </c>
      <c r="B1084" s="12" t="s">
        <v>6636</v>
      </c>
      <c r="C1084" s="19" t="s">
        <v>36</v>
      </c>
      <c r="D1084" s="19" t="s">
        <v>36</v>
      </c>
      <c r="E1084" s="19" t="s">
        <v>36</v>
      </c>
      <c r="F1084" s="19" t="s">
        <v>36</v>
      </c>
      <c r="G1084" s="15" t="s">
        <v>36</v>
      </c>
      <c r="H1084" s="14" t="s">
        <v>36</v>
      </c>
      <c r="I1084" s="18" t="s">
        <v>36</v>
      </c>
      <c r="J1084" s="12" t="s">
        <v>36</v>
      </c>
      <c r="K1084" s="13" t="s">
        <v>36</v>
      </c>
      <c r="L1084" s="15" t="s">
        <v>36</v>
      </c>
      <c r="M1084" s="12" t="s">
        <v>36</v>
      </c>
      <c r="N1084" s="12" t="s">
        <v>36</v>
      </c>
      <c r="O1084" s="17" t="s">
        <v>36</v>
      </c>
      <c r="P1084" s="12" t="s">
        <v>36</v>
      </c>
      <c r="Q1084" s="12" t="s">
        <v>36</v>
      </c>
      <c r="R1084" s="12" t="s">
        <v>36</v>
      </c>
      <c r="S1084" s="12" t="s">
        <v>36</v>
      </c>
      <c r="T1084" s="12" t="s">
        <v>661</v>
      </c>
      <c r="U1084" s="12" t="s">
        <v>51</v>
      </c>
      <c r="V1084" s="12" t="s">
        <v>52</v>
      </c>
      <c r="W1084" s="12" t="s">
        <v>6637</v>
      </c>
      <c r="X1084" s="16" t="s">
        <v>4018</v>
      </c>
      <c r="Y1084" s="15" t="s">
        <v>42</v>
      </c>
      <c r="Z1084" s="14" t="s">
        <v>36</v>
      </c>
      <c r="AA1084" s="14" t="s">
        <v>36</v>
      </c>
      <c r="AB1084" s="12" t="s">
        <v>43</v>
      </c>
      <c r="AC1084" s="12" t="s">
        <v>6638</v>
      </c>
      <c r="AD1084" s="13">
        <v>45138</v>
      </c>
      <c r="AE1084" s="12" t="s">
        <v>158</v>
      </c>
      <c r="AF1084" s="12" t="s">
        <v>159</v>
      </c>
      <c r="AG1084" s="12" t="s">
        <v>81</v>
      </c>
      <c r="AH1084" s="1">
        <f>HYPERLINK("https://my.pitchbook.com?c=234868-42T","View Company Online")</f>
      </c>
    </row>
    <row r="1085">
      <c r="A1085" s="3" t="s">
        <v>6639</v>
      </c>
      <c r="B1085" s="3" t="s">
        <v>6640</v>
      </c>
      <c r="C1085" s="5">
        <v>42</v>
      </c>
      <c r="D1085" s="5">
        <v>54</v>
      </c>
      <c r="E1085" s="5">
        <v>49</v>
      </c>
      <c r="F1085" s="5">
        <v>99</v>
      </c>
      <c r="G1085" s="6" t="s">
        <v>36</v>
      </c>
      <c r="H1085" s="4" t="s">
        <v>36</v>
      </c>
      <c r="I1085" s="7">
        <v>33.3</v>
      </c>
      <c r="J1085" s="3" t="s">
        <v>36</v>
      </c>
      <c r="K1085" s="9">
        <v>45062</v>
      </c>
      <c r="L1085" s="6" t="s">
        <v>36</v>
      </c>
      <c r="M1085" s="3" t="s">
        <v>36</v>
      </c>
      <c r="N1085" s="3" t="s">
        <v>36</v>
      </c>
      <c r="O1085" s="8" t="s">
        <v>36</v>
      </c>
      <c r="P1085" s="3" t="s">
        <v>36</v>
      </c>
      <c r="Q1085" s="3" t="s">
        <v>36</v>
      </c>
      <c r="R1085" s="3" t="s">
        <v>36</v>
      </c>
      <c r="S1085" s="3" t="s">
        <v>36</v>
      </c>
      <c r="T1085" s="3" t="s">
        <v>596</v>
      </c>
      <c r="U1085" s="3" t="s">
        <v>366</v>
      </c>
      <c r="V1085" s="3" t="s">
        <v>367</v>
      </c>
      <c r="W1085" s="3" t="s">
        <v>6641</v>
      </c>
      <c r="X1085" s="10" t="s">
        <v>6642</v>
      </c>
      <c r="Y1085" s="6" t="s">
        <v>321</v>
      </c>
      <c r="Z1085" s="4" t="s">
        <v>36</v>
      </c>
      <c r="AA1085" s="4" t="s">
        <v>36</v>
      </c>
      <c r="AB1085" s="3" t="s">
        <v>56</v>
      </c>
      <c r="AC1085" s="3" t="s">
        <v>6643</v>
      </c>
      <c r="AD1085" s="9">
        <v>45138</v>
      </c>
      <c r="AE1085" s="3" t="s">
        <v>600</v>
      </c>
      <c r="AF1085" s="3" t="s">
        <v>703</v>
      </c>
      <c r="AG1085" s="3" t="s">
        <v>6644</v>
      </c>
      <c r="AH1085" s="11">
        <f>HYPERLINK("https://my.pitchbook.com?c=211672-90T","View Company Online")</f>
      </c>
    </row>
    <row r="1086">
      <c r="A1086" s="12" t="s">
        <v>6645</v>
      </c>
      <c r="B1086" s="12" t="s">
        <v>6646</v>
      </c>
      <c r="C1086" s="19" t="s">
        <v>36</v>
      </c>
      <c r="D1086" s="19" t="s">
        <v>36</v>
      </c>
      <c r="E1086" s="19" t="s">
        <v>36</v>
      </c>
      <c r="F1086" s="19" t="s">
        <v>36</v>
      </c>
      <c r="G1086" s="15" t="s">
        <v>2497</v>
      </c>
      <c r="H1086" s="14">
        <v>1777.68</v>
      </c>
      <c r="I1086" s="18">
        <v>19.11</v>
      </c>
      <c r="J1086" s="12" t="s">
        <v>521</v>
      </c>
      <c r="K1086" s="13" t="s">
        <v>36</v>
      </c>
      <c r="L1086" s="15" t="s">
        <v>36</v>
      </c>
      <c r="M1086" s="12" t="s">
        <v>36</v>
      </c>
      <c r="N1086" s="12" t="s">
        <v>36</v>
      </c>
      <c r="O1086" s="17" t="s">
        <v>36</v>
      </c>
      <c r="P1086" s="12" t="s">
        <v>36</v>
      </c>
      <c r="Q1086" s="12" t="s">
        <v>36</v>
      </c>
      <c r="R1086" s="12" t="s">
        <v>36</v>
      </c>
      <c r="S1086" s="12" t="s">
        <v>36</v>
      </c>
      <c r="T1086" s="12" t="s">
        <v>6647</v>
      </c>
      <c r="U1086" s="12" t="s">
        <v>233</v>
      </c>
      <c r="V1086" s="12" t="s">
        <v>39</v>
      </c>
      <c r="W1086" s="12" t="s">
        <v>6648</v>
      </c>
      <c r="X1086" s="16" t="s">
        <v>6649</v>
      </c>
      <c r="Y1086" s="15" t="s">
        <v>55</v>
      </c>
      <c r="Z1086" s="14">
        <v>2.26</v>
      </c>
      <c r="AA1086" s="14">
        <v>11.84</v>
      </c>
      <c r="AB1086" s="12" t="s">
        <v>56</v>
      </c>
      <c r="AC1086" s="12" t="s">
        <v>6650</v>
      </c>
      <c r="AD1086" s="13">
        <v>45135</v>
      </c>
      <c r="AE1086" s="12" t="s">
        <v>236</v>
      </c>
      <c r="AF1086" s="12" t="s">
        <v>80</v>
      </c>
      <c r="AG1086" s="12" t="s">
        <v>81</v>
      </c>
      <c r="AH1086" s="1">
        <f>HYPERLINK("https://my.pitchbook.com?c=247649-59T","View Company Online")</f>
      </c>
    </row>
    <row r="1087">
      <c r="A1087" s="3" t="s">
        <v>6651</v>
      </c>
      <c r="B1087" s="3" t="s">
        <v>6652</v>
      </c>
      <c r="C1087" s="5">
        <v>7</v>
      </c>
      <c r="D1087" s="5">
        <v>7</v>
      </c>
      <c r="E1087" s="5">
        <v>3</v>
      </c>
      <c r="F1087" s="5">
        <v>16</v>
      </c>
      <c r="G1087" s="6" t="s">
        <v>36</v>
      </c>
      <c r="H1087" s="4" t="s">
        <v>36</v>
      </c>
      <c r="I1087" s="7" t="s">
        <v>36</v>
      </c>
      <c r="J1087" s="3" t="s">
        <v>36</v>
      </c>
      <c r="K1087" s="9" t="s">
        <v>36</v>
      </c>
      <c r="L1087" s="6" t="s">
        <v>36</v>
      </c>
      <c r="M1087" s="3" t="s">
        <v>36</v>
      </c>
      <c r="N1087" s="3" t="s">
        <v>36</v>
      </c>
      <c r="O1087" s="8" t="s">
        <v>36</v>
      </c>
      <c r="P1087" s="3" t="s">
        <v>36</v>
      </c>
      <c r="Q1087" s="3" t="s">
        <v>36</v>
      </c>
      <c r="R1087" s="3" t="s">
        <v>36</v>
      </c>
      <c r="S1087" s="3" t="s">
        <v>36</v>
      </c>
      <c r="T1087" s="3" t="s">
        <v>154</v>
      </c>
      <c r="U1087" s="3" t="s">
        <v>51</v>
      </c>
      <c r="V1087" s="3" t="s">
        <v>52</v>
      </c>
      <c r="W1087" s="3" t="s">
        <v>6653</v>
      </c>
      <c r="X1087" s="10" t="s">
        <v>2442</v>
      </c>
      <c r="Y1087" s="6" t="s">
        <v>55</v>
      </c>
      <c r="Z1087" s="4">
        <v>2.08</v>
      </c>
      <c r="AA1087" s="4" t="s">
        <v>36</v>
      </c>
      <c r="AB1087" s="3" t="s">
        <v>43</v>
      </c>
      <c r="AC1087" s="3" t="s">
        <v>6654</v>
      </c>
      <c r="AD1087" s="9">
        <v>45135</v>
      </c>
      <c r="AE1087" s="3" t="s">
        <v>158</v>
      </c>
      <c r="AF1087" s="3" t="s">
        <v>159</v>
      </c>
      <c r="AG1087" s="3" t="s">
        <v>81</v>
      </c>
      <c r="AH1087" s="11">
        <f>HYPERLINK("https://my.pitchbook.com?c=245011-87T","View Company Online")</f>
      </c>
    </row>
    <row r="1088">
      <c r="A1088" s="12" t="s">
        <v>6655</v>
      </c>
      <c r="B1088" s="12" t="s">
        <v>6656</v>
      </c>
      <c r="C1088" s="19">
        <v>26</v>
      </c>
      <c r="D1088" s="19">
        <v>25</v>
      </c>
      <c r="E1088" s="19">
        <v>11</v>
      </c>
      <c r="F1088" s="19">
        <v>54</v>
      </c>
      <c r="G1088" s="15" t="s">
        <v>683</v>
      </c>
      <c r="H1088" s="14">
        <v>300.36</v>
      </c>
      <c r="I1088" s="18">
        <v>6.89</v>
      </c>
      <c r="J1088" s="12" t="s">
        <v>521</v>
      </c>
      <c r="K1088" s="13" t="s">
        <v>36</v>
      </c>
      <c r="L1088" s="15" t="s">
        <v>36</v>
      </c>
      <c r="M1088" s="12" t="s">
        <v>36</v>
      </c>
      <c r="N1088" s="12" t="s">
        <v>36</v>
      </c>
      <c r="O1088" s="17" t="s">
        <v>36</v>
      </c>
      <c r="P1088" s="12" t="s">
        <v>36</v>
      </c>
      <c r="Q1088" s="12" t="s">
        <v>36</v>
      </c>
      <c r="R1088" s="12" t="s">
        <v>36</v>
      </c>
      <c r="S1088" s="12" t="s">
        <v>6657</v>
      </c>
      <c r="T1088" s="12" t="s">
        <v>6658</v>
      </c>
      <c r="U1088" s="12" t="s">
        <v>74</v>
      </c>
      <c r="V1088" s="12" t="s">
        <v>75</v>
      </c>
      <c r="W1088" s="12" t="s">
        <v>6659</v>
      </c>
      <c r="X1088" s="16" t="s">
        <v>6660</v>
      </c>
      <c r="Y1088" s="15" t="s">
        <v>166</v>
      </c>
      <c r="Z1088" s="14">
        <v>2.21</v>
      </c>
      <c r="AA1088" s="14">
        <v>32.08</v>
      </c>
      <c r="AB1088" s="12" t="s">
        <v>56</v>
      </c>
      <c r="AC1088" s="12" t="s">
        <v>6661</v>
      </c>
      <c r="AD1088" s="13">
        <v>45134</v>
      </c>
      <c r="AE1088" s="12" t="s">
        <v>570</v>
      </c>
      <c r="AF1088" s="12" t="s">
        <v>871</v>
      </c>
      <c r="AG1088" s="12" t="s">
        <v>392</v>
      </c>
      <c r="AH1088" s="1">
        <f>HYPERLINK("https://my.pitchbook.com?c=232550-20T","View Company Online")</f>
      </c>
    </row>
    <row r="1089">
      <c r="A1089" s="3" t="s">
        <v>6662</v>
      </c>
      <c r="B1089" s="3" t="s">
        <v>6663</v>
      </c>
      <c r="C1089" s="5" t="s">
        <v>36</v>
      </c>
      <c r="D1089" s="5" t="s">
        <v>36</v>
      </c>
      <c r="E1089" s="5" t="s">
        <v>36</v>
      </c>
      <c r="F1089" s="5" t="s">
        <v>36</v>
      </c>
      <c r="G1089" s="6" t="s">
        <v>36</v>
      </c>
      <c r="H1089" s="4" t="s">
        <v>36</v>
      </c>
      <c r="I1089" s="7" t="s">
        <v>36</v>
      </c>
      <c r="J1089" s="3" t="s">
        <v>36</v>
      </c>
      <c r="K1089" s="9" t="s">
        <v>36</v>
      </c>
      <c r="L1089" s="6" t="s">
        <v>36</v>
      </c>
      <c r="M1089" s="3" t="s">
        <v>36</v>
      </c>
      <c r="N1089" s="3" t="s">
        <v>36</v>
      </c>
      <c r="O1089" s="8" t="s">
        <v>36</v>
      </c>
      <c r="P1089" s="3" t="s">
        <v>36</v>
      </c>
      <c r="Q1089" s="3" t="s">
        <v>36</v>
      </c>
      <c r="R1089" s="3" t="s">
        <v>36</v>
      </c>
      <c r="S1089" s="3" t="s">
        <v>36</v>
      </c>
      <c r="T1089" s="3" t="s">
        <v>6664</v>
      </c>
      <c r="U1089" s="3" t="s">
        <v>387</v>
      </c>
      <c r="V1089" s="3" t="s">
        <v>367</v>
      </c>
      <c r="W1089" s="3" t="s">
        <v>6665</v>
      </c>
      <c r="X1089" s="10" t="s">
        <v>6666</v>
      </c>
      <c r="Y1089" s="6" t="s">
        <v>42</v>
      </c>
      <c r="Z1089" s="4">
        <v>4.42</v>
      </c>
      <c r="AA1089" s="4" t="s">
        <v>36</v>
      </c>
      <c r="AB1089" s="3" t="s">
        <v>43</v>
      </c>
      <c r="AC1089" s="3" t="s">
        <v>6667</v>
      </c>
      <c r="AD1089" s="9">
        <v>45134</v>
      </c>
      <c r="AE1089" s="3" t="s">
        <v>391</v>
      </c>
      <c r="AF1089" s="3" t="s">
        <v>982</v>
      </c>
      <c r="AG1089" s="3" t="s">
        <v>6668</v>
      </c>
      <c r="AH1089" s="11">
        <f>HYPERLINK("https://my.pitchbook.com?c=243115-57T","View Company Online")</f>
      </c>
    </row>
    <row r="1090">
      <c r="A1090" s="12" t="s">
        <v>6669</v>
      </c>
      <c r="B1090" s="12" t="s">
        <v>6670</v>
      </c>
      <c r="C1090" s="19">
        <v>4</v>
      </c>
      <c r="D1090" s="19">
        <v>10</v>
      </c>
      <c r="E1090" s="19">
        <v>1</v>
      </c>
      <c r="F1090" s="19">
        <v>15</v>
      </c>
      <c r="G1090" s="15" t="s">
        <v>36</v>
      </c>
      <c r="H1090" s="14" t="s">
        <v>36</v>
      </c>
      <c r="I1090" s="18">
        <v>11</v>
      </c>
      <c r="J1090" s="12" t="s">
        <v>36</v>
      </c>
      <c r="K1090" s="13" t="s">
        <v>36</v>
      </c>
      <c r="L1090" s="15" t="s">
        <v>122</v>
      </c>
      <c r="M1090" s="12" t="s">
        <v>36</v>
      </c>
      <c r="N1090" s="12" t="s">
        <v>122</v>
      </c>
      <c r="O1090" s="17" t="s">
        <v>36</v>
      </c>
      <c r="P1090" s="12" t="s">
        <v>36</v>
      </c>
      <c r="Q1090" s="12" t="s">
        <v>36</v>
      </c>
      <c r="R1090" s="12" t="s">
        <v>36</v>
      </c>
      <c r="S1090" s="12" t="s">
        <v>36</v>
      </c>
      <c r="T1090" s="12" t="s">
        <v>6671</v>
      </c>
      <c r="U1090" s="12" t="s">
        <v>96</v>
      </c>
      <c r="V1090" s="12" t="s">
        <v>52</v>
      </c>
      <c r="W1090" s="12" t="s">
        <v>6672</v>
      </c>
      <c r="X1090" s="16" t="s">
        <v>6673</v>
      </c>
      <c r="Y1090" s="15" t="s">
        <v>108</v>
      </c>
      <c r="Z1090" s="14">
        <v>14</v>
      </c>
      <c r="AA1090" s="14" t="s">
        <v>36</v>
      </c>
      <c r="AB1090" s="12" t="s">
        <v>43</v>
      </c>
      <c r="AC1090" s="12" t="s">
        <v>6674</v>
      </c>
      <c r="AD1090" s="13">
        <v>45133</v>
      </c>
      <c r="AE1090" s="12" t="s">
        <v>1414</v>
      </c>
      <c r="AF1090" s="12" t="s">
        <v>159</v>
      </c>
      <c r="AG1090" s="12" t="s">
        <v>1202</v>
      </c>
      <c r="AH1090" s="1">
        <f>HYPERLINK("https://my.pitchbook.com?c=239442-22T","View Company Online")</f>
      </c>
    </row>
    <row r="1091">
      <c r="A1091" s="3" t="s">
        <v>6675</v>
      </c>
      <c r="B1091" s="3" t="s">
        <v>6676</v>
      </c>
      <c r="C1091" s="5" t="s">
        <v>36</v>
      </c>
      <c r="D1091" s="5" t="s">
        <v>36</v>
      </c>
      <c r="E1091" s="5" t="s">
        <v>36</v>
      </c>
      <c r="F1091" s="5" t="s">
        <v>36</v>
      </c>
      <c r="G1091" s="6" t="s">
        <v>326</v>
      </c>
      <c r="H1091" s="4">
        <v>205.64</v>
      </c>
      <c r="I1091" s="7">
        <v>9.17</v>
      </c>
      <c r="J1091" s="3" t="s">
        <v>521</v>
      </c>
      <c r="K1091" s="9" t="s">
        <v>36</v>
      </c>
      <c r="L1091" s="6" t="s">
        <v>36</v>
      </c>
      <c r="M1091" s="3" t="s">
        <v>36</v>
      </c>
      <c r="N1091" s="3" t="s">
        <v>36</v>
      </c>
      <c r="O1091" s="8" t="s">
        <v>36</v>
      </c>
      <c r="P1091" s="3" t="s">
        <v>36</v>
      </c>
      <c r="Q1091" s="3" t="s">
        <v>36</v>
      </c>
      <c r="R1091" s="3" t="s">
        <v>36</v>
      </c>
      <c r="S1091" s="3" t="s">
        <v>6677</v>
      </c>
      <c r="T1091" s="3" t="s">
        <v>6288</v>
      </c>
      <c r="U1091" s="3" t="s">
        <v>85</v>
      </c>
      <c r="V1091" s="3" t="s">
        <v>64</v>
      </c>
      <c r="W1091" s="3" t="s">
        <v>6678</v>
      </c>
      <c r="X1091" s="10" t="s">
        <v>6679</v>
      </c>
      <c r="Y1091" s="6" t="s">
        <v>55</v>
      </c>
      <c r="Z1091" s="4">
        <v>7.73</v>
      </c>
      <c r="AA1091" s="4">
        <v>49.13</v>
      </c>
      <c r="AB1091" s="3" t="s">
        <v>56</v>
      </c>
      <c r="AC1091" s="3" t="s">
        <v>6680</v>
      </c>
      <c r="AD1091" s="9">
        <v>45133</v>
      </c>
      <c r="AE1091" s="3" t="s">
        <v>89</v>
      </c>
      <c r="AF1091" s="3" t="s">
        <v>6681</v>
      </c>
      <c r="AG1091" s="3" t="s">
        <v>102</v>
      </c>
      <c r="AH1091" s="11">
        <f>HYPERLINK("https://my.pitchbook.com?c=234493-12T","View Company Online")</f>
      </c>
    </row>
    <row r="1092">
      <c r="A1092" s="12" t="s">
        <v>6682</v>
      </c>
      <c r="B1092" s="12" t="s">
        <v>6683</v>
      </c>
      <c r="C1092" s="19">
        <v>17</v>
      </c>
      <c r="D1092" s="19">
        <v>19</v>
      </c>
      <c r="E1092" s="19">
        <v>19</v>
      </c>
      <c r="F1092" s="19">
        <v>37</v>
      </c>
      <c r="G1092" s="15" t="s">
        <v>326</v>
      </c>
      <c r="H1092" s="14">
        <v>11.44</v>
      </c>
      <c r="I1092" s="18">
        <v>34.98</v>
      </c>
      <c r="J1092" s="12" t="s">
        <v>521</v>
      </c>
      <c r="K1092" s="13" t="s">
        <v>36</v>
      </c>
      <c r="L1092" s="15" t="s">
        <v>122</v>
      </c>
      <c r="M1092" s="12" t="s">
        <v>36</v>
      </c>
      <c r="N1092" s="12" t="s">
        <v>122</v>
      </c>
      <c r="O1092" s="17" t="s">
        <v>36</v>
      </c>
      <c r="P1092" s="12" t="s">
        <v>36</v>
      </c>
      <c r="Q1092" s="12" t="s">
        <v>36</v>
      </c>
      <c r="R1092" s="12" t="s">
        <v>36</v>
      </c>
      <c r="S1092" s="12" t="s">
        <v>36</v>
      </c>
      <c r="T1092" s="12" t="s">
        <v>1831</v>
      </c>
      <c r="U1092" s="12" t="s">
        <v>387</v>
      </c>
      <c r="V1092" s="12" t="s">
        <v>367</v>
      </c>
      <c r="W1092" s="12" t="s">
        <v>6684</v>
      </c>
      <c r="X1092" s="16" t="s">
        <v>6685</v>
      </c>
      <c r="Y1092" s="15" t="s">
        <v>108</v>
      </c>
      <c r="Z1092" s="14">
        <v>16.55</v>
      </c>
      <c r="AA1092" s="14">
        <v>47.32</v>
      </c>
      <c r="AB1092" s="12" t="s">
        <v>43</v>
      </c>
      <c r="AC1092" s="12" t="s">
        <v>6686</v>
      </c>
      <c r="AD1092" s="13">
        <v>45132</v>
      </c>
      <c r="AE1092" s="12" t="s">
        <v>391</v>
      </c>
      <c r="AF1092" s="12" t="s">
        <v>982</v>
      </c>
      <c r="AG1092" s="12" t="s">
        <v>81</v>
      </c>
      <c r="AH1092" s="1">
        <f>HYPERLINK("https://my.pitchbook.com?c=232441-12T","View Company Online")</f>
      </c>
    </row>
    <row r="1093">
      <c r="A1093" s="3" t="s">
        <v>6687</v>
      </c>
      <c r="B1093" s="3" t="s">
        <v>6688</v>
      </c>
      <c r="C1093" s="5">
        <v>20</v>
      </c>
      <c r="D1093" s="5">
        <v>12</v>
      </c>
      <c r="E1093" s="5">
        <v>11</v>
      </c>
      <c r="F1093" s="5">
        <v>32</v>
      </c>
      <c r="G1093" s="6" t="s">
        <v>36</v>
      </c>
      <c r="H1093" s="4" t="s">
        <v>36</v>
      </c>
      <c r="I1093" s="7" t="s">
        <v>36</v>
      </c>
      <c r="J1093" s="3" t="s">
        <v>36</v>
      </c>
      <c r="K1093" s="9" t="s">
        <v>36</v>
      </c>
      <c r="L1093" s="6" t="s">
        <v>36</v>
      </c>
      <c r="M1093" s="3" t="s">
        <v>36</v>
      </c>
      <c r="N1093" s="3" t="s">
        <v>36</v>
      </c>
      <c r="O1093" s="8" t="s">
        <v>36</v>
      </c>
      <c r="P1093" s="3" t="s">
        <v>36</v>
      </c>
      <c r="Q1093" s="3" t="s">
        <v>36</v>
      </c>
      <c r="R1093" s="3" t="s">
        <v>36</v>
      </c>
      <c r="S1093" s="3" t="s">
        <v>36</v>
      </c>
      <c r="T1093" s="3" t="s">
        <v>6689</v>
      </c>
      <c r="U1093" s="3" t="s">
        <v>219</v>
      </c>
      <c r="V1093" s="3" t="s">
        <v>75</v>
      </c>
      <c r="W1093" s="3" t="s">
        <v>6690</v>
      </c>
      <c r="X1093" s="10" t="s">
        <v>2442</v>
      </c>
      <c r="Y1093" s="6" t="s">
        <v>192</v>
      </c>
      <c r="Z1093" s="4">
        <v>5.14</v>
      </c>
      <c r="AA1093" s="4" t="s">
        <v>36</v>
      </c>
      <c r="AB1093" s="3" t="s">
        <v>56</v>
      </c>
      <c r="AC1093" s="3" t="s">
        <v>6691</v>
      </c>
      <c r="AD1093" s="9">
        <v>45132</v>
      </c>
      <c r="AE1093" s="3" t="s">
        <v>1912</v>
      </c>
      <c r="AF1093" s="3" t="s">
        <v>1969</v>
      </c>
      <c r="AG1093" s="3" t="s">
        <v>144</v>
      </c>
      <c r="AH1093" s="11">
        <f>HYPERLINK("https://my.pitchbook.com?c=244995-04T","View Company Online")</f>
      </c>
    </row>
    <row r="1094">
      <c r="A1094" s="12" t="s">
        <v>6692</v>
      </c>
      <c r="B1094" s="12" t="s">
        <v>6693</v>
      </c>
      <c r="C1094" s="19" t="s">
        <v>36</v>
      </c>
      <c r="D1094" s="19" t="s">
        <v>36</v>
      </c>
      <c r="E1094" s="19" t="s">
        <v>36</v>
      </c>
      <c r="F1094" s="19" t="s">
        <v>36</v>
      </c>
      <c r="G1094" s="15" t="s">
        <v>36</v>
      </c>
      <c r="H1094" s="14" t="s">
        <v>36</v>
      </c>
      <c r="I1094" s="18" t="s">
        <v>36</v>
      </c>
      <c r="J1094" s="12" t="s">
        <v>36</v>
      </c>
      <c r="K1094" s="13" t="s">
        <v>36</v>
      </c>
      <c r="L1094" s="15" t="s">
        <v>36</v>
      </c>
      <c r="M1094" s="12" t="s">
        <v>36</v>
      </c>
      <c r="N1094" s="12" t="s">
        <v>36</v>
      </c>
      <c r="O1094" s="17" t="s">
        <v>36</v>
      </c>
      <c r="P1094" s="12" t="s">
        <v>36</v>
      </c>
      <c r="Q1094" s="12" t="s">
        <v>36</v>
      </c>
      <c r="R1094" s="12" t="s">
        <v>36</v>
      </c>
      <c r="S1094" s="12" t="s">
        <v>36</v>
      </c>
      <c r="T1094" s="12" t="s">
        <v>6694</v>
      </c>
      <c r="U1094" s="12" t="s">
        <v>728</v>
      </c>
      <c r="V1094" s="12" t="s">
        <v>64</v>
      </c>
      <c r="W1094" s="12" t="s">
        <v>6695</v>
      </c>
      <c r="X1094" s="16" t="s">
        <v>6696</v>
      </c>
      <c r="Y1094" s="15" t="s">
        <v>475</v>
      </c>
      <c r="Z1094" s="14" t="s">
        <v>36</v>
      </c>
      <c r="AA1094" s="14" t="s">
        <v>36</v>
      </c>
      <c r="AB1094" s="12" t="s">
        <v>56</v>
      </c>
      <c r="AC1094" s="12" t="s">
        <v>6697</v>
      </c>
      <c r="AD1094" s="13">
        <v>45132</v>
      </c>
      <c r="AE1094" s="12" t="s">
        <v>2154</v>
      </c>
      <c r="AF1094" s="12" t="s">
        <v>2118</v>
      </c>
      <c r="AG1094" s="12" t="s">
        <v>81</v>
      </c>
      <c r="AH1094" s="1">
        <f>HYPERLINK("https://my.pitchbook.com?c=232351-84T","View Company Online")</f>
      </c>
    </row>
    <row r="1095">
      <c r="A1095" s="3" t="s">
        <v>6698</v>
      </c>
      <c r="B1095" s="3" t="s">
        <v>6699</v>
      </c>
      <c r="C1095" s="5" t="s">
        <v>36</v>
      </c>
      <c r="D1095" s="5" t="s">
        <v>36</v>
      </c>
      <c r="E1095" s="5" t="s">
        <v>36</v>
      </c>
      <c r="F1095" s="5" t="s">
        <v>36</v>
      </c>
      <c r="G1095" s="6" t="s">
        <v>36</v>
      </c>
      <c r="H1095" s="4" t="s">
        <v>36</v>
      </c>
      <c r="I1095" s="7" t="s">
        <v>36</v>
      </c>
      <c r="J1095" s="3" t="s">
        <v>36</v>
      </c>
      <c r="K1095" s="9" t="s">
        <v>36</v>
      </c>
      <c r="L1095" s="6" t="s">
        <v>36</v>
      </c>
      <c r="M1095" s="3" t="s">
        <v>36</v>
      </c>
      <c r="N1095" s="3" t="s">
        <v>36</v>
      </c>
      <c r="O1095" s="8" t="s">
        <v>36</v>
      </c>
      <c r="P1095" s="3" t="s">
        <v>36</v>
      </c>
      <c r="Q1095" s="3" t="s">
        <v>36</v>
      </c>
      <c r="R1095" s="3" t="s">
        <v>36</v>
      </c>
      <c r="S1095" s="3" t="s">
        <v>36</v>
      </c>
      <c r="T1095" s="3" t="s">
        <v>6700</v>
      </c>
      <c r="U1095" s="3" t="s">
        <v>74</v>
      </c>
      <c r="V1095" s="3" t="s">
        <v>75</v>
      </c>
      <c r="W1095" s="3" t="s">
        <v>6701</v>
      </c>
      <c r="X1095" s="10" t="s">
        <v>6702</v>
      </c>
      <c r="Y1095" s="6" t="s">
        <v>108</v>
      </c>
      <c r="Z1095" s="4">
        <v>1.1</v>
      </c>
      <c r="AA1095" s="4" t="s">
        <v>36</v>
      </c>
      <c r="AB1095" s="3" t="s">
        <v>43</v>
      </c>
      <c r="AC1095" s="3" t="s">
        <v>6703</v>
      </c>
      <c r="AD1095" s="9">
        <v>45131</v>
      </c>
      <c r="AE1095" s="3" t="s">
        <v>79</v>
      </c>
      <c r="AF1095" s="3" t="s">
        <v>36</v>
      </c>
      <c r="AG1095" s="3" t="s">
        <v>81</v>
      </c>
      <c r="AH1095" s="11">
        <f>HYPERLINK("https://my.pitchbook.com?c=232338-34T","View Company Online")</f>
      </c>
    </row>
    <row r="1096">
      <c r="A1096" s="12" t="s">
        <v>6704</v>
      </c>
      <c r="B1096" s="12" t="s">
        <v>6705</v>
      </c>
      <c r="C1096" s="19" t="s">
        <v>36</v>
      </c>
      <c r="D1096" s="19" t="s">
        <v>36</v>
      </c>
      <c r="E1096" s="19" t="s">
        <v>36</v>
      </c>
      <c r="F1096" s="19" t="s">
        <v>36</v>
      </c>
      <c r="G1096" s="15" t="s">
        <v>36</v>
      </c>
      <c r="H1096" s="14" t="s">
        <v>36</v>
      </c>
      <c r="I1096" s="18" t="s">
        <v>36</v>
      </c>
      <c r="J1096" s="12" t="s">
        <v>36</v>
      </c>
      <c r="K1096" s="13" t="s">
        <v>36</v>
      </c>
      <c r="L1096" s="15" t="s">
        <v>36</v>
      </c>
      <c r="M1096" s="12" t="s">
        <v>36</v>
      </c>
      <c r="N1096" s="12" t="s">
        <v>36</v>
      </c>
      <c r="O1096" s="17" t="s">
        <v>36</v>
      </c>
      <c r="P1096" s="12" t="s">
        <v>36</v>
      </c>
      <c r="Q1096" s="12" t="s">
        <v>36</v>
      </c>
      <c r="R1096" s="12" t="s">
        <v>36</v>
      </c>
      <c r="S1096" s="12" t="s">
        <v>36</v>
      </c>
      <c r="T1096" s="12" t="s">
        <v>5929</v>
      </c>
      <c r="U1096" s="12" t="s">
        <v>38</v>
      </c>
      <c r="V1096" s="12" t="s">
        <v>39</v>
      </c>
      <c r="W1096" s="12" t="s">
        <v>6706</v>
      </c>
      <c r="X1096" s="16" t="s">
        <v>6707</v>
      </c>
      <c r="Y1096" s="15" t="s">
        <v>55</v>
      </c>
      <c r="Z1096" s="14" t="s">
        <v>36</v>
      </c>
      <c r="AA1096" s="14" t="s">
        <v>36</v>
      </c>
      <c r="AB1096" s="12" t="s">
        <v>56</v>
      </c>
      <c r="AC1096" s="12" t="s">
        <v>6708</v>
      </c>
      <c r="AD1096" s="13">
        <v>45131</v>
      </c>
      <c r="AE1096" s="12" t="s">
        <v>110</v>
      </c>
      <c r="AF1096" s="12" t="s">
        <v>176</v>
      </c>
      <c r="AG1096" s="12" t="s">
        <v>899</v>
      </c>
      <c r="AH1096" s="1">
        <f>HYPERLINK("https://my.pitchbook.com?c=232298-56T","View Company Online")</f>
      </c>
    </row>
    <row r="1097">
      <c r="A1097" s="3" t="s">
        <v>6709</v>
      </c>
      <c r="B1097" s="3" t="s">
        <v>452</v>
      </c>
      <c r="C1097" s="5">
        <v>10</v>
      </c>
      <c r="D1097" s="5">
        <v>4</v>
      </c>
      <c r="E1097" s="5">
        <v>6</v>
      </c>
      <c r="F1097" s="5">
        <v>14</v>
      </c>
      <c r="G1097" s="6" t="s">
        <v>36</v>
      </c>
      <c r="H1097" s="4" t="s">
        <v>36</v>
      </c>
      <c r="I1097" s="7">
        <v>44.38</v>
      </c>
      <c r="J1097" s="3" t="s">
        <v>327</v>
      </c>
      <c r="K1097" s="9">
        <v>45093</v>
      </c>
      <c r="L1097" s="6" t="s">
        <v>122</v>
      </c>
      <c r="M1097" s="3" t="s">
        <v>36</v>
      </c>
      <c r="N1097" s="3" t="s">
        <v>122</v>
      </c>
      <c r="O1097" s="8" t="s">
        <v>36</v>
      </c>
      <c r="P1097" s="3" t="s">
        <v>36</v>
      </c>
      <c r="Q1097" s="3" t="s">
        <v>36</v>
      </c>
      <c r="R1097" s="3" t="s">
        <v>36</v>
      </c>
      <c r="S1097" s="3" t="s">
        <v>453</v>
      </c>
      <c r="T1097" s="3" t="s">
        <v>454</v>
      </c>
      <c r="U1097" s="3" t="s">
        <v>455</v>
      </c>
      <c r="V1097" s="3" t="s">
        <v>367</v>
      </c>
      <c r="W1097" s="3" t="s">
        <v>456</v>
      </c>
      <c r="X1097" s="10" t="s">
        <v>6710</v>
      </c>
      <c r="Y1097" s="6" t="s">
        <v>55</v>
      </c>
      <c r="Z1097" s="4">
        <v>11.03</v>
      </c>
      <c r="AA1097" s="4">
        <v>24.85</v>
      </c>
      <c r="AB1097" s="3" t="s">
        <v>56</v>
      </c>
      <c r="AC1097" s="3" t="s">
        <v>458</v>
      </c>
      <c r="AD1097" s="9">
        <v>45131</v>
      </c>
      <c r="AE1097" s="3" t="s">
        <v>459</v>
      </c>
      <c r="AF1097" s="3" t="s">
        <v>460</v>
      </c>
      <c r="AG1097" s="3" t="s">
        <v>461</v>
      </c>
      <c r="AH1097" s="11">
        <f>HYPERLINK("https://my.pitchbook.com?c=232437-70T","View Company Online")</f>
      </c>
    </row>
    <row r="1098">
      <c r="A1098" s="12" t="s">
        <v>6711</v>
      </c>
      <c r="B1098" s="12" t="s">
        <v>6712</v>
      </c>
      <c r="C1098" s="19" t="s">
        <v>36</v>
      </c>
      <c r="D1098" s="19">
        <v>5</v>
      </c>
      <c r="E1098" s="19">
        <v>1</v>
      </c>
      <c r="F1098" s="19">
        <v>5</v>
      </c>
      <c r="G1098" s="15" t="s">
        <v>683</v>
      </c>
      <c r="H1098" s="14">
        <v>40.44</v>
      </c>
      <c r="I1098" s="18">
        <v>9.18</v>
      </c>
      <c r="J1098" s="12" t="s">
        <v>521</v>
      </c>
      <c r="K1098" s="13" t="s">
        <v>36</v>
      </c>
      <c r="L1098" s="15" t="s">
        <v>36</v>
      </c>
      <c r="M1098" s="12" t="s">
        <v>36</v>
      </c>
      <c r="N1098" s="12" t="s">
        <v>36</v>
      </c>
      <c r="O1098" s="17" t="s">
        <v>36</v>
      </c>
      <c r="P1098" s="12" t="s">
        <v>36</v>
      </c>
      <c r="Q1098" s="12" t="s">
        <v>36</v>
      </c>
      <c r="R1098" s="12" t="s">
        <v>36</v>
      </c>
      <c r="S1098" s="12" t="s">
        <v>36</v>
      </c>
      <c r="T1098" s="12" t="s">
        <v>6713</v>
      </c>
      <c r="U1098" s="12" t="s">
        <v>728</v>
      </c>
      <c r="V1098" s="12" t="s">
        <v>64</v>
      </c>
      <c r="W1098" s="12" t="s">
        <v>6714</v>
      </c>
      <c r="X1098" s="16" t="s">
        <v>6715</v>
      </c>
      <c r="Y1098" s="15" t="s">
        <v>55</v>
      </c>
      <c r="Z1098" s="14">
        <v>4.03</v>
      </c>
      <c r="AA1098" s="14">
        <v>43.82</v>
      </c>
      <c r="AB1098" s="12" t="s">
        <v>56</v>
      </c>
      <c r="AC1098" s="12" t="s">
        <v>6716</v>
      </c>
      <c r="AD1098" s="13">
        <v>45129</v>
      </c>
      <c r="AE1098" s="12" t="s">
        <v>6717</v>
      </c>
      <c r="AF1098" s="12" t="s">
        <v>6718</v>
      </c>
      <c r="AG1098" s="12" t="s">
        <v>81</v>
      </c>
      <c r="AH1098" s="1">
        <f>HYPERLINK("https://my.pitchbook.com?c=232242-13T","View Company Online")</f>
      </c>
    </row>
    <row r="1099">
      <c r="A1099" s="3" t="s">
        <v>6719</v>
      </c>
      <c r="B1099" s="3" t="s">
        <v>6720</v>
      </c>
      <c r="C1099" s="5" t="s">
        <v>36</v>
      </c>
      <c r="D1099" s="5" t="s">
        <v>36</v>
      </c>
      <c r="E1099" s="5" t="s">
        <v>36</v>
      </c>
      <c r="F1099" s="5" t="s">
        <v>36</v>
      </c>
      <c r="G1099" s="6" t="s">
        <v>36</v>
      </c>
      <c r="H1099" s="4" t="s">
        <v>36</v>
      </c>
      <c r="I1099" s="7" t="s">
        <v>36</v>
      </c>
      <c r="J1099" s="3" t="s">
        <v>36</v>
      </c>
      <c r="K1099" s="9" t="s">
        <v>36</v>
      </c>
      <c r="L1099" s="6" t="s">
        <v>1981</v>
      </c>
      <c r="M1099" s="3" t="s">
        <v>36</v>
      </c>
      <c r="N1099" s="3" t="s">
        <v>1981</v>
      </c>
      <c r="O1099" s="8" t="s">
        <v>36</v>
      </c>
      <c r="P1099" s="3" t="s">
        <v>36</v>
      </c>
      <c r="Q1099" s="3" t="s">
        <v>36</v>
      </c>
      <c r="R1099" s="3" t="s">
        <v>36</v>
      </c>
      <c r="S1099" s="3" t="s">
        <v>36</v>
      </c>
      <c r="T1099" s="3" t="s">
        <v>6721</v>
      </c>
      <c r="U1099" s="3" t="s">
        <v>318</v>
      </c>
      <c r="V1099" s="3" t="s">
        <v>39</v>
      </c>
      <c r="W1099" s="3" t="s">
        <v>6722</v>
      </c>
      <c r="X1099" s="10" t="s">
        <v>6723</v>
      </c>
      <c r="Y1099" s="6" t="s">
        <v>55</v>
      </c>
      <c r="Z1099" s="4" t="s">
        <v>36</v>
      </c>
      <c r="AA1099" s="4" t="s">
        <v>36</v>
      </c>
      <c r="AB1099" s="3" t="s">
        <v>56</v>
      </c>
      <c r="AC1099" s="3" t="s">
        <v>6724</v>
      </c>
      <c r="AD1099" s="9">
        <v>45128</v>
      </c>
      <c r="AE1099" s="3" t="s">
        <v>763</v>
      </c>
      <c r="AF1099" s="3" t="s">
        <v>6725</v>
      </c>
      <c r="AG1099" s="3" t="s">
        <v>102</v>
      </c>
      <c r="AH1099" s="11">
        <f>HYPERLINK("https://my.pitchbook.com?c=243756-91T","View Company Online")</f>
      </c>
    </row>
    <row r="1100">
      <c r="A1100" s="12" t="s">
        <v>6726</v>
      </c>
      <c r="B1100" s="12" t="s">
        <v>6727</v>
      </c>
      <c r="C1100" s="19" t="s">
        <v>36</v>
      </c>
      <c r="D1100" s="19" t="s">
        <v>36</v>
      </c>
      <c r="E1100" s="19" t="s">
        <v>36</v>
      </c>
      <c r="F1100" s="19" t="s">
        <v>36</v>
      </c>
      <c r="G1100" s="15" t="s">
        <v>36</v>
      </c>
      <c r="H1100" s="14">
        <v>125.98</v>
      </c>
      <c r="I1100" s="18">
        <v>21.83</v>
      </c>
      <c r="J1100" s="12" t="s">
        <v>521</v>
      </c>
      <c r="K1100" s="13" t="s">
        <v>36</v>
      </c>
      <c r="L1100" s="15" t="s">
        <v>36</v>
      </c>
      <c r="M1100" s="12" t="s">
        <v>36</v>
      </c>
      <c r="N1100" s="12" t="s">
        <v>36</v>
      </c>
      <c r="O1100" s="17" t="s">
        <v>36</v>
      </c>
      <c r="P1100" s="12" t="s">
        <v>36</v>
      </c>
      <c r="Q1100" s="12" t="s">
        <v>36</v>
      </c>
      <c r="R1100" s="12" t="s">
        <v>36</v>
      </c>
      <c r="S1100" s="12" t="s">
        <v>36</v>
      </c>
      <c r="T1100" s="12" t="s">
        <v>3386</v>
      </c>
      <c r="U1100" s="12" t="s">
        <v>74</v>
      </c>
      <c r="V1100" s="12" t="s">
        <v>75</v>
      </c>
      <c r="W1100" s="12" t="s">
        <v>6728</v>
      </c>
      <c r="X1100" s="16" t="s">
        <v>6729</v>
      </c>
      <c r="Y1100" s="15" t="s">
        <v>42</v>
      </c>
      <c r="Z1100" s="14">
        <v>1.87</v>
      </c>
      <c r="AA1100" s="14">
        <v>5.29</v>
      </c>
      <c r="AB1100" s="12" t="s">
        <v>56</v>
      </c>
      <c r="AC1100" s="12" t="s">
        <v>6730</v>
      </c>
      <c r="AD1100" s="13">
        <v>45127</v>
      </c>
      <c r="AE1100" s="12" t="s">
        <v>1243</v>
      </c>
      <c r="AF1100" s="12" t="s">
        <v>546</v>
      </c>
      <c r="AG1100" s="12" t="s">
        <v>81</v>
      </c>
      <c r="AH1100" s="1">
        <f>HYPERLINK("https://my.pitchbook.com?c=232485-94T","View Company Online")</f>
      </c>
    </row>
    <row r="1101">
      <c r="A1101" s="3" t="s">
        <v>6731</v>
      </c>
      <c r="B1101" s="3" t="s">
        <v>6732</v>
      </c>
      <c r="C1101" s="5" t="s">
        <v>36</v>
      </c>
      <c r="D1101" s="5" t="s">
        <v>36</v>
      </c>
      <c r="E1101" s="5" t="s">
        <v>36</v>
      </c>
      <c r="F1101" s="5" t="s">
        <v>36</v>
      </c>
      <c r="G1101" s="6" t="s">
        <v>36</v>
      </c>
      <c r="H1101" s="4" t="s">
        <v>36</v>
      </c>
      <c r="I1101" s="7">
        <v>47.28</v>
      </c>
      <c r="J1101" s="3" t="s">
        <v>327</v>
      </c>
      <c r="K1101" s="9" t="s">
        <v>36</v>
      </c>
      <c r="L1101" s="6" t="s">
        <v>36</v>
      </c>
      <c r="M1101" s="3" t="s">
        <v>36</v>
      </c>
      <c r="N1101" s="3" t="s">
        <v>36</v>
      </c>
      <c r="O1101" s="8" t="s">
        <v>36</v>
      </c>
      <c r="P1101" s="3" t="s">
        <v>36</v>
      </c>
      <c r="Q1101" s="3" t="s">
        <v>36</v>
      </c>
      <c r="R1101" s="3" t="s">
        <v>36</v>
      </c>
      <c r="S1101" s="3" t="s">
        <v>36</v>
      </c>
      <c r="T1101" s="3" t="s">
        <v>818</v>
      </c>
      <c r="U1101" s="3" t="s">
        <v>74</v>
      </c>
      <c r="V1101" s="3" t="s">
        <v>75</v>
      </c>
      <c r="W1101" s="3" t="s">
        <v>6733</v>
      </c>
      <c r="X1101" s="10" t="s">
        <v>6734</v>
      </c>
      <c r="Y1101" s="6" t="s">
        <v>42</v>
      </c>
      <c r="Z1101" s="4">
        <v>2.2</v>
      </c>
      <c r="AA1101" s="4">
        <v>4.66</v>
      </c>
      <c r="AB1101" s="3" t="s">
        <v>43</v>
      </c>
      <c r="AC1101" s="3" t="s">
        <v>6735</v>
      </c>
      <c r="AD1101" s="9">
        <v>45127</v>
      </c>
      <c r="AE1101" s="3" t="s">
        <v>570</v>
      </c>
      <c r="AF1101" s="3" t="s">
        <v>372</v>
      </c>
      <c r="AG1101" s="3" t="s">
        <v>81</v>
      </c>
      <c r="AH1101" s="11">
        <f>HYPERLINK("https://my.pitchbook.com?c=228766-51T","View Company Online")</f>
      </c>
    </row>
    <row r="1102">
      <c r="A1102" s="12" t="s">
        <v>6736</v>
      </c>
      <c r="B1102" s="12" t="s">
        <v>6737</v>
      </c>
      <c r="C1102" s="19" t="s">
        <v>36</v>
      </c>
      <c r="D1102" s="19" t="s">
        <v>36</v>
      </c>
      <c r="E1102" s="19" t="s">
        <v>36</v>
      </c>
      <c r="F1102" s="19" t="s">
        <v>36</v>
      </c>
      <c r="G1102" s="15" t="s">
        <v>36</v>
      </c>
      <c r="H1102" s="14">
        <v>1971.96</v>
      </c>
      <c r="I1102" s="18">
        <v>24.01</v>
      </c>
      <c r="J1102" s="12" t="s">
        <v>521</v>
      </c>
      <c r="K1102" s="13" t="s">
        <v>36</v>
      </c>
      <c r="L1102" s="15" t="s">
        <v>36</v>
      </c>
      <c r="M1102" s="12" t="s">
        <v>36</v>
      </c>
      <c r="N1102" s="12" t="s">
        <v>36</v>
      </c>
      <c r="O1102" s="17" t="s">
        <v>36</v>
      </c>
      <c r="P1102" s="12" t="s">
        <v>36</v>
      </c>
      <c r="Q1102" s="12" t="s">
        <v>36</v>
      </c>
      <c r="R1102" s="12" t="s">
        <v>36</v>
      </c>
      <c r="S1102" s="12" t="s">
        <v>6738</v>
      </c>
      <c r="T1102" s="12" t="s">
        <v>818</v>
      </c>
      <c r="U1102" s="12" t="s">
        <v>74</v>
      </c>
      <c r="V1102" s="12" t="s">
        <v>75</v>
      </c>
      <c r="W1102" s="12" t="s">
        <v>6739</v>
      </c>
      <c r="X1102" s="16" t="s">
        <v>6740</v>
      </c>
      <c r="Y1102" s="15" t="s">
        <v>42</v>
      </c>
      <c r="Z1102" s="14">
        <v>0.33</v>
      </c>
      <c r="AA1102" s="14">
        <v>1.38</v>
      </c>
      <c r="AB1102" s="12" t="s">
        <v>43</v>
      </c>
      <c r="AC1102" s="12" t="s">
        <v>6741</v>
      </c>
      <c r="AD1102" s="13">
        <v>45127</v>
      </c>
      <c r="AE1102" s="12" t="s">
        <v>570</v>
      </c>
      <c r="AF1102" s="12" t="s">
        <v>1619</v>
      </c>
      <c r="AG1102" s="12" t="s">
        <v>2450</v>
      </c>
      <c r="AH1102" s="1">
        <f>HYPERLINK("https://my.pitchbook.com?c=250310-98T","View Company Online")</f>
      </c>
    </row>
    <row r="1103">
      <c r="A1103" s="3" t="s">
        <v>6742</v>
      </c>
      <c r="B1103" s="3" t="s">
        <v>6743</v>
      </c>
      <c r="C1103" s="5">
        <v>1</v>
      </c>
      <c r="D1103" s="5" t="s">
        <v>36</v>
      </c>
      <c r="E1103" s="5">
        <v>1</v>
      </c>
      <c r="F1103" s="5">
        <v>1</v>
      </c>
      <c r="G1103" s="6" t="s">
        <v>326</v>
      </c>
      <c r="H1103" s="4">
        <v>907.21</v>
      </c>
      <c r="I1103" s="7">
        <v>34.35</v>
      </c>
      <c r="J1103" s="3" t="s">
        <v>521</v>
      </c>
      <c r="K1103" s="9" t="s">
        <v>36</v>
      </c>
      <c r="L1103" s="6" t="s">
        <v>122</v>
      </c>
      <c r="M1103" s="3" t="s">
        <v>36</v>
      </c>
      <c r="N1103" s="3" t="s">
        <v>122</v>
      </c>
      <c r="O1103" s="8" t="s">
        <v>36</v>
      </c>
      <c r="P1103" s="3" t="s">
        <v>36</v>
      </c>
      <c r="Q1103" s="3" t="s">
        <v>36</v>
      </c>
      <c r="R1103" s="3" t="s">
        <v>36</v>
      </c>
      <c r="S1103" s="3" t="s">
        <v>36</v>
      </c>
      <c r="T1103" s="3" t="s">
        <v>2490</v>
      </c>
      <c r="U1103" s="3" t="s">
        <v>318</v>
      </c>
      <c r="V1103" s="3" t="s">
        <v>39</v>
      </c>
      <c r="W1103" s="3" t="s">
        <v>6744</v>
      </c>
      <c r="X1103" s="10" t="s">
        <v>6745</v>
      </c>
      <c r="Y1103" s="6" t="s">
        <v>108</v>
      </c>
      <c r="Z1103" s="4">
        <v>11.01</v>
      </c>
      <c r="AA1103" s="4">
        <v>20.52</v>
      </c>
      <c r="AB1103" s="3" t="s">
        <v>56</v>
      </c>
      <c r="AC1103" s="3" t="s">
        <v>6746</v>
      </c>
      <c r="AD1103" s="9">
        <v>45126</v>
      </c>
      <c r="AE1103" s="3" t="s">
        <v>417</v>
      </c>
      <c r="AF1103" s="3" t="s">
        <v>6747</v>
      </c>
      <c r="AG1103" s="3" t="s">
        <v>355</v>
      </c>
      <c r="AH1103" s="11">
        <f>HYPERLINK("https://my.pitchbook.com?c=226597-87T","View Company Online")</f>
      </c>
    </row>
    <row r="1104">
      <c r="A1104" s="12" t="s">
        <v>6748</v>
      </c>
      <c r="B1104" s="12" t="s">
        <v>6749</v>
      </c>
      <c r="C1104" s="19">
        <v>2</v>
      </c>
      <c r="D1104" s="19">
        <v>4</v>
      </c>
      <c r="E1104" s="19">
        <v>2</v>
      </c>
      <c r="F1104" s="19">
        <v>7</v>
      </c>
      <c r="G1104" s="15" t="s">
        <v>2497</v>
      </c>
      <c r="H1104" s="14">
        <v>8.78</v>
      </c>
      <c r="I1104" s="18">
        <v>35.22</v>
      </c>
      <c r="J1104" s="12" t="s">
        <v>521</v>
      </c>
      <c r="K1104" s="13" t="s">
        <v>36</v>
      </c>
      <c r="L1104" s="15" t="s">
        <v>36</v>
      </c>
      <c r="M1104" s="12" t="s">
        <v>36</v>
      </c>
      <c r="N1104" s="12" t="s">
        <v>36</v>
      </c>
      <c r="O1104" s="17" t="s">
        <v>36</v>
      </c>
      <c r="P1104" s="12" t="s">
        <v>36</v>
      </c>
      <c r="Q1104" s="12" t="s">
        <v>36</v>
      </c>
      <c r="R1104" s="12" t="s">
        <v>36</v>
      </c>
      <c r="S1104" s="12" t="s">
        <v>36</v>
      </c>
      <c r="T1104" s="12" t="s">
        <v>6750</v>
      </c>
      <c r="U1104" s="12" t="s">
        <v>318</v>
      </c>
      <c r="V1104" s="12" t="s">
        <v>39</v>
      </c>
      <c r="W1104" s="12" t="s">
        <v>6751</v>
      </c>
      <c r="X1104" s="16" t="s">
        <v>6752</v>
      </c>
      <c r="Y1104" s="15" t="s">
        <v>55</v>
      </c>
      <c r="Z1104" s="14">
        <v>1.57</v>
      </c>
      <c r="AA1104" s="14">
        <v>4.46</v>
      </c>
      <c r="AB1104" s="12" t="s">
        <v>56</v>
      </c>
      <c r="AC1104" s="12" t="s">
        <v>6753</v>
      </c>
      <c r="AD1104" s="13">
        <v>45125</v>
      </c>
      <c r="AE1104" s="12" t="s">
        <v>323</v>
      </c>
      <c r="AF1104" s="12" t="s">
        <v>571</v>
      </c>
      <c r="AG1104" s="12" t="s">
        <v>81</v>
      </c>
      <c r="AH1104" s="1">
        <f>HYPERLINK("https://my.pitchbook.com?c=241858-81T","View Company Online")</f>
      </c>
    </row>
    <row r="1105">
      <c r="A1105" s="3" t="s">
        <v>6754</v>
      </c>
      <c r="B1105" s="3" t="s">
        <v>6755</v>
      </c>
      <c r="C1105" s="5">
        <v>14</v>
      </c>
      <c r="D1105" s="5">
        <v>5</v>
      </c>
      <c r="E1105" s="5">
        <v>7</v>
      </c>
      <c r="F1105" s="5">
        <v>20</v>
      </c>
      <c r="G1105" s="6" t="s">
        <v>326</v>
      </c>
      <c r="H1105" s="4">
        <v>1334.82</v>
      </c>
      <c r="I1105" s="7">
        <v>16.19</v>
      </c>
      <c r="J1105" s="3" t="s">
        <v>521</v>
      </c>
      <c r="K1105" s="9" t="s">
        <v>36</v>
      </c>
      <c r="L1105" s="6" t="s">
        <v>36</v>
      </c>
      <c r="M1105" s="3" t="s">
        <v>36</v>
      </c>
      <c r="N1105" s="3" t="s">
        <v>36</v>
      </c>
      <c r="O1105" s="8" t="s">
        <v>36</v>
      </c>
      <c r="P1105" s="3" t="s">
        <v>36</v>
      </c>
      <c r="Q1105" s="3" t="s">
        <v>36</v>
      </c>
      <c r="R1105" s="3" t="s">
        <v>36</v>
      </c>
      <c r="S1105" s="3" t="s">
        <v>36</v>
      </c>
      <c r="T1105" s="3" t="s">
        <v>3208</v>
      </c>
      <c r="U1105" s="3" t="s">
        <v>1798</v>
      </c>
      <c r="V1105" s="3" t="s">
        <v>39</v>
      </c>
      <c r="W1105" s="3" t="s">
        <v>6756</v>
      </c>
      <c r="X1105" s="10" t="s">
        <v>6757</v>
      </c>
      <c r="Y1105" s="6" t="s">
        <v>55</v>
      </c>
      <c r="Z1105" s="4">
        <v>6.06</v>
      </c>
      <c r="AA1105" s="4">
        <v>34.71</v>
      </c>
      <c r="AB1105" s="3" t="s">
        <v>56</v>
      </c>
      <c r="AC1105" s="3" t="s">
        <v>6758</v>
      </c>
      <c r="AD1105" s="9">
        <v>45123</v>
      </c>
      <c r="AE1105" s="3" t="s">
        <v>1802</v>
      </c>
      <c r="AF1105" s="3" t="s">
        <v>571</v>
      </c>
      <c r="AG1105" s="3" t="s">
        <v>969</v>
      </c>
      <c r="AH1105" s="11">
        <f>HYPERLINK("https://my.pitchbook.com?c=228445-75T","View Company Online")</f>
      </c>
    </row>
    <row r="1106">
      <c r="A1106" s="12" t="s">
        <v>6759</v>
      </c>
      <c r="B1106" s="12" t="s">
        <v>6760</v>
      </c>
      <c r="C1106" s="19" t="s">
        <v>36</v>
      </c>
      <c r="D1106" s="19" t="s">
        <v>36</v>
      </c>
      <c r="E1106" s="19" t="s">
        <v>36</v>
      </c>
      <c r="F1106" s="19" t="s">
        <v>36</v>
      </c>
      <c r="G1106" s="15" t="s">
        <v>36</v>
      </c>
      <c r="H1106" s="14" t="s">
        <v>36</v>
      </c>
      <c r="I1106" s="18" t="s">
        <v>36</v>
      </c>
      <c r="J1106" s="12" t="s">
        <v>36</v>
      </c>
      <c r="K1106" s="13" t="s">
        <v>36</v>
      </c>
      <c r="L1106" s="15" t="s">
        <v>36</v>
      </c>
      <c r="M1106" s="12" t="s">
        <v>36</v>
      </c>
      <c r="N1106" s="12" t="s">
        <v>36</v>
      </c>
      <c r="O1106" s="17" t="s">
        <v>36</v>
      </c>
      <c r="P1106" s="12" t="s">
        <v>36</v>
      </c>
      <c r="Q1106" s="12" t="s">
        <v>36</v>
      </c>
      <c r="R1106" s="12" t="s">
        <v>36</v>
      </c>
      <c r="S1106" s="12" t="s">
        <v>36</v>
      </c>
      <c r="T1106" s="12" t="s">
        <v>6761</v>
      </c>
      <c r="U1106" s="12" t="s">
        <v>38</v>
      </c>
      <c r="V1106" s="12" t="s">
        <v>39</v>
      </c>
      <c r="W1106" s="12" t="s">
        <v>6762</v>
      </c>
      <c r="X1106" s="16" t="s">
        <v>6763</v>
      </c>
      <c r="Y1106" s="15" t="s">
        <v>42</v>
      </c>
      <c r="Z1106" s="14" t="s">
        <v>36</v>
      </c>
      <c r="AA1106" s="14" t="s">
        <v>36</v>
      </c>
      <c r="AB1106" s="12" t="s">
        <v>43</v>
      </c>
      <c r="AC1106" s="12" t="s">
        <v>6764</v>
      </c>
      <c r="AD1106" s="13">
        <v>45121</v>
      </c>
      <c r="AE1106" s="12" t="s">
        <v>110</v>
      </c>
      <c r="AF1106" s="12" t="s">
        <v>275</v>
      </c>
      <c r="AG1106" s="12" t="s">
        <v>6765</v>
      </c>
      <c r="AH1106" s="1">
        <f>HYPERLINK("https://my.pitchbook.com?c=239497-03T","View Company Online")</f>
      </c>
    </row>
    <row r="1107">
      <c r="A1107" s="3" t="s">
        <v>6766</v>
      </c>
      <c r="B1107" s="3" t="s">
        <v>6767</v>
      </c>
      <c r="C1107" s="5" t="s">
        <v>36</v>
      </c>
      <c r="D1107" s="5" t="s">
        <v>36</v>
      </c>
      <c r="E1107" s="5" t="s">
        <v>36</v>
      </c>
      <c r="F1107" s="5" t="s">
        <v>36</v>
      </c>
      <c r="G1107" s="6" t="s">
        <v>683</v>
      </c>
      <c r="H1107" s="4">
        <v>847.47</v>
      </c>
      <c r="I1107" s="7">
        <v>27.93</v>
      </c>
      <c r="J1107" s="3" t="s">
        <v>521</v>
      </c>
      <c r="K1107" s="9" t="s">
        <v>36</v>
      </c>
      <c r="L1107" s="6" t="s">
        <v>36</v>
      </c>
      <c r="M1107" s="3" t="s">
        <v>36</v>
      </c>
      <c r="N1107" s="3" t="s">
        <v>36</v>
      </c>
      <c r="O1107" s="8" t="s">
        <v>36</v>
      </c>
      <c r="P1107" s="3" t="s">
        <v>36</v>
      </c>
      <c r="Q1107" s="3" t="s">
        <v>36</v>
      </c>
      <c r="R1107" s="3" t="s">
        <v>36</v>
      </c>
      <c r="S1107" s="3" t="s">
        <v>36</v>
      </c>
      <c r="T1107" s="3" t="s">
        <v>3277</v>
      </c>
      <c r="U1107" s="3" t="s">
        <v>1357</v>
      </c>
      <c r="V1107" s="3" t="s">
        <v>52</v>
      </c>
      <c r="W1107" s="3" t="s">
        <v>6768</v>
      </c>
      <c r="X1107" s="10" t="s">
        <v>2869</v>
      </c>
      <c r="Y1107" s="6" t="s">
        <v>108</v>
      </c>
      <c r="Z1107" s="4">
        <v>1.86</v>
      </c>
      <c r="AA1107" s="4">
        <v>6.67</v>
      </c>
      <c r="AB1107" s="3" t="s">
        <v>43</v>
      </c>
      <c r="AC1107" s="3" t="s">
        <v>6769</v>
      </c>
      <c r="AD1107" s="9">
        <v>45121</v>
      </c>
      <c r="AE1107" s="3" t="s">
        <v>3204</v>
      </c>
      <c r="AF1107" s="3" t="s">
        <v>101</v>
      </c>
      <c r="AG1107" s="3" t="s">
        <v>81</v>
      </c>
      <c r="AH1107" s="11">
        <f>HYPERLINK("https://my.pitchbook.com?c=218190-88T","View Company Online")</f>
      </c>
    </row>
    <row r="1108">
      <c r="A1108" s="12" t="s">
        <v>6770</v>
      </c>
      <c r="B1108" s="12" t="s">
        <v>6771</v>
      </c>
      <c r="C1108" s="19" t="s">
        <v>36</v>
      </c>
      <c r="D1108" s="19" t="s">
        <v>36</v>
      </c>
      <c r="E1108" s="19" t="s">
        <v>36</v>
      </c>
      <c r="F1108" s="19" t="s">
        <v>36</v>
      </c>
      <c r="G1108" s="15" t="s">
        <v>326</v>
      </c>
      <c r="H1108" s="14">
        <v>231.35</v>
      </c>
      <c r="I1108" s="18">
        <v>48.58</v>
      </c>
      <c r="J1108" s="12" t="s">
        <v>521</v>
      </c>
      <c r="K1108" s="13">
        <v>43101</v>
      </c>
      <c r="L1108" s="15" t="s">
        <v>122</v>
      </c>
      <c r="M1108" s="12" t="s">
        <v>36</v>
      </c>
      <c r="N1108" s="12" t="s">
        <v>122</v>
      </c>
      <c r="O1108" s="17" t="s">
        <v>36</v>
      </c>
      <c r="P1108" s="12" t="s">
        <v>36</v>
      </c>
      <c r="Q1108" s="12" t="s">
        <v>36</v>
      </c>
      <c r="R1108" s="12" t="s">
        <v>36</v>
      </c>
      <c r="S1108" s="12" t="s">
        <v>36</v>
      </c>
      <c r="T1108" s="12" t="s">
        <v>881</v>
      </c>
      <c r="U1108" s="12" t="s">
        <v>51</v>
      </c>
      <c r="V1108" s="12" t="s">
        <v>52</v>
      </c>
      <c r="W1108" s="12" t="s">
        <v>6772</v>
      </c>
      <c r="X1108" s="16" t="s">
        <v>6773</v>
      </c>
      <c r="Y1108" s="15" t="s">
        <v>108</v>
      </c>
      <c r="Z1108" s="14">
        <v>18.99</v>
      </c>
      <c r="AA1108" s="14">
        <v>39.09</v>
      </c>
      <c r="AB1108" s="12" t="s">
        <v>43</v>
      </c>
      <c r="AC1108" s="12" t="s">
        <v>6774</v>
      </c>
      <c r="AD1108" s="13">
        <v>45120</v>
      </c>
      <c r="AE1108" s="12" t="s">
        <v>504</v>
      </c>
      <c r="AF1108" s="12" t="s">
        <v>159</v>
      </c>
      <c r="AG1108" s="12" t="s">
        <v>81</v>
      </c>
      <c r="AH1108" s="1">
        <f>HYPERLINK("https://my.pitchbook.com?c=167643-46T","View Company Online")</f>
      </c>
    </row>
    <row r="1109">
      <c r="A1109" s="3" t="s">
        <v>6775</v>
      </c>
      <c r="B1109" s="3" t="s">
        <v>6776</v>
      </c>
      <c r="C1109" s="5" t="s">
        <v>36</v>
      </c>
      <c r="D1109" s="5" t="s">
        <v>36</v>
      </c>
      <c r="E1109" s="5" t="s">
        <v>36</v>
      </c>
      <c r="F1109" s="5" t="s">
        <v>36</v>
      </c>
      <c r="G1109" s="6" t="s">
        <v>36</v>
      </c>
      <c r="H1109" s="4" t="s">
        <v>36</v>
      </c>
      <c r="I1109" s="7" t="s">
        <v>36</v>
      </c>
      <c r="J1109" s="3" t="s">
        <v>36</v>
      </c>
      <c r="K1109" s="9" t="s">
        <v>36</v>
      </c>
      <c r="L1109" s="6" t="s">
        <v>36</v>
      </c>
      <c r="M1109" s="3" t="s">
        <v>36</v>
      </c>
      <c r="N1109" s="3" t="s">
        <v>36</v>
      </c>
      <c r="O1109" s="8" t="s">
        <v>36</v>
      </c>
      <c r="P1109" s="3" t="s">
        <v>36</v>
      </c>
      <c r="Q1109" s="3" t="s">
        <v>36</v>
      </c>
      <c r="R1109" s="3" t="s">
        <v>36</v>
      </c>
      <c r="S1109" s="3" t="s">
        <v>36</v>
      </c>
      <c r="T1109" s="3" t="s">
        <v>6777</v>
      </c>
      <c r="U1109" s="3" t="s">
        <v>438</v>
      </c>
      <c r="V1109" s="3" t="s">
        <v>405</v>
      </c>
      <c r="W1109" s="3" t="s">
        <v>6778</v>
      </c>
      <c r="X1109" s="10" t="s">
        <v>6779</v>
      </c>
      <c r="Y1109" s="6" t="s">
        <v>42</v>
      </c>
      <c r="Z1109" s="4">
        <v>1.09</v>
      </c>
      <c r="AA1109" s="4" t="s">
        <v>36</v>
      </c>
      <c r="AB1109" s="3" t="s">
        <v>56</v>
      </c>
      <c r="AC1109" s="3" t="s">
        <v>6780</v>
      </c>
      <c r="AD1109" s="9">
        <v>45120</v>
      </c>
      <c r="AE1109" s="3" t="s">
        <v>438</v>
      </c>
      <c r="AF1109" s="3" t="s">
        <v>799</v>
      </c>
      <c r="AG1109" s="3" t="s">
        <v>4796</v>
      </c>
      <c r="AH1109" s="11">
        <f>HYPERLINK("https://my.pitchbook.com?c=204963-94T","View Company Online")</f>
      </c>
    </row>
    <row r="1110">
      <c r="A1110" s="12" t="s">
        <v>6781</v>
      </c>
      <c r="B1110" s="12" t="s">
        <v>6782</v>
      </c>
      <c r="C1110" s="19" t="s">
        <v>36</v>
      </c>
      <c r="D1110" s="19" t="s">
        <v>36</v>
      </c>
      <c r="E1110" s="19" t="s">
        <v>36</v>
      </c>
      <c r="F1110" s="19" t="s">
        <v>36</v>
      </c>
      <c r="G1110" s="15" t="s">
        <v>36</v>
      </c>
      <c r="H1110" s="14" t="s">
        <v>36</v>
      </c>
      <c r="I1110" s="18" t="s">
        <v>36</v>
      </c>
      <c r="J1110" s="12" t="s">
        <v>36</v>
      </c>
      <c r="K1110" s="13" t="s">
        <v>36</v>
      </c>
      <c r="L1110" s="15" t="s">
        <v>36</v>
      </c>
      <c r="M1110" s="12" t="s">
        <v>36</v>
      </c>
      <c r="N1110" s="12" t="s">
        <v>36</v>
      </c>
      <c r="O1110" s="17" t="s">
        <v>36</v>
      </c>
      <c r="P1110" s="12" t="s">
        <v>36</v>
      </c>
      <c r="Q1110" s="12" t="s">
        <v>36</v>
      </c>
      <c r="R1110" s="12" t="s">
        <v>36</v>
      </c>
      <c r="S1110" s="12" t="s">
        <v>36</v>
      </c>
      <c r="T1110" s="12" t="s">
        <v>6783</v>
      </c>
      <c r="U1110" s="12" t="s">
        <v>38</v>
      </c>
      <c r="V1110" s="12" t="s">
        <v>39</v>
      </c>
      <c r="W1110" s="12" t="s">
        <v>6784</v>
      </c>
      <c r="X1110" s="16" t="s">
        <v>6785</v>
      </c>
      <c r="Y1110" s="15" t="s">
        <v>108</v>
      </c>
      <c r="Z1110" s="14">
        <v>3.28</v>
      </c>
      <c r="AA1110" s="14" t="s">
        <v>36</v>
      </c>
      <c r="AB1110" s="12" t="s">
        <v>43</v>
      </c>
      <c r="AC1110" s="12" t="s">
        <v>6786</v>
      </c>
      <c r="AD1110" s="13">
        <v>45120</v>
      </c>
      <c r="AE1110" s="12" t="s">
        <v>110</v>
      </c>
      <c r="AF1110" s="12" t="s">
        <v>6787</v>
      </c>
      <c r="AG1110" s="12" t="s">
        <v>81</v>
      </c>
      <c r="AH1110" s="1">
        <f>HYPERLINK("https://my.pitchbook.com?c=228192-58T","View Company Online")</f>
      </c>
    </row>
    <row r="1111">
      <c r="A1111" s="3" t="s">
        <v>6788</v>
      </c>
      <c r="B1111" s="3" t="s">
        <v>6789</v>
      </c>
      <c r="C1111" s="5" t="s">
        <v>36</v>
      </c>
      <c r="D1111" s="5" t="s">
        <v>36</v>
      </c>
      <c r="E1111" s="5" t="s">
        <v>36</v>
      </c>
      <c r="F1111" s="5" t="s">
        <v>36</v>
      </c>
      <c r="G1111" s="6" t="s">
        <v>326</v>
      </c>
      <c r="H1111" s="4">
        <v>5.84</v>
      </c>
      <c r="I1111" s="7">
        <v>29.81</v>
      </c>
      <c r="J1111" s="3" t="s">
        <v>521</v>
      </c>
      <c r="K1111" s="9" t="s">
        <v>36</v>
      </c>
      <c r="L1111" s="6" t="s">
        <v>122</v>
      </c>
      <c r="M1111" s="3" t="s">
        <v>36</v>
      </c>
      <c r="N1111" s="3" t="s">
        <v>122</v>
      </c>
      <c r="O1111" s="8" t="s">
        <v>36</v>
      </c>
      <c r="P1111" s="3" t="s">
        <v>36</v>
      </c>
      <c r="Q1111" s="3" t="s">
        <v>36</v>
      </c>
      <c r="R1111" s="3" t="s">
        <v>36</v>
      </c>
      <c r="S1111" s="3" t="s">
        <v>36</v>
      </c>
      <c r="T1111" s="3" t="s">
        <v>37</v>
      </c>
      <c r="U1111" s="3" t="s">
        <v>38</v>
      </c>
      <c r="V1111" s="3" t="s">
        <v>39</v>
      </c>
      <c r="W1111" s="3" t="s">
        <v>6790</v>
      </c>
      <c r="X1111" s="10" t="s">
        <v>6791</v>
      </c>
      <c r="Y1111" s="6" t="s">
        <v>108</v>
      </c>
      <c r="Z1111" s="4">
        <v>10.41</v>
      </c>
      <c r="AA1111" s="4">
        <v>34.93</v>
      </c>
      <c r="AB1111" s="3" t="s">
        <v>43</v>
      </c>
      <c r="AC1111" s="3" t="s">
        <v>6792</v>
      </c>
      <c r="AD1111" s="9">
        <v>45119</v>
      </c>
      <c r="AE1111" s="3" t="s">
        <v>45</v>
      </c>
      <c r="AF1111" s="3" t="s">
        <v>6793</v>
      </c>
      <c r="AG1111" s="3" t="s">
        <v>81</v>
      </c>
      <c r="AH1111" s="11">
        <f>HYPERLINK("https://my.pitchbook.com?c=228084-13T","View Company Online")</f>
      </c>
    </row>
    <row r="1112">
      <c r="A1112" s="12" t="s">
        <v>6794</v>
      </c>
      <c r="B1112" s="12" t="s">
        <v>2676</v>
      </c>
      <c r="C1112" s="19" t="s">
        <v>36</v>
      </c>
      <c r="D1112" s="19" t="s">
        <v>36</v>
      </c>
      <c r="E1112" s="19" t="s">
        <v>36</v>
      </c>
      <c r="F1112" s="19" t="s">
        <v>36</v>
      </c>
      <c r="G1112" s="15" t="s">
        <v>36</v>
      </c>
      <c r="H1112" s="14" t="s">
        <v>36</v>
      </c>
      <c r="I1112" s="18">
        <v>24.96</v>
      </c>
      <c r="J1112" s="12" t="s">
        <v>521</v>
      </c>
      <c r="K1112" s="13" t="s">
        <v>36</v>
      </c>
      <c r="L1112" s="15" t="s">
        <v>36</v>
      </c>
      <c r="M1112" s="12" t="s">
        <v>36</v>
      </c>
      <c r="N1112" s="12" t="s">
        <v>36</v>
      </c>
      <c r="O1112" s="17" t="s">
        <v>36</v>
      </c>
      <c r="P1112" s="12" t="s">
        <v>36</v>
      </c>
      <c r="Q1112" s="12" t="s">
        <v>36</v>
      </c>
      <c r="R1112" s="12" t="s">
        <v>36</v>
      </c>
      <c r="S1112" s="12" t="s">
        <v>36</v>
      </c>
      <c r="T1112" s="12" t="s">
        <v>2285</v>
      </c>
      <c r="U1112" s="12" t="s">
        <v>38</v>
      </c>
      <c r="V1112" s="12" t="s">
        <v>39</v>
      </c>
      <c r="W1112" s="12" t="s">
        <v>2677</v>
      </c>
      <c r="X1112" s="16" t="s">
        <v>6795</v>
      </c>
      <c r="Y1112" s="15" t="s">
        <v>42</v>
      </c>
      <c r="Z1112" s="14">
        <v>1.09</v>
      </c>
      <c r="AA1112" s="14">
        <v>4.38</v>
      </c>
      <c r="AB1112" s="12" t="s">
        <v>43</v>
      </c>
      <c r="AC1112" s="12" t="s">
        <v>2679</v>
      </c>
      <c r="AD1112" s="13">
        <v>45119</v>
      </c>
      <c r="AE1112" s="12" t="s">
        <v>110</v>
      </c>
      <c r="AF1112" s="12" t="s">
        <v>489</v>
      </c>
      <c r="AG1112" s="12" t="s">
        <v>2680</v>
      </c>
      <c r="AH1112" s="1">
        <f>HYPERLINK("https://my.pitchbook.com?c=239539-24T","View Company Online")</f>
      </c>
    </row>
    <row r="1113">
      <c r="A1113" s="3" t="s">
        <v>6796</v>
      </c>
      <c r="B1113" s="3" t="s">
        <v>6797</v>
      </c>
      <c r="C1113" s="5" t="s">
        <v>36</v>
      </c>
      <c r="D1113" s="5" t="s">
        <v>36</v>
      </c>
      <c r="E1113" s="5" t="s">
        <v>36</v>
      </c>
      <c r="F1113" s="5" t="s">
        <v>36</v>
      </c>
      <c r="G1113" s="6" t="s">
        <v>36</v>
      </c>
      <c r="H1113" s="4" t="s">
        <v>36</v>
      </c>
      <c r="I1113" s="7" t="s">
        <v>36</v>
      </c>
      <c r="J1113" s="3" t="s">
        <v>36</v>
      </c>
      <c r="K1113" s="9" t="s">
        <v>36</v>
      </c>
      <c r="L1113" s="6" t="s">
        <v>36</v>
      </c>
      <c r="M1113" s="3" t="s">
        <v>36</v>
      </c>
      <c r="N1113" s="3" t="s">
        <v>36</v>
      </c>
      <c r="O1113" s="8" t="s">
        <v>36</v>
      </c>
      <c r="P1113" s="3" t="s">
        <v>36</v>
      </c>
      <c r="Q1113" s="3" t="s">
        <v>36</v>
      </c>
      <c r="R1113" s="3" t="s">
        <v>36</v>
      </c>
      <c r="S1113" s="3" t="s">
        <v>36</v>
      </c>
      <c r="T1113" s="3" t="s">
        <v>6798</v>
      </c>
      <c r="U1113" s="3" t="s">
        <v>74</v>
      </c>
      <c r="V1113" s="3" t="s">
        <v>75</v>
      </c>
      <c r="W1113" s="3" t="s">
        <v>6799</v>
      </c>
      <c r="X1113" s="10" t="s">
        <v>2433</v>
      </c>
      <c r="Y1113" s="6" t="s">
        <v>42</v>
      </c>
      <c r="Z1113" s="4">
        <v>1.09</v>
      </c>
      <c r="AA1113" s="4" t="s">
        <v>36</v>
      </c>
      <c r="AB1113" s="3" t="s">
        <v>56</v>
      </c>
      <c r="AC1113" s="3" t="s">
        <v>6800</v>
      </c>
      <c r="AD1113" s="9">
        <v>45119</v>
      </c>
      <c r="AE1113" s="3" t="s">
        <v>3144</v>
      </c>
      <c r="AF1113" s="3" t="s">
        <v>6801</v>
      </c>
      <c r="AG1113" s="3" t="s">
        <v>6802</v>
      </c>
      <c r="AH1113" s="11">
        <f>HYPERLINK("https://my.pitchbook.com?c=234797-86T","View Company Online")</f>
      </c>
    </row>
    <row r="1114">
      <c r="A1114" s="12" t="s">
        <v>6803</v>
      </c>
      <c r="B1114" s="12" t="s">
        <v>6804</v>
      </c>
      <c r="C1114" s="19">
        <v>2</v>
      </c>
      <c r="D1114" s="19">
        <v>3</v>
      </c>
      <c r="E1114" s="19">
        <v>1</v>
      </c>
      <c r="F1114" s="19">
        <v>6</v>
      </c>
      <c r="G1114" s="15" t="s">
        <v>326</v>
      </c>
      <c r="H1114" s="14">
        <v>378.47</v>
      </c>
      <c r="I1114" s="18">
        <v>32.34</v>
      </c>
      <c r="J1114" s="12" t="s">
        <v>521</v>
      </c>
      <c r="K1114" s="13" t="s">
        <v>36</v>
      </c>
      <c r="L1114" s="15" t="s">
        <v>36</v>
      </c>
      <c r="M1114" s="12" t="s">
        <v>36</v>
      </c>
      <c r="N1114" s="12" t="s">
        <v>36</v>
      </c>
      <c r="O1114" s="17" t="s">
        <v>36</v>
      </c>
      <c r="P1114" s="12" t="s">
        <v>36</v>
      </c>
      <c r="Q1114" s="12" t="s">
        <v>36</v>
      </c>
      <c r="R1114" s="12" t="s">
        <v>36</v>
      </c>
      <c r="S1114" s="12" t="s">
        <v>36</v>
      </c>
      <c r="T1114" s="12" t="s">
        <v>3141</v>
      </c>
      <c r="U1114" s="12" t="s">
        <v>74</v>
      </c>
      <c r="V1114" s="12" t="s">
        <v>75</v>
      </c>
      <c r="W1114" s="12" t="s">
        <v>6805</v>
      </c>
      <c r="X1114" s="16" t="s">
        <v>6806</v>
      </c>
      <c r="Y1114" s="15" t="s">
        <v>55</v>
      </c>
      <c r="Z1114" s="14">
        <v>2.51</v>
      </c>
      <c r="AA1114" s="14">
        <v>7.77</v>
      </c>
      <c r="AB1114" s="12" t="s">
        <v>56</v>
      </c>
      <c r="AC1114" s="12" t="s">
        <v>6807</v>
      </c>
      <c r="AD1114" s="13">
        <v>45119</v>
      </c>
      <c r="AE1114" s="12" t="s">
        <v>3144</v>
      </c>
      <c r="AF1114" s="12" t="s">
        <v>6808</v>
      </c>
      <c r="AG1114" s="12" t="s">
        <v>102</v>
      </c>
      <c r="AH1114" s="1">
        <f>HYPERLINK("https://my.pitchbook.com?c=228288-07T","View Company Online")</f>
      </c>
    </row>
    <row r="1115">
      <c r="A1115" s="3" t="s">
        <v>6809</v>
      </c>
      <c r="B1115" s="3" t="s">
        <v>6810</v>
      </c>
      <c r="C1115" s="5" t="s">
        <v>36</v>
      </c>
      <c r="D1115" s="5" t="s">
        <v>36</v>
      </c>
      <c r="E1115" s="5" t="s">
        <v>36</v>
      </c>
      <c r="F1115" s="5" t="s">
        <v>36</v>
      </c>
      <c r="G1115" s="6" t="s">
        <v>36</v>
      </c>
      <c r="H1115" s="4">
        <v>1.54</v>
      </c>
      <c r="I1115" s="7">
        <v>17.76</v>
      </c>
      <c r="J1115" s="3" t="s">
        <v>521</v>
      </c>
      <c r="K1115" s="9" t="s">
        <v>36</v>
      </c>
      <c r="L1115" s="6" t="s">
        <v>36</v>
      </c>
      <c r="M1115" s="3" t="s">
        <v>36</v>
      </c>
      <c r="N1115" s="3" t="s">
        <v>36</v>
      </c>
      <c r="O1115" s="8" t="s">
        <v>36</v>
      </c>
      <c r="P1115" s="3" t="s">
        <v>36</v>
      </c>
      <c r="Q1115" s="3" t="s">
        <v>36</v>
      </c>
      <c r="R1115" s="3" t="s">
        <v>36</v>
      </c>
      <c r="S1115" s="3" t="s">
        <v>36</v>
      </c>
      <c r="T1115" s="3" t="s">
        <v>522</v>
      </c>
      <c r="U1115" s="3" t="s">
        <v>38</v>
      </c>
      <c r="V1115" s="3" t="s">
        <v>39</v>
      </c>
      <c r="W1115" s="3" t="s">
        <v>6811</v>
      </c>
      <c r="X1115" s="10" t="s">
        <v>6812</v>
      </c>
      <c r="Y1115" s="6" t="s">
        <v>108</v>
      </c>
      <c r="Z1115" s="4">
        <v>0.29</v>
      </c>
      <c r="AA1115" s="4">
        <v>1.66</v>
      </c>
      <c r="AB1115" s="3" t="s">
        <v>56</v>
      </c>
      <c r="AC1115" s="3" t="s">
        <v>6813</v>
      </c>
      <c r="AD1115" s="9">
        <v>45118</v>
      </c>
      <c r="AE1115" s="3" t="s">
        <v>110</v>
      </c>
      <c r="AF1115" s="3" t="s">
        <v>3860</v>
      </c>
      <c r="AG1115" s="3" t="s">
        <v>6814</v>
      </c>
      <c r="AH1115" s="11">
        <f>HYPERLINK("https://my.pitchbook.com?c=234100-45T","View Company Online")</f>
      </c>
    </row>
    <row r="1116">
      <c r="A1116" s="12" t="s">
        <v>6815</v>
      </c>
      <c r="B1116" s="12" t="s">
        <v>6816</v>
      </c>
      <c r="C1116" s="19">
        <v>13</v>
      </c>
      <c r="D1116" s="19">
        <v>27</v>
      </c>
      <c r="E1116" s="19">
        <v>7</v>
      </c>
      <c r="F1116" s="19">
        <v>41</v>
      </c>
      <c r="G1116" s="15" t="s">
        <v>36</v>
      </c>
      <c r="H1116" s="14" t="s">
        <v>36</v>
      </c>
      <c r="I1116" s="18" t="s">
        <v>36</v>
      </c>
      <c r="J1116" s="12" t="s">
        <v>36</v>
      </c>
      <c r="K1116" s="13" t="s">
        <v>36</v>
      </c>
      <c r="L1116" s="15" t="s">
        <v>36</v>
      </c>
      <c r="M1116" s="12" t="s">
        <v>36</v>
      </c>
      <c r="N1116" s="12" t="s">
        <v>36</v>
      </c>
      <c r="O1116" s="17" t="s">
        <v>36</v>
      </c>
      <c r="P1116" s="12" t="s">
        <v>36</v>
      </c>
      <c r="Q1116" s="12" t="s">
        <v>36</v>
      </c>
      <c r="R1116" s="12" t="s">
        <v>36</v>
      </c>
      <c r="S1116" s="12" t="s">
        <v>36</v>
      </c>
      <c r="T1116" s="12" t="s">
        <v>881</v>
      </c>
      <c r="U1116" s="12" t="s">
        <v>51</v>
      </c>
      <c r="V1116" s="12" t="s">
        <v>52</v>
      </c>
      <c r="W1116" s="12" t="s">
        <v>6817</v>
      </c>
      <c r="X1116" s="16" t="s">
        <v>6818</v>
      </c>
      <c r="Y1116" s="15" t="s">
        <v>166</v>
      </c>
      <c r="Z1116" s="14" t="s">
        <v>36</v>
      </c>
      <c r="AA1116" s="14" t="s">
        <v>36</v>
      </c>
      <c r="AB1116" s="12" t="s">
        <v>56</v>
      </c>
      <c r="AC1116" s="12" t="s">
        <v>6819</v>
      </c>
      <c r="AD1116" s="13">
        <v>45118</v>
      </c>
      <c r="AE1116" s="12" t="s">
        <v>504</v>
      </c>
      <c r="AF1116" s="12" t="s">
        <v>6820</v>
      </c>
      <c r="AG1116" s="12" t="s">
        <v>47</v>
      </c>
      <c r="AH1116" s="1">
        <f>HYPERLINK("https://my.pitchbook.com?c=273829-15T","View Company Online")</f>
      </c>
    </row>
    <row r="1117">
      <c r="A1117" s="3" t="s">
        <v>6821</v>
      </c>
      <c r="B1117" s="3" t="s">
        <v>6822</v>
      </c>
      <c r="C1117" s="5">
        <v>2</v>
      </c>
      <c r="D1117" s="5">
        <v>4</v>
      </c>
      <c r="E1117" s="5">
        <v>3</v>
      </c>
      <c r="F1117" s="5">
        <v>6</v>
      </c>
      <c r="G1117" s="6" t="s">
        <v>326</v>
      </c>
      <c r="H1117" s="4">
        <v>101.13</v>
      </c>
      <c r="I1117" s="7">
        <v>25.26</v>
      </c>
      <c r="J1117" s="3" t="s">
        <v>521</v>
      </c>
      <c r="K1117" s="9" t="s">
        <v>36</v>
      </c>
      <c r="L1117" s="6" t="s">
        <v>36</v>
      </c>
      <c r="M1117" s="3" t="s">
        <v>36</v>
      </c>
      <c r="N1117" s="3" t="s">
        <v>36</v>
      </c>
      <c r="O1117" s="8" t="s">
        <v>36</v>
      </c>
      <c r="P1117" s="3" t="s">
        <v>36</v>
      </c>
      <c r="Q1117" s="3" t="s">
        <v>36</v>
      </c>
      <c r="R1117" s="3" t="s">
        <v>36</v>
      </c>
      <c r="S1117" s="3" t="s">
        <v>36</v>
      </c>
      <c r="T1117" s="3" t="s">
        <v>5666</v>
      </c>
      <c r="U1117" s="3" t="s">
        <v>219</v>
      </c>
      <c r="V1117" s="3" t="s">
        <v>75</v>
      </c>
      <c r="W1117" s="3" t="s">
        <v>6823</v>
      </c>
      <c r="X1117" s="10" t="s">
        <v>6824</v>
      </c>
      <c r="Y1117" s="6" t="s">
        <v>55</v>
      </c>
      <c r="Z1117" s="4">
        <v>21.81</v>
      </c>
      <c r="AA1117" s="4">
        <v>51.8</v>
      </c>
      <c r="AB1117" s="3" t="s">
        <v>56</v>
      </c>
      <c r="AC1117" s="3" t="s">
        <v>6825</v>
      </c>
      <c r="AD1117" s="9">
        <v>45117</v>
      </c>
      <c r="AE1117" s="3" t="s">
        <v>223</v>
      </c>
      <c r="AF1117" s="3" t="s">
        <v>6826</v>
      </c>
      <c r="AG1117" s="3" t="s">
        <v>5504</v>
      </c>
      <c r="AH1117" s="11">
        <f>HYPERLINK("https://my.pitchbook.com?c=227873-98T","View Company Online")</f>
      </c>
    </row>
    <row r="1118">
      <c r="A1118" s="12" t="s">
        <v>6827</v>
      </c>
      <c r="B1118" s="12" t="s">
        <v>985</v>
      </c>
      <c r="C1118" s="19" t="s">
        <v>36</v>
      </c>
      <c r="D1118" s="19">
        <v>8</v>
      </c>
      <c r="E1118" s="19">
        <v>1</v>
      </c>
      <c r="F1118" s="19">
        <v>9</v>
      </c>
      <c r="G1118" s="15" t="s">
        <v>36</v>
      </c>
      <c r="H1118" s="14" t="s">
        <v>36</v>
      </c>
      <c r="I1118" s="18" t="s">
        <v>36</v>
      </c>
      <c r="J1118" s="12" t="s">
        <v>36</v>
      </c>
      <c r="K1118" s="13">
        <v>44964</v>
      </c>
      <c r="L1118" s="15" t="s">
        <v>122</v>
      </c>
      <c r="M1118" s="12" t="s">
        <v>36</v>
      </c>
      <c r="N1118" s="12" t="s">
        <v>122</v>
      </c>
      <c r="O1118" s="17" t="s">
        <v>36</v>
      </c>
      <c r="P1118" s="12" t="s">
        <v>36</v>
      </c>
      <c r="Q1118" s="12" t="s">
        <v>36</v>
      </c>
      <c r="R1118" s="12" t="s">
        <v>36</v>
      </c>
      <c r="S1118" s="12" t="s">
        <v>36</v>
      </c>
      <c r="T1118" s="12" t="s">
        <v>986</v>
      </c>
      <c r="U1118" s="12" t="s">
        <v>96</v>
      </c>
      <c r="V1118" s="12" t="s">
        <v>52</v>
      </c>
      <c r="W1118" s="12" t="s">
        <v>987</v>
      </c>
      <c r="X1118" s="16" t="s">
        <v>6828</v>
      </c>
      <c r="Y1118" s="15" t="s">
        <v>55</v>
      </c>
      <c r="Z1118" s="14" t="s">
        <v>36</v>
      </c>
      <c r="AA1118" s="14" t="s">
        <v>36</v>
      </c>
      <c r="AB1118" s="12" t="s">
        <v>56</v>
      </c>
      <c r="AC1118" s="12" t="s">
        <v>989</v>
      </c>
      <c r="AD1118" s="13">
        <v>45117</v>
      </c>
      <c r="AE1118" s="12" t="s">
        <v>143</v>
      </c>
      <c r="AF1118" s="12" t="s">
        <v>990</v>
      </c>
      <c r="AG1118" s="12" t="s">
        <v>991</v>
      </c>
      <c r="AH1118" s="1">
        <f>HYPERLINK("https://my.pitchbook.com?c=219866-41T","View Company Online")</f>
      </c>
    </row>
    <row r="1119">
      <c r="A1119" s="3" t="s">
        <v>6829</v>
      </c>
      <c r="B1119" s="3" t="s">
        <v>1515</v>
      </c>
      <c r="C1119" s="5" t="s">
        <v>36</v>
      </c>
      <c r="D1119" s="5" t="s">
        <v>36</v>
      </c>
      <c r="E1119" s="5" t="s">
        <v>36</v>
      </c>
      <c r="F1119" s="5" t="s">
        <v>36</v>
      </c>
      <c r="G1119" s="6" t="s">
        <v>326</v>
      </c>
      <c r="H1119" s="4">
        <v>533.72</v>
      </c>
      <c r="I1119" s="7">
        <v>12.84</v>
      </c>
      <c r="J1119" s="3" t="s">
        <v>521</v>
      </c>
      <c r="K1119" s="9" t="s">
        <v>36</v>
      </c>
      <c r="L1119" s="6" t="s">
        <v>36</v>
      </c>
      <c r="M1119" s="3" t="s">
        <v>36</v>
      </c>
      <c r="N1119" s="3" t="s">
        <v>36</v>
      </c>
      <c r="O1119" s="8" t="s">
        <v>36</v>
      </c>
      <c r="P1119" s="3" t="s">
        <v>36</v>
      </c>
      <c r="Q1119" s="3" t="s">
        <v>36</v>
      </c>
      <c r="R1119" s="3" t="s">
        <v>36</v>
      </c>
      <c r="S1119" s="3" t="s">
        <v>36</v>
      </c>
      <c r="T1119" s="3" t="s">
        <v>522</v>
      </c>
      <c r="U1119" s="3" t="s">
        <v>38</v>
      </c>
      <c r="V1119" s="3" t="s">
        <v>39</v>
      </c>
      <c r="W1119" s="3" t="s">
        <v>1516</v>
      </c>
      <c r="X1119" s="10" t="s">
        <v>6830</v>
      </c>
      <c r="Y1119" s="6" t="s">
        <v>108</v>
      </c>
      <c r="Z1119" s="4">
        <v>1.39</v>
      </c>
      <c r="AA1119" s="4">
        <v>10.82</v>
      </c>
      <c r="AB1119" s="3" t="s">
        <v>43</v>
      </c>
      <c r="AC1119" s="3" t="s">
        <v>1518</v>
      </c>
      <c r="AD1119" s="9">
        <v>45117</v>
      </c>
      <c r="AE1119" s="3" t="s">
        <v>110</v>
      </c>
      <c r="AF1119" s="3" t="s">
        <v>176</v>
      </c>
      <c r="AG1119" s="3" t="s">
        <v>81</v>
      </c>
      <c r="AH1119" s="11">
        <f>HYPERLINK("https://my.pitchbook.com?c=234798-31T","View Company Online")</f>
      </c>
    </row>
    <row r="1120">
      <c r="A1120" s="12" t="s">
        <v>6831</v>
      </c>
      <c r="B1120" s="12" t="s">
        <v>6832</v>
      </c>
      <c r="C1120" s="19">
        <v>1</v>
      </c>
      <c r="D1120" s="19">
        <v>2</v>
      </c>
      <c r="E1120" s="19">
        <v>1</v>
      </c>
      <c r="F1120" s="19">
        <v>3</v>
      </c>
      <c r="G1120" s="15" t="s">
        <v>326</v>
      </c>
      <c r="H1120" s="14">
        <v>93.47</v>
      </c>
      <c r="I1120" s="18">
        <v>19.92</v>
      </c>
      <c r="J1120" s="12" t="s">
        <v>521</v>
      </c>
      <c r="K1120" s="13" t="s">
        <v>36</v>
      </c>
      <c r="L1120" s="15" t="s">
        <v>36</v>
      </c>
      <c r="M1120" s="12" t="s">
        <v>36</v>
      </c>
      <c r="N1120" s="12" t="s">
        <v>36</v>
      </c>
      <c r="O1120" s="17" t="s">
        <v>36</v>
      </c>
      <c r="P1120" s="12" t="s">
        <v>36</v>
      </c>
      <c r="Q1120" s="12" t="s">
        <v>36</v>
      </c>
      <c r="R1120" s="12" t="s">
        <v>36</v>
      </c>
      <c r="S1120" s="12" t="s">
        <v>36</v>
      </c>
      <c r="T1120" s="12" t="s">
        <v>6833</v>
      </c>
      <c r="U1120" s="12" t="s">
        <v>74</v>
      </c>
      <c r="V1120" s="12" t="s">
        <v>75</v>
      </c>
      <c r="W1120" s="12" t="s">
        <v>6834</v>
      </c>
      <c r="X1120" s="16" t="s">
        <v>6835</v>
      </c>
      <c r="Y1120" s="15" t="s">
        <v>108</v>
      </c>
      <c r="Z1120" s="14">
        <v>0.54</v>
      </c>
      <c r="AA1120" s="14">
        <v>2.73</v>
      </c>
      <c r="AB1120" s="12" t="s">
        <v>56</v>
      </c>
      <c r="AC1120" s="12" t="s">
        <v>6836</v>
      </c>
      <c r="AD1120" s="13">
        <v>45114</v>
      </c>
      <c r="AE1120" s="12" t="s">
        <v>570</v>
      </c>
      <c r="AF1120" s="12" t="s">
        <v>372</v>
      </c>
      <c r="AG1120" s="12" t="s">
        <v>186</v>
      </c>
      <c r="AH1120" s="1">
        <f>HYPERLINK("https://my.pitchbook.com?c=266736-16T","View Company Online")</f>
      </c>
    </row>
    <row r="1121">
      <c r="A1121" s="3" t="s">
        <v>6837</v>
      </c>
      <c r="B1121" s="3" t="s">
        <v>759</v>
      </c>
      <c r="C1121" s="5" t="s">
        <v>36</v>
      </c>
      <c r="D1121" s="5" t="s">
        <v>36</v>
      </c>
      <c r="E1121" s="5" t="s">
        <v>36</v>
      </c>
      <c r="F1121" s="5" t="s">
        <v>36</v>
      </c>
      <c r="G1121" s="6" t="s">
        <v>326</v>
      </c>
      <c r="H1121" s="4">
        <v>9.35</v>
      </c>
      <c r="I1121" s="7">
        <v>23.82</v>
      </c>
      <c r="J1121" s="3" t="s">
        <v>521</v>
      </c>
      <c r="K1121" s="9" t="s">
        <v>36</v>
      </c>
      <c r="L1121" s="6" t="s">
        <v>36</v>
      </c>
      <c r="M1121" s="3" t="s">
        <v>36</v>
      </c>
      <c r="N1121" s="3" t="s">
        <v>36</v>
      </c>
      <c r="O1121" s="8" t="s">
        <v>36</v>
      </c>
      <c r="P1121" s="3" t="s">
        <v>36</v>
      </c>
      <c r="Q1121" s="3" t="s">
        <v>36</v>
      </c>
      <c r="R1121" s="3" t="s">
        <v>36</v>
      </c>
      <c r="S1121" s="3" t="s">
        <v>36</v>
      </c>
      <c r="T1121" s="3" t="s">
        <v>760</v>
      </c>
      <c r="U1121" s="3" t="s">
        <v>318</v>
      </c>
      <c r="V1121" s="3" t="s">
        <v>39</v>
      </c>
      <c r="W1121" s="3" t="s">
        <v>761</v>
      </c>
      <c r="X1121" s="10" t="s">
        <v>6838</v>
      </c>
      <c r="Y1121" s="6" t="s">
        <v>108</v>
      </c>
      <c r="Z1121" s="4">
        <v>1.65</v>
      </c>
      <c r="AA1121" s="4">
        <v>6.94</v>
      </c>
      <c r="AB1121" s="3" t="s">
        <v>43</v>
      </c>
      <c r="AC1121" s="3" t="s">
        <v>762</v>
      </c>
      <c r="AD1121" s="9">
        <v>45113</v>
      </c>
      <c r="AE1121" s="3" t="s">
        <v>763</v>
      </c>
      <c r="AF1121" s="3" t="s">
        <v>764</v>
      </c>
      <c r="AG1121" s="3" t="s">
        <v>765</v>
      </c>
      <c r="AH1121" s="11">
        <f>HYPERLINK("https://my.pitchbook.com?c=227658-70T","View Company Online")</f>
      </c>
    </row>
    <row r="1122">
      <c r="A1122" s="12" t="s">
        <v>6839</v>
      </c>
      <c r="B1122" s="12" t="s">
        <v>6840</v>
      </c>
      <c r="C1122" s="19" t="s">
        <v>36</v>
      </c>
      <c r="D1122" s="19" t="s">
        <v>36</v>
      </c>
      <c r="E1122" s="19" t="s">
        <v>36</v>
      </c>
      <c r="F1122" s="19" t="s">
        <v>36</v>
      </c>
      <c r="G1122" s="15" t="s">
        <v>36</v>
      </c>
      <c r="H1122" s="14" t="s">
        <v>36</v>
      </c>
      <c r="I1122" s="18" t="s">
        <v>36</v>
      </c>
      <c r="J1122" s="12" t="s">
        <v>36</v>
      </c>
      <c r="K1122" s="13" t="s">
        <v>36</v>
      </c>
      <c r="L1122" s="15" t="s">
        <v>122</v>
      </c>
      <c r="M1122" s="12" t="s">
        <v>36</v>
      </c>
      <c r="N1122" s="12" t="s">
        <v>122</v>
      </c>
      <c r="O1122" s="17" t="s">
        <v>36</v>
      </c>
      <c r="P1122" s="12" t="s">
        <v>36</v>
      </c>
      <c r="Q1122" s="12" t="s">
        <v>36</v>
      </c>
      <c r="R1122" s="12" t="s">
        <v>36</v>
      </c>
      <c r="S1122" s="12" t="s">
        <v>36</v>
      </c>
      <c r="T1122" s="12" t="s">
        <v>522</v>
      </c>
      <c r="U1122" s="12" t="s">
        <v>38</v>
      </c>
      <c r="V1122" s="12" t="s">
        <v>39</v>
      </c>
      <c r="W1122" s="12" t="s">
        <v>6841</v>
      </c>
      <c r="X1122" s="16" t="s">
        <v>6842</v>
      </c>
      <c r="Y1122" s="15" t="s">
        <v>321</v>
      </c>
      <c r="Z1122" s="14">
        <v>10</v>
      </c>
      <c r="AA1122" s="14" t="s">
        <v>36</v>
      </c>
      <c r="AB1122" s="12" t="s">
        <v>56</v>
      </c>
      <c r="AC1122" s="12" t="s">
        <v>6843</v>
      </c>
      <c r="AD1122" s="13">
        <v>45113</v>
      </c>
      <c r="AE1122" s="12" t="s">
        <v>110</v>
      </c>
      <c r="AF1122" s="12" t="s">
        <v>3860</v>
      </c>
      <c r="AG1122" s="12" t="s">
        <v>47</v>
      </c>
      <c r="AH1122" s="1">
        <f>HYPERLINK("https://my.pitchbook.com?c=227693-26T","View Company Online")</f>
      </c>
    </row>
    <row r="1123">
      <c r="A1123" s="3" t="s">
        <v>6844</v>
      </c>
      <c r="B1123" s="3" t="s">
        <v>6845</v>
      </c>
      <c r="C1123" s="5" t="s">
        <v>36</v>
      </c>
      <c r="D1123" s="5" t="s">
        <v>36</v>
      </c>
      <c r="E1123" s="5" t="s">
        <v>36</v>
      </c>
      <c r="F1123" s="5" t="s">
        <v>36</v>
      </c>
      <c r="G1123" s="6" t="s">
        <v>326</v>
      </c>
      <c r="H1123" s="4">
        <v>6.57</v>
      </c>
      <c r="I1123" s="7">
        <v>34.87</v>
      </c>
      <c r="J1123" s="3" t="s">
        <v>521</v>
      </c>
      <c r="K1123" s="9" t="s">
        <v>36</v>
      </c>
      <c r="L1123" s="6" t="s">
        <v>36</v>
      </c>
      <c r="M1123" s="3" t="s">
        <v>36</v>
      </c>
      <c r="N1123" s="3" t="s">
        <v>36</v>
      </c>
      <c r="O1123" s="8" t="s">
        <v>36</v>
      </c>
      <c r="P1123" s="3" t="s">
        <v>36</v>
      </c>
      <c r="Q1123" s="3" t="s">
        <v>36</v>
      </c>
      <c r="R1123" s="3" t="s">
        <v>36</v>
      </c>
      <c r="S1123" s="3" t="s">
        <v>36</v>
      </c>
      <c r="T1123" s="3" t="s">
        <v>1708</v>
      </c>
      <c r="U1123" s="3" t="s">
        <v>74</v>
      </c>
      <c r="V1123" s="3" t="s">
        <v>75</v>
      </c>
      <c r="W1123" s="3" t="s">
        <v>6846</v>
      </c>
      <c r="X1123" s="10" t="s">
        <v>6847</v>
      </c>
      <c r="Y1123" s="6" t="s">
        <v>108</v>
      </c>
      <c r="Z1123" s="4">
        <v>8.73</v>
      </c>
      <c r="AA1123" s="4">
        <v>25.03</v>
      </c>
      <c r="AB1123" s="3" t="s">
        <v>56</v>
      </c>
      <c r="AC1123" s="3" t="s">
        <v>6848</v>
      </c>
      <c r="AD1123" s="9">
        <v>45112</v>
      </c>
      <c r="AE1123" s="3" t="s">
        <v>975</v>
      </c>
      <c r="AF1123" s="3" t="s">
        <v>36</v>
      </c>
      <c r="AG1123" s="3" t="s">
        <v>4520</v>
      </c>
      <c r="AH1123" s="11">
        <f>HYPERLINK("https://my.pitchbook.com?c=227580-58T","View Company Online")</f>
      </c>
    </row>
    <row r="1124">
      <c r="A1124" s="12" t="s">
        <v>6849</v>
      </c>
      <c r="B1124" s="12" t="s">
        <v>6850</v>
      </c>
      <c r="C1124" s="19" t="s">
        <v>36</v>
      </c>
      <c r="D1124" s="19" t="s">
        <v>36</v>
      </c>
      <c r="E1124" s="19" t="s">
        <v>36</v>
      </c>
      <c r="F1124" s="19" t="s">
        <v>36</v>
      </c>
      <c r="G1124" s="15" t="s">
        <v>36</v>
      </c>
      <c r="H1124" s="14">
        <v>103.86</v>
      </c>
      <c r="I1124" s="18">
        <v>37.04</v>
      </c>
      <c r="J1124" s="12" t="s">
        <v>521</v>
      </c>
      <c r="K1124" s="13" t="s">
        <v>36</v>
      </c>
      <c r="L1124" s="15" t="s">
        <v>36</v>
      </c>
      <c r="M1124" s="12" t="s">
        <v>36</v>
      </c>
      <c r="N1124" s="12" t="s">
        <v>36</v>
      </c>
      <c r="O1124" s="17" t="s">
        <v>36</v>
      </c>
      <c r="P1124" s="12" t="s">
        <v>36</v>
      </c>
      <c r="Q1124" s="12" t="s">
        <v>36</v>
      </c>
      <c r="R1124" s="12" t="s">
        <v>36</v>
      </c>
      <c r="S1124" s="12" t="s">
        <v>36</v>
      </c>
      <c r="T1124" s="12" t="s">
        <v>6095</v>
      </c>
      <c r="U1124" s="12" t="s">
        <v>51</v>
      </c>
      <c r="V1124" s="12" t="s">
        <v>52</v>
      </c>
      <c r="W1124" s="12" t="s">
        <v>6851</v>
      </c>
      <c r="X1124" s="16" t="s">
        <v>6852</v>
      </c>
      <c r="Y1124" s="15" t="s">
        <v>42</v>
      </c>
      <c r="Z1124" s="14">
        <v>2.17</v>
      </c>
      <c r="AA1124" s="14">
        <v>2.93</v>
      </c>
      <c r="AB1124" s="12" t="s">
        <v>43</v>
      </c>
      <c r="AC1124" s="12" t="s">
        <v>6853</v>
      </c>
      <c r="AD1124" s="13">
        <v>45111</v>
      </c>
      <c r="AE1124" s="12" t="s">
        <v>158</v>
      </c>
      <c r="AF1124" s="12" t="s">
        <v>6854</v>
      </c>
      <c r="AG1124" s="12" t="s">
        <v>186</v>
      </c>
      <c r="AH1124" s="1">
        <f>HYPERLINK("https://my.pitchbook.com?c=227820-61T","View Company Online")</f>
      </c>
    </row>
    <row r="1125">
      <c r="A1125" s="3" t="s">
        <v>6855</v>
      </c>
      <c r="B1125" s="3" t="s">
        <v>6856</v>
      </c>
      <c r="C1125" s="5" t="s">
        <v>36</v>
      </c>
      <c r="D1125" s="5" t="s">
        <v>36</v>
      </c>
      <c r="E1125" s="5" t="s">
        <v>36</v>
      </c>
      <c r="F1125" s="5" t="s">
        <v>36</v>
      </c>
      <c r="G1125" s="6" t="s">
        <v>36</v>
      </c>
      <c r="H1125" s="4" t="s">
        <v>36</v>
      </c>
      <c r="I1125" s="7" t="s">
        <v>36</v>
      </c>
      <c r="J1125" s="3" t="s">
        <v>36</v>
      </c>
      <c r="K1125" s="9" t="s">
        <v>36</v>
      </c>
      <c r="L1125" s="6" t="s">
        <v>36</v>
      </c>
      <c r="M1125" s="3" t="s">
        <v>36</v>
      </c>
      <c r="N1125" s="3" t="s">
        <v>36</v>
      </c>
      <c r="O1125" s="8" t="s">
        <v>36</v>
      </c>
      <c r="P1125" s="3" t="s">
        <v>36</v>
      </c>
      <c r="Q1125" s="3" t="s">
        <v>36</v>
      </c>
      <c r="R1125" s="3" t="s">
        <v>36</v>
      </c>
      <c r="S1125" s="3" t="s">
        <v>36</v>
      </c>
      <c r="T1125" s="3" t="s">
        <v>6857</v>
      </c>
      <c r="U1125" s="3" t="s">
        <v>38</v>
      </c>
      <c r="V1125" s="3" t="s">
        <v>39</v>
      </c>
      <c r="W1125" s="3" t="s">
        <v>6858</v>
      </c>
      <c r="X1125" s="10" t="s">
        <v>6859</v>
      </c>
      <c r="Y1125" s="6" t="s">
        <v>55</v>
      </c>
      <c r="Z1125" s="4">
        <v>1.41</v>
      </c>
      <c r="AA1125" s="4" t="s">
        <v>36</v>
      </c>
      <c r="AB1125" s="3" t="s">
        <v>56</v>
      </c>
      <c r="AC1125" s="3" t="s">
        <v>6860</v>
      </c>
      <c r="AD1125" s="9">
        <v>45111</v>
      </c>
      <c r="AE1125" s="3" t="s">
        <v>45</v>
      </c>
      <c r="AF1125" s="3" t="s">
        <v>6861</v>
      </c>
      <c r="AG1125" s="3" t="s">
        <v>81</v>
      </c>
      <c r="AH1125" s="11">
        <f>HYPERLINK("https://my.pitchbook.com?c=227490-67T","View Company Online")</f>
      </c>
    </row>
    <row r="1126">
      <c r="A1126" s="12" t="s">
        <v>6862</v>
      </c>
      <c r="B1126" s="12" t="s">
        <v>6863</v>
      </c>
      <c r="C1126" s="19" t="s">
        <v>36</v>
      </c>
      <c r="D1126" s="19" t="s">
        <v>36</v>
      </c>
      <c r="E1126" s="19" t="s">
        <v>36</v>
      </c>
      <c r="F1126" s="19" t="s">
        <v>36</v>
      </c>
      <c r="G1126" s="15" t="s">
        <v>36</v>
      </c>
      <c r="H1126" s="14">
        <v>95.55</v>
      </c>
      <c r="I1126" s="18">
        <v>10.54</v>
      </c>
      <c r="J1126" s="12" t="s">
        <v>521</v>
      </c>
      <c r="K1126" s="13" t="s">
        <v>36</v>
      </c>
      <c r="L1126" s="15" t="s">
        <v>36</v>
      </c>
      <c r="M1126" s="12" t="s">
        <v>36</v>
      </c>
      <c r="N1126" s="12" t="s">
        <v>36</v>
      </c>
      <c r="O1126" s="17" t="s">
        <v>36</v>
      </c>
      <c r="P1126" s="12" t="s">
        <v>36</v>
      </c>
      <c r="Q1126" s="12" t="s">
        <v>36</v>
      </c>
      <c r="R1126" s="12" t="s">
        <v>36</v>
      </c>
      <c r="S1126" s="12" t="s">
        <v>36</v>
      </c>
      <c r="T1126" s="12" t="s">
        <v>6864</v>
      </c>
      <c r="U1126" s="12" t="s">
        <v>51</v>
      </c>
      <c r="V1126" s="12" t="s">
        <v>52</v>
      </c>
      <c r="W1126" s="12" t="s">
        <v>6865</v>
      </c>
      <c r="X1126" s="16" t="s">
        <v>6866</v>
      </c>
      <c r="Y1126" s="15" t="s">
        <v>42</v>
      </c>
      <c r="Z1126" s="14">
        <v>1.54</v>
      </c>
      <c r="AA1126" s="14">
        <v>14.59</v>
      </c>
      <c r="AB1126" s="12" t="s">
        <v>43</v>
      </c>
      <c r="AC1126" s="12" t="s">
        <v>6867</v>
      </c>
      <c r="AD1126" s="13">
        <v>45111</v>
      </c>
      <c r="AE1126" s="12" t="s">
        <v>6868</v>
      </c>
      <c r="AF1126" s="12" t="s">
        <v>885</v>
      </c>
      <c r="AG1126" s="12" t="s">
        <v>81</v>
      </c>
      <c r="AH1126" s="1">
        <f>HYPERLINK("https://my.pitchbook.com?c=227543-68T","View Company Online")</f>
      </c>
    </row>
    <row r="1127">
      <c r="A1127" s="3" t="s">
        <v>6869</v>
      </c>
      <c r="B1127" s="3" t="s">
        <v>6870</v>
      </c>
      <c r="C1127" s="5">
        <v>1</v>
      </c>
      <c r="D1127" s="5" t="s">
        <v>36</v>
      </c>
      <c r="E1127" s="5">
        <v>1</v>
      </c>
      <c r="F1127" s="5">
        <v>1</v>
      </c>
      <c r="G1127" s="6" t="s">
        <v>36</v>
      </c>
      <c r="H1127" s="4" t="s">
        <v>36</v>
      </c>
      <c r="I1127" s="7">
        <v>24.53</v>
      </c>
      <c r="J1127" s="3" t="s">
        <v>327</v>
      </c>
      <c r="K1127" s="9" t="s">
        <v>36</v>
      </c>
      <c r="L1127" s="6" t="s">
        <v>36</v>
      </c>
      <c r="M1127" s="3" t="s">
        <v>36</v>
      </c>
      <c r="N1127" s="3" t="s">
        <v>36</v>
      </c>
      <c r="O1127" s="8" t="s">
        <v>36</v>
      </c>
      <c r="P1127" s="3" t="s">
        <v>36</v>
      </c>
      <c r="Q1127" s="3" t="s">
        <v>36</v>
      </c>
      <c r="R1127" s="3" t="s">
        <v>36</v>
      </c>
      <c r="S1127" s="3" t="s">
        <v>36</v>
      </c>
      <c r="T1127" s="3" t="s">
        <v>6871</v>
      </c>
      <c r="U1127" s="3" t="s">
        <v>85</v>
      </c>
      <c r="V1127" s="3" t="s">
        <v>64</v>
      </c>
      <c r="W1127" s="3" t="s">
        <v>6872</v>
      </c>
      <c r="X1127" s="10" t="s">
        <v>6873</v>
      </c>
      <c r="Y1127" s="6" t="s">
        <v>42</v>
      </c>
      <c r="Z1127" s="4">
        <v>7.06</v>
      </c>
      <c r="AA1127" s="4">
        <v>28.79</v>
      </c>
      <c r="AB1127" s="3" t="s">
        <v>43</v>
      </c>
      <c r="AC1127" s="3" t="s">
        <v>6874</v>
      </c>
      <c r="AD1127" s="9">
        <v>45111</v>
      </c>
      <c r="AE1127" s="3" t="s">
        <v>89</v>
      </c>
      <c r="AF1127" s="3" t="s">
        <v>703</v>
      </c>
      <c r="AG1127" s="3" t="s">
        <v>6875</v>
      </c>
      <c r="AH1127" s="11">
        <f>HYPERLINK("https://my.pitchbook.com?c=227448-19T","View Company Online")</f>
      </c>
    </row>
    <row r="1128">
      <c r="A1128" s="12" t="s">
        <v>6876</v>
      </c>
      <c r="B1128" s="12" t="s">
        <v>6877</v>
      </c>
      <c r="C1128" s="19" t="s">
        <v>36</v>
      </c>
      <c r="D1128" s="19" t="s">
        <v>36</v>
      </c>
      <c r="E1128" s="19" t="s">
        <v>36</v>
      </c>
      <c r="F1128" s="19" t="s">
        <v>36</v>
      </c>
      <c r="G1128" s="15" t="s">
        <v>36</v>
      </c>
      <c r="H1128" s="14" t="s">
        <v>36</v>
      </c>
      <c r="I1128" s="18" t="s">
        <v>36</v>
      </c>
      <c r="J1128" s="12" t="s">
        <v>36</v>
      </c>
      <c r="K1128" s="13">
        <v>45084</v>
      </c>
      <c r="L1128" s="15" t="s">
        <v>36</v>
      </c>
      <c r="M1128" s="12" t="s">
        <v>36</v>
      </c>
      <c r="N1128" s="12" t="s">
        <v>36</v>
      </c>
      <c r="O1128" s="17" t="s">
        <v>36</v>
      </c>
      <c r="P1128" s="12" t="s">
        <v>36</v>
      </c>
      <c r="Q1128" s="12" t="s">
        <v>36</v>
      </c>
      <c r="R1128" s="12" t="s">
        <v>36</v>
      </c>
      <c r="S1128" s="12" t="s">
        <v>36</v>
      </c>
      <c r="T1128" s="12" t="s">
        <v>6878</v>
      </c>
      <c r="U1128" s="12" t="s">
        <v>38</v>
      </c>
      <c r="V1128" s="12" t="s">
        <v>39</v>
      </c>
      <c r="W1128" s="12" t="s">
        <v>6879</v>
      </c>
      <c r="X1128" s="16" t="s">
        <v>6880</v>
      </c>
      <c r="Y1128" s="15" t="s">
        <v>42</v>
      </c>
      <c r="Z1128" s="14">
        <v>3.26</v>
      </c>
      <c r="AA1128" s="14" t="s">
        <v>36</v>
      </c>
      <c r="AB1128" s="12" t="s">
        <v>43</v>
      </c>
      <c r="AC1128" s="12" t="s">
        <v>6881</v>
      </c>
      <c r="AD1128" s="13">
        <v>45110</v>
      </c>
      <c r="AE1128" s="12" t="s">
        <v>110</v>
      </c>
      <c r="AF1128" s="12" t="s">
        <v>176</v>
      </c>
      <c r="AG1128" s="12" t="s">
        <v>81</v>
      </c>
      <c r="AH1128" s="1">
        <f>HYPERLINK("https://my.pitchbook.com?c=203173-48T","View Company Online")</f>
      </c>
    </row>
    <row r="1129">
      <c r="A1129" s="3" t="s">
        <v>6882</v>
      </c>
      <c r="B1129" s="3" t="s">
        <v>6883</v>
      </c>
      <c r="C1129" s="5" t="s">
        <v>36</v>
      </c>
      <c r="D1129" s="5" t="s">
        <v>36</v>
      </c>
      <c r="E1129" s="5" t="s">
        <v>36</v>
      </c>
      <c r="F1129" s="5" t="s">
        <v>36</v>
      </c>
      <c r="G1129" s="6" t="s">
        <v>326</v>
      </c>
      <c r="H1129" s="4">
        <v>22.56</v>
      </c>
      <c r="I1129" s="7">
        <v>26.93</v>
      </c>
      <c r="J1129" s="3" t="s">
        <v>521</v>
      </c>
      <c r="K1129" s="9" t="s">
        <v>36</v>
      </c>
      <c r="L1129" s="6" t="s">
        <v>36</v>
      </c>
      <c r="M1129" s="3" t="s">
        <v>36</v>
      </c>
      <c r="N1129" s="3" t="s">
        <v>36</v>
      </c>
      <c r="O1129" s="8" t="s">
        <v>36</v>
      </c>
      <c r="P1129" s="3" t="s">
        <v>36</v>
      </c>
      <c r="Q1129" s="3" t="s">
        <v>36</v>
      </c>
      <c r="R1129" s="3" t="s">
        <v>36</v>
      </c>
      <c r="S1129" s="3" t="s">
        <v>36</v>
      </c>
      <c r="T1129" s="3" t="s">
        <v>6884</v>
      </c>
      <c r="U1129" s="3" t="s">
        <v>38</v>
      </c>
      <c r="V1129" s="3" t="s">
        <v>39</v>
      </c>
      <c r="W1129" s="3" t="s">
        <v>6885</v>
      </c>
      <c r="X1129" s="10" t="s">
        <v>6886</v>
      </c>
      <c r="Y1129" s="6" t="s">
        <v>42</v>
      </c>
      <c r="Z1129" s="4">
        <v>3.26</v>
      </c>
      <c r="AA1129" s="4">
        <v>11.04</v>
      </c>
      <c r="AB1129" s="3" t="s">
        <v>43</v>
      </c>
      <c r="AC1129" s="3" t="s">
        <v>6887</v>
      </c>
      <c r="AD1129" s="9">
        <v>45110</v>
      </c>
      <c r="AE1129" s="3" t="s">
        <v>45</v>
      </c>
      <c r="AF1129" s="3" t="s">
        <v>6888</v>
      </c>
      <c r="AG1129" s="3" t="s">
        <v>332</v>
      </c>
      <c r="AH1129" s="11">
        <f>HYPERLINK("https://my.pitchbook.com?c=227354-14T","View Company Online")</f>
      </c>
    </row>
    <row r="1130">
      <c r="A1130" s="12" t="s">
        <v>6889</v>
      </c>
      <c r="B1130" s="12" t="s">
        <v>6890</v>
      </c>
      <c r="C1130" s="19" t="s">
        <v>36</v>
      </c>
      <c r="D1130" s="19" t="s">
        <v>36</v>
      </c>
      <c r="E1130" s="19" t="s">
        <v>36</v>
      </c>
      <c r="F1130" s="19" t="s">
        <v>36</v>
      </c>
      <c r="G1130" s="15" t="s">
        <v>36</v>
      </c>
      <c r="H1130" s="14" t="s">
        <v>36</v>
      </c>
      <c r="I1130" s="18" t="s">
        <v>36</v>
      </c>
      <c r="J1130" s="12" t="s">
        <v>36</v>
      </c>
      <c r="K1130" s="13" t="s">
        <v>36</v>
      </c>
      <c r="L1130" s="15" t="s">
        <v>36</v>
      </c>
      <c r="M1130" s="12" t="s">
        <v>36</v>
      </c>
      <c r="N1130" s="12" t="s">
        <v>36</v>
      </c>
      <c r="O1130" s="17" t="s">
        <v>36</v>
      </c>
      <c r="P1130" s="12" t="s">
        <v>36</v>
      </c>
      <c r="Q1130" s="12" t="s">
        <v>36</v>
      </c>
      <c r="R1130" s="12" t="s">
        <v>36</v>
      </c>
      <c r="S1130" s="12" t="s">
        <v>36</v>
      </c>
      <c r="T1130" s="12" t="s">
        <v>2910</v>
      </c>
      <c r="U1130" s="12" t="s">
        <v>219</v>
      </c>
      <c r="V1130" s="12" t="s">
        <v>75</v>
      </c>
      <c r="W1130" s="12" t="s">
        <v>6891</v>
      </c>
      <c r="X1130" s="16" t="s">
        <v>6892</v>
      </c>
      <c r="Y1130" s="15" t="s">
        <v>42</v>
      </c>
      <c r="Z1130" s="14" t="s">
        <v>36</v>
      </c>
      <c r="AA1130" s="14" t="s">
        <v>36</v>
      </c>
      <c r="AB1130" s="12" t="s">
        <v>56</v>
      </c>
      <c r="AC1130" s="12" t="s">
        <v>6893</v>
      </c>
      <c r="AD1130" s="13">
        <v>45110</v>
      </c>
      <c r="AE1130" s="12" t="s">
        <v>2914</v>
      </c>
      <c r="AF1130" s="12" t="s">
        <v>571</v>
      </c>
      <c r="AG1130" s="12" t="s">
        <v>6894</v>
      </c>
      <c r="AH1130" s="1">
        <f>HYPERLINK("https://my.pitchbook.com?c=234747-64T","View Company Online")</f>
      </c>
    </row>
    <row r="1131">
      <c r="A1131" s="3" t="s">
        <v>6895</v>
      </c>
      <c r="B1131" s="3" t="s">
        <v>2212</v>
      </c>
      <c r="C1131" s="5">
        <v>5</v>
      </c>
      <c r="D1131" s="5">
        <v>6</v>
      </c>
      <c r="E1131" s="5">
        <v>4</v>
      </c>
      <c r="F1131" s="5">
        <v>11</v>
      </c>
      <c r="G1131" s="6" t="s">
        <v>36</v>
      </c>
      <c r="H1131" s="4" t="s">
        <v>36</v>
      </c>
      <c r="I1131" s="7" t="s">
        <v>36</v>
      </c>
      <c r="J1131" s="3" t="s">
        <v>36</v>
      </c>
      <c r="K1131" s="9" t="s">
        <v>36</v>
      </c>
      <c r="L1131" s="6" t="s">
        <v>36</v>
      </c>
      <c r="M1131" s="3" t="s">
        <v>36</v>
      </c>
      <c r="N1131" s="3" t="s">
        <v>36</v>
      </c>
      <c r="O1131" s="8" t="s">
        <v>36</v>
      </c>
      <c r="P1131" s="3" t="s">
        <v>36</v>
      </c>
      <c r="Q1131" s="3" t="s">
        <v>36</v>
      </c>
      <c r="R1131" s="3" t="s">
        <v>36</v>
      </c>
      <c r="S1131" s="3" t="s">
        <v>36</v>
      </c>
      <c r="T1131" s="3" t="s">
        <v>2213</v>
      </c>
      <c r="U1131" s="3" t="s">
        <v>219</v>
      </c>
      <c r="V1131" s="3" t="s">
        <v>75</v>
      </c>
      <c r="W1131" s="3" t="s">
        <v>2214</v>
      </c>
      <c r="X1131" s="10" t="s">
        <v>2442</v>
      </c>
      <c r="Y1131" s="6" t="s">
        <v>192</v>
      </c>
      <c r="Z1131" s="4">
        <v>5.54</v>
      </c>
      <c r="AA1131" s="4" t="s">
        <v>36</v>
      </c>
      <c r="AB1131" s="3" t="s">
        <v>43</v>
      </c>
      <c r="AC1131" s="3" t="s">
        <v>2216</v>
      </c>
      <c r="AD1131" s="9">
        <v>45110</v>
      </c>
      <c r="AE1131" s="3" t="s">
        <v>1912</v>
      </c>
      <c r="AF1131" s="3" t="s">
        <v>2217</v>
      </c>
      <c r="AG1131" s="3" t="s">
        <v>2218</v>
      </c>
      <c r="AH1131" s="11">
        <f>HYPERLINK("https://my.pitchbook.com?c=188994-52T","View Company Online")</f>
      </c>
    </row>
    <row r="1132">
      <c r="A1132" s="12" t="s">
        <v>6896</v>
      </c>
      <c r="B1132" s="12" t="s">
        <v>6897</v>
      </c>
      <c r="C1132" s="19">
        <v>20</v>
      </c>
      <c r="D1132" s="19">
        <v>48</v>
      </c>
      <c r="E1132" s="19">
        <v>17</v>
      </c>
      <c r="F1132" s="19">
        <v>68</v>
      </c>
      <c r="G1132" s="15" t="s">
        <v>36</v>
      </c>
      <c r="H1132" s="14" t="s">
        <v>36</v>
      </c>
      <c r="I1132" s="18" t="s">
        <v>36</v>
      </c>
      <c r="J1132" s="12" t="s">
        <v>36</v>
      </c>
      <c r="K1132" s="13" t="s">
        <v>36</v>
      </c>
      <c r="L1132" s="15" t="s">
        <v>36</v>
      </c>
      <c r="M1132" s="12" t="s">
        <v>36</v>
      </c>
      <c r="N1132" s="12" t="s">
        <v>36</v>
      </c>
      <c r="O1132" s="17" t="s">
        <v>36</v>
      </c>
      <c r="P1132" s="12" t="s">
        <v>36</v>
      </c>
      <c r="Q1132" s="12" t="s">
        <v>36</v>
      </c>
      <c r="R1132" s="12" t="s">
        <v>36</v>
      </c>
      <c r="S1132" s="12" t="s">
        <v>36</v>
      </c>
      <c r="T1132" s="12" t="s">
        <v>6898</v>
      </c>
      <c r="U1132" s="12" t="s">
        <v>51</v>
      </c>
      <c r="V1132" s="12" t="s">
        <v>52</v>
      </c>
      <c r="W1132" s="12" t="s">
        <v>6899</v>
      </c>
      <c r="X1132" s="16" t="s">
        <v>988</v>
      </c>
      <c r="Y1132" s="15" t="s">
        <v>55</v>
      </c>
      <c r="Z1132" s="14" t="s">
        <v>36</v>
      </c>
      <c r="AA1132" s="14" t="s">
        <v>36</v>
      </c>
      <c r="AB1132" s="12" t="s">
        <v>43</v>
      </c>
      <c r="AC1132" s="12" t="s">
        <v>6900</v>
      </c>
      <c r="AD1132" s="13">
        <v>45108</v>
      </c>
      <c r="AE1132" s="12" t="s">
        <v>58</v>
      </c>
      <c r="AF1132" s="12" t="s">
        <v>159</v>
      </c>
      <c r="AG1132" s="12" t="s">
        <v>6901</v>
      </c>
      <c r="AH1132" s="1">
        <f>HYPERLINK("https://my.pitchbook.com?c=227643-76T","View Company Online")</f>
      </c>
    </row>
    <row r="1133">
      <c r="A1133" s="3" t="s">
        <v>6902</v>
      </c>
      <c r="B1133" s="3" t="s">
        <v>6903</v>
      </c>
      <c r="C1133" s="5" t="s">
        <v>36</v>
      </c>
      <c r="D1133" s="5" t="s">
        <v>36</v>
      </c>
      <c r="E1133" s="5" t="s">
        <v>36</v>
      </c>
      <c r="F1133" s="5" t="s">
        <v>36</v>
      </c>
      <c r="G1133" s="6" t="s">
        <v>36</v>
      </c>
      <c r="H1133" s="4" t="s">
        <v>36</v>
      </c>
      <c r="I1133" s="7" t="s">
        <v>36</v>
      </c>
      <c r="J1133" s="3" t="s">
        <v>36</v>
      </c>
      <c r="K1133" s="9" t="s">
        <v>36</v>
      </c>
      <c r="L1133" s="6" t="s">
        <v>36</v>
      </c>
      <c r="M1133" s="3" t="s">
        <v>36</v>
      </c>
      <c r="N1133" s="3" t="s">
        <v>36</v>
      </c>
      <c r="O1133" s="8" t="s">
        <v>36</v>
      </c>
      <c r="P1133" s="3" t="s">
        <v>36</v>
      </c>
      <c r="Q1133" s="3" t="s">
        <v>36</v>
      </c>
      <c r="R1133" s="3" t="s">
        <v>36</v>
      </c>
      <c r="S1133" s="3" t="s">
        <v>36</v>
      </c>
      <c r="T1133" s="3" t="s">
        <v>6904</v>
      </c>
      <c r="U1133" s="3" t="s">
        <v>96</v>
      </c>
      <c r="V1133" s="3" t="s">
        <v>52</v>
      </c>
      <c r="W1133" s="3" t="s">
        <v>6905</v>
      </c>
      <c r="X1133" s="10" t="s">
        <v>4852</v>
      </c>
      <c r="Y1133" s="6" t="s">
        <v>42</v>
      </c>
      <c r="Z1133" s="4" t="s">
        <v>36</v>
      </c>
      <c r="AA1133" s="4" t="s">
        <v>36</v>
      </c>
      <c r="AB1133" s="3" t="s">
        <v>43</v>
      </c>
      <c r="AC1133" s="3" t="s">
        <v>6906</v>
      </c>
      <c r="AD1133" s="9">
        <v>45108</v>
      </c>
      <c r="AE1133" s="3" t="s">
        <v>143</v>
      </c>
      <c r="AF1133" s="3" t="s">
        <v>6907</v>
      </c>
      <c r="AG1133" s="3" t="s">
        <v>1803</v>
      </c>
      <c r="AH1133" s="11">
        <f>HYPERLINK("https://my.pitchbook.com?c=232466-41T","View Company Online")</f>
      </c>
    </row>
    <row r="1134">
      <c r="A1134" s="12" t="s">
        <v>6908</v>
      </c>
      <c r="B1134" s="12" t="s">
        <v>1957</v>
      </c>
      <c r="C1134" s="19">
        <v>3</v>
      </c>
      <c r="D1134" s="19" t="s">
        <v>36</v>
      </c>
      <c r="E1134" s="19">
        <v>1</v>
      </c>
      <c r="F1134" s="19">
        <v>4</v>
      </c>
      <c r="G1134" s="15" t="s">
        <v>36</v>
      </c>
      <c r="H1134" s="14" t="s">
        <v>36</v>
      </c>
      <c r="I1134" s="18">
        <v>15.77</v>
      </c>
      <c r="J1134" s="12" t="s">
        <v>327</v>
      </c>
      <c r="K1134" s="13" t="s">
        <v>36</v>
      </c>
      <c r="L1134" s="15" t="s">
        <v>36</v>
      </c>
      <c r="M1134" s="12" t="s">
        <v>36</v>
      </c>
      <c r="N1134" s="12" t="s">
        <v>36</v>
      </c>
      <c r="O1134" s="17" t="s">
        <v>36</v>
      </c>
      <c r="P1134" s="12" t="s">
        <v>36</v>
      </c>
      <c r="Q1134" s="12" t="s">
        <v>36</v>
      </c>
      <c r="R1134" s="12" t="s">
        <v>36</v>
      </c>
      <c r="S1134" s="12" t="s">
        <v>36</v>
      </c>
      <c r="T1134" s="12" t="s">
        <v>1958</v>
      </c>
      <c r="U1134" s="12" t="s">
        <v>38</v>
      </c>
      <c r="V1134" s="12" t="s">
        <v>39</v>
      </c>
      <c r="W1134" s="12" t="s">
        <v>1959</v>
      </c>
      <c r="X1134" s="16" t="s">
        <v>6909</v>
      </c>
      <c r="Y1134" s="15" t="s">
        <v>166</v>
      </c>
      <c r="Z1134" s="14">
        <v>27.14</v>
      </c>
      <c r="AA1134" s="14">
        <v>172.06</v>
      </c>
      <c r="AB1134" s="12" t="s">
        <v>56</v>
      </c>
      <c r="AC1134" s="12" t="s">
        <v>1961</v>
      </c>
      <c r="AD1134" s="13">
        <v>45108</v>
      </c>
      <c r="AE1134" s="12" t="s">
        <v>45</v>
      </c>
      <c r="AF1134" s="12" t="s">
        <v>1962</v>
      </c>
      <c r="AG1134" s="12" t="s">
        <v>81</v>
      </c>
      <c r="AH1134" s="1">
        <f>HYPERLINK("https://my.pitchbook.com?c=228304-63T","View Company Online")</f>
      </c>
    </row>
    <row r="1135">
      <c r="A1135" s="3" t="s">
        <v>6910</v>
      </c>
      <c r="B1135" s="3" t="s">
        <v>6911</v>
      </c>
      <c r="C1135" s="5" t="s">
        <v>36</v>
      </c>
      <c r="D1135" s="5">
        <v>2</v>
      </c>
      <c r="E1135" s="5">
        <v>1</v>
      </c>
      <c r="F1135" s="5">
        <v>2</v>
      </c>
      <c r="G1135" s="6" t="s">
        <v>36</v>
      </c>
      <c r="H1135" s="4" t="s">
        <v>36</v>
      </c>
      <c r="I1135" s="7" t="s">
        <v>36</v>
      </c>
      <c r="J1135" s="3" t="s">
        <v>36</v>
      </c>
      <c r="K1135" s="9" t="s">
        <v>36</v>
      </c>
      <c r="L1135" s="6" t="s">
        <v>36</v>
      </c>
      <c r="M1135" s="3" t="s">
        <v>36</v>
      </c>
      <c r="N1135" s="3" t="s">
        <v>36</v>
      </c>
      <c r="O1135" s="8" t="s">
        <v>36</v>
      </c>
      <c r="P1135" s="3" t="s">
        <v>36</v>
      </c>
      <c r="Q1135" s="3" t="s">
        <v>36</v>
      </c>
      <c r="R1135" s="3" t="s">
        <v>36</v>
      </c>
      <c r="S1135" s="3" t="s">
        <v>36</v>
      </c>
      <c r="T1135" s="3" t="s">
        <v>1701</v>
      </c>
      <c r="U1135" s="3" t="s">
        <v>74</v>
      </c>
      <c r="V1135" s="3" t="s">
        <v>75</v>
      </c>
      <c r="W1135" s="3" t="s">
        <v>6912</v>
      </c>
      <c r="X1135" s="10" t="s">
        <v>6913</v>
      </c>
      <c r="Y1135" s="6" t="s">
        <v>192</v>
      </c>
      <c r="Z1135" s="4" t="s">
        <v>36</v>
      </c>
      <c r="AA1135" s="4" t="s">
        <v>36</v>
      </c>
      <c r="AB1135" s="3" t="s">
        <v>56</v>
      </c>
      <c r="AC1135" s="3" t="s">
        <v>6914</v>
      </c>
      <c r="AD1135" s="9">
        <v>45108</v>
      </c>
      <c r="AE1135" s="3" t="s">
        <v>79</v>
      </c>
      <c r="AF1135" s="3" t="s">
        <v>4552</v>
      </c>
      <c r="AG1135" s="3" t="s">
        <v>81</v>
      </c>
      <c r="AH1135" s="11">
        <f>HYPERLINK("https://my.pitchbook.com?c=232464-52T","View Company Online")</f>
      </c>
    </row>
    <row r="1136">
      <c r="A1136" s="12" t="s">
        <v>6915</v>
      </c>
      <c r="B1136" s="12" t="s">
        <v>6916</v>
      </c>
      <c r="C1136" s="19" t="s">
        <v>36</v>
      </c>
      <c r="D1136" s="19" t="s">
        <v>36</v>
      </c>
      <c r="E1136" s="19" t="s">
        <v>36</v>
      </c>
      <c r="F1136" s="19" t="s">
        <v>36</v>
      </c>
      <c r="G1136" s="15" t="s">
        <v>36</v>
      </c>
      <c r="H1136" s="14" t="s">
        <v>36</v>
      </c>
      <c r="I1136" s="18" t="s">
        <v>36</v>
      </c>
      <c r="J1136" s="12" t="s">
        <v>36</v>
      </c>
      <c r="K1136" s="13" t="s">
        <v>36</v>
      </c>
      <c r="L1136" s="15" t="s">
        <v>36</v>
      </c>
      <c r="M1136" s="12" t="s">
        <v>36</v>
      </c>
      <c r="N1136" s="12" t="s">
        <v>36</v>
      </c>
      <c r="O1136" s="17" t="s">
        <v>36</v>
      </c>
      <c r="P1136" s="12" t="s">
        <v>36</v>
      </c>
      <c r="Q1136" s="12" t="s">
        <v>36</v>
      </c>
      <c r="R1136" s="12" t="s">
        <v>36</v>
      </c>
      <c r="S1136" s="12" t="s">
        <v>36</v>
      </c>
      <c r="T1136" s="12" t="s">
        <v>6917</v>
      </c>
      <c r="U1136" s="12" t="s">
        <v>833</v>
      </c>
      <c r="V1136" s="12" t="s">
        <v>64</v>
      </c>
      <c r="W1136" s="12" t="s">
        <v>6918</v>
      </c>
      <c r="X1136" s="16" t="s">
        <v>6919</v>
      </c>
      <c r="Y1136" s="15" t="s">
        <v>42</v>
      </c>
      <c r="Z1136" s="14" t="s">
        <v>36</v>
      </c>
      <c r="AA1136" s="14" t="s">
        <v>36</v>
      </c>
      <c r="AB1136" s="12" t="s">
        <v>43</v>
      </c>
      <c r="AC1136" s="12" t="s">
        <v>6920</v>
      </c>
      <c r="AD1136" s="13">
        <v>45108</v>
      </c>
      <c r="AE1136" s="12" t="s">
        <v>3615</v>
      </c>
      <c r="AF1136" s="12" t="s">
        <v>2759</v>
      </c>
      <c r="AG1136" s="12" t="s">
        <v>47</v>
      </c>
      <c r="AH1136" s="1">
        <f>HYPERLINK("https://my.pitchbook.com?c=232226-74T","View Company Online")</f>
      </c>
    </row>
    <row r="1137">
      <c r="A1137" s="3" t="s">
        <v>6921</v>
      </c>
      <c r="B1137" s="3" t="s">
        <v>6922</v>
      </c>
      <c r="C1137" s="5">
        <v>7</v>
      </c>
      <c r="D1137" s="5">
        <v>6</v>
      </c>
      <c r="E1137" s="5">
        <v>6</v>
      </c>
      <c r="F1137" s="5">
        <v>13</v>
      </c>
      <c r="G1137" s="6" t="s">
        <v>36</v>
      </c>
      <c r="H1137" s="4" t="s">
        <v>36</v>
      </c>
      <c r="I1137" s="7" t="s">
        <v>36</v>
      </c>
      <c r="J1137" s="3" t="s">
        <v>36</v>
      </c>
      <c r="K1137" s="9" t="s">
        <v>36</v>
      </c>
      <c r="L1137" s="6" t="s">
        <v>36</v>
      </c>
      <c r="M1137" s="3" t="s">
        <v>36</v>
      </c>
      <c r="N1137" s="3" t="s">
        <v>36</v>
      </c>
      <c r="O1137" s="8" t="s">
        <v>36</v>
      </c>
      <c r="P1137" s="3" t="s">
        <v>36</v>
      </c>
      <c r="Q1137" s="3" t="s">
        <v>36</v>
      </c>
      <c r="R1137" s="3" t="s">
        <v>36</v>
      </c>
      <c r="S1137" s="3" t="s">
        <v>36</v>
      </c>
      <c r="T1137" s="3" t="s">
        <v>6040</v>
      </c>
      <c r="U1137" s="3" t="s">
        <v>833</v>
      </c>
      <c r="V1137" s="3" t="s">
        <v>64</v>
      </c>
      <c r="W1137" s="3" t="s">
        <v>6923</v>
      </c>
      <c r="X1137" s="10" t="s">
        <v>6924</v>
      </c>
      <c r="Y1137" s="6" t="s">
        <v>108</v>
      </c>
      <c r="Z1137" s="4">
        <v>8.68</v>
      </c>
      <c r="AA1137" s="4" t="s">
        <v>36</v>
      </c>
      <c r="AB1137" s="3" t="s">
        <v>43</v>
      </c>
      <c r="AC1137" s="3" t="s">
        <v>6925</v>
      </c>
      <c r="AD1137" s="9">
        <v>45108</v>
      </c>
      <c r="AE1137" s="3" t="s">
        <v>837</v>
      </c>
      <c r="AF1137" s="3" t="s">
        <v>1340</v>
      </c>
      <c r="AG1137" s="3" t="s">
        <v>969</v>
      </c>
      <c r="AH1137" s="11">
        <f>HYPERLINK("https://my.pitchbook.com?c=235215-55T","View Company Online")</f>
      </c>
    </row>
    <row r="1138">
      <c r="A1138" s="12" t="s">
        <v>6926</v>
      </c>
      <c r="B1138" s="12" t="s">
        <v>6927</v>
      </c>
      <c r="C1138" s="19" t="s">
        <v>36</v>
      </c>
      <c r="D1138" s="19" t="s">
        <v>36</v>
      </c>
      <c r="E1138" s="19" t="s">
        <v>36</v>
      </c>
      <c r="F1138" s="19" t="s">
        <v>36</v>
      </c>
      <c r="G1138" s="15" t="s">
        <v>326</v>
      </c>
      <c r="H1138" s="14" t="s">
        <v>36</v>
      </c>
      <c r="I1138" s="18">
        <v>28.16</v>
      </c>
      <c r="J1138" s="12" t="s">
        <v>327</v>
      </c>
      <c r="K1138" s="13">
        <v>45089</v>
      </c>
      <c r="L1138" s="15" t="s">
        <v>122</v>
      </c>
      <c r="M1138" s="12" t="s">
        <v>36</v>
      </c>
      <c r="N1138" s="12" t="s">
        <v>122</v>
      </c>
      <c r="O1138" s="17" t="s">
        <v>36</v>
      </c>
      <c r="P1138" s="12" t="s">
        <v>36</v>
      </c>
      <c r="Q1138" s="12" t="s">
        <v>36</v>
      </c>
      <c r="R1138" s="12" t="s">
        <v>36</v>
      </c>
      <c r="S1138" s="12" t="s">
        <v>36</v>
      </c>
      <c r="T1138" s="12" t="s">
        <v>105</v>
      </c>
      <c r="U1138" s="12" t="s">
        <v>38</v>
      </c>
      <c r="V1138" s="12" t="s">
        <v>39</v>
      </c>
      <c r="W1138" s="12" t="s">
        <v>6928</v>
      </c>
      <c r="X1138" s="16" t="s">
        <v>6929</v>
      </c>
      <c r="Y1138" s="15" t="s">
        <v>108</v>
      </c>
      <c r="Z1138" s="14">
        <v>13.01</v>
      </c>
      <c r="AA1138" s="14">
        <v>46.21</v>
      </c>
      <c r="AB1138" s="12" t="s">
        <v>43</v>
      </c>
      <c r="AC1138" s="12" t="s">
        <v>6930</v>
      </c>
      <c r="AD1138" s="13">
        <v>45108</v>
      </c>
      <c r="AE1138" s="12" t="s">
        <v>110</v>
      </c>
      <c r="AF1138" s="12" t="s">
        <v>3172</v>
      </c>
      <c r="AG1138" s="12" t="s">
        <v>81</v>
      </c>
      <c r="AH1138" s="1">
        <f>HYPERLINK("https://my.pitchbook.com?c=225787-06T","View Company Online")</f>
      </c>
    </row>
    <row r="1139">
      <c r="A1139" s="3" t="s">
        <v>6931</v>
      </c>
      <c r="B1139" s="3" t="s">
        <v>6932</v>
      </c>
      <c r="C1139" s="5">
        <v>3</v>
      </c>
      <c r="D1139" s="5" t="s">
        <v>36</v>
      </c>
      <c r="E1139" s="5">
        <v>1</v>
      </c>
      <c r="F1139" s="5">
        <v>3</v>
      </c>
      <c r="G1139" s="6" t="s">
        <v>36</v>
      </c>
      <c r="H1139" s="4" t="s">
        <v>36</v>
      </c>
      <c r="I1139" s="7" t="s">
        <v>36</v>
      </c>
      <c r="J1139" s="3" t="s">
        <v>36</v>
      </c>
      <c r="K1139" s="9" t="s">
        <v>36</v>
      </c>
      <c r="L1139" s="6" t="s">
        <v>36</v>
      </c>
      <c r="M1139" s="3" t="s">
        <v>36</v>
      </c>
      <c r="N1139" s="3" t="s">
        <v>36</v>
      </c>
      <c r="O1139" s="8" t="s">
        <v>36</v>
      </c>
      <c r="P1139" s="3" t="s">
        <v>36</v>
      </c>
      <c r="Q1139" s="3" t="s">
        <v>36</v>
      </c>
      <c r="R1139" s="3" t="s">
        <v>36</v>
      </c>
      <c r="S1139" s="3" t="s">
        <v>36</v>
      </c>
      <c r="T1139" s="3" t="s">
        <v>154</v>
      </c>
      <c r="U1139" s="3" t="s">
        <v>51</v>
      </c>
      <c r="V1139" s="3" t="s">
        <v>52</v>
      </c>
      <c r="W1139" s="3" t="s">
        <v>6933</v>
      </c>
      <c r="X1139" s="10" t="s">
        <v>2178</v>
      </c>
      <c r="Y1139" s="6" t="s">
        <v>42</v>
      </c>
      <c r="Z1139" s="4" t="s">
        <v>36</v>
      </c>
      <c r="AA1139" s="4" t="s">
        <v>36</v>
      </c>
      <c r="AB1139" s="3" t="s">
        <v>43</v>
      </c>
      <c r="AC1139" s="3" t="s">
        <v>6934</v>
      </c>
      <c r="AD1139" s="9">
        <v>45108</v>
      </c>
      <c r="AE1139" s="3" t="s">
        <v>158</v>
      </c>
      <c r="AF1139" s="3" t="s">
        <v>665</v>
      </c>
      <c r="AG1139" s="3" t="s">
        <v>2370</v>
      </c>
      <c r="AH1139" s="11">
        <f>HYPERLINK("https://my.pitchbook.com?c=228558-79T","View Company Online")</f>
      </c>
    </row>
    <row r="1140">
      <c r="A1140" s="12" t="s">
        <v>6935</v>
      </c>
      <c r="B1140" s="12" t="s">
        <v>6936</v>
      </c>
      <c r="C1140" s="19" t="s">
        <v>36</v>
      </c>
      <c r="D1140" s="19" t="s">
        <v>36</v>
      </c>
      <c r="E1140" s="19" t="s">
        <v>36</v>
      </c>
      <c r="F1140" s="19" t="s">
        <v>36</v>
      </c>
      <c r="G1140" s="15" t="s">
        <v>36</v>
      </c>
      <c r="H1140" s="14" t="s">
        <v>36</v>
      </c>
      <c r="I1140" s="18" t="s">
        <v>36</v>
      </c>
      <c r="J1140" s="12" t="s">
        <v>36</v>
      </c>
      <c r="K1140" s="13" t="s">
        <v>36</v>
      </c>
      <c r="L1140" s="15" t="s">
        <v>36</v>
      </c>
      <c r="M1140" s="12" t="s">
        <v>36</v>
      </c>
      <c r="N1140" s="12" t="s">
        <v>36</v>
      </c>
      <c r="O1140" s="17" t="s">
        <v>36</v>
      </c>
      <c r="P1140" s="12" t="s">
        <v>36</v>
      </c>
      <c r="Q1140" s="12" t="s">
        <v>36</v>
      </c>
      <c r="R1140" s="12" t="s">
        <v>36</v>
      </c>
      <c r="S1140" s="12" t="s">
        <v>36</v>
      </c>
      <c r="T1140" s="12" t="s">
        <v>6937</v>
      </c>
      <c r="U1140" s="12" t="s">
        <v>1502</v>
      </c>
      <c r="V1140" s="12" t="s">
        <v>75</v>
      </c>
      <c r="W1140" s="12" t="s">
        <v>6938</v>
      </c>
      <c r="X1140" s="16" t="s">
        <v>6939</v>
      </c>
      <c r="Y1140" s="15" t="s">
        <v>42</v>
      </c>
      <c r="Z1140" s="14">
        <v>5.2</v>
      </c>
      <c r="AA1140" s="14" t="s">
        <v>36</v>
      </c>
      <c r="AB1140" s="12" t="s">
        <v>43</v>
      </c>
      <c r="AC1140" s="12" t="s">
        <v>6940</v>
      </c>
      <c r="AD1140" s="13">
        <v>45108</v>
      </c>
      <c r="AE1140" s="12" t="s">
        <v>1506</v>
      </c>
      <c r="AF1140" s="12" t="s">
        <v>6941</v>
      </c>
      <c r="AG1140" s="12" t="s">
        <v>81</v>
      </c>
      <c r="AH1140" s="1">
        <f>HYPERLINK("https://my.pitchbook.com?c=227800-18T","View Company Online")</f>
      </c>
    </row>
    <row r="1141">
      <c r="A1141" s="3" t="s">
        <v>6942</v>
      </c>
      <c r="B1141" s="3" t="s">
        <v>6943</v>
      </c>
      <c r="C1141" s="5" t="s">
        <v>36</v>
      </c>
      <c r="D1141" s="5" t="s">
        <v>36</v>
      </c>
      <c r="E1141" s="5" t="s">
        <v>36</v>
      </c>
      <c r="F1141" s="5" t="s">
        <v>36</v>
      </c>
      <c r="G1141" s="6" t="s">
        <v>36</v>
      </c>
      <c r="H1141" s="4" t="s">
        <v>36</v>
      </c>
      <c r="I1141" s="7" t="s">
        <v>36</v>
      </c>
      <c r="J1141" s="3" t="s">
        <v>36</v>
      </c>
      <c r="K1141" s="9" t="s">
        <v>36</v>
      </c>
      <c r="L1141" s="6" t="s">
        <v>36</v>
      </c>
      <c r="M1141" s="3" t="s">
        <v>36</v>
      </c>
      <c r="N1141" s="3" t="s">
        <v>36</v>
      </c>
      <c r="O1141" s="8" t="s">
        <v>36</v>
      </c>
      <c r="P1141" s="3" t="s">
        <v>36</v>
      </c>
      <c r="Q1141" s="3" t="s">
        <v>36</v>
      </c>
      <c r="R1141" s="3" t="s">
        <v>36</v>
      </c>
      <c r="S1141" s="3" t="s">
        <v>36</v>
      </c>
      <c r="T1141" s="3" t="s">
        <v>1188</v>
      </c>
      <c r="U1141" s="3" t="s">
        <v>180</v>
      </c>
      <c r="V1141" s="3" t="s">
        <v>52</v>
      </c>
      <c r="W1141" s="3" t="s">
        <v>6944</v>
      </c>
      <c r="X1141" s="10" t="s">
        <v>6945</v>
      </c>
      <c r="Y1141" s="6" t="s">
        <v>42</v>
      </c>
      <c r="Z1141" s="4" t="s">
        <v>36</v>
      </c>
      <c r="AA1141" s="4" t="s">
        <v>36</v>
      </c>
      <c r="AB1141" s="3" t="s">
        <v>56</v>
      </c>
      <c r="AC1141" s="3" t="s">
        <v>6946</v>
      </c>
      <c r="AD1141" s="9">
        <v>45108</v>
      </c>
      <c r="AE1141" s="3" t="s">
        <v>1192</v>
      </c>
      <c r="AF1141" s="3" t="s">
        <v>261</v>
      </c>
      <c r="AG1141" s="3" t="s">
        <v>102</v>
      </c>
      <c r="AH1141" s="11">
        <f>HYPERLINK("https://my.pitchbook.com?c=244021-42T","View Company Online")</f>
      </c>
    </row>
    <row r="1142">
      <c r="A1142" s="12" t="s">
        <v>6947</v>
      </c>
      <c r="B1142" s="12" t="s">
        <v>6948</v>
      </c>
      <c r="C1142" s="19" t="s">
        <v>36</v>
      </c>
      <c r="D1142" s="19" t="s">
        <v>36</v>
      </c>
      <c r="E1142" s="19" t="s">
        <v>36</v>
      </c>
      <c r="F1142" s="19" t="s">
        <v>36</v>
      </c>
      <c r="G1142" s="15" t="s">
        <v>36</v>
      </c>
      <c r="H1142" s="14" t="s">
        <v>36</v>
      </c>
      <c r="I1142" s="18" t="s">
        <v>36</v>
      </c>
      <c r="J1142" s="12" t="s">
        <v>36</v>
      </c>
      <c r="K1142" s="13" t="s">
        <v>36</v>
      </c>
      <c r="L1142" s="15" t="s">
        <v>36</v>
      </c>
      <c r="M1142" s="12" t="s">
        <v>36</v>
      </c>
      <c r="N1142" s="12" t="s">
        <v>36</v>
      </c>
      <c r="O1142" s="17" t="s">
        <v>36</v>
      </c>
      <c r="P1142" s="12" t="s">
        <v>36</v>
      </c>
      <c r="Q1142" s="12" t="s">
        <v>36</v>
      </c>
      <c r="R1142" s="12" t="s">
        <v>36</v>
      </c>
      <c r="S1142" s="12" t="s">
        <v>36</v>
      </c>
      <c r="T1142" s="12" t="s">
        <v>692</v>
      </c>
      <c r="U1142" s="12" t="s">
        <v>74</v>
      </c>
      <c r="V1142" s="12" t="s">
        <v>75</v>
      </c>
      <c r="W1142" s="12" t="s">
        <v>6949</v>
      </c>
      <c r="X1142" s="16" t="s">
        <v>6950</v>
      </c>
      <c r="Y1142" s="15" t="s">
        <v>42</v>
      </c>
      <c r="Z1142" s="14">
        <v>16.27</v>
      </c>
      <c r="AA1142" s="14" t="s">
        <v>36</v>
      </c>
      <c r="AB1142" s="12" t="s">
        <v>43</v>
      </c>
      <c r="AC1142" s="12" t="s">
        <v>6951</v>
      </c>
      <c r="AD1142" s="13">
        <v>45108</v>
      </c>
      <c r="AE1142" s="12" t="s">
        <v>696</v>
      </c>
      <c r="AF1142" s="12" t="s">
        <v>4200</v>
      </c>
      <c r="AG1142" s="12" t="s">
        <v>899</v>
      </c>
      <c r="AH1142" s="1">
        <f>HYPERLINK("https://my.pitchbook.com?c=232755-22T","View Company Online")</f>
      </c>
    </row>
    <row r="1143">
      <c r="A1143" s="3" t="s">
        <v>6952</v>
      </c>
      <c r="B1143" s="3" t="s">
        <v>6953</v>
      </c>
      <c r="C1143" s="5" t="s">
        <v>36</v>
      </c>
      <c r="D1143" s="5" t="s">
        <v>36</v>
      </c>
      <c r="E1143" s="5" t="s">
        <v>36</v>
      </c>
      <c r="F1143" s="5" t="s">
        <v>36</v>
      </c>
      <c r="G1143" s="6" t="s">
        <v>36</v>
      </c>
      <c r="H1143" s="4" t="s">
        <v>36</v>
      </c>
      <c r="I1143" s="7" t="s">
        <v>36</v>
      </c>
      <c r="J1143" s="3" t="s">
        <v>36</v>
      </c>
      <c r="K1143" s="9" t="s">
        <v>36</v>
      </c>
      <c r="L1143" s="6" t="s">
        <v>36</v>
      </c>
      <c r="M1143" s="3" t="s">
        <v>36</v>
      </c>
      <c r="N1143" s="3" t="s">
        <v>36</v>
      </c>
      <c r="O1143" s="8" t="s">
        <v>36</v>
      </c>
      <c r="P1143" s="3" t="s">
        <v>36</v>
      </c>
      <c r="Q1143" s="3" t="s">
        <v>36</v>
      </c>
      <c r="R1143" s="3" t="s">
        <v>36</v>
      </c>
      <c r="S1143" s="3" t="s">
        <v>36</v>
      </c>
      <c r="T1143" s="3" t="s">
        <v>522</v>
      </c>
      <c r="U1143" s="3" t="s">
        <v>38</v>
      </c>
      <c r="V1143" s="3" t="s">
        <v>39</v>
      </c>
      <c r="W1143" s="3" t="s">
        <v>6954</v>
      </c>
      <c r="X1143" s="10" t="s">
        <v>6955</v>
      </c>
      <c r="Y1143" s="6" t="s">
        <v>108</v>
      </c>
      <c r="Z1143" s="4" t="s">
        <v>36</v>
      </c>
      <c r="AA1143" s="4" t="s">
        <v>36</v>
      </c>
      <c r="AB1143" s="3" t="s">
        <v>43</v>
      </c>
      <c r="AC1143" s="3" t="s">
        <v>6956</v>
      </c>
      <c r="AD1143" s="9">
        <v>45108</v>
      </c>
      <c r="AE1143" s="3" t="s">
        <v>110</v>
      </c>
      <c r="AF1143" s="3" t="s">
        <v>176</v>
      </c>
      <c r="AG1143" s="3" t="s">
        <v>81</v>
      </c>
      <c r="AH1143" s="11">
        <f>HYPERLINK("https://my.pitchbook.com?c=227758-87T","View Company Online")</f>
      </c>
    </row>
    <row r="1144">
      <c r="A1144" s="12" t="s">
        <v>6957</v>
      </c>
      <c r="B1144" s="12" t="s">
        <v>6958</v>
      </c>
      <c r="C1144" s="19" t="s">
        <v>36</v>
      </c>
      <c r="D1144" s="19" t="s">
        <v>36</v>
      </c>
      <c r="E1144" s="19" t="s">
        <v>36</v>
      </c>
      <c r="F1144" s="19" t="s">
        <v>36</v>
      </c>
      <c r="G1144" s="15" t="s">
        <v>36</v>
      </c>
      <c r="H1144" s="14" t="s">
        <v>36</v>
      </c>
      <c r="I1144" s="18" t="s">
        <v>36</v>
      </c>
      <c r="J1144" s="12" t="s">
        <v>36</v>
      </c>
      <c r="K1144" s="13" t="s">
        <v>36</v>
      </c>
      <c r="L1144" s="15" t="s">
        <v>36</v>
      </c>
      <c r="M1144" s="12" t="s">
        <v>36</v>
      </c>
      <c r="N1144" s="12" t="s">
        <v>36</v>
      </c>
      <c r="O1144" s="17" t="s">
        <v>36</v>
      </c>
      <c r="P1144" s="12" t="s">
        <v>36</v>
      </c>
      <c r="Q1144" s="12" t="s">
        <v>36</v>
      </c>
      <c r="R1144" s="12" t="s">
        <v>36</v>
      </c>
      <c r="S1144" s="12" t="s">
        <v>36</v>
      </c>
      <c r="T1144" s="12" t="s">
        <v>6959</v>
      </c>
      <c r="U1144" s="12" t="s">
        <v>289</v>
      </c>
      <c r="V1144" s="12" t="s">
        <v>64</v>
      </c>
      <c r="W1144" s="12" t="s">
        <v>6960</v>
      </c>
      <c r="X1144" s="16" t="s">
        <v>6961</v>
      </c>
      <c r="Y1144" s="15" t="s">
        <v>42</v>
      </c>
      <c r="Z1144" s="14" t="s">
        <v>36</v>
      </c>
      <c r="AA1144" s="14" t="s">
        <v>36</v>
      </c>
      <c r="AB1144" s="12" t="s">
        <v>43</v>
      </c>
      <c r="AC1144" s="12" t="s">
        <v>6962</v>
      </c>
      <c r="AD1144" s="13">
        <v>45108</v>
      </c>
      <c r="AE1144" s="12" t="s">
        <v>292</v>
      </c>
      <c r="AF1144" s="12" t="s">
        <v>90</v>
      </c>
      <c r="AG1144" s="12" t="s">
        <v>81</v>
      </c>
      <c r="AH1144" s="1">
        <f>HYPERLINK("https://my.pitchbook.com?c=232494-85T","View Company Online")</f>
      </c>
    </row>
    <row r="1145">
      <c r="A1145" s="3" t="s">
        <v>6963</v>
      </c>
      <c r="B1145" s="3" t="s">
        <v>1298</v>
      </c>
      <c r="C1145" s="5" t="s">
        <v>36</v>
      </c>
      <c r="D1145" s="5" t="s">
        <v>36</v>
      </c>
      <c r="E1145" s="5" t="s">
        <v>36</v>
      </c>
      <c r="F1145" s="5" t="s">
        <v>36</v>
      </c>
      <c r="G1145" s="6" t="s">
        <v>36</v>
      </c>
      <c r="H1145" s="4">
        <v>1237.3</v>
      </c>
      <c r="I1145" s="7">
        <v>37.54</v>
      </c>
      <c r="J1145" s="3" t="s">
        <v>521</v>
      </c>
      <c r="K1145" s="9" t="s">
        <v>36</v>
      </c>
      <c r="L1145" s="6" t="s">
        <v>36</v>
      </c>
      <c r="M1145" s="3" t="s">
        <v>36</v>
      </c>
      <c r="N1145" s="3" t="s">
        <v>36</v>
      </c>
      <c r="O1145" s="8" t="s">
        <v>36</v>
      </c>
      <c r="P1145" s="3" t="s">
        <v>36</v>
      </c>
      <c r="Q1145" s="3" t="s">
        <v>36</v>
      </c>
      <c r="R1145" s="3" t="s">
        <v>36</v>
      </c>
      <c r="S1145" s="3" t="s">
        <v>36</v>
      </c>
      <c r="T1145" s="3" t="s">
        <v>1299</v>
      </c>
      <c r="U1145" s="3" t="s">
        <v>38</v>
      </c>
      <c r="V1145" s="3" t="s">
        <v>39</v>
      </c>
      <c r="W1145" s="3" t="s">
        <v>1300</v>
      </c>
      <c r="X1145" s="10" t="s">
        <v>6913</v>
      </c>
      <c r="Y1145" s="6" t="s">
        <v>42</v>
      </c>
      <c r="Z1145" s="4">
        <v>0.78</v>
      </c>
      <c r="AA1145" s="4">
        <v>2.07</v>
      </c>
      <c r="AB1145" s="3" t="s">
        <v>43</v>
      </c>
      <c r="AC1145" s="3" t="s">
        <v>1302</v>
      </c>
      <c r="AD1145" s="9">
        <v>45108</v>
      </c>
      <c r="AE1145" s="3" t="s">
        <v>110</v>
      </c>
      <c r="AF1145" s="3" t="s">
        <v>176</v>
      </c>
      <c r="AG1145" s="3" t="s">
        <v>47</v>
      </c>
      <c r="AH1145" s="11">
        <f>HYPERLINK("https://my.pitchbook.com?c=227652-40T","View Company Online")</f>
      </c>
    </row>
    <row r="1146">
      <c r="A1146" s="12" t="s">
        <v>6964</v>
      </c>
      <c r="B1146" s="12" t="s">
        <v>6965</v>
      </c>
      <c r="C1146" s="19" t="s">
        <v>36</v>
      </c>
      <c r="D1146" s="19" t="s">
        <v>36</v>
      </c>
      <c r="E1146" s="19" t="s">
        <v>36</v>
      </c>
      <c r="F1146" s="19" t="s">
        <v>36</v>
      </c>
      <c r="G1146" s="15" t="s">
        <v>36</v>
      </c>
      <c r="H1146" s="14" t="s">
        <v>36</v>
      </c>
      <c r="I1146" s="18" t="s">
        <v>36</v>
      </c>
      <c r="J1146" s="12" t="s">
        <v>36</v>
      </c>
      <c r="K1146" s="13" t="s">
        <v>36</v>
      </c>
      <c r="L1146" s="15" t="s">
        <v>36</v>
      </c>
      <c r="M1146" s="12" t="s">
        <v>36</v>
      </c>
      <c r="N1146" s="12" t="s">
        <v>36</v>
      </c>
      <c r="O1146" s="17" t="s">
        <v>36</v>
      </c>
      <c r="P1146" s="12" t="s">
        <v>36</v>
      </c>
      <c r="Q1146" s="12" t="s">
        <v>36</v>
      </c>
      <c r="R1146" s="12" t="s">
        <v>36</v>
      </c>
      <c r="S1146" s="12" t="s">
        <v>36</v>
      </c>
      <c r="T1146" s="12" t="s">
        <v>1418</v>
      </c>
      <c r="U1146" s="12" t="s">
        <v>38</v>
      </c>
      <c r="V1146" s="12" t="s">
        <v>39</v>
      </c>
      <c r="W1146" s="12" t="s">
        <v>6966</v>
      </c>
      <c r="X1146" s="16" t="s">
        <v>6967</v>
      </c>
      <c r="Y1146" s="15" t="s">
        <v>42</v>
      </c>
      <c r="Z1146" s="14" t="s">
        <v>36</v>
      </c>
      <c r="AA1146" s="14" t="s">
        <v>36</v>
      </c>
      <c r="AB1146" s="12" t="s">
        <v>43</v>
      </c>
      <c r="AC1146" s="12" t="s">
        <v>6968</v>
      </c>
      <c r="AD1146" s="13">
        <v>45108</v>
      </c>
      <c r="AE1146" s="12" t="s">
        <v>1422</v>
      </c>
      <c r="AF1146" s="12" t="s">
        <v>4284</v>
      </c>
      <c r="AG1146" s="12" t="s">
        <v>6969</v>
      </c>
      <c r="AH1146" s="1">
        <f>HYPERLINK("https://my.pitchbook.com?c=227810-44T","View Company Online")</f>
      </c>
    </row>
    <row r="1147">
      <c r="A1147" s="3" t="s">
        <v>6970</v>
      </c>
      <c r="B1147" s="3" t="s">
        <v>6971</v>
      </c>
      <c r="C1147" s="5" t="s">
        <v>36</v>
      </c>
      <c r="D1147" s="5" t="s">
        <v>36</v>
      </c>
      <c r="E1147" s="5" t="s">
        <v>36</v>
      </c>
      <c r="F1147" s="5" t="s">
        <v>36</v>
      </c>
      <c r="G1147" s="6" t="s">
        <v>326</v>
      </c>
      <c r="H1147" s="4">
        <v>36.45</v>
      </c>
      <c r="I1147" s="7">
        <v>22.4</v>
      </c>
      <c r="J1147" s="3" t="s">
        <v>521</v>
      </c>
      <c r="K1147" s="9" t="s">
        <v>36</v>
      </c>
      <c r="L1147" s="6" t="s">
        <v>36</v>
      </c>
      <c r="M1147" s="3" t="s">
        <v>36</v>
      </c>
      <c r="N1147" s="3" t="s">
        <v>36</v>
      </c>
      <c r="O1147" s="8" t="s">
        <v>36</v>
      </c>
      <c r="P1147" s="3" t="s">
        <v>36</v>
      </c>
      <c r="Q1147" s="3" t="s">
        <v>36</v>
      </c>
      <c r="R1147" s="3" t="s">
        <v>36</v>
      </c>
      <c r="S1147" s="3" t="s">
        <v>36</v>
      </c>
      <c r="T1147" s="3" t="s">
        <v>6972</v>
      </c>
      <c r="U1147" s="3" t="s">
        <v>1091</v>
      </c>
      <c r="V1147" s="3" t="s">
        <v>378</v>
      </c>
      <c r="W1147" s="3" t="s">
        <v>6973</v>
      </c>
      <c r="X1147" s="10" t="s">
        <v>6974</v>
      </c>
      <c r="Y1147" s="6" t="s">
        <v>108</v>
      </c>
      <c r="Z1147" s="4">
        <v>0.76</v>
      </c>
      <c r="AA1147" s="4">
        <v>3.38</v>
      </c>
      <c r="AB1147" s="3" t="s">
        <v>43</v>
      </c>
      <c r="AC1147" s="3" t="s">
        <v>6975</v>
      </c>
      <c r="AD1147" s="9">
        <v>45108</v>
      </c>
      <c r="AE1147" s="3" t="s">
        <v>1095</v>
      </c>
      <c r="AF1147" s="3" t="s">
        <v>1999</v>
      </c>
      <c r="AG1147" s="3" t="s">
        <v>5013</v>
      </c>
      <c r="AH1147" s="11">
        <f>HYPERLINK("https://my.pitchbook.com?c=227408-86T","View Company Online")</f>
      </c>
    </row>
    <row r="1148">
      <c r="A1148" s="12" t="s">
        <v>6976</v>
      </c>
      <c r="B1148" s="12" t="s">
        <v>6977</v>
      </c>
      <c r="C1148" s="19" t="s">
        <v>36</v>
      </c>
      <c r="D1148" s="19" t="s">
        <v>36</v>
      </c>
      <c r="E1148" s="19" t="s">
        <v>36</v>
      </c>
      <c r="F1148" s="19" t="s">
        <v>36</v>
      </c>
      <c r="G1148" s="15" t="s">
        <v>36</v>
      </c>
      <c r="H1148" s="14" t="s">
        <v>36</v>
      </c>
      <c r="I1148" s="18" t="s">
        <v>36</v>
      </c>
      <c r="J1148" s="12" t="s">
        <v>36</v>
      </c>
      <c r="K1148" s="13" t="s">
        <v>36</v>
      </c>
      <c r="L1148" s="15" t="s">
        <v>36</v>
      </c>
      <c r="M1148" s="12" t="s">
        <v>36</v>
      </c>
      <c r="N1148" s="12" t="s">
        <v>36</v>
      </c>
      <c r="O1148" s="17" t="s">
        <v>36</v>
      </c>
      <c r="P1148" s="12" t="s">
        <v>36</v>
      </c>
      <c r="Q1148" s="12" t="s">
        <v>36</v>
      </c>
      <c r="R1148" s="12" t="s">
        <v>36</v>
      </c>
      <c r="S1148" s="12" t="s">
        <v>36</v>
      </c>
      <c r="T1148" s="12" t="s">
        <v>6978</v>
      </c>
      <c r="U1148" s="12" t="s">
        <v>38</v>
      </c>
      <c r="V1148" s="12" t="s">
        <v>39</v>
      </c>
      <c r="W1148" s="12" t="s">
        <v>6979</v>
      </c>
      <c r="X1148" s="16" t="s">
        <v>6980</v>
      </c>
      <c r="Y1148" s="15" t="s">
        <v>42</v>
      </c>
      <c r="Z1148" s="14" t="s">
        <v>36</v>
      </c>
      <c r="AA1148" s="14" t="s">
        <v>36</v>
      </c>
      <c r="AB1148" s="12" t="s">
        <v>43</v>
      </c>
      <c r="AC1148" s="12" t="s">
        <v>6981</v>
      </c>
      <c r="AD1148" s="13">
        <v>45108</v>
      </c>
      <c r="AE1148" s="12" t="s">
        <v>134</v>
      </c>
      <c r="AF1148" s="12" t="s">
        <v>3974</v>
      </c>
      <c r="AG1148" s="12" t="s">
        <v>81</v>
      </c>
      <c r="AH1148" s="1">
        <f>HYPERLINK("https://my.pitchbook.com?c=228569-50T","View Company Online")</f>
      </c>
    </row>
    <row r="1149">
      <c r="A1149" s="3" t="s">
        <v>6982</v>
      </c>
      <c r="B1149" s="3" t="s">
        <v>6983</v>
      </c>
      <c r="C1149" s="5" t="s">
        <v>36</v>
      </c>
      <c r="D1149" s="5" t="s">
        <v>36</v>
      </c>
      <c r="E1149" s="5" t="s">
        <v>36</v>
      </c>
      <c r="F1149" s="5" t="s">
        <v>36</v>
      </c>
      <c r="G1149" s="6" t="s">
        <v>36</v>
      </c>
      <c r="H1149" s="4" t="s">
        <v>36</v>
      </c>
      <c r="I1149" s="7" t="s">
        <v>36</v>
      </c>
      <c r="J1149" s="3" t="s">
        <v>36</v>
      </c>
      <c r="K1149" s="9" t="s">
        <v>36</v>
      </c>
      <c r="L1149" s="6" t="s">
        <v>36</v>
      </c>
      <c r="M1149" s="3" t="s">
        <v>36</v>
      </c>
      <c r="N1149" s="3" t="s">
        <v>36</v>
      </c>
      <c r="O1149" s="8" t="s">
        <v>36</v>
      </c>
      <c r="P1149" s="3" t="s">
        <v>36</v>
      </c>
      <c r="Q1149" s="3" t="s">
        <v>36</v>
      </c>
      <c r="R1149" s="3" t="s">
        <v>36</v>
      </c>
      <c r="S1149" s="3" t="s">
        <v>36</v>
      </c>
      <c r="T1149" s="3" t="s">
        <v>37</v>
      </c>
      <c r="U1149" s="3" t="s">
        <v>38</v>
      </c>
      <c r="V1149" s="3" t="s">
        <v>39</v>
      </c>
      <c r="W1149" s="3" t="s">
        <v>6984</v>
      </c>
      <c r="X1149" s="10" t="s">
        <v>6985</v>
      </c>
      <c r="Y1149" s="6" t="s">
        <v>42</v>
      </c>
      <c r="Z1149" s="4">
        <v>1.08</v>
      </c>
      <c r="AA1149" s="4" t="s">
        <v>36</v>
      </c>
      <c r="AB1149" s="3" t="s">
        <v>43</v>
      </c>
      <c r="AC1149" s="3" t="s">
        <v>6986</v>
      </c>
      <c r="AD1149" s="9">
        <v>45108</v>
      </c>
      <c r="AE1149" s="3" t="s">
        <v>45</v>
      </c>
      <c r="AF1149" s="3" t="s">
        <v>215</v>
      </c>
      <c r="AG1149" s="3" t="s">
        <v>1369</v>
      </c>
      <c r="AH1149" s="11">
        <f>HYPERLINK("https://my.pitchbook.com?c=227655-64T","View Company Online")</f>
      </c>
    </row>
    <row r="1150">
      <c r="A1150" s="12" t="s">
        <v>6987</v>
      </c>
      <c r="B1150" s="12" t="s">
        <v>6988</v>
      </c>
      <c r="C1150" s="19" t="s">
        <v>36</v>
      </c>
      <c r="D1150" s="19" t="s">
        <v>36</v>
      </c>
      <c r="E1150" s="19" t="s">
        <v>36</v>
      </c>
      <c r="F1150" s="19" t="s">
        <v>36</v>
      </c>
      <c r="G1150" s="15" t="s">
        <v>36</v>
      </c>
      <c r="H1150" s="14" t="s">
        <v>36</v>
      </c>
      <c r="I1150" s="18" t="s">
        <v>36</v>
      </c>
      <c r="J1150" s="12" t="s">
        <v>36</v>
      </c>
      <c r="K1150" s="13" t="s">
        <v>36</v>
      </c>
      <c r="L1150" s="15" t="s">
        <v>36</v>
      </c>
      <c r="M1150" s="12" t="s">
        <v>36</v>
      </c>
      <c r="N1150" s="12" t="s">
        <v>36</v>
      </c>
      <c r="O1150" s="17" t="s">
        <v>36</v>
      </c>
      <c r="P1150" s="12" t="s">
        <v>36</v>
      </c>
      <c r="Q1150" s="12" t="s">
        <v>36</v>
      </c>
      <c r="R1150" s="12" t="s">
        <v>36</v>
      </c>
      <c r="S1150" s="12" t="s">
        <v>36</v>
      </c>
      <c r="T1150" s="12" t="s">
        <v>6989</v>
      </c>
      <c r="U1150" s="12" t="s">
        <v>63</v>
      </c>
      <c r="V1150" s="12" t="s">
        <v>64</v>
      </c>
      <c r="W1150" s="12" t="s">
        <v>6990</v>
      </c>
      <c r="X1150" s="16" t="s">
        <v>6950</v>
      </c>
      <c r="Y1150" s="15" t="s">
        <v>42</v>
      </c>
      <c r="Z1150" s="14" t="s">
        <v>36</v>
      </c>
      <c r="AA1150" s="14" t="s">
        <v>36</v>
      </c>
      <c r="AB1150" s="12" t="s">
        <v>56</v>
      </c>
      <c r="AC1150" s="12" t="s">
        <v>6991</v>
      </c>
      <c r="AD1150" s="13">
        <v>45108</v>
      </c>
      <c r="AE1150" s="12" t="s">
        <v>68</v>
      </c>
      <c r="AF1150" s="12" t="s">
        <v>36</v>
      </c>
      <c r="AG1150" s="12" t="s">
        <v>899</v>
      </c>
      <c r="AH1150" s="1">
        <f>HYPERLINK("https://my.pitchbook.com?c=232721-83T","View Company Online")</f>
      </c>
    </row>
    <row r="1151">
      <c r="A1151" s="3" t="s">
        <v>6992</v>
      </c>
      <c r="B1151" s="3" t="s">
        <v>6993</v>
      </c>
      <c r="C1151" s="5" t="s">
        <v>36</v>
      </c>
      <c r="D1151" s="5" t="s">
        <v>36</v>
      </c>
      <c r="E1151" s="5" t="s">
        <v>36</v>
      </c>
      <c r="F1151" s="5" t="s">
        <v>36</v>
      </c>
      <c r="G1151" s="6" t="s">
        <v>36</v>
      </c>
      <c r="H1151" s="4" t="s">
        <v>36</v>
      </c>
      <c r="I1151" s="7" t="s">
        <v>36</v>
      </c>
      <c r="J1151" s="3" t="s">
        <v>36</v>
      </c>
      <c r="K1151" s="9" t="s">
        <v>36</v>
      </c>
      <c r="L1151" s="6" t="s">
        <v>36</v>
      </c>
      <c r="M1151" s="3" t="s">
        <v>36</v>
      </c>
      <c r="N1151" s="3" t="s">
        <v>36</v>
      </c>
      <c r="O1151" s="8" t="s">
        <v>36</v>
      </c>
      <c r="P1151" s="3" t="s">
        <v>36</v>
      </c>
      <c r="Q1151" s="3" t="s">
        <v>36</v>
      </c>
      <c r="R1151" s="3" t="s">
        <v>36</v>
      </c>
      <c r="S1151" s="3" t="s">
        <v>36</v>
      </c>
      <c r="T1151" s="3" t="s">
        <v>3729</v>
      </c>
      <c r="U1151" s="3" t="s">
        <v>219</v>
      </c>
      <c r="V1151" s="3" t="s">
        <v>75</v>
      </c>
      <c r="W1151" s="3" t="s">
        <v>6994</v>
      </c>
      <c r="X1151" s="10" t="s">
        <v>6995</v>
      </c>
      <c r="Y1151" s="6" t="s">
        <v>42</v>
      </c>
      <c r="Z1151" s="4">
        <v>5.96</v>
      </c>
      <c r="AA1151" s="4" t="s">
        <v>36</v>
      </c>
      <c r="AB1151" s="3" t="s">
        <v>43</v>
      </c>
      <c r="AC1151" s="3" t="s">
        <v>6996</v>
      </c>
      <c r="AD1151" s="9">
        <v>45107</v>
      </c>
      <c r="AE1151" s="3" t="s">
        <v>1032</v>
      </c>
      <c r="AF1151" s="3" t="s">
        <v>1969</v>
      </c>
      <c r="AG1151" s="3" t="s">
        <v>81</v>
      </c>
      <c r="AH1151" s="11">
        <f>HYPERLINK("https://my.pitchbook.com?c=248746-42T","View Company Online")</f>
      </c>
    </row>
    <row r="1152">
      <c r="A1152" s="12" t="s">
        <v>6997</v>
      </c>
      <c r="B1152" s="12" t="s">
        <v>6998</v>
      </c>
      <c r="C1152" s="19">
        <v>1</v>
      </c>
      <c r="D1152" s="19" t="s">
        <v>36</v>
      </c>
      <c r="E1152" s="19">
        <v>1</v>
      </c>
      <c r="F1152" s="19">
        <v>1</v>
      </c>
      <c r="G1152" s="15" t="s">
        <v>36</v>
      </c>
      <c r="H1152" s="14" t="s">
        <v>36</v>
      </c>
      <c r="I1152" s="18" t="s">
        <v>36</v>
      </c>
      <c r="J1152" s="12" t="s">
        <v>36</v>
      </c>
      <c r="K1152" s="13" t="s">
        <v>36</v>
      </c>
      <c r="L1152" s="15" t="s">
        <v>36</v>
      </c>
      <c r="M1152" s="12" t="s">
        <v>36</v>
      </c>
      <c r="N1152" s="12" t="s">
        <v>36</v>
      </c>
      <c r="O1152" s="17" t="s">
        <v>36</v>
      </c>
      <c r="P1152" s="12" t="s">
        <v>36</v>
      </c>
      <c r="Q1152" s="12" t="s">
        <v>36</v>
      </c>
      <c r="R1152" s="12" t="s">
        <v>36</v>
      </c>
      <c r="S1152" s="12" t="s">
        <v>36</v>
      </c>
      <c r="T1152" s="12" t="s">
        <v>6999</v>
      </c>
      <c r="U1152" s="12" t="s">
        <v>219</v>
      </c>
      <c r="V1152" s="12" t="s">
        <v>75</v>
      </c>
      <c r="W1152" s="12" t="s">
        <v>7000</v>
      </c>
      <c r="X1152" s="16" t="s">
        <v>7001</v>
      </c>
      <c r="Y1152" s="15" t="s">
        <v>42</v>
      </c>
      <c r="Z1152" s="14" t="s">
        <v>36</v>
      </c>
      <c r="AA1152" s="14" t="s">
        <v>36</v>
      </c>
      <c r="AB1152" s="12" t="s">
        <v>43</v>
      </c>
      <c r="AC1152" s="12" t="s">
        <v>7002</v>
      </c>
      <c r="AD1152" s="13">
        <v>45107</v>
      </c>
      <c r="AE1152" s="12" t="s">
        <v>223</v>
      </c>
      <c r="AF1152" s="12" t="s">
        <v>571</v>
      </c>
      <c r="AG1152" s="12" t="s">
        <v>3406</v>
      </c>
      <c r="AH1152" s="1">
        <f>HYPERLINK("https://my.pitchbook.com?c=227380-24T","View Company Online")</f>
      </c>
    </row>
    <row r="1153">
      <c r="A1153" s="3" t="s">
        <v>7003</v>
      </c>
      <c r="B1153" s="3" t="s">
        <v>2960</v>
      </c>
      <c r="C1153" s="5" t="s">
        <v>36</v>
      </c>
      <c r="D1153" s="5" t="s">
        <v>36</v>
      </c>
      <c r="E1153" s="5" t="s">
        <v>36</v>
      </c>
      <c r="F1153" s="5" t="s">
        <v>36</v>
      </c>
      <c r="G1153" s="6" t="s">
        <v>36</v>
      </c>
      <c r="H1153" s="4">
        <v>1.97</v>
      </c>
      <c r="I1153" s="7">
        <v>26</v>
      </c>
      <c r="J1153" s="3" t="s">
        <v>521</v>
      </c>
      <c r="K1153" s="9" t="s">
        <v>36</v>
      </c>
      <c r="L1153" s="6" t="s">
        <v>36</v>
      </c>
      <c r="M1153" s="3" t="s">
        <v>36</v>
      </c>
      <c r="N1153" s="3" t="s">
        <v>36</v>
      </c>
      <c r="O1153" s="8" t="s">
        <v>36</v>
      </c>
      <c r="P1153" s="3" t="s">
        <v>36</v>
      </c>
      <c r="Q1153" s="3" t="s">
        <v>36</v>
      </c>
      <c r="R1153" s="3" t="s">
        <v>36</v>
      </c>
      <c r="S1153" s="3" t="s">
        <v>36</v>
      </c>
      <c r="T1153" s="3" t="s">
        <v>2961</v>
      </c>
      <c r="U1153" s="3" t="s">
        <v>74</v>
      </c>
      <c r="V1153" s="3" t="s">
        <v>75</v>
      </c>
      <c r="W1153" s="3" t="s">
        <v>2962</v>
      </c>
      <c r="X1153" s="10" t="s">
        <v>7004</v>
      </c>
      <c r="Y1153" s="6" t="s">
        <v>55</v>
      </c>
      <c r="Z1153" s="4">
        <v>0.78</v>
      </c>
      <c r="AA1153" s="4">
        <v>2.99</v>
      </c>
      <c r="AB1153" s="3" t="s">
        <v>56</v>
      </c>
      <c r="AC1153" s="3" t="s">
        <v>2964</v>
      </c>
      <c r="AD1153" s="9">
        <v>45107</v>
      </c>
      <c r="AE1153" s="3" t="s">
        <v>975</v>
      </c>
      <c r="AF1153" s="3" t="s">
        <v>36</v>
      </c>
      <c r="AG1153" s="3" t="s">
        <v>2088</v>
      </c>
      <c r="AH1153" s="11">
        <f>HYPERLINK("https://my.pitchbook.com?c=215338-06T","View Company Online")</f>
      </c>
    </row>
    <row r="1154">
      <c r="A1154" s="12" t="s">
        <v>7005</v>
      </c>
      <c r="B1154" s="12" t="s">
        <v>7006</v>
      </c>
      <c r="C1154" s="19">
        <v>11</v>
      </c>
      <c r="D1154" s="19" t="s">
        <v>36</v>
      </c>
      <c r="E1154" s="19">
        <v>3</v>
      </c>
      <c r="F1154" s="19">
        <v>11</v>
      </c>
      <c r="G1154" s="15" t="s">
        <v>36</v>
      </c>
      <c r="H1154" s="14" t="s">
        <v>36</v>
      </c>
      <c r="I1154" s="18" t="s">
        <v>36</v>
      </c>
      <c r="J1154" s="12" t="s">
        <v>36</v>
      </c>
      <c r="K1154" s="13">
        <v>45058</v>
      </c>
      <c r="L1154" s="15" t="s">
        <v>122</v>
      </c>
      <c r="M1154" s="12" t="s">
        <v>36</v>
      </c>
      <c r="N1154" s="12" t="s">
        <v>122</v>
      </c>
      <c r="O1154" s="17" t="s">
        <v>36</v>
      </c>
      <c r="P1154" s="12" t="s">
        <v>36</v>
      </c>
      <c r="Q1154" s="12" t="s">
        <v>36</v>
      </c>
      <c r="R1154" s="12" t="s">
        <v>36</v>
      </c>
      <c r="S1154" s="12" t="s">
        <v>36</v>
      </c>
      <c r="T1154" s="12" t="s">
        <v>881</v>
      </c>
      <c r="U1154" s="12" t="s">
        <v>51</v>
      </c>
      <c r="V1154" s="12" t="s">
        <v>52</v>
      </c>
      <c r="W1154" s="12" t="s">
        <v>7007</v>
      </c>
      <c r="X1154" s="16" t="s">
        <v>7008</v>
      </c>
      <c r="Y1154" s="15" t="s">
        <v>42</v>
      </c>
      <c r="Z1154" s="14">
        <v>26.01</v>
      </c>
      <c r="AA1154" s="14" t="s">
        <v>36</v>
      </c>
      <c r="AB1154" s="12" t="s">
        <v>43</v>
      </c>
      <c r="AC1154" s="12" t="s">
        <v>7009</v>
      </c>
      <c r="AD1154" s="13">
        <v>45107</v>
      </c>
      <c r="AE1154" s="12" t="s">
        <v>504</v>
      </c>
      <c r="AF1154" s="12" t="s">
        <v>665</v>
      </c>
      <c r="AG1154" s="12" t="s">
        <v>580</v>
      </c>
      <c r="AH1154" s="1">
        <f>HYPERLINK("https://my.pitchbook.com?c=108480-88T","View Company Online")</f>
      </c>
    </row>
    <row r="1155">
      <c r="A1155" s="3" t="s">
        <v>7010</v>
      </c>
      <c r="B1155" s="3" t="s">
        <v>7011</v>
      </c>
      <c r="C1155" s="5">
        <v>3</v>
      </c>
      <c r="D1155" s="5">
        <v>9</v>
      </c>
      <c r="E1155" s="5">
        <v>4</v>
      </c>
      <c r="F1155" s="5">
        <v>12</v>
      </c>
      <c r="G1155" s="6" t="s">
        <v>36</v>
      </c>
      <c r="H1155" s="4" t="s">
        <v>36</v>
      </c>
      <c r="I1155" s="7">
        <v>14.29</v>
      </c>
      <c r="J1155" s="3" t="s">
        <v>327</v>
      </c>
      <c r="K1155" s="9" t="s">
        <v>36</v>
      </c>
      <c r="L1155" s="6" t="s">
        <v>36</v>
      </c>
      <c r="M1155" s="3" t="s">
        <v>36</v>
      </c>
      <c r="N1155" s="3" t="s">
        <v>36</v>
      </c>
      <c r="O1155" s="8" t="s">
        <v>36</v>
      </c>
      <c r="P1155" s="3" t="s">
        <v>36</v>
      </c>
      <c r="Q1155" s="3" t="s">
        <v>36</v>
      </c>
      <c r="R1155" s="3" t="s">
        <v>36</v>
      </c>
      <c r="S1155" s="3" t="s">
        <v>7012</v>
      </c>
      <c r="T1155" s="3" t="s">
        <v>4473</v>
      </c>
      <c r="U1155" s="3" t="s">
        <v>318</v>
      </c>
      <c r="V1155" s="3" t="s">
        <v>39</v>
      </c>
      <c r="W1155" s="3" t="s">
        <v>7013</v>
      </c>
      <c r="X1155" s="10" t="s">
        <v>1840</v>
      </c>
      <c r="Y1155" s="6" t="s">
        <v>42</v>
      </c>
      <c r="Z1155" s="4">
        <v>2.6</v>
      </c>
      <c r="AA1155" s="4">
        <v>18.21</v>
      </c>
      <c r="AB1155" s="3" t="s">
        <v>56</v>
      </c>
      <c r="AC1155" s="3" t="s">
        <v>7014</v>
      </c>
      <c r="AD1155" s="9">
        <v>45107</v>
      </c>
      <c r="AE1155" s="3" t="s">
        <v>417</v>
      </c>
      <c r="AF1155" s="3" t="s">
        <v>7015</v>
      </c>
      <c r="AG1155" s="3" t="s">
        <v>102</v>
      </c>
      <c r="AH1155" s="11">
        <f>HYPERLINK("https://my.pitchbook.com?c=227220-94T","View Company Online")</f>
      </c>
    </row>
    <row r="1156">
      <c r="A1156" s="12" t="s">
        <v>7016</v>
      </c>
      <c r="B1156" s="12" t="s">
        <v>7017</v>
      </c>
      <c r="C1156" s="19">
        <v>22</v>
      </c>
      <c r="D1156" s="19">
        <v>31</v>
      </c>
      <c r="E1156" s="19">
        <v>17</v>
      </c>
      <c r="F1156" s="19">
        <v>53</v>
      </c>
      <c r="G1156" s="15" t="s">
        <v>683</v>
      </c>
      <c r="H1156" s="14">
        <v>255.25</v>
      </c>
      <c r="I1156" s="18">
        <v>9.92</v>
      </c>
      <c r="J1156" s="12" t="s">
        <v>521</v>
      </c>
      <c r="K1156" s="13">
        <v>45089</v>
      </c>
      <c r="L1156" s="15" t="s">
        <v>36</v>
      </c>
      <c r="M1156" s="12" t="s">
        <v>36</v>
      </c>
      <c r="N1156" s="12" t="s">
        <v>36</v>
      </c>
      <c r="O1156" s="17" t="s">
        <v>36</v>
      </c>
      <c r="P1156" s="12" t="s">
        <v>36</v>
      </c>
      <c r="Q1156" s="12" t="s">
        <v>36</v>
      </c>
      <c r="R1156" s="12" t="s">
        <v>36</v>
      </c>
      <c r="S1156" s="12" t="s">
        <v>7018</v>
      </c>
      <c r="T1156" s="12" t="s">
        <v>7019</v>
      </c>
      <c r="U1156" s="12" t="s">
        <v>1798</v>
      </c>
      <c r="V1156" s="12" t="s">
        <v>39</v>
      </c>
      <c r="W1156" s="12" t="s">
        <v>7020</v>
      </c>
      <c r="X1156" s="16" t="s">
        <v>2442</v>
      </c>
      <c r="Y1156" s="15" t="s">
        <v>55</v>
      </c>
      <c r="Z1156" s="14">
        <v>4.34</v>
      </c>
      <c r="AA1156" s="14">
        <v>43.68</v>
      </c>
      <c r="AB1156" s="12" t="s">
        <v>56</v>
      </c>
      <c r="AC1156" s="12" t="s">
        <v>7021</v>
      </c>
      <c r="AD1156" s="13">
        <v>45107</v>
      </c>
      <c r="AE1156" s="12" t="s">
        <v>4247</v>
      </c>
      <c r="AF1156" s="12" t="s">
        <v>36</v>
      </c>
      <c r="AG1156" s="12" t="s">
        <v>969</v>
      </c>
      <c r="AH1156" s="1">
        <f>HYPERLINK("https://my.pitchbook.com?c=233251-66T","View Company Online")</f>
      </c>
    </row>
    <row r="1157">
      <c r="A1157" s="3" t="s">
        <v>7022</v>
      </c>
      <c r="B1157" s="3" t="s">
        <v>7023</v>
      </c>
      <c r="C1157" s="5">
        <v>1</v>
      </c>
      <c r="D1157" s="5" t="s">
        <v>36</v>
      </c>
      <c r="E1157" s="5">
        <v>1</v>
      </c>
      <c r="F1157" s="5">
        <v>1</v>
      </c>
      <c r="G1157" s="6" t="s">
        <v>36</v>
      </c>
      <c r="H1157" s="4" t="s">
        <v>36</v>
      </c>
      <c r="I1157" s="7">
        <v>31.31</v>
      </c>
      <c r="J1157" s="3" t="s">
        <v>521</v>
      </c>
      <c r="K1157" s="9" t="s">
        <v>36</v>
      </c>
      <c r="L1157" s="6" t="s">
        <v>122</v>
      </c>
      <c r="M1157" s="3" t="s">
        <v>36</v>
      </c>
      <c r="N1157" s="3" t="s">
        <v>122</v>
      </c>
      <c r="O1157" s="8" t="s">
        <v>36</v>
      </c>
      <c r="P1157" s="3" t="s">
        <v>36</v>
      </c>
      <c r="Q1157" s="3" t="s">
        <v>36</v>
      </c>
      <c r="R1157" s="3" t="s">
        <v>36</v>
      </c>
      <c r="S1157" s="3" t="s">
        <v>36</v>
      </c>
      <c r="T1157" s="3" t="s">
        <v>1188</v>
      </c>
      <c r="U1157" s="3" t="s">
        <v>180</v>
      </c>
      <c r="V1157" s="3" t="s">
        <v>52</v>
      </c>
      <c r="W1157" s="3" t="s">
        <v>7024</v>
      </c>
      <c r="X1157" s="10" t="s">
        <v>7025</v>
      </c>
      <c r="Y1157" s="6" t="s">
        <v>108</v>
      </c>
      <c r="Z1157" s="4">
        <v>15.27</v>
      </c>
      <c r="AA1157" s="4">
        <v>48.77</v>
      </c>
      <c r="AB1157" s="3" t="s">
        <v>43</v>
      </c>
      <c r="AC1157" s="3" t="s">
        <v>7026</v>
      </c>
      <c r="AD1157" s="9">
        <v>45107</v>
      </c>
      <c r="AE1157" s="3" t="s">
        <v>1192</v>
      </c>
      <c r="AF1157" s="3" t="s">
        <v>7027</v>
      </c>
      <c r="AG1157" s="3" t="s">
        <v>7028</v>
      </c>
      <c r="AH1157" s="11">
        <f>HYPERLINK("https://my.pitchbook.com?c=227992-15T","View Company Online")</f>
      </c>
    </row>
    <row r="1158">
      <c r="A1158" s="12" t="s">
        <v>7029</v>
      </c>
      <c r="B1158" s="12" t="s">
        <v>7030</v>
      </c>
      <c r="C1158" s="19">
        <v>2</v>
      </c>
      <c r="D1158" s="19">
        <v>6</v>
      </c>
      <c r="E1158" s="19">
        <v>4</v>
      </c>
      <c r="F1158" s="19">
        <v>8</v>
      </c>
      <c r="G1158" s="15" t="s">
        <v>326</v>
      </c>
      <c r="H1158" s="14">
        <v>200.44</v>
      </c>
      <c r="I1158" s="18">
        <v>7.06</v>
      </c>
      <c r="J1158" s="12" t="s">
        <v>521</v>
      </c>
      <c r="K1158" s="13" t="s">
        <v>36</v>
      </c>
      <c r="L1158" s="15" t="s">
        <v>36</v>
      </c>
      <c r="M1158" s="12" t="s">
        <v>36</v>
      </c>
      <c r="N1158" s="12" t="s">
        <v>36</v>
      </c>
      <c r="O1158" s="17" t="s">
        <v>36</v>
      </c>
      <c r="P1158" s="12" t="s">
        <v>36</v>
      </c>
      <c r="Q1158" s="12" t="s">
        <v>36</v>
      </c>
      <c r="R1158" s="12" t="s">
        <v>36</v>
      </c>
      <c r="S1158" s="12" t="s">
        <v>36</v>
      </c>
      <c r="T1158" s="12" t="s">
        <v>2213</v>
      </c>
      <c r="U1158" s="12" t="s">
        <v>219</v>
      </c>
      <c r="V1158" s="12" t="s">
        <v>75</v>
      </c>
      <c r="W1158" s="12" t="s">
        <v>7031</v>
      </c>
      <c r="X1158" s="16" t="s">
        <v>7032</v>
      </c>
      <c r="Y1158" s="15" t="s">
        <v>108</v>
      </c>
      <c r="Z1158" s="14">
        <v>0.41</v>
      </c>
      <c r="AA1158" s="14">
        <v>5.86</v>
      </c>
      <c r="AB1158" s="12" t="s">
        <v>56</v>
      </c>
      <c r="AC1158" s="12" t="s">
        <v>7033</v>
      </c>
      <c r="AD1158" s="13">
        <v>45107</v>
      </c>
      <c r="AE1158" s="12" t="s">
        <v>1912</v>
      </c>
      <c r="AF1158" s="12" t="s">
        <v>1619</v>
      </c>
      <c r="AG1158" s="12" t="s">
        <v>652</v>
      </c>
      <c r="AH1158" s="1">
        <f>HYPERLINK("https://my.pitchbook.com?c=228664-00T","View Company Online")</f>
      </c>
    </row>
    <row r="1159">
      <c r="A1159" s="3" t="s">
        <v>7034</v>
      </c>
      <c r="B1159" s="3" t="s">
        <v>7035</v>
      </c>
      <c r="C1159" s="5" t="s">
        <v>36</v>
      </c>
      <c r="D1159" s="5" t="s">
        <v>36</v>
      </c>
      <c r="E1159" s="5" t="s">
        <v>36</v>
      </c>
      <c r="F1159" s="5" t="s">
        <v>36</v>
      </c>
      <c r="G1159" s="6" t="s">
        <v>36</v>
      </c>
      <c r="H1159" s="4" t="s">
        <v>36</v>
      </c>
      <c r="I1159" s="7">
        <v>40</v>
      </c>
      <c r="J1159" s="3" t="s">
        <v>327</v>
      </c>
      <c r="K1159" s="9">
        <v>45016</v>
      </c>
      <c r="L1159" s="6" t="s">
        <v>36</v>
      </c>
      <c r="M1159" s="3" t="s">
        <v>36</v>
      </c>
      <c r="N1159" s="3" t="s">
        <v>36</v>
      </c>
      <c r="O1159" s="8" t="s">
        <v>36</v>
      </c>
      <c r="P1159" s="3" t="s">
        <v>36</v>
      </c>
      <c r="Q1159" s="3" t="s">
        <v>36</v>
      </c>
      <c r="R1159" s="3" t="s">
        <v>36</v>
      </c>
      <c r="S1159" s="3" t="s">
        <v>36</v>
      </c>
      <c r="T1159" s="3" t="s">
        <v>7036</v>
      </c>
      <c r="U1159" s="3" t="s">
        <v>96</v>
      </c>
      <c r="V1159" s="3" t="s">
        <v>52</v>
      </c>
      <c r="W1159" s="3" t="s">
        <v>7037</v>
      </c>
      <c r="X1159" s="10" t="s">
        <v>7038</v>
      </c>
      <c r="Y1159" s="6" t="s">
        <v>42</v>
      </c>
      <c r="Z1159" s="4">
        <v>4.88</v>
      </c>
      <c r="AA1159" s="4">
        <v>12.19</v>
      </c>
      <c r="AB1159" s="3" t="s">
        <v>43</v>
      </c>
      <c r="AC1159" s="3" t="s">
        <v>7039</v>
      </c>
      <c r="AD1159" s="9">
        <v>45107</v>
      </c>
      <c r="AE1159" s="3" t="s">
        <v>755</v>
      </c>
      <c r="AF1159" s="3" t="s">
        <v>261</v>
      </c>
      <c r="AG1159" s="3" t="s">
        <v>144</v>
      </c>
      <c r="AH1159" s="11">
        <f>HYPERLINK("https://my.pitchbook.com?c=219816-10T","View Company Online")</f>
      </c>
    </row>
    <row r="1160">
      <c r="A1160" s="12" t="s">
        <v>7040</v>
      </c>
      <c r="B1160" s="12" t="s">
        <v>2226</v>
      </c>
      <c r="C1160" s="19" t="s">
        <v>36</v>
      </c>
      <c r="D1160" s="19" t="s">
        <v>36</v>
      </c>
      <c r="E1160" s="19" t="s">
        <v>36</v>
      </c>
      <c r="F1160" s="19" t="s">
        <v>36</v>
      </c>
      <c r="G1160" s="15" t="s">
        <v>36</v>
      </c>
      <c r="H1160" s="14" t="s">
        <v>36</v>
      </c>
      <c r="I1160" s="18" t="s">
        <v>36</v>
      </c>
      <c r="J1160" s="12" t="s">
        <v>36</v>
      </c>
      <c r="K1160" s="13" t="s">
        <v>36</v>
      </c>
      <c r="L1160" s="15" t="s">
        <v>36</v>
      </c>
      <c r="M1160" s="12" t="s">
        <v>36</v>
      </c>
      <c r="N1160" s="12" t="s">
        <v>36</v>
      </c>
      <c r="O1160" s="17" t="s">
        <v>36</v>
      </c>
      <c r="P1160" s="12" t="s">
        <v>36</v>
      </c>
      <c r="Q1160" s="12" t="s">
        <v>36</v>
      </c>
      <c r="R1160" s="12" t="s">
        <v>36</v>
      </c>
      <c r="S1160" s="12" t="s">
        <v>36</v>
      </c>
      <c r="T1160" s="12" t="s">
        <v>2227</v>
      </c>
      <c r="U1160" s="12" t="s">
        <v>38</v>
      </c>
      <c r="V1160" s="12" t="s">
        <v>39</v>
      </c>
      <c r="W1160" s="12" t="s">
        <v>2228</v>
      </c>
      <c r="X1160" s="16" t="s">
        <v>2433</v>
      </c>
      <c r="Y1160" s="15" t="s">
        <v>108</v>
      </c>
      <c r="Z1160" s="14">
        <v>0.54</v>
      </c>
      <c r="AA1160" s="14" t="s">
        <v>36</v>
      </c>
      <c r="AB1160" s="12" t="s">
        <v>43</v>
      </c>
      <c r="AC1160" s="12" t="s">
        <v>2230</v>
      </c>
      <c r="AD1160" s="13">
        <v>45106</v>
      </c>
      <c r="AE1160" s="12" t="s">
        <v>554</v>
      </c>
      <c r="AF1160" s="12" t="s">
        <v>1296</v>
      </c>
      <c r="AG1160" s="12" t="s">
        <v>81</v>
      </c>
      <c r="AH1160" s="1">
        <f>HYPERLINK("https://my.pitchbook.com?c=232196-14T","View Company Online")</f>
      </c>
    </row>
    <row r="1161">
      <c r="A1161" s="3" t="s">
        <v>7041</v>
      </c>
      <c r="B1161" s="3" t="s">
        <v>7042</v>
      </c>
      <c r="C1161" s="5" t="s">
        <v>36</v>
      </c>
      <c r="D1161" s="5" t="s">
        <v>36</v>
      </c>
      <c r="E1161" s="5" t="s">
        <v>36</v>
      </c>
      <c r="F1161" s="5" t="s">
        <v>36</v>
      </c>
      <c r="G1161" s="6" t="s">
        <v>36</v>
      </c>
      <c r="H1161" s="4" t="s">
        <v>36</v>
      </c>
      <c r="I1161" s="7" t="s">
        <v>36</v>
      </c>
      <c r="J1161" s="3" t="s">
        <v>36</v>
      </c>
      <c r="K1161" s="9" t="s">
        <v>36</v>
      </c>
      <c r="L1161" s="6" t="s">
        <v>36</v>
      </c>
      <c r="M1161" s="3" t="s">
        <v>36</v>
      </c>
      <c r="N1161" s="3" t="s">
        <v>36</v>
      </c>
      <c r="O1161" s="8" t="s">
        <v>36</v>
      </c>
      <c r="P1161" s="3" t="s">
        <v>36</v>
      </c>
      <c r="Q1161" s="3" t="s">
        <v>36</v>
      </c>
      <c r="R1161" s="3" t="s">
        <v>36</v>
      </c>
      <c r="S1161" s="3" t="s">
        <v>36</v>
      </c>
      <c r="T1161" s="3" t="s">
        <v>37</v>
      </c>
      <c r="U1161" s="3" t="s">
        <v>38</v>
      </c>
      <c r="V1161" s="3" t="s">
        <v>39</v>
      </c>
      <c r="W1161" s="3" t="s">
        <v>7043</v>
      </c>
      <c r="X1161" s="10" t="s">
        <v>7044</v>
      </c>
      <c r="Y1161" s="6" t="s">
        <v>42</v>
      </c>
      <c r="Z1161" s="4" t="s">
        <v>36</v>
      </c>
      <c r="AA1161" s="4" t="s">
        <v>36</v>
      </c>
      <c r="AB1161" s="3" t="s">
        <v>56</v>
      </c>
      <c r="AC1161" s="3" t="s">
        <v>7045</v>
      </c>
      <c r="AD1161" s="9">
        <v>45106</v>
      </c>
      <c r="AE1161" s="3" t="s">
        <v>45</v>
      </c>
      <c r="AF1161" s="3" t="s">
        <v>215</v>
      </c>
      <c r="AG1161" s="3" t="s">
        <v>7046</v>
      </c>
      <c r="AH1161" s="11">
        <f>HYPERLINK("https://my.pitchbook.com?c=251588-08T","View Company Online")</f>
      </c>
    </row>
    <row r="1162">
      <c r="A1162" s="12" t="s">
        <v>7047</v>
      </c>
      <c r="B1162" s="12" t="s">
        <v>7048</v>
      </c>
      <c r="C1162" s="19" t="s">
        <v>36</v>
      </c>
      <c r="D1162" s="19">
        <v>14</v>
      </c>
      <c r="E1162" s="19">
        <v>3</v>
      </c>
      <c r="F1162" s="19">
        <v>14</v>
      </c>
      <c r="G1162" s="15" t="s">
        <v>36</v>
      </c>
      <c r="H1162" s="14">
        <v>156.99</v>
      </c>
      <c r="I1162" s="18">
        <v>24.65</v>
      </c>
      <c r="J1162" s="12" t="s">
        <v>521</v>
      </c>
      <c r="K1162" s="13">
        <v>44936</v>
      </c>
      <c r="L1162" s="15" t="s">
        <v>94</v>
      </c>
      <c r="M1162" s="12" t="s">
        <v>36</v>
      </c>
      <c r="N1162" s="12" t="s">
        <v>94</v>
      </c>
      <c r="O1162" s="17" t="s">
        <v>36</v>
      </c>
      <c r="P1162" s="12" t="s">
        <v>36</v>
      </c>
      <c r="Q1162" s="12" t="s">
        <v>36</v>
      </c>
      <c r="R1162" s="12" t="s">
        <v>36</v>
      </c>
      <c r="S1162" s="12" t="s">
        <v>7049</v>
      </c>
      <c r="T1162" s="12" t="s">
        <v>7050</v>
      </c>
      <c r="U1162" s="12" t="s">
        <v>833</v>
      </c>
      <c r="V1162" s="12" t="s">
        <v>64</v>
      </c>
      <c r="W1162" s="12" t="s">
        <v>7051</v>
      </c>
      <c r="X1162" s="16" t="s">
        <v>7052</v>
      </c>
      <c r="Y1162" s="15" t="s">
        <v>166</v>
      </c>
      <c r="Z1162" s="14">
        <v>41.08</v>
      </c>
      <c r="AA1162" s="14">
        <v>54.94</v>
      </c>
      <c r="AB1162" s="12" t="s">
        <v>56</v>
      </c>
      <c r="AC1162" s="12" t="s">
        <v>7053</v>
      </c>
      <c r="AD1162" s="13">
        <v>45106</v>
      </c>
      <c r="AE1162" s="12" t="s">
        <v>1069</v>
      </c>
      <c r="AF1162" s="12" t="s">
        <v>7054</v>
      </c>
      <c r="AG1162" s="12" t="s">
        <v>1978</v>
      </c>
      <c r="AH1162" s="1">
        <f>HYPERLINK("https://my.pitchbook.com?c=212630-59T","View Company Online")</f>
      </c>
    </row>
    <row r="1163">
      <c r="A1163" s="3" t="s">
        <v>7055</v>
      </c>
      <c r="B1163" s="3" t="s">
        <v>7056</v>
      </c>
      <c r="C1163" s="5" t="s">
        <v>36</v>
      </c>
      <c r="D1163" s="5" t="s">
        <v>36</v>
      </c>
      <c r="E1163" s="5" t="s">
        <v>36</v>
      </c>
      <c r="F1163" s="5" t="s">
        <v>36</v>
      </c>
      <c r="G1163" s="6" t="s">
        <v>36</v>
      </c>
      <c r="H1163" s="4">
        <v>7590.33</v>
      </c>
      <c r="I1163" s="7">
        <v>17.56</v>
      </c>
      <c r="J1163" s="3" t="s">
        <v>521</v>
      </c>
      <c r="K1163" s="9" t="s">
        <v>36</v>
      </c>
      <c r="L1163" s="6" t="s">
        <v>36</v>
      </c>
      <c r="M1163" s="3" t="s">
        <v>36</v>
      </c>
      <c r="N1163" s="3" t="s">
        <v>36</v>
      </c>
      <c r="O1163" s="8" t="s">
        <v>36</v>
      </c>
      <c r="P1163" s="3" t="s">
        <v>36</v>
      </c>
      <c r="Q1163" s="3" t="s">
        <v>36</v>
      </c>
      <c r="R1163" s="3" t="s">
        <v>36</v>
      </c>
      <c r="S1163" s="3" t="s">
        <v>36</v>
      </c>
      <c r="T1163" s="3" t="s">
        <v>7057</v>
      </c>
      <c r="U1163" s="3" t="s">
        <v>74</v>
      </c>
      <c r="V1163" s="3" t="s">
        <v>75</v>
      </c>
      <c r="W1163" s="3" t="s">
        <v>7058</v>
      </c>
      <c r="X1163" s="10" t="s">
        <v>1241</v>
      </c>
      <c r="Y1163" s="6" t="s">
        <v>42</v>
      </c>
      <c r="Z1163" s="4">
        <v>3.25</v>
      </c>
      <c r="AA1163" s="4">
        <v>9.6</v>
      </c>
      <c r="AB1163" s="3" t="s">
        <v>43</v>
      </c>
      <c r="AC1163" s="3" t="s">
        <v>7059</v>
      </c>
      <c r="AD1163" s="9">
        <v>45106</v>
      </c>
      <c r="AE1163" s="3" t="s">
        <v>1243</v>
      </c>
      <c r="AF1163" s="3" t="s">
        <v>36</v>
      </c>
      <c r="AG1163" s="3" t="s">
        <v>81</v>
      </c>
      <c r="AH1163" s="11">
        <f>HYPERLINK("https://my.pitchbook.com?c=227243-98T","View Company Online")</f>
      </c>
    </row>
    <row r="1164">
      <c r="A1164" s="12" t="s">
        <v>7060</v>
      </c>
      <c r="B1164" s="12" t="s">
        <v>6349</v>
      </c>
      <c r="C1164" s="19" t="s">
        <v>36</v>
      </c>
      <c r="D1164" s="19" t="s">
        <v>36</v>
      </c>
      <c r="E1164" s="19" t="s">
        <v>36</v>
      </c>
      <c r="F1164" s="19" t="s">
        <v>36</v>
      </c>
      <c r="G1164" s="15" t="s">
        <v>36</v>
      </c>
      <c r="H1164" s="14" t="s">
        <v>36</v>
      </c>
      <c r="I1164" s="18" t="s">
        <v>36</v>
      </c>
      <c r="J1164" s="12" t="s">
        <v>36</v>
      </c>
      <c r="K1164" s="13" t="s">
        <v>36</v>
      </c>
      <c r="L1164" s="15" t="s">
        <v>36</v>
      </c>
      <c r="M1164" s="12" t="s">
        <v>36</v>
      </c>
      <c r="N1164" s="12" t="s">
        <v>36</v>
      </c>
      <c r="O1164" s="17" t="s">
        <v>36</v>
      </c>
      <c r="P1164" s="12" t="s">
        <v>36</v>
      </c>
      <c r="Q1164" s="12" t="s">
        <v>36</v>
      </c>
      <c r="R1164" s="12" t="s">
        <v>36</v>
      </c>
      <c r="S1164" s="12" t="s">
        <v>36</v>
      </c>
      <c r="T1164" s="12" t="s">
        <v>6350</v>
      </c>
      <c r="U1164" s="12" t="s">
        <v>289</v>
      </c>
      <c r="V1164" s="12" t="s">
        <v>64</v>
      </c>
      <c r="W1164" s="12" t="s">
        <v>6351</v>
      </c>
      <c r="X1164" s="16" t="s">
        <v>7061</v>
      </c>
      <c r="Y1164" s="15" t="s">
        <v>42</v>
      </c>
      <c r="Z1164" s="14">
        <v>1.08</v>
      </c>
      <c r="AA1164" s="14" t="s">
        <v>36</v>
      </c>
      <c r="AB1164" s="12" t="s">
        <v>43</v>
      </c>
      <c r="AC1164" s="12" t="s">
        <v>6353</v>
      </c>
      <c r="AD1164" s="13">
        <v>45105</v>
      </c>
      <c r="AE1164" s="12" t="s">
        <v>3134</v>
      </c>
      <c r="AF1164" s="12" t="s">
        <v>6354</v>
      </c>
      <c r="AG1164" s="12" t="s">
        <v>1447</v>
      </c>
      <c r="AH1164" s="1">
        <f>HYPERLINK("https://my.pitchbook.com?c=226969-48T","View Company Online")</f>
      </c>
    </row>
    <row r="1165">
      <c r="A1165" s="3" t="s">
        <v>7062</v>
      </c>
      <c r="B1165" s="3" t="s">
        <v>7063</v>
      </c>
      <c r="C1165" s="5">
        <v>12</v>
      </c>
      <c r="D1165" s="5">
        <v>57</v>
      </c>
      <c r="E1165" s="5">
        <v>13</v>
      </c>
      <c r="F1165" s="5">
        <v>72</v>
      </c>
      <c r="G1165" s="6" t="s">
        <v>36</v>
      </c>
      <c r="H1165" s="4" t="s">
        <v>36</v>
      </c>
      <c r="I1165" s="7" t="s">
        <v>36</v>
      </c>
      <c r="J1165" s="3" t="s">
        <v>36</v>
      </c>
      <c r="K1165" s="9" t="s">
        <v>36</v>
      </c>
      <c r="L1165" s="6" t="s">
        <v>94</v>
      </c>
      <c r="M1165" s="3" t="s">
        <v>36</v>
      </c>
      <c r="N1165" s="3" t="s">
        <v>94</v>
      </c>
      <c r="O1165" s="8" t="s">
        <v>36</v>
      </c>
      <c r="P1165" s="3" t="s">
        <v>36</v>
      </c>
      <c r="Q1165" s="3" t="s">
        <v>36</v>
      </c>
      <c r="R1165" s="3" t="s">
        <v>36</v>
      </c>
      <c r="S1165" s="3" t="s">
        <v>36</v>
      </c>
      <c r="T1165" s="3" t="s">
        <v>4225</v>
      </c>
      <c r="U1165" s="3" t="s">
        <v>96</v>
      </c>
      <c r="V1165" s="3" t="s">
        <v>52</v>
      </c>
      <c r="W1165" s="3" t="s">
        <v>7064</v>
      </c>
      <c r="X1165" s="10" t="s">
        <v>7065</v>
      </c>
      <c r="Y1165" s="6" t="s">
        <v>475</v>
      </c>
      <c r="Z1165" s="4">
        <v>45.44</v>
      </c>
      <c r="AA1165" s="4" t="s">
        <v>36</v>
      </c>
      <c r="AB1165" s="3" t="s">
        <v>56</v>
      </c>
      <c r="AC1165" s="3" t="s">
        <v>7066</v>
      </c>
      <c r="AD1165" s="9">
        <v>45104</v>
      </c>
      <c r="AE1165" s="3" t="s">
        <v>143</v>
      </c>
      <c r="AF1165" s="3" t="s">
        <v>36</v>
      </c>
      <c r="AG1165" s="3" t="s">
        <v>47</v>
      </c>
      <c r="AH1165" s="11">
        <f>HYPERLINK("https://my.pitchbook.com?c=226918-45T","View Company Online")</f>
      </c>
    </row>
    <row r="1166">
      <c r="A1166" s="12" t="s">
        <v>7067</v>
      </c>
      <c r="B1166" s="12" t="s">
        <v>2846</v>
      </c>
      <c r="C1166" s="19" t="s">
        <v>36</v>
      </c>
      <c r="D1166" s="19" t="s">
        <v>36</v>
      </c>
      <c r="E1166" s="19" t="s">
        <v>36</v>
      </c>
      <c r="F1166" s="19" t="s">
        <v>36</v>
      </c>
      <c r="G1166" s="15" t="s">
        <v>326</v>
      </c>
      <c r="H1166" s="14">
        <v>8.61</v>
      </c>
      <c r="I1166" s="18">
        <v>31.92</v>
      </c>
      <c r="J1166" s="12" t="s">
        <v>521</v>
      </c>
      <c r="K1166" s="13" t="s">
        <v>36</v>
      </c>
      <c r="L1166" s="15" t="s">
        <v>122</v>
      </c>
      <c r="M1166" s="12" t="s">
        <v>36</v>
      </c>
      <c r="N1166" s="12" t="s">
        <v>122</v>
      </c>
      <c r="O1166" s="17" t="s">
        <v>36</v>
      </c>
      <c r="P1166" s="12" t="s">
        <v>36</v>
      </c>
      <c r="Q1166" s="12" t="s">
        <v>36</v>
      </c>
      <c r="R1166" s="12" t="s">
        <v>36</v>
      </c>
      <c r="S1166" s="12" t="s">
        <v>36</v>
      </c>
      <c r="T1166" s="12" t="s">
        <v>2847</v>
      </c>
      <c r="U1166" s="12" t="s">
        <v>404</v>
      </c>
      <c r="V1166" s="12" t="s">
        <v>405</v>
      </c>
      <c r="W1166" s="12" t="s">
        <v>2848</v>
      </c>
      <c r="X1166" s="16" t="s">
        <v>7068</v>
      </c>
      <c r="Y1166" s="15" t="s">
        <v>108</v>
      </c>
      <c r="Z1166" s="14">
        <v>4.33</v>
      </c>
      <c r="AA1166" s="14">
        <v>12.47</v>
      </c>
      <c r="AB1166" s="12" t="s">
        <v>43</v>
      </c>
      <c r="AC1166" s="12" t="s">
        <v>2850</v>
      </c>
      <c r="AD1166" s="13">
        <v>45104</v>
      </c>
      <c r="AE1166" s="12" t="s">
        <v>409</v>
      </c>
      <c r="AF1166" s="12" t="s">
        <v>36</v>
      </c>
      <c r="AG1166" s="12" t="s">
        <v>2851</v>
      </c>
      <c r="AH1166" s="1">
        <f>HYPERLINK("https://my.pitchbook.com?c=234146-53T","View Company Online")</f>
      </c>
    </row>
    <row r="1167">
      <c r="A1167" s="3" t="s">
        <v>7069</v>
      </c>
      <c r="B1167" s="3" t="s">
        <v>1481</v>
      </c>
      <c r="C1167" s="5" t="s">
        <v>36</v>
      </c>
      <c r="D1167" s="5" t="s">
        <v>36</v>
      </c>
      <c r="E1167" s="5" t="s">
        <v>36</v>
      </c>
      <c r="F1167" s="5" t="s">
        <v>36</v>
      </c>
      <c r="G1167" s="6" t="s">
        <v>683</v>
      </c>
      <c r="H1167" s="4">
        <v>29.39</v>
      </c>
      <c r="I1167" s="7">
        <v>7.11</v>
      </c>
      <c r="J1167" s="3" t="s">
        <v>521</v>
      </c>
      <c r="K1167" s="9" t="s">
        <v>36</v>
      </c>
      <c r="L1167" s="6" t="s">
        <v>36</v>
      </c>
      <c r="M1167" s="3" t="s">
        <v>36</v>
      </c>
      <c r="N1167" s="3" t="s">
        <v>36</v>
      </c>
      <c r="O1167" s="8" t="s">
        <v>36</v>
      </c>
      <c r="P1167" s="3" t="s">
        <v>36</v>
      </c>
      <c r="Q1167" s="3" t="s">
        <v>36</v>
      </c>
      <c r="R1167" s="3" t="s">
        <v>36</v>
      </c>
      <c r="S1167" s="3" t="s">
        <v>36</v>
      </c>
      <c r="T1167" s="3" t="s">
        <v>278</v>
      </c>
      <c r="U1167" s="3" t="s">
        <v>279</v>
      </c>
      <c r="V1167" s="3" t="s">
        <v>64</v>
      </c>
      <c r="W1167" s="3" t="s">
        <v>1482</v>
      </c>
      <c r="X1167" s="10" t="s">
        <v>7070</v>
      </c>
      <c r="Y1167" s="6" t="s">
        <v>108</v>
      </c>
      <c r="Z1167" s="4">
        <v>0.29</v>
      </c>
      <c r="AA1167" s="4">
        <v>4.11</v>
      </c>
      <c r="AB1167" s="3" t="s">
        <v>43</v>
      </c>
      <c r="AC1167" s="3" t="s">
        <v>1484</v>
      </c>
      <c r="AD1167" s="9">
        <v>45104</v>
      </c>
      <c r="AE1167" s="3" t="s">
        <v>283</v>
      </c>
      <c r="AF1167" s="3" t="s">
        <v>275</v>
      </c>
      <c r="AG1167" s="3" t="s">
        <v>1485</v>
      </c>
      <c r="AH1167" s="11">
        <f>HYPERLINK("https://my.pitchbook.com?c=190122-13T","View Company Online")</f>
      </c>
    </row>
    <row r="1168">
      <c r="A1168" s="12" t="s">
        <v>7071</v>
      </c>
      <c r="B1168" s="12" t="s">
        <v>7072</v>
      </c>
      <c r="C1168" s="19" t="s">
        <v>36</v>
      </c>
      <c r="D1168" s="19" t="s">
        <v>36</v>
      </c>
      <c r="E1168" s="19" t="s">
        <v>36</v>
      </c>
      <c r="F1168" s="19" t="s">
        <v>36</v>
      </c>
      <c r="G1168" s="15" t="s">
        <v>326</v>
      </c>
      <c r="H1168" s="14" t="s">
        <v>36</v>
      </c>
      <c r="I1168" s="18">
        <v>24.26</v>
      </c>
      <c r="J1168" s="12" t="s">
        <v>327</v>
      </c>
      <c r="K1168" s="13" t="s">
        <v>36</v>
      </c>
      <c r="L1168" s="15" t="s">
        <v>36</v>
      </c>
      <c r="M1168" s="12" t="s">
        <v>36</v>
      </c>
      <c r="N1168" s="12" t="s">
        <v>36</v>
      </c>
      <c r="O1168" s="17" t="s">
        <v>36</v>
      </c>
      <c r="P1168" s="12" t="s">
        <v>36</v>
      </c>
      <c r="Q1168" s="12" t="s">
        <v>36</v>
      </c>
      <c r="R1168" s="12" t="s">
        <v>36</v>
      </c>
      <c r="S1168" s="12" t="s">
        <v>36</v>
      </c>
      <c r="T1168" s="12" t="s">
        <v>818</v>
      </c>
      <c r="U1168" s="12" t="s">
        <v>74</v>
      </c>
      <c r="V1168" s="12" t="s">
        <v>75</v>
      </c>
      <c r="W1168" s="12" t="s">
        <v>7073</v>
      </c>
      <c r="X1168" s="16" t="s">
        <v>3559</v>
      </c>
      <c r="Y1168" s="15" t="s">
        <v>108</v>
      </c>
      <c r="Z1168" s="14">
        <v>2.16</v>
      </c>
      <c r="AA1168" s="14">
        <v>8.92</v>
      </c>
      <c r="AB1168" s="12" t="s">
        <v>56</v>
      </c>
      <c r="AC1168" s="12" t="s">
        <v>7074</v>
      </c>
      <c r="AD1168" s="13">
        <v>45104</v>
      </c>
      <c r="AE1168" s="12" t="s">
        <v>570</v>
      </c>
      <c r="AF1168" s="12" t="s">
        <v>982</v>
      </c>
      <c r="AG1168" s="12" t="s">
        <v>81</v>
      </c>
      <c r="AH1168" s="1">
        <f>HYPERLINK("https://my.pitchbook.com?c=226959-49T","View Company Online")</f>
      </c>
    </row>
    <row r="1169">
      <c r="A1169" s="3" t="s">
        <v>7075</v>
      </c>
      <c r="B1169" s="3" t="s">
        <v>7076</v>
      </c>
      <c r="C1169" s="5" t="s">
        <v>36</v>
      </c>
      <c r="D1169" s="5" t="s">
        <v>36</v>
      </c>
      <c r="E1169" s="5" t="s">
        <v>36</v>
      </c>
      <c r="F1169" s="5" t="s">
        <v>36</v>
      </c>
      <c r="G1169" s="6" t="s">
        <v>36</v>
      </c>
      <c r="H1169" s="4" t="s">
        <v>36</v>
      </c>
      <c r="I1169" s="7" t="s">
        <v>36</v>
      </c>
      <c r="J1169" s="3" t="s">
        <v>36</v>
      </c>
      <c r="K1169" s="9">
        <v>45056</v>
      </c>
      <c r="L1169" s="6" t="s">
        <v>36</v>
      </c>
      <c r="M1169" s="3" t="s">
        <v>36</v>
      </c>
      <c r="N1169" s="3" t="s">
        <v>36</v>
      </c>
      <c r="O1169" s="8" t="s">
        <v>36</v>
      </c>
      <c r="P1169" s="3" t="s">
        <v>36</v>
      </c>
      <c r="Q1169" s="3" t="s">
        <v>36</v>
      </c>
      <c r="R1169" s="3" t="s">
        <v>36</v>
      </c>
      <c r="S1169" s="3" t="s">
        <v>36</v>
      </c>
      <c r="T1169" s="3" t="s">
        <v>7077</v>
      </c>
      <c r="U1169" s="3" t="s">
        <v>648</v>
      </c>
      <c r="V1169" s="3" t="s">
        <v>64</v>
      </c>
      <c r="W1169" s="3" t="s">
        <v>7078</v>
      </c>
      <c r="X1169" s="10" t="s">
        <v>7079</v>
      </c>
      <c r="Y1169" s="6" t="s">
        <v>108</v>
      </c>
      <c r="Z1169" s="4">
        <v>3.79</v>
      </c>
      <c r="AA1169" s="4" t="s">
        <v>36</v>
      </c>
      <c r="AB1169" s="3" t="s">
        <v>43</v>
      </c>
      <c r="AC1169" s="3" t="s">
        <v>7080</v>
      </c>
      <c r="AD1169" s="9">
        <v>45104</v>
      </c>
      <c r="AE1169" s="3" t="s">
        <v>651</v>
      </c>
      <c r="AF1169" s="3" t="s">
        <v>36</v>
      </c>
      <c r="AG1169" s="3" t="s">
        <v>81</v>
      </c>
      <c r="AH1169" s="11">
        <f>HYPERLINK("https://my.pitchbook.com?c=226866-88T","View Company Online")</f>
      </c>
    </row>
    <row r="1170">
      <c r="A1170" s="12" t="s">
        <v>7081</v>
      </c>
      <c r="B1170" s="12" t="s">
        <v>7082</v>
      </c>
      <c r="C1170" s="19" t="s">
        <v>36</v>
      </c>
      <c r="D1170" s="19" t="s">
        <v>36</v>
      </c>
      <c r="E1170" s="19" t="s">
        <v>36</v>
      </c>
      <c r="F1170" s="19" t="s">
        <v>36</v>
      </c>
      <c r="G1170" s="15" t="s">
        <v>326</v>
      </c>
      <c r="H1170" s="14" t="s">
        <v>36</v>
      </c>
      <c r="I1170" s="18">
        <v>24.91</v>
      </c>
      <c r="J1170" s="12" t="s">
        <v>327</v>
      </c>
      <c r="K1170" s="13" t="s">
        <v>36</v>
      </c>
      <c r="L1170" s="15" t="s">
        <v>122</v>
      </c>
      <c r="M1170" s="12" t="s">
        <v>36</v>
      </c>
      <c r="N1170" s="12" t="s">
        <v>122</v>
      </c>
      <c r="O1170" s="17" t="s">
        <v>36</v>
      </c>
      <c r="P1170" s="12" t="s">
        <v>36</v>
      </c>
      <c r="Q1170" s="12" t="s">
        <v>36</v>
      </c>
      <c r="R1170" s="12" t="s">
        <v>36</v>
      </c>
      <c r="S1170" s="12" t="s">
        <v>36</v>
      </c>
      <c r="T1170" s="12" t="s">
        <v>6462</v>
      </c>
      <c r="U1170" s="12" t="s">
        <v>1357</v>
      </c>
      <c r="V1170" s="12" t="s">
        <v>52</v>
      </c>
      <c r="W1170" s="12" t="s">
        <v>7083</v>
      </c>
      <c r="X1170" s="16" t="s">
        <v>7084</v>
      </c>
      <c r="Y1170" s="15" t="s">
        <v>108</v>
      </c>
      <c r="Z1170" s="14">
        <v>4.32</v>
      </c>
      <c r="AA1170" s="14">
        <v>17.33</v>
      </c>
      <c r="AB1170" s="12" t="s">
        <v>43</v>
      </c>
      <c r="AC1170" s="12" t="s">
        <v>7085</v>
      </c>
      <c r="AD1170" s="13">
        <v>45100</v>
      </c>
      <c r="AE1170" s="12" t="s">
        <v>2808</v>
      </c>
      <c r="AF1170" s="12" t="s">
        <v>7086</v>
      </c>
      <c r="AG1170" s="12" t="s">
        <v>81</v>
      </c>
      <c r="AH1170" s="1">
        <f>HYPERLINK("https://my.pitchbook.com?c=226927-09T","View Company Online")</f>
      </c>
    </row>
    <row r="1171">
      <c r="A1171" s="3" t="s">
        <v>7087</v>
      </c>
      <c r="B1171" s="3" t="s">
        <v>7088</v>
      </c>
      <c r="C1171" s="5" t="s">
        <v>36</v>
      </c>
      <c r="D1171" s="5" t="s">
        <v>36</v>
      </c>
      <c r="E1171" s="5" t="s">
        <v>36</v>
      </c>
      <c r="F1171" s="5" t="s">
        <v>36</v>
      </c>
      <c r="G1171" s="6" t="s">
        <v>36</v>
      </c>
      <c r="H1171" s="4">
        <v>2.15</v>
      </c>
      <c r="I1171" s="7">
        <v>34.32</v>
      </c>
      <c r="J1171" s="3" t="s">
        <v>521</v>
      </c>
      <c r="K1171" s="9" t="s">
        <v>36</v>
      </c>
      <c r="L1171" s="6" t="s">
        <v>36</v>
      </c>
      <c r="M1171" s="3" t="s">
        <v>36</v>
      </c>
      <c r="N1171" s="3" t="s">
        <v>36</v>
      </c>
      <c r="O1171" s="8" t="s">
        <v>36</v>
      </c>
      <c r="P1171" s="3" t="s">
        <v>36</v>
      </c>
      <c r="Q1171" s="3" t="s">
        <v>36</v>
      </c>
      <c r="R1171" s="3" t="s">
        <v>36</v>
      </c>
      <c r="S1171" s="3" t="s">
        <v>36</v>
      </c>
      <c r="T1171" s="3" t="s">
        <v>7089</v>
      </c>
      <c r="U1171" s="3" t="s">
        <v>219</v>
      </c>
      <c r="V1171" s="3" t="s">
        <v>75</v>
      </c>
      <c r="W1171" s="3" t="s">
        <v>7090</v>
      </c>
      <c r="X1171" s="10" t="s">
        <v>7091</v>
      </c>
      <c r="Y1171" s="6" t="s">
        <v>42</v>
      </c>
      <c r="Z1171" s="4">
        <v>1.3</v>
      </c>
      <c r="AA1171" s="4">
        <v>3.77</v>
      </c>
      <c r="AB1171" s="3" t="s">
        <v>43</v>
      </c>
      <c r="AC1171" s="3" t="s">
        <v>7092</v>
      </c>
      <c r="AD1171" s="9">
        <v>45100</v>
      </c>
      <c r="AE1171" s="3" t="s">
        <v>7093</v>
      </c>
      <c r="AF1171" s="3" t="s">
        <v>571</v>
      </c>
      <c r="AG1171" s="3" t="s">
        <v>7094</v>
      </c>
      <c r="AH1171" s="11">
        <f>HYPERLINK("https://my.pitchbook.com?c=242836-93T","View Company Online")</f>
      </c>
    </row>
    <row r="1172">
      <c r="A1172" s="12" t="s">
        <v>7095</v>
      </c>
      <c r="B1172" s="12" t="s">
        <v>7096</v>
      </c>
      <c r="C1172" s="19" t="s">
        <v>36</v>
      </c>
      <c r="D1172" s="19" t="s">
        <v>36</v>
      </c>
      <c r="E1172" s="19" t="s">
        <v>36</v>
      </c>
      <c r="F1172" s="19" t="s">
        <v>36</v>
      </c>
      <c r="G1172" s="15" t="s">
        <v>326</v>
      </c>
      <c r="H1172" s="14">
        <v>41.54</v>
      </c>
      <c r="I1172" s="18">
        <v>5.73</v>
      </c>
      <c r="J1172" s="12" t="s">
        <v>521</v>
      </c>
      <c r="K1172" s="13" t="s">
        <v>36</v>
      </c>
      <c r="L1172" s="15" t="s">
        <v>36</v>
      </c>
      <c r="M1172" s="12" t="s">
        <v>36</v>
      </c>
      <c r="N1172" s="12" t="s">
        <v>36</v>
      </c>
      <c r="O1172" s="17" t="s">
        <v>36</v>
      </c>
      <c r="P1172" s="12" t="s">
        <v>36</v>
      </c>
      <c r="Q1172" s="12" t="s">
        <v>36</v>
      </c>
      <c r="R1172" s="12" t="s">
        <v>36</v>
      </c>
      <c r="S1172" s="12" t="s">
        <v>36</v>
      </c>
      <c r="T1172" s="12" t="s">
        <v>7097</v>
      </c>
      <c r="U1172" s="12" t="s">
        <v>728</v>
      </c>
      <c r="V1172" s="12" t="s">
        <v>64</v>
      </c>
      <c r="W1172" s="12" t="s">
        <v>7098</v>
      </c>
      <c r="X1172" s="16" t="s">
        <v>7099</v>
      </c>
      <c r="Y1172" s="15" t="s">
        <v>108</v>
      </c>
      <c r="Z1172" s="14">
        <v>0.19</v>
      </c>
      <c r="AA1172" s="14">
        <v>3.24</v>
      </c>
      <c r="AB1172" s="12" t="s">
        <v>56</v>
      </c>
      <c r="AC1172" s="12" t="s">
        <v>7100</v>
      </c>
      <c r="AD1172" s="13">
        <v>45099</v>
      </c>
      <c r="AE1172" s="12" t="s">
        <v>732</v>
      </c>
      <c r="AF1172" s="12" t="s">
        <v>571</v>
      </c>
      <c r="AG1172" s="12" t="s">
        <v>7101</v>
      </c>
      <c r="AH1172" s="1">
        <f>HYPERLINK("https://my.pitchbook.com?c=228801-79T","View Company Online")</f>
      </c>
    </row>
    <row r="1173">
      <c r="A1173" s="3" t="s">
        <v>7102</v>
      </c>
      <c r="B1173" s="3" t="s">
        <v>7103</v>
      </c>
      <c r="C1173" s="5" t="s">
        <v>36</v>
      </c>
      <c r="D1173" s="5" t="s">
        <v>36</v>
      </c>
      <c r="E1173" s="5" t="s">
        <v>36</v>
      </c>
      <c r="F1173" s="5" t="s">
        <v>36</v>
      </c>
      <c r="G1173" s="6" t="s">
        <v>36</v>
      </c>
      <c r="H1173" s="4" t="s">
        <v>36</v>
      </c>
      <c r="I1173" s="7" t="s">
        <v>36</v>
      </c>
      <c r="J1173" s="3" t="s">
        <v>36</v>
      </c>
      <c r="K1173" s="9" t="s">
        <v>36</v>
      </c>
      <c r="L1173" s="6" t="s">
        <v>36</v>
      </c>
      <c r="M1173" s="3" t="s">
        <v>36</v>
      </c>
      <c r="N1173" s="3" t="s">
        <v>36</v>
      </c>
      <c r="O1173" s="8" t="s">
        <v>36</v>
      </c>
      <c r="P1173" s="3" t="s">
        <v>36</v>
      </c>
      <c r="Q1173" s="3" t="s">
        <v>36</v>
      </c>
      <c r="R1173" s="3" t="s">
        <v>36</v>
      </c>
      <c r="S1173" s="3" t="s">
        <v>36</v>
      </c>
      <c r="T1173" s="3" t="s">
        <v>1501</v>
      </c>
      <c r="U1173" s="3" t="s">
        <v>1502</v>
      </c>
      <c r="V1173" s="3" t="s">
        <v>75</v>
      </c>
      <c r="W1173" s="3" t="s">
        <v>7104</v>
      </c>
      <c r="X1173" s="10" t="s">
        <v>7105</v>
      </c>
      <c r="Y1173" s="6" t="s">
        <v>192</v>
      </c>
      <c r="Z1173" s="4" t="s">
        <v>36</v>
      </c>
      <c r="AA1173" s="4" t="s">
        <v>36</v>
      </c>
      <c r="AB1173" s="3" t="s">
        <v>56</v>
      </c>
      <c r="AC1173" s="3" t="s">
        <v>7106</v>
      </c>
      <c r="AD1173" s="9">
        <v>45098</v>
      </c>
      <c r="AE1173" s="3" t="s">
        <v>1506</v>
      </c>
      <c r="AF1173" s="3" t="s">
        <v>7107</v>
      </c>
      <c r="AG1173" s="3" t="s">
        <v>899</v>
      </c>
      <c r="AH1173" s="11">
        <f>HYPERLINK("https://my.pitchbook.com?c=227021-68T","View Company Online")</f>
      </c>
    </row>
    <row r="1174">
      <c r="A1174" s="12" t="s">
        <v>7108</v>
      </c>
      <c r="B1174" s="12" t="s">
        <v>7109</v>
      </c>
      <c r="C1174" s="19">
        <v>5</v>
      </c>
      <c r="D1174" s="19">
        <v>6</v>
      </c>
      <c r="E1174" s="19">
        <v>3</v>
      </c>
      <c r="F1174" s="19">
        <v>11</v>
      </c>
      <c r="G1174" s="15" t="s">
        <v>326</v>
      </c>
      <c r="H1174" s="14">
        <v>46.74</v>
      </c>
      <c r="I1174" s="18">
        <v>29.94</v>
      </c>
      <c r="J1174" s="12" t="s">
        <v>521</v>
      </c>
      <c r="K1174" s="13" t="s">
        <v>36</v>
      </c>
      <c r="L1174" s="15" t="s">
        <v>36</v>
      </c>
      <c r="M1174" s="12" t="s">
        <v>36</v>
      </c>
      <c r="N1174" s="12" t="s">
        <v>36</v>
      </c>
      <c r="O1174" s="17" t="s">
        <v>36</v>
      </c>
      <c r="P1174" s="12" t="s">
        <v>36</v>
      </c>
      <c r="Q1174" s="12" t="s">
        <v>36</v>
      </c>
      <c r="R1174" s="12" t="s">
        <v>36</v>
      </c>
      <c r="S1174" s="12" t="s">
        <v>36</v>
      </c>
      <c r="T1174" s="12" t="s">
        <v>3264</v>
      </c>
      <c r="U1174" s="12" t="s">
        <v>96</v>
      </c>
      <c r="V1174" s="12" t="s">
        <v>52</v>
      </c>
      <c r="W1174" s="12" t="s">
        <v>7110</v>
      </c>
      <c r="X1174" s="16" t="s">
        <v>7111</v>
      </c>
      <c r="Y1174" s="15" t="s">
        <v>55</v>
      </c>
      <c r="Z1174" s="14">
        <v>4.74</v>
      </c>
      <c r="AA1174" s="14">
        <v>13.47</v>
      </c>
      <c r="AB1174" s="12" t="s">
        <v>43</v>
      </c>
      <c r="AC1174" s="12" t="s">
        <v>7112</v>
      </c>
      <c r="AD1174" s="13">
        <v>45098</v>
      </c>
      <c r="AE1174" s="12" t="s">
        <v>496</v>
      </c>
      <c r="AF1174" s="12" t="s">
        <v>2416</v>
      </c>
      <c r="AG1174" s="12" t="s">
        <v>3406</v>
      </c>
      <c r="AH1174" s="1">
        <f>HYPERLINK("https://my.pitchbook.com?c=226582-12T","View Company Online")</f>
      </c>
    </row>
    <row r="1175">
      <c r="A1175" s="3" t="s">
        <v>7113</v>
      </c>
      <c r="B1175" s="3" t="s">
        <v>7114</v>
      </c>
      <c r="C1175" s="5" t="s">
        <v>36</v>
      </c>
      <c r="D1175" s="5">
        <v>3</v>
      </c>
      <c r="E1175" s="5">
        <v>1</v>
      </c>
      <c r="F1175" s="5">
        <v>3</v>
      </c>
      <c r="G1175" s="6" t="s">
        <v>36</v>
      </c>
      <c r="H1175" s="4">
        <v>69.24</v>
      </c>
      <c r="I1175" s="7">
        <v>35.16</v>
      </c>
      <c r="J1175" s="3" t="s">
        <v>521</v>
      </c>
      <c r="K1175" s="9" t="s">
        <v>36</v>
      </c>
      <c r="L1175" s="6" t="s">
        <v>36</v>
      </c>
      <c r="M1175" s="3" t="s">
        <v>36</v>
      </c>
      <c r="N1175" s="3" t="s">
        <v>36</v>
      </c>
      <c r="O1175" s="8" t="s">
        <v>36</v>
      </c>
      <c r="P1175" s="3" t="s">
        <v>36</v>
      </c>
      <c r="Q1175" s="3" t="s">
        <v>36</v>
      </c>
      <c r="R1175" s="3" t="s">
        <v>36</v>
      </c>
      <c r="S1175" s="3" t="s">
        <v>36</v>
      </c>
      <c r="T1175" s="3" t="s">
        <v>7115</v>
      </c>
      <c r="U1175" s="3" t="s">
        <v>366</v>
      </c>
      <c r="V1175" s="3" t="s">
        <v>367</v>
      </c>
      <c r="W1175" s="3" t="s">
        <v>7116</v>
      </c>
      <c r="X1175" s="10" t="s">
        <v>7117</v>
      </c>
      <c r="Y1175" s="6" t="s">
        <v>42</v>
      </c>
      <c r="Z1175" s="4">
        <v>1.29</v>
      </c>
      <c r="AA1175" s="4">
        <v>3.68</v>
      </c>
      <c r="AB1175" s="3" t="s">
        <v>56</v>
      </c>
      <c r="AC1175" s="3" t="s">
        <v>7118</v>
      </c>
      <c r="AD1175" s="9">
        <v>45098</v>
      </c>
      <c r="AE1175" s="3" t="s">
        <v>371</v>
      </c>
      <c r="AF1175" s="3" t="s">
        <v>1619</v>
      </c>
      <c r="AG1175" s="3" t="s">
        <v>81</v>
      </c>
      <c r="AH1175" s="11">
        <f>HYPERLINK("https://my.pitchbook.com?c=207409-33T","View Company Online")</f>
      </c>
    </row>
    <row r="1176">
      <c r="A1176" s="12" t="s">
        <v>7119</v>
      </c>
      <c r="B1176" s="12" t="s">
        <v>7120</v>
      </c>
      <c r="C1176" s="19">
        <v>4</v>
      </c>
      <c r="D1176" s="19" t="s">
        <v>36</v>
      </c>
      <c r="E1176" s="19">
        <v>1</v>
      </c>
      <c r="F1176" s="19">
        <v>4</v>
      </c>
      <c r="G1176" s="15" t="s">
        <v>36</v>
      </c>
      <c r="H1176" s="14" t="s">
        <v>36</v>
      </c>
      <c r="I1176" s="18" t="s">
        <v>36</v>
      </c>
      <c r="J1176" s="12" t="s">
        <v>36</v>
      </c>
      <c r="K1176" s="13" t="s">
        <v>36</v>
      </c>
      <c r="L1176" s="15" t="s">
        <v>122</v>
      </c>
      <c r="M1176" s="12" t="s">
        <v>36</v>
      </c>
      <c r="N1176" s="12" t="s">
        <v>122</v>
      </c>
      <c r="O1176" s="17" t="s">
        <v>36</v>
      </c>
      <c r="P1176" s="12" t="s">
        <v>36</v>
      </c>
      <c r="Q1176" s="12" t="s">
        <v>36</v>
      </c>
      <c r="R1176" s="12" t="s">
        <v>36</v>
      </c>
      <c r="S1176" s="12" t="s">
        <v>36</v>
      </c>
      <c r="T1176" s="12" t="s">
        <v>1188</v>
      </c>
      <c r="U1176" s="12" t="s">
        <v>180</v>
      </c>
      <c r="V1176" s="12" t="s">
        <v>52</v>
      </c>
      <c r="W1176" s="12" t="s">
        <v>7121</v>
      </c>
      <c r="X1176" s="16" t="s">
        <v>7122</v>
      </c>
      <c r="Y1176" s="15" t="s">
        <v>42</v>
      </c>
      <c r="Z1176" s="14">
        <v>4.85</v>
      </c>
      <c r="AA1176" s="14" t="s">
        <v>36</v>
      </c>
      <c r="AB1176" s="12" t="s">
        <v>56</v>
      </c>
      <c r="AC1176" s="12" t="s">
        <v>7123</v>
      </c>
      <c r="AD1176" s="13">
        <v>45097</v>
      </c>
      <c r="AE1176" s="12" t="s">
        <v>1192</v>
      </c>
      <c r="AF1176" s="12" t="s">
        <v>101</v>
      </c>
      <c r="AG1176" s="12" t="s">
        <v>1276</v>
      </c>
      <c r="AH1176" s="1">
        <f>HYPERLINK("https://my.pitchbook.com?c=226359-28T","View Company Online")</f>
      </c>
    </row>
    <row r="1177">
      <c r="A1177" s="3" t="s">
        <v>7124</v>
      </c>
      <c r="B1177" s="3" t="s">
        <v>7125</v>
      </c>
      <c r="C1177" s="5" t="s">
        <v>36</v>
      </c>
      <c r="D1177" s="5" t="s">
        <v>36</v>
      </c>
      <c r="E1177" s="5" t="s">
        <v>36</v>
      </c>
      <c r="F1177" s="5" t="s">
        <v>36</v>
      </c>
      <c r="G1177" s="6" t="s">
        <v>36</v>
      </c>
      <c r="H1177" s="4" t="s">
        <v>36</v>
      </c>
      <c r="I1177" s="7" t="s">
        <v>36</v>
      </c>
      <c r="J1177" s="3" t="s">
        <v>36</v>
      </c>
      <c r="K1177" s="9">
        <v>45017</v>
      </c>
      <c r="L1177" s="6" t="s">
        <v>36</v>
      </c>
      <c r="M1177" s="3" t="s">
        <v>36</v>
      </c>
      <c r="N1177" s="3" t="s">
        <v>36</v>
      </c>
      <c r="O1177" s="8" t="s">
        <v>36</v>
      </c>
      <c r="P1177" s="3" t="s">
        <v>36</v>
      </c>
      <c r="Q1177" s="3" t="s">
        <v>36</v>
      </c>
      <c r="R1177" s="3" t="s">
        <v>36</v>
      </c>
      <c r="S1177" s="3" t="s">
        <v>36</v>
      </c>
      <c r="T1177" s="3" t="s">
        <v>7126</v>
      </c>
      <c r="U1177" s="3" t="s">
        <v>38</v>
      </c>
      <c r="V1177" s="3" t="s">
        <v>39</v>
      </c>
      <c r="W1177" s="3" t="s">
        <v>7127</v>
      </c>
      <c r="X1177" s="10" t="s">
        <v>7128</v>
      </c>
      <c r="Y1177" s="6" t="s">
        <v>108</v>
      </c>
      <c r="Z1177" s="4">
        <v>1.62</v>
      </c>
      <c r="AA1177" s="4" t="s">
        <v>36</v>
      </c>
      <c r="AB1177" s="3" t="s">
        <v>56</v>
      </c>
      <c r="AC1177" s="3" t="s">
        <v>7129</v>
      </c>
      <c r="AD1177" s="9">
        <v>45096</v>
      </c>
      <c r="AE1177" s="3" t="s">
        <v>110</v>
      </c>
      <c r="AF1177" s="3" t="s">
        <v>1889</v>
      </c>
      <c r="AG1177" s="3" t="s">
        <v>47</v>
      </c>
      <c r="AH1177" s="11">
        <f>HYPERLINK("https://my.pitchbook.com?c=220690-27T","View Company Online")</f>
      </c>
    </row>
    <row r="1178">
      <c r="A1178" s="12" t="s">
        <v>7130</v>
      </c>
      <c r="B1178" s="12" t="s">
        <v>7131</v>
      </c>
      <c r="C1178" s="19" t="s">
        <v>36</v>
      </c>
      <c r="D1178" s="19" t="s">
        <v>36</v>
      </c>
      <c r="E1178" s="19" t="s">
        <v>36</v>
      </c>
      <c r="F1178" s="19" t="s">
        <v>36</v>
      </c>
      <c r="G1178" s="15" t="s">
        <v>36</v>
      </c>
      <c r="H1178" s="14" t="s">
        <v>36</v>
      </c>
      <c r="I1178" s="18" t="s">
        <v>36</v>
      </c>
      <c r="J1178" s="12" t="s">
        <v>36</v>
      </c>
      <c r="K1178" s="13" t="s">
        <v>36</v>
      </c>
      <c r="L1178" s="15" t="s">
        <v>94</v>
      </c>
      <c r="M1178" s="12" t="s">
        <v>36</v>
      </c>
      <c r="N1178" s="12" t="s">
        <v>94</v>
      </c>
      <c r="O1178" s="17" t="s">
        <v>36</v>
      </c>
      <c r="P1178" s="12" t="s">
        <v>36</v>
      </c>
      <c r="Q1178" s="12" t="s">
        <v>36</v>
      </c>
      <c r="R1178" s="12" t="s">
        <v>36</v>
      </c>
      <c r="S1178" s="12" t="s">
        <v>36</v>
      </c>
      <c r="T1178" s="12" t="s">
        <v>1280</v>
      </c>
      <c r="U1178" s="12" t="s">
        <v>38</v>
      </c>
      <c r="V1178" s="12" t="s">
        <v>39</v>
      </c>
      <c r="W1178" s="12" t="s">
        <v>7132</v>
      </c>
      <c r="X1178" s="16" t="s">
        <v>7133</v>
      </c>
      <c r="Y1178" s="15" t="s">
        <v>55</v>
      </c>
      <c r="Z1178" s="14">
        <v>47</v>
      </c>
      <c r="AA1178" s="14" t="s">
        <v>36</v>
      </c>
      <c r="AB1178" s="12" t="s">
        <v>43</v>
      </c>
      <c r="AC1178" s="12" t="s">
        <v>7134</v>
      </c>
      <c r="AD1178" s="13">
        <v>45093</v>
      </c>
      <c r="AE1178" s="12" t="s">
        <v>45</v>
      </c>
      <c r="AF1178" s="12" t="s">
        <v>331</v>
      </c>
      <c r="AG1178" s="12" t="s">
        <v>81</v>
      </c>
      <c r="AH1178" s="1">
        <f>HYPERLINK("https://my.pitchbook.com?c=226192-06T","View Company Online")</f>
      </c>
    </row>
    <row r="1179">
      <c r="A1179" s="3" t="s">
        <v>7135</v>
      </c>
      <c r="B1179" s="3" t="s">
        <v>7136</v>
      </c>
      <c r="C1179" s="5" t="s">
        <v>36</v>
      </c>
      <c r="D1179" s="5" t="s">
        <v>36</v>
      </c>
      <c r="E1179" s="5" t="s">
        <v>36</v>
      </c>
      <c r="F1179" s="5" t="s">
        <v>36</v>
      </c>
      <c r="G1179" s="6" t="s">
        <v>36</v>
      </c>
      <c r="H1179" s="4">
        <v>787.88</v>
      </c>
      <c r="I1179" s="7">
        <v>11.99</v>
      </c>
      <c r="J1179" s="3" t="s">
        <v>521</v>
      </c>
      <c r="K1179" s="9" t="s">
        <v>36</v>
      </c>
      <c r="L1179" s="6" t="s">
        <v>36</v>
      </c>
      <c r="M1179" s="3" t="s">
        <v>36</v>
      </c>
      <c r="N1179" s="3" t="s">
        <v>36</v>
      </c>
      <c r="O1179" s="8" t="s">
        <v>36</v>
      </c>
      <c r="P1179" s="3" t="s">
        <v>36</v>
      </c>
      <c r="Q1179" s="3" t="s">
        <v>36</v>
      </c>
      <c r="R1179" s="3" t="s">
        <v>36</v>
      </c>
      <c r="S1179" s="3" t="s">
        <v>36</v>
      </c>
      <c r="T1179" s="3" t="s">
        <v>4692</v>
      </c>
      <c r="U1179" s="3" t="s">
        <v>85</v>
      </c>
      <c r="V1179" s="3" t="s">
        <v>64</v>
      </c>
      <c r="W1179" s="3" t="s">
        <v>7137</v>
      </c>
      <c r="X1179" s="10" t="s">
        <v>980</v>
      </c>
      <c r="Y1179" s="6" t="s">
        <v>42</v>
      </c>
      <c r="Z1179" s="4">
        <v>0.32</v>
      </c>
      <c r="AA1179" s="4">
        <v>2.69</v>
      </c>
      <c r="AB1179" s="3" t="s">
        <v>43</v>
      </c>
      <c r="AC1179" s="3" t="s">
        <v>7138</v>
      </c>
      <c r="AD1179" s="9">
        <v>45093</v>
      </c>
      <c r="AE1179" s="3" t="s">
        <v>89</v>
      </c>
      <c r="AF1179" s="3" t="s">
        <v>571</v>
      </c>
      <c r="AG1179" s="3" t="s">
        <v>47</v>
      </c>
      <c r="AH1179" s="11">
        <f>HYPERLINK("https://my.pitchbook.com?c=232354-09T","View Company Online")</f>
      </c>
    </row>
    <row r="1180">
      <c r="A1180" s="12" t="s">
        <v>7139</v>
      </c>
      <c r="B1180" s="12" t="s">
        <v>7140</v>
      </c>
      <c r="C1180" s="19" t="s">
        <v>36</v>
      </c>
      <c r="D1180" s="19" t="s">
        <v>36</v>
      </c>
      <c r="E1180" s="19" t="s">
        <v>36</v>
      </c>
      <c r="F1180" s="19" t="s">
        <v>36</v>
      </c>
      <c r="G1180" s="15" t="s">
        <v>326</v>
      </c>
      <c r="H1180" s="14">
        <v>72.35</v>
      </c>
      <c r="I1180" s="18">
        <v>10.66</v>
      </c>
      <c r="J1180" s="12" t="s">
        <v>521</v>
      </c>
      <c r="K1180" s="13" t="s">
        <v>36</v>
      </c>
      <c r="L1180" s="15" t="s">
        <v>36</v>
      </c>
      <c r="M1180" s="12" t="s">
        <v>36</v>
      </c>
      <c r="N1180" s="12" t="s">
        <v>36</v>
      </c>
      <c r="O1180" s="17" t="s">
        <v>36</v>
      </c>
      <c r="P1180" s="12" t="s">
        <v>36</v>
      </c>
      <c r="Q1180" s="12" t="s">
        <v>36</v>
      </c>
      <c r="R1180" s="12" t="s">
        <v>36</v>
      </c>
      <c r="S1180" s="12" t="s">
        <v>36</v>
      </c>
      <c r="T1180" s="12" t="s">
        <v>7141</v>
      </c>
      <c r="U1180" s="12" t="s">
        <v>956</v>
      </c>
      <c r="V1180" s="12" t="s">
        <v>405</v>
      </c>
      <c r="W1180" s="12" t="s">
        <v>7142</v>
      </c>
      <c r="X1180" s="16" t="s">
        <v>7143</v>
      </c>
      <c r="Y1180" s="15" t="s">
        <v>108</v>
      </c>
      <c r="Z1180" s="14">
        <v>1.1</v>
      </c>
      <c r="AA1180" s="14">
        <v>10.3</v>
      </c>
      <c r="AB1180" s="12" t="s">
        <v>43</v>
      </c>
      <c r="AC1180" s="12" t="s">
        <v>7144</v>
      </c>
      <c r="AD1180" s="13">
        <v>45093</v>
      </c>
      <c r="AE1180" s="12" t="s">
        <v>7145</v>
      </c>
      <c r="AF1180" s="12" t="s">
        <v>1986</v>
      </c>
      <c r="AG1180" s="12" t="s">
        <v>81</v>
      </c>
      <c r="AH1180" s="1">
        <f>HYPERLINK("https://my.pitchbook.com?c=226233-91T","View Company Online")</f>
      </c>
    </row>
    <row r="1181">
      <c r="A1181" s="3" t="s">
        <v>7146</v>
      </c>
      <c r="B1181" s="3" t="s">
        <v>7147</v>
      </c>
      <c r="C1181" s="5" t="s">
        <v>36</v>
      </c>
      <c r="D1181" s="5" t="s">
        <v>36</v>
      </c>
      <c r="E1181" s="5" t="s">
        <v>36</v>
      </c>
      <c r="F1181" s="5" t="s">
        <v>36</v>
      </c>
      <c r="G1181" s="6" t="s">
        <v>36</v>
      </c>
      <c r="H1181" s="4" t="s">
        <v>36</v>
      </c>
      <c r="I1181" s="7" t="s">
        <v>36</v>
      </c>
      <c r="J1181" s="3" t="s">
        <v>36</v>
      </c>
      <c r="K1181" s="9" t="s">
        <v>36</v>
      </c>
      <c r="L1181" s="6" t="s">
        <v>36</v>
      </c>
      <c r="M1181" s="3" t="s">
        <v>36</v>
      </c>
      <c r="N1181" s="3" t="s">
        <v>36</v>
      </c>
      <c r="O1181" s="8" t="s">
        <v>36</v>
      </c>
      <c r="P1181" s="3" t="s">
        <v>36</v>
      </c>
      <c r="Q1181" s="3" t="s">
        <v>36</v>
      </c>
      <c r="R1181" s="3" t="s">
        <v>36</v>
      </c>
      <c r="S1181" s="3" t="s">
        <v>36</v>
      </c>
      <c r="T1181" s="3" t="s">
        <v>7148</v>
      </c>
      <c r="U1181" s="3" t="s">
        <v>7149</v>
      </c>
      <c r="V1181" s="3" t="s">
        <v>378</v>
      </c>
      <c r="W1181" s="3" t="s">
        <v>7150</v>
      </c>
      <c r="X1181" s="10" t="s">
        <v>7151</v>
      </c>
      <c r="Y1181" s="6" t="s">
        <v>42</v>
      </c>
      <c r="Z1181" s="4" t="s">
        <v>36</v>
      </c>
      <c r="AA1181" s="4" t="s">
        <v>36</v>
      </c>
      <c r="AB1181" s="3" t="s">
        <v>56</v>
      </c>
      <c r="AC1181" s="3" t="s">
        <v>7152</v>
      </c>
      <c r="AD1181" s="9">
        <v>45092</v>
      </c>
      <c r="AE1181" s="3" t="s">
        <v>7153</v>
      </c>
      <c r="AF1181" s="3" t="s">
        <v>571</v>
      </c>
      <c r="AG1181" s="3" t="s">
        <v>7154</v>
      </c>
      <c r="AH1181" s="11">
        <f>HYPERLINK("https://my.pitchbook.com?c=226140-40T","View Company Online")</f>
      </c>
    </row>
    <row r="1182">
      <c r="A1182" s="12" t="s">
        <v>7155</v>
      </c>
      <c r="B1182" s="12" t="s">
        <v>7156</v>
      </c>
      <c r="C1182" s="19" t="s">
        <v>36</v>
      </c>
      <c r="D1182" s="19" t="s">
        <v>36</v>
      </c>
      <c r="E1182" s="19" t="s">
        <v>36</v>
      </c>
      <c r="F1182" s="19" t="s">
        <v>36</v>
      </c>
      <c r="G1182" s="15" t="s">
        <v>326</v>
      </c>
      <c r="H1182" s="14">
        <v>66.4</v>
      </c>
      <c r="I1182" s="18">
        <v>13.94</v>
      </c>
      <c r="J1182" s="12" t="s">
        <v>521</v>
      </c>
      <c r="K1182" s="13" t="s">
        <v>36</v>
      </c>
      <c r="L1182" s="15" t="s">
        <v>36</v>
      </c>
      <c r="M1182" s="12" t="s">
        <v>36</v>
      </c>
      <c r="N1182" s="12" t="s">
        <v>36</v>
      </c>
      <c r="O1182" s="17" t="s">
        <v>36</v>
      </c>
      <c r="P1182" s="12" t="s">
        <v>36</v>
      </c>
      <c r="Q1182" s="12" t="s">
        <v>36</v>
      </c>
      <c r="R1182" s="12" t="s">
        <v>36</v>
      </c>
      <c r="S1182" s="12" t="s">
        <v>36</v>
      </c>
      <c r="T1182" s="12" t="s">
        <v>6032</v>
      </c>
      <c r="U1182" s="12" t="s">
        <v>318</v>
      </c>
      <c r="V1182" s="12" t="s">
        <v>39</v>
      </c>
      <c r="W1182" s="12" t="s">
        <v>7157</v>
      </c>
      <c r="X1182" s="16" t="s">
        <v>7158</v>
      </c>
      <c r="Y1182" s="15" t="s">
        <v>55</v>
      </c>
      <c r="Z1182" s="14">
        <v>3.23</v>
      </c>
      <c r="AA1182" s="14">
        <v>17.76</v>
      </c>
      <c r="AB1182" s="12" t="s">
        <v>56</v>
      </c>
      <c r="AC1182" s="12" t="s">
        <v>7159</v>
      </c>
      <c r="AD1182" s="13">
        <v>45092</v>
      </c>
      <c r="AE1182" s="12" t="s">
        <v>417</v>
      </c>
      <c r="AF1182" s="12" t="s">
        <v>592</v>
      </c>
      <c r="AG1182" s="12" t="s">
        <v>7160</v>
      </c>
      <c r="AH1182" s="1">
        <f>HYPERLINK("https://my.pitchbook.com?c=226121-59T","View Company Online")</f>
      </c>
    </row>
    <row r="1183">
      <c r="A1183" s="3" t="s">
        <v>7161</v>
      </c>
      <c r="B1183" s="3" t="s">
        <v>7162</v>
      </c>
      <c r="C1183" s="5" t="s">
        <v>36</v>
      </c>
      <c r="D1183" s="5" t="s">
        <v>36</v>
      </c>
      <c r="E1183" s="5" t="s">
        <v>36</v>
      </c>
      <c r="F1183" s="5" t="s">
        <v>36</v>
      </c>
      <c r="G1183" s="6" t="s">
        <v>36</v>
      </c>
      <c r="H1183" s="4">
        <v>33.23</v>
      </c>
      <c r="I1183" s="7">
        <v>15.61</v>
      </c>
      <c r="J1183" s="3" t="s">
        <v>521</v>
      </c>
      <c r="K1183" s="9" t="s">
        <v>36</v>
      </c>
      <c r="L1183" s="6" t="s">
        <v>36</v>
      </c>
      <c r="M1183" s="3" t="s">
        <v>36</v>
      </c>
      <c r="N1183" s="3" t="s">
        <v>36</v>
      </c>
      <c r="O1183" s="8" t="s">
        <v>36</v>
      </c>
      <c r="P1183" s="3" t="s">
        <v>36</v>
      </c>
      <c r="Q1183" s="3" t="s">
        <v>36</v>
      </c>
      <c r="R1183" s="3" t="s">
        <v>36</v>
      </c>
      <c r="S1183" s="3" t="s">
        <v>36</v>
      </c>
      <c r="T1183" s="3" t="s">
        <v>5302</v>
      </c>
      <c r="U1183" s="3" t="s">
        <v>74</v>
      </c>
      <c r="V1183" s="3" t="s">
        <v>75</v>
      </c>
      <c r="W1183" s="3" t="s">
        <v>7163</v>
      </c>
      <c r="X1183" s="10" t="s">
        <v>7164</v>
      </c>
      <c r="Y1183" s="6" t="s">
        <v>42</v>
      </c>
      <c r="Z1183" s="4">
        <v>0.67</v>
      </c>
      <c r="AA1183" s="4">
        <v>4.3</v>
      </c>
      <c r="AB1183" s="3" t="s">
        <v>43</v>
      </c>
      <c r="AC1183" s="3" t="s">
        <v>7165</v>
      </c>
      <c r="AD1183" s="9">
        <v>45092</v>
      </c>
      <c r="AE1183" s="3" t="s">
        <v>362</v>
      </c>
      <c r="AF1183" s="3" t="s">
        <v>250</v>
      </c>
      <c r="AG1183" s="3" t="s">
        <v>81</v>
      </c>
      <c r="AH1183" s="11">
        <f>HYPERLINK("https://my.pitchbook.com?c=246243-79T","View Company Online")</f>
      </c>
    </row>
    <row r="1184">
      <c r="A1184" s="12" t="s">
        <v>7166</v>
      </c>
      <c r="B1184" s="12" t="s">
        <v>7167</v>
      </c>
      <c r="C1184" s="19" t="s">
        <v>36</v>
      </c>
      <c r="D1184" s="19" t="s">
        <v>36</v>
      </c>
      <c r="E1184" s="19" t="s">
        <v>36</v>
      </c>
      <c r="F1184" s="19" t="s">
        <v>36</v>
      </c>
      <c r="G1184" s="15" t="s">
        <v>36</v>
      </c>
      <c r="H1184" s="14">
        <v>1332.39</v>
      </c>
      <c r="I1184" s="18">
        <v>13.6</v>
      </c>
      <c r="J1184" s="12" t="s">
        <v>521</v>
      </c>
      <c r="K1184" s="13" t="s">
        <v>36</v>
      </c>
      <c r="L1184" s="15" t="s">
        <v>36</v>
      </c>
      <c r="M1184" s="12" t="s">
        <v>36</v>
      </c>
      <c r="N1184" s="12" t="s">
        <v>36</v>
      </c>
      <c r="O1184" s="17" t="s">
        <v>36</v>
      </c>
      <c r="P1184" s="12" t="s">
        <v>36</v>
      </c>
      <c r="Q1184" s="12" t="s">
        <v>36</v>
      </c>
      <c r="R1184" s="12" t="s">
        <v>36</v>
      </c>
      <c r="S1184" s="12" t="s">
        <v>36</v>
      </c>
      <c r="T1184" s="12" t="s">
        <v>7168</v>
      </c>
      <c r="U1184" s="12" t="s">
        <v>74</v>
      </c>
      <c r="V1184" s="12" t="s">
        <v>75</v>
      </c>
      <c r="W1184" s="12" t="s">
        <v>7169</v>
      </c>
      <c r="X1184" s="16" t="s">
        <v>7170</v>
      </c>
      <c r="Y1184" s="15" t="s">
        <v>42</v>
      </c>
      <c r="Z1184" s="14">
        <v>3.23</v>
      </c>
      <c r="AA1184" s="14">
        <v>15.97</v>
      </c>
      <c r="AB1184" s="12" t="s">
        <v>43</v>
      </c>
      <c r="AC1184" s="12" t="s">
        <v>7171</v>
      </c>
      <c r="AD1184" s="13">
        <v>45092</v>
      </c>
      <c r="AE1184" s="12" t="s">
        <v>362</v>
      </c>
      <c r="AF1184" s="12" t="s">
        <v>36</v>
      </c>
      <c r="AG1184" s="12" t="s">
        <v>81</v>
      </c>
      <c r="AH1184" s="1">
        <f>HYPERLINK("https://my.pitchbook.com?c=226068-94T","View Company Online")</f>
      </c>
    </row>
    <row r="1185">
      <c r="A1185" s="3" t="s">
        <v>7172</v>
      </c>
      <c r="B1185" s="3" t="s">
        <v>7173</v>
      </c>
      <c r="C1185" s="5" t="s">
        <v>36</v>
      </c>
      <c r="D1185" s="5" t="s">
        <v>36</v>
      </c>
      <c r="E1185" s="5" t="s">
        <v>36</v>
      </c>
      <c r="F1185" s="5" t="s">
        <v>36</v>
      </c>
      <c r="G1185" s="6" t="s">
        <v>326</v>
      </c>
      <c r="H1185" s="4" t="s">
        <v>36</v>
      </c>
      <c r="I1185" s="7">
        <v>22.04</v>
      </c>
      <c r="J1185" s="3" t="s">
        <v>327</v>
      </c>
      <c r="K1185" s="9" t="s">
        <v>36</v>
      </c>
      <c r="L1185" s="6" t="s">
        <v>122</v>
      </c>
      <c r="M1185" s="3" t="s">
        <v>36</v>
      </c>
      <c r="N1185" s="3" t="s">
        <v>122</v>
      </c>
      <c r="O1185" s="8" t="s">
        <v>36</v>
      </c>
      <c r="P1185" s="3" t="s">
        <v>36</v>
      </c>
      <c r="Q1185" s="3" t="s">
        <v>36</v>
      </c>
      <c r="R1185" s="3" t="s">
        <v>36</v>
      </c>
      <c r="S1185" s="3" t="s">
        <v>36</v>
      </c>
      <c r="T1185" s="3" t="s">
        <v>550</v>
      </c>
      <c r="U1185" s="3" t="s">
        <v>38</v>
      </c>
      <c r="V1185" s="3" t="s">
        <v>39</v>
      </c>
      <c r="W1185" s="3" t="s">
        <v>7174</v>
      </c>
      <c r="X1185" s="10" t="s">
        <v>7175</v>
      </c>
      <c r="Y1185" s="6" t="s">
        <v>55</v>
      </c>
      <c r="Z1185" s="4">
        <v>6</v>
      </c>
      <c r="AA1185" s="4">
        <v>27.22</v>
      </c>
      <c r="AB1185" s="3" t="s">
        <v>56</v>
      </c>
      <c r="AC1185" s="3" t="s">
        <v>7176</v>
      </c>
      <c r="AD1185" s="9">
        <v>45091</v>
      </c>
      <c r="AE1185" s="3" t="s">
        <v>554</v>
      </c>
      <c r="AF1185" s="3" t="s">
        <v>7177</v>
      </c>
      <c r="AG1185" s="3" t="s">
        <v>47</v>
      </c>
      <c r="AH1185" s="11">
        <f>HYPERLINK("https://my.pitchbook.com?c=226057-87T","View Company Online")</f>
      </c>
    </row>
    <row r="1186">
      <c r="A1186" s="12" t="s">
        <v>7178</v>
      </c>
      <c r="B1186" s="12" t="s">
        <v>7179</v>
      </c>
      <c r="C1186" s="19" t="s">
        <v>36</v>
      </c>
      <c r="D1186" s="19" t="s">
        <v>36</v>
      </c>
      <c r="E1186" s="19" t="s">
        <v>36</v>
      </c>
      <c r="F1186" s="19" t="s">
        <v>36</v>
      </c>
      <c r="G1186" s="15" t="s">
        <v>36</v>
      </c>
      <c r="H1186" s="14" t="s">
        <v>36</v>
      </c>
      <c r="I1186" s="18">
        <v>17.77</v>
      </c>
      <c r="J1186" s="12" t="s">
        <v>327</v>
      </c>
      <c r="K1186" s="13" t="s">
        <v>36</v>
      </c>
      <c r="L1186" s="15" t="s">
        <v>36</v>
      </c>
      <c r="M1186" s="12" t="s">
        <v>36</v>
      </c>
      <c r="N1186" s="12" t="s">
        <v>36</v>
      </c>
      <c r="O1186" s="17" t="s">
        <v>36</v>
      </c>
      <c r="P1186" s="12" t="s">
        <v>36</v>
      </c>
      <c r="Q1186" s="12" t="s">
        <v>36</v>
      </c>
      <c r="R1186" s="12" t="s">
        <v>36</v>
      </c>
      <c r="S1186" s="12" t="s">
        <v>36</v>
      </c>
      <c r="T1186" s="12" t="s">
        <v>7180</v>
      </c>
      <c r="U1186" s="12" t="s">
        <v>648</v>
      </c>
      <c r="V1186" s="12" t="s">
        <v>64</v>
      </c>
      <c r="W1186" s="12" t="s">
        <v>7181</v>
      </c>
      <c r="X1186" s="16" t="s">
        <v>7182</v>
      </c>
      <c r="Y1186" s="15" t="s">
        <v>42</v>
      </c>
      <c r="Z1186" s="14">
        <v>0.97</v>
      </c>
      <c r="AA1186" s="14">
        <v>5.45</v>
      </c>
      <c r="AB1186" s="12" t="s">
        <v>43</v>
      </c>
      <c r="AC1186" s="12" t="s">
        <v>7183</v>
      </c>
      <c r="AD1186" s="13">
        <v>45090</v>
      </c>
      <c r="AE1186" s="12" t="s">
        <v>1897</v>
      </c>
      <c r="AF1186" s="12" t="s">
        <v>2703</v>
      </c>
      <c r="AG1186" s="12" t="s">
        <v>102</v>
      </c>
      <c r="AH1186" s="1">
        <f>HYPERLINK("https://my.pitchbook.com?c=225889-03T","View Company Online")</f>
      </c>
    </row>
    <row r="1187">
      <c r="A1187" s="3" t="s">
        <v>7184</v>
      </c>
      <c r="B1187" s="3" t="s">
        <v>7185</v>
      </c>
      <c r="C1187" s="5" t="s">
        <v>36</v>
      </c>
      <c r="D1187" s="5" t="s">
        <v>36</v>
      </c>
      <c r="E1187" s="5" t="s">
        <v>36</v>
      </c>
      <c r="F1187" s="5" t="s">
        <v>36</v>
      </c>
      <c r="G1187" s="6" t="s">
        <v>326</v>
      </c>
      <c r="H1187" s="4" t="s">
        <v>36</v>
      </c>
      <c r="I1187" s="7">
        <v>16.68</v>
      </c>
      <c r="J1187" s="3" t="s">
        <v>327</v>
      </c>
      <c r="K1187" s="9" t="s">
        <v>36</v>
      </c>
      <c r="L1187" s="6" t="s">
        <v>36</v>
      </c>
      <c r="M1187" s="3" t="s">
        <v>36</v>
      </c>
      <c r="N1187" s="3" t="s">
        <v>36</v>
      </c>
      <c r="O1187" s="8" t="s">
        <v>36</v>
      </c>
      <c r="P1187" s="3" t="s">
        <v>36</v>
      </c>
      <c r="Q1187" s="3" t="s">
        <v>36</v>
      </c>
      <c r="R1187" s="3" t="s">
        <v>36</v>
      </c>
      <c r="S1187" s="3" t="s">
        <v>36</v>
      </c>
      <c r="T1187" s="3" t="s">
        <v>7186</v>
      </c>
      <c r="U1187" s="3" t="s">
        <v>956</v>
      </c>
      <c r="V1187" s="3" t="s">
        <v>405</v>
      </c>
      <c r="W1187" s="3" t="s">
        <v>7187</v>
      </c>
      <c r="X1187" s="10" t="s">
        <v>7188</v>
      </c>
      <c r="Y1187" s="6" t="s">
        <v>108</v>
      </c>
      <c r="Z1187" s="4">
        <v>3.23</v>
      </c>
      <c r="AA1187" s="4">
        <v>19.35</v>
      </c>
      <c r="AB1187" s="3" t="s">
        <v>56</v>
      </c>
      <c r="AC1187" s="3" t="s">
        <v>7189</v>
      </c>
      <c r="AD1187" s="9">
        <v>45090</v>
      </c>
      <c r="AE1187" s="3" t="s">
        <v>6323</v>
      </c>
      <c r="AF1187" s="3" t="s">
        <v>2054</v>
      </c>
      <c r="AG1187" s="3" t="s">
        <v>81</v>
      </c>
      <c r="AH1187" s="11">
        <f>HYPERLINK("https://my.pitchbook.com?c=225872-20T","View Company Online")</f>
      </c>
    </row>
    <row r="1188">
      <c r="A1188" s="12" t="s">
        <v>7190</v>
      </c>
      <c r="B1188" s="12" t="s">
        <v>7191</v>
      </c>
      <c r="C1188" s="19" t="s">
        <v>36</v>
      </c>
      <c r="D1188" s="19" t="s">
        <v>36</v>
      </c>
      <c r="E1188" s="19" t="s">
        <v>36</v>
      </c>
      <c r="F1188" s="19" t="s">
        <v>36</v>
      </c>
      <c r="G1188" s="15" t="s">
        <v>36</v>
      </c>
      <c r="H1188" s="14">
        <v>290.92</v>
      </c>
      <c r="I1188" s="18">
        <v>24.32</v>
      </c>
      <c r="J1188" s="12" t="s">
        <v>521</v>
      </c>
      <c r="K1188" s="13" t="s">
        <v>36</v>
      </c>
      <c r="L1188" s="15" t="s">
        <v>36</v>
      </c>
      <c r="M1188" s="12" t="s">
        <v>36</v>
      </c>
      <c r="N1188" s="12" t="s">
        <v>36</v>
      </c>
      <c r="O1188" s="17" t="s">
        <v>36</v>
      </c>
      <c r="P1188" s="12" t="s">
        <v>36</v>
      </c>
      <c r="Q1188" s="12" t="s">
        <v>36</v>
      </c>
      <c r="R1188" s="12" t="s">
        <v>36</v>
      </c>
      <c r="S1188" s="12" t="s">
        <v>36</v>
      </c>
      <c r="T1188" s="12" t="s">
        <v>6159</v>
      </c>
      <c r="U1188" s="12" t="s">
        <v>648</v>
      </c>
      <c r="V1188" s="12" t="s">
        <v>64</v>
      </c>
      <c r="W1188" s="12" t="s">
        <v>7192</v>
      </c>
      <c r="X1188" s="16" t="s">
        <v>2869</v>
      </c>
      <c r="Y1188" s="15" t="s">
        <v>42</v>
      </c>
      <c r="Z1188" s="14">
        <v>9.69</v>
      </c>
      <c r="AA1188" s="14">
        <v>39.86</v>
      </c>
      <c r="AB1188" s="12" t="s">
        <v>43</v>
      </c>
      <c r="AC1188" s="12" t="s">
        <v>7193</v>
      </c>
      <c r="AD1188" s="13">
        <v>45089</v>
      </c>
      <c r="AE1188" s="12" t="s">
        <v>3988</v>
      </c>
      <c r="AF1188" s="12" t="s">
        <v>36</v>
      </c>
      <c r="AG1188" s="12" t="s">
        <v>81</v>
      </c>
      <c r="AH1188" s="1">
        <f>HYPERLINK("https://my.pitchbook.com?c=226155-25T","View Company Online")</f>
      </c>
    </row>
    <row r="1189">
      <c r="A1189" s="3" t="s">
        <v>7194</v>
      </c>
      <c r="B1189" s="3" t="s">
        <v>7195</v>
      </c>
      <c r="C1189" s="5" t="s">
        <v>36</v>
      </c>
      <c r="D1189" s="5">
        <v>2</v>
      </c>
      <c r="E1189" s="5">
        <v>1</v>
      </c>
      <c r="F1189" s="5">
        <v>2</v>
      </c>
      <c r="G1189" s="6" t="s">
        <v>326</v>
      </c>
      <c r="H1189" s="4">
        <v>42.34</v>
      </c>
      <c r="I1189" s="7">
        <v>26.58</v>
      </c>
      <c r="J1189" s="3" t="s">
        <v>521</v>
      </c>
      <c r="K1189" s="9">
        <v>45017</v>
      </c>
      <c r="L1189" s="6" t="s">
        <v>36</v>
      </c>
      <c r="M1189" s="3" t="s">
        <v>36</v>
      </c>
      <c r="N1189" s="3" t="s">
        <v>36</v>
      </c>
      <c r="O1189" s="8" t="s">
        <v>36</v>
      </c>
      <c r="P1189" s="3" t="s">
        <v>36</v>
      </c>
      <c r="Q1189" s="3" t="s">
        <v>36</v>
      </c>
      <c r="R1189" s="3" t="s">
        <v>36</v>
      </c>
      <c r="S1189" s="3" t="s">
        <v>36</v>
      </c>
      <c r="T1189" s="3" t="s">
        <v>4917</v>
      </c>
      <c r="U1189" s="3" t="s">
        <v>38</v>
      </c>
      <c r="V1189" s="3" t="s">
        <v>39</v>
      </c>
      <c r="W1189" s="3" t="s">
        <v>7196</v>
      </c>
      <c r="X1189" s="10" t="s">
        <v>7197</v>
      </c>
      <c r="Y1189" s="6" t="s">
        <v>108</v>
      </c>
      <c r="Z1189" s="4">
        <v>5.01</v>
      </c>
      <c r="AA1189" s="4">
        <v>16.55</v>
      </c>
      <c r="AB1189" s="3" t="s">
        <v>43</v>
      </c>
      <c r="AC1189" s="3" t="s">
        <v>7198</v>
      </c>
      <c r="AD1189" s="9">
        <v>45089</v>
      </c>
      <c r="AE1189" s="3" t="s">
        <v>134</v>
      </c>
      <c r="AF1189" s="3" t="s">
        <v>7199</v>
      </c>
      <c r="AG1189" s="3" t="s">
        <v>81</v>
      </c>
      <c r="AH1189" s="11">
        <f>HYPERLINK("https://my.pitchbook.com?c=225811-72T","View Company Online")</f>
      </c>
    </row>
    <row r="1190">
      <c r="A1190" s="12" t="s">
        <v>7200</v>
      </c>
      <c r="B1190" s="12" t="s">
        <v>7201</v>
      </c>
      <c r="C1190" s="19" t="s">
        <v>36</v>
      </c>
      <c r="D1190" s="19" t="s">
        <v>36</v>
      </c>
      <c r="E1190" s="19" t="s">
        <v>36</v>
      </c>
      <c r="F1190" s="19" t="s">
        <v>36</v>
      </c>
      <c r="G1190" s="15" t="s">
        <v>36</v>
      </c>
      <c r="H1190" s="14" t="s">
        <v>36</v>
      </c>
      <c r="I1190" s="18">
        <v>45</v>
      </c>
      <c r="J1190" s="12" t="s">
        <v>36</v>
      </c>
      <c r="K1190" s="13" t="s">
        <v>36</v>
      </c>
      <c r="L1190" s="15" t="s">
        <v>36</v>
      </c>
      <c r="M1190" s="12" t="s">
        <v>36</v>
      </c>
      <c r="N1190" s="12" t="s">
        <v>36</v>
      </c>
      <c r="O1190" s="17" t="s">
        <v>36</v>
      </c>
      <c r="P1190" s="12" t="s">
        <v>36</v>
      </c>
      <c r="Q1190" s="12" t="s">
        <v>36</v>
      </c>
      <c r="R1190" s="12" t="s">
        <v>36</v>
      </c>
      <c r="S1190" s="12" t="s">
        <v>36</v>
      </c>
      <c r="T1190" s="12" t="s">
        <v>847</v>
      </c>
      <c r="U1190" s="12" t="s">
        <v>279</v>
      </c>
      <c r="V1190" s="12" t="s">
        <v>64</v>
      </c>
      <c r="W1190" s="12" t="s">
        <v>7202</v>
      </c>
      <c r="X1190" s="16" t="s">
        <v>7203</v>
      </c>
      <c r="Y1190" s="15" t="s">
        <v>55</v>
      </c>
      <c r="Z1190" s="14" t="s">
        <v>36</v>
      </c>
      <c r="AA1190" s="14" t="s">
        <v>36</v>
      </c>
      <c r="AB1190" s="12" t="s">
        <v>56</v>
      </c>
      <c r="AC1190" s="12" t="s">
        <v>7204</v>
      </c>
      <c r="AD1190" s="13">
        <v>45089</v>
      </c>
      <c r="AE1190" s="12" t="s">
        <v>851</v>
      </c>
      <c r="AF1190" s="12" t="s">
        <v>36</v>
      </c>
      <c r="AG1190" s="12" t="s">
        <v>81</v>
      </c>
      <c r="AH1190" s="1">
        <f>HYPERLINK("https://my.pitchbook.com?c=225864-10T","View Company Online")</f>
      </c>
    </row>
    <row r="1191">
      <c r="A1191" s="3" t="s">
        <v>7205</v>
      </c>
      <c r="B1191" s="3" t="s">
        <v>7206</v>
      </c>
      <c r="C1191" s="5" t="s">
        <v>36</v>
      </c>
      <c r="D1191" s="5" t="s">
        <v>36</v>
      </c>
      <c r="E1191" s="5" t="s">
        <v>36</v>
      </c>
      <c r="F1191" s="5" t="s">
        <v>36</v>
      </c>
      <c r="G1191" s="6" t="s">
        <v>36</v>
      </c>
      <c r="H1191" s="4" t="s">
        <v>36</v>
      </c>
      <c r="I1191" s="7" t="s">
        <v>36</v>
      </c>
      <c r="J1191" s="3" t="s">
        <v>36</v>
      </c>
      <c r="K1191" s="9" t="s">
        <v>36</v>
      </c>
      <c r="L1191" s="6" t="s">
        <v>122</v>
      </c>
      <c r="M1191" s="3" t="s">
        <v>36</v>
      </c>
      <c r="N1191" s="3" t="s">
        <v>122</v>
      </c>
      <c r="O1191" s="8" t="s">
        <v>36</v>
      </c>
      <c r="P1191" s="3" t="s">
        <v>36</v>
      </c>
      <c r="Q1191" s="3" t="s">
        <v>36</v>
      </c>
      <c r="R1191" s="3" t="s">
        <v>36</v>
      </c>
      <c r="S1191" s="3" t="s">
        <v>36</v>
      </c>
      <c r="T1191" s="3" t="s">
        <v>7207</v>
      </c>
      <c r="U1191" s="3" t="s">
        <v>404</v>
      </c>
      <c r="V1191" s="3" t="s">
        <v>405</v>
      </c>
      <c r="W1191" s="3" t="s">
        <v>7208</v>
      </c>
      <c r="X1191" s="10" t="s">
        <v>7209</v>
      </c>
      <c r="Y1191" s="6" t="s">
        <v>42</v>
      </c>
      <c r="Z1191" s="4">
        <v>2</v>
      </c>
      <c r="AA1191" s="4" t="s">
        <v>36</v>
      </c>
      <c r="AB1191" s="3" t="s">
        <v>43</v>
      </c>
      <c r="AC1191" s="3" t="s">
        <v>7210</v>
      </c>
      <c r="AD1191" s="9">
        <v>45087</v>
      </c>
      <c r="AE1191" s="3" t="s">
        <v>3608</v>
      </c>
      <c r="AF1191" s="3" t="s">
        <v>215</v>
      </c>
      <c r="AG1191" s="3" t="s">
        <v>81</v>
      </c>
      <c r="AH1191" s="11">
        <f>HYPERLINK("https://my.pitchbook.com?c=232510-69T","View Company Online")</f>
      </c>
    </row>
    <row r="1192">
      <c r="A1192" s="12" t="s">
        <v>7211</v>
      </c>
      <c r="B1192" s="12" t="s">
        <v>7212</v>
      </c>
      <c r="C1192" s="19" t="s">
        <v>36</v>
      </c>
      <c r="D1192" s="19" t="s">
        <v>36</v>
      </c>
      <c r="E1192" s="19" t="s">
        <v>36</v>
      </c>
      <c r="F1192" s="19" t="s">
        <v>36</v>
      </c>
      <c r="G1192" s="15" t="s">
        <v>36</v>
      </c>
      <c r="H1192" s="14" t="s">
        <v>36</v>
      </c>
      <c r="I1192" s="18" t="s">
        <v>36</v>
      </c>
      <c r="J1192" s="12" t="s">
        <v>36</v>
      </c>
      <c r="K1192" s="13" t="s">
        <v>36</v>
      </c>
      <c r="L1192" s="15" t="s">
        <v>36</v>
      </c>
      <c r="M1192" s="12" t="s">
        <v>36</v>
      </c>
      <c r="N1192" s="12" t="s">
        <v>36</v>
      </c>
      <c r="O1192" s="17" t="s">
        <v>36</v>
      </c>
      <c r="P1192" s="12" t="s">
        <v>36</v>
      </c>
      <c r="Q1192" s="12" t="s">
        <v>36</v>
      </c>
      <c r="R1192" s="12" t="s">
        <v>36</v>
      </c>
      <c r="S1192" s="12" t="s">
        <v>36</v>
      </c>
      <c r="T1192" s="12" t="s">
        <v>2811</v>
      </c>
      <c r="U1192" s="12" t="s">
        <v>219</v>
      </c>
      <c r="V1192" s="12" t="s">
        <v>75</v>
      </c>
      <c r="W1192" s="12" t="s">
        <v>7213</v>
      </c>
      <c r="X1192" s="16" t="s">
        <v>7214</v>
      </c>
      <c r="Y1192" s="15" t="s">
        <v>42</v>
      </c>
      <c r="Z1192" s="14">
        <v>0.49</v>
      </c>
      <c r="AA1192" s="14" t="s">
        <v>36</v>
      </c>
      <c r="AB1192" s="12" t="s">
        <v>43</v>
      </c>
      <c r="AC1192" s="12" t="s">
        <v>7215</v>
      </c>
      <c r="AD1192" s="13">
        <v>45086</v>
      </c>
      <c r="AE1192" s="12" t="s">
        <v>223</v>
      </c>
      <c r="AF1192" s="12" t="s">
        <v>2915</v>
      </c>
      <c r="AG1192" s="12" t="s">
        <v>652</v>
      </c>
      <c r="AH1192" s="1">
        <f>HYPERLINK("https://my.pitchbook.com?c=225934-84T","View Company Online")</f>
      </c>
    </row>
    <row r="1193">
      <c r="A1193" s="3" t="s">
        <v>7216</v>
      </c>
      <c r="B1193" s="3" t="s">
        <v>7217</v>
      </c>
      <c r="C1193" s="5" t="s">
        <v>36</v>
      </c>
      <c r="D1193" s="5" t="s">
        <v>36</v>
      </c>
      <c r="E1193" s="5" t="s">
        <v>36</v>
      </c>
      <c r="F1193" s="5" t="s">
        <v>36</v>
      </c>
      <c r="G1193" s="6" t="s">
        <v>36</v>
      </c>
      <c r="H1193" s="4" t="s">
        <v>36</v>
      </c>
      <c r="I1193" s="7" t="s">
        <v>36</v>
      </c>
      <c r="J1193" s="3" t="s">
        <v>36</v>
      </c>
      <c r="K1193" s="9" t="s">
        <v>36</v>
      </c>
      <c r="L1193" s="6" t="s">
        <v>36</v>
      </c>
      <c r="M1193" s="3" t="s">
        <v>36</v>
      </c>
      <c r="N1193" s="3" t="s">
        <v>36</v>
      </c>
      <c r="O1193" s="8" t="s">
        <v>36</v>
      </c>
      <c r="P1193" s="3" t="s">
        <v>36</v>
      </c>
      <c r="Q1193" s="3" t="s">
        <v>36</v>
      </c>
      <c r="R1193" s="3" t="s">
        <v>36</v>
      </c>
      <c r="S1193" s="3" t="s">
        <v>36</v>
      </c>
      <c r="T1193" s="3" t="s">
        <v>1162</v>
      </c>
      <c r="U1193" s="3" t="s">
        <v>423</v>
      </c>
      <c r="V1193" s="3" t="s">
        <v>64</v>
      </c>
      <c r="W1193" s="3" t="s">
        <v>7218</v>
      </c>
      <c r="X1193" s="10" t="s">
        <v>7219</v>
      </c>
      <c r="Y1193" s="6" t="s">
        <v>108</v>
      </c>
      <c r="Z1193" s="4">
        <v>2.16</v>
      </c>
      <c r="AA1193" s="4" t="s">
        <v>36</v>
      </c>
      <c r="AB1193" s="3" t="s">
        <v>7220</v>
      </c>
      <c r="AC1193" s="3" t="s">
        <v>7221</v>
      </c>
      <c r="AD1193" s="9">
        <v>45086</v>
      </c>
      <c r="AE1193" s="3" t="s">
        <v>562</v>
      </c>
      <c r="AF1193" s="3" t="s">
        <v>7222</v>
      </c>
      <c r="AG1193" s="3" t="s">
        <v>81</v>
      </c>
      <c r="AH1193" s="11">
        <f>HYPERLINK("https://my.pitchbook.com?c=225718-39T","View Company Online")</f>
      </c>
    </row>
    <row r="1194">
      <c r="A1194" s="12" t="s">
        <v>7223</v>
      </c>
      <c r="B1194" s="12" t="s">
        <v>7224</v>
      </c>
      <c r="C1194" s="19" t="s">
        <v>36</v>
      </c>
      <c r="D1194" s="19" t="s">
        <v>36</v>
      </c>
      <c r="E1194" s="19" t="s">
        <v>36</v>
      </c>
      <c r="F1194" s="19" t="s">
        <v>36</v>
      </c>
      <c r="G1194" s="15" t="s">
        <v>36</v>
      </c>
      <c r="H1194" s="14" t="s">
        <v>36</v>
      </c>
      <c r="I1194" s="18" t="s">
        <v>36</v>
      </c>
      <c r="J1194" s="12" t="s">
        <v>36</v>
      </c>
      <c r="K1194" s="13" t="s">
        <v>36</v>
      </c>
      <c r="L1194" s="15" t="s">
        <v>36</v>
      </c>
      <c r="M1194" s="12" t="s">
        <v>36</v>
      </c>
      <c r="N1194" s="12" t="s">
        <v>36</v>
      </c>
      <c r="O1194" s="17" t="s">
        <v>36</v>
      </c>
      <c r="P1194" s="12" t="s">
        <v>36</v>
      </c>
      <c r="Q1194" s="12" t="s">
        <v>36</v>
      </c>
      <c r="R1194" s="12" t="s">
        <v>36</v>
      </c>
      <c r="S1194" s="12" t="s">
        <v>36</v>
      </c>
      <c r="T1194" s="12" t="s">
        <v>123</v>
      </c>
      <c r="U1194" s="12" t="s">
        <v>38</v>
      </c>
      <c r="V1194" s="12" t="s">
        <v>39</v>
      </c>
      <c r="W1194" s="12" t="s">
        <v>7225</v>
      </c>
      <c r="X1194" s="16" t="s">
        <v>577</v>
      </c>
      <c r="Y1194" s="15" t="s">
        <v>192</v>
      </c>
      <c r="Z1194" s="14" t="s">
        <v>36</v>
      </c>
      <c r="AA1194" s="14" t="s">
        <v>36</v>
      </c>
      <c r="AB1194" s="12" t="s">
        <v>43</v>
      </c>
      <c r="AC1194" s="12" t="s">
        <v>7226</v>
      </c>
      <c r="AD1194" s="13">
        <v>45086</v>
      </c>
      <c r="AE1194" s="12" t="s">
        <v>110</v>
      </c>
      <c r="AF1194" s="12" t="s">
        <v>7227</v>
      </c>
      <c r="AG1194" s="12" t="s">
        <v>81</v>
      </c>
      <c r="AH1194" s="1">
        <f>HYPERLINK("https://my.pitchbook.com?c=250941-16T","View Company Online")</f>
      </c>
    </row>
    <row r="1195">
      <c r="A1195" s="3" t="s">
        <v>7228</v>
      </c>
      <c r="B1195" s="3" t="s">
        <v>7229</v>
      </c>
      <c r="C1195" s="5" t="s">
        <v>36</v>
      </c>
      <c r="D1195" s="5" t="s">
        <v>36</v>
      </c>
      <c r="E1195" s="5" t="s">
        <v>36</v>
      </c>
      <c r="F1195" s="5" t="s">
        <v>36</v>
      </c>
      <c r="G1195" s="6" t="s">
        <v>326</v>
      </c>
      <c r="H1195" s="4" t="s">
        <v>36</v>
      </c>
      <c r="I1195" s="7">
        <v>35.96</v>
      </c>
      <c r="J1195" s="3" t="s">
        <v>327</v>
      </c>
      <c r="K1195" s="9" t="s">
        <v>36</v>
      </c>
      <c r="L1195" s="6" t="s">
        <v>122</v>
      </c>
      <c r="M1195" s="3" t="s">
        <v>36</v>
      </c>
      <c r="N1195" s="3" t="s">
        <v>122</v>
      </c>
      <c r="O1195" s="8" t="s">
        <v>36</v>
      </c>
      <c r="P1195" s="3" t="s">
        <v>36</v>
      </c>
      <c r="Q1195" s="3" t="s">
        <v>36</v>
      </c>
      <c r="R1195" s="3" t="s">
        <v>36</v>
      </c>
      <c r="S1195" s="3" t="s">
        <v>36</v>
      </c>
      <c r="T1195" s="3" t="s">
        <v>596</v>
      </c>
      <c r="U1195" s="3" t="s">
        <v>366</v>
      </c>
      <c r="V1195" s="3" t="s">
        <v>367</v>
      </c>
      <c r="W1195" s="3" t="s">
        <v>7230</v>
      </c>
      <c r="X1195" s="10" t="s">
        <v>7231</v>
      </c>
      <c r="Y1195" s="6" t="s">
        <v>108</v>
      </c>
      <c r="Z1195" s="4">
        <v>17.27</v>
      </c>
      <c r="AA1195" s="4">
        <v>48.02</v>
      </c>
      <c r="AB1195" s="3" t="s">
        <v>43</v>
      </c>
      <c r="AC1195" s="3" t="s">
        <v>7232</v>
      </c>
      <c r="AD1195" s="9">
        <v>45085</v>
      </c>
      <c r="AE1195" s="3" t="s">
        <v>600</v>
      </c>
      <c r="AF1195" s="3" t="s">
        <v>2369</v>
      </c>
      <c r="AG1195" s="3" t="s">
        <v>969</v>
      </c>
      <c r="AH1195" s="11">
        <f>HYPERLINK("https://my.pitchbook.com?c=225592-84T","View Company Online")</f>
      </c>
    </row>
    <row r="1196">
      <c r="A1196" s="12" t="s">
        <v>7233</v>
      </c>
      <c r="B1196" s="12" t="s">
        <v>7234</v>
      </c>
      <c r="C1196" s="19" t="s">
        <v>36</v>
      </c>
      <c r="D1196" s="19" t="s">
        <v>36</v>
      </c>
      <c r="E1196" s="19" t="s">
        <v>36</v>
      </c>
      <c r="F1196" s="19" t="s">
        <v>36</v>
      </c>
      <c r="G1196" s="15" t="s">
        <v>326</v>
      </c>
      <c r="H1196" s="14">
        <v>524.31</v>
      </c>
      <c r="I1196" s="18">
        <v>21.97</v>
      </c>
      <c r="J1196" s="12" t="s">
        <v>521</v>
      </c>
      <c r="K1196" s="13" t="s">
        <v>36</v>
      </c>
      <c r="L1196" s="15" t="s">
        <v>36</v>
      </c>
      <c r="M1196" s="12" t="s">
        <v>36</v>
      </c>
      <c r="N1196" s="12" t="s">
        <v>36</v>
      </c>
      <c r="O1196" s="17" t="s">
        <v>36</v>
      </c>
      <c r="P1196" s="12" t="s">
        <v>36</v>
      </c>
      <c r="Q1196" s="12" t="s">
        <v>36</v>
      </c>
      <c r="R1196" s="12" t="s">
        <v>36</v>
      </c>
      <c r="S1196" s="12" t="s">
        <v>36</v>
      </c>
      <c r="T1196" s="12" t="s">
        <v>7235</v>
      </c>
      <c r="U1196" s="12" t="s">
        <v>38</v>
      </c>
      <c r="V1196" s="12" t="s">
        <v>39</v>
      </c>
      <c r="W1196" s="12" t="s">
        <v>7236</v>
      </c>
      <c r="X1196" s="16" t="s">
        <v>7237</v>
      </c>
      <c r="Y1196" s="15" t="s">
        <v>42</v>
      </c>
      <c r="Z1196" s="14">
        <v>1.62</v>
      </c>
      <c r="AA1196" s="14">
        <v>5.53</v>
      </c>
      <c r="AB1196" s="12" t="s">
        <v>43</v>
      </c>
      <c r="AC1196" s="12" t="s">
        <v>7238</v>
      </c>
      <c r="AD1196" s="13">
        <v>45085</v>
      </c>
      <c r="AE1196" s="12" t="s">
        <v>688</v>
      </c>
      <c r="AF1196" s="12" t="s">
        <v>7239</v>
      </c>
      <c r="AG1196" s="12" t="s">
        <v>81</v>
      </c>
      <c r="AH1196" s="1">
        <f>HYPERLINK("https://my.pitchbook.com?c=225591-67T","View Company Online")</f>
      </c>
    </row>
    <row r="1197">
      <c r="A1197" s="3" t="s">
        <v>7240</v>
      </c>
      <c r="B1197" s="3" t="s">
        <v>7241</v>
      </c>
      <c r="C1197" s="5" t="s">
        <v>36</v>
      </c>
      <c r="D1197" s="5" t="s">
        <v>36</v>
      </c>
      <c r="E1197" s="5" t="s">
        <v>36</v>
      </c>
      <c r="F1197" s="5" t="s">
        <v>36</v>
      </c>
      <c r="G1197" s="6" t="s">
        <v>326</v>
      </c>
      <c r="H1197" s="4">
        <v>19.55</v>
      </c>
      <c r="I1197" s="7">
        <v>37.5</v>
      </c>
      <c r="J1197" s="3" t="s">
        <v>521</v>
      </c>
      <c r="K1197" s="9" t="s">
        <v>36</v>
      </c>
      <c r="L1197" s="6" t="s">
        <v>36</v>
      </c>
      <c r="M1197" s="3" t="s">
        <v>36</v>
      </c>
      <c r="N1197" s="3" t="s">
        <v>36</v>
      </c>
      <c r="O1197" s="8" t="s">
        <v>36</v>
      </c>
      <c r="P1197" s="3" t="s">
        <v>36</v>
      </c>
      <c r="Q1197" s="3" t="s">
        <v>36</v>
      </c>
      <c r="R1197" s="3" t="s">
        <v>36</v>
      </c>
      <c r="S1197" s="3" t="s">
        <v>36</v>
      </c>
      <c r="T1197" s="3" t="s">
        <v>7242</v>
      </c>
      <c r="U1197" s="3" t="s">
        <v>74</v>
      </c>
      <c r="V1197" s="3" t="s">
        <v>75</v>
      </c>
      <c r="W1197" s="3" t="s">
        <v>7243</v>
      </c>
      <c r="X1197" s="10" t="s">
        <v>7244</v>
      </c>
      <c r="Y1197" s="6" t="s">
        <v>42</v>
      </c>
      <c r="Z1197" s="4">
        <v>19.42</v>
      </c>
      <c r="AA1197" s="4">
        <v>51.79</v>
      </c>
      <c r="AB1197" s="3" t="s">
        <v>56</v>
      </c>
      <c r="AC1197" s="3" t="s">
        <v>7245</v>
      </c>
      <c r="AD1197" s="9">
        <v>45085</v>
      </c>
      <c r="AE1197" s="3" t="s">
        <v>570</v>
      </c>
      <c r="AF1197" s="3" t="s">
        <v>1756</v>
      </c>
      <c r="AG1197" s="3" t="s">
        <v>81</v>
      </c>
      <c r="AH1197" s="11">
        <f>HYPERLINK("https://my.pitchbook.com?c=187491-34T","View Company Online")</f>
      </c>
    </row>
    <row r="1198">
      <c r="A1198" s="12" t="s">
        <v>7246</v>
      </c>
      <c r="B1198" s="12" t="s">
        <v>3735</v>
      </c>
      <c r="C1198" s="19" t="s">
        <v>36</v>
      </c>
      <c r="D1198" s="19" t="s">
        <v>36</v>
      </c>
      <c r="E1198" s="19" t="s">
        <v>36</v>
      </c>
      <c r="F1198" s="19" t="s">
        <v>36</v>
      </c>
      <c r="G1198" s="15" t="s">
        <v>326</v>
      </c>
      <c r="H1198" s="14" t="s">
        <v>36</v>
      </c>
      <c r="I1198" s="18">
        <v>11.17</v>
      </c>
      <c r="J1198" s="12" t="s">
        <v>327</v>
      </c>
      <c r="K1198" s="13">
        <v>45063</v>
      </c>
      <c r="L1198" s="15" t="s">
        <v>1279</v>
      </c>
      <c r="M1198" s="12" t="s">
        <v>36</v>
      </c>
      <c r="N1198" s="12" t="s">
        <v>1279</v>
      </c>
      <c r="O1198" s="17" t="s">
        <v>36</v>
      </c>
      <c r="P1198" s="12" t="s">
        <v>36</v>
      </c>
      <c r="Q1198" s="12" t="s">
        <v>36</v>
      </c>
      <c r="R1198" s="12" t="s">
        <v>36</v>
      </c>
      <c r="S1198" s="12" t="s">
        <v>36</v>
      </c>
      <c r="T1198" s="12" t="s">
        <v>522</v>
      </c>
      <c r="U1198" s="12" t="s">
        <v>38</v>
      </c>
      <c r="V1198" s="12" t="s">
        <v>39</v>
      </c>
      <c r="W1198" s="12" t="s">
        <v>3737</v>
      </c>
      <c r="X1198" s="16" t="s">
        <v>7247</v>
      </c>
      <c r="Y1198" s="15" t="s">
        <v>166</v>
      </c>
      <c r="Z1198" s="14">
        <v>88.1</v>
      </c>
      <c r="AA1198" s="14">
        <v>788.55</v>
      </c>
      <c r="AB1198" s="12" t="s">
        <v>56</v>
      </c>
      <c r="AC1198" s="12" t="s">
        <v>3739</v>
      </c>
      <c r="AD1198" s="13">
        <v>45085</v>
      </c>
      <c r="AE1198" s="12" t="s">
        <v>110</v>
      </c>
      <c r="AF1198" s="12" t="s">
        <v>3740</v>
      </c>
      <c r="AG1198" s="12" t="s">
        <v>81</v>
      </c>
      <c r="AH1198" s="1">
        <f>HYPERLINK("https://my.pitchbook.com?c=223899-13T","View Company Online")</f>
      </c>
    </row>
    <row r="1199">
      <c r="A1199" s="3" t="s">
        <v>7248</v>
      </c>
      <c r="B1199" s="3" t="s">
        <v>7249</v>
      </c>
      <c r="C1199" s="5" t="s">
        <v>36</v>
      </c>
      <c r="D1199" s="5" t="s">
        <v>36</v>
      </c>
      <c r="E1199" s="5" t="s">
        <v>36</v>
      </c>
      <c r="F1199" s="5" t="s">
        <v>36</v>
      </c>
      <c r="G1199" s="6" t="s">
        <v>326</v>
      </c>
      <c r="H1199" s="4">
        <v>130.63</v>
      </c>
      <c r="I1199" s="7">
        <v>10.51</v>
      </c>
      <c r="J1199" s="3" t="s">
        <v>521</v>
      </c>
      <c r="K1199" s="9" t="s">
        <v>36</v>
      </c>
      <c r="L1199" s="6" t="s">
        <v>36</v>
      </c>
      <c r="M1199" s="3" t="s">
        <v>36</v>
      </c>
      <c r="N1199" s="3" t="s">
        <v>36</v>
      </c>
      <c r="O1199" s="8" t="s">
        <v>36</v>
      </c>
      <c r="P1199" s="3" t="s">
        <v>36</v>
      </c>
      <c r="Q1199" s="3" t="s">
        <v>36</v>
      </c>
      <c r="R1199" s="3" t="s">
        <v>36</v>
      </c>
      <c r="S1199" s="3" t="s">
        <v>36</v>
      </c>
      <c r="T1199" s="3" t="s">
        <v>105</v>
      </c>
      <c r="U1199" s="3" t="s">
        <v>38</v>
      </c>
      <c r="V1199" s="3" t="s">
        <v>39</v>
      </c>
      <c r="W1199" s="3" t="s">
        <v>7250</v>
      </c>
      <c r="X1199" s="10" t="s">
        <v>7251</v>
      </c>
      <c r="Y1199" s="6" t="s">
        <v>42</v>
      </c>
      <c r="Z1199" s="4">
        <v>0.23</v>
      </c>
      <c r="AA1199" s="4">
        <v>2.16</v>
      </c>
      <c r="AB1199" s="3" t="s">
        <v>43</v>
      </c>
      <c r="AC1199" s="3" t="s">
        <v>7252</v>
      </c>
      <c r="AD1199" s="9">
        <v>45085</v>
      </c>
      <c r="AE1199" s="3" t="s">
        <v>110</v>
      </c>
      <c r="AF1199" s="3" t="s">
        <v>176</v>
      </c>
      <c r="AG1199" s="3" t="s">
        <v>899</v>
      </c>
      <c r="AH1199" s="11">
        <f>HYPERLINK("https://my.pitchbook.com?c=283403-53T","View Company Online")</f>
      </c>
    </row>
    <row r="1200">
      <c r="A1200" s="12" t="s">
        <v>7253</v>
      </c>
      <c r="B1200" s="12" t="s">
        <v>7254</v>
      </c>
      <c r="C1200" s="19" t="s">
        <v>36</v>
      </c>
      <c r="D1200" s="19" t="s">
        <v>36</v>
      </c>
      <c r="E1200" s="19" t="s">
        <v>36</v>
      </c>
      <c r="F1200" s="19" t="s">
        <v>36</v>
      </c>
      <c r="G1200" s="15" t="s">
        <v>36</v>
      </c>
      <c r="H1200" s="14" t="s">
        <v>36</v>
      </c>
      <c r="I1200" s="18" t="s">
        <v>36</v>
      </c>
      <c r="J1200" s="12" t="s">
        <v>36</v>
      </c>
      <c r="K1200" s="13" t="s">
        <v>36</v>
      </c>
      <c r="L1200" s="15" t="s">
        <v>7255</v>
      </c>
      <c r="M1200" s="12" t="s">
        <v>36</v>
      </c>
      <c r="N1200" s="12" t="s">
        <v>7255</v>
      </c>
      <c r="O1200" s="17" t="s">
        <v>36</v>
      </c>
      <c r="P1200" s="12" t="s">
        <v>36</v>
      </c>
      <c r="Q1200" s="12" t="s">
        <v>36</v>
      </c>
      <c r="R1200" s="12" t="s">
        <v>36</v>
      </c>
      <c r="S1200" s="12" t="s">
        <v>36</v>
      </c>
      <c r="T1200" s="12" t="s">
        <v>7256</v>
      </c>
      <c r="U1200" s="12" t="s">
        <v>74</v>
      </c>
      <c r="V1200" s="12" t="s">
        <v>75</v>
      </c>
      <c r="W1200" s="12" t="s">
        <v>7257</v>
      </c>
      <c r="X1200" s="16" t="s">
        <v>7258</v>
      </c>
      <c r="Y1200" s="15" t="s">
        <v>321</v>
      </c>
      <c r="Z1200" s="14" t="s">
        <v>36</v>
      </c>
      <c r="AA1200" s="14" t="s">
        <v>36</v>
      </c>
      <c r="AB1200" s="12" t="s">
        <v>56</v>
      </c>
      <c r="AC1200" s="12" t="s">
        <v>7259</v>
      </c>
      <c r="AD1200" s="13">
        <v>45084</v>
      </c>
      <c r="AE1200" s="12" t="s">
        <v>79</v>
      </c>
      <c r="AF1200" s="12" t="s">
        <v>7260</v>
      </c>
      <c r="AG1200" s="12" t="s">
        <v>1078</v>
      </c>
      <c r="AH1200" s="1">
        <f>HYPERLINK("https://my.pitchbook.com?c=228051-82T","View Company Online")</f>
      </c>
    </row>
    <row r="1201">
      <c r="A1201" s="3" t="s">
        <v>7261</v>
      </c>
      <c r="B1201" s="3" t="s">
        <v>7262</v>
      </c>
      <c r="C1201" s="5" t="s">
        <v>36</v>
      </c>
      <c r="D1201" s="5" t="s">
        <v>36</v>
      </c>
      <c r="E1201" s="5" t="s">
        <v>36</v>
      </c>
      <c r="F1201" s="5" t="s">
        <v>36</v>
      </c>
      <c r="G1201" s="6" t="s">
        <v>36</v>
      </c>
      <c r="H1201" s="4" t="s">
        <v>36</v>
      </c>
      <c r="I1201" s="7" t="s">
        <v>36</v>
      </c>
      <c r="J1201" s="3" t="s">
        <v>36</v>
      </c>
      <c r="K1201" s="9" t="s">
        <v>36</v>
      </c>
      <c r="L1201" s="6" t="s">
        <v>36</v>
      </c>
      <c r="M1201" s="3" t="s">
        <v>36</v>
      </c>
      <c r="N1201" s="3" t="s">
        <v>36</v>
      </c>
      <c r="O1201" s="8" t="s">
        <v>36</v>
      </c>
      <c r="P1201" s="3" t="s">
        <v>36</v>
      </c>
      <c r="Q1201" s="3" t="s">
        <v>36</v>
      </c>
      <c r="R1201" s="3" t="s">
        <v>36</v>
      </c>
      <c r="S1201" s="3" t="s">
        <v>36</v>
      </c>
      <c r="T1201" s="3" t="s">
        <v>1350</v>
      </c>
      <c r="U1201" s="3" t="s">
        <v>38</v>
      </c>
      <c r="V1201" s="3" t="s">
        <v>39</v>
      </c>
      <c r="W1201" s="3" t="s">
        <v>7263</v>
      </c>
      <c r="X1201" s="10" t="s">
        <v>7264</v>
      </c>
      <c r="Y1201" s="6" t="s">
        <v>42</v>
      </c>
      <c r="Z1201" s="4">
        <v>1.8</v>
      </c>
      <c r="AA1201" s="4" t="s">
        <v>36</v>
      </c>
      <c r="AB1201" s="3" t="s">
        <v>43</v>
      </c>
      <c r="AC1201" s="3" t="s">
        <v>7265</v>
      </c>
      <c r="AD1201" s="9">
        <v>45082</v>
      </c>
      <c r="AE1201" s="3" t="s">
        <v>785</v>
      </c>
      <c r="AF1201" s="3" t="s">
        <v>176</v>
      </c>
      <c r="AG1201" s="3" t="s">
        <v>81</v>
      </c>
      <c r="AH1201" s="11">
        <f>HYPERLINK("https://my.pitchbook.com?c=223027-66T","View Company Online")</f>
      </c>
    </row>
    <row r="1202">
      <c r="A1202" s="12" t="s">
        <v>7266</v>
      </c>
      <c r="B1202" s="12" t="s">
        <v>7267</v>
      </c>
      <c r="C1202" s="19">
        <v>2</v>
      </c>
      <c r="D1202" s="19">
        <v>2</v>
      </c>
      <c r="E1202" s="19">
        <v>1</v>
      </c>
      <c r="F1202" s="19">
        <v>4</v>
      </c>
      <c r="G1202" s="15" t="s">
        <v>326</v>
      </c>
      <c r="H1202" s="14">
        <v>145.4</v>
      </c>
      <c r="I1202" s="18">
        <v>11.06</v>
      </c>
      <c r="J1202" s="12" t="s">
        <v>521</v>
      </c>
      <c r="K1202" s="13" t="s">
        <v>36</v>
      </c>
      <c r="L1202" s="15" t="s">
        <v>36</v>
      </c>
      <c r="M1202" s="12" t="s">
        <v>36</v>
      </c>
      <c r="N1202" s="12" t="s">
        <v>36</v>
      </c>
      <c r="O1202" s="17" t="s">
        <v>36</v>
      </c>
      <c r="P1202" s="12" t="s">
        <v>36</v>
      </c>
      <c r="Q1202" s="12" t="s">
        <v>36</v>
      </c>
      <c r="R1202" s="12" t="s">
        <v>36</v>
      </c>
      <c r="S1202" s="12" t="s">
        <v>36</v>
      </c>
      <c r="T1202" s="12" t="s">
        <v>7268</v>
      </c>
      <c r="U1202" s="12" t="s">
        <v>38</v>
      </c>
      <c r="V1202" s="12" t="s">
        <v>39</v>
      </c>
      <c r="W1202" s="12" t="s">
        <v>7269</v>
      </c>
      <c r="X1202" s="16" t="s">
        <v>4852</v>
      </c>
      <c r="Y1202" s="15" t="s">
        <v>108</v>
      </c>
      <c r="Z1202" s="14">
        <v>0.95</v>
      </c>
      <c r="AA1202" s="14">
        <v>8.62</v>
      </c>
      <c r="AB1202" s="12" t="s">
        <v>56</v>
      </c>
      <c r="AC1202" s="12" t="s">
        <v>7270</v>
      </c>
      <c r="AD1202" s="13">
        <v>45082</v>
      </c>
      <c r="AE1202" s="12" t="s">
        <v>1200</v>
      </c>
      <c r="AF1202" s="12" t="s">
        <v>7271</v>
      </c>
      <c r="AG1202" s="12" t="s">
        <v>47</v>
      </c>
      <c r="AH1202" s="1">
        <f>HYPERLINK("https://my.pitchbook.com?c=232238-71T","View Company Online")</f>
      </c>
    </row>
    <row r="1203">
      <c r="A1203" s="3" t="s">
        <v>7272</v>
      </c>
      <c r="B1203" s="3" t="s">
        <v>7273</v>
      </c>
      <c r="C1203" s="5" t="s">
        <v>36</v>
      </c>
      <c r="D1203" s="5" t="s">
        <v>36</v>
      </c>
      <c r="E1203" s="5" t="s">
        <v>36</v>
      </c>
      <c r="F1203" s="5" t="s">
        <v>36</v>
      </c>
      <c r="G1203" s="6" t="s">
        <v>2497</v>
      </c>
      <c r="H1203" s="4" t="s">
        <v>36</v>
      </c>
      <c r="I1203" s="7">
        <v>30.1</v>
      </c>
      <c r="J1203" s="3" t="s">
        <v>327</v>
      </c>
      <c r="K1203" s="9" t="s">
        <v>36</v>
      </c>
      <c r="L1203" s="6" t="s">
        <v>36</v>
      </c>
      <c r="M1203" s="3" t="s">
        <v>36</v>
      </c>
      <c r="N1203" s="3" t="s">
        <v>36</v>
      </c>
      <c r="O1203" s="8" t="s">
        <v>36</v>
      </c>
      <c r="P1203" s="3" t="s">
        <v>36</v>
      </c>
      <c r="Q1203" s="3" t="s">
        <v>36</v>
      </c>
      <c r="R1203" s="3" t="s">
        <v>36</v>
      </c>
      <c r="S1203" s="3" t="s">
        <v>36</v>
      </c>
      <c r="T1203" s="3" t="s">
        <v>5377</v>
      </c>
      <c r="U1203" s="3" t="s">
        <v>38</v>
      </c>
      <c r="V1203" s="3" t="s">
        <v>39</v>
      </c>
      <c r="W1203" s="3" t="s">
        <v>7274</v>
      </c>
      <c r="X1203" s="10" t="s">
        <v>7275</v>
      </c>
      <c r="Y1203" s="6" t="s">
        <v>108</v>
      </c>
      <c r="Z1203" s="4">
        <v>10.87</v>
      </c>
      <c r="AA1203" s="4">
        <v>36.1</v>
      </c>
      <c r="AB1203" s="3" t="s">
        <v>43</v>
      </c>
      <c r="AC1203" s="3" t="s">
        <v>7276</v>
      </c>
      <c r="AD1203" s="9">
        <v>45079</v>
      </c>
      <c r="AE1203" s="3" t="s">
        <v>1200</v>
      </c>
      <c r="AF1203" s="3" t="s">
        <v>1331</v>
      </c>
      <c r="AG1203" s="3" t="s">
        <v>81</v>
      </c>
      <c r="AH1203" s="11">
        <f>HYPERLINK("https://my.pitchbook.com?c=225199-99T","View Company Online")</f>
      </c>
    </row>
    <row r="1204">
      <c r="A1204" s="12" t="s">
        <v>7277</v>
      </c>
      <c r="B1204" s="12" t="s">
        <v>7278</v>
      </c>
      <c r="C1204" s="19" t="s">
        <v>36</v>
      </c>
      <c r="D1204" s="19" t="s">
        <v>36</v>
      </c>
      <c r="E1204" s="19" t="s">
        <v>36</v>
      </c>
      <c r="F1204" s="19" t="s">
        <v>36</v>
      </c>
      <c r="G1204" s="15" t="s">
        <v>36</v>
      </c>
      <c r="H1204" s="14" t="s">
        <v>36</v>
      </c>
      <c r="I1204" s="18" t="s">
        <v>36</v>
      </c>
      <c r="J1204" s="12" t="s">
        <v>36</v>
      </c>
      <c r="K1204" s="13" t="s">
        <v>36</v>
      </c>
      <c r="L1204" s="15" t="s">
        <v>36</v>
      </c>
      <c r="M1204" s="12" t="s">
        <v>36</v>
      </c>
      <c r="N1204" s="12" t="s">
        <v>36</v>
      </c>
      <c r="O1204" s="17" t="s">
        <v>36</v>
      </c>
      <c r="P1204" s="12" t="s">
        <v>36</v>
      </c>
      <c r="Q1204" s="12" t="s">
        <v>36</v>
      </c>
      <c r="R1204" s="12" t="s">
        <v>36</v>
      </c>
      <c r="S1204" s="12" t="s">
        <v>36</v>
      </c>
      <c r="T1204" s="12" t="s">
        <v>7279</v>
      </c>
      <c r="U1204" s="12" t="s">
        <v>74</v>
      </c>
      <c r="V1204" s="12" t="s">
        <v>75</v>
      </c>
      <c r="W1204" s="12" t="s">
        <v>7280</v>
      </c>
      <c r="X1204" s="16" t="s">
        <v>1399</v>
      </c>
      <c r="Y1204" s="15" t="s">
        <v>42</v>
      </c>
      <c r="Z1204" s="14" t="s">
        <v>36</v>
      </c>
      <c r="AA1204" s="14" t="s">
        <v>36</v>
      </c>
      <c r="AB1204" s="12" t="s">
        <v>56</v>
      </c>
      <c r="AC1204" s="12" t="s">
        <v>7281</v>
      </c>
      <c r="AD1204" s="13">
        <v>45078</v>
      </c>
      <c r="AE1204" s="12" t="s">
        <v>1888</v>
      </c>
      <c r="AF1204" s="12" t="s">
        <v>36</v>
      </c>
      <c r="AG1204" s="12" t="s">
        <v>7282</v>
      </c>
      <c r="AH1204" s="1">
        <f>HYPERLINK("https://my.pitchbook.com?c=226391-95T","View Company Online")</f>
      </c>
    </row>
    <row r="1205">
      <c r="A1205" s="3" t="s">
        <v>7283</v>
      </c>
      <c r="B1205" s="3" t="s">
        <v>7284</v>
      </c>
      <c r="C1205" s="5" t="s">
        <v>36</v>
      </c>
      <c r="D1205" s="5" t="s">
        <v>36</v>
      </c>
      <c r="E1205" s="5" t="s">
        <v>36</v>
      </c>
      <c r="F1205" s="5" t="s">
        <v>36</v>
      </c>
      <c r="G1205" s="6" t="s">
        <v>36</v>
      </c>
      <c r="H1205" s="4" t="s">
        <v>36</v>
      </c>
      <c r="I1205" s="7" t="s">
        <v>36</v>
      </c>
      <c r="J1205" s="3" t="s">
        <v>36</v>
      </c>
      <c r="K1205" s="9" t="s">
        <v>36</v>
      </c>
      <c r="L1205" s="6" t="s">
        <v>36</v>
      </c>
      <c r="M1205" s="3" t="s">
        <v>36</v>
      </c>
      <c r="N1205" s="3" t="s">
        <v>36</v>
      </c>
      <c r="O1205" s="8" t="s">
        <v>36</v>
      </c>
      <c r="P1205" s="3" t="s">
        <v>36</v>
      </c>
      <c r="Q1205" s="3" t="s">
        <v>36</v>
      </c>
      <c r="R1205" s="3" t="s">
        <v>36</v>
      </c>
      <c r="S1205" s="3" t="s">
        <v>36</v>
      </c>
      <c r="T1205" s="3" t="s">
        <v>123</v>
      </c>
      <c r="U1205" s="3" t="s">
        <v>38</v>
      </c>
      <c r="V1205" s="3" t="s">
        <v>39</v>
      </c>
      <c r="W1205" s="3" t="s">
        <v>7285</v>
      </c>
      <c r="X1205" s="10" t="s">
        <v>7286</v>
      </c>
      <c r="Y1205" s="6" t="s">
        <v>42</v>
      </c>
      <c r="Z1205" s="4" t="s">
        <v>36</v>
      </c>
      <c r="AA1205" s="4" t="s">
        <v>36</v>
      </c>
      <c r="AB1205" s="3" t="s">
        <v>56</v>
      </c>
      <c r="AC1205" s="3" t="s">
        <v>7287</v>
      </c>
      <c r="AD1205" s="9">
        <v>45078</v>
      </c>
      <c r="AE1205" s="3" t="s">
        <v>110</v>
      </c>
      <c r="AF1205" s="3" t="s">
        <v>275</v>
      </c>
      <c r="AG1205" s="3" t="s">
        <v>7288</v>
      </c>
      <c r="AH1205" s="11">
        <f>HYPERLINK("https://my.pitchbook.com?c=226952-11T","View Company Online")</f>
      </c>
    </row>
    <row r="1206">
      <c r="A1206" s="12" t="s">
        <v>7289</v>
      </c>
      <c r="B1206" s="12" t="s">
        <v>7290</v>
      </c>
      <c r="C1206" s="19" t="s">
        <v>36</v>
      </c>
      <c r="D1206" s="19" t="s">
        <v>36</v>
      </c>
      <c r="E1206" s="19" t="s">
        <v>36</v>
      </c>
      <c r="F1206" s="19" t="s">
        <v>36</v>
      </c>
      <c r="G1206" s="15" t="s">
        <v>36</v>
      </c>
      <c r="H1206" s="14" t="s">
        <v>36</v>
      </c>
      <c r="I1206" s="18" t="s">
        <v>36</v>
      </c>
      <c r="J1206" s="12" t="s">
        <v>36</v>
      </c>
      <c r="K1206" s="13" t="s">
        <v>36</v>
      </c>
      <c r="L1206" s="15" t="s">
        <v>36</v>
      </c>
      <c r="M1206" s="12" t="s">
        <v>36</v>
      </c>
      <c r="N1206" s="12" t="s">
        <v>36</v>
      </c>
      <c r="O1206" s="17" t="s">
        <v>36</v>
      </c>
      <c r="P1206" s="12" t="s">
        <v>36</v>
      </c>
      <c r="Q1206" s="12" t="s">
        <v>36</v>
      </c>
      <c r="R1206" s="12" t="s">
        <v>36</v>
      </c>
      <c r="S1206" s="12" t="s">
        <v>36</v>
      </c>
      <c r="T1206" s="12" t="s">
        <v>7291</v>
      </c>
      <c r="U1206" s="12" t="s">
        <v>318</v>
      </c>
      <c r="V1206" s="12" t="s">
        <v>39</v>
      </c>
      <c r="W1206" s="12" t="s">
        <v>7292</v>
      </c>
      <c r="X1206" s="16" t="s">
        <v>738</v>
      </c>
      <c r="Y1206" s="15" t="s">
        <v>42</v>
      </c>
      <c r="Z1206" s="14">
        <v>1.5</v>
      </c>
      <c r="AA1206" s="14" t="s">
        <v>36</v>
      </c>
      <c r="AB1206" s="12" t="s">
        <v>43</v>
      </c>
      <c r="AC1206" s="12" t="s">
        <v>7293</v>
      </c>
      <c r="AD1206" s="13">
        <v>45078</v>
      </c>
      <c r="AE1206" s="12" t="s">
        <v>763</v>
      </c>
      <c r="AF1206" s="12" t="s">
        <v>7294</v>
      </c>
      <c r="AG1206" s="12" t="s">
        <v>741</v>
      </c>
      <c r="AH1206" s="1">
        <f>HYPERLINK("https://my.pitchbook.com?c=227325-61T","View Company Online")</f>
      </c>
    </row>
    <row r="1207">
      <c r="A1207" s="3" t="s">
        <v>7295</v>
      </c>
      <c r="B1207" s="3" t="s">
        <v>7296</v>
      </c>
      <c r="C1207" s="5" t="s">
        <v>36</v>
      </c>
      <c r="D1207" s="5" t="s">
        <v>36</v>
      </c>
      <c r="E1207" s="5" t="s">
        <v>36</v>
      </c>
      <c r="F1207" s="5" t="s">
        <v>36</v>
      </c>
      <c r="G1207" s="6" t="s">
        <v>36</v>
      </c>
      <c r="H1207" s="4" t="s">
        <v>36</v>
      </c>
      <c r="I1207" s="7" t="s">
        <v>36</v>
      </c>
      <c r="J1207" s="3" t="s">
        <v>36</v>
      </c>
      <c r="K1207" s="9" t="s">
        <v>36</v>
      </c>
      <c r="L1207" s="6" t="s">
        <v>36</v>
      </c>
      <c r="M1207" s="3" t="s">
        <v>36</v>
      </c>
      <c r="N1207" s="3" t="s">
        <v>36</v>
      </c>
      <c r="O1207" s="8" t="s">
        <v>36</v>
      </c>
      <c r="P1207" s="3" t="s">
        <v>36</v>
      </c>
      <c r="Q1207" s="3" t="s">
        <v>36</v>
      </c>
      <c r="R1207" s="3" t="s">
        <v>36</v>
      </c>
      <c r="S1207" s="3" t="s">
        <v>36</v>
      </c>
      <c r="T1207" s="3" t="s">
        <v>895</v>
      </c>
      <c r="U1207" s="3" t="s">
        <v>366</v>
      </c>
      <c r="V1207" s="3" t="s">
        <v>367</v>
      </c>
      <c r="W1207" s="3" t="s">
        <v>7297</v>
      </c>
      <c r="X1207" s="10" t="s">
        <v>1399</v>
      </c>
      <c r="Y1207" s="6" t="s">
        <v>42</v>
      </c>
      <c r="Z1207" s="4" t="s">
        <v>36</v>
      </c>
      <c r="AA1207" s="4" t="s">
        <v>36</v>
      </c>
      <c r="AB1207" s="3" t="s">
        <v>43</v>
      </c>
      <c r="AC1207" s="3" t="s">
        <v>7298</v>
      </c>
      <c r="AD1207" s="9">
        <v>45078</v>
      </c>
      <c r="AE1207" s="3" t="s">
        <v>600</v>
      </c>
      <c r="AF1207" s="3" t="s">
        <v>931</v>
      </c>
      <c r="AG1207" s="3" t="s">
        <v>741</v>
      </c>
      <c r="AH1207" s="11">
        <f>HYPERLINK("https://my.pitchbook.com?c=285196-24T","View Company Online")</f>
      </c>
    </row>
    <row r="1208">
      <c r="A1208" s="12" t="s">
        <v>7299</v>
      </c>
      <c r="B1208" s="12" t="s">
        <v>7300</v>
      </c>
      <c r="C1208" s="19" t="s">
        <v>36</v>
      </c>
      <c r="D1208" s="19" t="s">
        <v>36</v>
      </c>
      <c r="E1208" s="19" t="s">
        <v>36</v>
      </c>
      <c r="F1208" s="19" t="s">
        <v>36</v>
      </c>
      <c r="G1208" s="15" t="s">
        <v>36</v>
      </c>
      <c r="H1208" s="14" t="s">
        <v>36</v>
      </c>
      <c r="I1208" s="18" t="s">
        <v>36</v>
      </c>
      <c r="J1208" s="12" t="s">
        <v>36</v>
      </c>
      <c r="K1208" s="13" t="s">
        <v>36</v>
      </c>
      <c r="L1208" s="15" t="s">
        <v>36</v>
      </c>
      <c r="M1208" s="12" t="s">
        <v>36</v>
      </c>
      <c r="N1208" s="12" t="s">
        <v>36</v>
      </c>
      <c r="O1208" s="17" t="s">
        <v>36</v>
      </c>
      <c r="P1208" s="12" t="s">
        <v>36</v>
      </c>
      <c r="Q1208" s="12" t="s">
        <v>36</v>
      </c>
      <c r="R1208" s="12" t="s">
        <v>36</v>
      </c>
      <c r="S1208" s="12" t="s">
        <v>36</v>
      </c>
      <c r="T1208" s="12" t="s">
        <v>7301</v>
      </c>
      <c r="U1208" s="12" t="s">
        <v>74</v>
      </c>
      <c r="V1208" s="12" t="s">
        <v>75</v>
      </c>
      <c r="W1208" s="12" t="s">
        <v>7302</v>
      </c>
      <c r="X1208" s="16" t="s">
        <v>980</v>
      </c>
      <c r="Y1208" s="15" t="s">
        <v>42</v>
      </c>
      <c r="Z1208" s="14" t="s">
        <v>36</v>
      </c>
      <c r="AA1208" s="14" t="s">
        <v>36</v>
      </c>
      <c r="AB1208" s="12" t="s">
        <v>56</v>
      </c>
      <c r="AC1208" s="12" t="s">
        <v>7303</v>
      </c>
      <c r="AD1208" s="13">
        <v>45078</v>
      </c>
      <c r="AE1208" s="12" t="s">
        <v>1243</v>
      </c>
      <c r="AF1208" s="12" t="s">
        <v>6149</v>
      </c>
      <c r="AG1208" s="12" t="s">
        <v>144</v>
      </c>
      <c r="AH1208" s="1">
        <f>HYPERLINK("https://my.pitchbook.com?c=226641-52T","View Company Online")</f>
      </c>
    </row>
    <row r="1209">
      <c r="A1209" s="3" t="s">
        <v>7304</v>
      </c>
      <c r="B1209" s="3" t="s">
        <v>7305</v>
      </c>
      <c r="C1209" s="5" t="s">
        <v>36</v>
      </c>
      <c r="D1209" s="5" t="s">
        <v>36</v>
      </c>
      <c r="E1209" s="5" t="s">
        <v>36</v>
      </c>
      <c r="F1209" s="5" t="s">
        <v>36</v>
      </c>
      <c r="G1209" s="6" t="s">
        <v>326</v>
      </c>
      <c r="H1209" s="4" t="s">
        <v>36</v>
      </c>
      <c r="I1209" s="7">
        <v>23.51</v>
      </c>
      <c r="J1209" s="3" t="s">
        <v>327</v>
      </c>
      <c r="K1209" s="9" t="s">
        <v>36</v>
      </c>
      <c r="L1209" s="6" t="s">
        <v>36</v>
      </c>
      <c r="M1209" s="3" t="s">
        <v>36</v>
      </c>
      <c r="N1209" s="3" t="s">
        <v>36</v>
      </c>
      <c r="O1209" s="8" t="s">
        <v>36</v>
      </c>
      <c r="P1209" s="3" t="s">
        <v>36</v>
      </c>
      <c r="Q1209" s="3" t="s">
        <v>36</v>
      </c>
      <c r="R1209" s="3" t="s">
        <v>36</v>
      </c>
      <c r="S1209" s="3" t="s">
        <v>36</v>
      </c>
      <c r="T1209" s="3" t="s">
        <v>7306</v>
      </c>
      <c r="U1209" s="3" t="s">
        <v>38</v>
      </c>
      <c r="V1209" s="3" t="s">
        <v>39</v>
      </c>
      <c r="W1209" s="3" t="s">
        <v>7307</v>
      </c>
      <c r="X1209" s="10" t="s">
        <v>1412</v>
      </c>
      <c r="Y1209" s="6" t="s">
        <v>108</v>
      </c>
      <c r="Z1209" s="4">
        <v>6.9</v>
      </c>
      <c r="AA1209" s="4">
        <v>29.36</v>
      </c>
      <c r="AB1209" s="3" t="s">
        <v>56</v>
      </c>
      <c r="AC1209" s="3" t="s">
        <v>7308</v>
      </c>
      <c r="AD1209" s="9">
        <v>45078</v>
      </c>
      <c r="AE1209" s="3" t="s">
        <v>1945</v>
      </c>
      <c r="AF1209" s="3" t="s">
        <v>7309</v>
      </c>
      <c r="AG1209" s="3" t="s">
        <v>332</v>
      </c>
      <c r="AH1209" s="11">
        <f>HYPERLINK("https://my.pitchbook.com?c=225433-63T","View Company Online")</f>
      </c>
    </row>
    <row r="1210">
      <c r="A1210" s="12" t="s">
        <v>7310</v>
      </c>
      <c r="B1210" s="12" t="s">
        <v>7311</v>
      </c>
      <c r="C1210" s="19">
        <v>3</v>
      </c>
      <c r="D1210" s="19">
        <v>2</v>
      </c>
      <c r="E1210" s="19">
        <v>1</v>
      </c>
      <c r="F1210" s="19">
        <v>5</v>
      </c>
      <c r="G1210" s="15" t="s">
        <v>326</v>
      </c>
      <c r="H1210" s="14">
        <v>42.05</v>
      </c>
      <c r="I1210" s="18">
        <v>37.17</v>
      </c>
      <c r="J1210" s="12" t="s">
        <v>521</v>
      </c>
      <c r="K1210" s="13" t="s">
        <v>36</v>
      </c>
      <c r="L1210" s="15" t="s">
        <v>36</v>
      </c>
      <c r="M1210" s="12" t="s">
        <v>36</v>
      </c>
      <c r="N1210" s="12" t="s">
        <v>36</v>
      </c>
      <c r="O1210" s="17" t="s">
        <v>36</v>
      </c>
      <c r="P1210" s="12" t="s">
        <v>36</v>
      </c>
      <c r="Q1210" s="12" t="s">
        <v>36</v>
      </c>
      <c r="R1210" s="12" t="s">
        <v>36</v>
      </c>
      <c r="S1210" s="12" t="s">
        <v>5463</v>
      </c>
      <c r="T1210" s="12" t="s">
        <v>7312</v>
      </c>
      <c r="U1210" s="12" t="s">
        <v>38</v>
      </c>
      <c r="V1210" s="12" t="s">
        <v>39</v>
      </c>
      <c r="W1210" s="12" t="s">
        <v>7313</v>
      </c>
      <c r="X1210" s="16" t="s">
        <v>7314</v>
      </c>
      <c r="Y1210" s="15" t="s">
        <v>42</v>
      </c>
      <c r="Z1210" s="14">
        <v>1.41</v>
      </c>
      <c r="AA1210" s="14">
        <v>3.8</v>
      </c>
      <c r="AB1210" s="12" t="s">
        <v>43</v>
      </c>
      <c r="AC1210" s="12" t="s">
        <v>7315</v>
      </c>
      <c r="AD1210" s="13">
        <v>45078</v>
      </c>
      <c r="AE1210" s="12" t="s">
        <v>7316</v>
      </c>
      <c r="AF1210" s="12" t="s">
        <v>982</v>
      </c>
      <c r="AG1210" s="12" t="s">
        <v>81</v>
      </c>
      <c r="AH1210" s="1">
        <f>HYPERLINK("https://my.pitchbook.com?c=226291-24T","View Company Online")</f>
      </c>
    </row>
    <row r="1211">
      <c r="A1211" s="3" t="s">
        <v>7317</v>
      </c>
      <c r="B1211" s="3" t="s">
        <v>7318</v>
      </c>
      <c r="C1211" s="5" t="s">
        <v>36</v>
      </c>
      <c r="D1211" s="5" t="s">
        <v>36</v>
      </c>
      <c r="E1211" s="5" t="s">
        <v>36</v>
      </c>
      <c r="F1211" s="5" t="s">
        <v>36</v>
      </c>
      <c r="G1211" s="6" t="s">
        <v>36</v>
      </c>
      <c r="H1211" s="4" t="s">
        <v>36</v>
      </c>
      <c r="I1211" s="7" t="s">
        <v>36</v>
      </c>
      <c r="J1211" s="3" t="s">
        <v>36</v>
      </c>
      <c r="K1211" s="9" t="s">
        <v>36</v>
      </c>
      <c r="L1211" s="6" t="s">
        <v>36</v>
      </c>
      <c r="M1211" s="3" t="s">
        <v>36</v>
      </c>
      <c r="N1211" s="3" t="s">
        <v>36</v>
      </c>
      <c r="O1211" s="8" t="s">
        <v>36</v>
      </c>
      <c r="P1211" s="3" t="s">
        <v>36</v>
      </c>
      <c r="Q1211" s="3" t="s">
        <v>36</v>
      </c>
      <c r="R1211" s="3" t="s">
        <v>36</v>
      </c>
      <c r="S1211" s="3" t="s">
        <v>36</v>
      </c>
      <c r="T1211" s="3" t="s">
        <v>2601</v>
      </c>
      <c r="U1211" s="3" t="s">
        <v>74</v>
      </c>
      <c r="V1211" s="3" t="s">
        <v>75</v>
      </c>
      <c r="W1211" s="3" t="s">
        <v>7319</v>
      </c>
      <c r="X1211" s="10" t="s">
        <v>5228</v>
      </c>
      <c r="Y1211" s="6" t="s">
        <v>42</v>
      </c>
      <c r="Z1211" s="4" t="s">
        <v>36</v>
      </c>
      <c r="AA1211" s="4" t="s">
        <v>36</v>
      </c>
      <c r="AB1211" s="3" t="s">
        <v>43</v>
      </c>
      <c r="AC1211" s="3" t="s">
        <v>7320</v>
      </c>
      <c r="AD1211" s="9">
        <v>45078</v>
      </c>
      <c r="AE1211" s="3" t="s">
        <v>79</v>
      </c>
      <c r="AF1211" s="3" t="s">
        <v>36</v>
      </c>
      <c r="AG1211" s="3" t="s">
        <v>81</v>
      </c>
      <c r="AH1211" s="11">
        <f>HYPERLINK("https://my.pitchbook.com?c=227019-61T","View Company Online")</f>
      </c>
    </row>
    <row r="1212">
      <c r="A1212" s="12" t="s">
        <v>7321</v>
      </c>
      <c r="B1212" s="12" t="s">
        <v>7322</v>
      </c>
      <c r="C1212" s="19" t="s">
        <v>36</v>
      </c>
      <c r="D1212" s="19" t="s">
        <v>36</v>
      </c>
      <c r="E1212" s="19" t="s">
        <v>36</v>
      </c>
      <c r="F1212" s="19" t="s">
        <v>36</v>
      </c>
      <c r="G1212" s="15" t="s">
        <v>36</v>
      </c>
      <c r="H1212" s="14" t="s">
        <v>36</v>
      </c>
      <c r="I1212" s="18" t="s">
        <v>36</v>
      </c>
      <c r="J1212" s="12" t="s">
        <v>36</v>
      </c>
      <c r="K1212" s="13">
        <v>44958</v>
      </c>
      <c r="L1212" s="15" t="s">
        <v>94</v>
      </c>
      <c r="M1212" s="12" t="s">
        <v>36</v>
      </c>
      <c r="N1212" s="12" t="s">
        <v>94</v>
      </c>
      <c r="O1212" s="17" t="s">
        <v>36</v>
      </c>
      <c r="P1212" s="12" t="s">
        <v>36</v>
      </c>
      <c r="Q1212" s="12" t="s">
        <v>36</v>
      </c>
      <c r="R1212" s="12" t="s">
        <v>36</v>
      </c>
      <c r="S1212" s="12" t="s">
        <v>36</v>
      </c>
      <c r="T1212" s="12" t="s">
        <v>189</v>
      </c>
      <c r="U1212" s="12" t="s">
        <v>180</v>
      </c>
      <c r="V1212" s="12" t="s">
        <v>52</v>
      </c>
      <c r="W1212" s="12" t="s">
        <v>7323</v>
      </c>
      <c r="X1212" s="16" t="s">
        <v>7324</v>
      </c>
      <c r="Y1212" s="15" t="s">
        <v>55</v>
      </c>
      <c r="Z1212" s="14">
        <v>29.36</v>
      </c>
      <c r="AA1212" s="14" t="s">
        <v>36</v>
      </c>
      <c r="AB1212" s="12" t="s">
        <v>56</v>
      </c>
      <c r="AC1212" s="12" t="s">
        <v>7325</v>
      </c>
      <c r="AD1212" s="13">
        <v>45078</v>
      </c>
      <c r="AE1212" s="12" t="s">
        <v>184</v>
      </c>
      <c r="AF1212" s="12" t="s">
        <v>7326</v>
      </c>
      <c r="AG1212" s="12" t="s">
        <v>7327</v>
      </c>
      <c r="AH1212" s="1">
        <f>HYPERLINK("https://my.pitchbook.com?c=226996-84T","View Company Online")</f>
      </c>
    </row>
    <row r="1213">
      <c r="A1213" s="3" t="s">
        <v>7328</v>
      </c>
      <c r="B1213" s="3" t="s">
        <v>7329</v>
      </c>
      <c r="C1213" s="5" t="s">
        <v>36</v>
      </c>
      <c r="D1213" s="5" t="s">
        <v>36</v>
      </c>
      <c r="E1213" s="5" t="s">
        <v>36</v>
      </c>
      <c r="F1213" s="5" t="s">
        <v>36</v>
      </c>
      <c r="G1213" s="6" t="s">
        <v>36</v>
      </c>
      <c r="H1213" s="4" t="s">
        <v>36</v>
      </c>
      <c r="I1213" s="7" t="s">
        <v>36</v>
      </c>
      <c r="J1213" s="3" t="s">
        <v>36</v>
      </c>
      <c r="K1213" s="9" t="s">
        <v>36</v>
      </c>
      <c r="L1213" s="6" t="s">
        <v>36</v>
      </c>
      <c r="M1213" s="3" t="s">
        <v>36</v>
      </c>
      <c r="N1213" s="3" t="s">
        <v>36</v>
      </c>
      <c r="O1213" s="8" t="s">
        <v>36</v>
      </c>
      <c r="P1213" s="3" t="s">
        <v>36</v>
      </c>
      <c r="Q1213" s="3" t="s">
        <v>36</v>
      </c>
      <c r="R1213" s="3" t="s">
        <v>36</v>
      </c>
      <c r="S1213" s="3" t="s">
        <v>36</v>
      </c>
      <c r="T1213" s="3" t="s">
        <v>7330</v>
      </c>
      <c r="U1213" s="3" t="s">
        <v>728</v>
      </c>
      <c r="V1213" s="3" t="s">
        <v>64</v>
      </c>
      <c r="W1213" s="3" t="s">
        <v>7331</v>
      </c>
      <c r="X1213" s="10" t="s">
        <v>1399</v>
      </c>
      <c r="Y1213" s="6" t="s">
        <v>108</v>
      </c>
      <c r="Z1213" s="4" t="s">
        <v>36</v>
      </c>
      <c r="AA1213" s="4" t="s">
        <v>36</v>
      </c>
      <c r="AB1213" s="3" t="s">
        <v>56</v>
      </c>
      <c r="AC1213" s="3" t="s">
        <v>7332</v>
      </c>
      <c r="AD1213" s="9">
        <v>45078</v>
      </c>
      <c r="AE1213" s="3" t="s">
        <v>1600</v>
      </c>
      <c r="AF1213" s="3" t="s">
        <v>90</v>
      </c>
      <c r="AG1213" s="3" t="s">
        <v>7333</v>
      </c>
      <c r="AH1213" s="11">
        <f>HYPERLINK("https://my.pitchbook.com?c=226711-36T","View Company Online")</f>
      </c>
    </row>
    <row r="1214">
      <c r="A1214" s="12" t="s">
        <v>7334</v>
      </c>
      <c r="B1214" s="12" t="s">
        <v>7335</v>
      </c>
      <c r="C1214" s="19" t="s">
        <v>36</v>
      </c>
      <c r="D1214" s="19" t="s">
        <v>36</v>
      </c>
      <c r="E1214" s="19" t="s">
        <v>36</v>
      </c>
      <c r="F1214" s="19" t="s">
        <v>36</v>
      </c>
      <c r="G1214" s="15" t="s">
        <v>36</v>
      </c>
      <c r="H1214" s="14" t="s">
        <v>36</v>
      </c>
      <c r="I1214" s="18" t="s">
        <v>36</v>
      </c>
      <c r="J1214" s="12" t="s">
        <v>36</v>
      </c>
      <c r="K1214" s="13" t="s">
        <v>36</v>
      </c>
      <c r="L1214" s="15" t="s">
        <v>36</v>
      </c>
      <c r="M1214" s="12" t="s">
        <v>36</v>
      </c>
      <c r="N1214" s="12" t="s">
        <v>36</v>
      </c>
      <c r="O1214" s="17" t="s">
        <v>36</v>
      </c>
      <c r="P1214" s="12" t="s">
        <v>36</v>
      </c>
      <c r="Q1214" s="12" t="s">
        <v>36</v>
      </c>
      <c r="R1214" s="12" t="s">
        <v>36</v>
      </c>
      <c r="S1214" s="12" t="s">
        <v>36</v>
      </c>
      <c r="T1214" s="12" t="s">
        <v>7336</v>
      </c>
      <c r="U1214" s="12" t="s">
        <v>85</v>
      </c>
      <c r="V1214" s="12" t="s">
        <v>64</v>
      </c>
      <c r="W1214" s="12" t="s">
        <v>7337</v>
      </c>
      <c r="X1214" s="16" t="s">
        <v>7338</v>
      </c>
      <c r="Y1214" s="15" t="s">
        <v>321</v>
      </c>
      <c r="Z1214" s="14" t="s">
        <v>36</v>
      </c>
      <c r="AA1214" s="14" t="s">
        <v>36</v>
      </c>
      <c r="AB1214" s="12" t="s">
        <v>56</v>
      </c>
      <c r="AC1214" s="12" t="s">
        <v>7339</v>
      </c>
      <c r="AD1214" s="13">
        <v>45078</v>
      </c>
      <c r="AE1214" s="12" t="s">
        <v>89</v>
      </c>
      <c r="AF1214" s="12" t="s">
        <v>7340</v>
      </c>
      <c r="AG1214" s="12" t="s">
        <v>81</v>
      </c>
      <c r="AH1214" s="1">
        <f>HYPERLINK("https://my.pitchbook.com?c=225126-46T","View Company Online")</f>
      </c>
    </row>
    <row r="1215">
      <c r="A1215" s="3" t="s">
        <v>7341</v>
      </c>
      <c r="B1215" s="3" t="s">
        <v>7342</v>
      </c>
      <c r="C1215" s="5" t="s">
        <v>36</v>
      </c>
      <c r="D1215" s="5" t="s">
        <v>36</v>
      </c>
      <c r="E1215" s="5" t="s">
        <v>36</v>
      </c>
      <c r="F1215" s="5" t="s">
        <v>36</v>
      </c>
      <c r="G1215" s="6" t="s">
        <v>36</v>
      </c>
      <c r="H1215" s="4" t="s">
        <v>36</v>
      </c>
      <c r="I1215" s="7" t="s">
        <v>36</v>
      </c>
      <c r="J1215" s="3" t="s">
        <v>36</v>
      </c>
      <c r="K1215" s="9" t="s">
        <v>36</v>
      </c>
      <c r="L1215" s="6" t="s">
        <v>36</v>
      </c>
      <c r="M1215" s="3" t="s">
        <v>36</v>
      </c>
      <c r="N1215" s="3" t="s">
        <v>36</v>
      </c>
      <c r="O1215" s="8" t="s">
        <v>36</v>
      </c>
      <c r="P1215" s="3" t="s">
        <v>36</v>
      </c>
      <c r="Q1215" s="3" t="s">
        <v>36</v>
      </c>
      <c r="R1215" s="3" t="s">
        <v>36</v>
      </c>
      <c r="S1215" s="3" t="s">
        <v>36</v>
      </c>
      <c r="T1215" s="3" t="s">
        <v>3958</v>
      </c>
      <c r="U1215" s="3" t="s">
        <v>38</v>
      </c>
      <c r="V1215" s="3" t="s">
        <v>39</v>
      </c>
      <c r="W1215" s="3" t="s">
        <v>7343</v>
      </c>
      <c r="X1215" s="10" t="s">
        <v>7344</v>
      </c>
      <c r="Y1215" s="6" t="s">
        <v>108</v>
      </c>
      <c r="Z1215" s="4" t="s">
        <v>36</v>
      </c>
      <c r="AA1215" s="4" t="s">
        <v>36</v>
      </c>
      <c r="AB1215" s="3" t="s">
        <v>56</v>
      </c>
      <c r="AC1215" s="3" t="s">
        <v>7345</v>
      </c>
      <c r="AD1215" s="9">
        <v>45078</v>
      </c>
      <c r="AE1215" s="3" t="s">
        <v>110</v>
      </c>
      <c r="AF1215" s="3" t="s">
        <v>7346</v>
      </c>
      <c r="AG1215" s="3" t="s">
        <v>81</v>
      </c>
      <c r="AH1215" s="11">
        <f>HYPERLINK("https://my.pitchbook.com?c=247241-17T","View Company Online")</f>
      </c>
    </row>
    <row r="1216">
      <c r="A1216" s="12" t="s">
        <v>7347</v>
      </c>
      <c r="B1216" s="12" t="s">
        <v>2399</v>
      </c>
      <c r="C1216" s="19" t="s">
        <v>36</v>
      </c>
      <c r="D1216" s="19" t="s">
        <v>36</v>
      </c>
      <c r="E1216" s="19" t="s">
        <v>36</v>
      </c>
      <c r="F1216" s="19" t="s">
        <v>36</v>
      </c>
      <c r="G1216" s="15" t="s">
        <v>683</v>
      </c>
      <c r="H1216" s="14">
        <v>122.27</v>
      </c>
      <c r="I1216" s="18">
        <v>24.45</v>
      </c>
      <c r="J1216" s="12" t="s">
        <v>521</v>
      </c>
      <c r="K1216" s="13" t="s">
        <v>36</v>
      </c>
      <c r="L1216" s="15" t="s">
        <v>36</v>
      </c>
      <c r="M1216" s="12" t="s">
        <v>36</v>
      </c>
      <c r="N1216" s="12" t="s">
        <v>36</v>
      </c>
      <c r="O1216" s="17" t="s">
        <v>36</v>
      </c>
      <c r="P1216" s="12" t="s">
        <v>36</v>
      </c>
      <c r="Q1216" s="12" t="s">
        <v>36</v>
      </c>
      <c r="R1216" s="12" t="s">
        <v>36</v>
      </c>
      <c r="S1216" s="12" t="s">
        <v>36</v>
      </c>
      <c r="T1216" s="12" t="s">
        <v>37</v>
      </c>
      <c r="U1216" s="12" t="s">
        <v>38</v>
      </c>
      <c r="V1216" s="12" t="s">
        <v>39</v>
      </c>
      <c r="W1216" s="12" t="s">
        <v>2400</v>
      </c>
      <c r="X1216" s="16" t="s">
        <v>7348</v>
      </c>
      <c r="Y1216" s="15" t="s">
        <v>192</v>
      </c>
      <c r="Z1216" s="14">
        <v>4.54</v>
      </c>
      <c r="AA1216" s="14">
        <v>18.57</v>
      </c>
      <c r="AB1216" s="12" t="s">
        <v>56</v>
      </c>
      <c r="AC1216" s="12" t="s">
        <v>2402</v>
      </c>
      <c r="AD1216" s="13">
        <v>45078</v>
      </c>
      <c r="AE1216" s="12" t="s">
        <v>45</v>
      </c>
      <c r="AF1216" s="12" t="s">
        <v>799</v>
      </c>
      <c r="AG1216" s="12" t="s">
        <v>81</v>
      </c>
      <c r="AH1216" s="1">
        <f>HYPERLINK("https://my.pitchbook.com?c=203581-45T","View Company Online")</f>
      </c>
    </row>
    <row r="1217">
      <c r="A1217" s="3" t="s">
        <v>7349</v>
      </c>
      <c r="B1217" s="3" t="s">
        <v>7350</v>
      </c>
      <c r="C1217" s="5" t="s">
        <v>36</v>
      </c>
      <c r="D1217" s="5" t="s">
        <v>36</v>
      </c>
      <c r="E1217" s="5" t="s">
        <v>36</v>
      </c>
      <c r="F1217" s="5" t="s">
        <v>36</v>
      </c>
      <c r="G1217" s="6" t="s">
        <v>36</v>
      </c>
      <c r="H1217" s="4" t="s">
        <v>36</v>
      </c>
      <c r="I1217" s="7" t="s">
        <v>36</v>
      </c>
      <c r="J1217" s="3" t="s">
        <v>36</v>
      </c>
      <c r="K1217" s="9" t="s">
        <v>36</v>
      </c>
      <c r="L1217" s="6" t="s">
        <v>36</v>
      </c>
      <c r="M1217" s="3" t="s">
        <v>36</v>
      </c>
      <c r="N1217" s="3" t="s">
        <v>36</v>
      </c>
      <c r="O1217" s="8" t="s">
        <v>36</v>
      </c>
      <c r="P1217" s="3" t="s">
        <v>36</v>
      </c>
      <c r="Q1217" s="3" t="s">
        <v>36</v>
      </c>
      <c r="R1217" s="3" t="s">
        <v>36</v>
      </c>
      <c r="S1217" s="3" t="s">
        <v>36</v>
      </c>
      <c r="T1217" s="3" t="s">
        <v>7351</v>
      </c>
      <c r="U1217" s="3" t="s">
        <v>728</v>
      </c>
      <c r="V1217" s="3" t="s">
        <v>64</v>
      </c>
      <c r="W1217" s="3" t="s">
        <v>7352</v>
      </c>
      <c r="X1217" s="10" t="s">
        <v>7353</v>
      </c>
      <c r="Y1217" s="6" t="s">
        <v>42</v>
      </c>
      <c r="Z1217" s="4" t="s">
        <v>36</v>
      </c>
      <c r="AA1217" s="4" t="s">
        <v>36</v>
      </c>
      <c r="AB1217" s="3" t="s">
        <v>56</v>
      </c>
      <c r="AC1217" s="3" t="s">
        <v>7354</v>
      </c>
      <c r="AD1217" s="9">
        <v>45078</v>
      </c>
      <c r="AE1217" s="3" t="s">
        <v>1600</v>
      </c>
      <c r="AF1217" s="3" t="s">
        <v>1061</v>
      </c>
      <c r="AG1217" s="3" t="s">
        <v>899</v>
      </c>
      <c r="AH1217" s="11">
        <f>HYPERLINK("https://my.pitchbook.com?c=228588-94T","View Company Online")</f>
      </c>
    </row>
    <row r="1218">
      <c r="A1218" s="12" t="s">
        <v>7355</v>
      </c>
      <c r="B1218" s="12" t="s">
        <v>1232</v>
      </c>
      <c r="C1218" s="19" t="s">
        <v>36</v>
      </c>
      <c r="D1218" s="19" t="s">
        <v>36</v>
      </c>
      <c r="E1218" s="19" t="s">
        <v>36</v>
      </c>
      <c r="F1218" s="19" t="s">
        <v>36</v>
      </c>
      <c r="G1218" s="15" t="s">
        <v>36</v>
      </c>
      <c r="H1218" s="14" t="s">
        <v>36</v>
      </c>
      <c r="I1218" s="18">
        <v>18.77</v>
      </c>
      <c r="J1218" s="12" t="s">
        <v>327</v>
      </c>
      <c r="K1218" s="13" t="s">
        <v>36</v>
      </c>
      <c r="L1218" s="15" t="s">
        <v>36</v>
      </c>
      <c r="M1218" s="12" t="s">
        <v>36</v>
      </c>
      <c r="N1218" s="12" t="s">
        <v>36</v>
      </c>
      <c r="O1218" s="17" t="s">
        <v>36</v>
      </c>
      <c r="P1218" s="12" t="s">
        <v>36</v>
      </c>
      <c r="Q1218" s="12" t="s">
        <v>36</v>
      </c>
      <c r="R1218" s="12" t="s">
        <v>36</v>
      </c>
      <c r="S1218" s="12" t="s">
        <v>36</v>
      </c>
      <c r="T1218" s="12" t="s">
        <v>630</v>
      </c>
      <c r="U1218" s="12" t="s">
        <v>38</v>
      </c>
      <c r="V1218" s="12" t="s">
        <v>39</v>
      </c>
      <c r="W1218" s="12" t="s">
        <v>1233</v>
      </c>
      <c r="X1218" s="16" t="s">
        <v>7356</v>
      </c>
      <c r="Y1218" s="15" t="s">
        <v>42</v>
      </c>
      <c r="Z1218" s="14">
        <v>0.15</v>
      </c>
      <c r="AA1218" s="14">
        <v>0.81</v>
      </c>
      <c r="AB1218" s="12" t="s">
        <v>43</v>
      </c>
      <c r="AC1218" s="12" t="s">
        <v>1235</v>
      </c>
      <c r="AD1218" s="13">
        <v>45078</v>
      </c>
      <c r="AE1218" s="12" t="s">
        <v>110</v>
      </c>
      <c r="AF1218" s="12" t="s">
        <v>1236</v>
      </c>
      <c r="AG1218" s="12" t="s">
        <v>81</v>
      </c>
      <c r="AH1218" s="1">
        <f>HYPERLINK("https://my.pitchbook.com?c=227166-94T","View Company Online")</f>
      </c>
    </row>
    <row r="1219">
      <c r="A1219" s="3" t="s">
        <v>7357</v>
      </c>
      <c r="B1219" s="3" t="s">
        <v>7358</v>
      </c>
      <c r="C1219" s="5" t="s">
        <v>36</v>
      </c>
      <c r="D1219" s="5" t="s">
        <v>36</v>
      </c>
      <c r="E1219" s="5" t="s">
        <v>36</v>
      </c>
      <c r="F1219" s="5" t="s">
        <v>36</v>
      </c>
      <c r="G1219" s="6" t="s">
        <v>36</v>
      </c>
      <c r="H1219" s="4" t="s">
        <v>36</v>
      </c>
      <c r="I1219" s="7" t="s">
        <v>36</v>
      </c>
      <c r="J1219" s="3" t="s">
        <v>36</v>
      </c>
      <c r="K1219" s="9" t="s">
        <v>36</v>
      </c>
      <c r="L1219" s="6" t="s">
        <v>36</v>
      </c>
      <c r="M1219" s="3" t="s">
        <v>36</v>
      </c>
      <c r="N1219" s="3" t="s">
        <v>36</v>
      </c>
      <c r="O1219" s="8" t="s">
        <v>36</v>
      </c>
      <c r="P1219" s="3" t="s">
        <v>36</v>
      </c>
      <c r="Q1219" s="3" t="s">
        <v>36</v>
      </c>
      <c r="R1219" s="3" t="s">
        <v>36</v>
      </c>
      <c r="S1219" s="3" t="s">
        <v>36</v>
      </c>
      <c r="T1219" s="3" t="s">
        <v>7359</v>
      </c>
      <c r="U1219" s="3" t="s">
        <v>956</v>
      </c>
      <c r="V1219" s="3" t="s">
        <v>405</v>
      </c>
      <c r="W1219" s="3" t="s">
        <v>7360</v>
      </c>
      <c r="X1219" s="10" t="s">
        <v>7361</v>
      </c>
      <c r="Y1219" s="6" t="s">
        <v>108</v>
      </c>
      <c r="Z1219" s="4" t="s">
        <v>36</v>
      </c>
      <c r="AA1219" s="4" t="s">
        <v>36</v>
      </c>
      <c r="AB1219" s="3" t="s">
        <v>56</v>
      </c>
      <c r="AC1219" s="3" t="s">
        <v>7362</v>
      </c>
      <c r="AD1219" s="9">
        <v>45078</v>
      </c>
      <c r="AE1219" s="3" t="s">
        <v>1851</v>
      </c>
      <c r="AF1219" s="3" t="s">
        <v>2054</v>
      </c>
      <c r="AG1219" s="3" t="s">
        <v>1485</v>
      </c>
      <c r="AH1219" s="11">
        <f>HYPERLINK("https://my.pitchbook.com?c=227234-26T","View Company Online")</f>
      </c>
    </row>
    <row r="1220">
      <c r="A1220" s="12" t="s">
        <v>7363</v>
      </c>
      <c r="B1220" s="12" t="s">
        <v>7364</v>
      </c>
      <c r="C1220" s="19">
        <v>6</v>
      </c>
      <c r="D1220" s="19">
        <v>19</v>
      </c>
      <c r="E1220" s="19">
        <v>13</v>
      </c>
      <c r="F1220" s="19">
        <v>37</v>
      </c>
      <c r="G1220" s="15" t="s">
        <v>36</v>
      </c>
      <c r="H1220" s="14" t="s">
        <v>36</v>
      </c>
      <c r="I1220" s="18" t="s">
        <v>36</v>
      </c>
      <c r="J1220" s="12" t="s">
        <v>36</v>
      </c>
      <c r="K1220" s="13" t="s">
        <v>36</v>
      </c>
      <c r="L1220" s="15" t="s">
        <v>36</v>
      </c>
      <c r="M1220" s="12" t="s">
        <v>36</v>
      </c>
      <c r="N1220" s="12" t="s">
        <v>36</v>
      </c>
      <c r="O1220" s="17" t="s">
        <v>36</v>
      </c>
      <c r="P1220" s="12" t="s">
        <v>36</v>
      </c>
      <c r="Q1220" s="12" t="s">
        <v>36</v>
      </c>
      <c r="R1220" s="12" t="s">
        <v>36</v>
      </c>
      <c r="S1220" s="12" t="s">
        <v>36</v>
      </c>
      <c r="T1220" s="12" t="s">
        <v>7365</v>
      </c>
      <c r="U1220" s="12" t="s">
        <v>219</v>
      </c>
      <c r="V1220" s="12" t="s">
        <v>75</v>
      </c>
      <c r="W1220" s="12" t="s">
        <v>7366</v>
      </c>
      <c r="X1220" s="16" t="s">
        <v>980</v>
      </c>
      <c r="Y1220" s="15" t="s">
        <v>42</v>
      </c>
      <c r="Z1220" s="14" t="s">
        <v>36</v>
      </c>
      <c r="AA1220" s="14" t="s">
        <v>36</v>
      </c>
      <c r="AB1220" s="12" t="s">
        <v>56</v>
      </c>
      <c r="AC1220" s="12" t="s">
        <v>7367</v>
      </c>
      <c r="AD1220" s="13">
        <v>45078</v>
      </c>
      <c r="AE1220" s="12" t="s">
        <v>2914</v>
      </c>
      <c r="AF1220" s="12" t="s">
        <v>7368</v>
      </c>
      <c r="AG1220" s="12" t="s">
        <v>382</v>
      </c>
      <c r="AH1220" s="1">
        <f>HYPERLINK("https://my.pitchbook.com?c=226675-36T","View Company Online")</f>
      </c>
    </row>
    <row r="1221">
      <c r="A1221" s="3" t="s">
        <v>7369</v>
      </c>
      <c r="B1221" s="3" t="s">
        <v>7370</v>
      </c>
      <c r="C1221" s="5" t="s">
        <v>36</v>
      </c>
      <c r="D1221" s="5" t="s">
        <v>36</v>
      </c>
      <c r="E1221" s="5" t="s">
        <v>36</v>
      </c>
      <c r="F1221" s="5" t="s">
        <v>36</v>
      </c>
      <c r="G1221" s="6" t="s">
        <v>36</v>
      </c>
      <c r="H1221" s="4" t="s">
        <v>36</v>
      </c>
      <c r="I1221" s="7" t="s">
        <v>36</v>
      </c>
      <c r="J1221" s="3" t="s">
        <v>36</v>
      </c>
      <c r="K1221" s="9" t="s">
        <v>36</v>
      </c>
      <c r="L1221" s="6" t="s">
        <v>36</v>
      </c>
      <c r="M1221" s="3" t="s">
        <v>36</v>
      </c>
      <c r="N1221" s="3" t="s">
        <v>36</v>
      </c>
      <c r="O1221" s="8" t="s">
        <v>36</v>
      </c>
      <c r="P1221" s="3" t="s">
        <v>36</v>
      </c>
      <c r="Q1221" s="3" t="s">
        <v>36</v>
      </c>
      <c r="R1221" s="3" t="s">
        <v>36</v>
      </c>
      <c r="S1221" s="3" t="s">
        <v>2072</v>
      </c>
      <c r="T1221" s="3" t="s">
        <v>4141</v>
      </c>
      <c r="U1221" s="3" t="s">
        <v>74</v>
      </c>
      <c r="V1221" s="3" t="s">
        <v>75</v>
      </c>
      <c r="W1221" s="3" t="s">
        <v>7371</v>
      </c>
      <c r="X1221" s="10" t="s">
        <v>7372</v>
      </c>
      <c r="Y1221" s="6" t="s">
        <v>42</v>
      </c>
      <c r="Z1221" s="4">
        <v>1.63</v>
      </c>
      <c r="AA1221" s="4" t="s">
        <v>36</v>
      </c>
      <c r="AB1221" s="3" t="s">
        <v>43</v>
      </c>
      <c r="AC1221" s="3" t="s">
        <v>7373</v>
      </c>
      <c r="AD1221" s="9">
        <v>45078</v>
      </c>
      <c r="AE1221" s="3" t="s">
        <v>570</v>
      </c>
      <c r="AF1221" s="3" t="s">
        <v>7374</v>
      </c>
      <c r="AG1221" s="3" t="s">
        <v>81</v>
      </c>
      <c r="AH1221" s="11">
        <f>HYPERLINK("https://my.pitchbook.com?c=225051-40T","View Company Online")</f>
      </c>
    </row>
    <row r="1222">
      <c r="A1222" s="12" t="s">
        <v>7375</v>
      </c>
      <c r="B1222" s="12" t="s">
        <v>7376</v>
      </c>
      <c r="C1222" s="19" t="s">
        <v>36</v>
      </c>
      <c r="D1222" s="19" t="s">
        <v>36</v>
      </c>
      <c r="E1222" s="19" t="s">
        <v>36</v>
      </c>
      <c r="F1222" s="19" t="s">
        <v>36</v>
      </c>
      <c r="G1222" s="15" t="s">
        <v>36</v>
      </c>
      <c r="H1222" s="14" t="s">
        <v>36</v>
      </c>
      <c r="I1222" s="18" t="s">
        <v>36</v>
      </c>
      <c r="J1222" s="12" t="s">
        <v>36</v>
      </c>
      <c r="K1222" s="13" t="s">
        <v>36</v>
      </c>
      <c r="L1222" s="15" t="s">
        <v>36</v>
      </c>
      <c r="M1222" s="12" t="s">
        <v>36</v>
      </c>
      <c r="N1222" s="12" t="s">
        <v>36</v>
      </c>
      <c r="O1222" s="17" t="s">
        <v>36</v>
      </c>
      <c r="P1222" s="12" t="s">
        <v>36</v>
      </c>
      <c r="Q1222" s="12" t="s">
        <v>36</v>
      </c>
      <c r="R1222" s="12" t="s">
        <v>36</v>
      </c>
      <c r="S1222" s="12" t="s">
        <v>36</v>
      </c>
      <c r="T1222" s="12" t="s">
        <v>596</v>
      </c>
      <c r="U1222" s="12" t="s">
        <v>366</v>
      </c>
      <c r="V1222" s="12" t="s">
        <v>367</v>
      </c>
      <c r="W1222" s="12" t="s">
        <v>7377</v>
      </c>
      <c r="X1222" s="16" t="s">
        <v>980</v>
      </c>
      <c r="Y1222" s="15" t="s">
        <v>475</v>
      </c>
      <c r="Z1222" s="14" t="s">
        <v>36</v>
      </c>
      <c r="AA1222" s="14" t="s">
        <v>36</v>
      </c>
      <c r="AB1222" s="12" t="s">
        <v>56</v>
      </c>
      <c r="AC1222" s="12" t="s">
        <v>7378</v>
      </c>
      <c r="AD1222" s="13">
        <v>45078</v>
      </c>
      <c r="AE1222" s="12" t="s">
        <v>600</v>
      </c>
      <c r="AF1222" s="12" t="s">
        <v>7379</v>
      </c>
      <c r="AG1222" s="12" t="s">
        <v>2180</v>
      </c>
      <c r="AH1222" s="1">
        <f>HYPERLINK("https://my.pitchbook.com?c=226740-79T","View Company Online")</f>
      </c>
    </row>
    <row r="1223">
      <c r="A1223" s="3" t="s">
        <v>7380</v>
      </c>
      <c r="B1223" s="3" t="s">
        <v>5985</v>
      </c>
      <c r="C1223" s="5" t="s">
        <v>36</v>
      </c>
      <c r="D1223" s="5" t="s">
        <v>36</v>
      </c>
      <c r="E1223" s="5" t="s">
        <v>36</v>
      </c>
      <c r="F1223" s="5" t="s">
        <v>36</v>
      </c>
      <c r="G1223" s="6" t="s">
        <v>36</v>
      </c>
      <c r="H1223" s="4">
        <v>552.97</v>
      </c>
      <c r="I1223" s="7">
        <v>27.48</v>
      </c>
      <c r="J1223" s="3" t="s">
        <v>521</v>
      </c>
      <c r="K1223" s="9" t="s">
        <v>36</v>
      </c>
      <c r="L1223" s="6" t="s">
        <v>36</v>
      </c>
      <c r="M1223" s="3" t="s">
        <v>36</v>
      </c>
      <c r="N1223" s="3" t="s">
        <v>36</v>
      </c>
      <c r="O1223" s="8" t="s">
        <v>36</v>
      </c>
      <c r="P1223" s="3" t="s">
        <v>36</v>
      </c>
      <c r="Q1223" s="3" t="s">
        <v>36</v>
      </c>
      <c r="R1223" s="3" t="s">
        <v>36</v>
      </c>
      <c r="S1223" s="3" t="s">
        <v>36</v>
      </c>
      <c r="T1223" s="3" t="s">
        <v>1838</v>
      </c>
      <c r="U1223" s="3" t="s">
        <v>38</v>
      </c>
      <c r="V1223" s="3" t="s">
        <v>39</v>
      </c>
      <c r="W1223" s="3" t="s">
        <v>5986</v>
      </c>
      <c r="X1223" s="10" t="s">
        <v>7381</v>
      </c>
      <c r="Y1223" s="6" t="s">
        <v>42</v>
      </c>
      <c r="Z1223" s="4">
        <v>4</v>
      </c>
      <c r="AA1223" s="4">
        <v>14.54</v>
      </c>
      <c r="AB1223" s="3" t="s">
        <v>43</v>
      </c>
      <c r="AC1223" s="3" t="s">
        <v>5988</v>
      </c>
      <c r="AD1223" s="9">
        <v>45078</v>
      </c>
      <c r="AE1223" s="3" t="s">
        <v>110</v>
      </c>
      <c r="AF1223" s="3" t="s">
        <v>176</v>
      </c>
      <c r="AG1223" s="3" t="s">
        <v>81</v>
      </c>
      <c r="AH1223" s="11">
        <f>HYPERLINK("https://my.pitchbook.com?c=200935-36T","View Company Online")</f>
      </c>
    </row>
    <row r="1224">
      <c r="A1224" s="12" t="s">
        <v>7382</v>
      </c>
      <c r="B1224" s="12" t="s">
        <v>7383</v>
      </c>
      <c r="C1224" s="19" t="s">
        <v>36</v>
      </c>
      <c r="D1224" s="19" t="s">
        <v>36</v>
      </c>
      <c r="E1224" s="19" t="s">
        <v>36</v>
      </c>
      <c r="F1224" s="19" t="s">
        <v>36</v>
      </c>
      <c r="G1224" s="15" t="s">
        <v>326</v>
      </c>
      <c r="H1224" s="14">
        <v>215.74</v>
      </c>
      <c r="I1224" s="18">
        <v>21.28</v>
      </c>
      <c r="J1224" s="12" t="s">
        <v>521</v>
      </c>
      <c r="K1224" s="13" t="s">
        <v>36</v>
      </c>
      <c r="L1224" s="15" t="s">
        <v>36</v>
      </c>
      <c r="M1224" s="12" t="s">
        <v>36</v>
      </c>
      <c r="N1224" s="12" t="s">
        <v>36</v>
      </c>
      <c r="O1224" s="17" t="s">
        <v>36</v>
      </c>
      <c r="P1224" s="12" t="s">
        <v>36</v>
      </c>
      <c r="Q1224" s="12" t="s">
        <v>36</v>
      </c>
      <c r="R1224" s="12" t="s">
        <v>36</v>
      </c>
      <c r="S1224" s="12" t="s">
        <v>36</v>
      </c>
      <c r="T1224" s="12" t="s">
        <v>7384</v>
      </c>
      <c r="U1224" s="12" t="s">
        <v>96</v>
      </c>
      <c r="V1224" s="12" t="s">
        <v>52</v>
      </c>
      <c r="W1224" s="12" t="s">
        <v>7385</v>
      </c>
      <c r="X1224" s="16" t="s">
        <v>7386</v>
      </c>
      <c r="Y1224" s="15" t="s">
        <v>42</v>
      </c>
      <c r="Z1224" s="14">
        <v>0.48</v>
      </c>
      <c r="AA1224" s="14">
        <v>2.27</v>
      </c>
      <c r="AB1224" s="12" t="s">
        <v>56</v>
      </c>
      <c r="AC1224" s="12" t="s">
        <v>7387</v>
      </c>
      <c r="AD1224" s="13">
        <v>45078</v>
      </c>
      <c r="AE1224" s="12" t="s">
        <v>1414</v>
      </c>
      <c r="AF1224" s="12" t="s">
        <v>7388</v>
      </c>
      <c r="AG1224" s="12" t="s">
        <v>47</v>
      </c>
      <c r="AH1224" s="1">
        <f>HYPERLINK("https://my.pitchbook.com?c=226962-37T","View Company Online")</f>
      </c>
    </row>
    <row r="1225">
      <c r="A1225" s="3" t="s">
        <v>7389</v>
      </c>
      <c r="B1225" s="3" t="s">
        <v>7390</v>
      </c>
      <c r="C1225" s="5">
        <v>1</v>
      </c>
      <c r="D1225" s="5">
        <v>5</v>
      </c>
      <c r="E1225" s="5">
        <v>1</v>
      </c>
      <c r="F1225" s="5">
        <v>6</v>
      </c>
      <c r="G1225" s="6" t="s">
        <v>36</v>
      </c>
      <c r="H1225" s="4" t="s">
        <v>36</v>
      </c>
      <c r="I1225" s="7" t="s">
        <v>36</v>
      </c>
      <c r="J1225" s="3" t="s">
        <v>36</v>
      </c>
      <c r="K1225" s="9" t="s">
        <v>36</v>
      </c>
      <c r="L1225" s="6" t="s">
        <v>36</v>
      </c>
      <c r="M1225" s="3" t="s">
        <v>36</v>
      </c>
      <c r="N1225" s="3" t="s">
        <v>36</v>
      </c>
      <c r="O1225" s="8" t="s">
        <v>36</v>
      </c>
      <c r="P1225" s="3" t="s">
        <v>36</v>
      </c>
      <c r="Q1225" s="3" t="s">
        <v>36</v>
      </c>
      <c r="R1225" s="3" t="s">
        <v>36</v>
      </c>
      <c r="S1225" s="3" t="s">
        <v>36</v>
      </c>
      <c r="T1225" s="3" t="s">
        <v>1941</v>
      </c>
      <c r="U1225" s="3" t="s">
        <v>38</v>
      </c>
      <c r="V1225" s="3" t="s">
        <v>39</v>
      </c>
      <c r="W1225" s="3" t="s">
        <v>7391</v>
      </c>
      <c r="X1225" s="10" t="s">
        <v>590</v>
      </c>
      <c r="Y1225" s="6" t="s">
        <v>42</v>
      </c>
      <c r="Z1225" s="4" t="s">
        <v>36</v>
      </c>
      <c r="AA1225" s="4" t="s">
        <v>36</v>
      </c>
      <c r="AB1225" s="3" t="s">
        <v>56</v>
      </c>
      <c r="AC1225" s="3" t="s">
        <v>7392</v>
      </c>
      <c r="AD1225" s="9">
        <v>45078</v>
      </c>
      <c r="AE1225" s="3" t="s">
        <v>1945</v>
      </c>
      <c r="AF1225" s="3" t="s">
        <v>111</v>
      </c>
      <c r="AG1225" s="3" t="s">
        <v>81</v>
      </c>
      <c r="AH1225" s="11">
        <f>HYPERLINK("https://my.pitchbook.com?c=227239-75T","View Company Online")</f>
      </c>
    </row>
    <row r="1226">
      <c r="A1226" s="12" t="s">
        <v>7393</v>
      </c>
      <c r="B1226" s="12" t="s">
        <v>7394</v>
      </c>
      <c r="C1226" s="19" t="s">
        <v>36</v>
      </c>
      <c r="D1226" s="19" t="s">
        <v>36</v>
      </c>
      <c r="E1226" s="19" t="s">
        <v>36</v>
      </c>
      <c r="F1226" s="19" t="s">
        <v>36</v>
      </c>
      <c r="G1226" s="15" t="s">
        <v>36</v>
      </c>
      <c r="H1226" s="14" t="s">
        <v>36</v>
      </c>
      <c r="I1226" s="18" t="s">
        <v>36</v>
      </c>
      <c r="J1226" s="12" t="s">
        <v>36</v>
      </c>
      <c r="K1226" s="13" t="s">
        <v>36</v>
      </c>
      <c r="L1226" s="15" t="s">
        <v>36</v>
      </c>
      <c r="M1226" s="12" t="s">
        <v>36</v>
      </c>
      <c r="N1226" s="12" t="s">
        <v>36</v>
      </c>
      <c r="O1226" s="17" t="s">
        <v>36</v>
      </c>
      <c r="P1226" s="12" t="s">
        <v>36</v>
      </c>
      <c r="Q1226" s="12" t="s">
        <v>36</v>
      </c>
      <c r="R1226" s="12" t="s">
        <v>36</v>
      </c>
      <c r="S1226" s="12" t="s">
        <v>7012</v>
      </c>
      <c r="T1226" s="12" t="s">
        <v>588</v>
      </c>
      <c r="U1226" s="12" t="s">
        <v>318</v>
      </c>
      <c r="V1226" s="12" t="s">
        <v>39</v>
      </c>
      <c r="W1226" s="12" t="s">
        <v>7395</v>
      </c>
      <c r="X1226" s="16" t="s">
        <v>7396</v>
      </c>
      <c r="Y1226" s="15" t="s">
        <v>42</v>
      </c>
      <c r="Z1226" s="14">
        <v>3.27</v>
      </c>
      <c r="AA1226" s="14" t="s">
        <v>36</v>
      </c>
      <c r="AB1226" s="12" t="s">
        <v>56</v>
      </c>
      <c r="AC1226" s="12" t="s">
        <v>7397</v>
      </c>
      <c r="AD1226" s="13">
        <v>45077</v>
      </c>
      <c r="AE1226" s="12" t="s">
        <v>417</v>
      </c>
      <c r="AF1226" s="12" t="s">
        <v>592</v>
      </c>
      <c r="AG1226" s="12" t="s">
        <v>4172</v>
      </c>
      <c r="AH1226" s="1">
        <f>HYPERLINK("https://my.pitchbook.com?c=225556-21T","View Company Online")</f>
      </c>
    </row>
    <row r="1227">
      <c r="A1227" s="3" t="s">
        <v>7398</v>
      </c>
      <c r="B1227" s="3" t="s">
        <v>7399</v>
      </c>
      <c r="C1227" s="5" t="s">
        <v>36</v>
      </c>
      <c r="D1227" s="5" t="s">
        <v>36</v>
      </c>
      <c r="E1227" s="5" t="s">
        <v>36</v>
      </c>
      <c r="F1227" s="5" t="s">
        <v>36</v>
      </c>
      <c r="G1227" s="6" t="s">
        <v>36</v>
      </c>
      <c r="H1227" s="4">
        <v>2077.13</v>
      </c>
      <c r="I1227" s="7">
        <v>39.87</v>
      </c>
      <c r="J1227" s="3" t="s">
        <v>521</v>
      </c>
      <c r="K1227" s="9" t="s">
        <v>36</v>
      </c>
      <c r="L1227" s="6" t="s">
        <v>36</v>
      </c>
      <c r="M1227" s="3" t="s">
        <v>36</v>
      </c>
      <c r="N1227" s="3" t="s">
        <v>36</v>
      </c>
      <c r="O1227" s="8" t="s">
        <v>36</v>
      </c>
      <c r="P1227" s="3" t="s">
        <v>36</v>
      </c>
      <c r="Q1227" s="3" t="s">
        <v>36</v>
      </c>
      <c r="R1227" s="3" t="s">
        <v>36</v>
      </c>
      <c r="S1227" s="3" t="s">
        <v>1883</v>
      </c>
      <c r="T1227" s="3" t="s">
        <v>7400</v>
      </c>
      <c r="U1227" s="3" t="s">
        <v>38</v>
      </c>
      <c r="V1227" s="3" t="s">
        <v>39</v>
      </c>
      <c r="W1227" s="3" t="s">
        <v>7401</v>
      </c>
      <c r="X1227" s="10" t="s">
        <v>7402</v>
      </c>
      <c r="Y1227" s="6" t="s">
        <v>42</v>
      </c>
      <c r="Z1227" s="4">
        <v>1.09</v>
      </c>
      <c r="AA1227" s="4">
        <v>2.73</v>
      </c>
      <c r="AB1227" s="3" t="s">
        <v>43</v>
      </c>
      <c r="AC1227" s="3" t="s">
        <v>7403</v>
      </c>
      <c r="AD1227" s="9">
        <v>45077</v>
      </c>
      <c r="AE1227" s="3" t="s">
        <v>1945</v>
      </c>
      <c r="AF1227" s="3" t="s">
        <v>7404</v>
      </c>
      <c r="AG1227" s="3" t="s">
        <v>7405</v>
      </c>
      <c r="AH1227" s="11">
        <f>HYPERLINK("https://my.pitchbook.com?c=248725-54T","View Company Online")</f>
      </c>
    </row>
    <row r="1228">
      <c r="A1228" s="12" t="s">
        <v>7406</v>
      </c>
      <c r="B1228" s="12" t="s">
        <v>7407</v>
      </c>
      <c r="C1228" s="19" t="s">
        <v>36</v>
      </c>
      <c r="D1228" s="19" t="s">
        <v>36</v>
      </c>
      <c r="E1228" s="19" t="s">
        <v>36</v>
      </c>
      <c r="F1228" s="19" t="s">
        <v>36</v>
      </c>
      <c r="G1228" s="15" t="s">
        <v>326</v>
      </c>
      <c r="H1228" s="14">
        <v>1066.32</v>
      </c>
      <c r="I1228" s="18">
        <v>10.39</v>
      </c>
      <c r="J1228" s="12" t="s">
        <v>521</v>
      </c>
      <c r="K1228" s="13" t="s">
        <v>36</v>
      </c>
      <c r="L1228" s="15" t="s">
        <v>36</v>
      </c>
      <c r="M1228" s="12" t="s">
        <v>36</v>
      </c>
      <c r="N1228" s="12" t="s">
        <v>36</v>
      </c>
      <c r="O1228" s="17" t="s">
        <v>36</v>
      </c>
      <c r="P1228" s="12" t="s">
        <v>36</v>
      </c>
      <c r="Q1228" s="12" t="s">
        <v>36</v>
      </c>
      <c r="R1228" s="12" t="s">
        <v>36</v>
      </c>
      <c r="S1228" s="12" t="s">
        <v>36</v>
      </c>
      <c r="T1228" s="12" t="s">
        <v>7408</v>
      </c>
      <c r="U1228" s="12" t="s">
        <v>833</v>
      </c>
      <c r="V1228" s="12" t="s">
        <v>64</v>
      </c>
      <c r="W1228" s="12" t="s">
        <v>7409</v>
      </c>
      <c r="X1228" s="16" t="s">
        <v>7410</v>
      </c>
      <c r="Y1228" s="15" t="s">
        <v>55</v>
      </c>
      <c r="Z1228" s="14">
        <v>4.69</v>
      </c>
      <c r="AA1228" s="14">
        <v>45.16</v>
      </c>
      <c r="AB1228" s="12" t="s">
        <v>56</v>
      </c>
      <c r="AC1228" s="12" t="s">
        <v>7411</v>
      </c>
      <c r="AD1228" s="13">
        <v>45076</v>
      </c>
      <c r="AE1228" s="12" t="s">
        <v>3615</v>
      </c>
      <c r="AF1228" s="12" t="s">
        <v>7412</v>
      </c>
      <c r="AG1228" s="12" t="s">
        <v>332</v>
      </c>
      <c r="AH1228" s="1">
        <f>HYPERLINK("https://my.pitchbook.com?c=226867-78T","View Company Online")</f>
      </c>
    </row>
    <row r="1229">
      <c r="A1229" s="3" t="s">
        <v>7413</v>
      </c>
      <c r="B1229" s="3" t="s">
        <v>7414</v>
      </c>
      <c r="C1229" s="5" t="s">
        <v>36</v>
      </c>
      <c r="D1229" s="5" t="s">
        <v>36</v>
      </c>
      <c r="E1229" s="5" t="s">
        <v>36</v>
      </c>
      <c r="F1229" s="5" t="s">
        <v>36</v>
      </c>
      <c r="G1229" s="6" t="s">
        <v>36</v>
      </c>
      <c r="H1229" s="4">
        <v>415.43</v>
      </c>
      <c r="I1229" s="7">
        <v>13.04</v>
      </c>
      <c r="J1229" s="3" t="s">
        <v>521</v>
      </c>
      <c r="K1229" s="9" t="s">
        <v>36</v>
      </c>
      <c r="L1229" s="6" t="s">
        <v>36</v>
      </c>
      <c r="M1229" s="3" t="s">
        <v>36</v>
      </c>
      <c r="N1229" s="3" t="s">
        <v>36</v>
      </c>
      <c r="O1229" s="8" t="s">
        <v>36</v>
      </c>
      <c r="P1229" s="3" t="s">
        <v>36</v>
      </c>
      <c r="Q1229" s="3" t="s">
        <v>36</v>
      </c>
      <c r="R1229" s="3" t="s">
        <v>36</v>
      </c>
      <c r="S1229" s="3" t="s">
        <v>36</v>
      </c>
      <c r="T1229" s="3" t="s">
        <v>7415</v>
      </c>
      <c r="U1229" s="3" t="s">
        <v>38</v>
      </c>
      <c r="V1229" s="3" t="s">
        <v>39</v>
      </c>
      <c r="W1229" s="3" t="s">
        <v>7416</v>
      </c>
      <c r="X1229" s="10" t="s">
        <v>7417</v>
      </c>
      <c r="Y1229" s="6" t="s">
        <v>42</v>
      </c>
      <c r="Z1229" s="4">
        <v>0.65</v>
      </c>
      <c r="AA1229" s="4">
        <v>5.01</v>
      </c>
      <c r="AB1229" s="3" t="s">
        <v>43</v>
      </c>
      <c r="AC1229" s="3" t="s">
        <v>7418</v>
      </c>
      <c r="AD1229" s="9">
        <v>45076</v>
      </c>
      <c r="AE1229" s="3" t="s">
        <v>1422</v>
      </c>
      <c r="AF1229" s="3" t="s">
        <v>4284</v>
      </c>
      <c r="AG1229" s="3" t="s">
        <v>81</v>
      </c>
      <c r="AH1229" s="11">
        <f>HYPERLINK("https://my.pitchbook.com?c=273191-77T","View Company Online")</f>
      </c>
    </row>
    <row r="1230">
      <c r="A1230" s="12" t="s">
        <v>7419</v>
      </c>
      <c r="B1230" s="12" t="s">
        <v>7420</v>
      </c>
      <c r="C1230" s="19" t="s">
        <v>36</v>
      </c>
      <c r="D1230" s="19" t="s">
        <v>36</v>
      </c>
      <c r="E1230" s="19" t="s">
        <v>36</v>
      </c>
      <c r="F1230" s="19" t="s">
        <v>36</v>
      </c>
      <c r="G1230" s="15" t="s">
        <v>683</v>
      </c>
      <c r="H1230" s="14">
        <v>8.36</v>
      </c>
      <c r="I1230" s="18">
        <v>14.11</v>
      </c>
      <c r="J1230" s="12" t="s">
        <v>521</v>
      </c>
      <c r="K1230" s="13" t="s">
        <v>36</v>
      </c>
      <c r="L1230" s="15" t="s">
        <v>36</v>
      </c>
      <c r="M1230" s="12" t="s">
        <v>36</v>
      </c>
      <c r="N1230" s="12" t="s">
        <v>36</v>
      </c>
      <c r="O1230" s="17" t="s">
        <v>36</v>
      </c>
      <c r="P1230" s="12" t="s">
        <v>36</v>
      </c>
      <c r="Q1230" s="12" t="s">
        <v>36</v>
      </c>
      <c r="R1230" s="12" t="s">
        <v>36</v>
      </c>
      <c r="S1230" s="12" t="s">
        <v>36</v>
      </c>
      <c r="T1230" s="12" t="s">
        <v>1188</v>
      </c>
      <c r="U1230" s="12" t="s">
        <v>180</v>
      </c>
      <c r="V1230" s="12" t="s">
        <v>52</v>
      </c>
      <c r="W1230" s="12" t="s">
        <v>7421</v>
      </c>
      <c r="X1230" s="16" t="s">
        <v>7422</v>
      </c>
      <c r="Y1230" s="15" t="s">
        <v>166</v>
      </c>
      <c r="Z1230" s="14">
        <v>1.09</v>
      </c>
      <c r="AA1230" s="14">
        <v>7.72</v>
      </c>
      <c r="AB1230" s="12" t="s">
        <v>56</v>
      </c>
      <c r="AC1230" s="12" t="s">
        <v>7423</v>
      </c>
      <c r="AD1230" s="13">
        <v>45076</v>
      </c>
      <c r="AE1230" s="12" t="s">
        <v>1192</v>
      </c>
      <c r="AF1230" s="12" t="s">
        <v>7424</v>
      </c>
      <c r="AG1230" s="12" t="s">
        <v>7425</v>
      </c>
      <c r="AH1230" s="1">
        <f>HYPERLINK("https://my.pitchbook.com?c=226287-73T","View Company Online")</f>
      </c>
    </row>
    <row r="1231">
      <c r="A1231" s="3" t="s">
        <v>7426</v>
      </c>
      <c r="B1231" s="3" t="s">
        <v>7427</v>
      </c>
      <c r="C1231" s="5">
        <v>1</v>
      </c>
      <c r="D1231" s="5" t="s">
        <v>36</v>
      </c>
      <c r="E1231" s="5">
        <v>1</v>
      </c>
      <c r="F1231" s="5">
        <v>1</v>
      </c>
      <c r="G1231" s="6" t="s">
        <v>36</v>
      </c>
      <c r="H1231" s="4">
        <v>15.89</v>
      </c>
      <c r="I1231" s="7">
        <v>18.61</v>
      </c>
      <c r="J1231" s="3" t="s">
        <v>521</v>
      </c>
      <c r="K1231" s="9" t="s">
        <v>36</v>
      </c>
      <c r="L1231" s="6" t="s">
        <v>36</v>
      </c>
      <c r="M1231" s="3" t="s">
        <v>36</v>
      </c>
      <c r="N1231" s="3" t="s">
        <v>36</v>
      </c>
      <c r="O1231" s="8" t="s">
        <v>36</v>
      </c>
      <c r="P1231" s="3" t="s">
        <v>36</v>
      </c>
      <c r="Q1231" s="3" t="s">
        <v>36</v>
      </c>
      <c r="R1231" s="3" t="s">
        <v>36</v>
      </c>
      <c r="S1231" s="3" t="s">
        <v>36</v>
      </c>
      <c r="T1231" s="3" t="s">
        <v>105</v>
      </c>
      <c r="U1231" s="3" t="s">
        <v>38</v>
      </c>
      <c r="V1231" s="3" t="s">
        <v>39</v>
      </c>
      <c r="W1231" s="3" t="s">
        <v>7428</v>
      </c>
      <c r="X1231" s="10" t="s">
        <v>7429</v>
      </c>
      <c r="Y1231" s="6" t="s">
        <v>108</v>
      </c>
      <c r="Z1231" s="4">
        <v>7.63</v>
      </c>
      <c r="AA1231" s="4">
        <v>24.59</v>
      </c>
      <c r="AB1231" s="3" t="s">
        <v>56</v>
      </c>
      <c r="AC1231" s="3" t="s">
        <v>7430</v>
      </c>
      <c r="AD1231" s="9">
        <v>45076</v>
      </c>
      <c r="AE1231" s="3" t="s">
        <v>110</v>
      </c>
      <c r="AF1231" s="3" t="s">
        <v>6542</v>
      </c>
      <c r="AG1231" s="3" t="s">
        <v>1078</v>
      </c>
      <c r="AH1231" s="11">
        <f>HYPERLINK("https://my.pitchbook.com?c=224843-41T","View Company Online")</f>
      </c>
    </row>
    <row r="1232">
      <c r="A1232" s="12" t="s">
        <v>7431</v>
      </c>
      <c r="B1232" s="12" t="s">
        <v>7432</v>
      </c>
      <c r="C1232" s="19" t="s">
        <v>36</v>
      </c>
      <c r="D1232" s="19" t="s">
        <v>36</v>
      </c>
      <c r="E1232" s="19" t="s">
        <v>36</v>
      </c>
      <c r="F1232" s="19" t="s">
        <v>36</v>
      </c>
      <c r="G1232" s="15" t="s">
        <v>36</v>
      </c>
      <c r="H1232" s="14" t="s">
        <v>36</v>
      </c>
      <c r="I1232" s="18" t="s">
        <v>36</v>
      </c>
      <c r="J1232" s="12" t="s">
        <v>36</v>
      </c>
      <c r="K1232" s="13" t="s">
        <v>36</v>
      </c>
      <c r="L1232" s="15" t="s">
        <v>36</v>
      </c>
      <c r="M1232" s="12" t="s">
        <v>36</v>
      </c>
      <c r="N1232" s="12" t="s">
        <v>36</v>
      </c>
      <c r="O1232" s="17" t="s">
        <v>36</v>
      </c>
      <c r="P1232" s="12" t="s">
        <v>36</v>
      </c>
      <c r="Q1232" s="12" t="s">
        <v>36</v>
      </c>
      <c r="R1232" s="12" t="s">
        <v>36</v>
      </c>
      <c r="S1232" s="12" t="s">
        <v>36</v>
      </c>
      <c r="T1232" s="12" t="s">
        <v>1941</v>
      </c>
      <c r="U1232" s="12" t="s">
        <v>38</v>
      </c>
      <c r="V1232" s="12" t="s">
        <v>39</v>
      </c>
      <c r="W1232" s="12" t="s">
        <v>7433</v>
      </c>
      <c r="X1232" s="16" t="s">
        <v>2433</v>
      </c>
      <c r="Y1232" s="15" t="s">
        <v>55</v>
      </c>
      <c r="Z1232" s="14">
        <v>1.09</v>
      </c>
      <c r="AA1232" s="14" t="s">
        <v>36</v>
      </c>
      <c r="AB1232" s="12" t="s">
        <v>56</v>
      </c>
      <c r="AC1232" s="12" t="s">
        <v>7434</v>
      </c>
      <c r="AD1232" s="13">
        <v>45076</v>
      </c>
      <c r="AE1232" s="12" t="s">
        <v>1945</v>
      </c>
      <c r="AF1232" s="12" t="s">
        <v>4674</v>
      </c>
      <c r="AG1232" s="12" t="s">
        <v>81</v>
      </c>
      <c r="AH1232" s="1">
        <f>HYPERLINK("https://my.pitchbook.com?c=232199-11T","View Company Online")</f>
      </c>
    </row>
    <row r="1233">
      <c r="A1233" s="3" t="s">
        <v>7435</v>
      </c>
      <c r="B1233" s="3" t="s">
        <v>7436</v>
      </c>
      <c r="C1233" s="5" t="s">
        <v>36</v>
      </c>
      <c r="D1233" s="5" t="s">
        <v>36</v>
      </c>
      <c r="E1233" s="5" t="s">
        <v>36</v>
      </c>
      <c r="F1233" s="5" t="s">
        <v>36</v>
      </c>
      <c r="G1233" s="6" t="s">
        <v>36</v>
      </c>
      <c r="H1233" s="4" t="s">
        <v>36</v>
      </c>
      <c r="I1233" s="7">
        <v>29</v>
      </c>
      <c r="J1233" s="3" t="s">
        <v>327</v>
      </c>
      <c r="K1233" s="9">
        <v>45047</v>
      </c>
      <c r="L1233" s="6" t="s">
        <v>36</v>
      </c>
      <c r="M1233" s="3" t="s">
        <v>36</v>
      </c>
      <c r="N1233" s="3" t="s">
        <v>36</v>
      </c>
      <c r="O1233" s="8" t="s">
        <v>36</v>
      </c>
      <c r="P1233" s="3" t="s">
        <v>36</v>
      </c>
      <c r="Q1233" s="3" t="s">
        <v>36</v>
      </c>
      <c r="R1233" s="3" t="s">
        <v>36</v>
      </c>
      <c r="S1233" s="3" t="s">
        <v>36</v>
      </c>
      <c r="T1233" s="3" t="s">
        <v>2658</v>
      </c>
      <c r="U1233" s="3" t="s">
        <v>38</v>
      </c>
      <c r="V1233" s="3" t="s">
        <v>39</v>
      </c>
      <c r="W1233" s="3" t="s">
        <v>7437</v>
      </c>
      <c r="X1233" s="10" t="s">
        <v>7438</v>
      </c>
      <c r="Y1233" s="6" t="s">
        <v>42</v>
      </c>
      <c r="Z1233" s="4">
        <v>3.71</v>
      </c>
      <c r="AA1233" s="4">
        <v>12.78</v>
      </c>
      <c r="AB1233" s="3" t="s">
        <v>43</v>
      </c>
      <c r="AC1233" s="3" t="s">
        <v>7439</v>
      </c>
      <c r="AD1233" s="9">
        <v>45076</v>
      </c>
      <c r="AE1233" s="3" t="s">
        <v>110</v>
      </c>
      <c r="AF1233" s="3" t="s">
        <v>372</v>
      </c>
      <c r="AG1233" s="3" t="s">
        <v>7440</v>
      </c>
      <c r="AH1233" s="11">
        <f>HYPERLINK("https://my.pitchbook.com?c=225020-62T","View Company Online")</f>
      </c>
    </row>
    <row r="1234">
      <c r="A1234" s="12" t="s">
        <v>7441</v>
      </c>
      <c r="B1234" s="12" t="s">
        <v>1540</v>
      </c>
      <c r="C1234" s="19" t="s">
        <v>36</v>
      </c>
      <c r="D1234" s="19" t="s">
        <v>36</v>
      </c>
      <c r="E1234" s="19" t="s">
        <v>36</v>
      </c>
      <c r="F1234" s="19" t="s">
        <v>36</v>
      </c>
      <c r="G1234" s="15" t="s">
        <v>683</v>
      </c>
      <c r="H1234" s="14">
        <v>5.59</v>
      </c>
      <c r="I1234" s="18">
        <v>16.63</v>
      </c>
      <c r="J1234" s="12" t="s">
        <v>521</v>
      </c>
      <c r="K1234" s="13" t="s">
        <v>36</v>
      </c>
      <c r="L1234" s="15" t="s">
        <v>36</v>
      </c>
      <c r="M1234" s="12" t="s">
        <v>36</v>
      </c>
      <c r="N1234" s="12" t="s">
        <v>36</v>
      </c>
      <c r="O1234" s="17" t="s">
        <v>36</v>
      </c>
      <c r="P1234" s="12" t="s">
        <v>36</v>
      </c>
      <c r="Q1234" s="12" t="s">
        <v>36</v>
      </c>
      <c r="R1234" s="12" t="s">
        <v>36</v>
      </c>
      <c r="S1234" s="12" t="s">
        <v>36</v>
      </c>
      <c r="T1234" s="12" t="s">
        <v>1541</v>
      </c>
      <c r="U1234" s="12" t="s">
        <v>38</v>
      </c>
      <c r="V1234" s="12" t="s">
        <v>39</v>
      </c>
      <c r="W1234" s="12" t="s">
        <v>1542</v>
      </c>
      <c r="X1234" s="16" t="s">
        <v>7442</v>
      </c>
      <c r="Y1234" s="15" t="s">
        <v>55</v>
      </c>
      <c r="Z1234" s="14">
        <v>10.94</v>
      </c>
      <c r="AA1234" s="14">
        <v>55.91</v>
      </c>
      <c r="AB1234" s="12" t="s">
        <v>43</v>
      </c>
      <c r="AC1234" s="12" t="s">
        <v>1544</v>
      </c>
      <c r="AD1234" s="13">
        <v>45072</v>
      </c>
      <c r="AE1234" s="12" t="s">
        <v>134</v>
      </c>
      <c r="AF1234" s="12" t="s">
        <v>1545</v>
      </c>
      <c r="AG1234" s="12" t="s">
        <v>81</v>
      </c>
      <c r="AH1234" s="1">
        <f>HYPERLINK("https://my.pitchbook.com?c=241487-65T","View Company Online")</f>
      </c>
    </row>
    <row r="1235">
      <c r="A1235" s="3" t="s">
        <v>7443</v>
      </c>
      <c r="B1235" s="3" t="s">
        <v>7444</v>
      </c>
      <c r="C1235" s="5" t="s">
        <v>36</v>
      </c>
      <c r="D1235" s="5" t="s">
        <v>36</v>
      </c>
      <c r="E1235" s="5" t="s">
        <v>36</v>
      </c>
      <c r="F1235" s="5" t="s">
        <v>36</v>
      </c>
      <c r="G1235" s="6" t="s">
        <v>36</v>
      </c>
      <c r="H1235" s="4">
        <v>108.54</v>
      </c>
      <c r="I1235" s="7">
        <v>17.62</v>
      </c>
      <c r="J1235" s="3" t="s">
        <v>521</v>
      </c>
      <c r="K1235" s="9" t="s">
        <v>36</v>
      </c>
      <c r="L1235" s="6" t="s">
        <v>36</v>
      </c>
      <c r="M1235" s="3" t="s">
        <v>36</v>
      </c>
      <c r="N1235" s="3" t="s">
        <v>36</v>
      </c>
      <c r="O1235" s="8" t="s">
        <v>36</v>
      </c>
      <c r="P1235" s="3" t="s">
        <v>36</v>
      </c>
      <c r="Q1235" s="3" t="s">
        <v>36</v>
      </c>
      <c r="R1235" s="3" t="s">
        <v>36</v>
      </c>
      <c r="S1235" s="3" t="s">
        <v>36</v>
      </c>
      <c r="T1235" s="3" t="s">
        <v>7445</v>
      </c>
      <c r="U1235" s="3" t="s">
        <v>318</v>
      </c>
      <c r="V1235" s="3" t="s">
        <v>39</v>
      </c>
      <c r="W1235" s="3" t="s">
        <v>7446</v>
      </c>
      <c r="X1235" s="10" t="s">
        <v>4289</v>
      </c>
      <c r="Y1235" s="6" t="s">
        <v>42</v>
      </c>
      <c r="Z1235" s="4">
        <v>0.33</v>
      </c>
      <c r="AA1235" s="4">
        <v>1.86</v>
      </c>
      <c r="AB1235" s="3" t="s">
        <v>43</v>
      </c>
      <c r="AC1235" s="3" t="s">
        <v>7447</v>
      </c>
      <c r="AD1235" s="9">
        <v>45071</v>
      </c>
      <c r="AE1235" s="3" t="s">
        <v>763</v>
      </c>
      <c r="AF1235" s="3" t="s">
        <v>7448</v>
      </c>
      <c r="AG1235" s="3" t="s">
        <v>186</v>
      </c>
      <c r="AH1235" s="11">
        <f>HYPERLINK("https://my.pitchbook.com?c=265972-24T","View Company Online")</f>
      </c>
    </row>
    <row r="1236">
      <c r="A1236" s="12" t="s">
        <v>7449</v>
      </c>
      <c r="B1236" s="12" t="s">
        <v>4366</v>
      </c>
      <c r="C1236" s="19" t="s">
        <v>36</v>
      </c>
      <c r="D1236" s="19" t="s">
        <v>36</v>
      </c>
      <c r="E1236" s="19" t="s">
        <v>36</v>
      </c>
      <c r="F1236" s="19" t="s">
        <v>36</v>
      </c>
      <c r="G1236" s="15" t="s">
        <v>36</v>
      </c>
      <c r="H1236" s="14" t="s">
        <v>36</v>
      </c>
      <c r="I1236" s="18" t="s">
        <v>36</v>
      </c>
      <c r="J1236" s="12" t="s">
        <v>36</v>
      </c>
      <c r="K1236" s="13" t="s">
        <v>36</v>
      </c>
      <c r="L1236" s="15" t="s">
        <v>36</v>
      </c>
      <c r="M1236" s="12" t="s">
        <v>36</v>
      </c>
      <c r="N1236" s="12" t="s">
        <v>36</v>
      </c>
      <c r="O1236" s="17" t="s">
        <v>36</v>
      </c>
      <c r="P1236" s="12" t="s">
        <v>36</v>
      </c>
      <c r="Q1236" s="12" t="s">
        <v>36</v>
      </c>
      <c r="R1236" s="12" t="s">
        <v>36</v>
      </c>
      <c r="S1236" s="12" t="s">
        <v>36</v>
      </c>
      <c r="T1236" s="12" t="s">
        <v>1645</v>
      </c>
      <c r="U1236" s="12" t="s">
        <v>38</v>
      </c>
      <c r="V1236" s="12" t="s">
        <v>39</v>
      </c>
      <c r="W1236" s="12" t="s">
        <v>4367</v>
      </c>
      <c r="X1236" s="16" t="s">
        <v>3464</v>
      </c>
      <c r="Y1236" s="15" t="s">
        <v>42</v>
      </c>
      <c r="Z1236" s="14" t="s">
        <v>36</v>
      </c>
      <c r="AA1236" s="14" t="s">
        <v>36</v>
      </c>
      <c r="AB1236" s="12" t="s">
        <v>43</v>
      </c>
      <c r="AC1236" s="12" t="s">
        <v>4369</v>
      </c>
      <c r="AD1236" s="13">
        <v>45071</v>
      </c>
      <c r="AE1236" s="12" t="s">
        <v>110</v>
      </c>
      <c r="AF1236" s="12" t="s">
        <v>1999</v>
      </c>
      <c r="AG1236" s="12" t="s">
        <v>81</v>
      </c>
      <c r="AH1236" s="1">
        <f>HYPERLINK("https://my.pitchbook.com?c=276687-55T","View Company Online")</f>
      </c>
    </row>
    <row r="1237">
      <c r="A1237" s="3" t="s">
        <v>7450</v>
      </c>
      <c r="B1237" s="3" t="s">
        <v>7451</v>
      </c>
      <c r="C1237" s="5" t="s">
        <v>36</v>
      </c>
      <c r="D1237" s="5" t="s">
        <v>36</v>
      </c>
      <c r="E1237" s="5" t="s">
        <v>36</v>
      </c>
      <c r="F1237" s="5" t="s">
        <v>36</v>
      </c>
      <c r="G1237" s="6" t="s">
        <v>683</v>
      </c>
      <c r="H1237" s="4" t="s">
        <v>36</v>
      </c>
      <c r="I1237" s="7">
        <v>6.57</v>
      </c>
      <c r="J1237" s="3" t="s">
        <v>521</v>
      </c>
      <c r="K1237" s="9">
        <v>45021</v>
      </c>
      <c r="L1237" s="6" t="s">
        <v>94</v>
      </c>
      <c r="M1237" s="3" t="s">
        <v>36</v>
      </c>
      <c r="N1237" s="3" t="s">
        <v>94</v>
      </c>
      <c r="O1237" s="8" t="s">
        <v>36</v>
      </c>
      <c r="P1237" s="3" t="s">
        <v>36</v>
      </c>
      <c r="Q1237" s="3" t="s">
        <v>36</v>
      </c>
      <c r="R1237" s="3" t="s">
        <v>36</v>
      </c>
      <c r="S1237" s="3" t="s">
        <v>36</v>
      </c>
      <c r="T1237" s="3" t="s">
        <v>7452</v>
      </c>
      <c r="U1237" s="3" t="s">
        <v>38</v>
      </c>
      <c r="V1237" s="3" t="s">
        <v>39</v>
      </c>
      <c r="W1237" s="3" t="s">
        <v>7453</v>
      </c>
      <c r="X1237" s="10" t="s">
        <v>7454</v>
      </c>
      <c r="Y1237" s="6" t="s">
        <v>55</v>
      </c>
      <c r="Z1237" s="4">
        <v>0.55</v>
      </c>
      <c r="AA1237" s="4">
        <v>8.32</v>
      </c>
      <c r="AB1237" s="3" t="s">
        <v>56</v>
      </c>
      <c r="AC1237" s="3" t="s">
        <v>7455</v>
      </c>
      <c r="AD1237" s="9">
        <v>45071</v>
      </c>
      <c r="AE1237" s="3" t="s">
        <v>45</v>
      </c>
      <c r="AF1237" s="3" t="s">
        <v>4569</v>
      </c>
      <c r="AG1237" s="3" t="s">
        <v>741</v>
      </c>
      <c r="AH1237" s="11">
        <f>HYPERLINK("https://my.pitchbook.com?c=213188-05T","View Company Online")</f>
      </c>
    </row>
    <row r="1238">
      <c r="A1238" s="12" t="s">
        <v>7456</v>
      </c>
      <c r="B1238" s="12" t="s">
        <v>7457</v>
      </c>
      <c r="C1238" s="19" t="s">
        <v>36</v>
      </c>
      <c r="D1238" s="19" t="s">
        <v>36</v>
      </c>
      <c r="E1238" s="19">
        <v>1</v>
      </c>
      <c r="F1238" s="19">
        <v>1</v>
      </c>
      <c r="G1238" s="15" t="s">
        <v>36</v>
      </c>
      <c r="H1238" s="14">
        <v>913.94</v>
      </c>
      <c r="I1238" s="18">
        <v>6.25</v>
      </c>
      <c r="J1238" s="12" t="s">
        <v>521</v>
      </c>
      <c r="K1238" s="13">
        <v>44378</v>
      </c>
      <c r="L1238" s="15" t="s">
        <v>36</v>
      </c>
      <c r="M1238" s="12" t="s">
        <v>36</v>
      </c>
      <c r="N1238" s="12" t="s">
        <v>36</v>
      </c>
      <c r="O1238" s="17" t="s">
        <v>36</v>
      </c>
      <c r="P1238" s="12" t="s">
        <v>36</v>
      </c>
      <c r="Q1238" s="12" t="s">
        <v>36</v>
      </c>
      <c r="R1238" s="12" t="s">
        <v>36</v>
      </c>
      <c r="S1238" s="12" t="s">
        <v>36</v>
      </c>
      <c r="T1238" s="12" t="s">
        <v>6999</v>
      </c>
      <c r="U1238" s="12" t="s">
        <v>219</v>
      </c>
      <c r="V1238" s="12" t="s">
        <v>75</v>
      </c>
      <c r="W1238" s="12" t="s">
        <v>7458</v>
      </c>
      <c r="X1238" s="16" t="s">
        <v>1399</v>
      </c>
      <c r="Y1238" s="15" t="s">
        <v>42</v>
      </c>
      <c r="Z1238" s="14">
        <v>0.03</v>
      </c>
      <c r="AA1238" s="14">
        <v>0.46</v>
      </c>
      <c r="AB1238" s="12" t="s">
        <v>43</v>
      </c>
      <c r="AC1238" s="12" t="s">
        <v>7459</v>
      </c>
      <c r="AD1238" s="13">
        <v>45070</v>
      </c>
      <c r="AE1238" s="12" t="s">
        <v>223</v>
      </c>
      <c r="AF1238" s="12" t="s">
        <v>36</v>
      </c>
      <c r="AG1238" s="12" t="s">
        <v>7460</v>
      </c>
      <c r="AH1238" s="1">
        <f>HYPERLINK("https://my.pitchbook.com?c=218395-45T","View Company Online")</f>
      </c>
    </row>
    <row r="1239">
      <c r="A1239" s="3" t="s">
        <v>7461</v>
      </c>
      <c r="B1239" s="3" t="s">
        <v>7462</v>
      </c>
      <c r="C1239" s="5">
        <v>1</v>
      </c>
      <c r="D1239" s="5">
        <v>7</v>
      </c>
      <c r="E1239" s="5">
        <v>11</v>
      </c>
      <c r="F1239" s="5">
        <v>14</v>
      </c>
      <c r="G1239" s="6" t="s">
        <v>326</v>
      </c>
      <c r="H1239" s="4">
        <v>840.2</v>
      </c>
      <c r="I1239" s="7">
        <v>28.93</v>
      </c>
      <c r="J1239" s="3" t="s">
        <v>521</v>
      </c>
      <c r="K1239" s="9" t="s">
        <v>36</v>
      </c>
      <c r="L1239" s="6" t="s">
        <v>36</v>
      </c>
      <c r="M1239" s="3" t="s">
        <v>36</v>
      </c>
      <c r="N1239" s="3" t="s">
        <v>36</v>
      </c>
      <c r="O1239" s="8" t="s">
        <v>36</v>
      </c>
      <c r="P1239" s="3" t="s">
        <v>36</v>
      </c>
      <c r="Q1239" s="3" t="s">
        <v>36</v>
      </c>
      <c r="R1239" s="3" t="s">
        <v>36</v>
      </c>
      <c r="S1239" s="3" t="s">
        <v>36</v>
      </c>
      <c r="T1239" s="3" t="s">
        <v>37</v>
      </c>
      <c r="U1239" s="3" t="s">
        <v>38</v>
      </c>
      <c r="V1239" s="3" t="s">
        <v>39</v>
      </c>
      <c r="W1239" s="3" t="s">
        <v>7463</v>
      </c>
      <c r="X1239" s="10" t="s">
        <v>7464</v>
      </c>
      <c r="Y1239" s="6" t="s">
        <v>55</v>
      </c>
      <c r="Z1239" s="4">
        <v>10.26</v>
      </c>
      <c r="AA1239" s="4">
        <v>35.47</v>
      </c>
      <c r="AB1239" s="3" t="s">
        <v>56</v>
      </c>
      <c r="AC1239" s="3" t="s">
        <v>7465</v>
      </c>
      <c r="AD1239" s="9">
        <v>45070</v>
      </c>
      <c r="AE1239" s="3" t="s">
        <v>45</v>
      </c>
      <c r="AF1239" s="3" t="s">
        <v>7466</v>
      </c>
      <c r="AG1239" s="3" t="s">
        <v>81</v>
      </c>
      <c r="AH1239" s="11">
        <f>HYPERLINK("https://my.pitchbook.com?c=225810-55T","View Company Online")</f>
      </c>
    </row>
    <row r="1240">
      <c r="A1240" s="12" t="s">
        <v>7467</v>
      </c>
      <c r="B1240" s="12" t="s">
        <v>7468</v>
      </c>
      <c r="C1240" s="19">
        <v>11</v>
      </c>
      <c r="D1240" s="19">
        <v>26</v>
      </c>
      <c r="E1240" s="19">
        <v>6</v>
      </c>
      <c r="F1240" s="19">
        <v>38</v>
      </c>
      <c r="G1240" s="15" t="s">
        <v>326</v>
      </c>
      <c r="H1240" s="14">
        <v>427.04</v>
      </c>
      <c r="I1240" s="18">
        <v>27.53</v>
      </c>
      <c r="J1240" s="12" t="s">
        <v>521</v>
      </c>
      <c r="K1240" s="13" t="s">
        <v>36</v>
      </c>
      <c r="L1240" s="15" t="s">
        <v>36</v>
      </c>
      <c r="M1240" s="12" t="s">
        <v>36</v>
      </c>
      <c r="N1240" s="12" t="s">
        <v>36</v>
      </c>
      <c r="O1240" s="17" t="s">
        <v>36</v>
      </c>
      <c r="P1240" s="12" t="s">
        <v>36</v>
      </c>
      <c r="Q1240" s="12" t="s">
        <v>36</v>
      </c>
      <c r="R1240" s="12" t="s">
        <v>36</v>
      </c>
      <c r="S1240" s="12" t="s">
        <v>7469</v>
      </c>
      <c r="T1240" s="12" t="s">
        <v>7470</v>
      </c>
      <c r="U1240" s="12" t="s">
        <v>38</v>
      </c>
      <c r="V1240" s="12" t="s">
        <v>39</v>
      </c>
      <c r="W1240" s="12" t="s">
        <v>7471</v>
      </c>
      <c r="X1240" s="16" t="s">
        <v>7472</v>
      </c>
      <c r="Y1240" s="15" t="s">
        <v>42</v>
      </c>
      <c r="Z1240" s="14">
        <v>2.08</v>
      </c>
      <c r="AA1240" s="14">
        <v>7.56</v>
      </c>
      <c r="AB1240" s="12" t="s">
        <v>56</v>
      </c>
      <c r="AC1240" s="12" t="s">
        <v>7473</v>
      </c>
      <c r="AD1240" s="13">
        <v>45070</v>
      </c>
      <c r="AE1240" s="12" t="s">
        <v>134</v>
      </c>
      <c r="AF1240" s="12" t="s">
        <v>2752</v>
      </c>
      <c r="AG1240" s="12" t="s">
        <v>81</v>
      </c>
      <c r="AH1240" s="1">
        <f>HYPERLINK("https://my.pitchbook.com?c=224440-30T","View Company Online")</f>
      </c>
    </row>
    <row r="1241">
      <c r="A1241" s="3" t="s">
        <v>7474</v>
      </c>
      <c r="B1241" s="3" t="s">
        <v>7475</v>
      </c>
      <c r="C1241" s="5" t="s">
        <v>36</v>
      </c>
      <c r="D1241" s="5" t="s">
        <v>36</v>
      </c>
      <c r="E1241" s="5" t="s">
        <v>36</v>
      </c>
      <c r="F1241" s="5" t="s">
        <v>36</v>
      </c>
      <c r="G1241" s="6" t="s">
        <v>326</v>
      </c>
      <c r="H1241" s="4">
        <v>2309.98</v>
      </c>
      <c r="I1241" s="7">
        <v>20.22</v>
      </c>
      <c r="J1241" s="3" t="s">
        <v>521</v>
      </c>
      <c r="K1241" s="9">
        <v>45022</v>
      </c>
      <c r="L1241" s="6" t="s">
        <v>36</v>
      </c>
      <c r="M1241" s="3" t="s">
        <v>36</v>
      </c>
      <c r="N1241" s="3" t="s">
        <v>36</v>
      </c>
      <c r="O1241" s="8" t="s">
        <v>36</v>
      </c>
      <c r="P1241" s="3" t="s">
        <v>36</v>
      </c>
      <c r="Q1241" s="3" t="s">
        <v>36</v>
      </c>
      <c r="R1241" s="3" t="s">
        <v>36</v>
      </c>
      <c r="S1241" s="3" t="s">
        <v>36</v>
      </c>
      <c r="T1241" s="3" t="s">
        <v>7476</v>
      </c>
      <c r="U1241" s="3" t="s">
        <v>279</v>
      </c>
      <c r="V1241" s="3" t="s">
        <v>64</v>
      </c>
      <c r="W1241" s="3" t="s">
        <v>7477</v>
      </c>
      <c r="X1241" s="10" t="s">
        <v>7478</v>
      </c>
      <c r="Y1241" s="6" t="s">
        <v>166</v>
      </c>
      <c r="Z1241" s="4">
        <v>10.99</v>
      </c>
      <c r="AA1241" s="4">
        <v>54.37</v>
      </c>
      <c r="AB1241" s="3" t="s">
        <v>56</v>
      </c>
      <c r="AC1241" s="3" t="s">
        <v>7479</v>
      </c>
      <c r="AD1241" s="9">
        <v>45069</v>
      </c>
      <c r="AE1241" s="3" t="s">
        <v>283</v>
      </c>
      <c r="AF1241" s="3" t="s">
        <v>90</v>
      </c>
      <c r="AG1241" s="3" t="s">
        <v>81</v>
      </c>
      <c r="AH1241" s="11">
        <f>HYPERLINK("https://my.pitchbook.com?c=220258-27T","View Company Online")</f>
      </c>
    </row>
    <row r="1242">
      <c r="A1242" s="12" t="s">
        <v>7480</v>
      </c>
      <c r="B1242" s="12" t="s">
        <v>7481</v>
      </c>
      <c r="C1242" s="19" t="s">
        <v>36</v>
      </c>
      <c r="D1242" s="19" t="s">
        <v>36</v>
      </c>
      <c r="E1242" s="19" t="s">
        <v>36</v>
      </c>
      <c r="F1242" s="19" t="s">
        <v>36</v>
      </c>
      <c r="G1242" s="15" t="s">
        <v>36</v>
      </c>
      <c r="H1242" s="14" t="s">
        <v>36</v>
      </c>
      <c r="I1242" s="18">
        <v>21.33</v>
      </c>
      <c r="J1242" s="12" t="s">
        <v>327</v>
      </c>
      <c r="K1242" s="13" t="s">
        <v>36</v>
      </c>
      <c r="L1242" s="15" t="s">
        <v>122</v>
      </c>
      <c r="M1242" s="12" t="s">
        <v>36</v>
      </c>
      <c r="N1242" s="12" t="s">
        <v>122</v>
      </c>
      <c r="O1242" s="17" t="s">
        <v>36</v>
      </c>
      <c r="P1242" s="12" t="s">
        <v>36</v>
      </c>
      <c r="Q1242" s="12" t="s">
        <v>36</v>
      </c>
      <c r="R1242" s="12" t="s">
        <v>36</v>
      </c>
      <c r="S1242" s="12" t="s">
        <v>36</v>
      </c>
      <c r="T1242" s="12" t="s">
        <v>7482</v>
      </c>
      <c r="U1242" s="12" t="s">
        <v>38</v>
      </c>
      <c r="V1242" s="12" t="s">
        <v>39</v>
      </c>
      <c r="W1242" s="12" t="s">
        <v>7483</v>
      </c>
      <c r="X1242" s="16" t="s">
        <v>7484</v>
      </c>
      <c r="Y1242" s="15" t="s">
        <v>42</v>
      </c>
      <c r="Z1242" s="14">
        <v>7.68</v>
      </c>
      <c r="AA1242" s="14">
        <v>36</v>
      </c>
      <c r="AB1242" s="12" t="s">
        <v>56</v>
      </c>
      <c r="AC1242" s="12" t="s">
        <v>7485</v>
      </c>
      <c r="AD1242" s="13">
        <v>45069</v>
      </c>
      <c r="AE1242" s="12" t="s">
        <v>134</v>
      </c>
      <c r="AF1242" s="12" t="s">
        <v>2752</v>
      </c>
      <c r="AG1242" s="12" t="s">
        <v>81</v>
      </c>
      <c r="AH1242" s="1">
        <f>HYPERLINK("https://my.pitchbook.com?c=224351-56T","View Company Online")</f>
      </c>
    </row>
    <row r="1243">
      <c r="A1243" s="3" t="s">
        <v>7486</v>
      </c>
      <c r="B1243" s="3" t="s">
        <v>7487</v>
      </c>
      <c r="C1243" s="5">
        <v>1</v>
      </c>
      <c r="D1243" s="5" t="s">
        <v>36</v>
      </c>
      <c r="E1243" s="5">
        <v>1</v>
      </c>
      <c r="F1243" s="5">
        <v>1</v>
      </c>
      <c r="G1243" s="6" t="s">
        <v>36</v>
      </c>
      <c r="H1243" s="4" t="s">
        <v>36</v>
      </c>
      <c r="I1243" s="7" t="s">
        <v>36</v>
      </c>
      <c r="J1243" s="3" t="s">
        <v>36</v>
      </c>
      <c r="K1243" s="9" t="s">
        <v>36</v>
      </c>
      <c r="L1243" s="6" t="s">
        <v>36</v>
      </c>
      <c r="M1243" s="3" t="s">
        <v>36</v>
      </c>
      <c r="N1243" s="3" t="s">
        <v>36</v>
      </c>
      <c r="O1243" s="8" t="s">
        <v>36</v>
      </c>
      <c r="P1243" s="3" t="s">
        <v>36</v>
      </c>
      <c r="Q1243" s="3" t="s">
        <v>36</v>
      </c>
      <c r="R1243" s="3" t="s">
        <v>36</v>
      </c>
      <c r="S1243" s="3" t="s">
        <v>36</v>
      </c>
      <c r="T1243" s="3" t="s">
        <v>1628</v>
      </c>
      <c r="U1243" s="3" t="s">
        <v>96</v>
      </c>
      <c r="V1243" s="3" t="s">
        <v>52</v>
      </c>
      <c r="W1243" s="3" t="s">
        <v>7488</v>
      </c>
      <c r="X1243" s="10" t="s">
        <v>7489</v>
      </c>
      <c r="Y1243" s="6" t="s">
        <v>108</v>
      </c>
      <c r="Z1243" s="4">
        <v>5.81</v>
      </c>
      <c r="AA1243" s="4" t="s">
        <v>36</v>
      </c>
      <c r="AB1243" s="3" t="s">
        <v>43</v>
      </c>
      <c r="AC1243" s="3" t="s">
        <v>7490</v>
      </c>
      <c r="AD1243" s="9">
        <v>45069</v>
      </c>
      <c r="AE1243" s="3" t="s">
        <v>755</v>
      </c>
      <c r="AF1243" s="3" t="s">
        <v>159</v>
      </c>
      <c r="AG1243" s="3" t="s">
        <v>969</v>
      </c>
      <c r="AH1243" s="11">
        <f>HYPERLINK("https://my.pitchbook.com?c=224398-18T","View Company Online")</f>
      </c>
    </row>
    <row r="1244">
      <c r="A1244" s="12" t="s">
        <v>7491</v>
      </c>
      <c r="B1244" s="12" t="s">
        <v>7492</v>
      </c>
      <c r="C1244" s="19" t="s">
        <v>36</v>
      </c>
      <c r="D1244" s="19">
        <v>6</v>
      </c>
      <c r="E1244" s="19">
        <v>1</v>
      </c>
      <c r="F1244" s="19">
        <v>7</v>
      </c>
      <c r="G1244" s="15" t="s">
        <v>36</v>
      </c>
      <c r="H1244" s="14">
        <v>5.47</v>
      </c>
      <c r="I1244" s="18">
        <v>33.9</v>
      </c>
      <c r="J1244" s="12" t="s">
        <v>521</v>
      </c>
      <c r="K1244" s="13" t="s">
        <v>36</v>
      </c>
      <c r="L1244" s="15" t="s">
        <v>36</v>
      </c>
      <c r="M1244" s="12" t="s">
        <v>36</v>
      </c>
      <c r="N1244" s="12" t="s">
        <v>36</v>
      </c>
      <c r="O1244" s="17" t="s">
        <v>36</v>
      </c>
      <c r="P1244" s="12" t="s">
        <v>36</v>
      </c>
      <c r="Q1244" s="12" t="s">
        <v>36</v>
      </c>
      <c r="R1244" s="12" t="s">
        <v>36</v>
      </c>
      <c r="S1244" s="12" t="s">
        <v>36</v>
      </c>
      <c r="T1244" s="12" t="s">
        <v>7493</v>
      </c>
      <c r="U1244" s="12" t="s">
        <v>377</v>
      </c>
      <c r="V1244" s="12" t="s">
        <v>378</v>
      </c>
      <c r="W1244" s="12" t="s">
        <v>7494</v>
      </c>
      <c r="X1244" s="16" t="s">
        <v>7495</v>
      </c>
      <c r="Y1244" s="15" t="s">
        <v>108</v>
      </c>
      <c r="Z1244" s="14">
        <v>2.63</v>
      </c>
      <c r="AA1244" s="14">
        <v>7.77</v>
      </c>
      <c r="AB1244" s="12" t="s">
        <v>56</v>
      </c>
      <c r="AC1244" s="12" t="s">
        <v>7496</v>
      </c>
      <c r="AD1244" s="13">
        <v>45069</v>
      </c>
      <c r="AE1244" s="12" t="s">
        <v>377</v>
      </c>
      <c r="AF1244" s="12" t="s">
        <v>571</v>
      </c>
      <c r="AG1244" s="12" t="s">
        <v>81</v>
      </c>
      <c r="AH1244" s="1">
        <f>HYPERLINK("https://my.pitchbook.com?c=224377-03T","View Company Online")</f>
      </c>
    </row>
    <row r="1245">
      <c r="A1245" s="3" t="s">
        <v>7497</v>
      </c>
      <c r="B1245" s="3" t="s">
        <v>7498</v>
      </c>
      <c r="C1245" s="5">
        <v>39</v>
      </c>
      <c r="D1245" s="5">
        <v>26</v>
      </c>
      <c r="E1245" s="5">
        <v>15</v>
      </c>
      <c r="F1245" s="5">
        <v>72</v>
      </c>
      <c r="G1245" s="6" t="s">
        <v>683</v>
      </c>
      <c r="H1245" s="4">
        <v>10.39</v>
      </c>
      <c r="I1245" s="7">
        <v>20.8</v>
      </c>
      <c r="J1245" s="3" t="s">
        <v>521</v>
      </c>
      <c r="K1245" s="9" t="s">
        <v>36</v>
      </c>
      <c r="L1245" s="6" t="s">
        <v>3736</v>
      </c>
      <c r="M1245" s="3" t="s">
        <v>36</v>
      </c>
      <c r="N1245" s="3" t="s">
        <v>3736</v>
      </c>
      <c r="O1245" s="8" t="s">
        <v>36</v>
      </c>
      <c r="P1245" s="3" t="s">
        <v>36</v>
      </c>
      <c r="Q1245" s="3" t="s">
        <v>36</v>
      </c>
      <c r="R1245" s="3" t="s">
        <v>36</v>
      </c>
      <c r="S1245" s="3" t="s">
        <v>36</v>
      </c>
      <c r="T1245" s="3" t="s">
        <v>1863</v>
      </c>
      <c r="U1245" s="3" t="s">
        <v>96</v>
      </c>
      <c r="V1245" s="3" t="s">
        <v>52</v>
      </c>
      <c r="W1245" s="3" t="s">
        <v>7499</v>
      </c>
      <c r="X1245" s="10" t="s">
        <v>7500</v>
      </c>
      <c r="Y1245" s="6" t="s">
        <v>166</v>
      </c>
      <c r="Z1245" s="4">
        <v>54.86</v>
      </c>
      <c r="AA1245" s="4">
        <v>263.73</v>
      </c>
      <c r="AB1245" s="3" t="s">
        <v>56</v>
      </c>
      <c r="AC1245" s="3" t="s">
        <v>7501</v>
      </c>
      <c r="AD1245" s="9">
        <v>45069</v>
      </c>
      <c r="AE1245" s="3" t="s">
        <v>1414</v>
      </c>
      <c r="AF1245" s="3" t="s">
        <v>159</v>
      </c>
      <c r="AG1245" s="3" t="s">
        <v>81</v>
      </c>
      <c r="AH1245" s="11">
        <f>HYPERLINK("https://my.pitchbook.com?c=224320-69T","View Company Online")</f>
      </c>
    </row>
    <row r="1246">
      <c r="A1246" s="12" t="s">
        <v>7502</v>
      </c>
      <c r="B1246" s="12" t="s">
        <v>7503</v>
      </c>
      <c r="C1246" s="19" t="s">
        <v>36</v>
      </c>
      <c r="D1246" s="19" t="s">
        <v>36</v>
      </c>
      <c r="E1246" s="19" t="s">
        <v>36</v>
      </c>
      <c r="F1246" s="19" t="s">
        <v>36</v>
      </c>
      <c r="G1246" s="15" t="s">
        <v>36</v>
      </c>
      <c r="H1246" s="14" t="s">
        <v>36</v>
      </c>
      <c r="I1246" s="18" t="s">
        <v>36</v>
      </c>
      <c r="J1246" s="12" t="s">
        <v>36</v>
      </c>
      <c r="K1246" s="13" t="s">
        <v>36</v>
      </c>
      <c r="L1246" s="15" t="s">
        <v>36</v>
      </c>
      <c r="M1246" s="12" t="s">
        <v>36</v>
      </c>
      <c r="N1246" s="12" t="s">
        <v>36</v>
      </c>
      <c r="O1246" s="17" t="s">
        <v>36</v>
      </c>
      <c r="P1246" s="12" t="s">
        <v>36</v>
      </c>
      <c r="Q1246" s="12" t="s">
        <v>36</v>
      </c>
      <c r="R1246" s="12" t="s">
        <v>36</v>
      </c>
      <c r="S1246" s="12" t="s">
        <v>36</v>
      </c>
      <c r="T1246" s="12" t="s">
        <v>6107</v>
      </c>
      <c r="U1246" s="12" t="s">
        <v>74</v>
      </c>
      <c r="V1246" s="12" t="s">
        <v>75</v>
      </c>
      <c r="W1246" s="12" t="s">
        <v>7504</v>
      </c>
      <c r="X1246" s="16" t="s">
        <v>4402</v>
      </c>
      <c r="Y1246" s="15" t="s">
        <v>42</v>
      </c>
      <c r="Z1246" s="14" t="s">
        <v>36</v>
      </c>
      <c r="AA1246" s="14" t="s">
        <v>36</v>
      </c>
      <c r="AB1246" s="12" t="s">
        <v>43</v>
      </c>
      <c r="AC1246" s="12" t="s">
        <v>7505</v>
      </c>
      <c r="AD1246" s="13">
        <v>45068</v>
      </c>
      <c r="AE1246" s="12" t="s">
        <v>975</v>
      </c>
      <c r="AF1246" s="12" t="s">
        <v>36</v>
      </c>
      <c r="AG1246" s="12" t="s">
        <v>81</v>
      </c>
      <c r="AH1246" s="1">
        <f>HYPERLINK("https://my.pitchbook.com?c=224171-02T","View Company Online")</f>
      </c>
    </row>
    <row r="1247">
      <c r="A1247" s="3" t="s">
        <v>7506</v>
      </c>
      <c r="B1247" s="3" t="s">
        <v>7507</v>
      </c>
      <c r="C1247" s="5">
        <v>6</v>
      </c>
      <c r="D1247" s="5">
        <v>3</v>
      </c>
      <c r="E1247" s="5">
        <v>11</v>
      </c>
      <c r="F1247" s="5">
        <v>16</v>
      </c>
      <c r="G1247" s="6" t="s">
        <v>36</v>
      </c>
      <c r="H1247" s="4" t="s">
        <v>36</v>
      </c>
      <c r="I1247" s="7" t="s">
        <v>36</v>
      </c>
      <c r="J1247" s="3" t="s">
        <v>36</v>
      </c>
      <c r="K1247" s="9" t="s">
        <v>36</v>
      </c>
      <c r="L1247" s="6" t="s">
        <v>36</v>
      </c>
      <c r="M1247" s="3" t="s">
        <v>36</v>
      </c>
      <c r="N1247" s="3" t="s">
        <v>36</v>
      </c>
      <c r="O1247" s="8" t="s">
        <v>36</v>
      </c>
      <c r="P1247" s="3" t="s">
        <v>36</v>
      </c>
      <c r="Q1247" s="3" t="s">
        <v>36</v>
      </c>
      <c r="R1247" s="3" t="s">
        <v>36</v>
      </c>
      <c r="S1247" s="3" t="s">
        <v>36</v>
      </c>
      <c r="T1247" s="3" t="s">
        <v>596</v>
      </c>
      <c r="U1247" s="3" t="s">
        <v>366</v>
      </c>
      <c r="V1247" s="3" t="s">
        <v>367</v>
      </c>
      <c r="W1247" s="3" t="s">
        <v>7508</v>
      </c>
      <c r="X1247" s="10" t="s">
        <v>7509</v>
      </c>
      <c r="Y1247" s="6" t="s">
        <v>55</v>
      </c>
      <c r="Z1247" s="4">
        <v>23.65</v>
      </c>
      <c r="AA1247" s="4" t="s">
        <v>36</v>
      </c>
      <c r="AB1247" s="3" t="s">
        <v>56</v>
      </c>
      <c r="AC1247" s="3" t="s">
        <v>7510</v>
      </c>
      <c r="AD1247" s="9">
        <v>45066</v>
      </c>
      <c r="AE1247" s="3" t="s">
        <v>600</v>
      </c>
      <c r="AF1247" s="3" t="s">
        <v>1340</v>
      </c>
      <c r="AG1247" s="3" t="s">
        <v>186</v>
      </c>
      <c r="AH1247" s="11">
        <f>HYPERLINK("https://my.pitchbook.com?c=224950-69T","View Company Online")</f>
      </c>
    </row>
    <row r="1248">
      <c r="A1248" s="12" t="s">
        <v>7511</v>
      </c>
      <c r="B1248" s="12" t="s">
        <v>7512</v>
      </c>
      <c r="C1248" s="19">
        <v>12</v>
      </c>
      <c r="D1248" s="19">
        <v>4</v>
      </c>
      <c r="E1248" s="19">
        <v>6</v>
      </c>
      <c r="F1248" s="19">
        <v>19</v>
      </c>
      <c r="G1248" s="15" t="s">
        <v>36</v>
      </c>
      <c r="H1248" s="14" t="s">
        <v>36</v>
      </c>
      <c r="I1248" s="18" t="s">
        <v>36</v>
      </c>
      <c r="J1248" s="12" t="s">
        <v>36</v>
      </c>
      <c r="K1248" s="13" t="s">
        <v>36</v>
      </c>
      <c r="L1248" s="15" t="s">
        <v>36</v>
      </c>
      <c r="M1248" s="12" t="s">
        <v>36</v>
      </c>
      <c r="N1248" s="12" t="s">
        <v>36</v>
      </c>
      <c r="O1248" s="17" t="s">
        <v>36</v>
      </c>
      <c r="P1248" s="12" t="s">
        <v>36</v>
      </c>
      <c r="Q1248" s="12" t="s">
        <v>36</v>
      </c>
      <c r="R1248" s="12" t="s">
        <v>36</v>
      </c>
      <c r="S1248" s="12" t="s">
        <v>36</v>
      </c>
      <c r="T1248" s="12" t="s">
        <v>1162</v>
      </c>
      <c r="U1248" s="12" t="s">
        <v>423</v>
      </c>
      <c r="V1248" s="12" t="s">
        <v>64</v>
      </c>
      <c r="W1248" s="12" t="s">
        <v>7513</v>
      </c>
      <c r="X1248" s="16" t="s">
        <v>7514</v>
      </c>
      <c r="Y1248" s="15" t="s">
        <v>108</v>
      </c>
      <c r="Z1248" s="14">
        <v>0.55</v>
      </c>
      <c r="AA1248" s="14" t="s">
        <v>36</v>
      </c>
      <c r="AB1248" s="12" t="s">
        <v>56</v>
      </c>
      <c r="AC1248" s="12" t="s">
        <v>7515</v>
      </c>
      <c r="AD1248" s="13">
        <v>45064</v>
      </c>
      <c r="AE1248" s="12" t="s">
        <v>562</v>
      </c>
      <c r="AF1248" s="12" t="s">
        <v>36</v>
      </c>
      <c r="AG1248" s="12" t="s">
        <v>144</v>
      </c>
      <c r="AH1248" s="1">
        <f>HYPERLINK("https://my.pitchbook.com?c=244151-92T","View Company Online")</f>
      </c>
    </row>
    <row r="1249">
      <c r="A1249" s="3" t="s">
        <v>7516</v>
      </c>
      <c r="B1249" s="3" t="s">
        <v>7517</v>
      </c>
      <c r="C1249" s="5" t="s">
        <v>36</v>
      </c>
      <c r="D1249" s="5" t="s">
        <v>36</v>
      </c>
      <c r="E1249" s="5" t="s">
        <v>36</v>
      </c>
      <c r="F1249" s="5" t="s">
        <v>36</v>
      </c>
      <c r="G1249" s="6" t="s">
        <v>36</v>
      </c>
      <c r="H1249" s="4">
        <v>61.93</v>
      </c>
      <c r="I1249" s="7">
        <v>38.11</v>
      </c>
      <c r="J1249" s="3" t="s">
        <v>521</v>
      </c>
      <c r="K1249" s="9">
        <v>44966</v>
      </c>
      <c r="L1249" s="6" t="s">
        <v>122</v>
      </c>
      <c r="M1249" s="3" t="s">
        <v>36</v>
      </c>
      <c r="N1249" s="3" t="s">
        <v>122</v>
      </c>
      <c r="O1249" s="8" t="s">
        <v>36</v>
      </c>
      <c r="P1249" s="3" t="s">
        <v>36</v>
      </c>
      <c r="Q1249" s="3" t="s">
        <v>36</v>
      </c>
      <c r="R1249" s="3" t="s">
        <v>36</v>
      </c>
      <c r="S1249" s="3" t="s">
        <v>36</v>
      </c>
      <c r="T1249" s="3" t="s">
        <v>7518</v>
      </c>
      <c r="U1249" s="3" t="s">
        <v>423</v>
      </c>
      <c r="V1249" s="3" t="s">
        <v>64</v>
      </c>
      <c r="W1249" s="3" t="s">
        <v>7519</v>
      </c>
      <c r="X1249" s="10" t="s">
        <v>7520</v>
      </c>
      <c r="Y1249" s="6" t="s">
        <v>55</v>
      </c>
      <c r="Z1249" s="4">
        <v>16.05</v>
      </c>
      <c r="AA1249" s="4">
        <v>42.12</v>
      </c>
      <c r="AB1249" s="3" t="s">
        <v>43</v>
      </c>
      <c r="AC1249" s="3" t="s">
        <v>7521</v>
      </c>
      <c r="AD1249" s="9">
        <v>45064</v>
      </c>
      <c r="AE1249" s="3" t="s">
        <v>562</v>
      </c>
      <c r="AF1249" s="3" t="s">
        <v>1052</v>
      </c>
      <c r="AG1249" s="3" t="s">
        <v>7522</v>
      </c>
      <c r="AH1249" s="11">
        <f>HYPERLINK("https://my.pitchbook.com?c=214758-37T","View Company Online")</f>
      </c>
    </row>
    <row r="1250">
      <c r="A1250" s="12" t="s">
        <v>7523</v>
      </c>
      <c r="B1250" s="12" t="s">
        <v>7524</v>
      </c>
      <c r="C1250" s="19">
        <v>7</v>
      </c>
      <c r="D1250" s="19">
        <v>31</v>
      </c>
      <c r="E1250" s="19">
        <v>12</v>
      </c>
      <c r="F1250" s="19">
        <v>39</v>
      </c>
      <c r="G1250" s="15" t="s">
        <v>326</v>
      </c>
      <c r="H1250" s="14" t="s">
        <v>36</v>
      </c>
      <c r="I1250" s="18" t="s">
        <v>36</v>
      </c>
      <c r="J1250" s="12" t="s">
        <v>521</v>
      </c>
      <c r="K1250" s="13" t="s">
        <v>36</v>
      </c>
      <c r="L1250" s="15" t="s">
        <v>122</v>
      </c>
      <c r="M1250" s="12" t="s">
        <v>36</v>
      </c>
      <c r="N1250" s="12" t="s">
        <v>122</v>
      </c>
      <c r="O1250" s="17" t="s">
        <v>36</v>
      </c>
      <c r="P1250" s="12" t="s">
        <v>36</v>
      </c>
      <c r="Q1250" s="12" t="s">
        <v>36</v>
      </c>
      <c r="R1250" s="12" t="s">
        <v>36</v>
      </c>
      <c r="S1250" s="12" t="s">
        <v>36</v>
      </c>
      <c r="T1250" s="12" t="s">
        <v>3264</v>
      </c>
      <c r="U1250" s="12" t="s">
        <v>96</v>
      </c>
      <c r="V1250" s="12" t="s">
        <v>52</v>
      </c>
      <c r="W1250" s="12" t="s">
        <v>7525</v>
      </c>
      <c r="X1250" s="16" t="s">
        <v>7526</v>
      </c>
      <c r="Y1250" s="15" t="s">
        <v>55</v>
      </c>
      <c r="Z1250" s="14">
        <v>55.4</v>
      </c>
      <c r="AA1250" s="14">
        <v>252.97</v>
      </c>
      <c r="AB1250" s="12" t="s">
        <v>43</v>
      </c>
      <c r="AC1250" s="12" t="s">
        <v>7527</v>
      </c>
      <c r="AD1250" s="13">
        <v>45063</v>
      </c>
      <c r="AE1250" s="12" t="s">
        <v>496</v>
      </c>
      <c r="AF1250" s="12" t="s">
        <v>885</v>
      </c>
      <c r="AG1250" s="12" t="s">
        <v>81</v>
      </c>
      <c r="AH1250" s="1">
        <f>HYPERLINK("https://my.pitchbook.com?c=223976-26T","View Company Online")</f>
      </c>
    </row>
    <row r="1251">
      <c r="A1251" s="3" t="s">
        <v>7528</v>
      </c>
      <c r="B1251" s="3" t="s">
        <v>7529</v>
      </c>
      <c r="C1251" s="5" t="s">
        <v>36</v>
      </c>
      <c r="D1251" s="5" t="s">
        <v>36</v>
      </c>
      <c r="E1251" s="5" t="s">
        <v>36</v>
      </c>
      <c r="F1251" s="5" t="s">
        <v>36</v>
      </c>
      <c r="G1251" s="6" t="s">
        <v>36</v>
      </c>
      <c r="H1251" s="4" t="s">
        <v>36</v>
      </c>
      <c r="I1251" s="7" t="s">
        <v>36</v>
      </c>
      <c r="J1251" s="3" t="s">
        <v>36</v>
      </c>
      <c r="K1251" s="9">
        <v>44927</v>
      </c>
      <c r="L1251" s="6" t="s">
        <v>36</v>
      </c>
      <c r="M1251" s="3" t="s">
        <v>36</v>
      </c>
      <c r="N1251" s="3" t="s">
        <v>36</v>
      </c>
      <c r="O1251" s="8" t="s">
        <v>36</v>
      </c>
      <c r="P1251" s="3" t="s">
        <v>36</v>
      </c>
      <c r="Q1251" s="3" t="s">
        <v>36</v>
      </c>
      <c r="R1251" s="3" t="s">
        <v>36</v>
      </c>
      <c r="S1251" s="3" t="s">
        <v>36</v>
      </c>
      <c r="T1251" s="3" t="s">
        <v>522</v>
      </c>
      <c r="U1251" s="3" t="s">
        <v>38</v>
      </c>
      <c r="V1251" s="3" t="s">
        <v>39</v>
      </c>
      <c r="W1251" s="3" t="s">
        <v>7530</v>
      </c>
      <c r="X1251" s="10" t="s">
        <v>7531</v>
      </c>
      <c r="Y1251" s="6" t="s">
        <v>42</v>
      </c>
      <c r="Z1251" s="4" t="s">
        <v>36</v>
      </c>
      <c r="AA1251" s="4" t="s">
        <v>36</v>
      </c>
      <c r="AB1251" s="3" t="s">
        <v>56</v>
      </c>
      <c r="AC1251" s="3" t="s">
        <v>7532</v>
      </c>
      <c r="AD1251" s="9">
        <v>45062</v>
      </c>
      <c r="AE1251" s="3" t="s">
        <v>110</v>
      </c>
      <c r="AF1251" s="3" t="s">
        <v>7533</v>
      </c>
      <c r="AG1251" s="3" t="s">
        <v>81</v>
      </c>
      <c r="AH1251" s="11">
        <f>HYPERLINK("https://my.pitchbook.com?c=220424-77T","View Company Online")</f>
      </c>
    </row>
    <row r="1252">
      <c r="A1252" s="12" t="s">
        <v>7534</v>
      </c>
      <c r="B1252" s="12" t="s">
        <v>7535</v>
      </c>
      <c r="C1252" s="19" t="s">
        <v>36</v>
      </c>
      <c r="D1252" s="19" t="s">
        <v>36</v>
      </c>
      <c r="E1252" s="19" t="s">
        <v>36</v>
      </c>
      <c r="F1252" s="19" t="s">
        <v>36</v>
      </c>
      <c r="G1252" s="15" t="s">
        <v>36</v>
      </c>
      <c r="H1252" s="14" t="s">
        <v>36</v>
      </c>
      <c r="I1252" s="18" t="s">
        <v>36</v>
      </c>
      <c r="J1252" s="12" t="s">
        <v>36</v>
      </c>
      <c r="K1252" s="13" t="s">
        <v>36</v>
      </c>
      <c r="L1252" s="15" t="s">
        <v>36</v>
      </c>
      <c r="M1252" s="12" t="s">
        <v>36</v>
      </c>
      <c r="N1252" s="12" t="s">
        <v>36</v>
      </c>
      <c r="O1252" s="17" t="s">
        <v>36</v>
      </c>
      <c r="P1252" s="12" t="s">
        <v>36</v>
      </c>
      <c r="Q1252" s="12" t="s">
        <v>36</v>
      </c>
      <c r="R1252" s="12" t="s">
        <v>36</v>
      </c>
      <c r="S1252" s="12" t="s">
        <v>36</v>
      </c>
      <c r="T1252" s="12" t="s">
        <v>7536</v>
      </c>
      <c r="U1252" s="12" t="s">
        <v>74</v>
      </c>
      <c r="V1252" s="12" t="s">
        <v>75</v>
      </c>
      <c r="W1252" s="12" t="s">
        <v>7537</v>
      </c>
      <c r="X1252" s="16" t="s">
        <v>3565</v>
      </c>
      <c r="Y1252" s="15" t="s">
        <v>108</v>
      </c>
      <c r="Z1252" s="14">
        <v>4.4</v>
      </c>
      <c r="AA1252" s="14" t="s">
        <v>36</v>
      </c>
      <c r="AB1252" s="12" t="s">
        <v>56</v>
      </c>
      <c r="AC1252" s="12" t="s">
        <v>7538</v>
      </c>
      <c r="AD1252" s="13">
        <v>45062</v>
      </c>
      <c r="AE1252" s="12" t="s">
        <v>975</v>
      </c>
      <c r="AF1252" s="12" t="s">
        <v>176</v>
      </c>
      <c r="AG1252" s="12" t="s">
        <v>81</v>
      </c>
      <c r="AH1252" s="1">
        <f>HYPERLINK("https://my.pitchbook.com?c=224355-07T","View Company Online")</f>
      </c>
    </row>
    <row r="1253">
      <c r="A1253" s="3" t="s">
        <v>7539</v>
      </c>
      <c r="B1253" s="3" t="s">
        <v>2290</v>
      </c>
      <c r="C1253" s="5" t="s">
        <v>36</v>
      </c>
      <c r="D1253" s="5" t="s">
        <v>36</v>
      </c>
      <c r="E1253" s="5" t="s">
        <v>36</v>
      </c>
      <c r="F1253" s="5" t="s">
        <v>36</v>
      </c>
      <c r="G1253" s="6" t="s">
        <v>36</v>
      </c>
      <c r="H1253" s="4">
        <v>20.77</v>
      </c>
      <c r="I1253" s="7">
        <v>33.77</v>
      </c>
      <c r="J1253" s="3" t="s">
        <v>521</v>
      </c>
      <c r="K1253" s="9" t="s">
        <v>36</v>
      </c>
      <c r="L1253" s="6" t="s">
        <v>36</v>
      </c>
      <c r="M1253" s="3" t="s">
        <v>36</v>
      </c>
      <c r="N1253" s="3" t="s">
        <v>36</v>
      </c>
      <c r="O1253" s="8" t="s">
        <v>36</v>
      </c>
      <c r="P1253" s="3" t="s">
        <v>36</v>
      </c>
      <c r="Q1253" s="3" t="s">
        <v>36</v>
      </c>
      <c r="R1253" s="3" t="s">
        <v>36</v>
      </c>
      <c r="S1253" s="3" t="s">
        <v>36</v>
      </c>
      <c r="T1253" s="3" t="s">
        <v>596</v>
      </c>
      <c r="U1253" s="3" t="s">
        <v>366</v>
      </c>
      <c r="V1253" s="3" t="s">
        <v>367</v>
      </c>
      <c r="W1253" s="3" t="s">
        <v>2291</v>
      </c>
      <c r="X1253" s="10" t="s">
        <v>7540</v>
      </c>
      <c r="Y1253" s="6" t="s">
        <v>42</v>
      </c>
      <c r="Z1253" s="4">
        <v>5.61</v>
      </c>
      <c r="AA1253" s="4">
        <v>16.62</v>
      </c>
      <c r="AB1253" s="3" t="s">
        <v>43</v>
      </c>
      <c r="AC1253" s="3" t="s">
        <v>2293</v>
      </c>
      <c r="AD1253" s="9">
        <v>45062</v>
      </c>
      <c r="AE1253" s="3" t="s">
        <v>600</v>
      </c>
      <c r="AF1253" s="3" t="s">
        <v>931</v>
      </c>
      <c r="AG1253" s="3" t="s">
        <v>969</v>
      </c>
      <c r="AH1253" s="11">
        <f>HYPERLINK("https://my.pitchbook.com?c=232355-71T","View Company Online")</f>
      </c>
    </row>
    <row r="1254">
      <c r="A1254" s="12" t="s">
        <v>7541</v>
      </c>
      <c r="B1254" s="12" t="s">
        <v>7542</v>
      </c>
      <c r="C1254" s="19" t="s">
        <v>36</v>
      </c>
      <c r="D1254" s="19" t="s">
        <v>36</v>
      </c>
      <c r="E1254" s="19" t="s">
        <v>36</v>
      </c>
      <c r="F1254" s="19" t="s">
        <v>36</v>
      </c>
      <c r="G1254" s="15" t="s">
        <v>2497</v>
      </c>
      <c r="H1254" s="14">
        <v>11.36</v>
      </c>
      <c r="I1254" s="18">
        <v>8.76</v>
      </c>
      <c r="J1254" s="12" t="s">
        <v>521</v>
      </c>
      <c r="K1254" s="13" t="s">
        <v>36</v>
      </c>
      <c r="L1254" s="15" t="s">
        <v>36</v>
      </c>
      <c r="M1254" s="12" t="s">
        <v>36</v>
      </c>
      <c r="N1254" s="12" t="s">
        <v>36</v>
      </c>
      <c r="O1254" s="17" t="s">
        <v>36</v>
      </c>
      <c r="P1254" s="12" t="s">
        <v>36</v>
      </c>
      <c r="Q1254" s="12" t="s">
        <v>36</v>
      </c>
      <c r="R1254" s="12" t="s">
        <v>36</v>
      </c>
      <c r="S1254" s="12" t="s">
        <v>36</v>
      </c>
      <c r="T1254" s="12" t="s">
        <v>7543</v>
      </c>
      <c r="U1254" s="12" t="s">
        <v>648</v>
      </c>
      <c r="V1254" s="12" t="s">
        <v>64</v>
      </c>
      <c r="W1254" s="12" t="s">
        <v>7544</v>
      </c>
      <c r="X1254" s="16" t="s">
        <v>7545</v>
      </c>
      <c r="Y1254" s="15" t="s">
        <v>55</v>
      </c>
      <c r="Z1254" s="14">
        <v>1.45</v>
      </c>
      <c r="AA1254" s="14">
        <v>16.59</v>
      </c>
      <c r="AB1254" s="12" t="s">
        <v>56</v>
      </c>
      <c r="AC1254" s="12" t="s">
        <v>7546</v>
      </c>
      <c r="AD1254" s="13">
        <v>45062</v>
      </c>
      <c r="AE1254" s="12" t="s">
        <v>1897</v>
      </c>
      <c r="AF1254" s="12" t="s">
        <v>1115</v>
      </c>
      <c r="AG1254" s="12" t="s">
        <v>81</v>
      </c>
      <c r="AH1254" s="1">
        <f>HYPERLINK("https://my.pitchbook.com?c=226295-56T","View Company Online")</f>
      </c>
    </row>
    <row r="1255">
      <c r="A1255" s="3" t="s">
        <v>7547</v>
      </c>
      <c r="B1255" s="3" t="s">
        <v>7548</v>
      </c>
      <c r="C1255" s="5" t="s">
        <v>36</v>
      </c>
      <c r="D1255" s="5" t="s">
        <v>36</v>
      </c>
      <c r="E1255" s="5" t="s">
        <v>36</v>
      </c>
      <c r="F1255" s="5" t="s">
        <v>36</v>
      </c>
      <c r="G1255" s="6" t="s">
        <v>683</v>
      </c>
      <c r="H1255" s="4">
        <v>1.04</v>
      </c>
      <c r="I1255" s="7">
        <v>47.48</v>
      </c>
      <c r="J1255" s="3" t="s">
        <v>521</v>
      </c>
      <c r="K1255" s="9" t="s">
        <v>36</v>
      </c>
      <c r="L1255" s="6" t="s">
        <v>94</v>
      </c>
      <c r="M1255" s="3" t="s">
        <v>36</v>
      </c>
      <c r="N1255" s="3" t="s">
        <v>94</v>
      </c>
      <c r="O1255" s="8" t="s">
        <v>36</v>
      </c>
      <c r="P1255" s="3" t="s">
        <v>36</v>
      </c>
      <c r="Q1255" s="3" t="s">
        <v>36</v>
      </c>
      <c r="R1255" s="3" t="s">
        <v>36</v>
      </c>
      <c r="S1255" s="3" t="s">
        <v>36</v>
      </c>
      <c r="T1255" s="3" t="s">
        <v>5302</v>
      </c>
      <c r="U1255" s="3" t="s">
        <v>74</v>
      </c>
      <c r="V1255" s="3" t="s">
        <v>75</v>
      </c>
      <c r="W1255" s="3" t="s">
        <v>7549</v>
      </c>
      <c r="X1255" s="10" t="s">
        <v>7550</v>
      </c>
      <c r="Y1255" s="6" t="s">
        <v>55</v>
      </c>
      <c r="Z1255" s="4">
        <v>40.78</v>
      </c>
      <c r="AA1255" s="4">
        <v>85.87</v>
      </c>
      <c r="AB1255" s="3" t="s">
        <v>43</v>
      </c>
      <c r="AC1255" s="3" t="s">
        <v>7551</v>
      </c>
      <c r="AD1255" s="9">
        <v>45061</v>
      </c>
      <c r="AE1255" s="3" t="s">
        <v>362</v>
      </c>
      <c r="AF1255" s="3" t="s">
        <v>250</v>
      </c>
      <c r="AG1255" s="3" t="s">
        <v>81</v>
      </c>
      <c r="AH1255" s="11">
        <f>HYPERLINK("https://my.pitchbook.com?c=164816-74T","View Company Online")</f>
      </c>
    </row>
    <row r="1256">
      <c r="A1256" s="12" t="s">
        <v>7552</v>
      </c>
      <c r="B1256" s="12" t="s">
        <v>7553</v>
      </c>
      <c r="C1256" s="19" t="s">
        <v>36</v>
      </c>
      <c r="D1256" s="19" t="s">
        <v>36</v>
      </c>
      <c r="E1256" s="19" t="s">
        <v>36</v>
      </c>
      <c r="F1256" s="19" t="s">
        <v>36</v>
      </c>
      <c r="G1256" s="15" t="s">
        <v>326</v>
      </c>
      <c r="H1256" s="14" t="s">
        <v>36</v>
      </c>
      <c r="I1256" s="18">
        <v>38.88</v>
      </c>
      <c r="J1256" s="12" t="s">
        <v>521</v>
      </c>
      <c r="K1256" s="13">
        <v>44784</v>
      </c>
      <c r="L1256" s="15" t="s">
        <v>36</v>
      </c>
      <c r="M1256" s="12" t="s">
        <v>36</v>
      </c>
      <c r="N1256" s="12" t="s">
        <v>36</v>
      </c>
      <c r="O1256" s="17" t="s">
        <v>36</v>
      </c>
      <c r="P1256" s="12" t="s">
        <v>36</v>
      </c>
      <c r="Q1256" s="12" t="s">
        <v>36</v>
      </c>
      <c r="R1256" s="12" t="s">
        <v>36</v>
      </c>
      <c r="S1256" s="12" t="s">
        <v>36</v>
      </c>
      <c r="T1256" s="12" t="s">
        <v>3790</v>
      </c>
      <c r="U1256" s="12" t="s">
        <v>318</v>
      </c>
      <c r="V1256" s="12" t="s">
        <v>39</v>
      </c>
      <c r="W1256" s="12" t="s">
        <v>7554</v>
      </c>
      <c r="X1256" s="16" t="s">
        <v>7555</v>
      </c>
      <c r="Y1256" s="15" t="s">
        <v>108</v>
      </c>
      <c r="Z1256" s="14">
        <v>1.63</v>
      </c>
      <c r="AA1256" s="14">
        <v>4.19</v>
      </c>
      <c r="AB1256" s="12" t="s">
        <v>43</v>
      </c>
      <c r="AC1256" s="12" t="s">
        <v>7556</v>
      </c>
      <c r="AD1256" s="13">
        <v>45061</v>
      </c>
      <c r="AE1256" s="12" t="s">
        <v>763</v>
      </c>
      <c r="AF1256" s="12" t="s">
        <v>7557</v>
      </c>
      <c r="AG1256" s="12" t="s">
        <v>741</v>
      </c>
      <c r="AH1256" s="1">
        <f>HYPERLINK("https://my.pitchbook.com?c=200612-08T","View Company Online")</f>
      </c>
    </row>
    <row r="1257">
      <c r="A1257" s="3" t="s">
        <v>7558</v>
      </c>
      <c r="B1257" s="3" t="s">
        <v>1784</v>
      </c>
      <c r="C1257" s="5">
        <v>5</v>
      </c>
      <c r="D1257" s="5">
        <v>8</v>
      </c>
      <c r="E1257" s="5">
        <v>5</v>
      </c>
      <c r="F1257" s="5">
        <v>13</v>
      </c>
      <c r="G1257" s="6" t="s">
        <v>36</v>
      </c>
      <c r="H1257" s="4" t="s">
        <v>36</v>
      </c>
      <c r="I1257" s="7" t="s">
        <v>36</v>
      </c>
      <c r="J1257" s="3" t="s">
        <v>36</v>
      </c>
      <c r="K1257" s="9" t="s">
        <v>36</v>
      </c>
      <c r="L1257" s="6" t="s">
        <v>36</v>
      </c>
      <c r="M1257" s="3" t="s">
        <v>36</v>
      </c>
      <c r="N1257" s="3" t="s">
        <v>36</v>
      </c>
      <c r="O1257" s="8" t="s">
        <v>36</v>
      </c>
      <c r="P1257" s="3" t="s">
        <v>36</v>
      </c>
      <c r="Q1257" s="3" t="s">
        <v>36</v>
      </c>
      <c r="R1257" s="3" t="s">
        <v>36</v>
      </c>
      <c r="S1257" s="3" t="s">
        <v>36</v>
      </c>
      <c r="T1257" s="3" t="s">
        <v>189</v>
      </c>
      <c r="U1257" s="3" t="s">
        <v>180</v>
      </c>
      <c r="V1257" s="3" t="s">
        <v>52</v>
      </c>
      <c r="W1257" s="3" t="s">
        <v>1785</v>
      </c>
      <c r="X1257" s="10" t="s">
        <v>577</v>
      </c>
      <c r="Y1257" s="6" t="s">
        <v>55</v>
      </c>
      <c r="Z1257" s="4" t="s">
        <v>36</v>
      </c>
      <c r="AA1257" s="4" t="s">
        <v>36</v>
      </c>
      <c r="AB1257" s="3" t="s">
        <v>43</v>
      </c>
      <c r="AC1257" s="3" t="s">
        <v>1787</v>
      </c>
      <c r="AD1257" s="9">
        <v>45058</v>
      </c>
      <c r="AE1257" s="3" t="s">
        <v>184</v>
      </c>
      <c r="AF1257" s="3" t="s">
        <v>1788</v>
      </c>
      <c r="AG1257" s="3" t="s">
        <v>373</v>
      </c>
      <c r="AH1257" s="11">
        <f>HYPERLINK("https://my.pitchbook.com?c=228357-01T","View Company Online")</f>
      </c>
    </row>
    <row r="1258">
      <c r="A1258" s="12" t="s">
        <v>7559</v>
      </c>
      <c r="B1258" s="12" t="s">
        <v>7560</v>
      </c>
      <c r="C1258" s="19">
        <v>1</v>
      </c>
      <c r="D1258" s="19">
        <v>2</v>
      </c>
      <c r="E1258" s="19">
        <v>1</v>
      </c>
      <c r="F1258" s="19">
        <v>3</v>
      </c>
      <c r="G1258" s="15" t="s">
        <v>36</v>
      </c>
      <c r="H1258" s="14" t="s">
        <v>36</v>
      </c>
      <c r="I1258" s="18" t="s">
        <v>36</v>
      </c>
      <c r="J1258" s="12" t="s">
        <v>36</v>
      </c>
      <c r="K1258" s="13" t="s">
        <v>36</v>
      </c>
      <c r="L1258" s="15" t="s">
        <v>36</v>
      </c>
      <c r="M1258" s="12" t="s">
        <v>36</v>
      </c>
      <c r="N1258" s="12" t="s">
        <v>36</v>
      </c>
      <c r="O1258" s="17" t="s">
        <v>36</v>
      </c>
      <c r="P1258" s="12" t="s">
        <v>36</v>
      </c>
      <c r="Q1258" s="12" t="s">
        <v>36</v>
      </c>
      <c r="R1258" s="12" t="s">
        <v>36</v>
      </c>
      <c r="S1258" s="12" t="s">
        <v>36</v>
      </c>
      <c r="T1258" s="12" t="s">
        <v>7561</v>
      </c>
      <c r="U1258" s="12" t="s">
        <v>366</v>
      </c>
      <c r="V1258" s="12" t="s">
        <v>367</v>
      </c>
      <c r="W1258" s="12" t="s">
        <v>7562</v>
      </c>
      <c r="X1258" s="16" t="s">
        <v>7563</v>
      </c>
      <c r="Y1258" s="15" t="s">
        <v>42</v>
      </c>
      <c r="Z1258" s="14">
        <v>11.02</v>
      </c>
      <c r="AA1258" s="14" t="s">
        <v>36</v>
      </c>
      <c r="AB1258" s="12" t="s">
        <v>56</v>
      </c>
      <c r="AC1258" s="12" t="s">
        <v>7564</v>
      </c>
      <c r="AD1258" s="13">
        <v>45057</v>
      </c>
      <c r="AE1258" s="12" t="s">
        <v>7565</v>
      </c>
      <c r="AF1258" s="12" t="s">
        <v>7566</v>
      </c>
      <c r="AG1258" s="12" t="s">
        <v>6644</v>
      </c>
      <c r="AH1258" s="1">
        <f>HYPERLINK("https://my.pitchbook.com?c=223587-91T","View Company Online")</f>
      </c>
    </row>
    <row r="1259">
      <c r="A1259" s="3" t="s">
        <v>7567</v>
      </c>
      <c r="B1259" s="3" t="s">
        <v>7568</v>
      </c>
      <c r="C1259" s="5" t="s">
        <v>36</v>
      </c>
      <c r="D1259" s="5" t="s">
        <v>36</v>
      </c>
      <c r="E1259" s="5" t="s">
        <v>36</v>
      </c>
      <c r="F1259" s="5" t="s">
        <v>36</v>
      </c>
      <c r="G1259" s="6" t="s">
        <v>36</v>
      </c>
      <c r="H1259" s="4" t="s">
        <v>36</v>
      </c>
      <c r="I1259" s="7" t="s">
        <v>36</v>
      </c>
      <c r="J1259" s="3" t="s">
        <v>36</v>
      </c>
      <c r="K1259" s="9" t="s">
        <v>36</v>
      </c>
      <c r="L1259" s="6" t="s">
        <v>122</v>
      </c>
      <c r="M1259" s="3" t="s">
        <v>36</v>
      </c>
      <c r="N1259" s="3" t="s">
        <v>122</v>
      </c>
      <c r="O1259" s="8" t="s">
        <v>36</v>
      </c>
      <c r="P1259" s="3" t="s">
        <v>36</v>
      </c>
      <c r="Q1259" s="3" t="s">
        <v>36</v>
      </c>
      <c r="R1259" s="3" t="s">
        <v>36</v>
      </c>
      <c r="S1259" s="3" t="s">
        <v>36</v>
      </c>
      <c r="T1259" s="3" t="s">
        <v>472</v>
      </c>
      <c r="U1259" s="3" t="s">
        <v>38</v>
      </c>
      <c r="V1259" s="3" t="s">
        <v>39</v>
      </c>
      <c r="W1259" s="3" t="s">
        <v>7569</v>
      </c>
      <c r="X1259" s="10" t="s">
        <v>7570</v>
      </c>
      <c r="Y1259" s="6" t="s">
        <v>42</v>
      </c>
      <c r="Z1259" s="4">
        <v>6.61</v>
      </c>
      <c r="AA1259" s="4" t="s">
        <v>36</v>
      </c>
      <c r="AB1259" s="3" t="s">
        <v>56</v>
      </c>
      <c r="AC1259" s="3" t="s">
        <v>7571</v>
      </c>
      <c r="AD1259" s="9">
        <v>45057</v>
      </c>
      <c r="AE1259" s="3" t="s">
        <v>110</v>
      </c>
      <c r="AF1259" s="3" t="s">
        <v>7572</v>
      </c>
      <c r="AG1259" s="3" t="s">
        <v>741</v>
      </c>
      <c r="AH1259" s="11">
        <f>HYPERLINK("https://my.pitchbook.com?c=223762-42T","View Company Online")</f>
      </c>
    </row>
    <row r="1260">
      <c r="A1260" s="12" t="s">
        <v>7573</v>
      </c>
      <c r="B1260" s="12" t="s">
        <v>7574</v>
      </c>
      <c r="C1260" s="19" t="s">
        <v>36</v>
      </c>
      <c r="D1260" s="19" t="s">
        <v>36</v>
      </c>
      <c r="E1260" s="19" t="s">
        <v>36</v>
      </c>
      <c r="F1260" s="19" t="s">
        <v>36</v>
      </c>
      <c r="G1260" s="15" t="s">
        <v>36</v>
      </c>
      <c r="H1260" s="14" t="s">
        <v>36</v>
      </c>
      <c r="I1260" s="18">
        <v>28.01</v>
      </c>
      <c r="J1260" s="12" t="s">
        <v>327</v>
      </c>
      <c r="K1260" s="13" t="s">
        <v>36</v>
      </c>
      <c r="L1260" s="15" t="s">
        <v>36</v>
      </c>
      <c r="M1260" s="12" t="s">
        <v>36</v>
      </c>
      <c r="N1260" s="12" t="s">
        <v>36</v>
      </c>
      <c r="O1260" s="17" t="s">
        <v>36</v>
      </c>
      <c r="P1260" s="12" t="s">
        <v>36</v>
      </c>
      <c r="Q1260" s="12" t="s">
        <v>36</v>
      </c>
      <c r="R1260" s="12" t="s">
        <v>36</v>
      </c>
      <c r="S1260" s="12" t="s">
        <v>36</v>
      </c>
      <c r="T1260" s="12" t="s">
        <v>7575</v>
      </c>
      <c r="U1260" s="12" t="s">
        <v>1502</v>
      </c>
      <c r="V1260" s="12" t="s">
        <v>75</v>
      </c>
      <c r="W1260" s="12" t="s">
        <v>7576</v>
      </c>
      <c r="X1260" s="16" t="s">
        <v>7577</v>
      </c>
      <c r="Y1260" s="15" t="s">
        <v>42</v>
      </c>
      <c r="Z1260" s="14">
        <v>13.22</v>
      </c>
      <c r="AA1260" s="14">
        <v>47.22</v>
      </c>
      <c r="AB1260" s="12" t="s">
        <v>43</v>
      </c>
      <c r="AC1260" s="12" t="s">
        <v>7578</v>
      </c>
      <c r="AD1260" s="13">
        <v>45057</v>
      </c>
      <c r="AE1260" s="12" t="s">
        <v>3645</v>
      </c>
      <c r="AF1260" s="12" t="s">
        <v>1507</v>
      </c>
      <c r="AG1260" s="12" t="s">
        <v>7579</v>
      </c>
      <c r="AH1260" s="1">
        <f>HYPERLINK("https://my.pitchbook.com?c=223618-78T","View Company Online")</f>
      </c>
    </row>
    <row r="1261">
      <c r="A1261" s="3" t="s">
        <v>7580</v>
      </c>
      <c r="B1261" s="3" t="s">
        <v>7581</v>
      </c>
      <c r="C1261" s="5" t="s">
        <v>36</v>
      </c>
      <c r="D1261" s="5" t="s">
        <v>36</v>
      </c>
      <c r="E1261" s="5" t="s">
        <v>36</v>
      </c>
      <c r="F1261" s="5" t="s">
        <v>36</v>
      </c>
      <c r="G1261" s="6" t="s">
        <v>326</v>
      </c>
      <c r="H1261" s="4" t="s">
        <v>36</v>
      </c>
      <c r="I1261" s="7">
        <v>28.74</v>
      </c>
      <c r="J1261" s="3" t="s">
        <v>327</v>
      </c>
      <c r="K1261" s="9" t="s">
        <v>36</v>
      </c>
      <c r="L1261" s="6" t="s">
        <v>94</v>
      </c>
      <c r="M1261" s="3" t="s">
        <v>36</v>
      </c>
      <c r="N1261" s="3" t="s">
        <v>94</v>
      </c>
      <c r="O1261" s="8" t="s">
        <v>36</v>
      </c>
      <c r="P1261" s="3" t="s">
        <v>36</v>
      </c>
      <c r="Q1261" s="3" t="s">
        <v>36</v>
      </c>
      <c r="R1261" s="3" t="s">
        <v>36</v>
      </c>
      <c r="S1261" s="3" t="s">
        <v>36</v>
      </c>
      <c r="T1261" s="3" t="s">
        <v>7582</v>
      </c>
      <c r="U1261" s="3" t="s">
        <v>63</v>
      </c>
      <c r="V1261" s="3" t="s">
        <v>64</v>
      </c>
      <c r="W1261" s="3" t="s">
        <v>7583</v>
      </c>
      <c r="X1261" s="10" t="s">
        <v>7584</v>
      </c>
      <c r="Y1261" s="6" t="s">
        <v>55</v>
      </c>
      <c r="Z1261" s="4">
        <v>27.55</v>
      </c>
      <c r="AA1261" s="4">
        <v>95.85</v>
      </c>
      <c r="AB1261" s="3" t="s">
        <v>56</v>
      </c>
      <c r="AC1261" s="3" t="s">
        <v>7585</v>
      </c>
      <c r="AD1261" s="9">
        <v>45057</v>
      </c>
      <c r="AE1261" s="3" t="s">
        <v>68</v>
      </c>
      <c r="AF1261" s="3" t="s">
        <v>118</v>
      </c>
      <c r="AG1261" s="3" t="s">
        <v>81</v>
      </c>
      <c r="AH1261" s="11">
        <f>HYPERLINK("https://my.pitchbook.com?c=223547-59T","View Company Online")</f>
      </c>
    </row>
    <row r="1262">
      <c r="A1262" s="12" t="s">
        <v>7586</v>
      </c>
      <c r="B1262" s="12" t="s">
        <v>7587</v>
      </c>
      <c r="C1262" s="19" t="s">
        <v>36</v>
      </c>
      <c r="D1262" s="19" t="s">
        <v>36</v>
      </c>
      <c r="E1262" s="19" t="s">
        <v>36</v>
      </c>
      <c r="F1262" s="19" t="s">
        <v>36</v>
      </c>
      <c r="G1262" s="15" t="s">
        <v>36</v>
      </c>
      <c r="H1262" s="14" t="s">
        <v>36</v>
      </c>
      <c r="I1262" s="18" t="s">
        <v>36</v>
      </c>
      <c r="J1262" s="12" t="s">
        <v>36</v>
      </c>
      <c r="K1262" s="13" t="s">
        <v>36</v>
      </c>
      <c r="L1262" s="15" t="s">
        <v>36</v>
      </c>
      <c r="M1262" s="12" t="s">
        <v>36</v>
      </c>
      <c r="N1262" s="12" t="s">
        <v>36</v>
      </c>
      <c r="O1262" s="17" t="s">
        <v>36</v>
      </c>
      <c r="P1262" s="12" t="s">
        <v>36</v>
      </c>
      <c r="Q1262" s="12" t="s">
        <v>36</v>
      </c>
      <c r="R1262" s="12" t="s">
        <v>36</v>
      </c>
      <c r="S1262" s="12" t="s">
        <v>36</v>
      </c>
      <c r="T1262" s="12" t="s">
        <v>4509</v>
      </c>
      <c r="U1262" s="12" t="s">
        <v>1091</v>
      </c>
      <c r="V1262" s="12" t="s">
        <v>378</v>
      </c>
      <c r="W1262" s="12" t="s">
        <v>7588</v>
      </c>
      <c r="X1262" s="16" t="s">
        <v>7589</v>
      </c>
      <c r="Y1262" s="15" t="s">
        <v>42</v>
      </c>
      <c r="Z1262" s="14">
        <v>8.04</v>
      </c>
      <c r="AA1262" s="14" t="s">
        <v>36</v>
      </c>
      <c r="AB1262" s="12" t="s">
        <v>56</v>
      </c>
      <c r="AC1262" s="12" t="s">
        <v>7590</v>
      </c>
      <c r="AD1262" s="13">
        <v>45056</v>
      </c>
      <c r="AE1262" s="12" t="s">
        <v>1095</v>
      </c>
      <c r="AF1262" s="12" t="s">
        <v>372</v>
      </c>
      <c r="AG1262" s="12" t="s">
        <v>3774</v>
      </c>
      <c r="AH1262" s="1">
        <f>HYPERLINK("https://my.pitchbook.com?c=223543-36T","View Company Online")</f>
      </c>
    </row>
    <row r="1263">
      <c r="A1263" s="3" t="s">
        <v>7591</v>
      </c>
      <c r="B1263" s="3" t="s">
        <v>7592</v>
      </c>
      <c r="C1263" s="5" t="s">
        <v>36</v>
      </c>
      <c r="D1263" s="5" t="s">
        <v>36</v>
      </c>
      <c r="E1263" s="5" t="s">
        <v>36</v>
      </c>
      <c r="F1263" s="5" t="s">
        <v>36</v>
      </c>
      <c r="G1263" s="6" t="s">
        <v>36</v>
      </c>
      <c r="H1263" s="4" t="s">
        <v>36</v>
      </c>
      <c r="I1263" s="7" t="s">
        <v>36</v>
      </c>
      <c r="J1263" s="3" t="s">
        <v>36</v>
      </c>
      <c r="K1263" s="9" t="s">
        <v>36</v>
      </c>
      <c r="L1263" s="6" t="s">
        <v>36</v>
      </c>
      <c r="M1263" s="3" t="s">
        <v>36</v>
      </c>
      <c r="N1263" s="3" t="s">
        <v>36</v>
      </c>
      <c r="O1263" s="8" t="s">
        <v>36</v>
      </c>
      <c r="P1263" s="3" t="s">
        <v>36</v>
      </c>
      <c r="Q1263" s="3" t="s">
        <v>36</v>
      </c>
      <c r="R1263" s="3" t="s">
        <v>36</v>
      </c>
      <c r="S1263" s="3" t="s">
        <v>36</v>
      </c>
      <c r="T1263" s="3" t="s">
        <v>105</v>
      </c>
      <c r="U1263" s="3" t="s">
        <v>38</v>
      </c>
      <c r="V1263" s="3" t="s">
        <v>39</v>
      </c>
      <c r="W1263" s="3" t="s">
        <v>7593</v>
      </c>
      <c r="X1263" s="10" t="s">
        <v>7594</v>
      </c>
      <c r="Y1263" s="6" t="s">
        <v>192</v>
      </c>
      <c r="Z1263" s="4" t="s">
        <v>36</v>
      </c>
      <c r="AA1263" s="4" t="s">
        <v>36</v>
      </c>
      <c r="AB1263" s="3" t="s">
        <v>56</v>
      </c>
      <c r="AC1263" s="3" t="s">
        <v>7595</v>
      </c>
      <c r="AD1263" s="9">
        <v>45056</v>
      </c>
      <c r="AE1263" s="3" t="s">
        <v>110</v>
      </c>
      <c r="AF1263" s="3" t="s">
        <v>7596</v>
      </c>
      <c r="AG1263" s="3" t="s">
        <v>81</v>
      </c>
      <c r="AH1263" s="11">
        <f>HYPERLINK("https://my.pitchbook.com?c=282966-85T","View Company Online")</f>
      </c>
    </row>
    <row r="1264">
      <c r="A1264" s="12" t="s">
        <v>7597</v>
      </c>
      <c r="B1264" s="12" t="s">
        <v>7598</v>
      </c>
      <c r="C1264" s="19" t="s">
        <v>36</v>
      </c>
      <c r="D1264" s="19" t="s">
        <v>36</v>
      </c>
      <c r="E1264" s="19" t="s">
        <v>36</v>
      </c>
      <c r="F1264" s="19" t="s">
        <v>36</v>
      </c>
      <c r="G1264" s="15" t="s">
        <v>36</v>
      </c>
      <c r="H1264" s="14">
        <v>173.28</v>
      </c>
      <c r="I1264" s="18">
        <v>26.15</v>
      </c>
      <c r="J1264" s="12" t="s">
        <v>521</v>
      </c>
      <c r="K1264" s="13" t="s">
        <v>36</v>
      </c>
      <c r="L1264" s="15" t="s">
        <v>122</v>
      </c>
      <c r="M1264" s="12" t="s">
        <v>36</v>
      </c>
      <c r="N1264" s="12" t="s">
        <v>122</v>
      </c>
      <c r="O1264" s="17" t="s">
        <v>36</v>
      </c>
      <c r="P1264" s="12" t="s">
        <v>36</v>
      </c>
      <c r="Q1264" s="12" t="s">
        <v>36</v>
      </c>
      <c r="R1264" s="12" t="s">
        <v>36</v>
      </c>
      <c r="S1264" s="12" t="s">
        <v>36</v>
      </c>
      <c r="T1264" s="12" t="s">
        <v>105</v>
      </c>
      <c r="U1264" s="12" t="s">
        <v>38</v>
      </c>
      <c r="V1264" s="12" t="s">
        <v>39</v>
      </c>
      <c r="W1264" s="12" t="s">
        <v>7599</v>
      </c>
      <c r="X1264" s="16" t="s">
        <v>7600</v>
      </c>
      <c r="Y1264" s="15" t="s">
        <v>42</v>
      </c>
      <c r="Z1264" s="14">
        <v>1.04</v>
      </c>
      <c r="AA1264" s="14">
        <v>3.98</v>
      </c>
      <c r="AB1264" s="12" t="s">
        <v>56</v>
      </c>
      <c r="AC1264" s="12" t="s">
        <v>7601</v>
      </c>
      <c r="AD1264" s="13">
        <v>45056</v>
      </c>
      <c r="AE1264" s="12" t="s">
        <v>110</v>
      </c>
      <c r="AF1264" s="12" t="s">
        <v>176</v>
      </c>
      <c r="AG1264" s="12" t="s">
        <v>81</v>
      </c>
      <c r="AH1264" s="1">
        <f>HYPERLINK("https://my.pitchbook.com?c=252833-05T","View Company Online")</f>
      </c>
    </row>
    <row r="1265">
      <c r="A1265" s="3" t="s">
        <v>7602</v>
      </c>
      <c r="B1265" s="3" t="s">
        <v>7603</v>
      </c>
      <c r="C1265" s="5" t="s">
        <v>36</v>
      </c>
      <c r="D1265" s="5" t="s">
        <v>36</v>
      </c>
      <c r="E1265" s="5" t="s">
        <v>36</v>
      </c>
      <c r="F1265" s="5" t="s">
        <v>36</v>
      </c>
      <c r="G1265" s="6" t="s">
        <v>326</v>
      </c>
      <c r="H1265" s="4" t="s">
        <v>36</v>
      </c>
      <c r="I1265" s="7">
        <v>31.52</v>
      </c>
      <c r="J1265" s="3" t="s">
        <v>327</v>
      </c>
      <c r="K1265" s="9" t="s">
        <v>36</v>
      </c>
      <c r="L1265" s="6" t="s">
        <v>94</v>
      </c>
      <c r="M1265" s="3" t="s">
        <v>36</v>
      </c>
      <c r="N1265" s="3" t="s">
        <v>94</v>
      </c>
      <c r="O1265" s="8" t="s">
        <v>36</v>
      </c>
      <c r="P1265" s="3" t="s">
        <v>36</v>
      </c>
      <c r="Q1265" s="3" t="s">
        <v>36</v>
      </c>
      <c r="R1265" s="3" t="s">
        <v>36</v>
      </c>
      <c r="S1265" s="3" t="s">
        <v>36</v>
      </c>
      <c r="T1265" s="3" t="s">
        <v>7604</v>
      </c>
      <c r="U1265" s="3" t="s">
        <v>289</v>
      </c>
      <c r="V1265" s="3" t="s">
        <v>64</v>
      </c>
      <c r="W1265" s="3" t="s">
        <v>7605</v>
      </c>
      <c r="X1265" s="10" t="s">
        <v>7606</v>
      </c>
      <c r="Y1265" s="6" t="s">
        <v>108</v>
      </c>
      <c r="Z1265" s="4">
        <v>22.04</v>
      </c>
      <c r="AA1265" s="4">
        <v>69.91</v>
      </c>
      <c r="AB1265" s="3" t="s">
        <v>56</v>
      </c>
      <c r="AC1265" s="3" t="s">
        <v>7607</v>
      </c>
      <c r="AD1265" s="9">
        <v>45056</v>
      </c>
      <c r="AE1265" s="3" t="s">
        <v>292</v>
      </c>
      <c r="AF1265" s="3" t="s">
        <v>90</v>
      </c>
      <c r="AG1265" s="3" t="s">
        <v>81</v>
      </c>
      <c r="AH1265" s="11">
        <f>HYPERLINK("https://my.pitchbook.com?c=223424-47T","View Company Online")</f>
      </c>
    </row>
    <row r="1266">
      <c r="A1266" s="12" t="s">
        <v>7608</v>
      </c>
      <c r="B1266" s="12" t="s">
        <v>7609</v>
      </c>
      <c r="C1266" s="19">
        <v>6</v>
      </c>
      <c r="D1266" s="19">
        <v>21</v>
      </c>
      <c r="E1266" s="19">
        <v>6</v>
      </c>
      <c r="F1266" s="19">
        <v>28</v>
      </c>
      <c r="G1266" s="15" t="s">
        <v>36</v>
      </c>
      <c r="H1266" s="14">
        <v>48.86</v>
      </c>
      <c r="I1266" s="18">
        <v>20.8</v>
      </c>
      <c r="J1266" s="12" t="s">
        <v>521</v>
      </c>
      <c r="K1266" s="13" t="s">
        <v>36</v>
      </c>
      <c r="L1266" s="15" t="s">
        <v>122</v>
      </c>
      <c r="M1266" s="12" t="s">
        <v>36</v>
      </c>
      <c r="N1266" s="12" t="s">
        <v>122</v>
      </c>
      <c r="O1266" s="17" t="s">
        <v>36</v>
      </c>
      <c r="P1266" s="12" t="s">
        <v>36</v>
      </c>
      <c r="Q1266" s="12" t="s">
        <v>36</v>
      </c>
      <c r="R1266" s="12" t="s">
        <v>36</v>
      </c>
      <c r="S1266" s="12" t="s">
        <v>36</v>
      </c>
      <c r="T1266" s="12" t="s">
        <v>6904</v>
      </c>
      <c r="U1266" s="12" t="s">
        <v>96</v>
      </c>
      <c r="V1266" s="12" t="s">
        <v>52</v>
      </c>
      <c r="W1266" s="12" t="s">
        <v>7610</v>
      </c>
      <c r="X1266" s="16" t="s">
        <v>7611</v>
      </c>
      <c r="Y1266" s="15" t="s">
        <v>42</v>
      </c>
      <c r="Z1266" s="14">
        <v>3.29</v>
      </c>
      <c r="AA1266" s="14">
        <v>15.8</v>
      </c>
      <c r="AB1266" s="12" t="s">
        <v>56</v>
      </c>
      <c r="AC1266" s="12" t="s">
        <v>7612</v>
      </c>
      <c r="AD1266" s="13">
        <v>45055</v>
      </c>
      <c r="AE1266" s="12" t="s">
        <v>143</v>
      </c>
      <c r="AF1266" s="12" t="s">
        <v>159</v>
      </c>
      <c r="AG1266" s="12" t="s">
        <v>81</v>
      </c>
      <c r="AH1266" s="1">
        <f>HYPERLINK("https://my.pitchbook.com?c=224597-80T","View Company Online")</f>
      </c>
    </row>
    <row r="1267">
      <c r="A1267" s="3" t="s">
        <v>7613</v>
      </c>
      <c r="B1267" s="3" t="s">
        <v>7614</v>
      </c>
      <c r="C1267" s="5" t="s">
        <v>36</v>
      </c>
      <c r="D1267" s="5" t="s">
        <v>36</v>
      </c>
      <c r="E1267" s="5" t="s">
        <v>36</v>
      </c>
      <c r="F1267" s="5" t="s">
        <v>36</v>
      </c>
      <c r="G1267" s="6" t="s">
        <v>36</v>
      </c>
      <c r="H1267" s="4" t="s">
        <v>36</v>
      </c>
      <c r="I1267" s="7" t="s">
        <v>36</v>
      </c>
      <c r="J1267" s="3" t="s">
        <v>36</v>
      </c>
      <c r="K1267" s="9" t="s">
        <v>36</v>
      </c>
      <c r="L1267" s="6" t="s">
        <v>36</v>
      </c>
      <c r="M1267" s="3" t="s">
        <v>36</v>
      </c>
      <c r="N1267" s="3" t="s">
        <v>36</v>
      </c>
      <c r="O1267" s="8" t="s">
        <v>36</v>
      </c>
      <c r="P1267" s="3" t="s">
        <v>36</v>
      </c>
      <c r="Q1267" s="3" t="s">
        <v>36</v>
      </c>
      <c r="R1267" s="3" t="s">
        <v>36</v>
      </c>
      <c r="S1267" s="3" t="s">
        <v>4990</v>
      </c>
      <c r="T1267" s="3" t="s">
        <v>7615</v>
      </c>
      <c r="U1267" s="3" t="s">
        <v>74</v>
      </c>
      <c r="V1267" s="3" t="s">
        <v>75</v>
      </c>
      <c r="W1267" s="3" t="s">
        <v>7616</v>
      </c>
      <c r="X1267" s="10" t="s">
        <v>7617</v>
      </c>
      <c r="Y1267" s="6" t="s">
        <v>55</v>
      </c>
      <c r="Z1267" s="4">
        <v>3.86</v>
      </c>
      <c r="AA1267" s="4" t="s">
        <v>36</v>
      </c>
      <c r="AB1267" s="3" t="s">
        <v>56</v>
      </c>
      <c r="AC1267" s="3" t="s">
        <v>7618</v>
      </c>
      <c r="AD1267" s="9">
        <v>45055</v>
      </c>
      <c r="AE1267" s="3" t="s">
        <v>696</v>
      </c>
      <c r="AF1267" s="3" t="s">
        <v>7619</v>
      </c>
      <c r="AG1267" s="3" t="s">
        <v>1078</v>
      </c>
      <c r="AH1267" s="11">
        <f>HYPERLINK("https://my.pitchbook.com?c=223425-19T","View Company Online")</f>
      </c>
    </row>
    <row r="1268">
      <c r="A1268" s="12" t="s">
        <v>7620</v>
      </c>
      <c r="B1268" s="12" t="s">
        <v>7621</v>
      </c>
      <c r="C1268" s="19" t="s">
        <v>36</v>
      </c>
      <c r="D1268" s="19" t="s">
        <v>36</v>
      </c>
      <c r="E1268" s="19" t="s">
        <v>36</v>
      </c>
      <c r="F1268" s="19" t="s">
        <v>36</v>
      </c>
      <c r="G1268" s="15" t="s">
        <v>2497</v>
      </c>
      <c r="H1268" s="14">
        <v>18.8</v>
      </c>
      <c r="I1268" s="18">
        <v>6.63</v>
      </c>
      <c r="J1268" s="12" t="s">
        <v>521</v>
      </c>
      <c r="K1268" s="13" t="s">
        <v>36</v>
      </c>
      <c r="L1268" s="15" t="s">
        <v>36</v>
      </c>
      <c r="M1268" s="12" t="s">
        <v>36</v>
      </c>
      <c r="N1268" s="12" t="s">
        <v>36</v>
      </c>
      <c r="O1268" s="17" t="s">
        <v>36</v>
      </c>
      <c r="P1268" s="12" t="s">
        <v>36</v>
      </c>
      <c r="Q1268" s="12" t="s">
        <v>36</v>
      </c>
      <c r="R1268" s="12" t="s">
        <v>36</v>
      </c>
      <c r="S1268" s="12" t="s">
        <v>36</v>
      </c>
      <c r="T1268" s="12" t="s">
        <v>7622</v>
      </c>
      <c r="U1268" s="12" t="s">
        <v>74</v>
      </c>
      <c r="V1268" s="12" t="s">
        <v>75</v>
      </c>
      <c r="W1268" s="12" t="s">
        <v>7623</v>
      </c>
      <c r="X1268" s="16" t="s">
        <v>7624</v>
      </c>
      <c r="Y1268" s="15" t="s">
        <v>55</v>
      </c>
      <c r="Z1268" s="14">
        <v>0.69</v>
      </c>
      <c r="AA1268" s="14">
        <v>10.47</v>
      </c>
      <c r="AB1268" s="12" t="s">
        <v>56</v>
      </c>
      <c r="AC1268" s="12" t="s">
        <v>7625</v>
      </c>
      <c r="AD1268" s="13">
        <v>45055</v>
      </c>
      <c r="AE1268" s="12" t="s">
        <v>79</v>
      </c>
      <c r="AF1268" s="12" t="s">
        <v>468</v>
      </c>
      <c r="AG1268" s="12" t="s">
        <v>81</v>
      </c>
      <c r="AH1268" s="1">
        <f>HYPERLINK("https://my.pitchbook.com?c=226385-65T","View Company Online")</f>
      </c>
    </row>
    <row r="1269">
      <c r="A1269" s="3" t="s">
        <v>7626</v>
      </c>
      <c r="B1269" s="3" t="s">
        <v>7627</v>
      </c>
      <c r="C1269" s="5">
        <v>2</v>
      </c>
      <c r="D1269" s="5" t="s">
        <v>36</v>
      </c>
      <c r="E1269" s="5">
        <v>1</v>
      </c>
      <c r="F1269" s="5">
        <v>2</v>
      </c>
      <c r="G1269" s="6" t="s">
        <v>326</v>
      </c>
      <c r="H1269" s="4" t="s">
        <v>36</v>
      </c>
      <c r="I1269" s="7">
        <v>19.1</v>
      </c>
      <c r="J1269" s="3" t="s">
        <v>327</v>
      </c>
      <c r="K1269" s="9" t="s">
        <v>36</v>
      </c>
      <c r="L1269" s="6" t="s">
        <v>36</v>
      </c>
      <c r="M1269" s="3" t="s">
        <v>36</v>
      </c>
      <c r="N1269" s="3" t="s">
        <v>36</v>
      </c>
      <c r="O1269" s="8" t="s">
        <v>36</v>
      </c>
      <c r="P1269" s="3" t="s">
        <v>36</v>
      </c>
      <c r="Q1269" s="3" t="s">
        <v>36</v>
      </c>
      <c r="R1269" s="3" t="s">
        <v>36</v>
      </c>
      <c r="S1269" s="3" t="s">
        <v>36</v>
      </c>
      <c r="T1269" s="3" t="s">
        <v>7628</v>
      </c>
      <c r="U1269" s="3" t="s">
        <v>74</v>
      </c>
      <c r="V1269" s="3" t="s">
        <v>75</v>
      </c>
      <c r="W1269" s="3" t="s">
        <v>7629</v>
      </c>
      <c r="X1269" s="10" t="s">
        <v>7630</v>
      </c>
      <c r="Y1269" s="6" t="s">
        <v>55</v>
      </c>
      <c r="Z1269" s="4">
        <v>8.82</v>
      </c>
      <c r="AA1269" s="4">
        <v>46.14</v>
      </c>
      <c r="AB1269" s="3" t="s">
        <v>56</v>
      </c>
      <c r="AC1269" s="3" t="s">
        <v>7631</v>
      </c>
      <c r="AD1269" s="9">
        <v>45055</v>
      </c>
      <c r="AE1269" s="3" t="s">
        <v>1888</v>
      </c>
      <c r="AF1269" s="3" t="s">
        <v>7632</v>
      </c>
      <c r="AG1269" s="3" t="s">
        <v>7633</v>
      </c>
      <c r="AH1269" s="11">
        <f>HYPERLINK("https://my.pitchbook.com?c=223377-13T","View Company Online")</f>
      </c>
    </row>
    <row r="1270">
      <c r="A1270" s="12" t="s">
        <v>7634</v>
      </c>
      <c r="B1270" s="12" t="s">
        <v>4727</v>
      </c>
      <c r="C1270" s="19" t="s">
        <v>36</v>
      </c>
      <c r="D1270" s="19">
        <v>2</v>
      </c>
      <c r="E1270" s="19">
        <v>1</v>
      </c>
      <c r="F1270" s="19">
        <v>2</v>
      </c>
      <c r="G1270" s="15" t="s">
        <v>36</v>
      </c>
      <c r="H1270" s="14">
        <v>8.31</v>
      </c>
      <c r="I1270" s="18">
        <v>25.93</v>
      </c>
      <c r="J1270" s="12" t="s">
        <v>521</v>
      </c>
      <c r="K1270" s="13" t="s">
        <v>36</v>
      </c>
      <c r="L1270" s="15" t="s">
        <v>36</v>
      </c>
      <c r="M1270" s="12" t="s">
        <v>36</v>
      </c>
      <c r="N1270" s="12" t="s">
        <v>36</v>
      </c>
      <c r="O1270" s="17" t="s">
        <v>36</v>
      </c>
      <c r="P1270" s="12" t="s">
        <v>36</v>
      </c>
      <c r="Q1270" s="12" t="s">
        <v>36</v>
      </c>
      <c r="R1270" s="12" t="s">
        <v>36</v>
      </c>
      <c r="S1270" s="12" t="s">
        <v>36</v>
      </c>
      <c r="T1270" s="12" t="s">
        <v>3264</v>
      </c>
      <c r="U1270" s="12" t="s">
        <v>96</v>
      </c>
      <c r="V1270" s="12" t="s">
        <v>52</v>
      </c>
      <c r="W1270" s="12" t="s">
        <v>4728</v>
      </c>
      <c r="X1270" s="16" t="s">
        <v>5892</v>
      </c>
      <c r="Y1270" s="15" t="s">
        <v>42</v>
      </c>
      <c r="Z1270" s="14">
        <v>0.62</v>
      </c>
      <c r="AA1270" s="14">
        <v>2.38</v>
      </c>
      <c r="AB1270" s="12" t="s">
        <v>56</v>
      </c>
      <c r="AC1270" s="12" t="s">
        <v>4729</v>
      </c>
      <c r="AD1270" s="13">
        <v>45051</v>
      </c>
      <c r="AE1270" s="12" t="s">
        <v>496</v>
      </c>
      <c r="AF1270" s="12" t="s">
        <v>4730</v>
      </c>
      <c r="AG1270" s="12" t="s">
        <v>512</v>
      </c>
      <c r="AH1270" s="1">
        <f>HYPERLINK("https://my.pitchbook.com?c=247865-41T","View Company Online")</f>
      </c>
    </row>
    <row r="1271">
      <c r="A1271" s="3" t="s">
        <v>7635</v>
      </c>
      <c r="B1271" s="3" t="s">
        <v>7636</v>
      </c>
      <c r="C1271" s="5">
        <v>5</v>
      </c>
      <c r="D1271" s="5">
        <v>6</v>
      </c>
      <c r="E1271" s="5">
        <v>4</v>
      </c>
      <c r="F1271" s="5">
        <v>12</v>
      </c>
      <c r="G1271" s="6" t="s">
        <v>326</v>
      </c>
      <c r="H1271" s="4" t="s">
        <v>36</v>
      </c>
      <c r="I1271" s="7">
        <v>44.02</v>
      </c>
      <c r="J1271" s="3" t="s">
        <v>327</v>
      </c>
      <c r="K1271" s="9" t="s">
        <v>36</v>
      </c>
      <c r="L1271" s="6" t="s">
        <v>122</v>
      </c>
      <c r="M1271" s="3" t="s">
        <v>36</v>
      </c>
      <c r="N1271" s="3" t="s">
        <v>122</v>
      </c>
      <c r="O1271" s="8" t="s">
        <v>36</v>
      </c>
      <c r="P1271" s="3" t="s">
        <v>36</v>
      </c>
      <c r="Q1271" s="3" t="s">
        <v>36</v>
      </c>
      <c r="R1271" s="3" t="s">
        <v>36</v>
      </c>
      <c r="S1271" s="3" t="s">
        <v>36</v>
      </c>
      <c r="T1271" s="3" t="s">
        <v>7637</v>
      </c>
      <c r="U1271" s="3" t="s">
        <v>38</v>
      </c>
      <c r="V1271" s="3" t="s">
        <v>39</v>
      </c>
      <c r="W1271" s="3" t="s">
        <v>7638</v>
      </c>
      <c r="X1271" s="10" t="s">
        <v>7639</v>
      </c>
      <c r="Y1271" s="6" t="s">
        <v>108</v>
      </c>
      <c r="Z1271" s="4">
        <v>3.41</v>
      </c>
      <c r="AA1271" s="4">
        <v>7.75</v>
      </c>
      <c r="AB1271" s="3" t="s">
        <v>56</v>
      </c>
      <c r="AC1271" s="3" t="s">
        <v>7640</v>
      </c>
      <c r="AD1271" s="9">
        <v>45051</v>
      </c>
      <c r="AE1271" s="3" t="s">
        <v>110</v>
      </c>
      <c r="AF1271" s="3" t="s">
        <v>7641</v>
      </c>
      <c r="AG1271" s="3" t="s">
        <v>2450</v>
      </c>
      <c r="AH1271" s="11">
        <f>HYPERLINK("https://my.pitchbook.com?c=223500-52T","View Company Online")</f>
      </c>
    </row>
    <row r="1272">
      <c r="A1272" s="12" t="s">
        <v>7642</v>
      </c>
      <c r="B1272" s="12" t="s">
        <v>7643</v>
      </c>
      <c r="C1272" s="19" t="s">
        <v>36</v>
      </c>
      <c r="D1272" s="19" t="s">
        <v>36</v>
      </c>
      <c r="E1272" s="19" t="s">
        <v>36</v>
      </c>
      <c r="F1272" s="19" t="s">
        <v>36</v>
      </c>
      <c r="G1272" s="15" t="s">
        <v>326</v>
      </c>
      <c r="H1272" s="14" t="s">
        <v>36</v>
      </c>
      <c r="I1272" s="18">
        <v>24.41</v>
      </c>
      <c r="J1272" s="12" t="s">
        <v>327</v>
      </c>
      <c r="K1272" s="13" t="s">
        <v>36</v>
      </c>
      <c r="L1272" s="15" t="s">
        <v>122</v>
      </c>
      <c r="M1272" s="12" t="s">
        <v>36</v>
      </c>
      <c r="N1272" s="12" t="s">
        <v>122</v>
      </c>
      <c r="O1272" s="17" t="s">
        <v>36</v>
      </c>
      <c r="P1272" s="12" t="s">
        <v>36</v>
      </c>
      <c r="Q1272" s="12" t="s">
        <v>36</v>
      </c>
      <c r="R1272" s="12" t="s">
        <v>36</v>
      </c>
      <c r="S1272" s="12" t="s">
        <v>36</v>
      </c>
      <c r="T1272" s="12" t="s">
        <v>2044</v>
      </c>
      <c r="U1272" s="12" t="s">
        <v>74</v>
      </c>
      <c r="V1272" s="12" t="s">
        <v>75</v>
      </c>
      <c r="W1272" s="12" t="s">
        <v>7644</v>
      </c>
      <c r="X1272" s="16" t="s">
        <v>7645</v>
      </c>
      <c r="Y1272" s="15" t="s">
        <v>108</v>
      </c>
      <c r="Z1272" s="14">
        <v>11.99</v>
      </c>
      <c r="AA1272" s="14">
        <v>49.13</v>
      </c>
      <c r="AB1272" s="12" t="s">
        <v>56</v>
      </c>
      <c r="AC1272" s="12" t="s">
        <v>7646</v>
      </c>
      <c r="AD1272" s="13">
        <v>45051</v>
      </c>
      <c r="AE1272" s="12" t="s">
        <v>79</v>
      </c>
      <c r="AF1272" s="12" t="s">
        <v>4270</v>
      </c>
      <c r="AG1272" s="12" t="s">
        <v>7647</v>
      </c>
      <c r="AH1272" s="1">
        <f>HYPERLINK("https://my.pitchbook.com?c=225687-70T","View Company Online")</f>
      </c>
    </row>
    <row r="1273">
      <c r="A1273" s="3" t="s">
        <v>7648</v>
      </c>
      <c r="B1273" s="3" t="s">
        <v>7649</v>
      </c>
      <c r="C1273" s="5" t="s">
        <v>36</v>
      </c>
      <c r="D1273" s="5" t="s">
        <v>36</v>
      </c>
      <c r="E1273" s="5" t="s">
        <v>36</v>
      </c>
      <c r="F1273" s="5" t="s">
        <v>36</v>
      </c>
      <c r="G1273" s="6" t="s">
        <v>36</v>
      </c>
      <c r="H1273" s="4" t="s">
        <v>36</v>
      </c>
      <c r="I1273" s="7" t="s">
        <v>36</v>
      </c>
      <c r="J1273" s="3" t="s">
        <v>36</v>
      </c>
      <c r="K1273" s="9" t="s">
        <v>36</v>
      </c>
      <c r="L1273" s="6" t="s">
        <v>36</v>
      </c>
      <c r="M1273" s="3" t="s">
        <v>36</v>
      </c>
      <c r="N1273" s="3" t="s">
        <v>36</v>
      </c>
      <c r="O1273" s="8" t="s">
        <v>36</v>
      </c>
      <c r="P1273" s="3" t="s">
        <v>36</v>
      </c>
      <c r="Q1273" s="3" t="s">
        <v>36</v>
      </c>
      <c r="R1273" s="3" t="s">
        <v>36</v>
      </c>
      <c r="S1273" s="3" t="s">
        <v>36</v>
      </c>
      <c r="T1273" s="3" t="s">
        <v>7650</v>
      </c>
      <c r="U1273" s="3" t="s">
        <v>438</v>
      </c>
      <c r="V1273" s="3" t="s">
        <v>405</v>
      </c>
      <c r="W1273" s="3" t="s">
        <v>7651</v>
      </c>
      <c r="X1273" s="10" t="s">
        <v>7652</v>
      </c>
      <c r="Y1273" s="6" t="s">
        <v>108</v>
      </c>
      <c r="Z1273" s="4">
        <v>6.06</v>
      </c>
      <c r="AA1273" s="4" t="s">
        <v>36</v>
      </c>
      <c r="AB1273" s="3" t="s">
        <v>43</v>
      </c>
      <c r="AC1273" s="3" t="s">
        <v>7653</v>
      </c>
      <c r="AD1273" s="9">
        <v>45050</v>
      </c>
      <c r="AE1273" s="3" t="s">
        <v>438</v>
      </c>
      <c r="AF1273" s="3" t="s">
        <v>7654</v>
      </c>
      <c r="AG1273" s="3" t="s">
        <v>81</v>
      </c>
      <c r="AH1273" s="11">
        <f>HYPERLINK("https://my.pitchbook.com?c=223051-06T","View Company Online")</f>
      </c>
    </row>
    <row r="1274">
      <c r="A1274" s="12" t="s">
        <v>7655</v>
      </c>
      <c r="B1274" s="12" t="s">
        <v>7656</v>
      </c>
      <c r="C1274" s="19" t="s">
        <v>36</v>
      </c>
      <c r="D1274" s="19" t="s">
        <v>36</v>
      </c>
      <c r="E1274" s="19" t="s">
        <v>36</v>
      </c>
      <c r="F1274" s="19" t="s">
        <v>36</v>
      </c>
      <c r="G1274" s="15" t="s">
        <v>326</v>
      </c>
      <c r="H1274" s="14">
        <v>0.66</v>
      </c>
      <c r="I1274" s="18">
        <v>36.39</v>
      </c>
      <c r="J1274" s="12" t="s">
        <v>521</v>
      </c>
      <c r="K1274" s="13" t="s">
        <v>36</v>
      </c>
      <c r="L1274" s="15" t="s">
        <v>36</v>
      </c>
      <c r="M1274" s="12" t="s">
        <v>36</v>
      </c>
      <c r="N1274" s="12" t="s">
        <v>36</v>
      </c>
      <c r="O1274" s="17" t="s">
        <v>36</v>
      </c>
      <c r="P1274" s="12" t="s">
        <v>36</v>
      </c>
      <c r="Q1274" s="12" t="s">
        <v>36</v>
      </c>
      <c r="R1274" s="12" t="s">
        <v>36</v>
      </c>
      <c r="S1274" s="12" t="s">
        <v>36</v>
      </c>
      <c r="T1274" s="12" t="s">
        <v>7657</v>
      </c>
      <c r="U1274" s="12" t="s">
        <v>833</v>
      </c>
      <c r="V1274" s="12" t="s">
        <v>64</v>
      </c>
      <c r="W1274" s="12" t="s">
        <v>7658</v>
      </c>
      <c r="X1274" s="16" t="s">
        <v>7659</v>
      </c>
      <c r="Y1274" s="15" t="s">
        <v>108</v>
      </c>
      <c r="Z1274" s="14">
        <v>2.42</v>
      </c>
      <c r="AA1274" s="14">
        <v>6.65</v>
      </c>
      <c r="AB1274" s="12" t="s">
        <v>56</v>
      </c>
      <c r="AC1274" s="12" t="s">
        <v>7660</v>
      </c>
      <c r="AD1274" s="13">
        <v>45049</v>
      </c>
      <c r="AE1274" s="12" t="s">
        <v>1069</v>
      </c>
      <c r="AF1274" s="12" t="s">
        <v>2350</v>
      </c>
      <c r="AG1274" s="12" t="s">
        <v>332</v>
      </c>
      <c r="AH1274" s="1">
        <f>HYPERLINK("https://my.pitchbook.com?c=201681-82T","View Company Online")</f>
      </c>
    </row>
    <row r="1275">
      <c r="A1275" s="3" t="s">
        <v>7661</v>
      </c>
      <c r="B1275" s="3" t="s">
        <v>7662</v>
      </c>
      <c r="C1275" s="5" t="s">
        <v>36</v>
      </c>
      <c r="D1275" s="5" t="s">
        <v>36</v>
      </c>
      <c r="E1275" s="5" t="s">
        <v>36</v>
      </c>
      <c r="F1275" s="5" t="s">
        <v>36</v>
      </c>
      <c r="G1275" s="6" t="s">
        <v>326</v>
      </c>
      <c r="H1275" s="4">
        <v>14.54</v>
      </c>
      <c r="I1275" s="7">
        <v>43.75</v>
      </c>
      <c r="J1275" s="3" t="s">
        <v>521</v>
      </c>
      <c r="K1275" s="9" t="s">
        <v>36</v>
      </c>
      <c r="L1275" s="6" t="s">
        <v>36</v>
      </c>
      <c r="M1275" s="3" t="s">
        <v>36</v>
      </c>
      <c r="N1275" s="3" t="s">
        <v>36</v>
      </c>
      <c r="O1275" s="8" t="s">
        <v>36</v>
      </c>
      <c r="P1275" s="3" t="s">
        <v>36</v>
      </c>
      <c r="Q1275" s="3" t="s">
        <v>36</v>
      </c>
      <c r="R1275" s="3" t="s">
        <v>36</v>
      </c>
      <c r="S1275" s="3" t="s">
        <v>36</v>
      </c>
      <c r="T1275" s="3" t="s">
        <v>7663</v>
      </c>
      <c r="U1275" s="3" t="s">
        <v>1144</v>
      </c>
      <c r="V1275" s="3" t="s">
        <v>378</v>
      </c>
      <c r="W1275" s="3" t="s">
        <v>7664</v>
      </c>
      <c r="X1275" s="10" t="s">
        <v>7665</v>
      </c>
      <c r="Y1275" s="6" t="s">
        <v>108</v>
      </c>
      <c r="Z1275" s="4">
        <v>1.54</v>
      </c>
      <c r="AA1275" s="4">
        <v>3.52</v>
      </c>
      <c r="AB1275" s="3" t="s">
        <v>56</v>
      </c>
      <c r="AC1275" s="3" t="s">
        <v>7666</v>
      </c>
      <c r="AD1275" s="9">
        <v>45049</v>
      </c>
      <c r="AE1275" s="3" t="s">
        <v>7667</v>
      </c>
      <c r="AF1275" s="3" t="s">
        <v>7668</v>
      </c>
      <c r="AG1275" s="3" t="s">
        <v>6644</v>
      </c>
      <c r="AH1275" s="11">
        <f>HYPERLINK("https://my.pitchbook.com?c=223021-81T","View Company Online")</f>
      </c>
    </row>
    <row r="1276">
      <c r="A1276" s="12" t="s">
        <v>7669</v>
      </c>
      <c r="B1276" s="12" t="s">
        <v>7670</v>
      </c>
      <c r="C1276" s="19">
        <v>3</v>
      </c>
      <c r="D1276" s="19">
        <v>31</v>
      </c>
      <c r="E1276" s="19">
        <v>11</v>
      </c>
      <c r="F1276" s="19">
        <v>43</v>
      </c>
      <c r="G1276" s="15" t="s">
        <v>36</v>
      </c>
      <c r="H1276" s="14">
        <v>598.78</v>
      </c>
      <c r="I1276" s="18">
        <v>6.37</v>
      </c>
      <c r="J1276" s="12" t="s">
        <v>521</v>
      </c>
      <c r="K1276" s="13">
        <v>44916</v>
      </c>
      <c r="L1276" s="15" t="s">
        <v>122</v>
      </c>
      <c r="M1276" s="12" t="s">
        <v>36</v>
      </c>
      <c r="N1276" s="12" t="s">
        <v>122</v>
      </c>
      <c r="O1276" s="17" t="s">
        <v>36</v>
      </c>
      <c r="P1276" s="12" t="s">
        <v>36</v>
      </c>
      <c r="Q1276" s="12" t="s">
        <v>36</v>
      </c>
      <c r="R1276" s="12" t="s">
        <v>36</v>
      </c>
      <c r="S1276" s="12" t="s">
        <v>36</v>
      </c>
      <c r="T1276" s="12" t="s">
        <v>588</v>
      </c>
      <c r="U1276" s="12" t="s">
        <v>318</v>
      </c>
      <c r="V1276" s="12" t="s">
        <v>39</v>
      </c>
      <c r="W1276" s="12" t="s">
        <v>7671</v>
      </c>
      <c r="X1276" s="16" t="s">
        <v>7672</v>
      </c>
      <c r="Y1276" s="15" t="s">
        <v>42</v>
      </c>
      <c r="Z1276" s="14">
        <v>2.16</v>
      </c>
      <c r="AA1276" s="14">
        <v>33.86</v>
      </c>
      <c r="AB1276" s="12" t="s">
        <v>56</v>
      </c>
      <c r="AC1276" s="12" t="s">
        <v>7673</v>
      </c>
      <c r="AD1276" s="13">
        <v>45049</v>
      </c>
      <c r="AE1276" s="12" t="s">
        <v>417</v>
      </c>
      <c r="AF1276" s="12" t="s">
        <v>7674</v>
      </c>
      <c r="AG1276" s="12" t="s">
        <v>127</v>
      </c>
      <c r="AH1276" s="1">
        <f>HYPERLINK("https://my.pitchbook.com?c=184168-09T","View Company Online")</f>
      </c>
    </row>
    <row r="1277">
      <c r="A1277" s="3" t="s">
        <v>7675</v>
      </c>
      <c r="B1277" s="3" t="s">
        <v>7676</v>
      </c>
      <c r="C1277" s="5" t="s">
        <v>36</v>
      </c>
      <c r="D1277" s="5" t="s">
        <v>36</v>
      </c>
      <c r="E1277" s="5" t="s">
        <v>36</v>
      </c>
      <c r="F1277" s="5" t="s">
        <v>36</v>
      </c>
      <c r="G1277" s="6" t="s">
        <v>36</v>
      </c>
      <c r="H1277" s="4" t="s">
        <v>36</v>
      </c>
      <c r="I1277" s="7" t="s">
        <v>36</v>
      </c>
      <c r="J1277" s="3" t="s">
        <v>36</v>
      </c>
      <c r="K1277" s="9" t="s">
        <v>36</v>
      </c>
      <c r="L1277" s="6" t="s">
        <v>36</v>
      </c>
      <c r="M1277" s="3" t="s">
        <v>36</v>
      </c>
      <c r="N1277" s="3" t="s">
        <v>36</v>
      </c>
      <c r="O1277" s="8" t="s">
        <v>36</v>
      </c>
      <c r="P1277" s="3" t="s">
        <v>36</v>
      </c>
      <c r="Q1277" s="3" t="s">
        <v>36</v>
      </c>
      <c r="R1277" s="3" t="s">
        <v>36</v>
      </c>
      <c r="S1277" s="3" t="s">
        <v>36</v>
      </c>
      <c r="T1277" s="3" t="s">
        <v>7677</v>
      </c>
      <c r="U1277" s="3" t="s">
        <v>219</v>
      </c>
      <c r="V1277" s="3" t="s">
        <v>75</v>
      </c>
      <c r="W1277" s="3" t="s">
        <v>7678</v>
      </c>
      <c r="X1277" s="10" t="s">
        <v>4336</v>
      </c>
      <c r="Y1277" s="6" t="s">
        <v>42</v>
      </c>
      <c r="Z1277" s="4" t="s">
        <v>36</v>
      </c>
      <c r="AA1277" s="4" t="s">
        <v>36</v>
      </c>
      <c r="AB1277" s="3" t="s">
        <v>43</v>
      </c>
      <c r="AC1277" s="3" t="s">
        <v>7679</v>
      </c>
      <c r="AD1277" s="9">
        <v>45048</v>
      </c>
      <c r="AE1277" s="3" t="s">
        <v>1032</v>
      </c>
      <c r="AF1277" s="3" t="s">
        <v>7680</v>
      </c>
      <c r="AG1277" s="3" t="s">
        <v>7681</v>
      </c>
      <c r="AH1277" s="11">
        <f>HYPERLINK("https://my.pitchbook.com?c=252615-07T","View Company Online")</f>
      </c>
    </row>
    <row r="1278">
      <c r="A1278" s="12" t="s">
        <v>7682</v>
      </c>
      <c r="B1278" s="12" t="s">
        <v>7683</v>
      </c>
      <c r="C1278" s="19" t="s">
        <v>36</v>
      </c>
      <c r="D1278" s="19" t="s">
        <v>36</v>
      </c>
      <c r="E1278" s="19" t="s">
        <v>36</v>
      </c>
      <c r="F1278" s="19" t="s">
        <v>36</v>
      </c>
      <c r="G1278" s="15" t="s">
        <v>36</v>
      </c>
      <c r="H1278" s="14" t="s">
        <v>36</v>
      </c>
      <c r="I1278" s="18">
        <v>36.4</v>
      </c>
      <c r="J1278" s="12" t="s">
        <v>327</v>
      </c>
      <c r="K1278" s="13">
        <v>45046</v>
      </c>
      <c r="L1278" s="15" t="s">
        <v>122</v>
      </c>
      <c r="M1278" s="12" t="s">
        <v>36</v>
      </c>
      <c r="N1278" s="12" t="s">
        <v>122</v>
      </c>
      <c r="O1278" s="17" t="s">
        <v>36</v>
      </c>
      <c r="P1278" s="12" t="s">
        <v>36</v>
      </c>
      <c r="Q1278" s="12" t="s">
        <v>36</v>
      </c>
      <c r="R1278" s="12" t="s">
        <v>36</v>
      </c>
      <c r="S1278" s="12" t="s">
        <v>36</v>
      </c>
      <c r="T1278" s="12" t="s">
        <v>7684</v>
      </c>
      <c r="U1278" s="12" t="s">
        <v>219</v>
      </c>
      <c r="V1278" s="12" t="s">
        <v>75</v>
      </c>
      <c r="W1278" s="12" t="s">
        <v>7685</v>
      </c>
      <c r="X1278" s="16" t="s">
        <v>7686</v>
      </c>
      <c r="Y1278" s="15" t="s">
        <v>55</v>
      </c>
      <c r="Z1278" s="14">
        <v>4.4</v>
      </c>
      <c r="AA1278" s="14">
        <v>12.08</v>
      </c>
      <c r="AB1278" s="12" t="s">
        <v>56</v>
      </c>
      <c r="AC1278" s="12" t="s">
        <v>7687</v>
      </c>
      <c r="AD1278" s="13">
        <v>45048</v>
      </c>
      <c r="AE1278" s="12" t="s">
        <v>1032</v>
      </c>
      <c r="AF1278" s="12" t="s">
        <v>7688</v>
      </c>
      <c r="AG1278" s="12" t="s">
        <v>1823</v>
      </c>
      <c r="AH1278" s="1">
        <f>HYPERLINK("https://my.pitchbook.com?c=222926-23T","View Company Online")</f>
      </c>
    </row>
    <row r="1279">
      <c r="A1279" s="3" t="s">
        <v>7689</v>
      </c>
      <c r="B1279" s="3" t="s">
        <v>7690</v>
      </c>
      <c r="C1279" s="5" t="s">
        <v>36</v>
      </c>
      <c r="D1279" s="5" t="s">
        <v>36</v>
      </c>
      <c r="E1279" s="5" t="s">
        <v>36</v>
      </c>
      <c r="F1279" s="5" t="s">
        <v>36</v>
      </c>
      <c r="G1279" s="6" t="s">
        <v>36</v>
      </c>
      <c r="H1279" s="4" t="s">
        <v>36</v>
      </c>
      <c r="I1279" s="7" t="s">
        <v>36</v>
      </c>
      <c r="J1279" s="3" t="s">
        <v>36</v>
      </c>
      <c r="K1279" s="9" t="s">
        <v>36</v>
      </c>
      <c r="L1279" s="6" t="s">
        <v>36</v>
      </c>
      <c r="M1279" s="3" t="s">
        <v>36</v>
      </c>
      <c r="N1279" s="3" t="s">
        <v>36</v>
      </c>
      <c r="O1279" s="8" t="s">
        <v>36</v>
      </c>
      <c r="P1279" s="3" t="s">
        <v>36</v>
      </c>
      <c r="Q1279" s="3" t="s">
        <v>36</v>
      </c>
      <c r="R1279" s="3" t="s">
        <v>36</v>
      </c>
      <c r="S1279" s="3" t="s">
        <v>36</v>
      </c>
      <c r="T1279" s="3" t="s">
        <v>3843</v>
      </c>
      <c r="U1279" s="3" t="s">
        <v>180</v>
      </c>
      <c r="V1279" s="3" t="s">
        <v>52</v>
      </c>
      <c r="W1279" s="3" t="s">
        <v>7691</v>
      </c>
      <c r="X1279" s="10" t="s">
        <v>7692</v>
      </c>
      <c r="Y1279" s="6" t="s">
        <v>42</v>
      </c>
      <c r="Z1279" s="4">
        <v>1.1</v>
      </c>
      <c r="AA1279" s="4" t="s">
        <v>36</v>
      </c>
      <c r="AB1279" s="3" t="s">
        <v>43</v>
      </c>
      <c r="AC1279" s="3" t="s">
        <v>7693</v>
      </c>
      <c r="AD1279" s="9">
        <v>45048</v>
      </c>
      <c r="AE1279" s="3" t="s">
        <v>3847</v>
      </c>
      <c r="AF1279" s="3" t="s">
        <v>101</v>
      </c>
      <c r="AG1279" s="3" t="s">
        <v>81</v>
      </c>
      <c r="AH1279" s="11">
        <f>HYPERLINK("https://my.pitchbook.com?c=223121-89T","View Company Online")</f>
      </c>
    </row>
    <row r="1280">
      <c r="A1280" s="12" t="s">
        <v>7694</v>
      </c>
      <c r="B1280" s="12" t="s">
        <v>7695</v>
      </c>
      <c r="C1280" s="19" t="s">
        <v>36</v>
      </c>
      <c r="D1280" s="19" t="s">
        <v>36</v>
      </c>
      <c r="E1280" s="19" t="s">
        <v>36</v>
      </c>
      <c r="F1280" s="19" t="s">
        <v>36</v>
      </c>
      <c r="G1280" s="15" t="s">
        <v>36</v>
      </c>
      <c r="H1280" s="14">
        <v>310.53</v>
      </c>
      <c r="I1280" s="18">
        <v>30.3</v>
      </c>
      <c r="J1280" s="12" t="s">
        <v>521</v>
      </c>
      <c r="K1280" s="13" t="s">
        <v>36</v>
      </c>
      <c r="L1280" s="15" t="s">
        <v>36</v>
      </c>
      <c r="M1280" s="12" t="s">
        <v>36</v>
      </c>
      <c r="N1280" s="12" t="s">
        <v>36</v>
      </c>
      <c r="O1280" s="17" t="s">
        <v>36</v>
      </c>
      <c r="P1280" s="12" t="s">
        <v>36</v>
      </c>
      <c r="Q1280" s="12" t="s">
        <v>36</v>
      </c>
      <c r="R1280" s="12" t="s">
        <v>36</v>
      </c>
      <c r="S1280" s="12" t="s">
        <v>36</v>
      </c>
      <c r="T1280" s="12" t="s">
        <v>1106</v>
      </c>
      <c r="U1280" s="12" t="s">
        <v>38</v>
      </c>
      <c r="V1280" s="12" t="s">
        <v>39</v>
      </c>
      <c r="W1280" s="12" t="s">
        <v>7696</v>
      </c>
      <c r="X1280" s="16" t="s">
        <v>7697</v>
      </c>
      <c r="Y1280" s="15" t="s">
        <v>42</v>
      </c>
      <c r="Z1280" s="14">
        <v>7.14</v>
      </c>
      <c r="AA1280" s="14">
        <v>23.58</v>
      </c>
      <c r="AB1280" s="12" t="s">
        <v>56</v>
      </c>
      <c r="AC1280" s="12" t="s">
        <v>7698</v>
      </c>
      <c r="AD1280" s="13">
        <v>45048</v>
      </c>
      <c r="AE1280" s="12" t="s">
        <v>110</v>
      </c>
      <c r="AF1280" s="12" t="s">
        <v>815</v>
      </c>
      <c r="AG1280" s="12" t="s">
        <v>382</v>
      </c>
      <c r="AH1280" s="1">
        <f>HYPERLINK("https://my.pitchbook.com?c=222941-62T","View Company Online")</f>
      </c>
    </row>
    <row r="1281">
      <c r="A1281" s="3" t="s">
        <v>7699</v>
      </c>
      <c r="B1281" s="3" t="s">
        <v>7700</v>
      </c>
      <c r="C1281" s="5" t="s">
        <v>36</v>
      </c>
      <c r="D1281" s="5" t="s">
        <v>36</v>
      </c>
      <c r="E1281" s="5" t="s">
        <v>36</v>
      </c>
      <c r="F1281" s="5" t="s">
        <v>36</v>
      </c>
      <c r="G1281" s="6" t="s">
        <v>36</v>
      </c>
      <c r="H1281" s="4" t="s">
        <v>36</v>
      </c>
      <c r="I1281" s="7" t="s">
        <v>36</v>
      </c>
      <c r="J1281" s="3" t="s">
        <v>36</v>
      </c>
      <c r="K1281" s="9" t="s">
        <v>36</v>
      </c>
      <c r="L1281" s="6" t="s">
        <v>36</v>
      </c>
      <c r="M1281" s="3" t="s">
        <v>36</v>
      </c>
      <c r="N1281" s="3" t="s">
        <v>36</v>
      </c>
      <c r="O1281" s="8" t="s">
        <v>36</v>
      </c>
      <c r="P1281" s="3" t="s">
        <v>36</v>
      </c>
      <c r="Q1281" s="3" t="s">
        <v>36</v>
      </c>
      <c r="R1281" s="3" t="s">
        <v>36</v>
      </c>
      <c r="S1281" s="3" t="s">
        <v>36</v>
      </c>
      <c r="T1281" s="3" t="s">
        <v>7701</v>
      </c>
      <c r="U1281" s="3" t="s">
        <v>833</v>
      </c>
      <c r="V1281" s="3" t="s">
        <v>64</v>
      </c>
      <c r="W1281" s="3" t="s">
        <v>7702</v>
      </c>
      <c r="X1281" s="10" t="s">
        <v>3164</v>
      </c>
      <c r="Y1281" s="6" t="s">
        <v>55</v>
      </c>
      <c r="Z1281" s="4">
        <v>0.16</v>
      </c>
      <c r="AA1281" s="4" t="s">
        <v>36</v>
      </c>
      <c r="AB1281" s="3" t="s">
        <v>56</v>
      </c>
      <c r="AC1281" s="3" t="s">
        <v>7703</v>
      </c>
      <c r="AD1281" s="9">
        <v>45048</v>
      </c>
      <c r="AE1281" s="3" t="s">
        <v>1069</v>
      </c>
      <c r="AF1281" s="3" t="s">
        <v>7704</v>
      </c>
      <c r="AG1281" s="3" t="s">
        <v>7705</v>
      </c>
      <c r="AH1281" s="11">
        <f>HYPERLINK("https://my.pitchbook.com?c=224645-77T","View Company Online")</f>
      </c>
    </row>
    <row r="1282">
      <c r="A1282" s="12" t="s">
        <v>7706</v>
      </c>
      <c r="B1282" s="12" t="s">
        <v>1315</v>
      </c>
      <c r="C1282" s="19" t="s">
        <v>36</v>
      </c>
      <c r="D1282" s="19" t="s">
        <v>36</v>
      </c>
      <c r="E1282" s="19" t="s">
        <v>36</v>
      </c>
      <c r="F1282" s="19" t="s">
        <v>36</v>
      </c>
      <c r="G1282" s="15" t="s">
        <v>36</v>
      </c>
      <c r="H1282" s="14" t="s">
        <v>36</v>
      </c>
      <c r="I1282" s="18" t="s">
        <v>36</v>
      </c>
      <c r="J1282" s="12" t="s">
        <v>36</v>
      </c>
      <c r="K1282" s="13" t="s">
        <v>36</v>
      </c>
      <c r="L1282" s="15" t="s">
        <v>36</v>
      </c>
      <c r="M1282" s="12" t="s">
        <v>36</v>
      </c>
      <c r="N1282" s="12" t="s">
        <v>36</v>
      </c>
      <c r="O1282" s="17" t="s">
        <v>36</v>
      </c>
      <c r="P1282" s="12" t="s">
        <v>36</v>
      </c>
      <c r="Q1282" s="12" t="s">
        <v>36</v>
      </c>
      <c r="R1282" s="12" t="s">
        <v>36</v>
      </c>
      <c r="S1282" s="12" t="s">
        <v>36</v>
      </c>
      <c r="T1282" s="12" t="s">
        <v>1023</v>
      </c>
      <c r="U1282" s="12" t="s">
        <v>74</v>
      </c>
      <c r="V1282" s="12" t="s">
        <v>75</v>
      </c>
      <c r="W1282" s="12" t="s">
        <v>1316</v>
      </c>
      <c r="X1282" s="16" t="s">
        <v>7707</v>
      </c>
      <c r="Y1282" s="15" t="s">
        <v>42</v>
      </c>
      <c r="Z1282" s="14">
        <v>2.2</v>
      </c>
      <c r="AA1282" s="14" t="s">
        <v>36</v>
      </c>
      <c r="AB1282" s="12" t="s">
        <v>43</v>
      </c>
      <c r="AC1282" s="12" t="s">
        <v>1318</v>
      </c>
      <c r="AD1282" s="13">
        <v>45047</v>
      </c>
      <c r="AE1282" s="12" t="s">
        <v>79</v>
      </c>
      <c r="AF1282" s="12" t="s">
        <v>90</v>
      </c>
      <c r="AG1282" s="12" t="s">
        <v>81</v>
      </c>
      <c r="AH1282" s="1">
        <f>HYPERLINK("https://my.pitchbook.com?c=223027-84T","View Company Online")</f>
      </c>
    </row>
    <row r="1283">
      <c r="A1283" s="3" t="s">
        <v>7708</v>
      </c>
      <c r="B1283" s="3" t="s">
        <v>7709</v>
      </c>
      <c r="C1283" s="5" t="s">
        <v>36</v>
      </c>
      <c r="D1283" s="5" t="s">
        <v>36</v>
      </c>
      <c r="E1283" s="5" t="s">
        <v>36</v>
      </c>
      <c r="F1283" s="5" t="s">
        <v>36</v>
      </c>
      <c r="G1283" s="6" t="s">
        <v>36</v>
      </c>
      <c r="H1283" s="4" t="s">
        <v>36</v>
      </c>
      <c r="I1283" s="7" t="s">
        <v>36</v>
      </c>
      <c r="J1283" s="3" t="s">
        <v>36</v>
      </c>
      <c r="K1283" s="9" t="s">
        <v>36</v>
      </c>
      <c r="L1283" s="6" t="s">
        <v>36</v>
      </c>
      <c r="M1283" s="3" t="s">
        <v>36</v>
      </c>
      <c r="N1283" s="3" t="s">
        <v>36</v>
      </c>
      <c r="O1283" s="8" t="s">
        <v>36</v>
      </c>
      <c r="P1283" s="3" t="s">
        <v>36</v>
      </c>
      <c r="Q1283" s="3" t="s">
        <v>36</v>
      </c>
      <c r="R1283" s="3" t="s">
        <v>36</v>
      </c>
      <c r="S1283" s="3" t="s">
        <v>36</v>
      </c>
      <c r="T1283" s="3" t="s">
        <v>1560</v>
      </c>
      <c r="U1283" s="3" t="s">
        <v>438</v>
      </c>
      <c r="V1283" s="3" t="s">
        <v>405</v>
      </c>
      <c r="W1283" s="3" t="s">
        <v>7710</v>
      </c>
      <c r="X1283" s="10" t="s">
        <v>7711</v>
      </c>
      <c r="Y1283" s="6" t="s">
        <v>321</v>
      </c>
      <c r="Z1283" s="4" t="s">
        <v>36</v>
      </c>
      <c r="AA1283" s="4" t="s">
        <v>36</v>
      </c>
      <c r="AB1283" s="3" t="s">
        <v>56</v>
      </c>
      <c r="AC1283" s="3" t="s">
        <v>7712</v>
      </c>
      <c r="AD1283" s="9">
        <v>45047</v>
      </c>
      <c r="AE1283" s="3" t="s">
        <v>438</v>
      </c>
      <c r="AF1283" s="3" t="s">
        <v>799</v>
      </c>
      <c r="AG1283" s="3" t="s">
        <v>81</v>
      </c>
      <c r="AH1283" s="11">
        <f>HYPERLINK("https://my.pitchbook.com?c=224631-28T","View Company Online")</f>
      </c>
    </row>
    <row r="1284">
      <c r="A1284" s="12" t="s">
        <v>7713</v>
      </c>
      <c r="B1284" s="12" t="s">
        <v>7714</v>
      </c>
      <c r="C1284" s="19" t="s">
        <v>36</v>
      </c>
      <c r="D1284" s="19" t="s">
        <v>36</v>
      </c>
      <c r="E1284" s="19" t="s">
        <v>36</v>
      </c>
      <c r="F1284" s="19" t="s">
        <v>36</v>
      </c>
      <c r="G1284" s="15" t="s">
        <v>36</v>
      </c>
      <c r="H1284" s="14" t="s">
        <v>36</v>
      </c>
      <c r="I1284" s="18" t="s">
        <v>36</v>
      </c>
      <c r="J1284" s="12" t="s">
        <v>36</v>
      </c>
      <c r="K1284" s="13" t="s">
        <v>36</v>
      </c>
      <c r="L1284" s="15" t="s">
        <v>36</v>
      </c>
      <c r="M1284" s="12" t="s">
        <v>36</v>
      </c>
      <c r="N1284" s="12" t="s">
        <v>36</v>
      </c>
      <c r="O1284" s="17" t="s">
        <v>36</v>
      </c>
      <c r="P1284" s="12" t="s">
        <v>36</v>
      </c>
      <c r="Q1284" s="12" t="s">
        <v>36</v>
      </c>
      <c r="R1284" s="12" t="s">
        <v>36</v>
      </c>
      <c r="S1284" s="12" t="s">
        <v>36</v>
      </c>
      <c r="T1284" s="12" t="s">
        <v>2405</v>
      </c>
      <c r="U1284" s="12" t="s">
        <v>648</v>
      </c>
      <c r="V1284" s="12" t="s">
        <v>64</v>
      </c>
      <c r="W1284" s="12" t="s">
        <v>7715</v>
      </c>
      <c r="X1284" s="16" t="s">
        <v>7151</v>
      </c>
      <c r="Y1284" s="15" t="s">
        <v>55</v>
      </c>
      <c r="Z1284" s="14" t="s">
        <v>36</v>
      </c>
      <c r="AA1284" s="14" t="s">
        <v>36</v>
      </c>
      <c r="AB1284" s="12" t="s">
        <v>43</v>
      </c>
      <c r="AC1284" s="12" t="s">
        <v>7716</v>
      </c>
      <c r="AD1284" s="13">
        <v>45047</v>
      </c>
      <c r="AE1284" s="12" t="s">
        <v>1897</v>
      </c>
      <c r="AF1284" s="12" t="s">
        <v>1115</v>
      </c>
      <c r="AG1284" s="12" t="s">
        <v>81</v>
      </c>
      <c r="AH1284" s="1">
        <f>HYPERLINK("https://my.pitchbook.com?c=224618-59T","View Company Online")</f>
      </c>
    </row>
    <row r="1285">
      <c r="A1285" s="3" t="s">
        <v>7717</v>
      </c>
      <c r="B1285" s="3" t="s">
        <v>7718</v>
      </c>
      <c r="C1285" s="5" t="s">
        <v>36</v>
      </c>
      <c r="D1285" s="5" t="s">
        <v>36</v>
      </c>
      <c r="E1285" s="5" t="s">
        <v>36</v>
      </c>
      <c r="F1285" s="5" t="s">
        <v>36</v>
      </c>
      <c r="G1285" s="6" t="s">
        <v>36</v>
      </c>
      <c r="H1285" s="4" t="s">
        <v>36</v>
      </c>
      <c r="I1285" s="7" t="s">
        <v>36</v>
      </c>
      <c r="J1285" s="3" t="s">
        <v>36</v>
      </c>
      <c r="K1285" s="9" t="s">
        <v>36</v>
      </c>
      <c r="L1285" s="6" t="s">
        <v>36</v>
      </c>
      <c r="M1285" s="3" t="s">
        <v>36</v>
      </c>
      <c r="N1285" s="3" t="s">
        <v>36</v>
      </c>
      <c r="O1285" s="8" t="s">
        <v>36</v>
      </c>
      <c r="P1285" s="3" t="s">
        <v>36</v>
      </c>
      <c r="Q1285" s="3" t="s">
        <v>36</v>
      </c>
      <c r="R1285" s="3" t="s">
        <v>36</v>
      </c>
      <c r="S1285" s="3" t="s">
        <v>36</v>
      </c>
      <c r="T1285" s="3" t="s">
        <v>1350</v>
      </c>
      <c r="U1285" s="3" t="s">
        <v>38</v>
      </c>
      <c r="V1285" s="3" t="s">
        <v>39</v>
      </c>
      <c r="W1285" s="3" t="s">
        <v>7719</v>
      </c>
      <c r="X1285" s="10" t="s">
        <v>7151</v>
      </c>
      <c r="Y1285" s="6" t="s">
        <v>108</v>
      </c>
      <c r="Z1285" s="4" t="s">
        <v>36</v>
      </c>
      <c r="AA1285" s="4" t="s">
        <v>36</v>
      </c>
      <c r="AB1285" s="3" t="s">
        <v>43</v>
      </c>
      <c r="AC1285" s="3" t="s">
        <v>7720</v>
      </c>
      <c r="AD1285" s="9">
        <v>45047</v>
      </c>
      <c r="AE1285" s="3" t="s">
        <v>785</v>
      </c>
      <c r="AF1285" s="3" t="s">
        <v>176</v>
      </c>
      <c r="AG1285" s="3" t="s">
        <v>939</v>
      </c>
      <c r="AH1285" s="11">
        <f>HYPERLINK("https://my.pitchbook.com?c=224629-93T","View Company Online")</f>
      </c>
    </row>
    <row r="1286">
      <c r="A1286" s="12" t="s">
        <v>7721</v>
      </c>
      <c r="B1286" s="12" t="s">
        <v>7722</v>
      </c>
      <c r="C1286" s="19" t="s">
        <v>36</v>
      </c>
      <c r="D1286" s="19" t="s">
        <v>36</v>
      </c>
      <c r="E1286" s="19" t="s">
        <v>36</v>
      </c>
      <c r="F1286" s="19" t="s">
        <v>36</v>
      </c>
      <c r="G1286" s="15" t="s">
        <v>2497</v>
      </c>
      <c r="H1286" s="14">
        <v>110.1</v>
      </c>
      <c r="I1286" s="18">
        <v>29.45</v>
      </c>
      <c r="J1286" s="12" t="s">
        <v>521</v>
      </c>
      <c r="K1286" s="13" t="s">
        <v>36</v>
      </c>
      <c r="L1286" s="15" t="s">
        <v>94</v>
      </c>
      <c r="M1286" s="12" t="s">
        <v>36</v>
      </c>
      <c r="N1286" s="12" t="s">
        <v>94</v>
      </c>
      <c r="O1286" s="17" t="s">
        <v>36</v>
      </c>
      <c r="P1286" s="12" t="s">
        <v>36</v>
      </c>
      <c r="Q1286" s="12" t="s">
        <v>36</v>
      </c>
      <c r="R1286" s="12" t="s">
        <v>36</v>
      </c>
      <c r="S1286" s="12" t="s">
        <v>36</v>
      </c>
      <c r="T1286" s="12" t="s">
        <v>1418</v>
      </c>
      <c r="U1286" s="12" t="s">
        <v>38</v>
      </c>
      <c r="V1286" s="12" t="s">
        <v>39</v>
      </c>
      <c r="W1286" s="12" t="s">
        <v>7723</v>
      </c>
      <c r="X1286" s="16" t="s">
        <v>7724</v>
      </c>
      <c r="Y1286" s="15" t="s">
        <v>108</v>
      </c>
      <c r="Z1286" s="14">
        <v>14.28</v>
      </c>
      <c r="AA1286" s="14">
        <v>30.27</v>
      </c>
      <c r="AB1286" s="12" t="s">
        <v>56</v>
      </c>
      <c r="AC1286" s="12" t="s">
        <v>7725</v>
      </c>
      <c r="AD1286" s="13">
        <v>45047</v>
      </c>
      <c r="AE1286" s="12" t="s">
        <v>1422</v>
      </c>
      <c r="AF1286" s="12" t="s">
        <v>4200</v>
      </c>
      <c r="AG1286" s="12" t="s">
        <v>81</v>
      </c>
      <c r="AH1286" s="1">
        <f>HYPERLINK("https://my.pitchbook.com?c=223540-03T","View Company Online")</f>
      </c>
    </row>
    <row r="1287">
      <c r="A1287" s="3" t="s">
        <v>7726</v>
      </c>
      <c r="B1287" s="3" t="s">
        <v>7727</v>
      </c>
      <c r="C1287" s="5" t="s">
        <v>36</v>
      </c>
      <c r="D1287" s="5">
        <v>37</v>
      </c>
      <c r="E1287" s="5">
        <v>13</v>
      </c>
      <c r="F1287" s="5">
        <v>45</v>
      </c>
      <c r="G1287" s="6" t="s">
        <v>36</v>
      </c>
      <c r="H1287" s="4" t="s">
        <v>36</v>
      </c>
      <c r="I1287" s="7" t="s">
        <v>36</v>
      </c>
      <c r="J1287" s="3" t="s">
        <v>36</v>
      </c>
      <c r="K1287" s="9" t="s">
        <v>36</v>
      </c>
      <c r="L1287" s="6" t="s">
        <v>36</v>
      </c>
      <c r="M1287" s="3" t="s">
        <v>36</v>
      </c>
      <c r="N1287" s="3" t="s">
        <v>36</v>
      </c>
      <c r="O1287" s="8" t="s">
        <v>36</v>
      </c>
      <c r="P1287" s="3" t="s">
        <v>36</v>
      </c>
      <c r="Q1287" s="3" t="s">
        <v>36</v>
      </c>
      <c r="R1287" s="3" t="s">
        <v>36</v>
      </c>
      <c r="S1287" s="3" t="s">
        <v>5151</v>
      </c>
      <c r="T1287" s="3" t="s">
        <v>5702</v>
      </c>
      <c r="U1287" s="3" t="s">
        <v>38</v>
      </c>
      <c r="V1287" s="3" t="s">
        <v>39</v>
      </c>
      <c r="W1287" s="3" t="s">
        <v>7728</v>
      </c>
      <c r="X1287" s="10" t="s">
        <v>730</v>
      </c>
      <c r="Y1287" s="6" t="s">
        <v>108</v>
      </c>
      <c r="Z1287" s="4" t="s">
        <v>36</v>
      </c>
      <c r="AA1287" s="4" t="s">
        <v>36</v>
      </c>
      <c r="AB1287" s="3" t="s">
        <v>56</v>
      </c>
      <c r="AC1287" s="3" t="s">
        <v>7729</v>
      </c>
      <c r="AD1287" s="9">
        <v>45047</v>
      </c>
      <c r="AE1287" s="3" t="s">
        <v>134</v>
      </c>
      <c r="AF1287" s="3" t="s">
        <v>7730</v>
      </c>
      <c r="AG1287" s="3" t="s">
        <v>3406</v>
      </c>
      <c r="AH1287" s="11">
        <f>HYPERLINK("https://my.pitchbook.com?c=251294-23T","View Company Online")</f>
      </c>
    </row>
    <row r="1288">
      <c r="A1288" s="12" t="s">
        <v>7731</v>
      </c>
      <c r="B1288" s="12" t="s">
        <v>7732</v>
      </c>
      <c r="C1288" s="19" t="s">
        <v>36</v>
      </c>
      <c r="D1288" s="19" t="s">
        <v>36</v>
      </c>
      <c r="E1288" s="19" t="s">
        <v>36</v>
      </c>
      <c r="F1288" s="19" t="s">
        <v>36</v>
      </c>
      <c r="G1288" s="15" t="s">
        <v>36</v>
      </c>
      <c r="H1288" s="14" t="s">
        <v>36</v>
      </c>
      <c r="I1288" s="18" t="s">
        <v>36</v>
      </c>
      <c r="J1288" s="12" t="s">
        <v>36</v>
      </c>
      <c r="K1288" s="13" t="s">
        <v>36</v>
      </c>
      <c r="L1288" s="15" t="s">
        <v>36</v>
      </c>
      <c r="M1288" s="12" t="s">
        <v>36</v>
      </c>
      <c r="N1288" s="12" t="s">
        <v>36</v>
      </c>
      <c r="O1288" s="17" t="s">
        <v>36</v>
      </c>
      <c r="P1288" s="12" t="s">
        <v>36</v>
      </c>
      <c r="Q1288" s="12" t="s">
        <v>36</v>
      </c>
      <c r="R1288" s="12" t="s">
        <v>36</v>
      </c>
      <c r="S1288" s="12" t="s">
        <v>36</v>
      </c>
      <c r="T1288" s="12" t="s">
        <v>3168</v>
      </c>
      <c r="U1288" s="12" t="s">
        <v>289</v>
      </c>
      <c r="V1288" s="12" t="s">
        <v>64</v>
      </c>
      <c r="W1288" s="12" t="s">
        <v>7733</v>
      </c>
      <c r="X1288" s="16" t="s">
        <v>7734</v>
      </c>
      <c r="Y1288" s="15" t="s">
        <v>42</v>
      </c>
      <c r="Z1288" s="14" t="s">
        <v>36</v>
      </c>
      <c r="AA1288" s="14" t="s">
        <v>36</v>
      </c>
      <c r="AB1288" s="12" t="s">
        <v>43</v>
      </c>
      <c r="AC1288" s="12" t="s">
        <v>7735</v>
      </c>
      <c r="AD1288" s="13">
        <v>45047</v>
      </c>
      <c r="AE1288" s="12" t="s">
        <v>3134</v>
      </c>
      <c r="AF1288" s="12" t="s">
        <v>90</v>
      </c>
      <c r="AG1288" s="12" t="s">
        <v>81</v>
      </c>
      <c r="AH1288" s="1">
        <f>HYPERLINK("https://my.pitchbook.com?c=224912-62T","View Company Online")</f>
      </c>
    </row>
    <row r="1289">
      <c r="A1289" s="3" t="s">
        <v>7736</v>
      </c>
      <c r="B1289" s="3" t="s">
        <v>7737</v>
      </c>
      <c r="C1289" s="5" t="s">
        <v>36</v>
      </c>
      <c r="D1289" s="5" t="s">
        <v>36</v>
      </c>
      <c r="E1289" s="5" t="s">
        <v>36</v>
      </c>
      <c r="F1289" s="5" t="s">
        <v>36</v>
      </c>
      <c r="G1289" s="6" t="s">
        <v>36</v>
      </c>
      <c r="H1289" s="4" t="s">
        <v>36</v>
      </c>
      <c r="I1289" s="7" t="s">
        <v>36</v>
      </c>
      <c r="J1289" s="3" t="s">
        <v>36</v>
      </c>
      <c r="K1289" s="9" t="s">
        <v>36</v>
      </c>
      <c r="L1289" s="6" t="s">
        <v>36</v>
      </c>
      <c r="M1289" s="3" t="s">
        <v>36</v>
      </c>
      <c r="N1289" s="3" t="s">
        <v>36</v>
      </c>
      <c r="O1289" s="8" t="s">
        <v>36</v>
      </c>
      <c r="P1289" s="3" t="s">
        <v>36</v>
      </c>
      <c r="Q1289" s="3" t="s">
        <v>36</v>
      </c>
      <c r="R1289" s="3" t="s">
        <v>36</v>
      </c>
      <c r="S1289" s="3" t="s">
        <v>36</v>
      </c>
      <c r="T1289" s="3" t="s">
        <v>105</v>
      </c>
      <c r="U1289" s="3" t="s">
        <v>38</v>
      </c>
      <c r="V1289" s="3" t="s">
        <v>39</v>
      </c>
      <c r="W1289" s="3" t="s">
        <v>7738</v>
      </c>
      <c r="X1289" s="10" t="s">
        <v>221</v>
      </c>
      <c r="Y1289" s="6" t="s">
        <v>42</v>
      </c>
      <c r="Z1289" s="4" t="s">
        <v>36</v>
      </c>
      <c r="AA1289" s="4" t="s">
        <v>36</v>
      </c>
      <c r="AB1289" s="3" t="s">
        <v>43</v>
      </c>
      <c r="AC1289" s="3" t="s">
        <v>7739</v>
      </c>
      <c r="AD1289" s="9">
        <v>45047</v>
      </c>
      <c r="AE1289" s="3" t="s">
        <v>110</v>
      </c>
      <c r="AF1289" s="3" t="s">
        <v>36</v>
      </c>
      <c r="AG1289" s="3" t="s">
        <v>81</v>
      </c>
      <c r="AH1289" s="11">
        <f>HYPERLINK("https://my.pitchbook.com?c=223028-47T","View Company Online")</f>
      </c>
    </row>
    <row r="1290">
      <c r="A1290" s="12" t="s">
        <v>7740</v>
      </c>
      <c r="B1290" s="12" t="s">
        <v>7741</v>
      </c>
      <c r="C1290" s="19" t="s">
        <v>36</v>
      </c>
      <c r="D1290" s="19" t="s">
        <v>36</v>
      </c>
      <c r="E1290" s="19" t="s">
        <v>36</v>
      </c>
      <c r="F1290" s="19" t="s">
        <v>36</v>
      </c>
      <c r="G1290" s="15" t="s">
        <v>36</v>
      </c>
      <c r="H1290" s="14" t="s">
        <v>36</v>
      </c>
      <c r="I1290" s="18" t="s">
        <v>36</v>
      </c>
      <c r="J1290" s="12" t="s">
        <v>36</v>
      </c>
      <c r="K1290" s="13" t="s">
        <v>36</v>
      </c>
      <c r="L1290" s="15" t="s">
        <v>36</v>
      </c>
      <c r="M1290" s="12" t="s">
        <v>36</v>
      </c>
      <c r="N1290" s="12" t="s">
        <v>36</v>
      </c>
      <c r="O1290" s="17" t="s">
        <v>36</v>
      </c>
      <c r="P1290" s="12" t="s">
        <v>36</v>
      </c>
      <c r="Q1290" s="12" t="s">
        <v>36</v>
      </c>
      <c r="R1290" s="12" t="s">
        <v>36</v>
      </c>
      <c r="S1290" s="12" t="s">
        <v>36</v>
      </c>
      <c r="T1290" s="12" t="s">
        <v>7742</v>
      </c>
      <c r="U1290" s="12" t="s">
        <v>289</v>
      </c>
      <c r="V1290" s="12" t="s">
        <v>64</v>
      </c>
      <c r="W1290" s="12" t="s">
        <v>7743</v>
      </c>
      <c r="X1290" s="16" t="s">
        <v>1399</v>
      </c>
      <c r="Y1290" s="15" t="s">
        <v>42</v>
      </c>
      <c r="Z1290" s="14" t="s">
        <v>36</v>
      </c>
      <c r="AA1290" s="14" t="s">
        <v>36</v>
      </c>
      <c r="AB1290" s="12" t="s">
        <v>56</v>
      </c>
      <c r="AC1290" s="12" t="s">
        <v>7744</v>
      </c>
      <c r="AD1290" s="13">
        <v>45047</v>
      </c>
      <c r="AE1290" s="12" t="s">
        <v>292</v>
      </c>
      <c r="AF1290" s="12" t="s">
        <v>90</v>
      </c>
      <c r="AG1290" s="12" t="s">
        <v>7745</v>
      </c>
      <c r="AH1290" s="1">
        <f>HYPERLINK("https://my.pitchbook.com?c=223971-76T","View Company Online")</f>
      </c>
    </row>
    <row r="1291">
      <c r="A1291" s="3" t="s">
        <v>7746</v>
      </c>
      <c r="B1291" s="3" t="s">
        <v>7747</v>
      </c>
      <c r="C1291" s="5" t="s">
        <v>36</v>
      </c>
      <c r="D1291" s="5" t="s">
        <v>36</v>
      </c>
      <c r="E1291" s="5" t="s">
        <v>36</v>
      </c>
      <c r="F1291" s="5" t="s">
        <v>36</v>
      </c>
      <c r="G1291" s="6" t="s">
        <v>36</v>
      </c>
      <c r="H1291" s="4" t="s">
        <v>36</v>
      </c>
      <c r="I1291" s="7" t="s">
        <v>36</v>
      </c>
      <c r="J1291" s="3" t="s">
        <v>36</v>
      </c>
      <c r="K1291" s="9" t="s">
        <v>36</v>
      </c>
      <c r="L1291" s="6" t="s">
        <v>36</v>
      </c>
      <c r="M1291" s="3" t="s">
        <v>36</v>
      </c>
      <c r="N1291" s="3" t="s">
        <v>36</v>
      </c>
      <c r="O1291" s="8" t="s">
        <v>36</v>
      </c>
      <c r="P1291" s="3" t="s">
        <v>36</v>
      </c>
      <c r="Q1291" s="3" t="s">
        <v>36</v>
      </c>
      <c r="R1291" s="3" t="s">
        <v>36</v>
      </c>
      <c r="S1291" s="3" t="s">
        <v>36</v>
      </c>
      <c r="T1291" s="3" t="s">
        <v>1701</v>
      </c>
      <c r="U1291" s="3" t="s">
        <v>74</v>
      </c>
      <c r="V1291" s="3" t="s">
        <v>75</v>
      </c>
      <c r="W1291" s="3" t="s">
        <v>7748</v>
      </c>
      <c r="X1291" s="10" t="s">
        <v>221</v>
      </c>
      <c r="Y1291" s="6" t="s">
        <v>42</v>
      </c>
      <c r="Z1291" s="4" t="s">
        <v>36</v>
      </c>
      <c r="AA1291" s="4" t="s">
        <v>36</v>
      </c>
      <c r="AB1291" s="3" t="s">
        <v>43</v>
      </c>
      <c r="AC1291" s="3" t="s">
        <v>7749</v>
      </c>
      <c r="AD1291" s="9">
        <v>45047</v>
      </c>
      <c r="AE1291" s="3" t="s">
        <v>79</v>
      </c>
      <c r="AF1291" s="3" t="s">
        <v>3904</v>
      </c>
      <c r="AG1291" s="3" t="s">
        <v>81</v>
      </c>
      <c r="AH1291" s="11">
        <f>HYPERLINK("https://my.pitchbook.com?c=223934-32T","View Company Online")</f>
      </c>
    </row>
    <row r="1292">
      <c r="A1292" s="12" t="s">
        <v>7750</v>
      </c>
      <c r="B1292" s="12" t="s">
        <v>7751</v>
      </c>
      <c r="C1292" s="19" t="s">
        <v>36</v>
      </c>
      <c r="D1292" s="19" t="s">
        <v>36</v>
      </c>
      <c r="E1292" s="19" t="s">
        <v>36</v>
      </c>
      <c r="F1292" s="19" t="s">
        <v>36</v>
      </c>
      <c r="G1292" s="15" t="s">
        <v>36</v>
      </c>
      <c r="H1292" s="14" t="s">
        <v>36</v>
      </c>
      <c r="I1292" s="18" t="s">
        <v>36</v>
      </c>
      <c r="J1292" s="12" t="s">
        <v>36</v>
      </c>
      <c r="K1292" s="13" t="s">
        <v>36</v>
      </c>
      <c r="L1292" s="15" t="s">
        <v>36</v>
      </c>
      <c r="M1292" s="12" t="s">
        <v>36</v>
      </c>
      <c r="N1292" s="12" t="s">
        <v>36</v>
      </c>
      <c r="O1292" s="17" t="s">
        <v>36</v>
      </c>
      <c r="P1292" s="12" t="s">
        <v>36</v>
      </c>
      <c r="Q1292" s="12" t="s">
        <v>36</v>
      </c>
      <c r="R1292" s="12" t="s">
        <v>36</v>
      </c>
      <c r="S1292" s="12" t="s">
        <v>36</v>
      </c>
      <c r="T1292" s="12" t="s">
        <v>7752</v>
      </c>
      <c r="U1292" s="12" t="s">
        <v>38</v>
      </c>
      <c r="V1292" s="12" t="s">
        <v>39</v>
      </c>
      <c r="W1292" s="12" t="s">
        <v>7753</v>
      </c>
      <c r="X1292" s="16" t="s">
        <v>7151</v>
      </c>
      <c r="Y1292" s="15" t="s">
        <v>192</v>
      </c>
      <c r="Z1292" s="14" t="s">
        <v>36</v>
      </c>
      <c r="AA1292" s="14" t="s">
        <v>36</v>
      </c>
      <c r="AB1292" s="12" t="s">
        <v>56</v>
      </c>
      <c r="AC1292" s="12" t="s">
        <v>7754</v>
      </c>
      <c r="AD1292" s="13">
        <v>45047</v>
      </c>
      <c r="AE1292" s="12" t="s">
        <v>110</v>
      </c>
      <c r="AF1292" s="12" t="s">
        <v>952</v>
      </c>
      <c r="AG1292" s="12" t="s">
        <v>81</v>
      </c>
      <c r="AH1292" s="1">
        <f>HYPERLINK("https://my.pitchbook.com?c=224631-46T","View Company Online")</f>
      </c>
    </row>
    <row r="1293">
      <c r="A1293" s="3" t="s">
        <v>7755</v>
      </c>
      <c r="B1293" s="3" t="s">
        <v>3348</v>
      </c>
      <c r="C1293" s="5" t="s">
        <v>36</v>
      </c>
      <c r="D1293" s="5" t="s">
        <v>36</v>
      </c>
      <c r="E1293" s="5" t="s">
        <v>36</v>
      </c>
      <c r="F1293" s="5" t="s">
        <v>36</v>
      </c>
      <c r="G1293" s="6" t="s">
        <v>36</v>
      </c>
      <c r="H1293" s="4" t="s">
        <v>36</v>
      </c>
      <c r="I1293" s="7" t="s">
        <v>36</v>
      </c>
      <c r="J1293" s="3" t="s">
        <v>36</v>
      </c>
      <c r="K1293" s="9" t="s">
        <v>36</v>
      </c>
      <c r="L1293" s="6" t="s">
        <v>36</v>
      </c>
      <c r="M1293" s="3" t="s">
        <v>36</v>
      </c>
      <c r="N1293" s="3" t="s">
        <v>36</v>
      </c>
      <c r="O1293" s="8" t="s">
        <v>36</v>
      </c>
      <c r="P1293" s="3" t="s">
        <v>36</v>
      </c>
      <c r="Q1293" s="3" t="s">
        <v>36</v>
      </c>
      <c r="R1293" s="3" t="s">
        <v>36</v>
      </c>
      <c r="S1293" s="3" t="s">
        <v>36</v>
      </c>
      <c r="T1293" s="3" t="s">
        <v>3349</v>
      </c>
      <c r="U1293" s="3" t="s">
        <v>38</v>
      </c>
      <c r="V1293" s="3" t="s">
        <v>39</v>
      </c>
      <c r="W1293" s="3" t="s">
        <v>3350</v>
      </c>
      <c r="X1293" s="10" t="s">
        <v>730</v>
      </c>
      <c r="Y1293" s="6" t="s">
        <v>108</v>
      </c>
      <c r="Z1293" s="4" t="s">
        <v>36</v>
      </c>
      <c r="AA1293" s="4" t="s">
        <v>36</v>
      </c>
      <c r="AB1293" s="3" t="s">
        <v>56</v>
      </c>
      <c r="AC1293" s="3" t="s">
        <v>3352</v>
      </c>
      <c r="AD1293" s="9">
        <v>45047</v>
      </c>
      <c r="AE1293" s="3" t="s">
        <v>110</v>
      </c>
      <c r="AF1293" s="3" t="s">
        <v>2087</v>
      </c>
      <c r="AG1293" s="3" t="s">
        <v>81</v>
      </c>
      <c r="AH1293" s="11">
        <f>HYPERLINK("https://my.pitchbook.com?c=251300-98T","View Company Online")</f>
      </c>
    </row>
    <row r="1294">
      <c r="A1294" s="12" t="s">
        <v>7756</v>
      </c>
      <c r="B1294" s="12" t="s">
        <v>7757</v>
      </c>
      <c r="C1294" s="19" t="s">
        <v>36</v>
      </c>
      <c r="D1294" s="19" t="s">
        <v>36</v>
      </c>
      <c r="E1294" s="19" t="s">
        <v>36</v>
      </c>
      <c r="F1294" s="19" t="s">
        <v>36</v>
      </c>
      <c r="G1294" s="15" t="s">
        <v>36</v>
      </c>
      <c r="H1294" s="14" t="s">
        <v>36</v>
      </c>
      <c r="I1294" s="18" t="s">
        <v>36</v>
      </c>
      <c r="J1294" s="12" t="s">
        <v>36</v>
      </c>
      <c r="K1294" s="13" t="s">
        <v>36</v>
      </c>
      <c r="L1294" s="15" t="s">
        <v>36</v>
      </c>
      <c r="M1294" s="12" t="s">
        <v>36</v>
      </c>
      <c r="N1294" s="12" t="s">
        <v>36</v>
      </c>
      <c r="O1294" s="17" t="s">
        <v>36</v>
      </c>
      <c r="P1294" s="12" t="s">
        <v>36</v>
      </c>
      <c r="Q1294" s="12" t="s">
        <v>36</v>
      </c>
      <c r="R1294" s="12" t="s">
        <v>36</v>
      </c>
      <c r="S1294" s="12" t="s">
        <v>36</v>
      </c>
      <c r="T1294" s="12" t="s">
        <v>5518</v>
      </c>
      <c r="U1294" s="12" t="s">
        <v>318</v>
      </c>
      <c r="V1294" s="12" t="s">
        <v>39</v>
      </c>
      <c r="W1294" s="12" t="s">
        <v>7758</v>
      </c>
      <c r="X1294" s="16" t="s">
        <v>2442</v>
      </c>
      <c r="Y1294" s="15" t="s">
        <v>55</v>
      </c>
      <c r="Z1294" s="14">
        <v>1.1</v>
      </c>
      <c r="AA1294" s="14" t="s">
        <v>36</v>
      </c>
      <c r="AB1294" s="12" t="s">
        <v>56</v>
      </c>
      <c r="AC1294" s="12" t="s">
        <v>7759</v>
      </c>
      <c r="AD1294" s="13">
        <v>45044</v>
      </c>
      <c r="AE1294" s="12" t="s">
        <v>763</v>
      </c>
      <c r="AF1294" s="12" t="s">
        <v>1636</v>
      </c>
      <c r="AG1294" s="12" t="s">
        <v>81</v>
      </c>
      <c r="AH1294" s="1">
        <f>HYPERLINK("https://my.pitchbook.com?c=233261-83T","View Company Online")</f>
      </c>
    </row>
    <row r="1295">
      <c r="A1295" s="3" t="s">
        <v>7760</v>
      </c>
      <c r="B1295" s="3" t="s">
        <v>7761</v>
      </c>
      <c r="C1295" s="5" t="s">
        <v>36</v>
      </c>
      <c r="D1295" s="5" t="s">
        <v>36</v>
      </c>
      <c r="E1295" s="5" t="s">
        <v>36</v>
      </c>
      <c r="F1295" s="5" t="s">
        <v>36</v>
      </c>
      <c r="G1295" s="6" t="s">
        <v>36</v>
      </c>
      <c r="H1295" s="4">
        <v>358.77</v>
      </c>
      <c r="I1295" s="7">
        <v>31.44</v>
      </c>
      <c r="J1295" s="3" t="s">
        <v>521</v>
      </c>
      <c r="K1295" s="9" t="s">
        <v>36</v>
      </c>
      <c r="L1295" s="6" t="s">
        <v>122</v>
      </c>
      <c r="M1295" s="3" t="s">
        <v>36</v>
      </c>
      <c r="N1295" s="3" t="s">
        <v>122</v>
      </c>
      <c r="O1295" s="8" t="s">
        <v>36</v>
      </c>
      <c r="P1295" s="3" t="s">
        <v>36</v>
      </c>
      <c r="Q1295" s="3" t="s">
        <v>36</v>
      </c>
      <c r="R1295" s="3" t="s">
        <v>36</v>
      </c>
      <c r="S1295" s="3" t="s">
        <v>36</v>
      </c>
      <c r="T1295" s="3" t="s">
        <v>4529</v>
      </c>
      <c r="U1295" s="3" t="s">
        <v>38</v>
      </c>
      <c r="V1295" s="3" t="s">
        <v>39</v>
      </c>
      <c r="W1295" s="3" t="s">
        <v>7762</v>
      </c>
      <c r="X1295" s="10" t="s">
        <v>7763</v>
      </c>
      <c r="Y1295" s="6" t="s">
        <v>108</v>
      </c>
      <c r="Z1295" s="4">
        <v>7.67</v>
      </c>
      <c r="AA1295" s="4">
        <v>15.18</v>
      </c>
      <c r="AB1295" s="3" t="s">
        <v>56</v>
      </c>
      <c r="AC1295" s="3" t="s">
        <v>7764</v>
      </c>
      <c r="AD1295" s="9">
        <v>45042</v>
      </c>
      <c r="AE1295" s="3" t="s">
        <v>1422</v>
      </c>
      <c r="AF1295" s="3" t="s">
        <v>4284</v>
      </c>
      <c r="AG1295" s="3" t="s">
        <v>81</v>
      </c>
      <c r="AH1295" s="11">
        <f>HYPERLINK("https://my.pitchbook.com?c=206917-30T","View Company Online")</f>
      </c>
    </row>
    <row r="1296">
      <c r="A1296" s="12" t="s">
        <v>7765</v>
      </c>
      <c r="B1296" s="12" t="s">
        <v>7766</v>
      </c>
      <c r="C1296" s="19" t="s">
        <v>36</v>
      </c>
      <c r="D1296" s="19" t="s">
        <v>36</v>
      </c>
      <c r="E1296" s="19" t="s">
        <v>36</v>
      </c>
      <c r="F1296" s="19" t="s">
        <v>36</v>
      </c>
      <c r="G1296" s="15" t="s">
        <v>326</v>
      </c>
      <c r="H1296" s="14">
        <v>90.61</v>
      </c>
      <c r="I1296" s="18">
        <v>31.7</v>
      </c>
      <c r="J1296" s="12" t="s">
        <v>521</v>
      </c>
      <c r="K1296" s="13" t="s">
        <v>36</v>
      </c>
      <c r="L1296" s="15" t="s">
        <v>36</v>
      </c>
      <c r="M1296" s="12" t="s">
        <v>36</v>
      </c>
      <c r="N1296" s="12" t="s">
        <v>36</v>
      </c>
      <c r="O1296" s="17" t="s">
        <v>36</v>
      </c>
      <c r="P1296" s="12" t="s">
        <v>36</v>
      </c>
      <c r="Q1296" s="12" t="s">
        <v>36</v>
      </c>
      <c r="R1296" s="12" t="s">
        <v>36</v>
      </c>
      <c r="S1296" s="12" t="s">
        <v>36</v>
      </c>
      <c r="T1296" s="12" t="s">
        <v>7767</v>
      </c>
      <c r="U1296" s="12" t="s">
        <v>51</v>
      </c>
      <c r="V1296" s="12" t="s">
        <v>52</v>
      </c>
      <c r="W1296" s="12" t="s">
        <v>7768</v>
      </c>
      <c r="X1296" s="16" t="s">
        <v>7769</v>
      </c>
      <c r="Y1296" s="15" t="s">
        <v>42</v>
      </c>
      <c r="Z1296" s="14">
        <v>1.02</v>
      </c>
      <c r="AA1296" s="14">
        <v>3.21</v>
      </c>
      <c r="AB1296" s="12" t="s">
        <v>43</v>
      </c>
      <c r="AC1296" s="12" t="s">
        <v>7770</v>
      </c>
      <c r="AD1296" s="13">
        <v>45042</v>
      </c>
      <c r="AE1296" s="12" t="s">
        <v>158</v>
      </c>
      <c r="AF1296" s="12" t="s">
        <v>885</v>
      </c>
      <c r="AG1296" s="12" t="s">
        <v>81</v>
      </c>
      <c r="AH1296" s="1">
        <f>HYPERLINK("https://my.pitchbook.com?c=220262-68T","View Company Online")</f>
      </c>
    </row>
    <row r="1297">
      <c r="A1297" s="3" t="s">
        <v>7771</v>
      </c>
      <c r="B1297" s="3" t="s">
        <v>7772</v>
      </c>
      <c r="C1297" s="5">
        <v>3</v>
      </c>
      <c r="D1297" s="5">
        <v>6</v>
      </c>
      <c r="E1297" s="5">
        <v>4</v>
      </c>
      <c r="F1297" s="5">
        <v>9</v>
      </c>
      <c r="G1297" s="6" t="s">
        <v>36</v>
      </c>
      <c r="H1297" s="4" t="s">
        <v>36</v>
      </c>
      <c r="I1297" s="7" t="s">
        <v>36</v>
      </c>
      <c r="J1297" s="3" t="s">
        <v>36</v>
      </c>
      <c r="K1297" s="9" t="s">
        <v>36</v>
      </c>
      <c r="L1297" s="6" t="s">
        <v>122</v>
      </c>
      <c r="M1297" s="3" t="s">
        <v>36</v>
      </c>
      <c r="N1297" s="3" t="s">
        <v>122</v>
      </c>
      <c r="O1297" s="8" t="s">
        <v>36</v>
      </c>
      <c r="P1297" s="3" t="s">
        <v>36</v>
      </c>
      <c r="Q1297" s="3" t="s">
        <v>36</v>
      </c>
      <c r="R1297" s="3" t="s">
        <v>36</v>
      </c>
      <c r="S1297" s="3" t="s">
        <v>36</v>
      </c>
      <c r="T1297" s="3" t="s">
        <v>7773</v>
      </c>
      <c r="U1297" s="3" t="s">
        <v>96</v>
      </c>
      <c r="V1297" s="3" t="s">
        <v>52</v>
      </c>
      <c r="W1297" s="3" t="s">
        <v>7774</v>
      </c>
      <c r="X1297" s="10" t="s">
        <v>7775</v>
      </c>
      <c r="Y1297" s="6" t="s">
        <v>55</v>
      </c>
      <c r="Z1297" s="4">
        <v>3.83</v>
      </c>
      <c r="AA1297" s="4" t="s">
        <v>36</v>
      </c>
      <c r="AB1297" s="3" t="s">
        <v>56</v>
      </c>
      <c r="AC1297" s="3" t="s">
        <v>7776</v>
      </c>
      <c r="AD1297" s="9">
        <v>45041</v>
      </c>
      <c r="AE1297" s="3" t="s">
        <v>143</v>
      </c>
      <c r="AF1297" s="3" t="s">
        <v>159</v>
      </c>
      <c r="AG1297" s="3" t="s">
        <v>7777</v>
      </c>
      <c r="AH1297" s="11">
        <f>HYPERLINK("https://my.pitchbook.com?c=221232-52T","View Company Online")</f>
      </c>
    </row>
    <row r="1298">
      <c r="A1298" s="12" t="s">
        <v>7778</v>
      </c>
      <c r="B1298" s="12" t="s">
        <v>7779</v>
      </c>
      <c r="C1298" s="19" t="s">
        <v>36</v>
      </c>
      <c r="D1298" s="19" t="s">
        <v>36</v>
      </c>
      <c r="E1298" s="19" t="s">
        <v>36</v>
      </c>
      <c r="F1298" s="19" t="s">
        <v>36</v>
      </c>
      <c r="G1298" s="15" t="s">
        <v>36</v>
      </c>
      <c r="H1298" s="14" t="s">
        <v>36</v>
      </c>
      <c r="I1298" s="18" t="s">
        <v>36</v>
      </c>
      <c r="J1298" s="12" t="s">
        <v>36</v>
      </c>
      <c r="K1298" s="13" t="s">
        <v>36</v>
      </c>
      <c r="L1298" s="15" t="s">
        <v>36</v>
      </c>
      <c r="M1298" s="12" t="s">
        <v>36</v>
      </c>
      <c r="N1298" s="12" t="s">
        <v>36</v>
      </c>
      <c r="O1298" s="17" t="s">
        <v>36</v>
      </c>
      <c r="P1298" s="12" t="s">
        <v>36</v>
      </c>
      <c r="Q1298" s="12" t="s">
        <v>36</v>
      </c>
      <c r="R1298" s="12" t="s">
        <v>36</v>
      </c>
      <c r="S1298" s="12" t="s">
        <v>36</v>
      </c>
      <c r="T1298" s="12" t="s">
        <v>1838</v>
      </c>
      <c r="U1298" s="12" t="s">
        <v>38</v>
      </c>
      <c r="V1298" s="12" t="s">
        <v>39</v>
      </c>
      <c r="W1298" s="12" t="s">
        <v>7780</v>
      </c>
      <c r="X1298" s="16" t="s">
        <v>7781</v>
      </c>
      <c r="Y1298" s="15" t="s">
        <v>55</v>
      </c>
      <c r="Z1298" s="14">
        <v>1.6</v>
      </c>
      <c r="AA1298" s="14" t="s">
        <v>36</v>
      </c>
      <c r="AB1298" s="12" t="s">
        <v>43</v>
      </c>
      <c r="AC1298" s="12" t="s">
        <v>7782</v>
      </c>
      <c r="AD1298" s="13">
        <v>45041</v>
      </c>
      <c r="AE1298" s="12" t="s">
        <v>110</v>
      </c>
      <c r="AF1298" s="12" t="s">
        <v>7783</v>
      </c>
      <c r="AG1298" s="12" t="s">
        <v>81</v>
      </c>
      <c r="AH1298" s="1">
        <f>HYPERLINK("https://my.pitchbook.com?c=221171-77T","View Company Online")</f>
      </c>
    </row>
    <row r="1299">
      <c r="A1299" s="3" t="s">
        <v>7784</v>
      </c>
      <c r="B1299" s="3" t="s">
        <v>7785</v>
      </c>
      <c r="C1299" s="5">
        <v>1</v>
      </c>
      <c r="D1299" s="5" t="s">
        <v>36</v>
      </c>
      <c r="E1299" s="5">
        <v>1</v>
      </c>
      <c r="F1299" s="5">
        <v>1</v>
      </c>
      <c r="G1299" s="6" t="s">
        <v>36</v>
      </c>
      <c r="H1299" s="4">
        <v>1710.99</v>
      </c>
      <c r="I1299" s="7">
        <v>7.89</v>
      </c>
      <c r="J1299" s="3" t="s">
        <v>521</v>
      </c>
      <c r="K1299" s="9" t="s">
        <v>36</v>
      </c>
      <c r="L1299" s="6" t="s">
        <v>36</v>
      </c>
      <c r="M1299" s="3" t="s">
        <v>36</v>
      </c>
      <c r="N1299" s="3" t="s">
        <v>36</v>
      </c>
      <c r="O1299" s="8" t="s">
        <v>36</v>
      </c>
      <c r="P1299" s="3" t="s">
        <v>36</v>
      </c>
      <c r="Q1299" s="3" t="s">
        <v>36</v>
      </c>
      <c r="R1299" s="3" t="s">
        <v>36</v>
      </c>
      <c r="S1299" s="3" t="s">
        <v>36</v>
      </c>
      <c r="T1299" s="3" t="s">
        <v>7786</v>
      </c>
      <c r="U1299" s="3" t="s">
        <v>1502</v>
      </c>
      <c r="V1299" s="3" t="s">
        <v>75</v>
      </c>
      <c r="W1299" s="3" t="s">
        <v>7787</v>
      </c>
      <c r="X1299" s="10" t="s">
        <v>7788</v>
      </c>
      <c r="Y1299" s="6" t="s">
        <v>55</v>
      </c>
      <c r="Z1299" s="4">
        <v>0.19</v>
      </c>
      <c r="AA1299" s="4">
        <v>2.38</v>
      </c>
      <c r="AB1299" s="3" t="s">
        <v>56</v>
      </c>
      <c r="AC1299" s="3" t="s">
        <v>7789</v>
      </c>
      <c r="AD1299" s="9">
        <v>45041</v>
      </c>
      <c r="AE1299" s="3" t="s">
        <v>1822</v>
      </c>
      <c r="AF1299" s="3" t="s">
        <v>7790</v>
      </c>
      <c r="AG1299" s="3" t="s">
        <v>102</v>
      </c>
      <c r="AH1299" s="11">
        <f>HYPERLINK("https://my.pitchbook.com?c=225818-20T","View Company Online")</f>
      </c>
    </row>
    <row r="1300">
      <c r="A1300" s="12" t="s">
        <v>7791</v>
      </c>
      <c r="B1300" s="12" t="s">
        <v>4428</v>
      </c>
      <c r="C1300" s="19" t="s">
        <v>36</v>
      </c>
      <c r="D1300" s="19" t="s">
        <v>36</v>
      </c>
      <c r="E1300" s="19" t="s">
        <v>36</v>
      </c>
      <c r="F1300" s="19" t="s">
        <v>36</v>
      </c>
      <c r="G1300" s="15" t="s">
        <v>326</v>
      </c>
      <c r="H1300" s="14">
        <v>530.71</v>
      </c>
      <c r="I1300" s="18">
        <v>17.76</v>
      </c>
      <c r="J1300" s="12" t="s">
        <v>521</v>
      </c>
      <c r="K1300" s="13">
        <v>44929</v>
      </c>
      <c r="L1300" s="15" t="s">
        <v>36</v>
      </c>
      <c r="M1300" s="12" t="s">
        <v>36</v>
      </c>
      <c r="N1300" s="12" t="s">
        <v>36</v>
      </c>
      <c r="O1300" s="17" t="s">
        <v>36</v>
      </c>
      <c r="P1300" s="12" t="s">
        <v>36</v>
      </c>
      <c r="Q1300" s="12" t="s">
        <v>36</v>
      </c>
      <c r="R1300" s="12" t="s">
        <v>36</v>
      </c>
      <c r="S1300" s="12" t="s">
        <v>36</v>
      </c>
      <c r="T1300" s="12" t="s">
        <v>4429</v>
      </c>
      <c r="U1300" s="12" t="s">
        <v>289</v>
      </c>
      <c r="V1300" s="12" t="s">
        <v>64</v>
      </c>
      <c r="W1300" s="12" t="s">
        <v>4430</v>
      </c>
      <c r="X1300" s="16" t="s">
        <v>3074</v>
      </c>
      <c r="Y1300" s="15" t="s">
        <v>55</v>
      </c>
      <c r="Z1300" s="14">
        <v>1.86</v>
      </c>
      <c r="AA1300" s="14">
        <v>10.48</v>
      </c>
      <c r="AB1300" s="12" t="s">
        <v>56</v>
      </c>
      <c r="AC1300" s="12" t="s">
        <v>4432</v>
      </c>
      <c r="AD1300" s="13">
        <v>45041</v>
      </c>
      <c r="AE1300" s="12" t="s">
        <v>3134</v>
      </c>
      <c r="AF1300" s="12" t="s">
        <v>2118</v>
      </c>
      <c r="AG1300" s="12" t="s">
        <v>1202</v>
      </c>
      <c r="AH1300" s="1">
        <f>HYPERLINK("https://my.pitchbook.com?c=218320-39T","View Company Online")</f>
      </c>
    </row>
    <row r="1301">
      <c r="A1301" s="3" t="s">
        <v>7792</v>
      </c>
      <c r="B1301" s="3" t="s">
        <v>2444</v>
      </c>
      <c r="C1301" s="5" t="s">
        <v>36</v>
      </c>
      <c r="D1301" s="5" t="s">
        <v>36</v>
      </c>
      <c r="E1301" s="5" t="s">
        <v>36</v>
      </c>
      <c r="F1301" s="5" t="s">
        <v>36</v>
      </c>
      <c r="G1301" s="6" t="s">
        <v>36</v>
      </c>
      <c r="H1301" s="4" t="s">
        <v>36</v>
      </c>
      <c r="I1301" s="7" t="s">
        <v>36</v>
      </c>
      <c r="J1301" s="3" t="s">
        <v>36</v>
      </c>
      <c r="K1301" s="9" t="s">
        <v>36</v>
      </c>
      <c r="L1301" s="6" t="s">
        <v>122</v>
      </c>
      <c r="M1301" s="3" t="s">
        <v>36</v>
      </c>
      <c r="N1301" s="3" t="s">
        <v>122</v>
      </c>
      <c r="O1301" s="8" t="s">
        <v>36</v>
      </c>
      <c r="P1301" s="3" t="s">
        <v>36</v>
      </c>
      <c r="Q1301" s="3" t="s">
        <v>36</v>
      </c>
      <c r="R1301" s="3" t="s">
        <v>36</v>
      </c>
      <c r="S1301" s="3" t="s">
        <v>36</v>
      </c>
      <c r="T1301" s="3" t="s">
        <v>2445</v>
      </c>
      <c r="U1301" s="3" t="s">
        <v>648</v>
      </c>
      <c r="V1301" s="3" t="s">
        <v>64</v>
      </c>
      <c r="W1301" s="3" t="s">
        <v>2446</v>
      </c>
      <c r="X1301" s="10" t="s">
        <v>7793</v>
      </c>
      <c r="Y1301" s="6" t="s">
        <v>108</v>
      </c>
      <c r="Z1301" s="4">
        <v>6.57</v>
      </c>
      <c r="AA1301" s="4" t="s">
        <v>36</v>
      </c>
      <c r="AB1301" s="3" t="s">
        <v>56</v>
      </c>
      <c r="AC1301" s="3" t="s">
        <v>2448</v>
      </c>
      <c r="AD1301" s="9">
        <v>45041</v>
      </c>
      <c r="AE1301" s="3" t="s">
        <v>651</v>
      </c>
      <c r="AF1301" s="3" t="s">
        <v>2449</v>
      </c>
      <c r="AG1301" s="3" t="s">
        <v>2450</v>
      </c>
      <c r="AH1301" s="11">
        <f>HYPERLINK("https://my.pitchbook.com?c=221170-51T","View Company Online")</f>
      </c>
    </row>
    <row r="1302">
      <c r="A1302" s="12" t="s">
        <v>7794</v>
      </c>
      <c r="B1302" s="12" t="s">
        <v>7795</v>
      </c>
      <c r="C1302" s="19" t="s">
        <v>36</v>
      </c>
      <c r="D1302" s="19" t="s">
        <v>36</v>
      </c>
      <c r="E1302" s="19" t="s">
        <v>36</v>
      </c>
      <c r="F1302" s="19" t="s">
        <v>36</v>
      </c>
      <c r="G1302" s="15" t="s">
        <v>36</v>
      </c>
      <c r="H1302" s="14">
        <v>136.44</v>
      </c>
      <c r="I1302" s="18">
        <v>8.34</v>
      </c>
      <c r="J1302" s="12" t="s">
        <v>521</v>
      </c>
      <c r="K1302" s="13" t="s">
        <v>36</v>
      </c>
      <c r="L1302" s="15" t="s">
        <v>36</v>
      </c>
      <c r="M1302" s="12" t="s">
        <v>36</v>
      </c>
      <c r="N1302" s="12" t="s">
        <v>36</v>
      </c>
      <c r="O1302" s="17" t="s">
        <v>36</v>
      </c>
      <c r="P1302" s="12" t="s">
        <v>36</v>
      </c>
      <c r="Q1302" s="12" t="s">
        <v>36</v>
      </c>
      <c r="R1302" s="12" t="s">
        <v>36</v>
      </c>
      <c r="S1302" s="12" t="s">
        <v>36</v>
      </c>
      <c r="T1302" s="12" t="s">
        <v>522</v>
      </c>
      <c r="U1302" s="12" t="s">
        <v>38</v>
      </c>
      <c r="V1302" s="12" t="s">
        <v>39</v>
      </c>
      <c r="W1302" s="12" t="s">
        <v>7796</v>
      </c>
      <c r="X1302" s="16" t="s">
        <v>7797</v>
      </c>
      <c r="Y1302" s="15" t="s">
        <v>55</v>
      </c>
      <c r="Z1302" s="14">
        <v>0.19</v>
      </c>
      <c r="AA1302" s="14">
        <v>2.23</v>
      </c>
      <c r="AB1302" s="12" t="s">
        <v>56</v>
      </c>
      <c r="AC1302" s="12" t="s">
        <v>7798</v>
      </c>
      <c r="AD1302" s="13">
        <v>45041</v>
      </c>
      <c r="AE1302" s="12" t="s">
        <v>110</v>
      </c>
      <c r="AF1302" s="12" t="s">
        <v>1401</v>
      </c>
      <c r="AG1302" s="12" t="s">
        <v>3527</v>
      </c>
      <c r="AH1302" s="1">
        <f>HYPERLINK("https://my.pitchbook.com?c=226292-41T","View Company Online")</f>
      </c>
    </row>
    <row r="1303">
      <c r="A1303" s="3" t="s">
        <v>7799</v>
      </c>
      <c r="B1303" s="3" t="s">
        <v>2248</v>
      </c>
      <c r="C1303" s="5" t="s">
        <v>36</v>
      </c>
      <c r="D1303" s="5" t="s">
        <v>36</v>
      </c>
      <c r="E1303" s="5" t="s">
        <v>36</v>
      </c>
      <c r="F1303" s="5" t="s">
        <v>36</v>
      </c>
      <c r="G1303" s="6" t="s">
        <v>683</v>
      </c>
      <c r="H1303" s="4">
        <v>107.35</v>
      </c>
      <c r="I1303" s="7">
        <v>26.05</v>
      </c>
      <c r="J1303" s="3" t="s">
        <v>521</v>
      </c>
      <c r="K1303" s="9">
        <v>45005</v>
      </c>
      <c r="L1303" s="6" t="s">
        <v>122</v>
      </c>
      <c r="M1303" s="3" t="s">
        <v>36</v>
      </c>
      <c r="N1303" s="3" t="s">
        <v>122</v>
      </c>
      <c r="O1303" s="8" t="s">
        <v>36</v>
      </c>
      <c r="P1303" s="3" t="s">
        <v>36</v>
      </c>
      <c r="Q1303" s="3" t="s">
        <v>36</v>
      </c>
      <c r="R1303" s="3" t="s">
        <v>36</v>
      </c>
      <c r="S1303" s="3" t="s">
        <v>36</v>
      </c>
      <c r="T1303" s="3" t="s">
        <v>1589</v>
      </c>
      <c r="U1303" s="3" t="s">
        <v>38</v>
      </c>
      <c r="V1303" s="3" t="s">
        <v>39</v>
      </c>
      <c r="W1303" s="3" t="s">
        <v>2249</v>
      </c>
      <c r="X1303" s="10" t="s">
        <v>7800</v>
      </c>
      <c r="Y1303" s="6" t="s">
        <v>192</v>
      </c>
      <c r="Z1303" s="4">
        <v>5.28</v>
      </c>
      <c r="AA1303" s="4">
        <v>20.25</v>
      </c>
      <c r="AB1303" s="3" t="s">
        <v>56</v>
      </c>
      <c r="AC1303" s="3" t="s">
        <v>2251</v>
      </c>
      <c r="AD1303" s="9">
        <v>45041</v>
      </c>
      <c r="AE1303" s="3" t="s">
        <v>110</v>
      </c>
      <c r="AF1303" s="3" t="s">
        <v>2252</v>
      </c>
      <c r="AG1303" s="3" t="s">
        <v>1843</v>
      </c>
      <c r="AH1303" s="11">
        <f>HYPERLINK("https://my.pitchbook.com?c=220040-38T","View Company Online")</f>
      </c>
    </row>
    <row r="1304">
      <c r="A1304" s="12" t="s">
        <v>7801</v>
      </c>
      <c r="B1304" s="12" t="s">
        <v>7802</v>
      </c>
      <c r="C1304" s="19" t="s">
        <v>36</v>
      </c>
      <c r="D1304" s="19" t="s">
        <v>36</v>
      </c>
      <c r="E1304" s="19" t="s">
        <v>36</v>
      </c>
      <c r="F1304" s="19" t="s">
        <v>36</v>
      </c>
      <c r="G1304" s="15" t="s">
        <v>36</v>
      </c>
      <c r="H1304" s="14" t="s">
        <v>36</v>
      </c>
      <c r="I1304" s="18" t="s">
        <v>36</v>
      </c>
      <c r="J1304" s="12" t="s">
        <v>36</v>
      </c>
      <c r="K1304" s="13" t="s">
        <v>36</v>
      </c>
      <c r="L1304" s="15" t="s">
        <v>36</v>
      </c>
      <c r="M1304" s="12" t="s">
        <v>36</v>
      </c>
      <c r="N1304" s="12" t="s">
        <v>36</v>
      </c>
      <c r="O1304" s="17" t="s">
        <v>36</v>
      </c>
      <c r="P1304" s="12" t="s">
        <v>36</v>
      </c>
      <c r="Q1304" s="12" t="s">
        <v>36</v>
      </c>
      <c r="R1304" s="12" t="s">
        <v>36</v>
      </c>
      <c r="S1304" s="12" t="s">
        <v>36</v>
      </c>
      <c r="T1304" s="12" t="s">
        <v>7803</v>
      </c>
      <c r="U1304" s="12" t="s">
        <v>38</v>
      </c>
      <c r="V1304" s="12" t="s">
        <v>39</v>
      </c>
      <c r="W1304" s="12" t="s">
        <v>7804</v>
      </c>
      <c r="X1304" s="16" t="s">
        <v>7805</v>
      </c>
      <c r="Y1304" s="15" t="s">
        <v>42</v>
      </c>
      <c r="Z1304" s="14">
        <v>1.31</v>
      </c>
      <c r="AA1304" s="14" t="s">
        <v>36</v>
      </c>
      <c r="AB1304" s="12" t="s">
        <v>43</v>
      </c>
      <c r="AC1304" s="12" t="s">
        <v>7806</v>
      </c>
      <c r="AD1304" s="13">
        <v>45040</v>
      </c>
      <c r="AE1304" s="12" t="s">
        <v>45</v>
      </c>
      <c r="AF1304" s="12" t="s">
        <v>331</v>
      </c>
      <c r="AG1304" s="12" t="s">
        <v>270</v>
      </c>
      <c r="AH1304" s="1">
        <f>HYPERLINK("https://my.pitchbook.com?c=221005-00T","View Company Online")</f>
      </c>
    </row>
    <row r="1305">
      <c r="A1305" s="3" t="s">
        <v>7807</v>
      </c>
      <c r="B1305" s="3" t="s">
        <v>7808</v>
      </c>
      <c r="C1305" s="5" t="s">
        <v>36</v>
      </c>
      <c r="D1305" s="5" t="s">
        <v>36</v>
      </c>
      <c r="E1305" s="5" t="s">
        <v>36</v>
      </c>
      <c r="F1305" s="5" t="s">
        <v>36</v>
      </c>
      <c r="G1305" s="6" t="s">
        <v>326</v>
      </c>
      <c r="H1305" s="4" t="s">
        <v>36</v>
      </c>
      <c r="I1305" s="7">
        <v>6.14</v>
      </c>
      <c r="J1305" s="3" t="s">
        <v>327</v>
      </c>
      <c r="K1305" s="9" t="s">
        <v>36</v>
      </c>
      <c r="L1305" s="6" t="s">
        <v>36</v>
      </c>
      <c r="M1305" s="3" t="s">
        <v>36</v>
      </c>
      <c r="N1305" s="3" t="s">
        <v>36</v>
      </c>
      <c r="O1305" s="8" t="s">
        <v>36</v>
      </c>
      <c r="P1305" s="3" t="s">
        <v>36</v>
      </c>
      <c r="Q1305" s="3" t="s">
        <v>36</v>
      </c>
      <c r="R1305" s="3" t="s">
        <v>36</v>
      </c>
      <c r="S1305" s="3" t="s">
        <v>36</v>
      </c>
      <c r="T1305" s="3" t="s">
        <v>7809</v>
      </c>
      <c r="U1305" s="3" t="s">
        <v>648</v>
      </c>
      <c r="V1305" s="3" t="s">
        <v>64</v>
      </c>
      <c r="W1305" s="3" t="s">
        <v>7810</v>
      </c>
      <c r="X1305" s="10" t="s">
        <v>7811</v>
      </c>
      <c r="Y1305" s="6" t="s">
        <v>108</v>
      </c>
      <c r="Z1305" s="4">
        <v>3.83</v>
      </c>
      <c r="AA1305" s="4">
        <v>62.35</v>
      </c>
      <c r="AB1305" s="3" t="s">
        <v>56</v>
      </c>
      <c r="AC1305" s="3" t="s">
        <v>7812</v>
      </c>
      <c r="AD1305" s="9">
        <v>45040</v>
      </c>
      <c r="AE1305" s="3" t="s">
        <v>1897</v>
      </c>
      <c r="AF1305" s="3" t="s">
        <v>1115</v>
      </c>
      <c r="AG1305" s="3" t="s">
        <v>81</v>
      </c>
      <c r="AH1305" s="11">
        <f>HYPERLINK("https://my.pitchbook.com?c=221458-69T","View Company Online")</f>
      </c>
    </row>
    <row r="1306">
      <c r="A1306" s="12" t="s">
        <v>7813</v>
      </c>
      <c r="B1306" s="12" t="s">
        <v>7814</v>
      </c>
      <c r="C1306" s="19" t="s">
        <v>36</v>
      </c>
      <c r="D1306" s="19" t="s">
        <v>36</v>
      </c>
      <c r="E1306" s="19" t="s">
        <v>36</v>
      </c>
      <c r="F1306" s="19" t="s">
        <v>36</v>
      </c>
      <c r="G1306" s="15" t="s">
        <v>36</v>
      </c>
      <c r="H1306" s="14" t="s">
        <v>36</v>
      </c>
      <c r="I1306" s="18" t="s">
        <v>36</v>
      </c>
      <c r="J1306" s="12" t="s">
        <v>36</v>
      </c>
      <c r="K1306" s="13" t="s">
        <v>36</v>
      </c>
      <c r="L1306" s="15" t="s">
        <v>36</v>
      </c>
      <c r="M1306" s="12" t="s">
        <v>36</v>
      </c>
      <c r="N1306" s="12" t="s">
        <v>36</v>
      </c>
      <c r="O1306" s="17" t="s">
        <v>36</v>
      </c>
      <c r="P1306" s="12" t="s">
        <v>36</v>
      </c>
      <c r="Q1306" s="12" t="s">
        <v>36</v>
      </c>
      <c r="R1306" s="12" t="s">
        <v>36</v>
      </c>
      <c r="S1306" s="12" t="s">
        <v>1883</v>
      </c>
      <c r="T1306" s="12" t="s">
        <v>7815</v>
      </c>
      <c r="U1306" s="12" t="s">
        <v>219</v>
      </c>
      <c r="V1306" s="12" t="s">
        <v>75</v>
      </c>
      <c r="W1306" s="12" t="s">
        <v>7816</v>
      </c>
      <c r="X1306" s="16" t="s">
        <v>7817</v>
      </c>
      <c r="Y1306" s="15" t="s">
        <v>42</v>
      </c>
      <c r="Z1306" s="14">
        <v>6.56</v>
      </c>
      <c r="AA1306" s="14" t="s">
        <v>36</v>
      </c>
      <c r="AB1306" s="12" t="s">
        <v>56</v>
      </c>
      <c r="AC1306" s="12" t="s">
        <v>7818</v>
      </c>
      <c r="AD1306" s="13">
        <v>45040</v>
      </c>
      <c r="AE1306" s="12" t="s">
        <v>7093</v>
      </c>
      <c r="AF1306" s="12" t="s">
        <v>571</v>
      </c>
      <c r="AG1306" s="12" t="s">
        <v>7819</v>
      </c>
      <c r="AH1306" s="1">
        <f>HYPERLINK("https://my.pitchbook.com?c=220988-62T","View Company Online")</f>
      </c>
    </row>
    <row r="1307">
      <c r="A1307" s="3" t="s">
        <v>7820</v>
      </c>
      <c r="B1307" s="3" t="s">
        <v>7821</v>
      </c>
      <c r="C1307" s="5" t="s">
        <v>36</v>
      </c>
      <c r="D1307" s="5" t="s">
        <v>36</v>
      </c>
      <c r="E1307" s="5" t="s">
        <v>36</v>
      </c>
      <c r="F1307" s="5" t="s">
        <v>36</v>
      </c>
      <c r="G1307" s="6" t="s">
        <v>326</v>
      </c>
      <c r="H1307" s="4">
        <v>71.95</v>
      </c>
      <c r="I1307" s="7">
        <v>37.79</v>
      </c>
      <c r="J1307" s="3" t="s">
        <v>521</v>
      </c>
      <c r="K1307" s="9" t="s">
        <v>36</v>
      </c>
      <c r="L1307" s="6" t="s">
        <v>122</v>
      </c>
      <c r="M1307" s="3" t="s">
        <v>36</v>
      </c>
      <c r="N1307" s="3" t="s">
        <v>122</v>
      </c>
      <c r="O1307" s="8" t="s">
        <v>36</v>
      </c>
      <c r="P1307" s="3" t="s">
        <v>36</v>
      </c>
      <c r="Q1307" s="3" t="s">
        <v>36</v>
      </c>
      <c r="R1307" s="3" t="s">
        <v>36</v>
      </c>
      <c r="S1307" s="3" t="s">
        <v>36</v>
      </c>
      <c r="T1307" s="3" t="s">
        <v>1299</v>
      </c>
      <c r="U1307" s="3" t="s">
        <v>38</v>
      </c>
      <c r="V1307" s="3" t="s">
        <v>39</v>
      </c>
      <c r="W1307" s="3" t="s">
        <v>7822</v>
      </c>
      <c r="X1307" s="10" t="s">
        <v>7823</v>
      </c>
      <c r="Y1307" s="6" t="s">
        <v>108</v>
      </c>
      <c r="Z1307" s="4">
        <v>6.03</v>
      </c>
      <c r="AA1307" s="4">
        <v>15.94</v>
      </c>
      <c r="AB1307" s="3" t="s">
        <v>43</v>
      </c>
      <c r="AC1307" s="3" t="s">
        <v>7824</v>
      </c>
      <c r="AD1307" s="9">
        <v>45040</v>
      </c>
      <c r="AE1307" s="3" t="s">
        <v>110</v>
      </c>
      <c r="AF1307" s="3" t="s">
        <v>1842</v>
      </c>
      <c r="AG1307" s="3" t="s">
        <v>400</v>
      </c>
      <c r="AH1307" s="11">
        <f>HYPERLINK("https://my.pitchbook.com?c=215126-29T","View Company Online")</f>
      </c>
    </row>
    <row r="1308">
      <c r="A1308" s="12" t="s">
        <v>7825</v>
      </c>
      <c r="B1308" s="12" t="s">
        <v>4393</v>
      </c>
      <c r="C1308" s="19" t="s">
        <v>36</v>
      </c>
      <c r="D1308" s="19" t="s">
        <v>36</v>
      </c>
      <c r="E1308" s="19" t="s">
        <v>36</v>
      </c>
      <c r="F1308" s="19" t="s">
        <v>36</v>
      </c>
      <c r="G1308" s="15" t="s">
        <v>36</v>
      </c>
      <c r="H1308" s="14">
        <v>9.14</v>
      </c>
      <c r="I1308" s="18">
        <v>16.52</v>
      </c>
      <c r="J1308" s="12" t="s">
        <v>521</v>
      </c>
      <c r="K1308" s="13" t="s">
        <v>36</v>
      </c>
      <c r="L1308" s="15" t="s">
        <v>36</v>
      </c>
      <c r="M1308" s="12" t="s">
        <v>36</v>
      </c>
      <c r="N1308" s="12" t="s">
        <v>36</v>
      </c>
      <c r="O1308" s="17" t="s">
        <v>36</v>
      </c>
      <c r="P1308" s="12" t="s">
        <v>36</v>
      </c>
      <c r="Q1308" s="12" t="s">
        <v>36</v>
      </c>
      <c r="R1308" s="12" t="s">
        <v>36</v>
      </c>
      <c r="S1308" s="12" t="s">
        <v>36</v>
      </c>
      <c r="T1308" s="12" t="s">
        <v>4394</v>
      </c>
      <c r="U1308" s="12" t="s">
        <v>423</v>
      </c>
      <c r="V1308" s="12" t="s">
        <v>64</v>
      </c>
      <c r="W1308" s="12" t="s">
        <v>4395</v>
      </c>
      <c r="X1308" s="16" t="s">
        <v>7826</v>
      </c>
      <c r="Y1308" s="15" t="s">
        <v>42</v>
      </c>
      <c r="Z1308" s="14">
        <v>0.59</v>
      </c>
      <c r="AA1308" s="14">
        <v>3.54</v>
      </c>
      <c r="AB1308" s="12" t="s">
        <v>43</v>
      </c>
      <c r="AC1308" s="12" t="s">
        <v>4396</v>
      </c>
      <c r="AD1308" s="13">
        <v>45040</v>
      </c>
      <c r="AE1308" s="12" t="s">
        <v>1051</v>
      </c>
      <c r="AF1308" s="12" t="s">
        <v>4397</v>
      </c>
      <c r="AG1308" s="12" t="s">
        <v>81</v>
      </c>
      <c r="AH1308" s="1">
        <f>HYPERLINK("https://my.pitchbook.com?c=220994-47T","View Company Online")</f>
      </c>
    </row>
    <row r="1309">
      <c r="A1309" s="3" t="s">
        <v>7827</v>
      </c>
      <c r="B1309" s="3" t="s">
        <v>7828</v>
      </c>
      <c r="C1309" s="5" t="s">
        <v>36</v>
      </c>
      <c r="D1309" s="5" t="s">
        <v>36</v>
      </c>
      <c r="E1309" s="5" t="s">
        <v>36</v>
      </c>
      <c r="F1309" s="5" t="s">
        <v>36</v>
      </c>
      <c r="G1309" s="6" t="s">
        <v>36</v>
      </c>
      <c r="H1309" s="4">
        <v>1661.71</v>
      </c>
      <c r="I1309" s="7">
        <v>22.78</v>
      </c>
      <c r="J1309" s="3" t="s">
        <v>521</v>
      </c>
      <c r="K1309" s="9" t="s">
        <v>36</v>
      </c>
      <c r="L1309" s="6" t="s">
        <v>36</v>
      </c>
      <c r="M1309" s="3" t="s">
        <v>36</v>
      </c>
      <c r="N1309" s="3" t="s">
        <v>36</v>
      </c>
      <c r="O1309" s="8" t="s">
        <v>36</v>
      </c>
      <c r="P1309" s="3" t="s">
        <v>36</v>
      </c>
      <c r="Q1309" s="3" t="s">
        <v>36</v>
      </c>
      <c r="R1309" s="3" t="s">
        <v>36</v>
      </c>
      <c r="S1309" s="3" t="s">
        <v>36</v>
      </c>
      <c r="T1309" s="3" t="s">
        <v>7829</v>
      </c>
      <c r="U1309" s="3" t="s">
        <v>279</v>
      </c>
      <c r="V1309" s="3" t="s">
        <v>64</v>
      </c>
      <c r="W1309" s="3" t="s">
        <v>7830</v>
      </c>
      <c r="X1309" s="10" t="s">
        <v>7831</v>
      </c>
      <c r="Y1309" s="6" t="s">
        <v>42</v>
      </c>
      <c r="Z1309" s="4">
        <v>0.52</v>
      </c>
      <c r="AA1309" s="4">
        <v>2.27</v>
      </c>
      <c r="AB1309" s="3" t="s">
        <v>43</v>
      </c>
      <c r="AC1309" s="3" t="s">
        <v>7832</v>
      </c>
      <c r="AD1309" s="9">
        <v>45040</v>
      </c>
      <c r="AE1309" s="3" t="s">
        <v>283</v>
      </c>
      <c r="AF1309" s="3" t="s">
        <v>7833</v>
      </c>
      <c r="AG1309" s="3" t="s">
        <v>81</v>
      </c>
      <c r="AH1309" s="11">
        <f>HYPERLINK("https://my.pitchbook.com?c=248406-40T","View Company Online")</f>
      </c>
    </row>
    <row r="1310">
      <c r="A1310" s="12" t="s">
        <v>7834</v>
      </c>
      <c r="B1310" s="12" t="s">
        <v>7835</v>
      </c>
      <c r="C1310" s="19" t="s">
        <v>36</v>
      </c>
      <c r="D1310" s="19" t="s">
        <v>36</v>
      </c>
      <c r="E1310" s="19" t="s">
        <v>36</v>
      </c>
      <c r="F1310" s="19" t="s">
        <v>36</v>
      </c>
      <c r="G1310" s="15" t="s">
        <v>36</v>
      </c>
      <c r="H1310" s="14" t="s">
        <v>36</v>
      </c>
      <c r="I1310" s="18" t="s">
        <v>36</v>
      </c>
      <c r="J1310" s="12" t="s">
        <v>521</v>
      </c>
      <c r="K1310" s="13" t="s">
        <v>36</v>
      </c>
      <c r="L1310" s="15" t="s">
        <v>122</v>
      </c>
      <c r="M1310" s="12" t="s">
        <v>36</v>
      </c>
      <c r="N1310" s="12" t="s">
        <v>122</v>
      </c>
      <c r="O1310" s="17" t="s">
        <v>36</v>
      </c>
      <c r="P1310" s="12" t="s">
        <v>36</v>
      </c>
      <c r="Q1310" s="12" t="s">
        <v>36</v>
      </c>
      <c r="R1310" s="12" t="s">
        <v>36</v>
      </c>
      <c r="S1310" s="12" t="s">
        <v>36</v>
      </c>
      <c r="T1310" s="12" t="s">
        <v>4917</v>
      </c>
      <c r="U1310" s="12" t="s">
        <v>38</v>
      </c>
      <c r="V1310" s="12" t="s">
        <v>39</v>
      </c>
      <c r="W1310" s="12" t="s">
        <v>7836</v>
      </c>
      <c r="X1310" s="16" t="s">
        <v>7837</v>
      </c>
      <c r="Y1310" s="15" t="s">
        <v>192</v>
      </c>
      <c r="Z1310" s="14">
        <v>38.28</v>
      </c>
      <c r="AA1310" s="14">
        <v>120.29</v>
      </c>
      <c r="AB1310" s="12" t="s">
        <v>56</v>
      </c>
      <c r="AC1310" s="12" t="s">
        <v>7838</v>
      </c>
      <c r="AD1310" s="13">
        <v>45040</v>
      </c>
      <c r="AE1310" s="12" t="s">
        <v>134</v>
      </c>
      <c r="AF1310" s="12" t="s">
        <v>135</v>
      </c>
      <c r="AG1310" s="12" t="s">
        <v>1078</v>
      </c>
      <c r="AH1310" s="1">
        <f>HYPERLINK("https://my.pitchbook.com?c=224442-55T","View Company Online")</f>
      </c>
    </row>
    <row r="1311">
      <c r="A1311" s="3" t="s">
        <v>7839</v>
      </c>
      <c r="B1311" s="3" t="s">
        <v>7840</v>
      </c>
      <c r="C1311" s="5" t="s">
        <v>36</v>
      </c>
      <c r="D1311" s="5" t="s">
        <v>36</v>
      </c>
      <c r="E1311" s="5" t="s">
        <v>36</v>
      </c>
      <c r="F1311" s="5" t="s">
        <v>36</v>
      </c>
      <c r="G1311" s="6" t="s">
        <v>36</v>
      </c>
      <c r="H1311" s="4" t="s">
        <v>36</v>
      </c>
      <c r="I1311" s="7" t="s">
        <v>36</v>
      </c>
      <c r="J1311" s="3" t="s">
        <v>521</v>
      </c>
      <c r="K1311" s="9" t="s">
        <v>36</v>
      </c>
      <c r="L1311" s="6" t="s">
        <v>36</v>
      </c>
      <c r="M1311" s="3" t="s">
        <v>36</v>
      </c>
      <c r="N1311" s="3" t="s">
        <v>36</v>
      </c>
      <c r="O1311" s="8" t="s">
        <v>36</v>
      </c>
      <c r="P1311" s="3" t="s">
        <v>36</v>
      </c>
      <c r="Q1311" s="3" t="s">
        <v>36</v>
      </c>
      <c r="R1311" s="3" t="s">
        <v>36</v>
      </c>
      <c r="S1311" s="3" t="s">
        <v>36</v>
      </c>
      <c r="T1311" s="3" t="s">
        <v>522</v>
      </c>
      <c r="U1311" s="3" t="s">
        <v>38</v>
      </c>
      <c r="V1311" s="3" t="s">
        <v>39</v>
      </c>
      <c r="W1311" s="3" t="s">
        <v>7841</v>
      </c>
      <c r="X1311" s="10" t="s">
        <v>7842</v>
      </c>
      <c r="Y1311" s="6" t="s">
        <v>192</v>
      </c>
      <c r="Z1311" s="4" t="s">
        <v>36</v>
      </c>
      <c r="AA1311" s="4">
        <v>500</v>
      </c>
      <c r="AB1311" s="3" t="s">
        <v>56</v>
      </c>
      <c r="AC1311" s="3" t="s">
        <v>7843</v>
      </c>
      <c r="AD1311" s="9">
        <v>45039</v>
      </c>
      <c r="AE1311" s="3" t="s">
        <v>110</v>
      </c>
      <c r="AF1311" s="3" t="s">
        <v>7844</v>
      </c>
      <c r="AG1311" s="3" t="s">
        <v>81</v>
      </c>
      <c r="AH1311" s="11">
        <f>HYPERLINK("https://my.pitchbook.com?c=220997-89T","View Company Online")</f>
      </c>
    </row>
    <row r="1312">
      <c r="A1312" s="12" t="s">
        <v>7845</v>
      </c>
      <c r="B1312" s="12" t="s">
        <v>7846</v>
      </c>
      <c r="C1312" s="19">
        <v>13</v>
      </c>
      <c r="D1312" s="19">
        <v>29</v>
      </c>
      <c r="E1312" s="19">
        <v>8</v>
      </c>
      <c r="F1312" s="19">
        <v>43</v>
      </c>
      <c r="G1312" s="15" t="s">
        <v>36</v>
      </c>
      <c r="H1312" s="14" t="s">
        <v>36</v>
      </c>
      <c r="I1312" s="18" t="s">
        <v>36</v>
      </c>
      <c r="J1312" s="12" t="s">
        <v>36</v>
      </c>
      <c r="K1312" s="13" t="s">
        <v>36</v>
      </c>
      <c r="L1312" s="15" t="s">
        <v>36</v>
      </c>
      <c r="M1312" s="12" t="s">
        <v>36</v>
      </c>
      <c r="N1312" s="12" t="s">
        <v>36</v>
      </c>
      <c r="O1312" s="17" t="s">
        <v>36</v>
      </c>
      <c r="P1312" s="12" t="s">
        <v>36</v>
      </c>
      <c r="Q1312" s="12" t="s">
        <v>36</v>
      </c>
      <c r="R1312" s="12" t="s">
        <v>36</v>
      </c>
      <c r="S1312" s="12" t="s">
        <v>36</v>
      </c>
      <c r="T1312" s="12" t="s">
        <v>7493</v>
      </c>
      <c r="U1312" s="12" t="s">
        <v>377</v>
      </c>
      <c r="V1312" s="12" t="s">
        <v>378</v>
      </c>
      <c r="W1312" s="12" t="s">
        <v>7847</v>
      </c>
      <c r="X1312" s="16" t="s">
        <v>7848</v>
      </c>
      <c r="Y1312" s="15" t="s">
        <v>108</v>
      </c>
      <c r="Z1312" s="14">
        <v>31</v>
      </c>
      <c r="AA1312" s="14" t="s">
        <v>36</v>
      </c>
      <c r="AB1312" s="12" t="s">
        <v>56</v>
      </c>
      <c r="AC1312" s="12" t="s">
        <v>7849</v>
      </c>
      <c r="AD1312" s="13">
        <v>45039</v>
      </c>
      <c r="AE1312" s="12" t="s">
        <v>377</v>
      </c>
      <c r="AF1312" s="12" t="s">
        <v>7850</v>
      </c>
      <c r="AG1312" s="12" t="s">
        <v>81</v>
      </c>
      <c r="AH1312" s="1">
        <f>HYPERLINK("https://my.pitchbook.com?c=220982-32T","View Company Online")</f>
      </c>
    </row>
    <row r="1313">
      <c r="A1313" s="3" t="s">
        <v>7851</v>
      </c>
      <c r="B1313" s="3" t="s">
        <v>541</v>
      </c>
      <c r="C1313" s="5" t="s">
        <v>36</v>
      </c>
      <c r="D1313" s="5" t="s">
        <v>36</v>
      </c>
      <c r="E1313" s="5" t="s">
        <v>36</v>
      </c>
      <c r="F1313" s="5" t="s">
        <v>36</v>
      </c>
      <c r="G1313" s="6" t="s">
        <v>326</v>
      </c>
      <c r="H1313" s="4" t="s">
        <v>36</v>
      </c>
      <c r="I1313" s="7">
        <v>20.53</v>
      </c>
      <c r="J1313" s="3" t="s">
        <v>327</v>
      </c>
      <c r="K1313" s="9" t="s">
        <v>36</v>
      </c>
      <c r="L1313" s="6" t="s">
        <v>36</v>
      </c>
      <c r="M1313" s="3" t="s">
        <v>36</v>
      </c>
      <c r="N1313" s="3" t="s">
        <v>36</v>
      </c>
      <c r="O1313" s="8" t="s">
        <v>36</v>
      </c>
      <c r="P1313" s="3" t="s">
        <v>36</v>
      </c>
      <c r="Q1313" s="3" t="s">
        <v>36</v>
      </c>
      <c r="R1313" s="3" t="s">
        <v>36</v>
      </c>
      <c r="S1313" s="3" t="s">
        <v>36</v>
      </c>
      <c r="T1313" s="3" t="s">
        <v>542</v>
      </c>
      <c r="U1313" s="3" t="s">
        <v>74</v>
      </c>
      <c r="V1313" s="3" t="s">
        <v>75</v>
      </c>
      <c r="W1313" s="3" t="s">
        <v>543</v>
      </c>
      <c r="X1313" s="10" t="s">
        <v>7852</v>
      </c>
      <c r="Y1313" s="6" t="s">
        <v>108</v>
      </c>
      <c r="Z1313" s="4">
        <v>4.37</v>
      </c>
      <c r="AA1313" s="4">
        <v>21.27</v>
      </c>
      <c r="AB1313" s="3" t="s">
        <v>43</v>
      </c>
      <c r="AC1313" s="3" t="s">
        <v>545</v>
      </c>
      <c r="AD1313" s="9">
        <v>45037</v>
      </c>
      <c r="AE1313" s="3" t="s">
        <v>362</v>
      </c>
      <c r="AF1313" s="3" t="s">
        <v>546</v>
      </c>
      <c r="AG1313" s="3" t="s">
        <v>81</v>
      </c>
      <c r="AH1313" s="11">
        <f>HYPERLINK("https://my.pitchbook.com?c=220927-15T","View Company Online")</f>
      </c>
    </row>
    <row r="1314">
      <c r="A1314" s="12" t="s">
        <v>7853</v>
      </c>
      <c r="B1314" s="12" t="s">
        <v>7854</v>
      </c>
      <c r="C1314" s="19" t="s">
        <v>36</v>
      </c>
      <c r="D1314" s="19" t="s">
        <v>36</v>
      </c>
      <c r="E1314" s="19" t="s">
        <v>36</v>
      </c>
      <c r="F1314" s="19" t="s">
        <v>36</v>
      </c>
      <c r="G1314" s="15" t="s">
        <v>36</v>
      </c>
      <c r="H1314" s="14">
        <v>10.39</v>
      </c>
      <c r="I1314" s="18">
        <v>31.82</v>
      </c>
      <c r="J1314" s="12" t="s">
        <v>521</v>
      </c>
      <c r="K1314" s="13">
        <v>44562</v>
      </c>
      <c r="L1314" s="15" t="s">
        <v>36</v>
      </c>
      <c r="M1314" s="12" t="s">
        <v>36</v>
      </c>
      <c r="N1314" s="12" t="s">
        <v>36</v>
      </c>
      <c r="O1314" s="17" t="s">
        <v>36</v>
      </c>
      <c r="P1314" s="12" t="s">
        <v>36</v>
      </c>
      <c r="Q1314" s="12" t="s">
        <v>36</v>
      </c>
      <c r="R1314" s="12" t="s">
        <v>36</v>
      </c>
      <c r="S1314" s="12" t="s">
        <v>36</v>
      </c>
      <c r="T1314" s="12" t="s">
        <v>1596</v>
      </c>
      <c r="U1314" s="12" t="s">
        <v>728</v>
      </c>
      <c r="V1314" s="12" t="s">
        <v>64</v>
      </c>
      <c r="W1314" s="12" t="s">
        <v>7855</v>
      </c>
      <c r="X1314" s="16" t="s">
        <v>577</v>
      </c>
      <c r="Y1314" s="15" t="s">
        <v>42</v>
      </c>
      <c r="Z1314" s="14">
        <v>0.76</v>
      </c>
      <c r="AA1314" s="14">
        <v>2.4</v>
      </c>
      <c r="AB1314" s="12" t="s">
        <v>43</v>
      </c>
      <c r="AC1314" s="12" t="s">
        <v>7856</v>
      </c>
      <c r="AD1314" s="13">
        <v>45037</v>
      </c>
      <c r="AE1314" s="12" t="s">
        <v>1600</v>
      </c>
      <c r="AF1314" s="12" t="s">
        <v>36</v>
      </c>
      <c r="AG1314" s="12" t="s">
        <v>976</v>
      </c>
      <c r="AH1314" s="1">
        <f>HYPERLINK("https://my.pitchbook.com?c=226655-47T","View Company Online")</f>
      </c>
    </row>
    <row r="1315">
      <c r="A1315" s="3" t="s">
        <v>7857</v>
      </c>
      <c r="B1315" s="3" t="s">
        <v>7858</v>
      </c>
      <c r="C1315" s="5" t="s">
        <v>36</v>
      </c>
      <c r="D1315" s="5" t="s">
        <v>36</v>
      </c>
      <c r="E1315" s="5" t="s">
        <v>36</v>
      </c>
      <c r="F1315" s="5" t="s">
        <v>36</v>
      </c>
      <c r="G1315" s="6" t="s">
        <v>36</v>
      </c>
      <c r="H1315" s="4">
        <v>22.01</v>
      </c>
      <c r="I1315" s="7">
        <v>32.76</v>
      </c>
      <c r="J1315" s="3" t="s">
        <v>521</v>
      </c>
      <c r="K1315" s="9" t="s">
        <v>36</v>
      </c>
      <c r="L1315" s="6" t="s">
        <v>36</v>
      </c>
      <c r="M1315" s="3" t="s">
        <v>36</v>
      </c>
      <c r="N1315" s="3" t="s">
        <v>36</v>
      </c>
      <c r="O1315" s="8" t="s">
        <v>36</v>
      </c>
      <c r="P1315" s="3" t="s">
        <v>36</v>
      </c>
      <c r="Q1315" s="3" t="s">
        <v>36</v>
      </c>
      <c r="R1315" s="3" t="s">
        <v>36</v>
      </c>
      <c r="S1315" s="3" t="s">
        <v>36</v>
      </c>
      <c r="T1315" s="3" t="s">
        <v>7859</v>
      </c>
      <c r="U1315" s="3" t="s">
        <v>438</v>
      </c>
      <c r="V1315" s="3" t="s">
        <v>405</v>
      </c>
      <c r="W1315" s="3" t="s">
        <v>7860</v>
      </c>
      <c r="X1315" s="10" t="s">
        <v>7861</v>
      </c>
      <c r="Y1315" s="6" t="s">
        <v>108</v>
      </c>
      <c r="Z1315" s="4">
        <v>6.87</v>
      </c>
      <c r="AA1315" s="4">
        <v>20.98</v>
      </c>
      <c r="AB1315" s="3" t="s">
        <v>56</v>
      </c>
      <c r="AC1315" s="3" t="s">
        <v>7862</v>
      </c>
      <c r="AD1315" s="9">
        <v>45037</v>
      </c>
      <c r="AE1315" s="3" t="s">
        <v>438</v>
      </c>
      <c r="AF1315" s="3" t="s">
        <v>215</v>
      </c>
      <c r="AG1315" s="3" t="s">
        <v>81</v>
      </c>
      <c r="AH1315" s="11">
        <f>HYPERLINK("https://my.pitchbook.com?c=221065-21T","View Company Online")</f>
      </c>
    </row>
    <row r="1316">
      <c r="A1316" s="12" t="s">
        <v>7863</v>
      </c>
      <c r="B1316" s="12" t="s">
        <v>7864</v>
      </c>
      <c r="C1316" s="19" t="s">
        <v>36</v>
      </c>
      <c r="D1316" s="19" t="s">
        <v>36</v>
      </c>
      <c r="E1316" s="19" t="s">
        <v>36</v>
      </c>
      <c r="F1316" s="19" t="s">
        <v>36</v>
      </c>
      <c r="G1316" s="15" t="s">
        <v>326</v>
      </c>
      <c r="H1316" s="14">
        <v>62.31</v>
      </c>
      <c r="I1316" s="18">
        <v>16.67</v>
      </c>
      <c r="J1316" s="12" t="s">
        <v>521</v>
      </c>
      <c r="K1316" s="13" t="s">
        <v>36</v>
      </c>
      <c r="L1316" s="15" t="s">
        <v>36</v>
      </c>
      <c r="M1316" s="12" t="s">
        <v>36</v>
      </c>
      <c r="N1316" s="12" t="s">
        <v>36</v>
      </c>
      <c r="O1316" s="17" t="s">
        <v>36</v>
      </c>
      <c r="P1316" s="12" t="s">
        <v>36</v>
      </c>
      <c r="Q1316" s="12" t="s">
        <v>36</v>
      </c>
      <c r="R1316" s="12" t="s">
        <v>36</v>
      </c>
      <c r="S1316" s="12" t="s">
        <v>36</v>
      </c>
      <c r="T1316" s="12" t="s">
        <v>7865</v>
      </c>
      <c r="U1316" s="12" t="s">
        <v>38</v>
      </c>
      <c r="V1316" s="12" t="s">
        <v>39</v>
      </c>
      <c r="W1316" s="12" t="s">
        <v>7866</v>
      </c>
      <c r="X1316" s="16" t="s">
        <v>7867</v>
      </c>
      <c r="Y1316" s="15" t="s">
        <v>55</v>
      </c>
      <c r="Z1316" s="14">
        <v>1.09</v>
      </c>
      <c r="AA1316" s="14">
        <v>6.55</v>
      </c>
      <c r="AB1316" s="12" t="s">
        <v>43</v>
      </c>
      <c r="AC1316" s="12" t="s">
        <v>7868</v>
      </c>
      <c r="AD1316" s="13">
        <v>45037</v>
      </c>
      <c r="AE1316" s="12" t="s">
        <v>110</v>
      </c>
      <c r="AF1316" s="12" t="s">
        <v>2363</v>
      </c>
      <c r="AG1316" s="12" t="s">
        <v>7869</v>
      </c>
      <c r="AH1316" s="1">
        <f>HYPERLINK("https://my.pitchbook.com?c=255922-21T","View Company Online")</f>
      </c>
    </row>
    <row r="1317">
      <c r="A1317" s="3" t="s">
        <v>7870</v>
      </c>
      <c r="B1317" s="3" t="s">
        <v>7871</v>
      </c>
      <c r="C1317" s="5">
        <v>2</v>
      </c>
      <c r="D1317" s="5" t="s">
        <v>36</v>
      </c>
      <c r="E1317" s="5">
        <v>2</v>
      </c>
      <c r="F1317" s="5">
        <v>2</v>
      </c>
      <c r="G1317" s="6" t="s">
        <v>326</v>
      </c>
      <c r="H1317" s="4">
        <v>840.82</v>
      </c>
      <c r="I1317" s="7">
        <v>16.1</v>
      </c>
      <c r="J1317" s="3" t="s">
        <v>521</v>
      </c>
      <c r="K1317" s="9">
        <v>44866</v>
      </c>
      <c r="L1317" s="6" t="s">
        <v>36</v>
      </c>
      <c r="M1317" s="3" t="s">
        <v>36</v>
      </c>
      <c r="N1317" s="3" t="s">
        <v>36</v>
      </c>
      <c r="O1317" s="8" t="s">
        <v>36</v>
      </c>
      <c r="P1317" s="3" t="s">
        <v>36</v>
      </c>
      <c r="Q1317" s="3" t="s">
        <v>36</v>
      </c>
      <c r="R1317" s="3" t="s">
        <v>36</v>
      </c>
      <c r="S1317" s="3" t="s">
        <v>36</v>
      </c>
      <c r="T1317" s="3" t="s">
        <v>7872</v>
      </c>
      <c r="U1317" s="3" t="s">
        <v>1082</v>
      </c>
      <c r="V1317" s="3" t="s">
        <v>378</v>
      </c>
      <c r="W1317" s="3" t="s">
        <v>7873</v>
      </c>
      <c r="X1317" s="10" t="s">
        <v>7874</v>
      </c>
      <c r="Y1317" s="6" t="s">
        <v>166</v>
      </c>
      <c r="Z1317" s="4">
        <v>2.18</v>
      </c>
      <c r="AA1317" s="4">
        <v>6.84</v>
      </c>
      <c r="AB1317" s="3" t="s">
        <v>56</v>
      </c>
      <c r="AC1317" s="3" t="s">
        <v>7875</v>
      </c>
      <c r="AD1317" s="9">
        <v>45036</v>
      </c>
      <c r="AE1317" s="3" t="s">
        <v>7876</v>
      </c>
      <c r="AF1317" s="3" t="s">
        <v>4248</v>
      </c>
      <c r="AG1317" s="3" t="s">
        <v>3406</v>
      </c>
      <c r="AH1317" s="11">
        <f>HYPERLINK("https://my.pitchbook.com?c=209307-79T","View Company Online")</f>
      </c>
    </row>
    <row r="1318">
      <c r="A1318" s="12" t="s">
        <v>7877</v>
      </c>
      <c r="B1318" s="12" t="s">
        <v>7878</v>
      </c>
      <c r="C1318" s="19" t="s">
        <v>36</v>
      </c>
      <c r="D1318" s="19" t="s">
        <v>36</v>
      </c>
      <c r="E1318" s="19" t="s">
        <v>36</v>
      </c>
      <c r="F1318" s="19" t="s">
        <v>36</v>
      </c>
      <c r="G1318" s="15" t="s">
        <v>683</v>
      </c>
      <c r="H1318" s="14">
        <v>297.5</v>
      </c>
      <c r="I1318" s="18">
        <v>21.62</v>
      </c>
      <c r="J1318" s="12" t="s">
        <v>521</v>
      </c>
      <c r="K1318" s="13" t="s">
        <v>36</v>
      </c>
      <c r="L1318" s="15" t="s">
        <v>36</v>
      </c>
      <c r="M1318" s="12" t="s">
        <v>36</v>
      </c>
      <c r="N1318" s="12" t="s">
        <v>36</v>
      </c>
      <c r="O1318" s="17" t="s">
        <v>36</v>
      </c>
      <c r="P1318" s="12" t="s">
        <v>36</v>
      </c>
      <c r="Q1318" s="12" t="s">
        <v>36</v>
      </c>
      <c r="R1318" s="12" t="s">
        <v>36</v>
      </c>
      <c r="S1318" s="12" t="s">
        <v>36</v>
      </c>
      <c r="T1318" s="12" t="s">
        <v>7126</v>
      </c>
      <c r="U1318" s="12" t="s">
        <v>38</v>
      </c>
      <c r="V1318" s="12" t="s">
        <v>39</v>
      </c>
      <c r="W1318" s="12" t="s">
        <v>7879</v>
      </c>
      <c r="X1318" s="16" t="s">
        <v>7880</v>
      </c>
      <c r="Y1318" s="15" t="s">
        <v>55</v>
      </c>
      <c r="Z1318" s="14">
        <v>3.67</v>
      </c>
      <c r="AA1318" s="14">
        <v>16.98</v>
      </c>
      <c r="AB1318" s="12" t="s">
        <v>56</v>
      </c>
      <c r="AC1318" s="12" t="s">
        <v>7881</v>
      </c>
      <c r="AD1318" s="13">
        <v>45036</v>
      </c>
      <c r="AE1318" s="12" t="s">
        <v>110</v>
      </c>
      <c r="AF1318" s="12" t="s">
        <v>1115</v>
      </c>
      <c r="AG1318" s="12" t="s">
        <v>7882</v>
      </c>
      <c r="AH1318" s="1">
        <f>HYPERLINK("https://my.pitchbook.com?c=243471-61T","View Company Online")</f>
      </c>
    </row>
    <row r="1319">
      <c r="A1319" s="3" t="s">
        <v>7883</v>
      </c>
      <c r="B1319" s="3" t="s">
        <v>7884</v>
      </c>
      <c r="C1319" s="5" t="s">
        <v>36</v>
      </c>
      <c r="D1319" s="5" t="s">
        <v>36</v>
      </c>
      <c r="E1319" s="5" t="s">
        <v>36</v>
      </c>
      <c r="F1319" s="5" t="s">
        <v>36</v>
      </c>
      <c r="G1319" s="6" t="s">
        <v>326</v>
      </c>
      <c r="H1319" s="4">
        <v>37.47</v>
      </c>
      <c r="I1319" s="7">
        <v>28.18</v>
      </c>
      <c r="J1319" s="3" t="s">
        <v>521</v>
      </c>
      <c r="K1319" s="9" t="s">
        <v>36</v>
      </c>
      <c r="L1319" s="6" t="s">
        <v>1279</v>
      </c>
      <c r="M1319" s="3" t="s">
        <v>36</v>
      </c>
      <c r="N1319" s="3" t="s">
        <v>1279</v>
      </c>
      <c r="O1319" s="8" t="s">
        <v>36</v>
      </c>
      <c r="P1319" s="3" t="s">
        <v>36</v>
      </c>
      <c r="Q1319" s="3" t="s">
        <v>36</v>
      </c>
      <c r="R1319" s="3" t="s">
        <v>36</v>
      </c>
      <c r="S1319" s="3" t="s">
        <v>36</v>
      </c>
      <c r="T1319" s="3" t="s">
        <v>37</v>
      </c>
      <c r="U1319" s="3" t="s">
        <v>38</v>
      </c>
      <c r="V1319" s="3" t="s">
        <v>39</v>
      </c>
      <c r="W1319" s="3" t="s">
        <v>7885</v>
      </c>
      <c r="X1319" s="10" t="s">
        <v>7886</v>
      </c>
      <c r="Y1319" s="6" t="s">
        <v>166</v>
      </c>
      <c r="Z1319" s="4">
        <v>40.35</v>
      </c>
      <c r="AA1319" s="4">
        <v>112.22</v>
      </c>
      <c r="AB1319" s="3" t="s">
        <v>56</v>
      </c>
      <c r="AC1319" s="3" t="s">
        <v>7887</v>
      </c>
      <c r="AD1319" s="9">
        <v>45036</v>
      </c>
      <c r="AE1319" s="3" t="s">
        <v>45</v>
      </c>
      <c r="AF1319" s="3" t="s">
        <v>331</v>
      </c>
      <c r="AG1319" s="3" t="s">
        <v>81</v>
      </c>
      <c r="AH1319" s="11">
        <f>HYPERLINK("https://my.pitchbook.com?c=219671-74T","View Company Online")</f>
      </c>
    </row>
    <row r="1320">
      <c r="A1320" s="12" t="s">
        <v>7888</v>
      </c>
      <c r="B1320" s="12" t="s">
        <v>7889</v>
      </c>
      <c r="C1320" s="19" t="s">
        <v>36</v>
      </c>
      <c r="D1320" s="19" t="s">
        <v>36</v>
      </c>
      <c r="E1320" s="19" t="s">
        <v>36</v>
      </c>
      <c r="F1320" s="19" t="s">
        <v>36</v>
      </c>
      <c r="G1320" s="15" t="s">
        <v>2497</v>
      </c>
      <c r="H1320" s="14">
        <v>29.9</v>
      </c>
      <c r="I1320" s="18">
        <v>64.97</v>
      </c>
      <c r="J1320" s="12" t="s">
        <v>521</v>
      </c>
      <c r="K1320" s="13" t="s">
        <v>36</v>
      </c>
      <c r="L1320" s="15" t="s">
        <v>122</v>
      </c>
      <c r="M1320" s="12" t="s">
        <v>36</v>
      </c>
      <c r="N1320" s="12" t="s">
        <v>122</v>
      </c>
      <c r="O1320" s="17" t="s">
        <v>36</v>
      </c>
      <c r="P1320" s="12" t="s">
        <v>36</v>
      </c>
      <c r="Q1320" s="12" t="s">
        <v>36</v>
      </c>
      <c r="R1320" s="12" t="s">
        <v>36</v>
      </c>
      <c r="S1320" s="12" t="s">
        <v>36</v>
      </c>
      <c r="T1320" s="12" t="s">
        <v>7890</v>
      </c>
      <c r="U1320" s="12" t="s">
        <v>38</v>
      </c>
      <c r="V1320" s="12" t="s">
        <v>39</v>
      </c>
      <c r="W1320" s="12" t="s">
        <v>7891</v>
      </c>
      <c r="X1320" s="16" t="s">
        <v>3038</v>
      </c>
      <c r="Y1320" s="15" t="s">
        <v>55</v>
      </c>
      <c r="Z1320" s="14">
        <v>4.87</v>
      </c>
      <c r="AA1320" s="14">
        <v>7.5</v>
      </c>
      <c r="AB1320" s="12" t="s">
        <v>56</v>
      </c>
      <c r="AC1320" s="12" t="s">
        <v>7892</v>
      </c>
      <c r="AD1320" s="13">
        <v>45036</v>
      </c>
      <c r="AE1320" s="12" t="s">
        <v>45</v>
      </c>
      <c r="AF1320" s="12" t="s">
        <v>7893</v>
      </c>
      <c r="AG1320" s="12" t="s">
        <v>899</v>
      </c>
      <c r="AH1320" s="1">
        <f>HYPERLINK("https://my.pitchbook.com?c=211088-62T","View Company Online")</f>
      </c>
    </row>
    <row r="1321">
      <c r="A1321" s="3" t="s">
        <v>7894</v>
      </c>
      <c r="B1321" s="3" t="s">
        <v>7895</v>
      </c>
      <c r="C1321" s="5">
        <v>4</v>
      </c>
      <c r="D1321" s="5">
        <v>2</v>
      </c>
      <c r="E1321" s="5">
        <v>4</v>
      </c>
      <c r="F1321" s="5">
        <v>6</v>
      </c>
      <c r="G1321" s="6" t="s">
        <v>36</v>
      </c>
      <c r="H1321" s="4" t="s">
        <v>36</v>
      </c>
      <c r="I1321" s="7" t="s">
        <v>36</v>
      </c>
      <c r="J1321" s="3" t="s">
        <v>36</v>
      </c>
      <c r="K1321" s="9">
        <v>45030</v>
      </c>
      <c r="L1321" s="6" t="s">
        <v>36</v>
      </c>
      <c r="M1321" s="3" t="s">
        <v>36</v>
      </c>
      <c r="N1321" s="3" t="s">
        <v>36</v>
      </c>
      <c r="O1321" s="8" t="s">
        <v>36</v>
      </c>
      <c r="P1321" s="3" t="s">
        <v>36</v>
      </c>
      <c r="Q1321" s="3" t="s">
        <v>36</v>
      </c>
      <c r="R1321" s="3" t="s">
        <v>36</v>
      </c>
      <c r="S1321" s="3" t="s">
        <v>36</v>
      </c>
      <c r="T1321" s="3" t="s">
        <v>189</v>
      </c>
      <c r="U1321" s="3" t="s">
        <v>180</v>
      </c>
      <c r="V1321" s="3" t="s">
        <v>52</v>
      </c>
      <c r="W1321" s="3" t="s">
        <v>7896</v>
      </c>
      <c r="X1321" s="10" t="s">
        <v>7897</v>
      </c>
      <c r="Y1321" s="6" t="s">
        <v>108</v>
      </c>
      <c r="Z1321" s="4">
        <v>10.91</v>
      </c>
      <c r="AA1321" s="4" t="s">
        <v>36</v>
      </c>
      <c r="AB1321" s="3" t="s">
        <v>56</v>
      </c>
      <c r="AC1321" s="3" t="s">
        <v>7898</v>
      </c>
      <c r="AD1321" s="9">
        <v>45036</v>
      </c>
      <c r="AE1321" s="3" t="s">
        <v>184</v>
      </c>
      <c r="AF1321" s="3" t="s">
        <v>261</v>
      </c>
      <c r="AG1321" s="3" t="s">
        <v>3733</v>
      </c>
      <c r="AH1321" s="11">
        <f>HYPERLINK("https://my.pitchbook.com?c=220890-43T","View Company Online")</f>
      </c>
    </row>
    <row r="1322">
      <c r="A1322" s="12" t="s">
        <v>7899</v>
      </c>
      <c r="B1322" s="12" t="s">
        <v>7900</v>
      </c>
      <c r="C1322" s="19" t="s">
        <v>36</v>
      </c>
      <c r="D1322" s="19" t="s">
        <v>36</v>
      </c>
      <c r="E1322" s="19" t="s">
        <v>36</v>
      </c>
      <c r="F1322" s="19" t="s">
        <v>36</v>
      </c>
      <c r="G1322" s="15" t="s">
        <v>36</v>
      </c>
      <c r="H1322" s="14" t="s">
        <v>36</v>
      </c>
      <c r="I1322" s="18">
        <v>28.98</v>
      </c>
      <c r="J1322" s="12" t="s">
        <v>327</v>
      </c>
      <c r="K1322" s="13" t="s">
        <v>36</v>
      </c>
      <c r="L1322" s="15" t="s">
        <v>36</v>
      </c>
      <c r="M1322" s="12" t="s">
        <v>36</v>
      </c>
      <c r="N1322" s="12" t="s">
        <v>36</v>
      </c>
      <c r="O1322" s="17" t="s">
        <v>36</v>
      </c>
      <c r="P1322" s="12" t="s">
        <v>36</v>
      </c>
      <c r="Q1322" s="12" t="s">
        <v>36</v>
      </c>
      <c r="R1322" s="12" t="s">
        <v>36</v>
      </c>
      <c r="S1322" s="12" t="s">
        <v>36</v>
      </c>
      <c r="T1322" s="12" t="s">
        <v>7901</v>
      </c>
      <c r="U1322" s="12" t="s">
        <v>38</v>
      </c>
      <c r="V1322" s="12" t="s">
        <v>39</v>
      </c>
      <c r="W1322" s="12" t="s">
        <v>7902</v>
      </c>
      <c r="X1322" s="16" t="s">
        <v>7903</v>
      </c>
      <c r="Y1322" s="15" t="s">
        <v>42</v>
      </c>
      <c r="Z1322" s="14">
        <v>3.4</v>
      </c>
      <c r="AA1322" s="14">
        <v>11.73</v>
      </c>
      <c r="AB1322" s="12" t="s">
        <v>43</v>
      </c>
      <c r="AC1322" s="12" t="s">
        <v>7904</v>
      </c>
      <c r="AD1322" s="13">
        <v>45036</v>
      </c>
      <c r="AE1322" s="12" t="s">
        <v>134</v>
      </c>
      <c r="AF1322" s="12" t="s">
        <v>176</v>
      </c>
      <c r="AG1322" s="12" t="s">
        <v>81</v>
      </c>
      <c r="AH1322" s="1">
        <f>HYPERLINK("https://my.pitchbook.com?c=220846-42T","View Company Online")</f>
      </c>
    </row>
    <row r="1323">
      <c r="A1323" s="3" t="s">
        <v>7905</v>
      </c>
      <c r="B1323" s="3" t="s">
        <v>7906</v>
      </c>
      <c r="C1323" s="5" t="s">
        <v>36</v>
      </c>
      <c r="D1323" s="5" t="s">
        <v>36</v>
      </c>
      <c r="E1323" s="5" t="s">
        <v>36</v>
      </c>
      <c r="F1323" s="5" t="s">
        <v>36</v>
      </c>
      <c r="G1323" s="6" t="s">
        <v>36</v>
      </c>
      <c r="H1323" s="4">
        <v>1.49</v>
      </c>
      <c r="I1323" s="7">
        <v>28.25</v>
      </c>
      <c r="J1323" s="3" t="s">
        <v>521</v>
      </c>
      <c r="K1323" s="9" t="s">
        <v>36</v>
      </c>
      <c r="L1323" s="6" t="s">
        <v>36</v>
      </c>
      <c r="M1323" s="3" t="s">
        <v>36</v>
      </c>
      <c r="N1323" s="3" t="s">
        <v>36</v>
      </c>
      <c r="O1323" s="8" t="s">
        <v>36</v>
      </c>
      <c r="P1323" s="3" t="s">
        <v>36</v>
      </c>
      <c r="Q1323" s="3" t="s">
        <v>36</v>
      </c>
      <c r="R1323" s="3" t="s">
        <v>36</v>
      </c>
      <c r="S1323" s="3" t="s">
        <v>36</v>
      </c>
      <c r="T1323" s="3" t="s">
        <v>4917</v>
      </c>
      <c r="U1323" s="3" t="s">
        <v>38</v>
      </c>
      <c r="V1323" s="3" t="s">
        <v>39</v>
      </c>
      <c r="W1323" s="3" t="s">
        <v>7907</v>
      </c>
      <c r="X1323" s="10" t="s">
        <v>7908</v>
      </c>
      <c r="Y1323" s="6" t="s">
        <v>42</v>
      </c>
      <c r="Z1323" s="4">
        <v>1.64</v>
      </c>
      <c r="AA1323" s="4">
        <v>4.65</v>
      </c>
      <c r="AB1323" s="3" t="s">
        <v>56</v>
      </c>
      <c r="AC1323" s="3" t="s">
        <v>7909</v>
      </c>
      <c r="AD1323" s="9">
        <v>45036</v>
      </c>
      <c r="AE1323" s="3" t="s">
        <v>134</v>
      </c>
      <c r="AF1323" s="3" t="s">
        <v>135</v>
      </c>
      <c r="AG1323" s="3" t="s">
        <v>81</v>
      </c>
      <c r="AH1323" s="11">
        <f>HYPERLINK("https://my.pitchbook.com?c=220175-65T","View Company Online")</f>
      </c>
    </row>
    <row r="1324">
      <c r="A1324" s="12" t="s">
        <v>7910</v>
      </c>
      <c r="B1324" s="12" t="s">
        <v>794</v>
      </c>
      <c r="C1324" s="19" t="s">
        <v>36</v>
      </c>
      <c r="D1324" s="19" t="s">
        <v>36</v>
      </c>
      <c r="E1324" s="19" t="s">
        <v>36</v>
      </c>
      <c r="F1324" s="19" t="s">
        <v>36</v>
      </c>
      <c r="G1324" s="15" t="s">
        <v>36</v>
      </c>
      <c r="H1324" s="14" t="s">
        <v>36</v>
      </c>
      <c r="I1324" s="18" t="s">
        <v>36</v>
      </c>
      <c r="J1324" s="12" t="s">
        <v>36</v>
      </c>
      <c r="K1324" s="13" t="s">
        <v>36</v>
      </c>
      <c r="L1324" s="15" t="s">
        <v>36</v>
      </c>
      <c r="M1324" s="12" t="s">
        <v>36</v>
      </c>
      <c r="N1324" s="12" t="s">
        <v>36</v>
      </c>
      <c r="O1324" s="17" t="s">
        <v>36</v>
      </c>
      <c r="P1324" s="12" t="s">
        <v>36</v>
      </c>
      <c r="Q1324" s="12" t="s">
        <v>36</v>
      </c>
      <c r="R1324" s="12" t="s">
        <v>36</v>
      </c>
      <c r="S1324" s="12" t="s">
        <v>36</v>
      </c>
      <c r="T1324" s="12" t="s">
        <v>795</v>
      </c>
      <c r="U1324" s="12" t="s">
        <v>38</v>
      </c>
      <c r="V1324" s="12" t="s">
        <v>39</v>
      </c>
      <c r="W1324" s="12" t="s">
        <v>796</v>
      </c>
      <c r="X1324" s="16" t="s">
        <v>7911</v>
      </c>
      <c r="Y1324" s="15" t="s">
        <v>55</v>
      </c>
      <c r="Z1324" s="14">
        <v>2.18</v>
      </c>
      <c r="AA1324" s="14" t="s">
        <v>36</v>
      </c>
      <c r="AB1324" s="12" t="s">
        <v>43</v>
      </c>
      <c r="AC1324" s="12" t="s">
        <v>798</v>
      </c>
      <c r="AD1324" s="13">
        <v>45035</v>
      </c>
      <c r="AE1324" s="12" t="s">
        <v>45</v>
      </c>
      <c r="AF1324" s="12" t="s">
        <v>799</v>
      </c>
      <c r="AG1324" s="12" t="s">
        <v>800</v>
      </c>
      <c r="AH1324" s="1">
        <f>HYPERLINK("https://my.pitchbook.com?c=220721-23T","View Company Online")</f>
      </c>
    </row>
    <row r="1325">
      <c r="A1325" s="3" t="s">
        <v>7912</v>
      </c>
      <c r="B1325" s="3" t="s">
        <v>7913</v>
      </c>
      <c r="C1325" s="5" t="s">
        <v>36</v>
      </c>
      <c r="D1325" s="5" t="s">
        <v>36</v>
      </c>
      <c r="E1325" s="5" t="s">
        <v>36</v>
      </c>
      <c r="F1325" s="5" t="s">
        <v>36</v>
      </c>
      <c r="G1325" s="6" t="s">
        <v>326</v>
      </c>
      <c r="H1325" s="4">
        <v>202.5</v>
      </c>
      <c r="I1325" s="7">
        <v>37.06</v>
      </c>
      <c r="J1325" s="3" t="s">
        <v>521</v>
      </c>
      <c r="K1325" s="9">
        <v>44994</v>
      </c>
      <c r="L1325" s="6" t="s">
        <v>122</v>
      </c>
      <c r="M1325" s="3" t="s">
        <v>36</v>
      </c>
      <c r="N1325" s="3" t="s">
        <v>122</v>
      </c>
      <c r="O1325" s="8" t="s">
        <v>36</v>
      </c>
      <c r="P1325" s="3" t="s">
        <v>36</v>
      </c>
      <c r="Q1325" s="3" t="s">
        <v>36</v>
      </c>
      <c r="R1325" s="3" t="s">
        <v>36</v>
      </c>
      <c r="S1325" s="3" t="s">
        <v>36</v>
      </c>
      <c r="T1325" s="3" t="s">
        <v>522</v>
      </c>
      <c r="U1325" s="3" t="s">
        <v>38</v>
      </c>
      <c r="V1325" s="3" t="s">
        <v>39</v>
      </c>
      <c r="W1325" s="3" t="s">
        <v>7914</v>
      </c>
      <c r="X1325" s="10" t="s">
        <v>7915</v>
      </c>
      <c r="Y1325" s="6" t="s">
        <v>55</v>
      </c>
      <c r="Z1325" s="4">
        <v>7.63</v>
      </c>
      <c r="AA1325" s="4">
        <v>14.31</v>
      </c>
      <c r="AB1325" s="3" t="s">
        <v>56</v>
      </c>
      <c r="AC1325" s="3" t="s">
        <v>7916</v>
      </c>
      <c r="AD1325" s="9">
        <v>45035</v>
      </c>
      <c r="AE1325" s="3" t="s">
        <v>110</v>
      </c>
      <c r="AF1325" s="3" t="s">
        <v>526</v>
      </c>
      <c r="AG1325" s="3" t="s">
        <v>81</v>
      </c>
      <c r="AH1325" s="11">
        <f>HYPERLINK("https://my.pitchbook.com?c=220722-04T","View Company Online")</f>
      </c>
    </row>
    <row r="1326">
      <c r="A1326" s="12" t="s">
        <v>7917</v>
      </c>
      <c r="B1326" s="12" t="s">
        <v>7918</v>
      </c>
      <c r="C1326" s="19" t="s">
        <v>36</v>
      </c>
      <c r="D1326" s="19" t="s">
        <v>36</v>
      </c>
      <c r="E1326" s="19" t="s">
        <v>36</v>
      </c>
      <c r="F1326" s="19" t="s">
        <v>36</v>
      </c>
      <c r="G1326" s="15" t="s">
        <v>326</v>
      </c>
      <c r="H1326" s="14">
        <v>175.92</v>
      </c>
      <c r="I1326" s="18">
        <v>15.65</v>
      </c>
      <c r="J1326" s="12" t="s">
        <v>521</v>
      </c>
      <c r="K1326" s="13" t="s">
        <v>36</v>
      </c>
      <c r="L1326" s="15" t="s">
        <v>36</v>
      </c>
      <c r="M1326" s="12" t="s">
        <v>36</v>
      </c>
      <c r="N1326" s="12" t="s">
        <v>36</v>
      </c>
      <c r="O1326" s="17" t="s">
        <v>36</v>
      </c>
      <c r="P1326" s="12" t="s">
        <v>36</v>
      </c>
      <c r="Q1326" s="12" t="s">
        <v>36</v>
      </c>
      <c r="R1326" s="12" t="s">
        <v>36</v>
      </c>
      <c r="S1326" s="12" t="s">
        <v>36</v>
      </c>
      <c r="T1326" s="12" t="s">
        <v>7919</v>
      </c>
      <c r="U1326" s="12" t="s">
        <v>63</v>
      </c>
      <c r="V1326" s="12" t="s">
        <v>64</v>
      </c>
      <c r="W1326" s="12" t="s">
        <v>7920</v>
      </c>
      <c r="X1326" s="16" t="s">
        <v>2178</v>
      </c>
      <c r="Y1326" s="15" t="s">
        <v>42</v>
      </c>
      <c r="Z1326" s="14">
        <v>0.47</v>
      </c>
      <c r="AA1326" s="14">
        <v>3</v>
      </c>
      <c r="AB1326" s="12" t="s">
        <v>43</v>
      </c>
      <c r="AC1326" s="12" t="s">
        <v>7921</v>
      </c>
      <c r="AD1326" s="13">
        <v>45035</v>
      </c>
      <c r="AE1326" s="12" t="s">
        <v>4310</v>
      </c>
      <c r="AF1326" s="12" t="s">
        <v>7922</v>
      </c>
      <c r="AG1326" s="12" t="s">
        <v>7923</v>
      </c>
      <c r="AH1326" s="1">
        <f>HYPERLINK("https://my.pitchbook.com?c=220277-98T","View Company Online")</f>
      </c>
    </row>
    <row r="1327">
      <c r="A1327" s="3" t="s">
        <v>7924</v>
      </c>
      <c r="B1327" s="3" t="s">
        <v>7925</v>
      </c>
      <c r="C1327" s="5" t="s">
        <v>36</v>
      </c>
      <c r="D1327" s="5" t="s">
        <v>36</v>
      </c>
      <c r="E1327" s="5" t="s">
        <v>36</v>
      </c>
      <c r="F1327" s="5" t="s">
        <v>36</v>
      </c>
      <c r="G1327" s="6" t="s">
        <v>326</v>
      </c>
      <c r="H1327" s="4">
        <v>299.33</v>
      </c>
      <c r="I1327" s="7">
        <v>13.47</v>
      </c>
      <c r="J1327" s="3" t="s">
        <v>521</v>
      </c>
      <c r="K1327" s="9">
        <v>44979</v>
      </c>
      <c r="L1327" s="6" t="s">
        <v>36</v>
      </c>
      <c r="M1327" s="3" t="s">
        <v>36</v>
      </c>
      <c r="N1327" s="3" t="s">
        <v>36</v>
      </c>
      <c r="O1327" s="8" t="s">
        <v>36</v>
      </c>
      <c r="P1327" s="3" t="s">
        <v>36</v>
      </c>
      <c r="Q1327" s="3" t="s">
        <v>36</v>
      </c>
      <c r="R1327" s="3" t="s">
        <v>36</v>
      </c>
      <c r="S1327" s="3" t="s">
        <v>36</v>
      </c>
      <c r="T1327" s="3" t="s">
        <v>105</v>
      </c>
      <c r="U1327" s="3" t="s">
        <v>38</v>
      </c>
      <c r="V1327" s="3" t="s">
        <v>39</v>
      </c>
      <c r="W1327" s="3" t="s">
        <v>7926</v>
      </c>
      <c r="X1327" s="10" t="s">
        <v>4642</v>
      </c>
      <c r="Y1327" s="6" t="s">
        <v>55</v>
      </c>
      <c r="Z1327" s="4">
        <v>0.65</v>
      </c>
      <c r="AA1327" s="4">
        <v>4.83</v>
      </c>
      <c r="AB1327" s="3" t="s">
        <v>43</v>
      </c>
      <c r="AC1327" s="3" t="s">
        <v>7927</v>
      </c>
      <c r="AD1327" s="9">
        <v>45035</v>
      </c>
      <c r="AE1327" s="3" t="s">
        <v>110</v>
      </c>
      <c r="AF1327" s="3" t="s">
        <v>176</v>
      </c>
      <c r="AG1327" s="3" t="s">
        <v>186</v>
      </c>
      <c r="AH1327" s="11">
        <f>HYPERLINK("https://my.pitchbook.com?c=222860-26T","View Company Online")</f>
      </c>
    </row>
    <row r="1328">
      <c r="A1328" s="12" t="s">
        <v>7928</v>
      </c>
      <c r="B1328" s="12" t="s">
        <v>7929</v>
      </c>
      <c r="C1328" s="19" t="s">
        <v>36</v>
      </c>
      <c r="D1328" s="19" t="s">
        <v>36</v>
      </c>
      <c r="E1328" s="19" t="s">
        <v>36</v>
      </c>
      <c r="F1328" s="19" t="s">
        <v>36</v>
      </c>
      <c r="G1328" s="15" t="s">
        <v>36</v>
      </c>
      <c r="H1328" s="14" t="s">
        <v>36</v>
      </c>
      <c r="I1328" s="18" t="s">
        <v>36</v>
      </c>
      <c r="J1328" s="12" t="s">
        <v>36</v>
      </c>
      <c r="K1328" s="13" t="s">
        <v>36</v>
      </c>
      <c r="L1328" s="15" t="s">
        <v>36</v>
      </c>
      <c r="M1328" s="12" t="s">
        <v>36</v>
      </c>
      <c r="N1328" s="12" t="s">
        <v>36</v>
      </c>
      <c r="O1328" s="17" t="s">
        <v>36</v>
      </c>
      <c r="P1328" s="12" t="s">
        <v>36</v>
      </c>
      <c r="Q1328" s="12" t="s">
        <v>36</v>
      </c>
      <c r="R1328" s="12" t="s">
        <v>36</v>
      </c>
      <c r="S1328" s="12" t="s">
        <v>36</v>
      </c>
      <c r="T1328" s="12" t="s">
        <v>7930</v>
      </c>
      <c r="U1328" s="12" t="s">
        <v>455</v>
      </c>
      <c r="V1328" s="12" t="s">
        <v>367</v>
      </c>
      <c r="W1328" s="12" t="s">
        <v>7931</v>
      </c>
      <c r="X1328" s="16" t="s">
        <v>7932</v>
      </c>
      <c r="Y1328" s="15" t="s">
        <v>55</v>
      </c>
      <c r="Z1328" s="14">
        <v>11.99</v>
      </c>
      <c r="AA1328" s="14" t="s">
        <v>36</v>
      </c>
      <c r="AB1328" s="12" t="s">
        <v>56</v>
      </c>
      <c r="AC1328" s="12" t="s">
        <v>7933</v>
      </c>
      <c r="AD1328" s="13">
        <v>45035</v>
      </c>
      <c r="AE1328" s="12" t="s">
        <v>7934</v>
      </c>
      <c r="AF1328" s="12" t="s">
        <v>36</v>
      </c>
      <c r="AG1328" s="12" t="s">
        <v>81</v>
      </c>
      <c r="AH1328" s="1">
        <f>HYPERLINK("https://my.pitchbook.com?c=220775-32T","View Company Online")</f>
      </c>
    </row>
    <row r="1329">
      <c r="A1329" s="3" t="s">
        <v>7935</v>
      </c>
      <c r="B1329" s="3" t="s">
        <v>7936</v>
      </c>
      <c r="C1329" s="5" t="s">
        <v>36</v>
      </c>
      <c r="D1329" s="5" t="s">
        <v>36</v>
      </c>
      <c r="E1329" s="5" t="s">
        <v>36</v>
      </c>
      <c r="F1329" s="5" t="s">
        <v>36</v>
      </c>
      <c r="G1329" s="6" t="s">
        <v>2497</v>
      </c>
      <c r="H1329" s="4">
        <v>47.77</v>
      </c>
      <c r="I1329" s="7">
        <v>42.72</v>
      </c>
      <c r="J1329" s="3" t="s">
        <v>521</v>
      </c>
      <c r="K1329" s="9" t="s">
        <v>36</v>
      </c>
      <c r="L1329" s="6" t="s">
        <v>94</v>
      </c>
      <c r="M1329" s="3" t="s">
        <v>36</v>
      </c>
      <c r="N1329" s="3" t="s">
        <v>94</v>
      </c>
      <c r="O1329" s="8" t="s">
        <v>36</v>
      </c>
      <c r="P1329" s="3" t="s">
        <v>36</v>
      </c>
      <c r="Q1329" s="3" t="s">
        <v>36</v>
      </c>
      <c r="R1329" s="3" t="s">
        <v>36</v>
      </c>
      <c r="S1329" s="3" t="s">
        <v>36</v>
      </c>
      <c r="T1329" s="3" t="s">
        <v>2151</v>
      </c>
      <c r="U1329" s="3" t="s">
        <v>728</v>
      </c>
      <c r="V1329" s="3" t="s">
        <v>64</v>
      </c>
      <c r="W1329" s="3" t="s">
        <v>7937</v>
      </c>
      <c r="X1329" s="10" t="s">
        <v>7938</v>
      </c>
      <c r="Y1329" s="6" t="s">
        <v>55</v>
      </c>
      <c r="Z1329" s="4">
        <v>0.82</v>
      </c>
      <c r="AA1329" s="4">
        <v>1.92</v>
      </c>
      <c r="AB1329" s="3" t="s">
        <v>56</v>
      </c>
      <c r="AC1329" s="3" t="s">
        <v>7939</v>
      </c>
      <c r="AD1329" s="9">
        <v>45034</v>
      </c>
      <c r="AE1329" s="3" t="s">
        <v>2154</v>
      </c>
      <c r="AF1329" s="3" t="s">
        <v>733</v>
      </c>
      <c r="AG1329" s="3" t="s">
        <v>81</v>
      </c>
      <c r="AH1329" s="11">
        <f>HYPERLINK("https://my.pitchbook.com?c=61743-07T","View Company Online")</f>
      </c>
    </row>
    <row r="1330">
      <c r="A1330" s="12" t="s">
        <v>7940</v>
      </c>
      <c r="B1330" s="12" t="s">
        <v>7941</v>
      </c>
      <c r="C1330" s="19" t="s">
        <v>36</v>
      </c>
      <c r="D1330" s="19" t="s">
        <v>36</v>
      </c>
      <c r="E1330" s="19" t="s">
        <v>36</v>
      </c>
      <c r="F1330" s="19" t="s">
        <v>36</v>
      </c>
      <c r="G1330" s="15" t="s">
        <v>36</v>
      </c>
      <c r="H1330" s="14">
        <v>0.22</v>
      </c>
      <c r="I1330" s="18" t="s">
        <v>36</v>
      </c>
      <c r="J1330" s="12" t="s">
        <v>36</v>
      </c>
      <c r="K1330" s="13">
        <v>44995</v>
      </c>
      <c r="L1330" s="15" t="s">
        <v>36</v>
      </c>
      <c r="M1330" s="12" t="s">
        <v>36</v>
      </c>
      <c r="N1330" s="12" t="s">
        <v>36</v>
      </c>
      <c r="O1330" s="17" t="s">
        <v>36</v>
      </c>
      <c r="P1330" s="12" t="s">
        <v>36</v>
      </c>
      <c r="Q1330" s="12" t="s">
        <v>36</v>
      </c>
      <c r="R1330" s="12" t="s">
        <v>36</v>
      </c>
      <c r="S1330" s="12" t="s">
        <v>36</v>
      </c>
      <c r="T1330" s="12" t="s">
        <v>1048</v>
      </c>
      <c r="U1330" s="12" t="s">
        <v>423</v>
      </c>
      <c r="V1330" s="12" t="s">
        <v>64</v>
      </c>
      <c r="W1330" s="12" t="s">
        <v>7942</v>
      </c>
      <c r="X1330" s="16" t="s">
        <v>7943</v>
      </c>
      <c r="Y1330" s="15" t="s">
        <v>192</v>
      </c>
      <c r="Z1330" s="14">
        <v>1.85</v>
      </c>
      <c r="AA1330" s="14" t="s">
        <v>36</v>
      </c>
      <c r="AB1330" s="12" t="s">
        <v>56</v>
      </c>
      <c r="AC1330" s="12" t="s">
        <v>7944</v>
      </c>
      <c r="AD1330" s="13">
        <v>45034</v>
      </c>
      <c r="AE1330" s="12" t="s">
        <v>1051</v>
      </c>
      <c r="AF1330" s="12" t="s">
        <v>6718</v>
      </c>
      <c r="AG1330" s="12" t="s">
        <v>899</v>
      </c>
      <c r="AH1330" s="1">
        <f>HYPERLINK("https://my.pitchbook.com?c=223180-75T","View Company Online")</f>
      </c>
    </row>
    <row r="1331">
      <c r="A1331" s="3" t="s">
        <v>7945</v>
      </c>
      <c r="B1331" s="3" t="s">
        <v>7946</v>
      </c>
      <c r="C1331" s="5" t="s">
        <v>36</v>
      </c>
      <c r="D1331" s="5" t="s">
        <v>36</v>
      </c>
      <c r="E1331" s="5" t="s">
        <v>36</v>
      </c>
      <c r="F1331" s="5" t="s">
        <v>36</v>
      </c>
      <c r="G1331" s="6" t="s">
        <v>326</v>
      </c>
      <c r="H1331" s="4">
        <v>142.08</v>
      </c>
      <c r="I1331" s="7">
        <v>31.29</v>
      </c>
      <c r="J1331" s="3" t="s">
        <v>521</v>
      </c>
      <c r="K1331" s="9">
        <v>44957</v>
      </c>
      <c r="L1331" s="6" t="s">
        <v>122</v>
      </c>
      <c r="M1331" s="3" t="s">
        <v>36</v>
      </c>
      <c r="N1331" s="3" t="s">
        <v>122</v>
      </c>
      <c r="O1331" s="8" t="s">
        <v>36</v>
      </c>
      <c r="P1331" s="3" t="s">
        <v>36</v>
      </c>
      <c r="Q1331" s="3" t="s">
        <v>36</v>
      </c>
      <c r="R1331" s="3" t="s">
        <v>36</v>
      </c>
      <c r="S1331" s="3" t="s">
        <v>36</v>
      </c>
      <c r="T1331" s="3" t="s">
        <v>189</v>
      </c>
      <c r="U1331" s="3" t="s">
        <v>180</v>
      </c>
      <c r="V1331" s="3" t="s">
        <v>52</v>
      </c>
      <c r="W1331" s="3" t="s">
        <v>7947</v>
      </c>
      <c r="X1331" s="10" t="s">
        <v>7948</v>
      </c>
      <c r="Y1331" s="6" t="s">
        <v>108</v>
      </c>
      <c r="Z1331" s="4">
        <v>13.07</v>
      </c>
      <c r="AA1331" s="4">
        <v>28.52</v>
      </c>
      <c r="AB1331" s="3" t="s">
        <v>43</v>
      </c>
      <c r="AC1331" s="3" t="s">
        <v>7949</v>
      </c>
      <c r="AD1331" s="9">
        <v>45034</v>
      </c>
      <c r="AE1331" s="3" t="s">
        <v>184</v>
      </c>
      <c r="AF1331" s="3" t="s">
        <v>4284</v>
      </c>
      <c r="AG1331" s="3" t="s">
        <v>7950</v>
      </c>
      <c r="AH1331" s="11">
        <f>HYPERLINK("https://my.pitchbook.com?c=220615-30T","View Company Online")</f>
      </c>
    </row>
    <row r="1332">
      <c r="A1332" s="12" t="s">
        <v>7951</v>
      </c>
      <c r="B1332" s="12" t="s">
        <v>7952</v>
      </c>
      <c r="C1332" s="19" t="s">
        <v>36</v>
      </c>
      <c r="D1332" s="19" t="s">
        <v>36</v>
      </c>
      <c r="E1332" s="19" t="s">
        <v>36</v>
      </c>
      <c r="F1332" s="19" t="s">
        <v>36</v>
      </c>
      <c r="G1332" s="15" t="s">
        <v>683</v>
      </c>
      <c r="H1332" s="14">
        <v>7.68</v>
      </c>
      <c r="I1332" s="18">
        <v>12.78</v>
      </c>
      <c r="J1332" s="12" t="s">
        <v>521</v>
      </c>
      <c r="K1332" s="13" t="s">
        <v>36</v>
      </c>
      <c r="L1332" s="15" t="s">
        <v>36</v>
      </c>
      <c r="M1332" s="12" t="s">
        <v>36</v>
      </c>
      <c r="N1332" s="12" t="s">
        <v>36</v>
      </c>
      <c r="O1332" s="17" t="s">
        <v>36</v>
      </c>
      <c r="P1332" s="12" t="s">
        <v>36</v>
      </c>
      <c r="Q1332" s="12" t="s">
        <v>36</v>
      </c>
      <c r="R1332" s="12" t="s">
        <v>36</v>
      </c>
      <c r="S1332" s="12" t="s">
        <v>36</v>
      </c>
      <c r="T1332" s="12" t="s">
        <v>7953</v>
      </c>
      <c r="U1332" s="12" t="s">
        <v>74</v>
      </c>
      <c r="V1332" s="12" t="s">
        <v>75</v>
      </c>
      <c r="W1332" s="12" t="s">
        <v>7954</v>
      </c>
      <c r="X1332" s="16" t="s">
        <v>7955</v>
      </c>
      <c r="Y1332" s="15" t="s">
        <v>166</v>
      </c>
      <c r="Z1332" s="14">
        <v>1.63</v>
      </c>
      <c r="AA1332" s="14">
        <v>12.78</v>
      </c>
      <c r="AB1332" s="12" t="s">
        <v>56</v>
      </c>
      <c r="AC1332" s="12" t="s">
        <v>7956</v>
      </c>
      <c r="AD1332" s="13">
        <v>45034</v>
      </c>
      <c r="AE1332" s="12" t="s">
        <v>7957</v>
      </c>
      <c r="AF1332" s="12" t="s">
        <v>176</v>
      </c>
      <c r="AG1332" s="12" t="s">
        <v>81</v>
      </c>
      <c r="AH1332" s="1">
        <f>HYPERLINK("https://my.pitchbook.com?c=222902-02T","View Company Online")</f>
      </c>
    </row>
    <row r="1333">
      <c r="A1333" s="3" t="s">
        <v>7958</v>
      </c>
      <c r="B1333" s="3" t="s">
        <v>7959</v>
      </c>
      <c r="C1333" s="5">
        <v>11</v>
      </c>
      <c r="D1333" s="5">
        <v>48</v>
      </c>
      <c r="E1333" s="5">
        <v>9</v>
      </c>
      <c r="F1333" s="5">
        <v>60</v>
      </c>
      <c r="G1333" s="6" t="s">
        <v>683</v>
      </c>
      <c r="H1333" s="4">
        <v>88.28</v>
      </c>
      <c r="I1333" s="7">
        <v>10.3</v>
      </c>
      <c r="J1333" s="3" t="s">
        <v>521</v>
      </c>
      <c r="K1333" s="9" t="s">
        <v>36</v>
      </c>
      <c r="L1333" s="6" t="s">
        <v>36</v>
      </c>
      <c r="M1333" s="3" t="s">
        <v>36</v>
      </c>
      <c r="N1333" s="3" t="s">
        <v>36</v>
      </c>
      <c r="O1333" s="8" t="s">
        <v>36</v>
      </c>
      <c r="P1333" s="3" t="s">
        <v>36</v>
      </c>
      <c r="Q1333" s="3" t="s">
        <v>36</v>
      </c>
      <c r="R1333" s="3" t="s">
        <v>36</v>
      </c>
      <c r="S1333" s="3" t="s">
        <v>36</v>
      </c>
      <c r="T1333" s="3" t="s">
        <v>7960</v>
      </c>
      <c r="U1333" s="3" t="s">
        <v>51</v>
      </c>
      <c r="V1333" s="3" t="s">
        <v>52</v>
      </c>
      <c r="W1333" s="3" t="s">
        <v>7961</v>
      </c>
      <c r="X1333" s="10" t="s">
        <v>7962</v>
      </c>
      <c r="Y1333" s="6" t="s">
        <v>475</v>
      </c>
      <c r="Z1333" s="4">
        <v>5.44</v>
      </c>
      <c r="AA1333" s="4">
        <v>52.84</v>
      </c>
      <c r="AB1333" s="3" t="s">
        <v>56</v>
      </c>
      <c r="AC1333" s="3" t="s">
        <v>7963</v>
      </c>
      <c r="AD1333" s="9">
        <v>45034</v>
      </c>
      <c r="AE1333" s="3" t="s">
        <v>6868</v>
      </c>
      <c r="AF1333" s="3" t="s">
        <v>159</v>
      </c>
      <c r="AG1333" s="3" t="s">
        <v>899</v>
      </c>
      <c r="AH1333" s="11">
        <f>HYPERLINK("https://my.pitchbook.com?c=222902-65T","View Company Online")</f>
      </c>
    </row>
    <row r="1334">
      <c r="A1334" s="12" t="s">
        <v>7964</v>
      </c>
      <c r="B1334" s="12" t="s">
        <v>7965</v>
      </c>
      <c r="C1334" s="19" t="s">
        <v>36</v>
      </c>
      <c r="D1334" s="19" t="s">
        <v>36</v>
      </c>
      <c r="E1334" s="19" t="s">
        <v>36</v>
      </c>
      <c r="F1334" s="19" t="s">
        <v>36</v>
      </c>
      <c r="G1334" s="15" t="s">
        <v>326</v>
      </c>
      <c r="H1334" s="14" t="s">
        <v>36</v>
      </c>
      <c r="I1334" s="18">
        <v>25.04</v>
      </c>
      <c r="J1334" s="12" t="s">
        <v>327</v>
      </c>
      <c r="K1334" s="13" t="s">
        <v>36</v>
      </c>
      <c r="L1334" s="15" t="s">
        <v>36</v>
      </c>
      <c r="M1334" s="12" t="s">
        <v>36</v>
      </c>
      <c r="N1334" s="12" t="s">
        <v>36</v>
      </c>
      <c r="O1334" s="17" t="s">
        <v>36</v>
      </c>
      <c r="P1334" s="12" t="s">
        <v>36</v>
      </c>
      <c r="Q1334" s="12" t="s">
        <v>36</v>
      </c>
      <c r="R1334" s="12" t="s">
        <v>36</v>
      </c>
      <c r="S1334" s="12" t="s">
        <v>36</v>
      </c>
      <c r="T1334" s="12" t="s">
        <v>105</v>
      </c>
      <c r="U1334" s="12" t="s">
        <v>38</v>
      </c>
      <c r="V1334" s="12" t="s">
        <v>39</v>
      </c>
      <c r="W1334" s="12" t="s">
        <v>7966</v>
      </c>
      <c r="X1334" s="16" t="s">
        <v>7967</v>
      </c>
      <c r="Y1334" s="15" t="s">
        <v>108</v>
      </c>
      <c r="Z1334" s="14">
        <v>10.88</v>
      </c>
      <c r="AA1334" s="14">
        <v>43.47</v>
      </c>
      <c r="AB1334" s="12" t="s">
        <v>56</v>
      </c>
      <c r="AC1334" s="12" t="s">
        <v>7968</v>
      </c>
      <c r="AD1334" s="13">
        <v>45033</v>
      </c>
      <c r="AE1334" s="12" t="s">
        <v>110</v>
      </c>
      <c r="AF1334" s="12" t="s">
        <v>36</v>
      </c>
      <c r="AG1334" s="12" t="s">
        <v>81</v>
      </c>
      <c r="AH1334" s="1">
        <f>HYPERLINK("https://my.pitchbook.com?c=278041-15T","View Company Online")</f>
      </c>
    </row>
    <row r="1335">
      <c r="A1335" s="3" t="s">
        <v>7969</v>
      </c>
      <c r="B1335" s="3" t="s">
        <v>7970</v>
      </c>
      <c r="C1335" s="5">
        <v>59</v>
      </c>
      <c r="D1335" s="5">
        <v>148</v>
      </c>
      <c r="E1335" s="5">
        <v>35</v>
      </c>
      <c r="F1335" s="5">
        <v>232</v>
      </c>
      <c r="G1335" s="6" t="s">
        <v>36</v>
      </c>
      <c r="H1335" s="4" t="s">
        <v>36</v>
      </c>
      <c r="I1335" s="7" t="s">
        <v>36</v>
      </c>
      <c r="J1335" s="3" t="s">
        <v>36</v>
      </c>
      <c r="K1335" s="9" t="s">
        <v>36</v>
      </c>
      <c r="L1335" s="6" t="s">
        <v>3736</v>
      </c>
      <c r="M1335" s="3" t="s">
        <v>36</v>
      </c>
      <c r="N1335" s="3" t="s">
        <v>3736</v>
      </c>
      <c r="O1335" s="8" t="s">
        <v>36</v>
      </c>
      <c r="P1335" s="3" t="s">
        <v>36</v>
      </c>
      <c r="Q1335" s="3" t="s">
        <v>36</v>
      </c>
      <c r="R1335" s="3" t="s">
        <v>36</v>
      </c>
      <c r="S1335" s="3" t="s">
        <v>2699</v>
      </c>
      <c r="T1335" s="3" t="s">
        <v>7971</v>
      </c>
      <c r="U1335" s="3" t="s">
        <v>1082</v>
      </c>
      <c r="V1335" s="3" t="s">
        <v>378</v>
      </c>
      <c r="W1335" s="3" t="s">
        <v>7972</v>
      </c>
      <c r="X1335" s="10" t="s">
        <v>7973</v>
      </c>
      <c r="Y1335" s="6" t="s">
        <v>475</v>
      </c>
      <c r="Z1335" s="4">
        <v>175</v>
      </c>
      <c r="AA1335" s="4" t="s">
        <v>36</v>
      </c>
      <c r="AB1335" s="3" t="s">
        <v>56</v>
      </c>
      <c r="AC1335" s="3" t="s">
        <v>7974</v>
      </c>
      <c r="AD1335" s="9">
        <v>45032</v>
      </c>
      <c r="AE1335" s="3" t="s">
        <v>1086</v>
      </c>
      <c r="AF1335" s="3" t="s">
        <v>7975</v>
      </c>
      <c r="AG1335" s="3" t="s">
        <v>2370</v>
      </c>
      <c r="AH1335" s="11">
        <f>HYPERLINK("https://my.pitchbook.com?c=220519-18T","View Company Online")</f>
      </c>
    </row>
    <row r="1336">
      <c r="A1336" s="12" t="s">
        <v>7976</v>
      </c>
      <c r="B1336" s="12" t="s">
        <v>7977</v>
      </c>
      <c r="C1336" s="19" t="s">
        <v>36</v>
      </c>
      <c r="D1336" s="19" t="s">
        <v>36</v>
      </c>
      <c r="E1336" s="19" t="s">
        <v>36</v>
      </c>
      <c r="F1336" s="19" t="s">
        <v>36</v>
      </c>
      <c r="G1336" s="15" t="s">
        <v>326</v>
      </c>
      <c r="H1336" s="14" t="s">
        <v>36</v>
      </c>
      <c r="I1336" s="18" t="s">
        <v>36</v>
      </c>
      <c r="J1336" s="12" t="s">
        <v>521</v>
      </c>
      <c r="K1336" s="13" t="s">
        <v>36</v>
      </c>
      <c r="L1336" s="15" t="s">
        <v>36</v>
      </c>
      <c r="M1336" s="12" t="s">
        <v>36</v>
      </c>
      <c r="N1336" s="12" t="s">
        <v>36</v>
      </c>
      <c r="O1336" s="17" t="s">
        <v>36</v>
      </c>
      <c r="P1336" s="12" t="s">
        <v>36</v>
      </c>
      <c r="Q1336" s="12" t="s">
        <v>36</v>
      </c>
      <c r="R1336" s="12" t="s">
        <v>36</v>
      </c>
      <c r="S1336" s="12" t="s">
        <v>36</v>
      </c>
      <c r="T1336" s="12" t="s">
        <v>7978</v>
      </c>
      <c r="U1336" s="12" t="s">
        <v>74</v>
      </c>
      <c r="V1336" s="12" t="s">
        <v>75</v>
      </c>
      <c r="W1336" s="12" t="s">
        <v>7979</v>
      </c>
      <c r="X1336" s="16" t="s">
        <v>7980</v>
      </c>
      <c r="Y1336" s="15" t="s">
        <v>108</v>
      </c>
      <c r="Z1336" s="14">
        <v>5.42</v>
      </c>
      <c r="AA1336" s="14">
        <v>22.17</v>
      </c>
      <c r="AB1336" s="12" t="s">
        <v>43</v>
      </c>
      <c r="AC1336" s="12" t="s">
        <v>7981</v>
      </c>
      <c r="AD1336" s="13">
        <v>45030</v>
      </c>
      <c r="AE1336" s="12" t="s">
        <v>362</v>
      </c>
      <c r="AF1336" s="12" t="s">
        <v>7982</v>
      </c>
      <c r="AG1336" s="12" t="s">
        <v>81</v>
      </c>
      <c r="AH1336" s="1">
        <f>HYPERLINK("https://my.pitchbook.com?c=223470-73T","View Company Online")</f>
      </c>
    </row>
    <row r="1337">
      <c r="A1337" s="3" t="s">
        <v>7983</v>
      </c>
      <c r="B1337" s="3" t="s">
        <v>4251</v>
      </c>
      <c r="C1337" s="5" t="s">
        <v>36</v>
      </c>
      <c r="D1337" s="5" t="s">
        <v>36</v>
      </c>
      <c r="E1337" s="5" t="s">
        <v>36</v>
      </c>
      <c r="F1337" s="5" t="s">
        <v>36</v>
      </c>
      <c r="G1337" s="6" t="s">
        <v>683</v>
      </c>
      <c r="H1337" s="4">
        <v>245.6</v>
      </c>
      <c r="I1337" s="7">
        <v>6.05</v>
      </c>
      <c r="J1337" s="3" t="s">
        <v>521</v>
      </c>
      <c r="K1337" s="9" t="s">
        <v>36</v>
      </c>
      <c r="L1337" s="6" t="s">
        <v>36</v>
      </c>
      <c r="M1337" s="3" t="s">
        <v>36</v>
      </c>
      <c r="N1337" s="3" t="s">
        <v>36</v>
      </c>
      <c r="O1337" s="8" t="s">
        <v>36</v>
      </c>
      <c r="P1337" s="3" t="s">
        <v>36</v>
      </c>
      <c r="Q1337" s="3" t="s">
        <v>36</v>
      </c>
      <c r="R1337" s="3" t="s">
        <v>36</v>
      </c>
      <c r="S1337" s="3" t="s">
        <v>36</v>
      </c>
      <c r="T1337" s="3" t="s">
        <v>4252</v>
      </c>
      <c r="U1337" s="3" t="s">
        <v>38</v>
      </c>
      <c r="V1337" s="3" t="s">
        <v>39</v>
      </c>
      <c r="W1337" s="3" t="s">
        <v>4253</v>
      </c>
      <c r="X1337" s="10" t="s">
        <v>7984</v>
      </c>
      <c r="Y1337" s="6" t="s">
        <v>166</v>
      </c>
      <c r="Z1337" s="4">
        <v>31.99</v>
      </c>
      <c r="AA1337" s="4">
        <v>528.96</v>
      </c>
      <c r="AB1337" s="3" t="s">
        <v>56</v>
      </c>
      <c r="AC1337" s="3" t="s">
        <v>4255</v>
      </c>
      <c r="AD1337" s="9">
        <v>45030</v>
      </c>
      <c r="AE1337" s="3" t="s">
        <v>45</v>
      </c>
      <c r="AF1337" s="3" t="s">
        <v>331</v>
      </c>
      <c r="AG1337" s="3" t="s">
        <v>4256</v>
      </c>
      <c r="AH1337" s="11">
        <f>HYPERLINK("https://my.pitchbook.com?c=223333-57T","View Company Online")</f>
      </c>
    </row>
    <row r="1338">
      <c r="A1338" s="12" t="s">
        <v>7985</v>
      </c>
      <c r="B1338" s="12" t="s">
        <v>7986</v>
      </c>
      <c r="C1338" s="19" t="s">
        <v>36</v>
      </c>
      <c r="D1338" s="19" t="s">
        <v>36</v>
      </c>
      <c r="E1338" s="19" t="s">
        <v>36</v>
      </c>
      <c r="F1338" s="19" t="s">
        <v>36</v>
      </c>
      <c r="G1338" s="15" t="s">
        <v>36</v>
      </c>
      <c r="H1338" s="14" t="s">
        <v>36</v>
      </c>
      <c r="I1338" s="18" t="s">
        <v>36</v>
      </c>
      <c r="J1338" s="12" t="s">
        <v>36</v>
      </c>
      <c r="K1338" s="13" t="s">
        <v>36</v>
      </c>
      <c r="L1338" s="15" t="s">
        <v>36</v>
      </c>
      <c r="M1338" s="12" t="s">
        <v>36</v>
      </c>
      <c r="N1338" s="12" t="s">
        <v>36</v>
      </c>
      <c r="O1338" s="17" t="s">
        <v>36</v>
      </c>
      <c r="P1338" s="12" t="s">
        <v>36</v>
      </c>
      <c r="Q1338" s="12" t="s">
        <v>36</v>
      </c>
      <c r="R1338" s="12" t="s">
        <v>36</v>
      </c>
      <c r="S1338" s="12" t="s">
        <v>5151</v>
      </c>
      <c r="T1338" s="12" t="s">
        <v>4974</v>
      </c>
      <c r="U1338" s="12" t="s">
        <v>38</v>
      </c>
      <c r="V1338" s="12" t="s">
        <v>39</v>
      </c>
      <c r="W1338" s="12" t="s">
        <v>7987</v>
      </c>
      <c r="X1338" s="16" t="s">
        <v>577</v>
      </c>
      <c r="Y1338" s="15" t="s">
        <v>55</v>
      </c>
      <c r="Z1338" s="14" t="s">
        <v>36</v>
      </c>
      <c r="AA1338" s="14" t="s">
        <v>36</v>
      </c>
      <c r="AB1338" s="12" t="s">
        <v>43</v>
      </c>
      <c r="AC1338" s="12" t="s">
        <v>7988</v>
      </c>
      <c r="AD1338" s="13">
        <v>45029</v>
      </c>
      <c r="AE1338" s="12" t="s">
        <v>134</v>
      </c>
      <c r="AF1338" s="12" t="s">
        <v>7989</v>
      </c>
      <c r="AG1338" s="12" t="s">
        <v>1078</v>
      </c>
      <c r="AH1338" s="1">
        <f>HYPERLINK("https://my.pitchbook.com?c=250934-86T","View Company Online")</f>
      </c>
    </row>
    <row r="1339">
      <c r="A1339" s="3" t="s">
        <v>7990</v>
      </c>
      <c r="B1339" s="3" t="s">
        <v>7991</v>
      </c>
      <c r="C1339" s="5" t="s">
        <v>36</v>
      </c>
      <c r="D1339" s="5">
        <v>2</v>
      </c>
      <c r="E1339" s="5">
        <v>1</v>
      </c>
      <c r="F1339" s="5">
        <v>2</v>
      </c>
      <c r="G1339" s="6" t="s">
        <v>36</v>
      </c>
      <c r="H1339" s="4">
        <v>375.96</v>
      </c>
      <c r="I1339" s="7">
        <v>24.5</v>
      </c>
      <c r="J1339" s="3" t="s">
        <v>521</v>
      </c>
      <c r="K1339" s="9" t="s">
        <v>36</v>
      </c>
      <c r="L1339" s="6" t="s">
        <v>36</v>
      </c>
      <c r="M1339" s="3" t="s">
        <v>36</v>
      </c>
      <c r="N1339" s="3" t="s">
        <v>36</v>
      </c>
      <c r="O1339" s="8" t="s">
        <v>36</v>
      </c>
      <c r="P1339" s="3" t="s">
        <v>36</v>
      </c>
      <c r="Q1339" s="3" t="s">
        <v>36</v>
      </c>
      <c r="R1339" s="3" t="s">
        <v>36</v>
      </c>
      <c r="S1339" s="3" t="s">
        <v>36</v>
      </c>
      <c r="T1339" s="3" t="s">
        <v>7992</v>
      </c>
      <c r="U1339" s="3" t="s">
        <v>38</v>
      </c>
      <c r="V1339" s="3" t="s">
        <v>39</v>
      </c>
      <c r="W1339" s="3" t="s">
        <v>7993</v>
      </c>
      <c r="X1339" s="10" t="s">
        <v>7994</v>
      </c>
      <c r="Y1339" s="6" t="s">
        <v>108</v>
      </c>
      <c r="Z1339" s="4">
        <v>4.33</v>
      </c>
      <c r="AA1339" s="4">
        <v>10.39</v>
      </c>
      <c r="AB1339" s="3" t="s">
        <v>56</v>
      </c>
      <c r="AC1339" s="3" t="s">
        <v>7995</v>
      </c>
      <c r="AD1339" s="9">
        <v>45029</v>
      </c>
      <c r="AE1339" s="3" t="s">
        <v>110</v>
      </c>
      <c r="AF1339" s="3" t="s">
        <v>7996</v>
      </c>
      <c r="AG1339" s="3" t="s">
        <v>144</v>
      </c>
      <c r="AH1339" s="11">
        <f>HYPERLINK("https://my.pitchbook.com?c=220481-92T","View Company Online")</f>
      </c>
    </row>
    <row r="1340">
      <c r="A1340" s="12" t="s">
        <v>7997</v>
      </c>
      <c r="B1340" s="12" t="s">
        <v>7998</v>
      </c>
      <c r="C1340" s="19" t="s">
        <v>36</v>
      </c>
      <c r="D1340" s="19" t="s">
        <v>36</v>
      </c>
      <c r="E1340" s="19" t="s">
        <v>36</v>
      </c>
      <c r="F1340" s="19" t="s">
        <v>36</v>
      </c>
      <c r="G1340" s="15" t="s">
        <v>36</v>
      </c>
      <c r="H1340" s="14" t="s">
        <v>36</v>
      </c>
      <c r="I1340" s="18" t="s">
        <v>36</v>
      </c>
      <c r="J1340" s="12" t="s">
        <v>36</v>
      </c>
      <c r="K1340" s="13" t="s">
        <v>36</v>
      </c>
      <c r="L1340" s="15" t="s">
        <v>36</v>
      </c>
      <c r="M1340" s="12" t="s">
        <v>36</v>
      </c>
      <c r="N1340" s="12" t="s">
        <v>36</v>
      </c>
      <c r="O1340" s="17" t="s">
        <v>36</v>
      </c>
      <c r="P1340" s="12" t="s">
        <v>36</v>
      </c>
      <c r="Q1340" s="12" t="s">
        <v>36</v>
      </c>
      <c r="R1340" s="12" t="s">
        <v>36</v>
      </c>
      <c r="S1340" s="12" t="s">
        <v>36</v>
      </c>
      <c r="T1340" s="12" t="s">
        <v>7999</v>
      </c>
      <c r="U1340" s="12" t="s">
        <v>318</v>
      </c>
      <c r="V1340" s="12" t="s">
        <v>39</v>
      </c>
      <c r="W1340" s="12" t="s">
        <v>8000</v>
      </c>
      <c r="X1340" s="16" t="s">
        <v>8001</v>
      </c>
      <c r="Y1340" s="15" t="s">
        <v>42</v>
      </c>
      <c r="Z1340" s="14">
        <v>14</v>
      </c>
      <c r="AA1340" s="14" t="s">
        <v>36</v>
      </c>
      <c r="AB1340" s="12" t="s">
        <v>43</v>
      </c>
      <c r="AC1340" s="12" t="s">
        <v>8002</v>
      </c>
      <c r="AD1340" s="13">
        <v>45029</v>
      </c>
      <c r="AE1340" s="12" t="s">
        <v>763</v>
      </c>
      <c r="AF1340" s="12" t="s">
        <v>36</v>
      </c>
      <c r="AG1340" s="12" t="s">
        <v>81</v>
      </c>
      <c r="AH1340" s="1">
        <f>HYPERLINK("https://my.pitchbook.com?c=220426-03T","View Company Online")</f>
      </c>
    </row>
    <row r="1341">
      <c r="A1341" s="3" t="s">
        <v>8003</v>
      </c>
      <c r="B1341" s="3" t="s">
        <v>8004</v>
      </c>
      <c r="C1341" s="5" t="s">
        <v>36</v>
      </c>
      <c r="D1341" s="5" t="s">
        <v>36</v>
      </c>
      <c r="E1341" s="5" t="s">
        <v>36</v>
      </c>
      <c r="F1341" s="5" t="s">
        <v>36</v>
      </c>
      <c r="G1341" s="6" t="s">
        <v>36</v>
      </c>
      <c r="H1341" s="4" t="s">
        <v>36</v>
      </c>
      <c r="I1341" s="7" t="s">
        <v>36</v>
      </c>
      <c r="J1341" s="3" t="s">
        <v>36</v>
      </c>
      <c r="K1341" s="9" t="s">
        <v>36</v>
      </c>
      <c r="L1341" s="6" t="s">
        <v>122</v>
      </c>
      <c r="M1341" s="3" t="s">
        <v>36</v>
      </c>
      <c r="N1341" s="3" t="s">
        <v>122</v>
      </c>
      <c r="O1341" s="8" t="s">
        <v>36</v>
      </c>
      <c r="P1341" s="3" t="s">
        <v>36</v>
      </c>
      <c r="Q1341" s="3" t="s">
        <v>36</v>
      </c>
      <c r="R1341" s="3" t="s">
        <v>36</v>
      </c>
      <c r="S1341" s="3" t="s">
        <v>36</v>
      </c>
      <c r="T1341" s="3" t="s">
        <v>8005</v>
      </c>
      <c r="U1341" s="3" t="s">
        <v>38</v>
      </c>
      <c r="V1341" s="3" t="s">
        <v>39</v>
      </c>
      <c r="W1341" s="3" t="s">
        <v>8006</v>
      </c>
      <c r="X1341" s="10" t="s">
        <v>8007</v>
      </c>
      <c r="Y1341" s="6" t="s">
        <v>108</v>
      </c>
      <c r="Z1341" s="4">
        <v>13</v>
      </c>
      <c r="AA1341" s="4" t="s">
        <v>36</v>
      </c>
      <c r="AB1341" s="3" t="s">
        <v>43</v>
      </c>
      <c r="AC1341" s="3" t="s">
        <v>8008</v>
      </c>
      <c r="AD1341" s="9">
        <v>45029</v>
      </c>
      <c r="AE1341" s="3" t="s">
        <v>110</v>
      </c>
      <c r="AF1341" s="3" t="s">
        <v>3076</v>
      </c>
      <c r="AG1341" s="3" t="s">
        <v>81</v>
      </c>
      <c r="AH1341" s="11">
        <f>HYPERLINK("https://my.pitchbook.com?c=220347-55T","View Company Online")</f>
      </c>
    </row>
    <row r="1342">
      <c r="A1342" s="12" t="s">
        <v>8009</v>
      </c>
      <c r="B1342" s="12" t="s">
        <v>8010</v>
      </c>
      <c r="C1342" s="19">
        <v>9</v>
      </c>
      <c r="D1342" s="19">
        <v>19</v>
      </c>
      <c r="E1342" s="19">
        <v>13</v>
      </c>
      <c r="F1342" s="19">
        <v>28</v>
      </c>
      <c r="G1342" s="15" t="s">
        <v>36</v>
      </c>
      <c r="H1342" s="14" t="s">
        <v>36</v>
      </c>
      <c r="I1342" s="18" t="s">
        <v>36</v>
      </c>
      <c r="J1342" s="12" t="s">
        <v>36</v>
      </c>
      <c r="K1342" s="13">
        <v>44823</v>
      </c>
      <c r="L1342" s="15" t="s">
        <v>122</v>
      </c>
      <c r="M1342" s="12" t="s">
        <v>36</v>
      </c>
      <c r="N1342" s="12" t="s">
        <v>122</v>
      </c>
      <c r="O1342" s="17" t="s">
        <v>36</v>
      </c>
      <c r="P1342" s="12" t="s">
        <v>36</v>
      </c>
      <c r="Q1342" s="12" t="s">
        <v>36</v>
      </c>
      <c r="R1342" s="12" t="s">
        <v>36</v>
      </c>
      <c r="S1342" s="12" t="s">
        <v>36</v>
      </c>
      <c r="T1342" s="12" t="s">
        <v>8011</v>
      </c>
      <c r="U1342" s="12" t="s">
        <v>833</v>
      </c>
      <c r="V1342" s="12" t="s">
        <v>64</v>
      </c>
      <c r="W1342" s="12" t="s">
        <v>8012</v>
      </c>
      <c r="X1342" s="16" t="s">
        <v>8013</v>
      </c>
      <c r="Y1342" s="15" t="s">
        <v>55</v>
      </c>
      <c r="Z1342" s="14">
        <v>23.43</v>
      </c>
      <c r="AA1342" s="14" t="s">
        <v>36</v>
      </c>
      <c r="AB1342" s="12" t="s">
        <v>56</v>
      </c>
      <c r="AC1342" s="12" t="s">
        <v>8014</v>
      </c>
      <c r="AD1342" s="13">
        <v>45028</v>
      </c>
      <c r="AE1342" s="12" t="s">
        <v>1069</v>
      </c>
      <c r="AF1342" s="12" t="s">
        <v>8015</v>
      </c>
      <c r="AG1342" s="12" t="s">
        <v>539</v>
      </c>
      <c r="AH1342" s="1">
        <f>HYPERLINK("https://my.pitchbook.com?c=212048-29T","View Company Online")</f>
      </c>
    </row>
    <row r="1343">
      <c r="A1343" s="3" t="s">
        <v>8016</v>
      </c>
      <c r="B1343" s="3" t="s">
        <v>8017</v>
      </c>
      <c r="C1343" s="5" t="s">
        <v>36</v>
      </c>
      <c r="D1343" s="5" t="s">
        <v>36</v>
      </c>
      <c r="E1343" s="5" t="s">
        <v>36</v>
      </c>
      <c r="F1343" s="5" t="s">
        <v>36</v>
      </c>
      <c r="G1343" s="6" t="s">
        <v>36</v>
      </c>
      <c r="H1343" s="4">
        <v>175.43</v>
      </c>
      <c r="I1343" s="7">
        <v>36.09</v>
      </c>
      <c r="J1343" s="3" t="s">
        <v>521</v>
      </c>
      <c r="K1343" s="9" t="s">
        <v>36</v>
      </c>
      <c r="L1343" s="6" t="s">
        <v>36</v>
      </c>
      <c r="M1343" s="3" t="s">
        <v>36</v>
      </c>
      <c r="N1343" s="3" t="s">
        <v>36</v>
      </c>
      <c r="O1343" s="8" t="s">
        <v>36</v>
      </c>
      <c r="P1343" s="3" t="s">
        <v>36</v>
      </c>
      <c r="Q1343" s="3" t="s">
        <v>36</v>
      </c>
      <c r="R1343" s="3" t="s">
        <v>36</v>
      </c>
      <c r="S1343" s="3" t="s">
        <v>36</v>
      </c>
      <c r="T1343" s="3" t="s">
        <v>8018</v>
      </c>
      <c r="U1343" s="3" t="s">
        <v>38</v>
      </c>
      <c r="V1343" s="3" t="s">
        <v>39</v>
      </c>
      <c r="W1343" s="3" t="s">
        <v>8019</v>
      </c>
      <c r="X1343" s="10" t="s">
        <v>8020</v>
      </c>
      <c r="Y1343" s="6" t="s">
        <v>42</v>
      </c>
      <c r="Z1343" s="4">
        <v>1.14</v>
      </c>
      <c r="AA1343" s="4">
        <v>3.15</v>
      </c>
      <c r="AB1343" s="3" t="s">
        <v>56</v>
      </c>
      <c r="AC1343" s="3" t="s">
        <v>8021</v>
      </c>
      <c r="AD1343" s="9">
        <v>45028</v>
      </c>
      <c r="AE1343" s="3" t="s">
        <v>110</v>
      </c>
      <c r="AF1343" s="3" t="s">
        <v>135</v>
      </c>
      <c r="AG1343" s="3" t="s">
        <v>392</v>
      </c>
      <c r="AH1343" s="11">
        <f>HYPERLINK("https://my.pitchbook.com?c=220343-23T","View Company Online")</f>
      </c>
    </row>
    <row r="1344">
      <c r="A1344" s="12" t="s">
        <v>8022</v>
      </c>
      <c r="B1344" s="12" t="s">
        <v>8023</v>
      </c>
      <c r="C1344" s="19" t="s">
        <v>36</v>
      </c>
      <c r="D1344" s="19" t="s">
        <v>36</v>
      </c>
      <c r="E1344" s="19" t="s">
        <v>36</v>
      </c>
      <c r="F1344" s="19" t="s">
        <v>36</v>
      </c>
      <c r="G1344" s="15" t="s">
        <v>683</v>
      </c>
      <c r="H1344" s="14">
        <v>3.36</v>
      </c>
      <c r="I1344" s="18">
        <v>27.62</v>
      </c>
      <c r="J1344" s="12" t="s">
        <v>521</v>
      </c>
      <c r="K1344" s="13">
        <v>44967</v>
      </c>
      <c r="L1344" s="15" t="s">
        <v>122</v>
      </c>
      <c r="M1344" s="12" t="s">
        <v>36</v>
      </c>
      <c r="N1344" s="12" t="s">
        <v>122</v>
      </c>
      <c r="O1344" s="17" t="s">
        <v>36</v>
      </c>
      <c r="P1344" s="12" t="s">
        <v>36</v>
      </c>
      <c r="Q1344" s="12" t="s">
        <v>36</v>
      </c>
      <c r="R1344" s="12" t="s">
        <v>36</v>
      </c>
      <c r="S1344" s="12" t="s">
        <v>36</v>
      </c>
      <c r="T1344" s="12" t="s">
        <v>3445</v>
      </c>
      <c r="U1344" s="12" t="s">
        <v>38</v>
      </c>
      <c r="V1344" s="12" t="s">
        <v>39</v>
      </c>
      <c r="W1344" s="12" t="s">
        <v>8024</v>
      </c>
      <c r="X1344" s="16" t="s">
        <v>8025</v>
      </c>
      <c r="Y1344" s="15" t="s">
        <v>108</v>
      </c>
      <c r="Z1344" s="14">
        <v>10.82</v>
      </c>
      <c r="AA1344" s="14">
        <v>21.47</v>
      </c>
      <c r="AB1344" s="12" t="s">
        <v>56</v>
      </c>
      <c r="AC1344" s="12" t="s">
        <v>8026</v>
      </c>
      <c r="AD1344" s="13">
        <v>45028</v>
      </c>
      <c r="AE1344" s="12" t="s">
        <v>110</v>
      </c>
      <c r="AF1344" s="12" t="s">
        <v>526</v>
      </c>
      <c r="AG1344" s="12" t="s">
        <v>81</v>
      </c>
      <c r="AH1344" s="1">
        <f>HYPERLINK("https://my.pitchbook.com?c=219665-08T","View Company Online")</f>
      </c>
    </row>
    <row r="1345">
      <c r="A1345" s="3" t="s">
        <v>8027</v>
      </c>
      <c r="B1345" s="3" t="s">
        <v>8028</v>
      </c>
      <c r="C1345" s="5" t="s">
        <v>36</v>
      </c>
      <c r="D1345" s="5" t="s">
        <v>36</v>
      </c>
      <c r="E1345" s="5" t="s">
        <v>36</v>
      </c>
      <c r="F1345" s="5" t="s">
        <v>36</v>
      </c>
      <c r="G1345" s="6" t="s">
        <v>683</v>
      </c>
      <c r="H1345" s="4">
        <v>225.41</v>
      </c>
      <c r="I1345" s="7">
        <v>15.89</v>
      </c>
      <c r="J1345" s="3" t="s">
        <v>521</v>
      </c>
      <c r="K1345" s="9" t="s">
        <v>36</v>
      </c>
      <c r="L1345" s="6" t="s">
        <v>36</v>
      </c>
      <c r="M1345" s="3" t="s">
        <v>36</v>
      </c>
      <c r="N1345" s="3" t="s">
        <v>36</v>
      </c>
      <c r="O1345" s="8" t="s">
        <v>36</v>
      </c>
      <c r="P1345" s="3" t="s">
        <v>36</v>
      </c>
      <c r="Q1345" s="3" t="s">
        <v>36</v>
      </c>
      <c r="R1345" s="3" t="s">
        <v>36</v>
      </c>
      <c r="S1345" s="3" t="s">
        <v>36</v>
      </c>
      <c r="T1345" s="3" t="s">
        <v>62</v>
      </c>
      <c r="U1345" s="3" t="s">
        <v>63</v>
      </c>
      <c r="V1345" s="3" t="s">
        <v>64</v>
      </c>
      <c r="W1345" s="3" t="s">
        <v>8029</v>
      </c>
      <c r="X1345" s="10" t="s">
        <v>8030</v>
      </c>
      <c r="Y1345" s="6" t="s">
        <v>108</v>
      </c>
      <c r="Z1345" s="4">
        <v>0.65</v>
      </c>
      <c r="AA1345" s="4">
        <v>4.08</v>
      </c>
      <c r="AB1345" s="3" t="s">
        <v>56</v>
      </c>
      <c r="AC1345" s="3" t="s">
        <v>8031</v>
      </c>
      <c r="AD1345" s="9">
        <v>45027</v>
      </c>
      <c r="AE1345" s="3" t="s">
        <v>68</v>
      </c>
      <c r="AF1345" s="3" t="s">
        <v>8032</v>
      </c>
      <c r="AG1345" s="3" t="s">
        <v>899</v>
      </c>
      <c r="AH1345" s="11">
        <f>HYPERLINK("https://my.pitchbook.com?c=223175-26T","View Company Online")</f>
      </c>
    </row>
    <row r="1346">
      <c r="A1346" s="12" t="s">
        <v>8033</v>
      </c>
      <c r="B1346" s="12" t="s">
        <v>8034</v>
      </c>
      <c r="C1346" s="19" t="s">
        <v>36</v>
      </c>
      <c r="D1346" s="19" t="s">
        <v>36</v>
      </c>
      <c r="E1346" s="19" t="s">
        <v>36</v>
      </c>
      <c r="F1346" s="19" t="s">
        <v>36</v>
      </c>
      <c r="G1346" s="15" t="s">
        <v>326</v>
      </c>
      <c r="H1346" s="14" t="s">
        <v>36</v>
      </c>
      <c r="I1346" s="18">
        <v>26.3</v>
      </c>
      <c r="J1346" s="12" t="s">
        <v>327</v>
      </c>
      <c r="K1346" s="13" t="s">
        <v>36</v>
      </c>
      <c r="L1346" s="15" t="s">
        <v>122</v>
      </c>
      <c r="M1346" s="12" t="s">
        <v>36</v>
      </c>
      <c r="N1346" s="12" t="s">
        <v>122</v>
      </c>
      <c r="O1346" s="17" t="s">
        <v>36</v>
      </c>
      <c r="P1346" s="12" t="s">
        <v>36</v>
      </c>
      <c r="Q1346" s="12" t="s">
        <v>36</v>
      </c>
      <c r="R1346" s="12" t="s">
        <v>36</v>
      </c>
      <c r="S1346" s="12" t="s">
        <v>36</v>
      </c>
      <c r="T1346" s="12" t="s">
        <v>522</v>
      </c>
      <c r="U1346" s="12" t="s">
        <v>38</v>
      </c>
      <c r="V1346" s="12" t="s">
        <v>39</v>
      </c>
      <c r="W1346" s="12" t="s">
        <v>8035</v>
      </c>
      <c r="X1346" s="16" t="s">
        <v>8036</v>
      </c>
      <c r="Y1346" s="15" t="s">
        <v>108</v>
      </c>
      <c r="Z1346" s="14">
        <v>8.65</v>
      </c>
      <c r="AA1346" s="14">
        <v>32.9</v>
      </c>
      <c r="AB1346" s="12" t="s">
        <v>43</v>
      </c>
      <c r="AC1346" s="12" t="s">
        <v>8037</v>
      </c>
      <c r="AD1346" s="13">
        <v>45027</v>
      </c>
      <c r="AE1346" s="12" t="s">
        <v>110</v>
      </c>
      <c r="AF1346" s="12" t="s">
        <v>4276</v>
      </c>
      <c r="AG1346" s="12" t="s">
        <v>8038</v>
      </c>
      <c r="AH1346" s="1">
        <f>HYPERLINK("https://my.pitchbook.com?c=220118-50T","View Company Online")</f>
      </c>
    </row>
    <row r="1347">
      <c r="A1347" s="3" t="s">
        <v>8039</v>
      </c>
      <c r="B1347" s="3" t="s">
        <v>8040</v>
      </c>
      <c r="C1347" s="5" t="s">
        <v>36</v>
      </c>
      <c r="D1347" s="5" t="s">
        <v>36</v>
      </c>
      <c r="E1347" s="5" t="s">
        <v>36</v>
      </c>
      <c r="F1347" s="5" t="s">
        <v>36</v>
      </c>
      <c r="G1347" s="6" t="s">
        <v>326</v>
      </c>
      <c r="H1347" s="4" t="s">
        <v>36</v>
      </c>
      <c r="I1347" s="7">
        <v>13.28</v>
      </c>
      <c r="J1347" s="3" t="s">
        <v>327</v>
      </c>
      <c r="K1347" s="9" t="s">
        <v>36</v>
      </c>
      <c r="L1347" s="6" t="s">
        <v>3736</v>
      </c>
      <c r="M1347" s="3" t="s">
        <v>36</v>
      </c>
      <c r="N1347" s="3" t="s">
        <v>3736</v>
      </c>
      <c r="O1347" s="8" t="s">
        <v>36</v>
      </c>
      <c r="P1347" s="3" t="s">
        <v>36</v>
      </c>
      <c r="Q1347" s="3" t="s">
        <v>36</v>
      </c>
      <c r="R1347" s="3" t="s">
        <v>36</v>
      </c>
      <c r="S1347" s="3" t="s">
        <v>36</v>
      </c>
      <c r="T1347" s="3" t="s">
        <v>8041</v>
      </c>
      <c r="U1347" s="3" t="s">
        <v>279</v>
      </c>
      <c r="V1347" s="3" t="s">
        <v>64</v>
      </c>
      <c r="W1347" s="3" t="s">
        <v>8042</v>
      </c>
      <c r="X1347" s="10" t="s">
        <v>8043</v>
      </c>
      <c r="Y1347" s="6" t="s">
        <v>192</v>
      </c>
      <c r="Z1347" s="4">
        <v>43.03</v>
      </c>
      <c r="AA1347" s="4">
        <v>324.06</v>
      </c>
      <c r="AB1347" s="3" t="s">
        <v>56</v>
      </c>
      <c r="AC1347" s="3" t="s">
        <v>8044</v>
      </c>
      <c r="AD1347" s="9">
        <v>45022</v>
      </c>
      <c r="AE1347" s="3" t="s">
        <v>851</v>
      </c>
      <c r="AF1347" s="3" t="s">
        <v>815</v>
      </c>
      <c r="AG1347" s="3" t="s">
        <v>81</v>
      </c>
      <c r="AH1347" s="11">
        <f>HYPERLINK("https://my.pitchbook.com?c=220055-41T","View Company Online")</f>
      </c>
    </row>
    <row r="1348">
      <c r="A1348" s="12" t="s">
        <v>8045</v>
      </c>
      <c r="B1348" s="12" t="s">
        <v>8046</v>
      </c>
      <c r="C1348" s="19" t="s">
        <v>36</v>
      </c>
      <c r="D1348" s="19" t="s">
        <v>36</v>
      </c>
      <c r="E1348" s="19" t="s">
        <v>36</v>
      </c>
      <c r="F1348" s="19" t="s">
        <v>36</v>
      </c>
      <c r="G1348" s="15" t="s">
        <v>36</v>
      </c>
      <c r="H1348" s="14" t="s">
        <v>36</v>
      </c>
      <c r="I1348" s="18">
        <v>20.04</v>
      </c>
      <c r="J1348" s="12" t="s">
        <v>327</v>
      </c>
      <c r="K1348" s="13">
        <v>44917</v>
      </c>
      <c r="L1348" s="15" t="s">
        <v>36</v>
      </c>
      <c r="M1348" s="12" t="s">
        <v>36</v>
      </c>
      <c r="N1348" s="12" t="s">
        <v>36</v>
      </c>
      <c r="O1348" s="17" t="s">
        <v>36</v>
      </c>
      <c r="P1348" s="12" t="s">
        <v>36</v>
      </c>
      <c r="Q1348" s="12" t="s">
        <v>36</v>
      </c>
      <c r="R1348" s="12" t="s">
        <v>36</v>
      </c>
      <c r="S1348" s="12" t="s">
        <v>36</v>
      </c>
      <c r="T1348" s="12" t="s">
        <v>8047</v>
      </c>
      <c r="U1348" s="12" t="s">
        <v>74</v>
      </c>
      <c r="V1348" s="12" t="s">
        <v>75</v>
      </c>
      <c r="W1348" s="12" t="s">
        <v>8048</v>
      </c>
      <c r="X1348" s="16" t="s">
        <v>8049</v>
      </c>
      <c r="Y1348" s="15" t="s">
        <v>55</v>
      </c>
      <c r="Z1348" s="14">
        <v>1.61</v>
      </c>
      <c r="AA1348" s="14">
        <v>8.04</v>
      </c>
      <c r="AB1348" s="12" t="s">
        <v>56</v>
      </c>
      <c r="AC1348" s="12" t="s">
        <v>8050</v>
      </c>
      <c r="AD1348" s="13">
        <v>45021</v>
      </c>
      <c r="AE1348" s="12" t="s">
        <v>362</v>
      </c>
      <c r="AF1348" s="12" t="s">
        <v>468</v>
      </c>
      <c r="AG1348" s="12" t="s">
        <v>81</v>
      </c>
      <c r="AH1348" s="1">
        <f>HYPERLINK("https://my.pitchbook.com?c=223180-57T","View Company Online")</f>
      </c>
    </row>
    <row r="1349">
      <c r="A1349" s="3" t="s">
        <v>8051</v>
      </c>
      <c r="B1349" s="3" t="s">
        <v>8052</v>
      </c>
      <c r="C1349" s="5" t="s">
        <v>36</v>
      </c>
      <c r="D1349" s="5" t="s">
        <v>36</v>
      </c>
      <c r="E1349" s="5" t="s">
        <v>36</v>
      </c>
      <c r="F1349" s="5" t="s">
        <v>36</v>
      </c>
      <c r="G1349" s="6" t="s">
        <v>36</v>
      </c>
      <c r="H1349" s="4">
        <v>2077.13</v>
      </c>
      <c r="I1349" s="7">
        <v>40</v>
      </c>
      <c r="J1349" s="3" t="s">
        <v>521</v>
      </c>
      <c r="K1349" s="9" t="s">
        <v>36</v>
      </c>
      <c r="L1349" s="6" t="s">
        <v>36</v>
      </c>
      <c r="M1349" s="3" t="s">
        <v>36</v>
      </c>
      <c r="N1349" s="3" t="s">
        <v>36</v>
      </c>
      <c r="O1349" s="8" t="s">
        <v>36</v>
      </c>
      <c r="P1349" s="3" t="s">
        <v>36</v>
      </c>
      <c r="Q1349" s="3" t="s">
        <v>36</v>
      </c>
      <c r="R1349" s="3" t="s">
        <v>36</v>
      </c>
      <c r="S1349" s="3" t="s">
        <v>36</v>
      </c>
      <c r="T1349" s="3" t="s">
        <v>7057</v>
      </c>
      <c r="U1349" s="3" t="s">
        <v>74</v>
      </c>
      <c r="V1349" s="3" t="s">
        <v>75</v>
      </c>
      <c r="W1349" s="3" t="s">
        <v>8053</v>
      </c>
      <c r="X1349" s="10" t="s">
        <v>8054</v>
      </c>
      <c r="Y1349" s="6" t="s">
        <v>42</v>
      </c>
      <c r="Z1349" s="4">
        <v>2.15</v>
      </c>
      <c r="AA1349" s="4">
        <v>5.37</v>
      </c>
      <c r="AB1349" s="3" t="s">
        <v>56</v>
      </c>
      <c r="AC1349" s="3" t="s">
        <v>8055</v>
      </c>
      <c r="AD1349" s="9">
        <v>45021</v>
      </c>
      <c r="AE1349" s="3" t="s">
        <v>1243</v>
      </c>
      <c r="AF1349" s="3" t="s">
        <v>36</v>
      </c>
      <c r="AG1349" s="3" t="s">
        <v>419</v>
      </c>
      <c r="AH1349" s="11">
        <f>HYPERLINK("https://my.pitchbook.com?c=219897-46T","View Company Online")</f>
      </c>
    </row>
    <row r="1350">
      <c r="A1350" s="12" t="s">
        <v>8056</v>
      </c>
      <c r="B1350" s="12" t="s">
        <v>5812</v>
      </c>
      <c r="C1350" s="19" t="s">
        <v>36</v>
      </c>
      <c r="D1350" s="19" t="s">
        <v>36</v>
      </c>
      <c r="E1350" s="19" t="s">
        <v>36</v>
      </c>
      <c r="F1350" s="19" t="s">
        <v>36</v>
      </c>
      <c r="G1350" s="15" t="s">
        <v>683</v>
      </c>
      <c r="H1350" s="14" t="s">
        <v>36</v>
      </c>
      <c r="I1350" s="18">
        <v>11.65</v>
      </c>
      <c r="J1350" s="12" t="s">
        <v>327</v>
      </c>
      <c r="K1350" s="13" t="s">
        <v>36</v>
      </c>
      <c r="L1350" s="15" t="s">
        <v>36</v>
      </c>
      <c r="M1350" s="12" t="s">
        <v>36</v>
      </c>
      <c r="N1350" s="12" t="s">
        <v>36</v>
      </c>
      <c r="O1350" s="17" t="s">
        <v>36</v>
      </c>
      <c r="P1350" s="12" t="s">
        <v>36</v>
      </c>
      <c r="Q1350" s="12" t="s">
        <v>36</v>
      </c>
      <c r="R1350" s="12" t="s">
        <v>36</v>
      </c>
      <c r="S1350" s="12" t="s">
        <v>36</v>
      </c>
      <c r="T1350" s="12" t="s">
        <v>37</v>
      </c>
      <c r="U1350" s="12" t="s">
        <v>38</v>
      </c>
      <c r="V1350" s="12" t="s">
        <v>39</v>
      </c>
      <c r="W1350" s="12" t="s">
        <v>5813</v>
      </c>
      <c r="X1350" s="16" t="s">
        <v>8057</v>
      </c>
      <c r="Y1350" s="15" t="s">
        <v>55</v>
      </c>
      <c r="Z1350" s="14">
        <v>2.36</v>
      </c>
      <c r="AA1350" s="14">
        <v>20.31</v>
      </c>
      <c r="AB1350" s="12" t="s">
        <v>56</v>
      </c>
      <c r="AC1350" s="12" t="s">
        <v>5815</v>
      </c>
      <c r="AD1350" s="13">
        <v>45021</v>
      </c>
      <c r="AE1350" s="12" t="s">
        <v>45</v>
      </c>
      <c r="AF1350" s="12" t="s">
        <v>5816</v>
      </c>
      <c r="AG1350" s="12" t="s">
        <v>81</v>
      </c>
      <c r="AH1350" s="1">
        <f>HYPERLINK("https://my.pitchbook.com?c=228285-10T","View Company Online")</f>
      </c>
    </row>
    <row r="1351">
      <c r="A1351" s="3" t="s">
        <v>8058</v>
      </c>
      <c r="B1351" s="3" t="s">
        <v>8059</v>
      </c>
      <c r="C1351" s="5" t="s">
        <v>36</v>
      </c>
      <c r="D1351" s="5" t="s">
        <v>36</v>
      </c>
      <c r="E1351" s="5" t="s">
        <v>36</v>
      </c>
      <c r="F1351" s="5" t="s">
        <v>36</v>
      </c>
      <c r="G1351" s="6" t="s">
        <v>36</v>
      </c>
      <c r="H1351" s="4" t="s">
        <v>36</v>
      </c>
      <c r="I1351" s="7" t="s">
        <v>36</v>
      </c>
      <c r="J1351" s="3" t="s">
        <v>36</v>
      </c>
      <c r="K1351" s="9" t="s">
        <v>36</v>
      </c>
      <c r="L1351" s="6" t="s">
        <v>36</v>
      </c>
      <c r="M1351" s="3" t="s">
        <v>36</v>
      </c>
      <c r="N1351" s="3" t="s">
        <v>36</v>
      </c>
      <c r="O1351" s="8" t="s">
        <v>36</v>
      </c>
      <c r="P1351" s="3" t="s">
        <v>36</v>
      </c>
      <c r="Q1351" s="3" t="s">
        <v>36</v>
      </c>
      <c r="R1351" s="3" t="s">
        <v>36</v>
      </c>
      <c r="S1351" s="3" t="s">
        <v>36</v>
      </c>
      <c r="T1351" s="3" t="s">
        <v>630</v>
      </c>
      <c r="U1351" s="3" t="s">
        <v>38</v>
      </c>
      <c r="V1351" s="3" t="s">
        <v>39</v>
      </c>
      <c r="W1351" s="3" t="s">
        <v>8060</v>
      </c>
      <c r="X1351" s="10" t="s">
        <v>8061</v>
      </c>
      <c r="Y1351" s="6" t="s">
        <v>42</v>
      </c>
      <c r="Z1351" s="4">
        <v>0.48</v>
      </c>
      <c r="AA1351" s="4" t="s">
        <v>36</v>
      </c>
      <c r="AB1351" s="3" t="s">
        <v>43</v>
      </c>
      <c r="AC1351" s="3" t="s">
        <v>8062</v>
      </c>
      <c r="AD1351" s="9">
        <v>45021</v>
      </c>
      <c r="AE1351" s="3" t="s">
        <v>110</v>
      </c>
      <c r="AF1351" s="3" t="s">
        <v>8063</v>
      </c>
      <c r="AG1351" s="3" t="s">
        <v>81</v>
      </c>
      <c r="AH1351" s="11">
        <f>HYPERLINK("https://my.pitchbook.com?c=228047-41T","View Company Online")</f>
      </c>
    </row>
    <row r="1352">
      <c r="A1352" s="12" t="s">
        <v>8064</v>
      </c>
      <c r="B1352" s="12" t="s">
        <v>8065</v>
      </c>
      <c r="C1352" s="19" t="s">
        <v>36</v>
      </c>
      <c r="D1352" s="19" t="s">
        <v>36</v>
      </c>
      <c r="E1352" s="19" t="s">
        <v>36</v>
      </c>
      <c r="F1352" s="19" t="s">
        <v>36</v>
      </c>
      <c r="G1352" s="15" t="s">
        <v>36</v>
      </c>
      <c r="H1352" s="14" t="s">
        <v>36</v>
      </c>
      <c r="I1352" s="18" t="s">
        <v>36</v>
      </c>
      <c r="J1352" s="12" t="s">
        <v>36</v>
      </c>
      <c r="K1352" s="13" t="s">
        <v>36</v>
      </c>
      <c r="L1352" s="15" t="s">
        <v>36</v>
      </c>
      <c r="M1352" s="12" t="s">
        <v>36</v>
      </c>
      <c r="N1352" s="12" t="s">
        <v>36</v>
      </c>
      <c r="O1352" s="17" t="s">
        <v>36</v>
      </c>
      <c r="P1352" s="12" t="s">
        <v>36</v>
      </c>
      <c r="Q1352" s="12" t="s">
        <v>36</v>
      </c>
      <c r="R1352" s="12" t="s">
        <v>36</v>
      </c>
      <c r="S1352" s="12" t="s">
        <v>36</v>
      </c>
      <c r="T1352" s="12" t="s">
        <v>522</v>
      </c>
      <c r="U1352" s="12" t="s">
        <v>38</v>
      </c>
      <c r="V1352" s="12" t="s">
        <v>39</v>
      </c>
      <c r="W1352" s="12" t="s">
        <v>8066</v>
      </c>
      <c r="X1352" s="16" t="s">
        <v>8067</v>
      </c>
      <c r="Y1352" s="15" t="s">
        <v>55</v>
      </c>
      <c r="Z1352" s="14">
        <v>6.45</v>
      </c>
      <c r="AA1352" s="14" t="s">
        <v>36</v>
      </c>
      <c r="AB1352" s="12" t="s">
        <v>56</v>
      </c>
      <c r="AC1352" s="12" t="s">
        <v>8068</v>
      </c>
      <c r="AD1352" s="13">
        <v>45021</v>
      </c>
      <c r="AE1352" s="12" t="s">
        <v>110</v>
      </c>
      <c r="AF1352" s="12" t="s">
        <v>6347</v>
      </c>
      <c r="AG1352" s="12" t="s">
        <v>81</v>
      </c>
      <c r="AH1352" s="1">
        <f>HYPERLINK("https://my.pitchbook.com?c=219935-98T","View Company Online")</f>
      </c>
    </row>
    <row r="1353">
      <c r="A1353" s="3" t="s">
        <v>8069</v>
      </c>
      <c r="B1353" s="3" t="s">
        <v>8070</v>
      </c>
      <c r="C1353" s="5" t="s">
        <v>36</v>
      </c>
      <c r="D1353" s="5" t="s">
        <v>36</v>
      </c>
      <c r="E1353" s="5" t="s">
        <v>36</v>
      </c>
      <c r="F1353" s="5" t="s">
        <v>36</v>
      </c>
      <c r="G1353" s="6" t="s">
        <v>326</v>
      </c>
      <c r="H1353" s="4">
        <v>129.91</v>
      </c>
      <c r="I1353" s="7">
        <v>29.71</v>
      </c>
      <c r="J1353" s="3" t="s">
        <v>521</v>
      </c>
      <c r="K1353" s="9">
        <v>44973</v>
      </c>
      <c r="L1353" s="6" t="s">
        <v>122</v>
      </c>
      <c r="M1353" s="3" t="s">
        <v>36</v>
      </c>
      <c r="N1353" s="3" t="s">
        <v>122</v>
      </c>
      <c r="O1353" s="8" t="s">
        <v>36</v>
      </c>
      <c r="P1353" s="3" t="s">
        <v>36</v>
      </c>
      <c r="Q1353" s="3" t="s">
        <v>36</v>
      </c>
      <c r="R1353" s="3" t="s">
        <v>36</v>
      </c>
      <c r="S1353" s="3" t="s">
        <v>36</v>
      </c>
      <c r="T1353" s="3" t="s">
        <v>2558</v>
      </c>
      <c r="U1353" s="3" t="s">
        <v>38</v>
      </c>
      <c r="V1353" s="3" t="s">
        <v>39</v>
      </c>
      <c r="W1353" s="3" t="s">
        <v>8071</v>
      </c>
      <c r="X1353" s="10" t="s">
        <v>8072</v>
      </c>
      <c r="Y1353" s="6" t="s">
        <v>108</v>
      </c>
      <c r="Z1353" s="4">
        <v>3.64</v>
      </c>
      <c r="AA1353" s="4">
        <v>12.24</v>
      </c>
      <c r="AB1353" s="3" t="s">
        <v>56</v>
      </c>
      <c r="AC1353" s="3" t="s">
        <v>8073</v>
      </c>
      <c r="AD1353" s="9">
        <v>45021</v>
      </c>
      <c r="AE1353" s="3" t="s">
        <v>110</v>
      </c>
      <c r="AF1353" s="3" t="s">
        <v>2759</v>
      </c>
      <c r="AG1353" s="3" t="s">
        <v>6068</v>
      </c>
      <c r="AH1353" s="11">
        <f>HYPERLINK("https://my.pitchbook.com?c=206575-84T","View Company Online")</f>
      </c>
    </row>
    <row r="1354">
      <c r="A1354" s="12" t="s">
        <v>8074</v>
      </c>
      <c r="B1354" s="12" t="s">
        <v>8075</v>
      </c>
      <c r="C1354" s="19" t="s">
        <v>36</v>
      </c>
      <c r="D1354" s="19" t="s">
        <v>36</v>
      </c>
      <c r="E1354" s="19" t="s">
        <v>36</v>
      </c>
      <c r="F1354" s="19" t="s">
        <v>36</v>
      </c>
      <c r="G1354" s="15" t="s">
        <v>36</v>
      </c>
      <c r="H1354" s="14">
        <v>95.55</v>
      </c>
      <c r="I1354" s="18">
        <v>8.93</v>
      </c>
      <c r="J1354" s="12" t="s">
        <v>521</v>
      </c>
      <c r="K1354" s="13" t="s">
        <v>36</v>
      </c>
      <c r="L1354" s="15" t="s">
        <v>36</v>
      </c>
      <c r="M1354" s="12" t="s">
        <v>36</v>
      </c>
      <c r="N1354" s="12" t="s">
        <v>36</v>
      </c>
      <c r="O1354" s="17" t="s">
        <v>36</v>
      </c>
      <c r="P1354" s="12" t="s">
        <v>36</v>
      </c>
      <c r="Q1354" s="12" t="s">
        <v>36</v>
      </c>
      <c r="R1354" s="12" t="s">
        <v>36</v>
      </c>
      <c r="S1354" s="12" t="s">
        <v>36</v>
      </c>
      <c r="T1354" s="12" t="s">
        <v>37</v>
      </c>
      <c r="U1354" s="12" t="s">
        <v>38</v>
      </c>
      <c r="V1354" s="12" t="s">
        <v>39</v>
      </c>
      <c r="W1354" s="12" t="s">
        <v>8076</v>
      </c>
      <c r="X1354" s="16" t="s">
        <v>1412</v>
      </c>
      <c r="Y1354" s="15" t="s">
        <v>108</v>
      </c>
      <c r="Z1354" s="14">
        <v>1.13</v>
      </c>
      <c r="AA1354" s="14">
        <v>12.7</v>
      </c>
      <c r="AB1354" s="12" t="s">
        <v>56</v>
      </c>
      <c r="AC1354" s="12" t="s">
        <v>8077</v>
      </c>
      <c r="AD1354" s="13">
        <v>45021</v>
      </c>
      <c r="AE1354" s="12" t="s">
        <v>45</v>
      </c>
      <c r="AF1354" s="12" t="s">
        <v>215</v>
      </c>
      <c r="AG1354" s="12" t="s">
        <v>8078</v>
      </c>
      <c r="AH1354" s="1">
        <f>HYPERLINK("https://my.pitchbook.com?c=222899-86T","View Company Online")</f>
      </c>
    </row>
    <row r="1355">
      <c r="A1355" s="3" t="s">
        <v>8079</v>
      </c>
      <c r="B1355" s="3" t="s">
        <v>8080</v>
      </c>
      <c r="C1355" s="5" t="s">
        <v>36</v>
      </c>
      <c r="D1355" s="5" t="s">
        <v>36</v>
      </c>
      <c r="E1355" s="5" t="s">
        <v>36</v>
      </c>
      <c r="F1355" s="5" t="s">
        <v>36</v>
      </c>
      <c r="G1355" s="6" t="s">
        <v>36</v>
      </c>
      <c r="H1355" s="4" t="s">
        <v>36</v>
      </c>
      <c r="I1355" s="7" t="s">
        <v>36</v>
      </c>
      <c r="J1355" s="3" t="s">
        <v>36</v>
      </c>
      <c r="K1355" s="9" t="s">
        <v>36</v>
      </c>
      <c r="L1355" s="6" t="s">
        <v>36</v>
      </c>
      <c r="M1355" s="3" t="s">
        <v>36</v>
      </c>
      <c r="N1355" s="3" t="s">
        <v>36</v>
      </c>
      <c r="O1355" s="8" t="s">
        <v>36</v>
      </c>
      <c r="P1355" s="3" t="s">
        <v>36</v>
      </c>
      <c r="Q1355" s="3" t="s">
        <v>36</v>
      </c>
      <c r="R1355" s="3" t="s">
        <v>36</v>
      </c>
      <c r="S1355" s="3" t="s">
        <v>36</v>
      </c>
      <c r="T1355" s="3" t="s">
        <v>464</v>
      </c>
      <c r="U1355" s="3" t="s">
        <v>38</v>
      </c>
      <c r="V1355" s="3" t="s">
        <v>39</v>
      </c>
      <c r="W1355" s="3" t="s">
        <v>8081</v>
      </c>
      <c r="X1355" s="10" t="s">
        <v>2433</v>
      </c>
      <c r="Y1355" s="6" t="s">
        <v>42</v>
      </c>
      <c r="Z1355" s="4">
        <v>0.54</v>
      </c>
      <c r="AA1355" s="4" t="s">
        <v>36</v>
      </c>
      <c r="AB1355" s="3" t="s">
        <v>56</v>
      </c>
      <c r="AC1355" s="3" t="s">
        <v>8082</v>
      </c>
      <c r="AD1355" s="9">
        <v>45021</v>
      </c>
      <c r="AE1355" s="3" t="s">
        <v>110</v>
      </c>
      <c r="AF1355" s="3" t="s">
        <v>8083</v>
      </c>
      <c r="AG1355" s="3" t="s">
        <v>81</v>
      </c>
      <c r="AH1355" s="11">
        <f>HYPERLINK("https://my.pitchbook.com?c=219539-62T","View Company Online")</f>
      </c>
    </row>
    <row r="1356">
      <c r="A1356" s="12" t="s">
        <v>8084</v>
      </c>
      <c r="B1356" s="12" t="s">
        <v>8085</v>
      </c>
      <c r="C1356" s="19" t="s">
        <v>36</v>
      </c>
      <c r="D1356" s="19" t="s">
        <v>36</v>
      </c>
      <c r="E1356" s="19" t="s">
        <v>36</v>
      </c>
      <c r="F1356" s="19" t="s">
        <v>36</v>
      </c>
      <c r="G1356" s="15" t="s">
        <v>326</v>
      </c>
      <c r="H1356" s="14">
        <v>7.06</v>
      </c>
      <c r="I1356" s="18">
        <v>22.67</v>
      </c>
      <c r="J1356" s="12" t="s">
        <v>521</v>
      </c>
      <c r="K1356" s="13" t="s">
        <v>36</v>
      </c>
      <c r="L1356" s="15" t="s">
        <v>36</v>
      </c>
      <c r="M1356" s="12" t="s">
        <v>36</v>
      </c>
      <c r="N1356" s="12" t="s">
        <v>36</v>
      </c>
      <c r="O1356" s="17" t="s">
        <v>36</v>
      </c>
      <c r="P1356" s="12" t="s">
        <v>36</v>
      </c>
      <c r="Q1356" s="12" t="s">
        <v>36</v>
      </c>
      <c r="R1356" s="12" t="s">
        <v>36</v>
      </c>
      <c r="S1356" s="12" t="s">
        <v>36</v>
      </c>
      <c r="T1356" s="12" t="s">
        <v>8086</v>
      </c>
      <c r="U1356" s="12" t="s">
        <v>38</v>
      </c>
      <c r="V1356" s="12" t="s">
        <v>39</v>
      </c>
      <c r="W1356" s="12" t="s">
        <v>8087</v>
      </c>
      <c r="X1356" s="16" t="s">
        <v>2433</v>
      </c>
      <c r="Y1356" s="15" t="s">
        <v>42</v>
      </c>
      <c r="Z1356" s="14">
        <v>1.12</v>
      </c>
      <c r="AA1356" s="14">
        <v>4.92</v>
      </c>
      <c r="AB1356" s="12" t="s">
        <v>43</v>
      </c>
      <c r="AC1356" s="12" t="s">
        <v>8088</v>
      </c>
      <c r="AD1356" s="13">
        <v>45021</v>
      </c>
      <c r="AE1356" s="12" t="s">
        <v>554</v>
      </c>
      <c r="AF1356" s="12" t="s">
        <v>176</v>
      </c>
      <c r="AG1356" s="12" t="s">
        <v>1843</v>
      </c>
      <c r="AH1356" s="1">
        <f>HYPERLINK("https://my.pitchbook.com?c=232207-12T","View Company Online")</f>
      </c>
    </row>
    <row r="1357">
      <c r="A1357" s="3" t="s">
        <v>8089</v>
      </c>
      <c r="B1357" s="3" t="s">
        <v>2899</v>
      </c>
      <c r="C1357" s="5" t="s">
        <v>36</v>
      </c>
      <c r="D1357" s="5" t="s">
        <v>36</v>
      </c>
      <c r="E1357" s="5" t="s">
        <v>36</v>
      </c>
      <c r="F1357" s="5" t="s">
        <v>36</v>
      </c>
      <c r="G1357" s="6" t="s">
        <v>36</v>
      </c>
      <c r="H1357" s="4" t="s">
        <v>36</v>
      </c>
      <c r="I1357" s="7" t="s">
        <v>36</v>
      </c>
      <c r="J1357" s="3" t="s">
        <v>36</v>
      </c>
      <c r="K1357" s="9">
        <v>45019</v>
      </c>
      <c r="L1357" s="6" t="s">
        <v>36</v>
      </c>
      <c r="M1357" s="3" t="s">
        <v>36</v>
      </c>
      <c r="N1357" s="3" t="s">
        <v>36</v>
      </c>
      <c r="O1357" s="8" t="s">
        <v>36</v>
      </c>
      <c r="P1357" s="3" t="s">
        <v>36</v>
      </c>
      <c r="Q1357" s="3" t="s">
        <v>36</v>
      </c>
      <c r="R1357" s="3" t="s">
        <v>36</v>
      </c>
      <c r="S1357" s="3" t="s">
        <v>36</v>
      </c>
      <c r="T1357" s="3" t="s">
        <v>1125</v>
      </c>
      <c r="U1357" s="3" t="s">
        <v>74</v>
      </c>
      <c r="V1357" s="3" t="s">
        <v>75</v>
      </c>
      <c r="W1357" s="3" t="s">
        <v>2900</v>
      </c>
      <c r="X1357" s="10" t="s">
        <v>8090</v>
      </c>
      <c r="Y1357" s="6" t="s">
        <v>42</v>
      </c>
      <c r="Z1357" s="4">
        <v>3.22</v>
      </c>
      <c r="AA1357" s="4" t="s">
        <v>36</v>
      </c>
      <c r="AB1357" s="3" t="s">
        <v>43</v>
      </c>
      <c r="AC1357" s="3" t="s">
        <v>2902</v>
      </c>
      <c r="AD1357" s="9">
        <v>45021</v>
      </c>
      <c r="AE1357" s="3" t="s">
        <v>975</v>
      </c>
      <c r="AF1357" s="3" t="s">
        <v>36</v>
      </c>
      <c r="AG1357" s="3" t="s">
        <v>741</v>
      </c>
      <c r="AH1357" s="11">
        <f>HYPERLINK("https://my.pitchbook.com?c=219725-38T","View Company Online")</f>
      </c>
    </row>
    <row r="1358">
      <c r="A1358" s="12" t="s">
        <v>8091</v>
      </c>
      <c r="B1358" s="12" t="s">
        <v>8092</v>
      </c>
      <c r="C1358" s="19" t="s">
        <v>36</v>
      </c>
      <c r="D1358" s="19" t="s">
        <v>36</v>
      </c>
      <c r="E1358" s="19" t="s">
        <v>36</v>
      </c>
      <c r="F1358" s="19" t="s">
        <v>36</v>
      </c>
      <c r="G1358" s="15" t="s">
        <v>326</v>
      </c>
      <c r="H1358" s="14" t="s">
        <v>36</v>
      </c>
      <c r="I1358" s="18">
        <v>17.17</v>
      </c>
      <c r="J1358" s="12" t="s">
        <v>327</v>
      </c>
      <c r="K1358" s="13">
        <v>44888</v>
      </c>
      <c r="L1358" s="15" t="s">
        <v>4010</v>
      </c>
      <c r="M1358" s="12" t="s">
        <v>36</v>
      </c>
      <c r="N1358" s="12" t="s">
        <v>4010</v>
      </c>
      <c r="O1358" s="17" t="s">
        <v>36</v>
      </c>
      <c r="P1358" s="12" t="s">
        <v>36</v>
      </c>
      <c r="Q1358" s="12" t="s">
        <v>36</v>
      </c>
      <c r="R1358" s="12" t="s">
        <v>36</v>
      </c>
      <c r="S1358" s="12" t="s">
        <v>36</v>
      </c>
      <c r="T1358" s="12" t="s">
        <v>948</v>
      </c>
      <c r="U1358" s="12" t="s">
        <v>38</v>
      </c>
      <c r="V1358" s="12" t="s">
        <v>39</v>
      </c>
      <c r="W1358" s="12" t="s">
        <v>8093</v>
      </c>
      <c r="X1358" s="16" t="s">
        <v>8094</v>
      </c>
      <c r="Y1358" s="15" t="s">
        <v>108</v>
      </c>
      <c r="Z1358" s="14">
        <v>1.07</v>
      </c>
      <c r="AA1358" s="14">
        <v>6.26</v>
      </c>
      <c r="AB1358" s="12" t="s">
        <v>43</v>
      </c>
      <c r="AC1358" s="12" t="s">
        <v>8095</v>
      </c>
      <c r="AD1358" s="13">
        <v>45021</v>
      </c>
      <c r="AE1358" s="12" t="s">
        <v>110</v>
      </c>
      <c r="AF1358" s="12" t="s">
        <v>176</v>
      </c>
      <c r="AG1358" s="12" t="s">
        <v>81</v>
      </c>
      <c r="AH1358" s="1">
        <f>HYPERLINK("https://my.pitchbook.com?c=209804-23T","View Company Online")</f>
      </c>
    </row>
    <row r="1359">
      <c r="A1359" s="3" t="s">
        <v>8096</v>
      </c>
      <c r="B1359" s="3" t="s">
        <v>8097</v>
      </c>
      <c r="C1359" s="5">
        <v>4</v>
      </c>
      <c r="D1359" s="5" t="s">
        <v>36</v>
      </c>
      <c r="E1359" s="5">
        <v>2</v>
      </c>
      <c r="F1359" s="5">
        <v>5</v>
      </c>
      <c r="G1359" s="6" t="s">
        <v>36</v>
      </c>
      <c r="H1359" s="4" t="s">
        <v>36</v>
      </c>
      <c r="I1359" s="7" t="s">
        <v>36</v>
      </c>
      <c r="J1359" s="3" t="s">
        <v>36</v>
      </c>
      <c r="K1359" s="9">
        <v>45005</v>
      </c>
      <c r="L1359" s="6" t="s">
        <v>122</v>
      </c>
      <c r="M1359" s="3" t="s">
        <v>36</v>
      </c>
      <c r="N1359" s="3" t="s">
        <v>122</v>
      </c>
      <c r="O1359" s="8" t="s">
        <v>36</v>
      </c>
      <c r="P1359" s="3" t="s">
        <v>36</v>
      </c>
      <c r="Q1359" s="3" t="s">
        <v>36</v>
      </c>
      <c r="R1359" s="3" t="s">
        <v>36</v>
      </c>
      <c r="S1359" s="3" t="s">
        <v>7049</v>
      </c>
      <c r="T1359" s="3" t="s">
        <v>8098</v>
      </c>
      <c r="U1359" s="3" t="s">
        <v>318</v>
      </c>
      <c r="V1359" s="3" t="s">
        <v>39</v>
      </c>
      <c r="W1359" s="3" t="s">
        <v>8099</v>
      </c>
      <c r="X1359" s="10" t="s">
        <v>8100</v>
      </c>
      <c r="Y1359" s="6" t="s">
        <v>108</v>
      </c>
      <c r="Z1359" s="4">
        <v>104</v>
      </c>
      <c r="AA1359" s="4" t="s">
        <v>36</v>
      </c>
      <c r="AB1359" s="3" t="s">
        <v>43</v>
      </c>
      <c r="AC1359" s="3" t="s">
        <v>8101</v>
      </c>
      <c r="AD1359" s="9">
        <v>45021</v>
      </c>
      <c r="AE1359" s="3" t="s">
        <v>323</v>
      </c>
      <c r="AF1359" s="3" t="s">
        <v>2628</v>
      </c>
      <c r="AG1359" s="3" t="s">
        <v>8102</v>
      </c>
      <c r="AH1359" s="11">
        <f>HYPERLINK("https://my.pitchbook.com?c=197295-94T","View Company Online")</f>
      </c>
    </row>
    <row r="1360">
      <c r="A1360" s="12" t="s">
        <v>8103</v>
      </c>
      <c r="B1360" s="12" t="s">
        <v>8104</v>
      </c>
      <c r="C1360" s="19" t="s">
        <v>36</v>
      </c>
      <c r="D1360" s="19" t="s">
        <v>36</v>
      </c>
      <c r="E1360" s="19" t="s">
        <v>36</v>
      </c>
      <c r="F1360" s="19" t="s">
        <v>36</v>
      </c>
      <c r="G1360" s="15" t="s">
        <v>36</v>
      </c>
      <c r="H1360" s="14">
        <v>72.7</v>
      </c>
      <c r="I1360" s="18">
        <v>17.62</v>
      </c>
      <c r="J1360" s="12" t="s">
        <v>521</v>
      </c>
      <c r="K1360" s="13">
        <v>44966</v>
      </c>
      <c r="L1360" s="15" t="s">
        <v>36</v>
      </c>
      <c r="M1360" s="12" t="s">
        <v>36</v>
      </c>
      <c r="N1360" s="12" t="s">
        <v>36</v>
      </c>
      <c r="O1360" s="17" t="s">
        <v>36</v>
      </c>
      <c r="P1360" s="12" t="s">
        <v>36</v>
      </c>
      <c r="Q1360" s="12" t="s">
        <v>36</v>
      </c>
      <c r="R1360" s="12" t="s">
        <v>36</v>
      </c>
      <c r="S1360" s="12" t="s">
        <v>36</v>
      </c>
      <c r="T1360" s="12" t="s">
        <v>522</v>
      </c>
      <c r="U1360" s="12" t="s">
        <v>38</v>
      </c>
      <c r="V1360" s="12" t="s">
        <v>39</v>
      </c>
      <c r="W1360" s="12" t="s">
        <v>8105</v>
      </c>
      <c r="X1360" s="16" t="s">
        <v>8106</v>
      </c>
      <c r="Y1360" s="15" t="s">
        <v>42</v>
      </c>
      <c r="Z1360" s="14">
        <v>1.61</v>
      </c>
      <c r="AA1360" s="14">
        <v>9.13</v>
      </c>
      <c r="AB1360" s="12" t="s">
        <v>43</v>
      </c>
      <c r="AC1360" s="12" t="s">
        <v>8107</v>
      </c>
      <c r="AD1360" s="13">
        <v>45021</v>
      </c>
      <c r="AE1360" s="12" t="s">
        <v>110</v>
      </c>
      <c r="AF1360" s="12" t="s">
        <v>2759</v>
      </c>
      <c r="AG1360" s="12" t="s">
        <v>81</v>
      </c>
      <c r="AH1360" s="1">
        <f>HYPERLINK("https://my.pitchbook.com?c=218060-83T","View Company Online")</f>
      </c>
    </row>
    <row r="1361">
      <c r="A1361" s="3" t="s">
        <v>8108</v>
      </c>
      <c r="B1361" s="3" t="s">
        <v>8109</v>
      </c>
      <c r="C1361" s="5" t="s">
        <v>36</v>
      </c>
      <c r="D1361" s="5" t="s">
        <v>36</v>
      </c>
      <c r="E1361" s="5" t="s">
        <v>36</v>
      </c>
      <c r="F1361" s="5" t="s">
        <v>36</v>
      </c>
      <c r="G1361" s="6" t="s">
        <v>36</v>
      </c>
      <c r="H1361" s="4">
        <v>415.43</v>
      </c>
      <c r="I1361" s="7">
        <v>20</v>
      </c>
      <c r="J1361" s="3" t="s">
        <v>521</v>
      </c>
      <c r="K1361" s="9" t="s">
        <v>36</v>
      </c>
      <c r="L1361" s="6" t="s">
        <v>36</v>
      </c>
      <c r="M1361" s="3" t="s">
        <v>36</v>
      </c>
      <c r="N1361" s="3" t="s">
        <v>36</v>
      </c>
      <c r="O1361" s="8" t="s">
        <v>36</v>
      </c>
      <c r="P1361" s="3" t="s">
        <v>36</v>
      </c>
      <c r="Q1361" s="3" t="s">
        <v>36</v>
      </c>
      <c r="R1361" s="3" t="s">
        <v>36</v>
      </c>
      <c r="S1361" s="3" t="s">
        <v>36</v>
      </c>
      <c r="T1361" s="3" t="s">
        <v>8110</v>
      </c>
      <c r="U1361" s="3" t="s">
        <v>63</v>
      </c>
      <c r="V1361" s="3" t="s">
        <v>64</v>
      </c>
      <c r="W1361" s="3" t="s">
        <v>296</v>
      </c>
      <c r="X1361" s="10" t="s">
        <v>2433</v>
      </c>
      <c r="Y1361" s="6" t="s">
        <v>42</v>
      </c>
      <c r="Z1361" s="4">
        <v>0.54</v>
      </c>
      <c r="AA1361" s="4">
        <v>2.69</v>
      </c>
      <c r="AB1361" s="3" t="s">
        <v>43</v>
      </c>
      <c r="AC1361" s="3" t="s">
        <v>8111</v>
      </c>
      <c r="AD1361" s="9">
        <v>45021</v>
      </c>
      <c r="AE1361" s="3" t="s">
        <v>68</v>
      </c>
      <c r="AF1361" s="3" t="s">
        <v>36</v>
      </c>
      <c r="AG1361" s="3" t="s">
        <v>81</v>
      </c>
      <c r="AH1361" s="11">
        <f>HYPERLINK("https://my.pitchbook.com?c=232209-73T","View Company Online")</f>
      </c>
    </row>
    <row r="1362">
      <c r="A1362" s="12" t="s">
        <v>8112</v>
      </c>
      <c r="B1362" s="12" t="s">
        <v>6236</v>
      </c>
      <c r="C1362" s="19" t="s">
        <v>36</v>
      </c>
      <c r="D1362" s="19" t="s">
        <v>36</v>
      </c>
      <c r="E1362" s="19" t="s">
        <v>36</v>
      </c>
      <c r="F1362" s="19" t="s">
        <v>36</v>
      </c>
      <c r="G1362" s="15" t="s">
        <v>36</v>
      </c>
      <c r="H1362" s="14" t="s">
        <v>36</v>
      </c>
      <c r="I1362" s="18">
        <v>21.72</v>
      </c>
      <c r="J1362" s="12" t="s">
        <v>327</v>
      </c>
      <c r="K1362" s="13" t="s">
        <v>36</v>
      </c>
      <c r="L1362" s="15" t="s">
        <v>36</v>
      </c>
      <c r="M1362" s="12" t="s">
        <v>36</v>
      </c>
      <c r="N1362" s="12" t="s">
        <v>36</v>
      </c>
      <c r="O1362" s="17" t="s">
        <v>36</v>
      </c>
      <c r="P1362" s="12" t="s">
        <v>36</v>
      </c>
      <c r="Q1362" s="12" t="s">
        <v>36</v>
      </c>
      <c r="R1362" s="12" t="s">
        <v>36</v>
      </c>
      <c r="S1362" s="12" t="s">
        <v>36</v>
      </c>
      <c r="T1362" s="12" t="s">
        <v>522</v>
      </c>
      <c r="U1362" s="12" t="s">
        <v>38</v>
      </c>
      <c r="V1362" s="12" t="s">
        <v>39</v>
      </c>
      <c r="W1362" s="12" t="s">
        <v>6237</v>
      </c>
      <c r="X1362" s="16" t="s">
        <v>8113</v>
      </c>
      <c r="Y1362" s="15" t="s">
        <v>42</v>
      </c>
      <c r="Z1362" s="14">
        <v>0.64</v>
      </c>
      <c r="AA1362" s="14">
        <v>2.97</v>
      </c>
      <c r="AB1362" s="12" t="s">
        <v>43</v>
      </c>
      <c r="AC1362" s="12" t="s">
        <v>6239</v>
      </c>
      <c r="AD1362" s="13">
        <v>45021</v>
      </c>
      <c r="AE1362" s="12" t="s">
        <v>110</v>
      </c>
      <c r="AF1362" s="12" t="s">
        <v>111</v>
      </c>
      <c r="AG1362" s="12" t="s">
        <v>102</v>
      </c>
      <c r="AH1362" s="1">
        <f>HYPERLINK("https://my.pitchbook.com?c=215560-72T","View Company Online")</f>
      </c>
    </row>
    <row r="1363">
      <c r="A1363" s="3" t="s">
        <v>8114</v>
      </c>
      <c r="B1363" s="3" t="s">
        <v>3437</v>
      </c>
      <c r="C1363" s="5" t="s">
        <v>36</v>
      </c>
      <c r="D1363" s="5" t="s">
        <v>36</v>
      </c>
      <c r="E1363" s="5" t="s">
        <v>36</v>
      </c>
      <c r="F1363" s="5" t="s">
        <v>36</v>
      </c>
      <c r="G1363" s="6" t="s">
        <v>36</v>
      </c>
      <c r="H1363" s="4" t="s">
        <v>36</v>
      </c>
      <c r="I1363" s="7">
        <v>30.01</v>
      </c>
      <c r="J1363" s="3" t="s">
        <v>327</v>
      </c>
      <c r="K1363" s="9">
        <v>44813</v>
      </c>
      <c r="L1363" s="6" t="s">
        <v>122</v>
      </c>
      <c r="M1363" s="3" t="s">
        <v>36</v>
      </c>
      <c r="N1363" s="3" t="s">
        <v>122</v>
      </c>
      <c r="O1363" s="8" t="s">
        <v>36</v>
      </c>
      <c r="P1363" s="3" t="s">
        <v>36</v>
      </c>
      <c r="Q1363" s="3" t="s">
        <v>36</v>
      </c>
      <c r="R1363" s="3" t="s">
        <v>36</v>
      </c>
      <c r="S1363" s="3" t="s">
        <v>36</v>
      </c>
      <c r="T1363" s="3" t="s">
        <v>3438</v>
      </c>
      <c r="U1363" s="3" t="s">
        <v>833</v>
      </c>
      <c r="V1363" s="3" t="s">
        <v>64</v>
      </c>
      <c r="W1363" s="3" t="s">
        <v>3439</v>
      </c>
      <c r="X1363" s="10" t="s">
        <v>8115</v>
      </c>
      <c r="Y1363" s="6" t="s">
        <v>42</v>
      </c>
      <c r="Z1363" s="4">
        <v>4.08</v>
      </c>
      <c r="AA1363" s="4">
        <v>13.61</v>
      </c>
      <c r="AB1363" s="3" t="s">
        <v>43</v>
      </c>
      <c r="AC1363" s="3" t="s">
        <v>3441</v>
      </c>
      <c r="AD1363" s="9">
        <v>45021</v>
      </c>
      <c r="AE1363" s="3" t="s">
        <v>837</v>
      </c>
      <c r="AF1363" s="3" t="s">
        <v>90</v>
      </c>
      <c r="AG1363" s="3" t="s">
        <v>186</v>
      </c>
      <c r="AH1363" s="11">
        <f>HYPERLINK("https://my.pitchbook.com?c=215520-76T","View Company Online")</f>
      </c>
    </row>
    <row r="1364">
      <c r="A1364" s="12" t="s">
        <v>8116</v>
      </c>
      <c r="B1364" s="12" t="s">
        <v>8117</v>
      </c>
      <c r="C1364" s="19">
        <v>8</v>
      </c>
      <c r="D1364" s="19">
        <v>35</v>
      </c>
      <c r="E1364" s="19">
        <v>10</v>
      </c>
      <c r="F1364" s="19">
        <v>44</v>
      </c>
      <c r="G1364" s="15" t="s">
        <v>36</v>
      </c>
      <c r="H1364" s="14">
        <v>1062.36</v>
      </c>
      <c r="I1364" s="18">
        <v>13.62</v>
      </c>
      <c r="J1364" s="12" t="s">
        <v>521</v>
      </c>
      <c r="K1364" s="13" t="s">
        <v>36</v>
      </c>
      <c r="L1364" s="15" t="s">
        <v>36</v>
      </c>
      <c r="M1364" s="12" t="s">
        <v>36</v>
      </c>
      <c r="N1364" s="12" t="s">
        <v>36</v>
      </c>
      <c r="O1364" s="17" t="s">
        <v>36</v>
      </c>
      <c r="P1364" s="12" t="s">
        <v>36</v>
      </c>
      <c r="Q1364" s="12" t="s">
        <v>36</v>
      </c>
      <c r="R1364" s="12" t="s">
        <v>36</v>
      </c>
      <c r="S1364" s="12" t="s">
        <v>36</v>
      </c>
      <c r="T1364" s="12" t="s">
        <v>8118</v>
      </c>
      <c r="U1364" s="12" t="s">
        <v>833</v>
      </c>
      <c r="V1364" s="12" t="s">
        <v>64</v>
      </c>
      <c r="W1364" s="12" t="s">
        <v>8119</v>
      </c>
      <c r="X1364" s="16" t="s">
        <v>8120</v>
      </c>
      <c r="Y1364" s="15" t="s">
        <v>108</v>
      </c>
      <c r="Z1364" s="14">
        <v>4.58</v>
      </c>
      <c r="AA1364" s="14">
        <v>33.62</v>
      </c>
      <c r="AB1364" s="12" t="s">
        <v>56</v>
      </c>
      <c r="AC1364" s="12" t="s">
        <v>8121</v>
      </c>
      <c r="AD1364" s="13">
        <v>45021</v>
      </c>
      <c r="AE1364" s="12" t="s">
        <v>1769</v>
      </c>
      <c r="AF1364" s="12" t="s">
        <v>2363</v>
      </c>
      <c r="AG1364" s="12" t="s">
        <v>899</v>
      </c>
      <c r="AH1364" s="1">
        <f>HYPERLINK("https://my.pitchbook.com?c=219960-82T","View Company Online")</f>
      </c>
    </row>
    <row r="1365">
      <c r="A1365" s="3" t="s">
        <v>8122</v>
      </c>
      <c r="B1365" s="3" t="s">
        <v>8123</v>
      </c>
      <c r="C1365" s="5" t="s">
        <v>36</v>
      </c>
      <c r="D1365" s="5" t="s">
        <v>36</v>
      </c>
      <c r="E1365" s="5" t="s">
        <v>36</v>
      </c>
      <c r="F1365" s="5" t="s">
        <v>36</v>
      </c>
      <c r="G1365" s="6" t="s">
        <v>36</v>
      </c>
      <c r="H1365" s="4">
        <v>20.51</v>
      </c>
      <c r="I1365" s="7">
        <v>20.19</v>
      </c>
      <c r="J1365" s="3" t="s">
        <v>521</v>
      </c>
      <c r="K1365" s="9" t="s">
        <v>36</v>
      </c>
      <c r="L1365" s="6" t="s">
        <v>36</v>
      </c>
      <c r="M1365" s="3" t="s">
        <v>36</v>
      </c>
      <c r="N1365" s="3" t="s">
        <v>36</v>
      </c>
      <c r="O1365" s="8" t="s">
        <v>36</v>
      </c>
      <c r="P1365" s="3" t="s">
        <v>36</v>
      </c>
      <c r="Q1365" s="3" t="s">
        <v>36</v>
      </c>
      <c r="R1365" s="3" t="s">
        <v>36</v>
      </c>
      <c r="S1365" s="3" t="s">
        <v>36</v>
      </c>
      <c r="T1365" s="3" t="s">
        <v>550</v>
      </c>
      <c r="U1365" s="3" t="s">
        <v>38</v>
      </c>
      <c r="V1365" s="3" t="s">
        <v>39</v>
      </c>
      <c r="W1365" s="3" t="s">
        <v>8124</v>
      </c>
      <c r="X1365" s="10" t="s">
        <v>8125</v>
      </c>
      <c r="Y1365" s="6" t="s">
        <v>42</v>
      </c>
      <c r="Z1365" s="4">
        <v>0.05</v>
      </c>
      <c r="AA1365" s="4">
        <v>0.27</v>
      </c>
      <c r="AB1365" s="3" t="s">
        <v>43</v>
      </c>
      <c r="AC1365" s="3" t="s">
        <v>8126</v>
      </c>
      <c r="AD1365" s="9">
        <v>45020</v>
      </c>
      <c r="AE1365" s="3" t="s">
        <v>554</v>
      </c>
      <c r="AF1365" s="3" t="s">
        <v>555</v>
      </c>
      <c r="AG1365" s="3" t="s">
        <v>81</v>
      </c>
      <c r="AH1365" s="11">
        <f>HYPERLINK("https://my.pitchbook.com?c=233598-97T","View Company Online")</f>
      </c>
    </row>
    <row r="1366">
      <c r="A1366" s="12" t="s">
        <v>8127</v>
      </c>
      <c r="B1366" s="12" t="s">
        <v>8128</v>
      </c>
      <c r="C1366" s="19">
        <v>4</v>
      </c>
      <c r="D1366" s="19">
        <v>33</v>
      </c>
      <c r="E1366" s="19">
        <v>9</v>
      </c>
      <c r="F1366" s="19">
        <v>45</v>
      </c>
      <c r="G1366" s="15" t="s">
        <v>2497</v>
      </c>
      <c r="H1366" s="14">
        <v>27</v>
      </c>
      <c r="I1366" s="18">
        <v>12.01</v>
      </c>
      <c r="J1366" s="12" t="s">
        <v>521</v>
      </c>
      <c r="K1366" s="13" t="s">
        <v>36</v>
      </c>
      <c r="L1366" s="15" t="s">
        <v>36</v>
      </c>
      <c r="M1366" s="12" t="s">
        <v>36</v>
      </c>
      <c r="N1366" s="12" t="s">
        <v>36</v>
      </c>
      <c r="O1366" s="17" t="s">
        <v>36</v>
      </c>
      <c r="P1366" s="12" t="s">
        <v>36</v>
      </c>
      <c r="Q1366" s="12" t="s">
        <v>36</v>
      </c>
      <c r="R1366" s="12" t="s">
        <v>36</v>
      </c>
      <c r="S1366" s="12" t="s">
        <v>36</v>
      </c>
      <c r="T1366" s="12" t="s">
        <v>2176</v>
      </c>
      <c r="U1366" s="12" t="s">
        <v>51</v>
      </c>
      <c r="V1366" s="12" t="s">
        <v>52</v>
      </c>
      <c r="W1366" s="12" t="s">
        <v>8129</v>
      </c>
      <c r="X1366" s="16" t="s">
        <v>8130</v>
      </c>
      <c r="Y1366" s="15" t="s">
        <v>1120</v>
      </c>
      <c r="Z1366" s="14">
        <v>2.76</v>
      </c>
      <c r="AA1366" s="14">
        <v>23</v>
      </c>
      <c r="AB1366" s="12" t="s">
        <v>56</v>
      </c>
      <c r="AC1366" s="12" t="s">
        <v>8131</v>
      </c>
      <c r="AD1366" s="13">
        <v>45020</v>
      </c>
      <c r="AE1366" s="12" t="s">
        <v>158</v>
      </c>
      <c r="AF1366" s="12" t="s">
        <v>8132</v>
      </c>
      <c r="AG1366" s="12" t="s">
        <v>81</v>
      </c>
      <c r="AH1366" s="1">
        <f>HYPERLINK("https://my.pitchbook.com?c=221219-20T","View Company Online")</f>
      </c>
    </row>
    <row r="1367">
      <c r="A1367" s="3" t="s">
        <v>8133</v>
      </c>
      <c r="B1367" s="3" t="s">
        <v>8134</v>
      </c>
      <c r="C1367" s="5" t="s">
        <v>36</v>
      </c>
      <c r="D1367" s="5" t="s">
        <v>36</v>
      </c>
      <c r="E1367" s="5" t="s">
        <v>36</v>
      </c>
      <c r="F1367" s="5" t="s">
        <v>36</v>
      </c>
      <c r="G1367" s="6" t="s">
        <v>36</v>
      </c>
      <c r="H1367" s="4" t="s">
        <v>36</v>
      </c>
      <c r="I1367" s="7" t="s">
        <v>36</v>
      </c>
      <c r="J1367" s="3" t="s">
        <v>36</v>
      </c>
      <c r="K1367" s="9" t="s">
        <v>36</v>
      </c>
      <c r="L1367" s="6" t="s">
        <v>36</v>
      </c>
      <c r="M1367" s="3" t="s">
        <v>36</v>
      </c>
      <c r="N1367" s="3" t="s">
        <v>36</v>
      </c>
      <c r="O1367" s="8" t="s">
        <v>36</v>
      </c>
      <c r="P1367" s="3" t="s">
        <v>36</v>
      </c>
      <c r="Q1367" s="3" t="s">
        <v>36</v>
      </c>
      <c r="R1367" s="3" t="s">
        <v>36</v>
      </c>
      <c r="S1367" s="3" t="s">
        <v>36</v>
      </c>
      <c r="T1367" s="3" t="s">
        <v>464</v>
      </c>
      <c r="U1367" s="3" t="s">
        <v>38</v>
      </c>
      <c r="V1367" s="3" t="s">
        <v>39</v>
      </c>
      <c r="W1367" s="3" t="s">
        <v>8135</v>
      </c>
      <c r="X1367" s="10" t="s">
        <v>3388</v>
      </c>
      <c r="Y1367" s="6" t="s">
        <v>108</v>
      </c>
      <c r="Z1367" s="4">
        <v>1.5</v>
      </c>
      <c r="AA1367" s="4" t="s">
        <v>36</v>
      </c>
      <c r="AB1367" s="3" t="s">
        <v>56</v>
      </c>
      <c r="AC1367" s="3" t="s">
        <v>8136</v>
      </c>
      <c r="AD1367" s="9">
        <v>45020</v>
      </c>
      <c r="AE1367" s="3" t="s">
        <v>110</v>
      </c>
      <c r="AF1367" s="3" t="s">
        <v>7294</v>
      </c>
      <c r="AG1367" s="3" t="s">
        <v>4796</v>
      </c>
      <c r="AH1367" s="11">
        <f>HYPERLINK("https://my.pitchbook.com?c=219815-56T","View Company Online")</f>
      </c>
    </row>
    <row r="1368">
      <c r="A1368" s="12" t="s">
        <v>8137</v>
      </c>
      <c r="B1368" s="12" t="s">
        <v>8138</v>
      </c>
      <c r="C1368" s="19" t="s">
        <v>36</v>
      </c>
      <c r="D1368" s="19" t="s">
        <v>36</v>
      </c>
      <c r="E1368" s="19" t="s">
        <v>36</v>
      </c>
      <c r="F1368" s="19" t="s">
        <v>36</v>
      </c>
      <c r="G1368" s="15" t="s">
        <v>36</v>
      </c>
      <c r="H1368" s="14" t="s">
        <v>36</v>
      </c>
      <c r="I1368" s="18" t="s">
        <v>36</v>
      </c>
      <c r="J1368" s="12" t="s">
        <v>36</v>
      </c>
      <c r="K1368" s="13" t="s">
        <v>36</v>
      </c>
      <c r="L1368" s="15" t="s">
        <v>36</v>
      </c>
      <c r="M1368" s="12" t="s">
        <v>36</v>
      </c>
      <c r="N1368" s="12" t="s">
        <v>36</v>
      </c>
      <c r="O1368" s="17" t="s">
        <v>36</v>
      </c>
      <c r="P1368" s="12" t="s">
        <v>36</v>
      </c>
      <c r="Q1368" s="12" t="s">
        <v>36</v>
      </c>
      <c r="R1368" s="12" t="s">
        <v>36</v>
      </c>
      <c r="S1368" s="12" t="s">
        <v>36</v>
      </c>
      <c r="T1368" s="12" t="s">
        <v>8139</v>
      </c>
      <c r="U1368" s="12" t="s">
        <v>38</v>
      </c>
      <c r="V1368" s="12" t="s">
        <v>39</v>
      </c>
      <c r="W1368" s="12" t="s">
        <v>8140</v>
      </c>
      <c r="X1368" s="16" t="s">
        <v>221</v>
      </c>
      <c r="Y1368" s="15" t="s">
        <v>42</v>
      </c>
      <c r="Z1368" s="14" t="s">
        <v>36</v>
      </c>
      <c r="AA1368" s="14" t="s">
        <v>36</v>
      </c>
      <c r="AB1368" s="12" t="s">
        <v>43</v>
      </c>
      <c r="AC1368" s="12" t="s">
        <v>8141</v>
      </c>
      <c r="AD1368" s="13">
        <v>45017</v>
      </c>
      <c r="AE1368" s="12" t="s">
        <v>1330</v>
      </c>
      <c r="AF1368" s="12" t="s">
        <v>90</v>
      </c>
      <c r="AG1368" s="12" t="s">
        <v>81</v>
      </c>
      <c r="AH1368" s="1">
        <f>HYPERLINK("https://my.pitchbook.com?c=222632-02T","View Company Online")</f>
      </c>
    </row>
    <row r="1369">
      <c r="A1369" s="3" t="s">
        <v>8142</v>
      </c>
      <c r="B1369" s="3" t="s">
        <v>8143</v>
      </c>
      <c r="C1369" s="5" t="s">
        <v>36</v>
      </c>
      <c r="D1369" s="5" t="s">
        <v>36</v>
      </c>
      <c r="E1369" s="5" t="s">
        <v>36</v>
      </c>
      <c r="F1369" s="5" t="s">
        <v>36</v>
      </c>
      <c r="G1369" s="6" t="s">
        <v>36</v>
      </c>
      <c r="H1369" s="4" t="s">
        <v>36</v>
      </c>
      <c r="I1369" s="7" t="s">
        <v>36</v>
      </c>
      <c r="J1369" s="3" t="s">
        <v>36</v>
      </c>
      <c r="K1369" s="9" t="s">
        <v>36</v>
      </c>
      <c r="L1369" s="6" t="s">
        <v>36</v>
      </c>
      <c r="M1369" s="3" t="s">
        <v>36</v>
      </c>
      <c r="N1369" s="3" t="s">
        <v>36</v>
      </c>
      <c r="O1369" s="8" t="s">
        <v>36</v>
      </c>
      <c r="P1369" s="3" t="s">
        <v>36</v>
      </c>
      <c r="Q1369" s="3" t="s">
        <v>36</v>
      </c>
      <c r="R1369" s="3" t="s">
        <v>36</v>
      </c>
      <c r="S1369" s="3" t="s">
        <v>36</v>
      </c>
      <c r="T1369" s="3" t="s">
        <v>2255</v>
      </c>
      <c r="U1369" s="3" t="s">
        <v>833</v>
      </c>
      <c r="V1369" s="3" t="s">
        <v>64</v>
      </c>
      <c r="W1369" s="3" t="s">
        <v>8144</v>
      </c>
      <c r="X1369" s="10" t="s">
        <v>8145</v>
      </c>
      <c r="Y1369" s="6" t="s">
        <v>55</v>
      </c>
      <c r="Z1369" s="4" t="s">
        <v>36</v>
      </c>
      <c r="AA1369" s="4" t="s">
        <v>36</v>
      </c>
      <c r="AB1369" s="3" t="s">
        <v>56</v>
      </c>
      <c r="AC1369" s="3" t="s">
        <v>8146</v>
      </c>
      <c r="AD1369" s="9">
        <v>45017</v>
      </c>
      <c r="AE1369" s="3" t="s">
        <v>1769</v>
      </c>
      <c r="AF1369" s="3" t="s">
        <v>8147</v>
      </c>
      <c r="AG1369" s="3" t="s">
        <v>81</v>
      </c>
      <c r="AH1369" s="11">
        <f>HYPERLINK("https://my.pitchbook.com?c=233862-85T","View Company Online")</f>
      </c>
    </row>
    <row r="1370">
      <c r="A1370" s="12" t="s">
        <v>8148</v>
      </c>
      <c r="B1370" s="12" t="s">
        <v>1695</v>
      </c>
      <c r="C1370" s="19" t="s">
        <v>36</v>
      </c>
      <c r="D1370" s="19" t="s">
        <v>36</v>
      </c>
      <c r="E1370" s="19" t="s">
        <v>36</v>
      </c>
      <c r="F1370" s="19" t="s">
        <v>36</v>
      </c>
      <c r="G1370" s="15" t="s">
        <v>36</v>
      </c>
      <c r="H1370" s="14" t="s">
        <v>36</v>
      </c>
      <c r="I1370" s="18" t="s">
        <v>36</v>
      </c>
      <c r="J1370" s="12" t="s">
        <v>36</v>
      </c>
      <c r="K1370" s="13" t="s">
        <v>36</v>
      </c>
      <c r="L1370" s="15" t="s">
        <v>36</v>
      </c>
      <c r="M1370" s="12" t="s">
        <v>36</v>
      </c>
      <c r="N1370" s="12" t="s">
        <v>36</v>
      </c>
      <c r="O1370" s="17" t="s">
        <v>36</v>
      </c>
      <c r="P1370" s="12" t="s">
        <v>36</v>
      </c>
      <c r="Q1370" s="12" t="s">
        <v>36</v>
      </c>
      <c r="R1370" s="12" t="s">
        <v>36</v>
      </c>
      <c r="S1370" s="12" t="s">
        <v>36</v>
      </c>
      <c r="T1370" s="12" t="s">
        <v>422</v>
      </c>
      <c r="U1370" s="12" t="s">
        <v>423</v>
      </c>
      <c r="V1370" s="12" t="s">
        <v>64</v>
      </c>
      <c r="W1370" s="12" t="s">
        <v>1696</v>
      </c>
      <c r="X1370" s="16" t="s">
        <v>8149</v>
      </c>
      <c r="Y1370" s="15" t="s">
        <v>55</v>
      </c>
      <c r="Z1370" s="14" t="s">
        <v>36</v>
      </c>
      <c r="AA1370" s="14" t="s">
        <v>36</v>
      </c>
      <c r="AB1370" s="12" t="s">
        <v>43</v>
      </c>
      <c r="AC1370" s="12" t="s">
        <v>1698</v>
      </c>
      <c r="AD1370" s="13">
        <v>45017</v>
      </c>
      <c r="AE1370" s="12" t="s">
        <v>427</v>
      </c>
      <c r="AF1370" s="12" t="s">
        <v>90</v>
      </c>
      <c r="AG1370" s="12" t="s">
        <v>81</v>
      </c>
      <c r="AH1370" s="1">
        <f>HYPERLINK("https://my.pitchbook.com?c=218924-02T","View Company Online")</f>
      </c>
    </row>
    <row r="1371">
      <c r="A1371" s="3" t="s">
        <v>8150</v>
      </c>
      <c r="B1371" s="3" t="s">
        <v>8151</v>
      </c>
      <c r="C1371" s="5" t="s">
        <v>36</v>
      </c>
      <c r="D1371" s="5" t="s">
        <v>36</v>
      </c>
      <c r="E1371" s="5" t="s">
        <v>36</v>
      </c>
      <c r="F1371" s="5" t="s">
        <v>36</v>
      </c>
      <c r="G1371" s="6" t="s">
        <v>36</v>
      </c>
      <c r="H1371" s="4" t="s">
        <v>36</v>
      </c>
      <c r="I1371" s="7" t="s">
        <v>36</v>
      </c>
      <c r="J1371" s="3" t="s">
        <v>36</v>
      </c>
      <c r="K1371" s="9" t="s">
        <v>36</v>
      </c>
      <c r="L1371" s="6" t="s">
        <v>36</v>
      </c>
      <c r="M1371" s="3" t="s">
        <v>36</v>
      </c>
      <c r="N1371" s="3" t="s">
        <v>36</v>
      </c>
      <c r="O1371" s="8" t="s">
        <v>36</v>
      </c>
      <c r="P1371" s="3" t="s">
        <v>36</v>
      </c>
      <c r="Q1371" s="3" t="s">
        <v>36</v>
      </c>
      <c r="R1371" s="3" t="s">
        <v>36</v>
      </c>
      <c r="S1371" s="3" t="s">
        <v>6583</v>
      </c>
      <c r="T1371" s="3" t="s">
        <v>8152</v>
      </c>
      <c r="U1371" s="3" t="s">
        <v>38</v>
      </c>
      <c r="V1371" s="3" t="s">
        <v>39</v>
      </c>
      <c r="W1371" s="3" t="s">
        <v>8153</v>
      </c>
      <c r="X1371" s="10" t="s">
        <v>8154</v>
      </c>
      <c r="Y1371" s="6" t="s">
        <v>42</v>
      </c>
      <c r="Z1371" s="4" t="s">
        <v>36</v>
      </c>
      <c r="AA1371" s="4" t="s">
        <v>36</v>
      </c>
      <c r="AB1371" s="3" t="s">
        <v>43</v>
      </c>
      <c r="AC1371" s="3" t="s">
        <v>8155</v>
      </c>
      <c r="AD1371" s="9">
        <v>45017</v>
      </c>
      <c r="AE1371" s="3" t="s">
        <v>110</v>
      </c>
      <c r="AF1371" s="3" t="s">
        <v>8156</v>
      </c>
      <c r="AG1371" s="3" t="s">
        <v>2088</v>
      </c>
      <c r="AH1371" s="11">
        <f>HYPERLINK("https://my.pitchbook.com?c=221438-71T","View Company Online")</f>
      </c>
    </row>
    <row r="1372">
      <c r="A1372" s="12" t="s">
        <v>8157</v>
      </c>
      <c r="B1372" s="12" t="s">
        <v>8158</v>
      </c>
      <c r="C1372" s="19" t="s">
        <v>36</v>
      </c>
      <c r="D1372" s="19" t="s">
        <v>36</v>
      </c>
      <c r="E1372" s="19" t="s">
        <v>36</v>
      </c>
      <c r="F1372" s="19" t="s">
        <v>36</v>
      </c>
      <c r="G1372" s="15" t="s">
        <v>36</v>
      </c>
      <c r="H1372" s="14" t="s">
        <v>36</v>
      </c>
      <c r="I1372" s="18" t="s">
        <v>36</v>
      </c>
      <c r="J1372" s="12" t="s">
        <v>36</v>
      </c>
      <c r="K1372" s="13" t="s">
        <v>36</v>
      </c>
      <c r="L1372" s="15" t="s">
        <v>36</v>
      </c>
      <c r="M1372" s="12" t="s">
        <v>36</v>
      </c>
      <c r="N1372" s="12" t="s">
        <v>36</v>
      </c>
      <c r="O1372" s="17" t="s">
        <v>36</v>
      </c>
      <c r="P1372" s="12" t="s">
        <v>36</v>
      </c>
      <c r="Q1372" s="12" t="s">
        <v>36</v>
      </c>
      <c r="R1372" s="12" t="s">
        <v>36</v>
      </c>
      <c r="S1372" s="12" t="s">
        <v>36</v>
      </c>
      <c r="T1372" s="12" t="s">
        <v>8159</v>
      </c>
      <c r="U1372" s="12" t="s">
        <v>63</v>
      </c>
      <c r="V1372" s="12" t="s">
        <v>64</v>
      </c>
      <c r="W1372" s="12" t="s">
        <v>8160</v>
      </c>
      <c r="X1372" s="16" t="s">
        <v>2130</v>
      </c>
      <c r="Y1372" s="15" t="s">
        <v>55</v>
      </c>
      <c r="Z1372" s="14" t="s">
        <v>36</v>
      </c>
      <c r="AA1372" s="14" t="s">
        <v>36</v>
      </c>
      <c r="AB1372" s="12" t="s">
        <v>56</v>
      </c>
      <c r="AC1372" s="12" t="s">
        <v>8161</v>
      </c>
      <c r="AD1372" s="13">
        <v>45017</v>
      </c>
      <c r="AE1372" s="12" t="s">
        <v>642</v>
      </c>
      <c r="AF1372" s="12" t="s">
        <v>36</v>
      </c>
      <c r="AG1372" s="12" t="s">
        <v>81</v>
      </c>
      <c r="AH1372" s="1">
        <f>HYPERLINK("https://my.pitchbook.com?c=223220-71T","View Company Online")</f>
      </c>
    </row>
    <row r="1373">
      <c r="A1373" s="3" t="s">
        <v>8162</v>
      </c>
      <c r="B1373" s="3" t="s">
        <v>8163</v>
      </c>
      <c r="C1373" s="5" t="s">
        <v>36</v>
      </c>
      <c r="D1373" s="5" t="s">
        <v>36</v>
      </c>
      <c r="E1373" s="5" t="s">
        <v>36</v>
      </c>
      <c r="F1373" s="5" t="s">
        <v>36</v>
      </c>
      <c r="G1373" s="6" t="s">
        <v>36</v>
      </c>
      <c r="H1373" s="4" t="s">
        <v>36</v>
      </c>
      <c r="I1373" s="7" t="s">
        <v>36</v>
      </c>
      <c r="J1373" s="3" t="s">
        <v>36</v>
      </c>
      <c r="K1373" s="9" t="s">
        <v>36</v>
      </c>
      <c r="L1373" s="6" t="s">
        <v>36</v>
      </c>
      <c r="M1373" s="3" t="s">
        <v>36</v>
      </c>
      <c r="N1373" s="3" t="s">
        <v>36</v>
      </c>
      <c r="O1373" s="8" t="s">
        <v>36</v>
      </c>
      <c r="P1373" s="3" t="s">
        <v>36</v>
      </c>
      <c r="Q1373" s="3" t="s">
        <v>36</v>
      </c>
      <c r="R1373" s="3" t="s">
        <v>36</v>
      </c>
      <c r="S1373" s="3" t="s">
        <v>36</v>
      </c>
      <c r="T1373" s="3" t="s">
        <v>8164</v>
      </c>
      <c r="U1373" s="3" t="s">
        <v>38</v>
      </c>
      <c r="V1373" s="3" t="s">
        <v>39</v>
      </c>
      <c r="W1373" s="3" t="s">
        <v>8165</v>
      </c>
      <c r="X1373" s="10" t="s">
        <v>8166</v>
      </c>
      <c r="Y1373" s="6" t="s">
        <v>42</v>
      </c>
      <c r="Z1373" s="4" t="s">
        <v>36</v>
      </c>
      <c r="AA1373" s="4" t="s">
        <v>36</v>
      </c>
      <c r="AB1373" s="3" t="s">
        <v>43</v>
      </c>
      <c r="AC1373" s="3" t="s">
        <v>8167</v>
      </c>
      <c r="AD1373" s="9">
        <v>45017</v>
      </c>
      <c r="AE1373" s="3" t="s">
        <v>554</v>
      </c>
      <c r="AF1373" s="3" t="s">
        <v>1380</v>
      </c>
      <c r="AG1373" s="3" t="s">
        <v>1369</v>
      </c>
      <c r="AH1373" s="11">
        <f>HYPERLINK("https://my.pitchbook.com?c=220386-70T","View Company Online")</f>
      </c>
    </row>
    <row r="1374">
      <c r="A1374" s="12" t="s">
        <v>8168</v>
      </c>
      <c r="B1374" s="12" t="s">
        <v>8169</v>
      </c>
      <c r="C1374" s="19">
        <v>4</v>
      </c>
      <c r="D1374" s="19">
        <v>2</v>
      </c>
      <c r="E1374" s="19">
        <v>5</v>
      </c>
      <c r="F1374" s="19">
        <v>6</v>
      </c>
      <c r="G1374" s="15" t="s">
        <v>36</v>
      </c>
      <c r="H1374" s="14" t="s">
        <v>36</v>
      </c>
      <c r="I1374" s="18" t="s">
        <v>36</v>
      </c>
      <c r="J1374" s="12" t="s">
        <v>36</v>
      </c>
      <c r="K1374" s="13" t="s">
        <v>36</v>
      </c>
      <c r="L1374" s="15" t="s">
        <v>36</v>
      </c>
      <c r="M1374" s="12" t="s">
        <v>36</v>
      </c>
      <c r="N1374" s="12" t="s">
        <v>36</v>
      </c>
      <c r="O1374" s="17" t="s">
        <v>36</v>
      </c>
      <c r="P1374" s="12" t="s">
        <v>36</v>
      </c>
      <c r="Q1374" s="12" t="s">
        <v>36</v>
      </c>
      <c r="R1374" s="12" t="s">
        <v>36</v>
      </c>
      <c r="S1374" s="12" t="s">
        <v>36</v>
      </c>
      <c r="T1374" s="12" t="s">
        <v>5702</v>
      </c>
      <c r="U1374" s="12" t="s">
        <v>38</v>
      </c>
      <c r="V1374" s="12" t="s">
        <v>39</v>
      </c>
      <c r="W1374" s="12" t="s">
        <v>8170</v>
      </c>
      <c r="X1374" s="16" t="s">
        <v>8171</v>
      </c>
      <c r="Y1374" s="15" t="s">
        <v>108</v>
      </c>
      <c r="Z1374" s="14" t="s">
        <v>36</v>
      </c>
      <c r="AA1374" s="14" t="s">
        <v>36</v>
      </c>
      <c r="AB1374" s="12" t="s">
        <v>56</v>
      </c>
      <c r="AC1374" s="12" t="s">
        <v>8172</v>
      </c>
      <c r="AD1374" s="13">
        <v>45017</v>
      </c>
      <c r="AE1374" s="12" t="s">
        <v>134</v>
      </c>
      <c r="AF1374" s="12" t="s">
        <v>275</v>
      </c>
      <c r="AG1374" s="12" t="s">
        <v>81</v>
      </c>
      <c r="AH1374" s="1">
        <f>HYPERLINK("https://my.pitchbook.com?c=273865-69T","View Company Online")</f>
      </c>
    </row>
    <row r="1375">
      <c r="A1375" s="3" t="s">
        <v>8173</v>
      </c>
      <c r="B1375" s="3" t="s">
        <v>1409</v>
      </c>
      <c r="C1375" s="5">
        <v>16</v>
      </c>
      <c r="D1375" s="5">
        <v>21</v>
      </c>
      <c r="E1375" s="5">
        <v>8</v>
      </c>
      <c r="F1375" s="5">
        <v>37</v>
      </c>
      <c r="G1375" s="6" t="s">
        <v>36</v>
      </c>
      <c r="H1375" s="4" t="s">
        <v>36</v>
      </c>
      <c r="I1375" s="7" t="s">
        <v>36</v>
      </c>
      <c r="J1375" s="3" t="s">
        <v>36</v>
      </c>
      <c r="K1375" s="9" t="s">
        <v>36</v>
      </c>
      <c r="L1375" s="6" t="s">
        <v>122</v>
      </c>
      <c r="M1375" s="3" t="s">
        <v>36</v>
      </c>
      <c r="N1375" s="3" t="s">
        <v>122</v>
      </c>
      <c r="O1375" s="8" t="s">
        <v>36</v>
      </c>
      <c r="P1375" s="3" t="s">
        <v>36</v>
      </c>
      <c r="Q1375" s="3" t="s">
        <v>36</v>
      </c>
      <c r="R1375" s="3" t="s">
        <v>36</v>
      </c>
      <c r="S1375" s="3" t="s">
        <v>36</v>
      </c>
      <c r="T1375" s="3" t="s">
        <v>1410</v>
      </c>
      <c r="U1375" s="3" t="s">
        <v>96</v>
      </c>
      <c r="V1375" s="3" t="s">
        <v>52</v>
      </c>
      <c r="W1375" s="3" t="s">
        <v>1411</v>
      </c>
      <c r="X1375" s="10" t="s">
        <v>8174</v>
      </c>
      <c r="Y1375" s="6" t="s">
        <v>108</v>
      </c>
      <c r="Z1375" s="4" t="s">
        <v>36</v>
      </c>
      <c r="AA1375" s="4" t="s">
        <v>36</v>
      </c>
      <c r="AB1375" s="3" t="s">
        <v>43</v>
      </c>
      <c r="AC1375" s="3" t="s">
        <v>1413</v>
      </c>
      <c r="AD1375" s="9">
        <v>45017</v>
      </c>
      <c r="AE1375" s="3" t="s">
        <v>1414</v>
      </c>
      <c r="AF1375" s="3" t="s">
        <v>1415</v>
      </c>
      <c r="AG1375" s="3" t="s">
        <v>81</v>
      </c>
      <c r="AH1375" s="11">
        <f>HYPERLINK("https://my.pitchbook.com?c=226386-55T","View Company Online")</f>
      </c>
    </row>
    <row r="1376">
      <c r="A1376" s="12" t="s">
        <v>8175</v>
      </c>
      <c r="B1376" s="12" t="s">
        <v>3182</v>
      </c>
      <c r="C1376" s="19" t="s">
        <v>36</v>
      </c>
      <c r="D1376" s="19" t="s">
        <v>36</v>
      </c>
      <c r="E1376" s="19" t="s">
        <v>36</v>
      </c>
      <c r="F1376" s="19" t="s">
        <v>36</v>
      </c>
      <c r="G1376" s="15" t="s">
        <v>36</v>
      </c>
      <c r="H1376" s="14" t="s">
        <v>36</v>
      </c>
      <c r="I1376" s="18" t="s">
        <v>36</v>
      </c>
      <c r="J1376" s="12" t="s">
        <v>36</v>
      </c>
      <c r="K1376" s="13" t="s">
        <v>36</v>
      </c>
      <c r="L1376" s="15" t="s">
        <v>36</v>
      </c>
      <c r="M1376" s="12" t="s">
        <v>36</v>
      </c>
      <c r="N1376" s="12" t="s">
        <v>36</v>
      </c>
      <c r="O1376" s="17" t="s">
        <v>36</v>
      </c>
      <c r="P1376" s="12" t="s">
        <v>36</v>
      </c>
      <c r="Q1376" s="12" t="s">
        <v>36</v>
      </c>
      <c r="R1376" s="12" t="s">
        <v>36</v>
      </c>
      <c r="S1376" s="12" t="s">
        <v>36</v>
      </c>
      <c r="T1376" s="12" t="s">
        <v>3183</v>
      </c>
      <c r="U1376" s="12" t="s">
        <v>38</v>
      </c>
      <c r="V1376" s="12" t="s">
        <v>39</v>
      </c>
      <c r="W1376" s="12" t="s">
        <v>3184</v>
      </c>
      <c r="X1376" s="16" t="s">
        <v>8176</v>
      </c>
      <c r="Y1376" s="15" t="s">
        <v>55</v>
      </c>
      <c r="Z1376" s="14">
        <v>2</v>
      </c>
      <c r="AA1376" s="14" t="s">
        <v>36</v>
      </c>
      <c r="AB1376" s="12" t="s">
        <v>43</v>
      </c>
      <c r="AC1376" s="12" t="s">
        <v>3186</v>
      </c>
      <c r="AD1376" s="13">
        <v>45017</v>
      </c>
      <c r="AE1376" s="12" t="s">
        <v>45</v>
      </c>
      <c r="AF1376" s="12" t="s">
        <v>3187</v>
      </c>
      <c r="AG1376" s="12" t="s">
        <v>3188</v>
      </c>
      <c r="AH1376" s="1">
        <f>HYPERLINK("https://my.pitchbook.com?c=232195-96T","View Company Online")</f>
      </c>
    </row>
    <row r="1377">
      <c r="A1377" s="3" t="s">
        <v>8177</v>
      </c>
      <c r="B1377" s="3" t="s">
        <v>8178</v>
      </c>
      <c r="C1377" s="5" t="s">
        <v>36</v>
      </c>
      <c r="D1377" s="5" t="s">
        <v>36</v>
      </c>
      <c r="E1377" s="5" t="s">
        <v>36</v>
      </c>
      <c r="F1377" s="5" t="s">
        <v>36</v>
      </c>
      <c r="G1377" s="6" t="s">
        <v>326</v>
      </c>
      <c r="H1377" s="4">
        <v>49.36</v>
      </c>
      <c r="I1377" s="7">
        <v>7.11</v>
      </c>
      <c r="J1377" s="3" t="s">
        <v>521</v>
      </c>
      <c r="K1377" s="9" t="s">
        <v>36</v>
      </c>
      <c r="L1377" s="6" t="s">
        <v>36</v>
      </c>
      <c r="M1377" s="3" t="s">
        <v>36</v>
      </c>
      <c r="N1377" s="3" t="s">
        <v>36</v>
      </c>
      <c r="O1377" s="8" t="s">
        <v>36</v>
      </c>
      <c r="P1377" s="3" t="s">
        <v>36</v>
      </c>
      <c r="Q1377" s="3" t="s">
        <v>36</v>
      </c>
      <c r="R1377" s="3" t="s">
        <v>36</v>
      </c>
      <c r="S1377" s="3" t="s">
        <v>36</v>
      </c>
      <c r="T1377" s="3" t="s">
        <v>1048</v>
      </c>
      <c r="U1377" s="3" t="s">
        <v>423</v>
      </c>
      <c r="V1377" s="3" t="s">
        <v>64</v>
      </c>
      <c r="W1377" s="3" t="s">
        <v>8179</v>
      </c>
      <c r="X1377" s="10" t="s">
        <v>8180</v>
      </c>
      <c r="Y1377" s="6" t="s">
        <v>108</v>
      </c>
      <c r="Z1377" s="4">
        <v>16.09</v>
      </c>
      <c r="AA1377" s="4">
        <v>226.31</v>
      </c>
      <c r="AB1377" s="3" t="s">
        <v>56</v>
      </c>
      <c r="AC1377" s="3" t="s">
        <v>8181</v>
      </c>
      <c r="AD1377" s="9">
        <v>45017</v>
      </c>
      <c r="AE1377" s="3" t="s">
        <v>1051</v>
      </c>
      <c r="AF1377" s="3" t="s">
        <v>8182</v>
      </c>
      <c r="AG1377" s="3" t="s">
        <v>8183</v>
      </c>
      <c r="AH1377" s="11">
        <f>HYPERLINK("https://my.pitchbook.com?c=225028-63T","View Company Online")</f>
      </c>
    </row>
    <row r="1378">
      <c r="A1378" s="12" t="s">
        <v>8184</v>
      </c>
      <c r="B1378" s="12" t="s">
        <v>8185</v>
      </c>
      <c r="C1378" s="19" t="s">
        <v>36</v>
      </c>
      <c r="D1378" s="19" t="s">
        <v>36</v>
      </c>
      <c r="E1378" s="19">
        <v>1</v>
      </c>
      <c r="F1378" s="19">
        <v>1</v>
      </c>
      <c r="G1378" s="15" t="s">
        <v>36</v>
      </c>
      <c r="H1378" s="14" t="s">
        <v>36</v>
      </c>
      <c r="I1378" s="18" t="s">
        <v>36</v>
      </c>
      <c r="J1378" s="12" t="s">
        <v>36</v>
      </c>
      <c r="K1378" s="13" t="s">
        <v>36</v>
      </c>
      <c r="L1378" s="15" t="s">
        <v>36</v>
      </c>
      <c r="M1378" s="12" t="s">
        <v>36</v>
      </c>
      <c r="N1378" s="12" t="s">
        <v>36</v>
      </c>
      <c r="O1378" s="17" t="s">
        <v>36</v>
      </c>
      <c r="P1378" s="12" t="s">
        <v>36</v>
      </c>
      <c r="Q1378" s="12" t="s">
        <v>36</v>
      </c>
      <c r="R1378" s="12" t="s">
        <v>36</v>
      </c>
      <c r="S1378" s="12" t="s">
        <v>36</v>
      </c>
      <c r="T1378" s="12" t="s">
        <v>8186</v>
      </c>
      <c r="U1378" s="12" t="s">
        <v>38</v>
      </c>
      <c r="V1378" s="12" t="s">
        <v>39</v>
      </c>
      <c r="W1378" s="12" t="s">
        <v>8187</v>
      </c>
      <c r="X1378" s="16" t="s">
        <v>2329</v>
      </c>
      <c r="Y1378" s="15" t="s">
        <v>55</v>
      </c>
      <c r="Z1378" s="14" t="s">
        <v>36</v>
      </c>
      <c r="AA1378" s="14" t="s">
        <v>36</v>
      </c>
      <c r="AB1378" s="12" t="s">
        <v>43</v>
      </c>
      <c r="AC1378" s="12" t="s">
        <v>8188</v>
      </c>
      <c r="AD1378" s="13">
        <v>45017</v>
      </c>
      <c r="AE1378" s="12" t="s">
        <v>1945</v>
      </c>
      <c r="AF1378" s="12" t="s">
        <v>8189</v>
      </c>
      <c r="AG1378" s="12" t="s">
        <v>81</v>
      </c>
      <c r="AH1378" s="1">
        <f>HYPERLINK("https://my.pitchbook.com?c=232770-70T","View Company Online")</f>
      </c>
    </row>
    <row r="1379">
      <c r="A1379" s="3" t="s">
        <v>8190</v>
      </c>
      <c r="B1379" s="3" t="s">
        <v>8191</v>
      </c>
      <c r="C1379" s="5" t="s">
        <v>36</v>
      </c>
      <c r="D1379" s="5" t="s">
        <v>36</v>
      </c>
      <c r="E1379" s="5" t="s">
        <v>36</v>
      </c>
      <c r="F1379" s="5" t="s">
        <v>36</v>
      </c>
      <c r="G1379" s="6" t="s">
        <v>36</v>
      </c>
      <c r="H1379" s="4" t="s">
        <v>36</v>
      </c>
      <c r="I1379" s="7" t="s">
        <v>36</v>
      </c>
      <c r="J1379" s="3" t="s">
        <v>36</v>
      </c>
      <c r="K1379" s="9">
        <v>44911</v>
      </c>
      <c r="L1379" s="6" t="s">
        <v>36</v>
      </c>
      <c r="M1379" s="3" t="s">
        <v>36</v>
      </c>
      <c r="N1379" s="3" t="s">
        <v>36</v>
      </c>
      <c r="O1379" s="8" t="s">
        <v>36</v>
      </c>
      <c r="P1379" s="3" t="s">
        <v>36</v>
      </c>
      <c r="Q1379" s="3" t="s">
        <v>36</v>
      </c>
      <c r="R1379" s="3" t="s">
        <v>36</v>
      </c>
      <c r="S1379" s="3" t="s">
        <v>36</v>
      </c>
      <c r="T1379" s="3" t="s">
        <v>5159</v>
      </c>
      <c r="U1379" s="3" t="s">
        <v>74</v>
      </c>
      <c r="V1379" s="3" t="s">
        <v>75</v>
      </c>
      <c r="W1379" s="3" t="s">
        <v>8192</v>
      </c>
      <c r="X1379" s="10" t="s">
        <v>3164</v>
      </c>
      <c r="Y1379" s="6" t="s">
        <v>42</v>
      </c>
      <c r="Z1379" s="4">
        <v>0.15</v>
      </c>
      <c r="AA1379" s="4" t="s">
        <v>36</v>
      </c>
      <c r="AB1379" s="3" t="s">
        <v>43</v>
      </c>
      <c r="AC1379" s="3" t="s">
        <v>8193</v>
      </c>
      <c r="AD1379" s="9">
        <v>45017</v>
      </c>
      <c r="AE1379" s="3" t="s">
        <v>79</v>
      </c>
      <c r="AF1379" s="3" t="s">
        <v>1401</v>
      </c>
      <c r="AG1379" s="3" t="s">
        <v>81</v>
      </c>
      <c r="AH1379" s="11">
        <f>HYPERLINK("https://my.pitchbook.com?c=223670-89T","View Company Online")</f>
      </c>
    </row>
    <row r="1380">
      <c r="A1380" s="12" t="s">
        <v>8194</v>
      </c>
      <c r="B1380" s="12" t="s">
        <v>8195</v>
      </c>
      <c r="C1380" s="19" t="s">
        <v>36</v>
      </c>
      <c r="D1380" s="19" t="s">
        <v>36</v>
      </c>
      <c r="E1380" s="19" t="s">
        <v>36</v>
      </c>
      <c r="F1380" s="19" t="s">
        <v>36</v>
      </c>
      <c r="G1380" s="15" t="s">
        <v>36</v>
      </c>
      <c r="H1380" s="14" t="s">
        <v>36</v>
      </c>
      <c r="I1380" s="18" t="s">
        <v>36</v>
      </c>
      <c r="J1380" s="12" t="s">
        <v>36</v>
      </c>
      <c r="K1380" s="13" t="s">
        <v>36</v>
      </c>
      <c r="L1380" s="15" t="s">
        <v>36</v>
      </c>
      <c r="M1380" s="12" t="s">
        <v>36</v>
      </c>
      <c r="N1380" s="12" t="s">
        <v>36</v>
      </c>
      <c r="O1380" s="17" t="s">
        <v>36</v>
      </c>
      <c r="P1380" s="12" t="s">
        <v>36</v>
      </c>
      <c r="Q1380" s="12" t="s">
        <v>36</v>
      </c>
      <c r="R1380" s="12" t="s">
        <v>36</v>
      </c>
      <c r="S1380" s="12" t="s">
        <v>36</v>
      </c>
      <c r="T1380" s="12" t="s">
        <v>8196</v>
      </c>
      <c r="U1380" s="12" t="s">
        <v>74</v>
      </c>
      <c r="V1380" s="12" t="s">
        <v>75</v>
      </c>
      <c r="W1380" s="12" t="s">
        <v>8197</v>
      </c>
      <c r="X1380" s="16" t="s">
        <v>8198</v>
      </c>
      <c r="Y1380" s="15" t="s">
        <v>42</v>
      </c>
      <c r="Z1380" s="14">
        <v>27</v>
      </c>
      <c r="AA1380" s="14" t="s">
        <v>36</v>
      </c>
      <c r="AB1380" s="12" t="s">
        <v>56</v>
      </c>
      <c r="AC1380" s="12" t="s">
        <v>8199</v>
      </c>
      <c r="AD1380" s="13">
        <v>45016</v>
      </c>
      <c r="AE1380" s="12" t="s">
        <v>7957</v>
      </c>
      <c r="AF1380" s="12" t="s">
        <v>215</v>
      </c>
      <c r="AG1380" s="12" t="s">
        <v>47</v>
      </c>
      <c r="AH1380" s="1">
        <f>HYPERLINK("https://my.pitchbook.com?c=227541-88T","View Company Online")</f>
      </c>
    </row>
    <row r="1381">
      <c r="A1381" s="3" t="s">
        <v>8200</v>
      </c>
      <c r="B1381" s="3" t="s">
        <v>8201</v>
      </c>
      <c r="C1381" s="5" t="s">
        <v>36</v>
      </c>
      <c r="D1381" s="5" t="s">
        <v>36</v>
      </c>
      <c r="E1381" s="5" t="s">
        <v>36</v>
      </c>
      <c r="F1381" s="5" t="s">
        <v>36</v>
      </c>
      <c r="G1381" s="6" t="s">
        <v>36</v>
      </c>
      <c r="H1381" s="4" t="s">
        <v>36</v>
      </c>
      <c r="I1381" s="7">
        <v>32.34</v>
      </c>
      <c r="J1381" s="3" t="s">
        <v>327</v>
      </c>
      <c r="K1381" s="9" t="s">
        <v>36</v>
      </c>
      <c r="L1381" s="6" t="s">
        <v>36</v>
      </c>
      <c r="M1381" s="3" t="s">
        <v>36</v>
      </c>
      <c r="N1381" s="3" t="s">
        <v>36</v>
      </c>
      <c r="O1381" s="8" t="s">
        <v>36</v>
      </c>
      <c r="P1381" s="3" t="s">
        <v>36</v>
      </c>
      <c r="Q1381" s="3" t="s">
        <v>36</v>
      </c>
      <c r="R1381" s="3" t="s">
        <v>36</v>
      </c>
      <c r="S1381" s="3" t="s">
        <v>36</v>
      </c>
      <c r="T1381" s="3" t="s">
        <v>8202</v>
      </c>
      <c r="U1381" s="3" t="s">
        <v>38</v>
      </c>
      <c r="V1381" s="3" t="s">
        <v>39</v>
      </c>
      <c r="W1381" s="3" t="s">
        <v>8203</v>
      </c>
      <c r="X1381" s="10" t="s">
        <v>8204</v>
      </c>
      <c r="Y1381" s="6" t="s">
        <v>108</v>
      </c>
      <c r="Z1381" s="4">
        <v>4.28</v>
      </c>
      <c r="AA1381" s="4">
        <v>13.25</v>
      </c>
      <c r="AB1381" s="3" t="s">
        <v>43</v>
      </c>
      <c r="AC1381" s="3" t="s">
        <v>8205</v>
      </c>
      <c r="AD1381" s="9">
        <v>45016</v>
      </c>
      <c r="AE1381" s="3" t="s">
        <v>45</v>
      </c>
      <c r="AF1381" s="3" t="s">
        <v>5816</v>
      </c>
      <c r="AG1381" s="3" t="s">
        <v>1202</v>
      </c>
      <c r="AH1381" s="11">
        <f>HYPERLINK("https://my.pitchbook.com?c=219533-41T","View Company Online")</f>
      </c>
    </row>
    <row r="1382">
      <c r="A1382" s="12" t="s">
        <v>8206</v>
      </c>
      <c r="B1382" s="12" t="s">
        <v>8207</v>
      </c>
      <c r="C1382" s="19" t="s">
        <v>36</v>
      </c>
      <c r="D1382" s="19" t="s">
        <v>36</v>
      </c>
      <c r="E1382" s="19" t="s">
        <v>36</v>
      </c>
      <c r="F1382" s="19" t="s">
        <v>36</v>
      </c>
      <c r="G1382" s="15" t="s">
        <v>36</v>
      </c>
      <c r="H1382" s="14" t="s">
        <v>36</v>
      </c>
      <c r="I1382" s="18" t="s">
        <v>36</v>
      </c>
      <c r="J1382" s="12" t="s">
        <v>36</v>
      </c>
      <c r="K1382" s="13" t="s">
        <v>36</v>
      </c>
      <c r="L1382" s="15" t="s">
        <v>36</v>
      </c>
      <c r="M1382" s="12" t="s">
        <v>36</v>
      </c>
      <c r="N1382" s="12" t="s">
        <v>36</v>
      </c>
      <c r="O1382" s="17" t="s">
        <v>36</v>
      </c>
      <c r="P1382" s="12" t="s">
        <v>36</v>
      </c>
      <c r="Q1382" s="12" t="s">
        <v>36</v>
      </c>
      <c r="R1382" s="12" t="s">
        <v>36</v>
      </c>
      <c r="S1382" s="12" t="s">
        <v>36</v>
      </c>
      <c r="T1382" s="12" t="s">
        <v>647</v>
      </c>
      <c r="U1382" s="12" t="s">
        <v>648</v>
      </c>
      <c r="V1382" s="12" t="s">
        <v>64</v>
      </c>
      <c r="W1382" s="12" t="s">
        <v>8208</v>
      </c>
      <c r="X1382" s="16" t="s">
        <v>8209</v>
      </c>
      <c r="Y1382" s="15" t="s">
        <v>42</v>
      </c>
      <c r="Z1382" s="14">
        <v>0.73</v>
      </c>
      <c r="AA1382" s="14" t="s">
        <v>36</v>
      </c>
      <c r="AB1382" s="12" t="s">
        <v>43</v>
      </c>
      <c r="AC1382" s="12" t="s">
        <v>8210</v>
      </c>
      <c r="AD1382" s="13">
        <v>45016</v>
      </c>
      <c r="AE1382" s="12" t="s">
        <v>651</v>
      </c>
      <c r="AF1382" s="12" t="s">
        <v>90</v>
      </c>
      <c r="AG1382" s="12" t="s">
        <v>47</v>
      </c>
      <c r="AH1382" s="1">
        <f>HYPERLINK("https://my.pitchbook.com?c=219529-18T","View Company Online")</f>
      </c>
    </row>
    <row r="1383">
      <c r="A1383" s="3" t="s">
        <v>8211</v>
      </c>
      <c r="B1383" s="3" t="s">
        <v>8212</v>
      </c>
      <c r="C1383" s="5" t="s">
        <v>36</v>
      </c>
      <c r="D1383" s="5" t="s">
        <v>36</v>
      </c>
      <c r="E1383" s="5" t="s">
        <v>36</v>
      </c>
      <c r="F1383" s="5" t="s">
        <v>36</v>
      </c>
      <c r="G1383" s="6" t="s">
        <v>326</v>
      </c>
      <c r="H1383" s="4" t="s">
        <v>36</v>
      </c>
      <c r="I1383" s="7">
        <v>17.3</v>
      </c>
      <c r="J1383" s="3" t="s">
        <v>327</v>
      </c>
      <c r="K1383" s="9" t="s">
        <v>36</v>
      </c>
      <c r="L1383" s="6" t="s">
        <v>94</v>
      </c>
      <c r="M1383" s="3" t="s">
        <v>36</v>
      </c>
      <c r="N1383" s="3" t="s">
        <v>94</v>
      </c>
      <c r="O1383" s="8" t="s">
        <v>36</v>
      </c>
      <c r="P1383" s="3" t="s">
        <v>36</v>
      </c>
      <c r="Q1383" s="3" t="s">
        <v>36</v>
      </c>
      <c r="R1383" s="3" t="s">
        <v>36</v>
      </c>
      <c r="S1383" s="3" t="s">
        <v>36</v>
      </c>
      <c r="T1383" s="3" t="s">
        <v>8213</v>
      </c>
      <c r="U1383" s="3" t="s">
        <v>38</v>
      </c>
      <c r="V1383" s="3" t="s">
        <v>39</v>
      </c>
      <c r="W1383" s="3" t="s">
        <v>8214</v>
      </c>
      <c r="X1383" s="10" t="s">
        <v>8215</v>
      </c>
      <c r="Y1383" s="6" t="s">
        <v>108</v>
      </c>
      <c r="Z1383" s="4">
        <v>21.42</v>
      </c>
      <c r="AA1383" s="4">
        <v>123.8</v>
      </c>
      <c r="AB1383" s="3" t="s">
        <v>56</v>
      </c>
      <c r="AC1383" s="3" t="s">
        <v>8216</v>
      </c>
      <c r="AD1383" s="9">
        <v>45016</v>
      </c>
      <c r="AE1383" s="3" t="s">
        <v>110</v>
      </c>
      <c r="AF1383" s="3" t="s">
        <v>176</v>
      </c>
      <c r="AG1383" s="3" t="s">
        <v>8217</v>
      </c>
      <c r="AH1383" s="11">
        <f>HYPERLINK("https://my.pitchbook.com?c=225535-42T","View Company Online")</f>
      </c>
    </row>
    <row r="1384">
      <c r="A1384" s="12" t="s">
        <v>8218</v>
      </c>
      <c r="B1384" s="12" t="s">
        <v>8219</v>
      </c>
      <c r="C1384" s="19" t="s">
        <v>36</v>
      </c>
      <c r="D1384" s="19" t="s">
        <v>36</v>
      </c>
      <c r="E1384" s="19" t="s">
        <v>36</v>
      </c>
      <c r="F1384" s="19" t="s">
        <v>36</v>
      </c>
      <c r="G1384" s="15" t="s">
        <v>326</v>
      </c>
      <c r="H1384" s="14">
        <v>2163.68</v>
      </c>
      <c r="I1384" s="18">
        <v>28.53</v>
      </c>
      <c r="J1384" s="12" t="s">
        <v>521</v>
      </c>
      <c r="K1384" s="13" t="s">
        <v>36</v>
      </c>
      <c r="L1384" s="15" t="s">
        <v>36</v>
      </c>
      <c r="M1384" s="12" t="s">
        <v>36</v>
      </c>
      <c r="N1384" s="12" t="s">
        <v>36</v>
      </c>
      <c r="O1384" s="17" t="s">
        <v>36</v>
      </c>
      <c r="P1384" s="12" t="s">
        <v>36</v>
      </c>
      <c r="Q1384" s="12" t="s">
        <v>36</v>
      </c>
      <c r="R1384" s="12" t="s">
        <v>36</v>
      </c>
      <c r="S1384" s="12" t="s">
        <v>36</v>
      </c>
      <c r="T1384" s="12" t="s">
        <v>647</v>
      </c>
      <c r="U1384" s="12" t="s">
        <v>648</v>
      </c>
      <c r="V1384" s="12" t="s">
        <v>64</v>
      </c>
      <c r="W1384" s="12" t="s">
        <v>8220</v>
      </c>
      <c r="X1384" s="16" t="s">
        <v>8221</v>
      </c>
      <c r="Y1384" s="15" t="s">
        <v>55</v>
      </c>
      <c r="Z1384" s="14">
        <v>5.35</v>
      </c>
      <c r="AA1384" s="14">
        <v>11.24</v>
      </c>
      <c r="AB1384" s="12" t="s">
        <v>43</v>
      </c>
      <c r="AC1384" s="12" t="s">
        <v>8222</v>
      </c>
      <c r="AD1384" s="13">
        <v>45016</v>
      </c>
      <c r="AE1384" s="12" t="s">
        <v>651</v>
      </c>
      <c r="AF1384" s="12" t="s">
        <v>36</v>
      </c>
      <c r="AG1384" s="12" t="s">
        <v>8223</v>
      </c>
      <c r="AH1384" s="1">
        <f>HYPERLINK("https://my.pitchbook.com?c=219543-85T","View Company Online")</f>
      </c>
    </row>
    <row r="1385">
      <c r="A1385" s="3" t="s">
        <v>8224</v>
      </c>
      <c r="B1385" s="3" t="s">
        <v>8225</v>
      </c>
      <c r="C1385" s="5" t="s">
        <v>36</v>
      </c>
      <c r="D1385" s="5" t="s">
        <v>36</v>
      </c>
      <c r="E1385" s="5" t="s">
        <v>36</v>
      </c>
      <c r="F1385" s="5" t="s">
        <v>36</v>
      </c>
      <c r="G1385" s="6" t="s">
        <v>36</v>
      </c>
      <c r="H1385" s="4">
        <v>260.68</v>
      </c>
      <c r="I1385" s="7">
        <v>34.98</v>
      </c>
      <c r="J1385" s="3" t="s">
        <v>521</v>
      </c>
      <c r="K1385" s="9">
        <v>44931</v>
      </c>
      <c r="L1385" s="6" t="s">
        <v>36</v>
      </c>
      <c r="M1385" s="3" t="s">
        <v>36</v>
      </c>
      <c r="N1385" s="3" t="s">
        <v>36</v>
      </c>
      <c r="O1385" s="8" t="s">
        <v>36</v>
      </c>
      <c r="P1385" s="3" t="s">
        <v>36</v>
      </c>
      <c r="Q1385" s="3" t="s">
        <v>36</v>
      </c>
      <c r="R1385" s="3" t="s">
        <v>36</v>
      </c>
      <c r="S1385" s="3" t="s">
        <v>36</v>
      </c>
      <c r="T1385" s="3" t="s">
        <v>8226</v>
      </c>
      <c r="U1385" s="3" t="s">
        <v>7149</v>
      </c>
      <c r="V1385" s="3" t="s">
        <v>378</v>
      </c>
      <c r="W1385" s="3" t="s">
        <v>8227</v>
      </c>
      <c r="X1385" s="10" t="s">
        <v>8228</v>
      </c>
      <c r="Y1385" s="6" t="s">
        <v>42</v>
      </c>
      <c r="Z1385" s="4">
        <v>1.61</v>
      </c>
      <c r="AA1385" s="4">
        <v>4.59</v>
      </c>
      <c r="AB1385" s="3" t="s">
        <v>43</v>
      </c>
      <c r="AC1385" s="3" t="s">
        <v>8229</v>
      </c>
      <c r="AD1385" s="9">
        <v>45016</v>
      </c>
      <c r="AE1385" s="3" t="s">
        <v>8230</v>
      </c>
      <c r="AF1385" s="3" t="s">
        <v>571</v>
      </c>
      <c r="AG1385" s="3" t="s">
        <v>8231</v>
      </c>
      <c r="AH1385" s="11">
        <f>HYPERLINK("https://my.pitchbook.com?c=212198-41T","View Company Online")</f>
      </c>
    </row>
    <row r="1386">
      <c r="A1386" s="12" t="s">
        <v>8232</v>
      </c>
      <c r="B1386" s="12" t="s">
        <v>8233</v>
      </c>
      <c r="C1386" s="19" t="s">
        <v>36</v>
      </c>
      <c r="D1386" s="19" t="s">
        <v>36</v>
      </c>
      <c r="E1386" s="19" t="s">
        <v>36</v>
      </c>
      <c r="F1386" s="19" t="s">
        <v>36</v>
      </c>
      <c r="G1386" s="15" t="s">
        <v>36</v>
      </c>
      <c r="H1386" s="14" t="s">
        <v>36</v>
      </c>
      <c r="I1386" s="18" t="s">
        <v>36</v>
      </c>
      <c r="J1386" s="12" t="s">
        <v>36</v>
      </c>
      <c r="K1386" s="13" t="s">
        <v>36</v>
      </c>
      <c r="L1386" s="15" t="s">
        <v>94</v>
      </c>
      <c r="M1386" s="12" t="s">
        <v>36</v>
      </c>
      <c r="N1386" s="12" t="s">
        <v>94</v>
      </c>
      <c r="O1386" s="17" t="s">
        <v>36</v>
      </c>
      <c r="P1386" s="12" t="s">
        <v>36</v>
      </c>
      <c r="Q1386" s="12" t="s">
        <v>36</v>
      </c>
      <c r="R1386" s="12" t="s">
        <v>36</v>
      </c>
      <c r="S1386" s="12" t="s">
        <v>36</v>
      </c>
      <c r="T1386" s="12" t="s">
        <v>8234</v>
      </c>
      <c r="U1386" s="12" t="s">
        <v>387</v>
      </c>
      <c r="V1386" s="12" t="s">
        <v>367</v>
      </c>
      <c r="W1386" s="12" t="s">
        <v>8235</v>
      </c>
      <c r="X1386" s="16" t="s">
        <v>8236</v>
      </c>
      <c r="Y1386" s="15" t="s">
        <v>108</v>
      </c>
      <c r="Z1386" s="14">
        <v>21.4</v>
      </c>
      <c r="AA1386" s="14" t="s">
        <v>36</v>
      </c>
      <c r="AB1386" s="12" t="s">
        <v>43</v>
      </c>
      <c r="AC1386" s="12" t="s">
        <v>8237</v>
      </c>
      <c r="AD1386" s="13">
        <v>45015</v>
      </c>
      <c r="AE1386" s="12" t="s">
        <v>8238</v>
      </c>
      <c r="AF1386" s="12" t="s">
        <v>8239</v>
      </c>
      <c r="AG1386" s="12" t="s">
        <v>4796</v>
      </c>
      <c r="AH1386" s="1">
        <f>HYPERLINK("https://my.pitchbook.com?c=249714-55T","View Company Online")</f>
      </c>
    </row>
    <row r="1387">
      <c r="A1387" s="3" t="s">
        <v>8240</v>
      </c>
      <c r="B1387" s="3" t="s">
        <v>8241</v>
      </c>
      <c r="C1387" s="5" t="s">
        <v>36</v>
      </c>
      <c r="D1387" s="5" t="s">
        <v>36</v>
      </c>
      <c r="E1387" s="5" t="s">
        <v>36</v>
      </c>
      <c r="F1387" s="5" t="s">
        <v>36</v>
      </c>
      <c r="G1387" s="6" t="s">
        <v>326</v>
      </c>
      <c r="H1387" s="4">
        <v>351.22</v>
      </c>
      <c r="I1387" s="7">
        <v>10.42</v>
      </c>
      <c r="J1387" s="3" t="s">
        <v>521</v>
      </c>
      <c r="K1387" s="9" t="s">
        <v>36</v>
      </c>
      <c r="L1387" s="6" t="s">
        <v>36</v>
      </c>
      <c r="M1387" s="3" t="s">
        <v>36</v>
      </c>
      <c r="N1387" s="3" t="s">
        <v>36</v>
      </c>
      <c r="O1387" s="8" t="s">
        <v>36</v>
      </c>
      <c r="P1387" s="3" t="s">
        <v>36</v>
      </c>
      <c r="Q1387" s="3" t="s">
        <v>36</v>
      </c>
      <c r="R1387" s="3" t="s">
        <v>36</v>
      </c>
      <c r="S1387" s="3" t="s">
        <v>36</v>
      </c>
      <c r="T1387" s="3" t="s">
        <v>7582</v>
      </c>
      <c r="U1387" s="3" t="s">
        <v>63</v>
      </c>
      <c r="V1387" s="3" t="s">
        <v>64</v>
      </c>
      <c r="W1387" s="3" t="s">
        <v>8242</v>
      </c>
      <c r="X1387" s="10" t="s">
        <v>8243</v>
      </c>
      <c r="Y1387" s="6" t="s">
        <v>42</v>
      </c>
      <c r="Z1387" s="4">
        <v>1.07</v>
      </c>
      <c r="AA1387" s="4">
        <v>10.27</v>
      </c>
      <c r="AB1387" s="3" t="s">
        <v>56</v>
      </c>
      <c r="AC1387" s="3" t="s">
        <v>8244</v>
      </c>
      <c r="AD1387" s="9">
        <v>45015</v>
      </c>
      <c r="AE1387" s="3" t="s">
        <v>68</v>
      </c>
      <c r="AF1387" s="3" t="s">
        <v>36</v>
      </c>
      <c r="AG1387" s="3" t="s">
        <v>1078</v>
      </c>
      <c r="AH1387" s="11">
        <f>HYPERLINK("https://my.pitchbook.com?c=220427-38T","View Company Online")</f>
      </c>
    </row>
    <row r="1388">
      <c r="A1388" s="12" t="s">
        <v>8245</v>
      </c>
      <c r="B1388" s="12" t="s">
        <v>8246</v>
      </c>
      <c r="C1388" s="19" t="s">
        <v>36</v>
      </c>
      <c r="D1388" s="19" t="s">
        <v>36</v>
      </c>
      <c r="E1388" s="19" t="s">
        <v>36</v>
      </c>
      <c r="F1388" s="19" t="s">
        <v>36</v>
      </c>
      <c r="G1388" s="15" t="s">
        <v>36</v>
      </c>
      <c r="H1388" s="14" t="s">
        <v>36</v>
      </c>
      <c r="I1388" s="18" t="s">
        <v>36</v>
      </c>
      <c r="J1388" s="12" t="s">
        <v>36</v>
      </c>
      <c r="K1388" s="13" t="s">
        <v>36</v>
      </c>
      <c r="L1388" s="15" t="s">
        <v>1279</v>
      </c>
      <c r="M1388" s="12" t="s">
        <v>36</v>
      </c>
      <c r="N1388" s="12" t="s">
        <v>1279</v>
      </c>
      <c r="O1388" s="17" t="s">
        <v>36</v>
      </c>
      <c r="P1388" s="12" t="s">
        <v>36</v>
      </c>
      <c r="Q1388" s="12" t="s">
        <v>36</v>
      </c>
      <c r="R1388" s="12" t="s">
        <v>36</v>
      </c>
      <c r="S1388" s="12" t="s">
        <v>36</v>
      </c>
      <c r="T1388" s="12" t="s">
        <v>529</v>
      </c>
      <c r="U1388" s="12" t="s">
        <v>38</v>
      </c>
      <c r="V1388" s="12" t="s">
        <v>39</v>
      </c>
      <c r="W1388" s="12" t="s">
        <v>8247</v>
      </c>
      <c r="X1388" s="16" t="s">
        <v>8248</v>
      </c>
      <c r="Y1388" s="15" t="s">
        <v>55</v>
      </c>
      <c r="Z1388" s="14">
        <v>42</v>
      </c>
      <c r="AA1388" s="14" t="s">
        <v>36</v>
      </c>
      <c r="AB1388" s="12" t="s">
        <v>56</v>
      </c>
      <c r="AC1388" s="12" t="s">
        <v>8249</v>
      </c>
      <c r="AD1388" s="13">
        <v>45015</v>
      </c>
      <c r="AE1388" s="12" t="s">
        <v>134</v>
      </c>
      <c r="AF1388" s="12" t="s">
        <v>8250</v>
      </c>
      <c r="AG1388" s="12" t="s">
        <v>81</v>
      </c>
      <c r="AH1388" s="1">
        <f>HYPERLINK("https://my.pitchbook.com?c=219404-08T","View Company Online")</f>
      </c>
    </row>
    <row r="1389">
      <c r="A1389" s="3" t="s">
        <v>8251</v>
      </c>
      <c r="B1389" s="3" t="s">
        <v>8252</v>
      </c>
      <c r="C1389" s="5" t="s">
        <v>36</v>
      </c>
      <c r="D1389" s="5" t="s">
        <v>36</v>
      </c>
      <c r="E1389" s="5" t="s">
        <v>36</v>
      </c>
      <c r="F1389" s="5" t="s">
        <v>36</v>
      </c>
      <c r="G1389" s="6" t="s">
        <v>326</v>
      </c>
      <c r="H1389" s="4" t="s">
        <v>36</v>
      </c>
      <c r="I1389" s="7">
        <v>10.32</v>
      </c>
      <c r="J1389" s="3" t="s">
        <v>327</v>
      </c>
      <c r="K1389" s="9" t="s">
        <v>36</v>
      </c>
      <c r="L1389" s="6" t="s">
        <v>122</v>
      </c>
      <c r="M1389" s="3" t="s">
        <v>36</v>
      </c>
      <c r="N1389" s="3" t="s">
        <v>122</v>
      </c>
      <c r="O1389" s="8" t="s">
        <v>36</v>
      </c>
      <c r="P1389" s="3" t="s">
        <v>36</v>
      </c>
      <c r="Q1389" s="3" t="s">
        <v>36</v>
      </c>
      <c r="R1389" s="3" t="s">
        <v>36</v>
      </c>
      <c r="S1389" s="3" t="s">
        <v>36</v>
      </c>
      <c r="T1389" s="3" t="s">
        <v>4917</v>
      </c>
      <c r="U1389" s="3" t="s">
        <v>38</v>
      </c>
      <c r="V1389" s="3" t="s">
        <v>39</v>
      </c>
      <c r="W1389" s="3" t="s">
        <v>8253</v>
      </c>
      <c r="X1389" s="10" t="s">
        <v>8254</v>
      </c>
      <c r="Y1389" s="6" t="s">
        <v>108</v>
      </c>
      <c r="Z1389" s="4">
        <v>10.7</v>
      </c>
      <c r="AA1389" s="4">
        <v>103.65</v>
      </c>
      <c r="AB1389" s="3" t="s">
        <v>56</v>
      </c>
      <c r="AC1389" s="3" t="s">
        <v>8255</v>
      </c>
      <c r="AD1389" s="9">
        <v>45015</v>
      </c>
      <c r="AE1389" s="3" t="s">
        <v>134</v>
      </c>
      <c r="AF1389" s="3" t="s">
        <v>8256</v>
      </c>
      <c r="AG1389" s="3" t="s">
        <v>81</v>
      </c>
      <c r="AH1389" s="11">
        <f>HYPERLINK("https://my.pitchbook.com?c=219404-17T","View Company Online")</f>
      </c>
    </row>
    <row r="1390">
      <c r="A1390" s="12" t="s">
        <v>8257</v>
      </c>
      <c r="B1390" s="12" t="s">
        <v>436</v>
      </c>
      <c r="C1390" s="19" t="s">
        <v>36</v>
      </c>
      <c r="D1390" s="19" t="s">
        <v>36</v>
      </c>
      <c r="E1390" s="19" t="s">
        <v>36</v>
      </c>
      <c r="F1390" s="19" t="s">
        <v>36</v>
      </c>
      <c r="G1390" s="15" t="s">
        <v>36</v>
      </c>
      <c r="H1390" s="14" t="s">
        <v>36</v>
      </c>
      <c r="I1390" s="18" t="s">
        <v>36</v>
      </c>
      <c r="J1390" s="12" t="s">
        <v>36</v>
      </c>
      <c r="K1390" s="13" t="s">
        <v>36</v>
      </c>
      <c r="L1390" s="15" t="s">
        <v>36</v>
      </c>
      <c r="M1390" s="12" t="s">
        <v>36</v>
      </c>
      <c r="N1390" s="12" t="s">
        <v>36</v>
      </c>
      <c r="O1390" s="17" t="s">
        <v>36</v>
      </c>
      <c r="P1390" s="12" t="s">
        <v>36</v>
      </c>
      <c r="Q1390" s="12" t="s">
        <v>36</v>
      </c>
      <c r="R1390" s="12" t="s">
        <v>36</v>
      </c>
      <c r="S1390" s="12" t="s">
        <v>36</v>
      </c>
      <c r="T1390" s="12" t="s">
        <v>437</v>
      </c>
      <c r="U1390" s="12" t="s">
        <v>438</v>
      </c>
      <c r="V1390" s="12" t="s">
        <v>405</v>
      </c>
      <c r="W1390" s="12" t="s">
        <v>439</v>
      </c>
      <c r="X1390" s="16" t="s">
        <v>8258</v>
      </c>
      <c r="Y1390" s="15" t="s">
        <v>55</v>
      </c>
      <c r="Z1390" s="14" t="s">
        <v>36</v>
      </c>
      <c r="AA1390" s="14" t="s">
        <v>36</v>
      </c>
      <c r="AB1390" s="12" t="s">
        <v>43</v>
      </c>
      <c r="AC1390" s="12" t="s">
        <v>441</v>
      </c>
      <c r="AD1390" s="13">
        <v>45015</v>
      </c>
      <c r="AE1390" s="12" t="s">
        <v>442</v>
      </c>
      <c r="AF1390" s="12" t="s">
        <v>215</v>
      </c>
      <c r="AG1390" s="12" t="s">
        <v>443</v>
      </c>
      <c r="AH1390" s="1">
        <f>HYPERLINK("https://my.pitchbook.com?c=227005-30T","View Company Online")</f>
      </c>
    </row>
    <row r="1391">
      <c r="A1391" s="3" t="s">
        <v>8259</v>
      </c>
      <c r="B1391" s="3" t="s">
        <v>8260</v>
      </c>
      <c r="C1391" s="5">
        <v>10</v>
      </c>
      <c r="D1391" s="5">
        <v>22</v>
      </c>
      <c r="E1391" s="5">
        <v>6</v>
      </c>
      <c r="F1391" s="5">
        <v>33</v>
      </c>
      <c r="G1391" s="6" t="s">
        <v>326</v>
      </c>
      <c r="H1391" s="4" t="s">
        <v>36</v>
      </c>
      <c r="I1391" s="7">
        <v>35.21</v>
      </c>
      <c r="J1391" s="3" t="s">
        <v>521</v>
      </c>
      <c r="K1391" s="9">
        <v>44357</v>
      </c>
      <c r="L1391" s="6" t="s">
        <v>1279</v>
      </c>
      <c r="M1391" s="3" t="s">
        <v>36</v>
      </c>
      <c r="N1391" s="3" t="s">
        <v>1279</v>
      </c>
      <c r="O1391" s="8" t="s">
        <v>36</v>
      </c>
      <c r="P1391" s="3" t="s">
        <v>36</v>
      </c>
      <c r="Q1391" s="3" t="s">
        <v>36</v>
      </c>
      <c r="R1391" s="3" t="s">
        <v>36</v>
      </c>
      <c r="S1391" s="3" t="s">
        <v>36</v>
      </c>
      <c r="T1391" s="3" t="s">
        <v>8261</v>
      </c>
      <c r="U1391" s="3" t="s">
        <v>318</v>
      </c>
      <c r="V1391" s="3" t="s">
        <v>39</v>
      </c>
      <c r="W1391" s="3" t="s">
        <v>8262</v>
      </c>
      <c r="X1391" s="10" t="s">
        <v>8263</v>
      </c>
      <c r="Y1391" s="6" t="s">
        <v>321</v>
      </c>
      <c r="Z1391" s="4">
        <v>493</v>
      </c>
      <c r="AA1391" s="4">
        <v>1400</v>
      </c>
      <c r="AB1391" s="3" t="s">
        <v>56</v>
      </c>
      <c r="AC1391" s="3" t="s">
        <v>8264</v>
      </c>
      <c r="AD1391" s="9">
        <v>45015</v>
      </c>
      <c r="AE1391" s="3" t="s">
        <v>417</v>
      </c>
      <c r="AF1391" s="3" t="s">
        <v>8265</v>
      </c>
      <c r="AG1391" s="3" t="s">
        <v>81</v>
      </c>
      <c r="AH1391" s="11">
        <f>HYPERLINK("https://my.pitchbook.com?c=174086-11T","View Company Online")</f>
      </c>
    </row>
    <row r="1392">
      <c r="A1392" s="12" t="s">
        <v>8266</v>
      </c>
      <c r="B1392" s="12" t="s">
        <v>8267</v>
      </c>
      <c r="C1392" s="19" t="s">
        <v>36</v>
      </c>
      <c r="D1392" s="19">
        <v>5</v>
      </c>
      <c r="E1392" s="19">
        <v>1</v>
      </c>
      <c r="F1392" s="19">
        <v>5</v>
      </c>
      <c r="G1392" s="15" t="s">
        <v>36</v>
      </c>
      <c r="H1392" s="14" t="s">
        <v>36</v>
      </c>
      <c r="I1392" s="18" t="s">
        <v>36</v>
      </c>
      <c r="J1392" s="12" t="s">
        <v>36</v>
      </c>
      <c r="K1392" s="13">
        <v>44944</v>
      </c>
      <c r="L1392" s="15" t="s">
        <v>122</v>
      </c>
      <c r="M1392" s="12" t="s">
        <v>36</v>
      </c>
      <c r="N1392" s="12" t="s">
        <v>122</v>
      </c>
      <c r="O1392" s="17" t="s">
        <v>36</v>
      </c>
      <c r="P1392" s="12" t="s">
        <v>36</v>
      </c>
      <c r="Q1392" s="12" t="s">
        <v>36</v>
      </c>
      <c r="R1392" s="12" t="s">
        <v>36</v>
      </c>
      <c r="S1392" s="12" t="s">
        <v>36</v>
      </c>
      <c r="T1392" s="12" t="s">
        <v>8268</v>
      </c>
      <c r="U1392" s="12" t="s">
        <v>318</v>
      </c>
      <c r="V1392" s="12" t="s">
        <v>39</v>
      </c>
      <c r="W1392" s="12" t="s">
        <v>8269</v>
      </c>
      <c r="X1392" s="16" t="s">
        <v>8270</v>
      </c>
      <c r="Y1392" s="15" t="s">
        <v>108</v>
      </c>
      <c r="Z1392" s="14">
        <v>3.26</v>
      </c>
      <c r="AA1392" s="14" t="s">
        <v>36</v>
      </c>
      <c r="AB1392" s="12" t="s">
        <v>56</v>
      </c>
      <c r="AC1392" s="12" t="s">
        <v>8271</v>
      </c>
      <c r="AD1392" s="13">
        <v>45015</v>
      </c>
      <c r="AE1392" s="12" t="s">
        <v>417</v>
      </c>
      <c r="AF1392" s="12" t="s">
        <v>8272</v>
      </c>
      <c r="AG1392" s="12" t="s">
        <v>8273</v>
      </c>
      <c r="AH1392" s="1">
        <f>HYPERLINK("https://my.pitchbook.com?c=222894-46T","View Company Online")</f>
      </c>
    </row>
    <row r="1393">
      <c r="A1393" s="3" t="s">
        <v>8274</v>
      </c>
      <c r="B1393" s="3" t="s">
        <v>8275</v>
      </c>
      <c r="C1393" s="5" t="s">
        <v>36</v>
      </c>
      <c r="D1393" s="5" t="s">
        <v>36</v>
      </c>
      <c r="E1393" s="5" t="s">
        <v>36</v>
      </c>
      <c r="F1393" s="5" t="s">
        <v>36</v>
      </c>
      <c r="G1393" s="6" t="s">
        <v>326</v>
      </c>
      <c r="H1393" s="4" t="s">
        <v>36</v>
      </c>
      <c r="I1393" s="7">
        <v>34.2</v>
      </c>
      <c r="J1393" s="3" t="s">
        <v>327</v>
      </c>
      <c r="K1393" s="9" t="s">
        <v>36</v>
      </c>
      <c r="L1393" s="6" t="s">
        <v>122</v>
      </c>
      <c r="M1393" s="3" t="s">
        <v>36</v>
      </c>
      <c r="N1393" s="3" t="s">
        <v>122</v>
      </c>
      <c r="O1393" s="8" t="s">
        <v>36</v>
      </c>
      <c r="P1393" s="3" t="s">
        <v>36</v>
      </c>
      <c r="Q1393" s="3" t="s">
        <v>36</v>
      </c>
      <c r="R1393" s="3" t="s">
        <v>36</v>
      </c>
      <c r="S1393" s="3" t="s">
        <v>36</v>
      </c>
      <c r="T1393" s="3" t="s">
        <v>2558</v>
      </c>
      <c r="U1393" s="3" t="s">
        <v>38</v>
      </c>
      <c r="V1393" s="3" t="s">
        <v>39</v>
      </c>
      <c r="W1393" s="3" t="s">
        <v>8276</v>
      </c>
      <c r="X1393" s="10" t="s">
        <v>8277</v>
      </c>
      <c r="Y1393" s="6" t="s">
        <v>55</v>
      </c>
      <c r="Z1393" s="4">
        <v>21.38</v>
      </c>
      <c r="AA1393" s="4">
        <v>62.52</v>
      </c>
      <c r="AB1393" s="3" t="s">
        <v>43</v>
      </c>
      <c r="AC1393" s="3" t="s">
        <v>8278</v>
      </c>
      <c r="AD1393" s="9">
        <v>45014</v>
      </c>
      <c r="AE1393" s="3" t="s">
        <v>110</v>
      </c>
      <c r="AF1393" s="3" t="s">
        <v>176</v>
      </c>
      <c r="AG1393" s="3" t="s">
        <v>81</v>
      </c>
      <c r="AH1393" s="11">
        <f>HYPERLINK("https://my.pitchbook.com?c=219318-94T","View Company Online")</f>
      </c>
    </row>
    <row r="1394">
      <c r="A1394" s="12" t="s">
        <v>8279</v>
      </c>
      <c r="B1394" s="12" t="s">
        <v>8280</v>
      </c>
      <c r="C1394" s="19" t="s">
        <v>36</v>
      </c>
      <c r="D1394" s="19" t="s">
        <v>36</v>
      </c>
      <c r="E1394" s="19" t="s">
        <v>36</v>
      </c>
      <c r="F1394" s="19" t="s">
        <v>36</v>
      </c>
      <c r="G1394" s="15" t="s">
        <v>36</v>
      </c>
      <c r="H1394" s="14" t="s">
        <v>36</v>
      </c>
      <c r="I1394" s="18">
        <v>10.97</v>
      </c>
      <c r="J1394" s="12" t="s">
        <v>327</v>
      </c>
      <c r="K1394" s="13" t="s">
        <v>36</v>
      </c>
      <c r="L1394" s="15" t="s">
        <v>122</v>
      </c>
      <c r="M1394" s="12" t="s">
        <v>36</v>
      </c>
      <c r="N1394" s="12" t="s">
        <v>122</v>
      </c>
      <c r="O1394" s="17" t="s">
        <v>36</v>
      </c>
      <c r="P1394" s="12" t="s">
        <v>36</v>
      </c>
      <c r="Q1394" s="12" t="s">
        <v>36</v>
      </c>
      <c r="R1394" s="12" t="s">
        <v>36</v>
      </c>
      <c r="S1394" s="12" t="s">
        <v>36</v>
      </c>
      <c r="T1394" s="12" t="s">
        <v>8281</v>
      </c>
      <c r="U1394" s="12" t="s">
        <v>1336</v>
      </c>
      <c r="V1394" s="12" t="s">
        <v>367</v>
      </c>
      <c r="W1394" s="12" t="s">
        <v>8282</v>
      </c>
      <c r="X1394" s="16" t="s">
        <v>8283</v>
      </c>
      <c r="Y1394" s="15" t="s">
        <v>108</v>
      </c>
      <c r="Z1394" s="14">
        <v>21.36</v>
      </c>
      <c r="AA1394" s="14">
        <v>194.77</v>
      </c>
      <c r="AB1394" s="12" t="s">
        <v>56</v>
      </c>
      <c r="AC1394" s="12" t="s">
        <v>8284</v>
      </c>
      <c r="AD1394" s="13">
        <v>45013</v>
      </c>
      <c r="AE1394" s="12" t="s">
        <v>2464</v>
      </c>
      <c r="AF1394" s="12" t="s">
        <v>982</v>
      </c>
      <c r="AG1394" s="12" t="s">
        <v>81</v>
      </c>
      <c r="AH1394" s="1">
        <f>HYPERLINK("https://my.pitchbook.com?c=219399-13T","View Company Online")</f>
      </c>
    </row>
    <row r="1395">
      <c r="A1395" s="3" t="s">
        <v>8285</v>
      </c>
      <c r="B1395" s="3" t="s">
        <v>8286</v>
      </c>
      <c r="C1395" s="5" t="s">
        <v>36</v>
      </c>
      <c r="D1395" s="5" t="s">
        <v>36</v>
      </c>
      <c r="E1395" s="5" t="s">
        <v>36</v>
      </c>
      <c r="F1395" s="5" t="s">
        <v>36</v>
      </c>
      <c r="G1395" s="6" t="s">
        <v>326</v>
      </c>
      <c r="H1395" s="4" t="s">
        <v>36</v>
      </c>
      <c r="I1395" s="7">
        <v>6.21</v>
      </c>
      <c r="J1395" s="3" t="s">
        <v>327</v>
      </c>
      <c r="K1395" s="9" t="s">
        <v>36</v>
      </c>
      <c r="L1395" s="6" t="s">
        <v>36</v>
      </c>
      <c r="M1395" s="3" t="s">
        <v>36</v>
      </c>
      <c r="N1395" s="3" t="s">
        <v>36</v>
      </c>
      <c r="O1395" s="8" t="s">
        <v>36</v>
      </c>
      <c r="P1395" s="3" t="s">
        <v>36</v>
      </c>
      <c r="Q1395" s="3" t="s">
        <v>36</v>
      </c>
      <c r="R1395" s="3" t="s">
        <v>36</v>
      </c>
      <c r="S1395" s="3" t="s">
        <v>36</v>
      </c>
      <c r="T1395" s="3" t="s">
        <v>8287</v>
      </c>
      <c r="U1395" s="3" t="s">
        <v>180</v>
      </c>
      <c r="V1395" s="3" t="s">
        <v>52</v>
      </c>
      <c r="W1395" s="3" t="s">
        <v>8288</v>
      </c>
      <c r="X1395" s="10" t="s">
        <v>8289</v>
      </c>
      <c r="Y1395" s="6" t="s">
        <v>1120</v>
      </c>
      <c r="Z1395" s="4">
        <v>5.34</v>
      </c>
      <c r="AA1395" s="4">
        <v>37.85</v>
      </c>
      <c r="AB1395" s="3" t="s">
        <v>56</v>
      </c>
      <c r="AC1395" s="3" t="s">
        <v>8290</v>
      </c>
      <c r="AD1395" s="9">
        <v>45013</v>
      </c>
      <c r="AE1395" s="3" t="s">
        <v>8291</v>
      </c>
      <c r="AF1395" s="3" t="s">
        <v>101</v>
      </c>
      <c r="AG1395" s="3" t="s">
        <v>787</v>
      </c>
      <c r="AH1395" s="11">
        <f>HYPERLINK("https://my.pitchbook.com?c=160441-93T","View Company Online")</f>
      </c>
    </row>
    <row r="1396">
      <c r="A1396" s="12" t="s">
        <v>8292</v>
      </c>
      <c r="B1396" s="12" t="s">
        <v>2496</v>
      </c>
      <c r="C1396" s="19" t="s">
        <v>36</v>
      </c>
      <c r="D1396" s="19" t="s">
        <v>36</v>
      </c>
      <c r="E1396" s="19" t="s">
        <v>36</v>
      </c>
      <c r="F1396" s="19" t="s">
        <v>36</v>
      </c>
      <c r="G1396" s="15" t="s">
        <v>326</v>
      </c>
      <c r="H1396" s="14">
        <v>38.66</v>
      </c>
      <c r="I1396" s="18">
        <v>18.03</v>
      </c>
      <c r="J1396" s="12" t="s">
        <v>521</v>
      </c>
      <c r="K1396" s="13" t="s">
        <v>36</v>
      </c>
      <c r="L1396" s="15" t="s">
        <v>36</v>
      </c>
      <c r="M1396" s="12" t="s">
        <v>36</v>
      </c>
      <c r="N1396" s="12" t="s">
        <v>36</v>
      </c>
      <c r="O1396" s="17" t="s">
        <v>36</v>
      </c>
      <c r="P1396" s="12" t="s">
        <v>36</v>
      </c>
      <c r="Q1396" s="12" t="s">
        <v>36</v>
      </c>
      <c r="R1396" s="12" t="s">
        <v>36</v>
      </c>
      <c r="S1396" s="12" t="s">
        <v>36</v>
      </c>
      <c r="T1396" s="12" t="s">
        <v>2498</v>
      </c>
      <c r="U1396" s="12" t="s">
        <v>956</v>
      </c>
      <c r="V1396" s="12" t="s">
        <v>405</v>
      </c>
      <c r="W1396" s="12" t="s">
        <v>2499</v>
      </c>
      <c r="X1396" s="16" t="s">
        <v>8293</v>
      </c>
      <c r="Y1396" s="15" t="s">
        <v>108</v>
      </c>
      <c r="Z1396" s="14">
        <v>2.14</v>
      </c>
      <c r="AA1396" s="14">
        <v>7.88</v>
      </c>
      <c r="AB1396" s="12" t="s">
        <v>56</v>
      </c>
      <c r="AC1396" s="12" t="s">
        <v>2501</v>
      </c>
      <c r="AD1396" s="13">
        <v>45013</v>
      </c>
      <c r="AE1396" s="12" t="s">
        <v>960</v>
      </c>
      <c r="AF1396" s="12" t="s">
        <v>2054</v>
      </c>
      <c r="AG1396" s="12" t="s">
        <v>1276</v>
      </c>
      <c r="AH1396" s="1">
        <f>HYPERLINK("https://my.pitchbook.com?c=219301-57T","View Company Online")</f>
      </c>
    </row>
    <row r="1397">
      <c r="A1397" s="3" t="s">
        <v>8294</v>
      </c>
      <c r="B1397" s="3" t="s">
        <v>8295</v>
      </c>
      <c r="C1397" s="5" t="s">
        <v>36</v>
      </c>
      <c r="D1397" s="5" t="s">
        <v>36</v>
      </c>
      <c r="E1397" s="5" t="s">
        <v>36</v>
      </c>
      <c r="F1397" s="5" t="s">
        <v>36</v>
      </c>
      <c r="G1397" s="6" t="s">
        <v>326</v>
      </c>
      <c r="H1397" s="4">
        <v>133.65</v>
      </c>
      <c r="I1397" s="7">
        <v>31.62</v>
      </c>
      <c r="J1397" s="3" t="s">
        <v>521</v>
      </c>
      <c r="K1397" s="9" t="s">
        <v>36</v>
      </c>
      <c r="L1397" s="6" t="s">
        <v>36</v>
      </c>
      <c r="M1397" s="3" t="s">
        <v>36</v>
      </c>
      <c r="N1397" s="3" t="s">
        <v>36</v>
      </c>
      <c r="O1397" s="8" t="s">
        <v>36</v>
      </c>
      <c r="P1397" s="3" t="s">
        <v>36</v>
      </c>
      <c r="Q1397" s="3" t="s">
        <v>36</v>
      </c>
      <c r="R1397" s="3" t="s">
        <v>36</v>
      </c>
      <c r="S1397" s="3" t="s">
        <v>1461</v>
      </c>
      <c r="T1397" s="3" t="s">
        <v>1818</v>
      </c>
      <c r="U1397" s="3" t="s">
        <v>1502</v>
      </c>
      <c r="V1397" s="3" t="s">
        <v>75</v>
      </c>
      <c r="W1397" s="3" t="s">
        <v>8296</v>
      </c>
      <c r="X1397" s="10" t="s">
        <v>8297</v>
      </c>
      <c r="Y1397" s="6" t="s">
        <v>108</v>
      </c>
      <c r="Z1397" s="4">
        <v>2.18</v>
      </c>
      <c r="AA1397" s="4">
        <v>6.89</v>
      </c>
      <c r="AB1397" s="3" t="s">
        <v>56</v>
      </c>
      <c r="AC1397" s="3" t="s">
        <v>8298</v>
      </c>
      <c r="AD1397" s="9">
        <v>45013</v>
      </c>
      <c r="AE1397" s="3" t="s">
        <v>1822</v>
      </c>
      <c r="AF1397" s="3" t="s">
        <v>1977</v>
      </c>
      <c r="AG1397" s="3" t="s">
        <v>186</v>
      </c>
      <c r="AH1397" s="11">
        <f>HYPERLINK("https://my.pitchbook.com?c=214440-94T","View Company Online")</f>
      </c>
    </row>
    <row r="1398">
      <c r="A1398" s="12" t="s">
        <v>8299</v>
      </c>
      <c r="B1398" s="12" t="s">
        <v>8300</v>
      </c>
      <c r="C1398" s="19" t="s">
        <v>36</v>
      </c>
      <c r="D1398" s="19" t="s">
        <v>36</v>
      </c>
      <c r="E1398" s="19" t="s">
        <v>36</v>
      </c>
      <c r="F1398" s="19" t="s">
        <v>36</v>
      </c>
      <c r="G1398" s="15" t="s">
        <v>2497</v>
      </c>
      <c r="H1398" s="14" t="s">
        <v>36</v>
      </c>
      <c r="I1398" s="18" t="s">
        <v>36</v>
      </c>
      <c r="J1398" s="12" t="s">
        <v>521</v>
      </c>
      <c r="K1398" s="13" t="s">
        <v>36</v>
      </c>
      <c r="L1398" s="15" t="s">
        <v>122</v>
      </c>
      <c r="M1398" s="12" t="s">
        <v>36</v>
      </c>
      <c r="N1398" s="12" t="s">
        <v>122</v>
      </c>
      <c r="O1398" s="17" t="s">
        <v>36</v>
      </c>
      <c r="P1398" s="12" t="s">
        <v>36</v>
      </c>
      <c r="Q1398" s="12" t="s">
        <v>36</v>
      </c>
      <c r="R1398" s="12" t="s">
        <v>36</v>
      </c>
      <c r="S1398" s="12" t="s">
        <v>36</v>
      </c>
      <c r="T1398" s="12" t="s">
        <v>8301</v>
      </c>
      <c r="U1398" s="12" t="s">
        <v>423</v>
      </c>
      <c r="V1398" s="12" t="s">
        <v>64</v>
      </c>
      <c r="W1398" s="12" t="s">
        <v>8302</v>
      </c>
      <c r="X1398" s="16" t="s">
        <v>8303</v>
      </c>
      <c r="Y1398" s="15" t="s">
        <v>192</v>
      </c>
      <c r="Z1398" s="14">
        <v>15</v>
      </c>
      <c r="AA1398" s="14">
        <v>29.4</v>
      </c>
      <c r="AB1398" s="12" t="s">
        <v>56</v>
      </c>
      <c r="AC1398" s="12" t="s">
        <v>8304</v>
      </c>
      <c r="AD1398" s="13">
        <v>45013</v>
      </c>
      <c r="AE1398" s="12" t="s">
        <v>562</v>
      </c>
      <c r="AF1398" s="12" t="s">
        <v>2369</v>
      </c>
      <c r="AG1398" s="12" t="s">
        <v>81</v>
      </c>
      <c r="AH1398" s="1">
        <f>HYPERLINK("https://my.pitchbook.com?c=188842-96T","View Company Online")</f>
      </c>
    </row>
    <row r="1399">
      <c r="A1399" s="3" t="s">
        <v>8305</v>
      </c>
      <c r="B1399" s="3" t="s">
        <v>3610</v>
      </c>
      <c r="C1399" s="5" t="s">
        <v>36</v>
      </c>
      <c r="D1399" s="5" t="s">
        <v>36</v>
      </c>
      <c r="E1399" s="5" t="s">
        <v>36</v>
      </c>
      <c r="F1399" s="5" t="s">
        <v>36</v>
      </c>
      <c r="G1399" s="6" t="s">
        <v>36</v>
      </c>
      <c r="H1399" s="4">
        <v>250.68</v>
      </c>
      <c r="I1399" s="7">
        <v>8.35</v>
      </c>
      <c r="J1399" s="3" t="s">
        <v>521</v>
      </c>
      <c r="K1399" s="9" t="s">
        <v>36</v>
      </c>
      <c r="L1399" s="6" t="s">
        <v>36</v>
      </c>
      <c r="M1399" s="3" t="s">
        <v>36</v>
      </c>
      <c r="N1399" s="3" t="s">
        <v>36</v>
      </c>
      <c r="O1399" s="8" t="s">
        <v>36</v>
      </c>
      <c r="P1399" s="3" t="s">
        <v>36</v>
      </c>
      <c r="Q1399" s="3" t="s">
        <v>36</v>
      </c>
      <c r="R1399" s="3" t="s">
        <v>36</v>
      </c>
      <c r="S1399" s="3" t="s">
        <v>36</v>
      </c>
      <c r="T1399" s="3" t="s">
        <v>3611</v>
      </c>
      <c r="U1399" s="3" t="s">
        <v>833</v>
      </c>
      <c r="V1399" s="3" t="s">
        <v>64</v>
      </c>
      <c r="W1399" s="3" t="s">
        <v>3612</v>
      </c>
      <c r="X1399" s="10" t="s">
        <v>8306</v>
      </c>
      <c r="Y1399" s="6" t="s">
        <v>192</v>
      </c>
      <c r="Z1399" s="4">
        <v>2.18</v>
      </c>
      <c r="AA1399" s="4">
        <v>26.04</v>
      </c>
      <c r="AB1399" s="3" t="s">
        <v>56</v>
      </c>
      <c r="AC1399" s="3" t="s">
        <v>3614</v>
      </c>
      <c r="AD1399" s="9">
        <v>45013</v>
      </c>
      <c r="AE1399" s="3" t="s">
        <v>3615</v>
      </c>
      <c r="AF1399" s="3" t="s">
        <v>2118</v>
      </c>
      <c r="AG1399" s="3" t="s">
        <v>3616</v>
      </c>
      <c r="AH1399" s="11">
        <f>HYPERLINK("https://my.pitchbook.com?c=221240-26T","View Company Online")</f>
      </c>
    </row>
    <row r="1400">
      <c r="A1400" s="12" t="s">
        <v>8307</v>
      </c>
      <c r="B1400" s="12" t="s">
        <v>8308</v>
      </c>
      <c r="C1400" s="19">
        <v>1</v>
      </c>
      <c r="D1400" s="19" t="s">
        <v>36</v>
      </c>
      <c r="E1400" s="19">
        <v>1</v>
      </c>
      <c r="F1400" s="19">
        <v>1</v>
      </c>
      <c r="G1400" s="15" t="s">
        <v>36</v>
      </c>
      <c r="H1400" s="14" t="s">
        <v>36</v>
      </c>
      <c r="I1400" s="18" t="s">
        <v>36</v>
      </c>
      <c r="J1400" s="12" t="s">
        <v>36</v>
      </c>
      <c r="K1400" s="13">
        <v>44562</v>
      </c>
      <c r="L1400" s="15" t="s">
        <v>36</v>
      </c>
      <c r="M1400" s="12" t="s">
        <v>36</v>
      </c>
      <c r="N1400" s="12" t="s">
        <v>36</v>
      </c>
      <c r="O1400" s="17" t="s">
        <v>36</v>
      </c>
      <c r="P1400" s="12" t="s">
        <v>36</v>
      </c>
      <c r="Q1400" s="12" t="s">
        <v>36</v>
      </c>
      <c r="R1400" s="12" t="s">
        <v>36</v>
      </c>
      <c r="S1400" s="12" t="s">
        <v>36</v>
      </c>
      <c r="T1400" s="12" t="s">
        <v>8309</v>
      </c>
      <c r="U1400" s="12" t="s">
        <v>387</v>
      </c>
      <c r="V1400" s="12" t="s">
        <v>367</v>
      </c>
      <c r="W1400" s="12" t="s">
        <v>8310</v>
      </c>
      <c r="X1400" s="16" t="s">
        <v>8311</v>
      </c>
      <c r="Y1400" s="15" t="s">
        <v>55</v>
      </c>
      <c r="Z1400" s="14">
        <v>2.13</v>
      </c>
      <c r="AA1400" s="14" t="s">
        <v>36</v>
      </c>
      <c r="AB1400" s="12" t="s">
        <v>43</v>
      </c>
      <c r="AC1400" s="12" t="s">
        <v>8312</v>
      </c>
      <c r="AD1400" s="13">
        <v>45012</v>
      </c>
      <c r="AE1400" s="12" t="s">
        <v>391</v>
      </c>
      <c r="AF1400" s="12" t="s">
        <v>372</v>
      </c>
      <c r="AG1400" s="12" t="s">
        <v>186</v>
      </c>
      <c r="AH1400" s="1">
        <f>HYPERLINK("https://my.pitchbook.com?c=214311-16T","View Company Online")</f>
      </c>
    </row>
    <row r="1401">
      <c r="A1401" s="3" t="s">
        <v>8313</v>
      </c>
      <c r="B1401" s="3" t="s">
        <v>8314</v>
      </c>
      <c r="C1401" s="5" t="s">
        <v>36</v>
      </c>
      <c r="D1401" s="5" t="s">
        <v>36</v>
      </c>
      <c r="E1401" s="5" t="s">
        <v>36</v>
      </c>
      <c r="F1401" s="5" t="s">
        <v>36</v>
      </c>
      <c r="G1401" s="6" t="s">
        <v>36</v>
      </c>
      <c r="H1401" s="4">
        <v>3.75</v>
      </c>
      <c r="I1401" s="7">
        <v>22.13</v>
      </c>
      <c r="J1401" s="3" t="s">
        <v>521</v>
      </c>
      <c r="K1401" s="9" t="s">
        <v>36</v>
      </c>
      <c r="L1401" s="6" t="s">
        <v>36</v>
      </c>
      <c r="M1401" s="3" t="s">
        <v>36</v>
      </c>
      <c r="N1401" s="3" t="s">
        <v>36</v>
      </c>
      <c r="O1401" s="8" t="s">
        <v>36</v>
      </c>
      <c r="P1401" s="3" t="s">
        <v>36</v>
      </c>
      <c r="Q1401" s="3" t="s">
        <v>36</v>
      </c>
      <c r="R1401" s="3" t="s">
        <v>36</v>
      </c>
      <c r="S1401" s="3" t="s">
        <v>36</v>
      </c>
      <c r="T1401" s="3" t="s">
        <v>8315</v>
      </c>
      <c r="U1401" s="3" t="s">
        <v>38</v>
      </c>
      <c r="V1401" s="3" t="s">
        <v>39</v>
      </c>
      <c r="W1401" s="3" t="s">
        <v>8316</v>
      </c>
      <c r="X1401" s="10" t="s">
        <v>621</v>
      </c>
      <c r="Y1401" s="6" t="s">
        <v>42</v>
      </c>
      <c r="Z1401" s="4">
        <v>0.66</v>
      </c>
      <c r="AA1401" s="4">
        <v>2.96</v>
      </c>
      <c r="AB1401" s="3" t="s">
        <v>43</v>
      </c>
      <c r="AC1401" s="3" t="s">
        <v>8317</v>
      </c>
      <c r="AD1401" s="9">
        <v>45009</v>
      </c>
      <c r="AE1401" s="3" t="s">
        <v>110</v>
      </c>
      <c r="AF1401" s="3" t="s">
        <v>489</v>
      </c>
      <c r="AG1401" s="3" t="s">
        <v>899</v>
      </c>
      <c r="AH1401" s="11">
        <f>HYPERLINK("https://my.pitchbook.com?c=280039-60T","View Company Online")</f>
      </c>
    </row>
    <row r="1402">
      <c r="A1402" s="12" t="s">
        <v>8318</v>
      </c>
      <c r="B1402" s="12" t="s">
        <v>8319</v>
      </c>
      <c r="C1402" s="19" t="s">
        <v>36</v>
      </c>
      <c r="D1402" s="19" t="s">
        <v>36</v>
      </c>
      <c r="E1402" s="19" t="s">
        <v>36</v>
      </c>
      <c r="F1402" s="19" t="s">
        <v>36</v>
      </c>
      <c r="G1402" s="15" t="s">
        <v>36</v>
      </c>
      <c r="H1402" s="14" t="s">
        <v>36</v>
      </c>
      <c r="I1402" s="18" t="s">
        <v>36</v>
      </c>
      <c r="J1402" s="12" t="s">
        <v>36</v>
      </c>
      <c r="K1402" s="13" t="s">
        <v>36</v>
      </c>
      <c r="L1402" s="15" t="s">
        <v>122</v>
      </c>
      <c r="M1402" s="12" t="s">
        <v>36</v>
      </c>
      <c r="N1402" s="12" t="s">
        <v>122</v>
      </c>
      <c r="O1402" s="17" t="s">
        <v>36</v>
      </c>
      <c r="P1402" s="12" t="s">
        <v>36</v>
      </c>
      <c r="Q1402" s="12" t="s">
        <v>36</v>
      </c>
      <c r="R1402" s="12" t="s">
        <v>36</v>
      </c>
      <c r="S1402" s="12" t="s">
        <v>36</v>
      </c>
      <c r="T1402" s="12" t="s">
        <v>2967</v>
      </c>
      <c r="U1402" s="12" t="s">
        <v>38</v>
      </c>
      <c r="V1402" s="12" t="s">
        <v>39</v>
      </c>
      <c r="W1402" s="12" t="s">
        <v>8320</v>
      </c>
      <c r="X1402" s="16" t="s">
        <v>8321</v>
      </c>
      <c r="Y1402" s="15" t="s">
        <v>192</v>
      </c>
      <c r="Z1402" s="14">
        <v>10.65</v>
      </c>
      <c r="AA1402" s="14" t="s">
        <v>36</v>
      </c>
      <c r="AB1402" s="12" t="s">
        <v>56</v>
      </c>
      <c r="AC1402" s="12" t="s">
        <v>8322</v>
      </c>
      <c r="AD1402" s="13">
        <v>45009</v>
      </c>
      <c r="AE1402" s="12" t="s">
        <v>110</v>
      </c>
      <c r="AF1402" s="12" t="s">
        <v>4276</v>
      </c>
      <c r="AG1402" s="12" t="s">
        <v>81</v>
      </c>
      <c r="AH1402" s="1">
        <f>HYPERLINK("https://my.pitchbook.com?c=220280-68T","View Company Online")</f>
      </c>
    </row>
    <row r="1403">
      <c r="A1403" s="3" t="s">
        <v>8323</v>
      </c>
      <c r="B1403" s="3" t="s">
        <v>8324</v>
      </c>
      <c r="C1403" s="5" t="s">
        <v>36</v>
      </c>
      <c r="D1403" s="5">
        <v>9</v>
      </c>
      <c r="E1403" s="5">
        <v>5</v>
      </c>
      <c r="F1403" s="5">
        <v>9</v>
      </c>
      <c r="G1403" s="6" t="s">
        <v>36</v>
      </c>
      <c r="H1403" s="4" t="s">
        <v>36</v>
      </c>
      <c r="I1403" s="7" t="s">
        <v>36</v>
      </c>
      <c r="J1403" s="3" t="s">
        <v>36</v>
      </c>
      <c r="K1403" s="9" t="s">
        <v>36</v>
      </c>
      <c r="L1403" s="6" t="s">
        <v>36</v>
      </c>
      <c r="M1403" s="3" t="s">
        <v>36</v>
      </c>
      <c r="N1403" s="3" t="s">
        <v>36</v>
      </c>
      <c r="O1403" s="8" t="s">
        <v>36</v>
      </c>
      <c r="P1403" s="3" t="s">
        <v>36</v>
      </c>
      <c r="Q1403" s="3" t="s">
        <v>36</v>
      </c>
      <c r="R1403" s="3" t="s">
        <v>36</v>
      </c>
      <c r="S1403" s="3" t="s">
        <v>36</v>
      </c>
      <c r="T1403" s="3" t="s">
        <v>550</v>
      </c>
      <c r="U1403" s="3" t="s">
        <v>38</v>
      </c>
      <c r="V1403" s="3" t="s">
        <v>39</v>
      </c>
      <c r="W1403" s="3" t="s">
        <v>8325</v>
      </c>
      <c r="X1403" s="10" t="s">
        <v>8326</v>
      </c>
      <c r="Y1403" s="6" t="s">
        <v>321</v>
      </c>
      <c r="Z1403" s="4">
        <v>31</v>
      </c>
      <c r="AA1403" s="4" t="s">
        <v>36</v>
      </c>
      <c r="AB1403" s="3" t="s">
        <v>56</v>
      </c>
      <c r="AC1403" s="3" t="s">
        <v>8327</v>
      </c>
      <c r="AD1403" s="9">
        <v>45009</v>
      </c>
      <c r="AE1403" s="3" t="s">
        <v>554</v>
      </c>
      <c r="AF1403" s="3" t="s">
        <v>4438</v>
      </c>
      <c r="AG1403" s="3" t="s">
        <v>81</v>
      </c>
      <c r="AH1403" s="11">
        <f>HYPERLINK("https://my.pitchbook.com?c=221055-85T","View Company Online")</f>
      </c>
    </row>
    <row r="1404">
      <c r="A1404" s="12" t="s">
        <v>8328</v>
      </c>
      <c r="B1404" s="12" t="s">
        <v>8329</v>
      </c>
      <c r="C1404" s="19">
        <v>10</v>
      </c>
      <c r="D1404" s="19" t="s">
        <v>36</v>
      </c>
      <c r="E1404" s="19">
        <v>3</v>
      </c>
      <c r="F1404" s="19">
        <v>11</v>
      </c>
      <c r="G1404" s="15" t="s">
        <v>326</v>
      </c>
      <c r="H1404" s="14">
        <v>20.17</v>
      </c>
      <c r="I1404" s="18">
        <v>30.01</v>
      </c>
      <c r="J1404" s="12" t="s">
        <v>521</v>
      </c>
      <c r="K1404" s="13">
        <v>44693</v>
      </c>
      <c r="L1404" s="15" t="s">
        <v>36</v>
      </c>
      <c r="M1404" s="12" t="s">
        <v>36</v>
      </c>
      <c r="N1404" s="12" t="s">
        <v>36</v>
      </c>
      <c r="O1404" s="17" t="s">
        <v>36</v>
      </c>
      <c r="P1404" s="12" t="s">
        <v>36</v>
      </c>
      <c r="Q1404" s="12" t="s">
        <v>36</v>
      </c>
      <c r="R1404" s="12" t="s">
        <v>36</v>
      </c>
      <c r="S1404" s="12" t="s">
        <v>36</v>
      </c>
      <c r="T1404" s="12" t="s">
        <v>1725</v>
      </c>
      <c r="U1404" s="12" t="s">
        <v>318</v>
      </c>
      <c r="V1404" s="12" t="s">
        <v>39</v>
      </c>
      <c r="W1404" s="12" t="s">
        <v>8330</v>
      </c>
      <c r="X1404" s="16" t="s">
        <v>8331</v>
      </c>
      <c r="Y1404" s="15" t="s">
        <v>55</v>
      </c>
      <c r="Z1404" s="14">
        <v>3.73</v>
      </c>
      <c r="AA1404" s="14">
        <v>12.42</v>
      </c>
      <c r="AB1404" s="12" t="s">
        <v>56</v>
      </c>
      <c r="AC1404" s="12" t="s">
        <v>8332</v>
      </c>
      <c r="AD1404" s="13">
        <v>45008</v>
      </c>
      <c r="AE1404" s="12" t="s">
        <v>763</v>
      </c>
      <c r="AF1404" s="12" t="s">
        <v>36</v>
      </c>
      <c r="AG1404" s="12" t="s">
        <v>3064</v>
      </c>
      <c r="AH1404" s="1">
        <f>HYPERLINK("https://my.pitchbook.com?c=241622-74T","View Company Online")</f>
      </c>
    </row>
    <row r="1405">
      <c r="A1405" s="3" t="s">
        <v>8333</v>
      </c>
      <c r="B1405" s="3" t="s">
        <v>4224</v>
      </c>
      <c r="C1405" s="5">
        <v>1</v>
      </c>
      <c r="D1405" s="5">
        <v>73</v>
      </c>
      <c r="E1405" s="5">
        <v>33</v>
      </c>
      <c r="F1405" s="5">
        <v>93</v>
      </c>
      <c r="G1405" s="6" t="s">
        <v>36</v>
      </c>
      <c r="H1405" s="4" t="s">
        <v>36</v>
      </c>
      <c r="I1405" s="7" t="s">
        <v>36</v>
      </c>
      <c r="J1405" s="3" t="s">
        <v>36</v>
      </c>
      <c r="K1405" s="9">
        <v>44621</v>
      </c>
      <c r="L1405" s="6" t="s">
        <v>122</v>
      </c>
      <c r="M1405" s="3" t="s">
        <v>36</v>
      </c>
      <c r="N1405" s="3" t="s">
        <v>122</v>
      </c>
      <c r="O1405" s="8" t="s">
        <v>36</v>
      </c>
      <c r="P1405" s="3" t="s">
        <v>36</v>
      </c>
      <c r="Q1405" s="3" t="s">
        <v>36</v>
      </c>
      <c r="R1405" s="3" t="s">
        <v>36</v>
      </c>
      <c r="S1405" s="3" t="s">
        <v>36</v>
      </c>
      <c r="T1405" s="3" t="s">
        <v>4225</v>
      </c>
      <c r="U1405" s="3" t="s">
        <v>96</v>
      </c>
      <c r="V1405" s="3" t="s">
        <v>52</v>
      </c>
      <c r="W1405" s="3" t="s">
        <v>4226</v>
      </c>
      <c r="X1405" s="10" t="s">
        <v>8334</v>
      </c>
      <c r="Y1405" s="6" t="s">
        <v>42</v>
      </c>
      <c r="Z1405" s="4">
        <v>60.1</v>
      </c>
      <c r="AA1405" s="4" t="s">
        <v>36</v>
      </c>
      <c r="AB1405" s="3" t="s">
        <v>43</v>
      </c>
      <c r="AC1405" s="3" t="s">
        <v>4227</v>
      </c>
      <c r="AD1405" s="9">
        <v>45008</v>
      </c>
      <c r="AE1405" s="3" t="s">
        <v>143</v>
      </c>
      <c r="AF1405" s="3" t="s">
        <v>101</v>
      </c>
      <c r="AG1405" s="3" t="s">
        <v>4172</v>
      </c>
      <c r="AH1405" s="11">
        <f>HYPERLINK("https://my.pitchbook.com?c=188568-73T","View Company Online")</f>
      </c>
    </row>
    <row r="1406">
      <c r="A1406" s="12" t="s">
        <v>8335</v>
      </c>
      <c r="B1406" s="12" t="s">
        <v>2798</v>
      </c>
      <c r="C1406" s="19">
        <v>1</v>
      </c>
      <c r="D1406" s="19">
        <v>4</v>
      </c>
      <c r="E1406" s="19">
        <v>2</v>
      </c>
      <c r="F1406" s="19">
        <v>5</v>
      </c>
      <c r="G1406" s="15" t="s">
        <v>326</v>
      </c>
      <c r="H1406" s="14">
        <v>366.39</v>
      </c>
      <c r="I1406" s="18">
        <v>26.23</v>
      </c>
      <c r="J1406" s="12" t="s">
        <v>521</v>
      </c>
      <c r="K1406" s="13" t="s">
        <v>36</v>
      </c>
      <c r="L1406" s="15" t="s">
        <v>36</v>
      </c>
      <c r="M1406" s="12" t="s">
        <v>36</v>
      </c>
      <c r="N1406" s="12" t="s">
        <v>36</v>
      </c>
      <c r="O1406" s="17" t="s">
        <v>36</v>
      </c>
      <c r="P1406" s="12" t="s">
        <v>36</v>
      </c>
      <c r="Q1406" s="12" t="s">
        <v>36</v>
      </c>
      <c r="R1406" s="12" t="s">
        <v>36</v>
      </c>
      <c r="S1406" s="12" t="s">
        <v>36</v>
      </c>
      <c r="T1406" s="12" t="s">
        <v>2799</v>
      </c>
      <c r="U1406" s="12" t="s">
        <v>366</v>
      </c>
      <c r="V1406" s="12" t="s">
        <v>367</v>
      </c>
      <c r="W1406" s="12" t="s">
        <v>2800</v>
      </c>
      <c r="X1406" s="16" t="s">
        <v>8336</v>
      </c>
      <c r="Y1406" s="15" t="s">
        <v>42</v>
      </c>
      <c r="Z1406" s="14">
        <v>1.47</v>
      </c>
      <c r="AA1406" s="14">
        <v>5.6</v>
      </c>
      <c r="AB1406" s="12" t="s">
        <v>56</v>
      </c>
      <c r="AC1406" s="12" t="s">
        <v>2802</v>
      </c>
      <c r="AD1406" s="13">
        <v>45008</v>
      </c>
      <c r="AE1406" s="12" t="s">
        <v>600</v>
      </c>
      <c r="AF1406" s="12" t="s">
        <v>1619</v>
      </c>
      <c r="AG1406" s="12" t="s">
        <v>434</v>
      </c>
      <c r="AH1406" s="1">
        <f>HYPERLINK("https://my.pitchbook.com?c=219020-23T","View Company Online")</f>
      </c>
    </row>
    <row r="1407">
      <c r="A1407" s="3" t="s">
        <v>8337</v>
      </c>
      <c r="B1407" s="3" t="s">
        <v>2392</v>
      </c>
      <c r="C1407" s="5" t="s">
        <v>36</v>
      </c>
      <c r="D1407" s="5">
        <v>3</v>
      </c>
      <c r="E1407" s="5">
        <v>1</v>
      </c>
      <c r="F1407" s="5">
        <v>3</v>
      </c>
      <c r="G1407" s="6" t="s">
        <v>36</v>
      </c>
      <c r="H1407" s="4" t="s">
        <v>36</v>
      </c>
      <c r="I1407" s="7" t="s">
        <v>36</v>
      </c>
      <c r="J1407" s="3" t="s">
        <v>36</v>
      </c>
      <c r="K1407" s="9" t="s">
        <v>36</v>
      </c>
      <c r="L1407" s="6" t="s">
        <v>36</v>
      </c>
      <c r="M1407" s="3" t="s">
        <v>36</v>
      </c>
      <c r="N1407" s="3" t="s">
        <v>36</v>
      </c>
      <c r="O1407" s="8" t="s">
        <v>36</v>
      </c>
      <c r="P1407" s="3" t="s">
        <v>36</v>
      </c>
      <c r="Q1407" s="3" t="s">
        <v>36</v>
      </c>
      <c r="R1407" s="3" t="s">
        <v>36</v>
      </c>
      <c r="S1407" s="3" t="s">
        <v>36</v>
      </c>
      <c r="T1407" s="3" t="s">
        <v>2393</v>
      </c>
      <c r="U1407" s="3" t="s">
        <v>1502</v>
      </c>
      <c r="V1407" s="3" t="s">
        <v>75</v>
      </c>
      <c r="W1407" s="3" t="s">
        <v>2394</v>
      </c>
      <c r="X1407" s="10" t="s">
        <v>8338</v>
      </c>
      <c r="Y1407" s="6" t="s">
        <v>42</v>
      </c>
      <c r="Z1407" s="4">
        <v>1.6</v>
      </c>
      <c r="AA1407" s="4" t="s">
        <v>36</v>
      </c>
      <c r="AB1407" s="3" t="s">
        <v>56</v>
      </c>
      <c r="AC1407" s="3" t="s">
        <v>2396</v>
      </c>
      <c r="AD1407" s="9">
        <v>45007</v>
      </c>
      <c r="AE1407" s="3" t="s">
        <v>1822</v>
      </c>
      <c r="AF1407" s="3" t="s">
        <v>2397</v>
      </c>
      <c r="AG1407" s="3" t="s">
        <v>186</v>
      </c>
      <c r="AH1407" s="11">
        <f>HYPERLINK("https://my.pitchbook.com?c=218813-77T","View Company Online")</f>
      </c>
    </row>
    <row r="1408">
      <c r="A1408" s="12" t="s">
        <v>8339</v>
      </c>
      <c r="B1408" s="12" t="s">
        <v>315</v>
      </c>
      <c r="C1408" s="19">
        <v>16</v>
      </c>
      <c r="D1408" s="19">
        <v>5</v>
      </c>
      <c r="E1408" s="19">
        <v>14</v>
      </c>
      <c r="F1408" s="19">
        <v>21</v>
      </c>
      <c r="G1408" s="15" t="s">
        <v>36</v>
      </c>
      <c r="H1408" s="14" t="s">
        <v>36</v>
      </c>
      <c r="I1408" s="18" t="s">
        <v>36</v>
      </c>
      <c r="J1408" s="12" t="s">
        <v>36</v>
      </c>
      <c r="K1408" s="13" t="s">
        <v>36</v>
      </c>
      <c r="L1408" s="15" t="s">
        <v>36</v>
      </c>
      <c r="M1408" s="12" t="s">
        <v>36</v>
      </c>
      <c r="N1408" s="12" t="s">
        <v>36</v>
      </c>
      <c r="O1408" s="17" t="s">
        <v>36</v>
      </c>
      <c r="P1408" s="12" t="s">
        <v>36</v>
      </c>
      <c r="Q1408" s="12" t="s">
        <v>36</v>
      </c>
      <c r="R1408" s="12" t="s">
        <v>36</v>
      </c>
      <c r="S1408" s="12" t="s">
        <v>316</v>
      </c>
      <c r="T1408" s="12" t="s">
        <v>317</v>
      </c>
      <c r="U1408" s="12" t="s">
        <v>318</v>
      </c>
      <c r="V1408" s="12" t="s">
        <v>39</v>
      </c>
      <c r="W1408" s="12" t="s">
        <v>319</v>
      </c>
      <c r="X1408" s="16" t="s">
        <v>2442</v>
      </c>
      <c r="Y1408" s="15" t="s">
        <v>192</v>
      </c>
      <c r="Z1408" s="14">
        <v>3.99</v>
      </c>
      <c r="AA1408" s="14" t="s">
        <v>36</v>
      </c>
      <c r="AB1408" s="12" t="s">
        <v>43</v>
      </c>
      <c r="AC1408" s="12" t="s">
        <v>322</v>
      </c>
      <c r="AD1408" s="13">
        <v>45006</v>
      </c>
      <c r="AE1408" s="12" t="s">
        <v>323</v>
      </c>
      <c r="AF1408" s="12" t="s">
        <v>36</v>
      </c>
      <c r="AG1408" s="12" t="s">
        <v>81</v>
      </c>
      <c r="AH1408" s="1">
        <f>HYPERLINK("https://my.pitchbook.com?c=244968-94T","View Company Online")</f>
      </c>
    </row>
    <row r="1409">
      <c r="A1409" s="3" t="s">
        <v>8340</v>
      </c>
      <c r="B1409" s="3" t="s">
        <v>8341</v>
      </c>
      <c r="C1409" s="5" t="s">
        <v>36</v>
      </c>
      <c r="D1409" s="5">
        <v>5</v>
      </c>
      <c r="E1409" s="5">
        <v>1</v>
      </c>
      <c r="F1409" s="5">
        <v>6</v>
      </c>
      <c r="G1409" s="6" t="s">
        <v>36</v>
      </c>
      <c r="H1409" s="4" t="s">
        <v>36</v>
      </c>
      <c r="I1409" s="7" t="s">
        <v>36</v>
      </c>
      <c r="J1409" s="3" t="s">
        <v>36</v>
      </c>
      <c r="K1409" s="9" t="s">
        <v>36</v>
      </c>
      <c r="L1409" s="6" t="s">
        <v>122</v>
      </c>
      <c r="M1409" s="3" t="s">
        <v>36</v>
      </c>
      <c r="N1409" s="3" t="s">
        <v>122</v>
      </c>
      <c r="O1409" s="8" t="s">
        <v>36</v>
      </c>
      <c r="P1409" s="3" t="s">
        <v>36</v>
      </c>
      <c r="Q1409" s="3" t="s">
        <v>36</v>
      </c>
      <c r="R1409" s="3" t="s">
        <v>36</v>
      </c>
      <c r="S1409" s="3" t="s">
        <v>36</v>
      </c>
      <c r="T1409" s="3" t="s">
        <v>8342</v>
      </c>
      <c r="U1409" s="3" t="s">
        <v>85</v>
      </c>
      <c r="V1409" s="3" t="s">
        <v>64</v>
      </c>
      <c r="W1409" s="3" t="s">
        <v>8343</v>
      </c>
      <c r="X1409" s="10" t="s">
        <v>8344</v>
      </c>
      <c r="Y1409" s="6" t="s">
        <v>192</v>
      </c>
      <c r="Z1409" s="4">
        <v>12.5</v>
      </c>
      <c r="AA1409" s="4" t="s">
        <v>36</v>
      </c>
      <c r="AB1409" s="3" t="s">
        <v>56</v>
      </c>
      <c r="AC1409" s="3" t="s">
        <v>8345</v>
      </c>
      <c r="AD1409" s="9">
        <v>45006</v>
      </c>
      <c r="AE1409" s="3" t="s">
        <v>2823</v>
      </c>
      <c r="AF1409" s="3" t="s">
        <v>1507</v>
      </c>
      <c r="AG1409" s="3" t="s">
        <v>186</v>
      </c>
      <c r="AH1409" s="11">
        <f>HYPERLINK("https://my.pitchbook.com?c=223877-80T","View Company Online")</f>
      </c>
    </row>
    <row r="1410">
      <c r="A1410" s="12" t="s">
        <v>8346</v>
      </c>
      <c r="B1410" s="12" t="s">
        <v>8347</v>
      </c>
      <c r="C1410" s="19" t="s">
        <v>36</v>
      </c>
      <c r="D1410" s="19" t="s">
        <v>36</v>
      </c>
      <c r="E1410" s="19" t="s">
        <v>36</v>
      </c>
      <c r="F1410" s="19" t="s">
        <v>36</v>
      </c>
      <c r="G1410" s="15" t="s">
        <v>326</v>
      </c>
      <c r="H1410" s="14" t="s">
        <v>36</v>
      </c>
      <c r="I1410" s="18">
        <v>48.4</v>
      </c>
      <c r="J1410" s="12" t="s">
        <v>327</v>
      </c>
      <c r="K1410" s="13">
        <v>44896</v>
      </c>
      <c r="L1410" s="15" t="s">
        <v>36</v>
      </c>
      <c r="M1410" s="12" t="s">
        <v>36</v>
      </c>
      <c r="N1410" s="12" t="s">
        <v>36</v>
      </c>
      <c r="O1410" s="17" t="s">
        <v>36</v>
      </c>
      <c r="P1410" s="12" t="s">
        <v>36</v>
      </c>
      <c r="Q1410" s="12" t="s">
        <v>36</v>
      </c>
      <c r="R1410" s="12" t="s">
        <v>36</v>
      </c>
      <c r="S1410" s="12" t="s">
        <v>36</v>
      </c>
      <c r="T1410" s="12" t="s">
        <v>8348</v>
      </c>
      <c r="U1410" s="12" t="s">
        <v>318</v>
      </c>
      <c r="V1410" s="12" t="s">
        <v>39</v>
      </c>
      <c r="W1410" s="12" t="s">
        <v>8349</v>
      </c>
      <c r="X1410" s="16" t="s">
        <v>8350</v>
      </c>
      <c r="Y1410" s="15" t="s">
        <v>55</v>
      </c>
      <c r="Z1410" s="14">
        <v>6.38</v>
      </c>
      <c r="AA1410" s="14">
        <v>13.19</v>
      </c>
      <c r="AB1410" s="12" t="s">
        <v>56</v>
      </c>
      <c r="AC1410" s="12" t="s">
        <v>8351</v>
      </c>
      <c r="AD1410" s="13">
        <v>45006</v>
      </c>
      <c r="AE1410" s="12" t="s">
        <v>763</v>
      </c>
      <c r="AF1410" s="12" t="s">
        <v>2132</v>
      </c>
      <c r="AG1410" s="12" t="s">
        <v>8352</v>
      </c>
      <c r="AH1410" s="1">
        <f>HYPERLINK("https://my.pitchbook.com?c=218656-00T","View Company Online")</f>
      </c>
    </row>
    <row r="1411">
      <c r="A1411" s="3" t="s">
        <v>8353</v>
      </c>
      <c r="B1411" s="3" t="s">
        <v>8354</v>
      </c>
      <c r="C1411" s="5" t="s">
        <v>36</v>
      </c>
      <c r="D1411" s="5" t="s">
        <v>36</v>
      </c>
      <c r="E1411" s="5">
        <v>1</v>
      </c>
      <c r="F1411" s="5">
        <v>1</v>
      </c>
      <c r="G1411" s="6" t="s">
        <v>36</v>
      </c>
      <c r="H1411" s="4" t="s">
        <v>36</v>
      </c>
      <c r="I1411" s="7" t="s">
        <v>36</v>
      </c>
      <c r="J1411" s="3" t="s">
        <v>36</v>
      </c>
      <c r="K1411" s="9">
        <v>44986</v>
      </c>
      <c r="L1411" s="6" t="s">
        <v>36</v>
      </c>
      <c r="M1411" s="3" t="s">
        <v>36</v>
      </c>
      <c r="N1411" s="3" t="s">
        <v>36</v>
      </c>
      <c r="O1411" s="8" t="s">
        <v>36</v>
      </c>
      <c r="P1411" s="3" t="s">
        <v>36</v>
      </c>
      <c r="Q1411" s="3" t="s">
        <v>36</v>
      </c>
      <c r="R1411" s="3" t="s">
        <v>36</v>
      </c>
      <c r="S1411" s="3" t="s">
        <v>36</v>
      </c>
      <c r="T1411" s="3" t="s">
        <v>2811</v>
      </c>
      <c r="U1411" s="3" t="s">
        <v>219</v>
      </c>
      <c r="V1411" s="3" t="s">
        <v>75</v>
      </c>
      <c r="W1411" s="3" t="s">
        <v>8355</v>
      </c>
      <c r="X1411" s="10" t="s">
        <v>8356</v>
      </c>
      <c r="Y1411" s="6" t="s">
        <v>108</v>
      </c>
      <c r="Z1411" s="4" t="s">
        <v>36</v>
      </c>
      <c r="AA1411" s="4" t="s">
        <v>36</v>
      </c>
      <c r="AB1411" s="3" t="s">
        <v>56</v>
      </c>
      <c r="AC1411" s="3" t="s">
        <v>8357</v>
      </c>
      <c r="AD1411" s="9">
        <v>45006</v>
      </c>
      <c r="AE1411" s="3" t="s">
        <v>223</v>
      </c>
      <c r="AF1411" s="3" t="s">
        <v>571</v>
      </c>
      <c r="AG1411" s="3" t="s">
        <v>539</v>
      </c>
      <c r="AH1411" s="11">
        <f>HYPERLINK("https://my.pitchbook.com?c=219538-99T","View Company Online")</f>
      </c>
    </row>
    <row r="1412">
      <c r="A1412" s="12" t="s">
        <v>8358</v>
      </c>
      <c r="B1412" s="12" t="s">
        <v>8359</v>
      </c>
      <c r="C1412" s="19" t="s">
        <v>36</v>
      </c>
      <c r="D1412" s="19" t="s">
        <v>36</v>
      </c>
      <c r="E1412" s="19" t="s">
        <v>36</v>
      </c>
      <c r="F1412" s="19" t="s">
        <v>36</v>
      </c>
      <c r="G1412" s="15" t="s">
        <v>36</v>
      </c>
      <c r="H1412" s="14" t="s">
        <v>36</v>
      </c>
      <c r="I1412" s="18">
        <v>35.94</v>
      </c>
      <c r="J1412" s="12" t="s">
        <v>327</v>
      </c>
      <c r="K1412" s="13" t="s">
        <v>36</v>
      </c>
      <c r="L1412" s="15" t="s">
        <v>36</v>
      </c>
      <c r="M1412" s="12" t="s">
        <v>36</v>
      </c>
      <c r="N1412" s="12" t="s">
        <v>36</v>
      </c>
      <c r="O1412" s="17" t="s">
        <v>36</v>
      </c>
      <c r="P1412" s="12" t="s">
        <v>36</v>
      </c>
      <c r="Q1412" s="12" t="s">
        <v>36</v>
      </c>
      <c r="R1412" s="12" t="s">
        <v>36</v>
      </c>
      <c r="S1412" s="12" t="s">
        <v>36</v>
      </c>
      <c r="T1412" s="12" t="s">
        <v>8360</v>
      </c>
      <c r="U1412" s="12" t="s">
        <v>38</v>
      </c>
      <c r="V1412" s="12" t="s">
        <v>39</v>
      </c>
      <c r="W1412" s="12" t="s">
        <v>8361</v>
      </c>
      <c r="X1412" s="16" t="s">
        <v>8362</v>
      </c>
      <c r="Y1412" s="15" t="s">
        <v>42</v>
      </c>
      <c r="Z1412" s="14">
        <v>3.19</v>
      </c>
      <c r="AA1412" s="14">
        <v>8.88</v>
      </c>
      <c r="AB1412" s="12" t="s">
        <v>43</v>
      </c>
      <c r="AC1412" s="12" t="s">
        <v>8363</v>
      </c>
      <c r="AD1412" s="13">
        <v>45006</v>
      </c>
      <c r="AE1412" s="12" t="s">
        <v>45</v>
      </c>
      <c r="AF1412" s="12" t="s">
        <v>331</v>
      </c>
      <c r="AG1412" s="12" t="s">
        <v>382</v>
      </c>
      <c r="AH1412" s="1">
        <f>HYPERLINK("https://my.pitchbook.com?c=218645-56T","View Company Online")</f>
      </c>
    </row>
    <row r="1413">
      <c r="A1413" s="3" t="s">
        <v>8364</v>
      </c>
      <c r="B1413" s="3" t="s">
        <v>8365</v>
      </c>
      <c r="C1413" s="5" t="s">
        <v>36</v>
      </c>
      <c r="D1413" s="5" t="s">
        <v>36</v>
      </c>
      <c r="E1413" s="5" t="s">
        <v>36</v>
      </c>
      <c r="F1413" s="5" t="s">
        <v>36</v>
      </c>
      <c r="G1413" s="6" t="s">
        <v>36</v>
      </c>
      <c r="H1413" s="4" t="s">
        <v>36</v>
      </c>
      <c r="I1413" s="7">
        <v>24.44</v>
      </c>
      <c r="J1413" s="3" t="s">
        <v>327</v>
      </c>
      <c r="K1413" s="9" t="s">
        <v>36</v>
      </c>
      <c r="L1413" s="6" t="s">
        <v>122</v>
      </c>
      <c r="M1413" s="3" t="s">
        <v>36</v>
      </c>
      <c r="N1413" s="3" t="s">
        <v>122</v>
      </c>
      <c r="O1413" s="8" t="s">
        <v>36</v>
      </c>
      <c r="P1413" s="3" t="s">
        <v>36</v>
      </c>
      <c r="Q1413" s="3" t="s">
        <v>36</v>
      </c>
      <c r="R1413" s="3" t="s">
        <v>36</v>
      </c>
      <c r="S1413" s="3" t="s">
        <v>36</v>
      </c>
      <c r="T1413" s="3" t="s">
        <v>5377</v>
      </c>
      <c r="U1413" s="3" t="s">
        <v>38</v>
      </c>
      <c r="V1413" s="3" t="s">
        <v>39</v>
      </c>
      <c r="W1413" s="3" t="s">
        <v>8366</v>
      </c>
      <c r="X1413" s="10" t="s">
        <v>8367</v>
      </c>
      <c r="Y1413" s="6" t="s">
        <v>108</v>
      </c>
      <c r="Z1413" s="4">
        <v>12.77</v>
      </c>
      <c r="AA1413" s="4">
        <v>52.23</v>
      </c>
      <c r="AB1413" s="3" t="s">
        <v>43</v>
      </c>
      <c r="AC1413" s="3" t="s">
        <v>8368</v>
      </c>
      <c r="AD1413" s="9">
        <v>45006</v>
      </c>
      <c r="AE1413" s="3" t="s">
        <v>1200</v>
      </c>
      <c r="AF1413" s="3" t="s">
        <v>1331</v>
      </c>
      <c r="AG1413" s="3" t="s">
        <v>81</v>
      </c>
      <c r="AH1413" s="11">
        <f>HYPERLINK("https://my.pitchbook.com?c=218652-40T","View Company Online")</f>
      </c>
    </row>
    <row r="1414">
      <c r="A1414" s="12" t="s">
        <v>8369</v>
      </c>
      <c r="B1414" s="12" t="s">
        <v>8370</v>
      </c>
      <c r="C1414" s="19" t="s">
        <v>36</v>
      </c>
      <c r="D1414" s="19">
        <v>13</v>
      </c>
      <c r="E1414" s="19">
        <v>6</v>
      </c>
      <c r="F1414" s="19">
        <v>17</v>
      </c>
      <c r="G1414" s="15" t="s">
        <v>36</v>
      </c>
      <c r="H1414" s="14" t="s">
        <v>36</v>
      </c>
      <c r="I1414" s="18" t="s">
        <v>36</v>
      </c>
      <c r="J1414" s="12" t="s">
        <v>36</v>
      </c>
      <c r="K1414" s="13" t="s">
        <v>36</v>
      </c>
      <c r="L1414" s="15" t="s">
        <v>36</v>
      </c>
      <c r="M1414" s="12" t="s">
        <v>36</v>
      </c>
      <c r="N1414" s="12" t="s">
        <v>36</v>
      </c>
      <c r="O1414" s="17" t="s">
        <v>36</v>
      </c>
      <c r="P1414" s="12" t="s">
        <v>36</v>
      </c>
      <c r="Q1414" s="12" t="s">
        <v>36</v>
      </c>
      <c r="R1414" s="12" t="s">
        <v>36</v>
      </c>
      <c r="S1414" s="12" t="s">
        <v>36</v>
      </c>
      <c r="T1414" s="12" t="s">
        <v>8371</v>
      </c>
      <c r="U1414" s="12" t="s">
        <v>1082</v>
      </c>
      <c r="V1414" s="12" t="s">
        <v>378</v>
      </c>
      <c r="W1414" s="12" t="s">
        <v>8372</v>
      </c>
      <c r="X1414" s="16" t="s">
        <v>8373</v>
      </c>
      <c r="Y1414" s="15" t="s">
        <v>42</v>
      </c>
      <c r="Z1414" s="14">
        <v>10.64</v>
      </c>
      <c r="AA1414" s="14" t="s">
        <v>36</v>
      </c>
      <c r="AB1414" s="12" t="s">
        <v>56</v>
      </c>
      <c r="AC1414" s="12" t="s">
        <v>8374</v>
      </c>
      <c r="AD1414" s="13">
        <v>45006</v>
      </c>
      <c r="AE1414" s="12" t="s">
        <v>7876</v>
      </c>
      <c r="AF1414" s="12" t="s">
        <v>1969</v>
      </c>
      <c r="AG1414" s="12" t="s">
        <v>8375</v>
      </c>
      <c r="AH1414" s="1">
        <f>HYPERLINK("https://my.pitchbook.com?c=227628-46T","View Company Online")</f>
      </c>
    </row>
    <row r="1415">
      <c r="A1415" s="3" t="s">
        <v>8376</v>
      </c>
      <c r="B1415" s="3" t="s">
        <v>430</v>
      </c>
      <c r="C1415" s="5" t="s">
        <v>36</v>
      </c>
      <c r="D1415" s="5">
        <v>2</v>
      </c>
      <c r="E1415" s="5">
        <v>1</v>
      </c>
      <c r="F1415" s="5">
        <v>2</v>
      </c>
      <c r="G1415" s="6" t="s">
        <v>326</v>
      </c>
      <c r="H1415" s="4" t="s">
        <v>36</v>
      </c>
      <c r="I1415" s="7">
        <v>47.29</v>
      </c>
      <c r="J1415" s="3" t="s">
        <v>327</v>
      </c>
      <c r="K1415" s="9" t="s">
        <v>36</v>
      </c>
      <c r="L1415" s="6" t="s">
        <v>122</v>
      </c>
      <c r="M1415" s="3" t="s">
        <v>36</v>
      </c>
      <c r="N1415" s="3" t="s">
        <v>122</v>
      </c>
      <c r="O1415" s="8" t="s">
        <v>36</v>
      </c>
      <c r="P1415" s="3" t="s">
        <v>36</v>
      </c>
      <c r="Q1415" s="3" t="s">
        <v>36</v>
      </c>
      <c r="R1415" s="3" t="s">
        <v>36</v>
      </c>
      <c r="S1415" s="3" t="s">
        <v>36</v>
      </c>
      <c r="T1415" s="3" t="s">
        <v>105</v>
      </c>
      <c r="U1415" s="3" t="s">
        <v>38</v>
      </c>
      <c r="V1415" s="3" t="s">
        <v>39</v>
      </c>
      <c r="W1415" s="3" t="s">
        <v>431</v>
      </c>
      <c r="X1415" s="10" t="s">
        <v>8377</v>
      </c>
      <c r="Y1415" s="6" t="s">
        <v>108</v>
      </c>
      <c r="Z1415" s="4">
        <v>23.41</v>
      </c>
      <c r="AA1415" s="4">
        <v>37.57</v>
      </c>
      <c r="AB1415" s="3" t="s">
        <v>56</v>
      </c>
      <c r="AC1415" s="3" t="s">
        <v>433</v>
      </c>
      <c r="AD1415" s="9">
        <v>45005</v>
      </c>
      <c r="AE1415" s="3" t="s">
        <v>110</v>
      </c>
      <c r="AF1415" s="3" t="s">
        <v>111</v>
      </c>
      <c r="AG1415" s="3" t="s">
        <v>434</v>
      </c>
      <c r="AH1415" s="11">
        <f>HYPERLINK("https://my.pitchbook.com?c=218570-77T","View Company Online")</f>
      </c>
    </row>
    <row r="1416">
      <c r="A1416" s="12" t="s">
        <v>8378</v>
      </c>
      <c r="B1416" s="12" t="s">
        <v>1291</v>
      </c>
      <c r="C1416" s="19" t="s">
        <v>36</v>
      </c>
      <c r="D1416" s="19" t="s">
        <v>36</v>
      </c>
      <c r="E1416" s="19" t="s">
        <v>36</v>
      </c>
      <c r="F1416" s="19" t="s">
        <v>36</v>
      </c>
      <c r="G1416" s="15" t="s">
        <v>36</v>
      </c>
      <c r="H1416" s="14" t="s">
        <v>36</v>
      </c>
      <c r="I1416" s="18" t="s">
        <v>36</v>
      </c>
      <c r="J1416" s="12" t="s">
        <v>36</v>
      </c>
      <c r="K1416" s="13" t="s">
        <v>36</v>
      </c>
      <c r="L1416" s="15" t="s">
        <v>36</v>
      </c>
      <c r="M1416" s="12" t="s">
        <v>36</v>
      </c>
      <c r="N1416" s="12" t="s">
        <v>36</v>
      </c>
      <c r="O1416" s="17" t="s">
        <v>36</v>
      </c>
      <c r="P1416" s="12" t="s">
        <v>36</v>
      </c>
      <c r="Q1416" s="12" t="s">
        <v>36</v>
      </c>
      <c r="R1416" s="12" t="s">
        <v>36</v>
      </c>
      <c r="S1416" s="12" t="s">
        <v>36</v>
      </c>
      <c r="T1416" s="12" t="s">
        <v>1292</v>
      </c>
      <c r="U1416" s="12" t="s">
        <v>38</v>
      </c>
      <c r="V1416" s="12" t="s">
        <v>39</v>
      </c>
      <c r="W1416" s="12" t="s">
        <v>1293</v>
      </c>
      <c r="X1416" s="16" t="s">
        <v>1840</v>
      </c>
      <c r="Y1416" s="15" t="s">
        <v>42</v>
      </c>
      <c r="Z1416" s="14">
        <v>0.32</v>
      </c>
      <c r="AA1416" s="14" t="s">
        <v>36</v>
      </c>
      <c r="AB1416" s="12" t="s">
        <v>43</v>
      </c>
      <c r="AC1416" s="12" t="s">
        <v>1295</v>
      </c>
      <c r="AD1416" s="13">
        <v>45002</v>
      </c>
      <c r="AE1416" s="12" t="s">
        <v>554</v>
      </c>
      <c r="AF1416" s="12" t="s">
        <v>1296</v>
      </c>
      <c r="AG1416" s="12" t="s">
        <v>81</v>
      </c>
      <c r="AH1416" s="1">
        <f>HYPERLINK("https://my.pitchbook.com?c=218450-17T","View Company Online")</f>
      </c>
    </row>
    <row r="1417">
      <c r="A1417" s="3" t="s">
        <v>8379</v>
      </c>
      <c r="B1417" s="3" t="s">
        <v>8380</v>
      </c>
      <c r="C1417" s="5" t="s">
        <v>36</v>
      </c>
      <c r="D1417" s="5" t="s">
        <v>36</v>
      </c>
      <c r="E1417" s="5" t="s">
        <v>36</v>
      </c>
      <c r="F1417" s="5" t="s">
        <v>36</v>
      </c>
      <c r="G1417" s="6" t="s">
        <v>36</v>
      </c>
      <c r="H1417" s="4" t="s">
        <v>36</v>
      </c>
      <c r="I1417" s="7" t="s">
        <v>36</v>
      </c>
      <c r="J1417" s="3" t="s">
        <v>36</v>
      </c>
      <c r="K1417" s="9" t="s">
        <v>36</v>
      </c>
      <c r="L1417" s="6" t="s">
        <v>36</v>
      </c>
      <c r="M1417" s="3" t="s">
        <v>36</v>
      </c>
      <c r="N1417" s="3" t="s">
        <v>36</v>
      </c>
      <c r="O1417" s="8" t="s">
        <v>36</v>
      </c>
      <c r="P1417" s="3" t="s">
        <v>36</v>
      </c>
      <c r="Q1417" s="3" t="s">
        <v>36</v>
      </c>
      <c r="R1417" s="3" t="s">
        <v>36</v>
      </c>
      <c r="S1417" s="3" t="s">
        <v>36</v>
      </c>
      <c r="T1417" s="3" t="s">
        <v>4155</v>
      </c>
      <c r="U1417" s="3" t="s">
        <v>1082</v>
      </c>
      <c r="V1417" s="3" t="s">
        <v>378</v>
      </c>
      <c r="W1417" s="3" t="s">
        <v>8381</v>
      </c>
      <c r="X1417" s="10" t="s">
        <v>8382</v>
      </c>
      <c r="Y1417" s="6" t="s">
        <v>192</v>
      </c>
      <c r="Z1417" s="4">
        <v>15.96</v>
      </c>
      <c r="AA1417" s="4" t="s">
        <v>36</v>
      </c>
      <c r="AB1417" s="3" t="s">
        <v>56</v>
      </c>
      <c r="AC1417" s="3" t="s">
        <v>8383</v>
      </c>
      <c r="AD1417" s="9">
        <v>45001</v>
      </c>
      <c r="AE1417" s="3" t="s">
        <v>1086</v>
      </c>
      <c r="AF1417" s="3" t="s">
        <v>2673</v>
      </c>
      <c r="AG1417" s="3" t="s">
        <v>8384</v>
      </c>
      <c r="AH1417" s="11">
        <f>HYPERLINK("https://my.pitchbook.com?c=218477-26T","View Company Online")</f>
      </c>
    </row>
    <row r="1418">
      <c r="A1418" s="12" t="s">
        <v>8385</v>
      </c>
      <c r="B1418" s="12" t="s">
        <v>8386</v>
      </c>
      <c r="C1418" s="19" t="s">
        <v>36</v>
      </c>
      <c r="D1418" s="19" t="s">
        <v>36</v>
      </c>
      <c r="E1418" s="19" t="s">
        <v>36</v>
      </c>
      <c r="F1418" s="19" t="s">
        <v>36</v>
      </c>
      <c r="G1418" s="15" t="s">
        <v>36</v>
      </c>
      <c r="H1418" s="14">
        <v>397.16</v>
      </c>
      <c r="I1418" s="18">
        <v>20.92</v>
      </c>
      <c r="J1418" s="12" t="s">
        <v>521</v>
      </c>
      <c r="K1418" s="13" t="s">
        <v>36</v>
      </c>
      <c r="L1418" s="15" t="s">
        <v>36</v>
      </c>
      <c r="M1418" s="12" t="s">
        <v>36</v>
      </c>
      <c r="N1418" s="12" t="s">
        <v>36</v>
      </c>
      <c r="O1418" s="17" t="s">
        <v>36</v>
      </c>
      <c r="P1418" s="12" t="s">
        <v>36</v>
      </c>
      <c r="Q1418" s="12" t="s">
        <v>36</v>
      </c>
      <c r="R1418" s="12" t="s">
        <v>36</v>
      </c>
      <c r="S1418" s="12" t="s">
        <v>36</v>
      </c>
      <c r="T1418" s="12" t="s">
        <v>8387</v>
      </c>
      <c r="U1418" s="12" t="s">
        <v>38</v>
      </c>
      <c r="V1418" s="12" t="s">
        <v>39</v>
      </c>
      <c r="W1418" s="12" t="s">
        <v>8388</v>
      </c>
      <c r="X1418" s="16" t="s">
        <v>8389</v>
      </c>
      <c r="Y1418" s="15" t="s">
        <v>108</v>
      </c>
      <c r="Z1418" s="14">
        <v>1.07</v>
      </c>
      <c r="AA1418" s="14">
        <v>5.1</v>
      </c>
      <c r="AB1418" s="12" t="s">
        <v>43</v>
      </c>
      <c r="AC1418" s="12" t="s">
        <v>8390</v>
      </c>
      <c r="AD1418" s="13">
        <v>45001</v>
      </c>
      <c r="AE1418" s="12" t="s">
        <v>110</v>
      </c>
      <c r="AF1418" s="12" t="s">
        <v>8391</v>
      </c>
      <c r="AG1418" s="12" t="s">
        <v>741</v>
      </c>
      <c r="AH1418" s="1">
        <f>HYPERLINK("https://my.pitchbook.com?c=219554-83T","View Company Online")</f>
      </c>
    </row>
    <row r="1419">
      <c r="A1419" s="3" t="s">
        <v>8392</v>
      </c>
      <c r="B1419" s="3" t="s">
        <v>8393</v>
      </c>
      <c r="C1419" s="5" t="s">
        <v>36</v>
      </c>
      <c r="D1419" s="5" t="s">
        <v>36</v>
      </c>
      <c r="E1419" s="5" t="s">
        <v>36</v>
      </c>
      <c r="F1419" s="5" t="s">
        <v>36</v>
      </c>
      <c r="G1419" s="6" t="s">
        <v>36</v>
      </c>
      <c r="H1419" s="4" t="s">
        <v>36</v>
      </c>
      <c r="I1419" s="7" t="s">
        <v>36</v>
      </c>
      <c r="J1419" s="3" t="s">
        <v>36</v>
      </c>
      <c r="K1419" s="9" t="s">
        <v>36</v>
      </c>
      <c r="L1419" s="6" t="s">
        <v>94</v>
      </c>
      <c r="M1419" s="3" t="s">
        <v>36</v>
      </c>
      <c r="N1419" s="3" t="s">
        <v>94</v>
      </c>
      <c r="O1419" s="8" t="s">
        <v>36</v>
      </c>
      <c r="P1419" s="3" t="s">
        <v>36</v>
      </c>
      <c r="Q1419" s="3" t="s">
        <v>36</v>
      </c>
      <c r="R1419" s="3" t="s">
        <v>36</v>
      </c>
      <c r="S1419" s="3" t="s">
        <v>36</v>
      </c>
      <c r="T1419" s="3" t="s">
        <v>8394</v>
      </c>
      <c r="U1419" s="3" t="s">
        <v>85</v>
      </c>
      <c r="V1419" s="3" t="s">
        <v>64</v>
      </c>
      <c r="W1419" s="3" t="s">
        <v>8395</v>
      </c>
      <c r="X1419" s="10" t="s">
        <v>8396</v>
      </c>
      <c r="Y1419" s="6" t="s">
        <v>108</v>
      </c>
      <c r="Z1419" s="4">
        <v>28.46</v>
      </c>
      <c r="AA1419" s="4" t="s">
        <v>36</v>
      </c>
      <c r="AB1419" s="3" t="s">
        <v>43</v>
      </c>
      <c r="AC1419" s="3" t="s">
        <v>8397</v>
      </c>
      <c r="AD1419" s="9">
        <v>45001</v>
      </c>
      <c r="AE1419" s="3" t="s">
        <v>89</v>
      </c>
      <c r="AF1419" s="3" t="s">
        <v>8398</v>
      </c>
      <c r="AG1419" s="3" t="s">
        <v>81</v>
      </c>
      <c r="AH1419" s="11">
        <f>HYPERLINK("https://my.pitchbook.com?c=218419-75T","View Company Online")</f>
      </c>
    </row>
    <row r="1420">
      <c r="A1420" s="12" t="s">
        <v>8399</v>
      </c>
      <c r="B1420" s="12" t="s">
        <v>8400</v>
      </c>
      <c r="C1420" s="19" t="s">
        <v>36</v>
      </c>
      <c r="D1420" s="19" t="s">
        <v>36</v>
      </c>
      <c r="E1420" s="19" t="s">
        <v>36</v>
      </c>
      <c r="F1420" s="19" t="s">
        <v>36</v>
      </c>
      <c r="G1420" s="15" t="s">
        <v>326</v>
      </c>
      <c r="H1420" s="14">
        <v>2948.38</v>
      </c>
      <c r="I1420" s="18">
        <v>21.18</v>
      </c>
      <c r="J1420" s="12" t="s">
        <v>521</v>
      </c>
      <c r="K1420" s="13">
        <v>45000</v>
      </c>
      <c r="L1420" s="15" t="s">
        <v>1862</v>
      </c>
      <c r="M1420" s="12" t="s">
        <v>36</v>
      </c>
      <c r="N1420" s="12" t="s">
        <v>1862</v>
      </c>
      <c r="O1420" s="17" t="s">
        <v>36</v>
      </c>
      <c r="P1420" s="12" t="s">
        <v>36</v>
      </c>
      <c r="Q1420" s="12" t="s">
        <v>36</v>
      </c>
      <c r="R1420" s="12" t="s">
        <v>36</v>
      </c>
      <c r="S1420" s="12" t="s">
        <v>36</v>
      </c>
      <c r="T1420" s="12" t="s">
        <v>3843</v>
      </c>
      <c r="U1420" s="12" t="s">
        <v>180</v>
      </c>
      <c r="V1420" s="12" t="s">
        <v>52</v>
      </c>
      <c r="W1420" s="12" t="s">
        <v>8401</v>
      </c>
      <c r="X1420" s="16" t="s">
        <v>8402</v>
      </c>
      <c r="Y1420" s="15" t="s">
        <v>192</v>
      </c>
      <c r="Z1420" s="14">
        <v>21.29</v>
      </c>
      <c r="AA1420" s="14">
        <v>75.38</v>
      </c>
      <c r="AB1420" s="12" t="s">
        <v>56</v>
      </c>
      <c r="AC1420" s="12" t="s">
        <v>8403</v>
      </c>
      <c r="AD1420" s="13">
        <v>45000</v>
      </c>
      <c r="AE1420" s="12" t="s">
        <v>3847</v>
      </c>
      <c r="AF1420" s="12" t="s">
        <v>7424</v>
      </c>
      <c r="AG1420" s="12" t="s">
        <v>81</v>
      </c>
      <c r="AH1420" s="1">
        <f>HYPERLINK("https://my.pitchbook.com?c=219330-46T","View Company Online")</f>
      </c>
    </row>
    <row r="1421">
      <c r="A1421" s="3" t="s">
        <v>8404</v>
      </c>
      <c r="B1421" s="3" t="s">
        <v>8405</v>
      </c>
      <c r="C1421" s="5">
        <v>2</v>
      </c>
      <c r="D1421" s="5" t="s">
        <v>36</v>
      </c>
      <c r="E1421" s="5">
        <v>2</v>
      </c>
      <c r="F1421" s="5">
        <v>2</v>
      </c>
      <c r="G1421" s="6" t="s">
        <v>36</v>
      </c>
      <c r="H1421" s="4">
        <v>401.93</v>
      </c>
      <c r="I1421" s="7">
        <v>42.53</v>
      </c>
      <c r="J1421" s="3" t="s">
        <v>521</v>
      </c>
      <c r="K1421" s="9" t="s">
        <v>36</v>
      </c>
      <c r="L1421" s="6" t="s">
        <v>36</v>
      </c>
      <c r="M1421" s="3" t="s">
        <v>36</v>
      </c>
      <c r="N1421" s="3" t="s">
        <v>36</v>
      </c>
      <c r="O1421" s="8" t="s">
        <v>36</v>
      </c>
      <c r="P1421" s="3" t="s">
        <v>36</v>
      </c>
      <c r="Q1421" s="3" t="s">
        <v>36</v>
      </c>
      <c r="R1421" s="3" t="s">
        <v>36</v>
      </c>
      <c r="S1421" s="3" t="s">
        <v>36</v>
      </c>
      <c r="T1421" s="3" t="s">
        <v>8406</v>
      </c>
      <c r="U1421" s="3" t="s">
        <v>74</v>
      </c>
      <c r="V1421" s="3" t="s">
        <v>75</v>
      </c>
      <c r="W1421" s="3" t="s">
        <v>8407</v>
      </c>
      <c r="X1421" s="10" t="s">
        <v>8408</v>
      </c>
      <c r="Y1421" s="6" t="s">
        <v>42</v>
      </c>
      <c r="Z1421" s="4">
        <v>3.05</v>
      </c>
      <c r="AA1421" s="4">
        <v>7.17</v>
      </c>
      <c r="AB1421" s="3" t="s">
        <v>56</v>
      </c>
      <c r="AC1421" s="3" t="s">
        <v>8409</v>
      </c>
      <c r="AD1421" s="9">
        <v>45000</v>
      </c>
      <c r="AE1421" s="3" t="s">
        <v>8410</v>
      </c>
      <c r="AF1421" s="3" t="s">
        <v>3429</v>
      </c>
      <c r="AG1421" s="3" t="s">
        <v>8273</v>
      </c>
      <c r="AH1421" s="11">
        <f>HYPERLINK("https://my.pitchbook.com?c=219686-86T","View Company Online")</f>
      </c>
    </row>
    <row r="1422">
      <c r="A1422" s="12" t="s">
        <v>8411</v>
      </c>
      <c r="B1422" s="12" t="s">
        <v>8412</v>
      </c>
      <c r="C1422" s="19" t="s">
        <v>36</v>
      </c>
      <c r="D1422" s="19" t="s">
        <v>36</v>
      </c>
      <c r="E1422" s="19" t="s">
        <v>36</v>
      </c>
      <c r="F1422" s="19" t="s">
        <v>36</v>
      </c>
      <c r="G1422" s="15" t="s">
        <v>683</v>
      </c>
      <c r="H1422" s="14">
        <v>55.04</v>
      </c>
      <c r="I1422" s="18">
        <v>15.14</v>
      </c>
      <c r="J1422" s="12" t="s">
        <v>521</v>
      </c>
      <c r="K1422" s="13" t="s">
        <v>36</v>
      </c>
      <c r="L1422" s="15" t="s">
        <v>36</v>
      </c>
      <c r="M1422" s="12" t="s">
        <v>36</v>
      </c>
      <c r="N1422" s="12" t="s">
        <v>36</v>
      </c>
      <c r="O1422" s="17" t="s">
        <v>36</v>
      </c>
      <c r="P1422" s="12" t="s">
        <v>36</v>
      </c>
      <c r="Q1422" s="12" t="s">
        <v>36</v>
      </c>
      <c r="R1422" s="12" t="s">
        <v>36</v>
      </c>
      <c r="S1422" s="12" t="s">
        <v>36</v>
      </c>
      <c r="T1422" s="12" t="s">
        <v>8413</v>
      </c>
      <c r="U1422" s="12" t="s">
        <v>38</v>
      </c>
      <c r="V1422" s="12" t="s">
        <v>39</v>
      </c>
      <c r="W1422" s="12" t="s">
        <v>8414</v>
      </c>
      <c r="X1422" s="16" t="s">
        <v>8415</v>
      </c>
      <c r="Y1422" s="15" t="s">
        <v>108</v>
      </c>
      <c r="Z1422" s="14">
        <v>0.18</v>
      </c>
      <c r="AA1422" s="14">
        <v>1.21</v>
      </c>
      <c r="AB1422" s="12" t="s">
        <v>56</v>
      </c>
      <c r="AC1422" s="12" t="s">
        <v>8416</v>
      </c>
      <c r="AD1422" s="13">
        <v>44999</v>
      </c>
      <c r="AE1422" s="12" t="s">
        <v>110</v>
      </c>
      <c r="AF1422" s="12" t="s">
        <v>176</v>
      </c>
      <c r="AG1422" s="12" t="s">
        <v>8417</v>
      </c>
      <c r="AH1422" s="1">
        <f>HYPERLINK("https://my.pitchbook.com?c=219351-61T","View Company Online")</f>
      </c>
    </row>
    <row r="1423">
      <c r="A1423" s="3" t="s">
        <v>8418</v>
      </c>
      <c r="B1423" s="3" t="s">
        <v>8419</v>
      </c>
      <c r="C1423" s="5" t="s">
        <v>36</v>
      </c>
      <c r="D1423" s="5" t="s">
        <v>36</v>
      </c>
      <c r="E1423" s="5" t="s">
        <v>36</v>
      </c>
      <c r="F1423" s="5" t="s">
        <v>36</v>
      </c>
      <c r="G1423" s="6" t="s">
        <v>326</v>
      </c>
      <c r="H1423" s="4" t="s">
        <v>36</v>
      </c>
      <c r="I1423" s="7">
        <v>26.71</v>
      </c>
      <c r="J1423" s="3" t="s">
        <v>327</v>
      </c>
      <c r="K1423" s="9" t="s">
        <v>36</v>
      </c>
      <c r="L1423" s="6" t="s">
        <v>94</v>
      </c>
      <c r="M1423" s="3" t="s">
        <v>36</v>
      </c>
      <c r="N1423" s="3" t="s">
        <v>94</v>
      </c>
      <c r="O1423" s="8" t="s">
        <v>36</v>
      </c>
      <c r="P1423" s="3" t="s">
        <v>36</v>
      </c>
      <c r="Q1423" s="3" t="s">
        <v>36</v>
      </c>
      <c r="R1423" s="3" t="s">
        <v>36</v>
      </c>
      <c r="S1423" s="3" t="s">
        <v>5463</v>
      </c>
      <c r="T1423" s="3" t="s">
        <v>1335</v>
      </c>
      <c r="U1423" s="3" t="s">
        <v>1336</v>
      </c>
      <c r="V1423" s="3" t="s">
        <v>367</v>
      </c>
      <c r="W1423" s="3" t="s">
        <v>8420</v>
      </c>
      <c r="X1423" s="10" t="s">
        <v>8421</v>
      </c>
      <c r="Y1423" s="6" t="s">
        <v>108</v>
      </c>
      <c r="Z1423" s="4">
        <v>46.82</v>
      </c>
      <c r="AA1423" s="4">
        <v>175.3</v>
      </c>
      <c r="AB1423" s="3" t="s">
        <v>43</v>
      </c>
      <c r="AC1423" s="3" t="s">
        <v>8422</v>
      </c>
      <c r="AD1423" s="9">
        <v>44999</v>
      </c>
      <c r="AE1423" s="3" t="s">
        <v>1339</v>
      </c>
      <c r="AF1423" s="3" t="s">
        <v>982</v>
      </c>
      <c r="AG1423" s="3" t="s">
        <v>8423</v>
      </c>
      <c r="AH1423" s="11">
        <f>HYPERLINK("https://my.pitchbook.com?c=218185-66T","View Company Online")</f>
      </c>
    </row>
    <row r="1424">
      <c r="A1424" s="12" t="s">
        <v>8424</v>
      </c>
      <c r="B1424" s="12" t="s">
        <v>8425</v>
      </c>
      <c r="C1424" s="19">
        <v>14</v>
      </c>
      <c r="D1424" s="19">
        <v>36</v>
      </c>
      <c r="E1424" s="19">
        <v>9</v>
      </c>
      <c r="F1424" s="19">
        <v>54</v>
      </c>
      <c r="G1424" s="15" t="s">
        <v>683</v>
      </c>
      <c r="H1424" s="14">
        <v>114.24</v>
      </c>
      <c r="I1424" s="18">
        <v>11.3</v>
      </c>
      <c r="J1424" s="12" t="s">
        <v>521</v>
      </c>
      <c r="K1424" s="13" t="s">
        <v>36</v>
      </c>
      <c r="L1424" s="15" t="s">
        <v>36</v>
      </c>
      <c r="M1424" s="12" t="s">
        <v>36</v>
      </c>
      <c r="N1424" s="12" t="s">
        <v>36</v>
      </c>
      <c r="O1424" s="17" t="s">
        <v>36</v>
      </c>
      <c r="P1424" s="12" t="s">
        <v>36</v>
      </c>
      <c r="Q1424" s="12" t="s">
        <v>36</v>
      </c>
      <c r="R1424" s="12" t="s">
        <v>36</v>
      </c>
      <c r="S1424" s="12" t="s">
        <v>36</v>
      </c>
      <c r="T1424" s="12" t="s">
        <v>881</v>
      </c>
      <c r="U1424" s="12" t="s">
        <v>51</v>
      </c>
      <c r="V1424" s="12" t="s">
        <v>52</v>
      </c>
      <c r="W1424" s="12" t="s">
        <v>8426</v>
      </c>
      <c r="X1424" s="16" t="s">
        <v>8427</v>
      </c>
      <c r="Y1424" s="15" t="s">
        <v>166</v>
      </c>
      <c r="Z1424" s="14">
        <v>1.75</v>
      </c>
      <c r="AA1424" s="14">
        <v>15.49</v>
      </c>
      <c r="AB1424" s="12" t="s">
        <v>56</v>
      </c>
      <c r="AC1424" s="12" t="s">
        <v>8428</v>
      </c>
      <c r="AD1424" s="13">
        <v>44999</v>
      </c>
      <c r="AE1424" s="12" t="s">
        <v>504</v>
      </c>
      <c r="AF1424" s="12" t="s">
        <v>5343</v>
      </c>
      <c r="AG1424" s="12" t="s">
        <v>186</v>
      </c>
      <c r="AH1424" s="1">
        <f>HYPERLINK("https://my.pitchbook.com?c=219676-42T","View Company Online")</f>
      </c>
    </row>
    <row r="1425">
      <c r="A1425" s="3" t="s">
        <v>8429</v>
      </c>
      <c r="B1425" s="3" t="s">
        <v>8430</v>
      </c>
      <c r="C1425" s="5" t="s">
        <v>36</v>
      </c>
      <c r="D1425" s="5" t="s">
        <v>36</v>
      </c>
      <c r="E1425" s="5" t="s">
        <v>36</v>
      </c>
      <c r="F1425" s="5" t="s">
        <v>36</v>
      </c>
      <c r="G1425" s="6" t="s">
        <v>36</v>
      </c>
      <c r="H1425" s="4" t="s">
        <v>36</v>
      </c>
      <c r="I1425" s="7" t="s">
        <v>36</v>
      </c>
      <c r="J1425" s="3" t="s">
        <v>36</v>
      </c>
      <c r="K1425" s="9" t="s">
        <v>36</v>
      </c>
      <c r="L1425" s="6" t="s">
        <v>36</v>
      </c>
      <c r="M1425" s="3" t="s">
        <v>36</v>
      </c>
      <c r="N1425" s="3" t="s">
        <v>36</v>
      </c>
      <c r="O1425" s="8" t="s">
        <v>36</v>
      </c>
      <c r="P1425" s="3" t="s">
        <v>36</v>
      </c>
      <c r="Q1425" s="3" t="s">
        <v>36</v>
      </c>
      <c r="R1425" s="3" t="s">
        <v>36</v>
      </c>
      <c r="S1425" s="3" t="s">
        <v>36</v>
      </c>
      <c r="T1425" s="3" t="s">
        <v>8431</v>
      </c>
      <c r="U1425" s="3" t="s">
        <v>728</v>
      </c>
      <c r="V1425" s="3" t="s">
        <v>64</v>
      </c>
      <c r="W1425" s="3" t="s">
        <v>8432</v>
      </c>
      <c r="X1425" s="10" t="s">
        <v>8433</v>
      </c>
      <c r="Y1425" s="6" t="s">
        <v>108</v>
      </c>
      <c r="Z1425" s="4">
        <v>15.96</v>
      </c>
      <c r="AA1425" s="4" t="s">
        <v>36</v>
      </c>
      <c r="AB1425" s="3" t="s">
        <v>56</v>
      </c>
      <c r="AC1425" s="3" t="s">
        <v>8434</v>
      </c>
      <c r="AD1425" s="9">
        <v>44998</v>
      </c>
      <c r="AE1425" s="3" t="s">
        <v>1600</v>
      </c>
      <c r="AF1425" s="3" t="s">
        <v>2343</v>
      </c>
      <c r="AG1425" s="3" t="s">
        <v>186</v>
      </c>
      <c r="AH1425" s="11">
        <f>HYPERLINK("https://my.pitchbook.com?c=218182-15T","View Company Online")</f>
      </c>
    </row>
    <row r="1426">
      <c r="A1426" s="12" t="s">
        <v>8435</v>
      </c>
      <c r="B1426" s="12" t="s">
        <v>8436</v>
      </c>
      <c r="C1426" s="19" t="s">
        <v>36</v>
      </c>
      <c r="D1426" s="19" t="s">
        <v>36</v>
      </c>
      <c r="E1426" s="19" t="s">
        <v>36</v>
      </c>
      <c r="F1426" s="19" t="s">
        <v>36</v>
      </c>
      <c r="G1426" s="15" t="s">
        <v>36</v>
      </c>
      <c r="H1426" s="14" t="s">
        <v>36</v>
      </c>
      <c r="I1426" s="18" t="s">
        <v>36</v>
      </c>
      <c r="J1426" s="12" t="s">
        <v>36</v>
      </c>
      <c r="K1426" s="13" t="s">
        <v>36</v>
      </c>
      <c r="L1426" s="15" t="s">
        <v>94</v>
      </c>
      <c r="M1426" s="12" t="s">
        <v>36</v>
      </c>
      <c r="N1426" s="12" t="s">
        <v>94</v>
      </c>
      <c r="O1426" s="17" t="s">
        <v>36</v>
      </c>
      <c r="P1426" s="12" t="s">
        <v>36</v>
      </c>
      <c r="Q1426" s="12" t="s">
        <v>36</v>
      </c>
      <c r="R1426" s="12" t="s">
        <v>36</v>
      </c>
      <c r="S1426" s="12" t="s">
        <v>36</v>
      </c>
      <c r="T1426" s="12" t="s">
        <v>8437</v>
      </c>
      <c r="U1426" s="12" t="s">
        <v>833</v>
      </c>
      <c r="V1426" s="12" t="s">
        <v>64</v>
      </c>
      <c r="W1426" s="12" t="s">
        <v>8438</v>
      </c>
      <c r="X1426" s="16" t="s">
        <v>8439</v>
      </c>
      <c r="Y1426" s="15" t="s">
        <v>192</v>
      </c>
      <c r="Z1426" s="14">
        <v>11.71</v>
      </c>
      <c r="AA1426" s="14" t="s">
        <v>36</v>
      </c>
      <c r="AB1426" s="12" t="s">
        <v>56</v>
      </c>
      <c r="AC1426" s="12" t="s">
        <v>8440</v>
      </c>
      <c r="AD1426" s="13">
        <v>44998</v>
      </c>
      <c r="AE1426" s="12" t="s">
        <v>3615</v>
      </c>
      <c r="AF1426" s="12" t="s">
        <v>8441</v>
      </c>
      <c r="AG1426" s="12" t="s">
        <v>81</v>
      </c>
      <c r="AH1426" s="1">
        <f>HYPERLINK("https://my.pitchbook.com?c=212629-42T","View Company Online")</f>
      </c>
    </row>
    <row r="1427">
      <c r="A1427" s="3" t="s">
        <v>8442</v>
      </c>
      <c r="B1427" s="3" t="s">
        <v>8443</v>
      </c>
      <c r="C1427" s="5" t="s">
        <v>36</v>
      </c>
      <c r="D1427" s="5" t="s">
        <v>36</v>
      </c>
      <c r="E1427" s="5" t="s">
        <v>36</v>
      </c>
      <c r="F1427" s="5" t="s">
        <v>36</v>
      </c>
      <c r="G1427" s="6" t="s">
        <v>36</v>
      </c>
      <c r="H1427" s="4" t="s">
        <v>36</v>
      </c>
      <c r="I1427" s="7" t="s">
        <v>36</v>
      </c>
      <c r="J1427" s="3" t="s">
        <v>36</v>
      </c>
      <c r="K1427" s="9">
        <v>44371</v>
      </c>
      <c r="L1427" s="6" t="s">
        <v>1862</v>
      </c>
      <c r="M1427" s="3" t="s">
        <v>36</v>
      </c>
      <c r="N1427" s="3" t="s">
        <v>1862</v>
      </c>
      <c r="O1427" s="8" t="s">
        <v>36</v>
      </c>
      <c r="P1427" s="3" t="s">
        <v>36</v>
      </c>
      <c r="Q1427" s="3" t="s">
        <v>36</v>
      </c>
      <c r="R1427" s="3" t="s">
        <v>36</v>
      </c>
      <c r="S1427" s="3" t="s">
        <v>36</v>
      </c>
      <c r="T1427" s="3" t="s">
        <v>4827</v>
      </c>
      <c r="U1427" s="3" t="s">
        <v>648</v>
      </c>
      <c r="V1427" s="3" t="s">
        <v>64</v>
      </c>
      <c r="W1427" s="3" t="s">
        <v>8444</v>
      </c>
      <c r="X1427" s="10" t="s">
        <v>8445</v>
      </c>
      <c r="Y1427" s="6" t="s">
        <v>166</v>
      </c>
      <c r="Z1427" s="4">
        <v>15.97</v>
      </c>
      <c r="AA1427" s="4" t="s">
        <v>36</v>
      </c>
      <c r="AB1427" s="3" t="s">
        <v>43</v>
      </c>
      <c r="AC1427" s="3" t="s">
        <v>8446</v>
      </c>
      <c r="AD1427" s="9">
        <v>44995</v>
      </c>
      <c r="AE1427" s="3" t="s">
        <v>3988</v>
      </c>
      <c r="AF1427" s="3" t="s">
        <v>4284</v>
      </c>
      <c r="AG1427" s="3" t="s">
        <v>81</v>
      </c>
      <c r="AH1427" s="11">
        <f>HYPERLINK("https://my.pitchbook.com?c=197322-31T","View Company Online")</f>
      </c>
    </row>
    <row r="1428">
      <c r="A1428" s="12" t="s">
        <v>8447</v>
      </c>
      <c r="B1428" s="12" t="s">
        <v>8448</v>
      </c>
      <c r="C1428" s="19" t="s">
        <v>36</v>
      </c>
      <c r="D1428" s="19" t="s">
        <v>36</v>
      </c>
      <c r="E1428" s="19" t="s">
        <v>36</v>
      </c>
      <c r="F1428" s="19" t="s">
        <v>36</v>
      </c>
      <c r="G1428" s="15" t="s">
        <v>36</v>
      </c>
      <c r="H1428" s="14" t="s">
        <v>36</v>
      </c>
      <c r="I1428" s="18" t="s">
        <v>36</v>
      </c>
      <c r="J1428" s="12" t="s">
        <v>36</v>
      </c>
      <c r="K1428" s="13" t="s">
        <v>36</v>
      </c>
      <c r="L1428" s="15" t="s">
        <v>36</v>
      </c>
      <c r="M1428" s="12" t="s">
        <v>36</v>
      </c>
      <c r="N1428" s="12" t="s">
        <v>36</v>
      </c>
      <c r="O1428" s="17" t="s">
        <v>36</v>
      </c>
      <c r="P1428" s="12" t="s">
        <v>36</v>
      </c>
      <c r="Q1428" s="12" t="s">
        <v>36</v>
      </c>
      <c r="R1428" s="12" t="s">
        <v>36</v>
      </c>
      <c r="S1428" s="12" t="s">
        <v>36</v>
      </c>
      <c r="T1428" s="12" t="s">
        <v>522</v>
      </c>
      <c r="U1428" s="12" t="s">
        <v>38</v>
      </c>
      <c r="V1428" s="12" t="s">
        <v>39</v>
      </c>
      <c r="W1428" s="12" t="s">
        <v>8449</v>
      </c>
      <c r="X1428" s="16" t="s">
        <v>8450</v>
      </c>
      <c r="Y1428" s="15" t="s">
        <v>55</v>
      </c>
      <c r="Z1428" s="14" t="s">
        <v>36</v>
      </c>
      <c r="AA1428" s="14" t="s">
        <v>36</v>
      </c>
      <c r="AB1428" s="12" t="s">
        <v>43</v>
      </c>
      <c r="AC1428" s="12" t="s">
        <v>8451</v>
      </c>
      <c r="AD1428" s="13">
        <v>44994</v>
      </c>
      <c r="AE1428" s="12" t="s">
        <v>110</v>
      </c>
      <c r="AF1428" s="12" t="s">
        <v>643</v>
      </c>
      <c r="AG1428" s="12" t="s">
        <v>81</v>
      </c>
      <c r="AH1428" s="1">
        <f>HYPERLINK("https://my.pitchbook.com?c=225874-81T","View Company Online")</f>
      </c>
    </row>
    <row r="1429">
      <c r="A1429" s="3" t="s">
        <v>8452</v>
      </c>
      <c r="B1429" s="3" t="s">
        <v>8453</v>
      </c>
      <c r="C1429" s="5" t="s">
        <v>36</v>
      </c>
      <c r="D1429" s="5" t="s">
        <v>36</v>
      </c>
      <c r="E1429" s="5" t="s">
        <v>36</v>
      </c>
      <c r="F1429" s="5" t="s">
        <v>36</v>
      </c>
      <c r="G1429" s="6" t="s">
        <v>326</v>
      </c>
      <c r="H1429" s="4" t="s">
        <v>36</v>
      </c>
      <c r="I1429" s="7">
        <v>28.72</v>
      </c>
      <c r="J1429" s="3" t="s">
        <v>327</v>
      </c>
      <c r="K1429" s="9" t="s">
        <v>36</v>
      </c>
      <c r="L1429" s="6" t="s">
        <v>122</v>
      </c>
      <c r="M1429" s="3" t="s">
        <v>36</v>
      </c>
      <c r="N1429" s="3" t="s">
        <v>122</v>
      </c>
      <c r="O1429" s="8" t="s">
        <v>36</v>
      </c>
      <c r="P1429" s="3" t="s">
        <v>36</v>
      </c>
      <c r="Q1429" s="3" t="s">
        <v>36</v>
      </c>
      <c r="R1429" s="3" t="s">
        <v>36</v>
      </c>
      <c r="S1429" s="3" t="s">
        <v>196</v>
      </c>
      <c r="T1429" s="3" t="s">
        <v>8454</v>
      </c>
      <c r="U1429" s="3" t="s">
        <v>51</v>
      </c>
      <c r="V1429" s="3" t="s">
        <v>52</v>
      </c>
      <c r="W1429" s="3" t="s">
        <v>8455</v>
      </c>
      <c r="X1429" s="10" t="s">
        <v>8456</v>
      </c>
      <c r="Y1429" s="6" t="s">
        <v>55</v>
      </c>
      <c r="Z1429" s="4">
        <v>16.51</v>
      </c>
      <c r="AA1429" s="4">
        <v>57.49</v>
      </c>
      <c r="AB1429" s="3" t="s">
        <v>56</v>
      </c>
      <c r="AC1429" s="3" t="s">
        <v>8457</v>
      </c>
      <c r="AD1429" s="9">
        <v>44994</v>
      </c>
      <c r="AE1429" s="3" t="s">
        <v>158</v>
      </c>
      <c r="AF1429" s="3" t="s">
        <v>8458</v>
      </c>
      <c r="AG1429" s="3" t="s">
        <v>81</v>
      </c>
      <c r="AH1429" s="11">
        <f>HYPERLINK("https://my.pitchbook.com?c=217908-28T","View Company Online")</f>
      </c>
    </row>
    <row r="1430">
      <c r="A1430" s="12" t="s">
        <v>8459</v>
      </c>
      <c r="B1430" s="12" t="s">
        <v>8460</v>
      </c>
      <c r="C1430" s="19" t="s">
        <v>36</v>
      </c>
      <c r="D1430" s="19" t="s">
        <v>36</v>
      </c>
      <c r="E1430" s="19" t="s">
        <v>36</v>
      </c>
      <c r="F1430" s="19" t="s">
        <v>36</v>
      </c>
      <c r="G1430" s="15" t="s">
        <v>326</v>
      </c>
      <c r="H1430" s="14">
        <v>212.24</v>
      </c>
      <c r="I1430" s="18">
        <v>9.75</v>
      </c>
      <c r="J1430" s="12" t="s">
        <v>521</v>
      </c>
      <c r="K1430" s="13" t="s">
        <v>36</v>
      </c>
      <c r="L1430" s="15" t="s">
        <v>36</v>
      </c>
      <c r="M1430" s="12" t="s">
        <v>36</v>
      </c>
      <c r="N1430" s="12" t="s">
        <v>36</v>
      </c>
      <c r="O1430" s="17" t="s">
        <v>36</v>
      </c>
      <c r="P1430" s="12" t="s">
        <v>36</v>
      </c>
      <c r="Q1430" s="12" t="s">
        <v>36</v>
      </c>
      <c r="R1430" s="12" t="s">
        <v>36</v>
      </c>
      <c r="S1430" s="12" t="s">
        <v>36</v>
      </c>
      <c r="T1430" s="12" t="s">
        <v>8461</v>
      </c>
      <c r="U1430" s="12" t="s">
        <v>74</v>
      </c>
      <c r="V1430" s="12" t="s">
        <v>75</v>
      </c>
      <c r="W1430" s="12" t="s">
        <v>8462</v>
      </c>
      <c r="X1430" s="16" t="s">
        <v>8463</v>
      </c>
      <c r="Y1430" s="15" t="s">
        <v>192</v>
      </c>
      <c r="Z1430" s="14">
        <v>1.27</v>
      </c>
      <c r="AA1430" s="14">
        <v>13</v>
      </c>
      <c r="AB1430" s="12" t="s">
        <v>56</v>
      </c>
      <c r="AC1430" s="12" t="s">
        <v>8464</v>
      </c>
      <c r="AD1430" s="13">
        <v>44994</v>
      </c>
      <c r="AE1430" s="12" t="s">
        <v>975</v>
      </c>
      <c r="AF1430" s="12" t="s">
        <v>8465</v>
      </c>
      <c r="AG1430" s="12" t="s">
        <v>81</v>
      </c>
      <c r="AH1430" s="1">
        <f>HYPERLINK("https://my.pitchbook.com?c=198753-40T","View Company Online")</f>
      </c>
    </row>
    <row r="1431">
      <c r="A1431" s="3" t="s">
        <v>8466</v>
      </c>
      <c r="B1431" s="3" t="s">
        <v>8467</v>
      </c>
      <c r="C1431" s="5">
        <v>7</v>
      </c>
      <c r="D1431" s="5">
        <v>67</v>
      </c>
      <c r="E1431" s="5">
        <v>15</v>
      </c>
      <c r="F1431" s="5">
        <v>81</v>
      </c>
      <c r="G1431" s="6" t="s">
        <v>36</v>
      </c>
      <c r="H1431" s="4" t="s">
        <v>36</v>
      </c>
      <c r="I1431" s="7" t="s">
        <v>36</v>
      </c>
      <c r="J1431" s="3" t="s">
        <v>36</v>
      </c>
      <c r="K1431" s="9" t="s">
        <v>36</v>
      </c>
      <c r="L1431" s="6" t="s">
        <v>94</v>
      </c>
      <c r="M1431" s="3" t="s">
        <v>36</v>
      </c>
      <c r="N1431" s="3" t="s">
        <v>94</v>
      </c>
      <c r="O1431" s="8" t="s">
        <v>36</v>
      </c>
      <c r="P1431" s="3" t="s">
        <v>36</v>
      </c>
      <c r="Q1431" s="3" t="s">
        <v>36</v>
      </c>
      <c r="R1431" s="3" t="s">
        <v>36</v>
      </c>
      <c r="S1431" s="3" t="s">
        <v>36</v>
      </c>
      <c r="T1431" s="3" t="s">
        <v>927</v>
      </c>
      <c r="U1431" s="3" t="s">
        <v>219</v>
      </c>
      <c r="V1431" s="3" t="s">
        <v>75</v>
      </c>
      <c r="W1431" s="3" t="s">
        <v>8468</v>
      </c>
      <c r="X1431" s="10" t="s">
        <v>8469</v>
      </c>
      <c r="Y1431" s="6" t="s">
        <v>192</v>
      </c>
      <c r="Z1431" s="4">
        <v>15.99</v>
      </c>
      <c r="AA1431" s="4" t="s">
        <v>36</v>
      </c>
      <c r="AB1431" s="3" t="s">
        <v>56</v>
      </c>
      <c r="AC1431" s="3" t="s">
        <v>8470</v>
      </c>
      <c r="AD1431" s="9">
        <v>44993</v>
      </c>
      <c r="AE1431" s="3" t="s">
        <v>243</v>
      </c>
      <c r="AF1431" s="3" t="s">
        <v>571</v>
      </c>
      <c r="AG1431" s="3" t="s">
        <v>81</v>
      </c>
      <c r="AH1431" s="11">
        <f>HYPERLINK("https://my.pitchbook.com?c=220953-43T","View Company Online")</f>
      </c>
    </row>
    <row r="1432">
      <c r="A1432" s="12" t="s">
        <v>8471</v>
      </c>
      <c r="B1432" s="12" t="s">
        <v>8472</v>
      </c>
      <c r="C1432" s="19">
        <v>1</v>
      </c>
      <c r="D1432" s="19">
        <v>15</v>
      </c>
      <c r="E1432" s="19">
        <v>3</v>
      </c>
      <c r="F1432" s="19">
        <v>16</v>
      </c>
      <c r="G1432" s="15" t="s">
        <v>36</v>
      </c>
      <c r="H1432" s="14" t="s">
        <v>36</v>
      </c>
      <c r="I1432" s="18" t="s">
        <v>36</v>
      </c>
      <c r="J1432" s="12" t="s">
        <v>36</v>
      </c>
      <c r="K1432" s="13" t="s">
        <v>36</v>
      </c>
      <c r="L1432" s="15" t="s">
        <v>36</v>
      </c>
      <c r="M1432" s="12" t="s">
        <v>36</v>
      </c>
      <c r="N1432" s="12" t="s">
        <v>36</v>
      </c>
      <c r="O1432" s="17" t="s">
        <v>36</v>
      </c>
      <c r="P1432" s="12" t="s">
        <v>36</v>
      </c>
      <c r="Q1432" s="12" t="s">
        <v>36</v>
      </c>
      <c r="R1432" s="12" t="s">
        <v>36</v>
      </c>
      <c r="S1432" s="12" t="s">
        <v>36</v>
      </c>
      <c r="T1432" s="12" t="s">
        <v>1048</v>
      </c>
      <c r="U1432" s="12" t="s">
        <v>423</v>
      </c>
      <c r="V1432" s="12" t="s">
        <v>64</v>
      </c>
      <c r="W1432" s="12" t="s">
        <v>8473</v>
      </c>
      <c r="X1432" s="16" t="s">
        <v>8474</v>
      </c>
      <c r="Y1432" s="15" t="s">
        <v>192</v>
      </c>
      <c r="Z1432" s="14">
        <v>9.59</v>
      </c>
      <c r="AA1432" s="14" t="s">
        <v>36</v>
      </c>
      <c r="AB1432" s="12" t="s">
        <v>56</v>
      </c>
      <c r="AC1432" s="12" t="s">
        <v>8475</v>
      </c>
      <c r="AD1432" s="13">
        <v>44993</v>
      </c>
      <c r="AE1432" s="12" t="s">
        <v>1051</v>
      </c>
      <c r="AF1432" s="12" t="s">
        <v>8476</v>
      </c>
      <c r="AG1432" s="12" t="s">
        <v>81</v>
      </c>
      <c r="AH1432" s="1">
        <f>HYPERLINK("https://my.pitchbook.com?c=217839-79T","View Company Online")</f>
      </c>
    </row>
    <row r="1433">
      <c r="A1433" s="3" t="s">
        <v>8477</v>
      </c>
      <c r="B1433" s="3" t="s">
        <v>8478</v>
      </c>
      <c r="C1433" s="5" t="s">
        <v>36</v>
      </c>
      <c r="D1433" s="5" t="s">
        <v>36</v>
      </c>
      <c r="E1433" s="5" t="s">
        <v>36</v>
      </c>
      <c r="F1433" s="5" t="s">
        <v>36</v>
      </c>
      <c r="G1433" s="6" t="s">
        <v>36</v>
      </c>
      <c r="H1433" s="4">
        <v>1038.57</v>
      </c>
      <c r="I1433" s="7">
        <v>30.56</v>
      </c>
      <c r="J1433" s="3" t="s">
        <v>521</v>
      </c>
      <c r="K1433" s="9" t="s">
        <v>36</v>
      </c>
      <c r="L1433" s="6" t="s">
        <v>36</v>
      </c>
      <c r="M1433" s="3" t="s">
        <v>36</v>
      </c>
      <c r="N1433" s="3" t="s">
        <v>36</v>
      </c>
      <c r="O1433" s="8" t="s">
        <v>36</v>
      </c>
      <c r="P1433" s="3" t="s">
        <v>36</v>
      </c>
      <c r="Q1433" s="3" t="s">
        <v>36</v>
      </c>
      <c r="R1433" s="3" t="s">
        <v>36</v>
      </c>
      <c r="S1433" s="3" t="s">
        <v>36</v>
      </c>
      <c r="T1433" s="3" t="s">
        <v>8479</v>
      </c>
      <c r="U1433" s="3" t="s">
        <v>74</v>
      </c>
      <c r="V1433" s="3" t="s">
        <v>75</v>
      </c>
      <c r="W1433" s="3" t="s">
        <v>8480</v>
      </c>
      <c r="X1433" s="10" t="s">
        <v>8481</v>
      </c>
      <c r="Y1433" s="6" t="s">
        <v>42</v>
      </c>
      <c r="Z1433" s="4">
        <v>2.34</v>
      </c>
      <c r="AA1433" s="4">
        <v>7.67</v>
      </c>
      <c r="AB1433" s="3" t="s">
        <v>43</v>
      </c>
      <c r="AC1433" s="3" t="s">
        <v>8482</v>
      </c>
      <c r="AD1433" s="9">
        <v>44993</v>
      </c>
      <c r="AE1433" s="3" t="s">
        <v>1243</v>
      </c>
      <c r="AF1433" s="3" t="s">
        <v>2703</v>
      </c>
      <c r="AG1433" s="3" t="s">
        <v>102</v>
      </c>
      <c r="AH1433" s="11">
        <f>HYPERLINK("https://my.pitchbook.com?c=220042-90T","View Company Online")</f>
      </c>
    </row>
    <row r="1434">
      <c r="A1434" s="12" t="s">
        <v>8483</v>
      </c>
      <c r="B1434" s="12" t="s">
        <v>8484</v>
      </c>
      <c r="C1434" s="19" t="s">
        <v>36</v>
      </c>
      <c r="D1434" s="19" t="s">
        <v>36</v>
      </c>
      <c r="E1434" s="19" t="s">
        <v>36</v>
      </c>
      <c r="F1434" s="19" t="s">
        <v>36</v>
      </c>
      <c r="G1434" s="15" t="s">
        <v>326</v>
      </c>
      <c r="H1434" s="14">
        <v>439.71</v>
      </c>
      <c r="I1434" s="18">
        <v>9.03</v>
      </c>
      <c r="J1434" s="12" t="s">
        <v>521</v>
      </c>
      <c r="K1434" s="13" t="s">
        <v>36</v>
      </c>
      <c r="L1434" s="15" t="s">
        <v>36</v>
      </c>
      <c r="M1434" s="12" t="s">
        <v>36</v>
      </c>
      <c r="N1434" s="12" t="s">
        <v>36</v>
      </c>
      <c r="O1434" s="17" t="s">
        <v>36</v>
      </c>
      <c r="P1434" s="12" t="s">
        <v>36</v>
      </c>
      <c r="Q1434" s="12" t="s">
        <v>36</v>
      </c>
      <c r="R1434" s="12" t="s">
        <v>36</v>
      </c>
      <c r="S1434" s="12" t="s">
        <v>36</v>
      </c>
      <c r="T1434" s="12" t="s">
        <v>8485</v>
      </c>
      <c r="U1434" s="12" t="s">
        <v>180</v>
      </c>
      <c r="V1434" s="12" t="s">
        <v>52</v>
      </c>
      <c r="W1434" s="12" t="s">
        <v>8486</v>
      </c>
      <c r="X1434" s="16" t="s">
        <v>8487</v>
      </c>
      <c r="Y1434" s="15" t="s">
        <v>55</v>
      </c>
      <c r="Z1434" s="14">
        <v>1.29</v>
      </c>
      <c r="AA1434" s="14">
        <v>14.27</v>
      </c>
      <c r="AB1434" s="12" t="s">
        <v>56</v>
      </c>
      <c r="AC1434" s="12" t="s">
        <v>8488</v>
      </c>
      <c r="AD1434" s="13">
        <v>44993</v>
      </c>
      <c r="AE1434" s="12" t="s">
        <v>3847</v>
      </c>
      <c r="AF1434" s="12" t="s">
        <v>3822</v>
      </c>
      <c r="AG1434" s="12" t="s">
        <v>1193</v>
      </c>
      <c r="AH1434" s="1">
        <f>HYPERLINK("https://my.pitchbook.com?c=203637-16T","View Company Online")</f>
      </c>
    </row>
    <row r="1435">
      <c r="A1435" s="3" t="s">
        <v>8489</v>
      </c>
      <c r="B1435" s="3" t="s">
        <v>8490</v>
      </c>
      <c r="C1435" s="5" t="s">
        <v>36</v>
      </c>
      <c r="D1435" s="5" t="s">
        <v>36</v>
      </c>
      <c r="E1435" s="5" t="s">
        <v>36</v>
      </c>
      <c r="F1435" s="5" t="s">
        <v>36</v>
      </c>
      <c r="G1435" s="6" t="s">
        <v>36</v>
      </c>
      <c r="H1435" s="4" t="s">
        <v>36</v>
      </c>
      <c r="I1435" s="7" t="s">
        <v>36</v>
      </c>
      <c r="J1435" s="3" t="s">
        <v>36</v>
      </c>
      <c r="K1435" s="9" t="s">
        <v>36</v>
      </c>
      <c r="L1435" s="6" t="s">
        <v>94</v>
      </c>
      <c r="M1435" s="3" t="s">
        <v>36</v>
      </c>
      <c r="N1435" s="3" t="s">
        <v>94</v>
      </c>
      <c r="O1435" s="8" t="s">
        <v>36</v>
      </c>
      <c r="P1435" s="3" t="s">
        <v>36</v>
      </c>
      <c r="Q1435" s="3" t="s">
        <v>36</v>
      </c>
      <c r="R1435" s="3" t="s">
        <v>36</v>
      </c>
      <c r="S1435" s="3" t="s">
        <v>36</v>
      </c>
      <c r="T1435" s="3" t="s">
        <v>8491</v>
      </c>
      <c r="U1435" s="3" t="s">
        <v>289</v>
      </c>
      <c r="V1435" s="3" t="s">
        <v>64</v>
      </c>
      <c r="W1435" s="3" t="s">
        <v>8492</v>
      </c>
      <c r="X1435" s="10" t="s">
        <v>8493</v>
      </c>
      <c r="Y1435" s="6" t="s">
        <v>108</v>
      </c>
      <c r="Z1435" s="4">
        <v>11.72</v>
      </c>
      <c r="AA1435" s="4" t="s">
        <v>36</v>
      </c>
      <c r="AB1435" s="3" t="s">
        <v>56</v>
      </c>
      <c r="AC1435" s="3" t="s">
        <v>8494</v>
      </c>
      <c r="AD1435" s="9">
        <v>44993</v>
      </c>
      <c r="AE1435" s="3" t="s">
        <v>292</v>
      </c>
      <c r="AF1435" s="3" t="s">
        <v>90</v>
      </c>
      <c r="AG1435" s="3" t="s">
        <v>332</v>
      </c>
      <c r="AH1435" s="11">
        <f>HYPERLINK("https://my.pitchbook.com?c=217821-25T","View Company Online")</f>
      </c>
    </row>
    <row r="1436">
      <c r="A1436" s="12" t="s">
        <v>8495</v>
      </c>
      <c r="B1436" s="12" t="s">
        <v>8496</v>
      </c>
      <c r="C1436" s="19" t="s">
        <v>36</v>
      </c>
      <c r="D1436" s="19" t="s">
        <v>36</v>
      </c>
      <c r="E1436" s="19" t="s">
        <v>36</v>
      </c>
      <c r="F1436" s="19" t="s">
        <v>36</v>
      </c>
      <c r="G1436" s="15" t="s">
        <v>36</v>
      </c>
      <c r="H1436" s="14">
        <v>41.46</v>
      </c>
      <c r="I1436" s="18">
        <v>28.36</v>
      </c>
      <c r="J1436" s="12" t="s">
        <v>521</v>
      </c>
      <c r="K1436" s="13" t="s">
        <v>36</v>
      </c>
      <c r="L1436" s="15" t="s">
        <v>122</v>
      </c>
      <c r="M1436" s="12" t="s">
        <v>36</v>
      </c>
      <c r="N1436" s="12" t="s">
        <v>122</v>
      </c>
      <c r="O1436" s="17" t="s">
        <v>36</v>
      </c>
      <c r="P1436" s="12" t="s">
        <v>36</v>
      </c>
      <c r="Q1436" s="12" t="s">
        <v>36</v>
      </c>
      <c r="R1436" s="12" t="s">
        <v>36</v>
      </c>
      <c r="S1436" s="12" t="s">
        <v>36</v>
      </c>
      <c r="T1436" s="12" t="s">
        <v>8497</v>
      </c>
      <c r="U1436" s="12" t="s">
        <v>74</v>
      </c>
      <c r="V1436" s="12" t="s">
        <v>75</v>
      </c>
      <c r="W1436" s="12" t="s">
        <v>8498</v>
      </c>
      <c r="X1436" s="16" t="s">
        <v>8499</v>
      </c>
      <c r="Y1436" s="15" t="s">
        <v>192</v>
      </c>
      <c r="Z1436" s="14">
        <v>55.47</v>
      </c>
      <c r="AA1436" s="14">
        <v>136.9</v>
      </c>
      <c r="AB1436" s="12" t="s">
        <v>43</v>
      </c>
      <c r="AC1436" s="12" t="s">
        <v>8500</v>
      </c>
      <c r="AD1436" s="13">
        <v>44992</v>
      </c>
      <c r="AE1436" s="12" t="s">
        <v>79</v>
      </c>
      <c r="AF1436" s="12" t="s">
        <v>1115</v>
      </c>
      <c r="AG1436" s="12" t="s">
        <v>81</v>
      </c>
      <c r="AH1436" s="1">
        <f>HYPERLINK("https://my.pitchbook.com?c=195566-14T","View Company Online")</f>
      </c>
    </row>
    <row r="1437">
      <c r="A1437" s="3" t="s">
        <v>8501</v>
      </c>
      <c r="B1437" s="3" t="s">
        <v>8502</v>
      </c>
      <c r="C1437" s="5" t="s">
        <v>36</v>
      </c>
      <c r="D1437" s="5" t="s">
        <v>36</v>
      </c>
      <c r="E1437" s="5" t="s">
        <v>36</v>
      </c>
      <c r="F1437" s="5" t="s">
        <v>36</v>
      </c>
      <c r="G1437" s="6" t="s">
        <v>36</v>
      </c>
      <c r="H1437" s="4" t="s">
        <v>36</v>
      </c>
      <c r="I1437" s="7" t="s">
        <v>36</v>
      </c>
      <c r="J1437" s="3" t="s">
        <v>36</v>
      </c>
      <c r="K1437" s="9">
        <v>44341</v>
      </c>
      <c r="L1437" s="6" t="s">
        <v>94</v>
      </c>
      <c r="M1437" s="3" t="s">
        <v>36</v>
      </c>
      <c r="N1437" s="3" t="s">
        <v>94</v>
      </c>
      <c r="O1437" s="8" t="s">
        <v>36</v>
      </c>
      <c r="P1437" s="3" t="s">
        <v>36</v>
      </c>
      <c r="Q1437" s="3" t="s">
        <v>36</v>
      </c>
      <c r="R1437" s="3" t="s">
        <v>36</v>
      </c>
      <c r="S1437" s="3" t="s">
        <v>36</v>
      </c>
      <c r="T1437" s="3" t="s">
        <v>2967</v>
      </c>
      <c r="U1437" s="3" t="s">
        <v>38</v>
      </c>
      <c r="V1437" s="3" t="s">
        <v>39</v>
      </c>
      <c r="W1437" s="3" t="s">
        <v>8503</v>
      </c>
      <c r="X1437" s="10" t="s">
        <v>8504</v>
      </c>
      <c r="Y1437" s="6" t="s">
        <v>55</v>
      </c>
      <c r="Z1437" s="4">
        <v>45.87</v>
      </c>
      <c r="AA1437" s="4" t="s">
        <v>36</v>
      </c>
      <c r="AB1437" s="3" t="s">
        <v>43</v>
      </c>
      <c r="AC1437" s="3" t="s">
        <v>8505</v>
      </c>
      <c r="AD1437" s="9">
        <v>44992</v>
      </c>
      <c r="AE1437" s="3" t="s">
        <v>110</v>
      </c>
      <c r="AF1437" s="3" t="s">
        <v>8506</v>
      </c>
      <c r="AG1437" s="3" t="s">
        <v>81</v>
      </c>
      <c r="AH1437" s="11">
        <f>HYPERLINK("https://my.pitchbook.com?c=172726-39T","View Company Online")</f>
      </c>
    </row>
    <row r="1438">
      <c r="A1438" s="12" t="s">
        <v>8507</v>
      </c>
      <c r="B1438" s="12" t="s">
        <v>8508</v>
      </c>
      <c r="C1438" s="19" t="s">
        <v>36</v>
      </c>
      <c r="D1438" s="19" t="s">
        <v>36</v>
      </c>
      <c r="E1438" s="19" t="s">
        <v>36</v>
      </c>
      <c r="F1438" s="19" t="s">
        <v>36</v>
      </c>
      <c r="G1438" s="15" t="s">
        <v>36</v>
      </c>
      <c r="H1438" s="14" t="s">
        <v>36</v>
      </c>
      <c r="I1438" s="18" t="s">
        <v>36</v>
      </c>
      <c r="J1438" s="12" t="s">
        <v>36</v>
      </c>
      <c r="K1438" s="13" t="s">
        <v>36</v>
      </c>
      <c r="L1438" s="15" t="s">
        <v>36</v>
      </c>
      <c r="M1438" s="12" t="s">
        <v>36</v>
      </c>
      <c r="N1438" s="12" t="s">
        <v>36</v>
      </c>
      <c r="O1438" s="17" t="s">
        <v>36</v>
      </c>
      <c r="P1438" s="12" t="s">
        <v>36</v>
      </c>
      <c r="Q1438" s="12" t="s">
        <v>36</v>
      </c>
      <c r="R1438" s="12" t="s">
        <v>36</v>
      </c>
      <c r="S1438" s="12" t="s">
        <v>36</v>
      </c>
      <c r="T1438" s="12" t="s">
        <v>342</v>
      </c>
      <c r="U1438" s="12" t="s">
        <v>38</v>
      </c>
      <c r="V1438" s="12" t="s">
        <v>39</v>
      </c>
      <c r="W1438" s="12" t="s">
        <v>8509</v>
      </c>
      <c r="X1438" s="16" t="s">
        <v>8510</v>
      </c>
      <c r="Y1438" s="15" t="s">
        <v>42</v>
      </c>
      <c r="Z1438" s="14">
        <v>1.6</v>
      </c>
      <c r="AA1438" s="14" t="s">
        <v>36</v>
      </c>
      <c r="AB1438" s="12" t="s">
        <v>43</v>
      </c>
      <c r="AC1438" s="12" t="s">
        <v>8511</v>
      </c>
      <c r="AD1438" s="13">
        <v>44992</v>
      </c>
      <c r="AE1438" s="12" t="s">
        <v>110</v>
      </c>
      <c r="AF1438" s="12" t="s">
        <v>176</v>
      </c>
      <c r="AG1438" s="12" t="s">
        <v>8512</v>
      </c>
      <c r="AH1438" s="1">
        <f>HYPERLINK("https://my.pitchbook.com?c=217751-32T","View Company Online")</f>
      </c>
    </row>
    <row r="1439">
      <c r="A1439" s="3" t="s">
        <v>8513</v>
      </c>
      <c r="B1439" s="3" t="s">
        <v>8514</v>
      </c>
      <c r="C1439" s="5" t="s">
        <v>36</v>
      </c>
      <c r="D1439" s="5" t="s">
        <v>36</v>
      </c>
      <c r="E1439" s="5" t="s">
        <v>36</v>
      </c>
      <c r="F1439" s="5" t="s">
        <v>36</v>
      </c>
      <c r="G1439" s="6" t="s">
        <v>36</v>
      </c>
      <c r="H1439" s="4" t="s">
        <v>36</v>
      </c>
      <c r="I1439" s="7" t="s">
        <v>36</v>
      </c>
      <c r="J1439" s="3" t="s">
        <v>36</v>
      </c>
      <c r="K1439" s="9" t="s">
        <v>36</v>
      </c>
      <c r="L1439" s="6" t="s">
        <v>36</v>
      </c>
      <c r="M1439" s="3" t="s">
        <v>36</v>
      </c>
      <c r="N1439" s="3" t="s">
        <v>36</v>
      </c>
      <c r="O1439" s="8" t="s">
        <v>36</v>
      </c>
      <c r="P1439" s="3" t="s">
        <v>36</v>
      </c>
      <c r="Q1439" s="3" t="s">
        <v>36</v>
      </c>
      <c r="R1439" s="3" t="s">
        <v>36</v>
      </c>
      <c r="S1439" s="3" t="s">
        <v>36</v>
      </c>
      <c r="T1439" s="3" t="s">
        <v>8515</v>
      </c>
      <c r="U1439" s="3" t="s">
        <v>279</v>
      </c>
      <c r="V1439" s="3" t="s">
        <v>64</v>
      </c>
      <c r="W1439" s="3" t="s">
        <v>8516</v>
      </c>
      <c r="X1439" s="10" t="s">
        <v>8517</v>
      </c>
      <c r="Y1439" s="6" t="s">
        <v>108</v>
      </c>
      <c r="Z1439" s="4">
        <v>21.4</v>
      </c>
      <c r="AA1439" s="4" t="s">
        <v>36</v>
      </c>
      <c r="AB1439" s="3" t="s">
        <v>56</v>
      </c>
      <c r="AC1439" s="3" t="s">
        <v>8518</v>
      </c>
      <c r="AD1439" s="9">
        <v>44988</v>
      </c>
      <c r="AE1439" s="3" t="s">
        <v>8519</v>
      </c>
      <c r="AF1439" s="3" t="s">
        <v>36</v>
      </c>
      <c r="AG1439" s="3" t="s">
        <v>81</v>
      </c>
      <c r="AH1439" s="11">
        <f>HYPERLINK("https://my.pitchbook.com?c=206981-20T","View Company Online")</f>
      </c>
    </row>
    <row r="1440">
      <c r="A1440" s="12" t="s">
        <v>8520</v>
      </c>
      <c r="B1440" s="12" t="s">
        <v>8521</v>
      </c>
      <c r="C1440" s="19" t="s">
        <v>36</v>
      </c>
      <c r="D1440" s="19" t="s">
        <v>36</v>
      </c>
      <c r="E1440" s="19" t="s">
        <v>36</v>
      </c>
      <c r="F1440" s="19" t="s">
        <v>36</v>
      </c>
      <c r="G1440" s="15" t="s">
        <v>326</v>
      </c>
      <c r="H1440" s="14">
        <v>12.38</v>
      </c>
      <c r="I1440" s="18">
        <v>21.1</v>
      </c>
      <c r="J1440" s="12" t="s">
        <v>521</v>
      </c>
      <c r="K1440" s="13" t="s">
        <v>36</v>
      </c>
      <c r="L1440" s="15" t="s">
        <v>36</v>
      </c>
      <c r="M1440" s="12" t="s">
        <v>36</v>
      </c>
      <c r="N1440" s="12" t="s">
        <v>36</v>
      </c>
      <c r="O1440" s="17" t="s">
        <v>36</v>
      </c>
      <c r="P1440" s="12" t="s">
        <v>36</v>
      </c>
      <c r="Q1440" s="12" t="s">
        <v>36</v>
      </c>
      <c r="R1440" s="12" t="s">
        <v>36</v>
      </c>
      <c r="S1440" s="12" t="s">
        <v>36</v>
      </c>
      <c r="T1440" s="12" t="s">
        <v>154</v>
      </c>
      <c r="U1440" s="12" t="s">
        <v>51</v>
      </c>
      <c r="V1440" s="12" t="s">
        <v>52</v>
      </c>
      <c r="W1440" s="12" t="s">
        <v>8522</v>
      </c>
      <c r="X1440" s="16" t="s">
        <v>8523</v>
      </c>
      <c r="Y1440" s="15" t="s">
        <v>55</v>
      </c>
      <c r="Z1440" s="14">
        <v>1.03</v>
      </c>
      <c r="AA1440" s="14">
        <v>4.88</v>
      </c>
      <c r="AB1440" s="12" t="s">
        <v>56</v>
      </c>
      <c r="AC1440" s="12" t="s">
        <v>8524</v>
      </c>
      <c r="AD1440" s="13">
        <v>44988</v>
      </c>
      <c r="AE1440" s="12" t="s">
        <v>158</v>
      </c>
      <c r="AF1440" s="12" t="s">
        <v>665</v>
      </c>
      <c r="AG1440" s="12" t="s">
        <v>1276</v>
      </c>
      <c r="AH1440" s="1">
        <f>HYPERLINK("https://my.pitchbook.com?c=206355-43T","View Company Online")</f>
      </c>
    </row>
    <row r="1441">
      <c r="A1441" s="3" t="s">
        <v>8525</v>
      </c>
      <c r="B1441" s="3" t="s">
        <v>8526</v>
      </c>
      <c r="C1441" s="5">
        <v>15</v>
      </c>
      <c r="D1441" s="5">
        <v>73</v>
      </c>
      <c r="E1441" s="5">
        <v>25</v>
      </c>
      <c r="F1441" s="5">
        <v>97</v>
      </c>
      <c r="G1441" s="6" t="s">
        <v>683</v>
      </c>
      <c r="H1441" s="4">
        <v>21.01</v>
      </c>
      <c r="I1441" s="7">
        <v>5.26</v>
      </c>
      <c r="J1441" s="3" t="s">
        <v>521</v>
      </c>
      <c r="K1441" s="9" t="s">
        <v>36</v>
      </c>
      <c r="L1441" s="6" t="s">
        <v>36</v>
      </c>
      <c r="M1441" s="3" t="s">
        <v>36</v>
      </c>
      <c r="N1441" s="3" t="s">
        <v>36</v>
      </c>
      <c r="O1441" s="8" t="s">
        <v>36</v>
      </c>
      <c r="P1441" s="3" t="s">
        <v>36</v>
      </c>
      <c r="Q1441" s="3" t="s">
        <v>36</v>
      </c>
      <c r="R1441" s="3" t="s">
        <v>36</v>
      </c>
      <c r="S1441" s="3" t="s">
        <v>36</v>
      </c>
      <c r="T1441" s="3" t="s">
        <v>8527</v>
      </c>
      <c r="U1441" s="3" t="s">
        <v>180</v>
      </c>
      <c r="V1441" s="3" t="s">
        <v>52</v>
      </c>
      <c r="W1441" s="3" t="s">
        <v>8528</v>
      </c>
      <c r="X1441" s="10" t="s">
        <v>8529</v>
      </c>
      <c r="Y1441" s="6" t="s">
        <v>1067</v>
      </c>
      <c r="Z1441" s="4">
        <v>10.87</v>
      </c>
      <c r="AA1441" s="4">
        <v>206.57</v>
      </c>
      <c r="AB1441" s="3" t="s">
        <v>56</v>
      </c>
      <c r="AC1441" s="3" t="s">
        <v>8530</v>
      </c>
      <c r="AD1441" s="9">
        <v>44987</v>
      </c>
      <c r="AE1441" s="3" t="s">
        <v>184</v>
      </c>
      <c r="AF1441" s="3" t="s">
        <v>3193</v>
      </c>
      <c r="AG1441" s="3" t="s">
        <v>8531</v>
      </c>
      <c r="AH1441" s="11">
        <f>HYPERLINK("https://my.pitchbook.com?c=219435-85T","View Company Online")</f>
      </c>
    </row>
    <row r="1442">
      <c r="A1442" s="12" t="s">
        <v>8532</v>
      </c>
      <c r="B1442" s="12" t="s">
        <v>8533</v>
      </c>
      <c r="C1442" s="19">
        <v>3</v>
      </c>
      <c r="D1442" s="19">
        <v>19</v>
      </c>
      <c r="E1442" s="19">
        <v>2</v>
      </c>
      <c r="F1442" s="19">
        <v>25</v>
      </c>
      <c r="G1442" s="15" t="s">
        <v>326</v>
      </c>
      <c r="H1442" s="14">
        <v>17.66</v>
      </c>
      <c r="I1442" s="18">
        <v>18.75</v>
      </c>
      <c r="J1442" s="12" t="s">
        <v>521</v>
      </c>
      <c r="K1442" s="13" t="s">
        <v>36</v>
      </c>
      <c r="L1442" s="15" t="s">
        <v>36</v>
      </c>
      <c r="M1442" s="12" t="s">
        <v>36</v>
      </c>
      <c r="N1442" s="12" t="s">
        <v>36</v>
      </c>
      <c r="O1442" s="17" t="s">
        <v>36</v>
      </c>
      <c r="P1442" s="12" t="s">
        <v>36</v>
      </c>
      <c r="Q1442" s="12" t="s">
        <v>36</v>
      </c>
      <c r="R1442" s="12" t="s">
        <v>36</v>
      </c>
      <c r="S1442" s="12" t="s">
        <v>36</v>
      </c>
      <c r="T1442" s="12" t="s">
        <v>4225</v>
      </c>
      <c r="U1442" s="12" t="s">
        <v>96</v>
      </c>
      <c r="V1442" s="12" t="s">
        <v>52</v>
      </c>
      <c r="W1442" s="12" t="s">
        <v>8534</v>
      </c>
      <c r="X1442" s="16" t="s">
        <v>8535</v>
      </c>
      <c r="Y1442" s="15" t="s">
        <v>321</v>
      </c>
      <c r="Z1442" s="14">
        <v>4.42</v>
      </c>
      <c r="AA1442" s="14">
        <v>17.99</v>
      </c>
      <c r="AB1442" s="12" t="s">
        <v>56</v>
      </c>
      <c r="AC1442" s="12" t="s">
        <v>8536</v>
      </c>
      <c r="AD1442" s="13">
        <v>44987</v>
      </c>
      <c r="AE1442" s="12" t="s">
        <v>143</v>
      </c>
      <c r="AF1442" s="12" t="s">
        <v>665</v>
      </c>
      <c r="AG1442" s="12" t="s">
        <v>3406</v>
      </c>
      <c r="AH1442" s="1">
        <f>HYPERLINK("https://my.pitchbook.com?c=219229-39T","View Company Online")</f>
      </c>
    </row>
    <row r="1443">
      <c r="A1443" s="3" t="s">
        <v>8537</v>
      </c>
      <c r="B1443" s="3" t="s">
        <v>8538</v>
      </c>
      <c r="C1443" s="5">
        <v>11</v>
      </c>
      <c r="D1443" s="5">
        <v>24</v>
      </c>
      <c r="E1443" s="5">
        <v>7</v>
      </c>
      <c r="F1443" s="5">
        <v>41</v>
      </c>
      <c r="G1443" s="6" t="s">
        <v>326</v>
      </c>
      <c r="H1443" s="4" t="s">
        <v>36</v>
      </c>
      <c r="I1443" s="7">
        <v>35.94</v>
      </c>
      <c r="J1443" s="3" t="s">
        <v>327</v>
      </c>
      <c r="K1443" s="9" t="s">
        <v>36</v>
      </c>
      <c r="L1443" s="6" t="s">
        <v>94</v>
      </c>
      <c r="M1443" s="3" t="s">
        <v>36</v>
      </c>
      <c r="N1443" s="3" t="s">
        <v>94</v>
      </c>
      <c r="O1443" s="8" t="s">
        <v>36</v>
      </c>
      <c r="P1443" s="3" t="s">
        <v>36</v>
      </c>
      <c r="Q1443" s="3" t="s">
        <v>36</v>
      </c>
      <c r="R1443" s="3" t="s">
        <v>36</v>
      </c>
      <c r="S1443" s="3" t="s">
        <v>36</v>
      </c>
      <c r="T1443" s="3" t="s">
        <v>881</v>
      </c>
      <c r="U1443" s="3" t="s">
        <v>51</v>
      </c>
      <c r="V1443" s="3" t="s">
        <v>52</v>
      </c>
      <c r="W1443" s="3" t="s">
        <v>8539</v>
      </c>
      <c r="X1443" s="10" t="s">
        <v>8540</v>
      </c>
      <c r="Y1443" s="6" t="s">
        <v>192</v>
      </c>
      <c r="Z1443" s="4">
        <v>21.43</v>
      </c>
      <c r="AA1443" s="4">
        <v>59.61</v>
      </c>
      <c r="AB1443" s="3" t="s">
        <v>56</v>
      </c>
      <c r="AC1443" s="3" t="s">
        <v>8541</v>
      </c>
      <c r="AD1443" s="9">
        <v>44986</v>
      </c>
      <c r="AE1443" s="3" t="s">
        <v>504</v>
      </c>
      <c r="AF1443" s="3" t="s">
        <v>159</v>
      </c>
      <c r="AG1443" s="3" t="s">
        <v>1202</v>
      </c>
      <c r="AH1443" s="11">
        <f>HYPERLINK("https://my.pitchbook.com?c=218148-13T","View Company Online")</f>
      </c>
    </row>
    <row r="1444">
      <c r="A1444" s="12" t="s">
        <v>8542</v>
      </c>
      <c r="B1444" s="12" t="s">
        <v>8543</v>
      </c>
      <c r="C1444" s="19" t="s">
        <v>36</v>
      </c>
      <c r="D1444" s="19" t="s">
        <v>36</v>
      </c>
      <c r="E1444" s="19" t="s">
        <v>36</v>
      </c>
      <c r="F1444" s="19" t="s">
        <v>36</v>
      </c>
      <c r="G1444" s="15" t="s">
        <v>36</v>
      </c>
      <c r="H1444" s="14">
        <v>3115.7</v>
      </c>
      <c r="I1444" s="18">
        <v>25.04</v>
      </c>
      <c r="J1444" s="12" t="s">
        <v>521</v>
      </c>
      <c r="K1444" s="13" t="s">
        <v>36</v>
      </c>
      <c r="L1444" s="15" t="s">
        <v>36</v>
      </c>
      <c r="M1444" s="12" t="s">
        <v>36</v>
      </c>
      <c r="N1444" s="12" t="s">
        <v>36</v>
      </c>
      <c r="O1444" s="17" t="s">
        <v>36</v>
      </c>
      <c r="P1444" s="12" t="s">
        <v>36</v>
      </c>
      <c r="Q1444" s="12" t="s">
        <v>36</v>
      </c>
      <c r="R1444" s="12" t="s">
        <v>36</v>
      </c>
      <c r="S1444" s="12" t="s">
        <v>36</v>
      </c>
      <c r="T1444" s="12" t="s">
        <v>522</v>
      </c>
      <c r="U1444" s="12" t="s">
        <v>38</v>
      </c>
      <c r="V1444" s="12" t="s">
        <v>39</v>
      </c>
      <c r="W1444" s="12" t="s">
        <v>8544</v>
      </c>
      <c r="X1444" s="16" t="s">
        <v>8545</v>
      </c>
      <c r="Y1444" s="15" t="s">
        <v>42</v>
      </c>
      <c r="Z1444" s="14">
        <v>2.14</v>
      </c>
      <c r="AA1444" s="14">
        <v>4.29</v>
      </c>
      <c r="AB1444" s="12" t="s">
        <v>43</v>
      </c>
      <c r="AC1444" s="12" t="s">
        <v>8546</v>
      </c>
      <c r="AD1444" s="13">
        <v>44986</v>
      </c>
      <c r="AE1444" s="12" t="s">
        <v>110</v>
      </c>
      <c r="AF1444" s="12" t="s">
        <v>8547</v>
      </c>
      <c r="AG1444" s="12" t="s">
        <v>81</v>
      </c>
      <c r="AH1444" s="1">
        <f>HYPERLINK("https://my.pitchbook.com?c=213543-73T","View Company Online")</f>
      </c>
    </row>
    <row r="1445">
      <c r="A1445" s="3" t="s">
        <v>8548</v>
      </c>
      <c r="B1445" s="3" t="s">
        <v>8549</v>
      </c>
      <c r="C1445" s="5" t="s">
        <v>36</v>
      </c>
      <c r="D1445" s="5" t="s">
        <v>36</v>
      </c>
      <c r="E1445" s="5" t="s">
        <v>36</v>
      </c>
      <c r="F1445" s="5" t="s">
        <v>36</v>
      </c>
      <c r="G1445" s="6" t="s">
        <v>36</v>
      </c>
      <c r="H1445" s="4" t="s">
        <v>36</v>
      </c>
      <c r="I1445" s="7" t="s">
        <v>36</v>
      </c>
      <c r="J1445" s="3" t="s">
        <v>36</v>
      </c>
      <c r="K1445" s="9" t="s">
        <v>36</v>
      </c>
      <c r="L1445" s="6" t="s">
        <v>36</v>
      </c>
      <c r="M1445" s="3" t="s">
        <v>36</v>
      </c>
      <c r="N1445" s="3" t="s">
        <v>36</v>
      </c>
      <c r="O1445" s="8" t="s">
        <v>36</v>
      </c>
      <c r="P1445" s="3" t="s">
        <v>36</v>
      </c>
      <c r="Q1445" s="3" t="s">
        <v>36</v>
      </c>
      <c r="R1445" s="3" t="s">
        <v>36</v>
      </c>
      <c r="S1445" s="3" t="s">
        <v>36</v>
      </c>
      <c r="T1445" s="3" t="s">
        <v>105</v>
      </c>
      <c r="U1445" s="3" t="s">
        <v>38</v>
      </c>
      <c r="V1445" s="3" t="s">
        <v>39</v>
      </c>
      <c r="W1445" s="3" t="s">
        <v>8550</v>
      </c>
      <c r="X1445" s="10" t="s">
        <v>2846</v>
      </c>
      <c r="Y1445" s="6" t="s">
        <v>42</v>
      </c>
      <c r="Z1445" s="4">
        <v>0.54</v>
      </c>
      <c r="AA1445" s="4" t="s">
        <v>36</v>
      </c>
      <c r="AB1445" s="3" t="s">
        <v>43</v>
      </c>
      <c r="AC1445" s="3" t="s">
        <v>8551</v>
      </c>
      <c r="AD1445" s="9">
        <v>44986</v>
      </c>
      <c r="AE1445" s="3" t="s">
        <v>110</v>
      </c>
      <c r="AF1445" s="3" t="s">
        <v>176</v>
      </c>
      <c r="AG1445" s="3" t="s">
        <v>144</v>
      </c>
      <c r="AH1445" s="11">
        <f>HYPERLINK("https://my.pitchbook.com?c=218625-22T","View Company Online")</f>
      </c>
    </row>
    <row r="1446">
      <c r="A1446" s="12" t="s">
        <v>8552</v>
      </c>
      <c r="B1446" s="12" t="s">
        <v>6595</v>
      </c>
      <c r="C1446" s="19" t="s">
        <v>36</v>
      </c>
      <c r="D1446" s="19" t="s">
        <v>36</v>
      </c>
      <c r="E1446" s="19" t="s">
        <v>36</v>
      </c>
      <c r="F1446" s="19" t="s">
        <v>36</v>
      </c>
      <c r="G1446" s="15" t="s">
        <v>36</v>
      </c>
      <c r="H1446" s="14" t="s">
        <v>36</v>
      </c>
      <c r="I1446" s="18" t="s">
        <v>36</v>
      </c>
      <c r="J1446" s="12" t="s">
        <v>36</v>
      </c>
      <c r="K1446" s="13" t="s">
        <v>36</v>
      </c>
      <c r="L1446" s="15" t="s">
        <v>36</v>
      </c>
      <c r="M1446" s="12" t="s">
        <v>36</v>
      </c>
      <c r="N1446" s="12" t="s">
        <v>36</v>
      </c>
      <c r="O1446" s="17" t="s">
        <v>36</v>
      </c>
      <c r="P1446" s="12" t="s">
        <v>36</v>
      </c>
      <c r="Q1446" s="12" t="s">
        <v>36</v>
      </c>
      <c r="R1446" s="12" t="s">
        <v>36</v>
      </c>
      <c r="S1446" s="12" t="s">
        <v>36</v>
      </c>
      <c r="T1446" s="12" t="s">
        <v>6596</v>
      </c>
      <c r="U1446" s="12" t="s">
        <v>63</v>
      </c>
      <c r="V1446" s="12" t="s">
        <v>64</v>
      </c>
      <c r="W1446" s="12" t="s">
        <v>6597</v>
      </c>
      <c r="X1446" s="16" t="s">
        <v>8553</v>
      </c>
      <c r="Y1446" s="15" t="s">
        <v>55</v>
      </c>
      <c r="Z1446" s="14" t="s">
        <v>36</v>
      </c>
      <c r="AA1446" s="14" t="s">
        <v>36</v>
      </c>
      <c r="AB1446" s="12" t="s">
        <v>56</v>
      </c>
      <c r="AC1446" s="12" t="s">
        <v>6599</v>
      </c>
      <c r="AD1446" s="13">
        <v>44986</v>
      </c>
      <c r="AE1446" s="12" t="s">
        <v>399</v>
      </c>
      <c r="AF1446" s="12" t="s">
        <v>6600</v>
      </c>
      <c r="AG1446" s="12" t="s">
        <v>81</v>
      </c>
      <c r="AH1446" s="1">
        <f>HYPERLINK("https://my.pitchbook.com?c=244246-87T","View Company Online")</f>
      </c>
    </row>
    <row r="1447">
      <c r="A1447" s="3" t="s">
        <v>8554</v>
      </c>
      <c r="B1447" s="3" t="s">
        <v>8555</v>
      </c>
      <c r="C1447" s="5" t="s">
        <v>36</v>
      </c>
      <c r="D1447" s="5" t="s">
        <v>36</v>
      </c>
      <c r="E1447" s="5" t="s">
        <v>36</v>
      </c>
      <c r="F1447" s="5" t="s">
        <v>36</v>
      </c>
      <c r="G1447" s="6" t="s">
        <v>36</v>
      </c>
      <c r="H1447" s="4" t="s">
        <v>36</v>
      </c>
      <c r="I1447" s="7" t="s">
        <v>36</v>
      </c>
      <c r="J1447" s="3" t="s">
        <v>36</v>
      </c>
      <c r="K1447" s="9" t="s">
        <v>36</v>
      </c>
      <c r="L1447" s="6" t="s">
        <v>36</v>
      </c>
      <c r="M1447" s="3" t="s">
        <v>36</v>
      </c>
      <c r="N1447" s="3" t="s">
        <v>36</v>
      </c>
      <c r="O1447" s="8" t="s">
        <v>36</v>
      </c>
      <c r="P1447" s="3" t="s">
        <v>36</v>
      </c>
      <c r="Q1447" s="3" t="s">
        <v>36</v>
      </c>
      <c r="R1447" s="3" t="s">
        <v>36</v>
      </c>
      <c r="S1447" s="3" t="s">
        <v>36</v>
      </c>
      <c r="T1447" s="3" t="s">
        <v>8556</v>
      </c>
      <c r="U1447" s="3" t="s">
        <v>38</v>
      </c>
      <c r="V1447" s="3" t="s">
        <v>39</v>
      </c>
      <c r="W1447" s="3" t="s">
        <v>8557</v>
      </c>
      <c r="X1447" s="10" t="s">
        <v>8558</v>
      </c>
      <c r="Y1447" s="6" t="s">
        <v>42</v>
      </c>
      <c r="Z1447" s="4" t="s">
        <v>36</v>
      </c>
      <c r="AA1447" s="4" t="s">
        <v>36</v>
      </c>
      <c r="AB1447" s="3" t="s">
        <v>56</v>
      </c>
      <c r="AC1447" s="3" t="s">
        <v>8559</v>
      </c>
      <c r="AD1447" s="9">
        <v>44986</v>
      </c>
      <c r="AE1447" s="3" t="s">
        <v>110</v>
      </c>
      <c r="AF1447" s="3" t="s">
        <v>36</v>
      </c>
      <c r="AG1447" s="3" t="s">
        <v>81</v>
      </c>
      <c r="AH1447" s="11">
        <f>HYPERLINK("https://my.pitchbook.com?c=219562-66T","View Company Online")</f>
      </c>
    </row>
    <row r="1448">
      <c r="A1448" s="12" t="s">
        <v>8560</v>
      </c>
      <c r="B1448" s="12" t="s">
        <v>8561</v>
      </c>
      <c r="C1448" s="19">
        <v>5</v>
      </c>
      <c r="D1448" s="19" t="s">
        <v>36</v>
      </c>
      <c r="E1448" s="19">
        <v>1</v>
      </c>
      <c r="F1448" s="19">
        <v>5</v>
      </c>
      <c r="G1448" s="15" t="s">
        <v>326</v>
      </c>
      <c r="H1448" s="14" t="s">
        <v>36</v>
      </c>
      <c r="I1448" s="18">
        <v>44.29</v>
      </c>
      <c r="J1448" s="12" t="s">
        <v>327</v>
      </c>
      <c r="K1448" s="13" t="s">
        <v>36</v>
      </c>
      <c r="L1448" s="15" t="s">
        <v>122</v>
      </c>
      <c r="M1448" s="12" t="s">
        <v>36</v>
      </c>
      <c r="N1448" s="12" t="s">
        <v>122</v>
      </c>
      <c r="O1448" s="17" t="s">
        <v>36</v>
      </c>
      <c r="P1448" s="12" t="s">
        <v>36</v>
      </c>
      <c r="Q1448" s="12" t="s">
        <v>36</v>
      </c>
      <c r="R1448" s="12" t="s">
        <v>36</v>
      </c>
      <c r="S1448" s="12" t="s">
        <v>36</v>
      </c>
      <c r="T1448" s="12" t="s">
        <v>881</v>
      </c>
      <c r="U1448" s="12" t="s">
        <v>51</v>
      </c>
      <c r="V1448" s="12" t="s">
        <v>52</v>
      </c>
      <c r="W1448" s="12" t="s">
        <v>8562</v>
      </c>
      <c r="X1448" s="16" t="s">
        <v>8563</v>
      </c>
      <c r="Y1448" s="15" t="s">
        <v>108</v>
      </c>
      <c r="Z1448" s="14">
        <v>29.46</v>
      </c>
      <c r="AA1448" s="14">
        <v>66.51</v>
      </c>
      <c r="AB1448" s="12" t="s">
        <v>43</v>
      </c>
      <c r="AC1448" s="12" t="s">
        <v>8564</v>
      </c>
      <c r="AD1448" s="13">
        <v>44986</v>
      </c>
      <c r="AE1448" s="12" t="s">
        <v>504</v>
      </c>
      <c r="AF1448" s="12" t="s">
        <v>159</v>
      </c>
      <c r="AG1448" s="12" t="s">
        <v>899</v>
      </c>
      <c r="AH1448" s="1">
        <f>HYPERLINK("https://my.pitchbook.com?c=223455-61T","View Company Online")</f>
      </c>
    </row>
    <row r="1449">
      <c r="A1449" s="3" t="s">
        <v>8565</v>
      </c>
      <c r="B1449" s="3" t="s">
        <v>2140</v>
      </c>
      <c r="C1449" s="5" t="s">
        <v>36</v>
      </c>
      <c r="D1449" s="5" t="s">
        <v>36</v>
      </c>
      <c r="E1449" s="5" t="s">
        <v>36</v>
      </c>
      <c r="F1449" s="5" t="s">
        <v>36</v>
      </c>
      <c r="G1449" s="6" t="s">
        <v>36</v>
      </c>
      <c r="H1449" s="4" t="s">
        <v>36</v>
      </c>
      <c r="I1449" s="7" t="s">
        <v>36</v>
      </c>
      <c r="J1449" s="3" t="s">
        <v>36</v>
      </c>
      <c r="K1449" s="9" t="s">
        <v>36</v>
      </c>
      <c r="L1449" s="6" t="s">
        <v>36</v>
      </c>
      <c r="M1449" s="3" t="s">
        <v>36</v>
      </c>
      <c r="N1449" s="3" t="s">
        <v>36</v>
      </c>
      <c r="O1449" s="8" t="s">
        <v>36</v>
      </c>
      <c r="P1449" s="3" t="s">
        <v>36</v>
      </c>
      <c r="Q1449" s="3" t="s">
        <v>36</v>
      </c>
      <c r="R1449" s="3" t="s">
        <v>36</v>
      </c>
      <c r="S1449" s="3" t="s">
        <v>36</v>
      </c>
      <c r="T1449" s="3" t="s">
        <v>550</v>
      </c>
      <c r="U1449" s="3" t="s">
        <v>38</v>
      </c>
      <c r="V1449" s="3" t="s">
        <v>39</v>
      </c>
      <c r="W1449" s="3" t="s">
        <v>2141</v>
      </c>
      <c r="X1449" s="10" t="s">
        <v>8566</v>
      </c>
      <c r="Y1449" s="6" t="s">
        <v>42</v>
      </c>
      <c r="Z1449" s="4">
        <v>0.06</v>
      </c>
      <c r="AA1449" s="4" t="s">
        <v>36</v>
      </c>
      <c r="AB1449" s="3" t="s">
        <v>43</v>
      </c>
      <c r="AC1449" s="3" t="s">
        <v>2143</v>
      </c>
      <c r="AD1449" s="9">
        <v>44986</v>
      </c>
      <c r="AE1449" s="3" t="s">
        <v>554</v>
      </c>
      <c r="AF1449" s="3" t="s">
        <v>1380</v>
      </c>
      <c r="AG1449" s="3" t="s">
        <v>81</v>
      </c>
      <c r="AH1449" s="11">
        <f>HYPERLINK("https://my.pitchbook.com?c=272123-02T","View Company Online")</f>
      </c>
    </row>
    <row r="1450">
      <c r="A1450" s="12" t="s">
        <v>8567</v>
      </c>
      <c r="B1450" s="12" t="s">
        <v>8568</v>
      </c>
      <c r="C1450" s="19" t="s">
        <v>36</v>
      </c>
      <c r="D1450" s="19" t="s">
        <v>36</v>
      </c>
      <c r="E1450" s="19" t="s">
        <v>36</v>
      </c>
      <c r="F1450" s="19" t="s">
        <v>36</v>
      </c>
      <c r="G1450" s="15" t="s">
        <v>36</v>
      </c>
      <c r="H1450" s="14" t="s">
        <v>36</v>
      </c>
      <c r="I1450" s="18" t="s">
        <v>36</v>
      </c>
      <c r="J1450" s="12" t="s">
        <v>36</v>
      </c>
      <c r="K1450" s="13" t="s">
        <v>36</v>
      </c>
      <c r="L1450" s="15" t="s">
        <v>36</v>
      </c>
      <c r="M1450" s="12" t="s">
        <v>36</v>
      </c>
      <c r="N1450" s="12" t="s">
        <v>36</v>
      </c>
      <c r="O1450" s="17" t="s">
        <v>36</v>
      </c>
      <c r="P1450" s="12" t="s">
        <v>36</v>
      </c>
      <c r="Q1450" s="12" t="s">
        <v>36</v>
      </c>
      <c r="R1450" s="12" t="s">
        <v>36</v>
      </c>
      <c r="S1450" s="12" t="s">
        <v>36</v>
      </c>
      <c r="T1450" s="12" t="s">
        <v>8569</v>
      </c>
      <c r="U1450" s="12" t="s">
        <v>1357</v>
      </c>
      <c r="V1450" s="12" t="s">
        <v>52</v>
      </c>
      <c r="W1450" s="12" t="s">
        <v>8570</v>
      </c>
      <c r="X1450" s="16" t="s">
        <v>8571</v>
      </c>
      <c r="Y1450" s="15" t="s">
        <v>42</v>
      </c>
      <c r="Z1450" s="14" t="s">
        <v>36</v>
      </c>
      <c r="AA1450" s="14" t="s">
        <v>36</v>
      </c>
      <c r="AB1450" s="12" t="s">
        <v>56</v>
      </c>
      <c r="AC1450" s="12" t="s">
        <v>8572</v>
      </c>
      <c r="AD1450" s="13">
        <v>44986</v>
      </c>
      <c r="AE1450" s="12" t="s">
        <v>3204</v>
      </c>
      <c r="AF1450" s="12" t="s">
        <v>8573</v>
      </c>
      <c r="AG1450" s="12" t="s">
        <v>2033</v>
      </c>
      <c r="AH1450" s="1">
        <f>HYPERLINK("https://my.pitchbook.com?c=217252-54T","View Company Online")</f>
      </c>
    </row>
    <row r="1451">
      <c r="A1451" s="3" t="s">
        <v>8574</v>
      </c>
      <c r="B1451" s="3" t="s">
        <v>8575</v>
      </c>
      <c r="C1451" s="5" t="s">
        <v>36</v>
      </c>
      <c r="D1451" s="5" t="s">
        <v>36</v>
      </c>
      <c r="E1451" s="5" t="s">
        <v>36</v>
      </c>
      <c r="F1451" s="5" t="s">
        <v>36</v>
      </c>
      <c r="G1451" s="6" t="s">
        <v>36</v>
      </c>
      <c r="H1451" s="4" t="s">
        <v>36</v>
      </c>
      <c r="I1451" s="7" t="s">
        <v>36</v>
      </c>
      <c r="J1451" s="3" t="s">
        <v>36</v>
      </c>
      <c r="K1451" s="9" t="s">
        <v>36</v>
      </c>
      <c r="L1451" s="6" t="s">
        <v>36</v>
      </c>
      <c r="M1451" s="3" t="s">
        <v>36</v>
      </c>
      <c r="N1451" s="3" t="s">
        <v>36</v>
      </c>
      <c r="O1451" s="8" t="s">
        <v>36</v>
      </c>
      <c r="P1451" s="3" t="s">
        <v>36</v>
      </c>
      <c r="Q1451" s="3" t="s">
        <v>36</v>
      </c>
      <c r="R1451" s="3" t="s">
        <v>36</v>
      </c>
      <c r="S1451" s="3" t="s">
        <v>36</v>
      </c>
      <c r="T1451" s="3" t="s">
        <v>522</v>
      </c>
      <c r="U1451" s="3" t="s">
        <v>38</v>
      </c>
      <c r="V1451" s="3" t="s">
        <v>39</v>
      </c>
      <c r="W1451" s="3" t="s">
        <v>8576</v>
      </c>
      <c r="X1451" s="10" t="s">
        <v>8577</v>
      </c>
      <c r="Y1451" s="6" t="s">
        <v>55</v>
      </c>
      <c r="Z1451" s="4" t="s">
        <v>36</v>
      </c>
      <c r="AA1451" s="4" t="s">
        <v>36</v>
      </c>
      <c r="AB1451" s="3" t="s">
        <v>43</v>
      </c>
      <c r="AC1451" s="3" t="s">
        <v>8578</v>
      </c>
      <c r="AD1451" s="9">
        <v>44986</v>
      </c>
      <c r="AE1451" s="3" t="s">
        <v>110</v>
      </c>
      <c r="AF1451" s="3" t="s">
        <v>8579</v>
      </c>
      <c r="AG1451" s="3" t="s">
        <v>81</v>
      </c>
      <c r="AH1451" s="11">
        <f>HYPERLINK("https://my.pitchbook.com?c=217903-42T","View Company Online")</f>
      </c>
    </row>
    <row r="1452">
      <c r="A1452" s="12" t="s">
        <v>8580</v>
      </c>
      <c r="B1452" s="12" t="s">
        <v>8581</v>
      </c>
      <c r="C1452" s="19" t="s">
        <v>36</v>
      </c>
      <c r="D1452" s="19" t="s">
        <v>36</v>
      </c>
      <c r="E1452" s="19" t="s">
        <v>36</v>
      </c>
      <c r="F1452" s="19" t="s">
        <v>36</v>
      </c>
      <c r="G1452" s="15" t="s">
        <v>326</v>
      </c>
      <c r="H1452" s="14">
        <v>3272.73</v>
      </c>
      <c r="I1452" s="18">
        <v>16.53</v>
      </c>
      <c r="J1452" s="12" t="s">
        <v>521</v>
      </c>
      <c r="K1452" s="13">
        <v>44917</v>
      </c>
      <c r="L1452" s="15" t="s">
        <v>36</v>
      </c>
      <c r="M1452" s="12" t="s">
        <v>36</v>
      </c>
      <c r="N1452" s="12" t="s">
        <v>36</v>
      </c>
      <c r="O1452" s="17" t="s">
        <v>36</v>
      </c>
      <c r="P1452" s="12" t="s">
        <v>36</v>
      </c>
      <c r="Q1452" s="12" t="s">
        <v>36</v>
      </c>
      <c r="R1452" s="12" t="s">
        <v>36</v>
      </c>
      <c r="S1452" s="12" t="s">
        <v>36</v>
      </c>
      <c r="T1452" s="12" t="s">
        <v>8582</v>
      </c>
      <c r="U1452" s="12" t="s">
        <v>648</v>
      </c>
      <c r="V1452" s="12" t="s">
        <v>64</v>
      </c>
      <c r="W1452" s="12" t="s">
        <v>8583</v>
      </c>
      <c r="X1452" s="16" t="s">
        <v>8584</v>
      </c>
      <c r="Y1452" s="15" t="s">
        <v>108</v>
      </c>
      <c r="Z1452" s="14">
        <v>2.14</v>
      </c>
      <c r="AA1452" s="14">
        <v>7.51</v>
      </c>
      <c r="AB1452" s="12" t="s">
        <v>56</v>
      </c>
      <c r="AC1452" s="12" t="s">
        <v>8585</v>
      </c>
      <c r="AD1452" s="13">
        <v>44986</v>
      </c>
      <c r="AE1452" s="12" t="s">
        <v>651</v>
      </c>
      <c r="AF1452" s="12" t="s">
        <v>36</v>
      </c>
      <c r="AG1452" s="12" t="s">
        <v>382</v>
      </c>
      <c r="AH1452" s="1">
        <f>HYPERLINK("https://my.pitchbook.com?c=219535-57T","View Company Online")</f>
      </c>
    </row>
    <row r="1453">
      <c r="A1453" s="3" t="s">
        <v>8586</v>
      </c>
      <c r="B1453" s="3" t="s">
        <v>8587</v>
      </c>
      <c r="C1453" s="5" t="s">
        <v>36</v>
      </c>
      <c r="D1453" s="5" t="s">
        <v>36</v>
      </c>
      <c r="E1453" s="5" t="s">
        <v>36</v>
      </c>
      <c r="F1453" s="5" t="s">
        <v>36</v>
      </c>
      <c r="G1453" s="6" t="s">
        <v>36</v>
      </c>
      <c r="H1453" s="4" t="s">
        <v>36</v>
      </c>
      <c r="I1453" s="7" t="s">
        <v>36</v>
      </c>
      <c r="J1453" s="3" t="s">
        <v>36</v>
      </c>
      <c r="K1453" s="9" t="s">
        <v>36</v>
      </c>
      <c r="L1453" s="6" t="s">
        <v>36</v>
      </c>
      <c r="M1453" s="3" t="s">
        <v>36</v>
      </c>
      <c r="N1453" s="3" t="s">
        <v>36</v>
      </c>
      <c r="O1453" s="8" t="s">
        <v>36</v>
      </c>
      <c r="P1453" s="3" t="s">
        <v>36</v>
      </c>
      <c r="Q1453" s="3" t="s">
        <v>36</v>
      </c>
      <c r="R1453" s="3" t="s">
        <v>36</v>
      </c>
      <c r="S1453" s="3" t="s">
        <v>36</v>
      </c>
      <c r="T1453" s="3" t="s">
        <v>7359</v>
      </c>
      <c r="U1453" s="3" t="s">
        <v>956</v>
      </c>
      <c r="V1453" s="3" t="s">
        <v>405</v>
      </c>
      <c r="W1453" s="3" t="s">
        <v>8588</v>
      </c>
      <c r="X1453" s="10" t="s">
        <v>8589</v>
      </c>
      <c r="Y1453" s="6" t="s">
        <v>42</v>
      </c>
      <c r="Z1453" s="4" t="s">
        <v>36</v>
      </c>
      <c r="AA1453" s="4" t="s">
        <v>36</v>
      </c>
      <c r="AB1453" s="3" t="s">
        <v>43</v>
      </c>
      <c r="AC1453" s="3" t="s">
        <v>8590</v>
      </c>
      <c r="AD1453" s="9">
        <v>44986</v>
      </c>
      <c r="AE1453" s="3" t="s">
        <v>1851</v>
      </c>
      <c r="AF1453" s="3" t="s">
        <v>1852</v>
      </c>
      <c r="AG1453" s="3" t="s">
        <v>81</v>
      </c>
      <c r="AH1453" s="11">
        <f>HYPERLINK("https://my.pitchbook.com?c=217869-58T","View Company Online")</f>
      </c>
    </row>
    <row r="1454">
      <c r="A1454" s="12" t="s">
        <v>8591</v>
      </c>
      <c r="B1454" s="12" t="s">
        <v>8592</v>
      </c>
      <c r="C1454" s="19" t="s">
        <v>36</v>
      </c>
      <c r="D1454" s="19" t="s">
        <v>36</v>
      </c>
      <c r="E1454" s="19" t="s">
        <v>36</v>
      </c>
      <c r="F1454" s="19" t="s">
        <v>36</v>
      </c>
      <c r="G1454" s="15" t="s">
        <v>326</v>
      </c>
      <c r="H1454" s="14">
        <v>665.9</v>
      </c>
      <c r="I1454" s="18">
        <v>24.81</v>
      </c>
      <c r="J1454" s="12" t="s">
        <v>521</v>
      </c>
      <c r="K1454" s="13" t="s">
        <v>36</v>
      </c>
      <c r="L1454" s="15" t="s">
        <v>36</v>
      </c>
      <c r="M1454" s="12" t="s">
        <v>36</v>
      </c>
      <c r="N1454" s="12" t="s">
        <v>36</v>
      </c>
      <c r="O1454" s="17" t="s">
        <v>36</v>
      </c>
      <c r="P1454" s="12" t="s">
        <v>36</v>
      </c>
      <c r="Q1454" s="12" t="s">
        <v>36</v>
      </c>
      <c r="R1454" s="12" t="s">
        <v>36</v>
      </c>
      <c r="S1454" s="12" t="s">
        <v>36</v>
      </c>
      <c r="T1454" s="12" t="s">
        <v>1048</v>
      </c>
      <c r="U1454" s="12" t="s">
        <v>423</v>
      </c>
      <c r="V1454" s="12" t="s">
        <v>64</v>
      </c>
      <c r="W1454" s="12" t="s">
        <v>8593</v>
      </c>
      <c r="X1454" s="16" t="s">
        <v>8594</v>
      </c>
      <c r="Y1454" s="15" t="s">
        <v>108</v>
      </c>
      <c r="Z1454" s="14">
        <v>3</v>
      </c>
      <c r="AA1454" s="14">
        <v>12.11</v>
      </c>
      <c r="AB1454" s="12" t="s">
        <v>43</v>
      </c>
      <c r="AC1454" s="12" t="s">
        <v>8595</v>
      </c>
      <c r="AD1454" s="13">
        <v>44986</v>
      </c>
      <c r="AE1454" s="12" t="s">
        <v>1051</v>
      </c>
      <c r="AF1454" s="12" t="s">
        <v>90</v>
      </c>
      <c r="AG1454" s="12" t="s">
        <v>8596</v>
      </c>
      <c r="AH1454" s="1">
        <f>HYPERLINK("https://my.pitchbook.com?c=219269-71T","View Company Online")</f>
      </c>
    </row>
    <row r="1455">
      <c r="A1455" s="3" t="s">
        <v>8597</v>
      </c>
      <c r="B1455" s="3" t="s">
        <v>8598</v>
      </c>
      <c r="C1455" s="5" t="s">
        <v>36</v>
      </c>
      <c r="D1455" s="5" t="s">
        <v>36</v>
      </c>
      <c r="E1455" s="5" t="s">
        <v>36</v>
      </c>
      <c r="F1455" s="5" t="s">
        <v>36</v>
      </c>
      <c r="G1455" s="6" t="s">
        <v>36</v>
      </c>
      <c r="H1455" s="4" t="s">
        <v>36</v>
      </c>
      <c r="I1455" s="7" t="s">
        <v>36</v>
      </c>
      <c r="J1455" s="3" t="s">
        <v>36</v>
      </c>
      <c r="K1455" s="9" t="s">
        <v>36</v>
      </c>
      <c r="L1455" s="6" t="s">
        <v>36</v>
      </c>
      <c r="M1455" s="3" t="s">
        <v>36</v>
      </c>
      <c r="N1455" s="3" t="s">
        <v>36</v>
      </c>
      <c r="O1455" s="8" t="s">
        <v>36</v>
      </c>
      <c r="P1455" s="3" t="s">
        <v>36</v>
      </c>
      <c r="Q1455" s="3" t="s">
        <v>36</v>
      </c>
      <c r="R1455" s="3" t="s">
        <v>36</v>
      </c>
      <c r="S1455" s="3" t="s">
        <v>36</v>
      </c>
      <c r="T1455" s="3" t="s">
        <v>4917</v>
      </c>
      <c r="U1455" s="3" t="s">
        <v>38</v>
      </c>
      <c r="V1455" s="3" t="s">
        <v>39</v>
      </c>
      <c r="W1455" s="3" t="s">
        <v>8599</v>
      </c>
      <c r="X1455" s="10" t="s">
        <v>8600</v>
      </c>
      <c r="Y1455" s="6" t="s">
        <v>42</v>
      </c>
      <c r="Z1455" s="4" t="s">
        <v>36</v>
      </c>
      <c r="AA1455" s="4" t="s">
        <v>36</v>
      </c>
      <c r="AB1455" s="3" t="s">
        <v>56</v>
      </c>
      <c r="AC1455" s="3" t="s">
        <v>8601</v>
      </c>
      <c r="AD1455" s="9">
        <v>44986</v>
      </c>
      <c r="AE1455" s="3" t="s">
        <v>134</v>
      </c>
      <c r="AF1455" s="3" t="s">
        <v>7199</v>
      </c>
      <c r="AG1455" s="3" t="s">
        <v>81</v>
      </c>
      <c r="AH1455" s="11">
        <f>HYPERLINK("https://my.pitchbook.com?c=217868-95T","View Company Online")</f>
      </c>
    </row>
    <row r="1456">
      <c r="A1456" s="12" t="s">
        <v>8602</v>
      </c>
      <c r="B1456" s="12" t="s">
        <v>8603</v>
      </c>
      <c r="C1456" s="19" t="s">
        <v>36</v>
      </c>
      <c r="D1456" s="19" t="s">
        <v>36</v>
      </c>
      <c r="E1456" s="19" t="s">
        <v>36</v>
      </c>
      <c r="F1456" s="19" t="s">
        <v>36</v>
      </c>
      <c r="G1456" s="15" t="s">
        <v>36</v>
      </c>
      <c r="H1456" s="14" t="s">
        <v>36</v>
      </c>
      <c r="I1456" s="18" t="s">
        <v>36</v>
      </c>
      <c r="J1456" s="12" t="s">
        <v>36</v>
      </c>
      <c r="K1456" s="13" t="s">
        <v>36</v>
      </c>
      <c r="L1456" s="15" t="s">
        <v>36</v>
      </c>
      <c r="M1456" s="12" t="s">
        <v>36</v>
      </c>
      <c r="N1456" s="12" t="s">
        <v>36</v>
      </c>
      <c r="O1456" s="17" t="s">
        <v>36</v>
      </c>
      <c r="P1456" s="12" t="s">
        <v>36</v>
      </c>
      <c r="Q1456" s="12" t="s">
        <v>36</v>
      </c>
      <c r="R1456" s="12" t="s">
        <v>36</v>
      </c>
      <c r="S1456" s="12" t="s">
        <v>36</v>
      </c>
      <c r="T1456" s="12" t="s">
        <v>8604</v>
      </c>
      <c r="U1456" s="12" t="s">
        <v>74</v>
      </c>
      <c r="V1456" s="12" t="s">
        <v>75</v>
      </c>
      <c r="W1456" s="12" t="s">
        <v>8605</v>
      </c>
      <c r="X1456" s="16" t="s">
        <v>7151</v>
      </c>
      <c r="Y1456" s="15" t="s">
        <v>166</v>
      </c>
      <c r="Z1456" s="14" t="s">
        <v>36</v>
      </c>
      <c r="AA1456" s="14" t="s">
        <v>36</v>
      </c>
      <c r="AB1456" s="12" t="s">
        <v>56</v>
      </c>
      <c r="AC1456" s="12" t="s">
        <v>8606</v>
      </c>
      <c r="AD1456" s="13">
        <v>44986</v>
      </c>
      <c r="AE1456" s="12" t="s">
        <v>2237</v>
      </c>
      <c r="AF1456" s="12" t="s">
        <v>8607</v>
      </c>
      <c r="AG1456" s="12" t="s">
        <v>81</v>
      </c>
      <c r="AH1456" s="1">
        <f>HYPERLINK("https://my.pitchbook.com?c=216476-83T","View Company Online")</f>
      </c>
    </row>
    <row r="1457">
      <c r="A1457" s="3" t="s">
        <v>8608</v>
      </c>
      <c r="B1457" s="3" t="s">
        <v>8609</v>
      </c>
      <c r="C1457" s="5" t="s">
        <v>36</v>
      </c>
      <c r="D1457" s="5" t="s">
        <v>36</v>
      </c>
      <c r="E1457" s="5" t="s">
        <v>36</v>
      </c>
      <c r="F1457" s="5" t="s">
        <v>36</v>
      </c>
      <c r="G1457" s="6" t="s">
        <v>326</v>
      </c>
      <c r="H1457" s="4">
        <v>2337.36</v>
      </c>
      <c r="I1457" s="7">
        <v>27.71</v>
      </c>
      <c r="J1457" s="3" t="s">
        <v>521</v>
      </c>
      <c r="K1457" s="9" t="s">
        <v>36</v>
      </c>
      <c r="L1457" s="6" t="s">
        <v>36</v>
      </c>
      <c r="M1457" s="3" t="s">
        <v>36</v>
      </c>
      <c r="N1457" s="3" t="s">
        <v>36</v>
      </c>
      <c r="O1457" s="8" t="s">
        <v>36</v>
      </c>
      <c r="P1457" s="3" t="s">
        <v>36</v>
      </c>
      <c r="Q1457" s="3" t="s">
        <v>36</v>
      </c>
      <c r="R1457" s="3" t="s">
        <v>36</v>
      </c>
      <c r="S1457" s="3" t="s">
        <v>36</v>
      </c>
      <c r="T1457" s="3" t="s">
        <v>8610</v>
      </c>
      <c r="U1457" s="3" t="s">
        <v>728</v>
      </c>
      <c r="V1457" s="3" t="s">
        <v>64</v>
      </c>
      <c r="W1457" s="3" t="s">
        <v>8611</v>
      </c>
      <c r="X1457" s="10" t="s">
        <v>8612</v>
      </c>
      <c r="Y1457" s="6" t="s">
        <v>108</v>
      </c>
      <c r="Z1457" s="4">
        <v>1.23</v>
      </c>
      <c r="AA1457" s="4">
        <v>4.45</v>
      </c>
      <c r="AB1457" s="3" t="s">
        <v>56</v>
      </c>
      <c r="AC1457" s="3" t="s">
        <v>8613</v>
      </c>
      <c r="AD1457" s="9">
        <v>44986</v>
      </c>
      <c r="AE1457" s="3" t="s">
        <v>2154</v>
      </c>
      <c r="AF1457" s="3" t="s">
        <v>733</v>
      </c>
      <c r="AG1457" s="3" t="s">
        <v>81</v>
      </c>
      <c r="AH1457" s="11">
        <f>HYPERLINK("https://my.pitchbook.com?c=226308-70T","View Company Online")</f>
      </c>
    </row>
    <row r="1458">
      <c r="A1458" s="12" t="s">
        <v>8614</v>
      </c>
      <c r="B1458" s="12" t="s">
        <v>8615</v>
      </c>
      <c r="C1458" s="19" t="s">
        <v>36</v>
      </c>
      <c r="D1458" s="19" t="s">
        <v>36</v>
      </c>
      <c r="E1458" s="19" t="s">
        <v>36</v>
      </c>
      <c r="F1458" s="19" t="s">
        <v>36</v>
      </c>
      <c r="G1458" s="15" t="s">
        <v>36</v>
      </c>
      <c r="H1458" s="14" t="s">
        <v>36</v>
      </c>
      <c r="I1458" s="18" t="s">
        <v>36</v>
      </c>
      <c r="J1458" s="12" t="s">
        <v>36</v>
      </c>
      <c r="K1458" s="13" t="s">
        <v>36</v>
      </c>
      <c r="L1458" s="15" t="s">
        <v>36</v>
      </c>
      <c r="M1458" s="12" t="s">
        <v>36</v>
      </c>
      <c r="N1458" s="12" t="s">
        <v>36</v>
      </c>
      <c r="O1458" s="17" t="s">
        <v>36</v>
      </c>
      <c r="P1458" s="12" t="s">
        <v>36</v>
      </c>
      <c r="Q1458" s="12" t="s">
        <v>36</v>
      </c>
      <c r="R1458" s="12" t="s">
        <v>36</v>
      </c>
      <c r="S1458" s="12" t="s">
        <v>36</v>
      </c>
      <c r="T1458" s="12" t="s">
        <v>7330</v>
      </c>
      <c r="U1458" s="12" t="s">
        <v>728</v>
      </c>
      <c r="V1458" s="12" t="s">
        <v>64</v>
      </c>
      <c r="W1458" s="12" t="s">
        <v>8616</v>
      </c>
      <c r="X1458" s="16" t="s">
        <v>8617</v>
      </c>
      <c r="Y1458" s="15" t="s">
        <v>108</v>
      </c>
      <c r="Z1458" s="14" t="s">
        <v>36</v>
      </c>
      <c r="AA1458" s="14" t="s">
        <v>36</v>
      </c>
      <c r="AB1458" s="12" t="s">
        <v>56</v>
      </c>
      <c r="AC1458" s="12" t="s">
        <v>8618</v>
      </c>
      <c r="AD1458" s="13">
        <v>44986</v>
      </c>
      <c r="AE1458" s="12" t="s">
        <v>1600</v>
      </c>
      <c r="AF1458" s="12" t="s">
        <v>90</v>
      </c>
      <c r="AG1458" s="12" t="s">
        <v>81</v>
      </c>
      <c r="AH1458" s="1">
        <f>HYPERLINK("https://my.pitchbook.com?c=218494-54T","View Company Online")</f>
      </c>
    </row>
    <row r="1459">
      <c r="A1459" s="3" t="s">
        <v>8619</v>
      </c>
      <c r="B1459" s="3" t="s">
        <v>8620</v>
      </c>
      <c r="C1459" s="5" t="s">
        <v>36</v>
      </c>
      <c r="D1459" s="5" t="s">
        <v>36</v>
      </c>
      <c r="E1459" s="5" t="s">
        <v>36</v>
      </c>
      <c r="F1459" s="5" t="s">
        <v>36</v>
      </c>
      <c r="G1459" s="6" t="s">
        <v>36</v>
      </c>
      <c r="H1459" s="4" t="s">
        <v>36</v>
      </c>
      <c r="I1459" s="7" t="s">
        <v>36</v>
      </c>
      <c r="J1459" s="3" t="s">
        <v>36</v>
      </c>
      <c r="K1459" s="9" t="s">
        <v>36</v>
      </c>
      <c r="L1459" s="6" t="s">
        <v>36</v>
      </c>
      <c r="M1459" s="3" t="s">
        <v>36</v>
      </c>
      <c r="N1459" s="3" t="s">
        <v>36</v>
      </c>
      <c r="O1459" s="8" t="s">
        <v>36</v>
      </c>
      <c r="P1459" s="3" t="s">
        <v>36</v>
      </c>
      <c r="Q1459" s="3" t="s">
        <v>36</v>
      </c>
      <c r="R1459" s="3" t="s">
        <v>36</v>
      </c>
      <c r="S1459" s="3" t="s">
        <v>36</v>
      </c>
      <c r="T1459" s="3" t="s">
        <v>8621</v>
      </c>
      <c r="U1459" s="3" t="s">
        <v>51</v>
      </c>
      <c r="V1459" s="3" t="s">
        <v>52</v>
      </c>
      <c r="W1459" s="3" t="s">
        <v>8622</v>
      </c>
      <c r="X1459" s="10" t="s">
        <v>8623</v>
      </c>
      <c r="Y1459" s="6" t="s">
        <v>42</v>
      </c>
      <c r="Z1459" s="4" t="s">
        <v>36</v>
      </c>
      <c r="AA1459" s="4" t="s">
        <v>36</v>
      </c>
      <c r="AB1459" s="3" t="s">
        <v>56</v>
      </c>
      <c r="AC1459" s="3" t="s">
        <v>8624</v>
      </c>
      <c r="AD1459" s="9">
        <v>44986</v>
      </c>
      <c r="AE1459" s="3" t="s">
        <v>158</v>
      </c>
      <c r="AF1459" s="3" t="s">
        <v>159</v>
      </c>
      <c r="AG1459" s="3" t="s">
        <v>47</v>
      </c>
      <c r="AH1459" s="11">
        <f>HYPERLINK("https://my.pitchbook.com?c=279549-46T","View Company Online")</f>
      </c>
    </row>
    <row r="1460">
      <c r="A1460" s="12" t="s">
        <v>8625</v>
      </c>
      <c r="B1460" s="12" t="s">
        <v>8626</v>
      </c>
      <c r="C1460" s="19" t="s">
        <v>36</v>
      </c>
      <c r="D1460" s="19" t="s">
        <v>36</v>
      </c>
      <c r="E1460" s="19" t="s">
        <v>36</v>
      </c>
      <c r="F1460" s="19" t="s">
        <v>36</v>
      </c>
      <c r="G1460" s="15" t="s">
        <v>36</v>
      </c>
      <c r="H1460" s="14" t="s">
        <v>36</v>
      </c>
      <c r="I1460" s="18" t="s">
        <v>36</v>
      </c>
      <c r="J1460" s="12" t="s">
        <v>36</v>
      </c>
      <c r="K1460" s="13" t="s">
        <v>36</v>
      </c>
      <c r="L1460" s="15" t="s">
        <v>36</v>
      </c>
      <c r="M1460" s="12" t="s">
        <v>36</v>
      </c>
      <c r="N1460" s="12" t="s">
        <v>36</v>
      </c>
      <c r="O1460" s="17" t="s">
        <v>36</v>
      </c>
      <c r="P1460" s="12" t="s">
        <v>36</v>
      </c>
      <c r="Q1460" s="12" t="s">
        <v>36</v>
      </c>
      <c r="R1460" s="12" t="s">
        <v>36</v>
      </c>
      <c r="S1460" s="12" t="s">
        <v>36</v>
      </c>
      <c r="T1460" s="12" t="s">
        <v>6392</v>
      </c>
      <c r="U1460" s="12" t="s">
        <v>289</v>
      </c>
      <c r="V1460" s="12" t="s">
        <v>64</v>
      </c>
      <c r="W1460" s="12" t="s">
        <v>8627</v>
      </c>
      <c r="X1460" s="16" t="s">
        <v>8628</v>
      </c>
      <c r="Y1460" s="15" t="s">
        <v>55</v>
      </c>
      <c r="Z1460" s="14">
        <v>6.7</v>
      </c>
      <c r="AA1460" s="14" t="s">
        <v>36</v>
      </c>
      <c r="AB1460" s="12" t="s">
        <v>56</v>
      </c>
      <c r="AC1460" s="12" t="s">
        <v>8629</v>
      </c>
      <c r="AD1460" s="13">
        <v>44986</v>
      </c>
      <c r="AE1460" s="12" t="s">
        <v>292</v>
      </c>
      <c r="AF1460" s="12" t="s">
        <v>1612</v>
      </c>
      <c r="AG1460" s="12" t="s">
        <v>81</v>
      </c>
      <c r="AH1460" s="1">
        <f>HYPERLINK("https://my.pitchbook.com?c=220883-14T","View Company Online")</f>
      </c>
    </row>
    <row r="1461">
      <c r="A1461" s="3" t="s">
        <v>8630</v>
      </c>
      <c r="B1461" s="3" t="s">
        <v>8631</v>
      </c>
      <c r="C1461" s="5" t="s">
        <v>36</v>
      </c>
      <c r="D1461" s="5" t="s">
        <v>36</v>
      </c>
      <c r="E1461" s="5">
        <v>1</v>
      </c>
      <c r="F1461" s="5">
        <v>1</v>
      </c>
      <c r="G1461" s="6" t="s">
        <v>326</v>
      </c>
      <c r="H1461" s="4">
        <v>185.95</v>
      </c>
      <c r="I1461" s="7">
        <v>43.25</v>
      </c>
      <c r="J1461" s="3" t="s">
        <v>521</v>
      </c>
      <c r="K1461" s="9" t="s">
        <v>36</v>
      </c>
      <c r="L1461" s="6" t="s">
        <v>36</v>
      </c>
      <c r="M1461" s="3" t="s">
        <v>36</v>
      </c>
      <c r="N1461" s="3" t="s">
        <v>36</v>
      </c>
      <c r="O1461" s="8" t="s">
        <v>36</v>
      </c>
      <c r="P1461" s="3" t="s">
        <v>36</v>
      </c>
      <c r="Q1461" s="3" t="s">
        <v>36</v>
      </c>
      <c r="R1461" s="3" t="s">
        <v>36</v>
      </c>
      <c r="S1461" s="3" t="s">
        <v>36</v>
      </c>
      <c r="T1461" s="3" t="s">
        <v>105</v>
      </c>
      <c r="U1461" s="3" t="s">
        <v>38</v>
      </c>
      <c r="V1461" s="3" t="s">
        <v>39</v>
      </c>
      <c r="W1461" s="3" t="s">
        <v>8632</v>
      </c>
      <c r="X1461" s="10" t="s">
        <v>8633</v>
      </c>
      <c r="Y1461" s="6" t="s">
        <v>108</v>
      </c>
      <c r="Z1461" s="4">
        <v>2.14</v>
      </c>
      <c r="AA1461" s="4">
        <v>4.95</v>
      </c>
      <c r="AB1461" s="3" t="s">
        <v>56</v>
      </c>
      <c r="AC1461" s="3" t="s">
        <v>8634</v>
      </c>
      <c r="AD1461" s="9">
        <v>44986</v>
      </c>
      <c r="AE1461" s="3" t="s">
        <v>110</v>
      </c>
      <c r="AF1461" s="3" t="s">
        <v>8635</v>
      </c>
      <c r="AG1461" s="3" t="s">
        <v>81</v>
      </c>
      <c r="AH1461" s="11">
        <f>HYPERLINK("https://my.pitchbook.com?c=218046-61T","View Company Online")</f>
      </c>
    </row>
    <row r="1462">
      <c r="A1462" s="12" t="s">
        <v>8636</v>
      </c>
      <c r="B1462" s="12" t="s">
        <v>8637</v>
      </c>
      <c r="C1462" s="19">
        <v>1</v>
      </c>
      <c r="D1462" s="19" t="s">
        <v>36</v>
      </c>
      <c r="E1462" s="19">
        <v>1</v>
      </c>
      <c r="F1462" s="19">
        <v>1</v>
      </c>
      <c r="G1462" s="15" t="s">
        <v>36</v>
      </c>
      <c r="H1462" s="14" t="s">
        <v>36</v>
      </c>
      <c r="I1462" s="18" t="s">
        <v>36</v>
      </c>
      <c r="J1462" s="12" t="s">
        <v>36</v>
      </c>
      <c r="K1462" s="13" t="s">
        <v>36</v>
      </c>
      <c r="L1462" s="15" t="s">
        <v>36</v>
      </c>
      <c r="M1462" s="12" t="s">
        <v>36</v>
      </c>
      <c r="N1462" s="12" t="s">
        <v>36</v>
      </c>
      <c r="O1462" s="17" t="s">
        <v>36</v>
      </c>
      <c r="P1462" s="12" t="s">
        <v>36</v>
      </c>
      <c r="Q1462" s="12" t="s">
        <v>36</v>
      </c>
      <c r="R1462" s="12" t="s">
        <v>36</v>
      </c>
      <c r="S1462" s="12" t="s">
        <v>36</v>
      </c>
      <c r="T1462" s="12" t="s">
        <v>105</v>
      </c>
      <c r="U1462" s="12" t="s">
        <v>38</v>
      </c>
      <c r="V1462" s="12" t="s">
        <v>39</v>
      </c>
      <c r="W1462" s="12" t="s">
        <v>8638</v>
      </c>
      <c r="X1462" s="16" t="s">
        <v>8639</v>
      </c>
      <c r="Y1462" s="15" t="s">
        <v>192</v>
      </c>
      <c r="Z1462" s="14">
        <v>16.07</v>
      </c>
      <c r="AA1462" s="14" t="s">
        <v>36</v>
      </c>
      <c r="AB1462" s="12" t="s">
        <v>56</v>
      </c>
      <c r="AC1462" s="12" t="s">
        <v>8640</v>
      </c>
      <c r="AD1462" s="13">
        <v>44986</v>
      </c>
      <c r="AE1462" s="12" t="s">
        <v>110</v>
      </c>
      <c r="AF1462" s="12" t="s">
        <v>8641</v>
      </c>
      <c r="AG1462" s="12" t="s">
        <v>81</v>
      </c>
      <c r="AH1462" s="1">
        <f>HYPERLINK("https://my.pitchbook.com?c=222982-30T","View Company Online")</f>
      </c>
    </row>
    <row r="1463">
      <c r="A1463" s="3" t="s">
        <v>8642</v>
      </c>
      <c r="B1463" s="3" t="s">
        <v>8643</v>
      </c>
      <c r="C1463" s="5" t="s">
        <v>36</v>
      </c>
      <c r="D1463" s="5" t="s">
        <v>36</v>
      </c>
      <c r="E1463" s="5" t="s">
        <v>36</v>
      </c>
      <c r="F1463" s="5" t="s">
        <v>36</v>
      </c>
      <c r="G1463" s="6" t="s">
        <v>326</v>
      </c>
      <c r="H1463" s="4" t="s">
        <v>36</v>
      </c>
      <c r="I1463" s="7">
        <v>39.52</v>
      </c>
      <c r="J1463" s="3" t="s">
        <v>327</v>
      </c>
      <c r="K1463" s="9" t="s">
        <v>36</v>
      </c>
      <c r="L1463" s="6" t="s">
        <v>5904</v>
      </c>
      <c r="M1463" s="3" t="s">
        <v>36</v>
      </c>
      <c r="N1463" s="3" t="s">
        <v>5904</v>
      </c>
      <c r="O1463" s="8" t="s">
        <v>36</v>
      </c>
      <c r="P1463" s="3" t="s">
        <v>36</v>
      </c>
      <c r="Q1463" s="3" t="s">
        <v>36</v>
      </c>
      <c r="R1463" s="3" t="s">
        <v>36</v>
      </c>
      <c r="S1463" s="3" t="s">
        <v>36</v>
      </c>
      <c r="T1463" s="3" t="s">
        <v>37</v>
      </c>
      <c r="U1463" s="3" t="s">
        <v>38</v>
      </c>
      <c r="V1463" s="3" t="s">
        <v>39</v>
      </c>
      <c r="W1463" s="3" t="s">
        <v>8644</v>
      </c>
      <c r="X1463" s="10" t="s">
        <v>8645</v>
      </c>
      <c r="Y1463" s="6" t="s">
        <v>475</v>
      </c>
      <c r="Z1463" s="4">
        <v>37.49</v>
      </c>
      <c r="AA1463" s="4">
        <v>94.23</v>
      </c>
      <c r="AB1463" s="3" t="s">
        <v>56</v>
      </c>
      <c r="AC1463" s="3" t="s">
        <v>8646</v>
      </c>
      <c r="AD1463" s="9">
        <v>44986</v>
      </c>
      <c r="AE1463" s="3" t="s">
        <v>45</v>
      </c>
      <c r="AF1463" s="3" t="s">
        <v>5901</v>
      </c>
      <c r="AG1463" s="3" t="s">
        <v>4796</v>
      </c>
      <c r="AH1463" s="11">
        <f>HYPERLINK("https://my.pitchbook.com?c=216210-07T","View Company Online")</f>
      </c>
    </row>
    <row r="1464">
      <c r="A1464" s="12" t="s">
        <v>8647</v>
      </c>
      <c r="B1464" s="12" t="s">
        <v>4886</v>
      </c>
      <c r="C1464" s="19" t="s">
        <v>36</v>
      </c>
      <c r="D1464" s="19" t="s">
        <v>36</v>
      </c>
      <c r="E1464" s="19" t="s">
        <v>36</v>
      </c>
      <c r="F1464" s="19" t="s">
        <v>36</v>
      </c>
      <c r="G1464" s="15" t="s">
        <v>36</v>
      </c>
      <c r="H1464" s="14" t="s">
        <v>36</v>
      </c>
      <c r="I1464" s="18" t="s">
        <v>36</v>
      </c>
      <c r="J1464" s="12" t="s">
        <v>36</v>
      </c>
      <c r="K1464" s="13" t="s">
        <v>36</v>
      </c>
      <c r="L1464" s="15" t="s">
        <v>36</v>
      </c>
      <c r="M1464" s="12" t="s">
        <v>36</v>
      </c>
      <c r="N1464" s="12" t="s">
        <v>36</v>
      </c>
      <c r="O1464" s="17" t="s">
        <v>36</v>
      </c>
      <c r="P1464" s="12" t="s">
        <v>36</v>
      </c>
      <c r="Q1464" s="12" t="s">
        <v>36</v>
      </c>
      <c r="R1464" s="12" t="s">
        <v>36</v>
      </c>
      <c r="S1464" s="12" t="s">
        <v>36</v>
      </c>
      <c r="T1464" s="12" t="s">
        <v>4887</v>
      </c>
      <c r="U1464" s="12" t="s">
        <v>74</v>
      </c>
      <c r="V1464" s="12" t="s">
        <v>75</v>
      </c>
      <c r="W1464" s="12" t="s">
        <v>4888</v>
      </c>
      <c r="X1464" s="16" t="s">
        <v>8648</v>
      </c>
      <c r="Y1464" s="15" t="s">
        <v>42</v>
      </c>
      <c r="Z1464" s="14" t="s">
        <v>36</v>
      </c>
      <c r="AA1464" s="14" t="s">
        <v>36</v>
      </c>
      <c r="AB1464" s="12" t="s">
        <v>56</v>
      </c>
      <c r="AC1464" s="12" t="s">
        <v>4890</v>
      </c>
      <c r="AD1464" s="13">
        <v>44986</v>
      </c>
      <c r="AE1464" s="12" t="s">
        <v>3144</v>
      </c>
      <c r="AF1464" s="12" t="s">
        <v>4891</v>
      </c>
      <c r="AG1464" s="12" t="s">
        <v>81</v>
      </c>
      <c r="AH1464" s="1">
        <f>HYPERLINK("https://my.pitchbook.com?c=217870-03T","View Company Online")</f>
      </c>
    </row>
    <row r="1465">
      <c r="A1465" s="3" t="s">
        <v>8649</v>
      </c>
      <c r="B1465" s="3" t="s">
        <v>8650</v>
      </c>
      <c r="C1465" s="5" t="s">
        <v>36</v>
      </c>
      <c r="D1465" s="5" t="s">
        <v>36</v>
      </c>
      <c r="E1465" s="5" t="s">
        <v>36</v>
      </c>
      <c r="F1465" s="5" t="s">
        <v>36</v>
      </c>
      <c r="G1465" s="6" t="s">
        <v>36</v>
      </c>
      <c r="H1465" s="4" t="s">
        <v>36</v>
      </c>
      <c r="I1465" s="7" t="s">
        <v>36</v>
      </c>
      <c r="J1465" s="3" t="s">
        <v>36</v>
      </c>
      <c r="K1465" s="9" t="s">
        <v>36</v>
      </c>
      <c r="L1465" s="6" t="s">
        <v>36</v>
      </c>
      <c r="M1465" s="3" t="s">
        <v>36</v>
      </c>
      <c r="N1465" s="3" t="s">
        <v>36</v>
      </c>
      <c r="O1465" s="8" t="s">
        <v>36</v>
      </c>
      <c r="P1465" s="3" t="s">
        <v>36</v>
      </c>
      <c r="Q1465" s="3" t="s">
        <v>36</v>
      </c>
      <c r="R1465" s="3" t="s">
        <v>36</v>
      </c>
      <c r="S1465" s="3" t="s">
        <v>36</v>
      </c>
      <c r="T1465" s="3" t="s">
        <v>105</v>
      </c>
      <c r="U1465" s="3" t="s">
        <v>38</v>
      </c>
      <c r="V1465" s="3" t="s">
        <v>39</v>
      </c>
      <c r="W1465" s="3" t="s">
        <v>8651</v>
      </c>
      <c r="X1465" s="10" t="s">
        <v>8652</v>
      </c>
      <c r="Y1465" s="6" t="s">
        <v>42</v>
      </c>
      <c r="Z1465" s="4" t="s">
        <v>36</v>
      </c>
      <c r="AA1465" s="4" t="s">
        <v>36</v>
      </c>
      <c r="AB1465" s="3" t="s">
        <v>56</v>
      </c>
      <c r="AC1465" s="3" t="s">
        <v>8653</v>
      </c>
      <c r="AD1465" s="9">
        <v>44986</v>
      </c>
      <c r="AE1465" s="3" t="s">
        <v>110</v>
      </c>
      <c r="AF1465" s="3" t="s">
        <v>8654</v>
      </c>
      <c r="AG1465" s="3" t="s">
        <v>81</v>
      </c>
      <c r="AH1465" s="11">
        <f>HYPERLINK("https://my.pitchbook.com?c=218136-88T","View Company Online")</f>
      </c>
    </row>
    <row r="1466">
      <c r="A1466" s="12" t="s">
        <v>8655</v>
      </c>
      <c r="B1466" s="12" t="s">
        <v>8656</v>
      </c>
      <c r="C1466" s="19">
        <v>3</v>
      </c>
      <c r="D1466" s="19" t="s">
        <v>36</v>
      </c>
      <c r="E1466" s="19">
        <v>2</v>
      </c>
      <c r="F1466" s="19">
        <v>3</v>
      </c>
      <c r="G1466" s="15" t="s">
        <v>36</v>
      </c>
      <c r="H1466" s="14" t="s">
        <v>36</v>
      </c>
      <c r="I1466" s="18" t="s">
        <v>36</v>
      </c>
      <c r="J1466" s="12" t="s">
        <v>36</v>
      </c>
      <c r="K1466" s="13" t="s">
        <v>36</v>
      </c>
      <c r="L1466" s="15" t="s">
        <v>36</v>
      </c>
      <c r="M1466" s="12" t="s">
        <v>36</v>
      </c>
      <c r="N1466" s="12" t="s">
        <v>36</v>
      </c>
      <c r="O1466" s="17" t="s">
        <v>36</v>
      </c>
      <c r="P1466" s="12" t="s">
        <v>36</v>
      </c>
      <c r="Q1466" s="12" t="s">
        <v>36</v>
      </c>
      <c r="R1466" s="12" t="s">
        <v>36</v>
      </c>
      <c r="S1466" s="12" t="s">
        <v>36</v>
      </c>
      <c r="T1466" s="12" t="s">
        <v>8657</v>
      </c>
      <c r="U1466" s="12" t="s">
        <v>74</v>
      </c>
      <c r="V1466" s="12" t="s">
        <v>75</v>
      </c>
      <c r="W1466" s="12" t="s">
        <v>8658</v>
      </c>
      <c r="X1466" s="16" t="s">
        <v>8659</v>
      </c>
      <c r="Y1466" s="15" t="s">
        <v>108</v>
      </c>
      <c r="Z1466" s="14" t="s">
        <v>36</v>
      </c>
      <c r="AA1466" s="14" t="s">
        <v>36</v>
      </c>
      <c r="AB1466" s="12" t="s">
        <v>43</v>
      </c>
      <c r="AC1466" s="12" t="s">
        <v>8660</v>
      </c>
      <c r="AD1466" s="13">
        <v>44986</v>
      </c>
      <c r="AE1466" s="12" t="s">
        <v>570</v>
      </c>
      <c r="AF1466" s="12" t="s">
        <v>8661</v>
      </c>
      <c r="AG1466" s="12" t="s">
        <v>8662</v>
      </c>
      <c r="AH1466" s="1">
        <f>HYPERLINK("https://my.pitchbook.com?c=245813-59T","View Company Online")</f>
      </c>
    </row>
    <row r="1467">
      <c r="A1467" s="3" t="s">
        <v>8663</v>
      </c>
      <c r="B1467" s="3" t="s">
        <v>4955</v>
      </c>
      <c r="C1467" s="5" t="s">
        <v>36</v>
      </c>
      <c r="D1467" s="5" t="s">
        <v>36</v>
      </c>
      <c r="E1467" s="5" t="s">
        <v>36</v>
      </c>
      <c r="F1467" s="5" t="s">
        <v>36</v>
      </c>
      <c r="G1467" s="6" t="s">
        <v>36</v>
      </c>
      <c r="H1467" s="4" t="s">
        <v>36</v>
      </c>
      <c r="I1467" s="7" t="s">
        <v>36</v>
      </c>
      <c r="J1467" s="3" t="s">
        <v>36</v>
      </c>
      <c r="K1467" s="9" t="s">
        <v>36</v>
      </c>
      <c r="L1467" s="6" t="s">
        <v>36</v>
      </c>
      <c r="M1467" s="3" t="s">
        <v>36</v>
      </c>
      <c r="N1467" s="3" t="s">
        <v>36</v>
      </c>
      <c r="O1467" s="8" t="s">
        <v>36</v>
      </c>
      <c r="P1467" s="3" t="s">
        <v>36</v>
      </c>
      <c r="Q1467" s="3" t="s">
        <v>36</v>
      </c>
      <c r="R1467" s="3" t="s">
        <v>36</v>
      </c>
      <c r="S1467" s="3" t="s">
        <v>36</v>
      </c>
      <c r="T1467" s="3" t="s">
        <v>472</v>
      </c>
      <c r="U1467" s="3" t="s">
        <v>38</v>
      </c>
      <c r="V1467" s="3" t="s">
        <v>39</v>
      </c>
      <c r="W1467" s="3" t="s">
        <v>4956</v>
      </c>
      <c r="X1467" s="10" t="s">
        <v>2442</v>
      </c>
      <c r="Y1467" s="6" t="s">
        <v>55</v>
      </c>
      <c r="Z1467" s="4">
        <v>3.96</v>
      </c>
      <c r="AA1467" s="4" t="s">
        <v>36</v>
      </c>
      <c r="AB1467" s="3" t="s">
        <v>56</v>
      </c>
      <c r="AC1467" s="3" t="s">
        <v>4958</v>
      </c>
      <c r="AD1467" s="9">
        <v>44986</v>
      </c>
      <c r="AE1467" s="3" t="s">
        <v>110</v>
      </c>
      <c r="AF1467" s="3" t="s">
        <v>526</v>
      </c>
      <c r="AG1467" s="3" t="s">
        <v>81</v>
      </c>
      <c r="AH1467" s="11">
        <f>HYPERLINK("https://my.pitchbook.com?c=218994-49T","View Company Online")</f>
      </c>
    </row>
    <row r="1468">
      <c r="A1468" s="12" t="s">
        <v>8664</v>
      </c>
      <c r="B1468" s="12" t="s">
        <v>8665</v>
      </c>
      <c r="C1468" s="19">
        <v>12</v>
      </c>
      <c r="D1468" s="19">
        <v>31</v>
      </c>
      <c r="E1468" s="19">
        <v>11</v>
      </c>
      <c r="F1468" s="19">
        <v>49</v>
      </c>
      <c r="G1468" s="15" t="s">
        <v>683</v>
      </c>
      <c r="H1468" s="14">
        <v>95.51</v>
      </c>
      <c r="I1468" s="18">
        <v>16.96</v>
      </c>
      <c r="J1468" s="12" t="s">
        <v>521</v>
      </c>
      <c r="K1468" s="13" t="s">
        <v>36</v>
      </c>
      <c r="L1468" s="15" t="s">
        <v>36</v>
      </c>
      <c r="M1468" s="12" t="s">
        <v>36</v>
      </c>
      <c r="N1468" s="12" t="s">
        <v>36</v>
      </c>
      <c r="O1468" s="17" t="s">
        <v>36</v>
      </c>
      <c r="P1468" s="12" t="s">
        <v>36</v>
      </c>
      <c r="Q1468" s="12" t="s">
        <v>36</v>
      </c>
      <c r="R1468" s="12" t="s">
        <v>36</v>
      </c>
      <c r="S1468" s="12" t="s">
        <v>36</v>
      </c>
      <c r="T1468" s="12" t="s">
        <v>881</v>
      </c>
      <c r="U1468" s="12" t="s">
        <v>51</v>
      </c>
      <c r="V1468" s="12" t="s">
        <v>52</v>
      </c>
      <c r="W1468" s="12" t="s">
        <v>8666</v>
      </c>
      <c r="X1468" s="16" t="s">
        <v>8667</v>
      </c>
      <c r="Y1468" s="15" t="s">
        <v>55</v>
      </c>
      <c r="Z1468" s="14">
        <v>15.33</v>
      </c>
      <c r="AA1468" s="14">
        <v>48.17</v>
      </c>
      <c r="AB1468" s="12" t="s">
        <v>56</v>
      </c>
      <c r="AC1468" s="12" t="s">
        <v>8668</v>
      </c>
      <c r="AD1468" s="13">
        <v>44985</v>
      </c>
      <c r="AE1468" s="12" t="s">
        <v>504</v>
      </c>
      <c r="AF1468" s="12" t="s">
        <v>3193</v>
      </c>
      <c r="AG1468" s="12" t="s">
        <v>8669</v>
      </c>
      <c r="AH1468" s="1">
        <f>HYPERLINK("https://my.pitchbook.com?c=185608-81T","View Company Online")</f>
      </c>
    </row>
    <row r="1469">
      <c r="A1469" s="3" t="s">
        <v>8670</v>
      </c>
      <c r="B1469" s="3" t="s">
        <v>8671</v>
      </c>
      <c r="C1469" s="5" t="s">
        <v>36</v>
      </c>
      <c r="D1469" s="5" t="s">
        <v>36</v>
      </c>
      <c r="E1469" s="5" t="s">
        <v>36</v>
      </c>
      <c r="F1469" s="5" t="s">
        <v>36</v>
      </c>
      <c r="G1469" s="6" t="s">
        <v>36</v>
      </c>
      <c r="H1469" s="4" t="s">
        <v>36</v>
      </c>
      <c r="I1469" s="7" t="s">
        <v>36</v>
      </c>
      <c r="J1469" s="3" t="s">
        <v>36</v>
      </c>
      <c r="K1469" s="9" t="s">
        <v>36</v>
      </c>
      <c r="L1469" s="6" t="s">
        <v>122</v>
      </c>
      <c r="M1469" s="3" t="s">
        <v>36</v>
      </c>
      <c r="N1469" s="3" t="s">
        <v>122</v>
      </c>
      <c r="O1469" s="8" t="s">
        <v>36</v>
      </c>
      <c r="P1469" s="3" t="s">
        <v>36</v>
      </c>
      <c r="Q1469" s="3" t="s">
        <v>36</v>
      </c>
      <c r="R1469" s="3" t="s">
        <v>36</v>
      </c>
      <c r="S1469" s="3" t="s">
        <v>3479</v>
      </c>
      <c r="T1469" s="3" t="s">
        <v>1560</v>
      </c>
      <c r="U1469" s="3" t="s">
        <v>438</v>
      </c>
      <c r="V1469" s="3" t="s">
        <v>405</v>
      </c>
      <c r="W1469" s="3" t="s">
        <v>8672</v>
      </c>
      <c r="X1469" s="10" t="s">
        <v>8673</v>
      </c>
      <c r="Y1469" s="6" t="s">
        <v>108</v>
      </c>
      <c r="Z1469" s="4">
        <v>7.4</v>
      </c>
      <c r="AA1469" s="4" t="s">
        <v>36</v>
      </c>
      <c r="AB1469" s="3" t="s">
        <v>43</v>
      </c>
      <c r="AC1469" s="3" t="s">
        <v>8674</v>
      </c>
      <c r="AD1469" s="9">
        <v>44985</v>
      </c>
      <c r="AE1469" s="3" t="s">
        <v>438</v>
      </c>
      <c r="AF1469" s="3" t="s">
        <v>3187</v>
      </c>
      <c r="AG1469" s="3" t="s">
        <v>81</v>
      </c>
      <c r="AH1469" s="11">
        <f>HYPERLINK("https://my.pitchbook.com?c=216082-63T","View Company Online")</f>
      </c>
    </row>
    <row r="1470">
      <c r="A1470" s="12" t="s">
        <v>8675</v>
      </c>
      <c r="B1470" s="12" t="s">
        <v>8676</v>
      </c>
      <c r="C1470" s="19">
        <v>5</v>
      </c>
      <c r="D1470" s="19">
        <v>1</v>
      </c>
      <c r="E1470" s="19">
        <v>4</v>
      </c>
      <c r="F1470" s="19">
        <v>10</v>
      </c>
      <c r="G1470" s="15" t="s">
        <v>326</v>
      </c>
      <c r="H1470" s="14" t="s">
        <v>36</v>
      </c>
      <c r="I1470" s="18">
        <v>35.41</v>
      </c>
      <c r="J1470" s="12" t="s">
        <v>327</v>
      </c>
      <c r="K1470" s="13" t="s">
        <v>36</v>
      </c>
      <c r="L1470" s="15" t="s">
        <v>122</v>
      </c>
      <c r="M1470" s="12" t="s">
        <v>36</v>
      </c>
      <c r="N1470" s="12" t="s">
        <v>122</v>
      </c>
      <c r="O1470" s="17" t="s">
        <v>36</v>
      </c>
      <c r="P1470" s="12" t="s">
        <v>36</v>
      </c>
      <c r="Q1470" s="12" t="s">
        <v>36</v>
      </c>
      <c r="R1470" s="12" t="s">
        <v>36</v>
      </c>
      <c r="S1470" s="12" t="s">
        <v>3570</v>
      </c>
      <c r="T1470" s="12" t="s">
        <v>8677</v>
      </c>
      <c r="U1470" s="12" t="s">
        <v>1082</v>
      </c>
      <c r="V1470" s="12" t="s">
        <v>378</v>
      </c>
      <c r="W1470" s="12" t="s">
        <v>8678</v>
      </c>
      <c r="X1470" s="16" t="s">
        <v>8679</v>
      </c>
      <c r="Y1470" s="15" t="s">
        <v>192</v>
      </c>
      <c r="Z1470" s="14">
        <v>15.55</v>
      </c>
      <c r="AA1470" s="14">
        <v>43.91</v>
      </c>
      <c r="AB1470" s="12" t="s">
        <v>56</v>
      </c>
      <c r="AC1470" s="12" t="s">
        <v>8680</v>
      </c>
      <c r="AD1470" s="13">
        <v>44985</v>
      </c>
      <c r="AE1470" s="12" t="s">
        <v>7876</v>
      </c>
      <c r="AF1470" s="12" t="s">
        <v>1977</v>
      </c>
      <c r="AG1470" s="12" t="s">
        <v>144</v>
      </c>
      <c r="AH1470" s="1">
        <f>HYPERLINK("https://my.pitchbook.com?c=212792-41T","View Company Online")</f>
      </c>
    </row>
    <row r="1471">
      <c r="A1471" s="3" t="s">
        <v>8681</v>
      </c>
      <c r="B1471" s="3" t="s">
        <v>8682</v>
      </c>
      <c r="C1471" s="5">
        <v>4</v>
      </c>
      <c r="D1471" s="5">
        <v>9</v>
      </c>
      <c r="E1471" s="5">
        <v>5</v>
      </c>
      <c r="F1471" s="5">
        <v>15</v>
      </c>
      <c r="G1471" s="6" t="s">
        <v>36</v>
      </c>
      <c r="H1471" s="4">
        <v>7.79</v>
      </c>
      <c r="I1471" s="7">
        <v>28.6</v>
      </c>
      <c r="J1471" s="3" t="s">
        <v>521</v>
      </c>
      <c r="K1471" s="9" t="s">
        <v>36</v>
      </c>
      <c r="L1471" s="6" t="s">
        <v>36</v>
      </c>
      <c r="M1471" s="3" t="s">
        <v>36</v>
      </c>
      <c r="N1471" s="3" t="s">
        <v>36</v>
      </c>
      <c r="O1471" s="8" t="s">
        <v>36</v>
      </c>
      <c r="P1471" s="3" t="s">
        <v>36</v>
      </c>
      <c r="Q1471" s="3" t="s">
        <v>36</v>
      </c>
      <c r="R1471" s="3" t="s">
        <v>36</v>
      </c>
      <c r="S1471" s="3" t="s">
        <v>36</v>
      </c>
      <c r="T1471" s="3" t="s">
        <v>2647</v>
      </c>
      <c r="U1471" s="3" t="s">
        <v>1502</v>
      </c>
      <c r="V1471" s="3" t="s">
        <v>75</v>
      </c>
      <c r="W1471" s="3" t="s">
        <v>8683</v>
      </c>
      <c r="X1471" s="10" t="s">
        <v>8684</v>
      </c>
      <c r="Y1471" s="6" t="s">
        <v>108</v>
      </c>
      <c r="Z1471" s="4">
        <v>0.92</v>
      </c>
      <c r="AA1471" s="4">
        <v>3.21</v>
      </c>
      <c r="AB1471" s="3" t="s">
        <v>43</v>
      </c>
      <c r="AC1471" s="3" t="s">
        <v>8685</v>
      </c>
      <c r="AD1471" s="9">
        <v>44984</v>
      </c>
      <c r="AE1471" s="3" t="s">
        <v>1822</v>
      </c>
      <c r="AF1471" s="3" t="s">
        <v>601</v>
      </c>
      <c r="AG1471" s="3" t="s">
        <v>8686</v>
      </c>
      <c r="AH1471" s="11">
        <f>HYPERLINK("https://my.pitchbook.com?c=219690-82T","View Company Online")</f>
      </c>
    </row>
    <row r="1472">
      <c r="A1472" s="12" t="s">
        <v>8687</v>
      </c>
      <c r="B1472" s="12" t="s">
        <v>8688</v>
      </c>
      <c r="C1472" s="19" t="s">
        <v>36</v>
      </c>
      <c r="D1472" s="19" t="s">
        <v>36</v>
      </c>
      <c r="E1472" s="19" t="s">
        <v>36</v>
      </c>
      <c r="F1472" s="19" t="s">
        <v>36</v>
      </c>
      <c r="G1472" s="15" t="s">
        <v>36</v>
      </c>
      <c r="H1472" s="14" t="s">
        <v>36</v>
      </c>
      <c r="I1472" s="18" t="s">
        <v>36</v>
      </c>
      <c r="J1472" s="12" t="s">
        <v>36</v>
      </c>
      <c r="K1472" s="13" t="s">
        <v>36</v>
      </c>
      <c r="L1472" s="15" t="s">
        <v>36</v>
      </c>
      <c r="M1472" s="12" t="s">
        <v>36</v>
      </c>
      <c r="N1472" s="12" t="s">
        <v>36</v>
      </c>
      <c r="O1472" s="17" t="s">
        <v>36</v>
      </c>
      <c r="P1472" s="12" t="s">
        <v>36</v>
      </c>
      <c r="Q1472" s="12" t="s">
        <v>36</v>
      </c>
      <c r="R1472" s="12" t="s">
        <v>36</v>
      </c>
      <c r="S1472" s="12" t="s">
        <v>36</v>
      </c>
      <c r="T1472" s="12" t="s">
        <v>1863</v>
      </c>
      <c r="U1472" s="12" t="s">
        <v>96</v>
      </c>
      <c r="V1472" s="12" t="s">
        <v>52</v>
      </c>
      <c r="W1472" s="12" t="s">
        <v>8689</v>
      </c>
      <c r="X1472" s="16" t="s">
        <v>8690</v>
      </c>
      <c r="Y1472" s="15" t="s">
        <v>108</v>
      </c>
      <c r="Z1472" s="14">
        <v>2.15</v>
      </c>
      <c r="AA1472" s="14" t="s">
        <v>36</v>
      </c>
      <c r="AB1472" s="12" t="s">
        <v>43</v>
      </c>
      <c r="AC1472" s="12" t="s">
        <v>8691</v>
      </c>
      <c r="AD1472" s="13">
        <v>44984</v>
      </c>
      <c r="AE1472" s="12" t="s">
        <v>1414</v>
      </c>
      <c r="AF1472" s="12" t="s">
        <v>101</v>
      </c>
      <c r="AG1472" s="12" t="s">
        <v>5504</v>
      </c>
      <c r="AH1472" s="1">
        <f>HYPERLINK("https://my.pitchbook.com?c=253426-96T","View Company Online")</f>
      </c>
    </row>
    <row r="1473">
      <c r="A1473" s="3" t="s">
        <v>8692</v>
      </c>
      <c r="B1473" s="3" t="s">
        <v>8693</v>
      </c>
      <c r="C1473" s="5" t="s">
        <v>36</v>
      </c>
      <c r="D1473" s="5" t="s">
        <v>36</v>
      </c>
      <c r="E1473" s="5" t="s">
        <v>36</v>
      </c>
      <c r="F1473" s="5" t="s">
        <v>36</v>
      </c>
      <c r="G1473" s="6" t="s">
        <v>683</v>
      </c>
      <c r="H1473" s="4">
        <v>16.68</v>
      </c>
      <c r="I1473" s="7">
        <v>13.86</v>
      </c>
      <c r="J1473" s="3" t="s">
        <v>521</v>
      </c>
      <c r="K1473" s="9" t="s">
        <v>36</v>
      </c>
      <c r="L1473" s="6" t="s">
        <v>36</v>
      </c>
      <c r="M1473" s="3" t="s">
        <v>36</v>
      </c>
      <c r="N1473" s="3" t="s">
        <v>36</v>
      </c>
      <c r="O1473" s="8" t="s">
        <v>36</v>
      </c>
      <c r="P1473" s="3" t="s">
        <v>36</v>
      </c>
      <c r="Q1473" s="3" t="s">
        <v>36</v>
      </c>
      <c r="R1473" s="3" t="s">
        <v>36</v>
      </c>
      <c r="S1473" s="3" t="s">
        <v>36</v>
      </c>
      <c r="T1473" s="3" t="s">
        <v>8694</v>
      </c>
      <c r="U1473" s="3" t="s">
        <v>279</v>
      </c>
      <c r="V1473" s="3" t="s">
        <v>64</v>
      </c>
      <c r="W1473" s="3" t="s">
        <v>8695</v>
      </c>
      <c r="X1473" s="10" t="s">
        <v>8696</v>
      </c>
      <c r="Y1473" s="6" t="s">
        <v>321</v>
      </c>
      <c r="Z1473" s="4">
        <v>3.97</v>
      </c>
      <c r="AA1473" s="4">
        <v>28.64</v>
      </c>
      <c r="AB1473" s="3" t="s">
        <v>56</v>
      </c>
      <c r="AC1473" s="3" t="s">
        <v>8697</v>
      </c>
      <c r="AD1473" s="9">
        <v>44984</v>
      </c>
      <c r="AE1473" s="3" t="s">
        <v>283</v>
      </c>
      <c r="AF1473" s="3" t="s">
        <v>90</v>
      </c>
      <c r="AG1473" s="3" t="s">
        <v>102</v>
      </c>
      <c r="AH1473" s="11">
        <f>HYPERLINK("https://my.pitchbook.com?c=219279-16T","View Company Online")</f>
      </c>
    </row>
    <row r="1474">
      <c r="A1474" s="12" t="s">
        <v>8698</v>
      </c>
      <c r="B1474" s="12" t="s">
        <v>8699</v>
      </c>
      <c r="C1474" s="19">
        <v>2</v>
      </c>
      <c r="D1474" s="19">
        <v>10</v>
      </c>
      <c r="E1474" s="19">
        <v>4</v>
      </c>
      <c r="F1474" s="19">
        <v>12</v>
      </c>
      <c r="G1474" s="15" t="s">
        <v>683</v>
      </c>
      <c r="H1474" s="14">
        <v>441.78</v>
      </c>
      <c r="I1474" s="18">
        <v>8.74</v>
      </c>
      <c r="J1474" s="12" t="s">
        <v>521</v>
      </c>
      <c r="K1474" s="13" t="s">
        <v>36</v>
      </c>
      <c r="L1474" s="15" t="s">
        <v>36</v>
      </c>
      <c r="M1474" s="12" t="s">
        <v>36</v>
      </c>
      <c r="N1474" s="12" t="s">
        <v>36</v>
      </c>
      <c r="O1474" s="17" t="s">
        <v>36</v>
      </c>
      <c r="P1474" s="12" t="s">
        <v>36</v>
      </c>
      <c r="Q1474" s="12" t="s">
        <v>36</v>
      </c>
      <c r="R1474" s="12" t="s">
        <v>36</v>
      </c>
      <c r="S1474" s="12" t="s">
        <v>36</v>
      </c>
      <c r="T1474" s="12" t="s">
        <v>8700</v>
      </c>
      <c r="U1474" s="12" t="s">
        <v>833</v>
      </c>
      <c r="V1474" s="12" t="s">
        <v>64</v>
      </c>
      <c r="W1474" s="12" t="s">
        <v>8701</v>
      </c>
      <c r="X1474" s="16" t="s">
        <v>8702</v>
      </c>
      <c r="Y1474" s="15" t="s">
        <v>192</v>
      </c>
      <c r="Z1474" s="14">
        <v>0.48</v>
      </c>
      <c r="AA1474" s="14">
        <v>5.53</v>
      </c>
      <c r="AB1474" s="12" t="s">
        <v>56</v>
      </c>
      <c r="AC1474" s="12" t="s">
        <v>8703</v>
      </c>
      <c r="AD1474" s="13">
        <v>44984</v>
      </c>
      <c r="AE1474" s="12" t="s">
        <v>1069</v>
      </c>
      <c r="AF1474" s="12" t="s">
        <v>36</v>
      </c>
      <c r="AG1474" s="12" t="s">
        <v>81</v>
      </c>
      <c r="AH1474" s="1">
        <f>HYPERLINK("https://my.pitchbook.com?c=219480-04T","View Company Online")</f>
      </c>
    </row>
    <row r="1475">
      <c r="A1475" s="3" t="s">
        <v>8704</v>
      </c>
      <c r="B1475" s="3" t="s">
        <v>8705</v>
      </c>
      <c r="C1475" s="5" t="s">
        <v>36</v>
      </c>
      <c r="D1475" s="5" t="s">
        <v>36</v>
      </c>
      <c r="E1475" s="5" t="s">
        <v>36</v>
      </c>
      <c r="F1475" s="5" t="s">
        <v>36</v>
      </c>
      <c r="G1475" s="6" t="s">
        <v>36</v>
      </c>
      <c r="H1475" s="4" t="s">
        <v>36</v>
      </c>
      <c r="I1475" s="7" t="s">
        <v>36</v>
      </c>
      <c r="J1475" s="3" t="s">
        <v>36</v>
      </c>
      <c r="K1475" s="9" t="s">
        <v>36</v>
      </c>
      <c r="L1475" s="6" t="s">
        <v>36</v>
      </c>
      <c r="M1475" s="3" t="s">
        <v>36</v>
      </c>
      <c r="N1475" s="3" t="s">
        <v>36</v>
      </c>
      <c r="O1475" s="8" t="s">
        <v>36</v>
      </c>
      <c r="P1475" s="3" t="s">
        <v>36</v>
      </c>
      <c r="Q1475" s="3" t="s">
        <v>36</v>
      </c>
      <c r="R1475" s="3" t="s">
        <v>36</v>
      </c>
      <c r="S1475" s="3" t="s">
        <v>36</v>
      </c>
      <c r="T1475" s="3" t="s">
        <v>422</v>
      </c>
      <c r="U1475" s="3" t="s">
        <v>423</v>
      </c>
      <c r="V1475" s="3" t="s">
        <v>64</v>
      </c>
      <c r="W1475" s="3" t="s">
        <v>8706</v>
      </c>
      <c r="X1475" s="10" t="s">
        <v>8707</v>
      </c>
      <c r="Y1475" s="6" t="s">
        <v>108</v>
      </c>
      <c r="Z1475" s="4" t="s">
        <v>36</v>
      </c>
      <c r="AA1475" s="4" t="s">
        <v>36</v>
      </c>
      <c r="AB1475" s="3" t="s">
        <v>43</v>
      </c>
      <c r="AC1475" s="3" t="s">
        <v>8708</v>
      </c>
      <c r="AD1475" s="9">
        <v>44984</v>
      </c>
      <c r="AE1475" s="3" t="s">
        <v>427</v>
      </c>
      <c r="AF1475" s="3" t="s">
        <v>1061</v>
      </c>
      <c r="AG1475" s="3" t="s">
        <v>81</v>
      </c>
      <c r="AH1475" s="11">
        <f>HYPERLINK("https://my.pitchbook.com?c=216012-16T","View Company Online")</f>
      </c>
    </row>
    <row r="1476">
      <c r="A1476" s="12" t="s">
        <v>8709</v>
      </c>
      <c r="B1476" s="12" t="s">
        <v>8710</v>
      </c>
      <c r="C1476" s="19" t="s">
        <v>36</v>
      </c>
      <c r="D1476" s="19" t="s">
        <v>36</v>
      </c>
      <c r="E1476" s="19" t="s">
        <v>36</v>
      </c>
      <c r="F1476" s="19" t="s">
        <v>36</v>
      </c>
      <c r="G1476" s="15" t="s">
        <v>36</v>
      </c>
      <c r="H1476" s="14">
        <v>1.4</v>
      </c>
      <c r="I1476" s="18">
        <v>15.27</v>
      </c>
      <c r="J1476" s="12" t="s">
        <v>521</v>
      </c>
      <c r="K1476" s="13" t="s">
        <v>36</v>
      </c>
      <c r="L1476" s="15" t="s">
        <v>122</v>
      </c>
      <c r="M1476" s="12" t="s">
        <v>36</v>
      </c>
      <c r="N1476" s="12" t="s">
        <v>122</v>
      </c>
      <c r="O1476" s="17" t="s">
        <v>36</v>
      </c>
      <c r="P1476" s="12" t="s">
        <v>36</v>
      </c>
      <c r="Q1476" s="12" t="s">
        <v>36</v>
      </c>
      <c r="R1476" s="12" t="s">
        <v>36</v>
      </c>
      <c r="S1476" s="12" t="s">
        <v>36</v>
      </c>
      <c r="T1476" s="12" t="s">
        <v>3843</v>
      </c>
      <c r="U1476" s="12" t="s">
        <v>180</v>
      </c>
      <c r="V1476" s="12" t="s">
        <v>52</v>
      </c>
      <c r="W1476" s="12" t="s">
        <v>8711</v>
      </c>
      <c r="X1476" s="16" t="s">
        <v>8712</v>
      </c>
      <c r="Y1476" s="15" t="s">
        <v>42</v>
      </c>
      <c r="Z1476" s="14">
        <v>1.18</v>
      </c>
      <c r="AA1476" s="14">
        <v>5.78</v>
      </c>
      <c r="AB1476" s="12" t="s">
        <v>43</v>
      </c>
      <c r="AC1476" s="12" t="s">
        <v>8713</v>
      </c>
      <c r="AD1476" s="13">
        <v>44981</v>
      </c>
      <c r="AE1476" s="12" t="s">
        <v>3847</v>
      </c>
      <c r="AF1476" s="12" t="s">
        <v>3514</v>
      </c>
      <c r="AG1476" s="12" t="s">
        <v>2618</v>
      </c>
      <c r="AH1476" s="1">
        <f>HYPERLINK("https://my.pitchbook.com?c=225031-06T","View Company Online")</f>
      </c>
    </row>
    <row r="1477">
      <c r="A1477" s="3" t="s">
        <v>8714</v>
      </c>
      <c r="B1477" s="3" t="s">
        <v>8715</v>
      </c>
      <c r="C1477" s="5">
        <v>19</v>
      </c>
      <c r="D1477" s="5">
        <v>26</v>
      </c>
      <c r="E1477" s="5">
        <v>10</v>
      </c>
      <c r="F1477" s="5">
        <v>58</v>
      </c>
      <c r="G1477" s="6" t="s">
        <v>2497</v>
      </c>
      <c r="H1477" s="4">
        <v>13.61</v>
      </c>
      <c r="I1477" s="7">
        <v>46.31</v>
      </c>
      <c r="J1477" s="3" t="s">
        <v>521</v>
      </c>
      <c r="K1477" s="9" t="s">
        <v>36</v>
      </c>
      <c r="L1477" s="6" t="s">
        <v>36</v>
      </c>
      <c r="M1477" s="3" t="s">
        <v>36</v>
      </c>
      <c r="N1477" s="3" t="s">
        <v>36</v>
      </c>
      <c r="O1477" s="8" t="s">
        <v>36</v>
      </c>
      <c r="P1477" s="3" t="s">
        <v>36</v>
      </c>
      <c r="Q1477" s="3" t="s">
        <v>36</v>
      </c>
      <c r="R1477" s="3" t="s">
        <v>36</v>
      </c>
      <c r="S1477" s="3" t="s">
        <v>36</v>
      </c>
      <c r="T1477" s="3" t="s">
        <v>881</v>
      </c>
      <c r="U1477" s="3" t="s">
        <v>51</v>
      </c>
      <c r="V1477" s="3" t="s">
        <v>52</v>
      </c>
      <c r="W1477" s="3" t="s">
        <v>8716</v>
      </c>
      <c r="X1477" s="10" t="s">
        <v>8717</v>
      </c>
      <c r="Y1477" s="6" t="s">
        <v>1067</v>
      </c>
      <c r="Z1477" s="4">
        <v>4.94</v>
      </c>
      <c r="AA1477" s="4">
        <v>10.67</v>
      </c>
      <c r="AB1477" s="3" t="s">
        <v>56</v>
      </c>
      <c r="AC1477" s="3" t="s">
        <v>8718</v>
      </c>
      <c r="AD1477" s="9">
        <v>44980</v>
      </c>
      <c r="AE1477" s="3" t="s">
        <v>504</v>
      </c>
      <c r="AF1477" s="3" t="s">
        <v>159</v>
      </c>
      <c r="AG1477" s="3" t="s">
        <v>373</v>
      </c>
      <c r="AH1477" s="11">
        <f>HYPERLINK("https://my.pitchbook.com?c=219102-31T","View Company Online")</f>
      </c>
    </row>
    <row r="1478">
      <c r="A1478" s="12" t="s">
        <v>8719</v>
      </c>
      <c r="B1478" s="12" t="s">
        <v>8720</v>
      </c>
      <c r="C1478" s="19" t="s">
        <v>36</v>
      </c>
      <c r="D1478" s="19" t="s">
        <v>36</v>
      </c>
      <c r="E1478" s="19" t="s">
        <v>36</v>
      </c>
      <c r="F1478" s="19" t="s">
        <v>36</v>
      </c>
      <c r="G1478" s="15" t="s">
        <v>36</v>
      </c>
      <c r="H1478" s="14" t="s">
        <v>36</v>
      </c>
      <c r="I1478" s="18">
        <v>31.19</v>
      </c>
      <c r="J1478" s="12" t="s">
        <v>327</v>
      </c>
      <c r="K1478" s="13" t="s">
        <v>36</v>
      </c>
      <c r="L1478" s="15" t="s">
        <v>36</v>
      </c>
      <c r="M1478" s="12" t="s">
        <v>36</v>
      </c>
      <c r="N1478" s="12" t="s">
        <v>36</v>
      </c>
      <c r="O1478" s="17" t="s">
        <v>36</v>
      </c>
      <c r="P1478" s="12" t="s">
        <v>36</v>
      </c>
      <c r="Q1478" s="12" t="s">
        <v>36</v>
      </c>
      <c r="R1478" s="12" t="s">
        <v>36</v>
      </c>
      <c r="S1478" s="12" t="s">
        <v>36</v>
      </c>
      <c r="T1478" s="12" t="s">
        <v>8569</v>
      </c>
      <c r="U1478" s="12" t="s">
        <v>1357</v>
      </c>
      <c r="V1478" s="12" t="s">
        <v>52</v>
      </c>
      <c r="W1478" s="12" t="s">
        <v>8721</v>
      </c>
      <c r="X1478" s="16" t="s">
        <v>8722</v>
      </c>
      <c r="Y1478" s="15" t="s">
        <v>42</v>
      </c>
      <c r="Z1478" s="14">
        <v>2.59</v>
      </c>
      <c r="AA1478" s="14">
        <v>8.29</v>
      </c>
      <c r="AB1478" s="12" t="s">
        <v>43</v>
      </c>
      <c r="AC1478" s="12" t="s">
        <v>8723</v>
      </c>
      <c r="AD1478" s="13">
        <v>44980</v>
      </c>
      <c r="AE1478" s="12" t="s">
        <v>3204</v>
      </c>
      <c r="AF1478" s="12" t="s">
        <v>8724</v>
      </c>
      <c r="AG1478" s="12" t="s">
        <v>991</v>
      </c>
      <c r="AH1478" s="1">
        <f>HYPERLINK("https://my.pitchbook.com?c=215796-52T","View Company Online")</f>
      </c>
    </row>
    <row r="1479">
      <c r="A1479" s="3" t="s">
        <v>8725</v>
      </c>
      <c r="B1479" s="3" t="s">
        <v>5376</v>
      </c>
      <c r="C1479" s="5" t="s">
        <v>36</v>
      </c>
      <c r="D1479" s="5" t="s">
        <v>36</v>
      </c>
      <c r="E1479" s="5" t="s">
        <v>36</v>
      </c>
      <c r="F1479" s="5" t="s">
        <v>36</v>
      </c>
      <c r="G1479" s="6" t="s">
        <v>36</v>
      </c>
      <c r="H1479" s="4" t="s">
        <v>36</v>
      </c>
      <c r="I1479" s="7" t="s">
        <v>36</v>
      </c>
      <c r="J1479" s="3" t="s">
        <v>36</v>
      </c>
      <c r="K1479" s="9" t="s">
        <v>36</v>
      </c>
      <c r="L1479" s="6" t="s">
        <v>36</v>
      </c>
      <c r="M1479" s="3" t="s">
        <v>36</v>
      </c>
      <c r="N1479" s="3" t="s">
        <v>36</v>
      </c>
      <c r="O1479" s="8" t="s">
        <v>36</v>
      </c>
      <c r="P1479" s="3" t="s">
        <v>36</v>
      </c>
      <c r="Q1479" s="3" t="s">
        <v>36</v>
      </c>
      <c r="R1479" s="3" t="s">
        <v>36</v>
      </c>
      <c r="S1479" s="3" t="s">
        <v>36</v>
      </c>
      <c r="T1479" s="3" t="s">
        <v>5377</v>
      </c>
      <c r="U1479" s="3" t="s">
        <v>38</v>
      </c>
      <c r="V1479" s="3" t="s">
        <v>39</v>
      </c>
      <c r="W1479" s="3" t="s">
        <v>5378</v>
      </c>
      <c r="X1479" s="10" t="s">
        <v>1840</v>
      </c>
      <c r="Y1479" s="6" t="s">
        <v>42</v>
      </c>
      <c r="Z1479" s="4" t="s">
        <v>36</v>
      </c>
      <c r="AA1479" s="4" t="s">
        <v>36</v>
      </c>
      <c r="AB1479" s="3" t="s">
        <v>43</v>
      </c>
      <c r="AC1479" s="3" t="s">
        <v>5380</v>
      </c>
      <c r="AD1479" s="9">
        <v>44979</v>
      </c>
      <c r="AE1479" s="3" t="s">
        <v>1200</v>
      </c>
      <c r="AF1479" s="3" t="s">
        <v>3860</v>
      </c>
      <c r="AG1479" s="3" t="s">
        <v>81</v>
      </c>
      <c r="AH1479" s="11">
        <f>HYPERLINK("https://my.pitchbook.com?c=234151-03T","View Company Online")</f>
      </c>
    </row>
    <row r="1480">
      <c r="A1480" s="12" t="s">
        <v>8726</v>
      </c>
      <c r="B1480" s="12" t="s">
        <v>1089</v>
      </c>
      <c r="C1480" s="19">
        <v>10</v>
      </c>
      <c r="D1480" s="19">
        <v>6</v>
      </c>
      <c r="E1480" s="19">
        <v>6</v>
      </c>
      <c r="F1480" s="19">
        <v>16</v>
      </c>
      <c r="G1480" s="15" t="s">
        <v>2497</v>
      </c>
      <c r="H1480" s="14">
        <v>143.59</v>
      </c>
      <c r="I1480" s="18">
        <v>19.5</v>
      </c>
      <c r="J1480" s="12" t="s">
        <v>521</v>
      </c>
      <c r="K1480" s="13" t="s">
        <v>36</v>
      </c>
      <c r="L1480" s="15" t="s">
        <v>36</v>
      </c>
      <c r="M1480" s="12" t="s">
        <v>36</v>
      </c>
      <c r="N1480" s="12" t="s">
        <v>36</v>
      </c>
      <c r="O1480" s="17" t="s">
        <v>36</v>
      </c>
      <c r="P1480" s="12" t="s">
        <v>36</v>
      </c>
      <c r="Q1480" s="12" t="s">
        <v>36</v>
      </c>
      <c r="R1480" s="12" t="s">
        <v>36</v>
      </c>
      <c r="S1480" s="12" t="s">
        <v>565</v>
      </c>
      <c r="T1480" s="12" t="s">
        <v>1090</v>
      </c>
      <c r="U1480" s="12" t="s">
        <v>1091</v>
      </c>
      <c r="V1480" s="12" t="s">
        <v>378</v>
      </c>
      <c r="W1480" s="12" t="s">
        <v>1092</v>
      </c>
      <c r="X1480" s="16" t="s">
        <v>8727</v>
      </c>
      <c r="Y1480" s="15" t="s">
        <v>192</v>
      </c>
      <c r="Z1480" s="14">
        <v>6.64</v>
      </c>
      <c r="AA1480" s="14">
        <v>34.05</v>
      </c>
      <c r="AB1480" s="12" t="s">
        <v>56</v>
      </c>
      <c r="AC1480" s="12" t="s">
        <v>1094</v>
      </c>
      <c r="AD1480" s="13">
        <v>44979</v>
      </c>
      <c r="AE1480" s="12" t="s">
        <v>1095</v>
      </c>
      <c r="AF1480" s="12" t="s">
        <v>1096</v>
      </c>
      <c r="AG1480" s="12" t="s">
        <v>1097</v>
      </c>
      <c r="AH1480" s="1">
        <f>HYPERLINK("https://my.pitchbook.com?c=219557-89T","View Company Online")</f>
      </c>
    </row>
    <row r="1481">
      <c r="A1481" s="3" t="s">
        <v>8728</v>
      </c>
      <c r="B1481" s="3" t="s">
        <v>8729</v>
      </c>
      <c r="C1481" s="5">
        <v>2</v>
      </c>
      <c r="D1481" s="5" t="s">
        <v>36</v>
      </c>
      <c r="E1481" s="5">
        <v>1</v>
      </c>
      <c r="F1481" s="5">
        <v>2</v>
      </c>
      <c r="G1481" s="6" t="s">
        <v>683</v>
      </c>
      <c r="H1481" s="4">
        <v>79.38</v>
      </c>
      <c r="I1481" s="7">
        <v>24.67</v>
      </c>
      <c r="J1481" s="3" t="s">
        <v>521</v>
      </c>
      <c r="K1481" s="9" t="s">
        <v>36</v>
      </c>
      <c r="L1481" s="6" t="s">
        <v>94</v>
      </c>
      <c r="M1481" s="3" t="s">
        <v>36</v>
      </c>
      <c r="N1481" s="3" t="s">
        <v>94</v>
      </c>
      <c r="O1481" s="8" t="s">
        <v>36</v>
      </c>
      <c r="P1481" s="3" t="s">
        <v>36</v>
      </c>
      <c r="Q1481" s="3" t="s">
        <v>36</v>
      </c>
      <c r="R1481" s="3" t="s">
        <v>36</v>
      </c>
      <c r="S1481" s="3" t="s">
        <v>36</v>
      </c>
      <c r="T1481" s="3" t="s">
        <v>1397</v>
      </c>
      <c r="U1481" s="3" t="s">
        <v>38</v>
      </c>
      <c r="V1481" s="3" t="s">
        <v>39</v>
      </c>
      <c r="W1481" s="3" t="s">
        <v>8730</v>
      </c>
      <c r="X1481" s="10" t="s">
        <v>8731</v>
      </c>
      <c r="Y1481" s="6" t="s">
        <v>166</v>
      </c>
      <c r="Z1481" s="4">
        <v>24.32</v>
      </c>
      <c r="AA1481" s="4">
        <v>98.57</v>
      </c>
      <c r="AB1481" s="3" t="s">
        <v>56</v>
      </c>
      <c r="AC1481" s="3" t="s">
        <v>8732</v>
      </c>
      <c r="AD1481" s="9">
        <v>44978</v>
      </c>
      <c r="AE1481" s="3" t="s">
        <v>110</v>
      </c>
      <c r="AF1481" s="3" t="s">
        <v>1842</v>
      </c>
      <c r="AG1481" s="3" t="s">
        <v>1525</v>
      </c>
      <c r="AH1481" s="11">
        <f>HYPERLINK("https://my.pitchbook.com?c=216071-92T","View Company Online")</f>
      </c>
    </row>
    <row r="1482">
      <c r="A1482" s="12" t="s">
        <v>8733</v>
      </c>
      <c r="B1482" s="12" t="s">
        <v>8734</v>
      </c>
      <c r="C1482" s="19" t="s">
        <v>36</v>
      </c>
      <c r="D1482" s="19" t="s">
        <v>36</v>
      </c>
      <c r="E1482" s="19" t="s">
        <v>36</v>
      </c>
      <c r="F1482" s="19" t="s">
        <v>36</v>
      </c>
      <c r="G1482" s="15" t="s">
        <v>36</v>
      </c>
      <c r="H1482" s="14" t="s">
        <v>36</v>
      </c>
      <c r="I1482" s="18" t="s">
        <v>36</v>
      </c>
      <c r="J1482" s="12" t="s">
        <v>36</v>
      </c>
      <c r="K1482" s="13" t="s">
        <v>36</v>
      </c>
      <c r="L1482" s="15" t="s">
        <v>36</v>
      </c>
      <c r="M1482" s="12" t="s">
        <v>36</v>
      </c>
      <c r="N1482" s="12" t="s">
        <v>36</v>
      </c>
      <c r="O1482" s="17" t="s">
        <v>36</v>
      </c>
      <c r="P1482" s="12" t="s">
        <v>36</v>
      </c>
      <c r="Q1482" s="12" t="s">
        <v>36</v>
      </c>
      <c r="R1482" s="12" t="s">
        <v>36</v>
      </c>
      <c r="S1482" s="12" t="s">
        <v>36</v>
      </c>
      <c r="T1482" s="12" t="s">
        <v>37</v>
      </c>
      <c r="U1482" s="12" t="s">
        <v>38</v>
      </c>
      <c r="V1482" s="12" t="s">
        <v>39</v>
      </c>
      <c r="W1482" s="12" t="s">
        <v>8735</v>
      </c>
      <c r="X1482" s="16" t="s">
        <v>8736</v>
      </c>
      <c r="Y1482" s="15" t="s">
        <v>42</v>
      </c>
      <c r="Z1482" s="14">
        <v>2.16</v>
      </c>
      <c r="AA1482" s="14" t="s">
        <v>36</v>
      </c>
      <c r="AB1482" s="12" t="s">
        <v>56</v>
      </c>
      <c r="AC1482" s="12" t="s">
        <v>8737</v>
      </c>
      <c r="AD1482" s="13">
        <v>44978</v>
      </c>
      <c r="AE1482" s="12" t="s">
        <v>45</v>
      </c>
      <c r="AF1482" s="12" t="s">
        <v>8738</v>
      </c>
      <c r="AG1482" s="12" t="s">
        <v>102</v>
      </c>
      <c r="AH1482" s="1">
        <f>HYPERLINK("https://my.pitchbook.com?c=206255-53T","View Company Online")</f>
      </c>
    </row>
    <row r="1483">
      <c r="A1483" s="3" t="s">
        <v>8739</v>
      </c>
      <c r="B1483" s="3" t="s">
        <v>8740</v>
      </c>
      <c r="C1483" s="5">
        <v>2</v>
      </c>
      <c r="D1483" s="5" t="s">
        <v>36</v>
      </c>
      <c r="E1483" s="5">
        <v>1</v>
      </c>
      <c r="F1483" s="5">
        <v>2</v>
      </c>
      <c r="G1483" s="6" t="s">
        <v>36</v>
      </c>
      <c r="H1483" s="4" t="s">
        <v>36</v>
      </c>
      <c r="I1483" s="7" t="s">
        <v>36</v>
      </c>
      <c r="J1483" s="3" t="s">
        <v>36</v>
      </c>
      <c r="K1483" s="9" t="s">
        <v>36</v>
      </c>
      <c r="L1483" s="6" t="s">
        <v>36</v>
      </c>
      <c r="M1483" s="3" t="s">
        <v>36</v>
      </c>
      <c r="N1483" s="3" t="s">
        <v>36</v>
      </c>
      <c r="O1483" s="8" t="s">
        <v>36</v>
      </c>
      <c r="P1483" s="3" t="s">
        <v>36</v>
      </c>
      <c r="Q1483" s="3" t="s">
        <v>36</v>
      </c>
      <c r="R1483" s="3" t="s">
        <v>36</v>
      </c>
      <c r="S1483" s="3" t="s">
        <v>453</v>
      </c>
      <c r="T1483" s="3" t="s">
        <v>2213</v>
      </c>
      <c r="U1483" s="3" t="s">
        <v>219</v>
      </c>
      <c r="V1483" s="3" t="s">
        <v>75</v>
      </c>
      <c r="W1483" s="3" t="s">
        <v>8741</v>
      </c>
      <c r="X1483" s="10" t="s">
        <v>8742</v>
      </c>
      <c r="Y1483" s="6" t="s">
        <v>42</v>
      </c>
      <c r="Z1483" s="4">
        <v>1.62</v>
      </c>
      <c r="AA1483" s="4" t="s">
        <v>36</v>
      </c>
      <c r="AB1483" s="3" t="s">
        <v>43</v>
      </c>
      <c r="AC1483" s="3" t="s">
        <v>8743</v>
      </c>
      <c r="AD1483" s="9">
        <v>44977</v>
      </c>
      <c r="AE1483" s="3" t="s">
        <v>1912</v>
      </c>
      <c r="AF1483" s="3" t="s">
        <v>8744</v>
      </c>
      <c r="AG1483" s="3" t="s">
        <v>8745</v>
      </c>
      <c r="AH1483" s="11">
        <f>HYPERLINK("https://my.pitchbook.com?c=215554-15T","View Company Online")</f>
      </c>
    </row>
    <row r="1484">
      <c r="A1484" s="12" t="s">
        <v>8746</v>
      </c>
      <c r="B1484" s="12" t="s">
        <v>8747</v>
      </c>
      <c r="C1484" s="19" t="s">
        <v>36</v>
      </c>
      <c r="D1484" s="19" t="s">
        <v>36</v>
      </c>
      <c r="E1484" s="19" t="s">
        <v>36</v>
      </c>
      <c r="F1484" s="19" t="s">
        <v>36</v>
      </c>
      <c r="G1484" s="15" t="s">
        <v>683</v>
      </c>
      <c r="H1484" s="14">
        <v>0.43</v>
      </c>
      <c r="I1484" s="18">
        <v>15.28</v>
      </c>
      <c r="J1484" s="12" t="s">
        <v>521</v>
      </c>
      <c r="K1484" s="13" t="s">
        <v>36</v>
      </c>
      <c r="L1484" s="15" t="s">
        <v>36</v>
      </c>
      <c r="M1484" s="12" t="s">
        <v>36</v>
      </c>
      <c r="N1484" s="12" t="s">
        <v>36</v>
      </c>
      <c r="O1484" s="17" t="s">
        <v>36</v>
      </c>
      <c r="P1484" s="12" t="s">
        <v>36</v>
      </c>
      <c r="Q1484" s="12" t="s">
        <v>36</v>
      </c>
      <c r="R1484" s="12" t="s">
        <v>36</v>
      </c>
      <c r="S1484" s="12" t="s">
        <v>36</v>
      </c>
      <c r="T1484" s="12" t="s">
        <v>8748</v>
      </c>
      <c r="U1484" s="12" t="s">
        <v>38</v>
      </c>
      <c r="V1484" s="12" t="s">
        <v>39</v>
      </c>
      <c r="W1484" s="12" t="s">
        <v>8749</v>
      </c>
      <c r="X1484" s="16" t="s">
        <v>8750</v>
      </c>
      <c r="Y1484" s="15" t="s">
        <v>108</v>
      </c>
      <c r="Z1484" s="14">
        <v>0.43</v>
      </c>
      <c r="AA1484" s="14">
        <v>2.83</v>
      </c>
      <c r="AB1484" s="12" t="s">
        <v>56</v>
      </c>
      <c r="AC1484" s="12" t="s">
        <v>8751</v>
      </c>
      <c r="AD1484" s="13">
        <v>44977</v>
      </c>
      <c r="AE1484" s="12" t="s">
        <v>785</v>
      </c>
      <c r="AF1484" s="12" t="s">
        <v>111</v>
      </c>
      <c r="AG1484" s="12" t="s">
        <v>47</v>
      </c>
      <c r="AH1484" s="1">
        <f>HYPERLINK("https://my.pitchbook.com?c=218851-21T","View Company Online")</f>
      </c>
    </row>
    <row r="1485">
      <c r="A1485" s="3" t="s">
        <v>8752</v>
      </c>
      <c r="B1485" s="3" t="s">
        <v>8753</v>
      </c>
      <c r="C1485" s="5" t="s">
        <v>36</v>
      </c>
      <c r="D1485" s="5" t="s">
        <v>36</v>
      </c>
      <c r="E1485" s="5" t="s">
        <v>36</v>
      </c>
      <c r="F1485" s="5" t="s">
        <v>36</v>
      </c>
      <c r="G1485" s="6" t="s">
        <v>36</v>
      </c>
      <c r="H1485" s="4" t="s">
        <v>36</v>
      </c>
      <c r="I1485" s="7" t="s">
        <v>36</v>
      </c>
      <c r="J1485" s="3" t="s">
        <v>36</v>
      </c>
      <c r="K1485" s="9" t="s">
        <v>36</v>
      </c>
      <c r="L1485" s="6" t="s">
        <v>36</v>
      </c>
      <c r="M1485" s="3" t="s">
        <v>36</v>
      </c>
      <c r="N1485" s="3" t="s">
        <v>36</v>
      </c>
      <c r="O1485" s="8" t="s">
        <v>36</v>
      </c>
      <c r="P1485" s="3" t="s">
        <v>36</v>
      </c>
      <c r="Q1485" s="3" t="s">
        <v>36</v>
      </c>
      <c r="R1485" s="3" t="s">
        <v>36</v>
      </c>
      <c r="S1485" s="3" t="s">
        <v>36</v>
      </c>
      <c r="T1485" s="3" t="s">
        <v>37</v>
      </c>
      <c r="U1485" s="3" t="s">
        <v>38</v>
      </c>
      <c r="V1485" s="3" t="s">
        <v>39</v>
      </c>
      <c r="W1485" s="3" t="s">
        <v>8754</v>
      </c>
      <c r="X1485" s="10" t="s">
        <v>8755</v>
      </c>
      <c r="Y1485" s="6" t="s">
        <v>55</v>
      </c>
      <c r="Z1485" s="4" t="s">
        <v>36</v>
      </c>
      <c r="AA1485" s="4" t="s">
        <v>36</v>
      </c>
      <c r="AB1485" s="3" t="s">
        <v>56</v>
      </c>
      <c r="AC1485" s="3" t="s">
        <v>8756</v>
      </c>
      <c r="AD1485" s="9">
        <v>44974</v>
      </c>
      <c r="AE1485" s="3" t="s">
        <v>45</v>
      </c>
      <c r="AF1485" s="3" t="s">
        <v>6861</v>
      </c>
      <c r="AG1485" s="3" t="s">
        <v>81</v>
      </c>
      <c r="AH1485" s="11">
        <f>HYPERLINK("https://my.pitchbook.com?c=225644-86T","View Company Online")</f>
      </c>
    </row>
    <row r="1486">
      <c r="A1486" s="12" t="s">
        <v>8757</v>
      </c>
      <c r="B1486" s="12" t="s">
        <v>8758</v>
      </c>
      <c r="C1486" s="19" t="s">
        <v>36</v>
      </c>
      <c r="D1486" s="19" t="s">
        <v>36</v>
      </c>
      <c r="E1486" s="19" t="s">
        <v>36</v>
      </c>
      <c r="F1486" s="19" t="s">
        <v>36</v>
      </c>
      <c r="G1486" s="15" t="s">
        <v>36</v>
      </c>
      <c r="H1486" s="14">
        <v>42.66</v>
      </c>
      <c r="I1486" s="18">
        <v>19.11</v>
      </c>
      <c r="J1486" s="12" t="s">
        <v>521</v>
      </c>
      <c r="K1486" s="13" t="s">
        <v>36</v>
      </c>
      <c r="L1486" s="15" t="s">
        <v>36</v>
      </c>
      <c r="M1486" s="12" t="s">
        <v>36</v>
      </c>
      <c r="N1486" s="12" t="s">
        <v>36</v>
      </c>
      <c r="O1486" s="17" t="s">
        <v>36</v>
      </c>
      <c r="P1486" s="12" t="s">
        <v>36</v>
      </c>
      <c r="Q1486" s="12" t="s">
        <v>36</v>
      </c>
      <c r="R1486" s="12" t="s">
        <v>36</v>
      </c>
      <c r="S1486" s="12" t="s">
        <v>36</v>
      </c>
      <c r="T1486" s="12" t="s">
        <v>105</v>
      </c>
      <c r="U1486" s="12" t="s">
        <v>38</v>
      </c>
      <c r="V1486" s="12" t="s">
        <v>39</v>
      </c>
      <c r="W1486" s="12" t="s">
        <v>8759</v>
      </c>
      <c r="X1486" s="16" t="s">
        <v>8760</v>
      </c>
      <c r="Y1486" s="15" t="s">
        <v>42</v>
      </c>
      <c r="Z1486" s="14">
        <v>1.07</v>
      </c>
      <c r="AA1486" s="14">
        <v>5.59</v>
      </c>
      <c r="AB1486" s="12" t="s">
        <v>43</v>
      </c>
      <c r="AC1486" s="12" t="s">
        <v>8761</v>
      </c>
      <c r="AD1486" s="13">
        <v>44974</v>
      </c>
      <c r="AE1486" s="12" t="s">
        <v>110</v>
      </c>
      <c r="AF1486" s="12" t="s">
        <v>36</v>
      </c>
      <c r="AG1486" s="12" t="s">
        <v>332</v>
      </c>
      <c r="AH1486" s="1">
        <f>HYPERLINK("https://my.pitchbook.com?c=240950-80T","View Company Online")</f>
      </c>
    </row>
    <row r="1487">
      <c r="A1487" s="3" t="s">
        <v>8762</v>
      </c>
      <c r="B1487" s="3" t="s">
        <v>8763</v>
      </c>
      <c r="C1487" s="5" t="s">
        <v>36</v>
      </c>
      <c r="D1487" s="5">
        <v>2</v>
      </c>
      <c r="E1487" s="5">
        <v>1</v>
      </c>
      <c r="F1487" s="5">
        <v>3</v>
      </c>
      <c r="G1487" s="6" t="s">
        <v>36</v>
      </c>
      <c r="H1487" s="4">
        <v>32.46</v>
      </c>
      <c r="I1487" s="7">
        <v>41.61</v>
      </c>
      <c r="J1487" s="3" t="s">
        <v>521</v>
      </c>
      <c r="K1487" s="9" t="s">
        <v>36</v>
      </c>
      <c r="L1487" s="6" t="s">
        <v>36</v>
      </c>
      <c r="M1487" s="3" t="s">
        <v>36</v>
      </c>
      <c r="N1487" s="3" t="s">
        <v>36</v>
      </c>
      <c r="O1487" s="8" t="s">
        <v>36</v>
      </c>
      <c r="P1487" s="3" t="s">
        <v>36</v>
      </c>
      <c r="Q1487" s="3" t="s">
        <v>36</v>
      </c>
      <c r="R1487" s="3" t="s">
        <v>36</v>
      </c>
      <c r="S1487" s="3" t="s">
        <v>36</v>
      </c>
      <c r="T1487" s="3" t="s">
        <v>522</v>
      </c>
      <c r="U1487" s="3" t="s">
        <v>38</v>
      </c>
      <c r="V1487" s="3" t="s">
        <v>39</v>
      </c>
      <c r="W1487" s="3" t="s">
        <v>8764</v>
      </c>
      <c r="X1487" s="10" t="s">
        <v>8765</v>
      </c>
      <c r="Y1487" s="6" t="s">
        <v>42</v>
      </c>
      <c r="Z1487" s="4">
        <v>9.84</v>
      </c>
      <c r="AA1487" s="4">
        <v>23.64</v>
      </c>
      <c r="AB1487" s="3" t="s">
        <v>56</v>
      </c>
      <c r="AC1487" s="3" t="s">
        <v>8766</v>
      </c>
      <c r="AD1487" s="9">
        <v>44974</v>
      </c>
      <c r="AE1487" s="3" t="s">
        <v>110</v>
      </c>
      <c r="AF1487" s="3" t="s">
        <v>2252</v>
      </c>
      <c r="AG1487" s="3" t="s">
        <v>81</v>
      </c>
      <c r="AH1487" s="11">
        <f>HYPERLINK("https://my.pitchbook.com?c=252780-58T","View Company Online")</f>
      </c>
    </row>
    <row r="1488">
      <c r="A1488" s="12" t="s">
        <v>8767</v>
      </c>
      <c r="B1488" s="12" t="s">
        <v>8768</v>
      </c>
      <c r="C1488" s="19" t="s">
        <v>36</v>
      </c>
      <c r="D1488" s="19" t="s">
        <v>36</v>
      </c>
      <c r="E1488" s="19" t="s">
        <v>36</v>
      </c>
      <c r="F1488" s="19" t="s">
        <v>36</v>
      </c>
      <c r="G1488" s="15" t="s">
        <v>36</v>
      </c>
      <c r="H1488" s="14" t="s">
        <v>36</v>
      </c>
      <c r="I1488" s="18" t="s">
        <v>36</v>
      </c>
      <c r="J1488" s="12" t="s">
        <v>36</v>
      </c>
      <c r="K1488" s="13" t="s">
        <v>36</v>
      </c>
      <c r="L1488" s="15" t="s">
        <v>36</v>
      </c>
      <c r="M1488" s="12" t="s">
        <v>36</v>
      </c>
      <c r="N1488" s="12" t="s">
        <v>36</v>
      </c>
      <c r="O1488" s="17" t="s">
        <v>36</v>
      </c>
      <c r="P1488" s="12" t="s">
        <v>36</v>
      </c>
      <c r="Q1488" s="12" t="s">
        <v>36</v>
      </c>
      <c r="R1488" s="12" t="s">
        <v>36</v>
      </c>
      <c r="S1488" s="12" t="s">
        <v>36</v>
      </c>
      <c r="T1488" s="12" t="s">
        <v>123</v>
      </c>
      <c r="U1488" s="12" t="s">
        <v>38</v>
      </c>
      <c r="V1488" s="12" t="s">
        <v>39</v>
      </c>
      <c r="W1488" s="12" t="s">
        <v>8769</v>
      </c>
      <c r="X1488" s="16" t="s">
        <v>8770</v>
      </c>
      <c r="Y1488" s="15" t="s">
        <v>108</v>
      </c>
      <c r="Z1488" s="14">
        <v>1.08</v>
      </c>
      <c r="AA1488" s="14" t="s">
        <v>36</v>
      </c>
      <c r="AB1488" s="12" t="s">
        <v>43</v>
      </c>
      <c r="AC1488" s="12" t="s">
        <v>8771</v>
      </c>
      <c r="AD1488" s="13">
        <v>44973</v>
      </c>
      <c r="AE1488" s="12" t="s">
        <v>110</v>
      </c>
      <c r="AF1488" s="12" t="s">
        <v>111</v>
      </c>
      <c r="AG1488" s="12" t="s">
        <v>382</v>
      </c>
      <c r="AH1488" s="1">
        <f>HYPERLINK("https://my.pitchbook.com?c=215275-15T","View Company Online")</f>
      </c>
    </row>
    <row r="1489">
      <c r="A1489" s="3" t="s">
        <v>8772</v>
      </c>
      <c r="B1489" s="3" t="s">
        <v>8773</v>
      </c>
      <c r="C1489" s="5" t="s">
        <v>36</v>
      </c>
      <c r="D1489" s="5">
        <v>11</v>
      </c>
      <c r="E1489" s="5">
        <v>3</v>
      </c>
      <c r="F1489" s="5">
        <v>11</v>
      </c>
      <c r="G1489" s="6" t="s">
        <v>36</v>
      </c>
      <c r="H1489" s="4" t="s">
        <v>36</v>
      </c>
      <c r="I1489" s="7">
        <v>15.26</v>
      </c>
      <c r="J1489" s="3" t="s">
        <v>36</v>
      </c>
      <c r="K1489" s="9" t="s">
        <v>36</v>
      </c>
      <c r="L1489" s="6" t="s">
        <v>36</v>
      </c>
      <c r="M1489" s="3" t="s">
        <v>36</v>
      </c>
      <c r="N1489" s="3" t="s">
        <v>36</v>
      </c>
      <c r="O1489" s="8" t="s">
        <v>36</v>
      </c>
      <c r="P1489" s="3" t="s">
        <v>36</v>
      </c>
      <c r="Q1489" s="3" t="s">
        <v>36</v>
      </c>
      <c r="R1489" s="3" t="s">
        <v>36</v>
      </c>
      <c r="S1489" s="3" t="s">
        <v>36</v>
      </c>
      <c r="T1489" s="3" t="s">
        <v>4406</v>
      </c>
      <c r="U1489" s="3" t="s">
        <v>833</v>
      </c>
      <c r="V1489" s="3" t="s">
        <v>64</v>
      </c>
      <c r="W1489" s="3" t="s">
        <v>8774</v>
      </c>
      <c r="X1489" s="10" t="s">
        <v>8775</v>
      </c>
      <c r="Y1489" s="6" t="s">
        <v>55</v>
      </c>
      <c r="Z1489" s="4">
        <v>37.85</v>
      </c>
      <c r="AA1489" s="4" t="s">
        <v>36</v>
      </c>
      <c r="AB1489" s="3" t="s">
        <v>56</v>
      </c>
      <c r="AC1489" s="3" t="s">
        <v>8776</v>
      </c>
      <c r="AD1489" s="9">
        <v>44973</v>
      </c>
      <c r="AE1489" s="3" t="s">
        <v>1069</v>
      </c>
      <c r="AF1489" s="3" t="s">
        <v>1636</v>
      </c>
      <c r="AG1489" s="3" t="s">
        <v>81</v>
      </c>
      <c r="AH1489" s="11">
        <f>HYPERLINK("https://my.pitchbook.com?c=215258-23T","View Company Online")</f>
      </c>
    </row>
    <row r="1490">
      <c r="A1490" s="12" t="s">
        <v>8777</v>
      </c>
      <c r="B1490" s="12" t="s">
        <v>8778</v>
      </c>
      <c r="C1490" s="19">
        <v>8</v>
      </c>
      <c r="D1490" s="19">
        <v>54</v>
      </c>
      <c r="E1490" s="19">
        <v>24</v>
      </c>
      <c r="F1490" s="19">
        <v>62</v>
      </c>
      <c r="G1490" s="15" t="s">
        <v>326</v>
      </c>
      <c r="H1490" s="14">
        <v>3.41</v>
      </c>
      <c r="I1490" s="18">
        <v>20.73</v>
      </c>
      <c r="J1490" s="12" t="s">
        <v>521</v>
      </c>
      <c r="K1490" s="13">
        <v>44799</v>
      </c>
      <c r="L1490" s="15" t="s">
        <v>36</v>
      </c>
      <c r="M1490" s="12" t="s">
        <v>36</v>
      </c>
      <c r="N1490" s="12" t="s">
        <v>36</v>
      </c>
      <c r="O1490" s="17" t="s">
        <v>36</v>
      </c>
      <c r="P1490" s="12" t="s">
        <v>36</v>
      </c>
      <c r="Q1490" s="12" t="s">
        <v>36</v>
      </c>
      <c r="R1490" s="12" t="s">
        <v>36</v>
      </c>
      <c r="S1490" s="12" t="s">
        <v>36</v>
      </c>
      <c r="T1490" s="12" t="s">
        <v>3208</v>
      </c>
      <c r="U1490" s="12" t="s">
        <v>1798</v>
      </c>
      <c r="V1490" s="12" t="s">
        <v>39</v>
      </c>
      <c r="W1490" s="12" t="s">
        <v>8779</v>
      </c>
      <c r="X1490" s="16" t="s">
        <v>8780</v>
      </c>
      <c r="Y1490" s="15" t="s">
        <v>321</v>
      </c>
      <c r="Z1490" s="14">
        <v>11.36</v>
      </c>
      <c r="AA1490" s="14">
        <v>54.83</v>
      </c>
      <c r="AB1490" s="12" t="s">
        <v>56</v>
      </c>
      <c r="AC1490" s="12" t="s">
        <v>8781</v>
      </c>
      <c r="AD1490" s="13">
        <v>44973</v>
      </c>
      <c r="AE1490" s="12" t="s">
        <v>1802</v>
      </c>
      <c r="AF1490" s="12" t="s">
        <v>8782</v>
      </c>
      <c r="AG1490" s="12" t="s">
        <v>765</v>
      </c>
      <c r="AH1490" s="1">
        <f>HYPERLINK("https://my.pitchbook.com?c=198752-50T","View Company Online")</f>
      </c>
    </row>
    <row r="1491">
      <c r="A1491" s="3" t="s">
        <v>8783</v>
      </c>
      <c r="B1491" s="3" t="s">
        <v>8784</v>
      </c>
      <c r="C1491" s="5" t="s">
        <v>36</v>
      </c>
      <c r="D1491" s="5">
        <v>8</v>
      </c>
      <c r="E1491" s="5">
        <v>5</v>
      </c>
      <c r="F1491" s="5">
        <v>11</v>
      </c>
      <c r="G1491" s="6" t="s">
        <v>36</v>
      </c>
      <c r="H1491" s="4" t="s">
        <v>36</v>
      </c>
      <c r="I1491" s="7" t="s">
        <v>36</v>
      </c>
      <c r="J1491" s="3" t="s">
        <v>36</v>
      </c>
      <c r="K1491" s="9" t="s">
        <v>36</v>
      </c>
      <c r="L1491" s="6" t="s">
        <v>36</v>
      </c>
      <c r="M1491" s="3" t="s">
        <v>36</v>
      </c>
      <c r="N1491" s="3" t="s">
        <v>36</v>
      </c>
      <c r="O1491" s="8" t="s">
        <v>36</v>
      </c>
      <c r="P1491" s="3" t="s">
        <v>36</v>
      </c>
      <c r="Q1491" s="3" t="s">
        <v>36</v>
      </c>
      <c r="R1491" s="3" t="s">
        <v>36</v>
      </c>
      <c r="S1491" s="3" t="s">
        <v>36</v>
      </c>
      <c r="T1491" s="3" t="s">
        <v>8785</v>
      </c>
      <c r="U1491" s="3" t="s">
        <v>219</v>
      </c>
      <c r="V1491" s="3" t="s">
        <v>75</v>
      </c>
      <c r="W1491" s="3" t="s">
        <v>8786</v>
      </c>
      <c r="X1491" s="10" t="s">
        <v>8787</v>
      </c>
      <c r="Y1491" s="6" t="s">
        <v>166</v>
      </c>
      <c r="Z1491" s="4">
        <v>10.82</v>
      </c>
      <c r="AA1491" s="4" t="s">
        <v>36</v>
      </c>
      <c r="AB1491" s="3" t="s">
        <v>56</v>
      </c>
      <c r="AC1491" s="3" t="s">
        <v>8788</v>
      </c>
      <c r="AD1491" s="9">
        <v>44971</v>
      </c>
      <c r="AE1491" s="3" t="s">
        <v>223</v>
      </c>
      <c r="AF1491" s="3" t="s">
        <v>8789</v>
      </c>
      <c r="AG1491" s="3" t="s">
        <v>8790</v>
      </c>
      <c r="AH1491" s="11">
        <f>HYPERLINK("https://my.pitchbook.com?c=215521-75T","View Company Online")</f>
      </c>
    </row>
    <row r="1492">
      <c r="A1492" s="12" t="s">
        <v>8791</v>
      </c>
      <c r="B1492" s="12" t="s">
        <v>8792</v>
      </c>
      <c r="C1492" s="19" t="s">
        <v>36</v>
      </c>
      <c r="D1492" s="19" t="s">
        <v>36</v>
      </c>
      <c r="E1492" s="19" t="s">
        <v>36</v>
      </c>
      <c r="F1492" s="19" t="s">
        <v>36</v>
      </c>
      <c r="G1492" s="15" t="s">
        <v>36</v>
      </c>
      <c r="H1492" s="14" t="s">
        <v>36</v>
      </c>
      <c r="I1492" s="18" t="s">
        <v>36</v>
      </c>
      <c r="J1492" s="12" t="s">
        <v>36</v>
      </c>
      <c r="K1492" s="13" t="s">
        <v>36</v>
      </c>
      <c r="L1492" s="15" t="s">
        <v>122</v>
      </c>
      <c r="M1492" s="12" t="s">
        <v>36</v>
      </c>
      <c r="N1492" s="12" t="s">
        <v>122</v>
      </c>
      <c r="O1492" s="17" t="s">
        <v>36</v>
      </c>
      <c r="P1492" s="12" t="s">
        <v>36</v>
      </c>
      <c r="Q1492" s="12" t="s">
        <v>36</v>
      </c>
      <c r="R1492" s="12" t="s">
        <v>36</v>
      </c>
      <c r="S1492" s="12" t="s">
        <v>36</v>
      </c>
      <c r="T1492" s="12" t="s">
        <v>8793</v>
      </c>
      <c r="U1492" s="12" t="s">
        <v>74</v>
      </c>
      <c r="V1492" s="12" t="s">
        <v>75</v>
      </c>
      <c r="W1492" s="12" t="s">
        <v>8794</v>
      </c>
      <c r="X1492" s="16" t="s">
        <v>8795</v>
      </c>
      <c r="Y1492" s="15" t="s">
        <v>108</v>
      </c>
      <c r="Z1492" s="14">
        <v>6.49</v>
      </c>
      <c r="AA1492" s="14" t="s">
        <v>36</v>
      </c>
      <c r="AB1492" s="12" t="s">
        <v>56</v>
      </c>
      <c r="AC1492" s="12" t="s">
        <v>8796</v>
      </c>
      <c r="AD1492" s="13">
        <v>44970</v>
      </c>
      <c r="AE1492" s="12" t="s">
        <v>570</v>
      </c>
      <c r="AF1492" s="12" t="s">
        <v>372</v>
      </c>
      <c r="AG1492" s="12" t="s">
        <v>81</v>
      </c>
      <c r="AH1492" s="1">
        <f>HYPERLINK("https://my.pitchbook.com?c=214956-01T","View Company Online")</f>
      </c>
    </row>
    <row r="1493">
      <c r="A1493" s="3" t="s">
        <v>8797</v>
      </c>
      <c r="B1493" s="3" t="s">
        <v>8798</v>
      </c>
      <c r="C1493" s="5">
        <v>1</v>
      </c>
      <c r="D1493" s="5">
        <v>2</v>
      </c>
      <c r="E1493" s="5">
        <v>1</v>
      </c>
      <c r="F1493" s="5">
        <v>3</v>
      </c>
      <c r="G1493" s="6" t="s">
        <v>326</v>
      </c>
      <c r="H1493" s="4">
        <v>98.66</v>
      </c>
      <c r="I1493" s="7">
        <v>10.16</v>
      </c>
      <c r="J1493" s="3" t="s">
        <v>521</v>
      </c>
      <c r="K1493" s="9" t="s">
        <v>36</v>
      </c>
      <c r="L1493" s="6" t="s">
        <v>36</v>
      </c>
      <c r="M1493" s="3" t="s">
        <v>36</v>
      </c>
      <c r="N1493" s="3" t="s">
        <v>36</v>
      </c>
      <c r="O1493" s="8" t="s">
        <v>36</v>
      </c>
      <c r="P1493" s="3" t="s">
        <v>36</v>
      </c>
      <c r="Q1493" s="3" t="s">
        <v>36</v>
      </c>
      <c r="R1493" s="3" t="s">
        <v>36</v>
      </c>
      <c r="S1493" s="3" t="s">
        <v>36</v>
      </c>
      <c r="T1493" s="3" t="s">
        <v>8799</v>
      </c>
      <c r="U1493" s="3" t="s">
        <v>51</v>
      </c>
      <c r="V1493" s="3" t="s">
        <v>52</v>
      </c>
      <c r="W1493" s="3" t="s">
        <v>8800</v>
      </c>
      <c r="X1493" s="10" t="s">
        <v>8801</v>
      </c>
      <c r="Y1493" s="6" t="s">
        <v>55</v>
      </c>
      <c r="Z1493" s="4">
        <v>0.32</v>
      </c>
      <c r="AA1493" s="4">
        <v>3.2</v>
      </c>
      <c r="AB1493" s="3" t="s">
        <v>56</v>
      </c>
      <c r="AC1493" s="3" t="s">
        <v>8802</v>
      </c>
      <c r="AD1493" s="9">
        <v>44970</v>
      </c>
      <c r="AE1493" s="3" t="s">
        <v>158</v>
      </c>
      <c r="AF1493" s="3" t="s">
        <v>1275</v>
      </c>
      <c r="AG1493" s="3" t="s">
        <v>1341</v>
      </c>
      <c r="AH1493" s="11">
        <f>HYPERLINK("https://my.pitchbook.com?c=214973-74T","View Company Online")</f>
      </c>
    </row>
    <row r="1494">
      <c r="A1494" s="12" t="s">
        <v>8803</v>
      </c>
      <c r="B1494" s="12" t="s">
        <v>8804</v>
      </c>
      <c r="C1494" s="19" t="s">
        <v>36</v>
      </c>
      <c r="D1494" s="19" t="s">
        <v>36</v>
      </c>
      <c r="E1494" s="19" t="s">
        <v>36</v>
      </c>
      <c r="F1494" s="19" t="s">
        <v>36</v>
      </c>
      <c r="G1494" s="15" t="s">
        <v>326</v>
      </c>
      <c r="H1494" s="14">
        <v>10.39</v>
      </c>
      <c r="I1494" s="18">
        <v>14.55</v>
      </c>
      <c r="J1494" s="12" t="s">
        <v>521</v>
      </c>
      <c r="K1494" s="13" t="s">
        <v>36</v>
      </c>
      <c r="L1494" s="15" t="s">
        <v>36</v>
      </c>
      <c r="M1494" s="12" t="s">
        <v>36</v>
      </c>
      <c r="N1494" s="12" t="s">
        <v>36</v>
      </c>
      <c r="O1494" s="17" t="s">
        <v>36</v>
      </c>
      <c r="P1494" s="12" t="s">
        <v>36</v>
      </c>
      <c r="Q1494" s="12" t="s">
        <v>36</v>
      </c>
      <c r="R1494" s="12" t="s">
        <v>36</v>
      </c>
      <c r="S1494" s="12" t="s">
        <v>36</v>
      </c>
      <c r="T1494" s="12" t="s">
        <v>8805</v>
      </c>
      <c r="U1494" s="12" t="s">
        <v>38</v>
      </c>
      <c r="V1494" s="12" t="s">
        <v>39</v>
      </c>
      <c r="W1494" s="12" t="s">
        <v>8806</v>
      </c>
      <c r="X1494" s="16" t="s">
        <v>221</v>
      </c>
      <c r="Y1494" s="15" t="s">
        <v>42</v>
      </c>
      <c r="Z1494" s="14">
        <v>2.52</v>
      </c>
      <c r="AA1494" s="14">
        <v>17.35</v>
      </c>
      <c r="AB1494" s="12" t="s">
        <v>56</v>
      </c>
      <c r="AC1494" s="12" t="s">
        <v>8807</v>
      </c>
      <c r="AD1494" s="13">
        <v>44970</v>
      </c>
      <c r="AE1494" s="12" t="s">
        <v>110</v>
      </c>
      <c r="AF1494" s="12" t="s">
        <v>6006</v>
      </c>
      <c r="AG1494" s="12" t="s">
        <v>8808</v>
      </c>
      <c r="AH1494" s="1">
        <f>HYPERLINK("https://my.pitchbook.com?c=214971-58T","View Company Online")</f>
      </c>
    </row>
    <row r="1495">
      <c r="A1495" s="3" t="s">
        <v>8809</v>
      </c>
      <c r="B1495" s="3" t="s">
        <v>8810</v>
      </c>
      <c r="C1495" s="5" t="s">
        <v>36</v>
      </c>
      <c r="D1495" s="5" t="s">
        <v>36</v>
      </c>
      <c r="E1495" s="5" t="s">
        <v>36</v>
      </c>
      <c r="F1495" s="5" t="s">
        <v>36</v>
      </c>
      <c r="G1495" s="6" t="s">
        <v>36</v>
      </c>
      <c r="H1495" s="4" t="s">
        <v>36</v>
      </c>
      <c r="I1495" s="7" t="s">
        <v>36</v>
      </c>
      <c r="J1495" s="3" t="s">
        <v>36</v>
      </c>
      <c r="K1495" s="9" t="s">
        <v>36</v>
      </c>
      <c r="L1495" s="6" t="s">
        <v>36</v>
      </c>
      <c r="M1495" s="3" t="s">
        <v>36</v>
      </c>
      <c r="N1495" s="3" t="s">
        <v>36</v>
      </c>
      <c r="O1495" s="8" t="s">
        <v>36</v>
      </c>
      <c r="P1495" s="3" t="s">
        <v>36</v>
      </c>
      <c r="Q1495" s="3" t="s">
        <v>36</v>
      </c>
      <c r="R1495" s="3" t="s">
        <v>36</v>
      </c>
      <c r="S1495" s="3" t="s">
        <v>36</v>
      </c>
      <c r="T1495" s="3" t="s">
        <v>8811</v>
      </c>
      <c r="U1495" s="3" t="s">
        <v>74</v>
      </c>
      <c r="V1495" s="3" t="s">
        <v>75</v>
      </c>
      <c r="W1495" s="3" t="s">
        <v>8812</v>
      </c>
      <c r="X1495" s="10" t="s">
        <v>8813</v>
      </c>
      <c r="Y1495" s="6" t="s">
        <v>42</v>
      </c>
      <c r="Z1495" s="4">
        <v>11.91</v>
      </c>
      <c r="AA1495" s="4" t="s">
        <v>36</v>
      </c>
      <c r="AB1495" s="3" t="s">
        <v>43</v>
      </c>
      <c r="AC1495" s="3" t="s">
        <v>8814</v>
      </c>
      <c r="AD1495" s="9">
        <v>44970</v>
      </c>
      <c r="AE1495" s="3" t="s">
        <v>1243</v>
      </c>
      <c r="AF1495" s="3" t="s">
        <v>176</v>
      </c>
      <c r="AG1495" s="3" t="s">
        <v>47</v>
      </c>
      <c r="AH1495" s="11">
        <f>HYPERLINK("https://my.pitchbook.com?c=215036-20T","View Company Online")</f>
      </c>
    </row>
    <row r="1496">
      <c r="A1496" s="12" t="s">
        <v>8815</v>
      </c>
      <c r="B1496" s="12" t="s">
        <v>8816</v>
      </c>
      <c r="C1496" s="19" t="s">
        <v>36</v>
      </c>
      <c r="D1496" s="19" t="s">
        <v>36</v>
      </c>
      <c r="E1496" s="19" t="s">
        <v>36</v>
      </c>
      <c r="F1496" s="19" t="s">
        <v>36</v>
      </c>
      <c r="G1496" s="15" t="s">
        <v>326</v>
      </c>
      <c r="H1496" s="14" t="s">
        <v>36</v>
      </c>
      <c r="I1496" s="18">
        <v>9.34</v>
      </c>
      <c r="J1496" s="12" t="s">
        <v>327</v>
      </c>
      <c r="K1496" s="13" t="s">
        <v>36</v>
      </c>
      <c r="L1496" s="15" t="s">
        <v>122</v>
      </c>
      <c r="M1496" s="12" t="s">
        <v>36</v>
      </c>
      <c r="N1496" s="12" t="s">
        <v>122</v>
      </c>
      <c r="O1496" s="17" t="s">
        <v>36</v>
      </c>
      <c r="P1496" s="12" t="s">
        <v>36</v>
      </c>
      <c r="Q1496" s="12" t="s">
        <v>36</v>
      </c>
      <c r="R1496" s="12" t="s">
        <v>36</v>
      </c>
      <c r="S1496" s="12" t="s">
        <v>36</v>
      </c>
      <c r="T1496" s="12" t="s">
        <v>8817</v>
      </c>
      <c r="U1496" s="12" t="s">
        <v>366</v>
      </c>
      <c r="V1496" s="12" t="s">
        <v>367</v>
      </c>
      <c r="W1496" s="12" t="s">
        <v>8818</v>
      </c>
      <c r="X1496" s="16" t="s">
        <v>8819</v>
      </c>
      <c r="Y1496" s="15" t="s">
        <v>192</v>
      </c>
      <c r="Z1496" s="14">
        <v>8</v>
      </c>
      <c r="AA1496" s="14">
        <v>70.57</v>
      </c>
      <c r="AB1496" s="12" t="s">
        <v>56</v>
      </c>
      <c r="AC1496" s="12" t="s">
        <v>8820</v>
      </c>
      <c r="AD1496" s="13">
        <v>44970</v>
      </c>
      <c r="AE1496" s="12" t="s">
        <v>600</v>
      </c>
      <c r="AF1496" s="12" t="s">
        <v>982</v>
      </c>
      <c r="AG1496" s="12" t="s">
        <v>8821</v>
      </c>
      <c r="AH1496" s="1">
        <f>HYPERLINK("https://my.pitchbook.com?c=214976-89T","View Company Online")</f>
      </c>
    </row>
    <row r="1497">
      <c r="A1497" s="3" t="s">
        <v>8822</v>
      </c>
      <c r="B1497" s="3" t="s">
        <v>8823</v>
      </c>
      <c r="C1497" s="5" t="s">
        <v>36</v>
      </c>
      <c r="D1497" s="5" t="s">
        <v>36</v>
      </c>
      <c r="E1497" s="5" t="s">
        <v>36</v>
      </c>
      <c r="F1497" s="5" t="s">
        <v>36</v>
      </c>
      <c r="G1497" s="6" t="s">
        <v>326</v>
      </c>
      <c r="H1497" s="4">
        <v>18.29</v>
      </c>
      <c r="I1497" s="7">
        <v>45.66</v>
      </c>
      <c r="J1497" s="3" t="s">
        <v>521</v>
      </c>
      <c r="K1497" s="9">
        <v>44952</v>
      </c>
      <c r="L1497" s="6" t="s">
        <v>36</v>
      </c>
      <c r="M1497" s="3" t="s">
        <v>36</v>
      </c>
      <c r="N1497" s="3" t="s">
        <v>36</v>
      </c>
      <c r="O1497" s="8" t="s">
        <v>36</v>
      </c>
      <c r="P1497" s="3" t="s">
        <v>36</v>
      </c>
      <c r="Q1497" s="3" t="s">
        <v>36</v>
      </c>
      <c r="R1497" s="3" t="s">
        <v>36</v>
      </c>
      <c r="S1497" s="3" t="s">
        <v>2699</v>
      </c>
      <c r="T1497" s="3" t="s">
        <v>8824</v>
      </c>
      <c r="U1497" s="3" t="s">
        <v>619</v>
      </c>
      <c r="V1497" s="3" t="s">
        <v>378</v>
      </c>
      <c r="W1497" s="3" t="s">
        <v>8825</v>
      </c>
      <c r="X1497" s="10" t="s">
        <v>8826</v>
      </c>
      <c r="Y1497" s="6" t="s">
        <v>108</v>
      </c>
      <c r="Z1497" s="4">
        <v>11.92</v>
      </c>
      <c r="AA1497" s="4">
        <v>15.1</v>
      </c>
      <c r="AB1497" s="3" t="s">
        <v>43</v>
      </c>
      <c r="AC1497" s="3" t="s">
        <v>8827</v>
      </c>
      <c r="AD1497" s="9">
        <v>44967</v>
      </c>
      <c r="AE1497" s="3" t="s">
        <v>623</v>
      </c>
      <c r="AF1497" s="3" t="s">
        <v>8828</v>
      </c>
      <c r="AG1497" s="3" t="s">
        <v>8829</v>
      </c>
      <c r="AH1497" s="11">
        <f>HYPERLINK("https://my.pitchbook.com?c=214859-71T","View Company Online")</f>
      </c>
    </row>
    <row r="1498">
      <c r="A1498" s="12" t="s">
        <v>8830</v>
      </c>
      <c r="B1498" s="12" t="s">
        <v>8831</v>
      </c>
      <c r="C1498" s="19" t="s">
        <v>36</v>
      </c>
      <c r="D1498" s="19" t="s">
        <v>36</v>
      </c>
      <c r="E1498" s="19" t="s">
        <v>36</v>
      </c>
      <c r="F1498" s="19" t="s">
        <v>36</v>
      </c>
      <c r="G1498" s="15" t="s">
        <v>36</v>
      </c>
      <c r="H1498" s="14" t="s">
        <v>36</v>
      </c>
      <c r="I1498" s="18">
        <v>21.43</v>
      </c>
      <c r="J1498" s="12" t="s">
        <v>327</v>
      </c>
      <c r="K1498" s="13" t="s">
        <v>36</v>
      </c>
      <c r="L1498" s="15" t="s">
        <v>36</v>
      </c>
      <c r="M1498" s="12" t="s">
        <v>36</v>
      </c>
      <c r="N1498" s="12" t="s">
        <v>36</v>
      </c>
      <c r="O1498" s="17" t="s">
        <v>36</v>
      </c>
      <c r="P1498" s="12" t="s">
        <v>36</v>
      </c>
      <c r="Q1498" s="12" t="s">
        <v>36</v>
      </c>
      <c r="R1498" s="12" t="s">
        <v>36</v>
      </c>
      <c r="S1498" s="12" t="s">
        <v>36</v>
      </c>
      <c r="T1498" s="12" t="s">
        <v>1701</v>
      </c>
      <c r="U1498" s="12" t="s">
        <v>74</v>
      </c>
      <c r="V1498" s="12" t="s">
        <v>75</v>
      </c>
      <c r="W1498" s="12" t="s">
        <v>8832</v>
      </c>
      <c r="X1498" s="16" t="s">
        <v>8833</v>
      </c>
      <c r="Y1498" s="15" t="s">
        <v>42</v>
      </c>
      <c r="Z1498" s="14">
        <v>2.17</v>
      </c>
      <c r="AA1498" s="14">
        <v>10.12</v>
      </c>
      <c r="AB1498" s="12" t="s">
        <v>43</v>
      </c>
      <c r="AC1498" s="12" t="s">
        <v>8834</v>
      </c>
      <c r="AD1498" s="13">
        <v>44967</v>
      </c>
      <c r="AE1498" s="12" t="s">
        <v>79</v>
      </c>
      <c r="AF1498" s="12" t="s">
        <v>36</v>
      </c>
      <c r="AG1498" s="12" t="s">
        <v>81</v>
      </c>
      <c r="AH1498" s="1">
        <f>HYPERLINK("https://my.pitchbook.com?c=227183-41T","View Company Online")</f>
      </c>
    </row>
    <row r="1499">
      <c r="A1499" s="3" t="s">
        <v>8835</v>
      </c>
      <c r="B1499" s="3" t="s">
        <v>8836</v>
      </c>
      <c r="C1499" s="5" t="s">
        <v>36</v>
      </c>
      <c r="D1499" s="5" t="s">
        <v>36</v>
      </c>
      <c r="E1499" s="5" t="s">
        <v>36</v>
      </c>
      <c r="F1499" s="5" t="s">
        <v>36</v>
      </c>
      <c r="G1499" s="6" t="s">
        <v>36</v>
      </c>
      <c r="H1499" s="4" t="s">
        <v>36</v>
      </c>
      <c r="I1499" s="7" t="s">
        <v>36</v>
      </c>
      <c r="J1499" s="3" t="s">
        <v>36</v>
      </c>
      <c r="K1499" s="9" t="s">
        <v>36</v>
      </c>
      <c r="L1499" s="6" t="s">
        <v>36</v>
      </c>
      <c r="M1499" s="3" t="s">
        <v>36</v>
      </c>
      <c r="N1499" s="3" t="s">
        <v>36</v>
      </c>
      <c r="O1499" s="8" t="s">
        <v>36</v>
      </c>
      <c r="P1499" s="3" t="s">
        <v>36</v>
      </c>
      <c r="Q1499" s="3" t="s">
        <v>36</v>
      </c>
      <c r="R1499" s="3" t="s">
        <v>36</v>
      </c>
      <c r="S1499" s="3" t="s">
        <v>36</v>
      </c>
      <c r="T1499" s="3" t="s">
        <v>8837</v>
      </c>
      <c r="U1499" s="3" t="s">
        <v>1336</v>
      </c>
      <c r="V1499" s="3" t="s">
        <v>367</v>
      </c>
      <c r="W1499" s="3" t="s">
        <v>8838</v>
      </c>
      <c r="X1499" s="10" t="s">
        <v>8839</v>
      </c>
      <c r="Y1499" s="6" t="s">
        <v>108</v>
      </c>
      <c r="Z1499" s="4">
        <v>1.19</v>
      </c>
      <c r="AA1499" s="4" t="s">
        <v>36</v>
      </c>
      <c r="AB1499" s="3" t="s">
        <v>56</v>
      </c>
      <c r="AC1499" s="3" t="s">
        <v>8840</v>
      </c>
      <c r="AD1499" s="9">
        <v>44966</v>
      </c>
      <c r="AE1499" s="3" t="s">
        <v>2464</v>
      </c>
      <c r="AF1499" s="3" t="s">
        <v>4930</v>
      </c>
      <c r="AG1499" s="3" t="s">
        <v>4416</v>
      </c>
      <c r="AH1499" s="11">
        <f>HYPERLINK("https://my.pitchbook.com?c=214780-24T","View Company Online")</f>
      </c>
    </row>
    <row r="1500">
      <c r="A1500" s="12" t="s">
        <v>8841</v>
      </c>
      <c r="B1500" s="12" t="s">
        <v>8842</v>
      </c>
      <c r="C1500" s="19" t="s">
        <v>36</v>
      </c>
      <c r="D1500" s="19" t="s">
        <v>36</v>
      </c>
      <c r="E1500" s="19" t="s">
        <v>36</v>
      </c>
      <c r="F1500" s="19" t="s">
        <v>36</v>
      </c>
      <c r="G1500" s="15" t="s">
        <v>36</v>
      </c>
      <c r="H1500" s="14" t="s">
        <v>36</v>
      </c>
      <c r="I1500" s="18" t="s">
        <v>36</v>
      </c>
      <c r="J1500" s="12" t="s">
        <v>36</v>
      </c>
      <c r="K1500" s="13" t="s">
        <v>36</v>
      </c>
      <c r="L1500" s="15" t="s">
        <v>36</v>
      </c>
      <c r="M1500" s="12" t="s">
        <v>36</v>
      </c>
      <c r="N1500" s="12" t="s">
        <v>36</v>
      </c>
      <c r="O1500" s="17" t="s">
        <v>36</v>
      </c>
      <c r="P1500" s="12" t="s">
        <v>36</v>
      </c>
      <c r="Q1500" s="12" t="s">
        <v>36</v>
      </c>
      <c r="R1500" s="12" t="s">
        <v>36</v>
      </c>
      <c r="S1500" s="12" t="s">
        <v>36</v>
      </c>
      <c r="T1500" s="12" t="s">
        <v>4781</v>
      </c>
      <c r="U1500" s="12" t="s">
        <v>38</v>
      </c>
      <c r="V1500" s="12" t="s">
        <v>39</v>
      </c>
      <c r="W1500" s="12" t="s">
        <v>8843</v>
      </c>
      <c r="X1500" s="16" t="s">
        <v>3127</v>
      </c>
      <c r="Y1500" s="15" t="s">
        <v>42</v>
      </c>
      <c r="Z1500" s="14">
        <v>0.54</v>
      </c>
      <c r="AA1500" s="14" t="s">
        <v>36</v>
      </c>
      <c r="AB1500" s="12" t="s">
        <v>43</v>
      </c>
      <c r="AC1500" s="12" t="s">
        <v>8844</v>
      </c>
      <c r="AD1500" s="13">
        <v>44966</v>
      </c>
      <c r="AE1500" s="12" t="s">
        <v>1330</v>
      </c>
      <c r="AF1500" s="12" t="s">
        <v>118</v>
      </c>
      <c r="AG1500" s="12" t="s">
        <v>47</v>
      </c>
      <c r="AH1500" s="1">
        <f>HYPERLINK("https://my.pitchbook.com?c=218489-41T","View Company Online")</f>
      </c>
    </row>
    <row r="1501">
      <c r="A1501" s="3" t="s">
        <v>8845</v>
      </c>
      <c r="B1501" s="3" t="s">
        <v>8846</v>
      </c>
      <c r="C1501" s="5">
        <v>3</v>
      </c>
      <c r="D1501" s="5">
        <v>2</v>
      </c>
      <c r="E1501" s="5">
        <v>5</v>
      </c>
      <c r="F1501" s="5">
        <v>7</v>
      </c>
      <c r="G1501" s="6" t="s">
        <v>36</v>
      </c>
      <c r="H1501" s="4" t="s">
        <v>36</v>
      </c>
      <c r="I1501" s="7" t="s">
        <v>36</v>
      </c>
      <c r="J1501" s="3" t="s">
        <v>36</v>
      </c>
      <c r="K1501" s="9" t="s">
        <v>36</v>
      </c>
      <c r="L1501" s="6" t="s">
        <v>122</v>
      </c>
      <c r="M1501" s="3" t="s">
        <v>36</v>
      </c>
      <c r="N1501" s="3" t="s">
        <v>122</v>
      </c>
      <c r="O1501" s="8" t="s">
        <v>36</v>
      </c>
      <c r="P1501" s="3" t="s">
        <v>36</v>
      </c>
      <c r="Q1501" s="3" t="s">
        <v>36</v>
      </c>
      <c r="R1501" s="3" t="s">
        <v>36</v>
      </c>
      <c r="S1501" s="3" t="s">
        <v>36</v>
      </c>
      <c r="T1501" s="3" t="s">
        <v>1188</v>
      </c>
      <c r="U1501" s="3" t="s">
        <v>180</v>
      </c>
      <c r="V1501" s="3" t="s">
        <v>52</v>
      </c>
      <c r="W1501" s="3" t="s">
        <v>8847</v>
      </c>
      <c r="X1501" s="10" t="s">
        <v>8848</v>
      </c>
      <c r="Y1501" s="6" t="s">
        <v>108</v>
      </c>
      <c r="Z1501" s="4">
        <v>7.59</v>
      </c>
      <c r="AA1501" s="4" t="s">
        <v>36</v>
      </c>
      <c r="AB1501" s="3" t="s">
        <v>56</v>
      </c>
      <c r="AC1501" s="3" t="s">
        <v>8849</v>
      </c>
      <c r="AD1501" s="9">
        <v>44965</v>
      </c>
      <c r="AE1501" s="3" t="s">
        <v>1192</v>
      </c>
      <c r="AF1501" s="3" t="s">
        <v>261</v>
      </c>
      <c r="AG1501" s="3" t="s">
        <v>8850</v>
      </c>
      <c r="AH1501" s="11">
        <f>HYPERLINK("https://my.pitchbook.com?c=214704-37T","View Company Online")</f>
      </c>
    </row>
    <row r="1502">
      <c r="A1502" s="12" t="s">
        <v>8851</v>
      </c>
      <c r="B1502" s="12" t="s">
        <v>8852</v>
      </c>
      <c r="C1502" s="19" t="s">
        <v>36</v>
      </c>
      <c r="D1502" s="19" t="s">
        <v>36</v>
      </c>
      <c r="E1502" s="19" t="s">
        <v>36</v>
      </c>
      <c r="F1502" s="19" t="s">
        <v>36</v>
      </c>
      <c r="G1502" s="15" t="s">
        <v>683</v>
      </c>
      <c r="H1502" s="14">
        <v>316.95</v>
      </c>
      <c r="I1502" s="18">
        <v>12.72</v>
      </c>
      <c r="J1502" s="12" t="s">
        <v>521</v>
      </c>
      <c r="K1502" s="13" t="s">
        <v>36</v>
      </c>
      <c r="L1502" s="15" t="s">
        <v>36</v>
      </c>
      <c r="M1502" s="12" t="s">
        <v>36</v>
      </c>
      <c r="N1502" s="12" t="s">
        <v>36</v>
      </c>
      <c r="O1502" s="17" t="s">
        <v>36</v>
      </c>
      <c r="P1502" s="12" t="s">
        <v>36</v>
      </c>
      <c r="Q1502" s="12" t="s">
        <v>36</v>
      </c>
      <c r="R1502" s="12" t="s">
        <v>36</v>
      </c>
      <c r="S1502" s="12" t="s">
        <v>36</v>
      </c>
      <c r="T1502" s="12" t="s">
        <v>342</v>
      </c>
      <c r="U1502" s="12" t="s">
        <v>38</v>
      </c>
      <c r="V1502" s="12" t="s">
        <v>39</v>
      </c>
      <c r="W1502" s="12" t="s">
        <v>8853</v>
      </c>
      <c r="X1502" s="16" t="s">
        <v>8854</v>
      </c>
      <c r="Y1502" s="15" t="s">
        <v>166</v>
      </c>
      <c r="Z1502" s="14">
        <v>1.14</v>
      </c>
      <c r="AA1502" s="14">
        <v>8.95</v>
      </c>
      <c r="AB1502" s="12" t="s">
        <v>56</v>
      </c>
      <c r="AC1502" s="12" t="s">
        <v>8855</v>
      </c>
      <c r="AD1502" s="13">
        <v>44964</v>
      </c>
      <c r="AE1502" s="12" t="s">
        <v>110</v>
      </c>
      <c r="AF1502" s="12" t="s">
        <v>4552</v>
      </c>
      <c r="AG1502" s="12" t="s">
        <v>47</v>
      </c>
      <c r="AH1502" s="1">
        <f>HYPERLINK("https://my.pitchbook.com?c=219230-20T","View Company Online")</f>
      </c>
    </row>
    <row r="1503">
      <c r="A1503" s="3" t="s">
        <v>8856</v>
      </c>
      <c r="B1503" s="3" t="s">
        <v>8857</v>
      </c>
      <c r="C1503" s="5">
        <v>1</v>
      </c>
      <c r="D1503" s="5">
        <v>7</v>
      </c>
      <c r="E1503" s="5">
        <v>5</v>
      </c>
      <c r="F1503" s="5">
        <v>12</v>
      </c>
      <c r="G1503" s="6" t="s">
        <v>36</v>
      </c>
      <c r="H1503" s="4" t="s">
        <v>36</v>
      </c>
      <c r="I1503" s="7" t="s">
        <v>36</v>
      </c>
      <c r="J1503" s="3" t="s">
        <v>36</v>
      </c>
      <c r="K1503" s="9">
        <v>44719</v>
      </c>
      <c r="L1503" s="6" t="s">
        <v>36</v>
      </c>
      <c r="M1503" s="3" t="s">
        <v>36</v>
      </c>
      <c r="N1503" s="3" t="s">
        <v>36</v>
      </c>
      <c r="O1503" s="8" t="s">
        <v>36</v>
      </c>
      <c r="P1503" s="3" t="s">
        <v>36</v>
      </c>
      <c r="Q1503" s="3" t="s">
        <v>36</v>
      </c>
      <c r="R1503" s="3" t="s">
        <v>36</v>
      </c>
      <c r="S1503" s="3" t="s">
        <v>2699</v>
      </c>
      <c r="T1503" s="3" t="s">
        <v>8858</v>
      </c>
      <c r="U1503" s="3" t="s">
        <v>619</v>
      </c>
      <c r="V1503" s="3" t="s">
        <v>378</v>
      </c>
      <c r="W1503" s="3" t="s">
        <v>8859</v>
      </c>
      <c r="X1503" s="10" t="s">
        <v>2442</v>
      </c>
      <c r="Y1503" s="6" t="s">
        <v>108</v>
      </c>
      <c r="Z1503" s="4">
        <v>1.9</v>
      </c>
      <c r="AA1503" s="4" t="s">
        <v>36</v>
      </c>
      <c r="AB1503" s="3" t="s">
        <v>56</v>
      </c>
      <c r="AC1503" s="3" t="s">
        <v>8860</v>
      </c>
      <c r="AD1503" s="9">
        <v>44964</v>
      </c>
      <c r="AE1503" s="3" t="s">
        <v>2040</v>
      </c>
      <c r="AF1503" s="3" t="s">
        <v>8861</v>
      </c>
      <c r="AG1503" s="3" t="s">
        <v>8596</v>
      </c>
      <c r="AH1503" s="11">
        <f>HYPERLINK("https://my.pitchbook.com?c=244991-89T","View Company Online")</f>
      </c>
    </row>
    <row r="1504">
      <c r="A1504" s="12" t="s">
        <v>8862</v>
      </c>
      <c r="B1504" s="12" t="s">
        <v>8863</v>
      </c>
      <c r="C1504" s="19">
        <v>1</v>
      </c>
      <c r="D1504" s="19" t="s">
        <v>36</v>
      </c>
      <c r="E1504" s="19">
        <v>1</v>
      </c>
      <c r="F1504" s="19">
        <v>1</v>
      </c>
      <c r="G1504" s="15" t="s">
        <v>326</v>
      </c>
      <c r="H1504" s="14" t="s">
        <v>36</v>
      </c>
      <c r="I1504" s="18">
        <v>37.42</v>
      </c>
      <c r="J1504" s="12" t="s">
        <v>327</v>
      </c>
      <c r="K1504" s="13" t="s">
        <v>36</v>
      </c>
      <c r="L1504" s="15" t="s">
        <v>94</v>
      </c>
      <c r="M1504" s="12" t="s">
        <v>36</v>
      </c>
      <c r="N1504" s="12" t="s">
        <v>94</v>
      </c>
      <c r="O1504" s="17" t="s">
        <v>36</v>
      </c>
      <c r="P1504" s="12" t="s">
        <v>36</v>
      </c>
      <c r="Q1504" s="12" t="s">
        <v>36</v>
      </c>
      <c r="R1504" s="12" t="s">
        <v>36</v>
      </c>
      <c r="S1504" s="12" t="s">
        <v>8864</v>
      </c>
      <c r="T1504" s="12" t="s">
        <v>2529</v>
      </c>
      <c r="U1504" s="12" t="s">
        <v>219</v>
      </c>
      <c r="V1504" s="12" t="s">
        <v>75</v>
      </c>
      <c r="W1504" s="12" t="s">
        <v>8865</v>
      </c>
      <c r="X1504" s="16" t="s">
        <v>8866</v>
      </c>
      <c r="Y1504" s="15" t="s">
        <v>192</v>
      </c>
      <c r="Z1504" s="14">
        <v>58.7</v>
      </c>
      <c r="AA1504" s="14">
        <v>156.88</v>
      </c>
      <c r="AB1504" s="12" t="s">
        <v>56</v>
      </c>
      <c r="AC1504" s="12" t="s">
        <v>8867</v>
      </c>
      <c r="AD1504" s="13">
        <v>44964</v>
      </c>
      <c r="AE1504" s="12" t="s">
        <v>243</v>
      </c>
      <c r="AF1504" s="12" t="s">
        <v>8868</v>
      </c>
      <c r="AG1504" s="12" t="s">
        <v>2542</v>
      </c>
      <c r="AH1504" s="1">
        <f>HYPERLINK("https://my.pitchbook.com?c=214633-63T","View Company Online")</f>
      </c>
    </row>
    <row r="1505">
      <c r="A1505" s="3" t="s">
        <v>8869</v>
      </c>
      <c r="B1505" s="3" t="s">
        <v>3917</v>
      </c>
      <c r="C1505" s="5" t="s">
        <v>36</v>
      </c>
      <c r="D1505" s="5" t="s">
        <v>36</v>
      </c>
      <c r="E1505" s="5" t="s">
        <v>36</v>
      </c>
      <c r="F1505" s="5" t="s">
        <v>36</v>
      </c>
      <c r="G1505" s="6" t="s">
        <v>326</v>
      </c>
      <c r="H1505" s="4" t="s">
        <v>36</v>
      </c>
      <c r="I1505" s="7">
        <v>41.63</v>
      </c>
      <c r="J1505" s="3" t="s">
        <v>327</v>
      </c>
      <c r="K1505" s="9" t="s">
        <v>36</v>
      </c>
      <c r="L1505" s="6" t="s">
        <v>36</v>
      </c>
      <c r="M1505" s="3" t="s">
        <v>36</v>
      </c>
      <c r="N1505" s="3" t="s">
        <v>36</v>
      </c>
      <c r="O1505" s="8" t="s">
        <v>36</v>
      </c>
      <c r="P1505" s="3" t="s">
        <v>36</v>
      </c>
      <c r="Q1505" s="3" t="s">
        <v>36</v>
      </c>
      <c r="R1505" s="3" t="s">
        <v>36</v>
      </c>
      <c r="S1505" s="3" t="s">
        <v>36</v>
      </c>
      <c r="T1505" s="3" t="s">
        <v>818</v>
      </c>
      <c r="U1505" s="3" t="s">
        <v>74</v>
      </c>
      <c r="V1505" s="3" t="s">
        <v>75</v>
      </c>
      <c r="W1505" s="3" t="s">
        <v>3918</v>
      </c>
      <c r="X1505" s="10" t="s">
        <v>8870</v>
      </c>
      <c r="Y1505" s="6" t="s">
        <v>108</v>
      </c>
      <c r="Z1505" s="4">
        <v>10.84</v>
      </c>
      <c r="AA1505" s="4">
        <v>26.03</v>
      </c>
      <c r="AB1505" s="3" t="s">
        <v>56</v>
      </c>
      <c r="AC1505" s="3" t="s">
        <v>3920</v>
      </c>
      <c r="AD1505" s="9">
        <v>44964</v>
      </c>
      <c r="AE1505" s="3" t="s">
        <v>570</v>
      </c>
      <c r="AF1505" s="3" t="s">
        <v>1340</v>
      </c>
      <c r="AG1505" s="3" t="s">
        <v>81</v>
      </c>
      <c r="AH1505" s="11">
        <f>HYPERLINK("https://my.pitchbook.com?c=214596-73T","View Company Online")</f>
      </c>
    </row>
    <row r="1506">
      <c r="A1506" s="12" t="s">
        <v>8871</v>
      </c>
      <c r="B1506" s="12" t="s">
        <v>8872</v>
      </c>
      <c r="C1506" s="19" t="s">
        <v>36</v>
      </c>
      <c r="D1506" s="19" t="s">
        <v>36</v>
      </c>
      <c r="E1506" s="19" t="s">
        <v>36</v>
      </c>
      <c r="F1506" s="19" t="s">
        <v>36</v>
      </c>
      <c r="G1506" s="15" t="s">
        <v>36</v>
      </c>
      <c r="H1506" s="14">
        <v>394.66</v>
      </c>
      <c r="I1506" s="18">
        <v>24.07</v>
      </c>
      <c r="J1506" s="12" t="s">
        <v>521</v>
      </c>
      <c r="K1506" s="13" t="s">
        <v>36</v>
      </c>
      <c r="L1506" s="15" t="s">
        <v>36</v>
      </c>
      <c r="M1506" s="12" t="s">
        <v>36</v>
      </c>
      <c r="N1506" s="12" t="s">
        <v>36</v>
      </c>
      <c r="O1506" s="17" t="s">
        <v>36</v>
      </c>
      <c r="P1506" s="12" t="s">
        <v>36</v>
      </c>
      <c r="Q1506" s="12" t="s">
        <v>36</v>
      </c>
      <c r="R1506" s="12" t="s">
        <v>36</v>
      </c>
      <c r="S1506" s="12" t="s">
        <v>36</v>
      </c>
      <c r="T1506" s="12" t="s">
        <v>8873</v>
      </c>
      <c r="U1506" s="12" t="s">
        <v>423</v>
      </c>
      <c r="V1506" s="12" t="s">
        <v>64</v>
      </c>
      <c r="W1506" s="12" t="s">
        <v>8874</v>
      </c>
      <c r="X1506" s="16" t="s">
        <v>4499</v>
      </c>
      <c r="Y1506" s="15" t="s">
        <v>42</v>
      </c>
      <c r="Z1506" s="14">
        <v>0.87</v>
      </c>
      <c r="AA1506" s="14">
        <v>2.71</v>
      </c>
      <c r="AB1506" s="12" t="s">
        <v>56</v>
      </c>
      <c r="AC1506" s="12" t="s">
        <v>8875</v>
      </c>
      <c r="AD1506" s="13">
        <v>44964</v>
      </c>
      <c r="AE1506" s="12" t="s">
        <v>427</v>
      </c>
      <c r="AF1506" s="12" t="s">
        <v>938</v>
      </c>
      <c r="AG1506" s="12" t="s">
        <v>8876</v>
      </c>
      <c r="AH1506" s="1">
        <f>HYPERLINK("https://my.pitchbook.com?c=214615-00T","View Company Online")</f>
      </c>
    </row>
    <row r="1507">
      <c r="A1507" s="3" t="s">
        <v>8877</v>
      </c>
      <c r="B1507" s="3" t="s">
        <v>8878</v>
      </c>
      <c r="C1507" s="5" t="s">
        <v>36</v>
      </c>
      <c r="D1507" s="5" t="s">
        <v>36</v>
      </c>
      <c r="E1507" s="5" t="s">
        <v>36</v>
      </c>
      <c r="F1507" s="5" t="s">
        <v>36</v>
      </c>
      <c r="G1507" s="6" t="s">
        <v>36</v>
      </c>
      <c r="H1507" s="4" t="s">
        <v>36</v>
      </c>
      <c r="I1507" s="7" t="s">
        <v>36</v>
      </c>
      <c r="J1507" s="3" t="s">
        <v>36</v>
      </c>
      <c r="K1507" s="9" t="s">
        <v>36</v>
      </c>
      <c r="L1507" s="6" t="s">
        <v>36</v>
      </c>
      <c r="M1507" s="3" t="s">
        <v>36</v>
      </c>
      <c r="N1507" s="3" t="s">
        <v>36</v>
      </c>
      <c r="O1507" s="8" t="s">
        <v>36</v>
      </c>
      <c r="P1507" s="3" t="s">
        <v>36</v>
      </c>
      <c r="Q1507" s="3" t="s">
        <v>36</v>
      </c>
      <c r="R1507" s="3" t="s">
        <v>36</v>
      </c>
      <c r="S1507" s="3" t="s">
        <v>36</v>
      </c>
      <c r="T1507" s="3" t="s">
        <v>8879</v>
      </c>
      <c r="U1507" s="3" t="s">
        <v>833</v>
      </c>
      <c r="V1507" s="3" t="s">
        <v>64</v>
      </c>
      <c r="W1507" s="3" t="s">
        <v>8880</v>
      </c>
      <c r="X1507" s="10" t="s">
        <v>8881</v>
      </c>
      <c r="Y1507" s="6" t="s">
        <v>42</v>
      </c>
      <c r="Z1507" s="4">
        <v>0.54</v>
      </c>
      <c r="AA1507" s="4" t="s">
        <v>36</v>
      </c>
      <c r="AB1507" s="3" t="s">
        <v>43</v>
      </c>
      <c r="AC1507" s="3" t="s">
        <v>8882</v>
      </c>
      <c r="AD1507" s="9">
        <v>44964</v>
      </c>
      <c r="AE1507" s="3" t="s">
        <v>1769</v>
      </c>
      <c r="AF1507" s="3" t="s">
        <v>571</v>
      </c>
      <c r="AG1507" s="3" t="s">
        <v>8883</v>
      </c>
      <c r="AH1507" s="11">
        <f>HYPERLINK("https://my.pitchbook.com?c=214718-59T","View Company Online")</f>
      </c>
    </row>
    <row r="1508">
      <c r="A1508" s="12" t="s">
        <v>8884</v>
      </c>
      <c r="B1508" s="12" t="s">
        <v>8885</v>
      </c>
      <c r="C1508" s="19" t="s">
        <v>36</v>
      </c>
      <c r="D1508" s="19" t="s">
        <v>36</v>
      </c>
      <c r="E1508" s="19" t="s">
        <v>36</v>
      </c>
      <c r="F1508" s="19" t="s">
        <v>36</v>
      </c>
      <c r="G1508" s="15" t="s">
        <v>36</v>
      </c>
      <c r="H1508" s="14">
        <v>67.62</v>
      </c>
      <c r="I1508" s="18">
        <v>6.22</v>
      </c>
      <c r="J1508" s="12" t="s">
        <v>521</v>
      </c>
      <c r="K1508" s="13" t="s">
        <v>36</v>
      </c>
      <c r="L1508" s="15" t="s">
        <v>36</v>
      </c>
      <c r="M1508" s="12" t="s">
        <v>36</v>
      </c>
      <c r="N1508" s="12" t="s">
        <v>36</v>
      </c>
      <c r="O1508" s="17" t="s">
        <v>36</v>
      </c>
      <c r="P1508" s="12" t="s">
        <v>36</v>
      </c>
      <c r="Q1508" s="12" t="s">
        <v>36</v>
      </c>
      <c r="R1508" s="12" t="s">
        <v>36</v>
      </c>
      <c r="S1508" s="12" t="s">
        <v>36</v>
      </c>
      <c r="T1508" s="12" t="s">
        <v>472</v>
      </c>
      <c r="U1508" s="12" t="s">
        <v>38</v>
      </c>
      <c r="V1508" s="12" t="s">
        <v>39</v>
      </c>
      <c r="W1508" s="12" t="s">
        <v>8886</v>
      </c>
      <c r="X1508" s="16" t="s">
        <v>8887</v>
      </c>
      <c r="Y1508" s="15" t="s">
        <v>55</v>
      </c>
      <c r="Z1508" s="14">
        <v>2.28</v>
      </c>
      <c r="AA1508" s="14">
        <v>36.6</v>
      </c>
      <c r="AB1508" s="12" t="s">
        <v>56</v>
      </c>
      <c r="AC1508" s="12" t="s">
        <v>8888</v>
      </c>
      <c r="AD1508" s="13">
        <v>44963</v>
      </c>
      <c r="AE1508" s="12" t="s">
        <v>110</v>
      </c>
      <c r="AF1508" s="12" t="s">
        <v>168</v>
      </c>
      <c r="AG1508" s="12" t="s">
        <v>144</v>
      </c>
      <c r="AH1508" s="1">
        <f>HYPERLINK("https://my.pitchbook.com?c=226288-18T","View Company Online")</f>
      </c>
    </row>
    <row r="1509">
      <c r="A1509" s="3" t="s">
        <v>8889</v>
      </c>
      <c r="B1509" s="3" t="s">
        <v>8890</v>
      </c>
      <c r="C1509" s="5" t="s">
        <v>36</v>
      </c>
      <c r="D1509" s="5">
        <v>2</v>
      </c>
      <c r="E1509" s="5">
        <v>1</v>
      </c>
      <c r="F1509" s="5">
        <v>4</v>
      </c>
      <c r="G1509" s="6" t="s">
        <v>36</v>
      </c>
      <c r="H1509" s="4" t="s">
        <v>36</v>
      </c>
      <c r="I1509" s="7" t="s">
        <v>36</v>
      </c>
      <c r="J1509" s="3" t="s">
        <v>36</v>
      </c>
      <c r="K1509" s="9" t="s">
        <v>36</v>
      </c>
      <c r="L1509" s="6" t="s">
        <v>122</v>
      </c>
      <c r="M1509" s="3" t="s">
        <v>36</v>
      </c>
      <c r="N1509" s="3" t="s">
        <v>122</v>
      </c>
      <c r="O1509" s="8" t="s">
        <v>36</v>
      </c>
      <c r="P1509" s="3" t="s">
        <v>36</v>
      </c>
      <c r="Q1509" s="3" t="s">
        <v>36</v>
      </c>
      <c r="R1509" s="3" t="s">
        <v>36</v>
      </c>
      <c r="S1509" s="3" t="s">
        <v>36</v>
      </c>
      <c r="T1509" s="3" t="s">
        <v>2490</v>
      </c>
      <c r="U1509" s="3" t="s">
        <v>318</v>
      </c>
      <c r="V1509" s="3" t="s">
        <v>39</v>
      </c>
      <c r="W1509" s="3" t="s">
        <v>8891</v>
      </c>
      <c r="X1509" s="10" t="s">
        <v>8892</v>
      </c>
      <c r="Y1509" s="6" t="s">
        <v>108</v>
      </c>
      <c r="Z1509" s="4">
        <v>5.42</v>
      </c>
      <c r="AA1509" s="4" t="s">
        <v>36</v>
      </c>
      <c r="AB1509" s="3" t="s">
        <v>43</v>
      </c>
      <c r="AC1509" s="3" t="s">
        <v>8893</v>
      </c>
      <c r="AD1509" s="9">
        <v>44963</v>
      </c>
      <c r="AE1509" s="3" t="s">
        <v>417</v>
      </c>
      <c r="AF1509" s="3" t="s">
        <v>8894</v>
      </c>
      <c r="AG1509" s="3" t="s">
        <v>81</v>
      </c>
      <c r="AH1509" s="11">
        <f>HYPERLINK("https://my.pitchbook.com?c=214479-19T","View Company Online")</f>
      </c>
    </row>
    <row r="1510">
      <c r="A1510" s="12" t="s">
        <v>8895</v>
      </c>
      <c r="B1510" s="12" t="s">
        <v>8896</v>
      </c>
      <c r="C1510" s="19">
        <v>1</v>
      </c>
      <c r="D1510" s="19">
        <v>7</v>
      </c>
      <c r="E1510" s="19">
        <v>3</v>
      </c>
      <c r="F1510" s="19">
        <v>17</v>
      </c>
      <c r="G1510" s="15" t="s">
        <v>36</v>
      </c>
      <c r="H1510" s="14">
        <v>2137.62</v>
      </c>
      <c r="I1510" s="18">
        <v>16.84</v>
      </c>
      <c r="J1510" s="12" t="s">
        <v>521</v>
      </c>
      <c r="K1510" s="13" t="s">
        <v>36</v>
      </c>
      <c r="L1510" s="15" t="s">
        <v>36</v>
      </c>
      <c r="M1510" s="12" t="s">
        <v>36</v>
      </c>
      <c r="N1510" s="12" t="s">
        <v>36</v>
      </c>
      <c r="O1510" s="17" t="s">
        <v>36</v>
      </c>
      <c r="P1510" s="12" t="s">
        <v>36</v>
      </c>
      <c r="Q1510" s="12" t="s">
        <v>36</v>
      </c>
      <c r="R1510" s="12" t="s">
        <v>36</v>
      </c>
      <c r="S1510" s="12" t="s">
        <v>36</v>
      </c>
      <c r="T1510" s="12" t="s">
        <v>8394</v>
      </c>
      <c r="U1510" s="12" t="s">
        <v>85</v>
      </c>
      <c r="V1510" s="12" t="s">
        <v>64</v>
      </c>
      <c r="W1510" s="12" t="s">
        <v>8897</v>
      </c>
      <c r="X1510" s="16" t="s">
        <v>8898</v>
      </c>
      <c r="Y1510" s="15" t="s">
        <v>192</v>
      </c>
      <c r="Z1510" s="14">
        <v>3.51</v>
      </c>
      <c r="AA1510" s="14">
        <v>20.84</v>
      </c>
      <c r="AB1510" s="12" t="s">
        <v>56</v>
      </c>
      <c r="AC1510" s="12" t="s">
        <v>8899</v>
      </c>
      <c r="AD1510" s="13">
        <v>44963</v>
      </c>
      <c r="AE1510" s="12" t="s">
        <v>89</v>
      </c>
      <c r="AF1510" s="12" t="s">
        <v>1507</v>
      </c>
      <c r="AG1510" s="12" t="s">
        <v>81</v>
      </c>
      <c r="AH1510" s="1">
        <f>HYPERLINK("https://my.pitchbook.com?c=219105-01T","View Company Online")</f>
      </c>
    </row>
    <row r="1511">
      <c r="A1511" s="3" t="s">
        <v>8900</v>
      </c>
      <c r="B1511" s="3" t="s">
        <v>8901</v>
      </c>
      <c r="C1511" s="5" t="s">
        <v>36</v>
      </c>
      <c r="D1511" s="5" t="s">
        <v>36</v>
      </c>
      <c r="E1511" s="5" t="s">
        <v>36</v>
      </c>
      <c r="F1511" s="5" t="s">
        <v>36</v>
      </c>
      <c r="G1511" s="6" t="s">
        <v>36</v>
      </c>
      <c r="H1511" s="4" t="s">
        <v>36</v>
      </c>
      <c r="I1511" s="7" t="s">
        <v>36</v>
      </c>
      <c r="J1511" s="3" t="s">
        <v>36</v>
      </c>
      <c r="K1511" s="9" t="s">
        <v>36</v>
      </c>
      <c r="L1511" s="6" t="s">
        <v>122</v>
      </c>
      <c r="M1511" s="3" t="s">
        <v>36</v>
      </c>
      <c r="N1511" s="3" t="s">
        <v>122</v>
      </c>
      <c r="O1511" s="8" t="s">
        <v>36</v>
      </c>
      <c r="P1511" s="3" t="s">
        <v>36</v>
      </c>
      <c r="Q1511" s="3" t="s">
        <v>36</v>
      </c>
      <c r="R1511" s="3" t="s">
        <v>36</v>
      </c>
      <c r="S1511" s="3" t="s">
        <v>36</v>
      </c>
      <c r="T1511" s="3" t="s">
        <v>4692</v>
      </c>
      <c r="U1511" s="3" t="s">
        <v>85</v>
      </c>
      <c r="V1511" s="3" t="s">
        <v>64</v>
      </c>
      <c r="W1511" s="3" t="s">
        <v>8902</v>
      </c>
      <c r="X1511" s="10" t="s">
        <v>8903</v>
      </c>
      <c r="Y1511" s="6" t="s">
        <v>108</v>
      </c>
      <c r="Z1511" s="4">
        <v>3.25</v>
      </c>
      <c r="AA1511" s="4" t="s">
        <v>36</v>
      </c>
      <c r="AB1511" s="3" t="s">
        <v>56</v>
      </c>
      <c r="AC1511" s="3" t="s">
        <v>8904</v>
      </c>
      <c r="AD1511" s="9">
        <v>44963</v>
      </c>
      <c r="AE1511" s="3" t="s">
        <v>89</v>
      </c>
      <c r="AF1511" s="3" t="s">
        <v>8744</v>
      </c>
      <c r="AG1511" s="3" t="s">
        <v>8686</v>
      </c>
      <c r="AH1511" s="11">
        <f>HYPERLINK("https://my.pitchbook.com?c=214510-96T","View Company Online")</f>
      </c>
    </row>
    <row r="1512">
      <c r="A1512" s="12" t="s">
        <v>8905</v>
      </c>
      <c r="B1512" s="12" t="s">
        <v>8906</v>
      </c>
      <c r="C1512" s="19" t="s">
        <v>36</v>
      </c>
      <c r="D1512" s="19" t="s">
        <v>36</v>
      </c>
      <c r="E1512" s="19" t="s">
        <v>36</v>
      </c>
      <c r="F1512" s="19" t="s">
        <v>36</v>
      </c>
      <c r="G1512" s="15" t="s">
        <v>36</v>
      </c>
      <c r="H1512" s="14" t="s">
        <v>36</v>
      </c>
      <c r="I1512" s="18" t="s">
        <v>36</v>
      </c>
      <c r="J1512" s="12" t="s">
        <v>36</v>
      </c>
      <c r="K1512" s="13" t="s">
        <v>36</v>
      </c>
      <c r="L1512" s="15" t="s">
        <v>36</v>
      </c>
      <c r="M1512" s="12" t="s">
        <v>36</v>
      </c>
      <c r="N1512" s="12" t="s">
        <v>36</v>
      </c>
      <c r="O1512" s="17" t="s">
        <v>36</v>
      </c>
      <c r="P1512" s="12" t="s">
        <v>36</v>
      </c>
      <c r="Q1512" s="12" t="s">
        <v>36</v>
      </c>
      <c r="R1512" s="12" t="s">
        <v>36</v>
      </c>
      <c r="S1512" s="12" t="s">
        <v>36</v>
      </c>
      <c r="T1512" s="12" t="s">
        <v>278</v>
      </c>
      <c r="U1512" s="12" t="s">
        <v>279</v>
      </c>
      <c r="V1512" s="12" t="s">
        <v>64</v>
      </c>
      <c r="W1512" s="12" t="s">
        <v>8907</v>
      </c>
      <c r="X1512" s="16" t="s">
        <v>8908</v>
      </c>
      <c r="Y1512" s="15" t="s">
        <v>108</v>
      </c>
      <c r="Z1512" s="14">
        <v>1.19</v>
      </c>
      <c r="AA1512" s="14" t="s">
        <v>36</v>
      </c>
      <c r="AB1512" s="12" t="s">
        <v>56</v>
      </c>
      <c r="AC1512" s="12" t="s">
        <v>8909</v>
      </c>
      <c r="AD1512" s="13">
        <v>44962</v>
      </c>
      <c r="AE1512" s="12" t="s">
        <v>283</v>
      </c>
      <c r="AF1512" s="12" t="s">
        <v>5529</v>
      </c>
      <c r="AG1512" s="12" t="s">
        <v>47</v>
      </c>
      <c r="AH1512" s="1">
        <f>HYPERLINK("https://my.pitchbook.com?c=258875-47T","View Company Online")</f>
      </c>
    </row>
    <row r="1513">
      <c r="A1513" s="3" t="s">
        <v>8910</v>
      </c>
      <c r="B1513" s="3" t="s">
        <v>8911</v>
      </c>
      <c r="C1513" s="5" t="s">
        <v>36</v>
      </c>
      <c r="D1513" s="5" t="s">
        <v>36</v>
      </c>
      <c r="E1513" s="5" t="s">
        <v>36</v>
      </c>
      <c r="F1513" s="5" t="s">
        <v>36</v>
      </c>
      <c r="G1513" s="6" t="s">
        <v>36</v>
      </c>
      <c r="H1513" s="4">
        <v>72.6</v>
      </c>
      <c r="I1513" s="7">
        <v>5.93</v>
      </c>
      <c r="J1513" s="3" t="s">
        <v>521</v>
      </c>
      <c r="K1513" s="9" t="s">
        <v>36</v>
      </c>
      <c r="L1513" s="6" t="s">
        <v>36</v>
      </c>
      <c r="M1513" s="3" t="s">
        <v>36</v>
      </c>
      <c r="N1513" s="3" t="s">
        <v>36</v>
      </c>
      <c r="O1513" s="8" t="s">
        <v>36</v>
      </c>
      <c r="P1513" s="3" t="s">
        <v>36</v>
      </c>
      <c r="Q1513" s="3" t="s">
        <v>36</v>
      </c>
      <c r="R1513" s="3" t="s">
        <v>36</v>
      </c>
      <c r="S1513" s="3" t="s">
        <v>36</v>
      </c>
      <c r="T1513" s="3" t="s">
        <v>4225</v>
      </c>
      <c r="U1513" s="3" t="s">
        <v>96</v>
      </c>
      <c r="V1513" s="3" t="s">
        <v>52</v>
      </c>
      <c r="W1513" s="3" t="s">
        <v>8912</v>
      </c>
      <c r="X1513" s="10" t="s">
        <v>8913</v>
      </c>
      <c r="Y1513" s="6" t="s">
        <v>108</v>
      </c>
      <c r="Z1513" s="4">
        <v>0.17</v>
      </c>
      <c r="AA1513" s="4">
        <v>2.84</v>
      </c>
      <c r="AB1513" s="3" t="s">
        <v>56</v>
      </c>
      <c r="AC1513" s="3" t="s">
        <v>8914</v>
      </c>
      <c r="AD1513" s="9">
        <v>44960</v>
      </c>
      <c r="AE1513" s="3" t="s">
        <v>143</v>
      </c>
      <c r="AF1513" s="3" t="s">
        <v>176</v>
      </c>
      <c r="AG1513" s="3" t="s">
        <v>81</v>
      </c>
      <c r="AH1513" s="11">
        <f>HYPERLINK("https://my.pitchbook.com?c=200267-92T","View Company Online")</f>
      </c>
    </row>
    <row r="1514">
      <c r="A1514" s="12" t="s">
        <v>8915</v>
      </c>
      <c r="B1514" s="12" t="s">
        <v>8916</v>
      </c>
      <c r="C1514" s="19" t="s">
        <v>36</v>
      </c>
      <c r="D1514" s="19">
        <v>2</v>
      </c>
      <c r="E1514" s="19">
        <v>1</v>
      </c>
      <c r="F1514" s="19">
        <v>7</v>
      </c>
      <c r="G1514" s="15" t="s">
        <v>683</v>
      </c>
      <c r="H1514" s="14">
        <v>2047.75</v>
      </c>
      <c r="I1514" s="18">
        <v>5.36</v>
      </c>
      <c r="J1514" s="12" t="s">
        <v>521</v>
      </c>
      <c r="K1514" s="13" t="s">
        <v>36</v>
      </c>
      <c r="L1514" s="15" t="s">
        <v>36</v>
      </c>
      <c r="M1514" s="12" t="s">
        <v>36</v>
      </c>
      <c r="N1514" s="12" t="s">
        <v>36</v>
      </c>
      <c r="O1514" s="17" t="s">
        <v>36</v>
      </c>
      <c r="P1514" s="12" t="s">
        <v>36</v>
      </c>
      <c r="Q1514" s="12" t="s">
        <v>36</v>
      </c>
      <c r="R1514" s="12" t="s">
        <v>36</v>
      </c>
      <c r="S1514" s="12" t="s">
        <v>36</v>
      </c>
      <c r="T1514" s="12" t="s">
        <v>8917</v>
      </c>
      <c r="U1514" s="12" t="s">
        <v>74</v>
      </c>
      <c r="V1514" s="12" t="s">
        <v>75</v>
      </c>
      <c r="W1514" s="12" t="s">
        <v>8918</v>
      </c>
      <c r="X1514" s="16" t="s">
        <v>8919</v>
      </c>
      <c r="Y1514" s="15" t="s">
        <v>108</v>
      </c>
      <c r="Z1514" s="14">
        <v>1.92</v>
      </c>
      <c r="AA1514" s="14">
        <v>35.85</v>
      </c>
      <c r="AB1514" s="12" t="s">
        <v>43</v>
      </c>
      <c r="AC1514" s="12" t="s">
        <v>8920</v>
      </c>
      <c r="AD1514" s="13">
        <v>44960</v>
      </c>
      <c r="AE1514" s="12" t="s">
        <v>570</v>
      </c>
      <c r="AF1514" s="12" t="s">
        <v>36</v>
      </c>
      <c r="AG1514" s="12" t="s">
        <v>8921</v>
      </c>
      <c r="AH1514" s="1">
        <f>HYPERLINK("https://my.pitchbook.com?c=219113-83T","View Company Online")</f>
      </c>
    </row>
    <row r="1515">
      <c r="A1515" s="3" t="s">
        <v>8922</v>
      </c>
      <c r="B1515" s="3" t="s">
        <v>8923</v>
      </c>
      <c r="C1515" s="5">
        <v>4</v>
      </c>
      <c r="D1515" s="5">
        <v>17</v>
      </c>
      <c r="E1515" s="5">
        <v>4</v>
      </c>
      <c r="F1515" s="5">
        <v>21</v>
      </c>
      <c r="G1515" s="6" t="s">
        <v>36</v>
      </c>
      <c r="H1515" s="4" t="s">
        <v>36</v>
      </c>
      <c r="I1515" s="7" t="s">
        <v>36</v>
      </c>
      <c r="J1515" s="3" t="s">
        <v>36</v>
      </c>
      <c r="K1515" s="9" t="s">
        <v>36</v>
      </c>
      <c r="L1515" s="6" t="s">
        <v>36</v>
      </c>
      <c r="M1515" s="3" t="s">
        <v>36</v>
      </c>
      <c r="N1515" s="3" t="s">
        <v>36</v>
      </c>
      <c r="O1515" s="8" t="s">
        <v>36</v>
      </c>
      <c r="P1515" s="3" t="s">
        <v>36</v>
      </c>
      <c r="Q1515" s="3" t="s">
        <v>36</v>
      </c>
      <c r="R1515" s="3" t="s">
        <v>36</v>
      </c>
      <c r="S1515" s="3" t="s">
        <v>36</v>
      </c>
      <c r="T1515" s="3" t="s">
        <v>3208</v>
      </c>
      <c r="U1515" s="3" t="s">
        <v>1798</v>
      </c>
      <c r="V1515" s="3" t="s">
        <v>39</v>
      </c>
      <c r="W1515" s="3" t="s">
        <v>8924</v>
      </c>
      <c r="X1515" s="10" t="s">
        <v>2869</v>
      </c>
      <c r="Y1515" s="6" t="s">
        <v>108</v>
      </c>
      <c r="Z1515" s="4">
        <v>4.54</v>
      </c>
      <c r="AA1515" s="4" t="s">
        <v>36</v>
      </c>
      <c r="AB1515" s="3" t="s">
        <v>56</v>
      </c>
      <c r="AC1515" s="3" t="s">
        <v>8925</v>
      </c>
      <c r="AD1515" s="9">
        <v>44960</v>
      </c>
      <c r="AE1515" s="3" t="s">
        <v>1802</v>
      </c>
      <c r="AF1515" s="3" t="s">
        <v>8926</v>
      </c>
      <c r="AG1515" s="3" t="s">
        <v>8927</v>
      </c>
      <c r="AH1515" s="11">
        <f>HYPERLINK("https://my.pitchbook.com?c=212324-05T","View Company Online")</f>
      </c>
    </row>
    <row r="1516">
      <c r="A1516" s="12" t="s">
        <v>8928</v>
      </c>
      <c r="B1516" s="12" t="s">
        <v>8929</v>
      </c>
      <c r="C1516" s="19" t="s">
        <v>36</v>
      </c>
      <c r="D1516" s="19" t="s">
        <v>36</v>
      </c>
      <c r="E1516" s="19" t="s">
        <v>36</v>
      </c>
      <c r="F1516" s="19" t="s">
        <v>36</v>
      </c>
      <c r="G1516" s="15" t="s">
        <v>36</v>
      </c>
      <c r="H1516" s="14">
        <v>1384.75</v>
      </c>
      <c r="I1516" s="18">
        <v>20</v>
      </c>
      <c r="J1516" s="12" t="s">
        <v>521</v>
      </c>
      <c r="K1516" s="13" t="s">
        <v>36</v>
      </c>
      <c r="L1516" s="15" t="s">
        <v>36</v>
      </c>
      <c r="M1516" s="12" t="s">
        <v>36</v>
      </c>
      <c r="N1516" s="12" t="s">
        <v>36</v>
      </c>
      <c r="O1516" s="17" t="s">
        <v>36</v>
      </c>
      <c r="P1516" s="12" t="s">
        <v>36</v>
      </c>
      <c r="Q1516" s="12" t="s">
        <v>36</v>
      </c>
      <c r="R1516" s="12" t="s">
        <v>36</v>
      </c>
      <c r="S1516" s="12" t="s">
        <v>36</v>
      </c>
      <c r="T1516" s="12" t="s">
        <v>8930</v>
      </c>
      <c r="U1516" s="12" t="s">
        <v>219</v>
      </c>
      <c r="V1516" s="12" t="s">
        <v>75</v>
      </c>
      <c r="W1516" s="12" t="s">
        <v>8931</v>
      </c>
      <c r="X1516" s="16" t="s">
        <v>8932</v>
      </c>
      <c r="Y1516" s="15" t="s">
        <v>42</v>
      </c>
      <c r="Z1516" s="14">
        <v>2.7</v>
      </c>
      <c r="AA1516" s="14">
        <v>13.5</v>
      </c>
      <c r="AB1516" s="12" t="s">
        <v>56</v>
      </c>
      <c r="AC1516" s="12" t="s">
        <v>8933</v>
      </c>
      <c r="AD1516" s="13">
        <v>44959</v>
      </c>
      <c r="AE1516" s="12" t="s">
        <v>243</v>
      </c>
      <c r="AF1516" s="12" t="s">
        <v>5236</v>
      </c>
      <c r="AG1516" s="12" t="s">
        <v>4172</v>
      </c>
      <c r="AH1516" s="1">
        <f>HYPERLINK("https://my.pitchbook.com?c=250261-48T","View Company Online")</f>
      </c>
    </row>
    <row r="1517">
      <c r="A1517" s="3" t="s">
        <v>8934</v>
      </c>
      <c r="B1517" s="3" t="s">
        <v>8935</v>
      </c>
      <c r="C1517" s="5" t="s">
        <v>36</v>
      </c>
      <c r="D1517" s="5" t="s">
        <v>36</v>
      </c>
      <c r="E1517" s="5" t="s">
        <v>36</v>
      </c>
      <c r="F1517" s="5" t="s">
        <v>36</v>
      </c>
      <c r="G1517" s="6" t="s">
        <v>683</v>
      </c>
      <c r="H1517" s="4">
        <v>2.13</v>
      </c>
      <c r="I1517" s="7">
        <v>11.57</v>
      </c>
      <c r="J1517" s="3" t="s">
        <v>521</v>
      </c>
      <c r="K1517" s="9" t="s">
        <v>36</v>
      </c>
      <c r="L1517" s="6" t="s">
        <v>36</v>
      </c>
      <c r="M1517" s="3" t="s">
        <v>36</v>
      </c>
      <c r="N1517" s="3" t="s">
        <v>36</v>
      </c>
      <c r="O1517" s="8" t="s">
        <v>36</v>
      </c>
      <c r="P1517" s="3" t="s">
        <v>36</v>
      </c>
      <c r="Q1517" s="3" t="s">
        <v>36</v>
      </c>
      <c r="R1517" s="3" t="s">
        <v>36</v>
      </c>
      <c r="S1517" s="3" t="s">
        <v>36</v>
      </c>
      <c r="T1517" s="3" t="s">
        <v>105</v>
      </c>
      <c r="U1517" s="3" t="s">
        <v>38</v>
      </c>
      <c r="V1517" s="3" t="s">
        <v>39</v>
      </c>
      <c r="W1517" s="3" t="s">
        <v>8936</v>
      </c>
      <c r="X1517" s="10" t="s">
        <v>8937</v>
      </c>
      <c r="Y1517" s="6" t="s">
        <v>108</v>
      </c>
      <c r="Z1517" s="4">
        <v>0.36</v>
      </c>
      <c r="AA1517" s="4">
        <v>3.12</v>
      </c>
      <c r="AB1517" s="3" t="s">
        <v>56</v>
      </c>
      <c r="AC1517" s="3" t="s">
        <v>8938</v>
      </c>
      <c r="AD1517" s="9">
        <v>44959</v>
      </c>
      <c r="AE1517" s="3" t="s">
        <v>110</v>
      </c>
      <c r="AF1517" s="3" t="s">
        <v>952</v>
      </c>
      <c r="AG1517" s="3" t="s">
        <v>8939</v>
      </c>
      <c r="AH1517" s="11">
        <f>HYPERLINK("https://my.pitchbook.com?c=219350-98T","View Company Online")</f>
      </c>
    </row>
    <row r="1518">
      <c r="A1518" s="12" t="s">
        <v>8940</v>
      </c>
      <c r="B1518" s="12" t="s">
        <v>8941</v>
      </c>
      <c r="C1518" s="19" t="s">
        <v>36</v>
      </c>
      <c r="D1518" s="19" t="s">
        <v>36</v>
      </c>
      <c r="E1518" s="19" t="s">
        <v>36</v>
      </c>
      <c r="F1518" s="19" t="s">
        <v>36</v>
      </c>
      <c r="G1518" s="15" t="s">
        <v>36</v>
      </c>
      <c r="H1518" s="14" t="s">
        <v>36</v>
      </c>
      <c r="I1518" s="18" t="s">
        <v>36</v>
      </c>
      <c r="J1518" s="12" t="s">
        <v>36</v>
      </c>
      <c r="K1518" s="13">
        <v>44764</v>
      </c>
      <c r="L1518" s="15" t="s">
        <v>36</v>
      </c>
      <c r="M1518" s="12" t="s">
        <v>36</v>
      </c>
      <c r="N1518" s="12" t="s">
        <v>36</v>
      </c>
      <c r="O1518" s="17" t="s">
        <v>36</v>
      </c>
      <c r="P1518" s="12" t="s">
        <v>36</v>
      </c>
      <c r="Q1518" s="12" t="s">
        <v>36</v>
      </c>
      <c r="R1518" s="12" t="s">
        <v>36</v>
      </c>
      <c r="S1518" s="12" t="s">
        <v>36</v>
      </c>
      <c r="T1518" s="12" t="s">
        <v>1253</v>
      </c>
      <c r="U1518" s="12" t="s">
        <v>38</v>
      </c>
      <c r="V1518" s="12" t="s">
        <v>39</v>
      </c>
      <c r="W1518" s="12" t="s">
        <v>8942</v>
      </c>
      <c r="X1518" s="16" t="s">
        <v>8943</v>
      </c>
      <c r="Y1518" s="15" t="s">
        <v>108</v>
      </c>
      <c r="Z1518" s="14">
        <v>1.19</v>
      </c>
      <c r="AA1518" s="14" t="s">
        <v>36</v>
      </c>
      <c r="AB1518" s="12" t="s">
        <v>43</v>
      </c>
      <c r="AC1518" s="12" t="s">
        <v>8944</v>
      </c>
      <c r="AD1518" s="13">
        <v>44959</v>
      </c>
      <c r="AE1518" s="12" t="s">
        <v>45</v>
      </c>
      <c r="AF1518" s="12" t="s">
        <v>331</v>
      </c>
      <c r="AG1518" s="12" t="s">
        <v>8945</v>
      </c>
      <c r="AH1518" s="1">
        <f>HYPERLINK("https://my.pitchbook.com?c=226956-88T","View Company Online")</f>
      </c>
    </row>
    <row r="1519">
      <c r="A1519" s="3" t="s">
        <v>8946</v>
      </c>
      <c r="B1519" s="3" t="s">
        <v>8947</v>
      </c>
      <c r="C1519" s="5">
        <v>2</v>
      </c>
      <c r="D1519" s="5">
        <v>1</v>
      </c>
      <c r="E1519" s="5">
        <v>2</v>
      </c>
      <c r="F1519" s="5">
        <v>6</v>
      </c>
      <c r="G1519" s="6" t="s">
        <v>36</v>
      </c>
      <c r="H1519" s="4">
        <v>24.54</v>
      </c>
      <c r="I1519" s="7">
        <v>18.09</v>
      </c>
      <c r="J1519" s="3" t="s">
        <v>521</v>
      </c>
      <c r="K1519" s="9" t="s">
        <v>36</v>
      </c>
      <c r="L1519" s="6" t="s">
        <v>36</v>
      </c>
      <c r="M1519" s="3" t="s">
        <v>36</v>
      </c>
      <c r="N1519" s="3" t="s">
        <v>36</v>
      </c>
      <c r="O1519" s="8" t="s">
        <v>36</v>
      </c>
      <c r="P1519" s="3" t="s">
        <v>36</v>
      </c>
      <c r="Q1519" s="3" t="s">
        <v>36</v>
      </c>
      <c r="R1519" s="3" t="s">
        <v>36</v>
      </c>
      <c r="S1519" s="3" t="s">
        <v>36</v>
      </c>
      <c r="T1519" s="3" t="s">
        <v>8948</v>
      </c>
      <c r="U1519" s="3" t="s">
        <v>1798</v>
      </c>
      <c r="V1519" s="3" t="s">
        <v>39</v>
      </c>
      <c r="W1519" s="3" t="s">
        <v>8949</v>
      </c>
      <c r="X1519" s="10" t="s">
        <v>8950</v>
      </c>
      <c r="Y1519" s="6" t="s">
        <v>192</v>
      </c>
      <c r="Z1519" s="4">
        <v>21.6</v>
      </c>
      <c r="AA1519" s="4">
        <v>62.58</v>
      </c>
      <c r="AB1519" s="3" t="s">
        <v>56</v>
      </c>
      <c r="AC1519" s="3" t="s">
        <v>8951</v>
      </c>
      <c r="AD1519" s="9">
        <v>44959</v>
      </c>
      <c r="AE1519" s="3" t="s">
        <v>5561</v>
      </c>
      <c r="AF1519" s="3" t="s">
        <v>8952</v>
      </c>
      <c r="AG1519" s="3" t="s">
        <v>969</v>
      </c>
      <c r="AH1519" s="11">
        <f>HYPERLINK("https://my.pitchbook.com?c=214339-24T","View Company Online")</f>
      </c>
    </row>
    <row r="1520">
      <c r="A1520" s="12" t="s">
        <v>8953</v>
      </c>
      <c r="B1520" s="12" t="s">
        <v>8954</v>
      </c>
      <c r="C1520" s="19" t="s">
        <v>36</v>
      </c>
      <c r="D1520" s="19" t="s">
        <v>36</v>
      </c>
      <c r="E1520" s="19" t="s">
        <v>36</v>
      </c>
      <c r="F1520" s="19" t="s">
        <v>36</v>
      </c>
      <c r="G1520" s="15" t="s">
        <v>326</v>
      </c>
      <c r="H1520" s="14">
        <v>44.36</v>
      </c>
      <c r="I1520" s="18">
        <v>23.48</v>
      </c>
      <c r="J1520" s="12" t="s">
        <v>521</v>
      </c>
      <c r="K1520" s="13" t="s">
        <v>36</v>
      </c>
      <c r="L1520" s="15" t="s">
        <v>36</v>
      </c>
      <c r="M1520" s="12" t="s">
        <v>36</v>
      </c>
      <c r="N1520" s="12" t="s">
        <v>36</v>
      </c>
      <c r="O1520" s="17" t="s">
        <v>36</v>
      </c>
      <c r="P1520" s="12" t="s">
        <v>36</v>
      </c>
      <c r="Q1520" s="12" t="s">
        <v>36</v>
      </c>
      <c r="R1520" s="12" t="s">
        <v>36</v>
      </c>
      <c r="S1520" s="12" t="s">
        <v>36</v>
      </c>
      <c r="T1520" s="12" t="s">
        <v>1701</v>
      </c>
      <c r="U1520" s="12" t="s">
        <v>74</v>
      </c>
      <c r="V1520" s="12" t="s">
        <v>75</v>
      </c>
      <c r="W1520" s="12" t="s">
        <v>8955</v>
      </c>
      <c r="X1520" s="16" t="s">
        <v>2433</v>
      </c>
      <c r="Y1520" s="15" t="s">
        <v>108</v>
      </c>
      <c r="Z1520" s="14">
        <v>1.62</v>
      </c>
      <c r="AA1520" s="14">
        <v>6.88</v>
      </c>
      <c r="AB1520" s="12" t="s">
        <v>43</v>
      </c>
      <c r="AC1520" s="12" t="s">
        <v>8956</v>
      </c>
      <c r="AD1520" s="13">
        <v>44959</v>
      </c>
      <c r="AE1520" s="12" t="s">
        <v>79</v>
      </c>
      <c r="AF1520" s="12" t="s">
        <v>1401</v>
      </c>
      <c r="AG1520" s="12" t="s">
        <v>81</v>
      </c>
      <c r="AH1520" s="1">
        <f>HYPERLINK("https://my.pitchbook.com?c=219891-97T","View Company Online")</f>
      </c>
    </row>
    <row r="1521">
      <c r="A1521" s="3" t="s">
        <v>8957</v>
      </c>
      <c r="B1521" s="3" t="s">
        <v>7487</v>
      </c>
      <c r="C1521" s="5">
        <v>1</v>
      </c>
      <c r="D1521" s="5" t="s">
        <v>36</v>
      </c>
      <c r="E1521" s="5">
        <v>1</v>
      </c>
      <c r="F1521" s="5">
        <v>1</v>
      </c>
      <c r="G1521" s="6" t="s">
        <v>36</v>
      </c>
      <c r="H1521" s="4">
        <v>87.72</v>
      </c>
      <c r="I1521" s="7">
        <v>25.47</v>
      </c>
      <c r="J1521" s="3" t="s">
        <v>521</v>
      </c>
      <c r="K1521" s="9" t="s">
        <v>36</v>
      </c>
      <c r="L1521" s="6" t="s">
        <v>36</v>
      </c>
      <c r="M1521" s="3" t="s">
        <v>36</v>
      </c>
      <c r="N1521" s="3" t="s">
        <v>36</v>
      </c>
      <c r="O1521" s="8" t="s">
        <v>36</v>
      </c>
      <c r="P1521" s="3" t="s">
        <v>36</v>
      </c>
      <c r="Q1521" s="3" t="s">
        <v>36</v>
      </c>
      <c r="R1521" s="3" t="s">
        <v>36</v>
      </c>
      <c r="S1521" s="3" t="s">
        <v>36</v>
      </c>
      <c r="T1521" s="3" t="s">
        <v>1628</v>
      </c>
      <c r="U1521" s="3" t="s">
        <v>96</v>
      </c>
      <c r="V1521" s="3" t="s">
        <v>52</v>
      </c>
      <c r="W1521" s="3" t="s">
        <v>7488</v>
      </c>
      <c r="X1521" s="10" t="s">
        <v>8958</v>
      </c>
      <c r="Y1521" s="6" t="s">
        <v>42</v>
      </c>
      <c r="Z1521" s="4">
        <v>1.56</v>
      </c>
      <c r="AA1521" s="4">
        <v>6.12</v>
      </c>
      <c r="AB1521" s="3" t="s">
        <v>43</v>
      </c>
      <c r="AC1521" s="3" t="s">
        <v>7490</v>
      </c>
      <c r="AD1521" s="9">
        <v>44959</v>
      </c>
      <c r="AE1521" s="3" t="s">
        <v>755</v>
      </c>
      <c r="AF1521" s="3" t="s">
        <v>159</v>
      </c>
      <c r="AG1521" s="3" t="s">
        <v>969</v>
      </c>
      <c r="AH1521" s="11">
        <f>HYPERLINK("https://my.pitchbook.com?c=220266-64T","View Company Online")</f>
      </c>
    </row>
    <row r="1522">
      <c r="A1522" s="12" t="s">
        <v>8959</v>
      </c>
      <c r="B1522" s="12" t="s">
        <v>8960</v>
      </c>
      <c r="C1522" s="19" t="s">
        <v>36</v>
      </c>
      <c r="D1522" s="19">
        <v>1</v>
      </c>
      <c r="E1522" s="19">
        <v>1</v>
      </c>
      <c r="F1522" s="19">
        <v>2</v>
      </c>
      <c r="G1522" s="15" t="s">
        <v>683</v>
      </c>
      <c r="H1522" s="14">
        <v>31.07</v>
      </c>
      <c r="I1522" s="18">
        <v>20.62</v>
      </c>
      <c r="J1522" s="12" t="s">
        <v>521</v>
      </c>
      <c r="K1522" s="13" t="s">
        <v>36</v>
      </c>
      <c r="L1522" s="15" t="s">
        <v>36</v>
      </c>
      <c r="M1522" s="12" t="s">
        <v>36</v>
      </c>
      <c r="N1522" s="12" t="s">
        <v>36</v>
      </c>
      <c r="O1522" s="17" t="s">
        <v>36</v>
      </c>
      <c r="P1522" s="12" t="s">
        <v>36</v>
      </c>
      <c r="Q1522" s="12" t="s">
        <v>36</v>
      </c>
      <c r="R1522" s="12" t="s">
        <v>36</v>
      </c>
      <c r="S1522" s="12" t="s">
        <v>36</v>
      </c>
      <c r="T1522" s="12" t="s">
        <v>8961</v>
      </c>
      <c r="U1522" s="12" t="s">
        <v>38</v>
      </c>
      <c r="V1522" s="12" t="s">
        <v>39</v>
      </c>
      <c r="W1522" s="12" t="s">
        <v>8962</v>
      </c>
      <c r="X1522" s="16" t="s">
        <v>5723</v>
      </c>
      <c r="Y1522" s="15" t="s">
        <v>55</v>
      </c>
      <c r="Z1522" s="14">
        <v>1.49</v>
      </c>
      <c r="AA1522" s="14">
        <v>7.21</v>
      </c>
      <c r="AB1522" s="12" t="s">
        <v>56</v>
      </c>
      <c r="AC1522" s="12" t="s">
        <v>8963</v>
      </c>
      <c r="AD1522" s="13">
        <v>44959</v>
      </c>
      <c r="AE1522" s="12" t="s">
        <v>554</v>
      </c>
      <c r="AF1522" s="12" t="s">
        <v>6347</v>
      </c>
      <c r="AG1522" s="12" t="s">
        <v>8964</v>
      </c>
      <c r="AH1522" s="1">
        <f>HYPERLINK("https://my.pitchbook.com?c=203628-07T","View Company Online")</f>
      </c>
    </row>
    <row r="1523">
      <c r="A1523" s="3" t="s">
        <v>8965</v>
      </c>
      <c r="B1523" s="3" t="s">
        <v>1271</v>
      </c>
      <c r="C1523" s="5" t="s">
        <v>36</v>
      </c>
      <c r="D1523" s="5" t="s">
        <v>36</v>
      </c>
      <c r="E1523" s="5" t="s">
        <v>36</v>
      </c>
      <c r="F1523" s="5" t="s">
        <v>36</v>
      </c>
      <c r="G1523" s="6" t="s">
        <v>36</v>
      </c>
      <c r="H1523" s="4">
        <v>103.86</v>
      </c>
      <c r="I1523" s="7">
        <v>49.79</v>
      </c>
      <c r="J1523" s="3" t="s">
        <v>521</v>
      </c>
      <c r="K1523" s="9" t="s">
        <v>36</v>
      </c>
      <c r="L1523" s="6" t="s">
        <v>122</v>
      </c>
      <c r="M1523" s="3" t="s">
        <v>36</v>
      </c>
      <c r="N1523" s="3" t="s">
        <v>122</v>
      </c>
      <c r="O1523" s="8" t="s">
        <v>36</v>
      </c>
      <c r="P1523" s="3" t="s">
        <v>36</v>
      </c>
      <c r="Q1523" s="3" t="s">
        <v>36</v>
      </c>
      <c r="R1523" s="3" t="s">
        <v>36</v>
      </c>
      <c r="S1523" s="3" t="s">
        <v>36</v>
      </c>
      <c r="T1523" s="3" t="s">
        <v>881</v>
      </c>
      <c r="U1523" s="3" t="s">
        <v>51</v>
      </c>
      <c r="V1523" s="3" t="s">
        <v>52</v>
      </c>
      <c r="W1523" s="3" t="s">
        <v>1272</v>
      </c>
      <c r="X1523" s="10" t="s">
        <v>8966</v>
      </c>
      <c r="Y1523" s="6" t="s">
        <v>55</v>
      </c>
      <c r="Z1523" s="4">
        <v>8.96</v>
      </c>
      <c r="AA1523" s="4">
        <v>18</v>
      </c>
      <c r="AB1523" s="3" t="s">
        <v>56</v>
      </c>
      <c r="AC1523" s="3" t="s">
        <v>1274</v>
      </c>
      <c r="AD1523" s="9">
        <v>44958</v>
      </c>
      <c r="AE1523" s="3" t="s">
        <v>504</v>
      </c>
      <c r="AF1523" s="3" t="s">
        <v>1275</v>
      </c>
      <c r="AG1523" s="3" t="s">
        <v>1276</v>
      </c>
      <c r="AH1523" s="11">
        <f>HYPERLINK("https://my.pitchbook.com?c=258226-84T","View Company Online")</f>
      </c>
    </row>
    <row r="1524">
      <c r="A1524" s="12" t="s">
        <v>8967</v>
      </c>
      <c r="B1524" s="12" t="s">
        <v>2630</v>
      </c>
      <c r="C1524" s="19">
        <v>4</v>
      </c>
      <c r="D1524" s="19">
        <v>2</v>
      </c>
      <c r="E1524" s="19">
        <v>3</v>
      </c>
      <c r="F1524" s="19">
        <v>7</v>
      </c>
      <c r="G1524" s="15" t="s">
        <v>36</v>
      </c>
      <c r="H1524" s="14" t="s">
        <v>36</v>
      </c>
      <c r="I1524" s="18" t="s">
        <v>36</v>
      </c>
      <c r="J1524" s="12" t="s">
        <v>36</v>
      </c>
      <c r="K1524" s="13" t="s">
        <v>36</v>
      </c>
      <c r="L1524" s="15" t="s">
        <v>36</v>
      </c>
      <c r="M1524" s="12" t="s">
        <v>36</v>
      </c>
      <c r="N1524" s="12" t="s">
        <v>36</v>
      </c>
      <c r="O1524" s="17" t="s">
        <v>36</v>
      </c>
      <c r="P1524" s="12" t="s">
        <v>36</v>
      </c>
      <c r="Q1524" s="12" t="s">
        <v>36</v>
      </c>
      <c r="R1524" s="12" t="s">
        <v>36</v>
      </c>
      <c r="S1524" s="12" t="s">
        <v>36</v>
      </c>
      <c r="T1524" s="12" t="s">
        <v>2631</v>
      </c>
      <c r="U1524" s="12" t="s">
        <v>96</v>
      </c>
      <c r="V1524" s="12" t="s">
        <v>52</v>
      </c>
      <c r="W1524" s="12" t="s">
        <v>2632</v>
      </c>
      <c r="X1524" s="16" t="s">
        <v>577</v>
      </c>
      <c r="Y1524" s="15" t="s">
        <v>55</v>
      </c>
      <c r="Z1524" s="14" t="s">
        <v>36</v>
      </c>
      <c r="AA1524" s="14" t="s">
        <v>36</v>
      </c>
      <c r="AB1524" s="12" t="s">
        <v>56</v>
      </c>
      <c r="AC1524" s="12" t="s">
        <v>2634</v>
      </c>
      <c r="AD1524" s="13">
        <v>44958</v>
      </c>
      <c r="AE1524" s="12" t="s">
        <v>100</v>
      </c>
      <c r="AF1524" s="12" t="s">
        <v>2635</v>
      </c>
      <c r="AG1524" s="12" t="s">
        <v>2636</v>
      </c>
      <c r="AH1524" s="1">
        <f>HYPERLINK("https://my.pitchbook.com?c=215344-27T","View Company Online")</f>
      </c>
    </row>
    <row r="1525">
      <c r="A1525" s="3" t="s">
        <v>8968</v>
      </c>
      <c r="B1525" s="3" t="s">
        <v>8969</v>
      </c>
      <c r="C1525" s="5" t="s">
        <v>36</v>
      </c>
      <c r="D1525" s="5" t="s">
        <v>36</v>
      </c>
      <c r="E1525" s="5" t="s">
        <v>36</v>
      </c>
      <c r="F1525" s="5" t="s">
        <v>36</v>
      </c>
      <c r="G1525" s="6" t="s">
        <v>36</v>
      </c>
      <c r="H1525" s="4">
        <v>2.08</v>
      </c>
      <c r="I1525" s="7">
        <v>23.62</v>
      </c>
      <c r="J1525" s="3" t="s">
        <v>521</v>
      </c>
      <c r="K1525" s="9" t="s">
        <v>36</v>
      </c>
      <c r="L1525" s="6" t="s">
        <v>36</v>
      </c>
      <c r="M1525" s="3" t="s">
        <v>36</v>
      </c>
      <c r="N1525" s="3" t="s">
        <v>36</v>
      </c>
      <c r="O1525" s="8" t="s">
        <v>36</v>
      </c>
      <c r="P1525" s="3" t="s">
        <v>36</v>
      </c>
      <c r="Q1525" s="3" t="s">
        <v>36</v>
      </c>
      <c r="R1525" s="3" t="s">
        <v>36</v>
      </c>
      <c r="S1525" s="3" t="s">
        <v>36</v>
      </c>
      <c r="T1525" s="3" t="s">
        <v>935</v>
      </c>
      <c r="U1525" s="3" t="s">
        <v>63</v>
      </c>
      <c r="V1525" s="3" t="s">
        <v>64</v>
      </c>
      <c r="W1525" s="3" t="s">
        <v>8970</v>
      </c>
      <c r="X1525" s="10" t="s">
        <v>8971</v>
      </c>
      <c r="Y1525" s="6" t="s">
        <v>42</v>
      </c>
      <c r="Z1525" s="4">
        <v>0.23</v>
      </c>
      <c r="AA1525" s="4">
        <v>0.98</v>
      </c>
      <c r="AB1525" s="3" t="s">
        <v>43</v>
      </c>
      <c r="AC1525" s="3" t="s">
        <v>8972</v>
      </c>
      <c r="AD1525" s="9">
        <v>44958</v>
      </c>
      <c r="AE1525" s="3" t="s">
        <v>399</v>
      </c>
      <c r="AF1525" s="3" t="s">
        <v>36</v>
      </c>
      <c r="AG1525" s="3" t="s">
        <v>2534</v>
      </c>
      <c r="AH1525" s="11">
        <f>HYPERLINK("https://my.pitchbook.com?c=215391-07T","View Company Online")</f>
      </c>
    </row>
    <row r="1526">
      <c r="A1526" s="12" t="s">
        <v>8973</v>
      </c>
      <c r="B1526" s="12" t="s">
        <v>8974</v>
      </c>
      <c r="C1526" s="19" t="s">
        <v>36</v>
      </c>
      <c r="D1526" s="19" t="s">
        <v>36</v>
      </c>
      <c r="E1526" s="19" t="s">
        <v>36</v>
      </c>
      <c r="F1526" s="19" t="s">
        <v>36</v>
      </c>
      <c r="G1526" s="15" t="s">
        <v>36</v>
      </c>
      <c r="H1526" s="14" t="s">
        <v>36</v>
      </c>
      <c r="I1526" s="18" t="s">
        <v>36</v>
      </c>
      <c r="J1526" s="12" t="s">
        <v>36</v>
      </c>
      <c r="K1526" s="13" t="s">
        <v>36</v>
      </c>
      <c r="L1526" s="15" t="s">
        <v>36</v>
      </c>
      <c r="M1526" s="12" t="s">
        <v>36</v>
      </c>
      <c r="N1526" s="12" t="s">
        <v>36</v>
      </c>
      <c r="O1526" s="17" t="s">
        <v>36</v>
      </c>
      <c r="P1526" s="12" t="s">
        <v>36</v>
      </c>
      <c r="Q1526" s="12" t="s">
        <v>36</v>
      </c>
      <c r="R1526" s="12" t="s">
        <v>36</v>
      </c>
      <c r="S1526" s="12" t="s">
        <v>36</v>
      </c>
      <c r="T1526" s="12" t="s">
        <v>522</v>
      </c>
      <c r="U1526" s="12" t="s">
        <v>38</v>
      </c>
      <c r="V1526" s="12" t="s">
        <v>39</v>
      </c>
      <c r="W1526" s="12" t="s">
        <v>8975</v>
      </c>
      <c r="X1526" s="16" t="s">
        <v>8976</v>
      </c>
      <c r="Y1526" s="15" t="s">
        <v>42</v>
      </c>
      <c r="Z1526" s="14">
        <v>15.64</v>
      </c>
      <c r="AA1526" s="14" t="s">
        <v>36</v>
      </c>
      <c r="AB1526" s="12" t="s">
        <v>56</v>
      </c>
      <c r="AC1526" s="12" t="s">
        <v>8977</v>
      </c>
      <c r="AD1526" s="13">
        <v>44958</v>
      </c>
      <c r="AE1526" s="12" t="s">
        <v>110</v>
      </c>
      <c r="AF1526" s="12" t="s">
        <v>176</v>
      </c>
      <c r="AG1526" s="12" t="s">
        <v>81</v>
      </c>
      <c r="AH1526" s="1">
        <f>HYPERLINK("https://my.pitchbook.com?c=214624-27T","View Company Online")</f>
      </c>
    </row>
    <row r="1527">
      <c r="A1527" s="3" t="s">
        <v>8978</v>
      </c>
      <c r="B1527" s="3" t="s">
        <v>8979</v>
      </c>
      <c r="C1527" s="5">
        <v>1</v>
      </c>
      <c r="D1527" s="5">
        <v>13</v>
      </c>
      <c r="E1527" s="5">
        <v>3</v>
      </c>
      <c r="F1527" s="5">
        <v>18</v>
      </c>
      <c r="G1527" s="6" t="s">
        <v>36</v>
      </c>
      <c r="H1527" s="4" t="s">
        <v>36</v>
      </c>
      <c r="I1527" s="7" t="s">
        <v>36</v>
      </c>
      <c r="J1527" s="3" t="s">
        <v>36</v>
      </c>
      <c r="K1527" s="9" t="s">
        <v>36</v>
      </c>
      <c r="L1527" s="6" t="s">
        <v>36</v>
      </c>
      <c r="M1527" s="3" t="s">
        <v>36</v>
      </c>
      <c r="N1527" s="3" t="s">
        <v>36</v>
      </c>
      <c r="O1527" s="8" t="s">
        <v>36</v>
      </c>
      <c r="P1527" s="3" t="s">
        <v>36</v>
      </c>
      <c r="Q1527" s="3" t="s">
        <v>36</v>
      </c>
      <c r="R1527" s="3" t="s">
        <v>36</v>
      </c>
      <c r="S1527" s="3" t="s">
        <v>36</v>
      </c>
      <c r="T1527" s="3" t="s">
        <v>8980</v>
      </c>
      <c r="U1527" s="3" t="s">
        <v>366</v>
      </c>
      <c r="V1527" s="3" t="s">
        <v>367</v>
      </c>
      <c r="W1527" s="3" t="s">
        <v>8981</v>
      </c>
      <c r="X1527" s="10" t="s">
        <v>8982</v>
      </c>
      <c r="Y1527" s="6" t="s">
        <v>55</v>
      </c>
      <c r="Z1527" s="4" t="s">
        <v>36</v>
      </c>
      <c r="AA1527" s="4" t="s">
        <v>36</v>
      </c>
      <c r="AB1527" s="3" t="s">
        <v>56</v>
      </c>
      <c r="AC1527" s="3" t="s">
        <v>8983</v>
      </c>
      <c r="AD1527" s="9">
        <v>44958</v>
      </c>
      <c r="AE1527" s="3" t="s">
        <v>7565</v>
      </c>
      <c r="AF1527" s="3" t="s">
        <v>3274</v>
      </c>
      <c r="AG1527" s="3" t="s">
        <v>81</v>
      </c>
      <c r="AH1527" s="11">
        <f>HYPERLINK("https://my.pitchbook.com?c=214623-46T","View Company Online")</f>
      </c>
    </row>
    <row r="1528">
      <c r="A1528" s="12" t="s">
        <v>8984</v>
      </c>
      <c r="B1528" s="12" t="s">
        <v>8985</v>
      </c>
      <c r="C1528" s="19" t="s">
        <v>36</v>
      </c>
      <c r="D1528" s="19" t="s">
        <v>36</v>
      </c>
      <c r="E1528" s="19" t="s">
        <v>36</v>
      </c>
      <c r="F1528" s="19" t="s">
        <v>36</v>
      </c>
      <c r="G1528" s="15" t="s">
        <v>36</v>
      </c>
      <c r="H1528" s="14" t="s">
        <v>36</v>
      </c>
      <c r="I1528" s="18" t="s">
        <v>36</v>
      </c>
      <c r="J1528" s="12" t="s">
        <v>36</v>
      </c>
      <c r="K1528" s="13" t="s">
        <v>36</v>
      </c>
      <c r="L1528" s="15" t="s">
        <v>36</v>
      </c>
      <c r="M1528" s="12" t="s">
        <v>36</v>
      </c>
      <c r="N1528" s="12" t="s">
        <v>36</v>
      </c>
      <c r="O1528" s="17" t="s">
        <v>36</v>
      </c>
      <c r="P1528" s="12" t="s">
        <v>36</v>
      </c>
      <c r="Q1528" s="12" t="s">
        <v>36</v>
      </c>
      <c r="R1528" s="12" t="s">
        <v>36</v>
      </c>
      <c r="S1528" s="12" t="s">
        <v>36</v>
      </c>
      <c r="T1528" s="12" t="s">
        <v>8986</v>
      </c>
      <c r="U1528" s="12" t="s">
        <v>38</v>
      </c>
      <c r="V1528" s="12" t="s">
        <v>39</v>
      </c>
      <c r="W1528" s="12" t="s">
        <v>8987</v>
      </c>
      <c r="X1528" s="16" t="s">
        <v>1427</v>
      </c>
      <c r="Y1528" s="15" t="s">
        <v>42</v>
      </c>
      <c r="Z1528" s="14" t="s">
        <v>36</v>
      </c>
      <c r="AA1528" s="14" t="s">
        <v>36</v>
      </c>
      <c r="AB1528" s="12" t="s">
        <v>43</v>
      </c>
      <c r="AC1528" s="12" t="s">
        <v>8988</v>
      </c>
      <c r="AD1528" s="13">
        <v>44958</v>
      </c>
      <c r="AE1528" s="12" t="s">
        <v>1330</v>
      </c>
      <c r="AF1528" s="12" t="s">
        <v>176</v>
      </c>
      <c r="AG1528" s="12" t="s">
        <v>8989</v>
      </c>
      <c r="AH1528" s="1">
        <f>HYPERLINK("https://my.pitchbook.com?c=215903-80T","View Company Online")</f>
      </c>
    </row>
    <row r="1529">
      <c r="A1529" s="3" t="s">
        <v>8990</v>
      </c>
      <c r="B1529" s="3" t="s">
        <v>8991</v>
      </c>
      <c r="C1529" s="5" t="s">
        <v>36</v>
      </c>
      <c r="D1529" s="5" t="s">
        <v>36</v>
      </c>
      <c r="E1529" s="5" t="s">
        <v>36</v>
      </c>
      <c r="F1529" s="5" t="s">
        <v>36</v>
      </c>
      <c r="G1529" s="6" t="s">
        <v>36</v>
      </c>
      <c r="H1529" s="4" t="s">
        <v>36</v>
      </c>
      <c r="I1529" s="7" t="s">
        <v>36</v>
      </c>
      <c r="J1529" s="3" t="s">
        <v>36</v>
      </c>
      <c r="K1529" s="9" t="s">
        <v>36</v>
      </c>
      <c r="L1529" s="6" t="s">
        <v>36</v>
      </c>
      <c r="M1529" s="3" t="s">
        <v>36</v>
      </c>
      <c r="N1529" s="3" t="s">
        <v>36</v>
      </c>
      <c r="O1529" s="8" t="s">
        <v>36</v>
      </c>
      <c r="P1529" s="3" t="s">
        <v>36</v>
      </c>
      <c r="Q1529" s="3" t="s">
        <v>36</v>
      </c>
      <c r="R1529" s="3" t="s">
        <v>36</v>
      </c>
      <c r="S1529" s="3" t="s">
        <v>36</v>
      </c>
      <c r="T1529" s="3" t="s">
        <v>2925</v>
      </c>
      <c r="U1529" s="3" t="s">
        <v>38</v>
      </c>
      <c r="V1529" s="3" t="s">
        <v>39</v>
      </c>
      <c r="W1529" s="3" t="s">
        <v>8992</v>
      </c>
      <c r="X1529" s="10" t="s">
        <v>1427</v>
      </c>
      <c r="Y1529" s="6" t="s">
        <v>42</v>
      </c>
      <c r="Z1529" s="4" t="s">
        <v>36</v>
      </c>
      <c r="AA1529" s="4" t="s">
        <v>36</v>
      </c>
      <c r="AB1529" s="3" t="s">
        <v>56</v>
      </c>
      <c r="AC1529" s="3" t="s">
        <v>8993</v>
      </c>
      <c r="AD1529" s="9">
        <v>44958</v>
      </c>
      <c r="AE1529" s="3" t="s">
        <v>110</v>
      </c>
      <c r="AF1529" s="3" t="s">
        <v>176</v>
      </c>
      <c r="AG1529" s="3" t="s">
        <v>899</v>
      </c>
      <c r="AH1529" s="11">
        <f>HYPERLINK("https://my.pitchbook.com?c=215641-99T","View Company Online")</f>
      </c>
    </row>
    <row r="1530">
      <c r="A1530" s="12" t="s">
        <v>8994</v>
      </c>
      <c r="B1530" s="12" t="s">
        <v>3849</v>
      </c>
      <c r="C1530" s="19">
        <v>1</v>
      </c>
      <c r="D1530" s="19" t="s">
        <v>36</v>
      </c>
      <c r="E1530" s="19">
        <v>1</v>
      </c>
      <c r="F1530" s="19">
        <v>1</v>
      </c>
      <c r="G1530" s="15" t="s">
        <v>326</v>
      </c>
      <c r="H1530" s="14" t="s">
        <v>36</v>
      </c>
      <c r="I1530" s="18" t="s">
        <v>36</v>
      </c>
      <c r="J1530" s="12" t="s">
        <v>521</v>
      </c>
      <c r="K1530" s="13" t="s">
        <v>36</v>
      </c>
      <c r="L1530" s="15" t="s">
        <v>36</v>
      </c>
      <c r="M1530" s="12" t="s">
        <v>36</v>
      </c>
      <c r="N1530" s="12" t="s">
        <v>36</v>
      </c>
      <c r="O1530" s="17" t="s">
        <v>36</v>
      </c>
      <c r="P1530" s="12" t="s">
        <v>36</v>
      </c>
      <c r="Q1530" s="12" t="s">
        <v>36</v>
      </c>
      <c r="R1530" s="12" t="s">
        <v>36</v>
      </c>
      <c r="S1530" s="12" t="s">
        <v>36</v>
      </c>
      <c r="T1530" s="12" t="s">
        <v>3850</v>
      </c>
      <c r="U1530" s="12" t="s">
        <v>1580</v>
      </c>
      <c r="V1530" s="12" t="s">
        <v>39</v>
      </c>
      <c r="W1530" s="12" t="s">
        <v>3851</v>
      </c>
      <c r="X1530" s="16" t="s">
        <v>8995</v>
      </c>
      <c r="Y1530" s="15" t="s">
        <v>192</v>
      </c>
      <c r="Z1530" s="14">
        <v>1.42</v>
      </c>
      <c r="AA1530" s="14">
        <v>19.42</v>
      </c>
      <c r="AB1530" s="12" t="s">
        <v>43</v>
      </c>
      <c r="AC1530" s="12" t="s">
        <v>3853</v>
      </c>
      <c r="AD1530" s="13">
        <v>44958</v>
      </c>
      <c r="AE1530" s="12" t="s">
        <v>3854</v>
      </c>
      <c r="AF1530" s="12" t="s">
        <v>36</v>
      </c>
      <c r="AG1530" s="12" t="s">
        <v>924</v>
      </c>
      <c r="AH1530" s="1">
        <f>HYPERLINK("https://my.pitchbook.com?c=226804-96T","View Company Online")</f>
      </c>
    </row>
    <row r="1531">
      <c r="A1531" s="3" t="s">
        <v>8996</v>
      </c>
      <c r="B1531" s="3" t="s">
        <v>8997</v>
      </c>
      <c r="C1531" s="5" t="s">
        <v>36</v>
      </c>
      <c r="D1531" s="5" t="s">
        <v>36</v>
      </c>
      <c r="E1531" s="5" t="s">
        <v>36</v>
      </c>
      <c r="F1531" s="5" t="s">
        <v>36</v>
      </c>
      <c r="G1531" s="6" t="s">
        <v>36</v>
      </c>
      <c r="H1531" s="4" t="s">
        <v>36</v>
      </c>
      <c r="I1531" s="7" t="s">
        <v>36</v>
      </c>
      <c r="J1531" s="3" t="s">
        <v>36</v>
      </c>
      <c r="K1531" s="9" t="s">
        <v>36</v>
      </c>
      <c r="L1531" s="6" t="s">
        <v>36</v>
      </c>
      <c r="M1531" s="3" t="s">
        <v>36</v>
      </c>
      <c r="N1531" s="3" t="s">
        <v>36</v>
      </c>
      <c r="O1531" s="8" t="s">
        <v>36</v>
      </c>
      <c r="P1531" s="3" t="s">
        <v>36</v>
      </c>
      <c r="Q1531" s="3" t="s">
        <v>36</v>
      </c>
      <c r="R1531" s="3" t="s">
        <v>36</v>
      </c>
      <c r="S1531" s="3" t="s">
        <v>36</v>
      </c>
      <c r="T1531" s="3" t="s">
        <v>472</v>
      </c>
      <c r="U1531" s="3" t="s">
        <v>38</v>
      </c>
      <c r="V1531" s="3" t="s">
        <v>39</v>
      </c>
      <c r="W1531" s="3" t="s">
        <v>8998</v>
      </c>
      <c r="X1531" s="10" t="s">
        <v>8999</v>
      </c>
      <c r="Y1531" s="6" t="s">
        <v>55</v>
      </c>
      <c r="Z1531" s="4">
        <v>3.24</v>
      </c>
      <c r="AA1531" s="4" t="s">
        <v>36</v>
      </c>
      <c r="AB1531" s="3" t="s">
        <v>43</v>
      </c>
      <c r="AC1531" s="3" t="s">
        <v>9000</v>
      </c>
      <c r="AD1531" s="9">
        <v>44958</v>
      </c>
      <c r="AE1531" s="3" t="s">
        <v>110</v>
      </c>
      <c r="AF1531" s="3" t="s">
        <v>9001</v>
      </c>
      <c r="AG1531" s="3" t="s">
        <v>8939</v>
      </c>
      <c r="AH1531" s="11">
        <f>HYPERLINK("https://my.pitchbook.com?c=217185-04T","View Company Online")</f>
      </c>
    </row>
    <row r="1532">
      <c r="A1532" s="12" t="s">
        <v>9002</v>
      </c>
      <c r="B1532" s="12" t="s">
        <v>9003</v>
      </c>
      <c r="C1532" s="19" t="s">
        <v>36</v>
      </c>
      <c r="D1532" s="19" t="s">
        <v>36</v>
      </c>
      <c r="E1532" s="19" t="s">
        <v>36</v>
      </c>
      <c r="F1532" s="19" t="s">
        <v>36</v>
      </c>
      <c r="G1532" s="15" t="s">
        <v>326</v>
      </c>
      <c r="H1532" s="14">
        <v>5.88</v>
      </c>
      <c r="I1532" s="18">
        <v>8.62</v>
      </c>
      <c r="J1532" s="12" t="s">
        <v>521</v>
      </c>
      <c r="K1532" s="13">
        <v>43862</v>
      </c>
      <c r="L1532" s="15" t="s">
        <v>36</v>
      </c>
      <c r="M1532" s="12" t="s">
        <v>36</v>
      </c>
      <c r="N1532" s="12" t="s">
        <v>36</v>
      </c>
      <c r="O1532" s="17" t="s">
        <v>36</v>
      </c>
      <c r="P1532" s="12" t="s">
        <v>36</v>
      </c>
      <c r="Q1532" s="12" t="s">
        <v>36</v>
      </c>
      <c r="R1532" s="12" t="s">
        <v>36</v>
      </c>
      <c r="S1532" s="12" t="s">
        <v>36</v>
      </c>
      <c r="T1532" s="12" t="s">
        <v>115</v>
      </c>
      <c r="U1532" s="12" t="s">
        <v>63</v>
      </c>
      <c r="V1532" s="12" t="s">
        <v>64</v>
      </c>
      <c r="W1532" s="12" t="s">
        <v>9004</v>
      </c>
      <c r="X1532" s="16" t="s">
        <v>9005</v>
      </c>
      <c r="Y1532" s="15" t="s">
        <v>108</v>
      </c>
      <c r="Z1532" s="14">
        <v>0.86</v>
      </c>
      <c r="AA1532" s="14">
        <v>10.02</v>
      </c>
      <c r="AB1532" s="12" t="s">
        <v>56</v>
      </c>
      <c r="AC1532" s="12" t="s">
        <v>9006</v>
      </c>
      <c r="AD1532" s="13">
        <v>44958</v>
      </c>
      <c r="AE1532" s="12" t="s">
        <v>68</v>
      </c>
      <c r="AF1532" s="12" t="s">
        <v>118</v>
      </c>
      <c r="AG1532" s="12" t="s">
        <v>2299</v>
      </c>
      <c r="AH1532" s="1">
        <f>HYPERLINK("https://my.pitchbook.com?c=167169-34T","View Company Online")</f>
      </c>
    </row>
    <row r="1533">
      <c r="A1533" s="3" t="s">
        <v>9007</v>
      </c>
      <c r="B1533" s="3" t="s">
        <v>9008</v>
      </c>
      <c r="C1533" s="5" t="s">
        <v>36</v>
      </c>
      <c r="D1533" s="5" t="s">
        <v>36</v>
      </c>
      <c r="E1533" s="5" t="s">
        <v>36</v>
      </c>
      <c r="F1533" s="5" t="s">
        <v>36</v>
      </c>
      <c r="G1533" s="6" t="s">
        <v>36</v>
      </c>
      <c r="H1533" s="4" t="s">
        <v>36</v>
      </c>
      <c r="I1533" s="7" t="s">
        <v>36</v>
      </c>
      <c r="J1533" s="3" t="s">
        <v>36</v>
      </c>
      <c r="K1533" s="9" t="s">
        <v>36</v>
      </c>
      <c r="L1533" s="6" t="s">
        <v>36</v>
      </c>
      <c r="M1533" s="3" t="s">
        <v>36</v>
      </c>
      <c r="N1533" s="3" t="s">
        <v>36</v>
      </c>
      <c r="O1533" s="8" t="s">
        <v>36</v>
      </c>
      <c r="P1533" s="3" t="s">
        <v>36</v>
      </c>
      <c r="Q1533" s="3" t="s">
        <v>36</v>
      </c>
      <c r="R1533" s="3" t="s">
        <v>36</v>
      </c>
      <c r="S1533" s="3" t="s">
        <v>36</v>
      </c>
      <c r="T1533" s="3" t="s">
        <v>9009</v>
      </c>
      <c r="U1533" s="3" t="s">
        <v>38</v>
      </c>
      <c r="V1533" s="3" t="s">
        <v>39</v>
      </c>
      <c r="W1533" s="3" t="s">
        <v>9010</v>
      </c>
      <c r="X1533" s="10" t="s">
        <v>9011</v>
      </c>
      <c r="Y1533" s="6" t="s">
        <v>108</v>
      </c>
      <c r="Z1533" s="4" t="s">
        <v>36</v>
      </c>
      <c r="AA1533" s="4" t="s">
        <v>36</v>
      </c>
      <c r="AB1533" s="3" t="s">
        <v>56</v>
      </c>
      <c r="AC1533" s="3" t="s">
        <v>9012</v>
      </c>
      <c r="AD1533" s="9">
        <v>44958</v>
      </c>
      <c r="AE1533" s="3" t="s">
        <v>110</v>
      </c>
      <c r="AF1533" s="3" t="s">
        <v>1636</v>
      </c>
      <c r="AG1533" s="3" t="s">
        <v>144</v>
      </c>
      <c r="AH1533" s="11">
        <f>HYPERLINK("https://my.pitchbook.com?c=215336-35T","View Company Online")</f>
      </c>
    </row>
    <row r="1534">
      <c r="A1534" s="12" t="s">
        <v>9013</v>
      </c>
      <c r="B1534" s="12" t="s">
        <v>1467</v>
      </c>
      <c r="C1534" s="19" t="s">
        <v>36</v>
      </c>
      <c r="D1534" s="19" t="s">
        <v>36</v>
      </c>
      <c r="E1534" s="19" t="s">
        <v>36</v>
      </c>
      <c r="F1534" s="19" t="s">
        <v>36</v>
      </c>
      <c r="G1534" s="15" t="s">
        <v>36</v>
      </c>
      <c r="H1534" s="14" t="s">
        <v>36</v>
      </c>
      <c r="I1534" s="18" t="s">
        <v>36</v>
      </c>
      <c r="J1534" s="12" t="s">
        <v>36</v>
      </c>
      <c r="K1534" s="13" t="s">
        <v>36</v>
      </c>
      <c r="L1534" s="15" t="s">
        <v>36</v>
      </c>
      <c r="M1534" s="12" t="s">
        <v>36</v>
      </c>
      <c r="N1534" s="12" t="s">
        <v>36</v>
      </c>
      <c r="O1534" s="17" t="s">
        <v>36</v>
      </c>
      <c r="P1534" s="12" t="s">
        <v>36</v>
      </c>
      <c r="Q1534" s="12" t="s">
        <v>36</v>
      </c>
      <c r="R1534" s="12" t="s">
        <v>36</v>
      </c>
      <c r="S1534" s="12" t="s">
        <v>36</v>
      </c>
      <c r="T1534" s="12" t="s">
        <v>1468</v>
      </c>
      <c r="U1534" s="12" t="s">
        <v>38</v>
      </c>
      <c r="V1534" s="12" t="s">
        <v>39</v>
      </c>
      <c r="W1534" s="12" t="s">
        <v>1469</v>
      </c>
      <c r="X1534" s="16" t="s">
        <v>4402</v>
      </c>
      <c r="Y1534" s="15" t="s">
        <v>42</v>
      </c>
      <c r="Z1534" s="14" t="s">
        <v>36</v>
      </c>
      <c r="AA1534" s="14" t="s">
        <v>36</v>
      </c>
      <c r="AB1534" s="12" t="s">
        <v>43</v>
      </c>
      <c r="AC1534" s="12" t="s">
        <v>1471</v>
      </c>
      <c r="AD1534" s="13">
        <v>44958</v>
      </c>
      <c r="AE1534" s="12" t="s">
        <v>110</v>
      </c>
      <c r="AF1534" s="12" t="s">
        <v>1472</v>
      </c>
      <c r="AG1534" s="12" t="s">
        <v>81</v>
      </c>
      <c r="AH1534" s="1">
        <f>HYPERLINK("https://my.pitchbook.com?c=215596-18T","View Company Online")</f>
      </c>
    </row>
    <row r="1535">
      <c r="A1535" s="3" t="s">
        <v>9014</v>
      </c>
      <c r="B1535" s="3" t="s">
        <v>9015</v>
      </c>
      <c r="C1535" s="5" t="s">
        <v>36</v>
      </c>
      <c r="D1535" s="5" t="s">
        <v>36</v>
      </c>
      <c r="E1535" s="5" t="s">
        <v>36</v>
      </c>
      <c r="F1535" s="5" t="s">
        <v>36</v>
      </c>
      <c r="G1535" s="6" t="s">
        <v>326</v>
      </c>
      <c r="H1535" s="4" t="s">
        <v>36</v>
      </c>
      <c r="I1535" s="7">
        <v>18.33</v>
      </c>
      <c r="J1535" s="3" t="s">
        <v>521</v>
      </c>
      <c r="K1535" s="9" t="s">
        <v>36</v>
      </c>
      <c r="L1535" s="6" t="s">
        <v>122</v>
      </c>
      <c r="M1535" s="3" t="s">
        <v>36</v>
      </c>
      <c r="N1535" s="3" t="s">
        <v>122</v>
      </c>
      <c r="O1535" s="8" t="s">
        <v>36</v>
      </c>
      <c r="P1535" s="3" t="s">
        <v>36</v>
      </c>
      <c r="Q1535" s="3" t="s">
        <v>36</v>
      </c>
      <c r="R1535" s="3" t="s">
        <v>36</v>
      </c>
      <c r="S1535" s="3" t="s">
        <v>36</v>
      </c>
      <c r="T1535" s="3" t="s">
        <v>2867</v>
      </c>
      <c r="U1535" s="3" t="s">
        <v>423</v>
      </c>
      <c r="V1535" s="3" t="s">
        <v>64</v>
      </c>
      <c r="W1535" s="3" t="s">
        <v>9016</v>
      </c>
      <c r="X1535" s="10" t="s">
        <v>9017</v>
      </c>
      <c r="Y1535" s="6" t="s">
        <v>108</v>
      </c>
      <c r="Z1535" s="4">
        <v>5.39</v>
      </c>
      <c r="AA1535" s="4">
        <v>29.43</v>
      </c>
      <c r="AB1535" s="3" t="s">
        <v>56</v>
      </c>
      <c r="AC1535" s="3" t="s">
        <v>9018</v>
      </c>
      <c r="AD1535" s="9">
        <v>44958</v>
      </c>
      <c r="AE1535" s="3" t="s">
        <v>2871</v>
      </c>
      <c r="AF1535" s="3" t="s">
        <v>5793</v>
      </c>
      <c r="AG1535" s="3" t="s">
        <v>81</v>
      </c>
      <c r="AH1535" s="11">
        <f>HYPERLINK("https://my.pitchbook.com?c=214538-86T","View Company Online")</f>
      </c>
    </row>
    <row r="1536">
      <c r="A1536" s="12" t="s">
        <v>9019</v>
      </c>
      <c r="B1536" s="12" t="s">
        <v>9020</v>
      </c>
      <c r="C1536" s="19" t="s">
        <v>36</v>
      </c>
      <c r="D1536" s="19" t="s">
        <v>36</v>
      </c>
      <c r="E1536" s="19" t="s">
        <v>36</v>
      </c>
      <c r="F1536" s="19" t="s">
        <v>36</v>
      </c>
      <c r="G1536" s="15" t="s">
        <v>36</v>
      </c>
      <c r="H1536" s="14" t="s">
        <v>36</v>
      </c>
      <c r="I1536" s="18" t="s">
        <v>36</v>
      </c>
      <c r="J1536" s="12" t="s">
        <v>36</v>
      </c>
      <c r="K1536" s="13" t="s">
        <v>36</v>
      </c>
      <c r="L1536" s="15" t="s">
        <v>36</v>
      </c>
      <c r="M1536" s="12" t="s">
        <v>36</v>
      </c>
      <c r="N1536" s="12" t="s">
        <v>36</v>
      </c>
      <c r="O1536" s="17" t="s">
        <v>36</v>
      </c>
      <c r="P1536" s="12" t="s">
        <v>36</v>
      </c>
      <c r="Q1536" s="12" t="s">
        <v>36</v>
      </c>
      <c r="R1536" s="12" t="s">
        <v>36</v>
      </c>
      <c r="S1536" s="12" t="s">
        <v>36</v>
      </c>
      <c r="T1536" s="12" t="s">
        <v>9021</v>
      </c>
      <c r="U1536" s="12" t="s">
        <v>38</v>
      </c>
      <c r="V1536" s="12" t="s">
        <v>39</v>
      </c>
      <c r="W1536" s="12" t="s">
        <v>9022</v>
      </c>
      <c r="X1536" s="16" t="s">
        <v>5228</v>
      </c>
      <c r="Y1536" s="15" t="s">
        <v>42</v>
      </c>
      <c r="Z1536" s="14" t="s">
        <v>36</v>
      </c>
      <c r="AA1536" s="14" t="s">
        <v>36</v>
      </c>
      <c r="AB1536" s="12" t="s">
        <v>56</v>
      </c>
      <c r="AC1536" s="12" t="s">
        <v>9023</v>
      </c>
      <c r="AD1536" s="13">
        <v>44958</v>
      </c>
      <c r="AE1536" s="12" t="s">
        <v>554</v>
      </c>
      <c r="AF1536" s="12" t="s">
        <v>36</v>
      </c>
      <c r="AG1536" s="12" t="s">
        <v>186</v>
      </c>
      <c r="AH1536" s="1">
        <f>HYPERLINK("https://my.pitchbook.com?c=214904-35T","View Company Online")</f>
      </c>
    </row>
    <row r="1537">
      <c r="A1537" s="3" t="s">
        <v>9024</v>
      </c>
      <c r="B1537" s="3" t="s">
        <v>9025</v>
      </c>
      <c r="C1537" s="5" t="s">
        <v>36</v>
      </c>
      <c r="D1537" s="5" t="s">
        <v>36</v>
      </c>
      <c r="E1537" s="5" t="s">
        <v>36</v>
      </c>
      <c r="F1537" s="5" t="s">
        <v>36</v>
      </c>
      <c r="G1537" s="6" t="s">
        <v>36</v>
      </c>
      <c r="H1537" s="4" t="s">
        <v>36</v>
      </c>
      <c r="I1537" s="7" t="s">
        <v>36</v>
      </c>
      <c r="J1537" s="3" t="s">
        <v>36</v>
      </c>
      <c r="K1537" s="9" t="s">
        <v>36</v>
      </c>
      <c r="L1537" s="6" t="s">
        <v>36</v>
      </c>
      <c r="M1537" s="3" t="s">
        <v>36</v>
      </c>
      <c r="N1537" s="3" t="s">
        <v>36</v>
      </c>
      <c r="O1537" s="8" t="s">
        <v>36</v>
      </c>
      <c r="P1537" s="3" t="s">
        <v>36</v>
      </c>
      <c r="Q1537" s="3" t="s">
        <v>36</v>
      </c>
      <c r="R1537" s="3" t="s">
        <v>36</v>
      </c>
      <c r="S1537" s="3" t="s">
        <v>36</v>
      </c>
      <c r="T1537" s="3" t="s">
        <v>9026</v>
      </c>
      <c r="U1537" s="3" t="s">
        <v>96</v>
      </c>
      <c r="V1537" s="3" t="s">
        <v>52</v>
      </c>
      <c r="W1537" s="3" t="s">
        <v>9027</v>
      </c>
      <c r="X1537" s="10" t="s">
        <v>9028</v>
      </c>
      <c r="Y1537" s="6" t="s">
        <v>55</v>
      </c>
      <c r="Z1537" s="4" t="s">
        <v>36</v>
      </c>
      <c r="AA1537" s="4" t="s">
        <v>36</v>
      </c>
      <c r="AB1537" s="3" t="s">
        <v>56</v>
      </c>
      <c r="AC1537" s="3" t="s">
        <v>9029</v>
      </c>
      <c r="AD1537" s="9">
        <v>44958</v>
      </c>
      <c r="AE1537" s="3" t="s">
        <v>100</v>
      </c>
      <c r="AF1537" s="3" t="s">
        <v>101</v>
      </c>
      <c r="AG1537" s="3" t="s">
        <v>81</v>
      </c>
      <c r="AH1537" s="11">
        <f>HYPERLINK("https://my.pitchbook.com?c=215358-49T","View Company Online")</f>
      </c>
    </row>
    <row r="1538">
      <c r="A1538" s="12" t="s">
        <v>9030</v>
      </c>
      <c r="B1538" s="12" t="s">
        <v>9031</v>
      </c>
      <c r="C1538" s="19" t="s">
        <v>36</v>
      </c>
      <c r="D1538" s="19" t="s">
        <v>36</v>
      </c>
      <c r="E1538" s="19" t="s">
        <v>36</v>
      </c>
      <c r="F1538" s="19" t="s">
        <v>36</v>
      </c>
      <c r="G1538" s="15" t="s">
        <v>36</v>
      </c>
      <c r="H1538" s="14" t="s">
        <v>36</v>
      </c>
      <c r="I1538" s="18" t="s">
        <v>36</v>
      </c>
      <c r="J1538" s="12" t="s">
        <v>36</v>
      </c>
      <c r="K1538" s="13" t="s">
        <v>36</v>
      </c>
      <c r="L1538" s="15" t="s">
        <v>36</v>
      </c>
      <c r="M1538" s="12" t="s">
        <v>36</v>
      </c>
      <c r="N1538" s="12" t="s">
        <v>36</v>
      </c>
      <c r="O1538" s="17" t="s">
        <v>36</v>
      </c>
      <c r="P1538" s="12" t="s">
        <v>36</v>
      </c>
      <c r="Q1538" s="12" t="s">
        <v>36</v>
      </c>
      <c r="R1538" s="12" t="s">
        <v>36</v>
      </c>
      <c r="S1538" s="12" t="s">
        <v>36</v>
      </c>
      <c r="T1538" s="12" t="s">
        <v>942</v>
      </c>
      <c r="U1538" s="12" t="s">
        <v>38</v>
      </c>
      <c r="V1538" s="12" t="s">
        <v>39</v>
      </c>
      <c r="W1538" s="12" t="s">
        <v>9032</v>
      </c>
      <c r="X1538" s="16" t="s">
        <v>9033</v>
      </c>
      <c r="Y1538" s="15" t="s">
        <v>192</v>
      </c>
      <c r="Z1538" s="14" t="s">
        <v>36</v>
      </c>
      <c r="AA1538" s="14" t="s">
        <v>36</v>
      </c>
      <c r="AB1538" s="12" t="s">
        <v>56</v>
      </c>
      <c r="AC1538" s="12" t="s">
        <v>9034</v>
      </c>
      <c r="AD1538" s="13">
        <v>44958</v>
      </c>
      <c r="AE1538" s="12" t="s">
        <v>45</v>
      </c>
      <c r="AF1538" s="12" t="s">
        <v>5816</v>
      </c>
      <c r="AG1538" s="12" t="s">
        <v>81</v>
      </c>
      <c r="AH1538" s="1">
        <f>HYPERLINK("https://my.pitchbook.com?c=214443-46T","View Company Online")</f>
      </c>
    </row>
    <row r="1539">
      <c r="A1539" s="3" t="s">
        <v>9035</v>
      </c>
      <c r="B1539" s="3" t="s">
        <v>3036</v>
      </c>
      <c r="C1539" s="5" t="s">
        <v>36</v>
      </c>
      <c r="D1539" s="5" t="s">
        <v>36</v>
      </c>
      <c r="E1539" s="5" t="s">
        <v>36</v>
      </c>
      <c r="F1539" s="5" t="s">
        <v>36</v>
      </c>
      <c r="G1539" s="6" t="s">
        <v>36</v>
      </c>
      <c r="H1539" s="4" t="s">
        <v>36</v>
      </c>
      <c r="I1539" s="7" t="s">
        <v>36</v>
      </c>
      <c r="J1539" s="3" t="s">
        <v>36</v>
      </c>
      <c r="K1539" s="9" t="s">
        <v>36</v>
      </c>
      <c r="L1539" s="6" t="s">
        <v>36</v>
      </c>
      <c r="M1539" s="3" t="s">
        <v>36</v>
      </c>
      <c r="N1539" s="3" t="s">
        <v>36</v>
      </c>
      <c r="O1539" s="8" t="s">
        <v>36</v>
      </c>
      <c r="P1539" s="3" t="s">
        <v>36</v>
      </c>
      <c r="Q1539" s="3" t="s">
        <v>36</v>
      </c>
      <c r="R1539" s="3" t="s">
        <v>36</v>
      </c>
      <c r="S1539" s="3" t="s">
        <v>36</v>
      </c>
      <c r="T1539" s="3" t="s">
        <v>105</v>
      </c>
      <c r="U1539" s="3" t="s">
        <v>38</v>
      </c>
      <c r="V1539" s="3" t="s">
        <v>39</v>
      </c>
      <c r="W1539" s="3" t="s">
        <v>3037</v>
      </c>
      <c r="X1539" s="10" t="s">
        <v>3038</v>
      </c>
      <c r="Y1539" s="6" t="s">
        <v>108</v>
      </c>
      <c r="Z1539" s="4">
        <v>1.08</v>
      </c>
      <c r="AA1539" s="4" t="s">
        <v>36</v>
      </c>
      <c r="AB1539" s="3" t="s">
        <v>56</v>
      </c>
      <c r="AC1539" s="3" t="s">
        <v>3039</v>
      </c>
      <c r="AD1539" s="9">
        <v>44958</v>
      </c>
      <c r="AE1539" s="3" t="s">
        <v>110</v>
      </c>
      <c r="AF1539" s="3" t="s">
        <v>3040</v>
      </c>
      <c r="AG1539" s="3" t="s">
        <v>81</v>
      </c>
      <c r="AH1539" s="11">
        <f>HYPERLINK("https://my.pitchbook.com?c=251141-68T","View Company Online")</f>
      </c>
    </row>
    <row r="1540">
      <c r="A1540" s="12" t="s">
        <v>9036</v>
      </c>
      <c r="B1540" s="12" t="s">
        <v>9037</v>
      </c>
      <c r="C1540" s="19" t="s">
        <v>36</v>
      </c>
      <c r="D1540" s="19" t="s">
        <v>36</v>
      </c>
      <c r="E1540" s="19" t="s">
        <v>36</v>
      </c>
      <c r="F1540" s="19" t="s">
        <v>36</v>
      </c>
      <c r="G1540" s="15" t="s">
        <v>36</v>
      </c>
      <c r="H1540" s="14" t="s">
        <v>36</v>
      </c>
      <c r="I1540" s="18" t="s">
        <v>36</v>
      </c>
      <c r="J1540" s="12" t="s">
        <v>36</v>
      </c>
      <c r="K1540" s="13" t="s">
        <v>36</v>
      </c>
      <c r="L1540" s="15" t="s">
        <v>36</v>
      </c>
      <c r="M1540" s="12" t="s">
        <v>36</v>
      </c>
      <c r="N1540" s="12" t="s">
        <v>36</v>
      </c>
      <c r="O1540" s="17" t="s">
        <v>36</v>
      </c>
      <c r="P1540" s="12" t="s">
        <v>36</v>
      </c>
      <c r="Q1540" s="12" t="s">
        <v>36</v>
      </c>
      <c r="R1540" s="12" t="s">
        <v>36</v>
      </c>
      <c r="S1540" s="12" t="s">
        <v>36</v>
      </c>
      <c r="T1540" s="12" t="s">
        <v>1253</v>
      </c>
      <c r="U1540" s="12" t="s">
        <v>38</v>
      </c>
      <c r="V1540" s="12" t="s">
        <v>39</v>
      </c>
      <c r="W1540" s="12" t="s">
        <v>9038</v>
      </c>
      <c r="X1540" s="16" t="s">
        <v>9039</v>
      </c>
      <c r="Y1540" s="15" t="s">
        <v>42</v>
      </c>
      <c r="Z1540" s="14" t="s">
        <v>36</v>
      </c>
      <c r="AA1540" s="14" t="s">
        <v>36</v>
      </c>
      <c r="AB1540" s="12" t="s">
        <v>43</v>
      </c>
      <c r="AC1540" s="12" t="s">
        <v>9040</v>
      </c>
      <c r="AD1540" s="13">
        <v>44958</v>
      </c>
      <c r="AE1540" s="12" t="s">
        <v>45</v>
      </c>
      <c r="AF1540" s="12" t="s">
        <v>9041</v>
      </c>
      <c r="AG1540" s="12" t="s">
        <v>81</v>
      </c>
      <c r="AH1540" s="1">
        <f>HYPERLINK("https://my.pitchbook.com?c=234875-71T","View Company Online")</f>
      </c>
    </row>
    <row r="1541">
      <c r="A1541" s="3" t="s">
        <v>9042</v>
      </c>
      <c r="B1541" s="3" t="s">
        <v>9043</v>
      </c>
      <c r="C1541" s="5" t="s">
        <v>36</v>
      </c>
      <c r="D1541" s="5" t="s">
        <v>36</v>
      </c>
      <c r="E1541" s="5" t="s">
        <v>36</v>
      </c>
      <c r="F1541" s="5" t="s">
        <v>36</v>
      </c>
      <c r="G1541" s="6" t="s">
        <v>36</v>
      </c>
      <c r="H1541" s="4" t="s">
        <v>36</v>
      </c>
      <c r="I1541" s="7" t="s">
        <v>36</v>
      </c>
      <c r="J1541" s="3" t="s">
        <v>36</v>
      </c>
      <c r="K1541" s="9" t="s">
        <v>36</v>
      </c>
      <c r="L1541" s="6" t="s">
        <v>36</v>
      </c>
      <c r="M1541" s="3" t="s">
        <v>36</v>
      </c>
      <c r="N1541" s="3" t="s">
        <v>36</v>
      </c>
      <c r="O1541" s="8" t="s">
        <v>36</v>
      </c>
      <c r="P1541" s="3" t="s">
        <v>36</v>
      </c>
      <c r="Q1541" s="3" t="s">
        <v>36</v>
      </c>
      <c r="R1541" s="3" t="s">
        <v>36</v>
      </c>
      <c r="S1541" s="3" t="s">
        <v>36</v>
      </c>
      <c r="T1541" s="3" t="s">
        <v>9044</v>
      </c>
      <c r="U1541" s="3" t="s">
        <v>833</v>
      </c>
      <c r="V1541" s="3" t="s">
        <v>64</v>
      </c>
      <c r="W1541" s="3" t="s">
        <v>9045</v>
      </c>
      <c r="X1541" s="10" t="s">
        <v>4402</v>
      </c>
      <c r="Y1541" s="6" t="s">
        <v>42</v>
      </c>
      <c r="Z1541" s="4" t="s">
        <v>36</v>
      </c>
      <c r="AA1541" s="4" t="s">
        <v>36</v>
      </c>
      <c r="AB1541" s="3" t="s">
        <v>43</v>
      </c>
      <c r="AC1541" s="3" t="s">
        <v>9046</v>
      </c>
      <c r="AD1541" s="9">
        <v>44958</v>
      </c>
      <c r="AE1541" s="3" t="s">
        <v>3615</v>
      </c>
      <c r="AF1541" s="3" t="s">
        <v>9047</v>
      </c>
      <c r="AG1541" s="3" t="s">
        <v>81</v>
      </c>
      <c r="AH1541" s="11">
        <f>HYPERLINK("https://my.pitchbook.com?c=215898-31T","View Company Online")</f>
      </c>
    </row>
    <row r="1542">
      <c r="A1542" s="12" t="s">
        <v>9048</v>
      </c>
      <c r="B1542" s="12" t="s">
        <v>6656</v>
      </c>
      <c r="C1542" s="19">
        <v>26</v>
      </c>
      <c r="D1542" s="19">
        <v>25</v>
      </c>
      <c r="E1542" s="19">
        <v>11</v>
      </c>
      <c r="F1542" s="19">
        <v>54</v>
      </c>
      <c r="G1542" s="15" t="s">
        <v>326</v>
      </c>
      <c r="H1542" s="14">
        <v>300.36</v>
      </c>
      <c r="I1542" s="18">
        <v>48.07</v>
      </c>
      <c r="J1542" s="12" t="s">
        <v>521</v>
      </c>
      <c r="K1542" s="13">
        <v>44911</v>
      </c>
      <c r="L1542" s="15" t="s">
        <v>122</v>
      </c>
      <c r="M1542" s="12" t="s">
        <v>36</v>
      </c>
      <c r="N1542" s="12" t="s">
        <v>122</v>
      </c>
      <c r="O1542" s="17" t="s">
        <v>36</v>
      </c>
      <c r="P1542" s="12" t="s">
        <v>36</v>
      </c>
      <c r="Q1542" s="12" t="s">
        <v>36</v>
      </c>
      <c r="R1542" s="12" t="s">
        <v>36</v>
      </c>
      <c r="S1542" s="12" t="s">
        <v>6657</v>
      </c>
      <c r="T1542" s="12" t="s">
        <v>6658</v>
      </c>
      <c r="U1542" s="12" t="s">
        <v>74</v>
      </c>
      <c r="V1542" s="12" t="s">
        <v>75</v>
      </c>
      <c r="W1542" s="12" t="s">
        <v>6659</v>
      </c>
      <c r="X1542" s="16" t="s">
        <v>9049</v>
      </c>
      <c r="Y1542" s="15" t="s">
        <v>192</v>
      </c>
      <c r="Z1542" s="14">
        <v>13.95</v>
      </c>
      <c r="AA1542" s="14">
        <v>29.02</v>
      </c>
      <c r="AB1542" s="12" t="s">
        <v>56</v>
      </c>
      <c r="AC1542" s="12" t="s">
        <v>6661</v>
      </c>
      <c r="AD1542" s="13">
        <v>44957</v>
      </c>
      <c r="AE1542" s="12" t="s">
        <v>570</v>
      </c>
      <c r="AF1542" s="12" t="s">
        <v>871</v>
      </c>
      <c r="AG1542" s="12" t="s">
        <v>392</v>
      </c>
      <c r="AH1542" s="1">
        <f>HYPERLINK("https://my.pitchbook.com?c=214283-89T","View Company Online")</f>
      </c>
    </row>
    <row r="1543">
      <c r="A1543" s="3" t="s">
        <v>9050</v>
      </c>
      <c r="B1543" s="3" t="s">
        <v>9051</v>
      </c>
      <c r="C1543" s="5" t="s">
        <v>36</v>
      </c>
      <c r="D1543" s="5" t="s">
        <v>36</v>
      </c>
      <c r="E1543" s="5" t="s">
        <v>36</v>
      </c>
      <c r="F1543" s="5" t="s">
        <v>36</v>
      </c>
      <c r="G1543" s="6" t="s">
        <v>326</v>
      </c>
      <c r="H1543" s="4">
        <v>22.23</v>
      </c>
      <c r="I1543" s="7">
        <v>8.91</v>
      </c>
      <c r="J1543" s="3" t="s">
        <v>521</v>
      </c>
      <c r="K1543" s="9" t="s">
        <v>36</v>
      </c>
      <c r="L1543" s="6" t="s">
        <v>36</v>
      </c>
      <c r="M1543" s="3" t="s">
        <v>36</v>
      </c>
      <c r="N1543" s="3" t="s">
        <v>36</v>
      </c>
      <c r="O1543" s="8" t="s">
        <v>36</v>
      </c>
      <c r="P1543" s="3" t="s">
        <v>36</v>
      </c>
      <c r="Q1543" s="3" t="s">
        <v>36</v>
      </c>
      <c r="R1543" s="3" t="s">
        <v>36</v>
      </c>
      <c r="S1543" s="3" t="s">
        <v>36</v>
      </c>
      <c r="T1543" s="3" t="s">
        <v>1701</v>
      </c>
      <c r="U1543" s="3" t="s">
        <v>74</v>
      </c>
      <c r="V1543" s="3" t="s">
        <v>75</v>
      </c>
      <c r="W1543" s="3" t="s">
        <v>9052</v>
      </c>
      <c r="X1543" s="10" t="s">
        <v>9053</v>
      </c>
      <c r="Y1543" s="6" t="s">
        <v>55</v>
      </c>
      <c r="Z1543" s="4">
        <v>0.86</v>
      </c>
      <c r="AA1543" s="4">
        <v>9.63</v>
      </c>
      <c r="AB1543" s="3" t="s">
        <v>56</v>
      </c>
      <c r="AC1543" s="3" t="s">
        <v>9054</v>
      </c>
      <c r="AD1543" s="9">
        <v>44957</v>
      </c>
      <c r="AE1543" s="3" t="s">
        <v>79</v>
      </c>
      <c r="AF1543" s="3" t="s">
        <v>6214</v>
      </c>
      <c r="AG1543" s="3" t="s">
        <v>47</v>
      </c>
      <c r="AH1543" s="11">
        <f>HYPERLINK("https://my.pitchbook.com?c=214092-55T","View Company Online")</f>
      </c>
    </row>
    <row r="1544">
      <c r="A1544" s="12" t="s">
        <v>9055</v>
      </c>
      <c r="B1544" s="12" t="s">
        <v>9056</v>
      </c>
      <c r="C1544" s="19" t="s">
        <v>36</v>
      </c>
      <c r="D1544" s="19" t="s">
        <v>36</v>
      </c>
      <c r="E1544" s="19">
        <v>1</v>
      </c>
      <c r="F1544" s="19">
        <v>1</v>
      </c>
      <c r="G1544" s="15" t="s">
        <v>36</v>
      </c>
      <c r="H1544" s="14" t="s">
        <v>36</v>
      </c>
      <c r="I1544" s="18" t="s">
        <v>36</v>
      </c>
      <c r="J1544" s="12" t="s">
        <v>36</v>
      </c>
      <c r="K1544" s="13" t="s">
        <v>36</v>
      </c>
      <c r="L1544" s="15" t="s">
        <v>1279</v>
      </c>
      <c r="M1544" s="12" t="s">
        <v>36</v>
      </c>
      <c r="N1544" s="12" t="s">
        <v>1279</v>
      </c>
      <c r="O1544" s="17" t="s">
        <v>36</v>
      </c>
      <c r="P1544" s="12" t="s">
        <v>36</v>
      </c>
      <c r="Q1544" s="12" t="s">
        <v>36</v>
      </c>
      <c r="R1544" s="12" t="s">
        <v>36</v>
      </c>
      <c r="S1544" s="12" t="s">
        <v>36</v>
      </c>
      <c r="T1544" s="12" t="s">
        <v>1106</v>
      </c>
      <c r="U1544" s="12" t="s">
        <v>38</v>
      </c>
      <c r="V1544" s="12" t="s">
        <v>39</v>
      </c>
      <c r="W1544" s="12" t="s">
        <v>9057</v>
      </c>
      <c r="X1544" s="16" t="s">
        <v>9058</v>
      </c>
      <c r="Y1544" s="15" t="s">
        <v>42</v>
      </c>
      <c r="Z1544" s="14" t="s">
        <v>36</v>
      </c>
      <c r="AA1544" s="14" t="s">
        <v>36</v>
      </c>
      <c r="AB1544" s="12" t="s">
        <v>56</v>
      </c>
      <c r="AC1544" s="12" t="s">
        <v>9059</v>
      </c>
      <c r="AD1544" s="13">
        <v>44956</v>
      </c>
      <c r="AE1544" s="12" t="s">
        <v>110</v>
      </c>
      <c r="AF1544" s="12" t="s">
        <v>176</v>
      </c>
      <c r="AG1544" s="12" t="s">
        <v>9060</v>
      </c>
      <c r="AH1544" s="1">
        <f>HYPERLINK("https://my.pitchbook.com?c=233990-56T","View Company Online")</f>
      </c>
    </row>
    <row r="1545">
      <c r="A1545" s="3" t="s">
        <v>9061</v>
      </c>
      <c r="B1545" s="3" t="s">
        <v>1334</v>
      </c>
      <c r="C1545" s="5">
        <v>3</v>
      </c>
      <c r="D1545" s="5">
        <v>8</v>
      </c>
      <c r="E1545" s="5">
        <v>3</v>
      </c>
      <c r="F1545" s="5">
        <v>11</v>
      </c>
      <c r="G1545" s="6" t="s">
        <v>36</v>
      </c>
      <c r="H1545" s="4" t="s">
        <v>36</v>
      </c>
      <c r="I1545" s="7" t="s">
        <v>36</v>
      </c>
      <c r="J1545" s="3" t="s">
        <v>36</v>
      </c>
      <c r="K1545" s="9" t="s">
        <v>36</v>
      </c>
      <c r="L1545" s="6" t="s">
        <v>36</v>
      </c>
      <c r="M1545" s="3" t="s">
        <v>36</v>
      </c>
      <c r="N1545" s="3" t="s">
        <v>36</v>
      </c>
      <c r="O1545" s="8" t="s">
        <v>36</v>
      </c>
      <c r="P1545" s="3" t="s">
        <v>36</v>
      </c>
      <c r="Q1545" s="3" t="s">
        <v>36</v>
      </c>
      <c r="R1545" s="3" t="s">
        <v>36</v>
      </c>
      <c r="S1545" s="3" t="s">
        <v>595</v>
      </c>
      <c r="T1545" s="3" t="s">
        <v>1335</v>
      </c>
      <c r="U1545" s="3" t="s">
        <v>1336</v>
      </c>
      <c r="V1545" s="3" t="s">
        <v>367</v>
      </c>
      <c r="W1545" s="3" t="s">
        <v>1337</v>
      </c>
      <c r="X1545" s="10" t="s">
        <v>9062</v>
      </c>
      <c r="Y1545" s="6" t="s">
        <v>321</v>
      </c>
      <c r="Z1545" s="4">
        <v>26.88</v>
      </c>
      <c r="AA1545" s="4" t="s">
        <v>36</v>
      </c>
      <c r="AB1545" s="3" t="s">
        <v>56</v>
      </c>
      <c r="AC1545" s="3" t="s">
        <v>1338</v>
      </c>
      <c r="AD1545" s="9">
        <v>44952</v>
      </c>
      <c r="AE1545" s="3" t="s">
        <v>1339</v>
      </c>
      <c r="AF1545" s="3" t="s">
        <v>1340</v>
      </c>
      <c r="AG1545" s="3" t="s">
        <v>1341</v>
      </c>
      <c r="AH1545" s="11">
        <f>HYPERLINK("https://my.pitchbook.com?c=213833-98T","View Company Online")</f>
      </c>
    </row>
    <row r="1546">
      <c r="A1546" s="12" t="s">
        <v>9063</v>
      </c>
      <c r="B1546" s="12" t="s">
        <v>9064</v>
      </c>
      <c r="C1546" s="19" t="s">
        <v>36</v>
      </c>
      <c r="D1546" s="19" t="s">
        <v>36</v>
      </c>
      <c r="E1546" s="19" t="s">
        <v>36</v>
      </c>
      <c r="F1546" s="19" t="s">
        <v>36</v>
      </c>
      <c r="G1546" s="15" t="s">
        <v>36</v>
      </c>
      <c r="H1546" s="14">
        <v>15.66</v>
      </c>
      <c r="I1546" s="18">
        <v>26.19</v>
      </c>
      <c r="J1546" s="12" t="s">
        <v>521</v>
      </c>
      <c r="K1546" s="13" t="s">
        <v>36</v>
      </c>
      <c r="L1546" s="15" t="s">
        <v>36</v>
      </c>
      <c r="M1546" s="12" t="s">
        <v>36</v>
      </c>
      <c r="N1546" s="12" t="s">
        <v>36</v>
      </c>
      <c r="O1546" s="17" t="s">
        <v>36</v>
      </c>
      <c r="P1546" s="12" t="s">
        <v>36</v>
      </c>
      <c r="Q1546" s="12" t="s">
        <v>36</v>
      </c>
      <c r="R1546" s="12" t="s">
        <v>36</v>
      </c>
      <c r="S1546" s="12" t="s">
        <v>36</v>
      </c>
      <c r="T1546" s="12" t="s">
        <v>9065</v>
      </c>
      <c r="U1546" s="12" t="s">
        <v>648</v>
      </c>
      <c r="V1546" s="12" t="s">
        <v>64</v>
      </c>
      <c r="W1546" s="12" t="s">
        <v>9066</v>
      </c>
      <c r="X1546" s="16" t="s">
        <v>9067</v>
      </c>
      <c r="Y1546" s="15" t="s">
        <v>166</v>
      </c>
      <c r="Z1546" s="14">
        <v>10.75</v>
      </c>
      <c r="AA1546" s="14">
        <v>29.62</v>
      </c>
      <c r="AB1546" s="12" t="s">
        <v>56</v>
      </c>
      <c r="AC1546" s="12" t="s">
        <v>9068</v>
      </c>
      <c r="AD1546" s="13">
        <v>44952</v>
      </c>
      <c r="AE1546" s="12" t="s">
        <v>1897</v>
      </c>
      <c r="AF1546" s="12" t="s">
        <v>2409</v>
      </c>
      <c r="AG1546" s="12" t="s">
        <v>2618</v>
      </c>
      <c r="AH1546" s="1">
        <f>HYPERLINK("https://my.pitchbook.com?c=213837-67T","View Company Online")</f>
      </c>
    </row>
    <row r="1547">
      <c r="A1547" s="3" t="s">
        <v>9069</v>
      </c>
      <c r="B1547" s="3" t="s">
        <v>9070</v>
      </c>
      <c r="C1547" s="5" t="s">
        <v>36</v>
      </c>
      <c r="D1547" s="5" t="s">
        <v>36</v>
      </c>
      <c r="E1547" s="5" t="s">
        <v>36</v>
      </c>
      <c r="F1547" s="5" t="s">
        <v>36</v>
      </c>
      <c r="G1547" s="6" t="s">
        <v>36</v>
      </c>
      <c r="H1547" s="4" t="s">
        <v>36</v>
      </c>
      <c r="I1547" s="7" t="s">
        <v>36</v>
      </c>
      <c r="J1547" s="3" t="s">
        <v>36</v>
      </c>
      <c r="K1547" s="9" t="s">
        <v>36</v>
      </c>
      <c r="L1547" s="6" t="s">
        <v>36</v>
      </c>
      <c r="M1547" s="3" t="s">
        <v>36</v>
      </c>
      <c r="N1547" s="3" t="s">
        <v>36</v>
      </c>
      <c r="O1547" s="8" t="s">
        <v>36</v>
      </c>
      <c r="P1547" s="3" t="s">
        <v>36</v>
      </c>
      <c r="Q1547" s="3" t="s">
        <v>36</v>
      </c>
      <c r="R1547" s="3" t="s">
        <v>36</v>
      </c>
      <c r="S1547" s="3" t="s">
        <v>36</v>
      </c>
      <c r="T1547" s="3" t="s">
        <v>9071</v>
      </c>
      <c r="U1547" s="3" t="s">
        <v>318</v>
      </c>
      <c r="V1547" s="3" t="s">
        <v>39</v>
      </c>
      <c r="W1547" s="3" t="s">
        <v>9072</v>
      </c>
      <c r="X1547" s="10" t="s">
        <v>9073</v>
      </c>
      <c r="Y1547" s="6" t="s">
        <v>192</v>
      </c>
      <c r="Z1547" s="4">
        <v>3.23</v>
      </c>
      <c r="AA1547" s="4" t="s">
        <v>36</v>
      </c>
      <c r="AB1547" s="3" t="s">
        <v>43</v>
      </c>
      <c r="AC1547" s="3" t="s">
        <v>9074</v>
      </c>
      <c r="AD1547" s="9">
        <v>44952</v>
      </c>
      <c r="AE1547" s="3" t="s">
        <v>763</v>
      </c>
      <c r="AF1547" s="3" t="s">
        <v>9075</v>
      </c>
      <c r="AG1547" s="3" t="s">
        <v>9076</v>
      </c>
      <c r="AH1547" s="11">
        <f>HYPERLINK("https://my.pitchbook.com?c=213869-98T","View Company Online")</f>
      </c>
    </row>
    <row r="1548">
      <c r="A1548" s="12" t="s">
        <v>9077</v>
      </c>
      <c r="B1548" s="12" t="s">
        <v>9078</v>
      </c>
      <c r="C1548" s="19">
        <v>5</v>
      </c>
      <c r="D1548" s="19">
        <v>26</v>
      </c>
      <c r="E1548" s="19">
        <v>9</v>
      </c>
      <c r="F1548" s="19">
        <v>36</v>
      </c>
      <c r="G1548" s="15" t="s">
        <v>683</v>
      </c>
      <c r="H1548" s="14">
        <v>627.47</v>
      </c>
      <c r="I1548" s="18">
        <v>21.93</v>
      </c>
      <c r="J1548" s="12" t="s">
        <v>521</v>
      </c>
      <c r="K1548" s="13" t="s">
        <v>36</v>
      </c>
      <c r="L1548" s="15" t="s">
        <v>36</v>
      </c>
      <c r="M1548" s="12" t="s">
        <v>36</v>
      </c>
      <c r="N1548" s="12" t="s">
        <v>36</v>
      </c>
      <c r="O1548" s="17" t="s">
        <v>36</v>
      </c>
      <c r="P1548" s="12" t="s">
        <v>36</v>
      </c>
      <c r="Q1548" s="12" t="s">
        <v>36</v>
      </c>
      <c r="R1548" s="12" t="s">
        <v>36</v>
      </c>
      <c r="S1548" s="12" t="s">
        <v>6657</v>
      </c>
      <c r="T1548" s="12" t="s">
        <v>9079</v>
      </c>
      <c r="U1548" s="12" t="s">
        <v>366</v>
      </c>
      <c r="V1548" s="12" t="s">
        <v>367</v>
      </c>
      <c r="W1548" s="12" t="s">
        <v>9080</v>
      </c>
      <c r="X1548" s="16" t="s">
        <v>8529</v>
      </c>
      <c r="Y1548" s="15" t="s">
        <v>475</v>
      </c>
      <c r="Z1548" s="14">
        <v>12.01</v>
      </c>
      <c r="AA1548" s="14">
        <v>54.79</v>
      </c>
      <c r="AB1548" s="12" t="s">
        <v>56</v>
      </c>
      <c r="AC1548" s="12" t="s">
        <v>9081</v>
      </c>
      <c r="AD1548" s="13">
        <v>44952</v>
      </c>
      <c r="AE1548" s="12" t="s">
        <v>600</v>
      </c>
      <c r="AF1548" s="12" t="s">
        <v>9082</v>
      </c>
      <c r="AG1548" s="12" t="s">
        <v>9083</v>
      </c>
      <c r="AH1548" s="1">
        <f>HYPERLINK("https://my.pitchbook.com?c=203625-10T","View Company Online")</f>
      </c>
    </row>
    <row r="1549">
      <c r="A1549" s="3" t="s">
        <v>9084</v>
      </c>
      <c r="B1549" s="3" t="s">
        <v>2860</v>
      </c>
      <c r="C1549" s="5" t="s">
        <v>36</v>
      </c>
      <c r="D1549" s="5" t="s">
        <v>36</v>
      </c>
      <c r="E1549" s="5" t="s">
        <v>36</v>
      </c>
      <c r="F1549" s="5" t="s">
        <v>36</v>
      </c>
      <c r="G1549" s="6" t="s">
        <v>36</v>
      </c>
      <c r="H1549" s="4" t="s">
        <v>36</v>
      </c>
      <c r="I1549" s="7">
        <v>15.09</v>
      </c>
      <c r="J1549" s="3" t="s">
        <v>327</v>
      </c>
      <c r="K1549" s="9">
        <v>44915</v>
      </c>
      <c r="L1549" s="6" t="s">
        <v>1279</v>
      </c>
      <c r="M1549" s="3" t="s">
        <v>36</v>
      </c>
      <c r="N1549" s="3" t="s">
        <v>1279</v>
      </c>
      <c r="O1549" s="8" t="s">
        <v>36</v>
      </c>
      <c r="P1549" s="3" t="s">
        <v>36</v>
      </c>
      <c r="Q1549" s="3" t="s">
        <v>36</v>
      </c>
      <c r="R1549" s="3" t="s">
        <v>36</v>
      </c>
      <c r="S1549" s="3" t="s">
        <v>36</v>
      </c>
      <c r="T1549" s="3" t="s">
        <v>2861</v>
      </c>
      <c r="U1549" s="3" t="s">
        <v>74</v>
      </c>
      <c r="V1549" s="3" t="s">
        <v>75</v>
      </c>
      <c r="W1549" s="3" t="s">
        <v>2862</v>
      </c>
      <c r="X1549" s="10" t="s">
        <v>9085</v>
      </c>
      <c r="Y1549" s="6" t="s">
        <v>1067</v>
      </c>
      <c r="Z1549" s="4">
        <v>53.75</v>
      </c>
      <c r="AA1549" s="4">
        <v>356.17</v>
      </c>
      <c r="AB1549" s="3" t="s">
        <v>56</v>
      </c>
      <c r="AC1549" s="3" t="s">
        <v>2864</v>
      </c>
      <c r="AD1549" s="9">
        <v>44952</v>
      </c>
      <c r="AE1549" s="3" t="s">
        <v>362</v>
      </c>
      <c r="AF1549" s="3" t="s">
        <v>250</v>
      </c>
      <c r="AG1549" s="3" t="s">
        <v>81</v>
      </c>
      <c r="AH1549" s="11">
        <f>HYPERLINK("https://my.pitchbook.com?c=213828-22T","View Company Online")</f>
      </c>
    </row>
    <row r="1550">
      <c r="A1550" s="12" t="s">
        <v>9086</v>
      </c>
      <c r="B1550" s="12" t="s">
        <v>9087</v>
      </c>
      <c r="C1550" s="19">
        <v>2</v>
      </c>
      <c r="D1550" s="19">
        <v>8</v>
      </c>
      <c r="E1550" s="19">
        <v>1</v>
      </c>
      <c r="F1550" s="19">
        <v>10</v>
      </c>
      <c r="G1550" s="15" t="s">
        <v>36</v>
      </c>
      <c r="H1550" s="14" t="s">
        <v>36</v>
      </c>
      <c r="I1550" s="18">
        <v>27.27</v>
      </c>
      <c r="J1550" s="12" t="s">
        <v>327</v>
      </c>
      <c r="K1550" s="13" t="s">
        <v>36</v>
      </c>
      <c r="L1550" s="15" t="s">
        <v>122</v>
      </c>
      <c r="M1550" s="12" t="s">
        <v>36</v>
      </c>
      <c r="N1550" s="12" t="s">
        <v>122</v>
      </c>
      <c r="O1550" s="17" t="s">
        <v>36</v>
      </c>
      <c r="P1550" s="12" t="s">
        <v>36</v>
      </c>
      <c r="Q1550" s="12" t="s">
        <v>36</v>
      </c>
      <c r="R1550" s="12" t="s">
        <v>36</v>
      </c>
      <c r="S1550" s="12" t="s">
        <v>36</v>
      </c>
      <c r="T1550" s="12" t="s">
        <v>9088</v>
      </c>
      <c r="U1550" s="12" t="s">
        <v>38</v>
      </c>
      <c r="V1550" s="12" t="s">
        <v>39</v>
      </c>
      <c r="W1550" s="12" t="s">
        <v>9089</v>
      </c>
      <c r="X1550" s="16" t="s">
        <v>9090</v>
      </c>
      <c r="Y1550" s="15" t="s">
        <v>55</v>
      </c>
      <c r="Z1550" s="14">
        <v>11.17</v>
      </c>
      <c r="AA1550" s="14">
        <v>40.97</v>
      </c>
      <c r="AB1550" s="12" t="s">
        <v>56</v>
      </c>
      <c r="AC1550" s="12" t="s">
        <v>9091</v>
      </c>
      <c r="AD1550" s="13">
        <v>44951</v>
      </c>
      <c r="AE1550" s="12" t="s">
        <v>110</v>
      </c>
      <c r="AF1550" s="12" t="s">
        <v>9092</v>
      </c>
      <c r="AG1550" s="12" t="s">
        <v>47</v>
      </c>
      <c r="AH1550" s="1">
        <f>HYPERLINK("https://my.pitchbook.com?c=213728-86T","View Company Online")</f>
      </c>
    </row>
    <row r="1551">
      <c r="A1551" s="3" t="s">
        <v>9093</v>
      </c>
      <c r="B1551" s="3" t="s">
        <v>9094</v>
      </c>
      <c r="C1551" s="5">
        <v>5</v>
      </c>
      <c r="D1551" s="5">
        <v>27</v>
      </c>
      <c r="E1551" s="5">
        <v>4</v>
      </c>
      <c r="F1551" s="5">
        <v>32</v>
      </c>
      <c r="G1551" s="6" t="s">
        <v>36</v>
      </c>
      <c r="H1551" s="4">
        <v>138.96</v>
      </c>
      <c r="I1551" s="7">
        <v>30.46</v>
      </c>
      <c r="J1551" s="3" t="s">
        <v>521</v>
      </c>
      <c r="K1551" s="9" t="s">
        <v>36</v>
      </c>
      <c r="L1551" s="6" t="s">
        <v>36</v>
      </c>
      <c r="M1551" s="3" t="s">
        <v>36</v>
      </c>
      <c r="N1551" s="3" t="s">
        <v>36</v>
      </c>
      <c r="O1551" s="8" t="s">
        <v>36</v>
      </c>
      <c r="P1551" s="3" t="s">
        <v>36</v>
      </c>
      <c r="Q1551" s="3" t="s">
        <v>36</v>
      </c>
      <c r="R1551" s="3" t="s">
        <v>36</v>
      </c>
      <c r="S1551" s="3" t="s">
        <v>36</v>
      </c>
      <c r="T1551" s="3" t="s">
        <v>596</v>
      </c>
      <c r="U1551" s="3" t="s">
        <v>366</v>
      </c>
      <c r="V1551" s="3" t="s">
        <v>367</v>
      </c>
      <c r="W1551" s="3" t="s">
        <v>9095</v>
      </c>
      <c r="X1551" s="10" t="s">
        <v>694</v>
      </c>
      <c r="Y1551" s="6" t="s">
        <v>192</v>
      </c>
      <c r="Z1551" s="4">
        <v>15.03</v>
      </c>
      <c r="AA1551" s="4">
        <v>25.02</v>
      </c>
      <c r="AB1551" s="3" t="s">
        <v>56</v>
      </c>
      <c r="AC1551" s="3" t="s">
        <v>9096</v>
      </c>
      <c r="AD1551" s="9">
        <v>44950</v>
      </c>
      <c r="AE1551" s="3" t="s">
        <v>600</v>
      </c>
      <c r="AF1551" s="3" t="s">
        <v>9097</v>
      </c>
      <c r="AG1551" s="3" t="s">
        <v>9098</v>
      </c>
      <c r="AH1551" s="11">
        <f>HYPERLINK("https://my.pitchbook.com?c=213640-03T","View Company Online")</f>
      </c>
    </row>
    <row r="1552">
      <c r="A1552" s="12" t="s">
        <v>9099</v>
      </c>
      <c r="B1552" s="12" t="s">
        <v>9100</v>
      </c>
      <c r="C1552" s="19" t="s">
        <v>36</v>
      </c>
      <c r="D1552" s="19" t="s">
        <v>36</v>
      </c>
      <c r="E1552" s="19" t="s">
        <v>36</v>
      </c>
      <c r="F1552" s="19" t="s">
        <v>36</v>
      </c>
      <c r="G1552" s="15" t="s">
        <v>36</v>
      </c>
      <c r="H1552" s="14" t="s">
        <v>36</v>
      </c>
      <c r="I1552" s="18" t="s">
        <v>36</v>
      </c>
      <c r="J1552" s="12" t="s">
        <v>36</v>
      </c>
      <c r="K1552" s="13" t="s">
        <v>36</v>
      </c>
      <c r="L1552" s="15" t="s">
        <v>36</v>
      </c>
      <c r="M1552" s="12" t="s">
        <v>36</v>
      </c>
      <c r="N1552" s="12" t="s">
        <v>36</v>
      </c>
      <c r="O1552" s="17" t="s">
        <v>36</v>
      </c>
      <c r="P1552" s="12" t="s">
        <v>36</v>
      </c>
      <c r="Q1552" s="12" t="s">
        <v>36</v>
      </c>
      <c r="R1552" s="12" t="s">
        <v>36</v>
      </c>
      <c r="S1552" s="12" t="s">
        <v>36</v>
      </c>
      <c r="T1552" s="12" t="s">
        <v>179</v>
      </c>
      <c r="U1552" s="12" t="s">
        <v>180</v>
      </c>
      <c r="V1552" s="12" t="s">
        <v>52</v>
      </c>
      <c r="W1552" s="12" t="s">
        <v>9101</v>
      </c>
      <c r="X1552" s="16" t="s">
        <v>9102</v>
      </c>
      <c r="Y1552" s="15" t="s">
        <v>108</v>
      </c>
      <c r="Z1552" s="14">
        <v>5.1</v>
      </c>
      <c r="AA1552" s="14" t="s">
        <v>36</v>
      </c>
      <c r="AB1552" s="12" t="s">
        <v>43</v>
      </c>
      <c r="AC1552" s="12" t="s">
        <v>9103</v>
      </c>
      <c r="AD1552" s="13">
        <v>44950</v>
      </c>
      <c r="AE1552" s="12" t="s">
        <v>184</v>
      </c>
      <c r="AF1552" s="12" t="s">
        <v>6389</v>
      </c>
      <c r="AG1552" s="12" t="s">
        <v>81</v>
      </c>
      <c r="AH1552" s="1">
        <f>HYPERLINK("https://my.pitchbook.com?c=213727-15T","View Company Online")</f>
      </c>
    </row>
    <row r="1553">
      <c r="A1553" s="3" t="s">
        <v>9104</v>
      </c>
      <c r="B1553" s="3" t="s">
        <v>9105</v>
      </c>
      <c r="C1553" s="5" t="s">
        <v>36</v>
      </c>
      <c r="D1553" s="5" t="s">
        <v>36</v>
      </c>
      <c r="E1553" s="5" t="s">
        <v>36</v>
      </c>
      <c r="F1553" s="5" t="s">
        <v>36</v>
      </c>
      <c r="G1553" s="6" t="s">
        <v>326</v>
      </c>
      <c r="H1553" s="4">
        <v>0.82</v>
      </c>
      <c r="I1553" s="7">
        <v>33.31</v>
      </c>
      <c r="J1553" s="3" t="s">
        <v>521</v>
      </c>
      <c r="K1553" s="9" t="s">
        <v>36</v>
      </c>
      <c r="L1553" s="6" t="s">
        <v>36</v>
      </c>
      <c r="M1553" s="3" t="s">
        <v>36</v>
      </c>
      <c r="N1553" s="3" t="s">
        <v>36</v>
      </c>
      <c r="O1553" s="8" t="s">
        <v>36</v>
      </c>
      <c r="P1553" s="3" t="s">
        <v>36</v>
      </c>
      <c r="Q1553" s="3" t="s">
        <v>36</v>
      </c>
      <c r="R1553" s="3" t="s">
        <v>36</v>
      </c>
      <c r="S1553" s="3" t="s">
        <v>36</v>
      </c>
      <c r="T1553" s="3" t="s">
        <v>9106</v>
      </c>
      <c r="U1553" s="3" t="s">
        <v>63</v>
      </c>
      <c r="V1553" s="3" t="s">
        <v>64</v>
      </c>
      <c r="W1553" s="3" t="s">
        <v>9107</v>
      </c>
      <c r="X1553" s="10" t="s">
        <v>9108</v>
      </c>
      <c r="Y1553" s="6" t="s">
        <v>42</v>
      </c>
      <c r="Z1553" s="4">
        <v>2.47</v>
      </c>
      <c r="AA1553" s="4">
        <v>4.03</v>
      </c>
      <c r="AB1553" s="3" t="s">
        <v>43</v>
      </c>
      <c r="AC1553" s="3" t="s">
        <v>9109</v>
      </c>
      <c r="AD1553" s="9">
        <v>44950</v>
      </c>
      <c r="AE1553" s="3" t="s">
        <v>68</v>
      </c>
      <c r="AF1553" s="3" t="s">
        <v>1115</v>
      </c>
      <c r="AG1553" s="3" t="s">
        <v>102</v>
      </c>
      <c r="AH1553" s="11">
        <f>HYPERLINK("https://my.pitchbook.com?c=213679-27T","View Company Online")</f>
      </c>
    </row>
    <row r="1554">
      <c r="A1554" s="12" t="s">
        <v>9110</v>
      </c>
      <c r="B1554" s="12" t="s">
        <v>9111</v>
      </c>
      <c r="C1554" s="19">
        <v>3</v>
      </c>
      <c r="D1554" s="19">
        <v>6</v>
      </c>
      <c r="E1554" s="19">
        <v>2</v>
      </c>
      <c r="F1554" s="19">
        <v>11</v>
      </c>
      <c r="G1554" s="15" t="s">
        <v>36</v>
      </c>
      <c r="H1554" s="14" t="s">
        <v>36</v>
      </c>
      <c r="I1554" s="18" t="s">
        <v>36</v>
      </c>
      <c r="J1554" s="12" t="s">
        <v>36</v>
      </c>
      <c r="K1554" s="13">
        <v>44949</v>
      </c>
      <c r="L1554" s="15" t="s">
        <v>1279</v>
      </c>
      <c r="M1554" s="12" t="s">
        <v>36</v>
      </c>
      <c r="N1554" s="12" t="s">
        <v>1279</v>
      </c>
      <c r="O1554" s="17" t="s">
        <v>36</v>
      </c>
      <c r="P1554" s="12" t="s">
        <v>36</v>
      </c>
      <c r="Q1554" s="12" t="s">
        <v>36</v>
      </c>
      <c r="R1554" s="12" t="s">
        <v>36</v>
      </c>
      <c r="S1554" s="12" t="s">
        <v>36</v>
      </c>
      <c r="T1554" s="12" t="s">
        <v>9112</v>
      </c>
      <c r="U1554" s="12" t="s">
        <v>38</v>
      </c>
      <c r="V1554" s="12" t="s">
        <v>39</v>
      </c>
      <c r="W1554" s="12" t="s">
        <v>9113</v>
      </c>
      <c r="X1554" s="16" t="s">
        <v>9114</v>
      </c>
      <c r="Y1554" s="15" t="s">
        <v>192</v>
      </c>
      <c r="Z1554" s="14" t="s">
        <v>36</v>
      </c>
      <c r="AA1554" s="14" t="s">
        <v>36</v>
      </c>
      <c r="AB1554" s="12" t="s">
        <v>56</v>
      </c>
      <c r="AC1554" s="12" t="s">
        <v>9115</v>
      </c>
      <c r="AD1554" s="13">
        <v>44949</v>
      </c>
      <c r="AE1554" s="12" t="s">
        <v>110</v>
      </c>
      <c r="AF1554" s="12" t="s">
        <v>176</v>
      </c>
      <c r="AG1554" s="12" t="s">
        <v>47</v>
      </c>
      <c r="AH1554" s="1">
        <f>HYPERLINK("https://my.pitchbook.com?c=213606-10T","View Company Online")</f>
      </c>
    </row>
    <row r="1555">
      <c r="A1555" s="3" t="s">
        <v>9116</v>
      </c>
      <c r="B1555" s="3" t="s">
        <v>9117</v>
      </c>
      <c r="C1555" s="5" t="s">
        <v>36</v>
      </c>
      <c r="D1555" s="5" t="s">
        <v>36</v>
      </c>
      <c r="E1555" s="5" t="s">
        <v>36</v>
      </c>
      <c r="F1555" s="5" t="s">
        <v>36</v>
      </c>
      <c r="G1555" s="6" t="s">
        <v>36</v>
      </c>
      <c r="H1555" s="4" t="s">
        <v>36</v>
      </c>
      <c r="I1555" s="7">
        <v>5</v>
      </c>
      <c r="J1555" s="3" t="s">
        <v>521</v>
      </c>
      <c r="K1555" s="9" t="s">
        <v>36</v>
      </c>
      <c r="L1555" s="6" t="s">
        <v>122</v>
      </c>
      <c r="M1555" s="3" t="s">
        <v>36</v>
      </c>
      <c r="N1555" s="3" t="s">
        <v>122</v>
      </c>
      <c r="O1555" s="8" t="s">
        <v>36</v>
      </c>
      <c r="P1555" s="3" t="s">
        <v>36</v>
      </c>
      <c r="Q1555" s="3" t="s">
        <v>36</v>
      </c>
      <c r="R1555" s="3" t="s">
        <v>36</v>
      </c>
      <c r="S1555" s="3" t="s">
        <v>36</v>
      </c>
      <c r="T1555" s="3" t="s">
        <v>529</v>
      </c>
      <c r="U1555" s="3" t="s">
        <v>38</v>
      </c>
      <c r="V1555" s="3" t="s">
        <v>39</v>
      </c>
      <c r="W1555" s="3" t="s">
        <v>9118</v>
      </c>
      <c r="X1555" s="10" t="s">
        <v>9119</v>
      </c>
      <c r="Y1555" s="6" t="s">
        <v>42</v>
      </c>
      <c r="Z1555" s="4">
        <v>32.18</v>
      </c>
      <c r="AA1555" s="4">
        <v>107.26</v>
      </c>
      <c r="AB1555" s="3" t="s">
        <v>56</v>
      </c>
      <c r="AC1555" s="3" t="s">
        <v>9120</v>
      </c>
      <c r="AD1555" s="9">
        <v>44949</v>
      </c>
      <c r="AE1555" s="3" t="s">
        <v>134</v>
      </c>
      <c r="AF1555" s="3" t="s">
        <v>2752</v>
      </c>
      <c r="AG1555" s="3" t="s">
        <v>9121</v>
      </c>
      <c r="AH1555" s="11">
        <f>HYPERLINK("https://my.pitchbook.com?c=213612-04T","View Company Online")</f>
      </c>
    </row>
    <row r="1556">
      <c r="A1556" s="12" t="s">
        <v>9122</v>
      </c>
      <c r="B1556" s="12" t="s">
        <v>9123</v>
      </c>
      <c r="C1556" s="19" t="s">
        <v>36</v>
      </c>
      <c r="D1556" s="19" t="s">
        <v>36</v>
      </c>
      <c r="E1556" s="19" t="s">
        <v>36</v>
      </c>
      <c r="F1556" s="19" t="s">
        <v>36</v>
      </c>
      <c r="G1556" s="15" t="s">
        <v>36</v>
      </c>
      <c r="H1556" s="14" t="s">
        <v>36</v>
      </c>
      <c r="I1556" s="18" t="s">
        <v>36</v>
      </c>
      <c r="J1556" s="12" t="s">
        <v>36</v>
      </c>
      <c r="K1556" s="13" t="s">
        <v>36</v>
      </c>
      <c r="L1556" s="15" t="s">
        <v>36</v>
      </c>
      <c r="M1556" s="12" t="s">
        <v>36</v>
      </c>
      <c r="N1556" s="12" t="s">
        <v>36</v>
      </c>
      <c r="O1556" s="17" t="s">
        <v>36</v>
      </c>
      <c r="P1556" s="12" t="s">
        <v>36</v>
      </c>
      <c r="Q1556" s="12" t="s">
        <v>36</v>
      </c>
      <c r="R1556" s="12" t="s">
        <v>36</v>
      </c>
      <c r="S1556" s="12" t="s">
        <v>36</v>
      </c>
      <c r="T1556" s="12" t="s">
        <v>9124</v>
      </c>
      <c r="U1556" s="12" t="s">
        <v>96</v>
      </c>
      <c r="V1556" s="12" t="s">
        <v>52</v>
      </c>
      <c r="W1556" s="12" t="s">
        <v>9125</v>
      </c>
      <c r="X1556" s="16" t="s">
        <v>9126</v>
      </c>
      <c r="Y1556" s="15" t="s">
        <v>42</v>
      </c>
      <c r="Z1556" s="14">
        <v>1.39</v>
      </c>
      <c r="AA1556" s="14" t="s">
        <v>36</v>
      </c>
      <c r="AB1556" s="12" t="s">
        <v>43</v>
      </c>
      <c r="AC1556" s="12" t="s">
        <v>9127</v>
      </c>
      <c r="AD1556" s="13">
        <v>44949</v>
      </c>
      <c r="AE1556" s="12" t="s">
        <v>100</v>
      </c>
      <c r="AF1556" s="12" t="s">
        <v>3365</v>
      </c>
      <c r="AG1556" s="12" t="s">
        <v>102</v>
      </c>
      <c r="AH1556" s="1">
        <f>HYPERLINK("https://my.pitchbook.com?c=213613-57T","View Company Online")</f>
      </c>
    </row>
    <row r="1557">
      <c r="A1557" s="3" t="s">
        <v>9128</v>
      </c>
      <c r="B1557" s="3" t="s">
        <v>9129</v>
      </c>
      <c r="C1557" s="5" t="s">
        <v>36</v>
      </c>
      <c r="D1557" s="5" t="s">
        <v>36</v>
      </c>
      <c r="E1557" s="5" t="s">
        <v>36</v>
      </c>
      <c r="F1557" s="5" t="s">
        <v>36</v>
      </c>
      <c r="G1557" s="6" t="s">
        <v>36</v>
      </c>
      <c r="H1557" s="4" t="s">
        <v>36</v>
      </c>
      <c r="I1557" s="7" t="s">
        <v>36</v>
      </c>
      <c r="J1557" s="3" t="s">
        <v>36</v>
      </c>
      <c r="K1557" s="9" t="s">
        <v>36</v>
      </c>
      <c r="L1557" s="6" t="s">
        <v>36</v>
      </c>
      <c r="M1557" s="3" t="s">
        <v>36</v>
      </c>
      <c r="N1557" s="3" t="s">
        <v>36</v>
      </c>
      <c r="O1557" s="8" t="s">
        <v>36</v>
      </c>
      <c r="P1557" s="3" t="s">
        <v>36</v>
      </c>
      <c r="Q1557" s="3" t="s">
        <v>36</v>
      </c>
      <c r="R1557" s="3" t="s">
        <v>36</v>
      </c>
      <c r="S1557" s="3" t="s">
        <v>36</v>
      </c>
      <c r="T1557" s="3" t="s">
        <v>9130</v>
      </c>
      <c r="U1557" s="3" t="s">
        <v>279</v>
      </c>
      <c r="V1557" s="3" t="s">
        <v>64</v>
      </c>
      <c r="W1557" s="3" t="s">
        <v>9131</v>
      </c>
      <c r="X1557" s="10" t="s">
        <v>9132</v>
      </c>
      <c r="Y1557" s="6" t="s">
        <v>42</v>
      </c>
      <c r="Z1557" s="4">
        <v>1.5</v>
      </c>
      <c r="AA1557" s="4" t="s">
        <v>36</v>
      </c>
      <c r="AB1557" s="3" t="s">
        <v>43</v>
      </c>
      <c r="AC1557" s="3" t="s">
        <v>9133</v>
      </c>
      <c r="AD1557" s="9">
        <v>44949</v>
      </c>
      <c r="AE1557" s="3" t="s">
        <v>851</v>
      </c>
      <c r="AF1557" s="3" t="s">
        <v>1380</v>
      </c>
      <c r="AG1557" s="3" t="s">
        <v>47</v>
      </c>
      <c r="AH1557" s="11">
        <f>HYPERLINK("https://my.pitchbook.com?c=213576-85T","View Company Online")</f>
      </c>
    </row>
    <row r="1558">
      <c r="A1558" s="12" t="s">
        <v>9134</v>
      </c>
      <c r="B1558" s="12" t="s">
        <v>9135</v>
      </c>
      <c r="C1558" s="19" t="s">
        <v>36</v>
      </c>
      <c r="D1558" s="19" t="s">
        <v>36</v>
      </c>
      <c r="E1558" s="19" t="s">
        <v>36</v>
      </c>
      <c r="F1558" s="19" t="s">
        <v>36</v>
      </c>
      <c r="G1558" s="15" t="s">
        <v>36</v>
      </c>
      <c r="H1558" s="14" t="s">
        <v>36</v>
      </c>
      <c r="I1558" s="18" t="s">
        <v>36</v>
      </c>
      <c r="J1558" s="12" t="s">
        <v>36</v>
      </c>
      <c r="K1558" s="13" t="s">
        <v>36</v>
      </c>
      <c r="L1558" s="15" t="s">
        <v>36</v>
      </c>
      <c r="M1558" s="12" t="s">
        <v>36</v>
      </c>
      <c r="N1558" s="12" t="s">
        <v>36</v>
      </c>
      <c r="O1558" s="17" t="s">
        <v>36</v>
      </c>
      <c r="P1558" s="12" t="s">
        <v>36</v>
      </c>
      <c r="Q1558" s="12" t="s">
        <v>36</v>
      </c>
      <c r="R1558" s="12" t="s">
        <v>36</v>
      </c>
      <c r="S1558" s="12" t="s">
        <v>36</v>
      </c>
      <c r="T1558" s="12" t="s">
        <v>8394</v>
      </c>
      <c r="U1558" s="12" t="s">
        <v>85</v>
      </c>
      <c r="V1558" s="12" t="s">
        <v>64</v>
      </c>
      <c r="W1558" s="12" t="s">
        <v>9136</v>
      </c>
      <c r="X1558" s="16" t="s">
        <v>9137</v>
      </c>
      <c r="Y1558" s="15" t="s">
        <v>321</v>
      </c>
      <c r="Z1558" s="14">
        <v>16.09</v>
      </c>
      <c r="AA1558" s="14" t="s">
        <v>36</v>
      </c>
      <c r="AB1558" s="12" t="s">
        <v>56</v>
      </c>
      <c r="AC1558" s="12" t="s">
        <v>9138</v>
      </c>
      <c r="AD1558" s="13">
        <v>44949</v>
      </c>
      <c r="AE1558" s="12" t="s">
        <v>89</v>
      </c>
      <c r="AF1558" s="12" t="s">
        <v>4612</v>
      </c>
      <c r="AG1558" s="12" t="s">
        <v>81</v>
      </c>
      <c r="AH1558" s="1">
        <f>HYPERLINK("https://my.pitchbook.com?c=213586-84T","View Company Online")</f>
      </c>
    </row>
    <row r="1559">
      <c r="A1559" s="3" t="s">
        <v>9139</v>
      </c>
      <c r="B1559" s="3" t="s">
        <v>3831</v>
      </c>
      <c r="C1559" s="5">
        <v>9</v>
      </c>
      <c r="D1559" s="5">
        <v>10</v>
      </c>
      <c r="E1559" s="5">
        <v>5</v>
      </c>
      <c r="F1559" s="5">
        <v>19</v>
      </c>
      <c r="G1559" s="6" t="s">
        <v>326</v>
      </c>
      <c r="H1559" s="4">
        <v>63.85</v>
      </c>
      <c r="I1559" s="7">
        <v>16.36</v>
      </c>
      <c r="J1559" s="3" t="s">
        <v>521</v>
      </c>
      <c r="K1559" s="9" t="s">
        <v>36</v>
      </c>
      <c r="L1559" s="6" t="s">
        <v>36</v>
      </c>
      <c r="M1559" s="3" t="s">
        <v>36</v>
      </c>
      <c r="N1559" s="3" t="s">
        <v>36</v>
      </c>
      <c r="O1559" s="8" t="s">
        <v>36</v>
      </c>
      <c r="P1559" s="3" t="s">
        <v>36</v>
      </c>
      <c r="Q1559" s="3" t="s">
        <v>36</v>
      </c>
      <c r="R1559" s="3" t="s">
        <v>36</v>
      </c>
      <c r="S1559" s="3" t="s">
        <v>36</v>
      </c>
      <c r="T1559" s="3" t="s">
        <v>2213</v>
      </c>
      <c r="U1559" s="3" t="s">
        <v>219</v>
      </c>
      <c r="V1559" s="3" t="s">
        <v>75</v>
      </c>
      <c r="W1559" s="3" t="s">
        <v>3832</v>
      </c>
      <c r="X1559" s="10" t="s">
        <v>9140</v>
      </c>
      <c r="Y1559" s="6" t="s">
        <v>55</v>
      </c>
      <c r="Z1559" s="4">
        <v>5.81</v>
      </c>
      <c r="AA1559" s="4">
        <v>35.53</v>
      </c>
      <c r="AB1559" s="3" t="s">
        <v>56</v>
      </c>
      <c r="AC1559" s="3" t="s">
        <v>3834</v>
      </c>
      <c r="AD1559" s="9">
        <v>44946</v>
      </c>
      <c r="AE1559" s="3" t="s">
        <v>1912</v>
      </c>
      <c r="AF1559" s="3" t="s">
        <v>372</v>
      </c>
      <c r="AG1559" s="3" t="s">
        <v>3835</v>
      </c>
      <c r="AH1559" s="11">
        <f>HYPERLINK("https://my.pitchbook.com?c=213507-55T","View Company Online")</f>
      </c>
    </row>
    <row r="1560">
      <c r="A1560" s="12" t="s">
        <v>9141</v>
      </c>
      <c r="B1560" s="12" t="s">
        <v>9142</v>
      </c>
      <c r="C1560" s="19" t="s">
        <v>36</v>
      </c>
      <c r="D1560" s="19" t="s">
        <v>36</v>
      </c>
      <c r="E1560" s="19" t="s">
        <v>36</v>
      </c>
      <c r="F1560" s="19" t="s">
        <v>36</v>
      </c>
      <c r="G1560" s="15" t="s">
        <v>326</v>
      </c>
      <c r="H1560" s="14">
        <v>486.46</v>
      </c>
      <c r="I1560" s="18">
        <v>35.34</v>
      </c>
      <c r="J1560" s="12" t="s">
        <v>521</v>
      </c>
      <c r="K1560" s="13" t="s">
        <v>36</v>
      </c>
      <c r="L1560" s="15" t="s">
        <v>36</v>
      </c>
      <c r="M1560" s="12" t="s">
        <v>36</v>
      </c>
      <c r="N1560" s="12" t="s">
        <v>36</v>
      </c>
      <c r="O1560" s="17" t="s">
        <v>36</v>
      </c>
      <c r="P1560" s="12" t="s">
        <v>36</v>
      </c>
      <c r="Q1560" s="12" t="s">
        <v>36</v>
      </c>
      <c r="R1560" s="12" t="s">
        <v>36</v>
      </c>
      <c r="S1560" s="12" t="s">
        <v>36</v>
      </c>
      <c r="T1560" s="12" t="s">
        <v>768</v>
      </c>
      <c r="U1560" s="12" t="s">
        <v>233</v>
      </c>
      <c r="V1560" s="12" t="s">
        <v>39</v>
      </c>
      <c r="W1560" s="12" t="s">
        <v>9143</v>
      </c>
      <c r="X1560" s="16" t="s">
        <v>9144</v>
      </c>
      <c r="Y1560" s="15" t="s">
        <v>108</v>
      </c>
      <c r="Z1560" s="14">
        <v>2.51</v>
      </c>
      <c r="AA1560" s="14">
        <v>7.11</v>
      </c>
      <c r="AB1560" s="12" t="s">
        <v>56</v>
      </c>
      <c r="AC1560" s="12" t="s">
        <v>9145</v>
      </c>
      <c r="AD1560" s="13">
        <v>44945</v>
      </c>
      <c r="AE1560" s="12" t="s">
        <v>236</v>
      </c>
      <c r="AF1560" s="12" t="s">
        <v>2350</v>
      </c>
      <c r="AG1560" s="12" t="s">
        <v>9146</v>
      </c>
      <c r="AH1560" s="1">
        <f>HYPERLINK("https://my.pitchbook.com?c=215422-03T","View Company Online")</f>
      </c>
    </row>
    <row r="1561">
      <c r="A1561" s="3" t="s">
        <v>9147</v>
      </c>
      <c r="B1561" s="3" t="s">
        <v>9148</v>
      </c>
      <c r="C1561" s="5" t="s">
        <v>36</v>
      </c>
      <c r="D1561" s="5" t="s">
        <v>36</v>
      </c>
      <c r="E1561" s="5" t="s">
        <v>36</v>
      </c>
      <c r="F1561" s="5" t="s">
        <v>36</v>
      </c>
      <c r="G1561" s="6" t="s">
        <v>36</v>
      </c>
      <c r="H1561" s="4" t="s">
        <v>36</v>
      </c>
      <c r="I1561" s="7" t="s">
        <v>36</v>
      </c>
      <c r="J1561" s="3" t="s">
        <v>36</v>
      </c>
      <c r="K1561" s="9" t="s">
        <v>36</v>
      </c>
      <c r="L1561" s="6" t="s">
        <v>36</v>
      </c>
      <c r="M1561" s="3" t="s">
        <v>36</v>
      </c>
      <c r="N1561" s="3" t="s">
        <v>36</v>
      </c>
      <c r="O1561" s="8" t="s">
        <v>36</v>
      </c>
      <c r="P1561" s="3" t="s">
        <v>36</v>
      </c>
      <c r="Q1561" s="3" t="s">
        <v>36</v>
      </c>
      <c r="R1561" s="3" t="s">
        <v>36</v>
      </c>
      <c r="S1561" s="3" t="s">
        <v>36</v>
      </c>
      <c r="T1561" s="3" t="s">
        <v>522</v>
      </c>
      <c r="U1561" s="3" t="s">
        <v>38</v>
      </c>
      <c r="V1561" s="3" t="s">
        <v>39</v>
      </c>
      <c r="W1561" s="3" t="s">
        <v>9149</v>
      </c>
      <c r="X1561" s="10" t="s">
        <v>9150</v>
      </c>
      <c r="Y1561" s="6" t="s">
        <v>192</v>
      </c>
      <c r="Z1561" s="4">
        <v>4.28</v>
      </c>
      <c r="AA1561" s="4" t="s">
        <v>36</v>
      </c>
      <c r="AB1561" s="3" t="s">
        <v>43</v>
      </c>
      <c r="AC1561" s="3" t="s">
        <v>9151</v>
      </c>
      <c r="AD1561" s="9">
        <v>44945</v>
      </c>
      <c r="AE1561" s="3" t="s">
        <v>110</v>
      </c>
      <c r="AF1561" s="3" t="s">
        <v>2210</v>
      </c>
      <c r="AG1561" s="3" t="s">
        <v>741</v>
      </c>
      <c r="AH1561" s="11">
        <f>HYPERLINK("https://my.pitchbook.com?c=213488-92T","View Company Online")</f>
      </c>
    </row>
    <row r="1562">
      <c r="A1562" s="12" t="s">
        <v>9152</v>
      </c>
      <c r="B1562" s="12" t="s">
        <v>9153</v>
      </c>
      <c r="C1562" s="19" t="s">
        <v>36</v>
      </c>
      <c r="D1562" s="19" t="s">
        <v>36</v>
      </c>
      <c r="E1562" s="19" t="s">
        <v>36</v>
      </c>
      <c r="F1562" s="19" t="s">
        <v>36</v>
      </c>
      <c r="G1562" s="15" t="s">
        <v>326</v>
      </c>
      <c r="H1562" s="14" t="s">
        <v>36</v>
      </c>
      <c r="I1562" s="18">
        <v>26.84</v>
      </c>
      <c r="J1562" s="12" t="s">
        <v>327</v>
      </c>
      <c r="K1562" s="13" t="s">
        <v>36</v>
      </c>
      <c r="L1562" s="15" t="s">
        <v>36</v>
      </c>
      <c r="M1562" s="12" t="s">
        <v>36</v>
      </c>
      <c r="N1562" s="12" t="s">
        <v>36</v>
      </c>
      <c r="O1562" s="17" t="s">
        <v>36</v>
      </c>
      <c r="P1562" s="12" t="s">
        <v>36</v>
      </c>
      <c r="Q1562" s="12" t="s">
        <v>36</v>
      </c>
      <c r="R1562" s="12" t="s">
        <v>36</v>
      </c>
      <c r="S1562" s="12" t="s">
        <v>36</v>
      </c>
      <c r="T1562" s="12" t="s">
        <v>37</v>
      </c>
      <c r="U1562" s="12" t="s">
        <v>38</v>
      </c>
      <c r="V1562" s="12" t="s">
        <v>39</v>
      </c>
      <c r="W1562" s="12" t="s">
        <v>9154</v>
      </c>
      <c r="X1562" s="16" t="s">
        <v>9155</v>
      </c>
      <c r="Y1562" s="15" t="s">
        <v>108</v>
      </c>
      <c r="Z1562" s="14">
        <v>4.28</v>
      </c>
      <c r="AA1562" s="14">
        <v>15.94</v>
      </c>
      <c r="AB1562" s="12" t="s">
        <v>43</v>
      </c>
      <c r="AC1562" s="12" t="s">
        <v>9156</v>
      </c>
      <c r="AD1562" s="13">
        <v>44945</v>
      </c>
      <c r="AE1562" s="12" t="s">
        <v>45</v>
      </c>
      <c r="AF1562" s="12" t="s">
        <v>5816</v>
      </c>
      <c r="AG1562" s="12" t="s">
        <v>81</v>
      </c>
      <c r="AH1562" s="1">
        <f>HYPERLINK("https://my.pitchbook.com?c=213294-34T","View Company Online")</f>
      </c>
    </row>
    <row r="1563">
      <c r="A1563" s="3" t="s">
        <v>9157</v>
      </c>
      <c r="B1563" s="3" t="s">
        <v>9158</v>
      </c>
      <c r="C1563" s="5" t="s">
        <v>36</v>
      </c>
      <c r="D1563" s="5" t="s">
        <v>36</v>
      </c>
      <c r="E1563" s="5" t="s">
        <v>36</v>
      </c>
      <c r="F1563" s="5" t="s">
        <v>36</v>
      </c>
      <c r="G1563" s="6" t="s">
        <v>326</v>
      </c>
      <c r="H1563" s="4" t="s">
        <v>36</v>
      </c>
      <c r="I1563" s="7">
        <v>48.79</v>
      </c>
      <c r="J1563" s="3" t="s">
        <v>327</v>
      </c>
      <c r="K1563" s="9" t="s">
        <v>36</v>
      </c>
      <c r="L1563" s="6" t="s">
        <v>122</v>
      </c>
      <c r="M1563" s="3" t="s">
        <v>36</v>
      </c>
      <c r="N1563" s="3" t="s">
        <v>122</v>
      </c>
      <c r="O1563" s="8" t="s">
        <v>36</v>
      </c>
      <c r="P1563" s="3" t="s">
        <v>36</v>
      </c>
      <c r="Q1563" s="3" t="s">
        <v>36</v>
      </c>
      <c r="R1563" s="3" t="s">
        <v>36</v>
      </c>
      <c r="S1563" s="3" t="s">
        <v>36</v>
      </c>
      <c r="T1563" s="3" t="s">
        <v>9159</v>
      </c>
      <c r="U1563" s="3" t="s">
        <v>74</v>
      </c>
      <c r="V1563" s="3" t="s">
        <v>75</v>
      </c>
      <c r="W1563" s="3" t="s">
        <v>9160</v>
      </c>
      <c r="X1563" s="10" t="s">
        <v>9161</v>
      </c>
      <c r="Y1563" s="6" t="s">
        <v>55</v>
      </c>
      <c r="Z1563" s="4">
        <v>7.52</v>
      </c>
      <c r="AA1563" s="4">
        <v>15.41</v>
      </c>
      <c r="AB1563" s="3" t="s">
        <v>43</v>
      </c>
      <c r="AC1563" s="3" t="s">
        <v>9162</v>
      </c>
      <c r="AD1563" s="9">
        <v>44945</v>
      </c>
      <c r="AE1563" s="3" t="s">
        <v>3144</v>
      </c>
      <c r="AF1563" s="3" t="s">
        <v>36</v>
      </c>
      <c r="AG1563" s="3" t="s">
        <v>347</v>
      </c>
      <c r="AH1563" s="11">
        <f>HYPERLINK("https://my.pitchbook.com?c=213307-03T","View Company Online")</f>
      </c>
    </row>
    <row r="1564">
      <c r="A1564" s="12" t="s">
        <v>9163</v>
      </c>
      <c r="B1564" s="12" t="s">
        <v>1713</v>
      </c>
      <c r="C1564" s="19" t="s">
        <v>36</v>
      </c>
      <c r="D1564" s="19" t="s">
        <v>36</v>
      </c>
      <c r="E1564" s="19" t="s">
        <v>36</v>
      </c>
      <c r="F1564" s="19" t="s">
        <v>36</v>
      </c>
      <c r="G1564" s="15" t="s">
        <v>683</v>
      </c>
      <c r="H1564" s="14">
        <v>25.37</v>
      </c>
      <c r="I1564" s="18">
        <v>37.35</v>
      </c>
      <c r="J1564" s="12" t="s">
        <v>327</v>
      </c>
      <c r="K1564" s="13" t="s">
        <v>36</v>
      </c>
      <c r="L1564" s="15" t="s">
        <v>36</v>
      </c>
      <c r="M1564" s="12" t="s">
        <v>36</v>
      </c>
      <c r="N1564" s="12" t="s">
        <v>36</v>
      </c>
      <c r="O1564" s="17" t="s">
        <v>36</v>
      </c>
      <c r="P1564" s="12" t="s">
        <v>36</v>
      </c>
      <c r="Q1564" s="12" t="s">
        <v>36</v>
      </c>
      <c r="R1564" s="12" t="s">
        <v>36</v>
      </c>
      <c r="S1564" s="12" t="s">
        <v>36</v>
      </c>
      <c r="T1564" s="12" t="s">
        <v>422</v>
      </c>
      <c r="U1564" s="12" t="s">
        <v>423</v>
      </c>
      <c r="V1564" s="12" t="s">
        <v>64</v>
      </c>
      <c r="W1564" s="12" t="s">
        <v>1714</v>
      </c>
      <c r="X1564" s="16" t="s">
        <v>9164</v>
      </c>
      <c r="Y1564" s="15" t="s">
        <v>108</v>
      </c>
      <c r="Z1564" s="14">
        <v>1.6</v>
      </c>
      <c r="AA1564" s="14">
        <v>4.29</v>
      </c>
      <c r="AB1564" s="12" t="s">
        <v>43</v>
      </c>
      <c r="AC1564" s="12" t="s">
        <v>1716</v>
      </c>
      <c r="AD1564" s="13">
        <v>44945</v>
      </c>
      <c r="AE1564" s="12" t="s">
        <v>427</v>
      </c>
      <c r="AF1564" s="12" t="s">
        <v>90</v>
      </c>
      <c r="AG1564" s="12" t="s">
        <v>1717</v>
      </c>
      <c r="AH1564" s="1">
        <f>HYPERLINK("https://my.pitchbook.com?c=213364-09T","View Company Online")</f>
      </c>
    </row>
    <row r="1565">
      <c r="A1565" s="3" t="s">
        <v>9165</v>
      </c>
      <c r="B1565" s="3" t="s">
        <v>9166</v>
      </c>
      <c r="C1565" s="5" t="s">
        <v>36</v>
      </c>
      <c r="D1565" s="5" t="s">
        <v>36</v>
      </c>
      <c r="E1565" s="5" t="s">
        <v>36</v>
      </c>
      <c r="F1565" s="5" t="s">
        <v>36</v>
      </c>
      <c r="G1565" s="6" t="s">
        <v>36</v>
      </c>
      <c r="H1565" s="4" t="s">
        <v>36</v>
      </c>
      <c r="I1565" s="7" t="s">
        <v>36</v>
      </c>
      <c r="J1565" s="3" t="s">
        <v>36</v>
      </c>
      <c r="K1565" s="9" t="s">
        <v>36</v>
      </c>
      <c r="L1565" s="6" t="s">
        <v>36</v>
      </c>
      <c r="M1565" s="3" t="s">
        <v>36</v>
      </c>
      <c r="N1565" s="3" t="s">
        <v>36</v>
      </c>
      <c r="O1565" s="8" t="s">
        <v>36</v>
      </c>
      <c r="P1565" s="3" t="s">
        <v>36</v>
      </c>
      <c r="Q1565" s="3" t="s">
        <v>36</v>
      </c>
      <c r="R1565" s="3" t="s">
        <v>36</v>
      </c>
      <c r="S1565" s="3" t="s">
        <v>36</v>
      </c>
      <c r="T1565" s="3" t="s">
        <v>1560</v>
      </c>
      <c r="U1565" s="3" t="s">
        <v>438</v>
      </c>
      <c r="V1565" s="3" t="s">
        <v>405</v>
      </c>
      <c r="W1565" s="3" t="s">
        <v>9167</v>
      </c>
      <c r="X1565" s="10" t="s">
        <v>9168</v>
      </c>
      <c r="Y1565" s="6" t="s">
        <v>321</v>
      </c>
      <c r="Z1565" s="4" t="s">
        <v>36</v>
      </c>
      <c r="AA1565" s="4" t="s">
        <v>36</v>
      </c>
      <c r="AB1565" s="3" t="s">
        <v>56</v>
      </c>
      <c r="AC1565" s="3" t="s">
        <v>9169</v>
      </c>
      <c r="AD1565" s="9">
        <v>44945</v>
      </c>
      <c r="AE1565" s="3" t="s">
        <v>438</v>
      </c>
      <c r="AF1565" s="3" t="s">
        <v>215</v>
      </c>
      <c r="AG1565" s="3" t="s">
        <v>81</v>
      </c>
      <c r="AH1565" s="11">
        <f>HYPERLINK("https://my.pitchbook.com?c=215476-84T","View Company Online")</f>
      </c>
    </row>
    <row r="1566">
      <c r="A1566" s="12" t="s">
        <v>9170</v>
      </c>
      <c r="B1566" s="12" t="s">
        <v>1211</v>
      </c>
      <c r="C1566" s="19" t="s">
        <v>36</v>
      </c>
      <c r="D1566" s="19" t="s">
        <v>36</v>
      </c>
      <c r="E1566" s="19" t="s">
        <v>36</v>
      </c>
      <c r="F1566" s="19" t="s">
        <v>36</v>
      </c>
      <c r="G1566" s="15" t="s">
        <v>36</v>
      </c>
      <c r="H1566" s="14" t="s">
        <v>36</v>
      </c>
      <c r="I1566" s="18" t="s">
        <v>36</v>
      </c>
      <c r="J1566" s="12" t="s">
        <v>36</v>
      </c>
      <c r="K1566" s="13">
        <v>44918</v>
      </c>
      <c r="L1566" s="15" t="s">
        <v>36</v>
      </c>
      <c r="M1566" s="12" t="s">
        <v>36</v>
      </c>
      <c r="N1566" s="12" t="s">
        <v>36</v>
      </c>
      <c r="O1566" s="17" t="s">
        <v>36</v>
      </c>
      <c r="P1566" s="12" t="s">
        <v>36</v>
      </c>
      <c r="Q1566" s="12" t="s">
        <v>36</v>
      </c>
      <c r="R1566" s="12" t="s">
        <v>36</v>
      </c>
      <c r="S1566" s="12" t="s">
        <v>36</v>
      </c>
      <c r="T1566" s="12" t="s">
        <v>1212</v>
      </c>
      <c r="U1566" s="12" t="s">
        <v>219</v>
      </c>
      <c r="V1566" s="12" t="s">
        <v>75</v>
      </c>
      <c r="W1566" s="12" t="s">
        <v>1213</v>
      </c>
      <c r="X1566" s="16" t="s">
        <v>9171</v>
      </c>
      <c r="Y1566" s="15" t="s">
        <v>55</v>
      </c>
      <c r="Z1566" s="14">
        <v>8.72</v>
      </c>
      <c r="AA1566" s="14" t="s">
        <v>36</v>
      </c>
      <c r="AB1566" s="12" t="s">
        <v>56</v>
      </c>
      <c r="AC1566" s="12" t="s">
        <v>1215</v>
      </c>
      <c r="AD1566" s="13">
        <v>44944</v>
      </c>
      <c r="AE1566" s="12" t="s">
        <v>1032</v>
      </c>
      <c r="AF1566" s="12" t="s">
        <v>1216</v>
      </c>
      <c r="AG1566" s="12" t="s">
        <v>1217</v>
      </c>
      <c r="AH1566" s="1">
        <f>HYPERLINK("https://my.pitchbook.com?c=219570-22T","View Company Online")</f>
      </c>
    </row>
    <row r="1567">
      <c r="A1567" s="3" t="s">
        <v>9172</v>
      </c>
      <c r="B1567" s="3" t="s">
        <v>9173</v>
      </c>
      <c r="C1567" s="5" t="s">
        <v>36</v>
      </c>
      <c r="D1567" s="5" t="s">
        <v>36</v>
      </c>
      <c r="E1567" s="5" t="s">
        <v>36</v>
      </c>
      <c r="F1567" s="5" t="s">
        <v>36</v>
      </c>
      <c r="G1567" s="6" t="s">
        <v>36</v>
      </c>
      <c r="H1567" s="4">
        <v>118.26</v>
      </c>
      <c r="I1567" s="7">
        <v>26.32</v>
      </c>
      <c r="J1567" s="3" t="s">
        <v>521</v>
      </c>
      <c r="K1567" s="9" t="s">
        <v>36</v>
      </c>
      <c r="L1567" s="6" t="s">
        <v>36</v>
      </c>
      <c r="M1567" s="3" t="s">
        <v>36</v>
      </c>
      <c r="N1567" s="3" t="s">
        <v>36</v>
      </c>
      <c r="O1567" s="8" t="s">
        <v>36</v>
      </c>
      <c r="P1567" s="3" t="s">
        <v>36</v>
      </c>
      <c r="Q1567" s="3" t="s">
        <v>36</v>
      </c>
      <c r="R1567" s="3" t="s">
        <v>36</v>
      </c>
      <c r="S1567" s="3" t="s">
        <v>36</v>
      </c>
      <c r="T1567" s="3" t="s">
        <v>9174</v>
      </c>
      <c r="U1567" s="3" t="s">
        <v>38</v>
      </c>
      <c r="V1567" s="3" t="s">
        <v>39</v>
      </c>
      <c r="W1567" s="3" t="s">
        <v>9175</v>
      </c>
      <c r="X1567" s="10" t="s">
        <v>9176</v>
      </c>
      <c r="Y1567" s="6" t="s">
        <v>42</v>
      </c>
      <c r="Z1567" s="4">
        <v>1.07</v>
      </c>
      <c r="AA1567" s="4">
        <v>2.48</v>
      </c>
      <c r="AB1567" s="3" t="s">
        <v>56</v>
      </c>
      <c r="AC1567" s="3" t="s">
        <v>9177</v>
      </c>
      <c r="AD1567" s="9">
        <v>44944</v>
      </c>
      <c r="AE1567" s="3" t="s">
        <v>110</v>
      </c>
      <c r="AF1567" s="3" t="s">
        <v>9178</v>
      </c>
      <c r="AG1567" s="3" t="s">
        <v>47</v>
      </c>
      <c r="AH1567" s="11">
        <f>HYPERLINK("https://my.pitchbook.com?c=213203-44T","View Company Online")</f>
      </c>
    </row>
    <row r="1568">
      <c r="A1568" s="12" t="s">
        <v>9179</v>
      </c>
      <c r="B1568" s="12" t="s">
        <v>2536</v>
      </c>
      <c r="C1568" s="19">
        <v>33</v>
      </c>
      <c r="D1568" s="19">
        <v>6</v>
      </c>
      <c r="E1568" s="19">
        <v>24</v>
      </c>
      <c r="F1568" s="19">
        <v>44</v>
      </c>
      <c r="G1568" s="15" t="s">
        <v>326</v>
      </c>
      <c r="H1568" s="14">
        <v>7598.74</v>
      </c>
      <c r="I1568" s="18">
        <v>17.28</v>
      </c>
      <c r="J1568" s="12" t="s">
        <v>521</v>
      </c>
      <c r="K1568" s="13">
        <v>44917</v>
      </c>
      <c r="L1568" s="15" t="s">
        <v>94</v>
      </c>
      <c r="M1568" s="12" t="s">
        <v>36</v>
      </c>
      <c r="N1568" s="12" t="s">
        <v>94</v>
      </c>
      <c r="O1568" s="17" t="s">
        <v>36</v>
      </c>
      <c r="P1568" s="12" t="s">
        <v>36</v>
      </c>
      <c r="Q1568" s="12" t="s">
        <v>36</v>
      </c>
      <c r="R1568" s="12" t="s">
        <v>36</v>
      </c>
      <c r="S1568" s="12" t="s">
        <v>2537</v>
      </c>
      <c r="T1568" s="12" t="s">
        <v>2538</v>
      </c>
      <c r="U1568" s="12" t="s">
        <v>318</v>
      </c>
      <c r="V1568" s="12" t="s">
        <v>39</v>
      </c>
      <c r="W1568" s="12" t="s">
        <v>2539</v>
      </c>
      <c r="X1568" s="16" t="s">
        <v>9180</v>
      </c>
      <c r="Y1568" s="15" t="s">
        <v>321</v>
      </c>
      <c r="Z1568" s="14">
        <v>103.38</v>
      </c>
      <c r="AA1568" s="14">
        <v>598.15</v>
      </c>
      <c r="AB1568" s="12" t="s">
        <v>43</v>
      </c>
      <c r="AC1568" s="12" t="s">
        <v>2541</v>
      </c>
      <c r="AD1568" s="13">
        <v>44943</v>
      </c>
      <c r="AE1568" s="12" t="s">
        <v>417</v>
      </c>
      <c r="AF1568" s="12" t="s">
        <v>275</v>
      </c>
      <c r="AG1568" s="12" t="s">
        <v>2542</v>
      </c>
      <c r="AH1568" s="1">
        <f>HYPERLINK("https://my.pitchbook.com?c=187175-26T","View Company Online")</f>
      </c>
    </row>
    <row r="1569">
      <c r="A1569" s="3" t="s">
        <v>9181</v>
      </c>
      <c r="B1569" s="3" t="s">
        <v>9182</v>
      </c>
      <c r="C1569" s="5" t="s">
        <v>36</v>
      </c>
      <c r="D1569" s="5" t="s">
        <v>36</v>
      </c>
      <c r="E1569" s="5" t="s">
        <v>36</v>
      </c>
      <c r="F1569" s="5" t="s">
        <v>36</v>
      </c>
      <c r="G1569" s="6" t="s">
        <v>326</v>
      </c>
      <c r="H1569" s="4">
        <v>3408.58</v>
      </c>
      <c r="I1569" s="7">
        <v>22.07</v>
      </c>
      <c r="J1569" s="3" t="s">
        <v>521</v>
      </c>
      <c r="K1569" s="9" t="s">
        <v>36</v>
      </c>
      <c r="L1569" s="6" t="s">
        <v>36</v>
      </c>
      <c r="M1569" s="3" t="s">
        <v>36</v>
      </c>
      <c r="N1569" s="3" t="s">
        <v>36</v>
      </c>
      <c r="O1569" s="8" t="s">
        <v>36</v>
      </c>
      <c r="P1569" s="3" t="s">
        <v>36</v>
      </c>
      <c r="Q1569" s="3" t="s">
        <v>36</v>
      </c>
      <c r="R1569" s="3" t="s">
        <v>36</v>
      </c>
      <c r="S1569" s="3" t="s">
        <v>36</v>
      </c>
      <c r="T1569" s="3" t="s">
        <v>7803</v>
      </c>
      <c r="U1569" s="3" t="s">
        <v>38</v>
      </c>
      <c r="V1569" s="3" t="s">
        <v>39</v>
      </c>
      <c r="W1569" s="3" t="s">
        <v>9183</v>
      </c>
      <c r="X1569" s="10" t="s">
        <v>560</v>
      </c>
      <c r="Y1569" s="6" t="s">
        <v>42</v>
      </c>
      <c r="Z1569" s="4">
        <v>2.48</v>
      </c>
      <c r="AA1569" s="4">
        <v>11.25</v>
      </c>
      <c r="AB1569" s="3" t="s">
        <v>56</v>
      </c>
      <c r="AC1569" s="3" t="s">
        <v>9184</v>
      </c>
      <c r="AD1569" s="9">
        <v>44943</v>
      </c>
      <c r="AE1569" s="3" t="s">
        <v>45</v>
      </c>
      <c r="AF1569" s="3" t="s">
        <v>331</v>
      </c>
      <c r="AG1569" s="3" t="s">
        <v>81</v>
      </c>
      <c r="AH1569" s="11">
        <f>HYPERLINK("https://my.pitchbook.com?c=227777-77T","View Company Online")</f>
      </c>
    </row>
    <row r="1570">
      <c r="A1570" s="12" t="s">
        <v>9185</v>
      </c>
      <c r="B1570" s="12" t="s">
        <v>9186</v>
      </c>
      <c r="C1570" s="19" t="s">
        <v>36</v>
      </c>
      <c r="D1570" s="19" t="s">
        <v>36</v>
      </c>
      <c r="E1570" s="19" t="s">
        <v>36</v>
      </c>
      <c r="F1570" s="19" t="s">
        <v>36</v>
      </c>
      <c r="G1570" s="15" t="s">
        <v>683</v>
      </c>
      <c r="H1570" s="14">
        <v>777.38</v>
      </c>
      <c r="I1570" s="18">
        <v>18.35</v>
      </c>
      <c r="J1570" s="12" t="s">
        <v>521</v>
      </c>
      <c r="K1570" s="13" t="s">
        <v>36</v>
      </c>
      <c r="L1570" s="15" t="s">
        <v>36</v>
      </c>
      <c r="M1570" s="12" t="s">
        <v>36</v>
      </c>
      <c r="N1570" s="12" t="s">
        <v>36</v>
      </c>
      <c r="O1570" s="17" t="s">
        <v>36</v>
      </c>
      <c r="P1570" s="12" t="s">
        <v>36</v>
      </c>
      <c r="Q1570" s="12" t="s">
        <v>36</v>
      </c>
      <c r="R1570" s="12" t="s">
        <v>36</v>
      </c>
      <c r="S1570" s="12" t="s">
        <v>36</v>
      </c>
      <c r="T1570" s="12" t="s">
        <v>727</v>
      </c>
      <c r="U1570" s="12" t="s">
        <v>728</v>
      </c>
      <c r="V1570" s="12" t="s">
        <v>64</v>
      </c>
      <c r="W1570" s="12" t="s">
        <v>9187</v>
      </c>
      <c r="X1570" s="16" t="s">
        <v>9188</v>
      </c>
      <c r="Y1570" s="15" t="s">
        <v>55</v>
      </c>
      <c r="Z1570" s="14">
        <v>0.34</v>
      </c>
      <c r="AA1570" s="14">
        <v>1.86</v>
      </c>
      <c r="AB1570" s="12" t="s">
        <v>56</v>
      </c>
      <c r="AC1570" s="12" t="s">
        <v>9189</v>
      </c>
      <c r="AD1570" s="13">
        <v>44943</v>
      </c>
      <c r="AE1570" s="12" t="s">
        <v>732</v>
      </c>
      <c r="AF1570" s="12" t="s">
        <v>90</v>
      </c>
      <c r="AG1570" s="12" t="s">
        <v>9190</v>
      </c>
      <c r="AH1570" s="1">
        <f>HYPERLINK("https://my.pitchbook.com?c=243058-87T","View Company Online")</f>
      </c>
    </row>
    <row r="1571">
      <c r="A1571" s="3" t="s">
        <v>9191</v>
      </c>
      <c r="B1571" s="3" t="s">
        <v>9192</v>
      </c>
      <c r="C1571" s="5" t="s">
        <v>36</v>
      </c>
      <c r="D1571" s="5" t="s">
        <v>36</v>
      </c>
      <c r="E1571" s="5" t="s">
        <v>36</v>
      </c>
      <c r="F1571" s="5" t="s">
        <v>36</v>
      </c>
      <c r="G1571" s="6" t="s">
        <v>36</v>
      </c>
      <c r="H1571" s="4" t="s">
        <v>36</v>
      </c>
      <c r="I1571" s="7" t="s">
        <v>36</v>
      </c>
      <c r="J1571" s="3" t="s">
        <v>36</v>
      </c>
      <c r="K1571" s="9" t="s">
        <v>36</v>
      </c>
      <c r="L1571" s="6" t="s">
        <v>36</v>
      </c>
      <c r="M1571" s="3" t="s">
        <v>36</v>
      </c>
      <c r="N1571" s="3" t="s">
        <v>36</v>
      </c>
      <c r="O1571" s="8" t="s">
        <v>36</v>
      </c>
      <c r="P1571" s="3" t="s">
        <v>36</v>
      </c>
      <c r="Q1571" s="3" t="s">
        <v>36</v>
      </c>
      <c r="R1571" s="3" t="s">
        <v>36</v>
      </c>
      <c r="S1571" s="3" t="s">
        <v>36</v>
      </c>
      <c r="T1571" s="3" t="s">
        <v>9193</v>
      </c>
      <c r="U1571" s="3" t="s">
        <v>74</v>
      </c>
      <c r="V1571" s="3" t="s">
        <v>75</v>
      </c>
      <c r="W1571" s="3" t="s">
        <v>9194</v>
      </c>
      <c r="X1571" s="10" t="s">
        <v>221</v>
      </c>
      <c r="Y1571" s="6" t="s">
        <v>42</v>
      </c>
      <c r="Z1571" s="4">
        <v>1.07</v>
      </c>
      <c r="AA1571" s="4" t="s">
        <v>36</v>
      </c>
      <c r="AB1571" s="3" t="s">
        <v>43</v>
      </c>
      <c r="AC1571" s="3" t="s">
        <v>9195</v>
      </c>
      <c r="AD1571" s="9">
        <v>44942</v>
      </c>
      <c r="AE1571" s="3" t="s">
        <v>79</v>
      </c>
      <c r="AF1571" s="3" t="s">
        <v>118</v>
      </c>
      <c r="AG1571" s="3" t="s">
        <v>81</v>
      </c>
      <c r="AH1571" s="11">
        <f>HYPERLINK("https://my.pitchbook.com?c=219879-01T","View Company Online")</f>
      </c>
    </row>
    <row r="1572">
      <c r="A1572" s="12" t="s">
        <v>9196</v>
      </c>
      <c r="B1572" s="12" t="s">
        <v>9197</v>
      </c>
      <c r="C1572" s="19" t="s">
        <v>36</v>
      </c>
      <c r="D1572" s="19">
        <v>6</v>
      </c>
      <c r="E1572" s="19">
        <v>2</v>
      </c>
      <c r="F1572" s="19">
        <v>6</v>
      </c>
      <c r="G1572" s="15" t="s">
        <v>36</v>
      </c>
      <c r="H1572" s="14" t="s">
        <v>36</v>
      </c>
      <c r="I1572" s="18" t="s">
        <v>36</v>
      </c>
      <c r="J1572" s="12" t="s">
        <v>36</v>
      </c>
      <c r="K1572" s="13">
        <v>44916</v>
      </c>
      <c r="L1572" s="15" t="s">
        <v>36</v>
      </c>
      <c r="M1572" s="12" t="s">
        <v>36</v>
      </c>
      <c r="N1572" s="12" t="s">
        <v>36</v>
      </c>
      <c r="O1572" s="17" t="s">
        <v>36</v>
      </c>
      <c r="P1572" s="12" t="s">
        <v>36</v>
      </c>
      <c r="Q1572" s="12" t="s">
        <v>36</v>
      </c>
      <c r="R1572" s="12" t="s">
        <v>36</v>
      </c>
      <c r="S1572" s="12" t="s">
        <v>36</v>
      </c>
      <c r="T1572" s="12" t="s">
        <v>9198</v>
      </c>
      <c r="U1572" s="12" t="s">
        <v>318</v>
      </c>
      <c r="V1572" s="12" t="s">
        <v>39</v>
      </c>
      <c r="W1572" s="12" t="s">
        <v>9199</v>
      </c>
      <c r="X1572" s="16" t="s">
        <v>9200</v>
      </c>
      <c r="Y1572" s="15" t="s">
        <v>108</v>
      </c>
      <c r="Z1572" s="14">
        <v>10.67</v>
      </c>
      <c r="AA1572" s="14" t="s">
        <v>36</v>
      </c>
      <c r="AB1572" s="12" t="s">
        <v>56</v>
      </c>
      <c r="AC1572" s="12" t="s">
        <v>9201</v>
      </c>
      <c r="AD1572" s="13">
        <v>44942</v>
      </c>
      <c r="AE1572" s="12" t="s">
        <v>417</v>
      </c>
      <c r="AF1572" s="12" t="s">
        <v>5236</v>
      </c>
      <c r="AG1572" s="12" t="s">
        <v>3595</v>
      </c>
      <c r="AH1572" s="1">
        <f>HYPERLINK("https://my.pitchbook.com?c=213104-26T","View Company Online")</f>
      </c>
    </row>
    <row r="1573">
      <c r="A1573" s="3" t="s">
        <v>9202</v>
      </c>
      <c r="B1573" s="3" t="s">
        <v>9203</v>
      </c>
      <c r="C1573" s="5" t="s">
        <v>36</v>
      </c>
      <c r="D1573" s="5" t="s">
        <v>36</v>
      </c>
      <c r="E1573" s="5" t="s">
        <v>36</v>
      </c>
      <c r="F1573" s="5" t="s">
        <v>36</v>
      </c>
      <c r="G1573" s="6" t="s">
        <v>36</v>
      </c>
      <c r="H1573" s="4" t="s">
        <v>36</v>
      </c>
      <c r="I1573" s="7" t="s">
        <v>36</v>
      </c>
      <c r="J1573" s="3" t="s">
        <v>36</v>
      </c>
      <c r="K1573" s="9" t="s">
        <v>36</v>
      </c>
      <c r="L1573" s="6" t="s">
        <v>36</v>
      </c>
      <c r="M1573" s="3" t="s">
        <v>36</v>
      </c>
      <c r="N1573" s="3" t="s">
        <v>36</v>
      </c>
      <c r="O1573" s="8" t="s">
        <v>36</v>
      </c>
      <c r="P1573" s="3" t="s">
        <v>36</v>
      </c>
      <c r="Q1573" s="3" t="s">
        <v>36</v>
      </c>
      <c r="R1573" s="3" t="s">
        <v>36</v>
      </c>
      <c r="S1573" s="3" t="s">
        <v>36</v>
      </c>
      <c r="T1573" s="3" t="s">
        <v>9204</v>
      </c>
      <c r="U1573" s="3" t="s">
        <v>38</v>
      </c>
      <c r="V1573" s="3" t="s">
        <v>39</v>
      </c>
      <c r="W1573" s="3" t="s">
        <v>9205</v>
      </c>
      <c r="X1573" s="10" t="s">
        <v>9206</v>
      </c>
      <c r="Y1573" s="6" t="s">
        <v>55</v>
      </c>
      <c r="Z1573" s="4">
        <v>16</v>
      </c>
      <c r="AA1573" s="4" t="s">
        <v>36</v>
      </c>
      <c r="AB1573" s="3" t="s">
        <v>56</v>
      </c>
      <c r="AC1573" s="3" t="s">
        <v>9207</v>
      </c>
      <c r="AD1573" s="9">
        <v>44941</v>
      </c>
      <c r="AE1573" s="3" t="s">
        <v>45</v>
      </c>
      <c r="AF1573" s="3" t="s">
        <v>9208</v>
      </c>
      <c r="AG1573" s="3" t="s">
        <v>81</v>
      </c>
      <c r="AH1573" s="11">
        <f>HYPERLINK("https://my.pitchbook.com?c=183779-11T","View Company Online")</f>
      </c>
    </row>
    <row r="1574">
      <c r="A1574" s="12" t="s">
        <v>9209</v>
      </c>
      <c r="B1574" s="12" t="s">
        <v>9210</v>
      </c>
      <c r="C1574" s="19" t="s">
        <v>36</v>
      </c>
      <c r="D1574" s="19" t="s">
        <v>36</v>
      </c>
      <c r="E1574" s="19" t="s">
        <v>36</v>
      </c>
      <c r="F1574" s="19" t="s">
        <v>36</v>
      </c>
      <c r="G1574" s="15" t="s">
        <v>36</v>
      </c>
      <c r="H1574" s="14">
        <v>1661.71</v>
      </c>
      <c r="I1574" s="18">
        <v>15.49</v>
      </c>
      <c r="J1574" s="12" t="s">
        <v>521</v>
      </c>
      <c r="K1574" s="13" t="s">
        <v>36</v>
      </c>
      <c r="L1574" s="15" t="s">
        <v>36</v>
      </c>
      <c r="M1574" s="12" t="s">
        <v>36</v>
      </c>
      <c r="N1574" s="12" t="s">
        <v>36</v>
      </c>
      <c r="O1574" s="17" t="s">
        <v>36</v>
      </c>
      <c r="P1574" s="12" t="s">
        <v>36</v>
      </c>
      <c r="Q1574" s="12" t="s">
        <v>36</v>
      </c>
      <c r="R1574" s="12" t="s">
        <v>36</v>
      </c>
      <c r="S1574" s="12" t="s">
        <v>36</v>
      </c>
      <c r="T1574" s="12" t="s">
        <v>9211</v>
      </c>
      <c r="U1574" s="12" t="s">
        <v>74</v>
      </c>
      <c r="V1574" s="12" t="s">
        <v>75</v>
      </c>
      <c r="W1574" s="12" t="s">
        <v>9212</v>
      </c>
      <c r="X1574" s="16" t="s">
        <v>9213</v>
      </c>
      <c r="Y1574" s="15" t="s">
        <v>42</v>
      </c>
      <c r="Z1574" s="14">
        <v>0.19</v>
      </c>
      <c r="AA1574" s="14">
        <v>1.21</v>
      </c>
      <c r="AB1574" s="12" t="s">
        <v>56</v>
      </c>
      <c r="AC1574" s="12" t="s">
        <v>9214</v>
      </c>
      <c r="AD1574" s="13">
        <v>44939</v>
      </c>
      <c r="AE1574" s="12" t="s">
        <v>9215</v>
      </c>
      <c r="AF1574" s="12" t="s">
        <v>9216</v>
      </c>
      <c r="AG1574" s="12" t="s">
        <v>9217</v>
      </c>
      <c r="AH1574" s="1">
        <f>HYPERLINK("https://my.pitchbook.com?c=204497-38T","View Company Online")</f>
      </c>
    </row>
    <row r="1575">
      <c r="A1575" s="3" t="s">
        <v>9218</v>
      </c>
      <c r="B1575" s="3" t="s">
        <v>9219</v>
      </c>
      <c r="C1575" s="5" t="s">
        <v>36</v>
      </c>
      <c r="D1575" s="5" t="s">
        <v>36</v>
      </c>
      <c r="E1575" s="5" t="s">
        <v>36</v>
      </c>
      <c r="F1575" s="5" t="s">
        <v>36</v>
      </c>
      <c r="G1575" s="6" t="s">
        <v>683</v>
      </c>
      <c r="H1575" s="4">
        <v>20.94</v>
      </c>
      <c r="I1575" s="7">
        <v>8.41</v>
      </c>
      <c r="J1575" s="3" t="s">
        <v>521</v>
      </c>
      <c r="K1575" s="9" t="s">
        <v>36</v>
      </c>
      <c r="L1575" s="6" t="s">
        <v>36</v>
      </c>
      <c r="M1575" s="3" t="s">
        <v>36</v>
      </c>
      <c r="N1575" s="3" t="s">
        <v>36</v>
      </c>
      <c r="O1575" s="8" t="s">
        <v>36</v>
      </c>
      <c r="P1575" s="3" t="s">
        <v>36</v>
      </c>
      <c r="Q1575" s="3" t="s">
        <v>36</v>
      </c>
      <c r="R1575" s="3" t="s">
        <v>36</v>
      </c>
      <c r="S1575" s="3" t="s">
        <v>36</v>
      </c>
      <c r="T1575" s="3" t="s">
        <v>5302</v>
      </c>
      <c r="U1575" s="3" t="s">
        <v>74</v>
      </c>
      <c r="V1575" s="3" t="s">
        <v>75</v>
      </c>
      <c r="W1575" s="3" t="s">
        <v>9220</v>
      </c>
      <c r="X1575" s="10" t="s">
        <v>9221</v>
      </c>
      <c r="Y1575" s="6" t="s">
        <v>1067</v>
      </c>
      <c r="Z1575" s="4">
        <v>0.36</v>
      </c>
      <c r="AA1575" s="4">
        <v>4.26</v>
      </c>
      <c r="AB1575" s="3" t="s">
        <v>56</v>
      </c>
      <c r="AC1575" s="3" t="s">
        <v>9222</v>
      </c>
      <c r="AD1575" s="9">
        <v>44939</v>
      </c>
      <c r="AE1575" s="3" t="s">
        <v>362</v>
      </c>
      <c r="AF1575" s="3" t="s">
        <v>9223</v>
      </c>
      <c r="AG1575" s="3" t="s">
        <v>9224</v>
      </c>
      <c r="AH1575" s="11">
        <f>HYPERLINK("https://my.pitchbook.com?c=215722-90T","View Company Online")</f>
      </c>
    </row>
    <row r="1576">
      <c r="A1576" s="12" t="s">
        <v>9225</v>
      </c>
      <c r="B1576" s="12" t="s">
        <v>9226</v>
      </c>
      <c r="C1576" s="19">
        <v>2</v>
      </c>
      <c r="D1576" s="19">
        <v>3</v>
      </c>
      <c r="E1576" s="19">
        <v>2</v>
      </c>
      <c r="F1576" s="19">
        <v>5</v>
      </c>
      <c r="G1576" s="15" t="s">
        <v>36</v>
      </c>
      <c r="H1576" s="14" t="s">
        <v>36</v>
      </c>
      <c r="I1576" s="18" t="s">
        <v>36</v>
      </c>
      <c r="J1576" s="12" t="s">
        <v>36</v>
      </c>
      <c r="K1576" s="13" t="s">
        <v>36</v>
      </c>
      <c r="L1576" s="15" t="s">
        <v>36</v>
      </c>
      <c r="M1576" s="12" t="s">
        <v>36</v>
      </c>
      <c r="N1576" s="12" t="s">
        <v>36</v>
      </c>
      <c r="O1576" s="17" t="s">
        <v>36</v>
      </c>
      <c r="P1576" s="12" t="s">
        <v>36</v>
      </c>
      <c r="Q1576" s="12" t="s">
        <v>36</v>
      </c>
      <c r="R1576" s="12" t="s">
        <v>36</v>
      </c>
      <c r="S1576" s="12" t="s">
        <v>36</v>
      </c>
      <c r="T1576" s="12" t="s">
        <v>9227</v>
      </c>
      <c r="U1576" s="12" t="s">
        <v>318</v>
      </c>
      <c r="V1576" s="12" t="s">
        <v>39</v>
      </c>
      <c r="W1576" s="12" t="s">
        <v>9228</v>
      </c>
      <c r="X1576" s="16" t="s">
        <v>9229</v>
      </c>
      <c r="Y1576" s="15" t="s">
        <v>1067</v>
      </c>
      <c r="Z1576" s="14">
        <v>3.84</v>
      </c>
      <c r="AA1576" s="14" t="s">
        <v>36</v>
      </c>
      <c r="AB1576" s="12" t="s">
        <v>56</v>
      </c>
      <c r="AC1576" s="12" t="s">
        <v>9230</v>
      </c>
      <c r="AD1576" s="13">
        <v>44939</v>
      </c>
      <c r="AE1576" s="12" t="s">
        <v>763</v>
      </c>
      <c r="AF1576" s="12" t="s">
        <v>2815</v>
      </c>
      <c r="AG1576" s="12" t="s">
        <v>4172</v>
      </c>
      <c r="AH1576" s="1">
        <f>HYPERLINK("https://my.pitchbook.com?c=212884-39T","View Company Online")</f>
      </c>
    </row>
    <row r="1577">
      <c r="A1577" s="3" t="s">
        <v>9231</v>
      </c>
      <c r="B1577" s="3" t="s">
        <v>470</v>
      </c>
      <c r="C1577" s="5" t="s">
        <v>36</v>
      </c>
      <c r="D1577" s="5" t="s">
        <v>36</v>
      </c>
      <c r="E1577" s="5" t="s">
        <v>36</v>
      </c>
      <c r="F1577" s="5" t="s">
        <v>36</v>
      </c>
      <c r="G1577" s="6" t="s">
        <v>36</v>
      </c>
      <c r="H1577" s="4" t="s">
        <v>36</v>
      </c>
      <c r="I1577" s="7" t="s">
        <v>36</v>
      </c>
      <c r="J1577" s="3" t="s">
        <v>36</v>
      </c>
      <c r="K1577" s="9" t="s">
        <v>36</v>
      </c>
      <c r="L1577" s="6" t="s">
        <v>36</v>
      </c>
      <c r="M1577" s="3" t="s">
        <v>36</v>
      </c>
      <c r="N1577" s="3" t="s">
        <v>36</v>
      </c>
      <c r="O1577" s="8" t="s">
        <v>36</v>
      </c>
      <c r="P1577" s="3" t="s">
        <v>36</v>
      </c>
      <c r="Q1577" s="3" t="s">
        <v>36</v>
      </c>
      <c r="R1577" s="3" t="s">
        <v>36</v>
      </c>
      <c r="S1577" s="3" t="s">
        <v>36</v>
      </c>
      <c r="T1577" s="3" t="s">
        <v>472</v>
      </c>
      <c r="U1577" s="3" t="s">
        <v>38</v>
      </c>
      <c r="V1577" s="3" t="s">
        <v>39</v>
      </c>
      <c r="W1577" s="3" t="s">
        <v>473</v>
      </c>
      <c r="X1577" s="10" t="s">
        <v>9232</v>
      </c>
      <c r="Y1577" s="6" t="s">
        <v>321</v>
      </c>
      <c r="Z1577" s="4" t="s">
        <v>36</v>
      </c>
      <c r="AA1577" s="4" t="s">
        <v>36</v>
      </c>
      <c r="AB1577" s="3" t="s">
        <v>56</v>
      </c>
      <c r="AC1577" s="3" t="s">
        <v>476</v>
      </c>
      <c r="AD1577" s="9">
        <v>44939</v>
      </c>
      <c r="AE1577" s="3" t="s">
        <v>110</v>
      </c>
      <c r="AF1577" s="3" t="s">
        <v>477</v>
      </c>
      <c r="AG1577" s="3" t="s">
        <v>81</v>
      </c>
      <c r="AH1577" s="11">
        <f>HYPERLINK("https://my.pitchbook.com?c=212886-01T","View Company Online")</f>
      </c>
    </row>
    <row r="1578">
      <c r="A1578" s="12" t="s">
        <v>9233</v>
      </c>
      <c r="B1578" s="12" t="s">
        <v>7475</v>
      </c>
      <c r="C1578" s="19" t="s">
        <v>36</v>
      </c>
      <c r="D1578" s="19" t="s">
        <v>36</v>
      </c>
      <c r="E1578" s="19" t="s">
        <v>36</v>
      </c>
      <c r="F1578" s="19" t="s">
        <v>36</v>
      </c>
      <c r="G1578" s="15" t="s">
        <v>36</v>
      </c>
      <c r="H1578" s="14" t="s">
        <v>36</v>
      </c>
      <c r="I1578" s="18" t="s">
        <v>36</v>
      </c>
      <c r="J1578" s="12" t="s">
        <v>36</v>
      </c>
      <c r="K1578" s="13" t="s">
        <v>36</v>
      </c>
      <c r="L1578" s="15" t="s">
        <v>94</v>
      </c>
      <c r="M1578" s="12" t="s">
        <v>36</v>
      </c>
      <c r="N1578" s="12" t="s">
        <v>94</v>
      </c>
      <c r="O1578" s="17" t="s">
        <v>36</v>
      </c>
      <c r="P1578" s="12" t="s">
        <v>36</v>
      </c>
      <c r="Q1578" s="12" t="s">
        <v>36</v>
      </c>
      <c r="R1578" s="12" t="s">
        <v>36</v>
      </c>
      <c r="S1578" s="12" t="s">
        <v>36</v>
      </c>
      <c r="T1578" s="12" t="s">
        <v>7476</v>
      </c>
      <c r="U1578" s="12" t="s">
        <v>279</v>
      </c>
      <c r="V1578" s="12" t="s">
        <v>64</v>
      </c>
      <c r="W1578" s="12" t="s">
        <v>7477</v>
      </c>
      <c r="X1578" s="16" t="s">
        <v>9234</v>
      </c>
      <c r="Y1578" s="15" t="s">
        <v>192</v>
      </c>
      <c r="Z1578" s="14">
        <v>7.45</v>
      </c>
      <c r="AA1578" s="14" t="s">
        <v>36</v>
      </c>
      <c r="AB1578" s="12" t="s">
        <v>56</v>
      </c>
      <c r="AC1578" s="12" t="s">
        <v>7479</v>
      </c>
      <c r="AD1578" s="13">
        <v>44938</v>
      </c>
      <c r="AE1578" s="12" t="s">
        <v>283</v>
      </c>
      <c r="AF1578" s="12" t="s">
        <v>90</v>
      </c>
      <c r="AG1578" s="12" t="s">
        <v>81</v>
      </c>
      <c r="AH1578" s="1">
        <f>HYPERLINK("https://my.pitchbook.com?c=247719-97T","View Company Online")</f>
      </c>
    </row>
    <row r="1579">
      <c r="A1579" s="3" t="s">
        <v>9235</v>
      </c>
      <c r="B1579" s="3" t="s">
        <v>9236</v>
      </c>
      <c r="C1579" s="5" t="s">
        <v>36</v>
      </c>
      <c r="D1579" s="5" t="s">
        <v>36</v>
      </c>
      <c r="E1579" s="5" t="s">
        <v>36</v>
      </c>
      <c r="F1579" s="5" t="s">
        <v>36</v>
      </c>
      <c r="G1579" s="6" t="s">
        <v>36</v>
      </c>
      <c r="H1579" s="4" t="s">
        <v>36</v>
      </c>
      <c r="I1579" s="7" t="s">
        <v>36</v>
      </c>
      <c r="J1579" s="3" t="s">
        <v>36</v>
      </c>
      <c r="K1579" s="9" t="s">
        <v>36</v>
      </c>
      <c r="L1579" s="6" t="s">
        <v>36</v>
      </c>
      <c r="M1579" s="3" t="s">
        <v>36</v>
      </c>
      <c r="N1579" s="3" t="s">
        <v>36</v>
      </c>
      <c r="O1579" s="8" t="s">
        <v>36</v>
      </c>
      <c r="P1579" s="3" t="s">
        <v>36</v>
      </c>
      <c r="Q1579" s="3" t="s">
        <v>36</v>
      </c>
      <c r="R1579" s="3" t="s">
        <v>36</v>
      </c>
      <c r="S1579" s="3" t="s">
        <v>3479</v>
      </c>
      <c r="T1579" s="3" t="s">
        <v>9237</v>
      </c>
      <c r="U1579" s="3" t="s">
        <v>438</v>
      </c>
      <c r="V1579" s="3" t="s">
        <v>405</v>
      </c>
      <c r="W1579" s="3" t="s">
        <v>9238</v>
      </c>
      <c r="X1579" s="10" t="s">
        <v>9239</v>
      </c>
      <c r="Y1579" s="6" t="s">
        <v>108</v>
      </c>
      <c r="Z1579" s="4">
        <v>1.06</v>
      </c>
      <c r="AA1579" s="4" t="s">
        <v>36</v>
      </c>
      <c r="AB1579" s="3" t="s">
        <v>43</v>
      </c>
      <c r="AC1579" s="3" t="s">
        <v>9240</v>
      </c>
      <c r="AD1579" s="9">
        <v>44938</v>
      </c>
      <c r="AE1579" s="3" t="s">
        <v>438</v>
      </c>
      <c r="AF1579" s="3" t="s">
        <v>3187</v>
      </c>
      <c r="AG1579" s="3" t="s">
        <v>899</v>
      </c>
      <c r="AH1579" s="11">
        <f>HYPERLINK("https://my.pitchbook.com?c=214476-67T","View Company Online")</f>
      </c>
    </row>
    <row r="1580">
      <c r="A1580" s="12" t="s">
        <v>9241</v>
      </c>
      <c r="B1580" s="12" t="s">
        <v>9242</v>
      </c>
      <c r="C1580" s="19" t="s">
        <v>36</v>
      </c>
      <c r="D1580" s="19" t="s">
        <v>36</v>
      </c>
      <c r="E1580" s="19" t="s">
        <v>36</v>
      </c>
      <c r="F1580" s="19" t="s">
        <v>36</v>
      </c>
      <c r="G1580" s="15" t="s">
        <v>683</v>
      </c>
      <c r="H1580" s="14">
        <v>387.96</v>
      </c>
      <c r="I1580" s="18">
        <v>34.04</v>
      </c>
      <c r="J1580" s="12" t="s">
        <v>521</v>
      </c>
      <c r="K1580" s="13" t="s">
        <v>36</v>
      </c>
      <c r="L1580" s="15" t="s">
        <v>36</v>
      </c>
      <c r="M1580" s="12" t="s">
        <v>36</v>
      </c>
      <c r="N1580" s="12" t="s">
        <v>36</v>
      </c>
      <c r="O1580" s="17" t="s">
        <v>36</v>
      </c>
      <c r="P1580" s="12" t="s">
        <v>36</v>
      </c>
      <c r="Q1580" s="12" t="s">
        <v>36</v>
      </c>
      <c r="R1580" s="12" t="s">
        <v>36</v>
      </c>
      <c r="S1580" s="12" t="s">
        <v>36</v>
      </c>
      <c r="T1580" s="12" t="s">
        <v>9243</v>
      </c>
      <c r="U1580" s="12" t="s">
        <v>423</v>
      </c>
      <c r="V1580" s="12" t="s">
        <v>64</v>
      </c>
      <c r="W1580" s="12" t="s">
        <v>9244</v>
      </c>
      <c r="X1580" s="16" t="s">
        <v>9245</v>
      </c>
      <c r="Y1580" s="15" t="s">
        <v>108</v>
      </c>
      <c r="Z1580" s="14">
        <v>1.59</v>
      </c>
      <c r="AA1580" s="14">
        <v>4.68</v>
      </c>
      <c r="AB1580" s="12" t="s">
        <v>56</v>
      </c>
      <c r="AC1580" s="12" t="s">
        <v>9246</v>
      </c>
      <c r="AD1580" s="13">
        <v>44938</v>
      </c>
      <c r="AE1580" s="12" t="s">
        <v>427</v>
      </c>
      <c r="AF1580" s="12" t="s">
        <v>733</v>
      </c>
      <c r="AG1580" s="12" t="s">
        <v>47</v>
      </c>
      <c r="AH1580" s="1">
        <f>HYPERLINK("https://my.pitchbook.com?c=206404-57T","View Company Online")</f>
      </c>
    </row>
    <row r="1581">
      <c r="A1581" s="3" t="s">
        <v>9247</v>
      </c>
      <c r="B1581" s="3" t="s">
        <v>9248</v>
      </c>
      <c r="C1581" s="5" t="s">
        <v>36</v>
      </c>
      <c r="D1581" s="5" t="s">
        <v>36</v>
      </c>
      <c r="E1581" s="5" t="s">
        <v>36</v>
      </c>
      <c r="F1581" s="5" t="s">
        <v>36</v>
      </c>
      <c r="G1581" s="6" t="s">
        <v>36</v>
      </c>
      <c r="H1581" s="4">
        <v>24.23</v>
      </c>
      <c r="I1581" s="7">
        <v>30</v>
      </c>
      <c r="J1581" s="3" t="s">
        <v>521</v>
      </c>
      <c r="K1581" s="9" t="s">
        <v>36</v>
      </c>
      <c r="L1581" s="6" t="s">
        <v>36</v>
      </c>
      <c r="M1581" s="3" t="s">
        <v>36</v>
      </c>
      <c r="N1581" s="3" t="s">
        <v>36</v>
      </c>
      <c r="O1581" s="8" t="s">
        <v>36</v>
      </c>
      <c r="P1581" s="3" t="s">
        <v>36</v>
      </c>
      <c r="Q1581" s="3" t="s">
        <v>36</v>
      </c>
      <c r="R1581" s="3" t="s">
        <v>36</v>
      </c>
      <c r="S1581" s="3" t="s">
        <v>36</v>
      </c>
      <c r="T1581" s="3" t="s">
        <v>6247</v>
      </c>
      <c r="U1581" s="3" t="s">
        <v>85</v>
      </c>
      <c r="V1581" s="3" t="s">
        <v>64</v>
      </c>
      <c r="W1581" s="3" t="s">
        <v>9249</v>
      </c>
      <c r="X1581" s="10" t="s">
        <v>9250</v>
      </c>
      <c r="Y1581" s="6" t="s">
        <v>42</v>
      </c>
      <c r="Z1581" s="4">
        <v>0.11</v>
      </c>
      <c r="AA1581" s="4">
        <v>0.35</v>
      </c>
      <c r="AB1581" s="3" t="s">
        <v>43</v>
      </c>
      <c r="AC1581" s="3" t="s">
        <v>9251</v>
      </c>
      <c r="AD1581" s="9">
        <v>44938</v>
      </c>
      <c r="AE1581" s="3" t="s">
        <v>89</v>
      </c>
      <c r="AF1581" s="3" t="s">
        <v>9252</v>
      </c>
      <c r="AG1581" s="3" t="s">
        <v>47</v>
      </c>
      <c r="AH1581" s="11">
        <f>HYPERLINK("https://my.pitchbook.com?c=262706-68T","View Company Online")</f>
      </c>
    </row>
    <row r="1582">
      <c r="A1582" s="12" t="s">
        <v>9253</v>
      </c>
      <c r="B1582" s="12" t="s">
        <v>9254</v>
      </c>
      <c r="C1582" s="19" t="s">
        <v>36</v>
      </c>
      <c r="D1582" s="19" t="s">
        <v>36</v>
      </c>
      <c r="E1582" s="19" t="s">
        <v>36</v>
      </c>
      <c r="F1582" s="19" t="s">
        <v>36</v>
      </c>
      <c r="G1582" s="15" t="s">
        <v>36</v>
      </c>
      <c r="H1582" s="14">
        <v>27.7</v>
      </c>
      <c r="I1582" s="18">
        <v>17.71</v>
      </c>
      <c r="J1582" s="12" t="s">
        <v>521</v>
      </c>
      <c r="K1582" s="13" t="s">
        <v>36</v>
      </c>
      <c r="L1582" s="15" t="s">
        <v>36</v>
      </c>
      <c r="M1582" s="12" t="s">
        <v>36</v>
      </c>
      <c r="N1582" s="12" t="s">
        <v>36</v>
      </c>
      <c r="O1582" s="17" t="s">
        <v>36</v>
      </c>
      <c r="P1582" s="12" t="s">
        <v>36</v>
      </c>
      <c r="Q1582" s="12" t="s">
        <v>36</v>
      </c>
      <c r="R1582" s="12" t="s">
        <v>36</v>
      </c>
      <c r="S1582" s="12" t="s">
        <v>36</v>
      </c>
      <c r="T1582" s="12" t="s">
        <v>7351</v>
      </c>
      <c r="U1582" s="12" t="s">
        <v>728</v>
      </c>
      <c r="V1582" s="12" t="s">
        <v>64</v>
      </c>
      <c r="W1582" s="12" t="s">
        <v>9255</v>
      </c>
      <c r="X1582" s="16" t="s">
        <v>9256</v>
      </c>
      <c r="Y1582" s="15" t="s">
        <v>192</v>
      </c>
      <c r="Z1582" s="14">
        <v>0.68</v>
      </c>
      <c r="AA1582" s="14">
        <v>3.87</v>
      </c>
      <c r="AB1582" s="12" t="s">
        <v>56</v>
      </c>
      <c r="AC1582" s="12" t="s">
        <v>9257</v>
      </c>
      <c r="AD1582" s="13">
        <v>44938</v>
      </c>
      <c r="AE1582" s="12" t="s">
        <v>1600</v>
      </c>
      <c r="AF1582" s="12" t="s">
        <v>90</v>
      </c>
      <c r="AG1582" s="12" t="s">
        <v>382</v>
      </c>
      <c r="AH1582" s="1">
        <f>HYPERLINK("https://my.pitchbook.com?c=216233-74T","View Company Online")</f>
      </c>
    </row>
    <row r="1583">
      <c r="A1583" s="3" t="s">
        <v>9258</v>
      </c>
      <c r="B1583" s="3" t="s">
        <v>9259</v>
      </c>
      <c r="C1583" s="5" t="s">
        <v>36</v>
      </c>
      <c r="D1583" s="5" t="s">
        <v>36</v>
      </c>
      <c r="E1583" s="5" t="s">
        <v>36</v>
      </c>
      <c r="F1583" s="5" t="s">
        <v>36</v>
      </c>
      <c r="G1583" s="6" t="s">
        <v>36</v>
      </c>
      <c r="H1583" s="4" t="s">
        <v>36</v>
      </c>
      <c r="I1583" s="7" t="s">
        <v>36</v>
      </c>
      <c r="J1583" s="3" t="s">
        <v>36</v>
      </c>
      <c r="K1583" s="9">
        <v>44927</v>
      </c>
      <c r="L1583" s="6" t="s">
        <v>122</v>
      </c>
      <c r="M1583" s="3" t="s">
        <v>36</v>
      </c>
      <c r="N1583" s="3" t="s">
        <v>122</v>
      </c>
      <c r="O1583" s="8" t="s">
        <v>36</v>
      </c>
      <c r="P1583" s="3" t="s">
        <v>36</v>
      </c>
      <c r="Q1583" s="3" t="s">
        <v>36</v>
      </c>
      <c r="R1583" s="3" t="s">
        <v>36</v>
      </c>
      <c r="S1583" s="3" t="s">
        <v>36</v>
      </c>
      <c r="T1583" s="3" t="s">
        <v>4361</v>
      </c>
      <c r="U1583" s="3" t="s">
        <v>648</v>
      </c>
      <c r="V1583" s="3" t="s">
        <v>64</v>
      </c>
      <c r="W1583" s="3" t="s">
        <v>9260</v>
      </c>
      <c r="X1583" s="10" t="s">
        <v>9261</v>
      </c>
      <c r="Y1583" s="6" t="s">
        <v>192</v>
      </c>
      <c r="Z1583" s="4">
        <v>13.83</v>
      </c>
      <c r="AA1583" s="4" t="s">
        <v>36</v>
      </c>
      <c r="AB1583" s="3" t="s">
        <v>56</v>
      </c>
      <c r="AC1583" s="3" t="s">
        <v>9262</v>
      </c>
      <c r="AD1583" s="9">
        <v>44937</v>
      </c>
      <c r="AE1583" s="3" t="s">
        <v>651</v>
      </c>
      <c r="AF1583" s="3" t="s">
        <v>118</v>
      </c>
      <c r="AG1583" s="3" t="s">
        <v>81</v>
      </c>
      <c r="AH1583" s="11">
        <f>HYPERLINK("https://my.pitchbook.com?c=213255-73T","View Company Online")</f>
      </c>
    </row>
    <row r="1584">
      <c r="A1584" s="12" t="s">
        <v>9263</v>
      </c>
      <c r="B1584" s="12" t="s">
        <v>9264</v>
      </c>
      <c r="C1584" s="19">
        <v>17</v>
      </c>
      <c r="D1584" s="19">
        <v>24</v>
      </c>
      <c r="E1584" s="19">
        <v>14</v>
      </c>
      <c r="F1584" s="19">
        <v>43</v>
      </c>
      <c r="G1584" s="15" t="s">
        <v>36</v>
      </c>
      <c r="H1584" s="14" t="s">
        <v>36</v>
      </c>
      <c r="I1584" s="18" t="s">
        <v>36</v>
      </c>
      <c r="J1584" s="12" t="s">
        <v>36</v>
      </c>
      <c r="K1584" s="13" t="s">
        <v>36</v>
      </c>
      <c r="L1584" s="15" t="s">
        <v>36</v>
      </c>
      <c r="M1584" s="12" t="s">
        <v>36</v>
      </c>
      <c r="N1584" s="12" t="s">
        <v>36</v>
      </c>
      <c r="O1584" s="17" t="s">
        <v>36</v>
      </c>
      <c r="P1584" s="12" t="s">
        <v>36</v>
      </c>
      <c r="Q1584" s="12" t="s">
        <v>36</v>
      </c>
      <c r="R1584" s="12" t="s">
        <v>36</v>
      </c>
      <c r="S1584" s="12" t="s">
        <v>36</v>
      </c>
      <c r="T1584" s="12" t="s">
        <v>9265</v>
      </c>
      <c r="U1584" s="12" t="s">
        <v>423</v>
      </c>
      <c r="V1584" s="12" t="s">
        <v>64</v>
      </c>
      <c r="W1584" s="12" t="s">
        <v>9266</v>
      </c>
      <c r="X1584" s="16" t="s">
        <v>9267</v>
      </c>
      <c r="Y1584" s="15" t="s">
        <v>166</v>
      </c>
      <c r="Z1584" s="14">
        <v>13.82</v>
      </c>
      <c r="AA1584" s="14" t="s">
        <v>36</v>
      </c>
      <c r="AB1584" s="12" t="s">
        <v>56</v>
      </c>
      <c r="AC1584" s="12" t="s">
        <v>9268</v>
      </c>
      <c r="AD1584" s="13">
        <v>44936</v>
      </c>
      <c r="AE1584" s="12" t="s">
        <v>562</v>
      </c>
      <c r="AF1584" s="12" t="s">
        <v>1612</v>
      </c>
      <c r="AG1584" s="12" t="s">
        <v>81</v>
      </c>
      <c r="AH1584" s="1">
        <f>HYPERLINK("https://my.pitchbook.com?c=212664-43T","View Company Online")</f>
      </c>
    </row>
    <row r="1585">
      <c r="A1585" s="3" t="s">
        <v>9269</v>
      </c>
      <c r="B1585" s="3" t="s">
        <v>9270</v>
      </c>
      <c r="C1585" s="5" t="s">
        <v>36</v>
      </c>
      <c r="D1585" s="5" t="s">
        <v>36</v>
      </c>
      <c r="E1585" s="5" t="s">
        <v>36</v>
      </c>
      <c r="F1585" s="5" t="s">
        <v>36</v>
      </c>
      <c r="G1585" s="6" t="s">
        <v>36</v>
      </c>
      <c r="H1585" s="4" t="s">
        <v>36</v>
      </c>
      <c r="I1585" s="7" t="s">
        <v>36</v>
      </c>
      <c r="J1585" s="3" t="s">
        <v>36</v>
      </c>
      <c r="K1585" s="9" t="s">
        <v>36</v>
      </c>
      <c r="L1585" s="6" t="s">
        <v>36</v>
      </c>
      <c r="M1585" s="3" t="s">
        <v>36</v>
      </c>
      <c r="N1585" s="3" t="s">
        <v>36</v>
      </c>
      <c r="O1585" s="8" t="s">
        <v>36</v>
      </c>
      <c r="P1585" s="3" t="s">
        <v>36</v>
      </c>
      <c r="Q1585" s="3" t="s">
        <v>36</v>
      </c>
      <c r="R1585" s="3" t="s">
        <v>36</v>
      </c>
      <c r="S1585" s="3" t="s">
        <v>36</v>
      </c>
      <c r="T1585" s="3" t="s">
        <v>2483</v>
      </c>
      <c r="U1585" s="3" t="s">
        <v>63</v>
      </c>
      <c r="V1585" s="3" t="s">
        <v>64</v>
      </c>
      <c r="W1585" s="3" t="s">
        <v>9271</v>
      </c>
      <c r="X1585" s="10" t="s">
        <v>9272</v>
      </c>
      <c r="Y1585" s="6" t="s">
        <v>42</v>
      </c>
      <c r="Z1585" s="4" t="s">
        <v>36</v>
      </c>
      <c r="AA1585" s="4" t="s">
        <v>36</v>
      </c>
      <c r="AB1585" s="3" t="s">
        <v>56</v>
      </c>
      <c r="AC1585" s="3" t="s">
        <v>9273</v>
      </c>
      <c r="AD1585" s="9">
        <v>44935</v>
      </c>
      <c r="AE1585" s="3" t="s">
        <v>399</v>
      </c>
      <c r="AF1585" s="3" t="s">
        <v>36</v>
      </c>
      <c r="AG1585" s="3" t="s">
        <v>81</v>
      </c>
      <c r="AH1585" s="11">
        <f>HYPERLINK("https://my.pitchbook.com?c=216452-53T","View Company Online")</f>
      </c>
    </row>
    <row r="1586">
      <c r="A1586" s="12" t="s">
        <v>9274</v>
      </c>
      <c r="B1586" s="12" t="s">
        <v>9275</v>
      </c>
      <c r="C1586" s="19">
        <v>17</v>
      </c>
      <c r="D1586" s="19">
        <v>10</v>
      </c>
      <c r="E1586" s="19">
        <v>6</v>
      </c>
      <c r="F1586" s="19">
        <v>29</v>
      </c>
      <c r="G1586" s="15" t="s">
        <v>36</v>
      </c>
      <c r="H1586" s="14" t="s">
        <v>36</v>
      </c>
      <c r="I1586" s="18" t="s">
        <v>36</v>
      </c>
      <c r="J1586" s="12" t="s">
        <v>36</v>
      </c>
      <c r="K1586" s="13" t="s">
        <v>36</v>
      </c>
      <c r="L1586" s="15" t="s">
        <v>36</v>
      </c>
      <c r="M1586" s="12" t="s">
        <v>36</v>
      </c>
      <c r="N1586" s="12" t="s">
        <v>36</v>
      </c>
      <c r="O1586" s="17" t="s">
        <v>36</v>
      </c>
      <c r="P1586" s="12" t="s">
        <v>36</v>
      </c>
      <c r="Q1586" s="12" t="s">
        <v>36</v>
      </c>
      <c r="R1586" s="12" t="s">
        <v>36</v>
      </c>
      <c r="S1586" s="12" t="s">
        <v>36</v>
      </c>
      <c r="T1586" s="12" t="s">
        <v>881</v>
      </c>
      <c r="U1586" s="12" t="s">
        <v>51</v>
      </c>
      <c r="V1586" s="12" t="s">
        <v>52</v>
      </c>
      <c r="W1586" s="12" t="s">
        <v>9276</v>
      </c>
      <c r="X1586" s="16" t="s">
        <v>9277</v>
      </c>
      <c r="Y1586" s="15" t="s">
        <v>321</v>
      </c>
      <c r="Z1586" s="14" t="s">
        <v>36</v>
      </c>
      <c r="AA1586" s="14" t="s">
        <v>36</v>
      </c>
      <c r="AB1586" s="12" t="s">
        <v>56</v>
      </c>
      <c r="AC1586" s="12" t="s">
        <v>9278</v>
      </c>
      <c r="AD1586" s="13">
        <v>44935</v>
      </c>
      <c r="AE1586" s="12" t="s">
        <v>504</v>
      </c>
      <c r="AF1586" s="12" t="s">
        <v>159</v>
      </c>
      <c r="AG1586" s="12" t="s">
        <v>81</v>
      </c>
      <c r="AH1586" s="1">
        <f>HYPERLINK("https://my.pitchbook.com?c=212627-44T","View Company Online")</f>
      </c>
    </row>
    <row r="1587">
      <c r="A1587" s="3" t="s">
        <v>9279</v>
      </c>
      <c r="B1587" s="3" t="s">
        <v>9280</v>
      </c>
      <c r="C1587" s="5" t="s">
        <v>36</v>
      </c>
      <c r="D1587" s="5" t="s">
        <v>36</v>
      </c>
      <c r="E1587" s="5" t="s">
        <v>36</v>
      </c>
      <c r="F1587" s="5" t="s">
        <v>36</v>
      </c>
      <c r="G1587" s="6" t="s">
        <v>36</v>
      </c>
      <c r="H1587" s="4" t="s">
        <v>36</v>
      </c>
      <c r="I1587" s="7" t="s">
        <v>36</v>
      </c>
      <c r="J1587" s="3" t="s">
        <v>36</v>
      </c>
      <c r="K1587" s="9">
        <v>44929</v>
      </c>
      <c r="L1587" s="6" t="s">
        <v>36</v>
      </c>
      <c r="M1587" s="3" t="s">
        <v>36</v>
      </c>
      <c r="N1587" s="3" t="s">
        <v>36</v>
      </c>
      <c r="O1587" s="8" t="s">
        <v>36</v>
      </c>
      <c r="P1587" s="3" t="s">
        <v>36</v>
      </c>
      <c r="Q1587" s="3" t="s">
        <v>36</v>
      </c>
      <c r="R1587" s="3" t="s">
        <v>36</v>
      </c>
      <c r="S1587" s="3" t="s">
        <v>36</v>
      </c>
      <c r="T1587" s="3" t="s">
        <v>9281</v>
      </c>
      <c r="U1587" s="3" t="s">
        <v>38</v>
      </c>
      <c r="V1587" s="3" t="s">
        <v>39</v>
      </c>
      <c r="W1587" s="3" t="s">
        <v>9282</v>
      </c>
      <c r="X1587" s="10" t="s">
        <v>9283</v>
      </c>
      <c r="Y1587" s="6" t="s">
        <v>108</v>
      </c>
      <c r="Z1587" s="4">
        <v>4.07</v>
      </c>
      <c r="AA1587" s="4" t="s">
        <v>36</v>
      </c>
      <c r="AB1587" s="3" t="s">
        <v>43</v>
      </c>
      <c r="AC1587" s="3" t="s">
        <v>9284</v>
      </c>
      <c r="AD1587" s="9">
        <v>44935</v>
      </c>
      <c r="AE1587" s="3" t="s">
        <v>1945</v>
      </c>
      <c r="AF1587" s="3" t="s">
        <v>9285</v>
      </c>
      <c r="AG1587" s="3" t="s">
        <v>81</v>
      </c>
      <c r="AH1587" s="11">
        <f>HYPERLINK("https://my.pitchbook.com?c=212514-04T","View Company Online")</f>
      </c>
    </row>
    <row r="1588">
      <c r="A1588" s="12" t="s">
        <v>9286</v>
      </c>
      <c r="B1588" s="12" t="s">
        <v>9287</v>
      </c>
      <c r="C1588" s="19">
        <v>5</v>
      </c>
      <c r="D1588" s="19">
        <v>5</v>
      </c>
      <c r="E1588" s="19">
        <v>3</v>
      </c>
      <c r="F1588" s="19">
        <v>17</v>
      </c>
      <c r="G1588" s="15" t="s">
        <v>326</v>
      </c>
      <c r="H1588" s="14" t="s">
        <v>36</v>
      </c>
      <c r="I1588" s="18">
        <v>44.43</v>
      </c>
      <c r="J1588" s="12" t="s">
        <v>327</v>
      </c>
      <c r="K1588" s="13" t="s">
        <v>36</v>
      </c>
      <c r="L1588" s="15" t="s">
        <v>1279</v>
      </c>
      <c r="M1588" s="12" t="s">
        <v>36</v>
      </c>
      <c r="N1588" s="12" t="s">
        <v>1279</v>
      </c>
      <c r="O1588" s="17" t="s">
        <v>36</v>
      </c>
      <c r="P1588" s="12" t="s">
        <v>36</v>
      </c>
      <c r="Q1588" s="12" t="s">
        <v>36</v>
      </c>
      <c r="R1588" s="12" t="s">
        <v>36</v>
      </c>
      <c r="S1588" s="12" t="s">
        <v>36</v>
      </c>
      <c r="T1588" s="12" t="s">
        <v>9288</v>
      </c>
      <c r="U1588" s="12" t="s">
        <v>51</v>
      </c>
      <c r="V1588" s="12" t="s">
        <v>52</v>
      </c>
      <c r="W1588" s="12" t="s">
        <v>9289</v>
      </c>
      <c r="X1588" s="16" t="s">
        <v>9290</v>
      </c>
      <c r="Y1588" s="15" t="s">
        <v>166</v>
      </c>
      <c r="Z1588" s="14">
        <v>137.89</v>
      </c>
      <c r="AA1588" s="14">
        <v>310.36</v>
      </c>
      <c r="AB1588" s="12" t="s">
        <v>56</v>
      </c>
      <c r="AC1588" s="12" t="s">
        <v>9291</v>
      </c>
      <c r="AD1588" s="13">
        <v>44932</v>
      </c>
      <c r="AE1588" s="12" t="s">
        <v>504</v>
      </c>
      <c r="AF1588" s="12" t="s">
        <v>3193</v>
      </c>
      <c r="AG1588" s="12" t="s">
        <v>47</v>
      </c>
      <c r="AH1588" s="1">
        <f>HYPERLINK("https://my.pitchbook.com?c=212360-86T","View Company Online")</f>
      </c>
    </row>
    <row r="1589">
      <c r="A1589" s="3" t="s">
        <v>9292</v>
      </c>
      <c r="B1589" s="3" t="s">
        <v>9293</v>
      </c>
      <c r="C1589" s="5">
        <v>15</v>
      </c>
      <c r="D1589" s="5">
        <v>24</v>
      </c>
      <c r="E1589" s="5">
        <v>8</v>
      </c>
      <c r="F1589" s="5">
        <v>40</v>
      </c>
      <c r="G1589" s="6" t="s">
        <v>326</v>
      </c>
      <c r="H1589" s="4" t="s">
        <v>36</v>
      </c>
      <c r="I1589" s="7">
        <v>26.78</v>
      </c>
      <c r="J1589" s="3" t="s">
        <v>327</v>
      </c>
      <c r="K1589" s="9" t="s">
        <v>36</v>
      </c>
      <c r="L1589" s="6" t="s">
        <v>94</v>
      </c>
      <c r="M1589" s="3" t="s">
        <v>36</v>
      </c>
      <c r="N1589" s="3" t="s">
        <v>94</v>
      </c>
      <c r="O1589" s="8" t="s">
        <v>36</v>
      </c>
      <c r="P1589" s="3" t="s">
        <v>36</v>
      </c>
      <c r="Q1589" s="3" t="s">
        <v>36</v>
      </c>
      <c r="R1589" s="3" t="s">
        <v>36</v>
      </c>
      <c r="S1589" s="3" t="s">
        <v>36</v>
      </c>
      <c r="T1589" s="3" t="s">
        <v>1188</v>
      </c>
      <c r="U1589" s="3" t="s">
        <v>180</v>
      </c>
      <c r="V1589" s="3" t="s">
        <v>52</v>
      </c>
      <c r="W1589" s="3" t="s">
        <v>9294</v>
      </c>
      <c r="X1589" s="10" t="s">
        <v>9295</v>
      </c>
      <c r="Y1589" s="6" t="s">
        <v>192</v>
      </c>
      <c r="Z1589" s="4">
        <v>38.2</v>
      </c>
      <c r="AA1589" s="4">
        <v>142.65</v>
      </c>
      <c r="AB1589" s="3" t="s">
        <v>56</v>
      </c>
      <c r="AC1589" s="3" t="s">
        <v>9296</v>
      </c>
      <c r="AD1589" s="9">
        <v>44931</v>
      </c>
      <c r="AE1589" s="3" t="s">
        <v>1192</v>
      </c>
      <c r="AF1589" s="3" t="s">
        <v>7424</v>
      </c>
      <c r="AG1589" s="3" t="s">
        <v>899</v>
      </c>
      <c r="AH1589" s="11">
        <f>HYPERLINK("https://my.pitchbook.com?c=212179-69T","View Company Online")</f>
      </c>
    </row>
    <row r="1590">
      <c r="A1590" s="12" t="s">
        <v>9297</v>
      </c>
      <c r="B1590" s="12" t="s">
        <v>9298</v>
      </c>
      <c r="C1590" s="19">
        <v>29</v>
      </c>
      <c r="D1590" s="19">
        <v>21</v>
      </c>
      <c r="E1590" s="19">
        <v>8</v>
      </c>
      <c r="F1590" s="19">
        <v>51</v>
      </c>
      <c r="G1590" s="15" t="s">
        <v>326</v>
      </c>
      <c r="H1590" s="14" t="s">
        <v>36</v>
      </c>
      <c r="I1590" s="18">
        <v>54.09</v>
      </c>
      <c r="J1590" s="12" t="s">
        <v>327</v>
      </c>
      <c r="K1590" s="13">
        <v>44734</v>
      </c>
      <c r="L1590" s="15" t="s">
        <v>94</v>
      </c>
      <c r="M1590" s="12" t="s">
        <v>36</v>
      </c>
      <c r="N1590" s="12" t="s">
        <v>94</v>
      </c>
      <c r="O1590" s="17" t="s">
        <v>36</v>
      </c>
      <c r="P1590" s="12" t="s">
        <v>36</v>
      </c>
      <c r="Q1590" s="12" t="s">
        <v>36</v>
      </c>
      <c r="R1590" s="12" t="s">
        <v>36</v>
      </c>
      <c r="S1590" s="12" t="s">
        <v>36</v>
      </c>
      <c r="T1590" s="12" t="s">
        <v>492</v>
      </c>
      <c r="U1590" s="12" t="s">
        <v>96</v>
      </c>
      <c r="V1590" s="12" t="s">
        <v>52</v>
      </c>
      <c r="W1590" s="12" t="s">
        <v>9299</v>
      </c>
      <c r="X1590" s="16" t="s">
        <v>9300</v>
      </c>
      <c r="Y1590" s="15" t="s">
        <v>192</v>
      </c>
      <c r="Z1590" s="14">
        <v>38.19</v>
      </c>
      <c r="AA1590" s="14">
        <v>68.64</v>
      </c>
      <c r="AB1590" s="12" t="s">
        <v>56</v>
      </c>
      <c r="AC1590" s="12" t="s">
        <v>9301</v>
      </c>
      <c r="AD1590" s="13">
        <v>44930</v>
      </c>
      <c r="AE1590" s="12" t="s">
        <v>496</v>
      </c>
      <c r="AF1590" s="12" t="s">
        <v>5954</v>
      </c>
      <c r="AG1590" s="12" t="s">
        <v>81</v>
      </c>
      <c r="AH1590" s="1">
        <f>HYPERLINK("https://my.pitchbook.com?c=198889-39T","View Company Online")</f>
      </c>
    </row>
    <row r="1591">
      <c r="A1591" s="3" t="s">
        <v>9302</v>
      </c>
      <c r="B1591" s="3" t="s">
        <v>9303</v>
      </c>
      <c r="C1591" s="5">
        <v>2</v>
      </c>
      <c r="D1591" s="5">
        <v>3</v>
      </c>
      <c r="E1591" s="5">
        <v>4</v>
      </c>
      <c r="F1591" s="5">
        <v>7</v>
      </c>
      <c r="G1591" s="6" t="s">
        <v>36</v>
      </c>
      <c r="H1591" s="4" t="s">
        <v>36</v>
      </c>
      <c r="I1591" s="7" t="s">
        <v>36</v>
      </c>
      <c r="J1591" s="3" t="s">
        <v>36</v>
      </c>
      <c r="K1591" s="9" t="s">
        <v>36</v>
      </c>
      <c r="L1591" s="6" t="s">
        <v>36</v>
      </c>
      <c r="M1591" s="3" t="s">
        <v>36</v>
      </c>
      <c r="N1591" s="3" t="s">
        <v>36</v>
      </c>
      <c r="O1591" s="8" t="s">
        <v>36</v>
      </c>
      <c r="P1591" s="3" t="s">
        <v>36</v>
      </c>
      <c r="Q1591" s="3" t="s">
        <v>36</v>
      </c>
      <c r="R1591" s="3" t="s">
        <v>36</v>
      </c>
      <c r="S1591" s="3" t="s">
        <v>36</v>
      </c>
      <c r="T1591" s="3" t="s">
        <v>1125</v>
      </c>
      <c r="U1591" s="3" t="s">
        <v>74</v>
      </c>
      <c r="V1591" s="3" t="s">
        <v>75</v>
      </c>
      <c r="W1591" s="3" t="s">
        <v>9304</v>
      </c>
      <c r="X1591" s="10" t="s">
        <v>9305</v>
      </c>
      <c r="Y1591" s="6" t="s">
        <v>42</v>
      </c>
      <c r="Z1591" s="4">
        <v>0.48</v>
      </c>
      <c r="AA1591" s="4" t="s">
        <v>36</v>
      </c>
      <c r="AB1591" s="3" t="s">
        <v>56</v>
      </c>
      <c r="AC1591" s="3" t="s">
        <v>9306</v>
      </c>
      <c r="AD1591" s="9">
        <v>44930</v>
      </c>
      <c r="AE1591" s="3" t="s">
        <v>975</v>
      </c>
      <c r="AF1591" s="3" t="s">
        <v>36</v>
      </c>
      <c r="AG1591" s="3" t="s">
        <v>81</v>
      </c>
      <c r="AH1591" s="11">
        <f>HYPERLINK("https://my.pitchbook.com?c=244974-79T","View Company Online")</f>
      </c>
    </row>
    <row r="1592">
      <c r="A1592" s="12" t="s">
        <v>9307</v>
      </c>
      <c r="B1592" s="12" t="s">
        <v>9308</v>
      </c>
      <c r="C1592" s="19">
        <v>2</v>
      </c>
      <c r="D1592" s="19" t="s">
        <v>36</v>
      </c>
      <c r="E1592" s="19">
        <v>1</v>
      </c>
      <c r="F1592" s="19">
        <v>2</v>
      </c>
      <c r="G1592" s="15" t="s">
        <v>2497</v>
      </c>
      <c r="H1592" s="14">
        <v>28.5</v>
      </c>
      <c r="I1592" s="18">
        <v>26.79</v>
      </c>
      <c r="J1592" s="12" t="s">
        <v>521</v>
      </c>
      <c r="K1592" s="13" t="s">
        <v>36</v>
      </c>
      <c r="L1592" s="15" t="s">
        <v>36</v>
      </c>
      <c r="M1592" s="12" t="s">
        <v>36</v>
      </c>
      <c r="N1592" s="12" t="s">
        <v>36</v>
      </c>
      <c r="O1592" s="17" t="s">
        <v>36</v>
      </c>
      <c r="P1592" s="12" t="s">
        <v>36</v>
      </c>
      <c r="Q1592" s="12" t="s">
        <v>36</v>
      </c>
      <c r="R1592" s="12" t="s">
        <v>36</v>
      </c>
      <c r="S1592" s="12" t="s">
        <v>36</v>
      </c>
      <c r="T1592" s="12" t="s">
        <v>9309</v>
      </c>
      <c r="U1592" s="12" t="s">
        <v>51</v>
      </c>
      <c r="V1592" s="12" t="s">
        <v>52</v>
      </c>
      <c r="W1592" s="12" t="s">
        <v>9310</v>
      </c>
      <c r="X1592" s="16" t="s">
        <v>9311</v>
      </c>
      <c r="Y1592" s="15" t="s">
        <v>42</v>
      </c>
      <c r="Z1592" s="14">
        <v>1.59</v>
      </c>
      <c r="AA1592" s="14">
        <v>5.94</v>
      </c>
      <c r="AB1592" s="12" t="s">
        <v>56</v>
      </c>
      <c r="AC1592" s="12" t="s">
        <v>9312</v>
      </c>
      <c r="AD1592" s="13">
        <v>44930</v>
      </c>
      <c r="AE1592" s="12" t="s">
        <v>158</v>
      </c>
      <c r="AF1592" s="12" t="s">
        <v>159</v>
      </c>
      <c r="AG1592" s="12" t="s">
        <v>9313</v>
      </c>
      <c r="AH1592" s="1">
        <f>HYPERLINK("https://my.pitchbook.com?c=200018-80T","View Company Online")</f>
      </c>
    </row>
    <row r="1593">
      <c r="A1593" s="3" t="s">
        <v>9314</v>
      </c>
      <c r="B1593" s="3" t="s">
        <v>9315</v>
      </c>
      <c r="C1593" s="5" t="s">
        <v>36</v>
      </c>
      <c r="D1593" s="5">
        <v>13</v>
      </c>
      <c r="E1593" s="5">
        <v>3</v>
      </c>
      <c r="F1593" s="5">
        <v>13</v>
      </c>
      <c r="G1593" s="6" t="s">
        <v>683</v>
      </c>
      <c r="H1593" s="4">
        <v>3.42</v>
      </c>
      <c r="I1593" s="7">
        <v>13.56</v>
      </c>
      <c r="J1593" s="3" t="s">
        <v>521</v>
      </c>
      <c r="K1593" s="9" t="s">
        <v>36</v>
      </c>
      <c r="L1593" s="6" t="s">
        <v>36</v>
      </c>
      <c r="M1593" s="3" t="s">
        <v>36</v>
      </c>
      <c r="N1593" s="3" t="s">
        <v>36</v>
      </c>
      <c r="O1593" s="8" t="s">
        <v>36</v>
      </c>
      <c r="P1593" s="3" t="s">
        <v>36</v>
      </c>
      <c r="Q1593" s="3" t="s">
        <v>36</v>
      </c>
      <c r="R1593" s="3" t="s">
        <v>36</v>
      </c>
      <c r="S1593" s="3" t="s">
        <v>36</v>
      </c>
      <c r="T1593" s="3" t="s">
        <v>529</v>
      </c>
      <c r="U1593" s="3" t="s">
        <v>38</v>
      </c>
      <c r="V1593" s="3" t="s">
        <v>39</v>
      </c>
      <c r="W1593" s="3" t="s">
        <v>9316</v>
      </c>
      <c r="X1593" s="10" t="s">
        <v>9317</v>
      </c>
      <c r="Y1593" s="6" t="s">
        <v>166</v>
      </c>
      <c r="Z1593" s="4">
        <v>1.06</v>
      </c>
      <c r="AA1593" s="4">
        <v>7.82</v>
      </c>
      <c r="AB1593" s="3" t="s">
        <v>56</v>
      </c>
      <c r="AC1593" s="3" t="s">
        <v>9318</v>
      </c>
      <c r="AD1593" s="9">
        <v>44930</v>
      </c>
      <c r="AE1593" s="3" t="s">
        <v>134</v>
      </c>
      <c r="AF1593" s="3" t="s">
        <v>9319</v>
      </c>
      <c r="AG1593" s="3" t="s">
        <v>652</v>
      </c>
      <c r="AH1593" s="11">
        <f>HYPERLINK("https://my.pitchbook.com?c=215588-35T","View Company Online")</f>
      </c>
    </row>
    <row r="1594">
      <c r="A1594" s="12" t="s">
        <v>9320</v>
      </c>
      <c r="B1594" s="12" t="s">
        <v>9321</v>
      </c>
      <c r="C1594" s="19" t="s">
        <v>36</v>
      </c>
      <c r="D1594" s="19" t="s">
        <v>36</v>
      </c>
      <c r="E1594" s="19" t="s">
        <v>36</v>
      </c>
      <c r="F1594" s="19" t="s">
        <v>36</v>
      </c>
      <c r="G1594" s="15" t="s">
        <v>326</v>
      </c>
      <c r="H1594" s="14">
        <v>38.43</v>
      </c>
      <c r="I1594" s="18">
        <v>24.05</v>
      </c>
      <c r="J1594" s="12" t="s">
        <v>521</v>
      </c>
      <c r="K1594" s="13" t="s">
        <v>36</v>
      </c>
      <c r="L1594" s="15" t="s">
        <v>36</v>
      </c>
      <c r="M1594" s="12" t="s">
        <v>36</v>
      </c>
      <c r="N1594" s="12" t="s">
        <v>36</v>
      </c>
      <c r="O1594" s="17" t="s">
        <v>36</v>
      </c>
      <c r="P1594" s="12" t="s">
        <v>36</v>
      </c>
      <c r="Q1594" s="12" t="s">
        <v>36</v>
      </c>
      <c r="R1594" s="12" t="s">
        <v>36</v>
      </c>
      <c r="S1594" s="12" t="s">
        <v>36</v>
      </c>
      <c r="T1594" s="12" t="s">
        <v>1260</v>
      </c>
      <c r="U1594" s="12" t="s">
        <v>38</v>
      </c>
      <c r="V1594" s="12" t="s">
        <v>39</v>
      </c>
      <c r="W1594" s="12" t="s">
        <v>9322</v>
      </c>
      <c r="X1594" s="16" t="s">
        <v>9323</v>
      </c>
      <c r="Y1594" s="15" t="s">
        <v>192</v>
      </c>
      <c r="Z1594" s="14">
        <v>2.02</v>
      </c>
      <c r="AA1594" s="14">
        <v>7.66</v>
      </c>
      <c r="AB1594" s="12" t="s">
        <v>56</v>
      </c>
      <c r="AC1594" s="12" t="s">
        <v>9324</v>
      </c>
      <c r="AD1594" s="13">
        <v>44930</v>
      </c>
      <c r="AE1594" s="12" t="s">
        <v>110</v>
      </c>
      <c r="AF1594" s="12" t="s">
        <v>2643</v>
      </c>
      <c r="AG1594" s="12" t="s">
        <v>9325</v>
      </c>
      <c r="AH1594" s="1">
        <f>HYPERLINK("https://my.pitchbook.com?c=212930-02T","View Company Online")</f>
      </c>
    </row>
    <row r="1595">
      <c r="A1595" s="3" t="s">
        <v>9326</v>
      </c>
      <c r="B1595" s="3" t="s">
        <v>9327</v>
      </c>
      <c r="C1595" s="5" t="s">
        <v>36</v>
      </c>
      <c r="D1595" s="5" t="s">
        <v>36</v>
      </c>
      <c r="E1595" s="5" t="s">
        <v>36</v>
      </c>
      <c r="F1595" s="5" t="s">
        <v>36</v>
      </c>
      <c r="G1595" s="6" t="s">
        <v>36</v>
      </c>
      <c r="H1595" s="4" t="s">
        <v>36</v>
      </c>
      <c r="I1595" s="7" t="s">
        <v>36</v>
      </c>
      <c r="J1595" s="3" t="s">
        <v>36</v>
      </c>
      <c r="K1595" s="9" t="s">
        <v>36</v>
      </c>
      <c r="L1595" s="6" t="s">
        <v>36</v>
      </c>
      <c r="M1595" s="3" t="s">
        <v>36</v>
      </c>
      <c r="N1595" s="3" t="s">
        <v>36</v>
      </c>
      <c r="O1595" s="8" t="s">
        <v>36</v>
      </c>
      <c r="P1595" s="3" t="s">
        <v>36</v>
      </c>
      <c r="Q1595" s="3" t="s">
        <v>36</v>
      </c>
      <c r="R1595" s="3" t="s">
        <v>36</v>
      </c>
      <c r="S1595" s="3" t="s">
        <v>36</v>
      </c>
      <c r="T1595" s="3" t="s">
        <v>9328</v>
      </c>
      <c r="U1595" s="3" t="s">
        <v>2279</v>
      </c>
      <c r="V1595" s="3" t="s">
        <v>378</v>
      </c>
      <c r="W1595" s="3" t="s">
        <v>9329</v>
      </c>
      <c r="X1595" s="10" t="s">
        <v>9330</v>
      </c>
      <c r="Y1595" s="6" t="s">
        <v>42</v>
      </c>
      <c r="Z1595" s="4">
        <v>6.68</v>
      </c>
      <c r="AA1595" s="4" t="s">
        <v>36</v>
      </c>
      <c r="AB1595" s="3" t="s">
        <v>56</v>
      </c>
      <c r="AC1595" s="3" t="s">
        <v>9331</v>
      </c>
      <c r="AD1595" s="9">
        <v>44929</v>
      </c>
      <c r="AE1595" s="3" t="s">
        <v>5828</v>
      </c>
      <c r="AF1595" s="3" t="s">
        <v>36</v>
      </c>
      <c r="AG1595" s="3" t="s">
        <v>9332</v>
      </c>
      <c r="AH1595" s="11">
        <f>HYPERLINK("https://my.pitchbook.com?c=212212-72T","View Company Online")</f>
      </c>
    </row>
    <row r="1596">
      <c r="A1596" s="12" t="s">
        <v>9333</v>
      </c>
      <c r="B1596" s="12" t="s">
        <v>9334</v>
      </c>
      <c r="C1596" s="19" t="s">
        <v>36</v>
      </c>
      <c r="D1596" s="19" t="s">
        <v>36</v>
      </c>
      <c r="E1596" s="19" t="s">
        <v>36</v>
      </c>
      <c r="F1596" s="19" t="s">
        <v>36</v>
      </c>
      <c r="G1596" s="15" t="s">
        <v>36</v>
      </c>
      <c r="H1596" s="14" t="s">
        <v>36</v>
      </c>
      <c r="I1596" s="18" t="s">
        <v>36</v>
      </c>
      <c r="J1596" s="12" t="s">
        <v>36</v>
      </c>
      <c r="K1596" s="13" t="s">
        <v>36</v>
      </c>
      <c r="L1596" s="15" t="s">
        <v>36</v>
      </c>
      <c r="M1596" s="12" t="s">
        <v>36</v>
      </c>
      <c r="N1596" s="12" t="s">
        <v>36</v>
      </c>
      <c r="O1596" s="17" t="s">
        <v>36</v>
      </c>
      <c r="P1596" s="12" t="s">
        <v>36</v>
      </c>
      <c r="Q1596" s="12" t="s">
        <v>36</v>
      </c>
      <c r="R1596" s="12" t="s">
        <v>36</v>
      </c>
      <c r="S1596" s="12" t="s">
        <v>36</v>
      </c>
      <c r="T1596" s="12" t="s">
        <v>105</v>
      </c>
      <c r="U1596" s="12" t="s">
        <v>38</v>
      </c>
      <c r="V1596" s="12" t="s">
        <v>39</v>
      </c>
      <c r="W1596" s="12" t="s">
        <v>9335</v>
      </c>
      <c r="X1596" s="16" t="s">
        <v>9336</v>
      </c>
      <c r="Y1596" s="15" t="s">
        <v>42</v>
      </c>
      <c r="Z1596" s="14">
        <v>1.25</v>
      </c>
      <c r="AA1596" s="14" t="s">
        <v>36</v>
      </c>
      <c r="AB1596" s="12" t="s">
        <v>56</v>
      </c>
      <c r="AC1596" s="12" t="s">
        <v>9337</v>
      </c>
      <c r="AD1596" s="13">
        <v>44929</v>
      </c>
      <c r="AE1596" s="12" t="s">
        <v>110</v>
      </c>
      <c r="AF1596" s="12" t="s">
        <v>9338</v>
      </c>
      <c r="AG1596" s="12" t="s">
        <v>4172</v>
      </c>
      <c r="AH1596" s="1">
        <f>HYPERLINK("https://my.pitchbook.com?c=212471-29T","View Company Online")</f>
      </c>
    </row>
    <row r="1597">
      <c r="A1597" s="3" t="s">
        <v>9339</v>
      </c>
      <c r="B1597" s="3" t="s">
        <v>9340</v>
      </c>
      <c r="C1597" s="5" t="s">
        <v>36</v>
      </c>
      <c r="D1597" s="5" t="s">
        <v>36</v>
      </c>
      <c r="E1597" s="5" t="s">
        <v>36</v>
      </c>
      <c r="F1597" s="5" t="s">
        <v>36</v>
      </c>
      <c r="G1597" s="6" t="s">
        <v>2497</v>
      </c>
      <c r="H1597" s="4">
        <v>97.75</v>
      </c>
      <c r="I1597" s="7">
        <v>21.57</v>
      </c>
      <c r="J1597" s="3" t="s">
        <v>521</v>
      </c>
      <c r="K1597" s="9" t="s">
        <v>36</v>
      </c>
      <c r="L1597" s="6" t="s">
        <v>36</v>
      </c>
      <c r="M1597" s="3" t="s">
        <v>36</v>
      </c>
      <c r="N1597" s="3" t="s">
        <v>36</v>
      </c>
      <c r="O1597" s="8" t="s">
        <v>36</v>
      </c>
      <c r="P1597" s="3" t="s">
        <v>36</v>
      </c>
      <c r="Q1597" s="3" t="s">
        <v>36</v>
      </c>
      <c r="R1597" s="3" t="s">
        <v>36</v>
      </c>
      <c r="S1597" s="3" t="s">
        <v>36</v>
      </c>
      <c r="T1597" s="3" t="s">
        <v>630</v>
      </c>
      <c r="U1597" s="3" t="s">
        <v>38</v>
      </c>
      <c r="V1597" s="3" t="s">
        <v>39</v>
      </c>
      <c r="W1597" s="3" t="s">
        <v>9341</v>
      </c>
      <c r="X1597" s="10" t="s">
        <v>9342</v>
      </c>
      <c r="Y1597" s="6" t="s">
        <v>108</v>
      </c>
      <c r="Z1597" s="4">
        <v>0.29</v>
      </c>
      <c r="AA1597" s="4">
        <v>1.35</v>
      </c>
      <c r="AB1597" s="3" t="s">
        <v>56</v>
      </c>
      <c r="AC1597" s="3" t="s">
        <v>9343</v>
      </c>
      <c r="AD1597" s="9">
        <v>44929</v>
      </c>
      <c r="AE1597" s="3" t="s">
        <v>110</v>
      </c>
      <c r="AF1597" s="3" t="s">
        <v>176</v>
      </c>
      <c r="AG1597" s="3" t="s">
        <v>9344</v>
      </c>
      <c r="AH1597" s="11">
        <f>HYPERLINK("https://my.pitchbook.com?c=212929-75T","View Company Online")</f>
      </c>
    </row>
    <row r="1598">
      <c r="A1598" s="12" t="s">
        <v>9345</v>
      </c>
      <c r="B1598" s="12" t="s">
        <v>9346</v>
      </c>
      <c r="C1598" s="19" t="s">
        <v>36</v>
      </c>
      <c r="D1598" s="19" t="s">
        <v>36</v>
      </c>
      <c r="E1598" s="19" t="s">
        <v>36</v>
      </c>
      <c r="F1598" s="19" t="s">
        <v>36</v>
      </c>
      <c r="G1598" s="15" t="s">
        <v>36</v>
      </c>
      <c r="H1598" s="14" t="s">
        <v>36</v>
      </c>
      <c r="I1598" s="18" t="s">
        <v>36</v>
      </c>
      <c r="J1598" s="12" t="s">
        <v>36</v>
      </c>
      <c r="K1598" s="13" t="s">
        <v>36</v>
      </c>
      <c r="L1598" s="15" t="s">
        <v>36</v>
      </c>
      <c r="M1598" s="12" t="s">
        <v>36</v>
      </c>
      <c r="N1598" s="12" t="s">
        <v>36</v>
      </c>
      <c r="O1598" s="17" t="s">
        <v>36</v>
      </c>
      <c r="P1598" s="12" t="s">
        <v>36</v>
      </c>
      <c r="Q1598" s="12" t="s">
        <v>36</v>
      </c>
      <c r="R1598" s="12" t="s">
        <v>36</v>
      </c>
      <c r="S1598" s="12" t="s">
        <v>36</v>
      </c>
      <c r="T1598" s="12" t="s">
        <v>1701</v>
      </c>
      <c r="U1598" s="12" t="s">
        <v>74</v>
      </c>
      <c r="V1598" s="12" t="s">
        <v>75</v>
      </c>
      <c r="W1598" s="12" t="s">
        <v>9347</v>
      </c>
      <c r="X1598" s="16" t="s">
        <v>9348</v>
      </c>
      <c r="Y1598" s="15" t="s">
        <v>166</v>
      </c>
      <c r="Z1598" s="14">
        <v>7.42</v>
      </c>
      <c r="AA1598" s="14" t="s">
        <v>36</v>
      </c>
      <c r="AB1598" s="12" t="s">
        <v>56</v>
      </c>
      <c r="AC1598" s="12" t="s">
        <v>9349</v>
      </c>
      <c r="AD1598" s="13">
        <v>44929</v>
      </c>
      <c r="AE1598" s="12" t="s">
        <v>79</v>
      </c>
      <c r="AF1598" s="12" t="s">
        <v>905</v>
      </c>
      <c r="AG1598" s="12" t="s">
        <v>81</v>
      </c>
      <c r="AH1598" s="1">
        <f>HYPERLINK("https://my.pitchbook.com?c=211831-39T","View Company Online")</f>
      </c>
    </row>
    <row r="1599">
      <c r="A1599" s="3" t="s">
        <v>9350</v>
      </c>
      <c r="B1599" s="3" t="s">
        <v>9351</v>
      </c>
      <c r="C1599" s="5">
        <v>57</v>
      </c>
      <c r="D1599" s="5">
        <v>4</v>
      </c>
      <c r="E1599" s="5">
        <v>22</v>
      </c>
      <c r="F1599" s="5">
        <v>65</v>
      </c>
      <c r="G1599" s="6" t="s">
        <v>36</v>
      </c>
      <c r="H1599" s="4" t="s">
        <v>36</v>
      </c>
      <c r="I1599" s="7" t="s">
        <v>36</v>
      </c>
      <c r="J1599" s="3" t="s">
        <v>36</v>
      </c>
      <c r="K1599" s="9" t="s">
        <v>36</v>
      </c>
      <c r="L1599" s="6" t="s">
        <v>36</v>
      </c>
      <c r="M1599" s="3" t="s">
        <v>36</v>
      </c>
      <c r="N1599" s="3" t="s">
        <v>36</v>
      </c>
      <c r="O1599" s="8" t="s">
        <v>36</v>
      </c>
      <c r="P1599" s="3" t="s">
        <v>36</v>
      </c>
      <c r="Q1599" s="3" t="s">
        <v>36</v>
      </c>
      <c r="R1599" s="3" t="s">
        <v>36</v>
      </c>
      <c r="S1599" s="3" t="s">
        <v>36</v>
      </c>
      <c r="T1599" s="3" t="s">
        <v>881</v>
      </c>
      <c r="U1599" s="3" t="s">
        <v>51</v>
      </c>
      <c r="V1599" s="3" t="s">
        <v>52</v>
      </c>
      <c r="W1599" s="3" t="s">
        <v>9352</v>
      </c>
      <c r="X1599" s="10" t="s">
        <v>9353</v>
      </c>
      <c r="Y1599" s="6" t="s">
        <v>192</v>
      </c>
      <c r="Z1599" s="4" t="s">
        <v>36</v>
      </c>
      <c r="AA1599" s="4" t="s">
        <v>36</v>
      </c>
      <c r="AB1599" s="3" t="s">
        <v>56</v>
      </c>
      <c r="AC1599" s="3" t="s">
        <v>9354</v>
      </c>
      <c r="AD1599" s="9">
        <v>44929</v>
      </c>
      <c r="AE1599" s="3" t="s">
        <v>504</v>
      </c>
      <c r="AF1599" s="3" t="s">
        <v>6820</v>
      </c>
      <c r="AG1599" s="3" t="s">
        <v>3406</v>
      </c>
      <c r="AH1599" s="11">
        <f>HYPERLINK("https://my.pitchbook.com?c=215730-82T","View Company Online")</f>
      </c>
    </row>
    <row r="1600">
      <c r="A1600" s="12" t="s">
        <v>9355</v>
      </c>
      <c r="B1600" s="12" t="s">
        <v>6268</v>
      </c>
      <c r="C1600" s="19" t="s">
        <v>36</v>
      </c>
      <c r="D1600" s="19" t="s">
        <v>36</v>
      </c>
      <c r="E1600" s="19" t="s">
        <v>36</v>
      </c>
      <c r="F1600" s="19" t="s">
        <v>36</v>
      </c>
      <c r="G1600" s="15" t="s">
        <v>326</v>
      </c>
      <c r="H1600" s="14" t="s">
        <v>36</v>
      </c>
      <c r="I1600" s="18">
        <v>26.25</v>
      </c>
      <c r="J1600" s="12" t="s">
        <v>327</v>
      </c>
      <c r="K1600" s="13" t="s">
        <v>36</v>
      </c>
      <c r="L1600" s="15" t="s">
        <v>36</v>
      </c>
      <c r="M1600" s="12" t="s">
        <v>36</v>
      </c>
      <c r="N1600" s="12" t="s">
        <v>36</v>
      </c>
      <c r="O1600" s="17" t="s">
        <v>36</v>
      </c>
      <c r="P1600" s="12" t="s">
        <v>36</v>
      </c>
      <c r="Q1600" s="12" t="s">
        <v>36</v>
      </c>
      <c r="R1600" s="12" t="s">
        <v>36</v>
      </c>
      <c r="S1600" s="12" t="s">
        <v>36</v>
      </c>
      <c r="T1600" s="12" t="s">
        <v>6269</v>
      </c>
      <c r="U1600" s="12" t="s">
        <v>1357</v>
      </c>
      <c r="V1600" s="12" t="s">
        <v>52</v>
      </c>
      <c r="W1600" s="12" t="s">
        <v>6270</v>
      </c>
      <c r="X1600" s="16" t="s">
        <v>9356</v>
      </c>
      <c r="Y1600" s="15" t="s">
        <v>108</v>
      </c>
      <c r="Z1600" s="14">
        <v>3.44</v>
      </c>
      <c r="AA1600" s="14">
        <v>13.12</v>
      </c>
      <c r="AB1600" s="12" t="s">
        <v>43</v>
      </c>
      <c r="AC1600" s="12" t="s">
        <v>6272</v>
      </c>
      <c r="AD1600" s="13">
        <v>44929</v>
      </c>
      <c r="AE1600" s="12" t="s">
        <v>2808</v>
      </c>
      <c r="AF1600" s="12" t="s">
        <v>36</v>
      </c>
      <c r="AG1600" s="12" t="s">
        <v>1479</v>
      </c>
      <c r="AH1600" s="1">
        <f>HYPERLINK("https://my.pitchbook.com?c=232251-94T","View Company Online")</f>
      </c>
    </row>
    <row r="1601">
      <c r="A1601" s="3" t="s">
        <v>9357</v>
      </c>
      <c r="B1601" s="3" t="s">
        <v>9358</v>
      </c>
      <c r="C1601" s="5" t="s">
        <v>36</v>
      </c>
      <c r="D1601" s="5" t="s">
        <v>36</v>
      </c>
      <c r="E1601" s="5" t="s">
        <v>36</v>
      </c>
      <c r="F1601" s="5" t="s">
        <v>36</v>
      </c>
      <c r="G1601" s="6" t="s">
        <v>36</v>
      </c>
      <c r="H1601" s="4">
        <v>2423.32</v>
      </c>
      <c r="I1601" s="7">
        <v>25.52</v>
      </c>
      <c r="J1601" s="3" t="s">
        <v>521</v>
      </c>
      <c r="K1601" s="9" t="s">
        <v>36</v>
      </c>
      <c r="L1601" s="6" t="s">
        <v>36</v>
      </c>
      <c r="M1601" s="3" t="s">
        <v>36</v>
      </c>
      <c r="N1601" s="3" t="s">
        <v>36</v>
      </c>
      <c r="O1601" s="8" t="s">
        <v>36</v>
      </c>
      <c r="P1601" s="3" t="s">
        <v>36</v>
      </c>
      <c r="Q1601" s="3" t="s">
        <v>36</v>
      </c>
      <c r="R1601" s="3" t="s">
        <v>36</v>
      </c>
      <c r="S1601" s="3" t="s">
        <v>36</v>
      </c>
      <c r="T1601" s="3" t="s">
        <v>583</v>
      </c>
      <c r="U1601" s="3" t="s">
        <v>423</v>
      </c>
      <c r="V1601" s="3" t="s">
        <v>64</v>
      </c>
      <c r="W1601" s="3" t="s">
        <v>9359</v>
      </c>
      <c r="X1601" s="10" t="s">
        <v>9360</v>
      </c>
      <c r="Y1601" s="6" t="s">
        <v>42</v>
      </c>
      <c r="Z1601" s="4">
        <v>2.54</v>
      </c>
      <c r="AA1601" s="4">
        <v>9.96</v>
      </c>
      <c r="AB1601" s="3" t="s">
        <v>43</v>
      </c>
      <c r="AC1601" s="3" t="s">
        <v>9361</v>
      </c>
      <c r="AD1601" s="9">
        <v>44928</v>
      </c>
      <c r="AE1601" s="3" t="s">
        <v>562</v>
      </c>
      <c r="AF1601" s="3" t="s">
        <v>1061</v>
      </c>
      <c r="AG1601" s="3" t="s">
        <v>2715</v>
      </c>
      <c r="AH1601" s="11">
        <f>HYPERLINK("https://my.pitchbook.com?c=226657-81T","View Company Online")</f>
      </c>
    </row>
    <row r="1602">
      <c r="A1602" s="12" t="s">
        <v>9362</v>
      </c>
      <c r="B1602" s="12" t="s">
        <v>9363</v>
      </c>
      <c r="C1602" s="19" t="s">
        <v>36</v>
      </c>
      <c r="D1602" s="19" t="s">
        <v>36</v>
      </c>
      <c r="E1602" s="19" t="s">
        <v>36</v>
      </c>
      <c r="F1602" s="19" t="s">
        <v>36</v>
      </c>
      <c r="G1602" s="15" t="s">
        <v>36</v>
      </c>
      <c r="H1602" s="14">
        <v>225.89</v>
      </c>
      <c r="I1602" s="18">
        <v>18.69</v>
      </c>
      <c r="J1602" s="12" t="s">
        <v>521</v>
      </c>
      <c r="K1602" s="13" t="s">
        <v>36</v>
      </c>
      <c r="L1602" s="15" t="s">
        <v>36</v>
      </c>
      <c r="M1602" s="12" t="s">
        <v>36</v>
      </c>
      <c r="N1602" s="12" t="s">
        <v>36</v>
      </c>
      <c r="O1602" s="17" t="s">
        <v>36</v>
      </c>
      <c r="P1602" s="12" t="s">
        <v>36</v>
      </c>
      <c r="Q1602" s="12" t="s">
        <v>36</v>
      </c>
      <c r="R1602" s="12" t="s">
        <v>36</v>
      </c>
      <c r="S1602" s="12" t="s">
        <v>36</v>
      </c>
      <c r="T1602" s="12" t="s">
        <v>9364</v>
      </c>
      <c r="U1602" s="12" t="s">
        <v>74</v>
      </c>
      <c r="V1602" s="12" t="s">
        <v>75</v>
      </c>
      <c r="W1602" s="12" t="s">
        <v>9365</v>
      </c>
      <c r="X1602" s="16" t="s">
        <v>6176</v>
      </c>
      <c r="Y1602" s="15" t="s">
        <v>42</v>
      </c>
      <c r="Z1602" s="14">
        <v>2.12</v>
      </c>
      <c r="AA1602" s="14">
        <v>11.34</v>
      </c>
      <c r="AB1602" s="12" t="s">
        <v>56</v>
      </c>
      <c r="AC1602" s="12" t="s">
        <v>9366</v>
      </c>
      <c r="AD1602" s="13">
        <v>44928</v>
      </c>
      <c r="AE1602" s="12" t="s">
        <v>79</v>
      </c>
      <c r="AF1602" s="12" t="s">
        <v>256</v>
      </c>
      <c r="AG1602" s="12" t="s">
        <v>6814</v>
      </c>
      <c r="AH1602" s="1">
        <f>HYPERLINK("https://my.pitchbook.com?c=211910-77T","View Company Online")</f>
      </c>
    </row>
    <row r="1603">
      <c r="A1603" s="3" t="s">
        <v>9367</v>
      </c>
      <c r="B1603" s="3" t="s">
        <v>9368</v>
      </c>
      <c r="C1603" s="5" t="s">
        <v>36</v>
      </c>
      <c r="D1603" s="5" t="s">
        <v>36</v>
      </c>
      <c r="E1603" s="5" t="s">
        <v>36</v>
      </c>
      <c r="F1603" s="5" t="s">
        <v>36</v>
      </c>
      <c r="G1603" s="6" t="s">
        <v>36</v>
      </c>
      <c r="H1603" s="4" t="s">
        <v>36</v>
      </c>
      <c r="I1603" s="7" t="s">
        <v>36</v>
      </c>
      <c r="J1603" s="3" t="s">
        <v>36</v>
      </c>
      <c r="K1603" s="9" t="s">
        <v>36</v>
      </c>
      <c r="L1603" s="6" t="s">
        <v>36</v>
      </c>
      <c r="M1603" s="3" t="s">
        <v>36</v>
      </c>
      <c r="N1603" s="3" t="s">
        <v>36</v>
      </c>
      <c r="O1603" s="8" t="s">
        <v>36</v>
      </c>
      <c r="P1603" s="3" t="s">
        <v>36</v>
      </c>
      <c r="Q1603" s="3" t="s">
        <v>36</v>
      </c>
      <c r="R1603" s="3" t="s">
        <v>36</v>
      </c>
      <c r="S1603" s="3" t="s">
        <v>36</v>
      </c>
      <c r="T1603" s="3" t="s">
        <v>37</v>
      </c>
      <c r="U1603" s="3" t="s">
        <v>38</v>
      </c>
      <c r="V1603" s="3" t="s">
        <v>39</v>
      </c>
      <c r="W1603" s="3" t="s">
        <v>9369</v>
      </c>
      <c r="X1603" s="10" t="s">
        <v>9370</v>
      </c>
      <c r="Y1603" s="6" t="s">
        <v>42</v>
      </c>
      <c r="Z1603" s="4" t="s">
        <v>36</v>
      </c>
      <c r="AA1603" s="4" t="s">
        <v>36</v>
      </c>
      <c r="AB1603" s="3" t="s">
        <v>43</v>
      </c>
      <c r="AC1603" s="3" t="s">
        <v>9371</v>
      </c>
      <c r="AD1603" s="9">
        <v>44927</v>
      </c>
      <c r="AE1603" s="3" t="s">
        <v>45</v>
      </c>
      <c r="AF1603" s="3" t="s">
        <v>331</v>
      </c>
      <c r="AG1603" s="3" t="s">
        <v>81</v>
      </c>
      <c r="AH1603" s="11">
        <f>HYPERLINK("https://my.pitchbook.com?c=247631-77T","View Company Online")</f>
      </c>
    </row>
    <row r="1604">
      <c r="A1604" s="12" t="s">
        <v>9372</v>
      </c>
      <c r="B1604" s="12" t="s">
        <v>9373</v>
      </c>
      <c r="C1604" s="19" t="s">
        <v>36</v>
      </c>
      <c r="D1604" s="19" t="s">
        <v>36</v>
      </c>
      <c r="E1604" s="19" t="s">
        <v>36</v>
      </c>
      <c r="F1604" s="19" t="s">
        <v>36</v>
      </c>
      <c r="G1604" s="15" t="s">
        <v>36</v>
      </c>
      <c r="H1604" s="14" t="s">
        <v>36</v>
      </c>
      <c r="I1604" s="18" t="s">
        <v>36</v>
      </c>
      <c r="J1604" s="12" t="s">
        <v>36</v>
      </c>
      <c r="K1604" s="13" t="s">
        <v>36</v>
      </c>
      <c r="L1604" s="15" t="s">
        <v>36</v>
      </c>
      <c r="M1604" s="12" t="s">
        <v>36</v>
      </c>
      <c r="N1604" s="12" t="s">
        <v>36</v>
      </c>
      <c r="O1604" s="17" t="s">
        <v>36</v>
      </c>
      <c r="P1604" s="12" t="s">
        <v>36</v>
      </c>
      <c r="Q1604" s="12" t="s">
        <v>36</v>
      </c>
      <c r="R1604" s="12" t="s">
        <v>36</v>
      </c>
      <c r="S1604" s="12" t="s">
        <v>196</v>
      </c>
      <c r="T1604" s="12" t="s">
        <v>9281</v>
      </c>
      <c r="U1604" s="12" t="s">
        <v>38</v>
      </c>
      <c r="V1604" s="12" t="s">
        <v>39</v>
      </c>
      <c r="W1604" s="12" t="s">
        <v>9374</v>
      </c>
      <c r="X1604" s="16" t="s">
        <v>9375</v>
      </c>
      <c r="Y1604" s="15" t="s">
        <v>55</v>
      </c>
      <c r="Z1604" s="14" t="s">
        <v>36</v>
      </c>
      <c r="AA1604" s="14" t="s">
        <v>36</v>
      </c>
      <c r="AB1604" s="12" t="s">
        <v>56</v>
      </c>
      <c r="AC1604" s="12" t="s">
        <v>9376</v>
      </c>
      <c r="AD1604" s="13">
        <v>44927</v>
      </c>
      <c r="AE1604" s="12" t="s">
        <v>1945</v>
      </c>
      <c r="AF1604" s="12" t="s">
        <v>9377</v>
      </c>
      <c r="AG1604" s="12" t="s">
        <v>81</v>
      </c>
      <c r="AH1604" s="1">
        <f>HYPERLINK("https://my.pitchbook.com?c=248664-52T","View Company Online")</f>
      </c>
    </row>
    <row r="1605">
      <c r="A1605" s="3" t="s">
        <v>9378</v>
      </c>
      <c r="B1605" s="3" t="s">
        <v>9379</v>
      </c>
      <c r="C1605" s="5" t="s">
        <v>36</v>
      </c>
      <c r="D1605" s="5" t="s">
        <v>36</v>
      </c>
      <c r="E1605" s="5" t="s">
        <v>36</v>
      </c>
      <c r="F1605" s="5" t="s">
        <v>36</v>
      </c>
      <c r="G1605" s="6" t="s">
        <v>36</v>
      </c>
      <c r="H1605" s="4" t="s">
        <v>36</v>
      </c>
      <c r="I1605" s="7" t="s">
        <v>36</v>
      </c>
      <c r="J1605" s="3" t="s">
        <v>36</v>
      </c>
      <c r="K1605" s="9" t="s">
        <v>36</v>
      </c>
      <c r="L1605" s="6" t="s">
        <v>36</v>
      </c>
      <c r="M1605" s="3" t="s">
        <v>36</v>
      </c>
      <c r="N1605" s="3" t="s">
        <v>36</v>
      </c>
      <c r="O1605" s="8" t="s">
        <v>36</v>
      </c>
      <c r="P1605" s="3" t="s">
        <v>36</v>
      </c>
      <c r="Q1605" s="3" t="s">
        <v>36</v>
      </c>
      <c r="R1605" s="3" t="s">
        <v>36</v>
      </c>
      <c r="S1605" s="3" t="s">
        <v>36</v>
      </c>
      <c r="T1605" s="3" t="s">
        <v>1669</v>
      </c>
      <c r="U1605" s="3" t="s">
        <v>1336</v>
      </c>
      <c r="V1605" s="3" t="s">
        <v>367</v>
      </c>
      <c r="W1605" s="3" t="s">
        <v>9380</v>
      </c>
      <c r="X1605" s="10" t="s">
        <v>9381</v>
      </c>
      <c r="Y1605" s="6" t="s">
        <v>42</v>
      </c>
      <c r="Z1605" s="4">
        <v>1.06</v>
      </c>
      <c r="AA1605" s="4" t="s">
        <v>36</v>
      </c>
      <c r="AB1605" s="3" t="s">
        <v>56</v>
      </c>
      <c r="AC1605" s="3" t="s">
        <v>9382</v>
      </c>
      <c r="AD1605" s="9">
        <v>44927</v>
      </c>
      <c r="AE1605" s="3" t="s">
        <v>1339</v>
      </c>
      <c r="AF1605" s="3" t="s">
        <v>786</v>
      </c>
      <c r="AG1605" s="3" t="s">
        <v>9383</v>
      </c>
      <c r="AH1605" s="11">
        <f>HYPERLINK("https://my.pitchbook.com?c=219569-41T","View Company Online")</f>
      </c>
    </row>
    <row r="1606">
      <c r="A1606" s="12" t="s">
        <v>9384</v>
      </c>
      <c r="B1606" s="12" t="s">
        <v>9385</v>
      </c>
      <c r="C1606" s="19" t="s">
        <v>36</v>
      </c>
      <c r="D1606" s="19" t="s">
        <v>36</v>
      </c>
      <c r="E1606" s="19" t="s">
        <v>36</v>
      </c>
      <c r="F1606" s="19" t="s">
        <v>36</v>
      </c>
      <c r="G1606" s="15" t="s">
        <v>36</v>
      </c>
      <c r="H1606" s="14" t="s">
        <v>36</v>
      </c>
      <c r="I1606" s="18" t="s">
        <v>36</v>
      </c>
      <c r="J1606" s="12" t="s">
        <v>36</v>
      </c>
      <c r="K1606" s="13" t="s">
        <v>36</v>
      </c>
      <c r="L1606" s="15" t="s">
        <v>36</v>
      </c>
      <c r="M1606" s="12" t="s">
        <v>36</v>
      </c>
      <c r="N1606" s="12" t="s">
        <v>36</v>
      </c>
      <c r="O1606" s="17" t="s">
        <v>36</v>
      </c>
      <c r="P1606" s="12" t="s">
        <v>36</v>
      </c>
      <c r="Q1606" s="12" t="s">
        <v>36</v>
      </c>
      <c r="R1606" s="12" t="s">
        <v>36</v>
      </c>
      <c r="S1606" s="12" t="s">
        <v>36</v>
      </c>
      <c r="T1606" s="12" t="s">
        <v>6159</v>
      </c>
      <c r="U1606" s="12" t="s">
        <v>648</v>
      </c>
      <c r="V1606" s="12" t="s">
        <v>64</v>
      </c>
      <c r="W1606" s="12" t="s">
        <v>9386</v>
      </c>
      <c r="X1606" s="16" t="s">
        <v>2869</v>
      </c>
      <c r="Y1606" s="15" t="s">
        <v>42</v>
      </c>
      <c r="Z1606" s="14" t="s">
        <v>36</v>
      </c>
      <c r="AA1606" s="14" t="s">
        <v>36</v>
      </c>
      <c r="AB1606" s="12" t="s">
        <v>43</v>
      </c>
      <c r="AC1606" s="12" t="s">
        <v>9387</v>
      </c>
      <c r="AD1606" s="13">
        <v>44927</v>
      </c>
      <c r="AE1606" s="12" t="s">
        <v>3988</v>
      </c>
      <c r="AF1606" s="12" t="s">
        <v>4284</v>
      </c>
      <c r="AG1606" s="12" t="s">
        <v>81</v>
      </c>
      <c r="AH1606" s="1">
        <f>HYPERLINK("https://my.pitchbook.com?c=275958-19T","View Company Online")</f>
      </c>
    </row>
    <row r="1607">
      <c r="A1607" s="3" t="s">
        <v>9388</v>
      </c>
      <c r="B1607" s="3" t="s">
        <v>9389</v>
      </c>
      <c r="C1607" s="5" t="s">
        <v>36</v>
      </c>
      <c r="D1607" s="5" t="s">
        <v>36</v>
      </c>
      <c r="E1607" s="5" t="s">
        <v>36</v>
      </c>
      <c r="F1607" s="5" t="s">
        <v>36</v>
      </c>
      <c r="G1607" s="6" t="s">
        <v>36</v>
      </c>
      <c r="H1607" s="4" t="s">
        <v>36</v>
      </c>
      <c r="I1607" s="7" t="s">
        <v>36</v>
      </c>
      <c r="J1607" s="3" t="s">
        <v>36</v>
      </c>
      <c r="K1607" s="9" t="s">
        <v>36</v>
      </c>
      <c r="L1607" s="6" t="s">
        <v>122</v>
      </c>
      <c r="M1607" s="3" t="s">
        <v>36</v>
      </c>
      <c r="N1607" s="3" t="s">
        <v>122</v>
      </c>
      <c r="O1607" s="8" t="s">
        <v>36</v>
      </c>
      <c r="P1607" s="3" t="s">
        <v>36</v>
      </c>
      <c r="Q1607" s="3" t="s">
        <v>36</v>
      </c>
      <c r="R1607" s="3" t="s">
        <v>36</v>
      </c>
      <c r="S1607" s="3" t="s">
        <v>36</v>
      </c>
      <c r="T1607" s="3" t="s">
        <v>9390</v>
      </c>
      <c r="U1607" s="3" t="s">
        <v>63</v>
      </c>
      <c r="V1607" s="3" t="s">
        <v>64</v>
      </c>
      <c r="W1607" s="3" t="s">
        <v>9391</v>
      </c>
      <c r="X1607" s="10" t="s">
        <v>9392</v>
      </c>
      <c r="Y1607" s="6" t="s">
        <v>42</v>
      </c>
      <c r="Z1607" s="4">
        <v>3.71</v>
      </c>
      <c r="AA1607" s="4" t="s">
        <v>36</v>
      </c>
      <c r="AB1607" s="3" t="s">
        <v>56</v>
      </c>
      <c r="AC1607" s="3" t="s">
        <v>9393</v>
      </c>
      <c r="AD1607" s="9">
        <v>44927</v>
      </c>
      <c r="AE1607" s="3" t="s">
        <v>399</v>
      </c>
      <c r="AF1607" s="3" t="s">
        <v>9394</v>
      </c>
      <c r="AG1607" s="3" t="s">
        <v>81</v>
      </c>
      <c r="AH1607" s="11">
        <f>HYPERLINK("https://my.pitchbook.com?c=249172-48T","View Company Online")</f>
      </c>
    </row>
    <row r="1608">
      <c r="A1608" s="12" t="s">
        <v>9395</v>
      </c>
      <c r="B1608" s="12" t="s">
        <v>9396</v>
      </c>
      <c r="C1608" s="19" t="s">
        <v>36</v>
      </c>
      <c r="D1608" s="19" t="s">
        <v>36</v>
      </c>
      <c r="E1608" s="19" t="s">
        <v>36</v>
      </c>
      <c r="F1608" s="19" t="s">
        <v>36</v>
      </c>
      <c r="G1608" s="15" t="s">
        <v>36</v>
      </c>
      <c r="H1608" s="14" t="s">
        <v>36</v>
      </c>
      <c r="I1608" s="18" t="s">
        <v>36</v>
      </c>
      <c r="J1608" s="12" t="s">
        <v>36</v>
      </c>
      <c r="K1608" s="13" t="s">
        <v>36</v>
      </c>
      <c r="L1608" s="15" t="s">
        <v>36</v>
      </c>
      <c r="M1608" s="12" t="s">
        <v>36</v>
      </c>
      <c r="N1608" s="12" t="s">
        <v>36</v>
      </c>
      <c r="O1608" s="17" t="s">
        <v>36</v>
      </c>
      <c r="P1608" s="12" t="s">
        <v>36</v>
      </c>
      <c r="Q1608" s="12" t="s">
        <v>36</v>
      </c>
      <c r="R1608" s="12" t="s">
        <v>36</v>
      </c>
      <c r="S1608" s="12" t="s">
        <v>2743</v>
      </c>
      <c r="T1608" s="12" t="s">
        <v>1350</v>
      </c>
      <c r="U1608" s="12" t="s">
        <v>38</v>
      </c>
      <c r="V1608" s="12" t="s">
        <v>39</v>
      </c>
      <c r="W1608" s="12" t="s">
        <v>9397</v>
      </c>
      <c r="X1608" s="16" t="s">
        <v>8600</v>
      </c>
      <c r="Y1608" s="15" t="s">
        <v>42</v>
      </c>
      <c r="Z1608" s="14" t="s">
        <v>36</v>
      </c>
      <c r="AA1608" s="14" t="s">
        <v>36</v>
      </c>
      <c r="AB1608" s="12" t="s">
        <v>43</v>
      </c>
      <c r="AC1608" s="12" t="s">
        <v>9398</v>
      </c>
      <c r="AD1608" s="13">
        <v>44927</v>
      </c>
      <c r="AE1608" s="12" t="s">
        <v>785</v>
      </c>
      <c r="AF1608" s="12" t="s">
        <v>9399</v>
      </c>
      <c r="AG1608" s="12" t="s">
        <v>81</v>
      </c>
      <c r="AH1608" s="1">
        <f>HYPERLINK("https://my.pitchbook.com?c=245349-10T","View Company Online")</f>
      </c>
    </row>
    <row r="1609">
      <c r="A1609" s="3" t="s">
        <v>9400</v>
      </c>
      <c r="B1609" s="3" t="s">
        <v>9401</v>
      </c>
      <c r="C1609" s="5" t="s">
        <v>36</v>
      </c>
      <c r="D1609" s="5" t="s">
        <v>36</v>
      </c>
      <c r="E1609" s="5" t="s">
        <v>36</v>
      </c>
      <c r="F1609" s="5" t="s">
        <v>36</v>
      </c>
      <c r="G1609" s="6" t="s">
        <v>36</v>
      </c>
      <c r="H1609" s="4" t="s">
        <v>36</v>
      </c>
      <c r="I1609" s="7" t="s">
        <v>36</v>
      </c>
      <c r="J1609" s="3" t="s">
        <v>36</v>
      </c>
      <c r="K1609" s="9" t="s">
        <v>36</v>
      </c>
      <c r="L1609" s="6" t="s">
        <v>36</v>
      </c>
      <c r="M1609" s="3" t="s">
        <v>36</v>
      </c>
      <c r="N1609" s="3" t="s">
        <v>36</v>
      </c>
      <c r="O1609" s="8" t="s">
        <v>36</v>
      </c>
      <c r="P1609" s="3" t="s">
        <v>36</v>
      </c>
      <c r="Q1609" s="3" t="s">
        <v>36</v>
      </c>
      <c r="R1609" s="3" t="s">
        <v>36</v>
      </c>
      <c r="S1609" s="3" t="s">
        <v>36</v>
      </c>
      <c r="T1609" s="3" t="s">
        <v>9402</v>
      </c>
      <c r="U1609" s="3" t="s">
        <v>233</v>
      </c>
      <c r="V1609" s="3" t="s">
        <v>39</v>
      </c>
      <c r="W1609" s="3" t="s">
        <v>9403</v>
      </c>
      <c r="X1609" s="10" t="s">
        <v>9404</v>
      </c>
      <c r="Y1609" s="6" t="s">
        <v>55</v>
      </c>
      <c r="Z1609" s="4">
        <v>26.49</v>
      </c>
      <c r="AA1609" s="4" t="s">
        <v>36</v>
      </c>
      <c r="AB1609" s="3" t="s">
        <v>56</v>
      </c>
      <c r="AC1609" s="3" t="s">
        <v>9405</v>
      </c>
      <c r="AD1609" s="9">
        <v>44927</v>
      </c>
      <c r="AE1609" s="3" t="s">
        <v>236</v>
      </c>
      <c r="AF1609" s="3" t="s">
        <v>36</v>
      </c>
      <c r="AG1609" s="3" t="s">
        <v>81</v>
      </c>
      <c r="AH1609" s="11">
        <f>HYPERLINK("https://my.pitchbook.com?c=226677-88T","View Company Online")</f>
      </c>
    </row>
    <row r="1610">
      <c r="A1610" s="12" t="s">
        <v>9406</v>
      </c>
      <c r="B1610" s="12" t="s">
        <v>9407</v>
      </c>
      <c r="C1610" s="19" t="s">
        <v>36</v>
      </c>
      <c r="D1610" s="19" t="s">
        <v>36</v>
      </c>
      <c r="E1610" s="19" t="s">
        <v>36</v>
      </c>
      <c r="F1610" s="19" t="s">
        <v>36</v>
      </c>
      <c r="G1610" s="15" t="s">
        <v>36</v>
      </c>
      <c r="H1610" s="14" t="s">
        <v>36</v>
      </c>
      <c r="I1610" s="18" t="s">
        <v>36</v>
      </c>
      <c r="J1610" s="12" t="s">
        <v>36</v>
      </c>
      <c r="K1610" s="13" t="s">
        <v>36</v>
      </c>
      <c r="L1610" s="15" t="s">
        <v>3736</v>
      </c>
      <c r="M1610" s="12" t="s">
        <v>36</v>
      </c>
      <c r="N1610" s="12" t="s">
        <v>3736</v>
      </c>
      <c r="O1610" s="17" t="s">
        <v>36</v>
      </c>
      <c r="P1610" s="12" t="s">
        <v>36</v>
      </c>
      <c r="Q1610" s="12" t="s">
        <v>36</v>
      </c>
      <c r="R1610" s="12" t="s">
        <v>36</v>
      </c>
      <c r="S1610" s="12" t="s">
        <v>36</v>
      </c>
      <c r="T1610" s="12" t="s">
        <v>9159</v>
      </c>
      <c r="U1610" s="12" t="s">
        <v>74</v>
      </c>
      <c r="V1610" s="12" t="s">
        <v>75</v>
      </c>
      <c r="W1610" s="12" t="s">
        <v>9408</v>
      </c>
      <c r="X1610" s="16" t="s">
        <v>9409</v>
      </c>
      <c r="Y1610" s="15" t="s">
        <v>166</v>
      </c>
      <c r="Z1610" s="14">
        <v>15</v>
      </c>
      <c r="AA1610" s="14" t="s">
        <v>36</v>
      </c>
      <c r="AB1610" s="12" t="s">
        <v>56</v>
      </c>
      <c r="AC1610" s="12" t="s">
        <v>9410</v>
      </c>
      <c r="AD1610" s="13">
        <v>44927</v>
      </c>
      <c r="AE1610" s="12" t="s">
        <v>3144</v>
      </c>
      <c r="AF1610" s="12" t="s">
        <v>9411</v>
      </c>
      <c r="AG1610" s="12" t="s">
        <v>81</v>
      </c>
      <c r="AH1610" s="1">
        <f>HYPERLINK("https://my.pitchbook.com?c=280866-61T","View Company Online")</f>
      </c>
    </row>
    <row r="1611">
      <c r="A1611" s="3" t="s">
        <v>9412</v>
      </c>
      <c r="B1611" s="3" t="s">
        <v>9413</v>
      </c>
      <c r="C1611" s="5" t="s">
        <v>36</v>
      </c>
      <c r="D1611" s="5" t="s">
        <v>36</v>
      </c>
      <c r="E1611" s="5" t="s">
        <v>36</v>
      </c>
      <c r="F1611" s="5" t="s">
        <v>36</v>
      </c>
      <c r="G1611" s="6" t="s">
        <v>36</v>
      </c>
      <c r="H1611" s="4" t="s">
        <v>36</v>
      </c>
      <c r="I1611" s="7" t="s">
        <v>36</v>
      </c>
      <c r="J1611" s="3" t="s">
        <v>36</v>
      </c>
      <c r="K1611" s="9" t="s">
        <v>36</v>
      </c>
      <c r="L1611" s="6" t="s">
        <v>36</v>
      </c>
      <c r="M1611" s="3" t="s">
        <v>36</v>
      </c>
      <c r="N1611" s="3" t="s">
        <v>36</v>
      </c>
      <c r="O1611" s="8" t="s">
        <v>36</v>
      </c>
      <c r="P1611" s="3" t="s">
        <v>36</v>
      </c>
      <c r="Q1611" s="3" t="s">
        <v>36</v>
      </c>
      <c r="R1611" s="3" t="s">
        <v>36</v>
      </c>
      <c r="S1611" s="3" t="s">
        <v>36</v>
      </c>
      <c r="T1611" s="3" t="s">
        <v>522</v>
      </c>
      <c r="U1611" s="3" t="s">
        <v>38</v>
      </c>
      <c r="V1611" s="3" t="s">
        <v>39</v>
      </c>
      <c r="W1611" s="3" t="s">
        <v>9414</v>
      </c>
      <c r="X1611" s="10" t="s">
        <v>9415</v>
      </c>
      <c r="Y1611" s="6" t="s">
        <v>42</v>
      </c>
      <c r="Z1611" s="4">
        <v>1.06</v>
      </c>
      <c r="AA1611" s="4" t="s">
        <v>36</v>
      </c>
      <c r="AB1611" s="3" t="s">
        <v>56</v>
      </c>
      <c r="AC1611" s="3" t="s">
        <v>9416</v>
      </c>
      <c r="AD1611" s="9">
        <v>44927</v>
      </c>
      <c r="AE1611" s="3" t="s">
        <v>110</v>
      </c>
      <c r="AF1611" s="3" t="s">
        <v>4724</v>
      </c>
      <c r="AG1611" s="3" t="s">
        <v>81</v>
      </c>
      <c r="AH1611" s="11">
        <f>HYPERLINK("https://my.pitchbook.com?c=225356-41T","View Company Online")</f>
      </c>
    </row>
    <row r="1612">
      <c r="A1612" s="12" t="s">
        <v>9417</v>
      </c>
      <c r="B1612" s="12" t="s">
        <v>9418</v>
      </c>
      <c r="C1612" s="19" t="s">
        <v>36</v>
      </c>
      <c r="D1612" s="19" t="s">
        <v>36</v>
      </c>
      <c r="E1612" s="19" t="s">
        <v>36</v>
      </c>
      <c r="F1612" s="19" t="s">
        <v>36</v>
      </c>
      <c r="G1612" s="15" t="s">
        <v>36</v>
      </c>
      <c r="H1612" s="14" t="s">
        <v>36</v>
      </c>
      <c r="I1612" s="18" t="s">
        <v>36</v>
      </c>
      <c r="J1612" s="12" t="s">
        <v>36</v>
      </c>
      <c r="K1612" s="13" t="s">
        <v>36</v>
      </c>
      <c r="L1612" s="15" t="s">
        <v>36</v>
      </c>
      <c r="M1612" s="12" t="s">
        <v>36</v>
      </c>
      <c r="N1612" s="12" t="s">
        <v>36</v>
      </c>
      <c r="O1612" s="17" t="s">
        <v>36</v>
      </c>
      <c r="P1612" s="12" t="s">
        <v>36</v>
      </c>
      <c r="Q1612" s="12" t="s">
        <v>36</v>
      </c>
      <c r="R1612" s="12" t="s">
        <v>36</v>
      </c>
      <c r="S1612" s="12" t="s">
        <v>36</v>
      </c>
      <c r="T1612" s="12" t="s">
        <v>123</v>
      </c>
      <c r="U1612" s="12" t="s">
        <v>38</v>
      </c>
      <c r="V1612" s="12" t="s">
        <v>39</v>
      </c>
      <c r="W1612" s="12" t="s">
        <v>9419</v>
      </c>
      <c r="X1612" s="16" t="s">
        <v>8571</v>
      </c>
      <c r="Y1612" s="15" t="s">
        <v>42</v>
      </c>
      <c r="Z1612" s="14" t="s">
        <v>36</v>
      </c>
      <c r="AA1612" s="14" t="s">
        <v>36</v>
      </c>
      <c r="AB1612" s="12" t="s">
        <v>56</v>
      </c>
      <c r="AC1612" s="12" t="s">
        <v>9420</v>
      </c>
      <c r="AD1612" s="13">
        <v>44927</v>
      </c>
      <c r="AE1612" s="12" t="s">
        <v>110</v>
      </c>
      <c r="AF1612" s="12" t="s">
        <v>176</v>
      </c>
      <c r="AG1612" s="12" t="s">
        <v>81</v>
      </c>
      <c r="AH1612" s="1">
        <f>HYPERLINK("https://my.pitchbook.com?c=219588-13T","View Company Online")</f>
      </c>
    </row>
    <row r="1613">
      <c r="A1613" s="3" t="s">
        <v>9421</v>
      </c>
      <c r="B1613" s="3" t="s">
        <v>9422</v>
      </c>
      <c r="C1613" s="5" t="s">
        <v>36</v>
      </c>
      <c r="D1613" s="5" t="s">
        <v>36</v>
      </c>
      <c r="E1613" s="5" t="s">
        <v>36</v>
      </c>
      <c r="F1613" s="5" t="s">
        <v>36</v>
      </c>
      <c r="G1613" s="6" t="s">
        <v>36</v>
      </c>
      <c r="H1613" s="4" t="s">
        <v>36</v>
      </c>
      <c r="I1613" s="7" t="s">
        <v>36</v>
      </c>
      <c r="J1613" s="3" t="s">
        <v>36</v>
      </c>
      <c r="K1613" s="9" t="s">
        <v>36</v>
      </c>
      <c r="L1613" s="6" t="s">
        <v>36</v>
      </c>
      <c r="M1613" s="3" t="s">
        <v>36</v>
      </c>
      <c r="N1613" s="3" t="s">
        <v>36</v>
      </c>
      <c r="O1613" s="8" t="s">
        <v>36</v>
      </c>
      <c r="P1613" s="3" t="s">
        <v>36</v>
      </c>
      <c r="Q1613" s="3" t="s">
        <v>36</v>
      </c>
      <c r="R1613" s="3" t="s">
        <v>36</v>
      </c>
      <c r="S1613" s="3" t="s">
        <v>36</v>
      </c>
      <c r="T1613" s="3" t="s">
        <v>37</v>
      </c>
      <c r="U1613" s="3" t="s">
        <v>38</v>
      </c>
      <c r="V1613" s="3" t="s">
        <v>39</v>
      </c>
      <c r="W1613" s="3" t="s">
        <v>9423</v>
      </c>
      <c r="X1613" s="10" t="s">
        <v>9424</v>
      </c>
      <c r="Y1613" s="6" t="s">
        <v>108</v>
      </c>
      <c r="Z1613" s="4" t="s">
        <v>36</v>
      </c>
      <c r="AA1613" s="4" t="s">
        <v>36</v>
      </c>
      <c r="AB1613" s="3" t="s">
        <v>43</v>
      </c>
      <c r="AC1613" s="3" t="s">
        <v>9425</v>
      </c>
      <c r="AD1613" s="9">
        <v>44927</v>
      </c>
      <c r="AE1613" s="3" t="s">
        <v>45</v>
      </c>
      <c r="AF1613" s="3" t="s">
        <v>3334</v>
      </c>
      <c r="AG1613" s="3" t="s">
        <v>741</v>
      </c>
      <c r="AH1613" s="11">
        <f>HYPERLINK("https://my.pitchbook.com?c=285274-72T","View Company Online")</f>
      </c>
    </row>
    <row r="1614">
      <c r="A1614" s="12" t="s">
        <v>9426</v>
      </c>
      <c r="B1614" s="12" t="s">
        <v>9427</v>
      </c>
      <c r="C1614" s="19" t="s">
        <v>36</v>
      </c>
      <c r="D1614" s="19" t="s">
        <v>36</v>
      </c>
      <c r="E1614" s="19" t="s">
        <v>36</v>
      </c>
      <c r="F1614" s="19" t="s">
        <v>36</v>
      </c>
      <c r="G1614" s="15" t="s">
        <v>36</v>
      </c>
      <c r="H1614" s="14" t="s">
        <v>36</v>
      </c>
      <c r="I1614" s="18" t="s">
        <v>36</v>
      </c>
      <c r="J1614" s="12" t="s">
        <v>36</v>
      </c>
      <c r="K1614" s="13" t="s">
        <v>36</v>
      </c>
      <c r="L1614" s="15" t="s">
        <v>36</v>
      </c>
      <c r="M1614" s="12" t="s">
        <v>36</v>
      </c>
      <c r="N1614" s="12" t="s">
        <v>36</v>
      </c>
      <c r="O1614" s="17" t="s">
        <v>36</v>
      </c>
      <c r="P1614" s="12" t="s">
        <v>36</v>
      </c>
      <c r="Q1614" s="12" t="s">
        <v>36</v>
      </c>
      <c r="R1614" s="12" t="s">
        <v>36</v>
      </c>
      <c r="S1614" s="12" t="s">
        <v>36</v>
      </c>
      <c r="T1614" s="12" t="s">
        <v>2967</v>
      </c>
      <c r="U1614" s="12" t="s">
        <v>38</v>
      </c>
      <c r="V1614" s="12" t="s">
        <v>39</v>
      </c>
      <c r="W1614" s="12" t="s">
        <v>9428</v>
      </c>
      <c r="X1614" s="16" t="s">
        <v>1322</v>
      </c>
      <c r="Y1614" s="15" t="s">
        <v>42</v>
      </c>
      <c r="Z1614" s="14" t="s">
        <v>36</v>
      </c>
      <c r="AA1614" s="14" t="s">
        <v>36</v>
      </c>
      <c r="AB1614" s="12" t="s">
        <v>43</v>
      </c>
      <c r="AC1614" s="12" t="s">
        <v>9429</v>
      </c>
      <c r="AD1614" s="13">
        <v>44927</v>
      </c>
      <c r="AE1614" s="12" t="s">
        <v>110</v>
      </c>
      <c r="AF1614" s="12" t="s">
        <v>1115</v>
      </c>
      <c r="AG1614" s="12" t="s">
        <v>81</v>
      </c>
      <c r="AH1614" s="1">
        <f>HYPERLINK("https://my.pitchbook.com?c=266534-92T","View Company Online")</f>
      </c>
    </row>
    <row r="1615">
      <c r="A1615" s="3" t="s">
        <v>9430</v>
      </c>
      <c r="B1615" s="3" t="s">
        <v>9431</v>
      </c>
      <c r="C1615" s="5" t="s">
        <v>36</v>
      </c>
      <c r="D1615" s="5" t="s">
        <v>36</v>
      </c>
      <c r="E1615" s="5" t="s">
        <v>36</v>
      </c>
      <c r="F1615" s="5" t="s">
        <v>36</v>
      </c>
      <c r="G1615" s="6" t="s">
        <v>36</v>
      </c>
      <c r="H1615" s="4" t="s">
        <v>36</v>
      </c>
      <c r="I1615" s="7" t="s">
        <v>36</v>
      </c>
      <c r="J1615" s="3" t="s">
        <v>36</v>
      </c>
      <c r="K1615" s="9" t="s">
        <v>36</v>
      </c>
      <c r="L1615" s="6" t="s">
        <v>36</v>
      </c>
      <c r="M1615" s="3" t="s">
        <v>36</v>
      </c>
      <c r="N1615" s="3" t="s">
        <v>36</v>
      </c>
      <c r="O1615" s="8" t="s">
        <v>36</v>
      </c>
      <c r="P1615" s="3" t="s">
        <v>36</v>
      </c>
      <c r="Q1615" s="3" t="s">
        <v>36</v>
      </c>
      <c r="R1615" s="3" t="s">
        <v>36</v>
      </c>
      <c r="S1615" s="3" t="s">
        <v>36</v>
      </c>
      <c r="T1615" s="3" t="s">
        <v>4917</v>
      </c>
      <c r="U1615" s="3" t="s">
        <v>38</v>
      </c>
      <c r="V1615" s="3" t="s">
        <v>39</v>
      </c>
      <c r="W1615" s="3" t="s">
        <v>9432</v>
      </c>
      <c r="X1615" s="10" t="s">
        <v>9433</v>
      </c>
      <c r="Y1615" s="6" t="s">
        <v>55</v>
      </c>
      <c r="Z1615" s="4" t="s">
        <v>36</v>
      </c>
      <c r="AA1615" s="4" t="s">
        <v>36</v>
      </c>
      <c r="AB1615" s="3" t="s">
        <v>56</v>
      </c>
      <c r="AC1615" s="3" t="s">
        <v>9434</v>
      </c>
      <c r="AD1615" s="9">
        <v>44927</v>
      </c>
      <c r="AE1615" s="3" t="s">
        <v>134</v>
      </c>
      <c r="AF1615" s="3" t="s">
        <v>7730</v>
      </c>
      <c r="AG1615" s="3" t="s">
        <v>1369</v>
      </c>
      <c r="AH1615" s="11">
        <f>HYPERLINK("https://my.pitchbook.com?c=242237-98T","View Company Online")</f>
      </c>
    </row>
    <row r="1616">
      <c r="A1616" s="12" t="s">
        <v>9435</v>
      </c>
      <c r="B1616" s="12" t="s">
        <v>9436</v>
      </c>
      <c r="C1616" s="19" t="s">
        <v>36</v>
      </c>
      <c r="D1616" s="19" t="s">
        <v>36</v>
      </c>
      <c r="E1616" s="19" t="s">
        <v>36</v>
      </c>
      <c r="F1616" s="19" t="s">
        <v>36</v>
      </c>
      <c r="G1616" s="15" t="s">
        <v>36</v>
      </c>
      <c r="H1616" s="14" t="s">
        <v>36</v>
      </c>
      <c r="I1616" s="18" t="s">
        <v>36</v>
      </c>
      <c r="J1616" s="12" t="s">
        <v>36</v>
      </c>
      <c r="K1616" s="13" t="s">
        <v>36</v>
      </c>
      <c r="L1616" s="15" t="s">
        <v>36</v>
      </c>
      <c r="M1616" s="12" t="s">
        <v>36</v>
      </c>
      <c r="N1616" s="12" t="s">
        <v>36</v>
      </c>
      <c r="O1616" s="17" t="s">
        <v>36</v>
      </c>
      <c r="P1616" s="12" t="s">
        <v>36</v>
      </c>
      <c r="Q1616" s="12" t="s">
        <v>36</v>
      </c>
      <c r="R1616" s="12" t="s">
        <v>36</v>
      </c>
      <c r="S1616" s="12" t="s">
        <v>36</v>
      </c>
      <c r="T1616" s="12" t="s">
        <v>1884</v>
      </c>
      <c r="U1616" s="12" t="s">
        <v>74</v>
      </c>
      <c r="V1616" s="12" t="s">
        <v>75</v>
      </c>
      <c r="W1616" s="12" t="s">
        <v>9437</v>
      </c>
      <c r="X1616" s="16" t="s">
        <v>9438</v>
      </c>
      <c r="Y1616" s="15" t="s">
        <v>192</v>
      </c>
      <c r="Z1616" s="14" t="s">
        <v>36</v>
      </c>
      <c r="AA1616" s="14" t="s">
        <v>36</v>
      </c>
      <c r="AB1616" s="12" t="s">
        <v>56</v>
      </c>
      <c r="AC1616" s="12" t="s">
        <v>9439</v>
      </c>
      <c r="AD1616" s="13">
        <v>44927</v>
      </c>
      <c r="AE1616" s="12" t="s">
        <v>1888</v>
      </c>
      <c r="AF1616" s="12" t="s">
        <v>36</v>
      </c>
      <c r="AG1616" s="12" t="s">
        <v>9440</v>
      </c>
      <c r="AH1616" s="1">
        <f>HYPERLINK("https://my.pitchbook.com?c=246685-06T","View Company Online")</f>
      </c>
    </row>
    <row r="1617">
      <c r="A1617" s="3" t="s">
        <v>9441</v>
      </c>
      <c r="B1617" s="3" t="s">
        <v>9442</v>
      </c>
      <c r="C1617" s="5" t="s">
        <v>36</v>
      </c>
      <c r="D1617" s="5" t="s">
        <v>36</v>
      </c>
      <c r="E1617" s="5" t="s">
        <v>36</v>
      </c>
      <c r="F1617" s="5" t="s">
        <v>36</v>
      </c>
      <c r="G1617" s="6" t="s">
        <v>36</v>
      </c>
      <c r="H1617" s="4" t="s">
        <v>36</v>
      </c>
      <c r="I1617" s="7" t="s">
        <v>36</v>
      </c>
      <c r="J1617" s="3" t="s">
        <v>36</v>
      </c>
      <c r="K1617" s="9" t="s">
        <v>36</v>
      </c>
      <c r="L1617" s="6" t="s">
        <v>36</v>
      </c>
      <c r="M1617" s="3" t="s">
        <v>36</v>
      </c>
      <c r="N1617" s="3" t="s">
        <v>36</v>
      </c>
      <c r="O1617" s="8" t="s">
        <v>36</v>
      </c>
      <c r="P1617" s="3" t="s">
        <v>36</v>
      </c>
      <c r="Q1617" s="3" t="s">
        <v>36</v>
      </c>
      <c r="R1617" s="3" t="s">
        <v>36</v>
      </c>
      <c r="S1617" s="3" t="s">
        <v>36</v>
      </c>
      <c r="T1617" s="3" t="s">
        <v>9443</v>
      </c>
      <c r="U1617" s="3" t="s">
        <v>74</v>
      </c>
      <c r="V1617" s="3" t="s">
        <v>75</v>
      </c>
      <c r="W1617" s="3" t="s">
        <v>9444</v>
      </c>
      <c r="X1617" s="10" t="s">
        <v>9445</v>
      </c>
      <c r="Y1617" s="6" t="s">
        <v>42</v>
      </c>
      <c r="Z1617" s="4" t="s">
        <v>36</v>
      </c>
      <c r="AA1617" s="4" t="s">
        <v>36</v>
      </c>
      <c r="AB1617" s="3" t="s">
        <v>43</v>
      </c>
      <c r="AC1617" s="3" t="s">
        <v>9446</v>
      </c>
      <c r="AD1617" s="9">
        <v>44927</v>
      </c>
      <c r="AE1617" s="3" t="s">
        <v>975</v>
      </c>
      <c r="AF1617" s="3" t="s">
        <v>36</v>
      </c>
      <c r="AG1617" s="3" t="s">
        <v>741</v>
      </c>
      <c r="AH1617" s="11">
        <f>HYPERLINK("https://my.pitchbook.com?c=223938-91T","View Company Online")</f>
      </c>
    </row>
    <row r="1618">
      <c r="A1618" s="12" t="s">
        <v>9447</v>
      </c>
      <c r="B1618" s="12" t="s">
        <v>9448</v>
      </c>
      <c r="C1618" s="19" t="s">
        <v>36</v>
      </c>
      <c r="D1618" s="19" t="s">
        <v>36</v>
      </c>
      <c r="E1618" s="19" t="s">
        <v>36</v>
      </c>
      <c r="F1618" s="19" t="s">
        <v>36</v>
      </c>
      <c r="G1618" s="15" t="s">
        <v>36</v>
      </c>
      <c r="H1618" s="14" t="s">
        <v>36</v>
      </c>
      <c r="I1618" s="18" t="s">
        <v>36</v>
      </c>
      <c r="J1618" s="12" t="s">
        <v>36</v>
      </c>
      <c r="K1618" s="13" t="s">
        <v>36</v>
      </c>
      <c r="L1618" s="15" t="s">
        <v>36</v>
      </c>
      <c r="M1618" s="12" t="s">
        <v>36</v>
      </c>
      <c r="N1618" s="12" t="s">
        <v>36</v>
      </c>
      <c r="O1618" s="17" t="s">
        <v>36</v>
      </c>
      <c r="P1618" s="12" t="s">
        <v>36</v>
      </c>
      <c r="Q1618" s="12" t="s">
        <v>36</v>
      </c>
      <c r="R1618" s="12" t="s">
        <v>36</v>
      </c>
      <c r="S1618" s="12" t="s">
        <v>36</v>
      </c>
      <c r="T1618" s="12" t="s">
        <v>9449</v>
      </c>
      <c r="U1618" s="12" t="s">
        <v>728</v>
      </c>
      <c r="V1618" s="12" t="s">
        <v>64</v>
      </c>
      <c r="W1618" s="12" t="s">
        <v>9450</v>
      </c>
      <c r="X1618" s="16" t="s">
        <v>9451</v>
      </c>
      <c r="Y1618" s="15" t="s">
        <v>108</v>
      </c>
      <c r="Z1618" s="14" t="s">
        <v>36</v>
      </c>
      <c r="AA1618" s="14" t="s">
        <v>36</v>
      </c>
      <c r="AB1618" s="12" t="s">
        <v>43</v>
      </c>
      <c r="AC1618" s="12" t="s">
        <v>9452</v>
      </c>
      <c r="AD1618" s="13">
        <v>44927</v>
      </c>
      <c r="AE1618" s="12" t="s">
        <v>732</v>
      </c>
      <c r="AF1618" s="12" t="s">
        <v>9453</v>
      </c>
      <c r="AG1618" s="12" t="s">
        <v>81</v>
      </c>
      <c r="AH1618" s="1">
        <f>HYPERLINK("https://my.pitchbook.com?c=212153-23T","View Company Online")</f>
      </c>
    </row>
    <row r="1619">
      <c r="A1619" s="3" t="s">
        <v>9454</v>
      </c>
      <c r="B1619" s="3" t="s">
        <v>9455</v>
      </c>
      <c r="C1619" s="5" t="s">
        <v>36</v>
      </c>
      <c r="D1619" s="5" t="s">
        <v>36</v>
      </c>
      <c r="E1619" s="5" t="s">
        <v>36</v>
      </c>
      <c r="F1619" s="5" t="s">
        <v>36</v>
      </c>
      <c r="G1619" s="6" t="s">
        <v>36</v>
      </c>
      <c r="H1619" s="4" t="s">
        <v>36</v>
      </c>
      <c r="I1619" s="7" t="s">
        <v>36</v>
      </c>
      <c r="J1619" s="3" t="s">
        <v>36</v>
      </c>
      <c r="K1619" s="9" t="s">
        <v>36</v>
      </c>
      <c r="L1619" s="6" t="s">
        <v>36</v>
      </c>
      <c r="M1619" s="3" t="s">
        <v>36</v>
      </c>
      <c r="N1619" s="3" t="s">
        <v>36</v>
      </c>
      <c r="O1619" s="8" t="s">
        <v>36</v>
      </c>
      <c r="P1619" s="3" t="s">
        <v>36</v>
      </c>
      <c r="Q1619" s="3" t="s">
        <v>36</v>
      </c>
      <c r="R1619" s="3" t="s">
        <v>36</v>
      </c>
      <c r="S1619" s="3" t="s">
        <v>36</v>
      </c>
      <c r="T1619" s="3" t="s">
        <v>9456</v>
      </c>
      <c r="U1619" s="3" t="s">
        <v>63</v>
      </c>
      <c r="V1619" s="3" t="s">
        <v>64</v>
      </c>
      <c r="W1619" s="3" t="s">
        <v>9457</v>
      </c>
      <c r="X1619" s="10" t="s">
        <v>2869</v>
      </c>
      <c r="Y1619" s="6" t="s">
        <v>42</v>
      </c>
      <c r="Z1619" s="4" t="s">
        <v>36</v>
      </c>
      <c r="AA1619" s="4" t="s">
        <v>36</v>
      </c>
      <c r="AB1619" s="3" t="s">
        <v>43</v>
      </c>
      <c r="AC1619" s="3" t="s">
        <v>9458</v>
      </c>
      <c r="AD1619" s="9">
        <v>44927</v>
      </c>
      <c r="AE1619" s="3" t="s">
        <v>4310</v>
      </c>
      <c r="AF1619" s="3" t="s">
        <v>36</v>
      </c>
      <c r="AG1619" s="3" t="s">
        <v>81</v>
      </c>
      <c r="AH1619" s="11">
        <f>HYPERLINK("https://my.pitchbook.com?c=276130-54T","View Company Online")</f>
      </c>
    </row>
    <row r="1620">
      <c r="A1620" s="12" t="s">
        <v>9459</v>
      </c>
      <c r="B1620" s="12" t="s">
        <v>9460</v>
      </c>
      <c r="C1620" s="19" t="s">
        <v>36</v>
      </c>
      <c r="D1620" s="19" t="s">
        <v>36</v>
      </c>
      <c r="E1620" s="19" t="s">
        <v>36</v>
      </c>
      <c r="F1620" s="19" t="s">
        <v>36</v>
      </c>
      <c r="G1620" s="15" t="s">
        <v>36</v>
      </c>
      <c r="H1620" s="14" t="s">
        <v>36</v>
      </c>
      <c r="I1620" s="18" t="s">
        <v>36</v>
      </c>
      <c r="J1620" s="12" t="s">
        <v>36</v>
      </c>
      <c r="K1620" s="13" t="s">
        <v>36</v>
      </c>
      <c r="L1620" s="15" t="s">
        <v>36</v>
      </c>
      <c r="M1620" s="12" t="s">
        <v>36</v>
      </c>
      <c r="N1620" s="12" t="s">
        <v>36</v>
      </c>
      <c r="O1620" s="17" t="s">
        <v>36</v>
      </c>
      <c r="P1620" s="12" t="s">
        <v>36</v>
      </c>
      <c r="Q1620" s="12" t="s">
        <v>36</v>
      </c>
      <c r="R1620" s="12" t="s">
        <v>36</v>
      </c>
      <c r="S1620" s="12" t="s">
        <v>36</v>
      </c>
      <c r="T1620" s="12" t="s">
        <v>9461</v>
      </c>
      <c r="U1620" s="12" t="s">
        <v>1798</v>
      </c>
      <c r="V1620" s="12" t="s">
        <v>39</v>
      </c>
      <c r="W1620" s="12" t="s">
        <v>9462</v>
      </c>
      <c r="X1620" s="16" t="s">
        <v>8982</v>
      </c>
      <c r="Y1620" s="15" t="s">
        <v>42</v>
      </c>
      <c r="Z1620" s="14" t="s">
        <v>36</v>
      </c>
      <c r="AA1620" s="14" t="s">
        <v>36</v>
      </c>
      <c r="AB1620" s="12" t="s">
        <v>56</v>
      </c>
      <c r="AC1620" s="12" t="s">
        <v>9463</v>
      </c>
      <c r="AD1620" s="13">
        <v>44927</v>
      </c>
      <c r="AE1620" s="12" t="s">
        <v>9464</v>
      </c>
      <c r="AF1620" s="12" t="s">
        <v>9465</v>
      </c>
      <c r="AG1620" s="12" t="s">
        <v>969</v>
      </c>
      <c r="AH1620" s="1">
        <f>HYPERLINK("https://my.pitchbook.com?c=246740-86T","View Company Online")</f>
      </c>
    </row>
    <row r="1621">
      <c r="A1621" s="3" t="s">
        <v>9466</v>
      </c>
      <c r="B1621" s="3" t="s">
        <v>1796</v>
      </c>
      <c r="C1621" s="5">
        <v>1</v>
      </c>
      <c r="D1621" s="5">
        <v>2</v>
      </c>
      <c r="E1621" s="5">
        <v>1</v>
      </c>
      <c r="F1621" s="5">
        <v>3</v>
      </c>
      <c r="G1621" s="6" t="s">
        <v>36</v>
      </c>
      <c r="H1621" s="4" t="s">
        <v>36</v>
      </c>
      <c r="I1621" s="7" t="s">
        <v>36</v>
      </c>
      <c r="J1621" s="3" t="s">
        <v>36</v>
      </c>
      <c r="K1621" s="9" t="s">
        <v>36</v>
      </c>
      <c r="L1621" s="6" t="s">
        <v>36</v>
      </c>
      <c r="M1621" s="3" t="s">
        <v>36</v>
      </c>
      <c r="N1621" s="3" t="s">
        <v>36</v>
      </c>
      <c r="O1621" s="8" t="s">
        <v>36</v>
      </c>
      <c r="P1621" s="3" t="s">
        <v>36</v>
      </c>
      <c r="Q1621" s="3" t="s">
        <v>36</v>
      </c>
      <c r="R1621" s="3" t="s">
        <v>36</v>
      </c>
      <c r="S1621" s="3" t="s">
        <v>36</v>
      </c>
      <c r="T1621" s="3" t="s">
        <v>1797</v>
      </c>
      <c r="U1621" s="3" t="s">
        <v>1798</v>
      </c>
      <c r="V1621" s="3" t="s">
        <v>39</v>
      </c>
      <c r="W1621" s="3" t="s">
        <v>1799</v>
      </c>
      <c r="X1621" s="10" t="s">
        <v>2130</v>
      </c>
      <c r="Y1621" s="6" t="s">
        <v>108</v>
      </c>
      <c r="Z1621" s="4" t="s">
        <v>36</v>
      </c>
      <c r="AA1621" s="4" t="s">
        <v>36</v>
      </c>
      <c r="AB1621" s="3" t="s">
        <v>43</v>
      </c>
      <c r="AC1621" s="3" t="s">
        <v>1801</v>
      </c>
      <c r="AD1621" s="9">
        <v>44927</v>
      </c>
      <c r="AE1621" s="3" t="s">
        <v>1802</v>
      </c>
      <c r="AF1621" s="3" t="s">
        <v>511</v>
      </c>
      <c r="AG1621" s="3" t="s">
        <v>1803</v>
      </c>
      <c r="AH1621" s="11">
        <f>HYPERLINK("https://my.pitchbook.com?c=255278-26T","View Company Online")</f>
      </c>
    </row>
    <row r="1622">
      <c r="A1622" s="12" t="s">
        <v>9467</v>
      </c>
      <c r="B1622" s="12" t="s">
        <v>9468</v>
      </c>
      <c r="C1622" s="19" t="s">
        <v>36</v>
      </c>
      <c r="D1622" s="19" t="s">
        <v>36</v>
      </c>
      <c r="E1622" s="19" t="s">
        <v>36</v>
      </c>
      <c r="F1622" s="19" t="s">
        <v>36</v>
      </c>
      <c r="G1622" s="15" t="s">
        <v>36</v>
      </c>
      <c r="H1622" s="14" t="s">
        <v>36</v>
      </c>
      <c r="I1622" s="18" t="s">
        <v>36</v>
      </c>
      <c r="J1622" s="12" t="s">
        <v>36</v>
      </c>
      <c r="K1622" s="13" t="s">
        <v>36</v>
      </c>
      <c r="L1622" s="15" t="s">
        <v>36</v>
      </c>
      <c r="M1622" s="12" t="s">
        <v>36</v>
      </c>
      <c r="N1622" s="12" t="s">
        <v>36</v>
      </c>
      <c r="O1622" s="17" t="s">
        <v>36</v>
      </c>
      <c r="P1622" s="12" t="s">
        <v>36</v>
      </c>
      <c r="Q1622" s="12" t="s">
        <v>36</v>
      </c>
      <c r="R1622" s="12" t="s">
        <v>36</v>
      </c>
      <c r="S1622" s="12" t="s">
        <v>36</v>
      </c>
      <c r="T1622" s="12" t="s">
        <v>105</v>
      </c>
      <c r="U1622" s="12" t="s">
        <v>38</v>
      </c>
      <c r="V1622" s="12" t="s">
        <v>39</v>
      </c>
      <c r="W1622" s="12" t="s">
        <v>9469</v>
      </c>
      <c r="X1622" s="16" t="s">
        <v>560</v>
      </c>
      <c r="Y1622" s="15" t="s">
        <v>108</v>
      </c>
      <c r="Z1622" s="14" t="s">
        <v>36</v>
      </c>
      <c r="AA1622" s="14" t="s">
        <v>36</v>
      </c>
      <c r="AB1622" s="12" t="s">
        <v>56</v>
      </c>
      <c r="AC1622" s="12" t="s">
        <v>9470</v>
      </c>
      <c r="AD1622" s="13">
        <v>44927</v>
      </c>
      <c r="AE1622" s="12" t="s">
        <v>110</v>
      </c>
      <c r="AF1622" s="12" t="s">
        <v>4552</v>
      </c>
      <c r="AG1622" s="12" t="s">
        <v>9471</v>
      </c>
      <c r="AH1622" s="1">
        <f>HYPERLINK("https://my.pitchbook.com?c=227762-65T","View Company Online")</f>
      </c>
    </row>
    <row r="1623">
      <c r="A1623" s="3" t="s">
        <v>9472</v>
      </c>
      <c r="B1623" s="3" t="s">
        <v>9473</v>
      </c>
      <c r="C1623" s="5" t="s">
        <v>36</v>
      </c>
      <c r="D1623" s="5" t="s">
        <v>36</v>
      </c>
      <c r="E1623" s="5" t="s">
        <v>36</v>
      </c>
      <c r="F1623" s="5" t="s">
        <v>36</v>
      </c>
      <c r="G1623" s="6" t="s">
        <v>36</v>
      </c>
      <c r="H1623" s="4" t="s">
        <v>36</v>
      </c>
      <c r="I1623" s="7" t="s">
        <v>36</v>
      </c>
      <c r="J1623" s="3" t="s">
        <v>36</v>
      </c>
      <c r="K1623" s="9" t="s">
        <v>36</v>
      </c>
      <c r="L1623" s="6" t="s">
        <v>36</v>
      </c>
      <c r="M1623" s="3" t="s">
        <v>36</v>
      </c>
      <c r="N1623" s="3" t="s">
        <v>36</v>
      </c>
      <c r="O1623" s="8" t="s">
        <v>36</v>
      </c>
      <c r="P1623" s="3" t="s">
        <v>36</v>
      </c>
      <c r="Q1623" s="3" t="s">
        <v>36</v>
      </c>
      <c r="R1623" s="3" t="s">
        <v>36</v>
      </c>
      <c r="S1623" s="3" t="s">
        <v>36</v>
      </c>
      <c r="T1623" s="3" t="s">
        <v>37</v>
      </c>
      <c r="U1623" s="3" t="s">
        <v>38</v>
      </c>
      <c r="V1623" s="3" t="s">
        <v>39</v>
      </c>
      <c r="W1623" s="3" t="s">
        <v>9474</v>
      </c>
      <c r="X1623" s="10" t="s">
        <v>9424</v>
      </c>
      <c r="Y1623" s="6" t="s">
        <v>42</v>
      </c>
      <c r="Z1623" s="4" t="s">
        <v>36</v>
      </c>
      <c r="AA1623" s="4" t="s">
        <v>36</v>
      </c>
      <c r="AB1623" s="3" t="s">
        <v>43</v>
      </c>
      <c r="AC1623" s="3" t="s">
        <v>9475</v>
      </c>
      <c r="AD1623" s="9">
        <v>44927</v>
      </c>
      <c r="AE1623" s="3" t="s">
        <v>45</v>
      </c>
      <c r="AF1623" s="3" t="s">
        <v>9476</v>
      </c>
      <c r="AG1623" s="3" t="s">
        <v>81</v>
      </c>
      <c r="AH1623" s="11">
        <f>HYPERLINK("https://my.pitchbook.com?c=285278-68T","View Company Online")</f>
      </c>
    </row>
    <row r="1624">
      <c r="A1624" s="12" t="s">
        <v>9477</v>
      </c>
      <c r="B1624" s="12" t="s">
        <v>9478</v>
      </c>
      <c r="C1624" s="19" t="s">
        <v>36</v>
      </c>
      <c r="D1624" s="19" t="s">
        <v>36</v>
      </c>
      <c r="E1624" s="19" t="s">
        <v>36</v>
      </c>
      <c r="F1624" s="19" t="s">
        <v>36</v>
      </c>
      <c r="G1624" s="15" t="s">
        <v>36</v>
      </c>
      <c r="H1624" s="14" t="s">
        <v>36</v>
      </c>
      <c r="I1624" s="18" t="s">
        <v>36</v>
      </c>
      <c r="J1624" s="12" t="s">
        <v>36</v>
      </c>
      <c r="K1624" s="13" t="s">
        <v>36</v>
      </c>
      <c r="L1624" s="15" t="s">
        <v>36</v>
      </c>
      <c r="M1624" s="12" t="s">
        <v>36</v>
      </c>
      <c r="N1624" s="12" t="s">
        <v>36</v>
      </c>
      <c r="O1624" s="17" t="s">
        <v>36</v>
      </c>
      <c r="P1624" s="12" t="s">
        <v>36</v>
      </c>
      <c r="Q1624" s="12" t="s">
        <v>36</v>
      </c>
      <c r="R1624" s="12" t="s">
        <v>36</v>
      </c>
      <c r="S1624" s="12" t="s">
        <v>36</v>
      </c>
      <c r="T1624" s="12" t="s">
        <v>9479</v>
      </c>
      <c r="U1624" s="12" t="s">
        <v>74</v>
      </c>
      <c r="V1624" s="12" t="s">
        <v>75</v>
      </c>
      <c r="W1624" s="12" t="s">
        <v>220</v>
      </c>
      <c r="X1624" s="16" t="s">
        <v>221</v>
      </c>
      <c r="Y1624" s="15" t="s">
        <v>42</v>
      </c>
      <c r="Z1624" s="14" t="s">
        <v>36</v>
      </c>
      <c r="AA1624" s="14" t="s">
        <v>36</v>
      </c>
      <c r="AB1624" s="12" t="s">
        <v>56</v>
      </c>
      <c r="AC1624" s="12" t="s">
        <v>9480</v>
      </c>
      <c r="AD1624" s="13">
        <v>44927</v>
      </c>
      <c r="AE1624" s="12" t="s">
        <v>975</v>
      </c>
      <c r="AF1624" s="12" t="s">
        <v>36</v>
      </c>
      <c r="AG1624" s="12" t="s">
        <v>81</v>
      </c>
      <c r="AH1624" s="1">
        <f>HYPERLINK("https://my.pitchbook.com?c=227215-09T","View Company Online")</f>
      </c>
    </row>
    <row r="1625">
      <c r="A1625" s="3" t="s">
        <v>9481</v>
      </c>
      <c r="B1625" s="3" t="s">
        <v>9482</v>
      </c>
      <c r="C1625" s="5" t="s">
        <v>36</v>
      </c>
      <c r="D1625" s="5" t="s">
        <v>36</v>
      </c>
      <c r="E1625" s="5" t="s">
        <v>36</v>
      </c>
      <c r="F1625" s="5" t="s">
        <v>36</v>
      </c>
      <c r="G1625" s="6" t="s">
        <v>36</v>
      </c>
      <c r="H1625" s="4" t="s">
        <v>36</v>
      </c>
      <c r="I1625" s="7" t="s">
        <v>36</v>
      </c>
      <c r="J1625" s="3" t="s">
        <v>36</v>
      </c>
      <c r="K1625" s="9" t="s">
        <v>36</v>
      </c>
      <c r="L1625" s="6" t="s">
        <v>36</v>
      </c>
      <c r="M1625" s="3" t="s">
        <v>36</v>
      </c>
      <c r="N1625" s="3" t="s">
        <v>36</v>
      </c>
      <c r="O1625" s="8" t="s">
        <v>36</v>
      </c>
      <c r="P1625" s="3" t="s">
        <v>36</v>
      </c>
      <c r="Q1625" s="3" t="s">
        <v>36</v>
      </c>
      <c r="R1625" s="3" t="s">
        <v>36</v>
      </c>
      <c r="S1625" s="3" t="s">
        <v>36</v>
      </c>
      <c r="T1625" s="3" t="s">
        <v>522</v>
      </c>
      <c r="U1625" s="3" t="s">
        <v>38</v>
      </c>
      <c r="V1625" s="3" t="s">
        <v>39</v>
      </c>
      <c r="W1625" s="3" t="s">
        <v>9483</v>
      </c>
      <c r="X1625" s="10" t="s">
        <v>9484</v>
      </c>
      <c r="Y1625" s="6" t="s">
        <v>108</v>
      </c>
      <c r="Z1625" s="4" t="s">
        <v>36</v>
      </c>
      <c r="AA1625" s="4" t="s">
        <v>36</v>
      </c>
      <c r="AB1625" s="3" t="s">
        <v>56</v>
      </c>
      <c r="AC1625" s="3" t="s">
        <v>9485</v>
      </c>
      <c r="AD1625" s="9">
        <v>44927</v>
      </c>
      <c r="AE1625" s="3" t="s">
        <v>110</v>
      </c>
      <c r="AF1625" s="3" t="s">
        <v>1401</v>
      </c>
      <c r="AG1625" s="3" t="s">
        <v>392</v>
      </c>
      <c r="AH1625" s="11">
        <f>HYPERLINK("https://my.pitchbook.com?c=248988-88T","View Company Online")</f>
      </c>
    </row>
    <row r="1626">
      <c r="A1626" s="12" t="s">
        <v>9486</v>
      </c>
      <c r="B1626" s="12" t="s">
        <v>9487</v>
      </c>
      <c r="C1626" s="19" t="s">
        <v>36</v>
      </c>
      <c r="D1626" s="19" t="s">
        <v>36</v>
      </c>
      <c r="E1626" s="19" t="s">
        <v>36</v>
      </c>
      <c r="F1626" s="19" t="s">
        <v>36</v>
      </c>
      <c r="G1626" s="15" t="s">
        <v>36</v>
      </c>
      <c r="H1626" s="14" t="s">
        <v>36</v>
      </c>
      <c r="I1626" s="18" t="s">
        <v>36</v>
      </c>
      <c r="J1626" s="12" t="s">
        <v>36</v>
      </c>
      <c r="K1626" s="13" t="s">
        <v>36</v>
      </c>
      <c r="L1626" s="15" t="s">
        <v>36</v>
      </c>
      <c r="M1626" s="12" t="s">
        <v>36</v>
      </c>
      <c r="N1626" s="12" t="s">
        <v>36</v>
      </c>
      <c r="O1626" s="17" t="s">
        <v>36</v>
      </c>
      <c r="P1626" s="12" t="s">
        <v>36</v>
      </c>
      <c r="Q1626" s="12" t="s">
        <v>36</v>
      </c>
      <c r="R1626" s="12" t="s">
        <v>36</v>
      </c>
      <c r="S1626" s="12" t="s">
        <v>36</v>
      </c>
      <c r="T1626" s="12" t="s">
        <v>9488</v>
      </c>
      <c r="U1626" s="12" t="s">
        <v>1082</v>
      </c>
      <c r="V1626" s="12" t="s">
        <v>378</v>
      </c>
      <c r="W1626" s="12" t="s">
        <v>9489</v>
      </c>
      <c r="X1626" s="16" t="s">
        <v>9490</v>
      </c>
      <c r="Y1626" s="15" t="s">
        <v>42</v>
      </c>
      <c r="Z1626" s="14" t="s">
        <v>36</v>
      </c>
      <c r="AA1626" s="14" t="s">
        <v>36</v>
      </c>
      <c r="AB1626" s="12" t="s">
        <v>43</v>
      </c>
      <c r="AC1626" s="12" t="s">
        <v>9491</v>
      </c>
      <c r="AD1626" s="13">
        <v>44927</v>
      </c>
      <c r="AE1626" s="12" t="s">
        <v>2068</v>
      </c>
      <c r="AF1626" s="12" t="s">
        <v>822</v>
      </c>
      <c r="AG1626" s="12" t="s">
        <v>81</v>
      </c>
      <c r="AH1626" s="1">
        <f>HYPERLINK("https://my.pitchbook.com?c=244653-13T","View Company Online")</f>
      </c>
    </row>
    <row r="1627">
      <c r="A1627" s="3" t="s">
        <v>9492</v>
      </c>
      <c r="B1627" s="3" t="s">
        <v>9493</v>
      </c>
      <c r="C1627" s="5" t="s">
        <v>36</v>
      </c>
      <c r="D1627" s="5" t="s">
        <v>36</v>
      </c>
      <c r="E1627" s="5" t="s">
        <v>36</v>
      </c>
      <c r="F1627" s="5" t="s">
        <v>36</v>
      </c>
      <c r="G1627" s="6" t="s">
        <v>36</v>
      </c>
      <c r="H1627" s="4" t="s">
        <v>36</v>
      </c>
      <c r="I1627" s="7" t="s">
        <v>36</v>
      </c>
      <c r="J1627" s="3" t="s">
        <v>36</v>
      </c>
      <c r="K1627" s="9" t="s">
        <v>36</v>
      </c>
      <c r="L1627" s="6" t="s">
        <v>36</v>
      </c>
      <c r="M1627" s="3" t="s">
        <v>36</v>
      </c>
      <c r="N1627" s="3" t="s">
        <v>36</v>
      </c>
      <c r="O1627" s="8" t="s">
        <v>36</v>
      </c>
      <c r="P1627" s="3" t="s">
        <v>36</v>
      </c>
      <c r="Q1627" s="3" t="s">
        <v>36</v>
      </c>
      <c r="R1627" s="3" t="s">
        <v>36</v>
      </c>
      <c r="S1627" s="3" t="s">
        <v>2314</v>
      </c>
      <c r="T1627" s="3" t="s">
        <v>9494</v>
      </c>
      <c r="U1627" s="3" t="s">
        <v>38</v>
      </c>
      <c r="V1627" s="3" t="s">
        <v>39</v>
      </c>
      <c r="W1627" s="3" t="s">
        <v>9495</v>
      </c>
      <c r="X1627" s="10" t="s">
        <v>9496</v>
      </c>
      <c r="Y1627" s="6" t="s">
        <v>42</v>
      </c>
      <c r="Z1627" s="4" t="s">
        <v>36</v>
      </c>
      <c r="AA1627" s="4" t="s">
        <v>36</v>
      </c>
      <c r="AB1627" s="3" t="s">
        <v>43</v>
      </c>
      <c r="AC1627" s="3" t="s">
        <v>9497</v>
      </c>
      <c r="AD1627" s="9">
        <v>44927</v>
      </c>
      <c r="AE1627" s="3" t="s">
        <v>554</v>
      </c>
      <c r="AF1627" s="3" t="s">
        <v>9498</v>
      </c>
      <c r="AG1627" s="3" t="s">
        <v>899</v>
      </c>
      <c r="AH1627" s="11">
        <f>HYPERLINK("https://my.pitchbook.com?c=233184-61T","View Company Online")</f>
      </c>
    </row>
    <row r="1628">
      <c r="A1628" s="12" t="s">
        <v>9499</v>
      </c>
      <c r="B1628" s="12" t="s">
        <v>9500</v>
      </c>
      <c r="C1628" s="19" t="s">
        <v>36</v>
      </c>
      <c r="D1628" s="19" t="s">
        <v>36</v>
      </c>
      <c r="E1628" s="19" t="s">
        <v>36</v>
      </c>
      <c r="F1628" s="19" t="s">
        <v>36</v>
      </c>
      <c r="G1628" s="15" t="s">
        <v>36</v>
      </c>
      <c r="H1628" s="14" t="s">
        <v>36</v>
      </c>
      <c r="I1628" s="18" t="s">
        <v>36</v>
      </c>
      <c r="J1628" s="12" t="s">
        <v>36</v>
      </c>
      <c r="K1628" s="13" t="s">
        <v>36</v>
      </c>
      <c r="L1628" s="15" t="s">
        <v>36</v>
      </c>
      <c r="M1628" s="12" t="s">
        <v>36</v>
      </c>
      <c r="N1628" s="12" t="s">
        <v>36</v>
      </c>
      <c r="O1628" s="17" t="s">
        <v>36</v>
      </c>
      <c r="P1628" s="12" t="s">
        <v>36</v>
      </c>
      <c r="Q1628" s="12" t="s">
        <v>36</v>
      </c>
      <c r="R1628" s="12" t="s">
        <v>36</v>
      </c>
      <c r="S1628" s="12" t="s">
        <v>36</v>
      </c>
      <c r="T1628" s="12" t="s">
        <v>7582</v>
      </c>
      <c r="U1628" s="12" t="s">
        <v>63</v>
      </c>
      <c r="V1628" s="12" t="s">
        <v>64</v>
      </c>
      <c r="W1628" s="12" t="s">
        <v>9501</v>
      </c>
      <c r="X1628" s="16" t="s">
        <v>2869</v>
      </c>
      <c r="Y1628" s="15" t="s">
        <v>42</v>
      </c>
      <c r="Z1628" s="14" t="s">
        <v>36</v>
      </c>
      <c r="AA1628" s="14" t="s">
        <v>36</v>
      </c>
      <c r="AB1628" s="12" t="s">
        <v>43</v>
      </c>
      <c r="AC1628" s="12" t="s">
        <v>9502</v>
      </c>
      <c r="AD1628" s="13">
        <v>44927</v>
      </c>
      <c r="AE1628" s="12" t="s">
        <v>68</v>
      </c>
      <c r="AF1628" s="12" t="s">
        <v>36</v>
      </c>
      <c r="AG1628" s="12" t="s">
        <v>81</v>
      </c>
      <c r="AH1628" s="1">
        <f>HYPERLINK("https://my.pitchbook.com?c=276154-30T","View Company Online")</f>
      </c>
    </row>
    <row r="1629">
      <c r="A1629" s="3" t="s">
        <v>9503</v>
      </c>
      <c r="B1629" s="3" t="s">
        <v>9504</v>
      </c>
      <c r="C1629" s="5" t="s">
        <v>36</v>
      </c>
      <c r="D1629" s="5" t="s">
        <v>36</v>
      </c>
      <c r="E1629" s="5" t="s">
        <v>36</v>
      </c>
      <c r="F1629" s="5" t="s">
        <v>36</v>
      </c>
      <c r="G1629" s="6" t="s">
        <v>36</v>
      </c>
      <c r="H1629" s="4" t="s">
        <v>36</v>
      </c>
      <c r="I1629" s="7" t="s">
        <v>36</v>
      </c>
      <c r="J1629" s="3" t="s">
        <v>36</v>
      </c>
      <c r="K1629" s="9" t="s">
        <v>36</v>
      </c>
      <c r="L1629" s="6" t="s">
        <v>36</v>
      </c>
      <c r="M1629" s="3" t="s">
        <v>36</v>
      </c>
      <c r="N1629" s="3" t="s">
        <v>36</v>
      </c>
      <c r="O1629" s="8" t="s">
        <v>36</v>
      </c>
      <c r="P1629" s="3" t="s">
        <v>36</v>
      </c>
      <c r="Q1629" s="3" t="s">
        <v>36</v>
      </c>
      <c r="R1629" s="3" t="s">
        <v>36</v>
      </c>
      <c r="S1629" s="3" t="s">
        <v>36</v>
      </c>
      <c r="T1629" s="3" t="s">
        <v>2658</v>
      </c>
      <c r="U1629" s="3" t="s">
        <v>38</v>
      </c>
      <c r="V1629" s="3" t="s">
        <v>39</v>
      </c>
      <c r="W1629" s="3" t="s">
        <v>9505</v>
      </c>
      <c r="X1629" s="10" t="s">
        <v>9506</v>
      </c>
      <c r="Y1629" s="6" t="s">
        <v>42</v>
      </c>
      <c r="Z1629" s="4" t="s">
        <v>36</v>
      </c>
      <c r="AA1629" s="4" t="s">
        <v>36</v>
      </c>
      <c r="AB1629" s="3" t="s">
        <v>43</v>
      </c>
      <c r="AC1629" s="3" t="s">
        <v>9507</v>
      </c>
      <c r="AD1629" s="9">
        <v>44927</v>
      </c>
      <c r="AE1629" s="3" t="s">
        <v>110</v>
      </c>
      <c r="AF1629" s="3" t="s">
        <v>9508</v>
      </c>
      <c r="AG1629" s="3" t="s">
        <v>81</v>
      </c>
      <c r="AH1629" s="11">
        <f>HYPERLINK("https://my.pitchbook.com?c=246727-54T","View Company Online")</f>
      </c>
    </row>
    <row r="1630">
      <c r="A1630" s="12" t="s">
        <v>9509</v>
      </c>
      <c r="B1630" s="12" t="s">
        <v>9510</v>
      </c>
      <c r="C1630" s="19" t="s">
        <v>36</v>
      </c>
      <c r="D1630" s="19" t="s">
        <v>36</v>
      </c>
      <c r="E1630" s="19" t="s">
        <v>36</v>
      </c>
      <c r="F1630" s="19" t="s">
        <v>36</v>
      </c>
      <c r="G1630" s="15" t="s">
        <v>36</v>
      </c>
      <c r="H1630" s="14" t="s">
        <v>36</v>
      </c>
      <c r="I1630" s="18" t="s">
        <v>36</v>
      </c>
      <c r="J1630" s="12" t="s">
        <v>36</v>
      </c>
      <c r="K1630" s="13" t="s">
        <v>36</v>
      </c>
      <c r="L1630" s="15" t="s">
        <v>36</v>
      </c>
      <c r="M1630" s="12" t="s">
        <v>36</v>
      </c>
      <c r="N1630" s="12" t="s">
        <v>36</v>
      </c>
      <c r="O1630" s="17" t="s">
        <v>36</v>
      </c>
      <c r="P1630" s="12" t="s">
        <v>36</v>
      </c>
      <c r="Q1630" s="12" t="s">
        <v>36</v>
      </c>
      <c r="R1630" s="12" t="s">
        <v>36</v>
      </c>
      <c r="S1630" s="12" t="s">
        <v>36</v>
      </c>
      <c r="T1630" s="12" t="s">
        <v>9511</v>
      </c>
      <c r="U1630" s="12" t="s">
        <v>74</v>
      </c>
      <c r="V1630" s="12" t="s">
        <v>75</v>
      </c>
      <c r="W1630" s="12" t="s">
        <v>9512</v>
      </c>
      <c r="X1630" s="16" t="s">
        <v>9513</v>
      </c>
      <c r="Y1630" s="15" t="s">
        <v>108</v>
      </c>
      <c r="Z1630" s="14" t="s">
        <v>36</v>
      </c>
      <c r="AA1630" s="14" t="s">
        <v>36</v>
      </c>
      <c r="AB1630" s="12" t="s">
        <v>56</v>
      </c>
      <c r="AC1630" s="12" t="s">
        <v>9514</v>
      </c>
      <c r="AD1630" s="13">
        <v>44927</v>
      </c>
      <c r="AE1630" s="12" t="s">
        <v>975</v>
      </c>
      <c r="AF1630" s="12" t="s">
        <v>2752</v>
      </c>
      <c r="AG1630" s="12" t="s">
        <v>81</v>
      </c>
      <c r="AH1630" s="1">
        <f>HYPERLINK("https://my.pitchbook.com?c=227999-53T","View Company Online")</f>
      </c>
    </row>
    <row r="1631">
      <c r="A1631" s="3" t="s">
        <v>9515</v>
      </c>
      <c r="B1631" s="3" t="s">
        <v>9516</v>
      </c>
      <c r="C1631" s="5" t="s">
        <v>36</v>
      </c>
      <c r="D1631" s="5" t="s">
        <v>36</v>
      </c>
      <c r="E1631" s="5" t="s">
        <v>36</v>
      </c>
      <c r="F1631" s="5" t="s">
        <v>36</v>
      </c>
      <c r="G1631" s="6" t="s">
        <v>36</v>
      </c>
      <c r="H1631" s="4" t="s">
        <v>36</v>
      </c>
      <c r="I1631" s="7" t="s">
        <v>36</v>
      </c>
      <c r="J1631" s="3" t="s">
        <v>36</v>
      </c>
      <c r="K1631" s="9" t="s">
        <v>36</v>
      </c>
      <c r="L1631" s="6" t="s">
        <v>36</v>
      </c>
      <c r="M1631" s="3" t="s">
        <v>36</v>
      </c>
      <c r="N1631" s="3" t="s">
        <v>36</v>
      </c>
      <c r="O1631" s="8" t="s">
        <v>36</v>
      </c>
      <c r="P1631" s="3" t="s">
        <v>36</v>
      </c>
      <c r="Q1631" s="3" t="s">
        <v>36</v>
      </c>
      <c r="R1631" s="3" t="s">
        <v>36</v>
      </c>
      <c r="S1631" s="3" t="s">
        <v>36</v>
      </c>
      <c r="T1631" s="3" t="s">
        <v>2925</v>
      </c>
      <c r="U1631" s="3" t="s">
        <v>38</v>
      </c>
      <c r="V1631" s="3" t="s">
        <v>39</v>
      </c>
      <c r="W1631" s="3" t="s">
        <v>9517</v>
      </c>
      <c r="X1631" s="10" t="s">
        <v>9518</v>
      </c>
      <c r="Y1631" s="6" t="s">
        <v>42</v>
      </c>
      <c r="Z1631" s="4" t="s">
        <v>36</v>
      </c>
      <c r="AA1631" s="4" t="s">
        <v>36</v>
      </c>
      <c r="AB1631" s="3" t="s">
        <v>43</v>
      </c>
      <c r="AC1631" s="3" t="s">
        <v>9519</v>
      </c>
      <c r="AD1631" s="9">
        <v>44927</v>
      </c>
      <c r="AE1631" s="3" t="s">
        <v>110</v>
      </c>
      <c r="AF1631" s="3" t="s">
        <v>7989</v>
      </c>
      <c r="AG1631" s="3" t="s">
        <v>81</v>
      </c>
      <c r="AH1631" s="11">
        <f>HYPERLINK("https://my.pitchbook.com?c=253517-32T","View Company Online")</f>
      </c>
    </row>
    <row r="1632">
      <c r="A1632" s="12" t="s">
        <v>9520</v>
      </c>
      <c r="B1632" s="12" t="s">
        <v>9521</v>
      </c>
      <c r="C1632" s="19" t="s">
        <v>36</v>
      </c>
      <c r="D1632" s="19" t="s">
        <v>36</v>
      </c>
      <c r="E1632" s="19" t="s">
        <v>36</v>
      </c>
      <c r="F1632" s="19" t="s">
        <v>36</v>
      </c>
      <c r="G1632" s="15" t="s">
        <v>36</v>
      </c>
      <c r="H1632" s="14" t="s">
        <v>36</v>
      </c>
      <c r="I1632" s="18" t="s">
        <v>36</v>
      </c>
      <c r="J1632" s="12" t="s">
        <v>36</v>
      </c>
      <c r="K1632" s="13" t="s">
        <v>36</v>
      </c>
      <c r="L1632" s="15" t="s">
        <v>36</v>
      </c>
      <c r="M1632" s="12" t="s">
        <v>36</v>
      </c>
      <c r="N1632" s="12" t="s">
        <v>36</v>
      </c>
      <c r="O1632" s="17" t="s">
        <v>36</v>
      </c>
      <c r="P1632" s="12" t="s">
        <v>36</v>
      </c>
      <c r="Q1632" s="12" t="s">
        <v>36</v>
      </c>
      <c r="R1632" s="12" t="s">
        <v>36</v>
      </c>
      <c r="S1632" s="12" t="s">
        <v>36</v>
      </c>
      <c r="T1632" s="12" t="s">
        <v>9522</v>
      </c>
      <c r="U1632" s="12" t="s">
        <v>423</v>
      </c>
      <c r="V1632" s="12" t="s">
        <v>64</v>
      </c>
      <c r="W1632" s="12" t="s">
        <v>9523</v>
      </c>
      <c r="X1632" s="16" t="s">
        <v>2688</v>
      </c>
      <c r="Y1632" s="15" t="s">
        <v>42</v>
      </c>
      <c r="Z1632" s="14" t="s">
        <v>36</v>
      </c>
      <c r="AA1632" s="14" t="s">
        <v>36</v>
      </c>
      <c r="AB1632" s="12" t="s">
        <v>43</v>
      </c>
      <c r="AC1632" s="12" t="s">
        <v>9524</v>
      </c>
      <c r="AD1632" s="13">
        <v>44927</v>
      </c>
      <c r="AE1632" s="12" t="s">
        <v>2871</v>
      </c>
      <c r="AF1632" s="12" t="s">
        <v>8147</v>
      </c>
      <c r="AG1632" s="12" t="s">
        <v>9525</v>
      </c>
      <c r="AH1632" s="1">
        <f>HYPERLINK("https://my.pitchbook.com?c=226964-62T","View Company Online")</f>
      </c>
    </row>
    <row r="1633">
      <c r="A1633" s="3" t="s">
        <v>9526</v>
      </c>
      <c r="B1633" s="3" t="s">
        <v>9527</v>
      </c>
      <c r="C1633" s="5" t="s">
        <v>36</v>
      </c>
      <c r="D1633" s="5" t="s">
        <v>36</v>
      </c>
      <c r="E1633" s="5" t="s">
        <v>36</v>
      </c>
      <c r="F1633" s="5" t="s">
        <v>36</v>
      </c>
      <c r="G1633" s="6" t="s">
        <v>36</v>
      </c>
      <c r="H1633" s="4" t="s">
        <v>36</v>
      </c>
      <c r="I1633" s="7" t="s">
        <v>36</v>
      </c>
      <c r="J1633" s="3" t="s">
        <v>36</v>
      </c>
      <c r="K1633" s="9" t="s">
        <v>36</v>
      </c>
      <c r="L1633" s="6" t="s">
        <v>36</v>
      </c>
      <c r="M1633" s="3" t="s">
        <v>36</v>
      </c>
      <c r="N1633" s="3" t="s">
        <v>36</v>
      </c>
      <c r="O1633" s="8" t="s">
        <v>36</v>
      </c>
      <c r="P1633" s="3" t="s">
        <v>36</v>
      </c>
      <c r="Q1633" s="3" t="s">
        <v>36</v>
      </c>
      <c r="R1633" s="3" t="s">
        <v>36</v>
      </c>
      <c r="S1633" s="3" t="s">
        <v>36</v>
      </c>
      <c r="T1633" s="3" t="s">
        <v>1048</v>
      </c>
      <c r="U1633" s="3" t="s">
        <v>423</v>
      </c>
      <c r="V1633" s="3" t="s">
        <v>64</v>
      </c>
      <c r="W1633" s="3" t="s">
        <v>9528</v>
      </c>
      <c r="X1633" s="10" t="s">
        <v>5228</v>
      </c>
      <c r="Y1633" s="6" t="s">
        <v>108</v>
      </c>
      <c r="Z1633" s="4" t="s">
        <v>36</v>
      </c>
      <c r="AA1633" s="4" t="s">
        <v>36</v>
      </c>
      <c r="AB1633" s="3" t="s">
        <v>56</v>
      </c>
      <c r="AC1633" s="3" t="s">
        <v>9529</v>
      </c>
      <c r="AD1633" s="9">
        <v>44927</v>
      </c>
      <c r="AE1633" s="3" t="s">
        <v>1051</v>
      </c>
      <c r="AF1633" s="3" t="s">
        <v>571</v>
      </c>
      <c r="AG1633" s="3" t="s">
        <v>81</v>
      </c>
      <c r="AH1633" s="11">
        <f>HYPERLINK("https://my.pitchbook.com?c=214017-94T","View Company Online")</f>
      </c>
    </row>
    <row r="1634">
      <c r="A1634" s="12" t="s">
        <v>9530</v>
      </c>
      <c r="B1634" s="12" t="s">
        <v>9531</v>
      </c>
      <c r="C1634" s="19" t="s">
        <v>36</v>
      </c>
      <c r="D1634" s="19" t="s">
        <v>36</v>
      </c>
      <c r="E1634" s="19" t="s">
        <v>36</v>
      </c>
      <c r="F1634" s="19" t="s">
        <v>36</v>
      </c>
      <c r="G1634" s="15" t="s">
        <v>36</v>
      </c>
      <c r="H1634" s="14" t="s">
        <v>36</v>
      </c>
      <c r="I1634" s="18" t="s">
        <v>36</v>
      </c>
      <c r="J1634" s="12" t="s">
        <v>36</v>
      </c>
      <c r="K1634" s="13" t="s">
        <v>36</v>
      </c>
      <c r="L1634" s="15" t="s">
        <v>36</v>
      </c>
      <c r="M1634" s="12" t="s">
        <v>36</v>
      </c>
      <c r="N1634" s="12" t="s">
        <v>36</v>
      </c>
      <c r="O1634" s="17" t="s">
        <v>36</v>
      </c>
      <c r="P1634" s="12" t="s">
        <v>36</v>
      </c>
      <c r="Q1634" s="12" t="s">
        <v>36</v>
      </c>
      <c r="R1634" s="12" t="s">
        <v>36</v>
      </c>
      <c r="S1634" s="12" t="s">
        <v>36</v>
      </c>
      <c r="T1634" s="12" t="s">
        <v>6281</v>
      </c>
      <c r="U1634" s="12" t="s">
        <v>96</v>
      </c>
      <c r="V1634" s="12" t="s">
        <v>52</v>
      </c>
      <c r="W1634" s="12" t="s">
        <v>9532</v>
      </c>
      <c r="X1634" s="16" t="s">
        <v>9533</v>
      </c>
      <c r="Y1634" s="15" t="s">
        <v>42</v>
      </c>
      <c r="Z1634" s="14" t="s">
        <v>36</v>
      </c>
      <c r="AA1634" s="14" t="s">
        <v>36</v>
      </c>
      <c r="AB1634" s="12" t="s">
        <v>43</v>
      </c>
      <c r="AC1634" s="12" t="s">
        <v>9534</v>
      </c>
      <c r="AD1634" s="13">
        <v>44927</v>
      </c>
      <c r="AE1634" s="12" t="s">
        <v>1414</v>
      </c>
      <c r="AF1634" s="12" t="s">
        <v>36</v>
      </c>
      <c r="AG1634" s="12" t="s">
        <v>81</v>
      </c>
      <c r="AH1634" s="1">
        <f>HYPERLINK("https://my.pitchbook.com?c=219233-89T","View Company Online")</f>
      </c>
    </row>
    <row r="1635">
      <c r="A1635" s="3" t="s">
        <v>9535</v>
      </c>
      <c r="B1635" s="3" t="s">
        <v>9536</v>
      </c>
      <c r="C1635" s="5" t="s">
        <v>36</v>
      </c>
      <c r="D1635" s="5" t="s">
        <v>36</v>
      </c>
      <c r="E1635" s="5" t="s">
        <v>36</v>
      </c>
      <c r="F1635" s="5" t="s">
        <v>36</v>
      </c>
      <c r="G1635" s="6" t="s">
        <v>36</v>
      </c>
      <c r="H1635" s="4" t="s">
        <v>36</v>
      </c>
      <c r="I1635" s="7" t="s">
        <v>36</v>
      </c>
      <c r="J1635" s="3" t="s">
        <v>36</v>
      </c>
      <c r="K1635" s="9" t="s">
        <v>36</v>
      </c>
      <c r="L1635" s="6" t="s">
        <v>36</v>
      </c>
      <c r="M1635" s="3" t="s">
        <v>36</v>
      </c>
      <c r="N1635" s="3" t="s">
        <v>36</v>
      </c>
      <c r="O1635" s="8" t="s">
        <v>36</v>
      </c>
      <c r="P1635" s="3" t="s">
        <v>36</v>
      </c>
      <c r="Q1635" s="3" t="s">
        <v>36</v>
      </c>
      <c r="R1635" s="3" t="s">
        <v>36</v>
      </c>
      <c r="S1635" s="3" t="s">
        <v>36</v>
      </c>
      <c r="T1635" s="3" t="s">
        <v>3598</v>
      </c>
      <c r="U1635" s="3" t="s">
        <v>74</v>
      </c>
      <c r="V1635" s="3" t="s">
        <v>75</v>
      </c>
      <c r="W1635" s="3" t="s">
        <v>9537</v>
      </c>
      <c r="X1635" s="10" t="s">
        <v>9538</v>
      </c>
      <c r="Y1635" s="6" t="s">
        <v>42</v>
      </c>
      <c r="Z1635" s="4" t="s">
        <v>36</v>
      </c>
      <c r="AA1635" s="4" t="s">
        <v>36</v>
      </c>
      <c r="AB1635" s="3" t="s">
        <v>56</v>
      </c>
      <c r="AC1635" s="3" t="s">
        <v>9539</v>
      </c>
      <c r="AD1635" s="9">
        <v>44927</v>
      </c>
      <c r="AE1635" s="3" t="s">
        <v>975</v>
      </c>
      <c r="AF1635" s="3" t="s">
        <v>36</v>
      </c>
      <c r="AG1635" s="3" t="s">
        <v>741</v>
      </c>
      <c r="AH1635" s="11">
        <f>HYPERLINK("https://my.pitchbook.com?c=255691-45T","View Company Online")</f>
      </c>
    </row>
    <row r="1636">
      <c r="A1636" s="12" t="s">
        <v>9540</v>
      </c>
      <c r="B1636" s="12" t="s">
        <v>9541</v>
      </c>
      <c r="C1636" s="19" t="s">
        <v>36</v>
      </c>
      <c r="D1636" s="19" t="s">
        <v>36</v>
      </c>
      <c r="E1636" s="19" t="s">
        <v>36</v>
      </c>
      <c r="F1636" s="19" t="s">
        <v>36</v>
      </c>
      <c r="G1636" s="15" t="s">
        <v>326</v>
      </c>
      <c r="H1636" s="14">
        <v>46.02</v>
      </c>
      <c r="I1636" s="18">
        <v>7.63</v>
      </c>
      <c r="J1636" s="12" t="s">
        <v>521</v>
      </c>
      <c r="K1636" s="13" t="s">
        <v>36</v>
      </c>
      <c r="L1636" s="15" t="s">
        <v>36</v>
      </c>
      <c r="M1636" s="12" t="s">
        <v>36</v>
      </c>
      <c r="N1636" s="12" t="s">
        <v>36</v>
      </c>
      <c r="O1636" s="17" t="s">
        <v>36</v>
      </c>
      <c r="P1636" s="12" t="s">
        <v>36</v>
      </c>
      <c r="Q1636" s="12" t="s">
        <v>36</v>
      </c>
      <c r="R1636" s="12" t="s">
        <v>36</v>
      </c>
      <c r="S1636" s="12" t="s">
        <v>36</v>
      </c>
      <c r="T1636" s="12" t="s">
        <v>123</v>
      </c>
      <c r="U1636" s="12" t="s">
        <v>38</v>
      </c>
      <c r="V1636" s="12" t="s">
        <v>39</v>
      </c>
      <c r="W1636" s="12" t="s">
        <v>9542</v>
      </c>
      <c r="X1636" s="16" t="s">
        <v>2257</v>
      </c>
      <c r="Y1636" s="15" t="s">
        <v>42</v>
      </c>
      <c r="Z1636" s="14">
        <v>0.13</v>
      </c>
      <c r="AA1636" s="14">
        <v>1.67</v>
      </c>
      <c r="AB1636" s="12" t="s">
        <v>56</v>
      </c>
      <c r="AC1636" s="12" t="s">
        <v>9543</v>
      </c>
      <c r="AD1636" s="13">
        <v>44927</v>
      </c>
      <c r="AE1636" s="12" t="s">
        <v>110</v>
      </c>
      <c r="AF1636" s="12" t="s">
        <v>4552</v>
      </c>
      <c r="AG1636" s="12" t="s">
        <v>9544</v>
      </c>
      <c r="AH1636" s="1">
        <f>HYPERLINK("https://my.pitchbook.com?c=241731-01T","View Company Online")</f>
      </c>
    </row>
    <row r="1637">
      <c r="A1637" s="3" t="s">
        <v>9545</v>
      </c>
      <c r="B1637" s="3" t="s">
        <v>9546</v>
      </c>
      <c r="C1637" s="5">
        <v>6</v>
      </c>
      <c r="D1637" s="5">
        <v>112</v>
      </c>
      <c r="E1637" s="5">
        <v>29</v>
      </c>
      <c r="F1637" s="5">
        <v>122</v>
      </c>
      <c r="G1637" s="6" t="s">
        <v>326</v>
      </c>
      <c r="H1637" s="4">
        <v>2.93</v>
      </c>
      <c r="I1637" s="7">
        <v>69.2</v>
      </c>
      <c r="J1637" s="3" t="s">
        <v>521</v>
      </c>
      <c r="K1637" s="9">
        <v>44651</v>
      </c>
      <c r="L1637" s="6" t="s">
        <v>122</v>
      </c>
      <c r="M1637" s="3" t="s">
        <v>36</v>
      </c>
      <c r="N1637" s="3" t="s">
        <v>122</v>
      </c>
      <c r="O1637" s="8" t="s">
        <v>36</v>
      </c>
      <c r="P1637" s="3" t="s">
        <v>36</v>
      </c>
      <c r="Q1637" s="3" t="s">
        <v>36</v>
      </c>
      <c r="R1637" s="3" t="s">
        <v>36</v>
      </c>
      <c r="S1637" s="3" t="s">
        <v>36</v>
      </c>
      <c r="T1637" s="3" t="s">
        <v>3264</v>
      </c>
      <c r="U1637" s="3" t="s">
        <v>96</v>
      </c>
      <c r="V1637" s="3" t="s">
        <v>52</v>
      </c>
      <c r="W1637" s="3" t="s">
        <v>9547</v>
      </c>
      <c r="X1637" s="10" t="s">
        <v>9548</v>
      </c>
      <c r="Y1637" s="6" t="s">
        <v>108</v>
      </c>
      <c r="Z1637" s="4">
        <v>18.71</v>
      </c>
      <c r="AA1637" s="4">
        <v>27.03</v>
      </c>
      <c r="AB1637" s="3" t="s">
        <v>56</v>
      </c>
      <c r="AC1637" s="3" t="s">
        <v>9549</v>
      </c>
      <c r="AD1637" s="9">
        <v>44926</v>
      </c>
      <c r="AE1637" s="3" t="s">
        <v>496</v>
      </c>
      <c r="AF1637" s="3" t="s">
        <v>6285</v>
      </c>
      <c r="AG1637" s="3" t="s">
        <v>81</v>
      </c>
      <c r="AH1637" s="11">
        <f>HYPERLINK("https://my.pitchbook.com?c=191444-14T","View Company Online")</f>
      </c>
    </row>
    <row r="1638">
      <c r="A1638" s="12" t="s">
        <v>9550</v>
      </c>
      <c r="B1638" s="12" t="s">
        <v>9551</v>
      </c>
      <c r="C1638" s="19">
        <v>4</v>
      </c>
      <c r="D1638" s="19" t="s">
        <v>36</v>
      </c>
      <c r="E1638" s="19">
        <v>1</v>
      </c>
      <c r="F1638" s="19">
        <v>4</v>
      </c>
      <c r="G1638" s="15" t="s">
        <v>36</v>
      </c>
      <c r="H1638" s="14">
        <v>46.74</v>
      </c>
      <c r="I1638" s="18">
        <v>43.72</v>
      </c>
      <c r="J1638" s="12" t="s">
        <v>521</v>
      </c>
      <c r="K1638" s="13">
        <v>44740</v>
      </c>
      <c r="L1638" s="15" t="s">
        <v>122</v>
      </c>
      <c r="M1638" s="12" t="s">
        <v>36</v>
      </c>
      <c r="N1638" s="12" t="s">
        <v>122</v>
      </c>
      <c r="O1638" s="17" t="s">
        <v>36</v>
      </c>
      <c r="P1638" s="12" t="s">
        <v>36</v>
      </c>
      <c r="Q1638" s="12" t="s">
        <v>36</v>
      </c>
      <c r="R1638" s="12" t="s">
        <v>36</v>
      </c>
      <c r="S1638" s="12" t="s">
        <v>36</v>
      </c>
      <c r="T1638" s="12" t="s">
        <v>9552</v>
      </c>
      <c r="U1638" s="12" t="s">
        <v>51</v>
      </c>
      <c r="V1638" s="12" t="s">
        <v>52</v>
      </c>
      <c r="W1638" s="12" t="s">
        <v>9553</v>
      </c>
      <c r="X1638" s="16" t="s">
        <v>9554</v>
      </c>
      <c r="Y1638" s="15" t="s">
        <v>42</v>
      </c>
      <c r="Z1638" s="14">
        <v>6.35</v>
      </c>
      <c r="AA1638" s="14">
        <v>8.05</v>
      </c>
      <c r="AB1638" s="12" t="s">
        <v>43</v>
      </c>
      <c r="AC1638" s="12" t="s">
        <v>9555</v>
      </c>
      <c r="AD1638" s="13">
        <v>44926</v>
      </c>
      <c r="AE1638" s="12" t="s">
        <v>158</v>
      </c>
      <c r="AF1638" s="12" t="s">
        <v>9556</v>
      </c>
      <c r="AG1638" s="12" t="s">
        <v>186</v>
      </c>
      <c r="AH1638" s="1">
        <f>HYPERLINK("https://my.pitchbook.com?c=186824-89T","View Company Online")</f>
      </c>
    </row>
    <row r="1639">
      <c r="A1639" s="3" t="s">
        <v>9557</v>
      </c>
      <c r="B1639" s="3" t="s">
        <v>9558</v>
      </c>
      <c r="C1639" s="5" t="s">
        <v>36</v>
      </c>
      <c r="D1639" s="5" t="s">
        <v>36</v>
      </c>
      <c r="E1639" s="5" t="s">
        <v>36</v>
      </c>
      <c r="F1639" s="5" t="s">
        <v>36</v>
      </c>
      <c r="G1639" s="6" t="s">
        <v>36</v>
      </c>
      <c r="H1639" s="4">
        <v>1557.85</v>
      </c>
      <c r="I1639" s="7">
        <v>27.74</v>
      </c>
      <c r="J1639" s="3" t="s">
        <v>521</v>
      </c>
      <c r="K1639" s="9" t="s">
        <v>36</v>
      </c>
      <c r="L1639" s="6" t="s">
        <v>36</v>
      </c>
      <c r="M1639" s="3" t="s">
        <v>36</v>
      </c>
      <c r="N1639" s="3" t="s">
        <v>36</v>
      </c>
      <c r="O1639" s="8" t="s">
        <v>36</v>
      </c>
      <c r="P1639" s="3" t="s">
        <v>36</v>
      </c>
      <c r="Q1639" s="3" t="s">
        <v>36</v>
      </c>
      <c r="R1639" s="3" t="s">
        <v>36</v>
      </c>
      <c r="S1639" s="3" t="s">
        <v>36</v>
      </c>
      <c r="T1639" s="3" t="s">
        <v>9559</v>
      </c>
      <c r="U1639" s="3" t="s">
        <v>289</v>
      </c>
      <c r="V1639" s="3" t="s">
        <v>64</v>
      </c>
      <c r="W1639" s="3" t="s">
        <v>9560</v>
      </c>
      <c r="X1639" s="10" t="s">
        <v>9561</v>
      </c>
      <c r="Y1639" s="6" t="s">
        <v>42</v>
      </c>
      <c r="Z1639" s="4">
        <v>3.33</v>
      </c>
      <c r="AA1639" s="4">
        <v>12.01</v>
      </c>
      <c r="AB1639" s="3" t="s">
        <v>43</v>
      </c>
      <c r="AC1639" s="3" t="s">
        <v>9562</v>
      </c>
      <c r="AD1639" s="9">
        <v>44925</v>
      </c>
      <c r="AE1639" s="3" t="s">
        <v>9563</v>
      </c>
      <c r="AF1639" s="3" t="s">
        <v>118</v>
      </c>
      <c r="AG1639" s="3" t="s">
        <v>9564</v>
      </c>
      <c r="AH1639" s="11">
        <f>HYPERLINK("https://my.pitchbook.com?c=233132-95T","View Company Online")</f>
      </c>
    </row>
    <row r="1640">
      <c r="A1640" s="12" t="s">
        <v>9565</v>
      </c>
      <c r="B1640" s="12" t="s">
        <v>5916</v>
      </c>
      <c r="C1640" s="19">
        <v>3</v>
      </c>
      <c r="D1640" s="19">
        <v>4</v>
      </c>
      <c r="E1640" s="19">
        <v>3</v>
      </c>
      <c r="F1640" s="19">
        <v>7</v>
      </c>
      <c r="G1640" s="15" t="s">
        <v>36</v>
      </c>
      <c r="H1640" s="14" t="s">
        <v>36</v>
      </c>
      <c r="I1640" s="18" t="s">
        <v>36</v>
      </c>
      <c r="J1640" s="12" t="s">
        <v>36</v>
      </c>
      <c r="K1640" s="13" t="s">
        <v>36</v>
      </c>
      <c r="L1640" s="15" t="s">
        <v>36</v>
      </c>
      <c r="M1640" s="12" t="s">
        <v>36</v>
      </c>
      <c r="N1640" s="12" t="s">
        <v>36</v>
      </c>
      <c r="O1640" s="17" t="s">
        <v>36</v>
      </c>
      <c r="P1640" s="12" t="s">
        <v>36</v>
      </c>
      <c r="Q1640" s="12" t="s">
        <v>36</v>
      </c>
      <c r="R1640" s="12" t="s">
        <v>36</v>
      </c>
      <c r="S1640" s="12" t="s">
        <v>36</v>
      </c>
      <c r="T1640" s="12" t="s">
        <v>5917</v>
      </c>
      <c r="U1640" s="12" t="s">
        <v>96</v>
      </c>
      <c r="V1640" s="12" t="s">
        <v>52</v>
      </c>
      <c r="W1640" s="12" t="s">
        <v>5918</v>
      </c>
      <c r="X1640" s="16" t="s">
        <v>9566</v>
      </c>
      <c r="Y1640" s="15" t="s">
        <v>55</v>
      </c>
      <c r="Z1640" s="14">
        <v>4.12</v>
      </c>
      <c r="AA1640" s="14" t="s">
        <v>36</v>
      </c>
      <c r="AB1640" s="12" t="s">
        <v>43</v>
      </c>
      <c r="AC1640" s="12" t="s">
        <v>5920</v>
      </c>
      <c r="AD1640" s="13">
        <v>44925</v>
      </c>
      <c r="AE1640" s="12" t="s">
        <v>755</v>
      </c>
      <c r="AF1640" s="12" t="s">
        <v>275</v>
      </c>
      <c r="AG1640" s="12" t="s">
        <v>81</v>
      </c>
      <c r="AH1640" s="1">
        <f>HYPERLINK("https://my.pitchbook.com?c=248822-11T","View Company Online")</f>
      </c>
    </row>
    <row r="1641">
      <c r="A1641" s="3" t="s">
        <v>9567</v>
      </c>
      <c r="B1641" s="3" t="s">
        <v>9568</v>
      </c>
      <c r="C1641" s="5" t="s">
        <v>36</v>
      </c>
      <c r="D1641" s="5" t="s">
        <v>36</v>
      </c>
      <c r="E1641" s="5" t="s">
        <v>36</v>
      </c>
      <c r="F1641" s="5" t="s">
        <v>36</v>
      </c>
      <c r="G1641" s="6" t="s">
        <v>2497</v>
      </c>
      <c r="H1641" s="4">
        <v>36.37</v>
      </c>
      <c r="I1641" s="7">
        <v>22.91</v>
      </c>
      <c r="J1641" s="3" t="s">
        <v>521</v>
      </c>
      <c r="K1641" s="9" t="s">
        <v>36</v>
      </c>
      <c r="L1641" s="6" t="s">
        <v>36</v>
      </c>
      <c r="M1641" s="3" t="s">
        <v>36</v>
      </c>
      <c r="N1641" s="3" t="s">
        <v>36</v>
      </c>
      <c r="O1641" s="8" t="s">
        <v>36</v>
      </c>
      <c r="P1641" s="3" t="s">
        <v>36</v>
      </c>
      <c r="Q1641" s="3" t="s">
        <v>36</v>
      </c>
      <c r="R1641" s="3" t="s">
        <v>36</v>
      </c>
      <c r="S1641" s="3" t="s">
        <v>6531</v>
      </c>
      <c r="T1641" s="3" t="s">
        <v>4911</v>
      </c>
      <c r="U1641" s="3" t="s">
        <v>63</v>
      </c>
      <c r="V1641" s="3" t="s">
        <v>64</v>
      </c>
      <c r="W1641" s="3" t="s">
        <v>9569</v>
      </c>
      <c r="X1641" s="10" t="s">
        <v>9570</v>
      </c>
      <c r="Y1641" s="6" t="s">
        <v>108</v>
      </c>
      <c r="Z1641" s="4">
        <v>0.07</v>
      </c>
      <c r="AA1641" s="4">
        <v>0.33</v>
      </c>
      <c r="AB1641" s="3" t="s">
        <v>43</v>
      </c>
      <c r="AC1641" s="3" t="s">
        <v>9571</v>
      </c>
      <c r="AD1641" s="9">
        <v>44925</v>
      </c>
      <c r="AE1641" s="3" t="s">
        <v>399</v>
      </c>
      <c r="AF1641" s="3" t="s">
        <v>36</v>
      </c>
      <c r="AG1641" s="3" t="s">
        <v>81</v>
      </c>
      <c r="AH1641" s="11">
        <f>HYPERLINK("https://my.pitchbook.com?c=215561-35T","View Company Online")</f>
      </c>
    </row>
    <row r="1642">
      <c r="A1642" s="12" t="s">
        <v>9572</v>
      </c>
      <c r="B1642" s="12" t="s">
        <v>9573</v>
      </c>
      <c r="C1642" s="19" t="s">
        <v>36</v>
      </c>
      <c r="D1642" s="19" t="s">
        <v>36</v>
      </c>
      <c r="E1642" s="19" t="s">
        <v>36</v>
      </c>
      <c r="F1642" s="19" t="s">
        <v>36</v>
      </c>
      <c r="G1642" s="15" t="s">
        <v>36</v>
      </c>
      <c r="H1642" s="14" t="s">
        <v>36</v>
      </c>
      <c r="I1642" s="18" t="s">
        <v>36</v>
      </c>
      <c r="J1642" s="12" t="s">
        <v>36</v>
      </c>
      <c r="K1642" s="13" t="s">
        <v>36</v>
      </c>
      <c r="L1642" s="15" t="s">
        <v>36</v>
      </c>
      <c r="M1642" s="12" t="s">
        <v>36</v>
      </c>
      <c r="N1642" s="12" t="s">
        <v>36</v>
      </c>
      <c r="O1642" s="17" t="s">
        <v>36</v>
      </c>
      <c r="P1642" s="12" t="s">
        <v>36</v>
      </c>
      <c r="Q1642" s="12" t="s">
        <v>36</v>
      </c>
      <c r="R1642" s="12" t="s">
        <v>36</v>
      </c>
      <c r="S1642" s="12" t="s">
        <v>36</v>
      </c>
      <c r="T1642" s="12" t="s">
        <v>5525</v>
      </c>
      <c r="U1642" s="12" t="s">
        <v>38</v>
      </c>
      <c r="V1642" s="12" t="s">
        <v>39</v>
      </c>
      <c r="W1642" s="12" t="s">
        <v>9574</v>
      </c>
      <c r="X1642" s="16" t="s">
        <v>4642</v>
      </c>
      <c r="Y1642" s="15" t="s">
        <v>42</v>
      </c>
      <c r="Z1642" s="14">
        <v>3.27</v>
      </c>
      <c r="AA1642" s="14" t="s">
        <v>36</v>
      </c>
      <c r="AB1642" s="12" t="s">
        <v>43</v>
      </c>
      <c r="AC1642" s="12" t="s">
        <v>9575</v>
      </c>
      <c r="AD1642" s="13">
        <v>44924</v>
      </c>
      <c r="AE1642" s="12" t="s">
        <v>110</v>
      </c>
      <c r="AF1642" s="12" t="s">
        <v>9576</v>
      </c>
      <c r="AG1642" s="12" t="s">
        <v>81</v>
      </c>
      <c r="AH1642" s="1">
        <f>HYPERLINK("https://my.pitchbook.com?c=242785-36T","View Company Online")</f>
      </c>
    </row>
    <row r="1643">
      <c r="A1643" s="3" t="s">
        <v>9577</v>
      </c>
      <c r="B1643" s="3" t="s">
        <v>1957</v>
      </c>
      <c r="C1643" s="5">
        <v>3</v>
      </c>
      <c r="D1643" s="5" t="s">
        <v>36</v>
      </c>
      <c r="E1643" s="5">
        <v>1</v>
      </c>
      <c r="F1643" s="5">
        <v>4</v>
      </c>
      <c r="G1643" s="6" t="s">
        <v>36</v>
      </c>
      <c r="H1643" s="4" t="s">
        <v>36</v>
      </c>
      <c r="I1643" s="7" t="s">
        <v>36</v>
      </c>
      <c r="J1643" s="3" t="s">
        <v>36</v>
      </c>
      <c r="K1643" s="9" t="s">
        <v>36</v>
      </c>
      <c r="L1643" s="6" t="s">
        <v>36</v>
      </c>
      <c r="M1643" s="3" t="s">
        <v>36</v>
      </c>
      <c r="N1643" s="3" t="s">
        <v>36</v>
      </c>
      <c r="O1643" s="8" t="s">
        <v>36</v>
      </c>
      <c r="P1643" s="3" t="s">
        <v>36</v>
      </c>
      <c r="Q1643" s="3" t="s">
        <v>36</v>
      </c>
      <c r="R1643" s="3" t="s">
        <v>36</v>
      </c>
      <c r="S1643" s="3" t="s">
        <v>36</v>
      </c>
      <c r="T1643" s="3" t="s">
        <v>1958</v>
      </c>
      <c r="U1643" s="3" t="s">
        <v>38</v>
      </c>
      <c r="V1643" s="3" t="s">
        <v>39</v>
      </c>
      <c r="W1643" s="3" t="s">
        <v>1959</v>
      </c>
      <c r="X1643" s="10" t="s">
        <v>9578</v>
      </c>
      <c r="Y1643" s="6" t="s">
        <v>192</v>
      </c>
      <c r="Z1643" s="4" t="s">
        <v>36</v>
      </c>
      <c r="AA1643" s="4" t="s">
        <v>36</v>
      </c>
      <c r="AB1643" s="3" t="s">
        <v>43</v>
      </c>
      <c r="AC1643" s="3" t="s">
        <v>1961</v>
      </c>
      <c r="AD1643" s="9">
        <v>44922</v>
      </c>
      <c r="AE1643" s="3" t="s">
        <v>45</v>
      </c>
      <c r="AF1643" s="3" t="s">
        <v>1962</v>
      </c>
      <c r="AG1643" s="3" t="s">
        <v>81</v>
      </c>
      <c r="AH1643" s="11">
        <f>HYPERLINK("https://my.pitchbook.com?c=214015-87T","View Company Online")</f>
      </c>
    </row>
    <row r="1644">
      <c r="A1644" s="12" t="s">
        <v>9579</v>
      </c>
      <c r="B1644" s="12" t="s">
        <v>9580</v>
      </c>
      <c r="C1644" s="19" t="s">
        <v>36</v>
      </c>
      <c r="D1644" s="19" t="s">
        <v>36</v>
      </c>
      <c r="E1644" s="19" t="s">
        <v>36</v>
      </c>
      <c r="F1644" s="19" t="s">
        <v>36</v>
      </c>
      <c r="G1644" s="15" t="s">
        <v>36</v>
      </c>
      <c r="H1644" s="14">
        <v>46.74</v>
      </c>
      <c r="I1644" s="18">
        <v>22.72</v>
      </c>
      <c r="J1644" s="12" t="s">
        <v>521</v>
      </c>
      <c r="K1644" s="13" t="s">
        <v>36</v>
      </c>
      <c r="L1644" s="15" t="s">
        <v>36</v>
      </c>
      <c r="M1644" s="12" t="s">
        <v>36</v>
      </c>
      <c r="N1644" s="12" t="s">
        <v>36</v>
      </c>
      <c r="O1644" s="17" t="s">
        <v>36</v>
      </c>
      <c r="P1644" s="12" t="s">
        <v>36</v>
      </c>
      <c r="Q1644" s="12" t="s">
        <v>36</v>
      </c>
      <c r="R1644" s="12" t="s">
        <v>36</v>
      </c>
      <c r="S1644" s="12" t="s">
        <v>36</v>
      </c>
      <c r="T1644" s="12" t="s">
        <v>422</v>
      </c>
      <c r="U1644" s="12" t="s">
        <v>423</v>
      </c>
      <c r="V1644" s="12" t="s">
        <v>64</v>
      </c>
      <c r="W1644" s="12" t="s">
        <v>9581</v>
      </c>
      <c r="X1644" s="16" t="s">
        <v>9582</v>
      </c>
      <c r="Y1644" s="15" t="s">
        <v>42</v>
      </c>
      <c r="Z1644" s="14">
        <v>1.13</v>
      </c>
      <c r="AA1644" s="14">
        <v>2.49</v>
      </c>
      <c r="AB1644" s="12" t="s">
        <v>43</v>
      </c>
      <c r="AC1644" s="12" t="s">
        <v>9583</v>
      </c>
      <c r="AD1644" s="13">
        <v>44917</v>
      </c>
      <c r="AE1644" s="12" t="s">
        <v>427</v>
      </c>
      <c r="AF1644" s="12" t="s">
        <v>36</v>
      </c>
      <c r="AG1644" s="12" t="s">
        <v>9584</v>
      </c>
      <c r="AH1644" s="1">
        <f>HYPERLINK("https://my.pitchbook.com?c=212139-55T","View Company Online")</f>
      </c>
    </row>
    <row r="1645">
      <c r="A1645" s="3" t="s">
        <v>9585</v>
      </c>
      <c r="B1645" s="3" t="s">
        <v>9586</v>
      </c>
      <c r="C1645" s="5">
        <v>18</v>
      </c>
      <c r="D1645" s="5">
        <v>85</v>
      </c>
      <c r="E1645" s="5">
        <v>26</v>
      </c>
      <c r="F1645" s="5">
        <v>111</v>
      </c>
      <c r="G1645" s="6" t="s">
        <v>326</v>
      </c>
      <c r="H1645" s="4">
        <v>74.17</v>
      </c>
      <c r="I1645" s="7">
        <v>35.55</v>
      </c>
      <c r="J1645" s="3" t="s">
        <v>521</v>
      </c>
      <c r="K1645" s="9">
        <v>44903</v>
      </c>
      <c r="L1645" s="6" t="s">
        <v>1279</v>
      </c>
      <c r="M1645" s="3" t="s">
        <v>36</v>
      </c>
      <c r="N1645" s="3" t="s">
        <v>1279</v>
      </c>
      <c r="O1645" s="8" t="s">
        <v>36</v>
      </c>
      <c r="P1645" s="3" t="s">
        <v>36</v>
      </c>
      <c r="Q1645" s="3" t="s">
        <v>36</v>
      </c>
      <c r="R1645" s="3" t="s">
        <v>36</v>
      </c>
      <c r="S1645" s="3" t="s">
        <v>36</v>
      </c>
      <c r="T1645" s="3" t="s">
        <v>9587</v>
      </c>
      <c r="U1645" s="3" t="s">
        <v>1580</v>
      </c>
      <c r="V1645" s="3" t="s">
        <v>39</v>
      </c>
      <c r="W1645" s="3" t="s">
        <v>9588</v>
      </c>
      <c r="X1645" s="10" t="s">
        <v>9589</v>
      </c>
      <c r="Y1645" s="6" t="s">
        <v>475</v>
      </c>
      <c r="Z1645" s="4">
        <v>27.3</v>
      </c>
      <c r="AA1645" s="4">
        <v>76.8</v>
      </c>
      <c r="AB1645" s="3" t="s">
        <v>56</v>
      </c>
      <c r="AC1645" s="3" t="s">
        <v>9590</v>
      </c>
      <c r="AD1645" s="9">
        <v>44917</v>
      </c>
      <c r="AE1645" s="3" t="s">
        <v>9591</v>
      </c>
      <c r="AF1645" s="3" t="s">
        <v>571</v>
      </c>
      <c r="AG1645" s="3" t="s">
        <v>1078</v>
      </c>
      <c r="AH1645" s="11">
        <f>HYPERLINK("https://my.pitchbook.com?c=210182-68T","View Company Online")</f>
      </c>
    </row>
    <row r="1646">
      <c r="A1646" s="12" t="s">
        <v>9592</v>
      </c>
      <c r="B1646" s="12" t="s">
        <v>9593</v>
      </c>
      <c r="C1646" s="19" t="s">
        <v>36</v>
      </c>
      <c r="D1646" s="19" t="s">
        <v>36</v>
      </c>
      <c r="E1646" s="19" t="s">
        <v>36</v>
      </c>
      <c r="F1646" s="19" t="s">
        <v>36</v>
      </c>
      <c r="G1646" s="15" t="s">
        <v>36</v>
      </c>
      <c r="H1646" s="14">
        <v>11.42</v>
      </c>
      <c r="I1646" s="18">
        <v>5.83</v>
      </c>
      <c r="J1646" s="12" t="s">
        <v>521</v>
      </c>
      <c r="K1646" s="13" t="s">
        <v>36</v>
      </c>
      <c r="L1646" s="15" t="s">
        <v>36</v>
      </c>
      <c r="M1646" s="12" t="s">
        <v>36</v>
      </c>
      <c r="N1646" s="12" t="s">
        <v>36</v>
      </c>
      <c r="O1646" s="17" t="s">
        <v>36</v>
      </c>
      <c r="P1646" s="12" t="s">
        <v>36</v>
      </c>
      <c r="Q1646" s="12" t="s">
        <v>36</v>
      </c>
      <c r="R1646" s="12" t="s">
        <v>36</v>
      </c>
      <c r="S1646" s="12" t="s">
        <v>36</v>
      </c>
      <c r="T1646" s="12" t="s">
        <v>9594</v>
      </c>
      <c r="U1646" s="12" t="s">
        <v>1082</v>
      </c>
      <c r="V1646" s="12" t="s">
        <v>378</v>
      </c>
      <c r="W1646" s="12" t="s">
        <v>9595</v>
      </c>
      <c r="X1646" s="16" t="s">
        <v>7214</v>
      </c>
      <c r="Y1646" s="15" t="s">
        <v>42</v>
      </c>
      <c r="Z1646" s="14">
        <v>0.18</v>
      </c>
      <c r="AA1646" s="14">
        <v>3.15</v>
      </c>
      <c r="AB1646" s="12" t="s">
        <v>43</v>
      </c>
      <c r="AC1646" s="12" t="s">
        <v>9596</v>
      </c>
      <c r="AD1646" s="13">
        <v>44917</v>
      </c>
      <c r="AE1646" s="12" t="s">
        <v>1086</v>
      </c>
      <c r="AF1646" s="12" t="s">
        <v>2673</v>
      </c>
      <c r="AG1646" s="12" t="s">
        <v>652</v>
      </c>
      <c r="AH1646" s="1">
        <f>HYPERLINK("https://my.pitchbook.com?c=258949-45T","View Company Online")</f>
      </c>
    </row>
    <row r="1647">
      <c r="A1647" s="3" t="s">
        <v>9597</v>
      </c>
      <c r="B1647" s="3" t="s">
        <v>4213</v>
      </c>
      <c r="C1647" s="5">
        <v>10</v>
      </c>
      <c r="D1647" s="5">
        <v>19</v>
      </c>
      <c r="E1647" s="5">
        <v>7</v>
      </c>
      <c r="F1647" s="5">
        <v>29</v>
      </c>
      <c r="G1647" s="6" t="s">
        <v>36</v>
      </c>
      <c r="H1647" s="4" t="s">
        <v>36</v>
      </c>
      <c r="I1647" s="7" t="s">
        <v>36</v>
      </c>
      <c r="J1647" s="3" t="s">
        <v>36</v>
      </c>
      <c r="K1647" s="9" t="s">
        <v>36</v>
      </c>
      <c r="L1647" s="6" t="s">
        <v>36</v>
      </c>
      <c r="M1647" s="3" t="s">
        <v>36</v>
      </c>
      <c r="N1647" s="3" t="s">
        <v>36</v>
      </c>
      <c r="O1647" s="8" t="s">
        <v>36</v>
      </c>
      <c r="P1647" s="3" t="s">
        <v>36</v>
      </c>
      <c r="Q1647" s="3" t="s">
        <v>36</v>
      </c>
      <c r="R1647" s="3" t="s">
        <v>36</v>
      </c>
      <c r="S1647" s="3" t="s">
        <v>36</v>
      </c>
      <c r="T1647" s="3" t="s">
        <v>4214</v>
      </c>
      <c r="U1647" s="3" t="s">
        <v>96</v>
      </c>
      <c r="V1647" s="3" t="s">
        <v>52</v>
      </c>
      <c r="W1647" s="3" t="s">
        <v>4215</v>
      </c>
      <c r="X1647" s="10" t="s">
        <v>2442</v>
      </c>
      <c r="Y1647" s="6" t="s">
        <v>108</v>
      </c>
      <c r="Z1647" s="4">
        <v>1.05</v>
      </c>
      <c r="AA1647" s="4" t="s">
        <v>36</v>
      </c>
      <c r="AB1647" s="3" t="s">
        <v>56</v>
      </c>
      <c r="AC1647" s="3" t="s">
        <v>4216</v>
      </c>
      <c r="AD1647" s="9">
        <v>44917</v>
      </c>
      <c r="AE1647" s="3" t="s">
        <v>1414</v>
      </c>
      <c r="AF1647" s="3" t="s">
        <v>885</v>
      </c>
      <c r="AG1647" s="3" t="s">
        <v>4217</v>
      </c>
      <c r="AH1647" s="11">
        <f>HYPERLINK("https://my.pitchbook.com?c=245129-05T","View Company Online")</f>
      </c>
    </row>
    <row r="1648">
      <c r="A1648" s="12" t="s">
        <v>9598</v>
      </c>
      <c r="B1648" s="12" t="s">
        <v>4932</v>
      </c>
      <c r="C1648" s="19" t="s">
        <v>36</v>
      </c>
      <c r="D1648" s="19" t="s">
        <v>36</v>
      </c>
      <c r="E1648" s="19" t="s">
        <v>36</v>
      </c>
      <c r="F1648" s="19" t="s">
        <v>36</v>
      </c>
      <c r="G1648" s="15" t="s">
        <v>36</v>
      </c>
      <c r="H1648" s="14">
        <v>683.26</v>
      </c>
      <c r="I1648" s="18">
        <v>26.32</v>
      </c>
      <c r="J1648" s="12" t="s">
        <v>521</v>
      </c>
      <c r="K1648" s="13" t="s">
        <v>36</v>
      </c>
      <c r="L1648" s="15" t="s">
        <v>122</v>
      </c>
      <c r="M1648" s="12" t="s">
        <v>36</v>
      </c>
      <c r="N1648" s="12" t="s">
        <v>122</v>
      </c>
      <c r="O1648" s="17" t="s">
        <v>36</v>
      </c>
      <c r="P1648" s="12" t="s">
        <v>36</v>
      </c>
      <c r="Q1648" s="12" t="s">
        <v>36</v>
      </c>
      <c r="R1648" s="12" t="s">
        <v>36</v>
      </c>
      <c r="S1648" s="12" t="s">
        <v>36</v>
      </c>
      <c r="T1648" s="12" t="s">
        <v>4933</v>
      </c>
      <c r="U1648" s="12" t="s">
        <v>74</v>
      </c>
      <c r="V1648" s="12" t="s">
        <v>75</v>
      </c>
      <c r="W1648" s="12" t="s">
        <v>4934</v>
      </c>
      <c r="X1648" s="16" t="s">
        <v>9599</v>
      </c>
      <c r="Y1648" s="15" t="s">
        <v>166</v>
      </c>
      <c r="Z1648" s="14">
        <v>6.3</v>
      </c>
      <c r="AA1648" s="14">
        <v>15.96</v>
      </c>
      <c r="AB1648" s="12" t="s">
        <v>43</v>
      </c>
      <c r="AC1648" s="12" t="s">
        <v>4936</v>
      </c>
      <c r="AD1648" s="13">
        <v>44917</v>
      </c>
      <c r="AE1648" s="12" t="s">
        <v>79</v>
      </c>
      <c r="AF1648" s="12" t="s">
        <v>1201</v>
      </c>
      <c r="AG1648" s="12" t="s">
        <v>81</v>
      </c>
      <c r="AH1648" s="1">
        <f>HYPERLINK("https://my.pitchbook.com?c=183423-43T","View Company Online")</f>
      </c>
    </row>
    <row r="1649">
      <c r="A1649" s="3" t="s">
        <v>9600</v>
      </c>
      <c r="B1649" s="3" t="s">
        <v>9601</v>
      </c>
      <c r="C1649" s="5" t="s">
        <v>36</v>
      </c>
      <c r="D1649" s="5" t="s">
        <v>36</v>
      </c>
      <c r="E1649" s="5" t="s">
        <v>36</v>
      </c>
      <c r="F1649" s="5" t="s">
        <v>36</v>
      </c>
      <c r="G1649" s="6" t="s">
        <v>36</v>
      </c>
      <c r="H1649" s="4">
        <v>147</v>
      </c>
      <c r="I1649" s="7">
        <v>17.39</v>
      </c>
      <c r="J1649" s="3" t="s">
        <v>521</v>
      </c>
      <c r="K1649" s="9" t="s">
        <v>36</v>
      </c>
      <c r="L1649" s="6" t="s">
        <v>36</v>
      </c>
      <c r="M1649" s="3" t="s">
        <v>36</v>
      </c>
      <c r="N1649" s="3" t="s">
        <v>36</v>
      </c>
      <c r="O1649" s="8" t="s">
        <v>36</v>
      </c>
      <c r="P1649" s="3" t="s">
        <v>36</v>
      </c>
      <c r="Q1649" s="3" t="s">
        <v>36</v>
      </c>
      <c r="R1649" s="3" t="s">
        <v>36</v>
      </c>
      <c r="S1649" s="3" t="s">
        <v>36</v>
      </c>
      <c r="T1649" s="3" t="s">
        <v>647</v>
      </c>
      <c r="U1649" s="3" t="s">
        <v>648</v>
      </c>
      <c r="V1649" s="3" t="s">
        <v>64</v>
      </c>
      <c r="W1649" s="3" t="s">
        <v>9602</v>
      </c>
      <c r="X1649" s="10" t="s">
        <v>9603</v>
      </c>
      <c r="Y1649" s="6" t="s">
        <v>42</v>
      </c>
      <c r="Z1649" s="4">
        <v>0.32</v>
      </c>
      <c r="AA1649" s="4">
        <v>1.82</v>
      </c>
      <c r="AB1649" s="3" t="s">
        <v>56</v>
      </c>
      <c r="AC1649" s="3" t="s">
        <v>9604</v>
      </c>
      <c r="AD1649" s="9">
        <v>44916</v>
      </c>
      <c r="AE1649" s="3" t="s">
        <v>651</v>
      </c>
      <c r="AF1649" s="3" t="s">
        <v>90</v>
      </c>
      <c r="AG1649" s="3" t="s">
        <v>4637</v>
      </c>
      <c r="AH1649" s="11">
        <f>HYPERLINK("https://my.pitchbook.com?c=226900-72T","View Company Online")</f>
      </c>
    </row>
    <row r="1650">
      <c r="A1650" s="12" t="s">
        <v>9605</v>
      </c>
      <c r="B1650" s="12" t="s">
        <v>743</v>
      </c>
      <c r="C1650" s="19" t="s">
        <v>36</v>
      </c>
      <c r="D1650" s="19" t="s">
        <v>36</v>
      </c>
      <c r="E1650" s="19" t="s">
        <v>36</v>
      </c>
      <c r="F1650" s="19" t="s">
        <v>36</v>
      </c>
      <c r="G1650" s="15" t="s">
        <v>326</v>
      </c>
      <c r="H1650" s="14" t="s">
        <v>36</v>
      </c>
      <c r="I1650" s="18">
        <v>16.01</v>
      </c>
      <c r="J1650" s="12" t="s">
        <v>327</v>
      </c>
      <c r="K1650" s="13" t="s">
        <v>36</v>
      </c>
      <c r="L1650" s="15" t="s">
        <v>122</v>
      </c>
      <c r="M1650" s="12" t="s">
        <v>36</v>
      </c>
      <c r="N1650" s="12" t="s">
        <v>122</v>
      </c>
      <c r="O1650" s="17" t="s">
        <v>36</v>
      </c>
      <c r="P1650" s="12" t="s">
        <v>36</v>
      </c>
      <c r="Q1650" s="12" t="s">
        <v>36</v>
      </c>
      <c r="R1650" s="12" t="s">
        <v>36</v>
      </c>
      <c r="S1650" s="12" t="s">
        <v>36</v>
      </c>
      <c r="T1650" s="12" t="s">
        <v>744</v>
      </c>
      <c r="U1650" s="12" t="s">
        <v>38</v>
      </c>
      <c r="V1650" s="12" t="s">
        <v>39</v>
      </c>
      <c r="W1650" s="12" t="s">
        <v>745</v>
      </c>
      <c r="X1650" s="16" t="s">
        <v>9606</v>
      </c>
      <c r="Y1650" s="15" t="s">
        <v>108</v>
      </c>
      <c r="Z1650" s="14">
        <v>4.31</v>
      </c>
      <c r="AA1650" s="14">
        <v>26.91</v>
      </c>
      <c r="AB1650" s="12" t="s">
        <v>43</v>
      </c>
      <c r="AC1650" s="12" t="s">
        <v>747</v>
      </c>
      <c r="AD1650" s="13">
        <v>44916</v>
      </c>
      <c r="AE1650" s="12" t="s">
        <v>110</v>
      </c>
      <c r="AF1650" s="12" t="s">
        <v>748</v>
      </c>
      <c r="AG1650" s="12" t="s">
        <v>81</v>
      </c>
      <c r="AH1650" s="1">
        <f>HYPERLINK("https://my.pitchbook.com?c=221057-92T","View Company Online")</f>
      </c>
    </row>
    <row r="1651">
      <c r="A1651" s="3" t="s">
        <v>9607</v>
      </c>
      <c r="B1651" s="3" t="s">
        <v>9608</v>
      </c>
      <c r="C1651" s="5" t="s">
        <v>36</v>
      </c>
      <c r="D1651" s="5" t="s">
        <v>36</v>
      </c>
      <c r="E1651" s="5" t="s">
        <v>36</v>
      </c>
      <c r="F1651" s="5" t="s">
        <v>36</v>
      </c>
      <c r="G1651" s="6" t="s">
        <v>326</v>
      </c>
      <c r="H1651" s="4">
        <v>297.03</v>
      </c>
      <c r="I1651" s="7">
        <v>24.54</v>
      </c>
      <c r="J1651" s="3" t="s">
        <v>521</v>
      </c>
      <c r="K1651" s="9" t="s">
        <v>36</v>
      </c>
      <c r="L1651" s="6" t="s">
        <v>36</v>
      </c>
      <c r="M1651" s="3" t="s">
        <v>36</v>
      </c>
      <c r="N1651" s="3" t="s">
        <v>36</v>
      </c>
      <c r="O1651" s="8" t="s">
        <v>36</v>
      </c>
      <c r="P1651" s="3" t="s">
        <v>36</v>
      </c>
      <c r="Q1651" s="3" t="s">
        <v>36</v>
      </c>
      <c r="R1651" s="3" t="s">
        <v>36</v>
      </c>
      <c r="S1651" s="3" t="s">
        <v>36</v>
      </c>
      <c r="T1651" s="3" t="s">
        <v>647</v>
      </c>
      <c r="U1651" s="3" t="s">
        <v>648</v>
      </c>
      <c r="V1651" s="3" t="s">
        <v>64</v>
      </c>
      <c r="W1651" s="3" t="s">
        <v>9609</v>
      </c>
      <c r="X1651" s="10" t="s">
        <v>4735</v>
      </c>
      <c r="Y1651" s="6" t="s">
        <v>42</v>
      </c>
      <c r="Z1651" s="4">
        <v>1.19</v>
      </c>
      <c r="AA1651" s="4">
        <v>4.86</v>
      </c>
      <c r="AB1651" s="3" t="s">
        <v>43</v>
      </c>
      <c r="AC1651" s="3" t="s">
        <v>9610</v>
      </c>
      <c r="AD1651" s="9">
        <v>44915</v>
      </c>
      <c r="AE1651" s="3" t="s">
        <v>651</v>
      </c>
      <c r="AF1651" s="3" t="s">
        <v>9611</v>
      </c>
      <c r="AG1651" s="3" t="s">
        <v>332</v>
      </c>
      <c r="AH1651" s="11">
        <f>HYPERLINK("https://my.pitchbook.com?c=211099-06T","View Company Online")</f>
      </c>
    </row>
    <row r="1652">
      <c r="A1652" s="12" t="s">
        <v>9612</v>
      </c>
      <c r="B1652" s="12" t="s">
        <v>9613</v>
      </c>
      <c r="C1652" s="19">
        <v>3</v>
      </c>
      <c r="D1652" s="19" t="s">
        <v>36</v>
      </c>
      <c r="E1652" s="19">
        <v>1</v>
      </c>
      <c r="F1652" s="19">
        <v>3</v>
      </c>
      <c r="G1652" s="15" t="s">
        <v>36</v>
      </c>
      <c r="H1652" s="14" t="s">
        <v>36</v>
      </c>
      <c r="I1652" s="18" t="s">
        <v>36</v>
      </c>
      <c r="J1652" s="12" t="s">
        <v>36</v>
      </c>
      <c r="K1652" s="13" t="s">
        <v>36</v>
      </c>
      <c r="L1652" s="15" t="s">
        <v>36</v>
      </c>
      <c r="M1652" s="12" t="s">
        <v>36</v>
      </c>
      <c r="N1652" s="12" t="s">
        <v>36</v>
      </c>
      <c r="O1652" s="17" t="s">
        <v>36</v>
      </c>
      <c r="P1652" s="12" t="s">
        <v>36</v>
      </c>
      <c r="Q1652" s="12" t="s">
        <v>36</v>
      </c>
      <c r="R1652" s="12" t="s">
        <v>36</v>
      </c>
      <c r="S1652" s="12" t="s">
        <v>36</v>
      </c>
      <c r="T1652" s="12" t="s">
        <v>1227</v>
      </c>
      <c r="U1652" s="12" t="s">
        <v>74</v>
      </c>
      <c r="V1652" s="12" t="s">
        <v>75</v>
      </c>
      <c r="W1652" s="12" t="s">
        <v>9614</v>
      </c>
      <c r="X1652" s="16" t="s">
        <v>9615</v>
      </c>
      <c r="Y1652" s="15" t="s">
        <v>55</v>
      </c>
      <c r="Z1652" s="14">
        <v>3.14</v>
      </c>
      <c r="AA1652" s="14" t="s">
        <v>36</v>
      </c>
      <c r="AB1652" s="12" t="s">
        <v>56</v>
      </c>
      <c r="AC1652" s="12" t="s">
        <v>9616</v>
      </c>
      <c r="AD1652" s="13">
        <v>44915</v>
      </c>
      <c r="AE1652" s="12" t="s">
        <v>570</v>
      </c>
      <c r="AF1652" s="12" t="s">
        <v>1340</v>
      </c>
      <c r="AG1652" s="12" t="s">
        <v>144</v>
      </c>
      <c r="AH1652" s="1">
        <f>HYPERLINK("https://my.pitchbook.com?c=211177-09T","View Company Online")</f>
      </c>
    </row>
    <row r="1653">
      <c r="A1653" s="3" t="s">
        <v>9617</v>
      </c>
      <c r="B1653" s="3" t="s">
        <v>9618</v>
      </c>
      <c r="C1653" s="5" t="s">
        <v>36</v>
      </c>
      <c r="D1653" s="5" t="s">
        <v>36</v>
      </c>
      <c r="E1653" s="5" t="s">
        <v>36</v>
      </c>
      <c r="F1653" s="5" t="s">
        <v>36</v>
      </c>
      <c r="G1653" s="6" t="s">
        <v>36</v>
      </c>
      <c r="H1653" s="4" t="s">
        <v>36</v>
      </c>
      <c r="I1653" s="7" t="s">
        <v>36</v>
      </c>
      <c r="J1653" s="3" t="s">
        <v>36</v>
      </c>
      <c r="K1653" s="9" t="s">
        <v>36</v>
      </c>
      <c r="L1653" s="6" t="s">
        <v>36</v>
      </c>
      <c r="M1653" s="3" t="s">
        <v>36</v>
      </c>
      <c r="N1653" s="3" t="s">
        <v>36</v>
      </c>
      <c r="O1653" s="8" t="s">
        <v>36</v>
      </c>
      <c r="P1653" s="3" t="s">
        <v>36</v>
      </c>
      <c r="Q1653" s="3" t="s">
        <v>36</v>
      </c>
      <c r="R1653" s="3" t="s">
        <v>36</v>
      </c>
      <c r="S1653" s="3" t="s">
        <v>36</v>
      </c>
      <c r="T1653" s="3" t="s">
        <v>9619</v>
      </c>
      <c r="U1653" s="3" t="s">
        <v>85</v>
      </c>
      <c r="V1653" s="3" t="s">
        <v>64</v>
      </c>
      <c r="W1653" s="3" t="s">
        <v>9620</v>
      </c>
      <c r="X1653" s="10" t="s">
        <v>9621</v>
      </c>
      <c r="Y1653" s="6" t="s">
        <v>42</v>
      </c>
      <c r="Z1653" s="4" t="s">
        <v>36</v>
      </c>
      <c r="AA1653" s="4" t="s">
        <v>36</v>
      </c>
      <c r="AB1653" s="3" t="s">
        <v>43</v>
      </c>
      <c r="AC1653" s="3" t="s">
        <v>9622</v>
      </c>
      <c r="AD1653" s="9">
        <v>44915</v>
      </c>
      <c r="AE1653" s="3" t="s">
        <v>89</v>
      </c>
      <c r="AF1653" s="3" t="s">
        <v>601</v>
      </c>
      <c r="AG1653" s="3" t="s">
        <v>81</v>
      </c>
      <c r="AH1653" s="11">
        <f>HYPERLINK("https://my.pitchbook.com?c=215317-27T","View Company Online")</f>
      </c>
    </row>
    <row r="1654">
      <c r="A1654" s="12" t="s">
        <v>9623</v>
      </c>
      <c r="B1654" s="12" t="s">
        <v>9624</v>
      </c>
      <c r="C1654" s="19">
        <v>1</v>
      </c>
      <c r="D1654" s="19" t="s">
        <v>36</v>
      </c>
      <c r="E1654" s="19">
        <v>1</v>
      </c>
      <c r="F1654" s="19">
        <v>1</v>
      </c>
      <c r="G1654" s="15" t="s">
        <v>36</v>
      </c>
      <c r="H1654" s="14" t="s">
        <v>36</v>
      </c>
      <c r="I1654" s="18" t="s">
        <v>36</v>
      </c>
      <c r="J1654" s="12" t="s">
        <v>36</v>
      </c>
      <c r="K1654" s="13" t="s">
        <v>36</v>
      </c>
      <c r="L1654" s="15" t="s">
        <v>94</v>
      </c>
      <c r="M1654" s="12" t="s">
        <v>36</v>
      </c>
      <c r="N1654" s="12" t="s">
        <v>94</v>
      </c>
      <c r="O1654" s="17" t="s">
        <v>36</v>
      </c>
      <c r="P1654" s="12" t="s">
        <v>36</v>
      </c>
      <c r="Q1654" s="12" t="s">
        <v>36</v>
      </c>
      <c r="R1654" s="12" t="s">
        <v>36</v>
      </c>
      <c r="S1654" s="12" t="s">
        <v>36</v>
      </c>
      <c r="T1654" s="12" t="s">
        <v>9625</v>
      </c>
      <c r="U1654" s="12" t="s">
        <v>38</v>
      </c>
      <c r="V1654" s="12" t="s">
        <v>39</v>
      </c>
      <c r="W1654" s="12" t="s">
        <v>9626</v>
      </c>
      <c r="X1654" s="16" t="s">
        <v>9627</v>
      </c>
      <c r="Y1654" s="15" t="s">
        <v>166</v>
      </c>
      <c r="Z1654" s="14">
        <v>5.42</v>
      </c>
      <c r="AA1654" s="14" t="s">
        <v>36</v>
      </c>
      <c r="AB1654" s="12" t="s">
        <v>56</v>
      </c>
      <c r="AC1654" s="12" t="s">
        <v>9628</v>
      </c>
      <c r="AD1654" s="13">
        <v>44915</v>
      </c>
      <c r="AE1654" s="12" t="s">
        <v>110</v>
      </c>
      <c r="AF1654" s="12" t="s">
        <v>526</v>
      </c>
      <c r="AG1654" s="12" t="s">
        <v>81</v>
      </c>
      <c r="AH1654" s="1">
        <f>HYPERLINK("https://my.pitchbook.com?c=210952-99T","View Company Online")</f>
      </c>
    </row>
    <row r="1655">
      <c r="A1655" s="3" t="s">
        <v>9629</v>
      </c>
      <c r="B1655" s="3" t="s">
        <v>9630</v>
      </c>
      <c r="C1655" s="5" t="s">
        <v>36</v>
      </c>
      <c r="D1655" s="5" t="s">
        <v>36</v>
      </c>
      <c r="E1655" s="5" t="s">
        <v>36</v>
      </c>
      <c r="F1655" s="5" t="s">
        <v>36</v>
      </c>
      <c r="G1655" s="6" t="s">
        <v>36</v>
      </c>
      <c r="H1655" s="4" t="s">
        <v>36</v>
      </c>
      <c r="I1655" s="7" t="s">
        <v>36</v>
      </c>
      <c r="J1655" s="3" t="s">
        <v>36</v>
      </c>
      <c r="K1655" s="9" t="s">
        <v>36</v>
      </c>
      <c r="L1655" s="6" t="s">
        <v>36</v>
      </c>
      <c r="M1655" s="3" t="s">
        <v>36</v>
      </c>
      <c r="N1655" s="3" t="s">
        <v>36</v>
      </c>
      <c r="O1655" s="8" t="s">
        <v>36</v>
      </c>
      <c r="P1655" s="3" t="s">
        <v>36</v>
      </c>
      <c r="Q1655" s="3" t="s">
        <v>36</v>
      </c>
      <c r="R1655" s="3" t="s">
        <v>36</v>
      </c>
      <c r="S1655" s="3" t="s">
        <v>36</v>
      </c>
      <c r="T1655" s="3" t="s">
        <v>9631</v>
      </c>
      <c r="U1655" s="3" t="s">
        <v>7149</v>
      </c>
      <c r="V1655" s="3" t="s">
        <v>378</v>
      </c>
      <c r="W1655" s="3" t="s">
        <v>9632</v>
      </c>
      <c r="X1655" s="10" t="s">
        <v>9633</v>
      </c>
      <c r="Y1655" s="6" t="s">
        <v>42</v>
      </c>
      <c r="Z1655" s="4">
        <v>1.05</v>
      </c>
      <c r="AA1655" s="4" t="s">
        <v>36</v>
      </c>
      <c r="AB1655" s="3" t="s">
        <v>56</v>
      </c>
      <c r="AC1655" s="3" t="s">
        <v>9634</v>
      </c>
      <c r="AD1655" s="9">
        <v>44915</v>
      </c>
      <c r="AE1655" s="3" t="s">
        <v>9635</v>
      </c>
      <c r="AF1655" s="3" t="s">
        <v>601</v>
      </c>
      <c r="AG1655" s="3" t="s">
        <v>9636</v>
      </c>
      <c r="AH1655" s="11">
        <f>HYPERLINK("https://my.pitchbook.com?c=211038-76T","View Company Online")</f>
      </c>
    </row>
    <row r="1656">
      <c r="A1656" s="12" t="s">
        <v>9637</v>
      </c>
      <c r="B1656" s="12" t="s">
        <v>9638</v>
      </c>
      <c r="C1656" s="19" t="s">
        <v>36</v>
      </c>
      <c r="D1656" s="19" t="s">
        <v>36</v>
      </c>
      <c r="E1656" s="19" t="s">
        <v>36</v>
      </c>
      <c r="F1656" s="19" t="s">
        <v>36</v>
      </c>
      <c r="G1656" s="15" t="s">
        <v>2497</v>
      </c>
      <c r="H1656" s="14">
        <v>11682.1</v>
      </c>
      <c r="I1656" s="18">
        <v>20.46</v>
      </c>
      <c r="J1656" s="12" t="s">
        <v>521</v>
      </c>
      <c r="K1656" s="13" t="s">
        <v>36</v>
      </c>
      <c r="L1656" s="15" t="s">
        <v>36</v>
      </c>
      <c r="M1656" s="12" t="s">
        <v>36</v>
      </c>
      <c r="N1656" s="12" t="s">
        <v>36</v>
      </c>
      <c r="O1656" s="17" t="s">
        <v>36</v>
      </c>
      <c r="P1656" s="12" t="s">
        <v>36</v>
      </c>
      <c r="Q1656" s="12" t="s">
        <v>36</v>
      </c>
      <c r="R1656" s="12" t="s">
        <v>36</v>
      </c>
      <c r="S1656" s="12" t="s">
        <v>36</v>
      </c>
      <c r="T1656" s="12" t="s">
        <v>9639</v>
      </c>
      <c r="U1656" s="12" t="s">
        <v>63</v>
      </c>
      <c r="V1656" s="12" t="s">
        <v>64</v>
      </c>
      <c r="W1656" s="12" t="s">
        <v>9640</v>
      </c>
      <c r="X1656" s="16" t="s">
        <v>9641</v>
      </c>
      <c r="Y1656" s="15" t="s">
        <v>192</v>
      </c>
      <c r="Z1656" s="14">
        <v>4.42</v>
      </c>
      <c r="AA1656" s="14">
        <v>21.61</v>
      </c>
      <c r="AB1656" s="12" t="s">
        <v>56</v>
      </c>
      <c r="AC1656" s="12" t="s">
        <v>9642</v>
      </c>
      <c r="AD1656" s="13">
        <v>44915</v>
      </c>
      <c r="AE1656" s="12" t="s">
        <v>4310</v>
      </c>
      <c r="AF1656" s="12" t="s">
        <v>36</v>
      </c>
      <c r="AG1656" s="12" t="s">
        <v>9643</v>
      </c>
      <c r="AH1656" s="1">
        <f>HYPERLINK("https://my.pitchbook.com?c=213955-48T","View Company Online")</f>
      </c>
    </row>
    <row r="1657">
      <c r="A1657" s="3" t="s">
        <v>9644</v>
      </c>
      <c r="B1657" s="3" t="s">
        <v>9645</v>
      </c>
      <c r="C1657" s="5" t="s">
        <v>36</v>
      </c>
      <c r="D1657" s="5" t="s">
        <v>36</v>
      </c>
      <c r="E1657" s="5" t="s">
        <v>36</v>
      </c>
      <c r="F1657" s="5" t="s">
        <v>36</v>
      </c>
      <c r="G1657" s="6" t="s">
        <v>36</v>
      </c>
      <c r="H1657" s="4">
        <v>953.03</v>
      </c>
      <c r="I1657" s="7">
        <v>16.98</v>
      </c>
      <c r="J1657" s="3" t="s">
        <v>521</v>
      </c>
      <c r="K1657" s="9" t="s">
        <v>36</v>
      </c>
      <c r="L1657" s="6" t="s">
        <v>36</v>
      </c>
      <c r="M1657" s="3" t="s">
        <v>36</v>
      </c>
      <c r="N1657" s="3" t="s">
        <v>36</v>
      </c>
      <c r="O1657" s="8" t="s">
        <v>36</v>
      </c>
      <c r="P1657" s="3" t="s">
        <v>36</v>
      </c>
      <c r="Q1657" s="3" t="s">
        <v>36</v>
      </c>
      <c r="R1657" s="3" t="s">
        <v>36</v>
      </c>
      <c r="S1657" s="3" t="s">
        <v>36</v>
      </c>
      <c r="T1657" s="3" t="s">
        <v>1701</v>
      </c>
      <c r="U1657" s="3" t="s">
        <v>74</v>
      </c>
      <c r="V1657" s="3" t="s">
        <v>75</v>
      </c>
      <c r="W1657" s="3" t="s">
        <v>9646</v>
      </c>
      <c r="X1657" s="10" t="s">
        <v>2329</v>
      </c>
      <c r="Y1657" s="6" t="s">
        <v>42</v>
      </c>
      <c r="Z1657" s="4">
        <v>1.73</v>
      </c>
      <c r="AA1657" s="4">
        <v>10.18</v>
      </c>
      <c r="AB1657" s="3" t="s">
        <v>43</v>
      </c>
      <c r="AC1657" s="3" t="s">
        <v>9647</v>
      </c>
      <c r="AD1657" s="9">
        <v>44914</v>
      </c>
      <c r="AE1657" s="3" t="s">
        <v>79</v>
      </c>
      <c r="AF1657" s="3" t="s">
        <v>2759</v>
      </c>
      <c r="AG1657" s="3" t="s">
        <v>9648</v>
      </c>
      <c r="AH1657" s="11">
        <f>HYPERLINK("https://my.pitchbook.com?c=232771-06T","View Company Online")</f>
      </c>
    </row>
    <row r="1658">
      <c r="A1658" s="12" t="s">
        <v>9649</v>
      </c>
      <c r="B1658" s="12" t="s">
        <v>9650</v>
      </c>
      <c r="C1658" s="19" t="s">
        <v>36</v>
      </c>
      <c r="D1658" s="19" t="s">
        <v>36</v>
      </c>
      <c r="E1658" s="19" t="s">
        <v>36</v>
      </c>
      <c r="F1658" s="19" t="s">
        <v>36</v>
      </c>
      <c r="G1658" s="15" t="s">
        <v>326</v>
      </c>
      <c r="H1658" s="14" t="s">
        <v>36</v>
      </c>
      <c r="I1658" s="18">
        <v>24.11</v>
      </c>
      <c r="J1658" s="12" t="s">
        <v>327</v>
      </c>
      <c r="K1658" s="13" t="s">
        <v>36</v>
      </c>
      <c r="L1658" s="15" t="s">
        <v>122</v>
      </c>
      <c r="M1658" s="12" t="s">
        <v>36</v>
      </c>
      <c r="N1658" s="12" t="s">
        <v>122</v>
      </c>
      <c r="O1658" s="17" t="s">
        <v>36</v>
      </c>
      <c r="P1658" s="12" t="s">
        <v>36</v>
      </c>
      <c r="Q1658" s="12" t="s">
        <v>36</v>
      </c>
      <c r="R1658" s="12" t="s">
        <v>36</v>
      </c>
      <c r="S1658" s="12" t="s">
        <v>36</v>
      </c>
      <c r="T1658" s="12" t="s">
        <v>6989</v>
      </c>
      <c r="U1658" s="12" t="s">
        <v>63</v>
      </c>
      <c r="V1658" s="12" t="s">
        <v>64</v>
      </c>
      <c r="W1658" s="12" t="s">
        <v>9651</v>
      </c>
      <c r="X1658" s="16" t="s">
        <v>9652</v>
      </c>
      <c r="Y1658" s="15" t="s">
        <v>55</v>
      </c>
      <c r="Z1658" s="14">
        <v>3.14</v>
      </c>
      <c r="AA1658" s="14">
        <v>13.03</v>
      </c>
      <c r="AB1658" s="12" t="s">
        <v>43</v>
      </c>
      <c r="AC1658" s="12" t="s">
        <v>9653</v>
      </c>
      <c r="AD1658" s="13">
        <v>44914</v>
      </c>
      <c r="AE1658" s="12" t="s">
        <v>68</v>
      </c>
      <c r="AF1658" s="12" t="s">
        <v>36</v>
      </c>
      <c r="AG1658" s="12" t="s">
        <v>1705</v>
      </c>
      <c r="AH1658" s="1">
        <f>HYPERLINK("https://my.pitchbook.com?c=219287-08T","View Company Online")</f>
      </c>
    </row>
    <row r="1659">
      <c r="A1659" s="3" t="s">
        <v>9654</v>
      </c>
      <c r="B1659" s="3" t="s">
        <v>9655</v>
      </c>
      <c r="C1659" s="5" t="s">
        <v>36</v>
      </c>
      <c r="D1659" s="5" t="s">
        <v>36</v>
      </c>
      <c r="E1659" s="5" t="s">
        <v>36</v>
      </c>
      <c r="F1659" s="5" t="s">
        <v>36</v>
      </c>
      <c r="G1659" s="6" t="s">
        <v>326</v>
      </c>
      <c r="H1659" s="4" t="s">
        <v>36</v>
      </c>
      <c r="I1659" s="7">
        <v>20.05</v>
      </c>
      <c r="J1659" s="3" t="s">
        <v>521</v>
      </c>
      <c r="K1659" s="9" t="s">
        <v>36</v>
      </c>
      <c r="L1659" s="6" t="s">
        <v>36</v>
      </c>
      <c r="M1659" s="3" t="s">
        <v>36</v>
      </c>
      <c r="N1659" s="3" t="s">
        <v>36</v>
      </c>
      <c r="O1659" s="8" t="s">
        <v>36</v>
      </c>
      <c r="P1659" s="3" t="s">
        <v>36</v>
      </c>
      <c r="Q1659" s="3" t="s">
        <v>36</v>
      </c>
      <c r="R1659" s="3" t="s">
        <v>36</v>
      </c>
      <c r="S1659" s="3" t="s">
        <v>36</v>
      </c>
      <c r="T1659" s="3" t="s">
        <v>37</v>
      </c>
      <c r="U1659" s="3" t="s">
        <v>38</v>
      </c>
      <c r="V1659" s="3" t="s">
        <v>39</v>
      </c>
      <c r="W1659" s="3" t="s">
        <v>9656</v>
      </c>
      <c r="X1659" s="10" t="s">
        <v>9657</v>
      </c>
      <c r="Y1659" s="6" t="s">
        <v>108</v>
      </c>
      <c r="Z1659" s="4">
        <v>3.14</v>
      </c>
      <c r="AA1659" s="4">
        <v>15.67</v>
      </c>
      <c r="AB1659" s="3" t="s">
        <v>43</v>
      </c>
      <c r="AC1659" s="3" t="s">
        <v>9658</v>
      </c>
      <c r="AD1659" s="9">
        <v>44914</v>
      </c>
      <c r="AE1659" s="3" t="s">
        <v>45</v>
      </c>
      <c r="AF1659" s="3" t="s">
        <v>331</v>
      </c>
      <c r="AG1659" s="3" t="s">
        <v>81</v>
      </c>
      <c r="AH1659" s="11">
        <f>HYPERLINK("https://my.pitchbook.com?c=210871-72T","View Company Online")</f>
      </c>
    </row>
    <row r="1660">
      <c r="A1660" s="12" t="s">
        <v>9659</v>
      </c>
      <c r="B1660" s="12" t="s">
        <v>9660</v>
      </c>
      <c r="C1660" s="19" t="s">
        <v>36</v>
      </c>
      <c r="D1660" s="19" t="s">
        <v>36</v>
      </c>
      <c r="E1660" s="19" t="s">
        <v>36</v>
      </c>
      <c r="F1660" s="19" t="s">
        <v>36</v>
      </c>
      <c r="G1660" s="15" t="s">
        <v>326</v>
      </c>
      <c r="H1660" s="14" t="s">
        <v>36</v>
      </c>
      <c r="I1660" s="18">
        <v>24.72</v>
      </c>
      <c r="J1660" s="12" t="s">
        <v>327</v>
      </c>
      <c r="K1660" s="13" t="s">
        <v>36</v>
      </c>
      <c r="L1660" s="15" t="s">
        <v>94</v>
      </c>
      <c r="M1660" s="12" t="s">
        <v>36</v>
      </c>
      <c r="N1660" s="12" t="s">
        <v>94</v>
      </c>
      <c r="O1660" s="17" t="s">
        <v>36</v>
      </c>
      <c r="P1660" s="12" t="s">
        <v>36</v>
      </c>
      <c r="Q1660" s="12" t="s">
        <v>36</v>
      </c>
      <c r="R1660" s="12" t="s">
        <v>36</v>
      </c>
      <c r="S1660" s="12" t="s">
        <v>36</v>
      </c>
      <c r="T1660" s="12" t="s">
        <v>5302</v>
      </c>
      <c r="U1660" s="12" t="s">
        <v>74</v>
      </c>
      <c r="V1660" s="12" t="s">
        <v>75</v>
      </c>
      <c r="W1660" s="12" t="s">
        <v>9661</v>
      </c>
      <c r="X1660" s="16" t="s">
        <v>9662</v>
      </c>
      <c r="Y1660" s="15" t="s">
        <v>321</v>
      </c>
      <c r="Z1660" s="14">
        <v>34.51</v>
      </c>
      <c r="AA1660" s="14">
        <v>118.43</v>
      </c>
      <c r="AB1660" s="12" t="s">
        <v>56</v>
      </c>
      <c r="AC1660" s="12" t="s">
        <v>9663</v>
      </c>
      <c r="AD1660" s="13">
        <v>44912</v>
      </c>
      <c r="AE1660" s="12" t="s">
        <v>362</v>
      </c>
      <c r="AF1660" s="12" t="s">
        <v>9664</v>
      </c>
      <c r="AG1660" s="12" t="s">
        <v>81</v>
      </c>
      <c r="AH1660" s="1">
        <f>HYPERLINK("https://my.pitchbook.com?c=215149-87T","View Company Online")</f>
      </c>
    </row>
    <row r="1661">
      <c r="A1661" s="3" t="s">
        <v>9665</v>
      </c>
      <c r="B1661" s="3" t="s">
        <v>9666</v>
      </c>
      <c r="C1661" s="5" t="s">
        <v>36</v>
      </c>
      <c r="D1661" s="5" t="s">
        <v>36</v>
      </c>
      <c r="E1661" s="5" t="s">
        <v>36</v>
      </c>
      <c r="F1661" s="5" t="s">
        <v>36</v>
      </c>
      <c r="G1661" s="6" t="s">
        <v>36</v>
      </c>
      <c r="H1661" s="4" t="s">
        <v>36</v>
      </c>
      <c r="I1661" s="7">
        <v>10</v>
      </c>
      <c r="J1661" s="3" t="s">
        <v>521</v>
      </c>
      <c r="K1661" s="9" t="s">
        <v>36</v>
      </c>
      <c r="L1661" s="6" t="s">
        <v>4010</v>
      </c>
      <c r="M1661" s="3" t="s">
        <v>36</v>
      </c>
      <c r="N1661" s="3" t="s">
        <v>4010</v>
      </c>
      <c r="O1661" s="8" t="s">
        <v>36</v>
      </c>
      <c r="P1661" s="3" t="s">
        <v>36</v>
      </c>
      <c r="Q1661" s="3" t="s">
        <v>36</v>
      </c>
      <c r="R1661" s="3" t="s">
        <v>36</v>
      </c>
      <c r="S1661" s="3" t="s">
        <v>36</v>
      </c>
      <c r="T1661" s="3" t="s">
        <v>1125</v>
      </c>
      <c r="U1661" s="3" t="s">
        <v>74</v>
      </c>
      <c r="V1661" s="3" t="s">
        <v>75</v>
      </c>
      <c r="W1661" s="3" t="s">
        <v>9667</v>
      </c>
      <c r="X1661" s="10" t="s">
        <v>9668</v>
      </c>
      <c r="Y1661" s="6" t="s">
        <v>42</v>
      </c>
      <c r="Z1661" s="4">
        <v>0.21</v>
      </c>
      <c r="AA1661" s="4">
        <v>2.09</v>
      </c>
      <c r="AB1661" s="3" t="s">
        <v>43</v>
      </c>
      <c r="AC1661" s="3" t="s">
        <v>9669</v>
      </c>
      <c r="AD1661" s="9">
        <v>44911</v>
      </c>
      <c r="AE1661" s="3" t="s">
        <v>975</v>
      </c>
      <c r="AF1661" s="3" t="s">
        <v>36</v>
      </c>
      <c r="AG1661" s="3" t="s">
        <v>572</v>
      </c>
      <c r="AH1661" s="11">
        <f>HYPERLINK("https://my.pitchbook.com?c=246798-37T","View Company Online")</f>
      </c>
    </row>
    <row r="1662">
      <c r="A1662" s="12" t="s">
        <v>9670</v>
      </c>
      <c r="B1662" s="12" t="s">
        <v>3728</v>
      </c>
      <c r="C1662" s="19">
        <v>3</v>
      </c>
      <c r="D1662" s="19" t="s">
        <v>36</v>
      </c>
      <c r="E1662" s="19">
        <v>1</v>
      </c>
      <c r="F1662" s="19">
        <v>3</v>
      </c>
      <c r="G1662" s="15" t="s">
        <v>36</v>
      </c>
      <c r="H1662" s="14">
        <v>33.23</v>
      </c>
      <c r="I1662" s="18">
        <v>34.03</v>
      </c>
      <c r="J1662" s="12" t="s">
        <v>521</v>
      </c>
      <c r="K1662" s="13" t="s">
        <v>36</v>
      </c>
      <c r="L1662" s="15" t="s">
        <v>36</v>
      </c>
      <c r="M1662" s="12" t="s">
        <v>36</v>
      </c>
      <c r="N1662" s="12" t="s">
        <v>36</v>
      </c>
      <c r="O1662" s="17" t="s">
        <v>36</v>
      </c>
      <c r="P1662" s="12" t="s">
        <v>36</v>
      </c>
      <c r="Q1662" s="12" t="s">
        <v>36</v>
      </c>
      <c r="R1662" s="12" t="s">
        <v>36</v>
      </c>
      <c r="S1662" s="12" t="s">
        <v>36</v>
      </c>
      <c r="T1662" s="12" t="s">
        <v>3729</v>
      </c>
      <c r="U1662" s="12" t="s">
        <v>219</v>
      </c>
      <c r="V1662" s="12" t="s">
        <v>75</v>
      </c>
      <c r="W1662" s="12" t="s">
        <v>3730</v>
      </c>
      <c r="X1662" s="16" t="s">
        <v>9671</v>
      </c>
      <c r="Y1662" s="15" t="s">
        <v>42</v>
      </c>
      <c r="Z1662" s="14">
        <v>1.25</v>
      </c>
      <c r="AA1662" s="14">
        <v>2.53</v>
      </c>
      <c r="AB1662" s="12" t="s">
        <v>43</v>
      </c>
      <c r="AC1662" s="12" t="s">
        <v>3732</v>
      </c>
      <c r="AD1662" s="13">
        <v>44911</v>
      </c>
      <c r="AE1662" s="12" t="s">
        <v>1032</v>
      </c>
      <c r="AF1662" s="12" t="s">
        <v>571</v>
      </c>
      <c r="AG1662" s="12" t="s">
        <v>3733</v>
      </c>
      <c r="AH1662" s="1">
        <f>HYPERLINK("https://my.pitchbook.com?c=210803-59T","View Company Online")</f>
      </c>
    </row>
    <row r="1663">
      <c r="A1663" s="3" t="s">
        <v>9672</v>
      </c>
      <c r="B1663" s="3" t="s">
        <v>9673</v>
      </c>
      <c r="C1663" s="5">
        <v>2</v>
      </c>
      <c r="D1663" s="5" t="s">
        <v>36</v>
      </c>
      <c r="E1663" s="5">
        <v>2</v>
      </c>
      <c r="F1663" s="5">
        <v>2</v>
      </c>
      <c r="G1663" s="6" t="s">
        <v>36</v>
      </c>
      <c r="H1663" s="4" t="s">
        <v>36</v>
      </c>
      <c r="I1663" s="7" t="s">
        <v>36</v>
      </c>
      <c r="J1663" s="3" t="s">
        <v>36</v>
      </c>
      <c r="K1663" s="9" t="s">
        <v>36</v>
      </c>
      <c r="L1663" s="6" t="s">
        <v>36</v>
      </c>
      <c r="M1663" s="3" t="s">
        <v>36</v>
      </c>
      <c r="N1663" s="3" t="s">
        <v>36</v>
      </c>
      <c r="O1663" s="8" t="s">
        <v>36</v>
      </c>
      <c r="P1663" s="3" t="s">
        <v>36</v>
      </c>
      <c r="Q1663" s="3" t="s">
        <v>36</v>
      </c>
      <c r="R1663" s="3" t="s">
        <v>36</v>
      </c>
      <c r="S1663" s="3" t="s">
        <v>36</v>
      </c>
      <c r="T1663" s="3" t="s">
        <v>1350</v>
      </c>
      <c r="U1663" s="3" t="s">
        <v>38</v>
      </c>
      <c r="V1663" s="3" t="s">
        <v>39</v>
      </c>
      <c r="W1663" s="3" t="s">
        <v>9674</v>
      </c>
      <c r="X1663" s="10" t="s">
        <v>9675</v>
      </c>
      <c r="Y1663" s="6" t="s">
        <v>42</v>
      </c>
      <c r="Z1663" s="4">
        <v>1.57</v>
      </c>
      <c r="AA1663" s="4" t="s">
        <v>36</v>
      </c>
      <c r="AB1663" s="3" t="s">
        <v>43</v>
      </c>
      <c r="AC1663" s="3" t="s">
        <v>9676</v>
      </c>
      <c r="AD1663" s="9">
        <v>44910</v>
      </c>
      <c r="AE1663" s="3" t="s">
        <v>785</v>
      </c>
      <c r="AF1663" s="3" t="s">
        <v>111</v>
      </c>
      <c r="AG1663" s="3" t="s">
        <v>81</v>
      </c>
      <c r="AH1663" s="11">
        <f>HYPERLINK("https://my.pitchbook.com?c=210644-29T","View Company Online")</f>
      </c>
    </row>
    <row r="1664">
      <c r="A1664" s="12" t="s">
        <v>9677</v>
      </c>
      <c r="B1664" s="12" t="s">
        <v>3031</v>
      </c>
      <c r="C1664" s="19" t="s">
        <v>36</v>
      </c>
      <c r="D1664" s="19" t="s">
        <v>36</v>
      </c>
      <c r="E1664" s="19" t="s">
        <v>36</v>
      </c>
      <c r="F1664" s="19" t="s">
        <v>36</v>
      </c>
      <c r="G1664" s="15" t="s">
        <v>36</v>
      </c>
      <c r="H1664" s="14" t="s">
        <v>36</v>
      </c>
      <c r="I1664" s="18" t="s">
        <v>36</v>
      </c>
      <c r="J1664" s="12" t="s">
        <v>36</v>
      </c>
      <c r="K1664" s="13" t="s">
        <v>36</v>
      </c>
      <c r="L1664" s="15" t="s">
        <v>122</v>
      </c>
      <c r="M1664" s="12" t="s">
        <v>36</v>
      </c>
      <c r="N1664" s="12" t="s">
        <v>122</v>
      </c>
      <c r="O1664" s="17" t="s">
        <v>36</v>
      </c>
      <c r="P1664" s="12" t="s">
        <v>36</v>
      </c>
      <c r="Q1664" s="12" t="s">
        <v>36</v>
      </c>
      <c r="R1664" s="12" t="s">
        <v>36</v>
      </c>
      <c r="S1664" s="12" t="s">
        <v>36</v>
      </c>
      <c r="T1664" s="12" t="s">
        <v>1560</v>
      </c>
      <c r="U1664" s="12" t="s">
        <v>438</v>
      </c>
      <c r="V1664" s="12" t="s">
        <v>405</v>
      </c>
      <c r="W1664" s="12" t="s">
        <v>3032</v>
      </c>
      <c r="X1664" s="16" t="s">
        <v>9678</v>
      </c>
      <c r="Y1664" s="15" t="s">
        <v>108</v>
      </c>
      <c r="Z1664" s="14">
        <v>12</v>
      </c>
      <c r="AA1664" s="14" t="s">
        <v>36</v>
      </c>
      <c r="AB1664" s="12" t="s">
        <v>56</v>
      </c>
      <c r="AC1664" s="12" t="s">
        <v>3033</v>
      </c>
      <c r="AD1664" s="13">
        <v>44910</v>
      </c>
      <c r="AE1664" s="12" t="s">
        <v>438</v>
      </c>
      <c r="AF1664" s="12" t="s">
        <v>3034</v>
      </c>
      <c r="AG1664" s="12" t="s">
        <v>81</v>
      </c>
      <c r="AH1664" s="1">
        <f>HYPERLINK("https://my.pitchbook.com?c=210689-47T","View Company Online")</f>
      </c>
    </row>
    <row r="1665">
      <c r="A1665" s="3" t="s">
        <v>9679</v>
      </c>
      <c r="B1665" s="3" t="s">
        <v>9680</v>
      </c>
      <c r="C1665" s="5" t="s">
        <v>36</v>
      </c>
      <c r="D1665" s="5" t="s">
        <v>36</v>
      </c>
      <c r="E1665" s="5" t="s">
        <v>36</v>
      </c>
      <c r="F1665" s="5" t="s">
        <v>36</v>
      </c>
      <c r="G1665" s="6" t="s">
        <v>326</v>
      </c>
      <c r="H1665" s="4">
        <v>7.12</v>
      </c>
      <c r="I1665" s="7">
        <v>9.84</v>
      </c>
      <c r="J1665" s="3" t="s">
        <v>521</v>
      </c>
      <c r="K1665" s="9" t="s">
        <v>36</v>
      </c>
      <c r="L1665" s="6" t="s">
        <v>36</v>
      </c>
      <c r="M1665" s="3" t="s">
        <v>36</v>
      </c>
      <c r="N1665" s="3" t="s">
        <v>36</v>
      </c>
      <c r="O1665" s="8" t="s">
        <v>36</v>
      </c>
      <c r="P1665" s="3" t="s">
        <v>36</v>
      </c>
      <c r="Q1665" s="3" t="s">
        <v>36</v>
      </c>
      <c r="R1665" s="3" t="s">
        <v>36</v>
      </c>
      <c r="S1665" s="3" t="s">
        <v>36</v>
      </c>
      <c r="T1665" s="3" t="s">
        <v>9681</v>
      </c>
      <c r="U1665" s="3" t="s">
        <v>404</v>
      </c>
      <c r="V1665" s="3" t="s">
        <v>405</v>
      </c>
      <c r="W1665" s="3" t="s">
        <v>9682</v>
      </c>
      <c r="X1665" s="10" t="s">
        <v>9683</v>
      </c>
      <c r="Y1665" s="6" t="s">
        <v>55</v>
      </c>
      <c r="Z1665" s="4">
        <v>5.22</v>
      </c>
      <c r="AA1665" s="4">
        <v>36.79</v>
      </c>
      <c r="AB1665" s="3" t="s">
        <v>56</v>
      </c>
      <c r="AC1665" s="3" t="s">
        <v>9684</v>
      </c>
      <c r="AD1665" s="9">
        <v>44910</v>
      </c>
      <c r="AE1665" s="3" t="s">
        <v>9685</v>
      </c>
      <c r="AF1665" s="3" t="s">
        <v>36</v>
      </c>
      <c r="AG1665" s="3" t="s">
        <v>741</v>
      </c>
      <c r="AH1665" s="11">
        <f>HYPERLINK("https://my.pitchbook.com?c=279877-42T","View Company Online")</f>
      </c>
    </row>
    <row r="1666">
      <c r="A1666" s="12" t="s">
        <v>9686</v>
      </c>
      <c r="B1666" s="12" t="s">
        <v>9687</v>
      </c>
      <c r="C1666" s="19" t="s">
        <v>36</v>
      </c>
      <c r="D1666" s="19" t="s">
        <v>36</v>
      </c>
      <c r="E1666" s="19" t="s">
        <v>36</v>
      </c>
      <c r="F1666" s="19" t="s">
        <v>36</v>
      </c>
      <c r="G1666" s="15" t="s">
        <v>36</v>
      </c>
      <c r="H1666" s="14" t="s">
        <v>36</v>
      </c>
      <c r="I1666" s="18">
        <v>22</v>
      </c>
      <c r="J1666" s="12" t="s">
        <v>36</v>
      </c>
      <c r="K1666" s="13" t="s">
        <v>36</v>
      </c>
      <c r="L1666" s="15" t="s">
        <v>36</v>
      </c>
      <c r="M1666" s="12" t="s">
        <v>36</v>
      </c>
      <c r="N1666" s="12" t="s">
        <v>36</v>
      </c>
      <c r="O1666" s="17" t="s">
        <v>36</v>
      </c>
      <c r="P1666" s="12" t="s">
        <v>36</v>
      </c>
      <c r="Q1666" s="12" t="s">
        <v>36</v>
      </c>
      <c r="R1666" s="12" t="s">
        <v>36</v>
      </c>
      <c r="S1666" s="12" t="s">
        <v>36</v>
      </c>
      <c r="T1666" s="12" t="s">
        <v>3330</v>
      </c>
      <c r="U1666" s="12" t="s">
        <v>438</v>
      </c>
      <c r="V1666" s="12" t="s">
        <v>405</v>
      </c>
      <c r="W1666" s="12" t="s">
        <v>9688</v>
      </c>
      <c r="X1666" s="16" t="s">
        <v>9689</v>
      </c>
      <c r="Y1666" s="15" t="s">
        <v>475</v>
      </c>
      <c r="Z1666" s="14" t="s">
        <v>36</v>
      </c>
      <c r="AA1666" s="14" t="s">
        <v>36</v>
      </c>
      <c r="AB1666" s="12" t="s">
        <v>56</v>
      </c>
      <c r="AC1666" s="12" t="s">
        <v>9690</v>
      </c>
      <c r="AD1666" s="13">
        <v>44910</v>
      </c>
      <c r="AE1666" s="12" t="s">
        <v>438</v>
      </c>
      <c r="AF1666" s="12" t="s">
        <v>9691</v>
      </c>
      <c r="AG1666" s="12" t="s">
        <v>652</v>
      </c>
      <c r="AH1666" s="1">
        <f>HYPERLINK("https://my.pitchbook.com?c=214961-23T","View Company Online")</f>
      </c>
    </row>
    <row r="1667">
      <c r="A1667" s="3" t="s">
        <v>9692</v>
      </c>
      <c r="B1667" s="3" t="s">
        <v>6549</v>
      </c>
      <c r="C1667" s="5" t="s">
        <v>36</v>
      </c>
      <c r="D1667" s="5" t="s">
        <v>36</v>
      </c>
      <c r="E1667" s="5" t="s">
        <v>36</v>
      </c>
      <c r="F1667" s="5" t="s">
        <v>36</v>
      </c>
      <c r="G1667" s="6" t="s">
        <v>36</v>
      </c>
      <c r="H1667" s="4" t="s">
        <v>36</v>
      </c>
      <c r="I1667" s="7" t="s">
        <v>36</v>
      </c>
      <c r="J1667" s="3" t="s">
        <v>36</v>
      </c>
      <c r="K1667" s="9">
        <v>44562</v>
      </c>
      <c r="L1667" s="6" t="s">
        <v>122</v>
      </c>
      <c r="M1667" s="3" t="s">
        <v>36</v>
      </c>
      <c r="N1667" s="3" t="s">
        <v>122</v>
      </c>
      <c r="O1667" s="8" t="s">
        <v>36</v>
      </c>
      <c r="P1667" s="3" t="s">
        <v>36</v>
      </c>
      <c r="Q1667" s="3" t="s">
        <v>36</v>
      </c>
      <c r="R1667" s="3" t="s">
        <v>36</v>
      </c>
      <c r="S1667" s="3" t="s">
        <v>36</v>
      </c>
      <c r="T1667" s="3" t="s">
        <v>6550</v>
      </c>
      <c r="U1667" s="3" t="s">
        <v>38</v>
      </c>
      <c r="V1667" s="3" t="s">
        <v>39</v>
      </c>
      <c r="W1667" s="3" t="s">
        <v>6551</v>
      </c>
      <c r="X1667" s="10" t="s">
        <v>9693</v>
      </c>
      <c r="Y1667" s="6" t="s">
        <v>42</v>
      </c>
      <c r="Z1667" s="4" t="s">
        <v>36</v>
      </c>
      <c r="AA1667" s="4" t="s">
        <v>36</v>
      </c>
      <c r="AB1667" s="3" t="s">
        <v>43</v>
      </c>
      <c r="AC1667" s="3" t="s">
        <v>6553</v>
      </c>
      <c r="AD1667" s="9">
        <v>44909</v>
      </c>
      <c r="AE1667" s="3" t="s">
        <v>554</v>
      </c>
      <c r="AF1667" s="3" t="s">
        <v>1380</v>
      </c>
      <c r="AG1667" s="3" t="s">
        <v>6554</v>
      </c>
      <c r="AH1667" s="11">
        <f>HYPERLINK("https://my.pitchbook.com?c=212150-44T","View Company Online")</f>
      </c>
    </row>
    <row r="1668">
      <c r="A1668" s="12" t="s">
        <v>9694</v>
      </c>
      <c r="B1668" s="12" t="s">
        <v>9695</v>
      </c>
      <c r="C1668" s="19" t="s">
        <v>36</v>
      </c>
      <c r="D1668" s="19" t="s">
        <v>36</v>
      </c>
      <c r="E1668" s="19" t="s">
        <v>36</v>
      </c>
      <c r="F1668" s="19" t="s">
        <v>36</v>
      </c>
      <c r="G1668" s="15" t="s">
        <v>326</v>
      </c>
      <c r="H1668" s="14">
        <v>86.55</v>
      </c>
      <c r="I1668" s="18" t="s">
        <v>36</v>
      </c>
      <c r="J1668" s="12" t="s">
        <v>521</v>
      </c>
      <c r="K1668" s="13" t="s">
        <v>36</v>
      </c>
      <c r="L1668" s="15" t="s">
        <v>1981</v>
      </c>
      <c r="M1668" s="12" t="s">
        <v>36</v>
      </c>
      <c r="N1668" s="12" t="s">
        <v>1981</v>
      </c>
      <c r="O1668" s="17" t="s">
        <v>36</v>
      </c>
      <c r="P1668" s="12" t="s">
        <v>36</v>
      </c>
      <c r="Q1668" s="12" t="s">
        <v>36</v>
      </c>
      <c r="R1668" s="12" t="s">
        <v>36</v>
      </c>
      <c r="S1668" s="12" t="s">
        <v>36</v>
      </c>
      <c r="T1668" s="12" t="s">
        <v>9696</v>
      </c>
      <c r="U1668" s="12" t="s">
        <v>38</v>
      </c>
      <c r="V1668" s="12" t="s">
        <v>39</v>
      </c>
      <c r="W1668" s="12" t="s">
        <v>9697</v>
      </c>
      <c r="X1668" s="16" t="s">
        <v>9698</v>
      </c>
      <c r="Y1668" s="15" t="s">
        <v>55</v>
      </c>
      <c r="Z1668" s="14">
        <v>7.3</v>
      </c>
      <c r="AA1668" s="14">
        <v>28.15</v>
      </c>
      <c r="AB1668" s="12" t="s">
        <v>56</v>
      </c>
      <c r="AC1668" s="12" t="s">
        <v>9699</v>
      </c>
      <c r="AD1668" s="13">
        <v>44909</v>
      </c>
      <c r="AE1668" s="12" t="s">
        <v>110</v>
      </c>
      <c r="AF1668" s="12" t="s">
        <v>1115</v>
      </c>
      <c r="AG1668" s="12" t="s">
        <v>1078</v>
      </c>
      <c r="AH1668" s="1">
        <f>HYPERLINK("https://my.pitchbook.com?c=224639-65T","View Company Online")</f>
      </c>
    </row>
    <row r="1669">
      <c r="A1669" s="3" t="s">
        <v>9700</v>
      </c>
      <c r="B1669" s="3" t="s">
        <v>1425</v>
      </c>
      <c r="C1669" s="5" t="s">
        <v>36</v>
      </c>
      <c r="D1669" s="5" t="s">
        <v>36</v>
      </c>
      <c r="E1669" s="5" t="s">
        <v>36</v>
      </c>
      <c r="F1669" s="5" t="s">
        <v>36</v>
      </c>
      <c r="G1669" s="6" t="s">
        <v>326</v>
      </c>
      <c r="H1669" s="4">
        <v>9.87</v>
      </c>
      <c r="I1669" s="7">
        <v>24.52</v>
      </c>
      <c r="J1669" s="3" t="s">
        <v>521</v>
      </c>
      <c r="K1669" s="9" t="s">
        <v>36</v>
      </c>
      <c r="L1669" s="6" t="s">
        <v>36</v>
      </c>
      <c r="M1669" s="3" t="s">
        <v>36</v>
      </c>
      <c r="N1669" s="3" t="s">
        <v>36</v>
      </c>
      <c r="O1669" s="8" t="s">
        <v>36</v>
      </c>
      <c r="P1669" s="3" t="s">
        <v>36</v>
      </c>
      <c r="Q1669" s="3" t="s">
        <v>36</v>
      </c>
      <c r="R1669" s="3" t="s">
        <v>36</v>
      </c>
      <c r="S1669" s="3" t="s">
        <v>36</v>
      </c>
      <c r="T1669" s="3" t="s">
        <v>123</v>
      </c>
      <c r="U1669" s="3" t="s">
        <v>38</v>
      </c>
      <c r="V1669" s="3" t="s">
        <v>39</v>
      </c>
      <c r="W1669" s="3" t="s">
        <v>1426</v>
      </c>
      <c r="X1669" s="10" t="s">
        <v>9701</v>
      </c>
      <c r="Y1669" s="6" t="s">
        <v>108</v>
      </c>
      <c r="Z1669" s="4">
        <v>0.94</v>
      </c>
      <c r="AA1669" s="4">
        <v>2.19</v>
      </c>
      <c r="AB1669" s="3" t="s">
        <v>43</v>
      </c>
      <c r="AC1669" s="3" t="s">
        <v>1428</v>
      </c>
      <c r="AD1669" s="9">
        <v>44909</v>
      </c>
      <c r="AE1669" s="3" t="s">
        <v>110</v>
      </c>
      <c r="AF1669" s="3" t="s">
        <v>1331</v>
      </c>
      <c r="AG1669" s="3" t="s">
        <v>382</v>
      </c>
      <c r="AH1669" s="11">
        <f>HYPERLINK("https://my.pitchbook.com?c=210592-36T","View Company Online")</f>
      </c>
    </row>
    <row r="1670">
      <c r="A1670" s="12" t="s">
        <v>9702</v>
      </c>
      <c r="B1670" s="12" t="s">
        <v>9703</v>
      </c>
      <c r="C1670" s="19" t="s">
        <v>36</v>
      </c>
      <c r="D1670" s="19" t="s">
        <v>36</v>
      </c>
      <c r="E1670" s="19" t="s">
        <v>36</v>
      </c>
      <c r="F1670" s="19" t="s">
        <v>36</v>
      </c>
      <c r="G1670" s="15" t="s">
        <v>326</v>
      </c>
      <c r="H1670" s="14">
        <v>11.42</v>
      </c>
      <c r="I1670" s="18">
        <v>39.82</v>
      </c>
      <c r="J1670" s="12" t="s">
        <v>521</v>
      </c>
      <c r="K1670" s="13" t="s">
        <v>36</v>
      </c>
      <c r="L1670" s="15" t="s">
        <v>36</v>
      </c>
      <c r="M1670" s="12" t="s">
        <v>36</v>
      </c>
      <c r="N1670" s="12" t="s">
        <v>36</v>
      </c>
      <c r="O1670" s="17" t="s">
        <v>36</v>
      </c>
      <c r="P1670" s="12" t="s">
        <v>36</v>
      </c>
      <c r="Q1670" s="12" t="s">
        <v>36</v>
      </c>
      <c r="R1670" s="12" t="s">
        <v>36</v>
      </c>
      <c r="S1670" s="12" t="s">
        <v>36</v>
      </c>
      <c r="T1670" s="12" t="s">
        <v>2359</v>
      </c>
      <c r="U1670" s="12" t="s">
        <v>279</v>
      </c>
      <c r="V1670" s="12" t="s">
        <v>64</v>
      </c>
      <c r="W1670" s="12" t="s">
        <v>9704</v>
      </c>
      <c r="X1670" s="16" t="s">
        <v>9705</v>
      </c>
      <c r="Y1670" s="15" t="s">
        <v>321</v>
      </c>
      <c r="Z1670" s="14">
        <v>62.56</v>
      </c>
      <c r="AA1670" s="14">
        <v>116.98</v>
      </c>
      <c r="AB1670" s="12" t="s">
        <v>56</v>
      </c>
      <c r="AC1670" s="12" t="s">
        <v>9706</v>
      </c>
      <c r="AD1670" s="13">
        <v>44909</v>
      </c>
      <c r="AE1670" s="12" t="s">
        <v>283</v>
      </c>
      <c r="AF1670" s="12" t="s">
        <v>36</v>
      </c>
      <c r="AG1670" s="12" t="s">
        <v>81</v>
      </c>
      <c r="AH1670" s="1">
        <f>HYPERLINK("https://my.pitchbook.com?c=209684-98T","View Company Online")</f>
      </c>
    </row>
    <row r="1671">
      <c r="A1671" s="3" t="s">
        <v>9707</v>
      </c>
      <c r="B1671" s="3" t="s">
        <v>9708</v>
      </c>
      <c r="C1671" s="5" t="s">
        <v>36</v>
      </c>
      <c r="D1671" s="5" t="s">
        <v>36</v>
      </c>
      <c r="E1671" s="5" t="s">
        <v>36</v>
      </c>
      <c r="F1671" s="5" t="s">
        <v>36</v>
      </c>
      <c r="G1671" s="6" t="s">
        <v>36</v>
      </c>
      <c r="H1671" s="4">
        <v>72.7</v>
      </c>
      <c r="I1671" s="7">
        <v>8.63</v>
      </c>
      <c r="J1671" s="3" t="s">
        <v>521</v>
      </c>
      <c r="K1671" s="9" t="s">
        <v>36</v>
      </c>
      <c r="L1671" s="6" t="s">
        <v>36</v>
      </c>
      <c r="M1671" s="3" t="s">
        <v>36</v>
      </c>
      <c r="N1671" s="3" t="s">
        <v>36</v>
      </c>
      <c r="O1671" s="8" t="s">
        <v>36</v>
      </c>
      <c r="P1671" s="3" t="s">
        <v>36</v>
      </c>
      <c r="Q1671" s="3" t="s">
        <v>36</v>
      </c>
      <c r="R1671" s="3" t="s">
        <v>36</v>
      </c>
      <c r="S1671" s="3" t="s">
        <v>36</v>
      </c>
      <c r="T1671" s="3" t="s">
        <v>9709</v>
      </c>
      <c r="U1671" s="3" t="s">
        <v>51</v>
      </c>
      <c r="V1671" s="3" t="s">
        <v>52</v>
      </c>
      <c r="W1671" s="3" t="s">
        <v>9710</v>
      </c>
      <c r="X1671" s="10" t="s">
        <v>9711</v>
      </c>
      <c r="Y1671" s="6" t="s">
        <v>108</v>
      </c>
      <c r="Z1671" s="4">
        <v>0.79</v>
      </c>
      <c r="AA1671" s="4">
        <v>9.19</v>
      </c>
      <c r="AB1671" s="3" t="s">
        <v>43</v>
      </c>
      <c r="AC1671" s="3" t="s">
        <v>9712</v>
      </c>
      <c r="AD1671" s="9">
        <v>44909</v>
      </c>
      <c r="AE1671" s="3" t="s">
        <v>158</v>
      </c>
      <c r="AF1671" s="3" t="s">
        <v>159</v>
      </c>
      <c r="AG1671" s="3" t="s">
        <v>9713</v>
      </c>
      <c r="AH1671" s="11">
        <f>HYPERLINK("https://my.pitchbook.com?c=211610-44T","View Company Online")</f>
      </c>
    </row>
    <row r="1672">
      <c r="A1672" s="12" t="s">
        <v>9714</v>
      </c>
      <c r="B1672" s="12" t="s">
        <v>9715</v>
      </c>
      <c r="C1672" s="19" t="s">
        <v>36</v>
      </c>
      <c r="D1672" s="19" t="s">
        <v>36</v>
      </c>
      <c r="E1672" s="19" t="s">
        <v>36</v>
      </c>
      <c r="F1672" s="19" t="s">
        <v>36</v>
      </c>
      <c r="G1672" s="15" t="s">
        <v>326</v>
      </c>
      <c r="H1672" s="14" t="s">
        <v>36</v>
      </c>
      <c r="I1672" s="18">
        <v>36.4</v>
      </c>
      <c r="J1672" s="12" t="s">
        <v>327</v>
      </c>
      <c r="K1672" s="13" t="s">
        <v>36</v>
      </c>
      <c r="L1672" s="15" t="s">
        <v>122</v>
      </c>
      <c r="M1672" s="12" t="s">
        <v>36</v>
      </c>
      <c r="N1672" s="12" t="s">
        <v>122</v>
      </c>
      <c r="O1672" s="17" t="s">
        <v>36</v>
      </c>
      <c r="P1672" s="12" t="s">
        <v>36</v>
      </c>
      <c r="Q1672" s="12" t="s">
        <v>36</v>
      </c>
      <c r="R1672" s="12" t="s">
        <v>36</v>
      </c>
      <c r="S1672" s="12" t="s">
        <v>36</v>
      </c>
      <c r="T1672" s="12" t="s">
        <v>874</v>
      </c>
      <c r="U1672" s="12" t="s">
        <v>38</v>
      </c>
      <c r="V1672" s="12" t="s">
        <v>39</v>
      </c>
      <c r="W1672" s="12" t="s">
        <v>9716</v>
      </c>
      <c r="X1672" s="16" t="s">
        <v>9717</v>
      </c>
      <c r="Y1672" s="15" t="s">
        <v>55</v>
      </c>
      <c r="Z1672" s="14">
        <v>12</v>
      </c>
      <c r="AA1672" s="14">
        <v>32.97</v>
      </c>
      <c r="AB1672" s="12" t="s">
        <v>56</v>
      </c>
      <c r="AC1672" s="12" t="s">
        <v>9718</v>
      </c>
      <c r="AD1672" s="13">
        <v>44908</v>
      </c>
      <c r="AE1672" s="12" t="s">
        <v>110</v>
      </c>
      <c r="AF1672" s="12" t="s">
        <v>9719</v>
      </c>
      <c r="AG1672" s="12" t="s">
        <v>102</v>
      </c>
      <c r="AH1672" s="1">
        <f>HYPERLINK("https://my.pitchbook.com?c=210429-82T","View Company Online")</f>
      </c>
    </row>
    <row r="1673">
      <c r="A1673" s="3" t="s">
        <v>9720</v>
      </c>
      <c r="B1673" s="3" t="s">
        <v>6556</v>
      </c>
      <c r="C1673" s="5" t="s">
        <v>36</v>
      </c>
      <c r="D1673" s="5" t="s">
        <v>36</v>
      </c>
      <c r="E1673" s="5" t="s">
        <v>36</v>
      </c>
      <c r="F1673" s="5" t="s">
        <v>36</v>
      </c>
      <c r="G1673" s="6" t="s">
        <v>36</v>
      </c>
      <c r="H1673" s="4" t="s">
        <v>36</v>
      </c>
      <c r="I1673" s="7" t="s">
        <v>36</v>
      </c>
      <c r="J1673" s="3" t="s">
        <v>36</v>
      </c>
      <c r="K1673" s="9" t="s">
        <v>36</v>
      </c>
      <c r="L1673" s="6" t="s">
        <v>36</v>
      </c>
      <c r="M1673" s="3" t="s">
        <v>36</v>
      </c>
      <c r="N1673" s="3" t="s">
        <v>36</v>
      </c>
      <c r="O1673" s="8" t="s">
        <v>36</v>
      </c>
      <c r="P1673" s="3" t="s">
        <v>36</v>
      </c>
      <c r="Q1673" s="3" t="s">
        <v>36</v>
      </c>
      <c r="R1673" s="3" t="s">
        <v>36</v>
      </c>
      <c r="S1673" s="3" t="s">
        <v>36</v>
      </c>
      <c r="T1673" s="3" t="s">
        <v>6557</v>
      </c>
      <c r="U1673" s="3" t="s">
        <v>648</v>
      </c>
      <c r="V1673" s="3" t="s">
        <v>64</v>
      </c>
      <c r="W1673" s="3" t="s">
        <v>6558</v>
      </c>
      <c r="X1673" s="10" t="s">
        <v>9721</v>
      </c>
      <c r="Y1673" s="6" t="s">
        <v>192</v>
      </c>
      <c r="Z1673" s="4">
        <v>3.17</v>
      </c>
      <c r="AA1673" s="4" t="s">
        <v>36</v>
      </c>
      <c r="AB1673" s="3" t="s">
        <v>56</v>
      </c>
      <c r="AC1673" s="3" t="s">
        <v>6560</v>
      </c>
      <c r="AD1673" s="9">
        <v>44908</v>
      </c>
      <c r="AE1673" s="3" t="s">
        <v>1897</v>
      </c>
      <c r="AF1673" s="3" t="s">
        <v>1115</v>
      </c>
      <c r="AG1673" s="3" t="s">
        <v>81</v>
      </c>
      <c r="AH1673" s="11">
        <f>HYPERLINK("https://my.pitchbook.com?c=211308-94T","View Company Online")</f>
      </c>
    </row>
    <row r="1674">
      <c r="A1674" s="12" t="s">
        <v>9722</v>
      </c>
      <c r="B1674" s="12" t="s">
        <v>3302</v>
      </c>
      <c r="C1674" s="19" t="s">
        <v>36</v>
      </c>
      <c r="D1674" s="19" t="s">
        <v>36</v>
      </c>
      <c r="E1674" s="19" t="s">
        <v>36</v>
      </c>
      <c r="F1674" s="19" t="s">
        <v>36</v>
      </c>
      <c r="G1674" s="15" t="s">
        <v>36</v>
      </c>
      <c r="H1674" s="14" t="s">
        <v>36</v>
      </c>
      <c r="I1674" s="18" t="s">
        <v>36</v>
      </c>
      <c r="J1674" s="12" t="s">
        <v>36</v>
      </c>
      <c r="K1674" s="13" t="s">
        <v>36</v>
      </c>
      <c r="L1674" s="15" t="s">
        <v>36</v>
      </c>
      <c r="M1674" s="12" t="s">
        <v>36</v>
      </c>
      <c r="N1674" s="12" t="s">
        <v>36</v>
      </c>
      <c r="O1674" s="17" t="s">
        <v>36</v>
      </c>
      <c r="P1674" s="12" t="s">
        <v>36</v>
      </c>
      <c r="Q1674" s="12" t="s">
        <v>36</v>
      </c>
      <c r="R1674" s="12" t="s">
        <v>36</v>
      </c>
      <c r="S1674" s="12" t="s">
        <v>196</v>
      </c>
      <c r="T1674" s="12" t="s">
        <v>3303</v>
      </c>
      <c r="U1674" s="12" t="s">
        <v>38</v>
      </c>
      <c r="V1674" s="12" t="s">
        <v>39</v>
      </c>
      <c r="W1674" s="12" t="s">
        <v>3304</v>
      </c>
      <c r="X1674" s="16" t="s">
        <v>9723</v>
      </c>
      <c r="Y1674" s="15" t="s">
        <v>108</v>
      </c>
      <c r="Z1674" s="14">
        <v>0.08</v>
      </c>
      <c r="AA1674" s="14" t="s">
        <v>36</v>
      </c>
      <c r="AB1674" s="12" t="s">
        <v>43</v>
      </c>
      <c r="AC1674" s="12" t="s">
        <v>3306</v>
      </c>
      <c r="AD1674" s="13">
        <v>44908</v>
      </c>
      <c r="AE1674" s="12" t="s">
        <v>1945</v>
      </c>
      <c r="AF1674" s="12" t="s">
        <v>2440</v>
      </c>
      <c r="AG1674" s="12" t="s">
        <v>81</v>
      </c>
      <c r="AH1674" s="1">
        <f>HYPERLINK("https://my.pitchbook.com?c=251183-08T","View Company Online")</f>
      </c>
    </row>
    <row r="1675">
      <c r="A1675" s="3" t="s">
        <v>9724</v>
      </c>
      <c r="B1675" s="3" t="s">
        <v>9725</v>
      </c>
      <c r="C1675" s="5" t="s">
        <v>36</v>
      </c>
      <c r="D1675" s="5" t="s">
        <v>36</v>
      </c>
      <c r="E1675" s="5" t="s">
        <v>36</v>
      </c>
      <c r="F1675" s="5" t="s">
        <v>36</v>
      </c>
      <c r="G1675" s="6" t="s">
        <v>326</v>
      </c>
      <c r="H1675" s="4">
        <v>105.93</v>
      </c>
      <c r="I1675" s="7">
        <v>30.56</v>
      </c>
      <c r="J1675" s="3" t="s">
        <v>521</v>
      </c>
      <c r="K1675" s="9">
        <v>44775</v>
      </c>
      <c r="L1675" s="6" t="s">
        <v>122</v>
      </c>
      <c r="M1675" s="3" t="s">
        <v>36</v>
      </c>
      <c r="N1675" s="3" t="s">
        <v>122</v>
      </c>
      <c r="O1675" s="8" t="s">
        <v>36</v>
      </c>
      <c r="P1675" s="3" t="s">
        <v>36</v>
      </c>
      <c r="Q1675" s="3" t="s">
        <v>36</v>
      </c>
      <c r="R1675" s="3" t="s">
        <v>36</v>
      </c>
      <c r="S1675" s="3" t="s">
        <v>36</v>
      </c>
      <c r="T1675" s="3" t="s">
        <v>9726</v>
      </c>
      <c r="U1675" s="3" t="s">
        <v>318</v>
      </c>
      <c r="V1675" s="3" t="s">
        <v>39</v>
      </c>
      <c r="W1675" s="3" t="s">
        <v>9727</v>
      </c>
      <c r="X1675" s="10" t="s">
        <v>9728</v>
      </c>
      <c r="Y1675" s="6" t="s">
        <v>42</v>
      </c>
      <c r="Z1675" s="4">
        <v>2.6</v>
      </c>
      <c r="AA1675" s="4">
        <v>5.6</v>
      </c>
      <c r="AB1675" s="3" t="s">
        <v>56</v>
      </c>
      <c r="AC1675" s="3" t="s">
        <v>9729</v>
      </c>
      <c r="AD1675" s="9">
        <v>44908</v>
      </c>
      <c r="AE1675" s="3" t="s">
        <v>323</v>
      </c>
      <c r="AF1675" s="3" t="s">
        <v>571</v>
      </c>
      <c r="AG1675" s="3" t="s">
        <v>1276</v>
      </c>
      <c r="AH1675" s="11">
        <f>HYPERLINK("https://my.pitchbook.com?c=200110-24T","View Company Online")</f>
      </c>
    </row>
    <row r="1676">
      <c r="A1676" s="12" t="s">
        <v>9730</v>
      </c>
      <c r="B1676" s="12" t="s">
        <v>9731</v>
      </c>
      <c r="C1676" s="19">
        <v>1</v>
      </c>
      <c r="D1676" s="19">
        <v>3</v>
      </c>
      <c r="E1676" s="19">
        <v>2</v>
      </c>
      <c r="F1676" s="19">
        <v>4</v>
      </c>
      <c r="G1676" s="15" t="s">
        <v>36</v>
      </c>
      <c r="H1676" s="14">
        <v>7.99</v>
      </c>
      <c r="I1676" s="18">
        <v>32.42</v>
      </c>
      <c r="J1676" s="12" t="s">
        <v>521</v>
      </c>
      <c r="K1676" s="13" t="s">
        <v>36</v>
      </c>
      <c r="L1676" s="15" t="s">
        <v>1981</v>
      </c>
      <c r="M1676" s="12" t="s">
        <v>36</v>
      </c>
      <c r="N1676" s="12" t="s">
        <v>1981</v>
      </c>
      <c r="O1676" s="17" t="s">
        <v>36</v>
      </c>
      <c r="P1676" s="12" t="s">
        <v>36</v>
      </c>
      <c r="Q1676" s="12" t="s">
        <v>36</v>
      </c>
      <c r="R1676" s="12" t="s">
        <v>36</v>
      </c>
      <c r="S1676" s="12" t="s">
        <v>36</v>
      </c>
      <c r="T1676" s="12" t="s">
        <v>9732</v>
      </c>
      <c r="U1676" s="12" t="s">
        <v>2279</v>
      </c>
      <c r="V1676" s="12" t="s">
        <v>378</v>
      </c>
      <c r="W1676" s="12" t="s">
        <v>9733</v>
      </c>
      <c r="X1676" s="16" t="s">
        <v>9734</v>
      </c>
      <c r="Y1676" s="15" t="s">
        <v>42</v>
      </c>
      <c r="Z1676" s="14">
        <v>17.52</v>
      </c>
      <c r="AA1676" s="14">
        <v>54.04</v>
      </c>
      <c r="AB1676" s="12" t="s">
        <v>43</v>
      </c>
      <c r="AC1676" s="12" t="s">
        <v>9735</v>
      </c>
      <c r="AD1676" s="13">
        <v>44907</v>
      </c>
      <c r="AE1676" s="12" t="s">
        <v>5828</v>
      </c>
      <c r="AF1676" s="12" t="s">
        <v>9736</v>
      </c>
      <c r="AG1676" s="12" t="s">
        <v>144</v>
      </c>
      <c r="AH1676" s="1">
        <f>HYPERLINK("https://my.pitchbook.com?c=208889-20T","View Company Online")</f>
      </c>
    </row>
    <row r="1677">
      <c r="A1677" s="3" t="s">
        <v>9737</v>
      </c>
      <c r="B1677" s="3" t="s">
        <v>9738</v>
      </c>
      <c r="C1677" s="5" t="s">
        <v>36</v>
      </c>
      <c r="D1677" s="5" t="s">
        <v>36</v>
      </c>
      <c r="E1677" s="5" t="s">
        <v>36</v>
      </c>
      <c r="F1677" s="5" t="s">
        <v>36</v>
      </c>
      <c r="G1677" s="6" t="s">
        <v>326</v>
      </c>
      <c r="H1677" s="4">
        <v>104.9</v>
      </c>
      <c r="I1677" s="7">
        <v>22.24</v>
      </c>
      <c r="J1677" s="3" t="s">
        <v>521</v>
      </c>
      <c r="K1677" s="9" t="s">
        <v>36</v>
      </c>
      <c r="L1677" s="6" t="s">
        <v>36</v>
      </c>
      <c r="M1677" s="3" t="s">
        <v>36</v>
      </c>
      <c r="N1677" s="3" t="s">
        <v>36</v>
      </c>
      <c r="O1677" s="8" t="s">
        <v>36</v>
      </c>
      <c r="P1677" s="3" t="s">
        <v>36</v>
      </c>
      <c r="Q1677" s="3" t="s">
        <v>36</v>
      </c>
      <c r="R1677" s="3" t="s">
        <v>36</v>
      </c>
      <c r="S1677" s="3" t="s">
        <v>36</v>
      </c>
      <c r="T1677" s="3" t="s">
        <v>9739</v>
      </c>
      <c r="U1677" s="3" t="s">
        <v>74</v>
      </c>
      <c r="V1677" s="3" t="s">
        <v>75</v>
      </c>
      <c r="W1677" s="3" t="s">
        <v>9740</v>
      </c>
      <c r="X1677" s="10" t="s">
        <v>9741</v>
      </c>
      <c r="Y1677" s="6" t="s">
        <v>42</v>
      </c>
      <c r="Z1677" s="4">
        <v>3.12</v>
      </c>
      <c r="AA1677" s="4">
        <v>9.37</v>
      </c>
      <c r="AB1677" s="3" t="s">
        <v>56</v>
      </c>
      <c r="AC1677" s="3" t="s">
        <v>9742</v>
      </c>
      <c r="AD1677" s="9">
        <v>44907</v>
      </c>
      <c r="AE1677" s="3" t="s">
        <v>79</v>
      </c>
      <c r="AF1677" s="3" t="s">
        <v>46</v>
      </c>
      <c r="AG1677" s="3" t="s">
        <v>7333</v>
      </c>
      <c r="AH1677" s="11">
        <f>HYPERLINK("https://my.pitchbook.com?c=210401-47T","View Company Online")</f>
      </c>
    </row>
    <row r="1678">
      <c r="A1678" s="12" t="s">
        <v>9743</v>
      </c>
      <c r="B1678" s="12" t="s">
        <v>9744</v>
      </c>
      <c r="C1678" s="19" t="s">
        <v>36</v>
      </c>
      <c r="D1678" s="19" t="s">
        <v>36</v>
      </c>
      <c r="E1678" s="19" t="s">
        <v>36</v>
      </c>
      <c r="F1678" s="19" t="s">
        <v>36</v>
      </c>
      <c r="G1678" s="15" t="s">
        <v>36</v>
      </c>
      <c r="H1678" s="14">
        <v>39.57</v>
      </c>
      <c r="I1678" s="18">
        <v>32.86</v>
      </c>
      <c r="J1678" s="12" t="s">
        <v>521</v>
      </c>
      <c r="K1678" s="13" t="s">
        <v>36</v>
      </c>
      <c r="L1678" s="15" t="s">
        <v>36</v>
      </c>
      <c r="M1678" s="12" t="s">
        <v>36</v>
      </c>
      <c r="N1678" s="12" t="s">
        <v>36</v>
      </c>
      <c r="O1678" s="17" t="s">
        <v>36</v>
      </c>
      <c r="P1678" s="12" t="s">
        <v>36</v>
      </c>
      <c r="Q1678" s="12" t="s">
        <v>36</v>
      </c>
      <c r="R1678" s="12" t="s">
        <v>36</v>
      </c>
      <c r="S1678" s="12" t="s">
        <v>36</v>
      </c>
      <c r="T1678" s="12" t="s">
        <v>9745</v>
      </c>
      <c r="U1678" s="12" t="s">
        <v>74</v>
      </c>
      <c r="V1678" s="12" t="s">
        <v>75</v>
      </c>
      <c r="W1678" s="12" t="s">
        <v>9746</v>
      </c>
      <c r="X1678" s="16" t="s">
        <v>9747</v>
      </c>
      <c r="Y1678" s="15" t="s">
        <v>42</v>
      </c>
      <c r="Z1678" s="14">
        <v>1.01</v>
      </c>
      <c r="AA1678" s="14">
        <v>3.09</v>
      </c>
      <c r="AB1678" s="12" t="s">
        <v>43</v>
      </c>
      <c r="AC1678" s="12" t="s">
        <v>9748</v>
      </c>
      <c r="AD1678" s="13">
        <v>44904</v>
      </c>
      <c r="AE1678" s="12" t="s">
        <v>3144</v>
      </c>
      <c r="AF1678" s="12" t="s">
        <v>5236</v>
      </c>
      <c r="AG1678" s="12" t="s">
        <v>969</v>
      </c>
      <c r="AH1678" s="1">
        <f>HYPERLINK("https://my.pitchbook.com?c=210439-90T","View Company Online")</f>
      </c>
    </row>
    <row r="1679">
      <c r="A1679" s="3" t="s">
        <v>9749</v>
      </c>
      <c r="B1679" s="3" t="s">
        <v>9750</v>
      </c>
      <c r="C1679" s="5" t="s">
        <v>36</v>
      </c>
      <c r="D1679" s="5" t="s">
        <v>36</v>
      </c>
      <c r="E1679" s="5" t="s">
        <v>36</v>
      </c>
      <c r="F1679" s="5" t="s">
        <v>36</v>
      </c>
      <c r="G1679" s="6" t="s">
        <v>36</v>
      </c>
      <c r="H1679" s="4">
        <v>17.67</v>
      </c>
      <c r="I1679" s="7">
        <v>28.27</v>
      </c>
      <c r="J1679" s="3" t="s">
        <v>521</v>
      </c>
      <c r="K1679" s="9" t="s">
        <v>36</v>
      </c>
      <c r="L1679" s="6" t="s">
        <v>122</v>
      </c>
      <c r="M1679" s="3" t="s">
        <v>36</v>
      </c>
      <c r="N1679" s="3" t="s">
        <v>122</v>
      </c>
      <c r="O1679" s="8" t="s">
        <v>36</v>
      </c>
      <c r="P1679" s="3" t="s">
        <v>36</v>
      </c>
      <c r="Q1679" s="3" t="s">
        <v>36</v>
      </c>
      <c r="R1679" s="3" t="s">
        <v>36</v>
      </c>
      <c r="S1679" s="3" t="s">
        <v>36</v>
      </c>
      <c r="T1679" s="3" t="s">
        <v>3843</v>
      </c>
      <c r="U1679" s="3" t="s">
        <v>180</v>
      </c>
      <c r="V1679" s="3" t="s">
        <v>52</v>
      </c>
      <c r="W1679" s="3" t="s">
        <v>9751</v>
      </c>
      <c r="X1679" s="10" t="s">
        <v>9752</v>
      </c>
      <c r="Y1679" s="6" t="s">
        <v>108</v>
      </c>
      <c r="Z1679" s="4">
        <v>14.31</v>
      </c>
      <c r="AA1679" s="4">
        <v>33.01</v>
      </c>
      <c r="AB1679" s="3" t="s">
        <v>43</v>
      </c>
      <c r="AC1679" s="3" t="s">
        <v>9753</v>
      </c>
      <c r="AD1679" s="9">
        <v>44904</v>
      </c>
      <c r="AE1679" s="3" t="s">
        <v>3847</v>
      </c>
      <c r="AF1679" s="3" t="s">
        <v>9754</v>
      </c>
      <c r="AG1679" s="3" t="s">
        <v>81</v>
      </c>
      <c r="AH1679" s="11">
        <f>HYPERLINK("https://my.pitchbook.com?c=219167-38T","View Company Online")</f>
      </c>
    </row>
    <row r="1680">
      <c r="A1680" s="12" t="s">
        <v>9755</v>
      </c>
      <c r="B1680" s="12" t="s">
        <v>9756</v>
      </c>
      <c r="C1680" s="19" t="s">
        <v>36</v>
      </c>
      <c r="D1680" s="19" t="s">
        <v>36</v>
      </c>
      <c r="E1680" s="19" t="s">
        <v>36</v>
      </c>
      <c r="F1680" s="19" t="s">
        <v>36</v>
      </c>
      <c r="G1680" s="15" t="s">
        <v>683</v>
      </c>
      <c r="H1680" s="14">
        <v>14.26</v>
      </c>
      <c r="I1680" s="18">
        <v>24.47</v>
      </c>
      <c r="J1680" s="12" t="s">
        <v>521</v>
      </c>
      <c r="K1680" s="13" t="s">
        <v>36</v>
      </c>
      <c r="L1680" s="15" t="s">
        <v>36</v>
      </c>
      <c r="M1680" s="12" t="s">
        <v>36</v>
      </c>
      <c r="N1680" s="12" t="s">
        <v>36</v>
      </c>
      <c r="O1680" s="17" t="s">
        <v>36</v>
      </c>
      <c r="P1680" s="12" t="s">
        <v>36</v>
      </c>
      <c r="Q1680" s="12" t="s">
        <v>36</v>
      </c>
      <c r="R1680" s="12" t="s">
        <v>36</v>
      </c>
      <c r="S1680" s="12" t="s">
        <v>36</v>
      </c>
      <c r="T1680" s="12" t="s">
        <v>9757</v>
      </c>
      <c r="U1680" s="12" t="s">
        <v>38</v>
      </c>
      <c r="V1680" s="12" t="s">
        <v>39</v>
      </c>
      <c r="W1680" s="12" t="s">
        <v>9758</v>
      </c>
      <c r="X1680" s="16" t="s">
        <v>9759</v>
      </c>
      <c r="Y1680" s="15" t="s">
        <v>192</v>
      </c>
      <c r="Z1680" s="14">
        <v>1.33</v>
      </c>
      <c r="AA1680" s="14">
        <v>5.42</v>
      </c>
      <c r="AB1680" s="12" t="s">
        <v>56</v>
      </c>
      <c r="AC1680" s="12" t="s">
        <v>9760</v>
      </c>
      <c r="AD1680" s="13">
        <v>44904</v>
      </c>
      <c r="AE1680" s="12" t="s">
        <v>785</v>
      </c>
      <c r="AF1680" s="12" t="s">
        <v>176</v>
      </c>
      <c r="AG1680" s="12" t="s">
        <v>186</v>
      </c>
      <c r="AH1680" s="1">
        <f>HYPERLINK("https://my.pitchbook.com?c=215751-16T","View Company Online")</f>
      </c>
    </row>
    <row r="1681">
      <c r="A1681" s="3" t="s">
        <v>9761</v>
      </c>
      <c r="B1681" s="3" t="s">
        <v>9762</v>
      </c>
      <c r="C1681" s="5" t="s">
        <v>36</v>
      </c>
      <c r="D1681" s="5" t="s">
        <v>36</v>
      </c>
      <c r="E1681" s="5" t="s">
        <v>36</v>
      </c>
      <c r="F1681" s="5" t="s">
        <v>36</v>
      </c>
      <c r="G1681" s="6" t="s">
        <v>36</v>
      </c>
      <c r="H1681" s="4" t="s">
        <v>36</v>
      </c>
      <c r="I1681" s="7" t="s">
        <v>36</v>
      </c>
      <c r="J1681" s="3" t="s">
        <v>36</v>
      </c>
      <c r="K1681" s="9" t="s">
        <v>36</v>
      </c>
      <c r="L1681" s="6" t="s">
        <v>36</v>
      </c>
      <c r="M1681" s="3" t="s">
        <v>36</v>
      </c>
      <c r="N1681" s="3" t="s">
        <v>36</v>
      </c>
      <c r="O1681" s="8" t="s">
        <v>36</v>
      </c>
      <c r="P1681" s="3" t="s">
        <v>36</v>
      </c>
      <c r="Q1681" s="3" t="s">
        <v>36</v>
      </c>
      <c r="R1681" s="3" t="s">
        <v>36</v>
      </c>
      <c r="S1681" s="3" t="s">
        <v>36</v>
      </c>
      <c r="T1681" s="3" t="s">
        <v>7415</v>
      </c>
      <c r="U1681" s="3" t="s">
        <v>38</v>
      </c>
      <c r="V1681" s="3" t="s">
        <v>39</v>
      </c>
      <c r="W1681" s="3" t="s">
        <v>9763</v>
      </c>
      <c r="X1681" s="10" t="s">
        <v>9764</v>
      </c>
      <c r="Y1681" s="6" t="s">
        <v>108</v>
      </c>
      <c r="Z1681" s="4">
        <v>1.04</v>
      </c>
      <c r="AA1681" s="4" t="s">
        <v>36</v>
      </c>
      <c r="AB1681" s="3" t="s">
        <v>43</v>
      </c>
      <c r="AC1681" s="3" t="s">
        <v>9765</v>
      </c>
      <c r="AD1681" s="9">
        <v>44903</v>
      </c>
      <c r="AE1681" s="3" t="s">
        <v>1422</v>
      </c>
      <c r="AF1681" s="3" t="s">
        <v>4284</v>
      </c>
      <c r="AG1681" s="3" t="s">
        <v>741</v>
      </c>
      <c r="AH1681" s="11">
        <f>HYPERLINK("https://my.pitchbook.com?c=210345-67T","View Company Online")</f>
      </c>
    </row>
    <row r="1682">
      <c r="A1682" s="12" t="s">
        <v>9766</v>
      </c>
      <c r="B1682" s="12" t="s">
        <v>9767</v>
      </c>
      <c r="C1682" s="19" t="s">
        <v>36</v>
      </c>
      <c r="D1682" s="19">
        <v>5</v>
      </c>
      <c r="E1682" s="19">
        <v>1</v>
      </c>
      <c r="F1682" s="19">
        <v>5</v>
      </c>
      <c r="G1682" s="15" t="s">
        <v>36</v>
      </c>
      <c r="H1682" s="14" t="s">
        <v>36</v>
      </c>
      <c r="I1682" s="18" t="s">
        <v>36</v>
      </c>
      <c r="J1682" s="12" t="s">
        <v>36</v>
      </c>
      <c r="K1682" s="13" t="s">
        <v>36</v>
      </c>
      <c r="L1682" s="15" t="s">
        <v>36</v>
      </c>
      <c r="M1682" s="12" t="s">
        <v>36</v>
      </c>
      <c r="N1682" s="12" t="s">
        <v>36</v>
      </c>
      <c r="O1682" s="17" t="s">
        <v>36</v>
      </c>
      <c r="P1682" s="12" t="s">
        <v>36</v>
      </c>
      <c r="Q1682" s="12" t="s">
        <v>36</v>
      </c>
      <c r="R1682" s="12" t="s">
        <v>36</v>
      </c>
      <c r="S1682" s="12" t="s">
        <v>36</v>
      </c>
      <c r="T1682" s="12" t="s">
        <v>818</v>
      </c>
      <c r="U1682" s="12" t="s">
        <v>74</v>
      </c>
      <c r="V1682" s="12" t="s">
        <v>75</v>
      </c>
      <c r="W1682" s="12" t="s">
        <v>9768</v>
      </c>
      <c r="X1682" s="16" t="s">
        <v>9769</v>
      </c>
      <c r="Y1682" s="15" t="s">
        <v>108</v>
      </c>
      <c r="Z1682" s="14">
        <v>3.62</v>
      </c>
      <c r="AA1682" s="14" t="s">
        <v>36</v>
      </c>
      <c r="AB1682" s="12" t="s">
        <v>56</v>
      </c>
      <c r="AC1682" s="12" t="s">
        <v>9770</v>
      </c>
      <c r="AD1682" s="13">
        <v>44903</v>
      </c>
      <c r="AE1682" s="12" t="s">
        <v>570</v>
      </c>
      <c r="AF1682" s="12" t="s">
        <v>36</v>
      </c>
      <c r="AG1682" s="12" t="s">
        <v>4001</v>
      </c>
      <c r="AH1682" s="1">
        <f>HYPERLINK("https://my.pitchbook.com?c=210147-67T","View Company Online")</f>
      </c>
    </row>
    <row r="1683">
      <c r="A1683" s="3" t="s">
        <v>9771</v>
      </c>
      <c r="B1683" s="3" t="s">
        <v>5524</v>
      </c>
      <c r="C1683" s="5" t="s">
        <v>36</v>
      </c>
      <c r="D1683" s="5" t="s">
        <v>36</v>
      </c>
      <c r="E1683" s="5" t="s">
        <v>36</v>
      </c>
      <c r="F1683" s="5" t="s">
        <v>36</v>
      </c>
      <c r="G1683" s="6" t="s">
        <v>36</v>
      </c>
      <c r="H1683" s="4">
        <v>2478.76</v>
      </c>
      <c r="I1683" s="7">
        <v>17.24</v>
      </c>
      <c r="J1683" s="3" t="s">
        <v>521</v>
      </c>
      <c r="K1683" s="9" t="s">
        <v>36</v>
      </c>
      <c r="L1683" s="6" t="s">
        <v>36</v>
      </c>
      <c r="M1683" s="3" t="s">
        <v>36</v>
      </c>
      <c r="N1683" s="3" t="s">
        <v>36</v>
      </c>
      <c r="O1683" s="8" t="s">
        <v>36</v>
      </c>
      <c r="P1683" s="3" t="s">
        <v>36</v>
      </c>
      <c r="Q1683" s="3" t="s">
        <v>36</v>
      </c>
      <c r="R1683" s="3" t="s">
        <v>36</v>
      </c>
      <c r="S1683" s="3" t="s">
        <v>36</v>
      </c>
      <c r="T1683" s="3" t="s">
        <v>5525</v>
      </c>
      <c r="U1683" s="3" t="s">
        <v>38</v>
      </c>
      <c r="V1683" s="3" t="s">
        <v>39</v>
      </c>
      <c r="W1683" s="3" t="s">
        <v>5526</v>
      </c>
      <c r="X1683" s="10" t="s">
        <v>4402</v>
      </c>
      <c r="Y1683" s="6" t="s">
        <v>42</v>
      </c>
      <c r="Z1683" s="4">
        <v>0.56</v>
      </c>
      <c r="AA1683" s="4">
        <v>3.25</v>
      </c>
      <c r="AB1683" s="3" t="s">
        <v>43</v>
      </c>
      <c r="AC1683" s="3" t="s">
        <v>5528</v>
      </c>
      <c r="AD1683" s="9">
        <v>44903</v>
      </c>
      <c r="AE1683" s="3" t="s">
        <v>110</v>
      </c>
      <c r="AF1683" s="3" t="s">
        <v>5529</v>
      </c>
      <c r="AG1683" s="3" t="s">
        <v>47</v>
      </c>
      <c r="AH1683" s="11">
        <f>HYPERLINK("https://my.pitchbook.com?c=205945-75T","View Company Online")</f>
      </c>
    </row>
    <row r="1684">
      <c r="A1684" s="12" t="s">
        <v>9772</v>
      </c>
      <c r="B1684" s="12" t="s">
        <v>9773</v>
      </c>
      <c r="C1684" s="19" t="s">
        <v>36</v>
      </c>
      <c r="D1684" s="19" t="s">
        <v>36</v>
      </c>
      <c r="E1684" s="19" t="s">
        <v>36</v>
      </c>
      <c r="F1684" s="19" t="s">
        <v>36</v>
      </c>
      <c r="G1684" s="15" t="s">
        <v>36</v>
      </c>
      <c r="H1684" s="14" t="s">
        <v>36</v>
      </c>
      <c r="I1684" s="18" t="s">
        <v>36</v>
      </c>
      <c r="J1684" s="12" t="s">
        <v>36</v>
      </c>
      <c r="K1684" s="13" t="s">
        <v>36</v>
      </c>
      <c r="L1684" s="15" t="s">
        <v>94</v>
      </c>
      <c r="M1684" s="12" t="s">
        <v>36</v>
      </c>
      <c r="N1684" s="12" t="s">
        <v>94</v>
      </c>
      <c r="O1684" s="17" t="s">
        <v>36</v>
      </c>
      <c r="P1684" s="12" t="s">
        <v>36</v>
      </c>
      <c r="Q1684" s="12" t="s">
        <v>36</v>
      </c>
      <c r="R1684" s="12" t="s">
        <v>36</v>
      </c>
      <c r="S1684" s="12" t="s">
        <v>36</v>
      </c>
      <c r="T1684" s="12" t="s">
        <v>1188</v>
      </c>
      <c r="U1684" s="12" t="s">
        <v>180</v>
      </c>
      <c r="V1684" s="12" t="s">
        <v>52</v>
      </c>
      <c r="W1684" s="12" t="s">
        <v>9774</v>
      </c>
      <c r="X1684" s="16" t="s">
        <v>9775</v>
      </c>
      <c r="Y1684" s="15" t="s">
        <v>108</v>
      </c>
      <c r="Z1684" s="14">
        <v>8.28</v>
      </c>
      <c r="AA1684" s="14" t="s">
        <v>36</v>
      </c>
      <c r="AB1684" s="12" t="s">
        <v>56</v>
      </c>
      <c r="AC1684" s="12" t="s">
        <v>9776</v>
      </c>
      <c r="AD1684" s="13">
        <v>44903</v>
      </c>
      <c r="AE1684" s="12" t="s">
        <v>1192</v>
      </c>
      <c r="AF1684" s="12" t="s">
        <v>3514</v>
      </c>
      <c r="AG1684" s="12" t="s">
        <v>81</v>
      </c>
      <c r="AH1684" s="1">
        <f>HYPERLINK("https://my.pitchbook.com?c=210559-15T","View Company Online")</f>
      </c>
    </row>
    <row r="1685">
      <c r="A1685" s="3" t="s">
        <v>9777</v>
      </c>
      <c r="B1685" s="3" t="s">
        <v>4938</v>
      </c>
      <c r="C1685" s="5" t="s">
        <v>36</v>
      </c>
      <c r="D1685" s="5" t="s">
        <v>36</v>
      </c>
      <c r="E1685" s="5" t="s">
        <v>36</v>
      </c>
      <c r="F1685" s="5" t="s">
        <v>36</v>
      </c>
      <c r="G1685" s="6" t="s">
        <v>326</v>
      </c>
      <c r="H1685" s="4" t="s">
        <v>36</v>
      </c>
      <c r="I1685" s="7">
        <v>9.93</v>
      </c>
      <c r="J1685" s="3" t="s">
        <v>327</v>
      </c>
      <c r="K1685" s="9" t="s">
        <v>36</v>
      </c>
      <c r="L1685" s="6" t="s">
        <v>36</v>
      </c>
      <c r="M1685" s="3" t="s">
        <v>36</v>
      </c>
      <c r="N1685" s="3" t="s">
        <v>36</v>
      </c>
      <c r="O1685" s="8" t="s">
        <v>36</v>
      </c>
      <c r="P1685" s="3" t="s">
        <v>36</v>
      </c>
      <c r="Q1685" s="3" t="s">
        <v>36</v>
      </c>
      <c r="R1685" s="3" t="s">
        <v>36</v>
      </c>
      <c r="S1685" s="3" t="s">
        <v>36</v>
      </c>
      <c r="T1685" s="3" t="s">
        <v>4939</v>
      </c>
      <c r="U1685" s="3" t="s">
        <v>619</v>
      </c>
      <c r="V1685" s="3" t="s">
        <v>378</v>
      </c>
      <c r="W1685" s="3" t="s">
        <v>4940</v>
      </c>
      <c r="X1685" s="10" t="s">
        <v>9778</v>
      </c>
      <c r="Y1685" s="6" t="s">
        <v>108</v>
      </c>
      <c r="Z1685" s="4">
        <v>1.03</v>
      </c>
      <c r="AA1685" s="4">
        <v>10.4</v>
      </c>
      <c r="AB1685" s="3" t="s">
        <v>43</v>
      </c>
      <c r="AC1685" s="3" t="s">
        <v>4942</v>
      </c>
      <c r="AD1685" s="9">
        <v>44902</v>
      </c>
      <c r="AE1685" s="3" t="s">
        <v>623</v>
      </c>
      <c r="AF1685" s="3" t="s">
        <v>4943</v>
      </c>
      <c r="AG1685" s="3" t="s">
        <v>144</v>
      </c>
      <c r="AH1685" s="11">
        <f>HYPERLINK("https://my.pitchbook.com?c=210087-19T","View Company Online")</f>
      </c>
    </row>
    <row r="1686">
      <c r="A1686" s="12" t="s">
        <v>9779</v>
      </c>
      <c r="B1686" s="12" t="s">
        <v>9780</v>
      </c>
      <c r="C1686" s="19" t="s">
        <v>36</v>
      </c>
      <c r="D1686" s="19" t="s">
        <v>36</v>
      </c>
      <c r="E1686" s="19" t="s">
        <v>36</v>
      </c>
      <c r="F1686" s="19" t="s">
        <v>36</v>
      </c>
      <c r="G1686" s="15" t="s">
        <v>36</v>
      </c>
      <c r="H1686" s="14" t="s">
        <v>36</v>
      </c>
      <c r="I1686" s="18" t="s">
        <v>36</v>
      </c>
      <c r="J1686" s="12" t="s">
        <v>36</v>
      </c>
      <c r="K1686" s="13" t="s">
        <v>36</v>
      </c>
      <c r="L1686" s="15" t="s">
        <v>122</v>
      </c>
      <c r="M1686" s="12" t="s">
        <v>36</v>
      </c>
      <c r="N1686" s="12" t="s">
        <v>122</v>
      </c>
      <c r="O1686" s="17" t="s">
        <v>36</v>
      </c>
      <c r="P1686" s="12" t="s">
        <v>36</v>
      </c>
      <c r="Q1686" s="12" t="s">
        <v>36</v>
      </c>
      <c r="R1686" s="12" t="s">
        <v>36</v>
      </c>
      <c r="S1686" s="12" t="s">
        <v>36</v>
      </c>
      <c r="T1686" s="12" t="s">
        <v>9781</v>
      </c>
      <c r="U1686" s="12" t="s">
        <v>38</v>
      </c>
      <c r="V1686" s="12" t="s">
        <v>39</v>
      </c>
      <c r="W1686" s="12" t="s">
        <v>9782</v>
      </c>
      <c r="X1686" s="16" t="s">
        <v>9783</v>
      </c>
      <c r="Y1686" s="15" t="s">
        <v>55</v>
      </c>
      <c r="Z1686" s="14">
        <v>10.33</v>
      </c>
      <c r="AA1686" s="14" t="s">
        <v>36</v>
      </c>
      <c r="AB1686" s="12" t="s">
        <v>56</v>
      </c>
      <c r="AC1686" s="12" t="s">
        <v>9784</v>
      </c>
      <c r="AD1686" s="13">
        <v>44902</v>
      </c>
      <c r="AE1686" s="12" t="s">
        <v>110</v>
      </c>
      <c r="AF1686" s="12" t="s">
        <v>1401</v>
      </c>
      <c r="AG1686" s="12" t="s">
        <v>9785</v>
      </c>
      <c r="AH1686" s="1">
        <f>HYPERLINK("https://my.pitchbook.com?c=210182-14T","View Company Online")</f>
      </c>
    </row>
    <row r="1687">
      <c r="A1687" s="3" t="s">
        <v>9786</v>
      </c>
      <c r="B1687" s="3" t="s">
        <v>9787</v>
      </c>
      <c r="C1687" s="5" t="s">
        <v>36</v>
      </c>
      <c r="D1687" s="5" t="s">
        <v>36</v>
      </c>
      <c r="E1687" s="5" t="s">
        <v>36</v>
      </c>
      <c r="F1687" s="5" t="s">
        <v>36</v>
      </c>
      <c r="G1687" s="6" t="s">
        <v>326</v>
      </c>
      <c r="H1687" s="4" t="s">
        <v>36</v>
      </c>
      <c r="I1687" s="7">
        <v>23.84</v>
      </c>
      <c r="J1687" s="3" t="s">
        <v>327</v>
      </c>
      <c r="K1687" s="9" t="s">
        <v>36</v>
      </c>
      <c r="L1687" s="6" t="s">
        <v>36</v>
      </c>
      <c r="M1687" s="3" t="s">
        <v>36</v>
      </c>
      <c r="N1687" s="3" t="s">
        <v>36</v>
      </c>
      <c r="O1687" s="8" t="s">
        <v>36</v>
      </c>
      <c r="P1687" s="3" t="s">
        <v>36</v>
      </c>
      <c r="Q1687" s="3" t="s">
        <v>36</v>
      </c>
      <c r="R1687" s="3" t="s">
        <v>36</v>
      </c>
      <c r="S1687" s="3" t="s">
        <v>36</v>
      </c>
      <c r="T1687" s="3" t="s">
        <v>9788</v>
      </c>
      <c r="U1687" s="3" t="s">
        <v>74</v>
      </c>
      <c r="V1687" s="3" t="s">
        <v>75</v>
      </c>
      <c r="W1687" s="3" t="s">
        <v>9789</v>
      </c>
      <c r="X1687" s="10" t="s">
        <v>9790</v>
      </c>
      <c r="Y1687" s="6" t="s">
        <v>55</v>
      </c>
      <c r="Z1687" s="4">
        <v>3.62</v>
      </c>
      <c r="AA1687" s="4">
        <v>12.13</v>
      </c>
      <c r="AB1687" s="3" t="s">
        <v>43</v>
      </c>
      <c r="AC1687" s="3" t="s">
        <v>9791</v>
      </c>
      <c r="AD1687" s="9">
        <v>44902</v>
      </c>
      <c r="AE1687" s="3" t="s">
        <v>3144</v>
      </c>
      <c r="AF1687" s="3" t="s">
        <v>9792</v>
      </c>
      <c r="AG1687" s="3" t="s">
        <v>81</v>
      </c>
      <c r="AH1687" s="11">
        <f>HYPERLINK("https://my.pitchbook.com?c=210017-62T","View Company Online")</f>
      </c>
    </row>
    <row r="1688">
      <c r="A1688" s="12" t="s">
        <v>9793</v>
      </c>
      <c r="B1688" s="12" t="s">
        <v>9794</v>
      </c>
      <c r="C1688" s="19" t="s">
        <v>36</v>
      </c>
      <c r="D1688" s="19" t="s">
        <v>36</v>
      </c>
      <c r="E1688" s="19" t="s">
        <v>36</v>
      </c>
      <c r="F1688" s="19" t="s">
        <v>36</v>
      </c>
      <c r="G1688" s="15" t="s">
        <v>36</v>
      </c>
      <c r="H1688" s="14" t="s">
        <v>36</v>
      </c>
      <c r="I1688" s="18" t="s">
        <v>36</v>
      </c>
      <c r="J1688" s="12" t="s">
        <v>36</v>
      </c>
      <c r="K1688" s="13" t="s">
        <v>36</v>
      </c>
      <c r="L1688" s="15" t="s">
        <v>36</v>
      </c>
      <c r="M1688" s="12" t="s">
        <v>36</v>
      </c>
      <c r="N1688" s="12" t="s">
        <v>36</v>
      </c>
      <c r="O1688" s="17" t="s">
        <v>36</v>
      </c>
      <c r="P1688" s="12" t="s">
        <v>36</v>
      </c>
      <c r="Q1688" s="12" t="s">
        <v>36</v>
      </c>
      <c r="R1688" s="12" t="s">
        <v>36</v>
      </c>
      <c r="S1688" s="12" t="s">
        <v>2072</v>
      </c>
      <c r="T1688" s="12" t="s">
        <v>8387</v>
      </c>
      <c r="U1688" s="12" t="s">
        <v>38</v>
      </c>
      <c r="V1688" s="12" t="s">
        <v>39</v>
      </c>
      <c r="W1688" s="12" t="s">
        <v>9795</v>
      </c>
      <c r="X1688" s="16" t="s">
        <v>9796</v>
      </c>
      <c r="Y1688" s="15" t="s">
        <v>108</v>
      </c>
      <c r="Z1688" s="14">
        <v>3.1</v>
      </c>
      <c r="AA1688" s="14" t="s">
        <v>36</v>
      </c>
      <c r="AB1688" s="12" t="s">
        <v>43</v>
      </c>
      <c r="AC1688" s="12" t="s">
        <v>9797</v>
      </c>
      <c r="AD1688" s="13">
        <v>44902</v>
      </c>
      <c r="AE1688" s="12" t="s">
        <v>110</v>
      </c>
      <c r="AF1688" s="12" t="s">
        <v>9798</v>
      </c>
      <c r="AG1688" s="12" t="s">
        <v>81</v>
      </c>
      <c r="AH1688" s="1">
        <f>HYPERLINK("https://my.pitchbook.com?c=200608-84T","View Company Online")</f>
      </c>
    </row>
    <row r="1689">
      <c r="A1689" s="3" t="s">
        <v>9799</v>
      </c>
      <c r="B1689" s="3" t="s">
        <v>9800</v>
      </c>
      <c r="C1689" s="5" t="s">
        <v>36</v>
      </c>
      <c r="D1689" s="5" t="s">
        <v>36</v>
      </c>
      <c r="E1689" s="5" t="s">
        <v>36</v>
      </c>
      <c r="F1689" s="5" t="s">
        <v>36</v>
      </c>
      <c r="G1689" s="6" t="s">
        <v>36</v>
      </c>
      <c r="H1689" s="4" t="s">
        <v>36</v>
      </c>
      <c r="I1689" s="7" t="s">
        <v>36</v>
      </c>
      <c r="J1689" s="3" t="s">
        <v>36</v>
      </c>
      <c r="K1689" s="9" t="s">
        <v>36</v>
      </c>
      <c r="L1689" s="6" t="s">
        <v>36</v>
      </c>
      <c r="M1689" s="3" t="s">
        <v>36</v>
      </c>
      <c r="N1689" s="3" t="s">
        <v>36</v>
      </c>
      <c r="O1689" s="8" t="s">
        <v>36</v>
      </c>
      <c r="P1689" s="3" t="s">
        <v>36</v>
      </c>
      <c r="Q1689" s="3" t="s">
        <v>36</v>
      </c>
      <c r="R1689" s="3" t="s">
        <v>36</v>
      </c>
      <c r="S1689" s="3" t="s">
        <v>36</v>
      </c>
      <c r="T1689" s="3" t="s">
        <v>115</v>
      </c>
      <c r="U1689" s="3" t="s">
        <v>63</v>
      </c>
      <c r="V1689" s="3" t="s">
        <v>64</v>
      </c>
      <c r="W1689" s="3" t="s">
        <v>9801</v>
      </c>
      <c r="X1689" s="10" t="s">
        <v>9802</v>
      </c>
      <c r="Y1689" s="6" t="s">
        <v>166</v>
      </c>
      <c r="Z1689" s="4">
        <v>11.03</v>
      </c>
      <c r="AA1689" s="4" t="s">
        <v>36</v>
      </c>
      <c r="AB1689" s="3" t="s">
        <v>56</v>
      </c>
      <c r="AC1689" s="3" t="s">
        <v>9803</v>
      </c>
      <c r="AD1689" s="9">
        <v>44901</v>
      </c>
      <c r="AE1689" s="3" t="s">
        <v>68</v>
      </c>
      <c r="AF1689" s="3" t="s">
        <v>176</v>
      </c>
      <c r="AG1689" s="3" t="s">
        <v>81</v>
      </c>
      <c r="AH1689" s="11">
        <f>HYPERLINK("https://my.pitchbook.com?c=209905-39T","View Company Online")</f>
      </c>
    </row>
    <row r="1690">
      <c r="A1690" s="12" t="s">
        <v>9804</v>
      </c>
      <c r="B1690" s="12" t="s">
        <v>9805</v>
      </c>
      <c r="C1690" s="19" t="s">
        <v>36</v>
      </c>
      <c r="D1690" s="19" t="s">
        <v>36</v>
      </c>
      <c r="E1690" s="19" t="s">
        <v>36</v>
      </c>
      <c r="F1690" s="19" t="s">
        <v>36</v>
      </c>
      <c r="G1690" s="15" t="s">
        <v>326</v>
      </c>
      <c r="H1690" s="14">
        <v>24232.87</v>
      </c>
      <c r="I1690" s="18">
        <v>18.48</v>
      </c>
      <c r="J1690" s="12" t="s">
        <v>521</v>
      </c>
      <c r="K1690" s="13" t="s">
        <v>36</v>
      </c>
      <c r="L1690" s="15" t="s">
        <v>36</v>
      </c>
      <c r="M1690" s="12" t="s">
        <v>36</v>
      </c>
      <c r="N1690" s="12" t="s">
        <v>36</v>
      </c>
      <c r="O1690" s="17" t="s">
        <v>36</v>
      </c>
      <c r="P1690" s="12" t="s">
        <v>36</v>
      </c>
      <c r="Q1690" s="12" t="s">
        <v>36</v>
      </c>
      <c r="R1690" s="12" t="s">
        <v>36</v>
      </c>
      <c r="S1690" s="12" t="s">
        <v>36</v>
      </c>
      <c r="T1690" s="12" t="s">
        <v>1023</v>
      </c>
      <c r="U1690" s="12" t="s">
        <v>74</v>
      </c>
      <c r="V1690" s="12" t="s">
        <v>75</v>
      </c>
      <c r="W1690" s="12" t="s">
        <v>9806</v>
      </c>
      <c r="X1690" s="16" t="s">
        <v>1598</v>
      </c>
      <c r="Y1690" s="15" t="s">
        <v>42</v>
      </c>
      <c r="Z1690" s="14">
        <v>1.86</v>
      </c>
      <c r="AA1690" s="14">
        <v>10.04</v>
      </c>
      <c r="AB1690" s="12" t="s">
        <v>56</v>
      </c>
      <c r="AC1690" s="12" t="s">
        <v>9807</v>
      </c>
      <c r="AD1690" s="13">
        <v>44901</v>
      </c>
      <c r="AE1690" s="12" t="s">
        <v>79</v>
      </c>
      <c r="AF1690" s="12" t="s">
        <v>36</v>
      </c>
      <c r="AG1690" s="12" t="s">
        <v>9808</v>
      </c>
      <c r="AH1690" s="1">
        <f>HYPERLINK("https://my.pitchbook.com?c=211440-07T","View Company Online")</f>
      </c>
    </row>
    <row r="1691">
      <c r="A1691" s="3" t="s">
        <v>9809</v>
      </c>
      <c r="B1691" s="3" t="s">
        <v>9810</v>
      </c>
      <c r="C1691" s="5" t="s">
        <v>36</v>
      </c>
      <c r="D1691" s="5" t="s">
        <v>36</v>
      </c>
      <c r="E1691" s="5">
        <v>1</v>
      </c>
      <c r="F1691" s="5">
        <v>1</v>
      </c>
      <c r="G1691" s="6" t="s">
        <v>36</v>
      </c>
      <c r="H1691" s="4" t="s">
        <v>36</v>
      </c>
      <c r="I1691" s="7" t="s">
        <v>36</v>
      </c>
      <c r="J1691" s="3" t="s">
        <v>36</v>
      </c>
      <c r="K1691" s="9" t="s">
        <v>36</v>
      </c>
      <c r="L1691" s="6" t="s">
        <v>36</v>
      </c>
      <c r="M1691" s="3" t="s">
        <v>36</v>
      </c>
      <c r="N1691" s="3" t="s">
        <v>36</v>
      </c>
      <c r="O1691" s="8" t="s">
        <v>36</v>
      </c>
      <c r="P1691" s="3" t="s">
        <v>36</v>
      </c>
      <c r="Q1691" s="3" t="s">
        <v>36</v>
      </c>
      <c r="R1691" s="3" t="s">
        <v>36</v>
      </c>
      <c r="S1691" s="3" t="s">
        <v>36</v>
      </c>
      <c r="T1691" s="3" t="s">
        <v>9811</v>
      </c>
      <c r="U1691" s="3" t="s">
        <v>180</v>
      </c>
      <c r="V1691" s="3" t="s">
        <v>52</v>
      </c>
      <c r="W1691" s="3" t="s">
        <v>9812</v>
      </c>
      <c r="X1691" s="10" t="s">
        <v>9813</v>
      </c>
      <c r="Y1691" s="6" t="s">
        <v>108</v>
      </c>
      <c r="Z1691" s="4">
        <v>2.5</v>
      </c>
      <c r="AA1691" s="4" t="s">
        <v>36</v>
      </c>
      <c r="AB1691" s="3" t="s">
        <v>43</v>
      </c>
      <c r="AC1691" s="3" t="s">
        <v>9814</v>
      </c>
      <c r="AD1691" s="9">
        <v>44900</v>
      </c>
      <c r="AE1691" s="3" t="s">
        <v>3847</v>
      </c>
      <c r="AF1691" s="3" t="s">
        <v>9815</v>
      </c>
      <c r="AG1691" s="3" t="s">
        <v>81</v>
      </c>
      <c r="AH1691" s="11">
        <f>HYPERLINK("https://my.pitchbook.com?c=209847-79T","View Company Online")</f>
      </c>
    </row>
    <row r="1692">
      <c r="A1692" s="12" t="s">
        <v>9816</v>
      </c>
      <c r="B1692" s="12" t="s">
        <v>9817</v>
      </c>
      <c r="C1692" s="19" t="s">
        <v>36</v>
      </c>
      <c r="D1692" s="19" t="s">
        <v>36</v>
      </c>
      <c r="E1692" s="19" t="s">
        <v>36</v>
      </c>
      <c r="F1692" s="19" t="s">
        <v>36</v>
      </c>
      <c r="G1692" s="15" t="s">
        <v>36</v>
      </c>
      <c r="H1692" s="14" t="s">
        <v>36</v>
      </c>
      <c r="I1692" s="18" t="s">
        <v>36</v>
      </c>
      <c r="J1692" s="12" t="s">
        <v>36</v>
      </c>
      <c r="K1692" s="13" t="s">
        <v>36</v>
      </c>
      <c r="L1692" s="15" t="s">
        <v>36</v>
      </c>
      <c r="M1692" s="12" t="s">
        <v>36</v>
      </c>
      <c r="N1692" s="12" t="s">
        <v>36</v>
      </c>
      <c r="O1692" s="17" t="s">
        <v>36</v>
      </c>
      <c r="P1692" s="12" t="s">
        <v>36</v>
      </c>
      <c r="Q1692" s="12" t="s">
        <v>36</v>
      </c>
      <c r="R1692" s="12" t="s">
        <v>36</v>
      </c>
      <c r="S1692" s="12" t="s">
        <v>36</v>
      </c>
      <c r="T1692" s="12" t="s">
        <v>197</v>
      </c>
      <c r="U1692" s="12" t="s">
        <v>38</v>
      </c>
      <c r="V1692" s="12" t="s">
        <v>39</v>
      </c>
      <c r="W1692" s="12" t="s">
        <v>9818</v>
      </c>
      <c r="X1692" s="16" t="s">
        <v>9819</v>
      </c>
      <c r="Y1692" s="15" t="s">
        <v>42</v>
      </c>
      <c r="Z1692" s="14">
        <v>1.4</v>
      </c>
      <c r="AA1692" s="14" t="s">
        <v>36</v>
      </c>
      <c r="AB1692" s="12" t="s">
        <v>43</v>
      </c>
      <c r="AC1692" s="12" t="s">
        <v>9820</v>
      </c>
      <c r="AD1692" s="13">
        <v>44897</v>
      </c>
      <c r="AE1692" s="12" t="s">
        <v>110</v>
      </c>
      <c r="AF1692" s="12" t="s">
        <v>3319</v>
      </c>
      <c r="AG1692" s="12" t="s">
        <v>81</v>
      </c>
      <c r="AH1692" s="1">
        <f>HYPERLINK("https://my.pitchbook.com?c=208015-57T","View Company Online")</f>
      </c>
    </row>
    <row r="1693">
      <c r="A1693" s="3" t="s">
        <v>9821</v>
      </c>
      <c r="B1693" s="3" t="s">
        <v>9822</v>
      </c>
      <c r="C1693" s="5" t="s">
        <v>36</v>
      </c>
      <c r="D1693" s="5" t="s">
        <v>36</v>
      </c>
      <c r="E1693" s="5" t="s">
        <v>36</v>
      </c>
      <c r="F1693" s="5" t="s">
        <v>36</v>
      </c>
      <c r="G1693" s="6" t="s">
        <v>36</v>
      </c>
      <c r="H1693" s="4">
        <v>396.36</v>
      </c>
      <c r="I1693" s="7">
        <v>29.08</v>
      </c>
      <c r="J1693" s="3" t="s">
        <v>521</v>
      </c>
      <c r="K1693" s="9" t="s">
        <v>36</v>
      </c>
      <c r="L1693" s="6" t="s">
        <v>36</v>
      </c>
      <c r="M1693" s="3" t="s">
        <v>36</v>
      </c>
      <c r="N1693" s="3" t="s">
        <v>36</v>
      </c>
      <c r="O1693" s="8" t="s">
        <v>36</v>
      </c>
      <c r="P1693" s="3" t="s">
        <v>36</v>
      </c>
      <c r="Q1693" s="3" t="s">
        <v>36</v>
      </c>
      <c r="R1693" s="3" t="s">
        <v>36</v>
      </c>
      <c r="S1693" s="3" t="s">
        <v>36</v>
      </c>
      <c r="T1693" s="3" t="s">
        <v>9823</v>
      </c>
      <c r="U1693" s="3" t="s">
        <v>289</v>
      </c>
      <c r="V1693" s="3" t="s">
        <v>64</v>
      </c>
      <c r="W1693" s="3" t="s">
        <v>9824</v>
      </c>
      <c r="X1693" s="10" t="s">
        <v>9825</v>
      </c>
      <c r="Y1693" s="6" t="s">
        <v>42</v>
      </c>
      <c r="Z1693" s="4">
        <v>4.54</v>
      </c>
      <c r="AA1693" s="4">
        <v>8.17</v>
      </c>
      <c r="AB1693" s="3" t="s">
        <v>43</v>
      </c>
      <c r="AC1693" s="3" t="s">
        <v>9826</v>
      </c>
      <c r="AD1693" s="9">
        <v>44897</v>
      </c>
      <c r="AE1693" s="3" t="s">
        <v>292</v>
      </c>
      <c r="AF1693" s="3" t="s">
        <v>90</v>
      </c>
      <c r="AG1693" s="3" t="s">
        <v>9827</v>
      </c>
      <c r="AH1693" s="11">
        <f>HYPERLINK("https://my.pitchbook.com?c=209756-17T","View Company Online")</f>
      </c>
    </row>
    <row r="1694">
      <c r="A1694" s="12" t="s">
        <v>9828</v>
      </c>
      <c r="B1694" s="12" t="s">
        <v>9829</v>
      </c>
      <c r="C1694" s="19" t="s">
        <v>36</v>
      </c>
      <c r="D1694" s="19">
        <v>6</v>
      </c>
      <c r="E1694" s="19">
        <v>1</v>
      </c>
      <c r="F1694" s="19">
        <v>6</v>
      </c>
      <c r="G1694" s="15" t="s">
        <v>326</v>
      </c>
      <c r="H1694" s="14">
        <v>25.96</v>
      </c>
      <c r="I1694" s="18">
        <v>40.66</v>
      </c>
      <c r="J1694" s="12" t="s">
        <v>521</v>
      </c>
      <c r="K1694" s="13">
        <v>44640</v>
      </c>
      <c r="L1694" s="15" t="s">
        <v>94</v>
      </c>
      <c r="M1694" s="12" t="s">
        <v>36</v>
      </c>
      <c r="N1694" s="12" t="s">
        <v>94</v>
      </c>
      <c r="O1694" s="17" t="s">
        <v>36</v>
      </c>
      <c r="P1694" s="12" t="s">
        <v>36</v>
      </c>
      <c r="Q1694" s="12" t="s">
        <v>36</v>
      </c>
      <c r="R1694" s="12" t="s">
        <v>36</v>
      </c>
      <c r="S1694" s="12" t="s">
        <v>36</v>
      </c>
      <c r="T1694" s="12" t="s">
        <v>9830</v>
      </c>
      <c r="U1694" s="12" t="s">
        <v>1082</v>
      </c>
      <c r="V1694" s="12" t="s">
        <v>378</v>
      </c>
      <c r="W1694" s="12" t="s">
        <v>9831</v>
      </c>
      <c r="X1694" s="16" t="s">
        <v>9832</v>
      </c>
      <c r="Y1694" s="15" t="s">
        <v>55</v>
      </c>
      <c r="Z1694" s="14">
        <v>4.84</v>
      </c>
      <c r="AA1694" s="14">
        <v>9.04</v>
      </c>
      <c r="AB1694" s="12" t="s">
        <v>56</v>
      </c>
      <c r="AC1694" s="12" t="s">
        <v>9833</v>
      </c>
      <c r="AD1694" s="13">
        <v>44897</v>
      </c>
      <c r="AE1694" s="12" t="s">
        <v>1086</v>
      </c>
      <c r="AF1694" s="12" t="s">
        <v>2673</v>
      </c>
      <c r="AG1694" s="12" t="s">
        <v>8790</v>
      </c>
      <c r="AH1694" s="1">
        <f>HYPERLINK("https://my.pitchbook.com?c=190644-76T","View Company Online")</f>
      </c>
    </row>
    <row r="1695">
      <c r="A1695" s="3" t="s">
        <v>9834</v>
      </c>
      <c r="B1695" s="3" t="s">
        <v>9835</v>
      </c>
      <c r="C1695" s="5">
        <v>2</v>
      </c>
      <c r="D1695" s="5">
        <v>21</v>
      </c>
      <c r="E1695" s="5">
        <v>6</v>
      </c>
      <c r="F1695" s="5">
        <v>23</v>
      </c>
      <c r="G1695" s="6" t="s">
        <v>2497</v>
      </c>
      <c r="H1695" s="4">
        <v>20.77</v>
      </c>
      <c r="I1695" s="7">
        <v>51.14</v>
      </c>
      <c r="J1695" s="3" t="s">
        <v>521</v>
      </c>
      <c r="K1695" s="9" t="s">
        <v>36</v>
      </c>
      <c r="L1695" s="6" t="s">
        <v>36</v>
      </c>
      <c r="M1695" s="3" t="s">
        <v>36</v>
      </c>
      <c r="N1695" s="3" t="s">
        <v>36</v>
      </c>
      <c r="O1695" s="8" t="s">
        <v>36</v>
      </c>
      <c r="P1695" s="3" t="s">
        <v>36</v>
      </c>
      <c r="Q1695" s="3" t="s">
        <v>36</v>
      </c>
      <c r="R1695" s="3" t="s">
        <v>36</v>
      </c>
      <c r="S1695" s="3" t="s">
        <v>36</v>
      </c>
      <c r="T1695" s="3" t="s">
        <v>9836</v>
      </c>
      <c r="U1695" s="3" t="s">
        <v>96</v>
      </c>
      <c r="V1695" s="3" t="s">
        <v>52</v>
      </c>
      <c r="W1695" s="3" t="s">
        <v>9837</v>
      </c>
      <c r="X1695" s="10" t="s">
        <v>9838</v>
      </c>
      <c r="Y1695" s="6" t="s">
        <v>192</v>
      </c>
      <c r="Z1695" s="4">
        <v>1.58</v>
      </c>
      <c r="AA1695" s="4">
        <v>3.09</v>
      </c>
      <c r="AB1695" s="3" t="s">
        <v>56</v>
      </c>
      <c r="AC1695" s="3" t="s">
        <v>9839</v>
      </c>
      <c r="AD1695" s="9">
        <v>44896</v>
      </c>
      <c r="AE1695" s="3" t="s">
        <v>100</v>
      </c>
      <c r="AF1695" s="3" t="s">
        <v>9840</v>
      </c>
      <c r="AG1695" s="3" t="s">
        <v>1843</v>
      </c>
      <c r="AH1695" s="11">
        <f>HYPERLINK("https://my.pitchbook.com?c=211917-07T","View Company Online")</f>
      </c>
    </row>
    <row r="1696">
      <c r="A1696" s="12" t="s">
        <v>9841</v>
      </c>
      <c r="B1696" s="12" t="s">
        <v>9842</v>
      </c>
      <c r="C1696" s="19" t="s">
        <v>36</v>
      </c>
      <c r="D1696" s="19" t="s">
        <v>36</v>
      </c>
      <c r="E1696" s="19" t="s">
        <v>36</v>
      </c>
      <c r="F1696" s="19" t="s">
        <v>36</v>
      </c>
      <c r="G1696" s="15" t="s">
        <v>36</v>
      </c>
      <c r="H1696" s="14">
        <v>138.47</v>
      </c>
      <c r="I1696" s="18">
        <v>37.5</v>
      </c>
      <c r="J1696" s="12" t="s">
        <v>521</v>
      </c>
      <c r="K1696" s="13" t="s">
        <v>36</v>
      </c>
      <c r="L1696" s="15" t="s">
        <v>36</v>
      </c>
      <c r="M1696" s="12" t="s">
        <v>36</v>
      </c>
      <c r="N1696" s="12" t="s">
        <v>36</v>
      </c>
      <c r="O1696" s="17" t="s">
        <v>36</v>
      </c>
      <c r="P1696" s="12" t="s">
        <v>36</v>
      </c>
      <c r="Q1696" s="12" t="s">
        <v>36</v>
      </c>
      <c r="R1696" s="12" t="s">
        <v>36</v>
      </c>
      <c r="S1696" s="12" t="s">
        <v>36</v>
      </c>
      <c r="T1696" s="12" t="s">
        <v>4911</v>
      </c>
      <c r="U1696" s="12" t="s">
        <v>63</v>
      </c>
      <c r="V1696" s="12" t="s">
        <v>64</v>
      </c>
      <c r="W1696" s="12" t="s">
        <v>9843</v>
      </c>
      <c r="X1696" s="16" t="s">
        <v>9844</v>
      </c>
      <c r="Y1696" s="15" t="s">
        <v>42</v>
      </c>
      <c r="Z1696" s="14">
        <v>1.23</v>
      </c>
      <c r="AA1696" s="14">
        <v>3.27</v>
      </c>
      <c r="AB1696" s="12" t="s">
        <v>43</v>
      </c>
      <c r="AC1696" s="12" t="s">
        <v>9845</v>
      </c>
      <c r="AD1696" s="13">
        <v>44896</v>
      </c>
      <c r="AE1696" s="12" t="s">
        <v>399</v>
      </c>
      <c r="AF1696" s="12" t="s">
        <v>938</v>
      </c>
      <c r="AG1696" s="12" t="s">
        <v>47</v>
      </c>
      <c r="AH1696" s="1">
        <f>HYPERLINK("https://my.pitchbook.com?c=218219-77T","View Company Online")</f>
      </c>
    </row>
    <row r="1697">
      <c r="A1697" s="3" t="s">
        <v>9846</v>
      </c>
      <c r="B1697" s="3" t="s">
        <v>1455</v>
      </c>
      <c r="C1697" s="5" t="s">
        <v>36</v>
      </c>
      <c r="D1697" s="5" t="s">
        <v>36</v>
      </c>
      <c r="E1697" s="5" t="s">
        <v>36</v>
      </c>
      <c r="F1697" s="5" t="s">
        <v>36</v>
      </c>
      <c r="G1697" s="6" t="s">
        <v>326</v>
      </c>
      <c r="H1697" s="4">
        <v>21.89</v>
      </c>
      <c r="I1697" s="7">
        <v>29.27</v>
      </c>
      <c r="J1697" s="3" t="s">
        <v>521</v>
      </c>
      <c r="K1697" s="9">
        <v>44755</v>
      </c>
      <c r="L1697" s="6" t="s">
        <v>36</v>
      </c>
      <c r="M1697" s="3" t="s">
        <v>36</v>
      </c>
      <c r="N1697" s="3" t="s">
        <v>36</v>
      </c>
      <c r="O1697" s="8" t="s">
        <v>36</v>
      </c>
      <c r="P1697" s="3" t="s">
        <v>36</v>
      </c>
      <c r="Q1697" s="3" t="s">
        <v>36</v>
      </c>
      <c r="R1697" s="3" t="s">
        <v>36</v>
      </c>
      <c r="S1697" s="3" t="s">
        <v>36</v>
      </c>
      <c r="T1697" s="3" t="s">
        <v>522</v>
      </c>
      <c r="U1697" s="3" t="s">
        <v>38</v>
      </c>
      <c r="V1697" s="3" t="s">
        <v>39</v>
      </c>
      <c r="W1697" s="3" t="s">
        <v>1456</v>
      </c>
      <c r="X1697" s="10" t="s">
        <v>9847</v>
      </c>
      <c r="Y1697" s="6" t="s">
        <v>108</v>
      </c>
      <c r="Z1697" s="4">
        <v>4.08</v>
      </c>
      <c r="AA1697" s="4">
        <v>13.95</v>
      </c>
      <c r="AB1697" s="3" t="s">
        <v>43</v>
      </c>
      <c r="AC1697" s="3" t="s">
        <v>1458</v>
      </c>
      <c r="AD1697" s="9">
        <v>44896</v>
      </c>
      <c r="AE1697" s="3" t="s">
        <v>110</v>
      </c>
      <c r="AF1697" s="3" t="s">
        <v>176</v>
      </c>
      <c r="AG1697" s="3" t="s">
        <v>969</v>
      </c>
      <c r="AH1697" s="11">
        <f>HYPERLINK("https://my.pitchbook.com?c=209578-69T","View Company Online")</f>
      </c>
    </row>
    <row r="1698">
      <c r="A1698" s="12" t="s">
        <v>9848</v>
      </c>
      <c r="B1698" s="12" t="s">
        <v>1226</v>
      </c>
      <c r="C1698" s="19" t="s">
        <v>36</v>
      </c>
      <c r="D1698" s="19" t="s">
        <v>36</v>
      </c>
      <c r="E1698" s="19" t="s">
        <v>36</v>
      </c>
      <c r="F1698" s="19" t="s">
        <v>36</v>
      </c>
      <c r="G1698" s="15" t="s">
        <v>326</v>
      </c>
      <c r="H1698" s="14">
        <v>21012.81</v>
      </c>
      <c r="I1698" s="18">
        <v>13.15</v>
      </c>
      <c r="J1698" s="12" t="s">
        <v>521</v>
      </c>
      <c r="K1698" s="13" t="s">
        <v>36</v>
      </c>
      <c r="L1698" s="15" t="s">
        <v>122</v>
      </c>
      <c r="M1698" s="12" t="s">
        <v>36</v>
      </c>
      <c r="N1698" s="12" t="s">
        <v>122</v>
      </c>
      <c r="O1698" s="17" t="s">
        <v>36</v>
      </c>
      <c r="P1698" s="12" t="s">
        <v>36</v>
      </c>
      <c r="Q1698" s="12" t="s">
        <v>36</v>
      </c>
      <c r="R1698" s="12" t="s">
        <v>36</v>
      </c>
      <c r="S1698" s="12" t="s">
        <v>36</v>
      </c>
      <c r="T1698" s="12" t="s">
        <v>1227</v>
      </c>
      <c r="U1698" s="12" t="s">
        <v>74</v>
      </c>
      <c r="V1698" s="12" t="s">
        <v>75</v>
      </c>
      <c r="W1698" s="12" t="s">
        <v>1228</v>
      </c>
      <c r="X1698" s="16" t="s">
        <v>9849</v>
      </c>
      <c r="Y1698" s="15" t="s">
        <v>108</v>
      </c>
      <c r="Z1698" s="14">
        <v>12.42</v>
      </c>
      <c r="AA1698" s="14">
        <v>94.42</v>
      </c>
      <c r="AB1698" s="12" t="s">
        <v>43</v>
      </c>
      <c r="AC1698" s="12" t="s">
        <v>1230</v>
      </c>
      <c r="AD1698" s="13">
        <v>44896</v>
      </c>
      <c r="AE1698" s="12" t="s">
        <v>570</v>
      </c>
      <c r="AF1698" s="12" t="s">
        <v>1208</v>
      </c>
      <c r="AG1698" s="12" t="s">
        <v>81</v>
      </c>
      <c r="AH1698" s="1">
        <f>HYPERLINK("https://my.pitchbook.com?c=221332-51T","View Company Online")</f>
      </c>
    </row>
    <row r="1699">
      <c r="A1699" s="3" t="s">
        <v>9850</v>
      </c>
      <c r="B1699" s="3" t="s">
        <v>9851</v>
      </c>
      <c r="C1699" s="5" t="s">
        <v>36</v>
      </c>
      <c r="D1699" s="5" t="s">
        <v>36</v>
      </c>
      <c r="E1699" s="5" t="s">
        <v>36</v>
      </c>
      <c r="F1699" s="5" t="s">
        <v>36</v>
      </c>
      <c r="G1699" s="6" t="s">
        <v>36</v>
      </c>
      <c r="H1699" s="4" t="s">
        <v>36</v>
      </c>
      <c r="I1699" s="7" t="s">
        <v>36</v>
      </c>
      <c r="J1699" s="3" t="s">
        <v>36</v>
      </c>
      <c r="K1699" s="9" t="s">
        <v>36</v>
      </c>
      <c r="L1699" s="6" t="s">
        <v>36</v>
      </c>
      <c r="M1699" s="3" t="s">
        <v>36</v>
      </c>
      <c r="N1699" s="3" t="s">
        <v>36</v>
      </c>
      <c r="O1699" s="8" t="s">
        <v>36</v>
      </c>
      <c r="P1699" s="3" t="s">
        <v>36</v>
      </c>
      <c r="Q1699" s="3" t="s">
        <v>36</v>
      </c>
      <c r="R1699" s="3" t="s">
        <v>36</v>
      </c>
      <c r="S1699" s="3" t="s">
        <v>36</v>
      </c>
      <c r="T1699" s="3" t="s">
        <v>9852</v>
      </c>
      <c r="U1699" s="3" t="s">
        <v>38</v>
      </c>
      <c r="V1699" s="3" t="s">
        <v>39</v>
      </c>
      <c r="W1699" s="3" t="s">
        <v>9853</v>
      </c>
      <c r="X1699" s="10" t="s">
        <v>738</v>
      </c>
      <c r="Y1699" s="6" t="s">
        <v>42</v>
      </c>
      <c r="Z1699" s="4" t="s">
        <v>36</v>
      </c>
      <c r="AA1699" s="4" t="s">
        <v>36</v>
      </c>
      <c r="AB1699" s="3" t="s">
        <v>43</v>
      </c>
      <c r="AC1699" s="3" t="s">
        <v>9854</v>
      </c>
      <c r="AD1699" s="9">
        <v>44896</v>
      </c>
      <c r="AE1699" s="3" t="s">
        <v>110</v>
      </c>
      <c r="AF1699" s="3" t="s">
        <v>275</v>
      </c>
      <c r="AG1699" s="3" t="s">
        <v>741</v>
      </c>
      <c r="AH1699" s="11">
        <f>HYPERLINK("https://my.pitchbook.com?c=218406-43T","View Company Online")</f>
      </c>
    </row>
    <row r="1700">
      <c r="A1700" s="12" t="s">
        <v>9855</v>
      </c>
      <c r="B1700" s="12" t="s">
        <v>9856</v>
      </c>
      <c r="C1700" s="19" t="s">
        <v>36</v>
      </c>
      <c r="D1700" s="19" t="s">
        <v>36</v>
      </c>
      <c r="E1700" s="19" t="s">
        <v>36</v>
      </c>
      <c r="F1700" s="19" t="s">
        <v>36</v>
      </c>
      <c r="G1700" s="15" t="s">
        <v>36</v>
      </c>
      <c r="H1700" s="14" t="s">
        <v>36</v>
      </c>
      <c r="I1700" s="18" t="s">
        <v>36</v>
      </c>
      <c r="J1700" s="12" t="s">
        <v>36</v>
      </c>
      <c r="K1700" s="13" t="s">
        <v>36</v>
      </c>
      <c r="L1700" s="15" t="s">
        <v>36</v>
      </c>
      <c r="M1700" s="12" t="s">
        <v>36</v>
      </c>
      <c r="N1700" s="12" t="s">
        <v>36</v>
      </c>
      <c r="O1700" s="17" t="s">
        <v>36</v>
      </c>
      <c r="P1700" s="12" t="s">
        <v>36</v>
      </c>
      <c r="Q1700" s="12" t="s">
        <v>36</v>
      </c>
      <c r="R1700" s="12" t="s">
        <v>36</v>
      </c>
      <c r="S1700" s="12" t="s">
        <v>36</v>
      </c>
      <c r="T1700" s="12" t="s">
        <v>6002</v>
      </c>
      <c r="U1700" s="12" t="s">
        <v>619</v>
      </c>
      <c r="V1700" s="12" t="s">
        <v>378</v>
      </c>
      <c r="W1700" s="12" t="s">
        <v>9857</v>
      </c>
      <c r="X1700" s="16" t="s">
        <v>9858</v>
      </c>
      <c r="Y1700" s="15" t="s">
        <v>108</v>
      </c>
      <c r="Z1700" s="14" t="s">
        <v>36</v>
      </c>
      <c r="AA1700" s="14" t="s">
        <v>36</v>
      </c>
      <c r="AB1700" s="12" t="s">
        <v>43</v>
      </c>
      <c r="AC1700" s="12" t="s">
        <v>9859</v>
      </c>
      <c r="AD1700" s="13">
        <v>44896</v>
      </c>
      <c r="AE1700" s="12" t="s">
        <v>623</v>
      </c>
      <c r="AF1700" s="12" t="s">
        <v>2703</v>
      </c>
      <c r="AG1700" s="12" t="s">
        <v>81</v>
      </c>
      <c r="AH1700" s="1">
        <f>HYPERLINK("https://my.pitchbook.com?c=210336-31T","View Company Online")</f>
      </c>
    </row>
    <row r="1701">
      <c r="A1701" s="3" t="s">
        <v>9860</v>
      </c>
      <c r="B1701" s="3" t="s">
        <v>9861</v>
      </c>
      <c r="C1701" s="5" t="s">
        <v>36</v>
      </c>
      <c r="D1701" s="5" t="s">
        <v>36</v>
      </c>
      <c r="E1701" s="5" t="s">
        <v>36</v>
      </c>
      <c r="F1701" s="5" t="s">
        <v>36</v>
      </c>
      <c r="G1701" s="6" t="s">
        <v>36</v>
      </c>
      <c r="H1701" s="4" t="s">
        <v>36</v>
      </c>
      <c r="I1701" s="7" t="s">
        <v>36</v>
      </c>
      <c r="J1701" s="3" t="s">
        <v>36</v>
      </c>
      <c r="K1701" s="9">
        <v>44805</v>
      </c>
      <c r="L1701" s="6" t="s">
        <v>122</v>
      </c>
      <c r="M1701" s="3" t="s">
        <v>36</v>
      </c>
      <c r="N1701" s="3" t="s">
        <v>122</v>
      </c>
      <c r="O1701" s="8" t="s">
        <v>36</v>
      </c>
      <c r="P1701" s="3" t="s">
        <v>36</v>
      </c>
      <c r="Q1701" s="3" t="s">
        <v>36</v>
      </c>
      <c r="R1701" s="3" t="s">
        <v>36</v>
      </c>
      <c r="S1701" s="3" t="s">
        <v>36</v>
      </c>
      <c r="T1701" s="3" t="s">
        <v>9862</v>
      </c>
      <c r="U1701" s="3" t="s">
        <v>728</v>
      </c>
      <c r="V1701" s="3" t="s">
        <v>64</v>
      </c>
      <c r="W1701" s="3" t="s">
        <v>9863</v>
      </c>
      <c r="X1701" s="10" t="s">
        <v>9864</v>
      </c>
      <c r="Y1701" s="6" t="s">
        <v>108</v>
      </c>
      <c r="Z1701" s="4">
        <v>3.06</v>
      </c>
      <c r="AA1701" s="4" t="s">
        <v>36</v>
      </c>
      <c r="AB1701" s="3" t="s">
        <v>56</v>
      </c>
      <c r="AC1701" s="3" t="s">
        <v>9865</v>
      </c>
      <c r="AD1701" s="9">
        <v>44896</v>
      </c>
      <c r="AE1701" s="3" t="s">
        <v>2154</v>
      </c>
      <c r="AF1701" s="3" t="s">
        <v>90</v>
      </c>
      <c r="AG1701" s="3" t="s">
        <v>81</v>
      </c>
      <c r="AH1701" s="11">
        <f>HYPERLINK("https://my.pitchbook.com?c=202860-19T","View Company Online")</f>
      </c>
    </row>
    <row r="1702">
      <c r="A1702" s="12" t="s">
        <v>9866</v>
      </c>
      <c r="B1702" s="12" t="s">
        <v>9867</v>
      </c>
      <c r="C1702" s="19" t="s">
        <v>36</v>
      </c>
      <c r="D1702" s="19" t="s">
        <v>36</v>
      </c>
      <c r="E1702" s="19" t="s">
        <v>36</v>
      </c>
      <c r="F1702" s="19" t="s">
        <v>36</v>
      </c>
      <c r="G1702" s="15" t="s">
        <v>36</v>
      </c>
      <c r="H1702" s="14" t="s">
        <v>36</v>
      </c>
      <c r="I1702" s="18" t="s">
        <v>36</v>
      </c>
      <c r="J1702" s="12" t="s">
        <v>36</v>
      </c>
      <c r="K1702" s="13" t="s">
        <v>36</v>
      </c>
      <c r="L1702" s="15" t="s">
        <v>36</v>
      </c>
      <c r="M1702" s="12" t="s">
        <v>36</v>
      </c>
      <c r="N1702" s="12" t="s">
        <v>36</v>
      </c>
      <c r="O1702" s="17" t="s">
        <v>36</v>
      </c>
      <c r="P1702" s="12" t="s">
        <v>36</v>
      </c>
      <c r="Q1702" s="12" t="s">
        <v>36</v>
      </c>
      <c r="R1702" s="12" t="s">
        <v>36</v>
      </c>
      <c r="S1702" s="12" t="s">
        <v>36</v>
      </c>
      <c r="T1702" s="12" t="s">
        <v>278</v>
      </c>
      <c r="U1702" s="12" t="s">
        <v>279</v>
      </c>
      <c r="V1702" s="12" t="s">
        <v>64</v>
      </c>
      <c r="W1702" s="12" t="s">
        <v>9868</v>
      </c>
      <c r="X1702" s="16" t="s">
        <v>2147</v>
      </c>
      <c r="Y1702" s="15" t="s">
        <v>42</v>
      </c>
      <c r="Z1702" s="14" t="s">
        <v>36</v>
      </c>
      <c r="AA1702" s="14" t="s">
        <v>36</v>
      </c>
      <c r="AB1702" s="12" t="s">
        <v>56</v>
      </c>
      <c r="AC1702" s="12" t="s">
        <v>9869</v>
      </c>
      <c r="AD1702" s="13">
        <v>44896</v>
      </c>
      <c r="AE1702" s="12" t="s">
        <v>283</v>
      </c>
      <c r="AF1702" s="12" t="s">
        <v>36</v>
      </c>
      <c r="AG1702" s="12" t="s">
        <v>102</v>
      </c>
      <c r="AH1702" s="1">
        <f>HYPERLINK("https://my.pitchbook.com?c=211262-32T","View Company Online")</f>
      </c>
    </row>
    <row r="1703">
      <c r="A1703" s="3" t="s">
        <v>9870</v>
      </c>
      <c r="B1703" s="3" t="s">
        <v>9871</v>
      </c>
      <c r="C1703" s="5">
        <v>1</v>
      </c>
      <c r="D1703" s="5">
        <v>10</v>
      </c>
      <c r="E1703" s="5">
        <v>5</v>
      </c>
      <c r="F1703" s="5">
        <v>12</v>
      </c>
      <c r="G1703" s="6" t="s">
        <v>326</v>
      </c>
      <c r="H1703" s="4">
        <v>1207.41</v>
      </c>
      <c r="I1703" s="7">
        <v>44.15</v>
      </c>
      <c r="J1703" s="3" t="s">
        <v>521</v>
      </c>
      <c r="K1703" s="9" t="s">
        <v>36</v>
      </c>
      <c r="L1703" s="6" t="s">
        <v>94</v>
      </c>
      <c r="M1703" s="3" t="s">
        <v>36</v>
      </c>
      <c r="N1703" s="3" t="s">
        <v>94</v>
      </c>
      <c r="O1703" s="8" t="s">
        <v>36</v>
      </c>
      <c r="P1703" s="3" t="s">
        <v>36</v>
      </c>
      <c r="Q1703" s="3" t="s">
        <v>36</v>
      </c>
      <c r="R1703" s="3" t="s">
        <v>36</v>
      </c>
      <c r="S1703" s="3" t="s">
        <v>36</v>
      </c>
      <c r="T1703" s="3" t="s">
        <v>1628</v>
      </c>
      <c r="U1703" s="3" t="s">
        <v>96</v>
      </c>
      <c r="V1703" s="3" t="s">
        <v>52</v>
      </c>
      <c r="W1703" s="3" t="s">
        <v>9872</v>
      </c>
      <c r="X1703" s="10" t="s">
        <v>9873</v>
      </c>
      <c r="Y1703" s="6" t="s">
        <v>108</v>
      </c>
      <c r="Z1703" s="4">
        <v>20.42</v>
      </c>
      <c r="AA1703" s="4">
        <v>46.26</v>
      </c>
      <c r="AB1703" s="3" t="s">
        <v>56</v>
      </c>
      <c r="AC1703" s="3" t="s">
        <v>9874</v>
      </c>
      <c r="AD1703" s="9">
        <v>44896</v>
      </c>
      <c r="AE1703" s="3" t="s">
        <v>755</v>
      </c>
      <c r="AF1703" s="3" t="s">
        <v>9875</v>
      </c>
      <c r="AG1703" s="3" t="s">
        <v>81</v>
      </c>
      <c r="AH1703" s="11">
        <f>HYPERLINK("https://my.pitchbook.com?c=210269-26T","View Company Online")</f>
      </c>
    </row>
    <row r="1704">
      <c r="A1704" s="12" t="s">
        <v>9876</v>
      </c>
      <c r="B1704" s="12" t="s">
        <v>8836</v>
      </c>
      <c r="C1704" s="19" t="s">
        <v>36</v>
      </c>
      <c r="D1704" s="19" t="s">
        <v>36</v>
      </c>
      <c r="E1704" s="19" t="s">
        <v>36</v>
      </c>
      <c r="F1704" s="19" t="s">
        <v>36</v>
      </c>
      <c r="G1704" s="15" t="s">
        <v>36</v>
      </c>
      <c r="H1704" s="14" t="s">
        <v>36</v>
      </c>
      <c r="I1704" s="18" t="s">
        <v>36</v>
      </c>
      <c r="J1704" s="12" t="s">
        <v>36</v>
      </c>
      <c r="K1704" s="13" t="s">
        <v>36</v>
      </c>
      <c r="L1704" s="15" t="s">
        <v>4010</v>
      </c>
      <c r="M1704" s="12" t="s">
        <v>36</v>
      </c>
      <c r="N1704" s="12" t="s">
        <v>4010</v>
      </c>
      <c r="O1704" s="17" t="s">
        <v>36</v>
      </c>
      <c r="P1704" s="12" t="s">
        <v>36</v>
      </c>
      <c r="Q1704" s="12" t="s">
        <v>36</v>
      </c>
      <c r="R1704" s="12" t="s">
        <v>36</v>
      </c>
      <c r="S1704" s="12" t="s">
        <v>36</v>
      </c>
      <c r="T1704" s="12" t="s">
        <v>8837</v>
      </c>
      <c r="U1704" s="12" t="s">
        <v>1336</v>
      </c>
      <c r="V1704" s="12" t="s">
        <v>367</v>
      </c>
      <c r="W1704" s="12" t="s">
        <v>8838</v>
      </c>
      <c r="X1704" s="16" t="s">
        <v>9877</v>
      </c>
      <c r="Y1704" s="15" t="s">
        <v>42</v>
      </c>
      <c r="Z1704" s="14" t="s">
        <v>36</v>
      </c>
      <c r="AA1704" s="14" t="s">
        <v>36</v>
      </c>
      <c r="AB1704" s="12" t="s">
        <v>43</v>
      </c>
      <c r="AC1704" s="12" t="s">
        <v>8840</v>
      </c>
      <c r="AD1704" s="13">
        <v>44895</v>
      </c>
      <c r="AE1704" s="12" t="s">
        <v>2464</v>
      </c>
      <c r="AF1704" s="12" t="s">
        <v>4930</v>
      </c>
      <c r="AG1704" s="12" t="s">
        <v>4416</v>
      </c>
      <c r="AH1704" s="1">
        <f>HYPERLINK("https://my.pitchbook.com?c=210142-00T","View Company Online")</f>
      </c>
    </row>
    <row r="1705">
      <c r="A1705" s="3" t="s">
        <v>9878</v>
      </c>
      <c r="B1705" s="3" t="s">
        <v>9879</v>
      </c>
      <c r="C1705" s="5" t="s">
        <v>36</v>
      </c>
      <c r="D1705" s="5" t="s">
        <v>36</v>
      </c>
      <c r="E1705" s="5" t="s">
        <v>36</v>
      </c>
      <c r="F1705" s="5" t="s">
        <v>36</v>
      </c>
      <c r="G1705" s="6" t="s">
        <v>36</v>
      </c>
      <c r="H1705" s="4" t="s">
        <v>36</v>
      </c>
      <c r="I1705" s="7" t="s">
        <v>36</v>
      </c>
      <c r="J1705" s="3" t="s">
        <v>36</v>
      </c>
      <c r="K1705" s="9" t="s">
        <v>36</v>
      </c>
      <c r="L1705" s="6" t="s">
        <v>36</v>
      </c>
      <c r="M1705" s="3" t="s">
        <v>36</v>
      </c>
      <c r="N1705" s="3" t="s">
        <v>36</v>
      </c>
      <c r="O1705" s="8" t="s">
        <v>36</v>
      </c>
      <c r="P1705" s="3" t="s">
        <v>36</v>
      </c>
      <c r="Q1705" s="3" t="s">
        <v>36</v>
      </c>
      <c r="R1705" s="3" t="s">
        <v>36</v>
      </c>
      <c r="S1705" s="3" t="s">
        <v>36</v>
      </c>
      <c r="T1705" s="3" t="s">
        <v>9880</v>
      </c>
      <c r="U1705" s="3" t="s">
        <v>9881</v>
      </c>
      <c r="V1705" s="3" t="s">
        <v>75</v>
      </c>
      <c r="W1705" s="3" t="s">
        <v>9882</v>
      </c>
      <c r="X1705" s="10" t="s">
        <v>6176</v>
      </c>
      <c r="Y1705" s="6" t="s">
        <v>42</v>
      </c>
      <c r="Z1705" s="4" t="s">
        <v>36</v>
      </c>
      <c r="AA1705" s="4" t="s">
        <v>36</v>
      </c>
      <c r="AB1705" s="3" t="s">
        <v>43</v>
      </c>
      <c r="AC1705" s="3" t="s">
        <v>9883</v>
      </c>
      <c r="AD1705" s="9">
        <v>44895</v>
      </c>
      <c r="AE1705" s="3" t="s">
        <v>9884</v>
      </c>
      <c r="AF1705" s="3" t="s">
        <v>135</v>
      </c>
      <c r="AG1705" s="3" t="s">
        <v>81</v>
      </c>
      <c r="AH1705" s="11">
        <f>HYPERLINK("https://my.pitchbook.com?c=211982-77T","View Company Online")</f>
      </c>
    </row>
    <row r="1706">
      <c r="A1706" s="12" t="s">
        <v>9885</v>
      </c>
      <c r="B1706" s="12" t="s">
        <v>9886</v>
      </c>
      <c r="C1706" s="19">
        <v>2</v>
      </c>
      <c r="D1706" s="19" t="s">
        <v>36</v>
      </c>
      <c r="E1706" s="19" t="s">
        <v>36</v>
      </c>
      <c r="F1706" s="19">
        <v>2</v>
      </c>
      <c r="G1706" s="15" t="s">
        <v>36</v>
      </c>
      <c r="H1706" s="14">
        <v>20.77</v>
      </c>
      <c r="I1706" s="18">
        <v>6.65</v>
      </c>
      <c r="J1706" s="12" t="s">
        <v>521</v>
      </c>
      <c r="K1706" s="13" t="s">
        <v>36</v>
      </c>
      <c r="L1706" s="15" t="s">
        <v>36</v>
      </c>
      <c r="M1706" s="12" t="s">
        <v>36</v>
      </c>
      <c r="N1706" s="12" t="s">
        <v>36</v>
      </c>
      <c r="O1706" s="17" t="s">
        <v>36</v>
      </c>
      <c r="P1706" s="12" t="s">
        <v>36</v>
      </c>
      <c r="Q1706" s="12" t="s">
        <v>36</v>
      </c>
      <c r="R1706" s="12" t="s">
        <v>36</v>
      </c>
      <c r="S1706" s="12" t="s">
        <v>36</v>
      </c>
      <c r="T1706" s="12" t="s">
        <v>8677</v>
      </c>
      <c r="U1706" s="12" t="s">
        <v>1082</v>
      </c>
      <c r="V1706" s="12" t="s">
        <v>378</v>
      </c>
      <c r="W1706" s="12" t="s">
        <v>9887</v>
      </c>
      <c r="X1706" s="16" t="s">
        <v>967</v>
      </c>
      <c r="Y1706" s="15" t="s">
        <v>42</v>
      </c>
      <c r="Z1706" s="14">
        <v>0.58</v>
      </c>
      <c r="AA1706" s="14">
        <v>8.74</v>
      </c>
      <c r="AB1706" s="12" t="s">
        <v>43</v>
      </c>
      <c r="AC1706" s="12" t="s">
        <v>9888</v>
      </c>
      <c r="AD1706" s="13">
        <v>44895</v>
      </c>
      <c r="AE1706" s="12" t="s">
        <v>7876</v>
      </c>
      <c r="AF1706" s="12" t="s">
        <v>36</v>
      </c>
      <c r="AG1706" s="12" t="s">
        <v>1276</v>
      </c>
      <c r="AH1706" s="1">
        <f>HYPERLINK("https://my.pitchbook.com?c=268521-13T","View Company Online")</f>
      </c>
    </row>
    <row r="1707">
      <c r="A1707" s="3" t="s">
        <v>9889</v>
      </c>
      <c r="B1707" s="3" t="s">
        <v>4798</v>
      </c>
      <c r="C1707" s="5" t="s">
        <v>36</v>
      </c>
      <c r="D1707" s="5" t="s">
        <v>36</v>
      </c>
      <c r="E1707" s="5" t="s">
        <v>36</v>
      </c>
      <c r="F1707" s="5" t="s">
        <v>36</v>
      </c>
      <c r="G1707" s="6" t="s">
        <v>326</v>
      </c>
      <c r="H1707" s="4" t="s">
        <v>36</v>
      </c>
      <c r="I1707" s="7">
        <v>35.92</v>
      </c>
      <c r="J1707" s="3" t="s">
        <v>327</v>
      </c>
      <c r="K1707" s="9" t="s">
        <v>36</v>
      </c>
      <c r="L1707" s="6" t="s">
        <v>36</v>
      </c>
      <c r="M1707" s="3" t="s">
        <v>36</v>
      </c>
      <c r="N1707" s="3" t="s">
        <v>36</v>
      </c>
      <c r="O1707" s="8" t="s">
        <v>36</v>
      </c>
      <c r="P1707" s="3" t="s">
        <v>36</v>
      </c>
      <c r="Q1707" s="3" t="s">
        <v>36</v>
      </c>
      <c r="R1707" s="3" t="s">
        <v>36</v>
      </c>
      <c r="S1707" s="3" t="s">
        <v>36</v>
      </c>
      <c r="T1707" s="3" t="s">
        <v>1106</v>
      </c>
      <c r="U1707" s="3" t="s">
        <v>38</v>
      </c>
      <c r="V1707" s="3" t="s">
        <v>39</v>
      </c>
      <c r="W1707" s="3" t="s">
        <v>4799</v>
      </c>
      <c r="X1707" s="10" t="s">
        <v>9890</v>
      </c>
      <c r="Y1707" s="6" t="s">
        <v>108</v>
      </c>
      <c r="Z1707" s="4">
        <v>3.26</v>
      </c>
      <c r="AA1707" s="4">
        <v>5.67</v>
      </c>
      <c r="AB1707" s="3" t="s">
        <v>43</v>
      </c>
      <c r="AC1707" s="3" t="s">
        <v>4801</v>
      </c>
      <c r="AD1707" s="9">
        <v>44894</v>
      </c>
      <c r="AE1707" s="3" t="s">
        <v>110</v>
      </c>
      <c r="AF1707" s="3" t="s">
        <v>1331</v>
      </c>
      <c r="AG1707" s="3" t="s">
        <v>81</v>
      </c>
      <c r="AH1707" s="11">
        <f>HYPERLINK("https://my.pitchbook.com?c=209427-13T","View Company Online")</f>
      </c>
    </row>
    <row r="1708">
      <c r="A1708" s="12" t="s">
        <v>9891</v>
      </c>
      <c r="B1708" s="12" t="s">
        <v>9892</v>
      </c>
      <c r="C1708" s="19" t="s">
        <v>36</v>
      </c>
      <c r="D1708" s="19" t="s">
        <v>36</v>
      </c>
      <c r="E1708" s="19" t="s">
        <v>36</v>
      </c>
      <c r="F1708" s="19" t="s">
        <v>36</v>
      </c>
      <c r="G1708" s="15" t="s">
        <v>36</v>
      </c>
      <c r="H1708" s="14">
        <v>4.67</v>
      </c>
      <c r="I1708" s="18">
        <v>12.2</v>
      </c>
      <c r="J1708" s="12" t="s">
        <v>521</v>
      </c>
      <c r="K1708" s="13" t="s">
        <v>36</v>
      </c>
      <c r="L1708" s="15" t="s">
        <v>36</v>
      </c>
      <c r="M1708" s="12" t="s">
        <v>36</v>
      </c>
      <c r="N1708" s="12" t="s">
        <v>36</v>
      </c>
      <c r="O1708" s="17" t="s">
        <v>36</v>
      </c>
      <c r="P1708" s="12" t="s">
        <v>36</v>
      </c>
      <c r="Q1708" s="12" t="s">
        <v>36</v>
      </c>
      <c r="R1708" s="12" t="s">
        <v>36</v>
      </c>
      <c r="S1708" s="12" t="s">
        <v>36</v>
      </c>
      <c r="T1708" s="12" t="s">
        <v>9893</v>
      </c>
      <c r="U1708" s="12" t="s">
        <v>51</v>
      </c>
      <c r="V1708" s="12" t="s">
        <v>52</v>
      </c>
      <c r="W1708" s="12" t="s">
        <v>9894</v>
      </c>
      <c r="X1708" s="16" t="s">
        <v>9895</v>
      </c>
      <c r="Y1708" s="15" t="s">
        <v>42</v>
      </c>
      <c r="Z1708" s="14">
        <v>1.09</v>
      </c>
      <c r="AA1708" s="14">
        <v>5.22</v>
      </c>
      <c r="AB1708" s="12" t="s">
        <v>43</v>
      </c>
      <c r="AC1708" s="12" t="s">
        <v>9896</v>
      </c>
      <c r="AD1708" s="13">
        <v>44894</v>
      </c>
      <c r="AE1708" s="12" t="s">
        <v>158</v>
      </c>
      <c r="AF1708" s="12" t="s">
        <v>3193</v>
      </c>
      <c r="AG1708" s="12" t="s">
        <v>81</v>
      </c>
      <c r="AH1708" s="1">
        <f>HYPERLINK("https://my.pitchbook.com?c=228318-22T","View Company Online")</f>
      </c>
    </row>
    <row r="1709">
      <c r="A1709" s="3" t="s">
        <v>9897</v>
      </c>
      <c r="B1709" s="3" t="s">
        <v>9898</v>
      </c>
      <c r="C1709" s="5">
        <v>2</v>
      </c>
      <c r="D1709" s="5">
        <v>7</v>
      </c>
      <c r="E1709" s="5">
        <v>2</v>
      </c>
      <c r="F1709" s="5">
        <v>10</v>
      </c>
      <c r="G1709" s="6" t="s">
        <v>36</v>
      </c>
      <c r="H1709" s="4" t="s">
        <v>36</v>
      </c>
      <c r="I1709" s="7" t="s">
        <v>36</v>
      </c>
      <c r="J1709" s="3" t="s">
        <v>36</v>
      </c>
      <c r="K1709" s="9" t="s">
        <v>36</v>
      </c>
      <c r="L1709" s="6" t="s">
        <v>94</v>
      </c>
      <c r="M1709" s="3" t="s">
        <v>36</v>
      </c>
      <c r="N1709" s="3" t="s">
        <v>94</v>
      </c>
      <c r="O1709" s="8" t="s">
        <v>36</v>
      </c>
      <c r="P1709" s="3" t="s">
        <v>36</v>
      </c>
      <c r="Q1709" s="3" t="s">
        <v>36</v>
      </c>
      <c r="R1709" s="3" t="s">
        <v>36</v>
      </c>
      <c r="S1709" s="3" t="s">
        <v>36</v>
      </c>
      <c r="T1709" s="3" t="s">
        <v>4225</v>
      </c>
      <c r="U1709" s="3" t="s">
        <v>96</v>
      </c>
      <c r="V1709" s="3" t="s">
        <v>52</v>
      </c>
      <c r="W1709" s="3" t="s">
        <v>9899</v>
      </c>
      <c r="X1709" s="10" t="s">
        <v>9900</v>
      </c>
      <c r="Y1709" s="6" t="s">
        <v>55</v>
      </c>
      <c r="Z1709" s="4">
        <v>8.25</v>
      </c>
      <c r="AA1709" s="4" t="s">
        <v>36</v>
      </c>
      <c r="AB1709" s="3" t="s">
        <v>56</v>
      </c>
      <c r="AC1709" s="3" t="s">
        <v>9901</v>
      </c>
      <c r="AD1709" s="9">
        <v>44894</v>
      </c>
      <c r="AE1709" s="3" t="s">
        <v>143</v>
      </c>
      <c r="AF1709" s="3" t="s">
        <v>1166</v>
      </c>
      <c r="AG1709" s="3" t="s">
        <v>3595</v>
      </c>
      <c r="AH1709" s="11">
        <f>HYPERLINK("https://my.pitchbook.com?c=242392-15T","View Company Online")</f>
      </c>
    </row>
    <row r="1710">
      <c r="A1710" s="12" t="s">
        <v>9902</v>
      </c>
      <c r="B1710" s="12" t="s">
        <v>9903</v>
      </c>
      <c r="C1710" s="19">
        <v>12</v>
      </c>
      <c r="D1710" s="19">
        <v>33</v>
      </c>
      <c r="E1710" s="19">
        <v>15</v>
      </c>
      <c r="F1710" s="19">
        <v>47</v>
      </c>
      <c r="G1710" s="15" t="s">
        <v>326</v>
      </c>
      <c r="H1710" s="14">
        <v>12.55</v>
      </c>
      <c r="I1710" s="18">
        <v>21.7</v>
      </c>
      <c r="J1710" s="12" t="s">
        <v>521</v>
      </c>
      <c r="K1710" s="13" t="s">
        <v>36</v>
      </c>
      <c r="L1710" s="15" t="s">
        <v>94</v>
      </c>
      <c r="M1710" s="12" t="s">
        <v>36</v>
      </c>
      <c r="N1710" s="12" t="s">
        <v>94</v>
      </c>
      <c r="O1710" s="17" t="s">
        <v>36</v>
      </c>
      <c r="P1710" s="12" t="s">
        <v>36</v>
      </c>
      <c r="Q1710" s="12" t="s">
        <v>36</v>
      </c>
      <c r="R1710" s="12" t="s">
        <v>36</v>
      </c>
      <c r="S1710" s="12" t="s">
        <v>36</v>
      </c>
      <c r="T1710" s="12" t="s">
        <v>9904</v>
      </c>
      <c r="U1710" s="12" t="s">
        <v>51</v>
      </c>
      <c r="V1710" s="12" t="s">
        <v>52</v>
      </c>
      <c r="W1710" s="12" t="s">
        <v>9905</v>
      </c>
      <c r="X1710" s="16" t="s">
        <v>9906</v>
      </c>
      <c r="Y1710" s="15" t="s">
        <v>192</v>
      </c>
      <c r="Z1710" s="14">
        <v>15.31</v>
      </c>
      <c r="AA1710" s="14">
        <v>70.56</v>
      </c>
      <c r="AB1710" s="12" t="s">
        <v>56</v>
      </c>
      <c r="AC1710" s="12" t="s">
        <v>9907</v>
      </c>
      <c r="AD1710" s="13">
        <v>44894</v>
      </c>
      <c r="AE1710" s="12" t="s">
        <v>158</v>
      </c>
      <c r="AF1710" s="12" t="s">
        <v>9908</v>
      </c>
      <c r="AG1710" s="12" t="s">
        <v>9909</v>
      </c>
      <c r="AH1710" s="1">
        <f>HYPERLINK("https://my.pitchbook.com?c=209539-54T","View Company Online")</f>
      </c>
    </row>
    <row r="1711">
      <c r="A1711" s="3" t="s">
        <v>9910</v>
      </c>
      <c r="B1711" s="3" t="s">
        <v>9911</v>
      </c>
      <c r="C1711" s="5">
        <v>1</v>
      </c>
      <c r="D1711" s="5" t="s">
        <v>36</v>
      </c>
      <c r="E1711" s="5">
        <v>1</v>
      </c>
      <c r="F1711" s="5">
        <v>1</v>
      </c>
      <c r="G1711" s="6" t="s">
        <v>36</v>
      </c>
      <c r="H1711" s="4">
        <v>77.23</v>
      </c>
      <c r="I1711" s="7">
        <v>37.05</v>
      </c>
      <c r="J1711" s="3" t="s">
        <v>521</v>
      </c>
      <c r="K1711" s="9" t="s">
        <v>36</v>
      </c>
      <c r="L1711" s="6" t="s">
        <v>36</v>
      </c>
      <c r="M1711" s="3" t="s">
        <v>36</v>
      </c>
      <c r="N1711" s="3" t="s">
        <v>36</v>
      </c>
      <c r="O1711" s="8" t="s">
        <v>36</v>
      </c>
      <c r="P1711" s="3" t="s">
        <v>36</v>
      </c>
      <c r="Q1711" s="3" t="s">
        <v>36</v>
      </c>
      <c r="R1711" s="3" t="s">
        <v>36</v>
      </c>
      <c r="S1711" s="3" t="s">
        <v>6583</v>
      </c>
      <c r="T1711" s="3" t="s">
        <v>105</v>
      </c>
      <c r="U1711" s="3" t="s">
        <v>38</v>
      </c>
      <c r="V1711" s="3" t="s">
        <v>39</v>
      </c>
      <c r="W1711" s="3" t="s">
        <v>9912</v>
      </c>
      <c r="X1711" s="10" t="s">
        <v>9913</v>
      </c>
      <c r="Y1711" s="6" t="s">
        <v>42</v>
      </c>
      <c r="Z1711" s="4">
        <v>2.1</v>
      </c>
      <c r="AA1711" s="4">
        <v>2.83</v>
      </c>
      <c r="AB1711" s="3" t="s">
        <v>43</v>
      </c>
      <c r="AC1711" s="3" t="s">
        <v>9914</v>
      </c>
      <c r="AD1711" s="9">
        <v>44894</v>
      </c>
      <c r="AE1711" s="3" t="s">
        <v>110</v>
      </c>
      <c r="AF1711" s="3" t="s">
        <v>9915</v>
      </c>
      <c r="AG1711" s="3" t="s">
        <v>9916</v>
      </c>
      <c r="AH1711" s="11">
        <f>HYPERLINK("https://my.pitchbook.com?c=209440-27T","View Company Online")</f>
      </c>
    </row>
    <row r="1712">
      <c r="A1712" s="12" t="s">
        <v>9917</v>
      </c>
      <c r="B1712" s="12" t="s">
        <v>9918</v>
      </c>
      <c r="C1712" s="19" t="s">
        <v>36</v>
      </c>
      <c r="D1712" s="19" t="s">
        <v>36</v>
      </c>
      <c r="E1712" s="19" t="s">
        <v>36</v>
      </c>
      <c r="F1712" s="19" t="s">
        <v>36</v>
      </c>
      <c r="G1712" s="15" t="s">
        <v>36</v>
      </c>
      <c r="H1712" s="14" t="s">
        <v>36</v>
      </c>
      <c r="I1712" s="18" t="s">
        <v>36</v>
      </c>
      <c r="J1712" s="12" t="s">
        <v>36</v>
      </c>
      <c r="K1712" s="13" t="s">
        <v>36</v>
      </c>
      <c r="L1712" s="15" t="s">
        <v>122</v>
      </c>
      <c r="M1712" s="12" t="s">
        <v>36</v>
      </c>
      <c r="N1712" s="12" t="s">
        <v>122</v>
      </c>
      <c r="O1712" s="17" t="s">
        <v>36</v>
      </c>
      <c r="P1712" s="12" t="s">
        <v>36</v>
      </c>
      <c r="Q1712" s="12" t="s">
        <v>36</v>
      </c>
      <c r="R1712" s="12" t="s">
        <v>36</v>
      </c>
      <c r="S1712" s="12" t="s">
        <v>36</v>
      </c>
      <c r="T1712" s="12" t="s">
        <v>37</v>
      </c>
      <c r="U1712" s="12" t="s">
        <v>38</v>
      </c>
      <c r="V1712" s="12" t="s">
        <v>39</v>
      </c>
      <c r="W1712" s="12" t="s">
        <v>9919</v>
      </c>
      <c r="X1712" s="16" t="s">
        <v>9920</v>
      </c>
      <c r="Y1712" s="15" t="s">
        <v>55</v>
      </c>
      <c r="Z1712" s="14">
        <v>8</v>
      </c>
      <c r="AA1712" s="14" t="s">
        <v>36</v>
      </c>
      <c r="AB1712" s="12" t="s">
        <v>43</v>
      </c>
      <c r="AC1712" s="12" t="s">
        <v>9921</v>
      </c>
      <c r="AD1712" s="13">
        <v>44893</v>
      </c>
      <c r="AE1712" s="12" t="s">
        <v>45</v>
      </c>
      <c r="AF1712" s="12" t="s">
        <v>3187</v>
      </c>
      <c r="AG1712" s="12" t="s">
        <v>102</v>
      </c>
      <c r="AH1712" s="1">
        <f>HYPERLINK("https://my.pitchbook.com?c=209330-83T","View Company Online")</f>
      </c>
    </row>
    <row r="1713">
      <c r="A1713" s="3" t="s">
        <v>9922</v>
      </c>
      <c r="B1713" s="3" t="s">
        <v>4565</v>
      </c>
      <c r="C1713" s="5" t="s">
        <v>36</v>
      </c>
      <c r="D1713" s="5" t="s">
        <v>36</v>
      </c>
      <c r="E1713" s="5" t="s">
        <v>36</v>
      </c>
      <c r="F1713" s="5" t="s">
        <v>36</v>
      </c>
      <c r="G1713" s="6" t="s">
        <v>683</v>
      </c>
      <c r="H1713" s="4" t="s">
        <v>36</v>
      </c>
      <c r="I1713" s="7">
        <v>34.94</v>
      </c>
      <c r="J1713" s="3" t="s">
        <v>327</v>
      </c>
      <c r="K1713" s="9" t="s">
        <v>36</v>
      </c>
      <c r="L1713" s="6" t="s">
        <v>122</v>
      </c>
      <c r="M1713" s="3" t="s">
        <v>36</v>
      </c>
      <c r="N1713" s="3" t="s">
        <v>122</v>
      </c>
      <c r="O1713" s="8" t="s">
        <v>36</v>
      </c>
      <c r="P1713" s="3" t="s">
        <v>36</v>
      </c>
      <c r="Q1713" s="3" t="s">
        <v>36</v>
      </c>
      <c r="R1713" s="3" t="s">
        <v>36</v>
      </c>
      <c r="S1713" s="3" t="s">
        <v>36</v>
      </c>
      <c r="T1713" s="3" t="s">
        <v>942</v>
      </c>
      <c r="U1713" s="3" t="s">
        <v>38</v>
      </c>
      <c r="V1713" s="3" t="s">
        <v>39</v>
      </c>
      <c r="W1713" s="3" t="s">
        <v>4566</v>
      </c>
      <c r="X1713" s="10" t="s">
        <v>9923</v>
      </c>
      <c r="Y1713" s="6" t="s">
        <v>55</v>
      </c>
      <c r="Z1713" s="4">
        <v>17.29</v>
      </c>
      <c r="AA1713" s="4">
        <v>49.48</v>
      </c>
      <c r="AB1713" s="3" t="s">
        <v>43</v>
      </c>
      <c r="AC1713" s="3" t="s">
        <v>4568</v>
      </c>
      <c r="AD1713" s="9">
        <v>44893</v>
      </c>
      <c r="AE1713" s="3" t="s">
        <v>45</v>
      </c>
      <c r="AF1713" s="3" t="s">
        <v>4569</v>
      </c>
      <c r="AG1713" s="3" t="s">
        <v>81</v>
      </c>
      <c r="AH1713" s="11">
        <f>HYPERLINK("https://my.pitchbook.com?c=209293-57T","View Company Online")</f>
      </c>
    </row>
    <row r="1714">
      <c r="A1714" s="12" t="s">
        <v>9924</v>
      </c>
      <c r="B1714" s="12" t="s">
        <v>9925</v>
      </c>
      <c r="C1714" s="19" t="s">
        <v>36</v>
      </c>
      <c r="D1714" s="19" t="s">
        <v>36</v>
      </c>
      <c r="E1714" s="19" t="s">
        <v>36</v>
      </c>
      <c r="F1714" s="19" t="s">
        <v>36</v>
      </c>
      <c r="G1714" s="15" t="s">
        <v>326</v>
      </c>
      <c r="H1714" s="14">
        <v>5369.58</v>
      </c>
      <c r="I1714" s="18">
        <v>35.82</v>
      </c>
      <c r="J1714" s="12" t="s">
        <v>521</v>
      </c>
      <c r="K1714" s="13" t="s">
        <v>36</v>
      </c>
      <c r="L1714" s="15" t="s">
        <v>36</v>
      </c>
      <c r="M1714" s="12" t="s">
        <v>36</v>
      </c>
      <c r="N1714" s="12" t="s">
        <v>36</v>
      </c>
      <c r="O1714" s="17" t="s">
        <v>36</v>
      </c>
      <c r="P1714" s="12" t="s">
        <v>36</v>
      </c>
      <c r="Q1714" s="12" t="s">
        <v>36</v>
      </c>
      <c r="R1714" s="12" t="s">
        <v>36</v>
      </c>
      <c r="S1714" s="12" t="s">
        <v>36</v>
      </c>
      <c r="T1714" s="12" t="s">
        <v>7452</v>
      </c>
      <c r="U1714" s="12" t="s">
        <v>38</v>
      </c>
      <c r="V1714" s="12" t="s">
        <v>39</v>
      </c>
      <c r="W1714" s="12" t="s">
        <v>9926</v>
      </c>
      <c r="X1714" s="16" t="s">
        <v>9927</v>
      </c>
      <c r="Y1714" s="15" t="s">
        <v>108</v>
      </c>
      <c r="Z1714" s="14">
        <v>20.25</v>
      </c>
      <c r="AA1714" s="14">
        <v>56.54</v>
      </c>
      <c r="AB1714" s="12" t="s">
        <v>56</v>
      </c>
      <c r="AC1714" s="12" t="s">
        <v>9928</v>
      </c>
      <c r="AD1714" s="13">
        <v>44892</v>
      </c>
      <c r="AE1714" s="12" t="s">
        <v>45</v>
      </c>
      <c r="AF1714" s="12" t="s">
        <v>7466</v>
      </c>
      <c r="AG1714" s="12" t="s">
        <v>102</v>
      </c>
      <c r="AH1714" s="1">
        <f>HYPERLINK("https://my.pitchbook.com?c=209274-31T","View Company Online")</f>
      </c>
    </row>
    <row r="1715">
      <c r="A1715" s="3" t="s">
        <v>9929</v>
      </c>
      <c r="B1715" s="3" t="s">
        <v>9930</v>
      </c>
      <c r="C1715" s="5" t="s">
        <v>36</v>
      </c>
      <c r="D1715" s="5" t="s">
        <v>36</v>
      </c>
      <c r="E1715" s="5" t="s">
        <v>36</v>
      </c>
      <c r="F1715" s="5" t="s">
        <v>36</v>
      </c>
      <c r="G1715" s="6" t="s">
        <v>36</v>
      </c>
      <c r="H1715" s="4" t="s">
        <v>36</v>
      </c>
      <c r="I1715" s="7" t="s">
        <v>36</v>
      </c>
      <c r="J1715" s="3" t="s">
        <v>36</v>
      </c>
      <c r="K1715" s="9" t="s">
        <v>36</v>
      </c>
      <c r="L1715" s="6" t="s">
        <v>36</v>
      </c>
      <c r="M1715" s="3" t="s">
        <v>36</v>
      </c>
      <c r="N1715" s="3" t="s">
        <v>36</v>
      </c>
      <c r="O1715" s="8" t="s">
        <v>36</v>
      </c>
      <c r="P1715" s="3" t="s">
        <v>36</v>
      </c>
      <c r="Q1715" s="3" t="s">
        <v>36</v>
      </c>
      <c r="R1715" s="3" t="s">
        <v>36</v>
      </c>
      <c r="S1715" s="3" t="s">
        <v>36</v>
      </c>
      <c r="T1715" s="3" t="s">
        <v>9931</v>
      </c>
      <c r="U1715" s="3" t="s">
        <v>38</v>
      </c>
      <c r="V1715" s="3" t="s">
        <v>39</v>
      </c>
      <c r="W1715" s="3" t="s">
        <v>9932</v>
      </c>
      <c r="X1715" s="10" t="s">
        <v>9933</v>
      </c>
      <c r="Y1715" s="6" t="s">
        <v>192</v>
      </c>
      <c r="Z1715" s="4">
        <v>2.53</v>
      </c>
      <c r="AA1715" s="4" t="s">
        <v>36</v>
      </c>
      <c r="AB1715" s="3" t="s">
        <v>56</v>
      </c>
      <c r="AC1715" s="3" t="s">
        <v>9934</v>
      </c>
      <c r="AD1715" s="9">
        <v>44891</v>
      </c>
      <c r="AE1715" s="3" t="s">
        <v>110</v>
      </c>
      <c r="AF1715" s="3" t="s">
        <v>9935</v>
      </c>
      <c r="AG1715" s="3" t="s">
        <v>9936</v>
      </c>
      <c r="AH1715" s="11">
        <f>HYPERLINK("https://my.pitchbook.com?c=209384-47T","View Company Online")</f>
      </c>
    </row>
    <row r="1716">
      <c r="A1716" s="12" t="s">
        <v>9937</v>
      </c>
      <c r="B1716" s="12" t="s">
        <v>9938</v>
      </c>
      <c r="C1716" s="19" t="s">
        <v>36</v>
      </c>
      <c r="D1716" s="19" t="s">
        <v>36</v>
      </c>
      <c r="E1716" s="19" t="s">
        <v>36</v>
      </c>
      <c r="F1716" s="19" t="s">
        <v>36</v>
      </c>
      <c r="G1716" s="15" t="s">
        <v>36</v>
      </c>
      <c r="H1716" s="14">
        <v>311.57</v>
      </c>
      <c r="I1716" s="18">
        <v>8.2</v>
      </c>
      <c r="J1716" s="12" t="s">
        <v>521</v>
      </c>
      <c r="K1716" s="13" t="s">
        <v>36</v>
      </c>
      <c r="L1716" s="15" t="s">
        <v>36</v>
      </c>
      <c r="M1716" s="12" t="s">
        <v>36</v>
      </c>
      <c r="N1716" s="12" t="s">
        <v>36</v>
      </c>
      <c r="O1716" s="17" t="s">
        <v>36</v>
      </c>
      <c r="P1716" s="12" t="s">
        <v>36</v>
      </c>
      <c r="Q1716" s="12" t="s">
        <v>36</v>
      </c>
      <c r="R1716" s="12" t="s">
        <v>36</v>
      </c>
      <c r="S1716" s="12" t="s">
        <v>36</v>
      </c>
      <c r="T1716" s="12" t="s">
        <v>2405</v>
      </c>
      <c r="U1716" s="12" t="s">
        <v>648</v>
      </c>
      <c r="V1716" s="12" t="s">
        <v>64</v>
      </c>
      <c r="W1716" s="12" t="s">
        <v>9939</v>
      </c>
      <c r="X1716" s="16" t="s">
        <v>9940</v>
      </c>
      <c r="Y1716" s="15" t="s">
        <v>192</v>
      </c>
      <c r="Z1716" s="14">
        <v>0.07</v>
      </c>
      <c r="AA1716" s="14">
        <v>0.89</v>
      </c>
      <c r="AB1716" s="12" t="s">
        <v>56</v>
      </c>
      <c r="AC1716" s="12" t="s">
        <v>9941</v>
      </c>
      <c r="AD1716" s="13">
        <v>44890</v>
      </c>
      <c r="AE1716" s="12" t="s">
        <v>1897</v>
      </c>
      <c r="AF1716" s="12" t="s">
        <v>1115</v>
      </c>
      <c r="AG1716" s="12" t="s">
        <v>9942</v>
      </c>
      <c r="AH1716" s="1">
        <f>HYPERLINK("https://my.pitchbook.com?c=215581-87T","View Company Online")</f>
      </c>
    </row>
    <row r="1717">
      <c r="A1717" s="3" t="s">
        <v>9943</v>
      </c>
      <c r="B1717" s="3" t="s">
        <v>9944</v>
      </c>
      <c r="C1717" s="5" t="s">
        <v>36</v>
      </c>
      <c r="D1717" s="5" t="s">
        <v>36</v>
      </c>
      <c r="E1717" s="5" t="s">
        <v>36</v>
      </c>
      <c r="F1717" s="5" t="s">
        <v>36</v>
      </c>
      <c r="G1717" s="6" t="s">
        <v>683</v>
      </c>
      <c r="H1717" s="4">
        <v>12.48</v>
      </c>
      <c r="I1717" s="7">
        <v>23.33</v>
      </c>
      <c r="J1717" s="3" t="s">
        <v>521</v>
      </c>
      <c r="K1717" s="9" t="s">
        <v>36</v>
      </c>
      <c r="L1717" s="6" t="s">
        <v>36</v>
      </c>
      <c r="M1717" s="3" t="s">
        <v>36</v>
      </c>
      <c r="N1717" s="3" t="s">
        <v>36</v>
      </c>
      <c r="O1717" s="8" t="s">
        <v>36</v>
      </c>
      <c r="P1717" s="3" t="s">
        <v>36</v>
      </c>
      <c r="Q1717" s="3" t="s">
        <v>36</v>
      </c>
      <c r="R1717" s="3" t="s">
        <v>36</v>
      </c>
      <c r="S1717" s="3" t="s">
        <v>36</v>
      </c>
      <c r="T1717" s="3" t="s">
        <v>522</v>
      </c>
      <c r="U1717" s="3" t="s">
        <v>38</v>
      </c>
      <c r="V1717" s="3" t="s">
        <v>39</v>
      </c>
      <c r="W1717" s="3" t="s">
        <v>9945</v>
      </c>
      <c r="X1717" s="10" t="s">
        <v>9946</v>
      </c>
      <c r="Y1717" s="6" t="s">
        <v>166</v>
      </c>
      <c r="Z1717" s="4">
        <v>36.33</v>
      </c>
      <c r="AA1717" s="4">
        <v>155.73</v>
      </c>
      <c r="AB1717" s="3" t="s">
        <v>56</v>
      </c>
      <c r="AC1717" s="3" t="s">
        <v>9947</v>
      </c>
      <c r="AD1717" s="9">
        <v>44889</v>
      </c>
      <c r="AE1717" s="3" t="s">
        <v>110</v>
      </c>
      <c r="AF1717" s="3" t="s">
        <v>4552</v>
      </c>
      <c r="AG1717" s="3" t="s">
        <v>81</v>
      </c>
      <c r="AH1717" s="11">
        <f>HYPERLINK("https://my.pitchbook.com?c=216023-14T","View Company Online")</f>
      </c>
    </row>
    <row r="1718">
      <c r="A1718" s="12" t="s">
        <v>9948</v>
      </c>
      <c r="B1718" s="12" t="s">
        <v>9949</v>
      </c>
      <c r="C1718" s="19" t="s">
        <v>36</v>
      </c>
      <c r="D1718" s="19" t="s">
        <v>36</v>
      </c>
      <c r="E1718" s="19" t="s">
        <v>36</v>
      </c>
      <c r="F1718" s="19" t="s">
        <v>36</v>
      </c>
      <c r="G1718" s="15" t="s">
        <v>326</v>
      </c>
      <c r="H1718" s="14">
        <v>7.11</v>
      </c>
      <c r="I1718" s="18">
        <v>21.66</v>
      </c>
      <c r="J1718" s="12" t="s">
        <v>521</v>
      </c>
      <c r="K1718" s="13" t="s">
        <v>36</v>
      </c>
      <c r="L1718" s="15" t="s">
        <v>36</v>
      </c>
      <c r="M1718" s="12" t="s">
        <v>36</v>
      </c>
      <c r="N1718" s="12" t="s">
        <v>36</v>
      </c>
      <c r="O1718" s="17" t="s">
        <v>36</v>
      </c>
      <c r="P1718" s="12" t="s">
        <v>36</v>
      </c>
      <c r="Q1718" s="12" t="s">
        <v>36</v>
      </c>
      <c r="R1718" s="12" t="s">
        <v>36</v>
      </c>
      <c r="S1718" s="12" t="s">
        <v>36</v>
      </c>
      <c r="T1718" s="12" t="s">
        <v>9950</v>
      </c>
      <c r="U1718" s="12" t="s">
        <v>619</v>
      </c>
      <c r="V1718" s="12" t="s">
        <v>378</v>
      </c>
      <c r="W1718" s="12" t="s">
        <v>9951</v>
      </c>
      <c r="X1718" s="16" t="s">
        <v>9952</v>
      </c>
      <c r="Y1718" s="15" t="s">
        <v>108</v>
      </c>
      <c r="Z1718" s="14">
        <v>1.42</v>
      </c>
      <c r="AA1718" s="14">
        <v>4.25</v>
      </c>
      <c r="AB1718" s="12" t="s">
        <v>43</v>
      </c>
      <c r="AC1718" s="12" t="s">
        <v>9953</v>
      </c>
      <c r="AD1718" s="13">
        <v>44889</v>
      </c>
      <c r="AE1718" s="12" t="s">
        <v>623</v>
      </c>
      <c r="AF1718" s="12" t="s">
        <v>2703</v>
      </c>
      <c r="AG1718" s="12" t="s">
        <v>9954</v>
      </c>
      <c r="AH1718" s="1">
        <f>HYPERLINK("https://my.pitchbook.com?c=209518-21T","View Company Online")</f>
      </c>
    </row>
    <row r="1719">
      <c r="A1719" s="3" t="s">
        <v>9955</v>
      </c>
      <c r="B1719" s="3" t="s">
        <v>9956</v>
      </c>
      <c r="C1719" s="5" t="s">
        <v>36</v>
      </c>
      <c r="D1719" s="5" t="s">
        <v>36</v>
      </c>
      <c r="E1719" s="5" t="s">
        <v>36</v>
      </c>
      <c r="F1719" s="5" t="s">
        <v>36</v>
      </c>
      <c r="G1719" s="6" t="s">
        <v>36</v>
      </c>
      <c r="H1719" s="4" t="s">
        <v>36</v>
      </c>
      <c r="I1719" s="7" t="s">
        <v>36</v>
      </c>
      <c r="J1719" s="3" t="s">
        <v>36</v>
      </c>
      <c r="K1719" s="9" t="s">
        <v>36</v>
      </c>
      <c r="L1719" s="6" t="s">
        <v>36</v>
      </c>
      <c r="M1719" s="3" t="s">
        <v>36</v>
      </c>
      <c r="N1719" s="3" t="s">
        <v>36</v>
      </c>
      <c r="O1719" s="8" t="s">
        <v>36</v>
      </c>
      <c r="P1719" s="3" t="s">
        <v>36</v>
      </c>
      <c r="Q1719" s="3" t="s">
        <v>36</v>
      </c>
      <c r="R1719" s="3" t="s">
        <v>36</v>
      </c>
      <c r="S1719" s="3" t="s">
        <v>595</v>
      </c>
      <c r="T1719" s="3" t="s">
        <v>9957</v>
      </c>
      <c r="U1719" s="3" t="s">
        <v>1336</v>
      </c>
      <c r="V1719" s="3" t="s">
        <v>367</v>
      </c>
      <c r="W1719" s="3" t="s">
        <v>9958</v>
      </c>
      <c r="X1719" s="10" t="s">
        <v>4499</v>
      </c>
      <c r="Y1719" s="6" t="s">
        <v>42</v>
      </c>
      <c r="Z1719" s="4" t="s">
        <v>36</v>
      </c>
      <c r="AA1719" s="4" t="s">
        <v>36</v>
      </c>
      <c r="AB1719" s="3" t="s">
        <v>43</v>
      </c>
      <c r="AC1719" s="3" t="s">
        <v>9959</v>
      </c>
      <c r="AD1719" s="9">
        <v>44889</v>
      </c>
      <c r="AE1719" s="3" t="s">
        <v>2464</v>
      </c>
      <c r="AF1719" s="3" t="s">
        <v>36</v>
      </c>
      <c r="AG1719" s="3" t="s">
        <v>81</v>
      </c>
      <c r="AH1719" s="11">
        <f>HYPERLINK("https://my.pitchbook.com?c=267611-68T","View Company Online")</f>
      </c>
    </row>
    <row r="1720">
      <c r="A1720" s="12" t="s">
        <v>9960</v>
      </c>
      <c r="B1720" s="12" t="s">
        <v>9961</v>
      </c>
      <c r="C1720" s="19" t="s">
        <v>36</v>
      </c>
      <c r="D1720" s="19" t="s">
        <v>36</v>
      </c>
      <c r="E1720" s="19" t="s">
        <v>36</v>
      </c>
      <c r="F1720" s="19" t="s">
        <v>36</v>
      </c>
      <c r="G1720" s="15" t="s">
        <v>36</v>
      </c>
      <c r="H1720" s="14" t="s">
        <v>36</v>
      </c>
      <c r="I1720" s="18" t="s">
        <v>36</v>
      </c>
      <c r="J1720" s="12" t="s">
        <v>36</v>
      </c>
      <c r="K1720" s="13">
        <v>44855</v>
      </c>
      <c r="L1720" s="15" t="s">
        <v>36</v>
      </c>
      <c r="M1720" s="12" t="s">
        <v>36</v>
      </c>
      <c r="N1720" s="12" t="s">
        <v>36</v>
      </c>
      <c r="O1720" s="17" t="s">
        <v>36</v>
      </c>
      <c r="P1720" s="12" t="s">
        <v>36</v>
      </c>
      <c r="Q1720" s="12" t="s">
        <v>36</v>
      </c>
      <c r="R1720" s="12" t="s">
        <v>36</v>
      </c>
      <c r="S1720" s="12" t="s">
        <v>36</v>
      </c>
      <c r="T1720" s="12" t="s">
        <v>1725</v>
      </c>
      <c r="U1720" s="12" t="s">
        <v>318</v>
      </c>
      <c r="V1720" s="12" t="s">
        <v>39</v>
      </c>
      <c r="W1720" s="12" t="s">
        <v>9962</v>
      </c>
      <c r="X1720" s="16" t="s">
        <v>9963</v>
      </c>
      <c r="Y1720" s="15" t="s">
        <v>108</v>
      </c>
      <c r="Z1720" s="14">
        <v>1.12</v>
      </c>
      <c r="AA1720" s="14" t="s">
        <v>36</v>
      </c>
      <c r="AB1720" s="12" t="s">
        <v>43</v>
      </c>
      <c r="AC1720" s="12" t="s">
        <v>9964</v>
      </c>
      <c r="AD1720" s="13">
        <v>44889</v>
      </c>
      <c r="AE1720" s="12" t="s">
        <v>763</v>
      </c>
      <c r="AF1720" s="12" t="s">
        <v>9965</v>
      </c>
      <c r="AG1720" s="12" t="s">
        <v>9966</v>
      </c>
      <c r="AH1720" s="1">
        <f>HYPERLINK("https://my.pitchbook.com?c=206738-56T","View Company Online")</f>
      </c>
    </row>
    <row r="1721">
      <c r="A1721" s="3" t="s">
        <v>9967</v>
      </c>
      <c r="B1721" s="3" t="s">
        <v>9968</v>
      </c>
      <c r="C1721" s="5">
        <v>4</v>
      </c>
      <c r="D1721" s="5">
        <v>46</v>
      </c>
      <c r="E1721" s="5">
        <v>14</v>
      </c>
      <c r="F1721" s="5">
        <v>50</v>
      </c>
      <c r="G1721" s="6" t="s">
        <v>36</v>
      </c>
      <c r="H1721" s="4">
        <v>17.74</v>
      </c>
      <c r="I1721" s="7">
        <v>23.25</v>
      </c>
      <c r="J1721" s="3" t="s">
        <v>521</v>
      </c>
      <c r="K1721" s="9">
        <v>44853</v>
      </c>
      <c r="L1721" s="6" t="s">
        <v>36</v>
      </c>
      <c r="M1721" s="3" t="s">
        <v>36</v>
      </c>
      <c r="N1721" s="3" t="s">
        <v>36</v>
      </c>
      <c r="O1721" s="8" t="s">
        <v>36</v>
      </c>
      <c r="P1721" s="3" t="s">
        <v>36</v>
      </c>
      <c r="Q1721" s="3" t="s">
        <v>36</v>
      </c>
      <c r="R1721" s="3" t="s">
        <v>36</v>
      </c>
      <c r="S1721" s="3" t="s">
        <v>36</v>
      </c>
      <c r="T1721" s="3" t="s">
        <v>9969</v>
      </c>
      <c r="U1721" s="3" t="s">
        <v>366</v>
      </c>
      <c r="V1721" s="3" t="s">
        <v>367</v>
      </c>
      <c r="W1721" s="3" t="s">
        <v>9970</v>
      </c>
      <c r="X1721" s="10" t="s">
        <v>9971</v>
      </c>
      <c r="Y1721" s="6" t="s">
        <v>55</v>
      </c>
      <c r="Z1721" s="4">
        <v>5.05</v>
      </c>
      <c r="AA1721" s="4">
        <v>21.71</v>
      </c>
      <c r="AB1721" s="3" t="s">
        <v>56</v>
      </c>
      <c r="AC1721" s="3" t="s">
        <v>9972</v>
      </c>
      <c r="AD1721" s="9">
        <v>44888</v>
      </c>
      <c r="AE1721" s="3" t="s">
        <v>7565</v>
      </c>
      <c r="AF1721" s="3" t="s">
        <v>9973</v>
      </c>
      <c r="AG1721" s="3" t="s">
        <v>969</v>
      </c>
      <c r="AH1721" s="11">
        <f>HYPERLINK("https://my.pitchbook.com?c=209121-04T","View Company Online")</f>
      </c>
    </row>
    <row r="1722">
      <c r="A1722" s="12" t="s">
        <v>9974</v>
      </c>
      <c r="B1722" s="12" t="s">
        <v>9975</v>
      </c>
      <c r="C1722" s="19" t="s">
        <v>36</v>
      </c>
      <c r="D1722" s="19" t="s">
        <v>36</v>
      </c>
      <c r="E1722" s="19">
        <v>1</v>
      </c>
      <c r="F1722" s="19">
        <v>1</v>
      </c>
      <c r="G1722" s="15" t="s">
        <v>326</v>
      </c>
      <c r="H1722" s="14">
        <v>1034.56</v>
      </c>
      <c r="I1722" s="18">
        <v>20.63</v>
      </c>
      <c r="J1722" s="12" t="s">
        <v>521</v>
      </c>
      <c r="K1722" s="13" t="s">
        <v>36</v>
      </c>
      <c r="L1722" s="15" t="s">
        <v>36</v>
      </c>
      <c r="M1722" s="12" t="s">
        <v>36</v>
      </c>
      <c r="N1722" s="12" t="s">
        <v>36</v>
      </c>
      <c r="O1722" s="17" t="s">
        <v>36</v>
      </c>
      <c r="P1722" s="12" t="s">
        <v>36</v>
      </c>
      <c r="Q1722" s="12" t="s">
        <v>36</v>
      </c>
      <c r="R1722" s="12" t="s">
        <v>36</v>
      </c>
      <c r="S1722" s="12" t="s">
        <v>36</v>
      </c>
      <c r="T1722" s="12" t="s">
        <v>37</v>
      </c>
      <c r="U1722" s="12" t="s">
        <v>38</v>
      </c>
      <c r="V1722" s="12" t="s">
        <v>39</v>
      </c>
      <c r="W1722" s="12" t="s">
        <v>9976</v>
      </c>
      <c r="X1722" s="16" t="s">
        <v>9977</v>
      </c>
      <c r="Y1722" s="15" t="s">
        <v>42</v>
      </c>
      <c r="Z1722" s="14">
        <v>0.4</v>
      </c>
      <c r="AA1722" s="14">
        <v>1.69</v>
      </c>
      <c r="AB1722" s="12" t="s">
        <v>43</v>
      </c>
      <c r="AC1722" s="12" t="s">
        <v>9978</v>
      </c>
      <c r="AD1722" s="13">
        <v>44888</v>
      </c>
      <c r="AE1722" s="12" t="s">
        <v>45</v>
      </c>
      <c r="AF1722" s="12" t="s">
        <v>215</v>
      </c>
      <c r="AG1722" s="12" t="s">
        <v>9979</v>
      </c>
      <c r="AH1722" s="1">
        <f>HYPERLINK("https://my.pitchbook.com?c=209383-57T","View Company Online")</f>
      </c>
    </row>
    <row r="1723">
      <c r="A1723" s="3" t="s">
        <v>9980</v>
      </c>
      <c r="B1723" s="3" t="s">
        <v>9981</v>
      </c>
      <c r="C1723" s="5" t="s">
        <v>36</v>
      </c>
      <c r="D1723" s="5" t="s">
        <v>36</v>
      </c>
      <c r="E1723" s="5" t="s">
        <v>36</v>
      </c>
      <c r="F1723" s="5" t="s">
        <v>36</v>
      </c>
      <c r="G1723" s="6" t="s">
        <v>36</v>
      </c>
      <c r="H1723" s="4">
        <v>1661.71</v>
      </c>
      <c r="I1723" s="7">
        <v>20</v>
      </c>
      <c r="J1723" s="3" t="s">
        <v>521</v>
      </c>
      <c r="K1723" s="9" t="s">
        <v>36</v>
      </c>
      <c r="L1723" s="6" t="s">
        <v>36</v>
      </c>
      <c r="M1723" s="3" t="s">
        <v>36</v>
      </c>
      <c r="N1723" s="3" t="s">
        <v>36</v>
      </c>
      <c r="O1723" s="8" t="s">
        <v>36</v>
      </c>
      <c r="P1723" s="3" t="s">
        <v>36</v>
      </c>
      <c r="Q1723" s="3" t="s">
        <v>36</v>
      </c>
      <c r="R1723" s="3" t="s">
        <v>36</v>
      </c>
      <c r="S1723" s="3" t="s">
        <v>36</v>
      </c>
      <c r="T1723" s="3" t="s">
        <v>9982</v>
      </c>
      <c r="U1723" s="3" t="s">
        <v>648</v>
      </c>
      <c r="V1723" s="3" t="s">
        <v>64</v>
      </c>
      <c r="W1723" s="3" t="s">
        <v>9983</v>
      </c>
      <c r="X1723" s="10" t="s">
        <v>9984</v>
      </c>
      <c r="Y1723" s="6" t="s">
        <v>42</v>
      </c>
      <c r="Z1723" s="4">
        <v>0.04</v>
      </c>
      <c r="AA1723" s="4">
        <v>0.2</v>
      </c>
      <c r="AB1723" s="3" t="s">
        <v>56</v>
      </c>
      <c r="AC1723" s="3" t="s">
        <v>9985</v>
      </c>
      <c r="AD1723" s="9">
        <v>44887</v>
      </c>
      <c r="AE1723" s="3" t="s">
        <v>3988</v>
      </c>
      <c r="AF1723" s="3" t="s">
        <v>90</v>
      </c>
      <c r="AG1723" s="3" t="s">
        <v>9986</v>
      </c>
      <c r="AH1723" s="11">
        <f>HYPERLINK("https://my.pitchbook.com?c=199397-71T","View Company Online")</f>
      </c>
    </row>
    <row r="1724">
      <c r="A1724" s="12" t="s">
        <v>9987</v>
      </c>
      <c r="B1724" s="12" t="s">
        <v>9988</v>
      </c>
      <c r="C1724" s="19" t="s">
        <v>36</v>
      </c>
      <c r="D1724" s="19" t="s">
        <v>36</v>
      </c>
      <c r="E1724" s="19" t="s">
        <v>36</v>
      </c>
      <c r="F1724" s="19" t="s">
        <v>36</v>
      </c>
      <c r="G1724" s="15" t="s">
        <v>36</v>
      </c>
      <c r="H1724" s="14" t="s">
        <v>36</v>
      </c>
      <c r="I1724" s="18" t="s">
        <v>36</v>
      </c>
      <c r="J1724" s="12" t="s">
        <v>36</v>
      </c>
      <c r="K1724" s="13" t="s">
        <v>36</v>
      </c>
      <c r="L1724" s="15" t="s">
        <v>36</v>
      </c>
      <c r="M1724" s="12" t="s">
        <v>36</v>
      </c>
      <c r="N1724" s="12" t="s">
        <v>36</v>
      </c>
      <c r="O1724" s="17" t="s">
        <v>36</v>
      </c>
      <c r="P1724" s="12" t="s">
        <v>36</v>
      </c>
      <c r="Q1724" s="12" t="s">
        <v>36</v>
      </c>
      <c r="R1724" s="12" t="s">
        <v>36</v>
      </c>
      <c r="S1724" s="12" t="s">
        <v>36</v>
      </c>
      <c r="T1724" s="12" t="s">
        <v>9989</v>
      </c>
      <c r="U1724" s="12" t="s">
        <v>648</v>
      </c>
      <c r="V1724" s="12" t="s">
        <v>64</v>
      </c>
      <c r="W1724" s="12" t="s">
        <v>9990</v>
      </c>
      <c r="X1724" s="16" t="s">
        <v>9991</v>
      </c>
      <c r="Y1724" s="15" t="s">
        <v>108</v>
      </c>
      <c r="Z1724" s="14">
        <v>5.04</v>
      </c>
      <c r="AA1724" s="14" t="s">
        <v>36</v>
      </c>
      <c r="AB1724" s="12" t="s">
        <v>43</v>
      </c>
      <c r="AC1724" s="12" t="s">
        <v>9992</v>
      </c>
      <c r="AD1724" s="13">
        <v>44887</v>
      </c>
      <c r="AE1724" s="12" t="s">
        <v>651</v>
      </c>
      <c r="AF1724" s="12" t="s">
        <v>9993</v>
      </c>
      <c r="AG1724" s="12" t="s">
        <v>924</v>
      </c>
      <c r="AH1724" s="1">
        <f>HYPERLINK("https://my.pitchbook.com?c=208919-89T","View Company Online")</f>
      </c>
    </row>
    <row r="1725">
      <c r="A1725" s="3" t="s">
        <v>9994</v>
      </c>
      <c r="B1725" s="3" t="s">
        <v>9995</v>
      </c>
      <c r="C1725" s="5" t="s">
        <v>36</v>
      </c>
      <c r="D1725" s="5" t="s">
        <v>36</v>
      </c>
      <c r="E1725" s="5" t="s">
        <v>36</v>
      </c>
      <c r="F1725" s="5" t="s">
        <v>36</v>
      </c>
      <c r="G1725" s="6" t="s">
        <v>36</v>
      </c>
      <c r="H1725" s="4">
        <v>2.14</v>
      </c>
      <c r="I1725" s="7">
        <v>27.34</v>
      </c>
      <c r="J1725" s="3" t="s">
        <v>521</v>
      </c>
      <c r="K1725" s="9">
        <v>44775</v>
      </c>
      <c r="L1725" s="6" t="s">
        <v>36</v>
      </c>
      <c r="M1725" s="3" t="s">
        <v>36</v>
      </c>
      <c r="N1725" s="3" t="s">
        <v>36</v>
      </c>
      <c r="O1725" s="8" t="s">
        <v>36</v>
      </c>
      <c r="P1725" s="3" t="s">
        <v>36</v>
      </c>
      <c r="Q1725" s="3" t="s">
        <v>36</v>
      </c>
      <c r="R1725" s="3" t="s">
        <v>36</v>
      </c>
      <c r="S1725" s="3" t="s">
        <v>36</v>
      </c>
      <c r="T1725" s="3" t="s">
        <v>522</v>
      </c>
      <c r="U1725" s="3" t="s">
        <v>38</v>
      </c>
      <c r="V1725" s="3" t="s">
        <v>39</v>
      </c>
      <c r="W1725" s="3" t="s">
        <v>9996</v>
      </c>
      <c r="X1725" s="10" t="s">
        <v>9997</v>
      </c>
      <c r="Y1725" s="6" t="s">
        <v>42</v>
      </c>
      <c r="Z1725" s="4">
        <v>1.47</v>
      </c>
      <c r="AA1725" s="4">
        <v>2.86</v>
      </c>
      <c r="AB1725" s="3" t="s">
        <v>43</v>
      </c>
      <c r="AC1725" s="3" t="s">
        <v>9998</v>
      </c>
      <c r="AD1725" s="9">
        <v>44887</v>
      </c>
      <c r="AE1725" s="3" t="s">
        <v>110</v>
      </c>
      <c r="AF1725" s="3" t="s">
        <v>1331</v>
      </c>
      <c r="AG1725" s="3" t="s">
        <v>186</v>
      </c>
      <c r="AH1725" s="11">
        <f>HYPERLINK("https://my.pitchbook.com?c=208970-65T","View Company Online")</f>
      </c>
    </row>
    <row r="1726">
      <c r="A1726" s="12" t="s">
        <v>9999</v>
      </c>
      <c r="B1726" s="12" t="s">
        <v>7063</v>
      </c>
      <c r="C1726" s="19">
        <v>12</v>
      </c>
      <c r="D1726" s="19">
        <v>57</v>
      </c>
      <c r="E1726" s="19">
        <v>13</v>
      </c>
      <c r="F1726" s="19">
        <v>72</v>
      </c>
      <c r="G1726" s="15" t="s">
        <v>36</v>
      </c>
      <c r="H1726" s="14">
        <v>66.47</v>
      </c>
      <c r="I1726" s="18">
        <v>23.69</v>
      </c>
      <c r="J1726" s="12" t="s">
        <v>521</v>
      </c>
      <c r="K1726" s="13">
        <v>44734</v>
      </c>
      <c r="L1726" s="15" t="s">
        <v>94</v>
      </c>
      <c r="M1726" s="12" t="s">
        <v>36</v>
      </c>
      <c r="N1726" s="12" t="s">
        <v>94</v>
      </c>
      <c r="O1726" s="17" t="s">
        <v>36</v>
      </c>
      <c r="P1726" s="12" t="s">
        <v>36</v>
      </c>
      <c r="Q1726" s="12" t="s">
        <v>36</v>
      </c>
      <c r="R1726" s="12" t="s">
        <v>36</v>
      </c>
      <c r="S1726" s="12" t="s">
        <v>36</v>
      </c>
      <c r="T1726" s="12" t="s">
        <v>4225</v>
      </c>
      <c r="U1726" s="12" t="s">
        <v>96</v>
      </c>
      <c r="V1726" s="12" t="s">
        <v>52</v>
      </c>
      <c r="W1726" s="12" t="s">
        <v>7064</v>
      </c>
      <c r="X1726" s="16" t="s">
        <v>10000</v>
      </c>
      <c r="Y1726" s="15" t="s">
        <v>321</v>
      </c>
      <c r="Z1726" s="14">
        <v>12.6</v>
      </c>
      <c r="AA1726" s="14">
        <v>53.2</v>
      </c>
      <c r="AB1726" s="12" t="s">
        <v>56</v>
      </c>
      <c r="AC1726" s="12" t="s">
        <v>7066</v>
      </c>
      <c r="AD1726" s="13">
        <v>44886</v>
      </c>
      <c r="AE1726" s="12" t="s">
        <v>143</v>
      </c>
      <c r="AF1726" s="12" t="s">
        <v>36</v>
      </c>
      <c r="AG1726" s="12" t="s">
        <v>47</v>
      </c>
      <c r="AH1726" s="1">
        <f>HYPERLINK("https://my.pitchbook.com?c=196677-55T","View Company Online")</f>
      </c>
    </row>
    <row r="1727">
      <c r="A1727" s="3" t="s">
        <v>10001</v>
      </c>
      <c r="B1727" s="3" t="s">
        <v>2514</v>
      </c>
      <c r="C1727" s="5">
        <v>1</v>
      </c>
      <c r="D1727" s="5">
        <v>6</v>
      </c>
      <c r="E1727" s="5">
        <v>3</v>
      </c>
      <c r="F1727" s="5">
        <v>7</v>
      </c>
      <c r="G1727" s="6" t="s">
        <v>36</v>
      </c>
      <c r="H1727" s="4" t="s">
        <v>36</v>
      </c>
      <c r="I1727" s="7" t="s">
        <v>36</v>
      </c>
      <c r="J1727" s="3" t="s">
        <v>36</v>
      </c>
      <c r="K1727" s="9">
        <v>44648</v>
      </c>
      <c r="L1727" s="6" t="s">
        <v>122</v>
      </c>
      <c r="M1727" s="3" t="s">
        <v>36</v>
      </c>
      <c r="N1727" s="3" t="s">
        <v>122</v>
      </c>
      <c r="O1727" s="8" t="s">
        <v>36</v>
      </c>
      <c r="P1727" s="3" t="s">
        <v>36</v>
      </c>
      <c r="Q1727" s="3" t="s">
        <v>36</v>
      </c>
      <c r="R1727" s="3" t="s">
        <v>36</v>
      </c>
      <c r="S1727" s="3" t="s">
        <v>36</v>
      </c>
      <c r="T1727" s="3" t="s">
        <v>2515</v>
      </c>
      <c r="U1727" s="3" t="s">
        <v>74</v>
      </c>
      <c r="V1727" s="3" t="s">
        <v>75</v>
      </c>
      <c r="W1727" s="3" t="s">
        <v>2516</v>
      </c>
      <c r="X1727" s="10" t="s">
        <v>10002</v>
      </c>
      <c r="Y1727" s="6" t="s">
        <v>108</v>
      </c>
      <c r="Z1727" s="4">
        <v>8.96</v>
      </c>
      <c r="AA1727" s="4" t="s">
        <v>36</v>
      </c>
      <c r="AB1727" s="3" t="s">
        <v>56</v>
      </c>
      <c r="AC1727" s="3" t="s">
        <v>2518</v>
      </c>
      <c r="AD1727" s="9">
        <v>44886</v>
      </c>
      <c r="AE1727" s="3" t="s">
        <v>570</v>
      </c>
      <c r="AF1727" s="3" t="s">
        <v>982</v>
      </c>
      <c r="AG1727" s="3" t="s">
        <v>2519</v>
      </c>
      <c r="AH1727" s="11">
        <f>HYPERLINK("https://my.pitchbook.com?c=209285-83T","View Company Online")</f>
      </c>
    </row>
    <row r="1728">
      <c r="A1728" s="12" t="s">
        <v>10003</v>
      </c>
      <c r="B1728" s="12" t="s">
        <v>10004</v>
      </c>
      <c r="C1728" s="19" t="s">
        <v>36</v>
      </c>
      <c r="D1728" s="19" t="s">
        <v>36</v>
      </c>
      <c r="E1728" s="19" t="s">
        <v>36</v>
      </c>
      <c r="F1728" s="19" t="s">
        <v>36</v>
      </c>
      <c r="G1728" s="15" t="s">
        <v>36</v>
      </c>
      <c r="H1728" s="14" t="s">
        <v>36</v>
      </c>
      <c r="I1728" s="18" t="s">
        <v>36</v>
      </c>
      <c r="J1728" s="12" t="s">
        <v>36</v>
      </c>
      <c r="K1728" s="13" t="s">
        <v>36</v>
      </c>
      <c r="L1728" s="15" t="s">
        <v>36</v>
      </c>
      <c r="M1728" s="12" t="s">
        <v>36</v>
      </c>
      <c r="N1728" s="12" t="s">
        <v>36</v>
      </c>
      <c r="O1728" s="17" t="s">
        <v>36</v>
      </c>
      <c r="P1728" s="12" t="s">
        <v>36</v>
      </c>
      <c r="Q1728" s="12" t="s">
        <v>36</v>
      </c>
      <c r="R1728" s="12" t="s">
        <v>36</v>
      </c>
      <c r="S1728" s="12" t="s">
        <v>36</v>
      </c>
      <c r="T1728" s="12" t="s">
        <v>8152</v>
      </c>
      <c r="U1728" s="12" t="s">
        <v>38</v>
      </c>
      <c r="V1728" s="12" t="s">
        <v>39</v>
      </c>
      <c r="W1728" s="12" t="s">
        <v>10005</v>
      </c>
      <c r="X1728" s="16" t="s">
        <v>10006</v>
      </c>
      <c r="Y1728" s="15" t="s">
        <v>42</v>
      </c>
      <c r="Z1728" s="14">
        <v>1.11</v>
      </c>
      <c r="AA1728" s="14" t="s">
        <v>36</v>
      </c>
      <c r="AB1728" s="12" t="s">
        <v>43</v>
      </c>
      <c r="AC1728" s="12" t="s">
        <v>10007</v>
      </c>
      <c r="AD1728" s="13">
        <v>44885</v>
      </c>
      <c r="AE1728" s="12" t="s">
        <v>110</v>
      </c>
      <c r="AF1728" s="12" t="s">
        <v>1999</v>
      </c>
      <c r="AG1728" s="12" t="s">
        <v>81</v>
      </c>
      <c r="AH1728" s="1">
        <f>HYPERLINK("https://my.pitchbook.com?c=208861-12T","View Company Online")</f>
      </c>
    </row>
    <row r="1729">
      <c r="A1729" s="3" t="s">
        <v>10008</v>
      </c>
      <c r="B1729" s="3" t="s">
        <v>4055</v>
      </c>
      <c r="C1729" s="5" t="s">
        <v>36</v>
      </c>
      <c r="D1729" s="5" t="s">
        <v>36</v>
      </c>
      <c r="E1729" s="5" t="s">
        <v>36</v>
      </c>
      <c r="F1729" s="5" t="s">
        <v>36</v>
      </c>
      <c r="G1729" s="6" t="s">
        <v>36</v>
      </c>
      <c r="H1729" s="4" t="s">
        <v>36</v>
      </c>
      <c r="I1729" s="7" t="s">
        <v>36</v>
      </c>
      <c r="J1729" s="3" t="s">
        <v>36</v>
      </c>
      <c r="K1729" s="9">
        <v>44743</v>
      </c>
      <c r="L1729" s="6" t="s">
        <v>122</v>
      </c>
      <c r="M1729" s="3" t="s">
        <v>36</v>
      </c>
      <c r="N1729" s="3" t="s">
        <v>122</v>
      </c>
      <c r="O1729" s="8" t="s">
        <v>36</v>
      </c>
      <c r="P1729" s="3" t="s">
        <v>36</v>
      </c>
      <c r="Q1729" s="3" t="s">
        <v>36</v>
      </c>
      <c r="R1729" s="3" t="s">
        <v>36</v>
      </c>
      <c r="S1729" s="3" t="s">
        <v>196</v>
      </c>
      <c r="T1729" s="3" t="s">
        <v>4056</v>
      </c>
      <c r="U1729" s="3" t="s">
        <v>38</v>
      </c>
      <c r="V1729" s="3" t="s">
        <v>39</v>
      </c>
      <c r="W1729" s="3" t="s">
        <v>4057</v>
      </c>
      <c r="X1729" s="10" t="s">
        <v>10009</v>
      </c>
      <c r="Y1729" s="6" t="s">
        <v>108</v>
      </c>
      <c r="Z1729" s="4">
        <v>19</v>
      </c>
      <c r="AA1729" s="4" t="s">
        <v>36</v>
      </c>
      <c r="AB1729" s="3" t="s">
        <v>43</v>
      </c>
      <c r="AC1729" s="3" t="s">
        <v>4059</v>
      </c>
      <c r="AD1729" s="9">
        <v>44883</v>
      </c>
      <c r="AE1729" s="3" t="s">
        <v>1945</v>
      </c>
      <c r="AF1729" s="3" t="s">
        <v>4060</v>
      </c>
      <c r="AG1729" s="3" t="s">
        <v>1053</v>
      </c>
      <c r="AH1729" s="11">
        <f>HYPERLINK("https://my.pitchbook.com?c=206327-08T","View Company Online")</f>
      </c>
    </row>
    <row r="1730">
      <c r="A1730" s="12" t="s">
        <v>10010</v>
      </c>
      <c r="B1730" s="12" t="s">
        <v>4022</v>
      </c>
      <c r="C1730" s="19">
        <v>1</v>
      </c>
      <c r="D1730" s="19" t="s">
        <v>36</v>
      </c>
      <c r="E1730" s="19">
        <v>1</v>
      </c>
      <c r="F1730" s="19">
        <v>1</v>
      </c>
      <c r="G1730" s="15" t="s">
        <v>36</v>
      </c>
      <c r="H1730" s="14" t="s">
        <v>36</v>
      </c>
      <c r="I1730" s="18" t="s">
        <v>36</v>
      </c>
      <c r="J1730" s="12" t="s">
        <v>36</v>
      </c>
      <c r="K1730" s="13" t="s">
        <v>36</v>
      </c>
      <c r="L1730" s="15" t="s">
        <v>36</v>
      </c>
      <c r="M1730" s="12" t="s">
        <v>36</v>
      </c>
      <c r="N1730" s="12" t="s">
        <v>36</v>
      </c>
      <c r="O1730" s="17" t="s">
        <v>36</v>
      </c>
      <c r="P1730" s="12" t="s">
        <v>36</v>
      </c>
      <c r="Q1730" s="12" t="s">
        <v>36</v>
      </c>
      <c r="R1730" s="12" t="s">
        <v>36</v>
      </c>
      <c r="S1730" s="12" t="s">
        <v>36</v>
      </c>
      <c r="T1730" s="12" t="s">
        <v>818</v>
      </c>
      <c r="U1730" s="12" t="s">
        <v>74</v>
      </c>
      <c r="V1730" s="12" t="s">
        <v>75</v>
      </c>
      <c r="W1730" s="12" t="s">
        <v>4023</v>
      </c>
      <c r="X1730" s="16" t="s">
        <v>10011</v>
      </c>
      <c r="Y1730" s="15" t="s">
        <v>42</v>
      </c>
      <c r="Z1730" s="14">
        <v>17.03</v>
      </c>
      <c r="AA1730" s="14" t="s">
        <v>36</v>
      </c>
      <c r="AB1730" s="12" t="s">
        <v>43</v>
      </c>
      <c r="AC1730" s="12" t="s">
        <v>4025</v>
      </c>
      <c r="AD1730" s="13">
        <v>44883</v>
      </c>
      <c r="AE1730" s="12" t="s">
        <v>570</v>
      </c>
      <c r="AF1730" s="12" t="s">
        <v>546</v>
      </c>
      <c r="AG1730" s="12" t="s">
        <v>4026</v>
      </c>
      <c r="AH1730" s="1">
        <f>HYPERLINK("https://my.pitchbook.com?c=282245-86T","View Company Online")</f>
      </c>
    </row>
    <row r="1731">
      <c r="A1731" s="3" t="s">
        <v>10012</v>
      </c>
      <c r="B1731" s="3" t="s">
        <v>10013</v>
      </c>
      <c r="C1731" s="5" t="s">
        <v>36</v>
      </c>
      <c r="D1731" s="5" t="s">
        <v>36</v>
      </c>
      <c r="E1731" s="5" t="s">
        <v>36</v>
      </c>
      <c r="F1731" s="5" t="s">
        <v>36</v>
      </c>
      <c r="G1731" s="6" t="s">
        <v>326</v>
      </c>
      <c r="H1731" s="4" t="s">
        <v>36</v>
      </c>
      <c r="I1731" s="7">
        <v>19.1</v>
      </c>
      <c r="J1731" s="3" t="s">
        <v>327</v>
      </c>
      <c r="K1731" s="9">
        <v>44882</v>
      </c>
      <c r="L1731" s="6" t="s">
        <v>122</v>
      </c>
      <c r="M1731" s="3" t="s">
        <v>36</v>
      </c>
      <c r="N1731" s="3" t="s">
        <v>122</v>
      </c>
      <c r="O1731" s="8" t="s">
        <v>36</v>
      </c>
      <c r="P1731" s="3" t="s">
        <v>36</v>
      </c>
      <c r="Q1731" s="3" t="s">
        <v>36</v>
      </c>
      <c r="R1731" s="3" t="s">
        <v>36</v>
      </c>
      <c r="S1731" s="3" t="s">
        <v>36</v>
      </c>
      <c r="T1731" s="3" t="s">
        <v>10014</v>
      </c>
      <c r="U1731" s="3" t="s">
        <v>438</v>
      </c>
      <c r="V1731" s="3" t="s">
        <v>405</v>
      </c>
      <c r="W1731" s="3" t="s">
        <v>10015</v>
      </c>
      <c r="X1731" s="10" t="s">
        <v>10016</v>
      </c>
      <c r="Y1731" s="6" t="s">
        <v>108</v>
      </c>
      <c r="Z1731" s="4">
        <v>15.09</v>
      </c>
      <c r="AA1731" s="4">
        <v>78.97</v>
      </c>
      <c r="AB1731" s="3" t="s">
        <v>43</v>
      </c>
      <c r="AC1731" s="3" t="s">
        <v>10017</v>
      </c>
      <c r="AD1731" s="9">
        <v>44882</v>
      </c>
      <c r="AE1731" s="3" t="s">
        <v>10018</v>
      </c>
      <c r="AF1731" s="3" t="s">
        <v>6861</v>
      </c>
      <c r="AG1731" s="3" t="s">
        <v>81</v>
      </c>
      <c r="AH1731" s="11">
        <f>HYPERLINK("https://my.pitchbook.com?c=208591-12T","View Company Online")</f>
      </c>
    </row>
    <row r="1732">
      <c r="A1732" s="12" t="s">
        <v>10019</v>
      </c>
      <c r="B1732" s="12" t="s">
        <v>10020</v>
      </c>
      <c r="C1732" s="19" t="s">
        <v>36</v>
      </c>
      <c r="D1732" s="19" t="s">
        <v>36</v>
      </c>
      <c r="E1732" s="19" t="s">
        <v>36</v>
      </c>
      <c r="F1732" s="19" t="s">
        <v>36</v>
      </c>
      <c r="G1732" s="15" t="s">
        <v>36</v>
      </c>
      <c r="H1732" s="14" t="s">
        <v>36</v>
      </c>
      <c r="I1732" s="18" t="s">
        <v>36</v>
      </c>
      <c r="J1732" s="12" t="s">
        <v>36</v>
      </c>
      <c r="K1732" s="13" t="s">
        <v>36</v>
      </c>
      <c r="L1732" s="15" t="s">
        <v>36</v>
      </c>
      <c r="M1732" s="12" t="s">
        <v>36</v>
      </c>
      <c r="N1732" s="12" t="s">
        <v>36</v>
      </c>
      <c r="O1732" s="17" t="s">
        <v>36</v>
      </c>
      <c r="P1732" s="12" t="s">
        <v>36</v>
      </c>
      <c r="Q1732" s="12" t="s">
        <v>36</v>
      </c>
      <c r="R1732" s="12" t="s">
        <v>36</v>
      </c>
      <c r="S1732" s="12" t="s">
        <v>36</v>
      </c>
      <c r="T1732" s="12" t="s">
        <v>10021</v>
      </c>
      <c r="U1732" s="12" t="s">
        <v>38</v>
      </c>
      <c r="V1732" s="12" t="s">
        <v>39</v>
      </c>
      <c r="W1732" s="12" t="s">
        <v>10022</v>
      </c>
      <c r="X1732" s="16" t="s">
        <v>10023</v>
      </c>
      <c r="Y1732" s="15" t="s">
        <v>42</v>
      </c>
      <c r="Z1732" s="14">
        <v>0.55</v>
      </c>
      <c r="AA1732" s="14" t="s">
        <v>36</v>
      </c>
      <c r="AB1732" s="12" t="s">
        <v>43</v>
      </c>
      <c r="AC1732" s="12" t="s">
        <v>10024</v>
      </c>
      <c r="AD1732" s="13">
        <v>44882</v>
      </c>
      <c r="AE1732" s="12" t="s">
        <v>110</v>
      </c>
      <c r="AF1732" s="12" t="s">
        <v>176</v>
      </c>
      <c r="AG1732" s="12" t="s">
        <v>102</v>
      </c>
      <c r="AH1732" s="1">
        <f>HYPERLINK("https://my.pitchbook.com?c=208656-73T","View Company Online")</f>
      </c>
    </row>
    <row r="1733">
      <c r="A1733" s="3" t="s">
        <v>10025</v>
      </c>
      <c r="B1733" s="3" t="s">
        <v>10026</v>
      </c>
      <c r="C1733" s="5" t="s">
        <v>36</v>
      </c>
      <c r="D1733" s="5" t="s">
        <v>36</v>
      </c>
      <c r="E1733" s="5" t="s">
        <v>36</v>
      </c>
      <c r="F1733" s="5" t="s">
        <v>36</v>
      </c>
      <c r="G1733" s="6" t="s">
        <v>36</v>
      </c>
      <c r="H1733" s="4" t="s">
        <v>36</v>
      </c>
      <c r="I1733" s="7" t="s">
        <v>36</v>
      </c>
      <c r="J1733" s="3" t="s">
        <v>36</v>
      </c>
      <c r="K1733" s="9" t="s">
        <v>36</v>
      </c>
      <c r="L1733" s="6" t="s">
        <v>122</v>
      </c>
      <c r="M1733" s="3" t="s">
        <v>36</v>
      </c>
      <c r="N1733" s="3" t="s">
        <v>122</v>
      </c>
      <c r="O1733" s="8" t="s">
        <v>36</v>
      </c>
      <c r="P1733" s="3" t="s">
        <v>36</v>
      </c>
      <c r="Q1733" s="3" t="s">
        <v>36</v>
      </c>
      <c r="R1733" s="3" t="s">
        <v>36</v>
      </c>
      <c r="S1733" s="3" t="s">
        <v>36</v>
      </c>
      <c r="T1733" s="3" t="s">
        <v>10027</v>
      </c>
      <c r="U1733" s="3" t="s">
        <v>38</v>
      </c>
      <c r="V1733" s="3" t="s">
        <v>39</v>
      </c>
      <c r="W1733" s="3" t="s">
        <v>10028</v>
      </c>
      <c r="X1733" s="10" t="s">
        <v>10029</v>
      </c>
      <c r="Y1733" s="6" t="s">
        <v>192</v>
      </c>
      <c r="Z1733" s="4">
        <v>3.16</v>
      </c>
      <c r="AA1733" s="4" t="s">
        <v>36</v>
      </c>
      <c r="AB1733" s="3" t="s">
        <v>43</v>
      </c>
      <c r="AC1733" s="3" t="s">
        <v>10030</v>
      </c>
      <c r="AD1733" s="9">
        <v>44881</v>
      </c>
      <c r="AE1733" s="3" t="s">
        <v>110</v>
      </c>
      <c r="AF1733" s="3" t="s">
        <v>2409</v>
      </c>
      <c r="AG1733" s="3" t="s">
        <v>81</v>
      </c>
      <c r="AH1733" s="11">
        <f>HYPERLINK("https://my.pitchbook.com?c=213296-95T","View Company Online")</f>
      </c>
    </row>
    <row r="1734">
      <c r="A1734" s="12" t="s">
        <v>10031</v>
      </c>
      <c r="B1734" s="12" t="s">
        <v>10032</v>
      </c>
      <c r="C1734" s="19" t="s">
        <v>36</v>
      </c>
      <c r="D1734" s="19" t="s">
        <v>36</v>
      </c>
      <c r="E1734" s="19" t="s">
        <v>36</v>
      </c>
      <c r="F1734" s="19" t="s">
        <v>36</v>
      </c>
      <c r="G1734" s="15" t="s">
        <v>326</v>
      </c>
      <c r="H1734" s="14">
        <v>239.6</v>
      </c>
      <c r="I1734" s="18">
        <v>20.16</v>
      </c>
      <c r="J1734" s="12" t="s">
        <v>521</v>
      </c>
      <c r="K1734" s="13" t="s">
        <v>36</v>
      </c>
      <c r="L1734" s="15" t="s">
        <v>122</v>
      </c>
      <c r="M1734" s="12" t="s">
        <v>36</v>
      </c>
      <c r="N1734" s="12" t="s">
        <v>122</v>
      </c>
      <c r="O1734" s="17" t="s">
        <v>36</v>
      </c>
      <c r="P1734" s="12" t="s">
        <v>36</v>
      </c>
      <c r="Q1734" s="12" t="s">
        <v>36</v>
      </c>
      <c r="R1734" s="12" t="s">
        <v>36</v>
      </c>
      <c r="S1734" s="12" t="s">
        <v>36</v>
      </c>
      <c r="T1734" s="12" t="s">
        <v>10033</v>
      </c>
      <c r="U1734" s="12" t="s">
        <v>38</v>
      </c>
      <c r="V1734" s="12" t="s">
        <v>39</v>
      </c>
      <c r="W1734" s="12" t="s">
        <v>10034</v>
      </c>
      <c r="X1734" s="16" t="s">
        <v>10035</v>
      </c>
      <c r="Y1734" s="15" t="s">
        <v>108</v>
      </c>
      <c r="Z1734" s="14">
        <v>7.98</v>
      </c>
      <c r="AA1734" s="14">
        <v>39.61</v>
      </c>
      <c r="AB1734" s="12" t="s">
        <v>43</v>
      </c>
      <c r="AC1734" s="12" t="s">
        <v>10036</v>
      </c>
      <c r="AD1734" s="13">
        <v>44881</v>
      </c>
      <c r="AE1734" s="12" t="s">
        <v>785</v>
      </c>
      <c r="AF1734" s="12" t="s">
        <v>2350</v>
      </c>
      <c r="AG1734" s="12" t="s">
        <v>81</v>
      </c>
      <c r="AH1734" s="1">
        <f>HYPERLINK("https://my.pitchbook.com?c=215676-55T","View Company Online")</f>
      </c>
    </row>
    <row r="1735">
      <c r="A1735" s="3" t="s">
        <v>10037</v>
      </c>
      <c r="B1735" s="3" t="s">
        <v>10038</v>
      </c>
      <c r="C1735" s="5" t="s">
        <v>36</v>
      </c>
      <c r="D1735" s="5" t="s">
        <v>36</v>
      </c>
      <c r="E1735" s="5" t="s">
        <v>36</v>
      </c>
      <c r="F1735" s="5" t="s">
        <v>36</v>
      </c>
      <c r="G1735" s="6" t="s">
        <v>683</v>
      </c>
      <c r="H1735" s="4">
        <v>114.24</v>
      </c>
      <c r="I1735" s="7">
        <v>14.56</v>
      </c>
      <c r="J1735" s="3" t="s">
        <v>521</v>
      </c>
      <c r="K1735" s="9" t="s">
        <v>36</v>
      </c>
      <c r="L1735" s="6" t="s">
        <v>36</v>
      </c>
      <c r="M1735" s="3" t="s">
        <v>36</v>
      </c>
      <c r="N1735" s="3" t="s">
        <v>36</v>
      </c>
      <c r="O1735" s="8" t="s">
        <v>36</v>
      </c>
      <c r="P1735" s="3" t="s">
        <v>36</v>
      </c>
      <c r="Q1735" s="3" t="s">
        <v>36</v>
      </c>
      <c r="R1735" s="3" t="s">
        <v>36</v>
      </c>
      <c r="S1735" s="3" t="s">
        <v>36</v>
      </c>
      <c r="T1735" s="3" t="s">
        <v>10039</v>
      </c>
      <c r="U1735" s="3" t="s">
        <v>74</v>
      </c>
      <c r="V1735" s="3" t="s">
        <v>75</v>
      </c>
      <c r="W1735" s="3" t="s">
        <v>10040</v>
      </c>
      <c r="X1735" s="10" t="s">
        <v>10041</v>
      </c>
      <c r="Y1735" s="6" t="s">
        <v>108</v>
      </c>
      <c r="Z1735" s="4">
        <v>0.67</v>
      </c>
      <c r="AA1735" s="4">
        <v>4.63</v>
      </c>
      <c r="AB1735" s="3" t="s">
        <v>56</v>
      </c>
      <c r="AC1735" s="3" t="s">
        <v>10042</v>
      </c>
      <c r="AD1735" s="9">
        <v>44881</v>
      </c>
      <c r="AE1735" s="3" t="s">
        <v>3144</v>
      </c>
      <c r="AF1735" s="3" t="s">
        <v>10043</v>
      </c>
      <c r="AG1735" s="3" t="s">
        <v>652</v>
      </c>
      <c r="AH1735" s="11">
        <f>HYPERLINK("https://my.pitchbook.com?c=216033-49T","View Company Online")</f>
      </c>
    </row>
    <row r="1736">
      <c r="A1736" s="12" t="s">
        <v>10044</v>
      </c>
      <c r="B1736" s="12" t="s">
        <v>10045</v>
      </c>
      <c r="C1736" s="19">
        <v>1</v>
      </c>
      <c r="D1736" s="19">
        <v>1</v>
      </c>
      <c r="E1736" s="19">
        <v>2</v>
      </c>
      <c r="F1736" s="19">
        <v>2</v>
      </c>
      <c r="G1736" s="15" t="s">
        <v>36</v>
      </c>
      <c r="H1736" s="14" t="s">
        <v>36</v>
      </c>
      <c r="I1736" s="18" t="s">
        <v>36</v>
      </c>
      <c r="J1736" s="12" t="s">
        <v>36</v>
      </c>
      <c r="K1736" s="13" t="s">
        <v>36</v>
      </c>
      <c r="L1736" s="15" t="s">
        <v>36</v>
      </c>
      <c r="M1736" s="12" t="s">
        <v>36</v>
      </c>
      <c r="N1736" s="12" t="s">
        <v>36</v>
      </c>
      <c r="O1736" s="17" t="s">
        <v>36</v>
      </c>
      <c r="P1736" s="12" t="s">
        <v>36</v>
      </c>
      <c r="Q1736" s="12" t="s">
        <v>36</v>
      </c>
      <c r="R1736" s="12" t="s">
        <v>36</v>
      </c>
      <c r="S1736" s="12" t="s">
        <v>36</v>
      </c>
      <c r="T1736" s="12" t="s">
        <v>37</v>
      </c>
      <c r="U1736" s="12" t="s">
        <v>38</v>
      </c>
      <c r="V1736" s="12" t="s">
        <v>39</v>
      </c>
      <c r="W1736" s="12" t="s">
        <v>10046</v>
      </c>
      <c r="X1736" s="16" t="s">
        <v>10047</v>
      </c>
      <c r="Y1736" s="15" t="s">
        <v>42</v>
      </c>
      <c r="Z1736" s="14">
        <v>34.93</v>
      </c>
      <c r="AA1736" s="14" t="s">
        <v>36</v>
      </c>
      <c r="AB1736" s="12" t="s">
        <v>43</v>
      </c>
      <c r="AC1736" s="12" t="s">
        <v>10048</v>
      </c>
      <c r="AD1736" s="13">
        <v>44881</v>
      </c>
      <c r="AE1736" s="12" t="s">
        <v>45</v>
      </c>
      <c r="AF1736" s="12" t="s">
        <v>215</v>
      </c>
      <c r="AG1736" s="12" t="s">
        <v>81</v>
      </c>
      <c r="AH1736" s="1">
        <f>HYPERLINK("https://my.pitchbook.com?c=209144-35T","View Company Online")</f>
      </c>
    </row>
    <row r="1737">
      <c r="A1737" s="3" t="s">
        <v>10049</v>
      </c>
      <c r="B1737" s="3" t="s">
        <v>10050</v>
      </c>
      <c r="C1737" s="5" t="s">
        <v>36</v>
      </c>
      <c r="D1737" s="5" t="s">
        <v>36</v>
      </c>
      <c r="E1737" s="5" t="s">
        <v>36</v>
      </c>
      <c r="F1737" s="5" t="s">
        <v>36</v>
      </c>
      <c r="G1737" s="6" t="s">
        <v>36</v>
      </c>
      <c r="H1737" s="4" t="s">
        <v>36</v>
      </c>
      <c r="I1737" s="7" t="s">
        <v>36</v>
      </c>
      <c r="J1737" s="3" t="s">
        <v>36</v>
      </c>
      <c r="K1737" s="9" t="s">
        <v>36</v>
      </c>
      <c r="L1737" s="6" t="s">
        <v>122</v>
      </c>
      <c r="M1737" s="3" t="s">
        <v>36</v>
      </c>
      <c r="N1737" s="3" t="s">
        <v>122</v>
      </c>
      <c r="O1737" s="8" t="s">
        <v>36</v>
      </c>
      <c r="P1737" s="3" t="s">
        <v>36</v>
      </c>
      <c r="Q1737" s="3" t="s">
        <v>36</v>
      </c>
      <c r="R1737" s="3" t="s">
        <v>36</v>
      </c>
      <c r="S1737" s="3" t="s">
        <v>453</v>
      </c>
      <c r="T1737" s="3" t="s">
        <v>10051</v>
      </c>
      <c r="U1737" s="3" t="s">
        <v>455</v>
      </c>
      <c r="V1737" s="3" t="s">
        <v>367</v>
      </c>
      <c r="W1737" s="3" t="s">
        <v>10052</v>
      </c>
      <c r="X1737" s="10" t="s">
        <v>10053</v>
      </c>
      <c r="Y1737" s="6" t="s">
        <v>42</v>
      </c>
      <c r="Z1737" s="4">
        <v>29.94</v>
      </c>
      <c r="AA1737" s="4" t="s">
        <v>36</v>
      </c>
      <c r="AB1737" s="3" t="s">
        <v>43</v>
      </c>
      <c r="AC1737" s="3" t="s">
        <v>10054</v>
      </c>
      <c r="AD1737" s="9">
        <v>44881</v>
      </c>
      <c r="AE1737" s="3" t="s">
        <v>459</v>
      </c>
      <c r="AF1737" s="3" t="s">
        <v>1619</v>
      </c>
      <c r="AG1737" s="3" t="s">
        <v>81</v>
      </c>
      <c r="AH1737" s="11">
        <f>HYPERLINK("https://my.pitchbook.com?c=208850-59T","View Company Online")</f>
      </c>
    </row>
    <row r="1738">
      <c r="A1738" s="12" t="s">
        <v>10055</v>
      </c>
      <c r="B1738" s="12" t="s">
        <v>10056</v>
      </c>
      <c r="C1738" s="19" t="s">
        <v>36</v>
      </c>
      <c r="D1738" s="19" t="s">
        <v>36</v>
      </c>
      <c r="E1738" s="19" t="s">
        <v>36</v>
      </c>
      <c r="F1738" s="19" t="s">
        <v>36</v>
      </c>
      <c r="G1738" s="15" t="s">
        <v>326</v>
      </c>
      <c r="H1738" s="14" t="s">
        <v>36</v>
      </c>
      <c r="I1738" s="18">
        <v>30</v>
      </c>
      <c r="J1738" s="12" t="s">
        <v>521</v>
      </c>
      <c r="K1738" s="13" t="s">
        <v>36</v>
      </c>
      <c r="L1738" s="15" t="s">
        <v>122</v>
      </c>
      <c r="M1738" s="12" t="s">
        <v>36</v>
      </c>
      <c r="N1738" s="12" t="s">
        <v>122</v>
      </c>
      <c r="O1738" s="17" t="s">
        <v>36</v>
      </c>
      <c r="P1738" s="12" t="s">
        <v>36</v>
      </c>
      <c r="Q1738" s="12" t="s">
        <v>36</v>
      </c>
      <c r="R1738" s="12" t="s">
        <v>36</v>
      </c>
      <c r="S1738" s="12" t="s">
        <v>36</v>
      </c>
      <c r="T1738" s="12" t="s">
        <v>1701</v>
      </c>
      <c r="U1738" s="12" t="s">
        <v>74</v>
      </c>
      <c r="V1738" s="12" t="s">
        <v>75</v>
      </c>
      <c r="W1738" s="12" t="s">
        <v>10057</v>
      </c>
      <c r="X1738" s="16" t="s">
        <v>10058</v>
      </c>
      <c r="Y1738" s="15" t="s">
        <v>108</v>
      </c>
      <c r="Z1738" s="14">
        <v>5.98</v>
      </c>
      <c r="AA1738" s="14">
        <v>19.92</v>
      </c>
      <c r="AB1738" s="12" t="s">
        <v>43</v>
      </c>
      <c r="AC1738" s="12" t="s">
        <v>10059</v>
      </c>
      <c r="AD1738" s="13">
        <v>44880</v>
      </c>
      <c r="AE1738" s="12" t="s">
        <v>79</v>
      </c>
      <c r="AF1738" s="12" t="s">
        <v>3904</v>
      </c>
      <c r="AG1738" s="12" t="s">
        <v>81</v>
      </c>
      <c r="AH1738" s="1">
        <f>HYPERLINK("https://my.pitchbook.com?c=206285-14T","View Company Online")</f>
      </c>
    </row>
    <row r="1739">
      <c r="A1739" s="3" t="s">
        <v>10060</v>
      </c>
      <c r="B1739" s="3" t="s">
        <v>3105</v>
      </c>
      <c r="C1739" s="5" t="s">
        <v>36</v>
      </c>
      <c r="D1739" s="5" t="s">
        <v>36</v>
      </c>
      <c r="E1739" s="5" t="s">
        <v>36</v>
      </c>
      <c r="F1739" s="5" t="s">
        <v>36</v>
      </c>
      <c r="G1739" s="6" t="s">
        <v>36</v>
      </c>
      <c r="H1739" s="4" t="s">
        <v>36</v>
      </c>
      <c r="I1739" s="7" t="s">
        <v>36</v>
      </c>
      <c r="J1739" s="3" t="s">
        <v>36</v>
      </c>
      <c r="K1739" s="9" t="s">
        <v>36</v>
      </c>
      <c r="L1739" s="6" t="s">
        <v>36</v>
      </c>
      <c r="M1739" s="3" t="s">
        <v>36</v>
      </c>
      <c r="N1739" s="3" t="s">
        <v>36</v>
      </c>
      <c r="O1739" s="8" t="s">
        <v>36</v>
      </c>
      <c r="P1739" s="3" t="s">
        <v>36</v>
      </c>
      <c r="Q1739" s="3" t="s">
        <v>36</v>
      </c>
      <c r="R1739" s="3" t="s">
        <v>36</v>
      </c>
      <c r="S1739" s="3" t="s">
        <v>36</v>
      </c>
      <c r="T1739" s="3" t="s">
        <v>189</v>
      </c>
      <c r="U1739" s="3" t="s">
        <v>180</v>
      </c>
      <c r="V1739" s="3" t="s">
        <v>52</v>
      </c>
      <c r="W1739" s="3" t="s">
        <v>3106</v>
      </c>
      <c r="X1739" s="10" t="s">
        <v>10061</v>
      </c>
      <c r="Y1739" s="6" t="s">
        <v>108</v>
      </c>
      <c r="Z1739" s="4">
        <v>3.69</v>
      </c>
      <c r="AA1739" s="4" t="s">
        <v>36</v>
      </c>
      <c r="AB1739" s="3" t="s">
        <v>43</v>
      </c>
      <c r="AC1739" s="3" t="s">
        <v>3108</v>
      </c>
      <c r="AD1739" s="9">
        <v>44880</v>
      </c>
      <c r="AE1739" s="3" t="s">
        <v>184</v>
      </c>
      <c r="AF1739" s="3" t="s">
        <v>917</v>
      </c>
      <c r="AG1739" s="3" t="s">
        <v>1479</v>
      </c>
      <c r="AH1739" s="11">
        <f>HYPERLINK("https://my.pitchbook.com?c=208346-86T","View Company Online")</f>
      </c>
    </row>
    <row r="1740">
      <c r="A1740" s="12" t="s">
        <v>10062</v>
      </c>
      <c r="B1740" s="12" t="s">
        <v>10063</v>
      </c>
      <c r="C1740" s="19">
        <v>1</v>
      </c>
      <c r="D1740" s="19">
        <v>12</v>
      </c>
      <c r="E1740" s="19">
        <v>2</v>
      </c>
      <c r="F1740" s="19">
        <v>13</v>
      </c>
      <c r="G1740" s="15" t="s">
        <v>326</v>
      </c>
      <c r="H1740" s="14">
        <v>290.8</v>
      </c>
      <c r="I1740" s="18">
        <v>16.59</v>
      </c>
      <c r="J1740" s="12" t="s">
        <v>521</v>
      </c>
      <c r="K1740" s="13" t="s">
        <v>36</v>
      </c>
      <c r="L1740" s="15" t="s">
        <v>36</v>
      </c>
      <c r="M1740" s="12" t="s">
        <v>36</v>
      </c>
      <c r="N1740" s="12" t="s">
        <v>36</v>
      </c>
      <c r="O1740" s="17" t="s">
        <v>36</v>
      </c>
      <c r="P1740" s="12" t="s">
        <v>36</v>
      </c>
      <c r="Q1740" s="12" t="s">
        <v>36</v>
      </c>
      <c r="R1740" s="12" t="s">
        <v>36</v>
      </c>
      <c r="S1740" s="12" t="s">
        <v>36</v>
      </c>
      <c r="T1740" s="12" t="s">
        <v>10064</v>
      </c>
      <c r="U1740" s="12" t="s">
        <v>96</v>
      </c>
      <c r="V1740" s="12" t="s">
        <v>52</v>
      </c>
      <c r="W1740" s="12" t="s">
        <v>10065</v>
      </c>
      <c r="X1740" s="16" t="s">
        <v>10066</v>
      </c>
      <c r="Y1740" s="15" t="s">
        <v>55</v>
      </c>
      <c r="Z1740" s="14">
        <v>5.98</v>
      </c>
      <c r="AA1740" s="14">
        <v>12.96</v>
      </c>
      <c r="AB1740" s="12" t="s">
        <v>56</v>
      </c>
      <c r="AC1740" s="12" t="s">
        <v>10067</v>
      </c>
      <c r="AD1740" s="13">
        <v>44880</v>
      </c>
      <c r="AE1740" s="12" t="s">
        <v>1414</v>
      </c>
      <c r="AF1740" s="12" t="s">
        <v>90</v>
      </c>
      <c r="AG1740" s="12" t="s">
        <v>10068</v>
      </c>
      <c r="AH1740" s="1">
        <f>HYPERLINK("https://my.pitchbook.com?c=208433-71T","View Company Online")</f>
      </c>
    </row>
    <row r="1741">
      <c r="A1741" s="3" t="s">
        <v>10069</v>
      </c>
      <c r="B1741" s="3" t="s">
        <v>10070</v>
      </c>
      <c r="C1741" s="5" t="s">
        <v>36</v>
      </c>
      <c r="D1741" s="5" t="s">
        <v>36</v>
      </c>
      <c r="E1741" s="5" t="s">
        <v>36</v>
      </c>
      <c r="F1741" s="5" t="s">
        <v>36</v>
      </c>
      <c r="G1741" s="6" t="s">
        <v>326</v>
      </c>
      <c r="H1741" s="4" t="s">
        <v>36</v>
      </c>
      <c r="I1741" s="7">
        <v>28.84</v>
      </c>
      <c r="J1741" s="3" t="s">
        <v>327</v>
      </c>
      <c r="K1741" s="9" t="s">
        <v>36</v>
      </c>
      <c r="L1741" s="6" t="s">
        <v>122</v>
      </c>
      <c r="M1741" s="3" t="s">
        <v>36</v>
      </c>
      <c r="N1741" s="3" t="s">
        <v>122</v>
      </c>
      <c r="O1741" s="8" t="s">
        <v>36</v>
      </c>
      <c r="P1741" s="3" t="s">
        <v>36</v>
      </c>
      <c r="Q1741" s="3" t="s">
        <v>36</v>
      </c>
      <c r="R1741" s="3" t="s">
        <v>36</v>
      </c>
      <c r="S1741" s="3" t="s">
        <v>36</v>
      </c>
      <c r="T1741" s="3" t="s">
        <v>522</v>
      </c>
      <c r="U1741" s="3" t="s">
        <v>38</v>
      </c>
      <c r="V1741" s="3" t="s">
        <v>39</v>
      </c>
      <c r="W1741" s="3" t="s">
        <v>10071</v>
      </c>
      <c r="X1741" s="10" t="s">
        <v>10072</v>
      </c>
      <c r="Y1741" s="6" t="s">
        <v>55</v>
      </c>
      <c r="Z1741" s="4">
        <v>7.95</v>
      </c>
      <c r="AA1741" s="4">
        <v>27.57</v>
      </c>
      <c r="AB1741" s="3" t="s">
        <v>56</v>
      </c>
      <c r="AC1741" s="3" t="s">
        <v>10073</v>
      </c>
      <c r="AD1741" s="9">
        <v>44879</v>
      </c>
      <c r="AE1741" s="3" t="s">
        <v>110</v>
      </c>
      <c r="AF1741" s="3" t="s">
        <v>7596</v>
      </c>
      <c r="AG1741" s="3" t="s">
        <v>81</v>
      </c>
      <c r="AH1741" s="11">
        <f>HYPERLINK("https://my.pitchbook.com?c=208255-42T","View Company Online")</f>
      </c>
    </row>
    <row r="1742">
      <c r="A1742" s="12" t="s">
        <v>10074</v>
      </c>
      <c r="B1742" s="12" t="s">
        <v>10075</v>
      </c>
      <c r="C1742" s="19" t="s">
        <v>36</v>
      </c>
      <c r="D1742" s="19" t="s">
        <v>36</v>
      </c>
      <c r="E1742" s="19" t="s">
        <v>36</v>
      </c>
      <c r="F1742" s="19" t="s">
        <v>36</v>
      </c>
      <c r="G1742" s="15" t="s">
        <v>36</v>
      </c>
      <c r="H1742" s="14">
        <v>51.93</v>
      </c>
      <c r="I1742" s="18">
        <v>25</v>
      </c>
      <c r="J1742" s="12" t="s">
        <v>521</v>
      </c>
      <c r="K1742" s="13" t="s">
        <v>36</v>
      </c>
      <c r="L1742" s="15" t="s">
        <v>36</v>
      </c>
      <c r="M1742" s="12" t="s">
        <v>36</v>
      </c>
      <c r="N1742" s="12" t="s">
        <v>36</v>
      </c>
      <c r="O1742" s="17" t="s">
        <v>36</v>
      </c>
      <c r="P1742" s="12" t="s">
        <v>36</v>
      </c>
      <c r="Q1742" s="12" t="s">
        <v>36</v>
      </c>
      <c r="R1742" s="12" t="s">
        <v>36</v>
      </c>
      <c r="S1742" s="12" t="s">
        <v>36</v>
      </c>
      <c r="T1742" s="12" t="s">
        <v>10076</v>
      </c>
      <c r="U1742" s="12" t="s">
        <v>1336</v>
      </c>
      <c r="V1742" s="12" t="s">
        <v>367</v>
      </c>
      <c r="W1742" s="12" t="s">
        <v>10077</v>
      </c>
      <c r="X1742" s="16" t="s">
        <v>10078</v>
      </c>
      <c r="Y1742" s="15" t="s">
        <v>42</v>
      </c>
      <c r="Z1742" s="14">
        <v>0.99</v>
      </c>
      <c r="AA1742" s="14">
        <v>3.98</v>
      </c>
      <c r="AB1742" s="12" t="s">
        <v>43</v>
      </c>
      <c r="AC1742" s="12" t="s">
        <v>10079</v>
      </c>
      <c r="AD1742" s="13">
        <v>44879</v>
      </c>
      <c r="AE1742" s="12" t="s">
        <v>2464</v>
      </c>
      <c r="AF1742" s="12" t="s">
        <v>1208</v>
      </c>
      <c r="AG1742" s="12" t="s">
        <v>102</v>
      </c>
      <c r="AH1742" s="1">
        <f>HYPERLINK("https://my.pitchbook.com?c=244652-41T","View Company Online")</f>
      </c>
    </row>
    <row r="1743">
      <c r="A1743" s="3" t="s">
        <v>10080</v>
      </c>
      <c r="B1743" s="3" t="s">
        <v>10081</v>
      </c>
      <c r="C1743" s="5" t="s">
        <v>36</v>
      </c>
      <c r="D1743" s="5" t="s">
        <v>36</v>
      </c>
      <c r="E1743" s="5" t="s">
        <v>36</v>
      </c>
      <c r="F1743" s="5" t="s">
        <v>36</v>
      </c>
      <c r="G1743" s="6" t="s">
        <v>326</v>
      </c>
      <c r="H1743" s="4">
        <v>37.5</v>
      </c>
      <c r="I1743" s="7">
        <v>21.6</v>
      </c>
      <c r="J1743" s="3" t="s">
        <v>521</v>
      </c>
      <c r="K1743" s="9" t="s">
        <v>36</v>
      </c>
      <c r="L1743" s="6" t="s">
        <v>122</v>
      </c>
      <c r="M1743" s="3" t="s">
        <v>36</v>
      </c>
      <c r="N1743" s="3" t="s">
        <v>122</v>
      </c>
      <c r="O1743" s="8" t="s">
        <v>36</v>
      </c>
      <c r="P1743" s="3" t="s">
        <v>36</v>
      </c>
      <c r="Q1743" s="3" t="s">
        <v>36</v>
      </c>
      <c r="R1743" s="3" t="s">
        <v>36</v>
      </c>
      <c r="S1743" s="3" t="s">
        <v>36</v>
      </c>
      <c r="T1743" s="3" t="s">
        <v>1260</v>
      </c>
      <c r="U1743" s="3" t="s">
        <v>38</v>
      </c>
      <c r="V1743" s="3" t="s">
        <v>39</v>
      </c>
      <c r="W1743" s="3" t="s">
        <v>10082</v>
      </c>
      <c r="X1743" s="10" t="s">
        <v>10083</v>
      </c>
      <c r="Y1743" s="6" t="s">
        <v>108</v>
      </c>
      <c r="Z1743" s="4">
        <v>16.92</v>
      </c>
      <c r="AA1743" s="4">
        <v>78.31</v>
      </c>
      <c r="AB1743" s="3" t="s">
        <v>43</v>
      </c>
      <c r="AC1743" s="3" t="s">
        <v>10084</v>
      </c>
      <c r="AD1743" s="9">
        <v>44878</v>
      </c>
      <c r="AE1743" s="3" t="s">
        <v>110</v>
      </c>
      <c r="AF1743" s="3" t="s">
        <v>6383</v>
      </c>
      <c r="AG1743" s="3" t="s">
        <v>81</v>
      </c>
      <c r="AH1743" s="11">
        <f>HYPERLINK("https://my.pitchbook.com?c=208243-36T","View Company Online")</f>
      </c>
    </row>
    <row r="1744">
      <c r="A1744" s="12" t="s">
        <v>10085</v>
      </c>
      <c r="B1744" s="12" t="s">
        <v>10086</v>
      </c>
      <c r="C1744" s="19" t="s">
        <v>36</v>
      </c>
      <c r="D1744" s="19" t="s">
        <v>36</v>
      </c>
      <c r="E1744" s="19" t="s">
        <v>36</v>
      </c>
      <c r="F1744" s="19" t="s">
        <v>36</v>
      </c>
      <c r="G1744" s="15" t="s">
        <v>36</v>
      </c>
      <c r="H1744" s="14">
        <v>31.16</v>
      </c>
      <c r="I1744" s="18">
        <v>28.67</v>
      </c>
      <c r="J1744" s="12" t="s">
        <v>521</v>
      </c>
      <c r="K1744" s="13" t="s">
        <v>36</v>
      </c>
      <c r="L1744" s="15" t="s">
        <v>36</v>
      </c>
      <c r="M1744" s="12" t="s">
        <v>36</v>
      </c>
      <c r="N1744" s="12" t="s">
        <v>36</v>
      </c>
      <c r="O1744" s="17" t="s">
        <v>36</v>
      </c>
      <c r="P1744" s="12" t="s">
        <v>36</v>
      </c>
      <c r="Q1744" s="12" t="s">
        <v>36</v>
      </c>
      <c r="R1744" s="12" t="s">
        <v>36</v>
      </c>
      <c r="S1744" s="12" t="s">
        <v>36</v>
      </c>
      <c r="T1744" s="12" t="s">
        <v>4827</v>
      </c>
      <c r="U1744" s="12" t="s">
        <v>648</v>
      </c>
      <c r="V1744" s="12" t="s">
        <v>64</v>
      </c>
      <c r="W1744" s="12" t="s">
        <v>10087</v>
      </c>
      <c r="X1744" s="16" t="s">
        <v>10088</v>
      </c>
      <c r="Y1744" s="15" t="s">
        <v>42</v>
      </c>
      <c r="Z1744" s="14">
        <v>1.7</v>
      </c>
      <c r="AA1744" s="14">
        <v>5.93</v>
      </c>
      <c r="AB1744" s="12" t="s">
        <v>43</v>
      </c>
      <c r="AC1744" s="12" t="s">
        <v>10089</v>
      </c>
      <c r="AD1744" s="13">
        <v>44876</v>
      </c>
      <c r="AE1744" s="12" t="s">
        <v>3988</v>
      </c>
      <c r="AF1744" s="12" t="s">
        <v>10090</v>
      </c>
      <c r="AG1744" s="12" t="s">
        <v>47</v>
      </c>
      <c r="AH1744" s="1">
        <f>HYPERLINK("https://my.pitchbook.com?c=208216-81T","View Company Online")</f>
      </c>
    </row>
    <row r="1745">
      <c r="A1745" s="3" t="s">
        <v>10091</v>
      </c>
      <c r="B1745" s="3" t="s">
        <v>10092</v>
      </c>
      <c r="C1745" s="5">
        <v>1</v>
      </c>
      <c r="D1745" s="5" t="s">
        <v>36</v>
      </c>
      <c r="E1745" s="5">
        <v>1</v>
      </c>
      <c r="F1745" s="5">
        <v>1</v>
      </c>
      <c r="G1745" s="6" t="s">
        <v>326</v>
      </c>
      <c r="H1745" s="4">
        <v>245.06</v>
      </c>
      <c r="I1745" s="7">
        <v>48.08</v>
      </c>
      <c r="J1745" s="3" t="s">
        <v>327</v>
      </c>
      <c r="K1745" s="9" t="s">
        <v>36</v>
      </c>
      <c r="L1745" s="6" t="s">
        <v>94</v>
      </c>
      <c r="M1745" s="3" t="s">
        <v>36</v>
      </c>
      <c r="N1745" s="3" t="s">
        <v>94</v>
      </c>
      <c r="O1745" s="8" t="s">
        <v>36</v>
      </c>
      <c r="P1745" s="3" t="s">
        <v>36</v>
      </c>
      <c r="Q1745" s="3" t="s">
        <v>36</v>
      </c>
      <c r="R1745" s="3" t="s">
        <v>36</v>
      </c>
      <c r="S1745" s="3" t="s">
        <v>36</v>
      </c>
      <c r="T1745" s="3" t="s">
        <v>588</v>
      </c>
      <c r="U1745" s="3" t="s">
        <v>318</v>
      </c>
      <c r="V1745" s="3" t="s">
        <v>39</v>
      </c>
      <c r="W1745" s="3" t="s">
        <v>10093</v>
      </c>
      <c r="X1745" s="10" t="s">
        <v>10094</v>
      </c>
      <c r="Y1745" s="6" t="s">
        <v>108</v>
      </c>
      <c r="Z1745" s="4">
        <v>4.94</v>
      </c>
      <c r="AA1745" s="4">
        <v>10.27</v>
      </c>
      <c r="AB1745" s="3" t="s">
        <v>43</v>
      </c>
      <c r="AC1745" s="3" t="s">
        <v>10095</v>
      </c>
      <c r="AD1745" s="9">
        <v>44876</v>
      </c>
      <c r="AE1745" s="3" t="s">
        <v>417</v>
      </c>
      <c r="AF1745" s="3" t="s">
        <v>10096</v>
      </c>
      <c r="AG1745" s="3" t="s">
        <v>81</v>
      </c>
      <c r="AH1745" s="11">
        <f>HYPERLINK("https://my.pitchbook.com?c=203538-52T","View Company Online")</f>
      </c>
    </row>
    <row r="1746">
      <c r="A1746" s="12" t="s">
        <v>10097</v>
      </c>
      <c r="B1746" s="12" t="s">
        <v>10098</v>
      </c>
      <c r="C1746" s="19" t="s">
        <v>36</v>
      </c>
      <c r="D1746" s="19" t="s">
        <v>36</v>
      </c>
      <c r="E1746" s="19" t="s">
        <v>36</v>
      </c>
      <c r="F1746" s="19" t="s">
        <v>36</v>
      </c>
      <c r="G1746" s="15" t="s">
        <v>36</v>
      </c>
      <c r="H1746" s="14" t="s">
        <v>36</v>
      </c>
      <c r="I1746" s="18" t="s">
        <v>36</v>
      </c>
      <c r="J1746" s="12" t="s">
        <v>36</v>
      </c>
      <c r="K1746" s="13" t="s">
        <v>36</v>
      </c>
      <c r="L1746" s="15" t="s">
        <v>36</v>
      </c>
      <c r="M1746" s="12" t="s">
        <v>36</v>
      </c>
      <c r="N1746" s="12" t="s">
        <v>36</v>
      </c>
      <c r="O1746" s="17" t="s">
        <v>36</v>
      </c>
      <c r="P1746" s="12" t="s">
        <v>36</v>
      </c>
      <c r="Q1746" s="12" t="s">
        <v>36</v>
      </c>
      <c r="R1746" s="12" t="s">
        <v>36</v>
      </c>
      <c r="S1746" s="12" t="s">
        <v>36</v>
      </c>
      <c r="T1746" s="12" t="s">
        <v>10099</v>
      </c>
      <c r="U1746" s="12" t="s">
        <v>423</v>
      </c>
      <c r="V1746" s="12" t="s">
        <v>64</v>
      </c>
      <c r="W1746" s="12" t="s">
        <v>10100</v>
      </c>
      <c r="X1746" s="16" t="s">
        <v>2455</v>
      </c>
      <c r="Y1746" s="15" t="s">
        <v>42</v>
      </c>
      <c r="Z1746" s="14">
        <v>1.48</v>
      </c>
      <c r="AA1746" s="14" t="s">
        <v>36</v>
      </c>
      <c r="AB1746" s="12" t="s">
        <v>56</v>
      </c>
      <c r="AC1746" s="12" t="s">
        <v>10101</v>
      </c>
      <c r="AD1746" s="13">
        <v>44876</v>
      </c>
      <c r="AE1746" s="12" t="s">
        <v>562</v>
      </c>
      <c r="AF1746" s="12" t="s">
        <v>938</v>
      </c>
      <c r="AG1746" s="12" t="s">
        <v>81</v>
      </c>
      <c r="AH1746" s="1">
        <f>HYPERLINK("https://my.pitchbook.com?c=208209-43T","View Company Online")</f>
      </c>
    </row>
    <row r="1747">
      <c r="A1747" s="3" t="s">
        <v>10102</v>
      </c>
      <c r="B1747" s="3" t="s">
        <v>10103</v>
      </c>
      <c r="C1747" s="5" t="s">
        <v>36</v>
      </c>
      <c r="D1747" s="5" t="s">
        <v>36</v>
      </c>
      <c r="E1747" s="5" t="s">
        <v>36</v>
      </c>
      <c r="F1747" s="5" t="s">
        <v>36</v>
      </c>
      <c r="G1747" s="6" t="s">
        <v>36</v>
      </c>
      <c r="H1747" s="4" t="s">
        <v>36</v>
      </c>
      <c r="I1747" s="7">
        <v>24.37</v>
      </c>
      <c r="J1747" s="3" t="s">
        <v>327</v>
      </c>
      <c r="K1747" s="9" t="s">
        <v>36</v>
      </c>
      <c r="L1747" s="6" t="s">
        <v>36</v>
      </c>
      <c r="M1747" s="3" t="s">
        <v>36</v>
      </c>
      <c r="N1747" s="3" t="s">
        <v>36</v>
      </c>
      <c r="O1747" s="8" t="s">
        <v>36</v>
      </c>
      <c r="P1747" s="3" t="s">
        <v>36</v>
      </c>
      <c r="Q1747" s="3" t="s">
        <v>36</v>
      </c>
      <c r="R1747" s="3" t="s">
        <v>36</v>
      </c>
      <c r="S1747" s="3" t="s">
        <v>36</v>
      </c>
      <c r="T1747" s="3" t="s">
        <v>522</v>
      </c>
      <c r="U1747" s="3" t="s">
        <v>38</v>
      </c>
      <c r="V1747" s="3" t="s">
        <v>39</v>
      </c>
      <c r="W1747" s="3" t="s">
        <v>10104</v>
      </c>
      <c r="X1747" s="10" t="s">
        <v>10105</v>
      </c>
      <c r="Y1747" s="6" t="s">
        <v>108</v>
      </c>
      <c r="Z1747" s="4">
        <v>1.48</v>
      </c>
      <c r="AA1747" s="4">
        <v>6.08</v>
      </c>
      <c r="AB1747" s="3" t="s">
        <v>56</v>
      </c>
      <c r="AC1747" s="3" t="s">
        <v>10106</v>
      </c>
      <c r="AD1747" s="9">
        <v>44876</v>
      </c>
      <c r="AE1747" s="3" t="s">
        <v>110</v>
      </c>
      <c r="AF1747" s="3" t="s">
        <v>10107</v>
      </c>
      <c r="AG1747" s="3" t="s">
        <v>81</v>
      </c>
      <c r="AH1747" s="11">
        <f>HYPERLINK("https://my.pitchbook.com?c=207338-05T","View Company Online")</f>
      </c>
    </row>
    <row r="1748">
      <c r="A1748" s="12" t="s">
        <v>10108</v>
      </c>
      <c r="B1748" s="12" t="s">
        <v>10109</v>
      </c>
      <c r="C1748" s="19">
        <v>3</v>
      </c>
      <c r="D1748" s="19">
        <v>56</v>
      </c>
      <c r="E1748" s="19">
        <v>18</v>
      </c>
      <c r="F1748" s="19">
        <v>61</v>
      </c>
      <c r="G1748" s="15" t="s">
        <v>36</v>
      </c>
      <c r="H1748" s="14" t="s">
        <v>36</v>
      </c>
      <c r="I1748" s="18" t="s">
        <v>36</v>
      </c>
      <c r="J1748" s="12" t="s">
        <v>36</v>
      </c>
      <c r="K1748" s="13" t="s">
        <v>36</v>
      </c>
      <c r="L1748" s="15" t="s">
        <v>36</v>
      </c>
      <c r="M1748" s="12" t="s">
        <v>36</v>
      </c>
      <c r="N1748" s="12" t="s">
        <v>36</v>
      </c>
      <c r="O1748" s="17" t="s">
        <v>36</v>
      </c>
      <c r="P1748" s="12" t="s">
        <v>36</v>
      </c>
      <c r="Q1748" s="12" t="s">
        <v>36</v>
      </c>
      <c r="R1748" s="12" t="s">
        <v>36</v>
      </c>
      <c r="S1748" s="12" t="s">
        <v>36</v>
      </c>
      <c r="T1748" s="12" t="s">
        <v>6040</v>
      </c>
      <c r="U1748" s="12" t="s">
        <v>833</v>
      </c>
      <c r="V1748" s="12" t="s">
        <v>64</v>
      </c>
      <c r="W1748" s="12" t="s">
        <v>10110</v>
      </c>
      <c r="X1748" s="16" t="s">
        <v>10111</v>
      </c>
      <c r="Y1748" s="15" t="s">
        <v>108</v>
      </c>
      <c r="Z1748" s="14" t="s">
        <v>36</v>
      </c>
      <c r="AA1748" s="14" t="s">
        <v>36</v>
      </c>
      <c r="AB1748" s="12" t="s">
        <v>43</v>
      </c>
      <c r="AC1748" s="12" t="s">
        <v>10112</v>
      </c>
      <c r="AD1748" s="13">
        <v>44874</v>
      </c>
      <c r="AE1748" s="12" t="s">
        <v>837</v>
      </c>
      <c r="AF1748" s="12" t="s">
        <v>1340</v>
      </c>
      <c r="AG1748" s="12" t="s">
        <v>10113</v>
      </c>
      <c r="AH1748" s="1">
        <f>HYPERLINK("https://my.pitchbook.com?c=213790-33T","View Company Online")</f>
      </c>
    </row>
    <row r="1749">
      <c r="A1749" s="3" t="s">
        <v>10114</v>
      </c>
      <c r="B1749" s="3" t="s">
        <v>10115</v>
      </c>
      <c r="C1749" s="5" t="s">
        <v>36</v>
      </c>
      <c r="D1749" s="5" t="s">
        <v>36</v>
      </c>
      <c r="E1749" s="5" t="s">
        <v>36</v>
      </c>
      <c r="F1749" s="5" t="s">
        <v>36</v>
      </c>
      <c r="G1749" s="6" t="s">
        <v>36</v>
      </c>
      <c r="H1749" s="4">
        <v>14.78</v>
      </c>
      <c r="I1749" s="7">
        <v>36.01</v>
      </c>
      <c r="J1749" s="3" t="s">
        <v>521</v>
      </c>
      <c r="K1749" s="9" t="s">
        <v>36</v>
      </c>
      <c r="L1749" s="6" t="s">
        <v>94</v>
      </c>
      <c r="M1749" s="3" t="s">
        <v>36</v>
      </c>
      <c r="N1749" s="3" t="s">
        <v>94</v>
      </c>
      <c r="O1749" s="8" t="s">
        <v>36</v>
      </c>
      <c r="P1749" s="3" t="s">
        <v>36</v>
      </c>
      <c r="Q1749" s="3" t="s">
        <v>36</v>
      </c>
      <c r="R1749" s="3" t="s">
        <v>36</v>
      </c>
      <c r="S1749" s="3" t="s">
        <v>36</v>
      </c>
      <c r="T1749" s="3" t="s">
        <v>10116</v>
      </c>
      <c r="U1749" s="3" t="s">
        <v>289</v>
      </c>
      <c r="V1749" s="3" t="s">
        <v>64</v>
      </c>
      <c r="W1749" s="3" t="s">
        <v>10117</v>
      </c>
      <c r="X1749" s="10" t="s">
        <v>10118</v>
      </c>
      <c r="Y1749" s="6" t="s">
        <v>166</v>
      </c>
      <c r="Z1749" s="4">
        <v>59.79</v>
      </c>
      <c r="AA1749" s="4">
        <v>166.09</v>
      </c>
      <c r="AB1749" s="3" t="s">
        <v>56</v>
      </c>
      <c r="AC1749" s="3" t="s">
        <v>10119</v>
      </c>
      <c r="AD1749" s="9">
        <v>44873</v>
      </c>
      <c r="AE1749" s="3" t="s">
        <v>292</v>
      </c>
      <c r="AF1749" s="3" t="s">
        <v>90</v>
      </c>
      <c r="AG1749" s="3" t="s">
        <v>10120</v>
      </c>
      <c r="AH1749" s="11">
        <f>HYPERLINK("https://my.pitchbook.com?c=207833-23T","View Company Online")</f>
      </c>
    </row>
    <row r="1750">
      <c r="A1750" s="12" t="s">
        <v>10121</v>
      </c>
      <c r="B1750" s="12" t="s">
        <v>9264</v>
      </c>
      <c r="C1750" s="19">
        <v>17</v>
      </c>
      <c r="D1750" s="19">
        <v>24</v>
      </c>
      <c r="E1750" s="19">
        <v>14</v>
      </c>
      <c r="F1750" s="19">
        <v>43</v>
      </c>
      <c r="G1750" s="15" t="s">
        <v>326</v>
      </c>
      <c r="H1750" s="14">
        <v>778.92</v>
      </c>
      <c r="I1750" s="18">
        <v>34.27</v>
      </c>
      <c r="J1750" s="12" t="s">
        <v>521</v>
      </c>
      <c r="K1750" s="13" t="s">
        <v>36</v>
      </c>
      <c r="L1750" s="15" t="s">
        <v>94</v>
      </c>
      <c r="M1750" s="12" t="s">
        <v>36</v>
      </c>
      <c r="N1750" s="12" t="s">
        <v>94</v>
      </c>
      <c r="O1750" s="17" t="s">
        <v>36</v>
      </c>
      <c r="P1750" s="12" t="s">
        <v>36</v>
      </c>
      <c r="Q1750" s="12" t="s">
        <v>36</v>
      </c>
      <c r="R1750" s="12" t="s">
        <v>36</v>
      </c>
      <c r="S1750" s="12" t="s">
        <v>36</v>
      </c>
      <c r="T1750" s="12" t="s">
        <v>9265</v>
      </c>
      <c r="U1750" s="12" t="s">
        <v>423</v>
      </c>
      <c r="V1750" s="12" t="s">
        <v>64</v>
      </c>
      <c r="W1750" s="12" t="s">
        <v>9266</v>
      </c>
      <c r="X1750" s="16" t="s">
        <v>10122</v>
      </c>
      <c r="Y1750" s="15" t="s">
        <v>192</v>
      </c>
      <c r="Z1750" s="14">
        <v>10.47</v>
      </c>
      <c r="AA1750" s="14">
        <v>30.55</v>
      </c>
      <c r="AB1750" s="12" t="s">
        <v>56</v>
      </c>
      <c r="AC1750" s="12" t="s">
        <v>9268</v>
      </c>
      <c r="AD1750" s="13">
        <v>44873</v>
      </c>
      <c r="AE1750" s="12" t="s">
        <v>562</v>
      </c>
      <c r="AF1750" s="12" t="s">
        <v>1612</v>
      </c>
      <c r="AG1750" s="12" t="s">
        <v>81</v>
      </c>
      <c r="AH1750" s="1">
        <f>HYPERLINK("https://my.pitchbook.com?c=211072-51T","View Company Online")</f>
      </c>
    </row>
    <row r="1751">
      <c r="A1751" s="3" t="s">
        <v>10123</v>
      </c>
      <c r="B1751" s="3" t="s">
        <v>10124</v>
      </c>
      <c r="C1751" s="5" t="s">
        <v>36</v>
      </c>
      <c r="D1751" s="5" t="s">
        <v>36</v>
      </c>
      <c r="E1751" s="5" t="s">
        <v>36</v>
      </c>
      <c r="F1751" s="5" t="s">
        <v>36</v>
      </c>
      <c r="G1751" s="6" t="s">
        <v>36</v>
      </c>
      <c r="H1751" s="4" t="s">
        <v>36</v>
      </c>
      <c r="I1751" s="7" t="s">
        <v>36</v>
      </c>
      <c r="J1751" s="3" t="s">
        <v>36</v>
      </c>
      <c r="K1751" s="9" t="s">
        <v>36</v>
      </c>
      <c r="L1751" s="6" t="s">
        <v>36</v>
      </c>
      <c r="M1751" s="3" t="s">
        <v>36</v>
      </c>
      <c r="N1751" s="3" t="s">
        <v>36</v>
      </c>
      <c r="O1751" s="8" t="s">
        <v>36</v>
      </c>
      <c r="P1751" s="3" t="s">
        <v>36</v>
      </c>
      <c r="Q1751" s="3" t="s">
        <v>36</v>
      </c>
      <c r="R1751" s="3" t="s">
        <v>36</v>
      </c>
      <c r="S1751" s="3" t="s">
        <v>36</v>
      </c>
      <c r="T1751" s="3" t="s">
        <v>768</v>
      </c>
      <c r="U1751" s="3" t="s">
        <v>233</v>
      </c>
      <c r="V1751" s="3" t="s">
        <v>39</v>
      </c>
      <c r="W1751" s="3" t="s">
        <v>10125</v>
      </c>
      <c r="X1751" s="10" t="s">
        <v>4070</v>
      </c>
      <c r="Y1751" s="6" t="s">
        <v>42</v>
      </c>
      <c r="Z1751" s="4">
        <v>0.49</v>
      </c>
      <c r="AA1751" s="4" t="s">
        <v>36</v>
      </c>
      <c r="AB1751" s="3" t="s">
        <v>56</v>
      </c>
      <c r="AC1751" s="3" t="s">
        <v>10126</v>
      </c>
      <c r="AD1751" s="9">
        <v>44873</v>
      </c>
      <c r="AE1751" s="3" t="s">
        <v>236</v>
      </c>
      <c r="AF1751" s="3" t="s">
        <v>36</v>
      </c>
      <c r="AG1751" s="3" t="s">
        <v>9785</v>
      </c>
      <c r="AH1751" s="11">
        <f>HYPERLINK("https://my.pitchbook.com?c=207871-66T","View Company Online")</f>
      </c>
    </row>
    <row r="1752">
      <c r="A1752" s="12" t="s">
        <v>10127</v>
      </c>
      <c r="B1752" s="12" t="s">
        <v>10128</v>
      </c>
      <c r="C1752" s="19" t="s">
        <v>36</v>
      </c>
      <c r="D1752" s="19" t="s">
        <v>36</v>
      </c>
      <c r="E1752" s="19" t="s">
        <v>36</v>
      </c>
      <c r="F1752" s="19" t="s">
        <v>36</v>
      </c>
      <c r="G1752" s="15" t="s">
        <v>326</v>
      </c>
      <c r="H1752" s="14" t="s">
        <v>36</v>
      </c>
      <c r="I1752" s="18">
        <v>23.96</v>
      </c>
      <c r="J1752" s="12" t="s">
        <v>327</v>
      </c>
      <c r="K1752" s="13" t="s">
        <v>36</v>
      </c>
      <c r="L1752" s="15" t="s">
        <v>122</v>
      </c>
      <c r="M1752" s="12" t="s">
        <v>36</v>
      </c>
      <c r="N1752" s="12" t="s">
        <v>122</v>
      </c>
      <c r="O1752" s="17" t="s">
        <v>36</v>
      </c>
      <c r="P1752" s="12" t="s">
        <v>36</v>
      </c>
      <c r="Q1752" s="12" t="s">
        <v>36</v>
      </c>
      <c r="R1752" s="12" t="s">
        <v>36</v>
      </c>
      <c r="S1752" s="12" t="s">
        <v>36</v>
      </c>
      <c r="T1752" s="12" t="s">
        <v>522</v>
      </c>
      <c r="U1752" s="12" t="s">
        <v>38</v>
      </c>
      <c r="V1752" s="12" t="s">
        <v>39</v>
      </c>
      <c r="W1752" s="12" t="s">
        <v>10129</v>
      </c>
      <c r="X1752" s="16" t="s">
        <v>10130</v>
      </c>
      <c r="Y1752" s="15" t="s">
        <v>108</v>
      </c>
      <c r="Z1752" s="14">
        <v>6.88</v>
      </c>
      <c r="AA1752" s="14">
        <v>28.73</v>
      </c>
      <c r="AB1752" s="12" t="s">
        <v>43</v>
      </c>
      <c r="AC1752" s="12" t="s">
        <v>10131</v>
      </c>
      <c r="AD1752" s="13">
        <v>44872</v>
      </c>
      <c r="AE1752" s="12" t="s">
        <v>110</v>
      </c>
      <c r="AF1752" s="12" t="s">
        <v>2759</v>
      </c>
      <c r="AG1752" s="12" t="s">
        <v>10132</v>
      </c>
      <c r="AH1752" s="1">
        <f>HYPERLINK("https://my.pitchbook.com?c=208040-86T","View Company Online")</f>
      </c>
    </row>
    <row r="1753">
      <c r="A1753" s="3" t="s">
        <v>10133</v>
      </c>
      <c r="B1753" s="3" t="s">
        <v>10134</v>
      </c>
      <c r="C1753" s="5" t="s">
        <v>36</v>
      </c>
      <c r="D1753" s="5" t="s">
        <v>36</v>
      </c>
      <c r="E1753" s="5" t="s">
        <v>36</v>
      </c>
      <c r="F1753" s="5" t="s">
        <v>36</v>
      </c>
      <c r="G1753" s="6" t="s">
        <v>36</v>
      </c>
      <c r="H1753" s="4" t="s">
        <v>36</v>
      </c>
      <c r="I1753" s="7">
        <v>26.82</v>
      </c>
      <c r="J1753" s="3" t="s">
        <v>327</v>
      </c>
      <c r="K1753" s="9" t="s">
        <v>36</v>
      </c>
      <c r="L1753" s="6" t="s">
        <v>36</v>
      </c>
      <c r="M1753" s="3" t="s">
        <v>36</v>
      </c>
      <c r="N1753" s="3" t="s">
        <v>36</v>
      </c>
      <c r="O1753" s="8" t="s">
        <v>36</v>
      </c>
      <c r="P1753" s="3" t="s">
        <v>36</v>
      </c>
      <c r="Q1753" s="3" t="s">
        <v>36</v>
      </c>
      <c r="R1753" s="3" t="s">
        <v>36</v>
      </c>
      <c r="S1753" s="3" t="s">
        <v>36</v>
      </c>
      <c r="T1753" s="3" t="s">
        <v>5159</v>
      </c>
      <c r="U1753" s="3" t="s">
        <v>74</v>
      </c>
      <c r="V1753" s="3" t="s">
        <v>75</v>
      </c>
      <c r="W1753" s="3" t="s">
        <v>10135</v>
      </c>
      <c r="X1753" s="10" t="s">
        <v>3098</v>
      </c>
      <c r="Y1753" s="6" t="s">
        <v>42</v>
      </c>
      <c r="Z1753" s="4">
        <v>3.54</v>
      </c>
      <c r="AA1753" s="4">
        <v>13.2</v>
      </c>
      <c r="AB1753" s="3" t="s">
        <v>56</v>
      </c>
      <c r="AC1753" s="3" t="s">
        <v>10136</v>
      </c>
      <c r="AD1753" s="9">
        <v>44872</v>
      </c>
      <c r="AE1753" s="3" t="s">
        <v>79</v>
      </c>
      <c r="AF1753" s="3" t="s">
        <v>2759</v>
      </c>
      <c r="AG1753" s="3" t="s">
        <v>2662</v>
      </c>
      <c r="AH1753" s="11">
        <f>HYPERLINK("https://my.pitchbook.com?c=215188-48T","View Company Online")</f>
      </c>
    </row>
    <row r="1754">
      <c r="A1754" s="12" t="s">
        <v>10137</v>
      </c>
      <c r="B1754" s="12" t="s">
        <v>10138</v>
      </c>
      <c r="C1754" s="19" t="s">
        <v>36</v>
      </c>
      <c r="D1754" s="19" t="s">
        <v>36</v>
      </c>
      <c r="E1754" s="19" t="s">
        <v>36</v>
      </c>
      <c r="F1754" s="19" t="s">
        <v>36</v>
      </c>
      <c r="G1754" s="15" t="s">
        <v>326</v>
      </c>
      <c r="H1754" s="14" t="s">
        <v>36</v>
      </c>
      <c r="I1754" s="18">
        <v>19.04</v>
      </c>
      <c r="J1754" s="12" t="s">
        <v>327</v>
      </c>
      <c r="K1754" s="13" t="s">
        <v>36</v>
      </c>
      <c r="L1754" s="15" t="s">
        <v>36</v>
      </c>
      <c r="M1754" s="12" t="s">
        <v>36</v>
      </c>
      <c r="N1754" s="12" t="s">
        <v>36</v>
      </c>
      <c r="O1754" s="17" t="s">
        <v>36</v>
      </c>
      <c r="P1754" s="12" t="s">
        <v>36</v>
      </c>
      <c r="Q1754" s="12" t="s">
        <v>36</v>
      </c>
      <c r="R1754" s="12" t="s">
        <v>36</v>
      </c>
      <c r="S1754" s="12" t="s">
        <v>36</v>
      </c>
      <c r="T1754" s="12" t="s">
        <v>37</v>
      </c>
      <c r="U1754" s="12" t="s">
        <v>38</v>
      </c>
      <c r="V1754" s="12" t="s">
        <v>39</v>
      </c>
      <c r="W1754" s="12" t="s">
        <v>10139</v>
      </c>
      <c r="X1754" s="16" t="s">
        <v>10140</v>
      </c>
      <c r="Y1754" s="15" t="s">
        <v>192</v>
      </c>
      <c r="Z1754" s="14">
        <v>14.62</v>
      </c>
      <c r="AA1754" s="14">
        <v>76.8</v>
      </c>
      <c r="AB1754" s="12" t="s">
        <v>43</v>
      </c>
      <c r="AC1754" s="12" t="s">
        <v>10141</v>
      </c>
      <c r="AD1754" s="13">
        <v>44872</v>
      </c>
      <c r="AE1754" s="12" t="s">
        <v>45</v>
      </c>
      <c r="AF1754" s="12" t="s">
        <v>331</v>
      </c>
      <c r="AG1754" s="12" t="s">
        <v>443</v>
      </c>
      <c r="AH1754" s="1">
        <f>HYPERLINK("https://my.pitchbook.com?c=216155-89T","View Company Online")</f>
      </c>
    </row>
    <row r="1755">
      <c r="A1755" s="3" t="s">
        <v>10142</v>
      </c>
      <c r="B1755" s="3" t="s">
        <v>10143</v>
      </c>
      <c r="C1755" s="5" t="s">
        <v>36</v>
      </c>
      <c r="D1755" s="5" t="s">
        <v>36</v>
      </c>
      <c r="E1755" s="5" t="s">
        <v>36</v>
      </c>
      <c r="F1755" s="5" t="s">
        <v>36</v>
      </c>
      <c r="G1755" s="6" t="s">
        <v>326</v>
      </c>
      <c r="H1755" s="4" t="s">
        <v>36</v>
      </c>
      <c r="I1755" s="7">
        <v>25.47</v>
      </c>
      <c r="J1755" s="3" t="s">
        <v>327</v>
      </c>
      <c r="K1755" s="9" t="s">
        <v>36</v>
      </c>
      <c r="L1755" s="6" t="s">
        <v>94</v>
      </c>
      <c r="M1755" s="3" t="s">
        <v>36</v>
      </c>
      <c r="N1755" s="3" t="s">
        <v>94</v>
      </c>
      <c r="O1755" s="8" t="s">
        <v>36</v>
      </c>
      <c r="P1755" s="3" t="s">
        <v>36</v>
      </c>
      <c r="Q1755" s="3" t="s">
        <v>36</v>
      </c>
      <c r="R1755" s="3" t="s">
        <v>36</v>
      </c>
      <c r="S1755" s="3" t="s">
        <v>36</v>
      </c>
      <c r="T1755" s="3" t="s">
        <v>1701</v>
      </c>
      <c r="U1755" s="3" t="s">
        <v>74</v>
      </c>
      <c r="V1755" s="3" t="s">
        <v>75</v>
      </c>
      <c r="W1755" s="3" t="s">
        <v>10144</v>
      </c>
      <c r="X1755" s="10" t="s">
        <v>10145</v>
      </c>
      <c r="Y1755" s="6" t="s">
        <v>55</v>
      </c>
      <c r="Z1755" s="4">
        <v>29.5</v>
      </c>
      <c r="AA1755" s="4">
        <v>115.84</v>
      </c>
      <c r="AB1755" s="3" t="s">
        <v>56</v>
      </c>
      <c r="AC1755" s="3" t="s">
        <v>10146</v>
      </c>
      <c r="AD1755" s="9">
        <v>44872</v>
      </c>
      <c r="AE1755" s="3" t="s">
        <v>79</v>
      </c>
      <c r="AF1755" s="3" t="s">
        <v>10147</v>
      </c>
      <c r="AG1755" s="3" t="s">
        <v>81</v>
      </c>
      <c r="AH1755" s="11">
        <f>HYPERLINK("https://my.pitchbook.com?c=207817-48T","View Company Online")</f>
      </c>
    </row>
    <row r="1756">
      <c r="A1756" s="12" t="s">
        <v>10148</v>
      </c>
      <c r="B1756" s="12" t="s">
        <v>10149</v>
      </c>
      <c r="C1756" s="19" t="s">
        <v>36</v>
      </c>
      <c r="D1756" s="19" t="s">
        <v>36</v>
      </c>
      <c r="E1756" s="19" t="s">
        <v>36</v>
      </c>
      <c r="F1756" s="19" t="s">
        <v>36</v>
      </c>
      <c r="G1756" s="15" t="s">
        <v>36</v>
      </c>
      <c r="H1756" s="14">
        <v>64.31</v>
      </c>
      <c r="I1756" s="18">
        <v>25.04</v>
      </c>
      <c r="J1756" s="12" t="s">
        <v>521</v>
      </c>
      <c r="K1756" s="13" t="s">
        <v>36</v>
      </c>
      <c r="L1756" s="15" t="s">
        <v>36</v>
      </c>
      <c r="M1756" s="12" t="s">
        <v>36</v>
      </c>
      <c r="N1756" s="12" t="s">
        <v>36</v>
      </c>
      <c r="O1756" s="17" t="s">
        <v>36</v>
      </c>
      <c r="P1756" s="12" t="s">
        <v>36</v>
      </c>
      <c r="Q1756" s="12" t="s">
        <v>36</v>
      </c>
      <c r="R1756" s="12" t="s">
        <v>36</v>
      </c>
      <c r="S1756" s="12" t="s">
        <v>36</v>
      </c>
      <c r="T1756" s="12" t="s">
        <v>5917</v>
      </c>
      <c r="U1756" s="12" t="s">
        <v>96</v>
      </c>
      <c r="V1756" s="12" t="s">
        <v>52</v>
      </c>
      <c r="W1756" s="12" t="s">
        <v>10150</v>
      </c>
      <c r="X1756" s="16" t="s">
        <v>10151</v>
      </c>
      <c r="Y1756" s="15" t="s">
        <v>42</v>
      </c>
      <c r="Z1756" s="14">
        <v>0.65</v>
      </c>
      <c r="AA1756" s="14">
        <v>2.61</v>
      </c>
      <c r="AB1756" s="12" t="s">
        <v>43</v>
      </c>
      <c r="AC1756" s="12" t="s">
        <v>10152</v>
      </c>
      <c r="AD1756" s="13">
        <v>44870</v>
      </c>
      <c r="AE1756" s="12" t="s">
        <v>755</v>
      </c>
      <c r="AF1756" s="12" t="s">
        <v>101</v>
      </c>
      <c r="AG1756" s="12" t="s">
        <v>81</v>
      </c>
      <c r="AH1756" s="1">
        <f>HYPERLINK("https://my.pitchbook.com?c=248680-63T","View Company Online")</f>
      </c>
    </row>
    <row r="1757">
      <c r="A1757" s="3" t="s">
        <v>10153</v>
      </c>
      <c r="B1757" s="3" t="s">
        <v>10154</v>
      </c>
      <c r="C1757" s="5" t="s">
        <v>36</v>
      </c>
      <c r="D1757" s="5" t="s">
        <v>36</v>
      </c>
      <c r="E1757" s="5" t="s">
        <v>36</v>
      </c>
      <c r="F1757" s="5" t="s">
        <v>36</v>
      </c>
      <c r="G1757" s="6" t="s">
        <v>36</v>
      </c>
      <c r="H1757" s="4" t="s">
        <v>36</v>
      </c>
      <c r="I1757" s="7">
        <v>30.99</v>
      </c>
      <c r="J1757" s="3" t="s">
        <v>327</v>
      </c>
      <c r="K1757" s="9" t="s">
        <v>36</v>
      </c>
      <c r="L1757" s="6" t="s">
        <v>122</v>
      </c>
      <c r="M1757" s="3" t="s">
        <v>36</v>
      </c>
      <c r="N1757" s="3" t="s">
        <v>122</v>
      </c>
      <c r="O1757" s="8" t="s">
        <v>36</v>
      </c>
      <c r="P1757" s="3" t="s">
        <v>36</v>
      </c>
      <c r="Q1757" s="3" t="s">
        <v>36</v>
      </c>
      <c r="R1757" s="3" t="s">
        <v>36</v>
      </c>
      <c r="S1757" s="3" t="s">
        <v>4236</v>
      </c>
      <c r="T1757" s="3" t="s">
        <v>927</v>
      </c>
      <c r="U1757" s="3" t="s">
        <v>219</v>
      </c>
      <c r="V1757" s="3" t="s">
        <v>75</v>
      </c>
      <c r="W1757" s="3" t="s">
        <v>10155</v>
      </c>
      <c r="X1757" s="10" t="s">
        <v>10156</v>
      </c>
      <c r="Y1757" s="6" t="s">
        <v>42</v>
      </c>
      <c r="Z1757" s="4">
        <v>6.88</v>
      </c>
      <c r="AA1757" s="4">
        <v>22.2</v>
      </c>
      <c r="AB1757" s="3" t="s">
        <v>43</v>
      </c>
      <c r="AC1757" s="3" t="s">
        <v>10157</v>
      </c>
      <c r="AD1757" s="9">
        <v>44869</v>
      </c>
      <c r="AE1757" s="3" t="s">
        <v>243</v>
      </c>
      <c r="AF1757" s="3" t="s">
        <v>2471</v>
      </c>
      <c r="AG1757" s="3" t="s">
        <v>144</v>
      </c>
      <c r="AH1757" s="11">
        <f>HYPERLINK("https://my.pitchbook.com?c=199003-96T","View Company Online")</f>
      </c>
    </row>
    <row r="1758">
      <c r="A1758" s="12" t="s">
        <v>10158</v>
      </c>
      <c r="B1758" s="12" t="s">
        <v>10159</v>
      </c>
      <c r="C1758" s="19" t="s">
        <v>36</v>
      </c>
      <c r="D1758" s="19" t="s">
        <v>36</v>
      </c>
      <c r="E1758" s="19" t="s">
        <v>36</v>
      </c>
      <c r="F1758" s="19" t="s">
        <v>36</v>
      </c>
      <c r="G1758" s="15" t="s">
        <v>326</v>
      </c>
      <c r="H1758" s="14">
        <v>849.57</v>
      </c>
      <c r="I1758" s="18">
        <v>21.75</v>
      </c>
      <c r="J1758" s="12" t="s">
        <v>521</v>
      </c>
      <c r="K1758" s="13" t="s">
        <v>36</v>
      </c>
      <c r="L1758" s="15" t="s">
        <v>122</v>
      </c>
      <c r="M1758" s="12" t="s">
        <v>36</v>
      </c>
      <c r="N1758" s="12" t="s">
        <v>122</v>
      </c>
      <c r="O1758" s="17" t="s">
        <v>36</v>
      </c>
      <c r="P1758" s="12" t="s">
        <v>36</v>
      </c>
      <c r="Q1758" s="12" t="s">
        <v>36</v>
      </c>
      <c r="R1758" s="12" t="s">
        <v>36</v>
      </c>
      <c r="S1758" s="12" t="s">
        <v>36</v>
      </c>
      <c r="T1758" s="12" t="s">
        <v>37</v>
      </c>
      <c r="U1758" s="12" t="s">
        <v>38</v>
      </c>
      <c r="V1758" s="12" t="s">
        <v>39</v>
      </c>
      <c r="W1758" s="12" t="s">
        <v>10160</v>
      </c>
      <c r="X1758" s="16" t="s">
        <v>10161</v>
      </c>
      <c r="Y1758" s="15" t="s">
        <v>108</v>
      </c>
      <c r="Z1758" s="14">
        <v>25.26</v>
      </c>
      <c r="AA1758" s="14">
        <v>116.12</v>
      </c>
      <c r="AB1758" s="12" t="s">
        <v>56</v>
      </c>
      <c r="AC1758" s="12" t="s">
        <v>10162</v>
      </c>
      <c r="AD1758" s="13">
        <v>44868</v>
      </c>
      <c r="AE1758" s="12" t="s">
        <v>45</v>
      </c>
      <c r="AF1758" s="12" t="s">
        <v>331</v>
      </c>
      <c r="AG1758" s="12" t="s">
        <v>1485</v>
      </c>
      <c r="AH1758" s="1">
        <f>HYPERLINK("https://my.pitchbook.com?c=207553-78T","View Company Online")</f>
      </c>
    </row>
    <row r="1759">
      <c r="A1759" s="3" t="s">
        <v>10163</v>
      </c>
      <c r="B1759" s="3" t="s">
        <v>10164</v>
      </c>
      <c r="C1759" s="5" t="s">
        <v>36</v>
      </c>
      <c r="D1759" s="5" t="s">
        <v>36</v>
      </c>
      <c r="E1759" s="5" t="s">
        <v>36</v>
      </c>
      <c r="F1759" s="5" t="s">
        <v>36</v>
      </c>
      <c r="G1759" s="6" t="s">
        <v>36</v>
      </c>
      <c r="H1759" s="4" t="s">
        <v>36</v>
      </c>
      <c r="I1759" s="7" t="s">
        <v>36</v>
      </c>
      <c r="J1759" s="3" t="s">
        <v>36</v>
      </c>
      <c r="K1759" s="9" t="s">
        <v>36</v>
      </c>
      <c r="L1759" s="6" t="s">
        <v>36</v>
      </c>
      <c r="M1759" s="3" t="s">
        <v>36</v>
      </c>
      <c r="N1759" s="3" t="s">
        <v>36</v>
      </c>
      <c r="O1759" s="8" t="s">
        <v>36</v>
      </c>
      <c r="P1759" s="3" t="s">
        <v>36</v>
      </c>
      <c r="Q1759" s="3" t="s">
        <v>36</v>
      </c>
      <c r="R1759" s="3" t="s">
        <v>36</v>
      </c>
      <c r="S1759" s="3" t="s">
        <v>10165</v>
      </c>
      <c r="T1759" s="3" t="s">
        <v>522</v>
      </c>
      <c r="U1759" s="3" t="s">
        <v>38</v>
      </c>
      <c r="V1759" s="3" t="s">
        <v>39</v>
      </c>
      <c r="W1759" s="3" t="s">
        <v>10166</v>
      </c>
      <c r="X1759" s="10" t="s">
        <v>10167</v>
      </c>
      <c r="Y1759" s="6" t="s">
        <v>42</v>
      </c>
      <c r="Z1759" s="4">
        <v>1.57</v>
      </c>
      <c r="AA1759" s="4" t="s">
        <v>36</v>
      </c>
      <c r="AB1759" s="3" t="s">
        <v>56</v>
      </c>
      <c r="AC1759" s="3" t="s">
        <v>10168</v>
      </c>
      <c r="AD1759" s="9">
        <v>44868</v>
      </c>
      <c r="AE1759" s="3" t="s">
        <v>110</v>
      </c>
      <c r="AF1759" s="3" t="s">
        <v>10169</v>
      </c>
      <c r="AG1759" s="3" t="s">
        <v>382</v>
      </c>
      <c r="AH1759" s="11">
        <f>HYPERLINK("https://my.pitchbook.com?c=207740-71T","View Company Online")</f>
      </c>
    </row>
    <row r="1760">
      <c r="A1760" s="12" t="s">
        <v>10170</v>
      </c>
      <c r="B1760" s="12" t="s">
        <v>10171</v>
      </c>
      <c r="C1760" s="19" t="s">
        <v>36</v>
      </c>
      <c r="D1760" s="19" t="s">
        <v>36</v>
      </c>
      <c r="E1760" s="19" t="s">
        <v>36</v>
      </c>
      <c r="F1760" s="19" t="s">
        <v>36</v>
      </c>
      <c r="G1760" s="15" t="s">
        <v>36</v>
      </c>
      <c r="H1760" s="14" t="s">
        <v>36</v>
      </c>
      <c r="I1760" s="18" t="s">
        <v>36</v>
      </c>
      <c r="J1760" s="12" t="s">
        <v>36</v>
      </c>
      <c r="K1760" s="13" t="s">
        <v>36</v>
      </c>
      <c r="L1760" s="15" t="s">
        <v>36</v>
      </c>
      <c r="M1760" s="12" t="s">
        <v>36</v>
      </c>
      <c r="N1760" s="12" t="s">
        <v>36</v>
      </c>
      <c r="O1760" s="17" t="s">
        <v>36</v>
      </c>
      <c r="P1760" s="12" t="s">
        <v>36</v>
      </c>
      <c r="Q1760" s="12" t="s">
        <v>36</v>
      </c>
      <c r="R1760" s="12" t="s">
        <v>36</v>
      </c>
      <c r="S1760" s="12" t="s">
        <v>36</v>
      </c>
      <c r="T1760" s="12" t="s">
        <v>10172</v>
      </c>
      <c r="U1760" s="12" t="s">
        <v>38</v>
      </c>
      <c r="V1760" s="12" t="s">
        <v>39</v>
      </c>
      <c r="W1760" s="12" t="s">
        <v>10173</v>
      </c>
      <c r="X1760" s="16" t="s">
        <v>1427</v>
      </c>
      <c r="Y1760" s="15" t="s">
        <v>42</v>
      </c>
      <c r="Z1760" s="14">
        <v>0.98</v>
      </c>
      <c r="AA1760" s="14" t="s">
        <v>36</v>
      </c>
      <c r="AB1760" s="12" t="s">
        <v>43</v>
      </c>
      <c r="AC1760" s="12" t="s">
        <v>10174</v>
      </c>
      <c r="AD1760" s="13">
        <v>44868</v>
      </c>
      <c r="AE1760" s="12" t="s">
        <v>45</v>
      </c>
      <c r="AF1760" s="12" t="s">
        <v>6316</v>
      </c>
      <c r="AG1760" s="12" t="s">
        <v>81</v>
      </c>
      <c r="AH1760" s="1">
        <f>HYPERLINK("https://my.pitchbook.com?c=214693-66T","View Company Online")</f>
      </c>
    </row>
    <row r="1761">
      <c r="A1761" s="3" t="s">
        <v>10175</v>
      </c>
      <c r="B1761" s="3" t="s">
        <v>10176</v>
      </c>
      <c r="C1761" s="5" t="s">
        <v>36</v>
      </c>
      <c r="D1761" s="5" t="s">
        <v>36</v>
      </c>
      <c r="E1761" s="5" t="s">
        <v>36</v>
      </c>
      <c r="F1761" s="5" t="s">
        <v>36</v>
      </c>
      <c r="G1761" s="6" t="s">
        <v>326</v>
      </c>
      <c r="H1761" s="4">
        <v>78.38</v>
      </c>
      <c r="I1761" s="7">
        <v>20</v>
      </c>
      <c r="J1761" s="3" t="s">
        <v>521</v>
      </c>
      <c r="K1761" s="9" t="s">
        <v>36</v>
      </c>
      <c r="L1761" s="6" t="s">
        <v>36</v>
      </c>
      <c r="M1761" s="3" t="s">
        <v>36</v>
      </c>
      <c r="N1761" s="3" t="s">
        <v>36</v>
      </c>
      <c r="O1761" s="8" t="s">
        <v>36</v>
      </c>
      <c r="P1761" s="3" t="s">
        <v>36</v>
      </c>
      <c r="Q1761" s="3" t="s">
        <v>36</v>
      </c>
      <c r="R1761" s="3" t="s">
        <v>36</v>
      </c>
      <c r="S1761" s="3" t="s">
        <v>36</v>
      </c>
      <c r="T1761" s="3" t="s">
        <v>5302</v>
      </c>
      <c r="U1761" s="3" t="s">
        <v>74</v>
      </c>
      <c r="V1761" s="3" t="s">
        <v>75</v>
      </c>
      <c r="W1761" s="3" t="s">
        <v>10177</v>
      </c>
      <c r="X1761" s="10" t="s">
        <v>10178</v>
      </c>
      <c r="Y1761" s="6" t="s">
        <v>108</v>
      </c>
      <c r="Z1761" s="4">
        <v>2.95</v>
      </c>
      <c r="AA1761" s="4">
        <v>14.76</v>
      </c>
      <c r="AB1761" s="3" t="s">
        <v>43</v>
      </c>
      <c r="AC1761" s="3" t="s">
        <v>10179</v>
      </c>
      <c r="AD1761" s="9">
        <v>44867</v>
      </c>
      <c r="AE1761" s="3" t="s">
        <v>362</v>
      </c>
      <c r="AF1761" s="3" t="s">
        <v>468</v>
      </c>
      <c r="AG1761" s="3" t="s">
        <v>899</v>
      </c>
      <c r="AH1761" s="11">
        <f>HYPERLINK("https://my.pitchbook.com?c=207784-36T","View Company Online")</f>
      </c>
    </row>
    <row r="1762">
      <c r="A1762" s="12" t="s">
        <v>10180</v>
      </c>
      <c r="B1762" s="12" t="s">
        <v>10181</v>
      </c>
      <c r="C1762" s="19" t="s">
        <v>36</v>
      </c>
      <c r="D1762" s="19" t="s">
        <v>36</v>
      </c>
      <c r="E1762" s="19" t="s">
        <v>36</v>
      </c>
      <c r="F1762" s="19" t="s">
        <v>36</v>
      </c>
      <c r="G1762" s="15" t="s">
        <v>36</v>
      </c>
      <c r="H1762" s="14" t="s">
        <v>36</v>
      </c>
      <c r="I1762" s="18">
        <v>48</v>
      </c>
      <c r="J1762" s="12" t="s">
        <v>521</v>
      </c>
      <c r="K1762" s="13" t="s">
        <v>36</v>
      </c>
      <c r="L1762" s="15" t="s">
        <v>36</v>
      </c>
      <c r="M1762" s="12" t="s">
        <v>36</v>
      </c>
      <c r="N1762" s="12" t="s">
        <v>36</v>
      </c>
      <c r="O1762" s="17" t="s">
        <v>36</v>
      </c>
      <c r="P1762" s="12" t="s">
        <v>36</v>
      </c>
      <c r="Q1762" s="12" t="s">
        <v>36</v>
      </c>
      <c r="R1762" s="12" t="s">
        <v>36</v>
      </c>
      <c r="S1762" s="12" t="s">
        <v>36</v>
      </c>
      <c r="T1762" s="12" t="s">
        <v>10182</v>
      </c>
      <c r="U1762" s="12" t="s">
        <v>38</v>
      </c>
      <c r="V1762" s="12" t="s">
        <v>39</v>
      </c>
      <c r="W1762" s="12" t="s">
        <v>10183</v>
      </c>
      <c r="X1762" s="16" t="s">
        <v>10184</v>
      </c>
      <c r="Y1762" s="15" t="s">
        <v>42</v>
      </c>
      <c r="Z1762" s="14">
        <v>1.18</v>
      </c>
      <c r="AA1762" s="14">
        <v>2.46</v>
      </c>
      <c r="AB1762" s="12" t="s">
        <v>43</v>
      </c>
      <c r="AC1762" s="12" t="s">
        <v>10185</v>
      </c>
      <c r="AD1762" s="13">
        <v>44867</v>
      </c>
      <c r="AE1762" s="12" t="s">
        <v>110</v>
      </c>
      <c r="AF1762" s="12" t="s">
        <v>643</v>
      </c>
      <c r="AG1762" s="12" t="s">
        <v>47</v>
      </c>
      <c r="AH1762" s="1">
        <f>HYPERLINK("https://my.pitchbook.com?c=207732-61T","View Company Online")</f>
      </c>
    </row>
    <row r="1763">
      <c r="A1763" s="3" t="s">
        <v>10186</v>
      </c>
      <c r="B1763" s="3" t="s">
        <v>6306</v>
      </c>
      <c r="C1763" s="5">
        <v>19</v>
      </c>
      <c r="D1763" s="5">
        <v>14</v>
      </c>
      <c r="E1763" s="5">
        <v>21</v>
      </c>
      <c r="F1763" s="5">
        <v>38</v>
      </c>
      <c r="G1763" s="6" t="s">
        <v>36</v>
      </c>
      <c r="H1763" s="4" t="s">
        <v>36</v>
      </c>
      <c r="I1763" s="7" t="s">
        <v>36</v>
      </c>
      <c r="J1763" s="3" t="s">
        <v>36</v>
      </c>
      <c r="K1763" s="9" t="s">
        <v>36</v>
      </c>
      <c r="L1763" s="6" t="s">
        <v>36</v>
      </c>
      <c r="M1763" s="3" t="s">
        <v>36</v>
      </c>
      <c r="N1763" s="3" t="s">
        <v>36</v>
      </c>
      <c r="O1763" s="8" t="s">
        <v>36</v>
      </c>
      <c r="P1763" s="3" t="s">
        <v>36</v>
      </c>
      <c r="Q1763" s="3" t="s">
        <v>36</v>
      </c>
      <c r="R1763" s="3" t="s">
        <v>36</v>
      </c>
      <c r="S1763" s="3" t="s">
        <v>36</v>
      </c>
      <c r="T1763" s="3" t="s">
        <v>2213</v>
      </c>
      <c r="U1763" s="3" t="s">
        <v>219</v>
      </c>
      <c r="V1763" s="3" t="s">
        <v>75</v>
      </c>
      <c r="W1763" s="3" t="s">
        <v>6307</v>
      </c>
      <c r="X1763" s="10" t="s">
        <v>10187</v>
      </c>
      <c r="Y1763" s="6" t="s">
        <v>192</v>
      </c>
      <c r="Z1763" s="4">
        <v>245.93</v>
      </c>
      <c r="AA1763" s="4" t="s">
        <v>36</v>
      </c>
      <c r="AB1763" s="3" t="s">
        <v>43</v>
      </c>
      <c r="AC1763" s="3" t="s">
        <v>6309</v>
      </c>
      <c r="AD1763" s="9">
        <v>44867</v>
      </c>
      <c r="AE1763" s="3" t="s">
        <v>1912</v>
      </c>
      <c r="AF1763" s="3" t="s">
        <v>982</v>
      </c>
      <c r="AG1763" s="3" t="s">
        <v>969</v>
      </c>
      <c r="AH1763" s="11">
        <f>HYPERLINK("https://my.pitchbook.com?c=207516-34T","View Company Online")</f>
      </c>
    </row>
    <row r="1764">
      <c r="A1764" s="12" t="s">
        <v>10188</v>
      </c>
      <c r="B1764" s="12" t="s">
        <v>10189</v>
      </c>
      <c r="C1764" s="19" t="s">
        <v>36</v>
      </c>
      <c r="D1764" s="19" t="s">
        <v>36</v>
      </c>
      <c r="E1764" s="19" t="s">
        <v>36</v>
      </c>
      <c r="F1764" s="19" t="s">
        <v>36</v>
      </c>
      <c r="G1764" s="15" t="s">
        <v>36</v>
      </c>
      <c r="H1764" s="14" t="s">
        <v>36</v>
      </c>
      <c r="I1764" s="18" t="s">
        <v>36</v>
      </c>
      <c r="J1764" s="12" t="s">
        <v>36</v>
      </c>
      <c r="K1764" s="13" t="s">
        <v>36</v>
      </c>
      <c r="L1764" s="15" t="s">
        <v>36</v>
      </c>
      <c r="M1764" s="12" t="s">
        <v>36</v>
      </c>
      <c r="N1764" s="12" t="s">
        <v>36</v>
      </c>
      <c r="O1764" s="17" t="s">
        <v>36</v>
      </c>
      <c r="P1764" s="12" t="s">
        <v>36</v>
      </c>
      <c r="Q1764" s="12" t="s">
        <v>36</v>
      </c>
      <c r="R1764" s="12" t="s">
        <v>36</v>
      </c>
      <c r="S1764" s="12" t="s">
        <v>36</v>
      </c>
      <c r="T1764" s="12" t="s">
        <v>123</v>
      </c>
      <c r="U1764" s="12" t="s">
        <v>38</v>
      </c>
      <c r="V1764" s="12" t="s">
        <v>39</v>
      </c>
      <c r="W1764" s="12" t="s">
        <v>10190</v>
      </c>
      <c r="X1764" s="16" t="s">
        <v>10191</v>
      </c>
      <c r="Y1764" s="15" t="s">
        <v>192</v>
      </c>
      <c r="Z1764" s="14" t="s">
        <v>36</v>
      </c>
      <c r="AA1764" s="14" t="s">
        <v>36</v>
      </c>
      <c r="AB1764" s="12" t="s">
        <v>56</v>
      </c>
      <c r="AC1764" s="12" t="s">
        <v>10192</v>
      </c>
      <c r="AD1764" s="13">
        <v>44866</v>
      </c>
      <c r="AE1764" s="12" t="s">
        <v>110</v>
      </c>
      <c r="AF1764" s="12" t="s">
        <v>5001</v>
      </c>
      <c r="AG1764" s="12" t="s">
        <v>81</v>
      </c>
      <c r="AH1764" s="1">
        <f>HYPERLINK("https://my.pitchbook.com?c=208829-08T","View Company Online")</f>
      </c>
    </row>
    <row r="1765">
      <c r="A1765" s="3" t="s">
        <v>10193</v>
      </c>
      <c r="B1765" s="3" t="s">
        <v>10194</v>
      </c>
      <c r="C1765" s="5" t="s">
        <v>36</v>
      </c>
      <c r="D1765" s="5" t="s">
        <v>36</v>
      </c>
      <c r="E1765" s="5" t="s">
        <v>36</v>
      </c>
      <c r="F1765" s="5" t="s">
        <v>36</v>
      </c>
      <c r="G1765" s="6" t="s">
        <v>36</v>
      </c>
      <c r="H1765" s="4" t="s">
        <v>36</v>
      </c>
      <c r="I1765" s="7" t="s">
        <v>36</v>
      </c>
      <c r="J1765" s="3" t="s">
        <v>36</v>
      </c>
      <c r="K1765" s="9" t="s">
        <v>36</v>
      </c>
      <c r="L1765" s="6" t="s">
        <v>36</v>
      </c>
      <c r="M1765" s="3" t="s">
        <v>36</v>
      </c>
      <c r="N1765" s="3" t="s">
        <v>36</v>
      </c>
      <c r="O1765" s="8" t="s">
        <v>36</v>
      </c>
      <c r="P1765" s="3" t="s">
        <v>36</v>
      </c>
      <c r="Q1765" s="3" t="s">
        <v>36</v>
      </c>
      <c r="R1765" s="3" t="s">
        <v>36</v>
      </c>
      <c r="S1765" s="3" t="s">
        <v>36</v>
      </c>
      <c r="T1765" s="3" t="s">
        <v>522</v>
      </c>
      <c r="U1765" s="3" t="s">
        <v>38</v>
      </c>
      <c r="V1765" s="3" t="s">
        <v>39</v>
      </c>
      <c r="W1765" s="3" t="s">
        <v>10195</v>
      </c>
      <c r="X1765" s="10" t="s">
        <v>10196</v>
      </c>
      <c r="Y1765" s="6" t="s">
        <v>108</v>
      </c>
      <c r="Z1765" s="4" t="s">
        <v>36</v>
      </c>
      <c r="AA1765" s="4" t="s">
        <v>36</v>
      </c>
      <c r="AB1765" s="3" t="s">
        <v>56</v>
      </c>
      <c r="AC1765" s="3" t="s">
        <v>10197</v>
      </c>
      <c r="AD1765" s="9">
        <v>44866</v>
      </c>
      <c r="AE1765" s="3" t="s">
        <v>110</v>
      </c>
      <c r="AF1765" s="3" t="s">
        <v>6214</v>
      </c>
      <c r="AG1765" s="3" t="s">
        <v>10198</v>
      </c>
      <c r="AH1765" s="11">
        <f>HYPERLINK("https://my.pitchbook.com?c=210156-13T","View Company Online")</f>
      </c>
    </row>
    <row r="1766">
      <c r="A1766" s="12" t="s">
        <v>10199</v>
      </c>
      <c r="B1766" s="12" t="s">
        <v>10200</v>
      </c>
      <c r="C1766" s="19" t="s">
        <v>36</v>
      </c>
      <c r="D1766" s="19" t="s">
        <v>36</v>
      </c>
      <c r="E1766" s="19" t="s">
        <v>36</v>
      </c>
      <c r="F1766" s="19" t="s">
        <v>36</v>
      </c>
      <c r="G1766" s="15" t="s">
        <v>36</v>
      </c>
      <c r="H1766" s="14">
        <v>59.74</v>
      </c>
      <c r="I1766" s="18">
        <v>46.24</v>
      </c>
      <c r="J1766" s="12" t="s">
        <v>521</v>
      </c>
      <c r="K1766" s="13" t="s">
        <v>36</v>
      </c>
      <c r="L1766" s="15" t="s">
        <v>36</v>
      </c>
      <c r="M1766" s="12" t="s">
        <v>36</v>
      </c>
      <c r="N1766" s="12" t="s">
        <v>36</v>
      </c>
      <c r="O1766" s="17" t="s">
        <v>36</v>
      </c>
      <c r="P1766" s="12" t="s">
        <v>36</v>
      </c>
      <c r="Q1766" s="12" t="s">
        <v>36</v>
      </c>
      <c r="R1766" s="12" t="s">
        <v>36</v>
      </c>
      <c r="S1766" s="12" t="s">
        <v>6531</v>
      </c>
      <c r="T1766" s="12" t="s">
        <v>10201</v>
      </c>
      <c r="U1766" s="12" t="s">
        <v>38</v>
      </c>
      <c r="V1766" s="12" t="s">
        <v>39</v>
      </c>
      <c r="W1766" s="12" t="s">
        <v>10202</v>
      </c>
      <c r="X1766" s="16" t="s">
        <v>10203</v>
      </c>
      <c r="Y1766" s="15" t="s">
        <v>42</v>
      </c>
      <c r="Z1766" s="14">
        <v>1.84</v>
      </c>
      <c r="AA1766" s="14">
        <v>3.99</v>
      </c>
      <c r="AB1766" s="12" t="s">
        <v>43</v>
      </c>
      <c r="AC1766" s="12" t="s">
        <v>10204</v>
      </c>
      <c r="AD1766" s="13">
        <v>44866</v>
      </c>
      <c r="AE1766" s="12" t="s">
        <v>110</v>
      </c>
      <c r="AF1766" s="12" t="s">
        <v>938</v>
      </c>
      <c r="AG1766" s="12" t="s">
        <v>1978</v>
      </c>
      <c r="AH1766" s="1">
        <f>HYPERLINK("https://my.pitchbook.com?c=208133-92T","View Company Online")</f>
      </c>
    </row>
    <row r="1767">
      <c r="A1767" s="3" t="s">
        <v>10205</v>
      </c>
      <c r="B1767" s="3" t="s">
        <v>10206</v>
      </c>
      <c r="C1767" s="5">
        <v>1</v>
      </c>
      <c r="D1767" s="5" t="s">
        <v>36</v>
      </c>
      <c r="E1767" s="5">
        <v>1</v>
      </c>
      <c r="F1767" s="5">
        <v>1</v>
      </c>
      <c r="G1767" s="6" t="s">
        <v>36</v>
      </c>
      <c r="H1767" s="4">
        <v>35.94</v>
      </c>
      <c r="I1767" s="7">
        <v>25.92</v>
      </c>
      <c r="J1767" s="3" t="s">
        <v>521</v>
      </c>
      <c r="K1767" s="9">
        <v>44865</v>
      </c>
      <c r="L1767" s="6" t="s">
        <v>36</v>
      </c>
      <c r="M1767" s="3" t="s">
        <v>36</v>
      </c>
      <c r="N1767" s="3" t="s">
        <v>36</v>
      </c>
      <c r="O1767" s="8" t="s">
        <v>36</v>
      </c>
      <c r="P1767" s="3" t="s">
        <v>36</v>
      </c>
      <c r="Q1767" s="3" t="s">
        <v>36</v>
      </c>
      <c r="R1767" s="3" t="s">
        <v>36</v>
      </c>
      <c r="S1767" s="3" t="s">
        <v>36</v>
      </c>
      <c r="T1767" s="3" t="s">
        <v>10207</v>
      </c>
      <c r="U1767" s="3" t="s">
        <v>1082</v>
      </c>
      <c r="V1767" s="3" t="s">
        <v>378</v>
      </c>
      <c r="W1767" s="3" t="s">
        <v>10208</v>
      </c>
      <c r="X1767" s="10" t="s">
        <v>10209</v>
      </c>
      <c r="Y1767" s="6" t="s">
        <v>42</v>
      </c>
      <c r="Z1767" s="4">
        <v>1.88</v>
      </c>
      <c r="AA1767" s="4">
        <v>7.24</v>
      </c>
      <c r="AB1767" s="3" t="s">
        <v>43</v>
      </c>
      <c r="AC1767" s="3" t="s">
        <v>10210</v>
      </c>
      <c r="AD1767" s="9">
        <v>44866</v>
      </c>
      <c r="AE1767" s="3" t="s">
        <v>10211</v>
      </c>
      <c r="AF1767" s="3" t="s">
        <v>10212</v>
      </c>
      <c r="AG1767" s="3" t="s">
        <v>4619</v>
      </c>
      <c r="AH1767" s="11">
        <f>HYPERLINK("https://my.pitchbook.com?c=226297-09T","View Company Online")</f>
      </c>
    </row>
    <row r="1768">
      <c r="A1768" s="12" t="s">
        <v>10213</v>
      </c>
      <c r="B1768" s="12" t="s">
        <v>10214</v>
      </c>
      <c r="C1768" s="19" t="s">
        <v>36</v>
      </c>
      <c r="D1768" s="19" t="s">
        <v>36</v>
      </c>
      <c r="E1768" s="19" t="s">
        <v>36</v>
      </c>
      <c r="F1768" s="19" t="s">
        <v>36</v>
      </c>
      <c r="G1768" s="15" t="s">
        <v>36</v>
      </c>
      <c r="H1768" s="14" t="s">
        <v>36</v>
      </c>
      <c r="I1768" s="18" t="s">
        <v>36</v>
      </c>
      <c r="J1768" s="12" t="s">
        <v>36</v>
      </c>
      <c r="K1768" s="13" t="s">
        <v>36</v>
      </c>
      <c r="L1768" s="15" t="s">
        <v>36</v>
      </c>
      <c r="M1768" s="12" t="s">
        <v>36</v>
      </c>
      <c r="N1768" s="12" t="s">
        <v>36</v>
      </c>
      <c r="O1768" s="17" t="s">
        <v>36</v>
      </c>
      <c r="P1768" s="12" t="s">
        <v>36</v>
      </c>
      <c r="Q1768" s="12" t="s">
        <v>36</v>
      </c>
      <c r="R1768" s="12" t="s">
        <v>36</v>
      </c>
      <c r="S1768" s="12" t="s">
        <v>36</v>
      </c>
      <c r="T1768" s="12" t="s">
        <v>596</v>
      </c>
      <c r="U1768" s="12" t="s">
        <v>366</v>
      </c>
      <c r="V1768" s="12" t="s">
        <v>367</v>
      </c>
      <c r="W1768" s="12" t="s">
        <v>10215</v>
      </c>
      <c r="X1768" s="16" t="s">
        <v>5220</v>
      </c>
      <c r="Y1768" s="15" t="s">
        <v>42</v>
      </c>
      <c r="Z1768" s="14" t="s">
        <v>36</v>
      </c>
      <c r="AA1768" s="14" t="s">
        <v>36</v>
      </c>
      <c r="AB1768" s="12" t="s">
        <v>43</v>
      </c>
      <c r="AC1768" s="12" t="s">
        <v>10216</v>
      </c>
      <c r="AD1768" s="13">
        <v>44866</v>
      </c>
      <c r="AE1768" s="12" t="s">
        <v>600</v>
      </c>
      <c r="AF1768" s="12" t="s">
        <v>36</v>
      </c>
      <c r="AG1768" s="12" t="s">
        <v>10217</v>
      </c>
      <c r="AH1768" s="1">
        <f>HYPERLINK("https://my.pitchbook.com?c=218392-30T","View Company Online")</f>
      </c>
    </row>
    <row r="1769">
      <c r="A1769" s="3" t="s">
        <v>10218</v>
      </c>
      <c r="B1769" s="3" t="s">
        <v>10219</v>
      </c>
      <c r="C1769" s="5" t="s">
        <v>36</v>
      </c>
      <c r="D1769" s="5" t="s">
        <v>36</v>
      </c>
      <c r="E1769" s="5" t="s">
        <v>36</v>
      </c>
      <c r="F1769" s="5" t="s">
        <v>36</v>
      </c>
      <c r="G1769" s="6" t="s">
        <v>36</v>
      </c>
      <c r="H1769" s="4" t="s">
        <v>36</v>
      </c>
      <c r="I1769" s="7" t="s">
        <v>36</v>
      </c>
      <c r="J1769" s="3" t="s">
        <v>36</v>
      </c>
      <c r="K1769" s="9" t="s">
        <v>36</v>
      </c>
      <c r="L1769" s="6" t="s">
        <v>36</v>
      </c>
      <c r="M1769" s="3" t="s">
        <v>36</v>
      </c>
      <c r="N1769" s="3" t="s">
        <v>36</v>
      </c>
      <c r="O1769" s="8" t="s">
        <v>36</v>
      </c>
      <c r="P1769" s="3" t="s">
        <v>36</v>
      </c>
      <c r="Q1769" s="3" t="s">
        <v>36</v>
      </c>
      <c r="R1769" s="3" t="s">
        <v>36</v>
      </c>
      <c r="S1769" s="3" t="s">
        <v>36</v>
      </c>
      <c r="T1769" s="3" t="s">
        <v>1188</v>
      </c>
      <c r="U1769" s="3" t="s">
        <v>180</v>
      </c>
      <c r="V1769" s="3" t="s">
        <v>52</v>
      </c>
      <c r="W1769" s="3" t="s">
        <v>10220</v>
      </c>
      <c r="X1769" s="10" t="s">
        <v>10221</v>
      </c>
      <c r="Y1769" s="6" t="s">
        <v>55</v>
      </c>
      <c r="Z1769" s="4" t="s">
        <v>36</v>
      </c>
      <c r="AA1769" s="4" t="s">
        <v>36</v>
      </c>
      <c r="AB1769" s="3" t="s">
        <v>56</v>
      </c>
      <c r="AC1769" s="3" t="s">
        <v>10222</v>
      </c>
      <c r="AD1769" s="9">
        <v>44866</v>
      </c>
      <c r="AE1769" s="3" t="s">
        <v>1192</v>
      </c>
      <c r="AF1769" s="3" t="s">
        <v>159</v>
      </c>
      <c r="AG1769" s="3" t="s">
        <v>81</v>
      </c>
      <c r="AH1769" s="11">
        <f>HYPERLINK("https://my.pitchbook.com?c=208438-93T","View Company Online")</f>
      </c>
    </row>
    <row r="1770">
      <c r="A1770" s="12" t="s">
        <v>10223</v>
      </c>
      <c r="B1770" s="12" t="s">
        <v>10224</v>
      </c>
      <c r="C1770" s="19" t="s">
        <v>36</v>
      </c>
      <c r="D1770" s="19" t="s">
        <v>36</v>
      </c>
      <c r="E1770" s="19" t="s">
        <v>36</v>
      </c>
      <c r="F1770" s="19" t="s">
        <v>36</v>
      </c>
      <c r="G1770" s="15" t="s">
        <v>36</v>
      </c>
      <c r="H1770" s="14" t="s">
        <v>36</v>
      </c>
      <c r="I1770" s="18" t="s">
        <v>36</v>
      </c>
      <c r="J1770" s="12" t="s">
        <v>36</v>
      </c>
      <c r="K1770" s="13" t="s">
        <v>36</v>
      </c>
      <c r="L1770" s="15" t="s">
        <v>36</v>
      </c>
      <c r="M1770" s="12" t="s">
        <v>36</v>
      </c>
      <c r="N1770" s="12" t="s">
        <v>36</v>
      </c>
      <c r="O1770" s="17" t="s">
        <v>36</v>
      </c>
      <c r="P1770" s="12" t="s">
        <v>36</v>
      </c>
      <c r="Q1770" s="12" t="s">
        <v>36</v>
      </c>
      <c r="R1770" s="12" t="s">
        <v>36</v>
      </c>
      <c r="S1770" s="12" t="s">
        <v>36</v>
      </c>
      <c r="T1770" s="12" t="s">
        <v>4394</v>
      </c>
      <c r="U1770" s="12" t="s">
        <v>423</v>
      </c>
      <c r="V1770" s="12" t="s">
        <v>64</v>
      </c>
      <c r="W1770" s="12" t="s">
        <v>10225</v>
      </c>
      <c r="X1770" s="16" t="s">
        <v>10226</v>
      </c>
      <c r="Y1770" s="15" t="s">
        <v>42</v>
      </c>
      <c r="Z1770" s="14" t="s">
        <v>36</v>
      </c>
      <c r="AA1770" s="14" t="s">
        <v>36</v>
      </c>
      <c r="AB1770" s="12" t="s">
        <v>43</v>
      </c>
      <c r="AC1770" s="12" t="s">
        <v>10227</v>
      </c>
      <c r="AD1770" s="13">
        <v>44866</v>
      </c>
      <c r="AE1770" s="12" t="s">
        <v>1051</v>
      </c>
      <c r="AF1770" s="12" t="s">
        <v>10228</v>
      </c>
      <c r="AG1770" s="12" t="s">
        <v>10229</v>
      </c>
      <c r="AH1770" s="1">
        <f>HYPERLINK("https://my.pitchbook.com?c=209307-52T","View Company Online")</f>
      </c>
    </row>
    <row r="1771">
      <c r="A1771" s="3" t="s">
        <v>10230</v>
      </c>
      <c r="B1771" s="3" t="s">
        <v>10231</v>
      </c>
      <c r="C1771" s="5" t="s">
        <v>36</v>
      </c>
      <c r="D1771" s="5" t="s">
        <v>36</v>
      </c>
      <c r="E1771" s="5" t="s">
        <v>36</v>
      </c>
      <c r="F1771" s="5" t="s">
        <v>36</v>
      </c>
      <c r="G1771" s="6" t="s">
        <v>36</v>
      </c>
      <c r="H1771" s="4" t="s">
        <v>36</v>
      </c>
      <c r="I1771" s="7" t="s">
        <v>36</v>
      </c>
      <c r="J1771" s="3" t="s">
        <v>36</v>
      </c>
      <c r="K1771" s="9" t="s">
        <v>36</v>
      </c>
      <c r="L1771" s="6" t="s">
        <v>36</v>
      </c>
      <c r="M1771" s="3" t="s">
        <v>36</v>
      </c>
      <c r="N1771" s="3" t="s">
        <v>36</v>
      </c>
      <c r="O1771" s="8" t="s">
        <v>36</v>
      </c>
      <c r="P1771" s="3" t="s">
        <v>36</v>
      </c>
      <c r="Q1771" s="3" t="s">
        <v>36</v>
      </c>
      <c r="R1771" s="3" t="s">
        <v>36</v>
      </c>
      <c r="S1771" s="3" t="s">
        <v>36</v>
      </c>
      <c r="T1771" s="3" t="s">
        <v>37</v>
      </c>
      <c r="U1771" s="3" t="s">
        <v>38</v>
      </c>
      <c r="V1771" s="3" t="s">
        <v>39</v>
      </c>
      <c r="W1771" s="3" t="s">
        <v>10232</v>
      </c>
      <c r="X1771" s="10" t="s">
        <v>10233</v>
      </c>
      <c r="Y1771" s="6" t="s">
        <v>55</v>
      </c>
      <c r="Z1771" s="4">
        <v>1.65</v>
      </c>
      <c r="AA1771" s="4" t="s">
        <v>36</v>
      </c>
      <c r="AB1771" s="3" t="s">
        <v>43</v>
      </c>
      <c r="AC1771" s="3" t="s">
        <v>10234</v>
      </c>
      <c r="AD1771" s="9">
        <v>44866</v>
      </c>
      <c r="AE1771" s="3" t="s">
        <v>45</v>
      </c>
      <c r="AF1771" s="3" t="s">
        <v>3334</v>
      </c>
      <c r="AG1771" s="3" t="s">
        <v>81</v>
      </c>
      <c r="AH1771" s="11">
        <f>HYPERLINK("https://my.pitchbook.com?c=209110-96T","View Company Online")</f>
      </c>
    </row>
    <row r="1772">
      <c r="A1772" s="12" t="s">
        <v>10235</v>
      </c>
      <c r="B1772" s="12" t="s">
        <v>2503</v>
      </c>
      <c r="C1772" s="19" t="s">
        <v>36</v>
      </c>
      <c r="D1772" s="19" t="s">
        <v>36</v>
      </c>
      <c r="E1772" s="19" t="s">
        <v>36</v>
      </c>
      <c r="F1772" s="19" t="s">
        <v>36</v>
      </c>
      <c r="G1772" s="15" t="s">
        <v>36</v>
      </c>
      <c r="H1772" s="14" t="s">
        <v>36</v>
      </c>
      <c r="I1772" s="18" t="s">
        <v>36</v>
      </c>
      <c r="J1772" s="12" t="s">
        <v>36</v>
      </c>
      <c r="K1772" s="13" t="s">
        <v>36</v>
      </c>
      <c r="L1772" s="15" t="s">
        <v>36</v>
      </c>
      <c r="M1772" s="12" t="s">
        <v>36</v>
      </c>
      <c r="N1772" s="12" t="s">
        <v>36</v>
      </c>
      <c r="O1772" s="17" t="s">
        <v>36</v>
      </c>
      <c r="P1772" s="12" t="s">
        <v>36</v>
      </c>
      <c r="Q1772" s="12" t="s">
        <v>36</v>
      </c>
      <c r="R1772" s="12" t="s">
        <v>36</v>
      </c>
      <c r="S1772" s="12" t="s">
        <v>36</v>
      </c>
      <c r="T1772" s="12" t="s">
        <v>550</v>
      </c>
      <c r="U1772" s="12" t="s">
        <v>38</v>
      </c>
      <c r="V1772" s="12" t="s">
        <v>39</v>
      </c>
      <c r="W1772" s="12" t="s">
        <v>2504</v>
      </c>
      <c r="X1772" s="16" t="s">
        <v>10236</v>
      </c>
      <c r="Y1772" s="15" t="s">
        <v>42</v>
      </c>
      <c r="Z1772" s="14" t="s">
        <v>36</v>
      </c>
      <c r="AA1772" s="14" t="s">
        <v>36</v>
      </c>
      <c r="AB1772" s="12" t="s">
        <v>43</v>
      </c>
      <c r="AC1772" s="12" t="s">
        <v>2506</v>
      </c>
      <c r="AD1772" s="13">
        <v>44866</v>
      </c>
      <c r="AE1772" s="12" t="s">
        <v>554</v>
      </c>
      <c r="AF1772" s="12" t="s">
        <v>118</v>
      </c>
      <c r="AG1772" s="12" t="s">
        <v>81</v>
      </c>
      <c r="AH1772" s="1">
        <f>HYPERLINK("https://my.pitchbook.com?c=207740-26T","View Company Online")</f>
      </c>
    </row>
    <row r="1773">
      <c r="A1773" s="3" t="s">
        <v>10237</v>
      </c>
      <c r="B1773" s="3" t="s">
        <v>4916</v>
      </c>
      <c r="C1773" s="5" t="s">
        <v>36</v>
      </c>
      <c r="D1773" s="5" t="s">
        <v>36</v>
      </c>
      <c r="E1773" s="5" t="s">
        <v>36</v>
      </c>
      <c r="F1773" s="5" t="s">
        <v>36</v>
      </c>
      <c r="G1773" s="6" t="s">
        <v>36</v>
      </c>
      <c r="H1773" s="4" t="s">
        <v>36</v>
      </c>
      <c r="I1773" s="7" t="s">
        <v>36</v>
      </c>
      <c r="J1773" s="3" t="s">
        <v>36</v>
      </c>
      <c r="K1773" s="9" t="s">
        <v>36</v>
      </c>
      <c r="L1773" s="6" t="s">
        <v>36</v>
      </c>
      <c r="M1773" s="3" t="s">
        <v>36</v>
      </c>
      <c r="N1773" s="3" t="s">
        <v>36</v>
      </c>
      <c r="O1773" s="8" t="s">
        <v>36</v>
      </c>
      <c r="P1773" s="3" t="s">
        <v>36</v>
      </c>
      <c r="Q1773" s="3" t="s">
        <v>36</v>
      </c>
      <c r="R1773" s="3" t="s">
        <v>36</v>
      </c>
      <c r="S1773" s="3" t="s">
        <v>36</v>
      </c>
      <c r="T1773" s="3" t="s">
        <v>4917</v>
      </c>
      <c r="U1773" s="3" t="s">
        <v>38</v>
      </c>
      <c r="V1773" s="3" t="s">
        <v>39</v>
      </c>
      <c r="W1773" s="3" t="s">
        <v>4918</v>
      </c>
      <c r="X1773" s="10" t="s">
        <v>10238</v>
      </c>
      <c r="Y1773" s="6" t="s">
        <v>42</v>
      </c>
      <c r="Z1773" s="4" t="s">
        <v>36</v>
      </c>
      <c r="AA1773" s="4" t="s">
        <v>36</v>
      </c>
      <c r="AB1773" s="3" t="s">
        <v>43</v>
      </c>
      <c r="AC1773" s="3" t="s">
        <v>4919</v>
      </c>
      <c r="AD1773" s="9">
        <v>44866</v>
      </c>
      <c r="AE1773" s="3" t="s">
        <v>134</v>
      </c>
      <c r="AF1773" s="3" t="s">
        <v>135</v>
      </c>
      <c r="AG1773" s="3" t="s">
        <v>81</v>
      </c>
      <c r="AH1773" s="11">
        <f>HYPERLINK("https://my.pitchbook.com?c=208066-06T","View Company Online")</f>
      </c>
    </row>
    <row r="1774">
      <c r="A1774" s="12" t="s">
        <v>10239</v>
      </c>
      <c r="B1774" s="12" t="s">
        <v>10240</v>
      </c>
      <c r="C1774" s="19">
        <v>3</v>
      </c>
      <c r="D1774" s="19">
        <v>16</v>
      </c>
      <c r="E1774" s="19">
        <v>2</v>
      </c>
      <c r="F1774" s="19">
        <v>19</v>
      </c>
      <c r="G1774" s="15" t="s">
        <v>36</v>
      </c>
      <c r="H1774" s="14">
        <v>88559.93</v>
      </c>
      <c r="I1774" s="18">
        <v>24.11</v>
      </c>
      <c r="J1774" s="12" t="s">
        <v>521</v>
      </c>
      <c r="K1774" s="13">
        <v>44700</v>
      </c>
      <c r="L1774" s="15" t="s">
        <v>94</v>
      </c>
      <c r="M1774" s="12" t="s">
        <v>36</v>
      </c>
      <c r="N1774" s="12" t="s">
        <v>94</v>
      </c>
      <c r="O1774" s="17" t="s">
        <v>36</v>
      </c>
      <c r="P1774" s="12" t="s">
        <v>36</v>
      </c>
      <c r="Q1774" s="12" t="s">
        <v>36</v>
      </c>
      <c r="R1774" s="12" t="s">
        <v>36</v>
      </c>
      <c r="S1774" s="12" t="s">
        <v>10241</v>
      </c>
      <c r="T1774" s="12" t="s">
        <v>927</v>
      </c>
      <c r="U1774" s="12" t="s">
        <v>219</v>
      </c>
      <c r="V1774" s="12" t="s">
        <v>75</v>
      </c>
      <c r="W1774" s="12" t="s">
        <v>10242</v>
      </c>
      <c r="X1774" s="16" t="s">
        <v>10243</v>
      </c>
      <c r="Y1774" s="15" t="s">
        <v>192</v>
      </c>
      <c r="Z1774" s="14">
        <v>31.47</v>
      </c>
      <c r="AA1774" s="14">
        <v>100.88</v>
      </c>
      <c r="AB1774" s="12" t="s">
        <v>43</v>
      </c>
      <c r="AC1774" s="12" t="s">
        <v>10244</v>
      </c>
      <c r="AD1774" s="13">
        <v>44866</v>
      </c>
      <c r="AE1774" s="12" t="s">
        <v>243</v>
      </c>
      <c r="AF1774" s="12" t="s">
        <v>10245</v>
      </c>
      <c r="AG1774" s="12" t="s">
        <v>10246</v>
      </c>
      <c r="AH1774" s="1">
        <f>HYPERLINK("https://my.pitchbook.com?c=184127-86T","View Company Online")</f>
      </c>
    </row>
    <row r="1775">
      <c r="A1775" s="3" t="s">
        <v>10247</v>
      </c>
      <c r="B1775" s="3" t="s">
        <v>10248</v>
      </c>
      <c r="C1775" s="5" t="s">
        <v>36</v>
      </c>
      <c r="D1775" s="5" t="s">
        <v>36</v>
      </c>
      <c r="E1775" s="5" t="s">
        <v>36</v>
      </c>
      <c r="F1775" s="5" t="s">
        <v>36</v>
      </c>
      <c r="G1775" s="6" t="s">
        <v>36</v>
      </c>
      <c r="H1775" s="4" t="s">
        <v>36</v>
      </c>
      <c r="I1775" s="7" t="s">
        <v>36</v>
      </c>
      <c r="J1775" s="3" t="s">
        <v>36</v>
      </c>
      <c r="K1775" s="9" t="s">
        <v>36</v>
      </c>
      <c r="L1775" s="6" t="s">
        <v>36</v>
      </c>
      <c r="M1775" s="3" t="s">
        <v>36</v>
      </c>
      <c r="N1775" s="3" t="s">
        <v>36</v>
      </c>
      <c r="O1775" s="8" t="s">
        <v>36</v>
      </c>
      <c r="P1775" s="3" t="s">
        <v>36</v>
      </c>
      <c r="Q1775" s="3" t="s">
        <v>36</v>
      </c>
      <c r="R1775" s="3" t="s">
        <v>36</v>
      </c>
      <c r="S1775" s="3" t="s">
        <v>36</v>
      </c>
      <c r="T1775" s="3" t="s">
        <v>522</v>
      </c>
      <c r="U1775" s="3" t="s">
        <v>38</v>
      </c>
      <c r="V1775" s="3" t="s">
        <v>39</v>
      </c>
      <c r="W1775" s="3" t="s">
        <v>10249</v>
      </c>
      <c r="X1775" s="10" t="s">
        <v>1685</v>
      </c>
      <c r="Y1775" s="6" t="s">
        <v>42</v>
      </c>
      <c r="Z1775" s="4" t="s">
        <v>36</v>
      </c>
      <c r="AA1775" s="4" t="s">
        <v>36</v>
      </c>
      <c r="AB1775" s="3" t="s">
        <v>56</v>
      </c>
      <c r="AC1775" s="3" t="s">
        <v>10250</v>
      </c>
      <c r="AD1775" s="9">
        <v>44866</v>
      </c>
      <c r="AE1775" s="3" t="s">
        <v>110</v>
      </c>
      <c r="AF1775" s="3" t="s">
        <v>4552</v>
      </c>
      <c r="AG1775" s="3" t="s">
        <v>1479</v>
      </c>
      <c r="AH1775" s="11">
        <f>HYPERLINK("https://my.pitchbook.com?c=208082-89T","View Company Online")</f>
      </c>
    </row>
    <row r="1776">
      <c r="A1776" s="12" t="s">
        <v>10251</v>
      </c>
      <c r="B1776" s="12" t="s">
        <v>10252</v>
      </c>
      <c r="C1776" s="19" t="s">
        <v>36</v>
      </c>
      <c r="D1776" s="19" t="s">
        <v>36</v>
      </c>
      <c r="E1776" s="19" t="s">
        <v>36</v>
      </c>
      <c r="F1776" s="19" t="s">
        <v>36</v>
      </c>
      <c r="G1776" s="15" t="s">
        <v>36</v>
      </c>
      <c r="H1776" s="14" t="s">
        <v>36</v>
      </c>
      <c r="I1776" s="18" t="s">
        <v>36</v>
      </c>
      <c r="J1776" s="12" t="s">
        <v>36</v>
      </c>
      <c r="K1776" s="13" t="s">
        <v>36</v>
      </c>
      <c r="L1776" s="15" t="s">
        <v>36</v>
      </c>
      <c r="M1776" s="12" t="s">
        <v>36</v>
      </c>
      <c r="N1776" s="12" t="s">
        <v>36</v>
      </c>
      <c r="O1776" s="17" t="s">
        <v>36</v>
      </c>
      <c r="P1776" s="12" t="s">
        <v>36</v>
      </c>
      <c r="Q1776" s="12" t="s">
        <v>36</v>
      </c>
      <c r="R1776" s="12" t="s">
        <v>36</v>
      </c>
      <c r="S1776" s="12" t="s">
        <v>36</v>
      </c>
      <c r="T1776" s="12" t="s">
        <v>5470</v>
      </c>
      <c r="U1776" s="12" t="s">
        <v>38</v>
      </c>
      <c r="V1776" s="12" t="s">
        <v>39</v>
      </c>
      <c r="W1776" s="12" t="s">
        <v>10253</v>
      </c>
      <c r="X1776" s="16" t="s">
        <v>10254</v>
      </c>
      <c r="Y1776" s="15" t="s">
        <v>55</v>
      </c>
      <c r="Z1776" s="14" t="s">
        <v>36</v>
      </c>
      <c r="AA1776" s="14" t="s">
        <v>36</v>
      </c>
      <c r="AB1776" s="12" t="s">
        <v>43</v>
      </c>
      <c r="AC1776" s="12" t="s">
        <v>10255</v>
      </c>
      <c r="AD1776" s="13">
        <v>44866</v>
      </c>
      <c r="AE1776" s="12" t="s">
        <v>1422</v>
      </c>
      <c r="AF1776" s="12" t="s">
        <v>5177</v>
      </c>
      <c r="AG1776" s="12" t="s">
        <v>4520</v>
      </c>
      <c r="AH1776" s="1">
        <f>HYPERLINK("https://my.pitchbook.com?c=214122-52T","View Company Online")</f>
      </c>
    </row>
    <row r="1777">
      <c r="A1777" s="3" t="s">
        <v>10256</v>
      </c>
      <c r="B1777" s="3" t="s">
        <v>10257</v>
      </c>
      <c r="C1777" s="5" t="s">
        <v>36</v>
      </c>
      <c r="D1777" s="5" t="s">
        <v>36</v>
      </c>
      <c r="E1777" s="5" t="s">
        <v>36</v>
      </c>
      <c r="F1777" s="5" t="s">
        <v>36</v>
      </c>
      <c r="G1777" s="6" t="s">
        <v>36</v>
      </c>
      <c r="H1777" s="4" t="s">
        <v>36</v>
      </c>
      <c r="I1777" s="7" t="s">
        <v>36</v>
      </c>
      <c r="J1777" s="3" t="s">
        <v>36</v>
      </c>
      <c r="K1777" s="9" t="s">
        <v>36</v>
      </c>
      <c r="L1777" s="6" t="s">
        <v>36</v>
      </c>
      <c r="M1777" s="3" t="s">
        <v>36</v>
      </c>
      <c r="N1777" s="3" t="s">
        <v>36</v>
      </c>
      <c r="O1777" s="8" t="s">
        <v>36</v>
      </c>
      <c r="P1777" s="3" t="s">
        <v>36</v>
      </c>
      <c r="Q1777" s="3" t="s">
        <v>36</v>
      </c>
      <c r="R1777" s="3" t="s">
        <v>36</v>
      </c>
      <c r="S1777" s="3" t="s">
        <v>36</v>
      </c>
      <c r="T1777" s="3" t="s">
        <v>522</v>
      </c>
      <c r="U1777" s="3" t="s">
        <v>38</v>
      </c>
      <c r="V1777" s="3" t="s">
        <v>39</v>
      </c>
      <c r="W1777" s="3" t="s">
        <v>10258</v>
      </c>
      <c r="X1777" s="10" t="s">
        <v>221</v>
      </c>
      <c r="Y1777" s="6" t="s">
        <v>108</v>
      </c>
      <c r="Z1777" s="4" t="s">
        <v>36</v>
      </c>
      <c r="AA1777" s="4" t="s">
        <v>36</v>
      </c>
      <c r="AB1777" s="3" t="s">
        <v>56</v>
      </c>
      <c r="AC1777" s="3" t="s">
        <v>10259</v>
      </c>
      <c r="AD1777" s="9">
        <v>44866</v>
      </c>
      <c r="AE1777" s="3" t="s">
        <v>110</v>
      </c>
      <c r="AF1777" s="3" t="s">
        <v>111</v>
      </c>
      <c r="AG1777" s="3" t="s">
        <v>1485</v>
      </c>
      <c r="AH1777" s="11">
        <f>HYPERLINK("https://my.pitchbook.com?c=208017-82T","View Company Online")</f>
      </c>
    </row>
    <row r="1778">
      <c r="A1778" s="12" t="s">
        <v>10260</v>
      </c>
      <c r="B1778" s="12" t="s">
        <v>10261</v>
      </c>
      <c r="C1778" s="19" t="s">
        <v>36</v>
      </c>
      <c r="D1778" s="19" t="s">
        <v>36</v>
      </c>
      <c r="E1778" s="19" t="s">
        <v>36</v>
      </c>
      <c r="F1778" s="19" t="s">
        <v>36</v>
      </c>
      <c r="G1778" s="15" t="s">
        <v>36</v>
      </c>
      <c r="H1778" s="14" t="s">
        <v>36</v>
      </c>
      <c r="I1778" s="18" t="s">
        <v>36</v>
      </c>
      <c r="J1778" s="12" t="s">
        <v>36</v>
      </c>
      <c r="K1778" s="13" t="s">
        <v>36</v>
      </c>
      <c r="L1778" s="15" t="s">
        <v>36</v>
      </c>
      <c r="M1778" s="12" t="s">
        <v>36</v>
      </c>
      <c r="N1778" s="12" t="s">
        <v>36</v>
      </c>
      <c r="O1778" s="17" t="s">
        <v>36</v>
      </c>
      <c r="P1778" s="12" t="s">
        <v>36</v>
      </c>
      <c r="Q1778" s="12" t="s">
        <v>36</v>
      </c>
      <c r="R1778" s="12" t="s">
        <v>36</v>
      </c>
      <c r="S1778" s="12" t="s">
        <v>36</v>
      </c>
      <c r="T1778" s="12" t="s">
        <v>10262</v>
      </c>
      <c r="U1778" s="12" t="s">
        <v>833</v>
      </c>
      <c r="V1778" s="12" t="s">
        <v>64</v>
      </c>
      <c r="W1778" s="12" t="s">
        <v>10263</v>
      </c>
      <c r="X1778" s="16" t="s">
        <v>1685</v>
      </c>
      <c r="Y1778" s="15" t="s">
        <v>42</v>
      </c>
      <c r="Z1778" s="14" t="s">
        <v>36</v>
      </c>
      <c r="AA1778" s="14" t="s">
        <v>36</v>
      </c>
      <c r="AB1778" s="12" t="s">
        <v>56</v>
      </c>
      <c r="AC1778" s="12" t="s">
        <v>10264</v>
      </c>
      <c r="AD1778" s="13">
        <v>44866</v>
      </c>
      <c r="AE1778" s="12" t="s">
        <v>3615</v>
      </c>
      <c r="AF1778" s="12" t="s">
        <v>571</v>
      </c>
      <c r="AG1778" s="12" t="s">
        <v>10265</v>
      </c>
      <c r="AH1778" s="1">
        <f>HYPERLINK("https://my.pitchbook.com?c=208136-44T","View Company Online")</f>
      </c>
    </row>
    <row r="1779">
      <c r="A1779" s="3" t="s">
        <v>10266</v>
      </c>
      <c r="B1779" s="3" t="s">
        <v>10267</v>
      </c>
      <c r="C1779" s="5">
        <v>8</v>
      </c>
      <c r="D1779" s="5">
        <v>28</v>
      </c>
      <c r="E1779" s="5">
        <v>6</v>
      </c>
      <c r="F1779" s="5">
        <v>37</v>
      </c>
      <c r="G1779" s="6" t="s">
        <v>36</v>
      </c>
      <c r="H1779" s="4">
        <v>319.57</v>
      </c>
      <c r="I1779" s="7">
        <v>48.19</v>
      </c>
      <c r="J1779" s="3" t="s">
        <v>521</v>
      </c>
      <c r="K1779" s="9" t="s">
        <v>36</v>
      </c>
      <c r="L1779" s="6" t="s">
        <v>36</v>
      </c>
      <c r="M1779" s="3" t="s">
        <v>36</v>
      </c>
      <c r="N1779" s="3" t="s">
        <v>36</v>
      </c>
      <c r="O1779" s="8" t="s">
        <v>36</v>
      </c>
      <c r="P1779" s="3" t="s">
        <v>36</v>
      </c>
      <c r="Q1779" s="3" t="s">
        <v>36</v>
      </c>
      <c r="R1779" s="3" t="s">
        <v>36</v>
      </c>
      <c r="S1779" s="3" t="s">
        <v>36</v>
      </c>
      <c r="T1779" s="3" t="s">
        <v>10268</v>
      </c>
      <c r="U1779" s="3" t="s">
        <v>51</v>
      </c>
      <c r="V1779" s="3" t="s">
        <v>52</v>
      </c>
      <c r="W1779" s="3" t="s">
        <v>10269</v>
      </c>
      <c r="X1779" s="10" t="s">
        <v>10270</v>
      </c>
      <c r="Y1779" s="6" t="s">
        <v>108</v>
      </c>
      <c r="Z1779" s="4">
        <v>4.62</v>
      </c>
      <c r="AA1779" s="4">
        <v>8.2</v>
      </c>
      <c r="AB1779" s="3" t="s">
        <v>56</v>
      </c>
      <c r="AC1779" s="3" t="s">
        <v>10271</v>
      </c>
      <c r="AD1779" s="9">
        <v>44865</v>
      </c>
      <c r="AE1779" s="3" t="s">
        <v>6868</v>
      </c>
      <c r="AF1779" s="3" t="s">
        <v>101</v>
      </c>
      <c r="AG1779" s="3" t="s">
        <v>1276</v>
      </c>
      <c r="AH1779" s="11">
        <f>HYPERLINK("https://my.pitchbook.com?c=214510-33T","View Company Online")</f>
      </c>
    </row>
    <row r="1780">
      <c r="A1780" s="12" t="s">
        <v>10272</v>
      </c>
      <c r="B1780" s="12" t="s">
        <v>10273</v>
      </c>
      <c r="C1780" s="19" t="s">
        <v>36</v>
      </c>
      <c r="D1780" s="19" t="s">
        <v>36</v>
      </c>
      <c r="E1780" s="19" t="s">
        <v>36</v>
      </c>
      <c r="F1780" s="19" t="s">
        <v>36</v>
      </c>
      <c r="G1780" s="15" t="s">
        <v>36</v>
      </c>
      <c r="H1780" s="14">
        <v>1869.42</v>
      </c>
      <c r="I1780" s="18">
        <v>27.48</v>
      </c>
      <c r="J1780" s="12" t="s">
        <v>521</v>
      </c>
      <c r="K1780" s="13" t="s">
        <v>36</v>
      </c>
      <c r="L1780" s="15" t="s">
        <v>36</v>
      </c>
      <c r="M1780" s="12" t="s">
        <v>36</v>
      </c>
      <c r="N1780" s="12" t="s">
        <v>36</v>
      </c>
      <c r="O1780" s="17" t="s">
        <v>36</v>
      </c>
      <c r="P1780" s="12" t="s">
        <v>36</v>
      </c>
      <c r="Q1780" s="12" t="s">
        <v>36</v>
      </c>
      <c r="R1780" s="12" t="s">
        <v>36</v>
      </c>
      <c r="S1780" s="12" t="s">
        <v>36</v>
      </c>
      <c r="T1780" s="12" t="s">
        <v>1106</v>
      </c>
      <c r="U1780" s="12" t="s">
        <v>38</v>
      </c>
      <c r="V1780" s="12" t="s">
        <v>39</v>
      </c>
      <c r="W1780" s="12" t="s">
        <v>10274</v>
      </c>
      <c r="X1780" s="16" t="s">
        <v>10275</v>
      </c>
      <c r="Y1780" s="15" t="s">
        <v>42</v>
      </c>
      <c r="Z1780" s="14">
        <v>0.67</v>
      </c>
      <c r="AA1780" s="14">
        <v>2.44</v>
      </c>
      <c r="AB1780" s="12" t="s">
        <v>43</v>
      </c>
      <c r="AC1780" s="12" t="s">
        <v>10276</v>
      </c>
      <c r="AD1780" s="13">
        <v>44865</v>
      </c>
      <c r="AE1780" s="12" t="s">
        <v>110</v>
      </c>
      <c r="AF1780" s="12" t="s">
        <v>10277</v>
      </c>
      <c r="AG1780" s="12" t="s">
        <v>144</v>
      </c>
      <c r="AH1780" s="1">
        <f>HYPERLINK("https://my.pitchbook.com?c=207209-98T","View Company Online")</f>
      </c>
    </row>
    <row r="1781">
      <c r="A1781" s="3" t="s">
        <v>10278</v>
      </c>
      <c r="B1781" s="3" t="s">
        <v>10279</v>
      </c>
      <c r="C1781" s="5" t="s">
        <v>36</v>
      </c>
      <c r="D1781" s="5" t="s">
        <v>36</v>
      </c>
      <c r="E1781" s="5" t="s">
        <v>36</v>
      </c>
      <c r="F1781" s="5" t="s">
        <v>36</v>
      </c>
      <c r="G1781" s="6" t="s">
        <v>326</v>
      </c>
      <c r="H1781" s="4">
        <v>20.5</v>
      </c>
      <c r="I1781" s="7">
        <v>26.73</v>
      </c>
      <c r="J1781" s="3" t="s">
        <v>521</v>
      </c>
      <c r="K1781" s="9">
        <v>44750</v>
      </c>
      <c r="L1781" s="6" t="s">
        <v>36</v>
      </c>
      <c r="M1781" s="3" t="s">
        <v>36</v>
      </c>
      <c r="N1781" s="3" t="s">
        <v>36</v>
      </c>
      <c r="O1781" s="8" t="s">
        <v>36</v>
      </c>
      <c r="P1781" s="3" t="s">
        <v>36</v>
      </c>
      <c r="Q1781" s="3" t="s">
        <v>36</v>
      </c>
      <c r="R1781" s="3" t="s">
        <v>36</v>
      </c>
      <c r="S1781" s="3" t="s">
        <v>36</v>
      </c>
      <c r="T1781" s="3" t="s">
        <v>2961</v>
      </c>
      <c r="U1781" s="3" t="s">
        <v>74</v>
      </c>
      <c r="V1781" s="3" t="s">
        <v>75</v>
      </c>
      <c r="W1781" s="3" t="s">
        <v>10280</v>
      </c>
      <c r="X1781" s="10" t="s">
        <v>10281</v>
      </c>
      <c r="Y1781" s="6" t="s">
        <v>42</v>
      </c>
      <c r="Z1781" s="4">
        <v>2.94</v>
      </c>
      <c r="AA1781" s="4">
        <v>6.97</v>
      </c>
      <c r="AB1781" s="3" t="s">
        <v>43</v>
      </c>
      <c r="AC1781" s="3" t="s">
        <v>10282</v>
      </c>
      <c r="AD1781" s="9">
        <v>44862</v>
      </c>
      <c r="AE1781" s="3" t="s">
        <v>975</v>
      </c>
      <c r="AF1781" s="3" t="s">
        <v>176</v>
      </c>
      <c r="AG1781" s="3" t="s">
        <v>969</v>
      </c>
      <c r="AH1781" s="11">
        <f>HYPERLINK("https://my.pitchbook.com?c=207166-51T","View Company Online")</f>
      </c>
    </row>
    <row r="1782">
      <c r="A1782" s="12" t="s">
        <v>10283</v>
      </c>
      <c r="B1782" s="12" t="s">
        <v>10284</v>
      </c>
      <c r="C1782" s="19" t="s">
        <v>36</v>
      </c>
      <c r="D1782" s="19" t="s">
        <v>36</v>
      </c>
      <c r="E1782" s="19" t="s">
        <v>36</v>
      </c>
      <c r="F1782" s="19" t="s">
        <v>36</v>
      </c>
      <c r="G1782" s="15" t="s">
        <v>36</v>
      </c>
      <c r="H1782" s="14">
        <v>147.73</v>
      </c>
      <c r="I1782" s="18">
        <v>23.1</v>
      </c>
      <c r="J1782" s="12" t="s">
        <v>521</v>
      </c>
      <c r="K1782" s="13" t="s">
        <v>36</v>
      </c>
      <c r="L1782" s="15" t="s">
        <v>36</v>
      </c>
      <c r="M1782" s="12" t="s">
        <v>36</v>
      </c>
      <c r="N1782" s="12" t="s">
        <v>36</v>
      </c>
      <c r="O1782" s="17" t="s">
        <v>36</v>
      </c>
      <c r="P1782" s="12" t="s">
        <v>36</v>
      </c>
      <c r="Q1782" s="12" t="s">
        <v>36</v>
      </c>
      <c r="R1782" s="12" t="s">
        <v>36</v>
      </c>
      <c r="S1782" s="12" t="s">
        <v>36</v>
      </c>
      <c r="T1782" s="12" t="s">
        <v>1418</v>
      </c>
      <c r="U1782" s="12" t="s">
        <v>38</v>
      </c>
      <c r="V1782" s="12" t="s">
        <v>39</v>
      </c>
      <c r="W1782" s="12" t="s">
        <v>10285</v>
      </c>
      <c r="X1782" s="16" t="s">
        <v>1840</v>
      </c>
      <c r="Y1782" s="15" t="s">
        <v>42</v>
      </c>
      <c r="Z1782" s="14">
        <v>4.42</v>
      </c>
      <c r="AA1782" s="14">
        <v>19.14</v>
      </c>
      <c r="AB1782" s="12" t="s">
        <v>56</v>
      </c>
      <c r="AC1782" s="12" t="s">
        <v>10286</v>
      </c>
      <c r="AD1782" s="13">
        <v>44862</v>
      </c>
      <c r="AE1782" s="12" t="s">
        <v>1422</v>
      </c>
      <c r="AF1782" s="12" t="s">
        <v>4284</v>
      </c>
      <c r="AG1782" s="12" t="s">
        <v>81</v>
      </c>
      <c r="AH1782" s="1">
        <f>HYPERLINK("https://my.pitchbook.com?c=211200-67T","View Company Online")</f>
      </c>
    </row>
    <row r="1783">
      <c r="A1783" s="3" t="s">
        <v>10287</v>
      </c>
      <c r="B1783" s="3" t="s">
        <v>10288</v>
      </c>
      <c r="C1783" s="5">
        <v>3</v>
      </c>
      <c r="D1783" s="5">
        <v>2</v>
      </c>
      <c r="E1783" s="5">
        <v>2</v>
      </c>
      <c r="F1783" s="5">
        <v>5</v>
      </c>
      <c r="G1783" s="6" t="s">
        <v>326</v>
      </c>
      <c r="H1783" s="4">
        <v>300.27</v>
      </c>
      <c r="I1783" s="7">
        <v>33.33</v>
      </c>
      <c r="J1783" s="3" t="s">
        <v>521</v>
      </c>
      <c r="K1783" s="9">
        <v>44846</v>
      </c>
      <c r="L1783" s="6" t="s">
        <v>36</v>
      </c>
      <c r="M1783" s="3" t="s">
        <v>36</v>
      </c>
      <c r="N1783" s="3" t="s">
        <v>36</v>
      </c>
      <c r="O1783" s="8" t="s">
        <v>36</v>
      </c>
      <c r="P1783" s="3" t="s">
        <v>36</v>
      </c>
      <c r="Q1783" s="3" t="s">
        <v>36</v>
      </c>
      <c r="R1783" s="3" t="s">
        <v>36</v>
      </c>
      <c r="S1783" s="3" t="s">
        <v>36</v>
      </c>
      <c r="T1783" s="3" t="s">
        <v>10289</v>
      </c>
      <c r="U1783" s="3" t="s">
        <v>96</v>
      </c>
      <c r="V1783" s="3" t="s">
        <v>52</v>
      </c>
      <c r="W1783" s="3" t="s">
        <v>10290</v>
      </c>
      <c r="X1783" s="10" t="s">
        <v>2442</v>
      </c>
      <c r="Y1783" s="6" t="s">
        <v>108</v>
      </c>
      <c r="Z1783" s="4">
        <v>3.67</v>
      </c>
      <c r="AA1783" s="4">
        <v>11.01</v>
      </c>
      <c r="AB1783" s="3" t="s">
        <v>56</v>
      </c>
      <c r="AC1783" s="3" t="s">
        <v>10291</v>
      </c>
      <c r="AD1783" s="9">
        <v>44860</v>
      </c>
      <c r="AE1783" s="3" t="s">
        <v>143</v>
      </c>
      <c r="AF1783" s="3" t="s">
        <v>10292</v>
      </c>
      <c r="AG1783" s="3" t="s">
        <v>991</v>
      </c>
      <c r="AH1783" s="11">
        <f>HYPERLINK("https://my.pitchbook.com?c=201827-26T","View Company Online")</f>
      </c>
    </row>
    <row r="1784">
      <c r="A1784" s="12" t="s">
        <v>10293</v>
      </c>
      <c r="B1784" s="12" t="s">
        <v>9070</v>
      </c>
      <c r="C1784" s="19" t="s">
        <v>36</v>
      </c>
      <c r="D1784" s="19" t="s">
        <v>36</v>
      </c>
      <c r="E1784" s="19" t="s">
        <v>36</v>
      </c>
      <c r="F1784" s="19" t="s">
        <v>36</v>
      </c>
      <c r="G1784" s="15" t="s">
        <v>36</v>
      </c>
      <c r="H1784" s="14" t="s">
        <v>36</v>
      </c>
      <c r="I1784" s="18" t="s">
        <v>36</v>
      </c>
      <c r="J1784" s="12" t="s">
        <v>36</v>
      </c>
      <c r="K1784" s="13" t="s">
        <v>36</v>
      </c>
      <c r="L1784" s="15" t="s">
        <v>36</v>
      </c>
      <c r="M1784" s="12" t="s">
        <v>36</v>
      </c>
      <c r="N1784" s="12" t="s">
        <v>36</v>
      </c>
      <c r="O1784" s="17" t="s">
        <v>36</v>
      </c>
      <c r="P1784" s="12" t="s">
        <v>36</v>
      </c>
      <c r="Q1784" s="12" t="s">
        <v>36</v>
      </c>
      <c r="R1784" s="12" t="s">
        <v>36</v>
      </c>
      <c r="S1784" s="12" t="s">
        <v>36</v>
      </c>
      <c r="T1784" s="12" t="s">
        <v>9071</v>
      </c>
      <c r="U1784" s="12" t="s">
        <v>318</v>
      </c>
      <c r="V1784" s="12" t="s">
        <v>39</v>
      </c>
      <c r="W1784" s="12" t="s">
        <v>9072</v>
      </c>
      <c r="X1784" s="16" t="s">
        <v>10294</v>
      </c>
      <c r="Y1784" s="15" t="s">
        <v>55</v>
      </c>
      <c r="Z1784" s="14">
        <v>1.6</v>
      </c>
      <c r="AA1784" s="14" t="s">
        <v>36</v>
      </c>
      <c r="AB1784" s="12" t="s">
        <v>43</v>
      </c>
      <c r="AC1784" s="12" t="s">
        <v>9074</v>
      </c>
      <c r="AD1784" s="13">
        <v>44860</v>
      </c>
      <c r="AE1784" s="12" t="s">
        <v>763</v>
      </c>
      <c r="AF1784" s="12" t="s">
        <v>9075</v>
      </c>
      <c r="AG1784" s="12" t="s">
        <v>9076</v>
      </c>
      <c r="AH1784" s="1">
        <f>HYPERLINK("https://my.pitchbook.com?c=213838-93T","View Company Online")</f>
      </c>
    </row>
    <row r="1785">
      <c r="A1785" s="3" t="s">
        <v>10295</v>
      </c>
      <c r="B1785" s="3" t="s">
        <v>4639</v>
      </c>
      <c r="C1785" s="5" t="s">
        <v>36</v>
      </c>
      <c r="D1785" s="5" t="s">
        <v>36</v>
      </c>
      <c r="E1785" s="5" t="s">
        <v>36</v>
      </c>
      <c r="F1785" s="5" t="s">
        <v>36</v>
      </c>
      <c r="G1785" s="6" t="s">
        <v>326</v>
      </c>
      <c r="H1785" s="4">
        <v>4197.67</v>
      </c>
      <c r="I1785" s="7">
        <v>14.64</v>
      </c>
      <c r="J1785" s="3" t="s">
        <v>521</v>
      </c>
      <c r="K1785" s="9">
        <v>44701</v>
      </c>
      <c r="L1785" s="6" t="s">
        <v>36</v>
      </c>
      <c r="M1785" s="3" t="s">
        <v>36</v>
      </c>
      <c r="N1785" s="3" t="s">
        <v>36</v>
      </c>
      <c r="O1785" s="8" t="s">
        <v>36</v>
      </c>
      <c r="P1785" s="3" t="s">
        <v>36</v>
      </c>
      <c r="Q1785" s="3" t="s">
        <v>36</v>
      </c>
      <c r="R1785" s="3" t="s">
        <v>36</v>
      </c>
      <c r="S1785" s="3" t="s">
        <v>36</v>
      </c>
      <c r="T1785" s="3" t="s">
        <v>4640</v>
      </c>
      <c r="U1785" s="3" t="s">
        <v>833</v>
      </c>
      <c r="V1785" s="3" t="s">
        <v>64</v>
      </c>
      <c r="W1785" s="3" t="s">
        <v>4641</v>
      </c>
      <c r="X1785" s="10" t="s">
        <v>10296</v>
      </c>
      <c r="Y1785" s="6" t="s">
        <v>42</v>
      </c>
      <c r="Z1785" s="4">
        <v>0.83</v>
      </c>
      <c r="AA1785" s="4">
        <v>5.67</v>
      </c>
      <c r="AB1785" s="3" t="s">
        <v>43</v>
      </c>
      <c r="AC1785" s="3" t="s">
        <v>4643</v>
      </c>
      <c r="AD1785" s="9">
        <v>44859</v>
      </c>
      <c r="AE1785" s="3" t="s">
        <v>1687</v>
      </c>
      <c r="AF1785" s="3" t="s">
        <v>90</v>
      </c>
      <c r="AG1785" s="3" t="s">
        <v>81</v>
      </c>
      <c r="AH1785" s="11">
        <f>HYPERLINK("https://my.pitchbook.com?c=202226-50T","View Company Online")</f>
      </c>
    </row>
    <row r="1786">
      <c r="A1786" s="12" t="s">
        <v>10297</v>
      </c>
      <c r="B1786" s="12" t="s">
        <v>1771</v>
      </c>
      <c r="C1786" s="19" t="s">
        <v>36</v>
      </c>
      <c r="D1786" s="19" t="s">
        <v>36</v>
      </c>
      <c r="E1786" s="19" t="s">
        <v>36</v>
      </c>
      <c r="F1786" s="19" t="s">
        <v>36</v>
      </c>
      <c r="G1786" s="15" t="s">
        <v>326</v>
      </c>
      <c r="H1786" s="14">
        <v>2076.14</v>
      </c>
      <c r="I1786" s="18">
        <v>23.84</v>
      </c>
      <c r="J1786" s="12" t="s">
        <v>521</v>
      </c>
      <c r="K1786" s="13" t="s">
        <v>36</v>
      </c>
      <c r="L1786" s="15" t="s">
        <v>122</v>
      </c>
      <c r="M1786" s="12" t="s">
        <v>36</v>
      </c>
      <c r="N1786" s="12" t="s">
        <v>122</v>
      </c>
      <c r="O1786" s="17" t="s">
        <v>36</v>
      </c>
      <c r="P1786" s="12" t="s">
        <v>36</v>
      </c>
      <c r="Q1786" s="12" t="s">
        <v>36</v>
      </c>
      <c r="R1786" s="12" t="s">
        <v>36</v>
      </c>
      <c r="S1786" s="12" t="s">
        <v>36</v>
      </c>
      <c r="T1786" s="12" t="s">
        <v>1772</v>
      </c>
      <c r="U1786" s="12" t="s">
        <v>38</v>
      </c>
      <c r="V1786" s="12" t="s">
        <v>39</v>
      </c>
      <c r="W1786" s="12" t="s">
        <v>1773</v>
      </c>
      <c r="X1786" s="16" t="s">
        <v>10298</v>
      </c>
      <c r="Y1786" s="15" t="s">
        <v>108</v>
      </c>
      <c r="Z1786" s="14">
        <v>9.78</v>
      </c>
      <c r="AA1786" s="14">
        <v>30.76</v>
      </c>
      <c r="AB1786" s="12" t="s">
        <v>43</v>
      </c>
      <c r="AC1786" s="12" t="s">
        <v>1775</v>
      </c>
      <c r="AD1786" s="13">
        <v>44859</v>
      </c>
      <c r="AE1786" s="12" t="s">
        <v>110</v>
      </c>
      <c r="AF1786" s="12" t="s">
        <v>261</v>
      </c>
      <c r="AG1786" s="12" t="s">
        <v>81</v>
      </c>
      <c r="AH1786" s="1">
        <f>HYPERLINK("https://my.pitchbook.com?c=206831-98T","View Company Online")</f>
      </c>
    </row>
    <row r="1787">
      <c r="A1787" s="3" t="s">
        <v>10299</v>
      </c>
      <c r="B1787" s="3" t="s">
        <v>10300</v>
      </c>
      <c r="C1787" s="5" t="s">
        <v>36</v>
      </c>
      <c r="D1787" s="5" t="s">
        <v>36</v>
      </c>
      <c r="E1787" s="5" t="s">
        <v>36</v>
      </c>
      <c r="F1787" s="5" t="s">
        <v>36</v>
      </c>
      <c r="G1787" s="6" t="s">
        <v>36</v>
      </c>
      <c r="H1787" s="4" t="s">
        <v>36</v>
      </c>
      <c r="I1787" s="7" t="s">
        <v>36</v>
      </c>
      <c r="J1787" s="3" t="s">
        <v>36</v>
      </c>
      <c r="K1787" s="9" t="s">
        <v>36</v>
      </c>
      <c r="L1787" s="6" t="s">
        <v>36</v>
      </c>
      <c r="M1787" s="3" t="s">
        <v>36</v>
      </c>
      <c r="N1787" s="3" t="s">
        <v>36</v>
      </c>
      <c r="O1787" s="8" t="s">
        <v>36</v>
      </c>
      <c r="P1787" s="3" t="s">
        <v>36</v>
      </c>
      <c r="Q1787" s="3" t="s">
        <v>36</v>
      </c>
      <c r="R1787" s="3" t="s">
        <v>36</v>
      </c>
      <c r="S1787" s="3" t="s">
        <v>36</v>
      </c>
      <c r="T1787" s="3" t="s">
        <v>3722</v>
      </c>
      <c r="U1787" s="3" t="s">
        <v>96</v>
      </c>
      <c r="V1787" s="3" t="s">
        <v>52</v>
      </c>
      <c r="W1787" s="3" t="s">
        <v>10301</v>
      </c>
      <c r="X1787" s="10" t="s">
        <v>10302</v>
      </c>
      <c r="Y1787" s="6" t="s">
        <v>42</v>
      </c>
      <c r="Z1787" s="4">
        <v>9.78</v>
      </c>
      <c r="AA1787" s="4" t="s">
        <v>36</v>
      </c>
      <c r="AB1787" s="3" t="s">
        <v>56</v>
      </c>
      <c r="AC1787" s="3" t="s">
        <v>10303</v>
      </c>
      <c r="AD1787" s="9">
        <v>44859</v>
      </c>
      <c r="AE1787" s="3" t="s">
        <v>100</v>
      </c>
      <c r="AF1787" s="3" t="s">
        <v>101</v>
      </c>
      <c r="AG1787" s="3" t="s">
        <v>102</v>
      </c>
      <c r="AH1787" s="11">
        <f>HYPERLINK("https://my.pitchbook.com?c=206847-46T","View Company Online")</f>
      </c>
    </row>
    <row r="1788">
      <c r="A1788" s="12" t="s">
        <v>10304</v>
      </c>
      <c r="B1788" s="12" t="s">
        <v>470</v>
      </c>
      <c r="C1788" s="19" t="s">
        <v>36</v>
      </c>
      <c r="D1788" s="19" t="s">
        <v>36</v>
      </c>
      <c r="E1788" s="19" t="s">
        <v>36</v>
      </c>
      <c r="F1788" s="19" t="s">
        <v>36</v>
      </c>
      <c r="G1788" s="15" t="s">
        <v>326</v>
      </c>
      <c r="H1788" s="14">
        <v>48.53</v>
      </c>
      <c r="I1788" s="18">
        <v>15.82</v>
      </c>
      <c r="J1788" s="12" t="s">
        <v>521</v>
      </c>
      <c r="K1788" s="13">
        <v>44858</v>
      </c>
      <c r="L1788" s="15" t="s">
        <v>1279</v>
      </c>
      <c r="M1788" s="12" t="s">
        <v>36</v>
      </c>
      <c r="N1788" s="12" t="s">
        <v>1279</v>
      </c>
      <c r="O1788" s="17" t="s">
        <v>36</v>
      </c>
      <c r="P1788" s="12" t="s">
        <v>36</v>
      </c>
      <c r="Q1788" s="12" t="s">
        <v>36</v>
      </c>
      <c r="R1788" s="12" t="s">
        <v>36</v>
      </c>
      <c r="S1788" s="12" t="s">
        <v>36</v>
      </c>
      <c r="T1788" s="12" t="s">
        <v>472</v>
      </c>
      <c r="U1788" s="12" t="s">
        <v>38</v>
      </c>
      <c r="V1788" s="12" t="s">
        <v>39</v>
      </c>
      <c r="W1788" s="12" t="s">
        <v>473</v>
      </c>
      <c r="X1788" s="16" t="s">
        <v>10305</v>
      </c>
      <c r="Y1788" s="15" t="s">
        <v>166</v>
      </c>
      <c r="Z1788" s="14">
        <v>39.26</v>
      </c>
      <c r="AA1788" s="14">
        <v>154.15</v>
      </c>
      <c r="AB1788" s="12" t="s">
        <v>56</v>
      </c>
      <c r="AC1788" s="12" t="s">
        <v>476</v>
      </c>
      <c r="AD1788" s="13">
        <v>44859</v>
      </c>
      <c r="AE1788" s="12" t="s">
        <v>110</v>
      </c>
      <c r="AF1788" s="12" t="s">
        <v>477</v>
      </c>
      <c r="AG1788" s="12" t="s">
        <v>81</v>
      </c>
      <c r="AH1788" s="1">
        <f>HYPERLINK("https://my.pitchbook.com?c=206806-15T","View Company Online")</f>
      </c>
    </row>
    <row r="1789">
      <c r="A1789" s="3" t="s">
        <v>10306</v>
      </c>
      <c r="B1789" s="3" t="s">
        <v>9275</v>
      </c>
      <c r="C1789" s="5">
        <v>17</v>
      </c>
      <c r="D1789" s="5">
        <v>10</v>
      </c>
      <c r="E1789" s="5">
        <v>6</v>
      </c>
      <c r="F1789" s="5">
        <v>29</v>
      </c>
      <c r="G1789" s="6" t="s">
        <v>36</v>
      </c>
      <c r="H1789" s="4" t="s">
        <v>36</v>
      </c>
      <c r="I1789" s="7" t="s">
        <v>36</v>
      </c>
      <c r="J1789" s="3" t="s">
        <v>36</v>
      </c>
      <c r="K1789" s="9" t="s">
        <v>36</v>
      </c>
      <c r="L1789" s="6" t="s">
        <v>36</v>
      </c>
      <c r="M1789" s="3" t="s">
        <v>36</v>
      </c>
      <c r="N1789" s="3" t="s">
        <v>36</v>
      </c>
      <c r="O1789" s="8" t="s">
        <v>36</v>
      </c>
      <c r="P1789" s="3" t="s">
        <v>36</v>
      </c>
      <c r="Q1789" s="3" t="s">
        <v>36</v>
      </c>
      <c r="R1789" s="3" t="s">
        <v>36</v>
      </c>
      <c r="S1789" s="3" t="s">
        <v>36</v>
      </c>
      <c r="T1789" s="3" t="s">
        <v>881</v>
      </c>
      <c r="U1789" s="3" t="s">
        <v>51</v>
      </c>
      <c r="V1789" s="3" t="s">
        <v>52</v>
      </c>
      <c r="W1789" s="3" t="s">
        <v>9276</v>
      </c>
      <c r="X1789" s="10" t="s">
        <v>10307</v>
      </c>
      <c r="Y1789" s="6" t="s">
        <v>166</v>
      </c>
      <c r="Z1789" s="4">
        <v>16.61</v>
      </c>
      <c r="AA1789" s="4" t="s">
        <v>36</v>
      </c>
      <c r="AB1789" s="3" t="s">
        <v>56</v>
      </c>
      <c r="AC1789" s="3" t="s">
        <v>9278</v>
      </c>
      <c r="AD1789" s="9">
        <v>44858</v>
      </c>
      <c r="AE1789" s="3" t="s">
        <v>504</v>
      </c>
      <c r="AF1789" s="3" t="s">
        <v>159</v>
      </c>
      <c r="AG1789" s="3" t="s">
        <v>81</v>
      </c>
      <c r="AH1789" s="11">
        <f>HYPERLINK("https://my.pitchbook.com?c=214812-19T","View Company Online")</f>
      </c>
    </row>
    <row r="1790">
      <c r="A1790" s="12" t="s">
        <v>10308</v>
      </c>
      <c r="B1790" s="12" t="s">
        <v>10309</v>
      </c>
      <c r="C1790" s="19">
        <v>2</v>
      </c>
      <c r="D1790" s="19" t="s">
        <v>36</v>
      </c>
      <c r="E1790" s="19">
        <v>1</v>
      </c>
      <c r="F1790" s="19">
        <v>2</v>
      </c>
      <c r="G1790" s="15" t="s">
        <v>36</v>
      </c>
      <c r="H1790" s="14" t="s">
        <v>36</v>
      </c>
      <c r="I1790" s="18" t="s">
        <v>36</v>
      </c>
      <c r="J1790" s="12" t="s">
        <v>36</v>
      </c>
      <c r="K1790" s="13" t="s">
        <v>36</v>
      </c>
      <c r="L1790" s="15" t="s">
        <v>36</v>
      </c>
      <c r="M1790" s="12" t="s">
        <v>36</v>
      </c>
      <c r="N1790" s="12" t="s">
        <v>36</v>
      </c>
      <c r="O1790" s="17" t="s">
        <v>36</v>
      </c>
      <c r="P1790" s="12" t="s">
        <v>36</v>
      </c>
      <c r="Q1790" s="12" t="s">
        <v>36</v>
      </c>
      <c r="R1790" s="12" t="s">
        <v>36</v>
      </c>
      <c r="S1790" s="12" t="s">
        <v>36</v>
      </c>
      <c r="T1790" s="12" t="s">
        <v>596</v>
      </c>
      <c r="U1790" s="12" t="s">
        <v>366</v>
      </c>
      <c r="V1790" s="12" t="s">
        <v>367</v>
      </c>
      <c r="W1790" s="12" t="s">
        <v>10310</v>
      </c>
      <c r="X1790" s="16" t="s">
        <v>10311</v>
      </c>
      <c r="Y1790" s="15" t="s">
        <v>108</v>
      </c>
      <c r="Z1790" s="14">
        <v>14.66</v>
      </c>
      <c r="AA1790" s="14" t="s">
        <v>36</v>
      </c>
      <c r="AB1790" s="12" t="s">
        <v>43</v>
      </c>
      <c r="AC1790" s="12" t="s">
        <v>10312</v>
      </c>
      <c r="AD1790" s="13">
        <v>44858</v>
      </c>
      <c r="AE1790" s="12" t="s">
        <v>600</v>
      </c>
      <c r="AF1790" s="12" t="s">
        <v>1340</v>
      </c>
      <c r="AG1790" s="12" t="s">
        <v>2088</v>
      </c>
      <c r="AH1790" s="1">
        <f>HYPERLINK("https://my.pitchbook.com?c=206794-99T","View Company Online")</f>
      </c>
    </row>
    <row r="1791">
      <c r="A1791" s="3" t="s">
        <v>10313</v>
      </c>
      <c r="B1791" s="3" t="s">
        <v>10314</v>
      </c>
      <c r="C1791" s="5" t="s">
        <v>36</v>
      </c>
      <c r="D1791" s="5" t="s">
        <v>36</v>
      </c>
      <c r="E1791" s="5" t="s">
        <v>36</v>
      </c>
      <c r="F1791" s="5" t="s">
        <v>36</v>
      </c>
      <c r="G1791" s="6" t="s">
        <v>326</v>
      </c>
      <c r="H1791" s="4" t="s">
        <v>36</v>
      </c>
      <c r="I1791" s="7">
        <v>10.13</v>
      </c>
      <c r="J1791" s="3" t="s">
        <v>521</v>
      </c>
      <c r="K1791" s="9" t="s">
        <v>36</v>
      </c>
      <c r="L1791" s="6" t="s">
        <v>94</v>
      </c>
      <c r="M1791" s="3" t="s">
        <v>36</v>
      </c>
      <c r="N1791" s="3" t="s">
        <v>94</v>
      </c>
      <c r="O1791" s="8" t="s">
        <v>36</v>
      </c>
      <c r="P1791" s="3" t="s">
        <v>36</v>
      </c>
      <c r="Q1791" s="3" t="s">
        <v>36</v>
      </c>
      <c r="R1791" s="3" t="s">
        <v>36</v>
      </c>
      <c r="S1791" s="3" t="s">
        <v>36</v>
      </c>
      <c r="T1791" s="3" t="s">
        <v>3591</v>
      </c>
      <c r="U1791" s="3" t="s">
        <v>38</v>
      </c>
      <c r="V1791" s="3" t="s">
        <v>39</v>
      </c>
      <c r="W1791" s="3" t="s">
        <v>10315</v>
      </c>
      <c r="X1791" s="10" t="s">
        <v>10316</v>
      </c>
      <c r="Y1791" s="6" t="s">
        <v>55</v>
      </c>
      <c r="Z1791" s="4">
        <v>59.4</v>
      </c>
      <c r="AA1791" s="4">
        <v>585.88</v>
      </c>
      <c r="AB1791" s="3" t="s">
        <v>43</v>
      </c>
      <c r="AC1791" s="3" t="s">
        <v>10317</v>
      </c>
      <c r="AD1791" s="9">
        <v>44857</v>
      </c>
      <c r="AE1791" s="3" t="s">
        <v>688</v>
      </c>
      <c r="AF1791" s="3" t="s">
        <v>10318</v>
      </c>
      <c r="AG1791" s="3" t="s">
        <v>81</v>
      </c>
      <c r="AH1791" s="11">
        <f>HYPERLINK("https://my.pitchbook.com?c=194182-03T","View Company Online")</f>
      </c>
    </row>
    <row r="1792">
      <c r="A1792" s="12" t="s">
        <v>10319</v>
      </c>
      <c r="B1792" s="12" t="s">
        <v>10320</v>
      </c>
      <c r="C1792" s="19" t="s">
        <v>36</v>
      </c>
      <c r="D1792" s="19" t="s">
        <v>36</v>
      </c>
      <c r="E1792" s="19" t="s">
        <v>36</v>
      </c>
      <c r="F1792" s="19" t="s">
        <v>36</v>
      </c>
      <c r="G1792" s="15" t="s">
        <v>326</v>
      </c>
      <c r="H1792" s="14" t="s">
        <v>36</v>
      </c>
      <c r="I1792" s="18">
        <v>24.14</v>
      </c>
      <c r="J1792" s="12" t="s">
        <v>327</v>
      </c>
      <c r="K1792" s="13" t="s">
        <v>36</v>
      </c>
      <c r="L1792" s="15" t="s">
        <v>122</v>
      </c>
      <c r="M1792" s="12" t="s">
        <v>36</v>
      </c>
      <c r="N1792" s="12" t="s">
        <v>122</v>
      </c>
      <c r="O1792" s="17" t="s">
        <v>36</v>
      </c>
      <c r="P1792" s="12" t="s">
        <v>36</v>
      </c>
      <c r="Q1792" s="12" t="s">
        <v>36</v>
      </c>
      <c r="R1792" s="12" t="s">
        <v>36</v>
      </c>
      <c r="S1792" s="12" t="s">
        <v>36</v>
      </c>
      <c r="T1792" s="12" t="s">
        <v>10321</v>
      </c>
      <c r="U1792" s="12" t="s">
        <v>423</v>
      </c>
      <c r="V1792" s="12" t="s">
        <v>64</v>
      </c>
      <c r="W1792" s="12" t="s">
        <v>10322</v>
      </c>
      <c r="X1792" s="16" t="s">
        <v>10323</v>
      </c>
      <c r="Y1792" s="15" t="s">
        <v>108</v>
      </c>
      <c r="Z1792" s="14">
        <v>2.44</v>
      </c>
      <c r="AA1792" s="14">
        <v>10.11</v>
      </c>
      <c r="AB1792" s="12" t="s">
        <v>43</v>
      </c>
      <c r="AC1792" s="12" t="s">
        <v>10324</v>
      </c>
      <c r="AD1792" s="13">
        <v>44856</v>
      </c>
      <c r="AE1792" s="12" t="s">
        <v>427</v>
      </c>
      <c r="AF1792" s="12" t="s">
        <v>733</v>
      </c>
      <c r="AG1792" s="12" t="s">
        <v>81</v>
      </c>
      <c r="AH1792" s="1">
        <f>HYPERLINK("https://my.pitchbook.com?c=208491-85T","View Company Online")</f>
      </c>
    </row>
    <row r="1793">
      <c r="A1793" s="3" t="s">
        <v>10325</v>
      </c>
      <c r="B1793" s="3" t="s">
        <v>10326</v>
      </c>
      <c r="C1793" s="5" t="s">
        <v>36</v>
      </c>
      <c r="D1793" s="5" t="s">
        <v>36</v>
      </c>
      <c r="E1793" s="5" t="s">
        <v>36</v>
      </c>
      <c r="F1793" s="5" t="s">
        <v>36</v>
      </c>
      <c r="G1793" s="6" t="s">
        <v>36</v>
      </c>
      <c r="H1793" s="4">
        <v>941.98</v>
      </c>
      <c r="I1793" s="7">
        <v>26</v>
      </c>
      <c r="J1793" s="3" t="s">
        <v>521</v>
      </c>
      <c r="K1793" s="9" t="s">
        <v>36</v>
      </c>
      <c r="L1793" s="6" t="s">
        <v>36</v>
      </c>
      <c r="M1793" s="3" t="s">
        <v>36</v>
      </c>
      <c r="N1793" s="3" t="s">
        <v>36</v>
      </c>
      <c r="O1793" s="8" t="s">
        <v>36</v>
      </c>
      <c r="P1793" s="3" t="s">
        <v>36</v>
      </c>
      <c r="Q1793" s="3" t="s">
        <v>36</v>
      </c>
      <c r="R1793" s="3" t="s">
        <v>36</v>
      </c>
      <c r="S1793" s="3" t="s">
        <v>36</v>
      </c>
      <c r="T1793" s="3" t="s">
        <v>10327</v>
      </c>
      <c r="U1793" s="3" t="s">
        <v>74</v>
      </c>
      <c r="V1793" s="3" t="s">
        <v>75</v>
      </c>
      <c r="W1793" s="3" t="s">
        <v>10328</v>
      </c>
      <c r="X1793" s="10" t="s">
        <v>10329</v>
      </c>
      <c r="Y1793" s="6" t="s">
        <v>42</v>
      </c>
      <c r="Z1793" s="4">
        <v>0.98</v>
      </c>
      <c r="AA1793" s="4">
        <v>3.19</v>
      </c>
      <c r="AB1793" s="3" t="s">
        <v>43</v>
      </c>
      <c r="AC1793" s="3" t="s">
        <v>10330</v>
      </c>
      <c r="AD1793" s="9">
        <v>44855</v>
      </c>
      <c r="AE1793" s="3" t="s">
        <v>79</v>
      </c>
      <c r="AF1793" s="3" t="s">
        <v>3860</v>
      </c>
      <c r="AG1793" s="3" t="s">
        <v>81</v>
      </c>
      <c r="AH1793" s="11">
        <f>HYPERLINK("https://my.pitchbook.com?c=206738-02T","View Company Online")</f>
      </c>
    </row>
    <row r="1794">
      <c r="A1794" s="12" t="s">
        <v>10331</v>
      </c>
      <c r="B1794" s="12" t="s">
        <v>10332</v>
      </c>
      <c r="C1794" s="19" t="s">
        <v>36</v>
      </c>
      <c r="D1794" s="19" t="s">
        <v>36</v>
      </c>
      <c r="E1794" s="19" t="s">
        <v>36</v>
      </c>
      <c r="F1794" s="19" t="s">
        <v>36</v>
      </c>
      <c r="G1794" s="15" t="s">
        <v>683</v>
      </c>
      <c r="H1794" s="14">
        <v>99.08</v>
      </c>
      <c r="I1794" s="18">
        <v>27.99</v>
      </c>
      <c r="J1794" s="12" t="s">
        <v>521</v>
      </c>
      <c r="K1794" s="13" t="s">
        <v>36</v>
      </c>
      <c r="L1794" s="15" t="s">
        <v>36</v>
      </c>
      <c r="M1794" s="12" t="s">
        <v>36</v>
      </c>
      <c r="N1794" s="12" t="s">
        <v>36</v>
      </c>
      <c r="O1794" s="17" t="s">
        <v>36</v>
      </c>
      <c r="P1794" s="12" t="s">
        <v>36</v>
      </c>
      <c r="Q1794" s="12" t="s">
        <v>36</v>
      </c>
      <c r="R1794" s="12" t="s">
        <v>36</v>
      </c>
      <c r="S1794" s="12" t="s">
        <v>36</v>
      </c>
      <c r="T1794" s="12" t="s">
        <v>2121</v>
      </c>
      <c r="U1794" s="12" t="s">
        <v>387</v>
      </c>
      <c r="V1794" s="12" t="s">
        <v>367</v>
      </c>
      <c r="W1794" s="12" t="s">
        <v>10333</v>
      </c>
      <c r="X1794" s="16" t="s">
        <v>10334</v>
      </c>
      <c r="Y1794" s="15" t="s">
        <v>55</v>
      </c>
      <c r="Z1794" s="14">
        <v>24.15</v>
      </c>
      <c r="AA1794" s="14">
        <v>86.29</v>
      </c>
      <c r="AB1794" s="12" t="s">
        <v>43</v>
      </c>
      <c r="AC1794" s="12" t="s">
        <v>10335</v>
      </c>
      <c r="AD1794" s="13">
        <v>44855</v>
      </c>
      <c r="AE1794" s="12" t="s">
        <v>391</v>
      </c>
      <c r="AF1794" s="12" t="s">
        <v>871</v>
      </c>
      <c r="AG1794" s="12" t="s">
        <v>81</v>
      </c>
      <c r="AH1794" s="1">
        <f>HYPERLINK("https://my.pitchbook.com?c=211210-21T","View Company Online")</f>
      </c>
    </row>
    <row r="1795">
      <c r="A1795" s="3" t="s">
        <v>10336</v>
      </c>
      <c r="B1795" s="3" t="s">
        <v>10337</v>
      </c>
      <c r="C1795" s="5" t="s">
        <v>36</v>
      </c>
      <c r="D1795" s="5" t="s">
        <v>36</v>
      </c>
      <c r="E1795" s="5" t="s">
        <v>36</v>
      </c>
      <c r="F1795" s="5" t="s">
        <v>36</v>
      </c>
      <c r="G1795" s="6" t="s">
        <v>326</v>
      </c>
      <c r="H1795" s="4" t="s">
        <v>36</v>
      </c>
      <c r="I1795" s="7">
        <v>34.51</v>
      </c>
      <c r="J1795" s="3" t="s">
        <v>327</v>
      </c>
      <c r="K1795" s="9" t="s">
        <v>36</v>
      </c>
      <c r="L1795" s="6" t="s">
        <v>36</v>
      </c>
      <c r="M1795" s="3" t="s">
        <v>36</v>
      </c>
      <c r="N1795" s="3" t="s">
        <v>36</v>
      </c>
      <c r="O1795" s="8" t="s">
        <v>36</v>
      </c>
      <c r="P1795" s="3" t="s">
        <v>36</v>
      </c>
      <c r="Q1795" s="3" t="s">
        <v>36</v>
      </c>
      <c r="R1795" s="3" t="s">
        <v>36</v>
      </c>
      <c r="S1795" s="3" t="s">
        <v>36</v>
      </c>
      <c r="T1795" s="3" t="s">
        <v>10338</v>
      </c>
      <c r="U1795" s="3" t="s">
        <v>648</v>
      </c>
      <c r="V1795" s="3" t="s">
        <v>64</v>
      </c>
      <c r="W1795" s="3" t="s">
        <v>10339</v>
      </c>
      <c r="X1795" s="10" t="s">
        <v>10340</v>
      </c>
      <c r="Y1795" s="6" t="s">
        <v>55</v>
      </c>
      <c r="Z1795" s="4">
        <v>5.86</v>
      </c>
      <c r="AA1795" s="4">
        <v>16.99</v>
      </c>
      <c r="AB1795" s="3" t="s">
        <v>43</v>
      </c>
      <c r="AC1795" s="3" t="s">
        <v>10341</v>
      </c>
      <c r="AD1795" s="9">
        <v>44854</v>
      </c>
      <c r="AE1795" s="3" t="s">
        <v>651</v>
      </c>
      <c r="AF1795" s="3" t="s">
        <v>2363</v>
      </c>
      <c r="AG1795" s="3" t="s">
        <v>10342</v>
      </c>
      <c r="AH1795" s="11">
        <f>HYPERLINK("https://my.pitchbook.com?c=206625-52T","View Company Online")</f>
      </c>
    </row>
    <row r="1796">
      <c r="A1796" s="12" t="s">
        <v>10343</v>
      </c>
      <c r="B1796" s="12" t="s">
        <v>10344</v>
      </c>
      <c r="C1796" s="19">
        <v>1</v>
      </c>
      <c r="D1796" s="19">
        <v>6</v>
      </c>
      <c r="E1796" s="19">
        <v>4</v>
      </c>
      <c r="F1796" s="19">
        <v>7</v>
      </c>
      <c r="G1796" s="15" t="s">
        <v>36</v>
      </c>
      <c r="H1796" s="14" t="s">
        <v>36</v>
      </c>
      <c r="I1796" s="18" t="s">
        <v>36</v>
      </c>
      <c r="J1796" s="12" t="s">
        <v>36</v>
      </c>
      <c r="K1796" s="13" t="s">
        <v>36</v>
      </c>
      <c r="L1796" s="15" t="s">
        <v>122</v>
      </c>
      <c r="M1796" s="12" t="s">
        <v>36</v>
      </c>
      <c r="N1796" s="12" t="s">
        <v>122</v>
      </c>
      <c r="O1796" s="17" t="s">
        <v>36</v>
      </c>
      <c r="P1796" s="12" t="s">
        <v>36</v>
      </c>
      <c r="Q1796" s="12" t="s">
        <v>36</v>
      </c>
      <c r="R1796" s="12" t="s">
        <v>36</v>
      </c>
      <c r="S1796" s="12" t="s">
        <v>36</v>
      </c>
      <c r="T1796" s="12" t="s">
        <v>10345</v>
      </c>
      <c r="U1796" s="12" t="s">
        <v>289</v>
      </c>
      <c r="V1796" s="12" t="s">
        <v>64</v>
      </c>
      <c r="W1796" s="12" t="s">
        <v>10346</v>
      </c>
      <c r="X1796" s="16" t="s">
        <v>10347</v>
      </c>
      <c r="Y1796" s="15" t="s">
        <v>192</v>
      </c>
      <c r="Z1796" s="14">
        <v>8.79</v>
      </c>
      <c r="AA1796" s="14" t="s">
        <v>36</v>
      </c>
      <c r="AB1796" s="12" t="s">
        <v>43</v>
      </c>
      <c r="AC1796" s="12" t="s">
        <v>10348</v>
      </c>
      <c r="AD1796" s="13">
        <v>44854</v>
      </c>
      <c r="AE1796" s="12" t="s">
        <v>9563</v>
      </c>
      <c r="AF1796" s="12" t="s">
        <v>275</v>
      </c>
      <c r="AG1796" s="12" t="s">
        <v>3115</v>
      </c>
      <c r="AH1796" s="1">
        <f>HYPERLINK("https://my.pitchbook.com?c=188651-98T","View Company Online")</f>
      </c>
    </row>
    <row r="1797">
      <c r="A1797" s="3" t="s">
        <v>10349</v>
      </c>
      <c r="B1797" s="3" t="s">
        <v>10350</v>
      </c>
      <c r="C1797" s="5">
        <v>17</v>
      </c>
      <c r="D1797" s="5">
        <v>28</v>
      </c>
      <c r="E1797" s="5">
        <v>21</v>
      </c>
      <c r="F1797" s="5">
        <v>61</v>
      </c>
      <c r="G1797" s="6" t="s">
        <v>2497</v>
      </c>
      <c r="H1797" s="4">
        <v>3.43</v>
      </c>
      <c r="I1797" s="7">
        <v>34.53</v>
      </c>
      <c r="J1797" s="3" t="s">
        <v>521</v>
      </c>
      <c r="K1797" s="9">
        <v>44700</v>
      </c>
      <c r="L1797" s="6" t="s">
        <v>36</v>
      </c>
      <c r="M1797" s="3" t="s">
        <v>36</v>
      </c>
      <c r="N1797" s="3" t="s">
        <v>36</v>
      </c>
      <c r="O1797" s="8" t="s">
        <v>36</v>
      </c>
      <c r="P1797" s="3" t="s">
        <v>36</v>
      </c>
      <c r="Q1797" s="3" t="s">
        <v>36</v>
      </c>
      <c r="R1797" s="3" t="s">
        <v>36</v>
      </c>
      <c r="S1797" s="3" t="s">
        <v>36</v>
      </c>
      <c r="T1797" s="3" t="s">
        <v>10351</v>
      </c>
      <c r="U1797" s="3" t="s">
        <v>38</v>
      </c>
      <c r="V1797" s="3" t="s">
        <v>39</v>
      </c>
      <c r="W1797" s="3" t="s">
        <v>10352</v>
      </c>
      <c r="X1797" s="10" t="s">
        <v>10353</v>
      </c>
      <c r="Y1797" s="6" t="s">
        <v>108</v>
      </c>
      <c r="Z1797" s="4">
        <v>21.49</v>
      </c>
      <c r="AA1797" s="4">
        <v>58.67</v>
      </c>
      <c r="AB1797" s="3" t="s">
        <v>43</v>
      </c>
      <c r="AC1797" s="3" t="s">
        <v>10354</v>
      </c>
      <c r="AD1797" s="9">
        <v>44854</v>
      </c>
      <c r="AE1797" s="3" t="s">
        <v>110</v>
      </c>
      <c r="AF1797" s="3" t="s">
        <v>4605</v>
      </c>
      <c r="AG1797" s="3" t="s">
        <v>81</v>
      </c>
      <c r="AH1797" s="11">
        <f>HYPERLINK("https://my.pitchbook.com?c=194597-11T","View Company Online")</f>
      </c>
    </row>
    <row r="1798">
      <c r="A1798" s="12" t="s">
        <v>10355</v>
      </c>
      <c r="B1798" s="12" t="s">
        <v>824</v>
      </c>
      <c r="C1798" s="19" t="s">
        <v>36</v>
      </c>
      <c r="D1798" s="19" t="s">
        <v>36</v>
      </c>
      <c r="E1798" s="19" t="s">
        <v>36</v>
      </c>
      <c r="F1798" s="19" t="s">
        <v>36</v>
      </c>
      <c r="G1798" s="15" t="s">
        <v>36</v>
      </c>
      <c r="H1798" s="14" t="s">
        <v>36</v>
      </c>
      <c r="I1798" s="18" t="s">
        <v>36</v>
      </c>
      <c r="J1798" s="12" t="s">
        <v>36</v>
      </c>
      <c r="K1798" s="13" t="s">
        <v>36</v>
      </c>
      <c r="L1798" s="15" t="s">
        <v>1862</v>
      </c>
      <c r="M1798" s="12" t="s">
        <v>36</v>
      </c>
      <c r="N1798" s="12" t="s">
        <v>1862</v>
      </c>
      <c r="O1798" s="17" t="s">
        <v>36</v>
      </c>
      <c r="P1798" s="12" t="s">
        <v>36</v>
      </c>
      <c r="Q1798" s="12" t="s">
        <v>36</v>
      </c>
      <c r="R1798" s="12" t="s">
        <v>36</v>
      </c>
      <c r="S1798" s="12" t="s">
        <v>825</v>
      </c>
      <c r="T1798" s="12" t="s">
        <v>507</v>
      </c>
      <c r="U1798" s="12" t="s">
        <v>51</v>
      </c>
      <c r="V1798" s="12" t="s">
        <v>52</v>
      </c>
      <c r="W1798" s="12" t="s">
        <v>826</v>
      </c>
      <c r="X1798" s="16" t="s">
        <v>10356</v>
      </c>
      <c r="Y1798" s="15" t="s">
        <v>192</v>
      </c>
      <c r="Z1798" s="14">
        <v>19.56</v>
      </c>
      <c r="AA1798" s="14" t="s">
        <v>36</v>
      </c>
      <c r="AB1798" s="12" t="s">
        <v>43</v>
      </c>
      <c r="AC1798" s="12" t="s">
        <v>828</v>
      </c>
      <c r="AD1798" s="13">
        <v>44853</v>
      </c>
      <c r="AE1798" s="12" t="s">
        <v>504</v>
      </c>
      <c r="AF1798" s="12" t="s">
        <v>829</v>
      </c>
      <c r="AG1798" s="12" t="s">
        <v>81</v>
      </c>
      <c r="AH1798" s="1">
        <f>HYPERLINK("https://my.pitchbook.com?c=255885-49T","View Company Online")</f>
      </c>
    </row>
    <row r="1799">
      <c r="A1799" s="3" t="s">
        <v>10357</v>
      </c>
      <c r="B1799" s="3" t="s">
        <v>6640</v>
      </c>
      <c r="C1799" s="5">
        <v>42</v>
      </c>
      <c r="D1799" s="5">
        <v>54</v>
      </c>
      <c r="E1799" s="5">
        <v>49</v>
      </c>
      <c r="F1799" s="5">
        <v>99</v>
      </c>
      <c r="G1799" s="6" t="s">
        <v>326</v>
      </c>
      <c r="H1799" s="4">
        <v>1383.98</v>
      </c>
      <c r="I1799" s="7">
        <v>14.69</v>
      </c>
      <c r="J1799" s="3" t="s">
        <v>521</v>
      </c>
      <c r="K1799" s="9" t="s">
        <v>36</v>
      </c>
      <c r="L1799" s="6" t="s">
        <v>36</v>
      </c>
      <c r="M1799" s="3" t="s">
        <v>36</v>
      </c>
      <c r="N1799" s="3" t="s">
        <v>36</v>
      </c>
      <c r="O1799" s="8" t="s">
        <v>36</v>
      </c>
      <c r="P1799" s="3" t="s">
        <v>36</v>
      </c>
      <c r="Q1799" s="3" t="s">
        <v>36</v>
      </c>
      <c r="R1799" s="3" t="s">
        <v>36</v>
      </c>
      <c r="S1799" s="3" t="s">
        <v>36</v>
      </c>
      <c r="T1799" s="3" t="s">
        <v>596</v>
      </c>
      <c r="U1799" s="3" t="s">
        <v>366</v>
      </c>
      <c r="V1799" s="3" t="s">
        <v>367</v>
      </c>
      <c r="W1799" s="3" t="s">
        <v>6641</v>
      </c>
      <c r="X1799" s="10" t="s">
        <v>10358</v>
      </c>
      <c r="Y1799" s="6" t="s">
        <v>166</v>
      </c>
      <c r="Z1799" s="4">
        <v>19.56</v>
      </c>
      <c r="AA1799" s="4">
        <v>133.18</v>
      </c>
      <c r="AB1799" s="3" t="s">
        <v>56</v>
      </c>
      <c r="AC1799" s="3" t="s">
        <v>6643</v>
      </c>
      <c r="AD1799" s="9">
        <v>44853</v>
      </c>
      <c r="AE1799" s="3" t="s">
        <v>600</v>
      </c>
      <c r="AF1799" s="3" t="s">
        <v>703</v>
      </c>
      <c r="AG1799" s="3" t="s">
        <v>6644</v>
      </c>
      <c r="AH1799" s="11">
        <f>HYPERLINK("https://my.pitchbook.com?c=215736-67T","View Company Online")</f>
      </c>
    </row>
    <row r="1800">
      <c r="A1800" s="12" t="s">
        <v>10359</v>
      </c>
      <c r="B1800" s="12" t="s">
        <v>10360</v>
      </c>
      <c r="C1800" s="19">
        <v>13</v>
      </c>
      <c r="D1800" s="19">
        <v>13</v>
      </c>
      <c r="E1800" s="19">
        <v>10</v>
      </c>
      <c r="F1800" s="19">
        <v>28</v>
      </c>
      <c r="G1800" s="15" t="s">
        <v>326</v>
      </c>
      <c r="H1800" s="14">
        <v>6.49</v>
      </c>
      <c r="I1800" s="18">
        <v>24.23</v>
      </c>
      <c r="J1800" s="12" t="s">
        <v>521</v>
      </c>
      <c r="K1800" s="13" t="s">
        <v>36</v>
      </c>
      <c r="L1800" s="15" t="s">
        <v>122</v>
      </c>
      <c r="M1800" s="12" t="s">
        <v>36</v>
      </c>
      <c r="N1800" s="12" t="s">
        <v>122</v>
      </c>
      <c r="O1800" s="17" t="s">
        <v>36</v>
      </c>
      <c r="P1800" s="12" t="s">
        <v>36</v>
      </c>
      <c r="Q1800" s="12" t="s">
        <v>36</v>
      </c>
      <c r="R1800" s="12" t="s">
        <v>36</v>
      </c>
      <c r="S1800" s="12" t="s">
        <v>36</v>
      </c>
      <c r="T1800" s="12" t="s">
        <v>596</v>
      </c>
      <c r="U1800" s="12" t="s">
        <v>366</v>
      </c>
      <c r="V1800" s="12" t="s">
        <v>367</v>
      </c>
      <c r="W1800" s="12" t="s">
        <v>10361</v>
      </c>
      <c r="X1800" s="16" t="s">
        <v>10362</v>
      </c>
      <c r="Y1800" s="15" t="s">
        <v>42</v>
      </c>
      <c r="Z1800" s="14">
        <v>5.38</v>
      </c>
      <c r="AA1800" s="14">
        <v>18.17</v>
      </c>
      <c r="AB1800" s="12" t="s">
        <v>56</v>
      </c>
      <c r="AC1800" s="12" t="s">
        <v>10363</v>
      </c>
      <c r="AD1800" s="13">
        <v>44852</v>
      </c>
      <c r="AE1800" s="12" t="s">
        <v>600</v>
      </c>
      <c r="AF1800" s="12" t="s">
        <v>10364</v>
      </c>
      <c r="AG1800" s="12" t="s">
        <v>10365</v>
      </c>
      <c r="AH1800" s="1">
        <f>HYPERLINK("https://my.pitchbook.com?c=206732-71T","View Company Online")</f>
      </c>
    </row>
    <row r="1801">
      <c r="A1801" s="3" t="s">
        <v>10366</v>
      </c>
      <c r="B1801" s="3" t="s">
        <v>3629</v>
      </c>
      <c r="C1801" s="5" t="s">
        <v>36</v>
      </c>
      <c r="D1801" s="5" t="s">
        <v>36</v>
      </c>
      <c r="E1801" s="5" t="s">
        <v>36</v>
      </c>
      <c r="F1801" s="5" t="s">
        <v>36</v>
      </c>
      <c r="G1801" s="6" t="s">
        <v>36</v>
      </c>
      <c r="H1801" s="4">
        <v>1399.33</v>
      </c>
      <c r="I1801" s="7">
        <v>28.83</v>
      </c>
      <c r="J1801" s="3" t="s">
        <v>521</v>
      </c>
      <c r="K1801" s="9" t="s">
        <v>36</v>
      </c>
      <c r="L1801" s="6" t="s">
        <v>36</v>
      </c>
      <c r="M1801" s="3" t="s">
        <v>36</v>
      </c>
      <c r="N1801" s="3" t="s">
        <v>36</v>
      </c>
      <c r="O1801" s="8" t="s">
        <v>36</v>
      </c>
      <c r="P1801" s="3" t="s">
        <v>36</v>
      </c>
      <c r="Q1801" s="3" t="s">
        <v>36</v>
      </c>
      <c r="R1801" s="3" t="s">
        <v>36</v>
      </c>
      <c r="S1801" s="3" t="s">
        <v>36</v>
      </c>
      <c r="T1801" s="3" t="s">
        <v>3630</v>
      </c>
      <c r="U1801" s="3" t="s">
        <v>38</v>
      </c>
      <c r="V1801" s="3" t="s">
        <v>39</v>
      </c>
      <c r="W1801" s="3" t="s">
        <v>3631</v>
      </c>
      <c r="X1801" s="10" t="s">
        <v>10367</v>
      </c>
      <c r="Y1801" s="6" t="s">
        <v>42</v>
      </c>
      <c r="Z1801" s="4">
        <v>5.34</v>
      </c>
      <c r="AA1801" s="4">
        <v>18.52</v>
      </c>
      <c r="AB1801" s="3" t="s">
        <v>43</v>
      </c>
      <c r="AC1801" s="3" t="s">
        <v>3633</v>
      </c>
      <c r="AD1801" s="9">
        <v>44852</v>
      </c>
      <c r="AE1801" s="3" t="s">
        <v>45</v>
      </c>
      <c r="AF1801" s="3" t="s">
        <v>46</v>
      </c>
      <c r="AG1801" s="3" t="s">
        <v>81</v>
      </c>
      <c r="AH1801" s="11">
        <f>HYPERLINK("https://my.pitchbook.com?c=206480-35T","View Company Online")</f>
      </c>
    </row>
    <row r="1802">
      <c r="A1802" s="12" t="s">
        <v>10368</v>
      </c>
      <c r="B1802" s="12" t="s">
        <v>10369</v>
      </c>
      <c r="C1802" s="19" t="s">
        <v>36</v>
      </c>
      <c r="D1802" s="19" t="s">
        <v>36</v>
      </c>
      <c r="E1802" s="19" t="s">
        <v>36</v>
      </c>
      <c r="F1802" s="19" t="s">
        <v>36</v>
      </c>
      <c r="G1802" s="15" t="s">
        <v>326</v>
      </c>
      <c r="H1802" s="14">
        <v>102.93</v>
      </c>
      <c r="I1802" s="18">
        <v>11.79</v>
      </c>
      <c r="J1802" s="12" t="s">
        <v>521</v>
      </c>
      <c r="K1802" s="13" t="s">
        <v>36</v>
      </c>
      <c r="L1802" s="15" t="s">
        <v>36</v>
      </c>
      <c r="M1802" s="12" t="s">
        <v>36</v>
      </c>
      <c r="N1802" s="12" t="s">
        <v>36</v>
      </c>
      <c r="O1802" s="17" t="s">
        <v>36</v>
      </c>
      <c r="P1802" s="12" t="s">
        <v>36</v>
      </c>
      <c r="Q1802" s="12" t="s">
        <v>36</v>
      </c>
      <c r="R1802" s="12" t="s">
        <v>36</v>
      </c>
      <c r="S1802" s="12" t="s">
        <v>36</v>
      </c>
      <c r="T1802" s="12" t="s">
        <v>10370</v>
      </c>
      <c r="U1802" s="12" t="s">
        <v>648</v>
      </c>
      <c r="V1802" s="12" t="s">
        <v>64</v>
      </c>
      <c r="W1802" s="12" t="s">
        <v>10371</v>
      </c>
      <c r="X1802" s="16" t="s">
        <v>10372</v>
      </c>
      <c r="Y1802" s="15" t="s">
        <v>108</v>
      </c>
      <c r="Z1802" s="14">
        <v>1.47</v>
      </c>
      <c r="AA1802" s="14">
        <v>12.44</v>
      </c>
      <c r="AB1802" s="12" t="s">
        <v>43</v>
      </c>
      <c r="AC1802" s="12" t="s">
        <v>10373</v>
      </c>
      <c r="AD1802" s="13">
        <v>44852</v>
      </c>
      <c r="AE1802" s="12" t="s">
        <v>651</v>
      </c>
      <c r="AF1802" s="12" t="s">
        <v>36</v>
      </c>
      <c r="AG1802" s="12" t="s">
        <v>1843</v>
      </c>
      <c r="AH1802" s="1">
        <f>HYPERLINK("https://my.pitchbook.com?c=206699-68T","View Company Online")</f>
      </c>
    </row>
    <row r="1803">
      <c r="A1803" s="3" t="s">
        <v>10374</v>
      </c>
      <c r="B1803" s="3" t="s">
        <v>10375</v>
      </c>
      <c r="C1803" s="5" t="s">
        <v>36</v>
      </c>
      <c r="D1803" s="5" t="s">
        <v>36</v>
      </c>
      <c r="E1803" s="5" t="s">
        <v>36</v>
      </c>
      <c r="F1803" s="5" t="s">
        <v>36</v>
      </c>
      <c r="G1803" s="6" t="s">
        <v>2497</v>
      </c>
      <c r="H1803" s="4">
        <v>10.47</v>
      </c>
      <c r="I1803" s="7">
        <v>6.54</v>
      </c>
      <c r="J1803" s="3" t="s">
        <v>521</v>
      </c>
      <c r="K1803" s="9" t="s">
        <v>36</v>
      </c>
      <c r="L1803" s="6" t="s">
        <v>36</v>
      </c>
      <c r="M1803" s="3" t="s">
        <v>36</v>
      </c>
      <c r="N1803" s="3" t="s">
        <v>36</v>
      </c>
      <c r="O1803" s="8" t="s">
        <v>36</v>
      </c>
      <c r="P1803" s="3" t="s">
        <v>36</v>
      </c>
      <c r="Q1803" s="3" t="s">
        <v>36</v>
      </c>
      <c r="R1803" s="3" t="s">
        <v>36</v>
      </c>
      <c r="S1803" s="3" t="s">
        <v>36</v>
      </c>
      <c r="T1803" s="3" t="s">
        <v>2213</v>
      </c>
      <c r="U1803" s="3" t="s">
        <v>219</v>
      </c>
      <c r="V1803" s="3" t="s">
        <v>75</v>
      </c>
      <c r="W1803" s="3" t="s">
        <v>10376</v>
      </c>
      <c r="X1803" s="10" t="s">
        <v>10377</v>
      </c>
      <c r="Y1803" s="6" t="s">
        <v>55</v>
      </c>
      <c r="Z1803" s="4">
        <v>0.2</v>
      </c>
      <c r="AA1803" s="4">
        <v>3.09</v>
      </c>
      <c r="AB1803" s="3" t="s">
        <v>56</v>
      </c>
      <c r="AC1803" s="3" t="s">
        <v>10378</v>
      </c>
      <c r="AD1803" s="9">
        <v>44851</v>
      </c>
      <c r="AE1803" s="3" t="s">
        <v>1912</v>
      </c>
      <c r="AF1803" s="3" t="s">
        <v>10379</v>
      </c>
      <c r="AG1803" s="3" t="s">
        <v>3406</v>
      </c>
      <c r="AH1803" s="11">
        <f>HYPERLINK("https://my.pitchbook.com?c=211084-84T","View Company Online")</f>
      </c>
    </row>
    <row r="1804">
      <c r="A1804" s="12" t="s">
        <v>10380</v>
      </c>
      <c r="B1804" s="12" t="s">
        <v>10381</v>
      </c>
      <c r="C1804" s="19" t="s">
        <v>36</v>
      </c>
      <c r="D1804" s="19" t="s">
        <v>36</v>
      </c>
      <c r="E1804" s="19" t="s">
        <v>36</v>
      </c>
      <c r="F1804" s="19" t="s">
        <v>36</v>
      </c>
      <c r="G1804" s="15" t="s">
        <v>36</v>
      </c>
      <c r="H1804" s="14" t="s">
        <v>36</v>
      </c>
      <c r="I1804" s="18">
        <v>16.88</v>
      </c>
      <c r="J1804" s="12" t="s">
        <v>327</v>
      </c>
      <c r="K1804" s="13" t="s">
        <v>36</v>
      </c>
      <c r="L1804" s="15" t="s">
        <v>36</v>
      </c>
      <c r="M1804" s="12" t="s">
        <v>36</v>
      </c>
      <c r="N1804" s="12" t="s">
        <v>36</v>
      </c>
      <c r="O1804" s="17" t="s">
        <v>36</v>
      </c>
      <c r="P1804" s="12" t="s">
        <v>36</v>
      </c>
      <c r="Q1804" s="12" t="s">
        <v>36</v>
      </c>
      <c r="R1804" s="12" t="s">
        <v>36</v>
      </c>
      <c r="S1804" s="12" t="s">
        <v>36</v>
      </c>
      <c r="T1804" s="12" t="s">
        <v>522</v>
      </c>
      <c r="U1804" s="12" t="s">
        <v>38</v>
      </c>
      <c r="V1804" s="12" t="s">
        <v>39</v>
      </c>
      <c r="W1804" s="12" t="s">
        <v>10382</v>
      </c>
      <c r="X1804" s="16" t="s">
        <v>10383</v>
      </c>
      <c r="Y1804" s="15" t="s">
        <v>42</v>
      </c>
      <c r="Z1804" s="14">
        <v>0.98</v>
      </c>
      <c r="AA1804" s="14">
        <v>4.93</v>
      </c>
      <c r="AB1804" s="12" t="s">
        <v>43</v>
      </c>
      <c r="AC1804" s="12" t="s">
        <v>10384</v>
      </c>
      <c r="AD1804" s="13">
        <v>44851</v>
      </c>
      <c r="AE1804" s="12" t="s">
        <v>110</v>
      </c>
      <c r="AF1804" s="12" t="s">
        <v>176</v>
      </c>
      <c r="AG1804" s="12" t="s">
        <v>10385</v>
      </c>
      <c r="AH1804" s="1">
        <f>HYPERLINK("https://my.pitchbook.com?c=206369-29T","View Company Online")</f>
      </c>
    </row>
    <row r="1805">
      <c r="A1805" s="3" t="s">
        <v>10386</v>
      </c>
      <c r="B1805" s="3" t="s">
        <v>10387</v>
      </c>
      <c r="C1805" s="5">
        <v>15</v>
      </c>
      <c r="D1805" s="5">
        <v>78</v>
      </c>
      <c r="E1805" s="5">
        <v>19</v>
      </c>
      <c r="F1805" s="5">
        <v>97</v>
      </c>
      <c r="G1805" s="6" t="s">
        <v>326</v>
      </c>
      <c r="H1805" s="4">
        <v>253.31</v>
      </c>
      <c r="I1805" s="7">
        <v>6.52</v>
      </c>
      <c r="J1805" s="3" t="s">
        <v>521</v>
      </c>
      <c r="K1805" s="9" t="s">
        <v>36</v>
      </c>
      <c r="L1805" s="6" t="s">
        <v>36</v>
      </c>
      <c r="M1805" s="3" t="s">
        <v>36</v>
      </c>
      <c r="N1805" s="3" t="s">
        <v>36</v>
      </c>
      <c r="O1805" s="8" t="s">
        <v>36</v>
      </c>
      <c r="P1805" s="3" t="s">
        <v>36</v>
      </c>
      <c r="Q1805" s="3" t="s">
        <v>36</v>
      </c>
      <c r="R1805" s="3" t="s">
        <v>36</v>
      </c>
      <c r="S1805" s="3" t="s">
        <v>36</v>
      </c>
      <c r="T1805" s="3" t="s">
        <v>10388</v>
      </c>
      <c r="U1805" s="3" t="s">
        <v>1357</v>
      </c>
      <c r="V1805" s="3" t="s">
        <v>52</v>
      </c>
      <c r="W1805" s="3" t="s">
        <v>10389</v>
      </c>
      <c r="X1805" s="10" t="s">
        <v>10390</v>
      </c>
      <c r="Y1805" s="6" t="s">
        <v>321</v>
      </c>
      <c r="Z1805" s="4">
        <v>10.96</v>
      </c>
      <c r="AA1805" s="4">
        <v>168.01</v>
      </c>
      <c r="AB1805" s="3" t="s">
        <v>56</v>
      </c>
      <c r="AC1805" s="3" t="s">
        <v>10391</v>
      </c>
      <c r="AD1805" s="9">
        <v>44851</v>
      </c>
      <c r="AE1805" s="3" t="s">
        <v>10392</v>
      </c>
      <c r="AF1805" s="3" t="s">
        <v>159</v>
      </c>
      <c r="AG1805" s="3" t="s">
        <v>10393</v>
      </c>
      <c r="AH1805" s="11">
        <f>HYPERLINK("https://my.pitchbook.com?c=241701-58T","View Company Online")</f>
      </c>
    </row>
    <row r="1806">
      <c r="A1806" s="12" t="s">
        <v>10394</v>
      </c>
      <c r="B1806" s="12" t="s">
        <v>10395</v>
      </c>
      <c r="C1806" s="19">
        <v>9</v>
      </c>
      <c r="D1806" s="19">
        <v>8</v>
      </c>
      <c r="E1806" s="19">
        <v>5</v>
      </c>
      <c r="F1806" s="19">
        <v>17</v>
      </c>
      <c r="G1806" s="15" t="s">
        <v>36</v>
      </c>
      <c r="H1806" s="14">
        <v>91.32</v>
      </c>
      <c r="I1806" s="18">
        <v>40.7</v>
      </c>
      <c r="J1806" s="12" t="s">
        <v>521</v>
      </c>
      <c r="K1806" s="13" t="s">
        <v>36</v>
      </c>
      <c r="L1806" s="15" t="s">
        <v>36</v>
      </c>
      <c r="M1806" s="12" t="s">
        <v>36</v>
      </c>
      <c r="N1806" s="12" t="s">
        <v>36</v>
      </c>
      <c r="O1806" s="17" t="s">
        <v>36</v>
      </c>
      <c r="P1806" s="12" t="s">
        <v>36</v>
      </c>
      <c r="Q1806" s="12" t="s">
        <v>36</v>
      </c>
      <c r="R1806" s="12" t="s">
        <v>36</v>
      </c>
      <c r="S1806" s="12" t="s">
        <v>36</v>
      </c>
      <c r="T1806" s="12" t="s">
        <v>3790</v>
      </c>
      <c r="U1806" s="12" t="s">
        <v>318</v>
      </c>
      <c r="V1806" s="12" t="s">
        <v>39</v>
      </c>
      <c r="W1806" s="12" t="s">
        <v>10396</v>
      </c>
      <c r="X1806" s="16" t="s">
        <v>10397</v>
      </c>
      <c r="Y1806" s="15" t="s">
        <v>42</v>
      </c>
      <c r="Z1806" s="14">
        <v>3.43</v>
      </c>
      <c r="AA1806" s="14">
        <v>8.42</v>
      </c>
      <c r="AB1806" s="12" t="s">
        <v>43</v>
      </c>
      <c r="AC1806" s="12" t="s">
        <v>10398</v>
      </c>
      <c r="AD1806" s="13">
        <v>44851</v>
      </c>
      <c r="AE1806" s="12" t="s">
        <v>763</v>
      </c>
      <c r="AF1806" s="12" t="s">
        <v>36</v>
      </c>
      <c r="AG1806" s="12" t="s">
        <v>969</v>
      </c>
      <c r="AH1806" s="1">
        <f>HYPERLINK("https://my.pitchbook.com?c=206324-74T","View Company Online")</f>
      </c>
    </row>
    <row r="1807">
      <c r="A1807" s="3" t="s">
        <v>10399</v>
      </c>
      <c r="B1807" s="3" t="s">
        <v>10400</v>
      </c>
      <c r="C1807" s="5" t="s">
        <v>36</v>
      </c>
      <c r="D1807" s="5" t="s">
        <v>36</v>
      </c>
      <c r="E1807" s="5" t="s">
        <v>36</v>
      </c>
      <c r="F1807" s="5" t="s">
        <v>36</v>
      </c>
      <c r="G1807" s="6" t="s">
        <v>36</v>
      </c>
      <c r="H1807" s="4" t="s">
        <v>36</v>
      </c>
      <c r="I1807" s="7" t="s">
        <v>36</v>
      </c>
      <c r="J1807" s="3" t="s">
        <v>36</v>
      </c>
      <c r="K1807" s="9" t="s">
        <v>36</v>
      </c>
      <c r="L1807" s="6" t="s">
        <v>36</v>
      </c>
      <c r="M1807" s="3" t="s">
        <v>36</v>
      </c>
      <c r="N1807" s="3" t="s">
        <v>36</v>
      </c>
      <c r="O1807" s="8" t="s">
        <v>36</v>
      </c>
      <c r="P1807" s="3" t="s">
        <v>36</v>
      </c>
      <c r="Q1807" s="3" t="s">
        <v>36</v>
      </c>
      <c r="R1807" s="3" t="s">
        <v>36</v>
      </c>
      <c r="S1807" s="3" t="s">
        <v>36</v>
      </c>
      <c r="T1807" s="3" t="s">
        <v>1125</v>
      </c>
      <c r="U1807" s="3" t="s">
        <v>74</v>
      </c>
      <c r="V1807" s="3" t="s">
        <v>75</v>
      </c>
      <c r="W1807" s="3" t="s">
        <v>10401</v>
      </c>
      <c r="X1807" s="10" t="s">
        <v>10402</v>
      </c>
      <c r="Y1807" s="6" t="s">
        <v>42</v>
      </c>
      <c r="Z1807" s="4">
        <v>6.86</v>
      </c>
      <c r="AA1807" s="4" t="s">
        <v>36</v>
      </c>
      <c r="AB1807" s="3" t="s">
        <v>43</v>
      </c>
      <c r="AC1807" s="3" t="s">
        <v>10403</v>
      </c>
      <c r="AD1807" s="9">
        <v>44849</v>
      </c>
      <c r="AE1807" s="3" t="s">
        <v>975</v>
      </c>
      <c r="AF1807" s="3" t="s">
        <v>36</v>
      </c>
      <c r="AG1807" s="3" t="s">
        <v>81</v>
      </c>
      <c r="AH1807" s="11">
        <f>HYPERLINK("https://my.pitchbook.com?c=206232-67T","View Company Online")</f>
      </c>
    </row>
    <row r="1808">
      <c r="A1808" s="12" t="s">
        <v>10404</v>
      </c>
      <c r="B1808" s="12" t="s">
        <v>4989</v>
      </c>
      <c r="C1808" s="19">
        <v>2</v>
      </c>
      <c r="D1808" s="19">
        <v>2</v>
      </c>
      <c r="E1808" s="19">
        <v>4</v>
      </c>
      <c r="F1808" s="19">
        <v>5</v>
      </c>
      <c r="G1808" s="15" t="s">
        <v>36</v>
      </c>
      <c r="H1808" s="14" t="s">
        <v>36</v>
      </c>
      <c r="I1808" s="18" t="s">
        <v>36</v>
      </c>
      <c r="J1808" s="12" t="s">
        <v>521</v>
      </c>
      <c r="K1808" s="13">
        <v>44741</v>
      </c>
      <c r="L1808" s="15" t="s">
        <v>36</v>
      </c>
      <c r="M1808" s="12" t="s">
        <v>36</v>
      </c>
      <c r="N1808" s="12" t="s">
        <v>36</v>
      </c>
      <c r="O1808" s="17" t="s">
        <v>36</v>
      </c>
      <c r="P1808" s="12" t="s">
        <v>36</v>
      </c>
      <c r="Q1808" s="12" t="s">
        <v>36</v>
      </c>
      <c r="R1808" s="12" t="s">
        <v>36</v>
      </c>
      <c r="S1808" s="12" t="s">
        <v>4990</v>
      </c>
      <c r="T1808" s="12" t="s">
        <v>1188</v>
      </c>
      <c r="U1808" s="12" t="s">
        <v>180</v>
      </c>
      <c r="V1808" s="12" t="s">
        <v>52</v>
      </c>
      <c r="W1808" s="12" t="s">
        <v>4991</v>
      </c>
      <c r="X1808" s="16" t="s">
        <v>10405</v>
      </c>
      <c r="Y1808" s="15" t="s">
        <v>42</v>
      </c>
      <c r="Z1808" s="14">
        <v>1.41</v>
      </c>
      <c r="AA1808" s="14">
        <v>7.56</v>
      </c>
      <c r="AB1808" s="12" t="s">
        <v>43</v>
      </c>
      <c r="AC1808" s="12" t="s">
        <v>4993</v>
      </c>
      <c r="AD1808" s="13">
        <v>44848</v>
      </c>
      <c r="AE1808" s="12" t="s">
        <v>1192</v>
      </c>
      <c r="AF1808" s="12" t="s">
        <v>4994</v>
      </c>
      <c r="AG1808" s="12" t="s">
        <v>81</v>
      </c>
      <c r="AH1808" s="1">
        <f>HYPERLINK("https://my.pitchbook.com?c=208467-64T","View Company Online")</f>
      </c>
    </row>
    <row r="1809">
      <c r="A1809" s="3" t="s">
        <v>10406</v>
      </c>
      <c r="B1809" s="3" t="s">
        <v>10407</v>
      </c>
      <c r="C1809" s="5">
        <v>3</v>
      </c>
      <c r="D1809" s="5">
        <v>2</v>
      </c>
      <c r="E1809" s="5">
        <v>1</v>
      </c>
      <c r="F1809" s="5">
        <v>5</v>
      </c>
      <c r="G1809" s="6" t="s">
        <v>326</v>
      </c>
      <c r="H1809" s="4">
        <v>880.64</v>
      </c>
      <c r="I1809" s="7">
        <v>33.59</v>
      </c>
      <c r="J1809" s="3" t="s">
        <v>521</v>
      </c>
      <c r="K1809" s="9" t="s">
        <v>36</v>
      </c>
      <c r="L1809" s="6" t="s">
        <v>122</v>
      </c>
      <c r="M1809" s="3" t="s">
        <v>36</v>
      </c>
      <c r="N1809" s="3" t="s">
        <v>122</v>
      </c>
      <c r="O1809" s="8" t="s">
        <v>36</v>
      </c>
      <c r="P1809" s="3" t="s">
        <v>36</v>
      </c>
      <c r="Q1809" s="3" t="s">
        <v>36</v>
      </c>
      <c r="R1809" s="3" t="s">
        <v>36</v>
      </c>
      <c r="S1809" s="3" t="s">
        <v>36</v>
      </c>
      <c r="T1809" s="3" t="s">
        <v>529</v>
      </c>
      <c r="U1809" s="3" t="s">
        <v>38</v>
      </c>
      <c r="V1809" s="3" t="s">
        <v>39</v>
      </c>
      <c r="W1809" s="3" t="s">
        <v>10408</v>
      </c>
      <c r="X1809" s="10" t="s">
        <v>10409</v>
      </c>
      <c r="Y1809" s="6" t="s">
        <v>108</v>
      </c>
      <c r="Z1809" s="4">
        <v>11.77</v>
      </c>
      <c r="AA1809" s="4">
        <v>17.52</v>
      </c>
      <c r="AB1809" s="3" t="s">
        <v>56</v>
      </c>
      <c r="AC1809" s="3" t="s">
        <v>10410</v>
      </c>
      <c r="AD1809" s="9">
        <v>44848</v>
      </c>
      <c r="AE1809" s="3" t="s">
        <v>134</v>
      </c>
      <c r="AF1809" s="3" t="s">
        <v>135</v>
      </c>
      <c r="AG1809" s="3" t="s">
        <v>81</v>
      </c>
      <c r="AH1809" s="11">
        <f>HYPERLINK("https://my.pitchbook.com?c=206965-45T","View Company Online")</f>
      </c>
    </row>
    <row r="1810">
      <c r="A1810" s="12" t="s">
        <v>10411</v>
      </c>
      <c r="B1810" s="12" t="s">
        <v>10412</v>
      </c>
      <c r="C1810" s="19" t="s">
        <v>36</v>
      </c>
      <c r="D1810" s="19" t="s">
        <v>36</v>
      </c>
      <c r="E1810" s="19" t="s">
        <v>36</v>
      </c>
      <c r="F1810" s="19" t="s">
        <v>36</v>
      </c>
      <c r="G1810" s="15" t="s">
        <v>36</v>
      </c>
      <c r="H1810" s="14" t="s">
        <v>36</v>
      </c>
      <c r="I1810" s="18" t="s">
        <v>36</v>
      </c>
      <c r="J1810" s="12" t="s">
        <v>36</v>
      </c>
      <c r="K1810" s="13" t="s">
        <v>36</v>
      </c>
      <c r="L1810" s="15" t="s">
        <v>36</v>
      </c>
      <c r="M1810" s="12" t="s">
        <v>36</v>
      </c>
      <c r="N1810" s="12" t="s">
        <v>36</v>
      </c>
      <c r="O1810" s="17" t="s">
        <v>36</v>
      </c>
      <c r="P1810" s="12" t="s">
        <v>36</v>
      </c>
      <c r="Q1810" s="12" t="s">
        <v>36</v>
      </c>
      <c r="R1810" s="12" t="s">
        <v>36</v>
      </c>
      <c r="S1810" s="12" t="s">
        <v>36</v>
      </c>
      <c r="T1810" s="12" t="s">
        <v>4225</v>
      </c>
      <c r="U1810" s="12" t="s">
        <v>96</v>
      </c>
      <c r="V1810" s="12" t="s">
        <v>52</v>
      </c>
      <c r="W1810" s="12" t="s">
        <v>10413</v>
      </c>
      <c r="X1810" s="16" t="s">
        <v>10414</v>
      </c>
      <c r="Y1810" s="15" t="s">
        <v>192</v>
      </c>
      <c r="Z1810" s="14">
        <v>130</v>
      </c>
      <c r="AA1810" s="14" t="s">
        <v>36</v>
      </c>
      <c r="AB1810" s="12" t="s">
        <v>56</v>
      </c>
      <c r="AC1810" s="12" t="s">
        <v>10415</v>
      </c>
      <c r="AD1810" s="13">
        <v>44848</v>
      </c>
      <c r="AE1810" s="12" t="s">
        <v>143</v>
      </c>
      <c r="AF1810" s="12" t="s">
        <v>101</v>
      </c>
      <c r="AG1810" s="12" t="s">
        <v>8596</v>
      </c>
      <c r="AH1810" s="1">
        <f>HYPERLINK("https://my.pitchbook.com?c=224826-49T","View Company Online")</f>
      </c>
    </row>
    <row r="1811">
      <c r="A1811" s="3" t="s">
        <v>10416</v>
      </c>
      <c r="B1811" s="3" t="s">
        <v>1830</v>
      </c>
      <c r="C1811" s="5">
        <v>1</v>
      </c>
      <c r="D1811" s="5">
        <v>30</v>
      </c>
      <c r="E1811" s="5">
        <v>9</v>
      </c>
      <c r="F1811" s="5">
        <v>32</v>
      </c>
      <c r="G1811" s="6" t="s">
        <v>683</v>
      </c>
      <c r="H1811" s="4">
        <v>5.08</v>
      </c>
      <c r="I1811" s="7">
        <v>21.26</v>
      </c>
      <c r="J1811" s="3" t="s">
        <v>521</v>
      </c>
      <c r="K1811" s="9" t="s">
        <v>36</v>
      </c>
      <c r="L1811" s="6" t="s">
        <v>36</v>
      </c>
      <c r="M1811" s="3" t="s">
        <v>36</v>
      </c>
      <c r="N1811" s="3" t="s">
        <v>36</v>
      </c>
      <c r="O1811" s="8" t="s">
        <v>36</v>
      </c>
      <c r="P1811" s="3" t="s">
        <v>36</v>
      </c>
      <c r="Q1811" s="3" t="s">
        <v>36</v>
      </c>
      <c r="R1811" s="3" t="s">
        <v>36</v>
      </c>
      <c r="S1811" s="3" t="s">
        <v>36</v>
      </c>
      <c r="T1811" s="3" t="s">
        <v>1831</v>
      </c>
      <c r="U1811" s="3" t="s">
        <v>387</v>
      </c>
      <c r="V1811" s="3" t="s">
        <v>367</v>
      </c>
      <c r="W1811" s="3" t="s">
        <v>1832</v>
      </c>
      <c r="X1811" s="10" t="s">
        <v>10417</v>
      </c>
      <c r="Y1811" s="6" t="s">
        <v>192</v>
      </c>
      <c r="Z1811" s="4">
        <v>2.84</v>
      </c>
      <c r="AA1811" s="4">
        <v>13.37</v>
      </c>
      <c r="AB1811" s="3" t="s">
        <v>56</v>
      </c>
      <c r="AC1811" s="3" t="s">
        <v>1834</v>
      </c>
      <c r="AD1811" s="9">
        <v>44848</v>
      </c>
      <c r="AE1811" s="3" t="s">
        <v>391</v>
      </c>
      <c r="AF1811" s="3" t="s">
        <v>982</v>
      </c>
      <c r="AG1811" s="3" t="s">
        <v>1835</v>
      </c>
      <c r="AH1811" s="11">
        <f>HYPERLINK("https://my.pitchbook.com?c=211146-40T","View Company Online")</f>
      </c>
    </row>
    <row r="1812">
      <c r="A1812" s="12" t="s">
        <v>10418</v>
      </c>
      <c r="B1812" s="12" t="s">
        <v>10419</v>
      </c>
      <c r="C1812" s="19">
        <v>1</v>
      </c>
      <c r="D1812" s="19">
        <v>14</v>
      </c>
      <c r="E1812" s="19">
        <v>6</v>
      </c>
      <c r="F1812" s="19">
        <v>15</v>
      </c>
      <c r="G1812" s="15" t="s">
        <v>36</v>
      </c>
      <c r="H1812" s="14" t="s">
        <v>36</v>
      </c>
      <c r="I1812" s="18" t="s">
        <v>36</v>
      </c>
      <c r="J1812" s="12" t="s">
        <v>36</v>
      </c>
      <c r="K1812" s="13">
        <v>44762</v>
      </c>
      <c r="L1812" s="15" t="s">
        <v>122</v>
      </c>
      <c r="M1812" s="12" t="s">
        <v>36</v>
      </c>
      <c r="N1812" s="12" t="s">
        <v>122</v>
      </c>
      <c r="O1812" s="17" t="s">
        <v>36</v>
      </c>
      <c r="P1812" s="12" t="s">
        <v>36</v>
      </c>
      <c r="Q1812" s="12" t="s">
        <v>36</v>
      </c>
      <c r="R1812" s="12" t="s">
        <v>36</v>
      </c>
      <c r="S1812" s="12" t="s">
        <v>36</v>
      </c>
      <c r="T1812" s="12" t="s">
        <v>3729</v>
      </c>
      <c r="U1812" s="12" t="s">
        <v>219</v>
      </c>
      <c r="V1812" s="12" t="s">
        <v>75</v>
      </c>
      <c r="W1812" s="12" t="s">
        <v>10420</v>
      </c>
      <c r="X1812" s="16" t="s">
        <v>10421</v>
      </c>
      <c r="Y1812" s="15" t="s">
        <v>55</v>
      </c>
      <c r="Z1812" s="14">
        <v>7.85</v>
      </c>
      <c r="AA1812" s="14" t="s">
        <v>36</v>
      </c>
      <c r="AB1812" s="12" t="s">
        <v>56</v>
      </c>
      <c r="AC1812" s="12" t="s">
        <v>10422</v>
      </c>
      <c r="AD1812" s="13">
        <v>44848</v>
      </c>
      <c r="AE1812" s="12" t="s">
        <v>1032</v>
      </c>
      <c r="AF1812" s="12" t="s">
        <v>10423</v>
      </c>
      <c r="AG1812" s="12" t="s">
        <v>10424</v>
      </c>
      <c r="AH1812" s="1">
        <f>HYPERLINK("https://my.pitchbook.com?c=202004-29T","View Company Online")</f>
      </c>
    </row>
    <row r="1813">
      <c r="A1813" s="3" t="s">
        <v>10425</v>
      </c>
      <c r="B1813" s="3" t="s">
        <v>10426</v>
      </c>
      <c r="C1813" s="5">
        <v>4</v>
      </c>
      <c r="D1813" s="5" t="s">
        <v>36</v>
      </c>
      <c r="E1813" s="5">
        <v>3</v>
      </c>
      <c r="F1813" s="5">
        <v>6</v>
      </c>
      <c r="G1813" s="6" t="s">
        <v>36</v>
      </c>
      <c r="H1813" s="4" t="s">
        <v>36</v>
      </c>
      <c r="I1813" s="7" t="s">
        <v>36</v>
      </c>
      <c r="J1813" s="3" t="s">
        <v>36</v>
      </c>
      <c r="K1813" s="9" t="s">
        <v>36</v>
      </c>
      <c r="L1813" s="6" t="s">
        <v>36</v>
      </c>
      <c r="M1813" s="3" t="s">
        <v>36</v>
      </c>
      <c r="N1813" s="3" t="s">
        <v>36</v>
      </c>
      <c r="O1813" s="8" t="s">
        <v>36</v>
      </c>
      <c r="P1813" s="3" t="s">
        <v>36</v>
      </c>
      <c r="Q1813" s="3" t="s">
        <v>36</v>
      </c>
      <c r="R1813" s="3" t="s">
        <v>36</v>
      </c>
      <c r="S1813" s="3" t="s">
        <v>36</v>
      </c>
      <c r="T1813" s="3" t="s">
        <v>1188</v>
      </c>
      <c r="U1813" s="3" t="s">
        <v>180</v>
      </c>
      <c r="V1813" s="3" t="s">
        <v>52</v>
      </c>
      <c r="W1813" s="3" t="s">
        <v>10427</v>
      </c>
      <c r="X1813" s="10" t="s">
        <v>2268</v>
      </c>
      <c r="Y1813" s="6" t="s">
        <v>42</v>
      </c>
      <c r="Z1813" s="4">
        <v>5.89</v>
      </c>
      <c r="AA1813" s="4" t="s">
        <v>36</v>
      </c>
      <c r="AB1813" s="3" t="s">
        <v>43</v>
      </c>
      <c r="AC1813" s="3" t="s">
        <v>10428</v>
      </c>
      <c r="AD1813" s="9">
        <v>44847</v>
      </c>
      <c r="AE1813" s="3" t="s">
        <v>1192</v>
      </c>
      <c r="AF1813" s="3" t="s">
        <v>665</v>
      </c>
      <c r="AG1813" s="3" t="s">
        <v>10429</v>
      </c>
      <c r="AH1813" s="11">
        <f>HYPERLINK("https://my.pitchbook.com?c=206179-30T","View Company Online")</f>
      </c>
    </row>
    <row r="1814">
      <c r="A1814" s="12" t="s">
        <v>10430</v>
      </c>
      <c r="B1814" s="12" t="s">
        <v>10431</v>
      </c>
      <c r="C1814" s="19" t="s">
        <v>36</v>
      </c>
      <c r="D1814" s="19" t="s">
        <v>36</v>
      </c>
      <c r="E1814" s="19" t="s">
        <v>36</v>
      </c>
      <c r="F1814" s="19" t="s">
        <v>36</v>
      </c>
      <c r="G1814" s="15" t="s">
        <v>36</v>
      </c>
      <c r="H1814" s="14" t="s">
        <v>36</v>
      </c>
      <c r="I1814" s="18" t="s">
        <v>36</v>
      </c>
      <c r="J1814" s="12" t="s">
        <v>36</v>
      </c>
      <c r="K1814" s="13" t="s">
        <v>36</v>
      </c>
      <c r="L1814" s="15" t="s">
        <v>36</v>
      </c>
      <c r="M1814" s="12" t="s">
        <v>36</v>
      </c>
      <c r="N1814" s="12" t="s">
        <v>36</v>
      </c>
      <c r="O1814" s="17" t="s">
        <v>36</v>
      </c>
      <c r="P1814" s="12" t="s">
        <v>36</v>
      </c>
      <c r="Q1814" s="12" t="s">
        <v>36</v>
      </c>
      <c r="R1814" s="12" t="s">
        <v>36</v>
      </c>
      <c r="S1814" s="12" t="s">
        <v>36</v>
      </c>
      <c r="T1814" s="12" t="s">
        <v>522</v>
      </c>
      <c r="U1814" s="12" t="s">
        <v>38</v>
      </c>
      <c r="V1814" s="12" t="s">
        <v>39</v>
      </c>
      <c r="W1814" s="12" t="s">
        <v>10432</v>
      </c>
      <c r="X1814" s="16" t="s">
        <v>10433</v>
      </c>
      <c r="Y1814" s="15" t="s">
        <v>108</v>
      </c>
      <c r="Z1814" s="14">
        <v>1.03</v>
      </c>
      <c r="AA1814" s="14" t="s">
        <v>36</v>
      </c>
      <c r="AB1814" s="12" t="s">
        <v>43</v>
      </c>
      <c r="AC1814" s="12" t="s">
        <v>10434</v>
      </c>
      <c r="AD1814" s="13">
        <v>44847</v>
      </c>
      <c r="AE1814" s="12" t="s">
        <v>110</v>
      </c>
      <c r="AF1814" s="12" t="s">
        <v>680</v>
      </c>
      <c r="AG1814" s="12" t="s">
        <v>47</v>
      </c>
      <c r="AH1814" s="1">
        <f>HYPERLINK("https://my.pitchbook.com?c=206425-45T","View Company Online")</f>
      </c>
    </row>
    <row r="1815">
      <c r="A1815" s="3" t="s">
        <v>10435</v>
      </c>
      <c r="B1815" s="3" t="s">
        <v>1940</v>
      </c>
      <c r="C1815" s="5" t="s">
        <v>36</v>
      </c>
      <c r="D1815" s="5" t="s">
        <v>36</v>
      </c>
      <c r="E1815" s="5" t="s">
        <v>36</v>
      </c>
      <c r="F1815" s="5" t="s">
        <v>36</v>
      </c>
      <c r="G1815" s="6" t="s">
        <v>36</v>
      </c>
      <c r="H1815" s="4" t="s">
        <v>36</v>
      </c>
      <c r="I1815" s="7" t="s">
        <v>36</v>
      </c>
      <c r="J1815" s="3" t="s">
        <v>36</v>
      </c>
      <c r="K1815" s="9" t="s">
        <v>36</v>
      </c>
      <c r="L1815" s="6" t="s">
        <v>36</v>
      </c>
      <c r="M1815" s="3" t="s">
        <v>36</v>
      </c>
      <c r="N1815" s="3" t="s">
        <v>36</v>
      </c>
      <c r="O1815" s="8" t="s">
        <v>36</v>
      </c>
      <c r="P1815" s="3" t="s">
        <v>36</v>
      </c>
      <c r="Q1815" s="3" t="s">
        <v>36</v>
      </c>
      <c r="R1815" s="3" t="s">
        <v>36</v>
      </c>
      <c r="S1815" s="3" t="s">
        <v>1588</v>
      </c>
      <c r="T1815" s="3" t="s">
        <v>1941</v>
      </c>
      <c r="U1815" s="3" t="s">
        <v>38</v>
      </c>
      <c r="V1815" s="3" t="s">
        <v>39</v>
      </c>
      <c r="W1815" s="3" t="s">
        <v>1942</v>
      </c>
      <c r="X1815" s="10" t="s">
        <v>10436</v>
      </c>
      <c r="Y1815" s="6" t="s">
        <v>108</v>
      </c>
      <c r="Z1815" s="4">
        <v>3.93</v>
      </c>
      <c r="AA1815" s="4" t="s">
        <v>36</v>
      </c>
      <c r="AB1815" s="3" t="s">
        <v>43</v>
      </c>
      <c r="AC1815" s="3" t="s">
        <v>1944</v>
      </c>
      <c r="AD1815" s="9">
        <v>44847</v>
      </c>
      <c r="AE1815" s="3" t="s">
        <v>1945</v>
      </c>
      <c r="AF1815" s="3" t="s">
        <v>1946</v>
      </c>
      <c r="AG1815" s="3" t="s">
        <v>81</v>
      </c>
      <c r="AH1815" s="11">
        <f>HYPERLINK("https://my.pitchbook.com?c=206106-94T","View Company Online")</f>
      </c>
    </row>
    <row r="1816">
      <c r="A1816" s="12" t="s">
        <v>10437</v>
      </c>
      <c r="B1816" s="12" t="s">
        <v>10438</v>
      </c>
      <c r="C1816" s="19" t="s">
        <v>36</v>
      </c>
      <c r="D1816" s="19" t="s">
        <v>36</v>
      </c>
      <c r="E1816" s="19" t="s">
        <v>36</v>
      </c>
      <c r="F1816" s="19" t="s">
        <v>36</v>
      </c>
      <c r="G1816" s="15" t="s">
        <v>36</v>
      </c>
      <c r="H1816" s="14">
        <v>46.74</v>
      </c>
      <c r="I1816" s="18">
        <v>23.92</v>
      </c>
      <c r="J1816" s="12" t="s">
        <v>521</v>
      </c>
      <c r="K1816" s="13">
        <v>44839</v>
      </c>
      <c r="L1816" s="15" t="s">
        <v>36</v>
      </c>
      <c r="M1816" s="12" t="s">
        <v>36</v>
      </c>
      <c r="N1816" s="12" t="s">
        <v>36</v>
      </c>
      <c r="O1816" s="17" t="s">
        <v>36</v>
      </c>
      <c r="P1816" s="12" t="s">
        <v>36</v>
      </c>
      <c r="Q1816" s="12" t="s">
        <v>36</v>
      </c>
      <c r="R1816" s="12" t="s">
        <v>36</v>
      </c>
      <c r="S1816" s="12" t="s">
        <v>36</v>
      </c>
      <c r="T1816" s="12" t="s">
        <v>1701</v>
      </c>
      <c r="U1816" s="12" t="s">
        <v>74</v>
      </c>
      <c r="V1816" s="12" t="s">
        <v>75</v>
      </c>
      <c r="W1816" s="12" t="s">
        <v>10439</v>
      </c>
      <c r="X1816" s="16" t="s">
        <v>10440</v>
      </c>
      <c r="Y1816" s="15" t="s">
        <v>42</v>
      </c>
      <c r="Z1816" s="14">
        <v>1.1</v>
      </c>
      <c r="AA1816" s="14">
        <v>3.07</v>
      </c>
      <c r="AB1816" s="12" t="s">
        <v>43</v>
      </c>
      <c r="AC1816" s="12" t="s">
        <v>10441</v>
      </c>
      <c r="AD1816" s="13">
        <v>44846</v>
      </c>
      <c r="AE1816" s="12" t="s">
        <v>79</v>
      </c>
      <c r="AF1816" s="12" t="s">
        <v>10442</v>
      </c>
      <c r="AG1816" s="12" t="s">
        <v>81</v>
      </c>
      <c r="AH1816" s="1">
        <f>HYPERLINK("https://my.pitchbook.com?c=205990-75T","View Company Online")</f>
      </c>
    </row>
    <row r="1817">
      <c r="A1817" s="3" t="s">
        <v>10443</v>
      </c>
      <c r="B1817" s="3" t="s">
        <v>1614</v>
      </c>
      <c r="C1817" s="5">
        <v>2</v>
      </c>
      <c r="D1817" s="5" t="s">
        <v>36</v>
      </c>
      <c r="E1817" s="5">
        <v>1</v>
      </c>
      <c r="F1817" s="5">
        <v>3</v>
      </c>
      <c r="G1817" s="6" t="s">
        <v>326</v>
      </c>
      <c r="H1817" s="4" t="s">
        <v>36</v>
      </c>
      <c r="I1817" s="7">
        <v>18.86</v>
      </c>
      <c r="J1817" s="3" t="s">
        <v>327</v>
      </c>
      <c r="K1817" s="9" t="s">
        <v>36</v>
      </c>
      <c r="L1817" s="6" t="s">
        <v>36</v>
      </c>
      <c r="M1817" s="3" t="s">
        <v>36</v>
      </c>
      <c r="N1817" s="3" t="s">
        <v>36</v>
      </c>
      <c r="O1817" s="8" t="s">
        <v>36</v>
      </c>
      <c r="P1817" s="3" t="s">
        <v>36</v>
      </c>
      <c r="Q1817" s="3" t="s">
        <v>36</v>
      </c>
      <c r="R1817" s="3" t="s">
        <v>36</v>
      </c>
      <c r="S1817" s="3" t="s">
        <v>453</v>
      </c>
      <c r="T1817" s="3" t="s">
        <v>1615</v>
      </c>
      <c r="U1817" s="3" t="s">
        <v>85</v>
      </c>
      <c r="V1817" s="3" t="s">
        <v>64</v>
      </c>
      <c r="W1817" s="3" t="s">
        <v>1616</v>
      </c>
      <c r="X1817" s="10" t="s">
        <v>10444</v>
      </c>
      <c r="Y1817" s="6" t="s">
        <v>55</v>
      </c>
      <c r="Z1817" s="4">
        <v>9.84</v>
      </c>
      <c r="AA1817" s="4">
        <v>52.16</v>
      </c>
      <c r="AB1817" s="3" t="s">
        <v>43</v>
      </c>
      <c r="AC1817" s="3" t="s">
        <v>1618</v>
      </c>
      <c r="AD1817" s="9">
        <v>44846</v>
      </c>
      <c r="AE1817" s="3" t="s">
        <v>89</v>
      </c>
      <c r="AF1817" s="3" t="s">
        <v>1619</v>
      </c>
      <c r="AG1817" s="3" t="s">
        <v>1332</v>
      </c>
      <c r="AH1817" s="11">
        <f>HYPERLINK("https://my.pitchbook.com?c=206144-56T","View Company Online")</f>
      </c>
    </row>
    <row r="1818">
      <c r="A1818" s="12" t="s">
        <v>10445</v>
      </c>
      <c r="B1818" s="12" t="s">
        <v>10446</v>
      </c>
      <c r="C1818" s="19" t="s">
        <v>36</v>
      </c>
      <c r="D1818" s="19" t="s">
        <v>36</v>
      </c>
      <c r="E1818" s="19" t="s">
        <v>36</v>
      </c>
      <c r="F1818" s="19" t="s">
        <v>36</v>
      </c>
      <c r="G1818" s="15" t="s">
        <v>326</v>
      </c>
      <c r="H1818" s="14" t="s">
        <v>36</v>
      </c>
      <c r="I1818" s="18">
        <v>14.75</v>
      </c>
      <c r="J1818" s="12" t="s">
        <v>521</v>
      </c>
      <c r="K1818" s="13">
        <v>44222</v>
      </c>
      <c r="L1818" s="15" t="s">
        <v>94</v>
      </c>
      <c r="M1818" s="12" t="s">
        <v>36</v>
      </c>
      <c r="N1818" s="12" t="s">
        <v>94</v>
      </c>
      <c r="O1818" s="17" t="s">
        <v>36</v>
      </c>
      <c r="P1818" s="12" t="s">
        <v>36</v>
      </c>
      <c r="Q1818" s="12" t="s">
        <v>36</v>
      </c>
      <c r="R1818" s="12" t="s">
        <v>36</v>
      </c>
      <c r="S1818" s="12" t="s">
        <v>36</v>
      </c>
      <c r="T1818" s="12" t="s">
        <v>130</v>
      </c>
      <c r="U1818" s="12" t="s">
        <v>38</v>
      </c>
      <c r="V1818" s="12" t="s">
        <v>39</v>
      </c>
      <c r="W1818" s="12" t="s">
        <v>10447</v>
      </c>
      <c r="X1818" s="16" t="s">
        <v>10448</v>
      </c>
      <c r="Y1818" s="15" t="s">
        <v>55</v>
      </c>
      <c r="Z1818" s="14">
        <v>43.28</v>
      </c>
      <c r="AA1818" s="14">
        <v>293.33</v>
      </c>
      <c r="AB1818" s="12" t="s">
        <v>56</v>
      </c>
      <c r="AC1818" s="12" t="s">
        <v>10449</v>
      </c>
      <c r="AD1818" s="13">
        <v>44846</v>
      </c>
      <c r="AE1818" s="12" t="s">
        <v>134</v>
      </c>
      <c r="AF1818" s="12" t="s">
        <v>135</v>
      </c>
      <c r="AG1818" s="12" t="s">
        <v>3406</v>
      </c>
      <c r="AH1818" s="1">
        <f>HYPERLINK("https://my.pitchbook.com?c=205979-77T","View Company Online")</f>
      </c>
    </row>
    <row r="1819">
      <c r="A1819" s="3" t="s">
        <v>10450</v>
      </c>
      <c r="B1819" s="3" t="s">
        <v>1861</v>
      </c>
      <c r="C1819" s="5" t="s">
        <v>36</v>
      </c>
      <c r="D1819" s="5" t="s">
        <v>36</v>
      </c>
      <c r="E1819" s="5" t="s">
        <v>36</v>
      </c>
      <c r="F1819" s="5" t="s">
        <v>36</v>
      </c>
      <c r="G1819" s="6" t="s">
        <v>36</v>
      </c>
      <c r="H1819" s="4" t="s">
        <v>36</v>
      </c>
      <c r="I1819" s="7" t="s">
        <v>36</v>
      </c>
      <c r="J1819" s="3" t="s">
        <v>36</v>
      </c>
      <c r="K1819" s="9" t="s">
        <v>36</v>
      </c>
      <c r="L1819" s="6" t="s">
        <v>1981</v>
      </c>
      <c r="M1819" s="3" t="s">
        <v>36</v>
      </c>
      <c r="N1819" s="3" t="s">
        <v>1981</v>
      </c>
      <c r="O1819" s="8" t="s">
        <v>36</v>
      </c>
      <c r="P1819" s="3" t="s">
        <v>36</v>
      </c>
      <c r="Q1819" s="3" t="s">
        <v>36</v>
      </c>
      <c r="R1819" s="3" t="s">
        <v>36</v>
      </c>
      <c r="S1819" s="3" t="s">
        <v>36</v>
      </c>
      <c r="T1819" s="3" t="s">
        <v>1863</v>
      </c>
      <c r="U1819" s="3" t="s">
        <v>96</v>
      </c>
      <c r="V1819" s="3" t="s">
        <v>52</v>
      </c>
      <c r="W1819" s="3" t="s">
        <v>1864</v>
      </c>
      <c r="X1819" s="10" t="s">
        <v>10451</v>
      </c>
      <c r="Y1819" s="6" t="s">
        <v>55</v>
      </c>
      <c r="Z1819" s="4">
        <v>4.43</v>
      </c>
      <c r="AA1819" s="4" t="s">
        <v>36</v>
      </c>
      <c r="AB1819" s="3" t="s">
        <v>56</v>
      </c>
      <c r="AC1819" s="3" t="s">
        <v>1866</v>
      </c>
      <c r="AD1819" s="9">
        <v>44845</v>
      </c>
      <c r="AE1819" s="3" t="s">
        <v>1414</v>
      </c>
      <c r="AF1819" s="3" t="s">
        <v>101</v>
      </c>
      <c r="AG1819" s="3" t="s">
        <v>1867</v>
      </c>
      <c r="AH1819" s="11">
        <f>HYPERLINK("https://my.pitchbook.com?c=206338-96T","View Company Online")</f>
      </c>
    </row>
    <row r="1820">
      <c r="A1820" s="12" t="s">
        <v>10452</v>
      </c>
      <c r="B1820" s="12" t="s">
        <v>10453</v>
      </c>
      <c r="C1820" s="19">
        <v>11</v>
      </c>
      <c r="D1820" s="19">
        <v>40</v>
      </c>
      <c r="E1820" s="19">
        <v>8</v>
      </c>
      <c r="F1820" s="19">
        <v>67</v>
      </c>
      <c r="G1820" s="15" t="s">
        <v>683</v>
      </c>
      <c r="H1820" s="14">
        <v>1800.45</v>
      </c>
      <c r="I1820" s="18">
        <v>11.77</v>
      </c>
      <c r="J1820" s="12" t="s">
        <v>521</v>
      </c>
      <c r="K1820" s="13" t="s">
        <v>36</v>
      </c>
      <c r="L1820" s="15" t="s">
        <v>36</v>
      </c>
      <c r="M1820" s="12" t="s">
        <v>36</v>
      </c>
      <c r="N1820" s="12" t="s">
        <v>36</v>
      </c>
      <c r="O1820" s="17" t="s">
        <v>36</v>
      </c>
      <c r="P1820" s="12" t="s">
        <v>36</v>
      </c>
      <c r="Q1820" s="12" t="s">
        <v>36</v>
      </c>
      <c r="R1820" s="12" t="s">
        <v>36</v>
      </c>
      <c r="S1820" s="12" t="s">
        <v>36</v>
      </c>
      <c r="T1820" s="12" t="s">
        <v>8799</v>
      </c>
      <c r="U1820" s="12" t="s">
        <v>51</v>
      </c>
      <c r="V1820" s="12" t="s">
        <v>52</v>
      </c>
      <c r="W1820" s="12" t="s">
        <v>10454</v>
      </c>
      <c r="X1820" s="16" t="s">
        <v>10455</v>
      </c>
      <c r="Y1820" s="15" t="s">
        <v>166</v>
      </c>
      <c r="Z1820" s="14">
        <v>0.89</v>
      </c>
      <c r="AA1820" s="14">
        <v>7.6</v>
      </c>
      <c r="AB1820" s="12" t="s">
        <v>56</v>
      </c>
      <c r="AC1820" s="12" t="s">
        <v>10456</v>
      </c>
      <c r="AD1820" s="13">
        <v>44845</v>
      </c>
      <c r="AE1820" s="12" t="s">
        <v>158</v>
      </c>
      <c r="AF1820" s="12" t="s">
        <v>159</v>
      </c>
      <c r="AG1820" s="12" t="s">
        <v>2370</v>
      </c>
      <c r="AH1820" s="1">
        <f>HYPERLINK("https://my.pitchbook.com?c=188631-28T","View Company Online")</f>
      </c>
    </row>
    <row r="1821">
      <c r="A1821" s="3" t="s">
        <v>10457</v>
      </c>
      <c r="B1821" s="3" t="s">
        <v>10458</v>
      </c>
      <c r="C1821" s="5" t="s">
        <v>36</v>
      </c>
      <c r="D1821" s="5" t="s">
        <v>36</v>
      </c>
      <c r="E1821" s="5" t="s">
        <v>36</v>
      </c>
      <c r="F1821" s="5" t="s">
        <v>36</v>
      </c>
      <c r="G1821" s="6" t="s">
        <v>36</v>
      </c>
      <c r="H1821" s="4" t="s">
        <v>36</v>
      </c>
      <c r="I1821" s="7" t="s">
        <v>36</v>
      </c>
      <c r="J1821" s="3" t="s">
        <v>36</v>
      </c>
      <c r="K1821" s="9" t="s">
        <v>36</v>
      </c>
      <c r="L1821" s="6" t="s">
        <v>36</v>
      </c>
      <c r="M1821" s="3" t="s">
        <v>36</v>
      </c>
      <c r="N1821" s="3" t="s">
        <v>36</v>
      </c>
      <c r="O1821" s="8" t="s">
        <v>36</v>
      </c>
      <c r="P1821" s="3" t="s">
        <v>36</v>
      </c>
      <c r="Q1821" s="3" t="s">
        <v>36</v>
      </c>
      <c r="R1821" s="3" t="s">
        <v>36</v>
      </c>
      <c r="S1821" s="3" t="s">
        <v>36</v>
      </c>
      <c r="T1821" s="3" t="s">
        <v>10459</v>
      </c>
      <c r="U1821" s="3" t="s">
        <v>1091</v>
      </c>
      <c r="V1821" s="3" t="s">
        <v>378</v>
      </c>
      <c r="W1821" s="3" t="s">
        <v>10460</v>
      </c>
      <c r="X1821" s="10" t="s">
        <v>10461</v>
      </c>
      <c r="Y1821" s="6" t="s">
        <v>108</v>
      </c>
      <c r="Z1821" s="4">
        <v>0.64</v>
      </c>
      <c r="AA1821" s="4" t="s">
        <v>36</v>
      </c>
      <c r="AB1821" s="3" t="s">
        <v>43</v>
      </c>
      <c r="AC1821" s="3" t="s">
        <v>10462</v>
      </c>
      <c r="AD1821" s="9">
        <v>44845</v>
      </c>
      <c r="AE1821" s="3" t="s">
        <v>10463</v>
      </c>
      <c r="AF1821" s="3" t="s">
        <v>571</v>
      </c>
      <c r="AG1821" s="3" t="s">
        <v>10464</v>
      </c>
      <c r="AH1821" s="11">
        <f>HYPERLINK("https://my.pitchbook.com?c=205070-14T","View Company Online")</f>
      </c>
    </row>
    <row r="1822">
      <c r="A1822" s="12" t="s">
        <v>10465</v>
      </c>
      <c r="B1822" s="12" t="s">
        <v>10466</v>
      </c>
      <c r="C1822" s="19" t="s">
        <v>36</v>
      </c>
      <c r="D1822" s="19" t="s">
        <v>36</v>
      </c>
      <c r="E1822" s="19" t="s">
        <v>36</v>
      </c>
      <c r="F1822" s="19" t="s">
        <v>36</v>
      </c>
      <c r="G1822" s="15" t="s">
        <v>2497</v>
      </c>
      <c r="H1822" s="14">
        <v>355.19</v>
      </c>
      <c r="I1822" s="18">
        <v>17.64</v>
      </c>
      <c r="J1822" s="12" t="s">
        <v>521</v>
      </c>
      <c r="K1822" s="13" t="s">
        <v>36</v>
      </c>
      <c r="L1822" s="15" t="s">
        <v>36</v>
      </c>
      <c r="M1822" s="12" t="s">
        <v>36</v>
      </c>
      <c r="N1822" s="12" t="s">
        <v>36</v>
      </c>
      <c r="O1822" s="17" t="s">
        <v>36</v>
      </c>
      <c r="P1822" s="12" t="s">
        <v>36</v>
      </c>
      <c r="Q1822" s="12" t="s">
        <v>36</v>
      </c>
      <c r="R1822" s="12" t="s">
        <v>36</v>
      </c>
      <c r="S1822" s="12" t="s">
        <v>36</v>
      </c>
      <c r="T1822" s="12" t="s">
        <v>10467</v>
      </c>
      <c r="U1822" s="12" t="s">
        <v>423</v>
      </c>
      <c r="V1822" s="12" t="s">
        <v>64</v>
      </c>
      <c r="W1822" s="12" t="s">
        <v>10468</v>
      </c>
      <c r="X1822" s="16" t="s">
        <v>10469</v>
      </c>
      <c r="Y1822" s="15" t="s">
        <v>55</v>
      </c>
      <c r="Z1822" s="14">
        <v>1.21</v>
      </c>
      <c r="AA1822" s="14">
        <v>6.87</v>
      </c>
      <c r="AB1822" s="12" t="s">
        <v>56</v>
      </c>
      <c r="AC1822" s="12" t="s">
        <v>10470</v>
      </c>
      <c r="AD1822" s="13">
        <v>44845</v>
      </c>
      <c r="AE1822" s="12" t="s">
        <v>427</v>
      </c>
      <c r="AF1822" s="12" t="s">
        <v>90</v>
      </c>
      <c r="AG1822" s="12" t="s">
        <v>10471</v>
      </c>
      <c r="AH1822" s="1">
        <f>HYPERLINK("https://my.pitchbook.com?c=211124-53T","View Company Online")</f>
      </c>
    </row>
    <row r="1823">
      <c r="A1823" s="3" t="s">
        <v>10472</v>
      </c>
      <c r="B1823" s="3" t="s">
        <v>10473</v>
      </c>
      <c r="C1823" s="5" t="s">
        <v>36</v>
      </c>
      <c r="D1823" s="5" t="s">
        <v>36</v>
      </c>
      <c r="E1823" s="5" t="s">
        <v>36</v>
      </c>
      <c r="F1823" s="5" t="s">
        <v>36</v>
      </c>
      <c r="G1823" s="6" t="s">
        <v>36</v>
      </c>
      <c r="H1823" s="4">
        <v>17.66</v>
      </c>
      <c r="I1823" s="7">
        <v>29.52</v>
      </c>
      <c r="J1823" s="3" t="s">
        <v>521</v>
      </c>
      <c r="K1823" s="9">
        <v>44460</v>
      </c>
      <c r="L1823" s="6" t="s">
        <v>1279</v>
      </c>
      <c r="M1823" s="3" t="s">
        <v>36</v>
      </c>
      <c r="N1823" s="3" t="s">
        <v>1279</v>
      </c>
      <c r="O1823" s="8" t="s">
        <v>36</v>
      </c>
      <c r="P1823" s="3" t="s">
        <v>36</v>
      </c>
      <c r="Q1823" s="3" t="s">
        <v>36</v>
      </c>
      <c r="R1823" s="3" t="s">
        <v>36</v>
      </c>
      <c r="S1823" s="3" t="s">
        <v>36</v>
      </c>
      <c r="T1823" s="3" t="s">
        <v>37</v>
      </c>
      <c r="U1823" s="3" t="s">
        <v>38</v>
      </c>
      <c r="V1823" s="3" t="s">
        <v>39</v>
      </c>
      <c r="W1823" s="3" t="s">
        <v>10474</v>
      </c>
      <c r="X1823" s="10" t="s">
        <v>10475</v>
      </c>
      <c r="Y1823" s="6" t="s">
        <v>55</v>
      </c>
      <c r="Z1823" s="4">
        <v>6.81</v>
      </c>
      <c r="AA1823" s="4">
        <v>23.05</v>
      </c>
      <c r="AB1823" s="3" t="s">
        <v>56</v>
      </c>
      <c r="AC1823" s="3" t="s">
        <v>10476</v>
      </c>
      <c r="AD1823" s="9">
        <v>44845</v>
      </c>
      <c r="AE1823" s="3" t="s">
        <v>45</v>
      </c>
      <c r="AF1823" s="3" t="s">
        <v>10477</v>
      </c>
      <c r="AG1823" s="3" t="s">
        <v>81</v>
      </c>
      <c r="AH1823" s="11">
        <f>HYPERLINK("https://my.pitchbook.com?c=184660-93T","View Company Online")</f>
      </c>
    </row>
    <row r="1824">
      <c r="A1824" s="12" t="s">
        <v>10478</v>
      </c>
      <c r="B1824" s="12" t="s">
        <v>10479</v>
      </c>
      <c r="C1824" s="19">
        <v>1</v>
      </c>
      <c r="D1824" s="19">
        <v>6</v>
      </c>
      <c r="E1824" s="19">
        <v>4</v>
      </c>
      <c r="F1824" s="19">
        <v>8</v>
      </c>
      <c r="G1824" s="15" t="s">
        <v>683</v>
      </c>
      <c r="H1824" s="14">
        <v>6.17</v>
      </c>
      <c r="I1824" s="18">
        <v>33.35</v>
      </c>
      <c r="J1824" s="12" t="s">
        <v>521</v>
      </c>
      <c r="K1824" s="13" t="s">
        <v>36</v>
      </c>
      <c r="L1824" s="15" t="s">
        <v>36</v>
      </c>
      <c r="M1824" s="12" t="s">
        <v>36</v>
      </c>
      <c r="N1824" s="12" t="s">
        <v>36</v>
      </c>
      <c r="O1824" s="17" t="s">
        <v>36</v>
      </c>
      <c r="P1824" s="12" t="s">
        <v>36</v>
      </c>
      <c r="Q1824" s="12" t="s">
        <v>36</v>
      </c>
      <c r="R1824" s="12" t="s">
        <v>36</v>
      </c>
      <c r="S1824" s="12" t="s">
        <v>36</v>
      </c>
      <c r="T1824" s="12" t="s">
        <v>10480</v>
      </c>
      <c r="U1824" s="12" t="s">
        <v>318</v>
      </c>
      <c r="V1824" s="12" t="s">
        <v>39</v>
      </c>
      <c r="W1824" s="12" t="s">
        <v>10481</v>
      </c>
      <c r="X1824" s="16" t="s">
        <v>10482</v>
      </c>
      <c r="Y1824" s="15" t="s">
        <v>55</v>
      </c>
      <c r="Z1824" s="14">
        <v>2.88</v>
      </c>
      <c r="AA1824" s="14">
        <v>8.64</v>
      </c>
      <c r="AB1824" s="12" t="s">
        <v>56</v>
      </c>
      <c r="AC1824" s="12" t="s">
        <v>10483</v>
      </c>
      <c r="AD1824" s="13">
        <v>44845</v>
      </c>
      <c r="AE1824" s="12" t="s">
        <v>763</v>
      </c>
      <c r="AF1824" s="12" t="s">
        <v>4668</v>
      </c>
      <c r="AG1824" s="12" t="s">
        <v>652</v>
      </c>
      <c r="AH1824" s="1">
        <f>HYPERLINK("https://my.pitchbook.com?c=211295-26T","View Company Online")</f>
      </c>
    </row>
    <row r="1825">
      <c r="A1825" s="3" t="s">
        <v>10484</v>
      </c>
      <c r="B1825" s="3" t="s">
        <v>10485</v>
      </c>
      <c r="C1825" s="5" t="s">
        <v>36</v>
      </c>
      <c r="D1825" s="5" t="s">
        <v>36</v>
      </c>
      <c r="E1825" s="5" t="s">
        <v>36</v>
      </c>
      <c r="F1825" s="5" t="s">
        <v>36</v>
      </c>
      <c r="G1825" s="6" t="s">
        <v>36</v>
      </c>
      <c r="H1825" s="4" t="s">
        <v>36</v>
      </c>
      <c r="I1825" s="7" t="s">
        <v>36</v>
      </c>
      <c r="J1825" s="3" t="s">
        <v>36</v>
      </c>
      <c r="K1825" s="9" t="s">
        <v>36</v>
      </c>
      <c r="L1825" s="6" t="s">
        <v>36</v>
      </c>
      <c r="M1825" s="3" t="s">
        <v>36</v>
      </c>
      <c r="N1825" s="3" t="s">
        <v>36</v>
      </c>
      <c r="O1825" s="8" t="s">
        <v>36</v>
      </c>
      <c r="P1825" s="3" t="s">
        <v>36</v>
      </c>
      <c r="Q1825" s="3" t="s">
        <v>36</v>
      </c>
      <c r="R1825" s="3" t="s">
        <v>36</v>
      </c>
      <c r="S1825" s="3" t="s">
        <v>453</v>
      </c>
      <c r="T1825" s="3" t="s">
        <v>4692</v>
      </c>
      <c r="U1825" s="3" t="s">
        <v>85</v>
      </c>
      <c r="V1825" s="3" t="s">
        <v>64</v>
      </c>
      <c r="W1825" s="3" t="s">
        <v>10486</v>
      </c>
      <c r="X1825" s="10" t="s">
        <v>10487</v>
      </c>
      <c r="Y1825" s="6" t="s">
        <v>42</v>
      </c>
      <c r="Z1825" s="4" t="s">
        <v>36</v>
      </c>
      <c r="AA1825" s="4" t="s">
        <v>36</v>
      </c>
      <c r="AB1825" s="3" t="s">
        <v>43</v>
      </c>
      <c r="AC1825" s="3" t="s">
        <v>10488</v>
      </c>
      <c r="AD1825" s="9">
        <v>44844</v>
      </c>
      <c r="AE1825" s="3" t="s">
        <v>89</v>
      </c>
      <c r="AF1825" s="3" t="s">
        <v>1619</v>
      </c>
      <c r="AG1825" s="3" t="s">
        <v>81</v>
      </c>
      <c r="AH1825" s="11">
        <f>HYPERLINK("https://my.pitchbook.com?c=269185-69T","View Company Online")</f>
      </c>
    </row>
    <row r="1826">
      <c r="A1826" s="12" t="s">
        <v>10489</v>
      </c>
      <c r="B1826" s="12" t="s">
        <v>10490</v>
      </c>
      <c r="C1826" s="19" t="s">
        <v>36</v>
      </c>
      <c r="D1826" s="19" t="s">
        <v>36</v>
      </c>
      <c r="E1826" s="19" t="s">
        <v>36</v>
      </c>
      <c r="F1826" s="19" t="s">
        <v>36</v>
      </c>
      <c r="G1826" s="15" t="s">
        <v>326</v>
      </c>
      <c r="H1826" s="14" t="s">
        <v>36</v>
      </c>
      <c r="I1826" s="18">
        <v>21.38</v>
      </c>
      <c r="J1826" s="12" t="s">
        <v>327</v>
      </c>
      <c r="K1826" s="13" t="s">
        <v>36</v>
      </c>
      <c r="L1826" s="15" t="s">
        <v>122</v>
      </c>
      <c r="M1826" s="12" t="s">
        <v>36</v>
      </c>
      <c r="N1826" s="12" t="s">
        <v>122</v>
      </c>
      <c r="O1826" s="17" t="s">
        <v>36</v>
      </c>
      <c r="P1826" s="12" t="s">
        <v>36</v>
      </c>
      <c r="Q1826" s="12" t="s">
        <v>36</v>
      </c>
      <c r="R1826" s="12" t="s">
        <v>36</v>
      </c>
      <c r="S1826" s="12" t="s">
        <v>36</v>
      </c>
      <c r="T1826" s="12" t="s">
        <v>10491</v>
      </c>
      <c r="U1826" s="12" t="s">
        <v>38</v>
      </c>
      <c r="V1826" s="12" t="s">
        <v>39</v>
      </c>
      <c r="W1826" s="12" t="s">
        <v>10492</v>
      </c>
      <c r="X1826" s="16" t="s">
        <v>10493</v>
      </c>
      <c r="Y1826" s="15" t="s">
        <v>55</v>
      </c>
      <c r="Z1826" s="14">
        <v>15.25</v>
      </c>
      <c r="AA1826" s="14">
        <v>71.33</v>
      </c>
      <c r="AB1826" s="12" t="s">
        <v>43</v>
      </c>
      <c r="AC1826" s="12" t="s">
        <v>10494</v>
      </c>
      <c r="AD1826" s="13">
        <v>44844</v>
      </c>
      <c r="AE1826" s="12" t="s">
        <v>110</v>
      </c>
      <c r="AF1826" s="12" t="s">
        <v>4552</v>
      </c>
      <c r="AG1826" s="12" t="s">
        <v>81</v>
      </c>
      <c r="AH1826" s="1">
        <f>HYPERLINK("https://my.pitchbook.com?c=205780-87T","View Company Online")</f>
      </c>
    </row>
    <row r="1827">
      <c r="A1827" s="3" t="s">
        <v>10495</v>
      </c>
      <c r="B1827" s="3" t="s">
        <v>10496</v>
      </c>
      <c r="C1827" s="5" t="s">
        <v>36</v>
      </c>
      <c r="D1827" s="5" t="s">
        <v>36</v>
      </c>
      <c r="E1827" s="5" t="s">
        <v>36</v>
      </c>
      <c r="F1827" s="5" t="s">
        <v>36</v>
      </c>
      <c r="G1827" s="6" t="s">
        <v>326</v>
      </c>
      <c r="H1827" s="4">
        <v>123.42</v>
      </c>
      <c r="I1827" s="7">
        <v>34.19</v>
      </c>
      <c r="J1827" s="3" t="s">
        <v>521</v>
      </c>
      <c r="K1827" s="9" t="s">
        <v>36</v>
      </c>
      <c r="L1827" s="6" t="s">
        <v>36</v>
      </c>
      <c r="M1827" s="3" t="s">
        <v>36</v>
      </c>
      <c r="N1827" s="3" t="s">
        <v>36</v>
      </c>
      <c r="O1827" s="8" t="s">
        <v>36</v>
      </c>
      <c r="P1827" s="3" t="s">
        <v>36</v>
      </c>
      <c r="Q1827" s="3" t="s">
        <v>36</v>
      </c>
      <c r="R1827" s="3" t="s">
        <v>36</v>
      </c>
      <c r="S1827" s="3" t="s">
        <v>36</v>
      </c>
      <c r="T1827" s="3" t="s">
        <v>422</v>
      </c>
      <c r="U1827" s="3" t="s">
        <v>423</v>
      </c>
      <c r="V1827" s="3" t="s">
        <v>64</v>
      </c>
      <c r="W1827" s="3" t="s">
        <v>10497</v>
      </c>
      <c r="X1827" s="10" t="s">
        <v>10498</v>
      </c>
      <c r="Y1827" s="6" t="s">
        <v>108</v>
      </c>
      <c r="Z1827" s="4">
        <v>4.93</v>
      </c>
      <c r="AA1827" s="4">
        <v>9.89</v>
      </c>
      <c r="AB1827" s="3" t="s">
        <v>56</v>
      </c>
      <c r="AC1827" s="3" t="s">
        <v>10499</v>
      </c>
      <c r="AD1827" s="9">
        <v>44844</v>
      </c>
      <c r="AE1827" s="3" t="s">
        <v>427</v>
      </c>
      <c r="AF1827" s="3" t="s">
        <v>90</v>
      </c>
      <c r="AG1827" s="3" t="s">
        <v>47</v>
      </c>
      <c r="AH1827" s="11">
        <f>HYPERLINK("https://my.pitchbook.com?c=205744-96T","View Company Online")</f>
      </c>
    </row>
    <row r="1828">
      <c r="A1828" s="12" t="s">
        <v>10500</v>
      </c>
      <c r="B1828" s="12" t="s">
        <v>5137</v>
      </c>
      <c r="C1828" s="19" t="s">
        <v>36</v>
      </c>
      <c r="D1828" s="19" t="s">
        <v>36</v>
      </c>
      <c r="E1828" s="19" t="s">
        <v>36</v>
      </c>
      <c r="F1828" s="19" t="s">
        <v>36</v>
      </c>
      <c r="G1828" s="15" t="s">
        <v>36</v>
      </c>
      <c r="H1828" s="14">
        <v>84.01</v>
      </c>
      <c r="I1828" s="18">
        <v>27.23</v>
      </c>
      <c r="J1828" s="12" t="s">
        <v>521</v>
      </c>
      <c r="K1828" s="13" t="s">
        <v>36</v>
      </c>
      <c r="L1828" s="15" t="s">
        <v>36</v>
      </c>
      <c r="M1828" s="12" t="s">
        <v>36</v>
      </c>
      <c r="N1828" s="12" t="s">
        <v>36</v>
      </c>
      <c r="O1828" s="17" t="s">
        <v>36</v>
      </c>
      <c r="P1828" s="12" t="s">
        <v>36</v>
      </c>
      <c r="Q1828" s="12" t="s">
        <v>36</v>
      </c>
      <c r="R1828" s="12" t="s">
        <v>36</v>
      </c>
      <c r="S1828" s="12" t="s">
        <v>36</v>
      </c>
      <c r="T1828" s="12" t="s">
        <v>5138</v>
      </c>
      <c r="U1828" s="12" t="s">
        <v>74</v>
      </c>
      <c r="V1828" s="12" t="s">
        <v>75</v>
      </c>
      <c r="W1828" s="12" t="s">
        <v>5139</v>
      </c>
      <c r="X1828" s="16" t="s">
        <v>10501</v>
      </c>
      <c r="Y1828" s="15" t="s">
        <v>108</v>
      </c>
      <c r="Z1828" s="14">
        <v>2.96</v>
      </c>
      <c r="AA1828" s="14">
        <v>8.44</v>
      </c>
      <c r="AB1828" s="12" t="s">
        <v>43</v>
      </c>
      <c r="AC1828" s="12" t="s">
        <v>5141</v>
      </c>
      <c r="AD1828" s="13">
        <v>44844</v>
      </c>
      <c r="AE1828" s="12" t="s">
        <v>570</v>
      </c>
      <c r="AF1828" s="12" t="s">
        <v>1619</v>
      </c>
      <c r="AG1828" s="12" t="s">
        <v>186</v>
      </c>
      <c r="AH1828" s="1">
        <f>HYPERLINK("https://my.pitchbook.com?c=205596-01T","View Company Online")</f>
      </c>
    </row>
    <row r="1829">
      <c r="A1829" s="3" t="s">
        <v>10502</v>
      </c>
      <c r="B1829" s="3" t="s">
        <v>10503</v>
      </c>
      <c r="C1829" s="5" t="s">
        <v>36</v>
      </c>
      <c r="D1829" s="5" t="s">
        <v>36</v>
      </c>
      <c r="E1829" s="5" t="s">
        <v>36</v>
      </c>
      <c r="F1829" s="5" t="s">
        <v>36</v>
      </c>
      <c r="G1829" s="6" t="s">
        <v>36</v>
      </c>
      <c r="H1829" s="4" t="s">
        <v>36</v>
      </c>
      <c r="I1829" s="7" t="s">
        <v>36</v>
      </c>
      <c r="J1829" s="3" t="s">
        <v>36</v>
      </c>
      <c r="K1829" s="9" t="s">
        <v>36</v>
      </c>
      <c r="L1829" s="6" t="s">
        <v>36</v>
      </c>
      <c r="M1829" s="3" t="s">
        <v>36</v>
      </c>
      <c r="N1829" s="3" t="s">
        <v>36</v>
      </c>
      <c r="O1829" s="8" t="s">
        <v>36</v>
      </c>
      <c r="P1829" s="3" t="s">
        <v>36</v>
      </c>
      <c r="Q1829" s="3" t="s">
        <v>36</v>
      </c>
      <c r="R1829" s="3" t="s">
        <v>36</v>
      </c>
      <c r="S1829" s="3" t="s">
        <v>6531</v>
      </c>
      <c r="T1829" s="3" t="s">
        <v>10504</v>
      </c>
      <c r="U1829" s="3" t="s">
        <v>63</v>
      </c>
      <c r="V1829" s="3" t="s">
        <v>64</v>
      </c>
      <c r="W1829" s="3" t="s">
        <v>10505</v>
      </c>
      <c r="X1829" s="10" t="s">
        <v>6004</v>
      </c>
      <c r="Y1829" s="6" t="s">
        <v>42</v>
      </c>
      <c r="Z1829" s="4">
        <v>1.98</v>
      </c>
      <c r="AA1829" s="4" t="s">
        <v>36</v>
      </c>
      <c r="AB1829" s="3" t="s">
        <v>56</v>
      </c>
      <c r="AC1829" s="3" t="s">
        <v>10506</v>
      </c>
      <c r="AD1829" s="9">
        <v>44841</v>
      </c>
      <c r="AE1829" s="3" t="s">
        <v>68</v>
      </c>
      <c r="AF1829" s="3" t="s">
        <v>938</v>
      </c>
      <c r="AG1829" s="3" t="s">
        <v>4249</v>
      </c>
      <c r="AH1829" s="11">
        <f>HYPERLINK("https://my.pitchbook.com?c=205703-02T","View Company Online")</f>
      </c>
    </row>
    <row r="1830">
      <c r="A1830" s="12" t="s">
        <v>10507</v>
      </c>
      <c r="B1830" s="12" t="s">
        <v>3259</v>
      </c>
      <c r="C1830" s="19">
        <v>2</v>
      </c>
      <c r="D1830" s="19">
        <v>4</v>
      </c>
      <c r="E1830" s="19">
        <v>3</v>
      </c>
      <c r="F1830" s="19">
        <v>9</v>
      </c>
      <c r="G1830" s="15" t="s">
        <v>36</v>
      </c>
      <c r="H1830" s="14">
        <v>571.21</v>
      </c>
      <c r="I1830" s="18">
        <v>20.12</v>
      </c>
      <c r="J1830" s="12" t="s">
        <v>521</v>
      </c>
      <c r="K1830" s="13" t="s">
        <v>36</v>
      </c>
      <c r="L1830" s="15" t="s">
        <v>36</v>
      </c>
      <c r="M1830" s="12" t="s">
        <v>36</v>
      </c>
      <c r="N1830" s="12" t="s">
        <v>36</v>
      </c>
      <c r="O1830" s="17" t="s">
        <v>36</v>
      </c>
      <c r="P1830" s="12" t="s">
        <v>36</v>
      </c>
      <c r="Q1830" s="12" t="s">
        <v>36</v>
      </c>
      <c r="R1830" s="12" t="s">
        <v>36</v>
      </c>
      <c r="S1830" s="12" t="s">
        <v>36</v>
      </c>
      <c r="T1830" s="12" t="s">
        <v>881</v>
      </c>
      <c r="U1830" s="12" t="s">
        <v>51</v>
      </c>
      <c r="V1830" s="12" t="s">
        <v>52</v>
      </c>
      <c r="W1830" s="12" t="s">
        <v>3260</v>
      </c>
      <c r="X1830" s="16" t="s">
        <v>10508</v>
      </c>
      <c r="Y1830" s="15" t="s">
        <v>108</v>
      </c>
      <c r="Z1830" s="14">
        <v>0.99</v>
      </c>
      <c r="AA1830" s="14">
        <v>4.92</v>
      </c>
      <c r="AB1830" s="12" t="s">
        <v>56</v>
      </c>
      <c r="AC1830" s="12" t="s">
        <v>3261</v>
      </c>
      <c r="AD1830" s="13">
        <v>44841</v>
      </c>
      <c r="AE1830" s="12" t="s">
        <v>504</v>
      </c>
      <c r="AF1830" s="12" t="s">
        <v>159</v>
      </c>
      <c r="AG1830" s="12" t="s">
        <v>652</v>
      </c>
      <c r="AH1830" s="1">
        <f>HYPERLINK("https://my.pitchbook.com?c=211102-93T","View Company Online")</f>
      </c>
    </row>
    <row r="1831">
      <c r="A1831" s="3" t="s">
        <v>10509</v>
      </c>
      <c r="B1831" s="3" t="s">
        <v>10510</v>
      </c>
      <c r="C1831" s="5" t="s">
        <v>36</v>
      </c>
      <c r="D1831" s="5">
        <v>1</v>
      </c>
      <c r="E1831" s="5">
        <v>1</v>
      </c>
      <c r="F1831" s="5">
        <v>2</v>
      </c>
      <c r="G1831" s="6" t="s">
        <v>2497</v>
      </c>
      <c r="H1831" s="4">
        <v>1.6</v>
      </c>
      <c r="I1831" s="7">
        <v>44.44</v>
      </c>
      <c r="J1831" s="3" t="s">
        <v>521</v>
      </c>
      <c r="K1831" s="9" t="s">
        <v>36</v>
      </c>
      <c r="L1831" s="6" t="s">
        <v>36</v>
      </c>
      <c r="M1831" s="3" t="s">
        <v>36</v>
      </c>
      <c r="N1831" s="3" t="s">
        <v>36</v>
      </c>
      <c r="O1831" s="8" t="s">
        <v>36</v>
      </c>
      <c r="P1831" s="3" t="s">
        <v>36</v>
      </c>
      <c r="Q1831" s="3" t="s">
        <v>36</v>
      </c>
      <c r="R1831" s="3" t="s">
        <v>36</v>
      </c>
      <c r="S1831" s="3" t="s">
        <v>36</v>
      </c>
      <c r="T1831" s="3" t="s">
        <v>10511</v>
      </c>
      <c r="U1831" s="3" t="s">
        <v>366</v>
      </c>
      <c r="V1831" s="3" t="s">
        <v>367</v>
      </c>
      <c r="W1831" s="3" t="s">
        <v>10512</v>
      </c>
      <c r="X1831" s="10" t="s">
        <v>10513</v>
      </c>
      <c r="Y1831" s="6" t="s">
        <v>192</v>
      </c>
      <c r="Z1831" s="4">
        <v>1.98</v>
      </c>
      <c r="AA1831" s="4">
        <v>4.45</v>
      </c>
      <c r="AB1831" s="3" t="s">
        <v>56</v>
      </c>
      <c r="AC1831" s="3" t="s">
        <v>10514</v>
      </c>
      <c r="AD1831" s="9">
        <v>44841</v>
      </c>
      <c r="AE1831" s="3" t="s">
        <v>600</v>
      </c>
      <c r="AF1831" s="3" t="s">
        <v>982</v>
      </c>
      <c r="AG1831" s="3" t="s">
        <v>652</v>
      </c>
      <c r="AH1831" s="11">
        <f>HYPERLINK("https://my.pitchbook.com?c=211100-68T","View Company Online")</f>
      </c>
    </row>
    <row r="1832">
      <c r="A1832" s="12" t="s">
        <v>10515</v>
      </c>
      <c r="B1832" s="12" t="s">
        <v>10516</v>
      </c>
      <c r="C1832" s="19">
        <v>3</v>
      </c>
      <c r="D1832" s="19" t="s">
        <v>36</v>
      </c>
      <c r="E1832" s="19">
        <v>1</v>
      </c>
      <c r="F1832" s="19">
        <v>3</v>
      </c>
      <c r="G1832" s="15" t="s">
        <v>326</v>
      </c>
      <c r="H1832" s="14" t="s">
        <v>36</v>
      </c>
      <c r="I1832" s="18">
        <v>36.13</v>
      </c>
      <c r="J1832" s="12" t="s">
        <v>327</v>
      </c>
      <c r="K1832" s="13" t="s">
        <v>36</v>
      </c>
      <c r="L1832" s="15" t="s">
        <v>36</v>
      </c>
      <c r="M1832" s="12" t="s">
        <v>36</v>
      </c>
      <c r="N1832" s="12" t="s">
        <v>36</v>
      </c>
      <c r="O1832" s="17" t="s">
        <v>36</v>
      </c>
      <c r="P1832" s="12" t="s">
        <v>36</v>
      </c>
      <c r="Q1832" s="12" t="s">
        <v>36</v>
      </c>
      <c r="R1832" s="12" t="s">
        <v>36</v>
      </c>
      <c r="S1832" s="12" t="s">
        <v>36</v>
      </c>
      <c r="T1832" s="12" t="s">
        <v>10517</v>
      </c>
      <c r="U1832" s="12" t="s">
        <v>180</v>
      </c>
      <c r="V1832" s="12" t="s">
        <v>52</v>
      </c>
      <c r="W1832" s="12" t="s">
        <v>10518</v>
      </c>
      <c r="X1832" s="16" t="s">
        <v>10519</v>
      </c>
      <c r="Y1832" s="15" t="s">
        <v>108</v>
      </c>
      <c r="Z1832" s="14">
        <v>9.7</v>
      </c>
      <c r="AA1832" s="14">
        <v>26.84</v>
      </c>
      <c r="AB1832" s="12" t="s">
        <v>56</v>
      </c>
      <c r="AC1832" s="12" t="s">
        <v>10520</v>
      </c>
      <c r="AD1832" s="13">
        <v>44841</v>
      </c>
      <c r="AE1832" s="12" t="s">
        <v>1192</v>
      </c>
      <c r="AF1832" s="12" t="s">
        <v>261</v>
      </c>
      <c r="AG1832" s="12" t="s">
        <v>10521</v>
      </c>
      <c r="AH1832" s="1">
        <f>HYPERLINK("https://my.pitchbook.com?c=205726-24T","View Company Online")</f>
      </c>
    </row>
    <row r="1833">
      <c r="A1833" s="3" t="s">
        <v>10522</v>
      </c>
      <c r="B1833" s="3" t="s">
        <v>10523</v>
      </c>
      <c r="C1833" s="5" t="s">
        <v>36</v>
      </c>
      <c r="D1833" s="5" t="s">
        <v>36</v>
      </c>
      <c r="E1833" s="5" t="s">
        <v>36</v>
      </c>
      <c r="F1833" s="5" t="s">
        <v>36</v>
      </c>
      <c r="G1833" s="6" t="s">
        <v>326</v>
      </c>
      <c r="H1833" s="4">
        <v>372.6</v>
      </c>
      <c r="I1833" s="7">
        <v>15.65</v>
      </c>
      <c r="J1833" s="3" t="s">
        <v>521</v>
      </c>
      <c r="K1833" s="9" t="s">
        <v>36</v>
      </c>
      <c r="L1833" s="6" t="s">
        <v>36</v>
      </c>
      <c r="M1833" s="3" t="s">
        <v>36</v>
      </c>
      <c r="N1833" s="3" t="s">
        <v>36</v>
      </c>
      <c r="O1833" s="8" t="s">
        <v>36</v>
      </c>
      <c r="P1833" s="3" t="s">
        <v>36</v>
      </c>
      <c r="Q1833" s="3" t="s">
        <v>36</v>
      </c>
      <c r="R1833" s="3" t="s">
        <v>36</v>
      </c>
      <c r="S1833" s="3" t="s">
        <v>36</v>
      </c>
      <c r="T1833" s="3" t="s">
        <v>522</v>
      </c>
      <c r="U1833" s="3" t="s">
        <v>38</v>
      </c>
      <c r="V1833" s="3" t="s">
        <v>39</v>
      </c>
      <c r="W1833" s="3" t="s">
        <v>10524</v>
      </c>
      <c r="X1833" s="10" t="s">
        <v>10525</v>
      </c>
      <c r="Y1833" s="6" t="s">
        <v>42</v>
      </c>
      <c r="Z1833" s="4">
        <v>4.95</v>
      </c>
      <c r="AA1833" s="4">
        <v>31.61</v>
      </c>
      <c r="AB1833" s="3" t="s">
        <v>56</v>
      </c>
      <c r="AC1833" s="3" t="s">
        <v>10526</v>
      </c>
      <c r="AD1833" s="9">
        <v>44841</v>
      </c>
      <c r="AE1833" s="3" t="s">
        <v>110</v>
      </c>
      <c r="AF1833" s="3" t="s">
        <v>176</v>
      </c>
      <c r="AG1833" s="3" t="s">
        <v>47</v>
      </c>
      <c r="AH1833" s="11">
        <f>HYPERLINK("https://my.pitchbook.com?c=205700-41T","View Company Online")</f>
      </c>
    </row>
    <row r="1834">
      <c r="A1834" s="12" t="s">
        <v>10527</v>
      </c>
      <c r="B1834" s="12" t="s">
        <v>1195</v>
      </c>
      <c r="C1834" s="19" t="s">
        <v>36</v>
      </c>
      <c r="D1834" s="19" t="s">
        <v>36</v>
      </c>
      <c r="E1834" s="19" t="s">
        <v>36</v>
      </c>
      <c r="F1834" s="19" t="s">
        <v>36</v>
      </c>
      <c r="G1834" s="15" t="s">
        <v>36</v>
      </c>
      <c r="H1834" s="14">
        <v>12.03</v>
      </c>
      <c r="I1834" s="18">
        <v>17.07</v>
      </c>
      <c r="J1834" s="12" t="s">
        <v>521</v>
      </c>
      <c r="K1834" s="13">
        <v>44811</v>
      </c>
      <c r="L1834" s="15" t="s">
        <v>36</v>
      </c>
      <c r="M1834" s="12" t="s">
        <v>36</v>
      </c>
      <c r="N1834" s="12" t="s">
        <v>36</v>
      </c>
      <c r="O1834" s="17" t="s">
        <v>36</v>
      </c>
      <c r="P1834" s="12" t="s">
        <v>36</v>
      </c>
      <c r="Q1834" s="12" t="s">
        <v>36</v>
      </c>
      <c r="R1834" s="12" t="s">
        <v>36</v>
      </c>
      <c r="S1834" s="12" t="s">
        <v>36</v>
      </c>
      <c r="T1834" s="12" t="s">
        <v>1196</v>
      </c>
      <c r="U1834" s="12" t="s">
        <v>38</v>
      </c>
      <c r="V1834" s="12" t="s">
        <v>39</v>
      </c>
      <c r="W1834" s="12" t="s">
        <v>1197</v>
      </c>
      <c r="X1834" s="16" t="s">
        <v>10528</v>
      </c>
      <c r="Y1834" s="15" t="s">
        <v>42</v>
      </c>
      <c r="Z1834" s="14">
        <v>98.97</v>
      </c>
      <c r="AA1834" s="14">
        <v>306.02</v>
      </c>
      <c r="AB1834" s="12" t="s">
        <v>43</v>
      </c>
      <c r="AC1834" s="12" t="s">
        <v>1199</v>
      </c>
      <c r="AD1834" s="13">
        <v>44840</v>
      </c>
      <c r="AE1834" s="12" t="s">
        <v>1200</v>
      </c>
      <c r="AF1834" s="12" t="s">
        <v>1201</v>
      </c>
      <c r="AG1834" s="12" t="s">
        <v>1202</v>
      </c>
      <c r="AH1834" s="1">
        <f>HYPERLINK("https://my.pitchbook.com?c=204518-44T","View Company Online")</f>
      </c>
    </row>
    <row r="1835">
      <c r="A1835" s="3" t="s">
        <v>10529</v>
      </c>
      <c r="B1835" s="3" t="s">
        <v>10530</v>
      </c>
      <c r="C1835" s="5" t="s">
        <v>36</v>
      </c>
      <c r="D1835" s="5" t="s">
        <v>36</v>
      </c>
      <c r="E1835" s="5" t="s">
        <v>36</v>
      </c>
      <c r="F1835" s="5" t="s">
        <v>36</v>
      </c>
      <c r="G1835" s="6" t="s">
        <v>326</v>
      </c>
      <c r="H1835" s="4">
        <v>0.99</v>
      </c>
      <c r="I1835" s="7">
        <v>24.06</v>
      </c>
      <c r="J1835" s="3" t="s">
        <v>521</v>
      </c>
      <c r="K1835" s="9" t="s">
        <v>36</v>
      </c>
      <c r="L1835" s="6" t="s">
        <v>122</v>
      </c>
      <c r="M1835" s="3" t="s">
        <v>36</v>
      </c>
      <c r="N1835" s="3" t="s">
        <v>122</v>
      </c>
      <c r="O1835" s="8" t="s">
        <v>36</v>
      </c>
      <c r="P1835" s="3" t="s">
        <v>36</v>
      </c>
      <c r="Q1835" s="3" t="s">
        <v>36</v>
      </c>
      <c r="R1835" s="3" t="s">
        <v>36</v>
      </c>
      <c r="S1835" s="3" t="s">
        <v>36</v>
      </c>
      <c r="T1835" s="3" t="s">
        <v>4917</v>
      </c>
      <c r="U1835" s="3" t="s">
        <v>38</v>
      </c>
      <c r="V1835" s="3" t="s">
        <v>39</v>
      </c>
      <c r="W1835" s="3" t="s">
        <v>10531</v>
      </c>
      <c r="X1835" s="10" t="s">
        <v>10532</v>
      </c>
      <c r="Y1835" s="6" t="s">
        <v>55</v>
      </c>
      <c r="Z1835" s="4">
        <v>13.86</v>
      </c>
      <c r="AA1835" s="4">
        <v>39.7</v>
      </c>
      <c r="AB1835" s="3" t="s">
        <v>43</v>
      </c>
      <c r="AC1835" s="3" t="s">
        <v>10533</v>
      </c>
      <c r="AD1835" s="9">
        <v>44840</v>
      </c>
      <c r="AE1835" s="3" t="s">
        <v>134</v>
      </c>
      <c r="AF1835" s="3" t="s">
        <v>135</v>
      </c>
      <c r="AG1835" s="3" t="s">
        <v>8217</v>
      </c>
      <c r="AH1835" s="11">
        <f>HYPERLINK("https://my.pitchbook.com?c=205517-53T","View Company Online")</f>
      </c>
    </row>
    <row r="1836">
      <c r="A1836" s="12" t="s">
        <v>10534</v>
      </c>
      <c r="B1836" s="12" t="s">
        <v>10535</v>
      </c>
      <c r="C1836" s="19">
        <v>2</v>
      </c>
      <c r="D1836" s="19">
        <v>42</v>
      </c>
      <c r="E1836" s="19">
        <v>8</v>
      </c>
      <c r="F1836" s="19">
        <v>45</v>
      </c>
      <c r="G1836" s="15" t="s">
        <v>36</v>
      </c>
      <c r="H1836" s="14" t="s">
        <v>36</v>
      </c>
      <c r="I1836" s="18" t="s">
        <v>36</v>
      </c>
      <c r="J1836" s="12" t="s">
        <v>36</v>
      </c>
      <c r="K1836" s="13" t="s">
        <v>36</v>
      </c>
      <c r="L1836" s="15" t="s">
        <v>36</v>
      </c>
      <c r="M1836" s="12" t="s">
        <v>36</v>
      </c>
      <c r="N1836" s="12" t="s">
        <v>36</v>
      </c>
      <c r="O1836" s="17" t="s">
        <v>36</v>
      </c>
      <c r="P1836" s="12" t="s">
        <v>36</v>
      </c>
      <c r="Q1836" s="12" t="s">
        <v>36</v>
      </c>
      <c r="R1836" s="12" t="s">
        <v>36</v>
      </c>
      <c r="S1836" s="12" t="s">
        <v>36</v>
      </c>
      <c r="T1836" s="12" t="s">
        <v>10536</v>
      </c>
      <c r="U1836" s="12" t="s">
        <v>180</v>
      </c>
      <c r="V1836" s="12" t="s">
        <v>52</v>
      </c>
      <c r="W1836" s="12" t="s">
        <v>10537</v>
      </c>
      <c r="X1836" s="16" t="s">
        <v>10302</v>
      </c>
      <c r="Y1836" s="15" t="s">
        <v>55</v>
      </c>
      <c r="Z1836" s="14">
        <v>6.34</v>
      </c>
      <c r="AA1836" s="14" t="s">
        <v>36</v>
      </c>
      <c r="AB1836" s="12" t="s">
        <v>56</v>
      </c>
      <c r="AC1836" s="12" t="s">
        <v>10538</v>
      </c>
      <c r="AD1836" s="13">
        <v>44839</v>
      </c>
      <c r="AE1836" s="12" t="s">
        <v>10539</v>
      </c>
      <c r="AF1836" s="12" t="s">
        <v>756</v>
      </c>
      <c r="AG1836" s="12" t="s">
        <v>10540</v>
      </c>
      <c r="AH1836" s="1">
        <f>HYPERLINK("https://my.pitchbook.com?c=205698-79T","View Company Online")</f>
      </c>
    </row>
    <row r="1837">
      <c r="A1837" s="3" t="s">
        <v>10541</v>
      </c>
      <c r="B1837" s="3" t="s">
        <v>10542</v>
      </c>
      <c r="C1837" s="5" t="s">
        <v>36</v>
      </c>
      <c r="D1837" s="5" t="s">
        <v>36</v>
      </c>
      <c r="E1837" s="5" t="s">
        <v>36</v>
      </c>
      <c r="F1837" s="5" t="s">
        <v>36</v>
      </c>
      <c r="G1837" s="6" t="s">
        <v>36</v>
      </c>
      <c r="H1837" s="4" t="s">
        <v>36</v>
      </c>
      <c r="I1837" s="7">
        <v>35.06</v>
      </c>
      <c r="J1837" s="3" t="s">
        <v>327</v>
      </c>
      <c r="K1837" s="9" t="s">
        <v>36</v>
      </c>
      <c r="L1837" s="6" t="s">
        <v>122</v>
      </c>
      <c r="M1837" s="3" t="s">
        <v>36</v>
      </c>
      <c r="N1837" s="3" t="s">
        <v>122</v>
      </c>
      <c r="O1837" s="8" t="s">
        <v>36</v>
      </c>
      <c r="P1837" s="3" t="s">
        <v>36</v>
      </c>
      <c r="Q1837" s="3" t="s">
        <v>36</v>
      </c>
      <c r="R1837" s="3" t="s">
        <v>36</v>
      </c>
      <c r="S1837" s="3" t="s">
        <v>36</v>
      </c>
      <c r="T1837" s="3" t="s">
        <v>583</v>
      </c>
      <c r="U1837" s="3" t="s">
        <v>423</v>
      </c>
      <c r="V1837" s="3" t="s">
        <v>64</v>
      </c>
      <c r="W1837" s="3" t="s">
        <v>10543</v>
      </c>
      <c r="X1837" s="10" t="s">
        <v>10544</v>
      </c>
      <c r="Y1837" s="6" t="s">
        <v>166</v>
      </c>
      <c r="Z1837" s="4">
        <v>47.51</v>
      </c>
      <c r="AA1837" s="4">
        <v>135.54</v>
      </c>
      <c r="AB1837" s="3" t="s">
        <v>43</v>
      </c>
      <c r="AC1837" s="3" t="s">
        <v>10545</v>
      </c>
      <c r="AD1837" s="9">
        <v>44839</v>
      </c>
      <c r="AE1837" s="3" t="s">
        <v>562</v>
      </c>
      <c r="AF1837" s="3" t="s">
        <v>938</v>
      </c>
      <c r="AG1837" s="3" t="s">
        <v>81</v>
      </c>
      <c r="AH1837" s="11">
        <f>HYPERLINK("https://my.pitchbook.com?c=205414-75T","View Company Online")</f>
      </c>
    </row>
    <row r="1838">
      <c r="A1838" s="12" t="s">
        <v>10546</v>
      </c>
      <c r="B1838" s="12" t="s">
        <v>10547</v>
      </c>
      <c r="C1838" s="19" t="s">
        <v>36</v>
      </c>
      <c r="D1838" s="19" t="s">
        <v>36</v>
      </c>
      <c r="E1838" s="19" t="s">
        <v>36</v>
      </c>
      <c r="F1838" s="19" t="s">
        <v>36</v>
      </c>
      <c r="G1838" s="15" t="s">
        <v>326</v>
      </c>
      <c r="H1838" s="14">
        <v>4.05</v>
      </c>
      <c r="I1838" s="18">
        <v>20.12</v>
      </c>
      <c r="J1838" s="12" t="s">
        <v>521</v>
      </c>
      <c r="K1838" s="13" t="s">
        <v>36</v>
      </c>
      <c r="L1838" s="15" t="s">
        <v>36</v>
      </c>
      <c r="M1838" s="12" t="s">
        <v>36</v>
      </c>
      <c r="N1838" s="12" t="s">
        <v>36</v>
      </c>
      <c r="O1838" s="17" t="s">
        <v>36</v>
      </c>
      <c r="P1838" s="12" t="s">
        <v>36</v>
      </c>
      <c r="Q1838" s="12" t="s">
        <v>36</v>
      </c>
      <c r="R1838" s="12" t="s">
        <v>36</v>
      </c>
      <c r="S1838" s="12" t="s">
        <v>36</v>
      </c>
      <c r="T1838" s="12" t="s">
        <v>422</v>
      </c>
      <c r="U1838" s="12" t="s">
        <v>423</v>
      </c>
      <c r="V1838" s="12" t="s">
        <v>64</v>
      </c>
      <c r="W1838" s="12" t="s">
        <v>10548</v>
      </c>
      <c r="X1838" s="16" t="s">
        <v>10549</v>
      </c>
      <c r="Y1838" s="15" t="s">
        <v>42</v>
      </c>
      <c r="Z1838" s="14">
        <v>1.1</v>
      </c>
      <c r="AA1838" s="14">
        <v>5.46</v>
      </c>
      <c r="AB1838" s="12" t="s">
        <v>43</v>
      </c>
      <c r="AC1838" s="12" t="s">
        <v>10550</v>
      </c>
      <c r="AD1838" s="13">
        <v>44839</v>
      </c>
      <c r="AE1838" s="12" t="s">
        <v>427</v>
      </c>
      <c r="AF1838" s="12" t="s">
        <v>90</v>
      </c>
      <c r="AG1838" s="12" t="s">
        <v>10551</v>
      </c>
      <c r="AH1838" s="1">
        <f>HYPERLINK("https://my.pitchbook.com?c=205421-23T","View Company Online")</f>
      </c>
    </row>
    <row r="1839">
      <c r="A1839" s="3" t="s">
        <v>10552</v>
      </c>
      <c r="B1839" s="3" t="s">
        <v>10553</v>
      </c>
      <c r="C1839" s="5">
        <v>3</v>
      </c>
      <c r="D1839" s="5">
        <v>7</v>
      </c>
      <c r="E1839" s="5">
        <v>2</v>
      </c>
      <c r="F1839" s="5">
        <v>10</v>
      </c>
      <c r="G1839" s="6" t="s">
        <v>36</v>
      </c>
      <c r="H1839" s="4" t="s">
        <v>36</v>
      </c>
      <c r="I1839" s="7">
        <v>20.17</v>
      </c>
      <c r="J1839" s="3" t="s">
        <v>327</v>
      </c>
      <c r="K1839" s="9" t="s">
        <v>36</v>
      </c>
      <c r="L1839" s="6" t="s">
        <v>36</v>
      </c>
      <c r="M1839" s="3" t="s">
        <v>36</v>
      </c>
      <c r="N1839" s="3" t="s">
        <v>36</v>
      </c>
      <c r="O1839" s="8" t="s">
        <v>36</v>
      </c>
      <c r="P1839" s="3" t="s">
        <v>36</v>
      </c>
      <c r="Q1839" s="3" t="s">
        <v>36</v>
      </c>
      <c r="R1839" s="3" t="s">
        <v>36</v>
      </c>
      <c r="S1839" s="3" t="s">
        <v>36</v>
      </c>
      <c r="T1839" s="3" t="s">
        <v>10554</v>
      </c>
      <c r="U1839" s="3" t="s">
        <v>366</v>
      </c>
      <c r="V1839" s="3" t="s">
        <v>367</v>
      </c>
      <c r="W1839" s="3" t="s">
        <v>10555</v>
      </c>
      <c r="X1839" s="10" t="s">
        <v>10556</v>
      </c>
      <c r="Y1839" s="6" t="s">
        <v>42</v>
      </c>
      <c r="Z1839" s="4">
        <v>3.96</v>
      </c>
      <c r="AA1839" s="4">
        <v>19.63</v>
      </c>
      <c r="AB1839" s="3" t="s">
        <v>56</v>
      </c>
      <c r="AC1839" s="3" t="s">
        <v>10557</v>
      </c>
      <c r="AD1839" s="9">
        <v>44839</v>
      </c>
      <c r="AE1839" s="3" t="s">
        <v>7565</v>
      </c>
      <c r="AF1839" s="3" t="s">
        <v>10558</v>
      </c>
      <c r="AG1839" s="3" t="s">
        <v>10559</v>
      </c>
      <c r="AH1839" s="11">
        <f>HYPERLINK("https://my.pitchbook.com?c=205422-13T","View Company Online")</f>
      </c>
    </row>
    <row r="1840">
      <c r="A1840" s="12" t="s">
        <v>10560</v>
      </c>
      <c r="B1840" s="12" t="s">
        <v>10561</v>
      </c>
      <c r="C1840" s="19">
        <v>6</v>
      </c>
      <c r="D1840" s="19">
        <v>5</v>
      </c>
      <c r="E1840" s="19">
        <v>6</v>
      </c>
      <c r="F1840" s="19">
        <v>14</v>
      </c>
      <c r="G1840" s="15" t="s">
        <v>36</v>
      </c>
      <c r="H1840" s="14">
        <v>70.62</v>
      </c>
      <c r="I1840" s="18">
        <v>20</v>
      </c>
      <c r="J1840" s="12" t="s">
        <v>521</v>
      </c>
      <c r="K1840" s="13" t="s">
        <v>36</v>
      </c>
      <c r="L1840" s="15" t="s">
        <v>122</v>
      </c>
      <c r="M1840" s="12" t="s">
        <v>36</v>
      </c>
      <c r="N1840" s="12" t="s">
        <v>122</v>
      </c>
      <c r="O1840" s="17" t="s">
        <v>36</v>
      </c>
      <c r="P1840" s="12" t="s">
        <v>36</v>
      </c>
      <c r="Q1840" s="12" t="s">
        <v>36</v>
      </c>
      <c r="R1840" s="12" t="s">
        <v>36</v>
      </c>
      <c r="S1840" s="12" t="s">
        <v>36</v>
      </c>
      <c r="T1840" s="12" t="s">
        <v>2213</v>
      </c>
      <c r="U1840" s="12" t="s">
        <v>219</v>
      </c>
      <c r="V1840" s="12" t="s">
        <v>75</v>
      </c>
      <c r="W1840" s="12" t="s">
        <v>10562</v>
      </c>
      <c r="X1840" s="16" t="s">
        <v>10563</v>
      </c>
      <c r="Y1840" s="15" t="s">
        <v>42</v>
      </c>
      <c r="Z1840" s="14">
        <v>9.7</v>
      </c>
      <c r="AA1840" s="14">
        <v>37.12</v>
      </c>
      <c r="AB1840" s="12" t="s">
        <v>56</v>
      </c>
      <c r="AC1840" s="12" t="s">
        <v>10564</v>
      </c>
      <c r="AD1840" s="13">
        <v>44839</v>
      </c>
      <c r="AE1840" s="12" t="s">
        <v>1912</v>
      </c>
      <c r="AF1840" s="12" t="s">
        <v>1969</v>
      </c>
      <c r="AG1840" s="12" t="s">
        <v>10565</v>
      </c>
      <c r="AH1840" s="1">
        <f>HYPERLINK("https://my.pitchbook.com?c=206833-06T","View Company Online")</f>
      </c>
    </row>
    <row r="1841">
      <c r="A1841" s="3" t="s">
        <v>10566</v>
      </c>
      <c r="B1841" s="3" t="s">
        <v>10567</v>
      </c>
      <c r="C1841" s="5" t="s">
        <v>36</v>
      </c>
      <c r="D1841" s="5">
        <v>2</v>
      </c>
      <c r="E1841" s="5">
        <v>1</v>
      </c>
      <c r="F1841" s="5">
        <v>2</v>
      </c>
      <c r="G1841" s="6" t="s">
        <v>326</v>
      </c>
      <c r="H1841" s="4">
        <v>6.24</v>
      </c>
      <c r="I1841" s="7">
        <v>30.09</v>
      </c>
      <c r="J1841" s="3" t="s">
        <v>521</v>
      </c>
      <c r="K1841" s="9" t="s">
        <v>36</v>
      </c>
      <c r="L1841" s="6" t="s">
        <v>94</v>
      </c>
      <c r="M1841" s="3" t="s">
        <v>36</v>
      </c>
      <c r="N1841" s="3" t="s">
        <v>94</v>
      </c>
      <c r="O1841" s="8" t="s">
        <v>36</v>
      </c>
      <c r="P1841" s="3" t="s">
        <v>36</v>
      </c>
      <c r="Q1841" s="3" t="s">
        <v>36</v>
      </c>
      <c r="R1841" s="3" t="s">
        <v>36</v>
      </c>
      <c r="S1841" s="3" t="s">
        <v>36</v>
      </c>
      <c r="T1841" s="3" t="s">
        <v>8371</v>
      </c>
      <c r="U1841" s="3" t="s">
        <v>1082</v>
      </c>
      <c r="V1841" s="3" t="s">
        <v>378</v>
      </c>
      <c r="W1841" s="3" t="s">
        <v>10568</v>
      </c>
      <c r="X1841" s="10" t="s">
        <v>10569</v>
      </c>
      <c r="Y1841" s="6" t="s">
        <v>108</v>
      </c>
      <c r="Z1841" s="4">
        <v>3.47</v>
      </c>
      <c r="AA1841" s="4">
        <v>4.96</v>
      </c>
      <c r="AB1841" s="3" t="s">
        <v>56</v>
      </c>
      <c r="AC1841" s="3" t="s">
        <v>10570</v>
      </c>
      <c r="AD1841" s="9">
        <v>44838</v>
      </c>
      <c r="AE1841" s="3" t="s">
        <v>7876</v>
      </c>
      <c r="AF1841" s="3" t="s">
        <v>1969</v>
      </c>
      <c r="AG1841" s="3" t="s">
        <v>9344</v>
      </c>
      <c r="AH1841" s="11">
        <f>HYPERLINK("https://my.pitchbook.com?c=205590-97T","View Company Online")</f>
      </c>
    </row>
    <row r="1842">
      <c r="A1842" s="12" t="s">
        <v>10571</v>
      </c>
      <c r="B1842" s="12" t="s">
        <v>10572</v>
      </c>
      <c r="C1842" s="19" t="s">
        <v>36</v>
      </c>
      <c r="D1842" s="19" t="s">
        <v>36</v>
      </c>
      <c r="E1842" s="19" t="s">
        <v>36</v>
      </c>
      <c r="F1842" s="19" t="s">
        <v>36</v>
      </c>
      <c r="G1842" s="15" t="s">
        <v>326</v>
      </c>
      <c r="H1842" s="14" t="s">
        <v>36</v>
      </c>
      <c r="I1842" s="18">
        <v>22.48</v>
      </c>
      <c r="J1842" s="12" t="s">
        <v>327</v>
      </c>
      <c r="K1842" s="13">
        <v>44834</v>
      </c>
      <c r="L1842" s="15" t="s">
        <v>94</v>
      </c>
      <c r="M1842" s="12" t="s">
        <v>36</v>
      </c>
      <c r="N1842" s="12" t="s">
        <v>94</v>
      </c>
      <c r="O1842" s="17" t="s">
        <v>36</v>
      </c>
      <c r="P1842" s="12" t="s">
        <v>36</v>
      </c>
      <c r="Q1842" s="12" t="s">
        <v>36</v>
      </c>
      <c r="R1842" s="12" t="s">
        <v>36</v>
      </c>
      <c r="S1842" s="12" t="s">
        <v>36</v>
      </c>
      <c r="T1842" s="12" t="s">
        <v>4917</v>
      </c>
      <c r="U1842" s="12" t="s">
        <v>38</v>
      </c>
      <c r="V1842" s="12" t="s">
        <v>39</v>
      </c>
      <c r="W1842" s="12" t="s">
        <v>10573</v>
      </c>
      <c r="X1842" s="16" t="s">
        <v>10574</v>
      </c>
      <c r="Y1842" s="15" t="s">
        <v>55</v>
      </c>
      <c r="Z1842" s="14">
        <v>19.6</v>
      </c>
      <c r="AA1842" s="14">
        <v>88.09</v>
      </c>
      <c r="AB1842" s="12" t="s">
        <v>43</v>
      </c>
      <c r="AC1842" s="12" t="s">
        <v>10575</v>
      </c>
      <c r="AD1842" s="13">
        <v>44837</v>
      </c>
      <c r="AE1842" s="12" t="s">
        <v>134</v>
      </c>
      <c r="AF1842" s="12" t="s">
        <v>10576</v>
      </c>
      <c r="AG1842" s="12" t="s">
        <v>81</v>
      </c>
      <c r="AH1842" s="1">
        <f>HYPERLINK("https://my.pitchbook.com?c=205240-15T","View Company Online")</f>
      </c>
    </row>
    <row r="1843">
      <c r="A1843" s="3" t="s">
        <v>10577</v>
      </c>
      <c r="B1843" s="3" t="s">
        <v>10578</v>
      </c>
      <c r="C1843" s="5" t="s">
        <v>36</v>
      </c>
      <c r="D1843" s="5" t="s">
        <v>36</v>
      </c>
      <c r="E1843" s="5" t="s">
        <v>36</v>
      </c>
      <c r="F1843" s="5" t="s">
        <v>36</v>
      </c>
      <c r="G1843" s="6" t="s">
        <v>36</v>
      </c>
      <c r="H1843" s="4">
        <v>138.13</v>
      </c>
      <c r="I1843" s="7">
        <v>20.05</v>
      </c>
      <c r="J1843" s="3" t="s">
        <v>521</v>
      </c>
      <c r="K1843" s="9" t="s">
        <v>36</v>
      </c>
      <c r="L1843" s="6" t="s">
        <v>36</v>
      </c>
      <c r="M1843" s="3" t="s">
        <v>36</v>
      </c>
      <c r="N1843" s="3" t="s">
        <v>36</v>
      </c>
      <c r="O1843" s="8" t="s">
        <v>36</v>
      </c>
      <c r="P1843" s="3" t="s">
        <v>36</v>
      </c>
      <c r="Q1843" s="3" t="s">
        <v>36</v>
      </c>
      <c r="R1843" s="3" t="s">
        <v>36</v>
      </c>
      <c r="S1843" s="3" t="s">
        <v>36</v>
      </c>
      <c r="T1843" s="3" t="s">
        <v>5576</v>
      </c>
      <c r="U1843" s="3" t="s">
        <v>38</v>
      </c>
      <c r="V1843" s="3" t="s">
        <v>39</v>
      </c>
      <c r="W1843" s="3" t="s">
        <v>10579</v>
      </c>
      <c r="X1843" s="10" t="s">
        <v>10580</v>
      </c>
      <c r="Y1843" s="6" t="s">
        <v>42</v>
      </c>
      <c r="Z1843" s="4">
        <v>0.99</v>
      </c>
      <c r="AA1843" s="4">
        <v>4.95</v>
      </c>
      <c r="AB1843" s="3" t="s">
        <v>43</v>
      </c>
      <c r="AC1843" s="3" t="s">
        <v>10581</v>
      </c>
      <c r="AD1843" s="9">
        <v>44835</v>
      </c>
      <c r="AE1843" s="3" t="s">
        <v>110</v>
      </c>
      <c r="AF1843" s="3" t="s">
        <v>331</v>
      </c>
      <c r="AG1843" s="3" t="s">
        <v>81</v>
      </c>
      <c r="AH1843" s="11">
        <f>HYPERLINK("https://my.pitchbook.com?c=207108-91T","View Company Online")</f>
      </c>
    </row>
    <row r="1844">
      <c r="A1844" s="12" t="s">
        <v>10582</v>
      </c>
      <c r="B1844" s="12" t="s">
        <v>10583</v>
      </c>
      <c r="C1844" s="19" t="s">
        <v>36</v>
      </c>
      <c r="D1844" s="19" t="s">
        <v>36</v>
      </c>
      <c r="E1844" s="19" t="s">
        <v>36</v>
      </c>
      <c r="F1844" s="19" t="s">
        <v>36</v>
      </c>
      <c r="G1844" s="15" t="s">
        <v>36</v>
      </c>
      <c r="H1844" s="14" t="s">
        <v>36</v>
      </c>
      <c r="I1844" s="18" t="s">
        <v>36</v>
      </c>
      <c r="J1844" s="12" t="s">
        <v>36</v>
      </c>
      <c r="K1844" s="13" t="s">
        <v>36</v>
      </c>
      <c r="L1844" s="15" t="s">
        <v>36</v>
      </c>
      <c r="M1844" s="12" t="s">
        <v>36</v>
      </c>
      <c r="N1844" s="12" t="s">
        <v>36</v>
      </c>
      <c r="O1844" s="17" t="s">
        <v>36</v>
      </c>
      <c r="P1844" s="12" t="s">
        <v>36</v>
      </c>
      <c r="Q1844" s="12" t="s">
        <v>36</v>
      </c>
      <c r="R1844" s="12" t="s">
        <v>36</v>
      </c>
      <c r="S1844" s="12" t="s">
        <v>36</v>
      </c>
      <c r="T1844" s="12" t="s">
        <v>464</v>
      </c>
      <c r="U1844" s="12" t="s">
        <v>38</v>
      </c>
      <c r="V1844" s="12" t="s">
        <v>39</v>
      </c>
      <c r="W1844" s="12" t="s">
        <v>10584</v>
      </c>
      <c r="X1844" s="16" t="s">
        <v>10585</v>
      </c>
      <c r="Y1844" s="15" t="s">
        <v>166</v>
      </c>
      <c r="Z1844" s="14" t="s">
        <v>36</v>
      </c>
      <c r="AA1844" s="14" t="s">
        <v>36</v>
      </c>
      <c r="AB1844" s="12" t="s">
        <v>56</v>
      </c>
      <c r="AC1844" s="12" t="s">
        <v>10586</v>
      </c>
      <c r="AD1844" s="13">
        <v>44835</v>
      </c>
      <c r="AE1844" s="12" t="s">
        <v>110</v>
      </c>
      <c r="AF1844" s="12" t="s">
        <v>468</v>
      </c>
      <c r="AG1844" s="12" t="s">
        <v>81</v>
      </c>
      <c r="AH1844" s="1">
        <f>HYPERLINK("https://my.pitchbook.com?c=206803-63T","View Company Online")</f>
      </c>
    </row>
    <row r="1845">
      <c r="A1845" s="3" t="s">
        <v>10587</v>
      </c>
      <c r="B1845" s="3" t="s">
        <v>10588</v>
      </c>
      <c r="C1845" s="5" t="s">
        <v>36</v>
      </c>
      <c r="D1845" s="5" t="s">
        <v>36</v>
      </c>
      <c r="E1845" s="5" t="s">
        <v>36</v>
      </c>
      <c r="F1845" s="5" t="s">
        <v>36</v>
      </c>
      <c r="G1845" s="6" t="s">
        <v>36</v>
      </c>
      <c r="H1845" s="4" t="s">
        <v>36</v>
      </c>
      <c r="I1845" s="7" t="s">
        <v>36</v>
      </c>
      <c r="J1845" s="3" t="s">
        <v>36</v>
      </c>
      <c r="K1845" s="9" t="s">
        <v>36</v>
      </c>
      <c r="L1845" s="6" t="s">
        <v>122</v>
      </c>
      <c r="M1845" s="3" t="s">
        <v>36</v>
      </c>
      <c r="N1845" s="3" t="s">
        <v>122</v>
      </c>
      <c r="O1845" s="8" t="s">
        <v>36</v>
      </c>
      <c r="P1845" s="3" t="s">
        <v>36</v>
      </c>
      <c r="Q1845" s="3" t="s">
        <v>36</v>
      </c>
      <c r="R1845" s="3" t="s">
        <v>36</v>
      </c>
      <c r="S1845" s="3" t="s">
        <v>36</v>
      </c>
      <c r="T1845" s="3" t="s">
        <v>10589</v>
      </c>
      <c r="U1845" s="3" t="s">
        <v>38</v>
      </c>
      <c r="V1845" s="3" t="s">
        <v>39</v>
      </c>
      <c r="W1845" s="3" t="s">
        <v>10590</v>
      </c>
      <c r="X1845" s="10" t="s">
        <v>10591</v>
      </c>
      <c r="Y1845" s="6" t="s">
        <v>108</v>
      </c>
      <c r="Z1845" s="4">
        <v>5.95</v>
      </c>
      <c r="AA1845" s="4" t="s">
        <v>36</v>
      </c>
      <c r="AB1845" s="3" t="s">
        <v>43</v>
      </c>
      <c r="AC1845" s="3" t="s">
        <v>10592</v>
      </c>
      <c r="AD1845" s="9">
        <v>44835</v>
      </c>
      <c r="AE1845" s="3" t="s">
        <v>110</v>
      </c>
      <c r="AF1845" s="3" t="s">
        <v>176</v>
      </c>
      <c r="AG1845" s="3" t="s">
        <v>969</v>
      </c>
      <c r="AH1845" s="11">
        <f>HYPERLINK("https://my.pitchbook.com?c=208882-09T","View Company Online")</f>
      </c>
    </row>
    <row r="1846">
      <c r="A1846" s="12" t="s">
        <v>10593</v>
      </c>
      <c r="B1846" s="12" t="s">
        <v>10594</v>
      </c>
      <c r="C1846" s="19" t="s">
        <v>36</v>
      </c>
      <c r="D1846" s="19">
        <v>4</v>
      </c>
      <c r="E1846" s="19">
        <v>2</v>
      </c>
      <c r="F1846" s="19">
        <v>5</v>
      </c>
      <c r="G1846" s="15" t="s">
        <v>36</v>
      </c>
      <c r="H1846" s="14" t="s">
        <v>36</v>
      </c>
      <c r="I1846" s="18" t="s">
        <v>36</v>
      </c>
      <c r="J1846" s="12" t="s">
        <v>36</v>
      </c>
      <c r="K1846" s="13" t="s">
        <v>36</v>
      </c>
      <c r="L1846" s="15" t="s">
        <v>36</v>
      </c>
      <c r="M1846" s="12" t="s">
        <v>36</v>
      </c>
      <c r="N1846" s="12" t="s">
        <v>36</v>
      </c>
      <c r="O1846" s="17" t="s">
        <v>36</v>
      </c>
      <c r="P1846" s="12" t="s">
        <v>36</v>
      </c>
      <c r="Q1846" s="12" t="s">
        <v>36</v>
      </c>
      <c r="R1846" s="12" t="s">
        <v>36</v>
      </c>
      <c r="S1846" s="12" t="s">
        <v>36</v>
      </c>
      <c r="T1846" s="12" t="s">
        <v>5518</v>
      </c>
      <c r="U1846" s="12" t="s">
        <v>318</v>
      </c>
      <c r="V1846" s="12" t="s">
        <v>39</v>
      </c>
      <c r="W1846" s="12" t="s">
        <v>10595</v>
      </c>
      <c r="X1846" s="16" t="s">
        <v>10596</v>
      </c>
      <c r="Y1846" s="15" t="s">
        <v>108</v>
      </c>
      <c r="Z1846" s="14" t="s">
        <v>36</v>
      </c>
      <c r="AA1846" s="14" t="s">
        <v>36</v>
      </c>
      <c r="AB1846" s="12" t="s">
        <v>56</v>
      </c>
      <c r="AC1846" s="12" t="s">
        <v>10597</v>
      </c>
      <c r="AD1846" s="13">
        <v>44835</v>
      </c>
      <c r="AE1846" s="12" t="s">
        <v>763</v>
      </c>
      <c r="AF1846" s="12" t="s">
        <v>10598</v>
      </c>
      <c r="AG1846" s="12" t="s">
        <v>81</v>
      </c>
      <c r="AH1846" s="1">
        <f>HYPERLINK("https://my.pitchbook.com?c=215369-02T","View Company Online")</f>
      </c>
    </row>
    <row r="1847">
      <c r="A1847" s="3" t="s">
        <v>10599</v>
      </c>
      <c r="B1847" s="3" t="s">
        <v>10600</v>
      </c>
      <c r="C1847" s="5">
        <v>3</v>
      </c>
      <c r="D1847" s="5" t="s">
        <v>36</v>
      </c>
      <c r="E1847" s="5">
        <v>1</v>
      </c>
      <c r="F1847" s="5">
        <v>3</v>
      </c>
      <c r="G1847" s="6" t="s">
        <v>326</v>
      </c>
      <c r="H1847" s="4">
        <v>13.38</v>
      </c>
      <c r="I1847" s="7">
        <v>21.44</v>
      </c>
      <c r="J1847" s="3" t="s">
        <v>521</v>
      </c>
      <c r="K1847" s="9" t="s">
        <v>36</v>
      </c>
      <c r="L1847" s="6" t="s">
        <v>94</v>
      </c>
      <c r="M1847" s="3" t="s">
        <v>36</v>
      </c>
      <c r="N1847" s="3" t="s">
        <v>94</v>
      </c>
      <c r="O1847" s="8" t="s">
        <v>36</v>
      </c>
      <c r="P1847" s="3" t="s">
        <v>36</v>
      </c>
      <c r="Q1847" s="3" t="s">
        <v>36</v>
      </c>
      <c r="R1847" s="3" t="s">
        <v>36</v>
      </c>
      <c r="S1847" s="3" t="s">
        <v>36</v>
      </c>
      <c r="T1847" s="3" t="s">
        <v>1260</v>
      </c>
      <c r="U1847" s="3" t="s">
        <v>38</v>
      </c>
      <c r="V1847" s="3" t="s">
        <v>39</v>
      </c>
      <c r="W1847" s="3" t="s">
        <v>10601</v>
      </c>
      <c r="X1847" s="10" t="s">
        <v>10602</v>
      </c>
      <c r="Y1847" s="6" t="s">
        <v>166</v>
      </c>
      <c r="Z1847" s="4">
        <v>9.91</v>
      </c>
      <c r="AA1847" s="4">
        <v>36.98</v>
      </c>
      <c r="AB1847" s="3" t="s">
        <v>56</v>
      </c>
      <c r="AC1847" s="3" t="s">
        <v>10603</v>
      </c>
      <c r="AD1847" s="9">
        <v>44835</v>
      </c>
      <c r="AE1847" s="3" t="s">
        <v>110</v>
      </c>
      <c r="AF1847" s="3" t="s">
        <v>526</v>
      </c>
      <c r="AG1847" s="3" t="s">
        <v>81</v>
      </c>
      <c r="AH1847" s="11">
        <f>HYPERLINK("https://my.pitchbook.com?c=209328-58T","View Company Online")</f>
      </c>
    </row>
    <row r="1848">
      <c r="A1848" s="12" t="s">
        <v>10604</v>
      </c>
      <c r="B1848" s="12" t="s">
        <v>10605</v>
      </c>
      <c r="C1848" s="19">
        <v>6</v>
      </c>
      <c r="D1848" s="19">
        <v>2</v>
      </c>
      <c r="E1848" s="19">
        <v>4</v>
      </c>
      <c r="F1848" s="19">
        <v>9</v>
      </c>
      <c r="G1848" s="15" t="s">
        <v>326</v>
      </c>
      <c r="H1848" s="14" t="s">
        <v>36</v>
      </c>
      <c r="I1848" s="18">
        <v>24.46</v>
      </c>
      <c r="J1848" s="12" t="s">
        <v>327</v>
      </c>
      <c r="K1848" s="13" t="s">
        <v>36</v>
      </c>
      <c r="L1848" s="15" t="s">
        <v>122</v>
      </c>
      <c r="M1848" s="12" t="s">
        <v>36</v>
      </c>
      <c r="N1848" s="12" t="s">
        <v>122</v>
      </c>
      <c r="O1848" s="17" t="s">
        <v>36</v>
      </c>
      <c r="P1848" s="12" t="s">
        <v>36</v>
      </c>
      <c r="Q1848" s="12" t="s">
        <v>36</v>
      </c>
      <c r="R1848" s="12" t="s">
        <v>36</v>
      </c>
      <c r="S1848" s="12" t="s">
        <v>36</v>
      </c>
      <c r="T1848" s="12" t="s">
        <v>10606</v>
      </c>
      <c r="U1848" s="12" t="s">
        <v>377</v>
      </c>
      <c r="V1848" s="12" t="s">
        <v>378</v>
      </c>
      <c r="W1848" s="12" t="s">
        <v>10607</v>
      </c>
      <c r="X1848" s="16" t="s">
        <v>10608</v>
      </c>
      <c r="Y1848" s="15" t="s">
        <v>108</v>
      </c>
      <c r="Z1848" s="14">
        <v>35.38</v>
      </c>
      <c r="AA1848" s="14">
        <v>144.63</v>
      </c>
      <c r="AB1848" s="12" t="s">
        <v>43</v>
      </c>
      <c r="AC1848" s="12" t="s">
        <v>10609</v>
      </c>
      <c r="AD1848" s="13">
        <v>44835</v>
      </c>
      <c r="AE1848" s="12" t="s">
        <v>377</v>
      </c>
      <c r="AF1848" s="12" t="s">
        <v>931</v>
      </c>
      <c r="AG1848" s="12" t="s">
        <v>81</v>
      </c>
      <c r="AH1848" s="1">
        <f>HYPERLINK("https://my.pitchbook.com?c=207410-41T","View Company Online")</f>
      </c>
    </row>
    <row r="1849">
      <c r="A1849" s="3" t="s">
        <v>10610</v>
      </c>
      <c r="B1849" s="3" t="s">
        <v>10611</v>
      </c>
      <c r="C1849" s="5" t="s">
        <v>36</v>
      </c>
      <c r="D1849" s="5" t="s">
        <v>36</v>
      </c>
      <c r="E1849" s="5" t="s">
        <v>36</v>
      </c>
      <c r="F1849" s="5" t="s">
        <v>36</v>
      </c>
      <c r="G1849" s="6" t="s">
        <v>36</v>
      </c>
      <c r="H1849" s="4" t="s">
        <v>36</v>
      </c>
      <c r="I1849" s="7" t="s">
        <v>36</v>
      </c>
      <c r="J1849" s="3" t="s">
        <v>36</v>
      </c>
      <c r="K1849" s="9" t="s">
        <v>36</v>
      </c>
      <c r="L1849" s="6" t="s">
        <v>36</v>
      </c>
      <c r="M1849" s="3" t="s">
        <v>36</v>
      </c>
      <c r="N1849" s="3" t="s">
        <v>36</v>
      </c>
      <c r="O1849" s="8" t="s">
        <v>36</v>
      </c>
      <c r="P1849" s="3" t="s">
        <v>36</v>
      </c>
      <c r="Q1849" s="3" t="s">
        <v>36</v>
      </c>
      <c r="R1849" s="3" t="s">
        <v>36</v>
      </c>
      <c r="S1849" s="3" t="s">
        <v>36</v>
      </c>
      <c r="T1849" s="3" t="s">
        <v>768</v>
      </c>
      <c r="U1849" s="3" t="s">
        <v>233</v>
      </c>
      <c r="V1849" s="3" t="s">
        <v>39</v>
      </c>
      <c r="W1849" s="3" t="s">
        <v>10612</v>
      </c>
      <c r="X1849" s="10" t="s">
        <v>5686</v>
      </c>
      <c r="Y1849" s="6" t="s">
        <v>42</v>
      </c>
      <c r="Z1849" s="4" t="s">
        <v>36</v>
      </c>
      <c r="AA1849" s="4" t="s">
        <v>36</v>
      </c>
      <c r="AB1849" s="3" t="s">
        <v>43</v>
      </c>
      <c r="AC1849" s="3" t="s">
        <v>10613</v>
      </c>
      <c r="AD1849" s="9">
        <v>44835</v>
      </c>
      <c r="AE1849" s="3" t="s">
        <v>236</v>
      </c>
      <c r="AF1849" s="3" t="s">
        <v>275</v>
      </c>
      <c r="AG1849" s="3" t="s">
        <v>10614</v>
      </c>
      <c r="AH1849" s="11">
        <f>HYPERLINK("https://my.pitchbook.com?c=247441-15T","View Company Online")</f>
      </c>
    </row>
    <row r="1850">
      <c r="A1850" s="12" t="s">
        <v>10615</v>
      </c>
      <c r="B1850" s="12" t="s">
        <v>10616</v>
      </c>
      <c r="C1850" s="19" t="s">
        <v>36</v>
      </c>
      <c r="D1850" s="19" t="s">
        <v>36</v>
      </c>
      <c r="E1850" s="19" t="s">
        <v>36</v>
      </c>
      <c r="F1850" s="19" t="s">
        <v>36</v>
      </c>
      <c r="G1850" s="15" t="s">
        <v>36</v>
      </c>
      <c r="H1850" s="14" t="s">
        <v>36</v>
      </c>
      <c r="I1850" s="18" t="s">
        <v>36</v>
      </c>
      <c r="J1850" s="12" t="s">
        <v>36</v>
      </c>
      <c r="K1850" s="13" t="s">
        <v>36</v>
      </c>
      <c r="L1850" s="15" t="s">
        <v>36</v>
      </c>
      <c r="M1850" s="12" t="s">
        <v>36</v>
      </c>
      <c r="N1850" s="12" t="s">
        <v>36</v>
      </c>
      <c r="O1850" s="17" t="s">
        <v>36</v>
      </c>
      <c r="P1850" s="12" t="s">
        <v>36</v>
      </c>
      <c r="Q1850" s="12" t="s">
        <v>36</v>
      </c>
      <c r="R1850" s="12" t="s">
        <v>36</v>
      </c>
      <c r="S1850" s="12" t="s">
        <v>10617</v>
      </c>
      <c r="T1850" s="12" t="s">
        <v>2308</v>
      </c>
      <c r="U1850" s="12" t="s">
        <v>38</v>
      </c>
      <c r="V1850" s="12" t="s">
        <v>39</v>
      </c>
      <c r="W1850" s="12" t="s">
        <v>10618</v>
      </c>
      <c r="X1850" s="16" t="s">
        <v>10619</v>
      </c>
      <c r="Y1850" s="15" t="s">
        <v>192</v>
      </c>
      <c r="Z1850" s="14">
        <v>5.56</v>
      </c>
      <c r="AA1850" s="14" t="s">
        <v>36</v>
      </c>
      <c r="AB1850" s="12" t="s">
        <v>43</v>
      </c>
      <c r="AC1850" s="12" t="s">
        <v>10620</v>
      </c>
      <c r="AD1850" s="13">
        <v>44835</v>
      </c>
      <c r="AE1850" s="12" t="s">
        <v>45</v>
      </c>
      <c r="AF1850" s="12" t="s">
        <v>615</v>
      </c>
      <c r="AG1850" s="12" t="s">
        <v>6068</v>
      </c>
      <c r="AH1850" s="1">
        <f>HYPERLINK("https://my.pitchbook.com?c=206982-28T","View Company Online")</f>
      </c>
    </row>
    <row r="1851">
      <c r="A1851" s="3" t="s">
        <v>10621</v>
      </c>
      <c r="B1851" s="3" t="s">
        <v>10622</v>
      </c>
      <c r="C1851" s="5" t="s">
        <v>36</v>
      </c>
      <c r="D1851" s="5" t="s">
        <v>36</v>
      </c>
      <c r="E1851" s="5" t="s">
        <v>36</v>
      </c>
      <c r="F1851" s="5" t="s">
        <v>36</v>
      </c>
      <c r="G1851" s="6" t="s">
        <v>36</v>
      </c>
      <c r="H1851" s="4" t="s">
        <v>36</v>
      </c>
      <c r="I1851" s="7" t="s">
        <v>36</v>
      </c>
      <c r="J1851" s="3" t="s">
        <v>36</v>
      </c>
      <c r="K1851" s="9" t="s">
        <v>36</v>
      </c>
      <c r="L1851" s="6" t="s">
        <v>36</v>
      </c>
      <c r="M1851" s="3" t="s">
        <v>36</v>
      </c>
      <c r="N1851" s="3" t="s">
        <v>36</v>
      </c>
      <c r="O1851" s="8" t="s">
        <v>36</v>
      </c>
      <c r="P1851" s="3" t="s">
        <v>36</v>
      </c>
      <c r="Q1851" s="3" t="s">
        <v>36</v>
      </c>
      <c r="R1851" s="3" t="s">
        <v>36</v>
      </c>
      <c r="S1851" s="3" t="s">
        <v>36</v>
      </c>
      <c r="T1851" s="3" t="s">
        <v>10623</v>
      </c>
      <c r="U1851" s="3" t="s">
        <v>619</v>
      </c>
      <c r="V1851" s="3" t="s">
        <v>378</v>
      </c>
      <c r="W1851" s="3" t="s">
        <v>10624</v>
      </c>
      <c r="X1851" s="10" t="s">
        <v>10625</v>
      </c>
      <c r="Y1851" s="6" t="s">
        <v>42</v>
      </c>
      <c r="Z1851" s="4" t="s">
        <v>36</v>
      </c>
      <c r="AA1851" s="4" t="s">
        <v>36</v>
      </c>
      <c r="AB1851" s="3" t="s">
        <v>43</v>
      </c>
      <c r="AC1851" s="3" t="s">
        <v>10626</v>
      </c>
      <c r="AD1851" s="9">
        <v>44835</v>
      </c>
      <c r="AE1851" s="3" t="s">
        <v>2672</v>
      </c>
      <c r="AF1851" s="3" t="s">
        <v>207</v>
      </c>
      <c r="AG1851" s="3" t="s">
        <v>81</v>
      </c>
      <c r="AH1851" s="11">
        <f>HYPERLINK("https://my.pitchbook.com?c=207271-63T","View Company Online")</f>
      </c>
    </row>
    <row r="1852">
      <c r="A1852" s="12" t="s">
        <v>10627</v>
      </c>
      <c r="B1852" s="12" t="s">
        <v>10628</v>
      </c>
      <c r="C1852" s="19" t="s">
        <v>36</v>
      </c>
      <c r="D1852" s="19" t="s">
        <v>36</v>
      </c>
      <c r="E1852" s="19" t="s">
        <v>36</v>
      </c>
      <c r="F1852" s="19" t="s">
        <v>36</v>
      </c>
      <c r="G1852" s="15" t="s">
        <v>36</v>
      </c>
      <c r="H1852" s="14" t="s">
        <v>36</v>
      </c>
      <c r="I1852" s="18" t="s">
        <v>36</v>
      </c>
      <c r="J1852" s="12" t="s">
        <v>36</v>
      </c>
      <c r="K1852" s="13" t="s">
        <v>36</v>
      </c>
      <c r="L1852" s="15" t="s">
        <v>36</v>
      </c>
      <c r="M1852" s="12" t="s">
        <v>36</v>
      </c>
      <c r="N1852" s="12" t="s">
        <v>36</v>
      </c>
      <c r="O1852" s="17" t="s">
        <v>36</v>
      </c>
      <c r="P1852" s="12" t="s">
        <v>36</v>
      </c>
      <c r="Q1852" s="12" t="s">
        <v>36</v>
      </c>
      <c r="R1852" s="12" t="s">
        <v>36</v>
      </c>
      <c r="S1852" s="12" t="s">
        <v>36</v>
      </c>
      <c r="T1852" s="12" t="s">
        <v>10629</v>
      </c>
      <c r="U1852" s="12" t="s">
        <v>728</v>
      </c>
      <c r="V1852" s="12" t="s">
        <v>64</v>
      </c>
      <c r="W1852" s="12" t="s">
        <v>10630</v>
      </c>
      <c r="X1852" s="16" t="s">
        <v>10631</v>
      </c>
      <c r="Y1852" s="15" t="s">
        <v>42</v>
      </c>
      <c r="Z1852" s="14" t="s">
        <v>36</v>
      </c>
      <c r="AA1852" s="14" t="s">
        <v>36</v>
      </c>
      <c r="AB1852" s="12" t="s">
        <v>56</v>
      </c>
      <c r="AC1852" s="12" t="s">
        <v>10632</v>
      </c>
      <c r="AD1852" s="13">
        <v>44835</v>
      </c>
      <c r="AE1852" s="12" t="s">
        <v>732</v>
      </c>
      <c r="AF1852" s="12" t="s">
        <v>10633</v>
      </c>
      <c r="AG1852" s="12" t="s">
        <v>81</v>
      </c>
      <c r="AH1852" s="1">
        <f>HYPERLINK("https://my.pitchbook.com?c=205526-71T","View Company Online")</f>
      </c>
    </row>
    <row r="1853">
      <c r="A1853" s="3" t="s">
        <v>10634</v>
      </c>
      <c r="B1853" s="3" t="s">
        <v>10635</v>
      </c>
      <c r="C1853" s="5" t="s">
        <v>36</v>
      </c>
      <c r="D1853" s="5" t="s">
        <v>36</v>
      </c>
      <c r="E1853" s="5" t="s">
        <v>36</v>
      </c>
      <c r="F1853" s="5" t="s">
        <v>36</v>
      </c>
      <c r="G1853" s="6" t="s">
        <v>36</v>
      </c>
      <c r="H1853" s="4" t="s">
        <v>36</v>
      </c>
      <c r="I1853" s="7" t="s">
        <v>36</v>
      </c>
      <c r="J1853" s="3" t="s">
        <v>36</v>
      </c>
      <c r="K1853" s="9" t="s">
        <v>36</v>
      </c>
      <c r="L1853" s="6" t="s">
        <v>36</v>
      </c>
      <c r="M1853" s="3" t="s">
        <v>36</v>
      </c>
      <c r="N1853" s="3" t="s">
        <v>36</v>
      </c>
      <c r="O1853" s="8" t="s">
        <v>36</v>
      </c>
      <c r="P1853" s="3" t="s">
        <v>36</v>
      </c>
      <c r="Q1853" s="3" t="s">
        <v>36</v>
      </c>
      <c r="R1853" s="3" t="s">
        <v>36</v>
      </c>
      <c r="S1853" s="3" t="s">
        <v>36</v>
      </c>
      <c r="T1853" s="3" t="s">
        <v>1162</v>
      </c>
      <c r="U1853" s="3" t="s">
        <v>423</v>
      </c>
      <c r="V1853" s="3" t="s">
        <v>64</v>
      </c>
      <c r="W1853" s="3" t="s">
        <v>10636</v>
      </c>
      <c r="X1853" s="10" t="s">
        <v>10637</v>
      </c>
      <c r="Y1853" s="6" t="s">
        <v>42</v>
      </c>
      <c r="Z1853" s="4" t="s">
        <v>36</v>
      </c>
      <c r="AA1853" s="4" t="s">
        <v>36</v>
      </c>
      <c r="AB1853" s="3" t="s">
        <v>56</v>
      </c>
      <c r="AC1853" s="3" t="s">
        <v>10638</v>
      </c>
      <c r="AD1853" s="9">
        <v>44835</v>
      </c>
      <c r="AE1853" s="3" t="s">
        <v>562</v>
      </c>
      <c r="AF1853" s="3" t="s">
        <v>36</v>
      </c>
      <c r="AG1853" s="3" t="s">
        <v>10639</v>
      </c>
      <c r="AH1853" s="11">
        <f>HYPERLINK("https://my.pitchbook.com?c=206983-45T","View Company Online")</f>
      </c>
    </row>
    <row r="1854">
      <c r="A1854" s="12" t="s">
        <v>10640</v>
      </c>
      <c r="B1854" s="12" t="s">
        <v>10641</v>
      </c>
      <c r="C1854" s="19" t="s">
        <v>36</v>
      </c>
      <c r="D1854" s="19" t="s">
        <v>36</v>
      </c>
      <c r="E1854" s="19" t="s">
        <v>36</v>
      </c>
      <c r="F1854" s="19" t="s">
        <v>36</v>
      </c>
      <c r="G1854" s="15" t="s">
        <v>36</v>
      </c>
      <c r="H1854" s="14" t="s">
        <v>36</v>
      </c>
      <c r="I1854" s="18" t="s">
        <v>36</v>
      </c>
      <c r="J1854" s="12" t="s">
        <v>36</v>
      </c>
      <c r="K1854" s="13" t="s">
        <v>36</v>
      </c>
      <c r="L1854" s="15" t="s">
        <v>36</v>
      </c>
      <c r="M1854" s="12" t="s">
        <v>36</v>
      </c>
      <c r="N1854" s="12" t="s">
        <v>36</v>
      </c>
      <c r="O1854" s="17" t="s">
        <v>36</v>
      </c>
      <c r="P1854" s="12" t="s">
        <v>36</v>
      </c>
      <c r="Q1854" s="12" t="s">
        <v>36</v>
      </c>
      <c r="R1854" s="12" t="s">
        <v>36</v>
      </c>
      <c r="S1854" s="12" t="s">
        <v>36</v>
      </c>
      <c r="T1854" s="12" t="s">
        <v>10642</v>
      </c>
      <c r="U1854" s="12" t="s">
        <v>833</v>
      </c>
      <c r="V1854" s="12" t="s">
        <v>64</v>
      </c>
      <c r="W1854" s="12" t="s">
        <v>10643</v>
      </c>
      <c r="X1854" s="16" t="s">
        <v>820</v>
      </c>
      <c r="Y1854" s="15" t="s">
        <v>42</v>
      </c>
      <c r="Z1854" s="14" t="s">
        <v>36</v>
      </c>
      <c r="AA1854" s="14" t="s">
        <v>36</v>
      </c>
      <c r="AB1854" s="12" t="s">
        <v>56</v>
      </c>
      <c r="AC1854" s="12" t="s">
        <v>10644</v>
      </c>
      <c r="AD1854" s="13">
        <v>44835</v>
      </c>
      <c r="AE1854" s="12" t="s">
        <v>1687</v>
      </c>
      <c r="AF1854" s="12" t="s">
        <v>36</v>
      </c>
      <c r="AG1854" s="12" t="s">
        <v>10645</v>
      </c>
      <c r="AH1854" s="1">
        <f>HYPERLINK("https://my.pitchbook.com?c=241260-22T","View Company Online")</f>
      </c>
    </row>
    <row r="1855">
      <c r="A1855" s="3" t="s">
        <v>10646</v>
      </c>
      <c r="B1855" s="3" t="s">
        <v>10647</v>
      </c>
      <c r="C1855" s="5" t="s">
        <v>36</v>
      </c>
      <c r="D1855" s="5" t="s">
        <v>36</v>
      </c>
      <c r="E1855" s="5" t="s">
        <v>36</v>
      </c>
      <c r="F1855" s="5" t="s">
        <v>36</v>
      </c>
      <c r="G1855" s="6" t="s">
        <v>36</v>
      </c>
      <c r="H1855" s="4" t="s">
        <v>36</v>
      </c>
      <c r="I1855" s="7" t="s">
        <v>36</v>
      </c>
      <c r="J1855" s="3" t="s">
        <v>36</v>
      </c>
      <c r="K1855" s="9" t="s">
        <v>36</v>
      </c>
      <c r="L1855" s="6" t="s">
        <v>36</v>
      </c>
      <c r="M1855" s="3" t="s">
        <v>36</v>
      </c>
      <c r="N1855" s="3" t="s">
        <v>36</v>
      </c>
      <c r="O1855" s="8" t="s">
        <v>36</v>
      </c>
      <c r="P1855" s="3" t="s">
        <v>36</v>
      </c>
      <c r="Q1855" s="3" t="s">
        <v>36</v>
      </c>
      <c r="R1855" s="3" t="s">
        <v>36</v>
      </c>
      <c r="S1855" s="3" t="s">
        <v>36</v>
      </c>
      <c r="T1855" s="3" t="s">
        <v>2910</v>
      </c>
      <c r="U1855" s="3" t="s">
        <v>219</v>
      </c>
      <c r="V1855" s="3" t="s">
        <v>75</v>
      </c>
      <c r="W1855" s="3" t="s">
        <v>10648</v>
      </c>
      <c r="X1855" s="10" t="s">
        <v>9381</v>
      </c>
      <c r="Y1855" s="6" t="s">
        <v>42</v>
      </c>
      <c r="Z1855" s="4">
        <v>1.49</v>
      </c>
      <c r="AA1855" s="4" t="s">
        <v>36</v>
      </c>
      <c r="AB1855" s="3" t="s">
        <v>56</v>
      </c>
      <c r="AC1855" s="3" t="s">
        <v>10649</v>
      </c>
      <c r="AD1855" s="9">
        <v>44835</v>
      </c>
      <c r="AE1855" s="3" t="s">
        <v>2914</v>
      </c>
      <c r="AF1855" s="3" t="s">
        <v>571</v>
      </c>
      <c r="AG1855" s="3" t="s">
        <v>10650</v>
      </c>
      <c r="AH1855" s="11">
        <f>HYPERLINK("https://my.pitchbook.com?c=210851-02T","View Company Online")</f>
      </c>
    </row>
    <row r="1856">
      <c r="A1856" s="12" t="s">
        <v>10651</v>
      </c>
      <c r="B1856" s="12" t="s">
        <v>10652</v>
      </c>
      <c r="C1856" s="19" t="s">
        <v>36</v>
      </c>
      <c r="D1856" s="19" t="s">
        <v>36</v>
      </c>
      <c r="E1856" s="19" t="s">
        <v>36</v>
      </c>
      <c r="F1856" s="19" t="s">
        <v>36</v>
      </c>
      <c r="G1856" s="15" t="s">
        <v>36</v>
      </c>
      <c r="H1856" s="14" t="s">
        <v>36</v>
      </c>
      <c r="I1856" s="18">
        <v>32.05</v>
      </c>
      <c r="J1856" s="12" t="s">
        <v>327</v>
      </c>
      <c r="K1856" s="13" t="s">
        <v>36</v>
      </c>
      <c r="L1856" s="15" t="s">
        <v>36</v>
      </c>
      <c r="M1856" s="12" t="s">
        <v>36</v>
      </c>
      <c r="N1856" s="12" t="s">
        <v>36</v>
      </c>
      <c r="O1856" s="17" t="s">
        <v>36</v>
      </c>
      <c r="P1856" s="12" t="s">
        <v>36</v>
      </c>
      <c r="Q1856" s="12" t="s">
        <v>36</v>
      </c>
      <c r="R1856" s="12" t="s">
        <v>36</v>
      </c>
      <c r="S1856" s="12" t="s">
        <v>36</v>
      </c>
      <c r="T1856" s="12" t="s">
        <v>10653</v>
      </c>
      <c r="U1856" s="12" t="s">
        <v>74</v>
      </c>
      <c r="V1856" s="12" t="s">
        <v>75</v>
      </c>
      <c r="W1856" s="12" t="s">
        <v>10654</v>
      </c>
      <c r="X1856" s="16" t="s">
        <v>10655</v>
      </c>
      <c r="Y1856" s="15" t="s">
        <v>42</v>
      </c>
      <c r="Z1856" s="14">
        <v>2.97</v>
      </c>
      <c r="AA1856" s="14">
        <v>9.28</v>
      </c>
      <c r="AB1856" s="12" t="s">
        <v>43</v>
      </c>
      <c r="AC1856" s="12" t="s">
        <v>10656</v>
      </c>
      <c r="AD1856" s="13">
        <v>44835</v>
      </c>
      <c r="AE1856" s="12" t="s">
        <v>975</v>
      </c>
      <c r="AF1856" s="12" t="s">
        <v>815</v>
      </c>
      <c r="AG1856" s="12" t="s">
        <v>81</v>
      </c>
      <c r="AH1856" s="1">
        <f>HYPERLINK("https://my.pitchbook.com?c=205267-51T","View Company Online")</f>
      </c>
    </row>
    <row r="1857">
      <c r="A1857" s="3" t="s">
        <v>10657</v>
      </c>
      <c r="B1857" s="3" t="s">
        <v>10658</v>
      </c>
      <c r="C1857" s="5" t="s">
        <v>36</v>
      </c>
      <c r="D1857" s="5" t="s">
        <v>36</v>
      </c>
      <c r="E1857" s="5" t="s">
        <v>36</v>
      </c>
      <c r="F1857" s="5" t="s">
        <v>36</v>
      </c>
      <c r="G1857" s="6" t="s">
        <v>36</v>
      </c>
      <c r="H1857" s="4" t="s">
        <v>36</v>
      </c>
      <c r="I1857" s="7" t="s">
        <v>36</v>
      </c>
      <c r="J1857" s="3" t="s">
        <v>36</v>
      </c>
      <c r="K1857" s="9" t="s">
        <v>36</v>
      </c>
      <c r="L1857" s="6" t="s">
        <v>36</v>
      </c>
      <c r="M1857" s="3" t="s">
        <v>36</v>
      </c>
      <c r="N1857" s="3" t="s">
        <v>36</v>
      </c>
      <c r="O1857" s="8" t="s">
        <v>36</v>
      </c>
      <c r="P1857" s="3" t="s">
        <v>36</v>
      </c>
      <c r="Q1857" s="3" t="s">
        <v>36</v>
      </c>
      <c r="R1857" s="3" t="s">
        <v>36</v>
      </c>
      <c r="S1857" s="3" t="s">
        <v>3479</v>
      </c>
      <c r="T1857" s="3" t="s">
        <v>37</v>
      </c>
      <c r="U1857" s="3" t="s">
        <v>38</v>
      </c>
      <c r="V1857" s="3" t="s">
        <v>39</v>
      </c>
      <c r="W1857" s="3" t="s">
        <v>10659</v>
      </c>
      <c r="X1857" s="10" t="s">
        <v>10660</v>
      </c>
      <c r="Y1857" s="6" t="s">
        <v>108</v>
      </c>
      <c r="Z1857" s="4" t="s">
        <v>36</v>
      </c>
      <c r="AA1857" s="4" t="s">
        <v>36</v>
      </c>
      <c r="AB1857" s="3" t="s">
        <v>43</v>
      </c>
      <c r="AC1857" s="3" t="s">
        <v>10661</v>
      </c>
      <c r="AD1857" s="9">
        <v>44835</v>
      </c>
      <c r="AE1857" s="3" t="s">
        <v>45</v>
      </c>
      <c r="AF1857" s="3" t="s">
        <v>799</v>
      </c>
      <c r="AG1857" s="3" t="s">
        <v>81</v>
      </c>
      <c r="AH1857" s="11">
        <f>HYPERLINK("https://my.pitchbook.com?c=205381-27T","View Company Online")</f>
      </c>
    </row>
    <row r="1858">
      <c r="A1858" s="12" t="s">
        <v>10662</v>
      </c>
      <c r="B1858" s="12" t="s">
        <v>10663</v>
      </c>
      <c r="C1858" s="19" t="s">
        <v>36</v>
      </c>
      <c r="D1858" s="19" t="s">
        <v>36</v>
      </c>
      <c r="E1858" s="19" t="s">
        <v>36</v>
      </c>
      <c r="F1858" s="19" t="s">
        <v>36</v>
      </c>
      <c r="G1858" s="15" t="s">
        <v>36</v>
      </c>
      <c r="H1858" s="14" t="s">
        <v>36</v>
      </c>
      <c r="I1858" s="18" t="s">
        <v>36</v>
      </c>
      <c r="J1858" s="12" t="s">
        <v>36</v>
      </c>
      <c r="K1858" s="13" t="s">
        <v>36</v>
      </c>
      <c r="L1858" s="15" t="s">
        <v>36</v>
      </c>
      <c r="M1858" s="12" t="s">
        <v>36</v>
      </c>
      <c r="N1858" s="12" t="s">
        <v>36</v>
      </c>
      <c r="O1858" s="17" t="s">
        <v>36</v>
      </c>
      <c r="P1858" s="12" t="s">
        <v>36</v>
      </c>
      <c r="Q1858" s="12" t="s">
        <v>36</v>
      </c>
      <c r="R1858" s="12" t="s">
        <v>36</v>
      </c>
      <c r="S1858" s="12" t="s">
        <v>36</v>
      </c>
      <c r="T1858" s="12" t="s">
        <v>2639</v>
      </c>
      <c r="U1858" s="12" t="s">
        <v>74</v>
      </c>
      <c r="V1858" s="12" t="s">
        <v>75</v>
      </c>
      <c r="W1858" s="12" t="s">
        <v>10664</v>
      </c>
      <c r="X1858" s="16" t="s">
        <v>10665</v>
      </c>
      <c r="Y1858" s="15" t="s">
        <v>55</v>
      </c>
      <c r="Z1858" s="14" t="s">
        <v>36</v>
      </c>
      <c r="AA1858" s="14" t="s">
        <v>36</v>
      </c>
      <c r="AB1858" s="12" t="s">
        <v>56</v>
      </c>
      <c r="AC1858" s="12" t="s">
        <v>10666</v>
      </c>
      <c r="AD1858" s="13">
        <v>44835</v>
      </c>
      <c r="AE1858" s="12" t="s">
        <v>1888</v>
      </c>
      <c r="AF1858" s="12" t="s">
        <v>1115</v>
      </c>
      <c r="AG1858" s="12" t="s">
        <v>102</v>
      </c>
      <c r="AH1858" s="1">
        <f>HYPERLINK("https://my.pitchbook.com?c=208104-31T","View Company Online")</f>
      </c>
    </row>
    <row r="1859">
      <c r="A1859" s="3" t="s">
        <v>10667</v>
      </c>
      <c r="B1859" s="3" t="s">
        <v>10668</v>
      </c>
      <c r="C1859" s="5" t="s">
        <v>36</v>
      </c>
      <c r="D1859" s="5" t="s">
        <v>36</v>
      </c>
      <c r="E1859" s="5" t="s">
        <v>36</v>
      </c>
      <c r="F1859" s="5" t="s">
        <v>36</v>
      </c>
      <c r="G1859" s="6" t="s">
        <v>36</v>
      </c>
      <c r="H1859" s="4" t="s">
        <v>36</v>
      </c>
      <c r="I1859" s="7">
        <v>29.2</v>
      </c>
      <c r="J1859" s="3" t="s">
        <v>327</v>
      </c>
      <c r="K1859" s="9" t="s">
        <v>36</v>
      </c>
      <c r="L1859" s="6" t="s">
        <v>122</v>
      </c>
      <c r="M1859" s="3" t="s">
        <v>36</v>
      </c>
      <c r="N1859" s="3" t="s">
        <v>122</v>
      </c>
      <c r="O1859" s="8" t="s">
        <v>36</v>
      </c>
      <c r="P1859" s="3" t="s">
        <v>36</v>
      </c>
      <c r="Q1859" s="3" t="s">
        <v>36</v>
      </c>
      <c r="R1859" s="3" t="s">
        <v>36</v>
      </c>
      <c r="S1859" s="3" t="s">
        <v>36</v>
      </c>
      <c r="T1859" s="3" t="s">
        <v>10669</v>
      </c>
      <c r="U1859" s="3" t="s">
        <v>38</v>
      </c>
      <c r="V1859" s="3" t="s">
        <v>39</v>
      </c>
      <c r="W1859" s="3" t="s">
        <v>10670</v>
      </c>
      <c r="X1859" s="10" t="s">
        <v>10671</v>
      </c>
      <c r="Y1859" s="6" t="s">
        <v>108</v>
      </c>
      <c r="Z1859" s="4">
        <v>6.94</v>
      </c>
      <c r="AA1859" s="4">
        <v>23.78</v>
      </c>
      <c r="AB1859" s="3" t="s">
        <v>43</v>
      </c>
      <c r="AC1859" s="3" t="s">
        <v>10672</v>
      </c>
      <c r="AD1859" s="9">
        <v>44834</v>
      </c>
      <c r="AE1859" s="3" t="s">
        <v>110</v>
      </c>
      <c r="AF1859" s="3" t="s">
        <v>468</v>
      </c>
      <c r="AG1859" s="3" t="s">
        <v>741</v>
      </c>
      <c r="AH1859" s="11">
        <f>HYPERLINK("https://my.pitchbook.com?c=206479-45T","View Company Online")</f>
      </c>
    </row>
    <row r="1860">
      <c r="A1860" s="12" t="s">
        <v>10673</v>
      </c>
      <c r="B1860" s="12" t="s">
        <v>10674</v>
      </c>
      <c r="C1860" s="19">
        <v>1</v>
      </c>
      <c r="D1860" s="19">
        <v>13</v>
      </c>
      <c r="E1860" s="19">
        <v>3</v>
      </c>
      <c r="F1860" s="19">
        <v>14</v>
      </c>
      <c r="G1860" s="15" t="s">
        <v>36</v>
      </c>
      <c r="H1860" s="14">
        <v>88.28</v>
      </c>
      <c r="I1860" s="18">
        <v>46.87</v>
      </c>
      <c r="J1860" s="12" t="s">
        <v>521</v>
      </c>
      <c r="K1860" s="13" t="s">
        <v>36</v>
      </c>
      <c r="L1860" s="15" t="s">
        <v>36</v>
      </c>
      <c r="M1860" s="12" t="s">
        <v>36</v>
      </c>
      <c r="N1860" s="12" t="s">
        <v>36</v>
      </c>
      <c r="O1860" s="17" t="s">
        <v>36</v>
      </c>
      <c r="P1860" s="12" t="s">
        <v>36</v>
      </c>
      <c r="Q1860" s="12" t="s">
        <v>36</v>
      </c>
      <c r="R1860" s="12" t="s">
        <v>36</v>
      </c>
      <c r="S1860" s="12" t="s">
        <v>36</v>
      </c>
      <c r="T1860" s="12" t="s">
        <v>2419</v>
      </c>
      <c r="U1860" s="12" t="s">
        <v>1091</v>
      </c>
      <c r="V1860" s="12" t="s">
        <v>378</v>
      </c>
      <c r="W1860" s="12" t="s">
        <v>10675</v>
      </c>
      <c r="X1860" s="16" t="s">
        <v>10676</v>
      </c>
      <c r="Y1860" s="15" t="s">
        <v>42</v>
      </c>
      <c r="Z1860" s="14">
        <v>1.49</v>
      </c>
      <c r="AA1860" s="14">
        <v>3.17</v>
      </c>
      <c r="AB1860" s="12" t="s">
        <v>43</v>
      </c>
      <c r="AC1860" s="12" t="s">
        <v>10677</v>
      </c>
      <c r="AD1860" s="13">
        <v>44834</v>
      </c>
      <c r="AE1860" s="12" t="s">
        <v>1095</v>
      </c>
      <c r="AF1860" s="12" t="s">
        <v>601</v>
      </c>
      <c r="AG1860" s="12" t="s">
        <v>10678</v>
      </c>
      <c r="AH1860" s="1">
        <f>HYPERLINK("https://my.pitchbook.com?c=205269-85T","View Company Online")</f>
      </c>
    </row>
    <row r="1861">
      <c r="A1861" s="3" t="s">
        <v>10679</v>
      </c>
      <c r="B1861" s="3" t="s">
        <v>10680</v>
      </c>
      <c r="C1861" s="5" t="s">
        <v>36</v>
      </c>
      <c r="D1861" s="5" t="s">
        <v>36</v>
      </c>
      <c r="E1861" s="5" t="s">
        <v>36</v>
      </c>
      <c r="F1861" s="5" t="s">
        <v>36</v>
      </c>
      <c r="G1861" s="6" t="s">
        <v>326</v>
      </c>
      <c r="H1861" s="4">
        <v>93.78</v>
      </c>
      <c r="I1861" s="7">
        <v>13.01</v>
      </c>
      <c r="J1861" s="3" t="s">
        <v>521</v>
      </c>
      <c r="K1861" s="9" t="s">
        <v>36</v>
      </c>
      <c r="L1861" s="6" t="s">
        <v>36</v>
      </c>
      <c r="M1861" s="3" t="s">
        <v>36</v>
      </c>
      <c r="N1861" s="3" t="s">
        <v>36</v>
      </c>
      <c r="O1861" s="8" t="s">
        <v>36</v>
      </c>
      <c r="P1861" s="3" t="s">
        <v>36</v>
      </c>
      <c r="Q1861" s="3" t="s">
        <v>36</v>
      </c>
      <c r="R1861" s="3" t="s">
        <v>36</v>
      </c>
      <c r="S1861" s="3" t="s">
        <v>36</v>
      </c>
      <c r="T1861" s="3" t="s">
        <v>10681</v>
      </c>
      <c r="U1861" s="3" t="s">
        <v>423</v>
      </c>
      <c r="V1861" s="3" t="s">
        <v>64</v>
      </c>
      <c r="W1861" s="3" t="s">
        <v>10682</v>
      </c>
      <c r="X1861" s="10" t="s">
        <v>10683</v>
      </c>
      <c r="Y1861" s="6" t="s">
        <v>108</v>
      </c>
      <c r="Z1861" s="4">
        <v>1.59</v>
      </c>
      <c r="AA1861" s="4">
        <v>6.82</v>
      </c>
      <c r="AB1861" s="3" t="s">
        <v>43</v>
      </c>
      <c r="AC1861" s="3" t="s">
        <v>10684</v>
      </c>
      <c r="AD1861" s="9">
        <v>44834</v>
      </c>
      <c r="AE1861" s="3" t="s">
        <v>427</v>
      </c>
      <c r="AF1861" s="3" t="s">
        <v>36</v>
      </c>
      <c r="AG1861" s="3" t="s">
        <v>102</v>
      </c>
      <c r="AH1861" s="11">
        <f>HYPERLINK("https://my.pitchbook.com?c=205284-25T","View Company Online")</f>
      </c>
    </row>
    <row r="1862">
      <c r="A1862" s="12" t="s">
        <v>10685</v>
      </c>
      <c r="B1862" s="12" t="s">
        <v>10686</v>
      </c>
      <c r="C1862" s="19">
        <v>1</v>
      </c>
      <c r="D1862" s="19">
        <v>34</v>
      </c>
      <c r="E1862" s="19">
        <v>11</v>
      </c>
      <c r="F1862" s="19">
        <v>41</v>
      </c>
      <c r="G1862" s="15" t="s">
        <v>683</v>
      </c>
      <c r="H1862" s="14">
        <v>95.55</v>
      </c>
      <c r="I1862" s="18">
        <v>11.62</v>
      </c>
      <c r="J1862" s="12" t="s">
        <v>521</v>
      </c>
      <c r="K1862" s="13" t="s">
        <v>36</v>
      </c>
      <c r="L1862" s="15" t="s">
        <v>36</v>
      </c>
      <c r="M1862" s="12" t="s">
        <v>36</v>
      </c>
      <c r="N1862" s="12" t="s">
        <v>36</v>
      </c>
      <c r="O1862" s="17" t="s">
        <v>36</v>
      </c>
      <c r="P1862" s="12" t="s">
        <v>36</v>
      </c>
      <c r="Q1862" s="12" t="s">
        <v>36</v>
      </c>
      <c r="R1862" s="12" t="s">
        <v>36</v>
      </c>
      <c r="S1862" s="12" t="s">
        <v>595</v>
      </c>
      <c r="T1862" s="12" t="s">
        <v>10687</v>
      </c>
      <c r="U1862" s="12" t="s">
        <v>366</v>
      </c>
      <c r="V1862" s="12" t="s">
        <v>367</v>
      </c>
      <c r="W1862" s="12" t="s">
        <v>10688</v>
      </c>
      <c r="X1862" s="16" t="s">
        <v>10689</v>
      </c>
      <c r="Y1862" s="15" t="s">
        <v>5710</v>
      </c>
      <c r="Z1862" s="14">
        <v>2.46</v>
      </c>
      <c r="AA1862" s="14">
        <v>21.14</v>
      </c>
      <c r="AB1862" s="12" t="s">
        <v>56</v>
      </c>
      <c r="AC1862" s="12" t="s">
        <v>10690</v>
      </c>
      <c r="AD1862" s="13">
        <v>44834</v>
      </c>
      <c r="AE1862" s="12" t="s">
        <v>600</v>
      </c>
      <c r="AF1862" s="12" t="s">
        <v>10691</v>
      </c>
      <c r="AG1862" s="12" t="s">
        <v>6013</v>
      </c>
      <c r="AH1862" s="1">
        <f>HYPERLINK("https://my.pitchbook.com?c=206659-36T","View Company Online")</f>
      </c>
    </row>
    <row r="1863">
      <c r="A1863" s="3" t="s">
        <v>10692</v>
      </c>
      <c r="B1863" s="3" t="s">
        <v>10693</v>
      </c>
      <c r="C1863" s="5" t="s">
        <v>36</v>
      </c>
      <c r="D1863" s="5" t="s">
        <v>36</v>
      </c>
      <c r="E1863" s="5" t="s">
        <v>36</v>
      </c>
      <c r="F1863" s="5" t="s">
        <v>36</v>
      </c>
      <c r="G1863" s="6" t="s">
        <v>683</v>
      </c>
      <c r="H1863" s="4">
        <v>18.08</v>
      </c>
      <c r="I1863" s="7">
        <v>17.08</v>
      </c>
      <c r="J1863" s="3" t="s">
        <v>521</v>
      </c>
      <c r="K1863" s="9" t="s">
        <v>36</v>
      </c>
      <c r="L1863" s="6" t="s">
        <v>36</v>
      </c>
      <c r="M1863" s="3" t="s">
        <v>36</v>
      </c>
      <c r="N1863" s="3" t="s">
        <v>36</v>
      </c>
      <c r="O1863" s="8" t="s">
        <v>36</v>
      </c>
      <c r="P1863" s="3" t="s">
        <v>36</v>
      </c>
      <c r="Q1863" s="3" t="s">
        <v>36</v>
      </c>
      <c r="R1863" s="3" t="s">
        <v>36</v>
      </c>
      <c r="S1863" s="3" t="s">
        <v>36</v>
      </c>
      <c r="T1863" s="3" t="s">
        <v>10694</v>
      </c>
      <c r="U1863" s="3" t="s">
        <v>74</v>
      </c>
      <c r="V1863" s="3" t="s">
        <v>75</v>
      </c>
      <c r="W1863" s="3" t="s">
        <v>10695</v>
      </c>
      <c r="X1863" s="10" t="s">
        <v>10696</v>
      </c>
      <c r="Y1863" s="6" t="s">
        <v>166</v>
      </c>
      <c r="Z1863" s="4">
        <v>5.62</v>
      </c>
      <c r="AA1863" s="4">
        <v>32.88</v>
      </c>
      <c r="AB1863" s="3" t="s">
        <v>56</v>
      </c>
      <c r="AC1863" s="3" t="s">
        <v>10697</v>
      </c>
      <c r="AD1863" s="9">
        <v>44834</v>
      </c>
      <c r="AE1863" s="3" t="s">
        <v>79</v>
      </c>
      <c r="AF1863" s="3" t="s">
        <v>815</v>
      </c>
      <c r="AG1863" s="3" t="s">
        <v>81</v>
      </c>
      <c r="AH1863" s="11">
        <f>HYPERLINK("https://my.pitchbook.com?c=216157-96T","View Company Online")</f>
      </c>
    </row>
    <row r="1864">
      <c r="A1864" s="12" t="s">
        <v>10698</v>
      </c>
      <c r="B1864" s="12" t="s">
        <v>10699</v>
      </c>
      <c r="C1864" s="19" t="s">
        <v>36</v>
      </c>
      <c r="D1864" s="19">
        <v>2</v>
      </c>
      <c r="E1864" s="19">
        <v>1</v>
      </c>
      <c r="F1864" s="19">
        <v>2</v>
      </c>
      <c r="G1864" s="15" t="s">
        <v>2497</v>
      </c>
      <c r="H1864" s="14">
        <v>47.88</v>
      </c>
      <c r="I1864" s="18">
        <v>22.1</v>
      </c>
      <c r="J1864" s="12" t="s">
        <v>521</v>
      </c>
      <c r="K1864" s="13" t="s">
        <v>36</v>
      </c>
      <c r="L1864" s="15" t="s">
        <v>36</v>
      </c>
      <c r="M1864" s="12" t="s">
        <v>36</v>
      </c>
      <c r="N1864" s="12" t="s">
        <v>36</v>
      </c>
      <c r="O1864" s="17" t="s">
        <v>36</v>
      </c>
      <c r="P1864" s="12" t="s">
        <v>36</v>
      </c>
      <c r="Q1864" s="12" t="s">
        <v>36</v>
      </c>
      <c r="R1864" s="12" t="s">
        <v>36</v>
      </c>
      <c r="S1864" s="12" t="s">
        <v>36</v>
      </c>
      <c r="T1864" s="12" t="s">
        <v>10700</v>
      </c>
      <c r="U1864" s="12" t="s">
        <v>219</v>
      </c>
      <c r="V1864" s="12" t="s">
        <v>75</v>
      </c>
      <c r="W1864" s="12" t="s">
        <v>10701</v>
      </c>
      <c r="X1864" s="16" t="s">
        <v>10702</v>
      </c>
      <c r="Y1864" s="15" t="s">
        <v>42</v>
      </c>
      <c r="Z1864" s="14">
        <v>0.7</v>
      </c>
      <c r="AA1864" s="14">
        <v>3.19</v>
      </c>
      <c r="AB1864" s="12" t="s">
        <v>43</v>
      </c>
      <c r="AC1864" s="12" t="s">
        <v>10703</v>
      </c>
      <c r="AD1864" s="13">
        <v>44833</v>
      </c>
      <c r="AE1864" s="12" t="s">
        <v>223</v>
      </c>
      <c r="AF1864" s="12" t="s">
        <v>5236</v>
      </c>
      <c r="AG1864" s="12" t="s">
        <v>4514</v>
      </c>
      <c r="AH1864" s="1">
        <f>HYPERLINK("https://my.pitchbook.com?c=205213-42T","View Company Online")</f>
      </c>
    </row>
    <row r="1865">
      <c r="A1865" s="3" t="s">
        <v>10704</v>
      </c>
      <c r="B1865" s="3" t="s">
        <v>10705</v>
      </c>
      <c r="C1865" s="5" t="s">
        <v>36</v>
      </c>
      <c r="D1865" s="5" t="s">
        <v>36</v>
      </c>
      <c r="E1865" s="5" t="s">
        <v>36</v>
      </c>
      <c r="F1865" s="5" t="s">
        <v>36</v>
      </c>
      <c r="G1865" s="6" t="s">
        <v>36</v>
      </c>
      <c r="H1865" s="4">
        <v>10.66</v>
      </c>
      <c r="I1865" s="7">
        <v>23.06</v>
      </c>
      <c r="J1865" s="3" t="s">
        <v>521</v>
      </c>
      <c r="K1865" s="9" t="s">
        <v>36</v>
      </c>
      <c r="L1865" s="6" t="s">
        <v>36</v>
      </c>
      <c r="M1865" s="3" t="s">
        <v>36</v>
      </c>
      <c r="N1865" s="3" t="s">
        <v>36</v>
      </c>
      <c r="O1865" s="8" t="s">
        <v>36</v>
      </c>
      <c r="P1865" s="3" t="s">
        <v>36</v>
      </c>
      <c r="Q1865" s="3" t="s">
        <v>36</v>
      </c>
      <c r="R1865" s="3" t="s">
        <v>36</v>
      </c>
      <c r="S1865" s="3" t="s">
        <v>36</v>
      </c>
      <c r="T1865" s="3" t="s">
        <v>1162</v>
      </c>
      <c r="U1865" s="3" t="s">
        <v>423</v>
      </c>
      <c r="V1865" s="3" t="s">
        <v>64</v>
      </c>
      <c r="W1865" s="3" t="s">
        <v>10706</v>
      </c>
      <c r="X1865" s="10" t="s">
        <v>3559</v>
      </c>
      <c r="Y1865" s="6" t="s">
        <v>42</v>
      </c>
      <c r="Z1865" s="4">
        <v>0.42</v>
      </c>
      <c r="AA1865" s="4">
        <v>1.8</v>
      </c>
      <c r="AB1865" s="3" t="s">
        <v>43</v>
      </c>
      <c r="AC1865" s="3" t="s">
        <v>10707</v>
      </c>
      <c r="AD1865" s="9">
        <v>44833</v>
      </c>
      <c r="AE1865" s="3" t="s">
        <v>562</v>
      </c>
      <c r="AF1865" s="3" t="s">
        <v>36</v>
      </c>
      <c r="AG1865" s="3" t="s">
        <v>10708</v>
      </c>
      <c r="AH1865" s="11">
        <f>HYPERLINK("https://my.pitchbook.com?c=239409-64T","View Company Online")</f>
      </c>
    </row>
    <row r="1866">
      <c r="A1866" s="12" t="s">
        <v>10709</v>
      </c>
      <c r="B1866" s="12" t="s">
        <v>10710</v>
      </c>
      <c r="C1866" s="19">
        <v>3</v>
      </c>
      <c r="D1866" s="19">
        <v>12</v>
      </c>
      <c r="E1866" s="19">
        <v>4</v>
      </c>
      <c r="F1866" s="19">
        <v>15</v>
      </c>
      <c r="G1866" s="15" t="s">
        <v>36</v>
      </c>
      <c r="H1866" s="14" t="s">
        <v>36</v>
      </c>
      <c r="I1866" s="18" t="s">
        <v>36</v>
      </c>
      <c r="J1866" s="12" t="s">
        <v>36</v>
      </c>
      <c r="K1866" s="13" t="s">
        <v>36</v>
      </c>
      <c r="L1866" s="15" t="s">
        <v>122</v>
      </c>
      <c r="M1866" s="12" t="s">
        <v>36</v>
      </c>
      <c r="N1866" s="12" t="s">
        <v>122</v>
      </c>
      <c r="O1866" s="17" t="s">
        <v>36</v>
      </c>
      <c r="P1866" s="12" t="s">
        <v>36</v>
      </c>
      <c r="Q1866" s="12" t="s">
        <v>36</v>
      </c>
      <c r="R1866" s="12" t="s">
        <v>36</v>
      </c>
      <c r="S1866" s="12" t="s">
        <v>36</v>
      </c>
      <c r="T1866" s="12" t="s">
        <v>10711</v>
      </c>
      <c r="U1866" s="12" t="s">
        <v>423</v>
      </c>
      <c r="V1866" s="12" t="s">
        <v>64</v>
      </c>
      <c r="W1866" s="12" t="s">
        <v>10712</v>
      </c>
      <c r="X1866" s="16" t="s">
        <v>10713</v>
      </c>
      <c r="Y1866" s="15" t="s">
        <v>55</v>
      </c>
      <c r="Z1866" s="14">
        <v>14.89</v>
      </c>
      <c r="AA1866" s="14" t="s">
        <v>36</v>
      </c>
      <c r="AB1866" s="12" t="s">
        <v>43</v>
      </c>
      <c r="AC1866" s="12" t="s">
        <v>10714</v>
      </c>
      <c r="AD1866" s="13">
        <v>44833</v>
      </c>
      <c r="AE1866" s="12" t="s">
        <v>2871</v>
      </c>
      <c r="AF1866" s="12" t="s">
        <v>10715</v>
      </c>
      <c r="AG1866" s="12" t="s">
        <v>10716</v>
      </c>
      <c r="AH1866" s="1">
        <f>HYPERLINK("https://my.pitchbook.com?c=205052-50T","View Company Online")</f>
      </c>
    </row>
    <row r="1867">
      <c r="A1867" s="3" t="s">
        <v>10717</v>
      </c>
      <c r="B1867" s="3" t="s">
        <v>10718</v>
      </c>
      <c r="C1867" s="5">
        <v>5</v>
      </c>
      <c r="D1867" s="5">
        <v>6</v>
      </c>
      <c r="E1867" s="5">
        <v>7</v>
      </c>
      <c r="F1867" s="5">
        <v>14</v>
      </c>
      <c r="G1867" s="6" t="s">
        <v>683</v>
      </c>
      <c r="H1867" s="4" t="s">
        <v>36</v>
      </c>
      <c r="I1867" s="7">
        <v>23.57</v>
      </c>
      <c r="J1867" s="3" t="s">
        <v>327</v>
      </c>
      <c r="K1867" s="9">
        <v>44824</v>
      </c>
      <c r="L1867" s="6" t="s">
        <v>94</v>
      </c>
      <c r="M1867" s="3" t="s">
        <v>36</v>
      </c>
      <c r="N1867" s="3" t="s">
        <v>94</v>
      </c>
      <c r="O1867" s="8" t="s">
        <v>36</v>
      </c>
      <c r="P1867" s="3" t="s">
        <v>36</v>
      </c>
      <c r="Q1867" s="3" t="s">
        <v>36</v>
      </c>
      <c r="R1867" s="3" t="s">
        <v>36</v>
      </c>
      <c r="S1867" s="3" t="s">
        <v>36</v>
      </c>
      <c r="T1867" s="3" t="s">
        <v>818</v>
      </c>
      <c r="U1867" s="3" t="s">
        <v>74</v>
      </c>
      <c r="V1867" s="3" t="s">
        <v>75</v>
      </c>
      <c r="W1867" s="3" t="s">
        <v>10719</v>
      </c>
      <c r="X1867" s="10" t="s">
        <v>10720</v>
      </c>
      <c r="Y1867" s="6" t="s">
        <v>166</v>
      </c>
      <c r="Z1867" s="4">
        <v>14.89</v>
      </c>
      <c r="AA1867" s="4">
        <v>63.16</v>
      </c>
      <c r="AB1867" s="3" t="s">
        <v>56</v>
      </c>
      <c r="AC1867" s="3" t="s">
        <v>10721</v>
      </c>
      <c r="AD1867" s="9">
        <v>44833</v>
      </c>
      <c r="AE1867" s="3" t="s">
        <v>570</v>
      </c>
      <c r="AF1867" s="3" t="s">
        <v>10722</v>
      </c>
      <c r="AG1867" s="3" t="s">
        <v>81</v>
      </c>
      <c r="AH1867" s="11">
        <f>HYPERLINK("https://my.pitchbook.com?c=205129-00T","View Company Online")</f>
      </c>
    </row>
    <row r="1868">
      <c r="A1868" s="12" t="s">
        <v>10723</v>
      </c>
      <c r="B1868" s="12" t="s">
        <v>3735</v>
      </c>
      <c r="C1868" s="19" t="s">
        <v>36</v>
      </c>
      <c r="D1868" s="19" t="s">
        <v>36</v>
      </c>
      <c r="E1868" s="19" t="s">
        <v>36</v>
      </c>
      <c r="F1868" s="19" t="s">
        <v>36</v>
      </c>
      <c r="G1868" s="15" t="s">
        <v>683</v>
      </c>
      <c r="H1868" s="14">
        <v>1.93</v>
      </c>
      <c r="I1868" s="18">
        <v>10.46</v>
      </c>
      <c r="J1868" s="12" t="s">
        <v>521</v>
      </c>
      <c r="K1868" s="13">
        <v>44832</v>
      </c>
      <c r="L1868" s="15" t="s">
        <v>94</v>
      </c>
      <c r="M1868" s="12" t="s">
        <v>36</v>
      </c>
      <c r="N1868" s="12" t="s">
        <v>94</v>
      </c>
      <c r="O1868" s="17" t="s">
        <v>36</v>
      </c>
      <c r="P1868" s="12" t="s">
        <v>36</v>
      </c>
      <c r="Q1868" s="12" t="s">
        <v>36</v>
      </c>
      <c r="R1868" s="12" t="s">
        <v>36</v>
      </c>
      <c r="S1868" s="12" t="s">
        <v>36</v>
      </c>
      <c r="T1868" s="12" t="s">
        <v>522</v>
      </c>
      <c r="U1868" s="12" t="s">
        <v>38</v>
      </c>
      <c r="V1868" s="12" t="s">
        <v>39</v>
      </c>
      <c r="W1868" s="12" t="s">
        <v>3737</v>
      </c>
      <c r="X1868" s="16" t="s">
        <v>10724</v>
      </c>
      <c r="Y1868" s="15" t="s">
        <v>192</v>
      </c>
      <c r="Z1868" s="14">
        <v>65.99</v>
      </c>
      <c r="AA1868" s="14">
        <v>431.88</v>
      </c>
      <c r="AB1868" s="12" t="s">
        <v>43</v>
      </c>
      <c r="AC1868" s="12" t="s">
        <v>3739</v>
      </c>
      <c r="AD1868" s="13">
        <v>44833</v>
      </c>
      <c r="AE1868" s="12" t="s">
        <v>110</v>
      </c>
      <c r="AF1868" s="12" t="s">
        <v>3740</v>
      </c>
      <c r="AG1868" s="12" t="s">
        <v>81</v>
      </c>
      <c r="AH1868" s="1">
        <f>HYPERLINK("https://my.pitchbook.com?c=203620-96T","View Company Online")</f>
      </c>
    </row>
    <row r="1869">
      <c r="A1869" s="3" t="s">
        <v>10725</v>
      </c>
      <c r="B1869" s="3" t="s">
        <v>10726</v>
      </c>
      <c r="C1869" s="5">
        <v>1</v>
      </c>
      <c r="D1869" s="5">
        <v>2</v>
      </c>
      <c r="E1869" s="5">
        <v>2</v>
      </c>
      <c r="F1869" s="5">
        <v>4</v>
      </c>
      <c r="G1869" s="6" t="s">
        <v>36</v>
      </c>
      <c r="H1869" s="4" t="s">
        <v>36</v>
      </c>
      <c r="I1869" s="7" t="s">
        <v>36</v>
      </c>
      <c r="J1869" s="3" t="s">
        <v>36</v>
      </c>
      <c r="K1869" s="9" t="s">
        <v>36</v>
      </c>
      <c r="L1869" s="6" t="s">
        <v>36</v>
      </c>
      <c r="M1869" s="3" t="s">
        <v>36</v>
      </c>
      <c r="N1869" s="3" t="s">
        <v>36</v>
      </c>
      <c r="O1869" s="8" t="s">
        <v>36</v>
      </c>
      <c r="P1869" s="3" t="s">
        <v>36</v>
      </c>
      <c r="Q1869" s="3" t="s">
        <v>36</v>
      </c>
      <c r="R1869" s="3" t="s">
        <v>36</v>
      </c>
      <c r="S1869" s="3" t="s">
        <v>1588</v>
      </c>
      <c r="T1869" s="3" t="s">
        <v>4997</v>
      </c>
      <c r="U1869" s="3" t="s">
        <v>38</v>
      </c>
      <c r="V1869" s="3" t="s">
        <v>39</v>
      </c>
      <c r="W1869" s="3" t="s">
        <v>10727</v>
      </c>
      <c r="X1869" s="10" t="s">
        <v>10728</v>
      </c>
      <c r="Y1869" s="6" t="s">
        <v>108</v>
      </c>
      <c r="Z1869" s="4">
        <v>1.39</v>
      </c>
      <c r="AA1869" s="4" t="s">
        <v>36</v>
      </c>
      <c r="AB1869" s="3" t="s">
        <v>56</v>
      </c>
      <c r="AC1869" s="3" t="s">
        <v>10729</v>
      </c>
      <c r="AD1869" s="9">
        <v>44833</v>
      </c>
      <c r="AE1869" s="3" t="s">
        <v>1945</v>
      </c>
      <c r="AF1869" s="3" t="s">
        <v>10730</v>
      </c>
      <c r="AG1869" s="3" t="s">
        <v>382</v>
      </c>
      <c r="AH1869" s="11">
        <f>HYPERLINK("https://my.pitchbook.com?c=205205-86T","View Company Online")</f>
      </c>
    </row>
    <row r="1870">
      <c r="A1870" s="12" t="s">
        <v>10731</v>
      </c>
      <c r="B1870" s="12" t="s">
        <v>10732</v>
      </c>
      <c r="C1870" s="19" t="s">
        <v>36</v>
      </c>
      <c r="D1870" s="19" t="s">
        <v>36</v>
      </c>
      <c r="E1870" s="19" t="s">
        <v>36</v>
      </c>
      <c r="F1870" s="19" t="s">
        <v>36</v>
      </c>
      <c r="G1870" s="15" t="s">
        <v>326</v>
      </c>
      <c r="H1870" s="14">
        <v>17023.82</v>
      </c>
      <c r="I1870" s="18">
        <v>21.88</v>
      </c>
      <c r="J1870" s="12" t="s">
        <v>521</v>
      </c>
      <c r="K1870" s="13">
        <v>44790</v>
      </c>
      <c r="L1870" s="15" t="s">
        <v>36</v>
      </c>
      <c r="M1870" s="12" t="s">
        <v>36</v>
      </c>
      <c r="N1870" s="12" t="s">
        <v>36</v>
      </c>
      <c r="O1870" s="17" t="s">
        <v>36</v>
      </c>
      <c r="P1870" s="12" t="s">
        <v>36</v>
      </c>
      <c r="Q1870" s="12" t="s">
        <v>36</v>
      </c>
      <c r="R1870" s="12" t="s">
        <v>36</v>
      </c>
      <c r="S1870" s="12" t="s">
        <v>36</v>
      </c>
      <c r="T1870" s="12" t="s">
        <v>10733</v>
      </c>
      <c r="U1870" s="12" t="s">
        <v>648</v>
      </c>
      <c r="V1870" s="12" t="s">
        <v>64</v>
      </c>
      <c r="W1870" s="12" t="s">
        <v>10734</v>
      </c>
      <c r="X1870" s="16" t="s">
        <v>10735</v>
      </c>
      <c r="Y1870" s="15" t="s">
        <v>55</v>
      </c>
      <c r="Z1870" s="14">
        <v>9.22</v>
      </c>
      <c r="AA1870" s="14">
        <v>42.15</v>
      </c>
      <c r="AB1870" s="12" t="s">
        <v>56</v>
      </c>
      <c r="AC1870" s="12" t="s">
        <v>10736</v>
      </c>
      <c r="AD1870" s="13">
        <v>44833</v>
      </c>
      <c r="AE1870" s="12" t="s">
        <v>3988</v>
      </c>
      <c r="AF1870" s="12" t="s">
        <v>4284</v>
      </c>
      <c r="AG1870" s="12" t="s">
        <v>81</v>
      </c>
      <c r="AH1870" s="1">
        <f>HYPERLINK("https://my.pitchbook.com?c=206815-69T","View Company Online")</f>
      </c>
    </row>
    <row r="1871">
      <c r="A1871" s="3" t="s">
        <v>10737</v>
      </c>
      <c r="B1871" s="3" t="s">
        <v>535</v>
      </c>
      <c r="C1871" s="5" t="s">
        <v>36</v>
      </c>
      <c r="D1871" s="5" t="s">
        <v>36</v>
      </c>
      <c r="E1871" s="5" t="s">
        <v>36</v>
      </c>
      <c r="F1871" s="5" t="s">
        <v>36</v>
      </c>
      <c r="G1871" s="6" t="s">
        <v>36</v>
      </c>
      <c r="H1871" s="4" t="s">
        <v>36</v>
      </c>
      <c r="I1871" s="7" t="s">
        <v>36</v>
      </c>
      <c r="J1871" s="3" t="s">
        <v>36</v>
      </c>
      <c r="K1871" s="9" t="s">
        <v>36</v>
      </c>
      <c r="L1871" s="6" t="s">
        <v>36</v>
      </c>
      <c r="M1871" s="3" t="s">
        <v>36</v>
      </c>
      <c r="N1871" s="3" t="s">
        <v>36</v>
      </c>
      <c r="O1871" s="8" t="s">
        <v>36</v>
      </c>
      <c r="P1871" s="3" t="s">
        <v>36</v>
      </c>
      <c r="Q1871" s="3" t="s">
        <v>36</v>
      </c>
      <c r="R1871" s="3" t="s">
        <v>36</v>
      </c>
      <c r="S1871" s="3" t="s">
        <v>36</v>
      </c>
      <c r="T1871" s="3" t="s">
        <v>522</v>
      </c>
      <c r="U1871" s="3" t="s">
        <v>38</v>
      </c>
      <c r="V1871" s="3" t="s">
        <v>39</v>
      </c>
      <c r="W1871" s="3" t="s">
        <v>536</v>
      </c>
      <c r="X1871" s="10" t="s">
        <v>10738</v>
      </c>
      <c r="Y1871" s="6" t="s">
        <v>166</v>
      </c>
      <c r="Z1871" s="4" t="s">
        <v>36</v>
      </c>
      <c r="AA1871" s="4" t="s">
        <v>36</v>
      </c>
      <c r="AB1871" s="3" t="s">
        <v>56</v>
      </c>
      <c r="AC1871" s="3" t="s">
        <v>538</v>
      </c>
      <c r="AD1871" s="9">
        <v>44832</v>
      </c>
      <c r="AE1871" s="3" t="s">
        <v>110</v>
      </c>
      <c r="AF1871" s="3" t="s">
        <v>526</v>
      </c>
      <c r="AG1871" s="3" t="s">
        <v>539</v>
      </c>
      <c r="AH1871" s="11">
        <f>HYPERLINK("https://my.pitchbook.com?c=204920-56T","View Company Online")</f>
      </c>
    </row>
    <row r="1872">
      <c r="A1872" s="12" t="s">
        <v>10739</v>
      </c>
      <c r="B1872" s="12" t="s">
        <v>10740</v>
      </c>
      <c r="C1872" s="19" t="s">
        <v>36</v>
      </c>
      <c r="D1872" s="19" t="s">
        <v>36</v>
      </c>
      <c r="E1872" s="19" t="s">
        <v>36</v>
      </c>
      <c r="F1872" s="19" t="s">
        <v>36</v>
      </c>
      <c r="G1872" s="15" t="s">
        <v>326</v>
      </c>
      <c r="H1872" s="14">
        <v>2101.93</v>
      </c>
      <c r="I1872" s="18">
        <v>6.34</v>
      </c>
      <c r="J1872" s="12" t="s">
        <v>521</v>
      </c>
      <c r="K1872" s="13" t="s">
        <v>36</v>
      </c>
      <c r="L1872" s="15" t="s">
        <v>36</v>
      </c>
      <c r="M1872" s="12" t="s">
        <v>36</v>
      </c>
      <c r="N1872" s="12" t="s">
        <v>36</v>
      </c>
      <c r="O1872" s="17" t="s">
        <v>36</v>
      </c>
      <c r="P1872" s="12" t="s">
        <v>36</v>
      </c>
      <c r="Q1872" s="12" t="s">
        <v>36</v>
      </c>
      <c r="R1872" s="12" t="s">
        <v>36</v>
      </c>
      <c r="S1872" s="12" t="s">
        <v>36</v>
      </c>
      <c r="T1872" s="12" t="s">
        <v>10741</v>
      </c>
      <c r="U1872" s="12" t="s">
        <v>833</v>
      </c>
      <c r="V1872" s="12" t="s">
        <v>64</v>
      </c>
      <c r="W1872" s="12" t="s">
        <v>10742</v>
      </c>
      <c r="X1872" s="16" t="s">
        <v>9424</v>
      </c>
      <c r="Y1872" s="15" t="s">
        <v>108</v>
      </c>
      <c r="Z1872" s="14">
        <v>1.29</v>
      </c>
      <c r="AA1872" s="14">
        <v>20.37</v>
      </c>
      <c r="AB1872" s="12" t="s">
        <v>56</v>
      </c>
      <c r="AC1872" s="12" t="s">
        <v>10743</v>
      </c>
      <c r="AD1872" s="13">
        <v>44832</v>
      </c>
      <c r="AE1872" s="12" t="s">
        <v>1687</v>
      </c>
      <c r="AF1872" s="12" t="s">
        <v>90</v>
      </c>
      <c r="AG1872" s="12" t="s">
        <v>81</v>
      </c>
      <c r="AH1872" s="1">
        <f>HYPERLINK("https://my.pitchbook.com?c=206335-72T","View Company Online")</f>
      </c>
    </row>
    <row r="1873">
      <c r="A1873" s="3" t="s">
        <v>10744</v>
      </c>
      <c r="B1873" s="3" t="s">
        <v>10745</v>
      </c>
      <c r="C1873" s="5" t="s">
        <v>36</v>
      </c>
      <c r="D1873" s="5" t="s">
        <v>36</v>
      </c>
      <c r="E1873" s="5" t="s">
        <v>36</v>
      </c>
      <c r="F1873" s="5" t="s">
        <v>36</v>
      </c>
      <c r="G1873" s="6" t="s">
        <v>36</v>
      </c>
      <c r="H1873" s="4" t="s">
        <v>36</v>
      </c>
      <c r="I1873" s="7" t="s">
        <v>36</v>
      </c>
      <c r="J1873" s="3" t="s">
        <v>36</v>
      </c>
      <c r="K1873" s="9" t="s">
        <v>36</v>
      </c>
      <c r="L1873" s="6" t="s">
        <v>36</v>
      </c>
      <c r="M1873" s="3" t="s">
        <v>36</v>
      </c>
      <c r="N1873" s="3" t="s">
        <v>36</v>
      </c>
      <c r="O1873" s="8" t="s">
        <v>36</v>
      </c>
      <c r="P1873" s="3" t="s">
        <v>36</v>
      </c>
      <c r="Q1873" s="3" t="s">
        <v>36</v>
      </c>
      <c r="R1873" s="3" t="s">
        <v>36</v>
      </c>
      <c r="S1873" s="3" t="s">
        <v>36</v>
      </c>
      <c r="T1873" s="3" t="s">
        <v>522</v>
      </c>
      <c r="U1873" s="3" t="s">
        <v>38</v>
      </c>
      <c r="V1873" s="3" t="s">
        <v>39</v>
      </c>
      <c r="W1873" s="3" t="s">
        <v>10746</v>
      </c>
      <c r="X1873" s="10" t="s">
        <v>10747</v>
      </c>
      <c r="Y1873" s="6" t="s">
        <v>42</v>
      </c>
      <c r="Z1873" s="4" t="s">
        <v>36</v>
      </c>
      <c r="AA1873" s="4" t="s">
        <v>36</v>
      </c>
      <c r="AB1873" s="3" t="s">
        <v>43</v>
      </c>
      <c r="AC1873" s="3" t="s">
        <v>10748</v>
      </c>
      <c r="AD1873" s="9">
        <v>44832</v>
      </c>
      <c r="AE1873" s="3" t="s">
        <v>110</v>
      </c>
      <c r="AF1873" s="3" t="s">
        <v>111</v>
      </c>
      <c r="AG1873" s="3" t="s">
        <v>512</v>
      </c>
      <c r="AH1873" s="11">
        <f>HYPERLINK("https://my.pitchbook.com?c=188785-63T","View Company Online")</f>
      </c>
    </row>
    <row r="1874">
      <c r="A1874" s="12" t="s">
        <v>10749</v>
      </c>
      <c r="B1874" s="12" t="s">
        <v>10750</v>
      </c>
      <c r="C1874" s="19" t="s">
        <v>36</v>
      </c>
      <c r="D1874" s="19" t="s">
        <v>36</v>
      </c>
      <c r="E1874" s="19" t="s">
        <v>36</v>
      </c>
      <c r="F1874" s="19" t="s">
        <v>36</v>
      </c>
      <c r="G1874" s="15" t="s">
        <v>36</v>
      </c>
      <c r="H1874" s="14">
        <v>79.85</v>
      </c>
      <c r="I1874" s="18">
        <v>31.73</v>
      </c>
      <c r="J1874" s="12" t="s">
        <v>521</v>
      </c>
      <c r="K1874" s="13" t="s">
        <v>36</v>
      </c>
      <c r="L1874" s="15" t="s">
        <v>36</v>
      </c>
      <c r="M1874" s="12" t="s">
        <v>36</v>
      </c>
      <c r="N1874" s="12" t="s">
        <v>36</v>
      </c>
      <c r="O1874" s="17" t="s">
        <v>36</v>
      </c>
      <c r="P1874" s="12" t="s">
        <v>36</v>
      </c>
      <c r="Q1874" s="12" t="s">
        <v>36</v>
      </c>
      <c r="R1874" s="12" t="s">
        <v>36</v>
      </c>
      <c r="S1874" s="12" t="s">
        <v>36</v>
      </c>
      <c r="T1874" s="12" t="s">
        <v>10751</v>
      </c>
      <c r="U1874" s="12" t="s">
        <v>1502</v>
      </c>
      <c r="V1874" s="12" t="s">
        <v>75</v>
      </c>
      <c r="W1874" s="12" t="s">
        <v>10752</v>
      </c>
      <c r="X1874" s="16" t="s">
        <v>10753</v>
      </c>
      <c r="Y1874" s="15" t="s">
        <v>42</v>
      </c>
      <c r="Z1874" s="14">
        <v>1.99</v>
      </c>
      <c r="AA1874" s="14">
        <v>3.36</v>
      </c>
      <c r="AB1874" s="12" t="s">
        <v>43</v>
      </c>
      <c r="AC1874" s="12" t="s">
        <v>10754</v>
      </c>
      <c r="AD1874" s="13">
        <v>44832</v>
      </c>
      <c r="AE1874" s="12" t="s">
        <v>1506</v>
      </c>
      <c r="AF1874" s="12" t="s">
        <v>36</v>
      </c>
      <c r="AG1874" s="12" t="s">
        <v>186</v>
      </c>
      <c r="AH1874" s="1">
        <f>HYPERLINK("https://my.pitchbook.com?c=205044-31T","View Company Online")</f>
      </c>
    </row>
    <row r="1875">
      <c r="A1875" s="3" t="s">
        <v>10755</v>
      </c>
      <c r="B1875" s="3" t="s">
        <v>162</v>
      </c>
      <c r="C1875" s="5" t="s">
        <v>36</v>
      </c>
      <c r="D1875" s="5" t="s">
        <v>36</v>
      </c>
      <c r="E1875" s="5" t="s">
        <v>36</v>
      </c>
      <c r="F1875" s="5" t="s">
        <v>36</v>
      </c>
      <c r="G1875" s="6" t="s">
        <v>36</v>
      </c>
      <c r="H1875" s="4" t="s">
        <v>36</v>
      </c>
      <c r="I1875" s="7" t="s">
        <v>36</v>
      </c>
      <c r="J1875" s="3" t="s">
        <v>36</v>
      </c>
      <c r="K1875" s="9" t="s">
        <v>36</v>
      </c>
      <c r="L1875" s="6" t="s">
        <v>122</v>
      </c>
      <c r="M1875" s="3" t="s">
        <v>36</v>
      </c>
      <c r="N1875" s="3" t="s">
        <v>122</v>
      </c>
      <c r="O1875" s="8" t="s">
        <v>36</v>
      </c>
      <c r="P1875" s="3" t="s">
        <v>36</v>
      </c>
      <c r="Q1875" s="3" t="s">
        <v>36</v>
      </c>
      <c r="R1875" s="3" t="s">
        <v>36</v>
      </c>
      <c r="S1875" s="3" t="s">
        <v>36</v>
      </c>
      <c r="T1875" s="3" t="s">
        <v>163</v>
      </c>
      <c r="U1875" s="3" t="s">
        <v>74</v>
      </c>
      <c r="V1875" s="3" t="s">
        <v>75</v>
      </c>
      <c r="W1875" s="3" t="s">
        <v>164</v>
      </c>
      <c r="X1875" s="10" t="s">
        <v>10756</v>
      </c>
      <c r="Y1875" s="6" t="s">
        <v>192</v>
      </c>
      <c r="Z1875" s="4">
        <v>11.92</v>
      </c>
      <c r="AA1875" s="4" t="s">
        <v>36</v>
      </c>
      <c r="AB1875" s="3" t="s">
        <v>56</v>
      </c>
      <c r="AC1875" s="3" t="s">
        <v>167</v>
      </c>
      <c r="AD1875" s="9">
        <v>44832</v>
      </c>
      <c r="AE1875" s="3" t="s">
        <v>79</v>
      </c>
      <c r="AF1875" s="3" t="s">
        <v>168</v>
      </c>
      <c r="AG1875" s="3" t="s">
        <v>169</v>
      </c>
      <c r="AH1875" s="11">
        <f>HYPERLINK("https://my.pitchbook.com?c=204896-35T","View Company Online")</f>
      </c>
    </row>
    <row r="1876">
      <c r="A1876" s="12" t="s">
        <v>10757</v>
      </c>
      <c r="B1876" s="12" t="s">
        <v>10758</v>
      </c>
      <c r="C1876" s="19" t="s">
        <v>36</v>
      </c>
      <c r="D1876" s="19" t="s">
        <v>36</v>
      </c>
      <c r="E1876" s="19" t="s">
        <v>36</v>
      </c>
      <c r="F1876" s="19" t="s">
        <v>36</v>
      </c>
      <c r="G1876" s="15" t="s">
        <v>36</v>
      </c>
      <c r="H1876" s="14" t="s">
        <v>36</v>
      </c>
      <c r="I1876" s="18" t="s">
        <v>36</v>
      </c>
      <c r="J1876" s="12" t="s">
        <v>36</v>
      </c>
      <c r="K1876" s="13" t="s">
        <v>36</v>
      </c>
      <c r="L1876" s="15" t="s">
        <v>122</v>
      </c>
      <c r="M1876" s="12" t="s">
        <v>36</v>
      </c>
      <c r="N1876" s="12" t="s">
        <v>122</v>
      </c>
      <c r="O1876" s="17" t="s">
        <v>36</v>
      </c>
      <c r="P1876" s="12" t="s">
        <v>36</v>
      </c>
      <c r="Q1876" s="12" t="s">
        <v>36</v>
      </c>
      <c r="R1876" s="12" t="s">
        <v>36</v>
      </c>
      <c r="S1876" s="12" t="s">
        <v>36</v>
      </c>
      <c r="T1876" s="12" t="s">
        <v>37</v>
      </c>
      <c r="U1876" s="12" t="s">
        <v>38</v>
      </c>
      <c r="V1876" s="12" t="s">
        <v>39</v>
      </c>
      <c r="W1876" s="12" t="s">
        <v>10759</v>
      </c>
      <c r="X1876" s="16" t="s">
        <v>10760</v>
      </c>
      <c r="Y1876" s="15" t="s">
        <v>108</v>
      </c>
      <c r="Z1876" s="14">
        <v>19.89</v>
      </c>
      <c r="AA1876" s="14" t="s">
        <v>36</v>
      </c>
      <c r="AB1876" s="12" t="s">
        <v>43</v>
      </c>
      <c r="AC1876" s="12" t="s">
        <v>10761</v>
      </c>
      <c r="AD1876" s="13">
        <v>44831</v>
      </c>
      <c r="AE1876" s="12" t="s">
        <v>45</v>
      </c>
      <c r="AF1876" s="12" t="s">
        <v>331</v>
      </c>
      <c r="AG1876" s="12" t="s">
        <v>81</v>
      </c>
      <c r="AH1876" s="1">
        <f>HYPERLINK("https://my.pitchbook.com?c=204775-03T","View Company Online")</f>
      </c>
    </row>
    <row r="1877">
      <c r="A1877" s="3" t="s">
        <v>10762</v>
      </c>
      <c r="B1877" s="3" t="s">
        <v>10763</v>
      </c>
      <c r="C1877" s="5" t="s">
        <v>36</v>
      </c>
      <c r="D1877" s="5">
        <v>2</v>
      </c>
      <c r="E1877" s="5">
        <v>1</v>
      </c>
      <c r="F1877" s="5">
        <v>2</v>
      </c>
      <c r="G1877" s="6" t="s">
        <v>36</v>
      </c>
      <c r="H1877" s="4">
        <v>29.53</v>
      </c>
      <c r="I1877" s="7">
        <v>31.59</v>
      </c>
      <c r="J1877" s="3" t="s">
        <v>521</v>
      </c>
      <c r="K1877" s="9" t="s">
        <v>36</v>
      </c>
      <c r="L1877" s="6" t="s">
        <v>122</v>
      </c>
      <c r="M1877" s="3" t="s">
        <v>36</v>
      </c>
      <c r="N1877" s="3" t="s">
        <v>122</v>
      </c>
      <c r="O1877" s="8" t="s">
        <v>36</v>
      </c>
      <c r="P1877" s="3" t="s">
        <v>36</v>
      </c>
      <c r="Q1877" s="3" t="s">
        <v>36</v>
      </c>
      <c r="R1877" s="3" t="s">
        <v>36</v>
      </c>
      <c r="S1877" s="3" t="s">
        <v>36</v>
      </c>
      <c r="T1877" s="3" t="s">
        <v>105</v>
      </c>
      <c r="U1877" s="3" t="s">
        <v>38</v>
      </c>
      <c r="V1877" s="3" t="s">
        <v>39</v>
      </c>
      <c r="W1877" s="3" t="s">
        <v>10764</v>
      </c>
      <c r="X1877" s="10" t="s">
        <v>10765</v>
      </c>
      <c r="Y1877" s="6" t="s">
        <v>42</v>
      </c>
      <c r="Z1877" s="4">
        <v>2.98</v>
      </c>
      <c r="AA1877" s="4">
        <v>9.45</v>
      </c>
      <c r="AB1877" s="3" t="s">
        <v>43</v>
      </c>
      <c r="AC1877" s="3" t="s">
        <v>10766</v>
      </c>
      <c r="AD1877" s="9">
        <v>44831</v>
      </c>
      <c r="AE1877" s="3" t="s">
        <v>110</v>
      </c>
      <c r="AF1877" s="3" t="s">
        <v>10767</v>
      </c>
      <c r="AG1877" s="3" t="s">
        <v>10768</v>
      </c>
      <c r="AH1877" s="11">
        <f>HYPERLINK("https://my.pitchbook.com?c=204823-72T","View Company Online")</f>
      </c>
    </row>
    <row r="1878">
      <c r="A1878" s="12" t="s">
        <v>10769</v>
      </c>
      <c r="B1878" s="12" t="s">
        <v>10770</v>
      </c>
      <c r="C1878" s="19">
        <v>45</v>
      </c>
      <c r="D1878" s="19">
        <v>96</v>
      </c>
      <c r="E1878" s="19">
        <v>38</v>
      </c>
      <c r="F1878" s="19">
        <v>154</v>
      </c>
      <c r="G1878" s="15" t="s">
        <v>36</v>
      </c>
      <c r="H1878" s="14" t="s">
        <v>36</v>
      </c>
      <c r="I1878" s="18" t="s">
        <v>36</v>
      </c>
      <c r="J1878" s="12" t="s">
        <v>36</v>
      </c>
      <c r="K1878" s="13" t="s">
        <v>36</v>
      </c>
      <c r="L1878" s="15" t="s">
        <v>1279</v>
      </c>
      <c r="M1878" s="12" t="s">
        <v>36</v>
      </c>
      <c r="N1878" s="12" t="s">
        <v>1279</v>
      </c>
      <c r="O1878" s="17" t="s">
        <v>36</v>
      </c>
      <c r="P1878" s="12" t="s">
        <v>36</v>
      </c>
      <c r="Q1878" s="12" t="s">
        <v>36</v>
      </c>
      <c r="R1878" s="12" t="s">
        <v>36</v>
      </c>
      <c r="S1878" s="12" t="s">
        <v>36</v>
      </c>
      <c r="T1878" s="12" t="s">
        <v>10771</v>
      </c>
      <c r="U1878" s="12" t="s">
        <v>318</v>
      </c>
      <c r="V1878" s="12" t="s">
        <v>39</v>
      </c>
      <c r="W1878" s="12" t="s">
        <v>10772</v>
      </c>
      <c r="X1878" s="16" t="s">
        <v>10773</v>
      </c>
      <c r="Y1878" s="15" t="s">
        <v>475</v>
      </c>
      <c r="Z1878" s="14">
        <v>49.94</v>
      </c>
      <c r="AA1878" s="14" t="s">
        <v>36</v>
      </c>
      <c r="AB1878" s="12" t="s">
        <v>56</v>
      </c>
      <c r="AC1878" s="12" t="s">
        <v>10774</v>
      </c>
      <c r="AD1878" s="13">
        <v>44827</v>
      </c>
      <c r="AE1878" s="12" t="s">
        <v>763</v>
      </c>
      <c r="AF1878" s="12" t="s">
        <v>10775</v>
      </c>
      <c r="AG1878" s="12" t="s">
        <v>81</v>
      </c>
      <c r="AH1878" s="1">
        <f>HYPERLINK("https://my.pitchbook.com?c=204557-14T","View Company Online")</f>
      </c>
    </row>
    <row r="1879">
      <c r="A1879" s="3" t="s">
        <v>10776</v>
      </c>
      <c r="B1879" s="3" t="s">
        <v>10777</v>
      </c>
      <c r="C1879" s="5" t="s">
        <v>36</v>
      </c>
      <c r="D1879" s="5" t="s">
        <v>36</v>
      </c>
      <c r="E1879" s="5" t="s">
        <v>36</v>
      </c>
      <c r="F1879" s="5" t="s">
        <v>36</v>
      </c>
      <c r="G1879" s="6" t="s">
        <v>36</v>
      </c>
      <c r="H1879" s="4" t="s">
        <v>36</v>
      </c>
      <c r="I1879" s="7" t="s">
        <v>36</v>
      </c>
      <c r="J1879" s="3" t="s">
        <v>36</v>
      </c>
      <c r="K1879" s="9" t="s">
        <v>36</v>
      </c>
      <c r="L1879" s="6" t="s">
        <v>36</v>
      </c>
      <c r="M1879" s="3" t="s">
        <v>36</v>
      </c>
      <c r="N1879" s="3" t="s">
        <v>36</v>
      </c>
      <c r="O1879" s="8" t="s">
        <v>36</v>
      </c>
      <c r="P1879" s="3" t="s">
        <v>36</v>
      </c>
      <c r="Q1879" s="3" t="s">
        <v>36</v>
      </c>
      <c r="R1879" s="3" t="s">
        <v>36</v>
      </c>
      <c r="S1879" s="3" t="s">
        <v>36</v>
      </c>
      <c r="T1879" s="3" t="s">
        <v>10778</v>
      </c>
      <c r="U1879" s="3" t="s">
        <v>423</v>
      </c>
      <c r="V1879" s="3" t="s">
        <v>64</v>
      </c>
      <c r="W1879" s="3" t="s">
        <v>10779</v>
      </c>
      <c r="X1879" s="10" t="s">
        <v>4499</v>
      </c>
      <c r="Y1879" s="6" t="s">
        <v>108</v>
      </c>
      <c r="Z1879" s="4">
        <v>4</v>
      </c>
      <c r="AA1879" s="4" t="s">
        <v>36</v>
      </c>
      <c r="AB1879" s="3" t="s">
        <v>56</v>
      </c>
      <c r="AC1879" s="3" t="s">
        <v>10780</v>
      </c>
      <c r="AD1879" s="9">
        <v>44826</v>
      </c>
      <c r="AE1879" s="3" t="s">
        <v>427</v>
      </c>
      <c r="AF1879" s="3" t="s">
        <v>90</v>
      </c>
      <c r="AG1879" s="3" t="s">
        <v>81</v>
      </c>
      <c r="AH1879" s="11">
        <f>HYPERLINK("https://my.pitchbook.com?c=204621-67T","View Company Online")</f>
      </c>
    </row>
    <row r="1880">
      <c r="A1880" s="12" t="s">
        <v>10781</v>
      </c>
      <c r="B1880" s="12" t="s">
        <v>10782</v>
      </c>
      <c r="C1880" s="19" t="s">
        <v>36</v>
      </c>
      <c r="D1880" s="19" t="s">
        <v>36</v>
      </c>
      <c r="E1880" s="19" t="s">
        <v>36</v>
      </c>
      <c r="F1880" s="19" t="s">
        <v>36</v>
      </c>
      <c r="G1880" s="15" t="s">
        <v>36</v>
      </c>
      <c r="H1880" s="14">
        <v>94.9</v>
      </c>
      <c r="I1880" s="18">
        <v>19.22</v>
      </c>
      <c r="J1880" s="12" t="s">
        <v>521</v>
      </c>
      <c r="K1880" s="13">
        <v>44757</v>
      </c>
      <c r="L1880" s="15" t="s">
        <v>36</v>
      </c>
      <c r="M1880" s="12" t="s">
        <v>36</v>
      </c>
      <c r="N1880" s="12" t="s">
        <v>36</v>
      </c>
      <c r="O1880" s="17" t="s">
        <v>36</v>
      </c>
      <c r="P1880" s="12" t="s">
        <v>36</v>
      </c>
      <c r="Q1880" s="12" t="s">
        <v>36</v>
      </c>
      <c r="R1880" s="12" t="s">
        <v>36</v>
      </c>
      <c r="S1880" s="12" t="s">
        <v>36</v>
      </c>
      <c r="T1880" s="12" t="s">
        <v>10783</v>
      </c>
      <c r="U1880" s="12" t="s">
        <v>38</v>
      </c>
      <c r="V1880" s="12" t="s">
        <v>39</v>
      </c>
      <c r="W1880" s="12" t="s">
        <v>10784</v>
      </c>
      <c r="X1880" s="16" t="s">
        <v>10785</v>
      </c>
      <c r="Y1880" s="15" t="s">
        <v>108</v>
      </c>
      <c r="Z1880" s="14">
        <v>2</v>
      </c>
      <c r="AA1880" s="14">
        <v>6.53</v>
      </c>
      <c r="AB1880" s="12" t="s">
        <v>43</v>
      </c>
      <c r="AC1880" s="12" t="s">
        <v>10786</v>
      </c>
      <c r="AD1880" s="13">
        <v>44826</v>
      </c>
      <c r="AE1880" s="12" t="s">
        <v>7316</v>
      </c>
      <c r="AF1880" s="12" t="s">
        <v>176</v>
      </c>
      <c r="AG1880" s="12" t="s">
        <v>1803</v>
      </c>
      <c r="AH1880" s="1">
        <f>HYPERLINK("https://my.pitchbook.com?c=204654-97T","View Company Online")</f>
      </c>
    </row>
    <row r="1881">
      <c r="A1881" s="3" t="s">
        <v>10787</v>
      </c>
      <c r="B1881" s="3" t="s">
        <v>10788</v>
      </c>
      <c r="C1881" s="5" t="s">
        <v>36</v>
      </c>
      <c r="D1881" s="5" t="s">
        <v>36</v>
      </c>
      <c r="E1881" s="5" t="s">
        <v>36</v>
      </c>
      <c r="F1881" s="5" t="s">
        <v>36</v>
      </c>
      <c r="G1881" s="6" t="s">
        <v>36</v>
      </c>
      <c r="H1881" s="4" t="s">
        <v>36</v>
      </c>
      <c r="I1881" s="7" t="s">
        <v>36</v>
      </c>
      <c r="J1881" s="3" t="s">
        <v>36</v>
      </c>
      <c r="K1881" s="9" t="s">
        <v>36</v>
      </c>
      <c r="L1881" s="6" t="s">
        <v>36</v>
      </c>
      <c r="M1881" s="3" t="s">
        <v>36</v>
      </c>
      <c r="N1881" s="3" t="s">
        <v>36</v>
      </c>
      <c r="O1881" s="8" t="s">
        <v>36</v>
      </c>
      <c r="P1881" s="3" t="s">
        <v>36</v>
      </c>
      <c r="Q1881" s="3" t="s">
        <v>36</v>
      </c>
      <c r="R1881" s="3" t="s">
        <v>36</v>
      </c>
      <c r="S1881" s="3" t="s">
        <v>36</v>
      </c>
      <c r="T1881" s="3" t="s">
        <v>7452</v>
      </c>
      <c r="U1881" s="3" t="s">
        <v>38</v>
      </c>
      <c r="V1881" s="3" t="s">
        <v>39</v>
      </c>
      <c r="W1881" s="3" t="s">
        <v>10789</v>
      </c>
      <c r="X1881" s="10" t="s">
        <v>10790</v>
      </c>
      <c r="Y1881" s="6" t="s">
        <v>42</v>
      </c>
      <c r="Z1881" s="4" t="s">
        <v>36</v>
      </c>
      <c r="AA1881" s="4" t="s">
        <v>36</v>
      </c>
      <c r="AB1881" s="3" t="s">
        <v>43</v>
      </c>
      <c r="AC1881" s="3" t="s">
        <v>10791</v>
      </c>
      <c r="AD1881" s="9">
        <v>44826</v>
      </c>
      <c r="AE1881" s="3" t="s">
        <v>45</v>
      </c>
      <c r="AF1881" s="3" t="s">
        <v>10477</v>
      </c>
      <c r="AG1881" s="3" t="s">
        <v>81</v>
      </c>
      <c r="AH1881" s="11">
        <f>HYPERLINK("https://my.pitchbook.com?c=227556-91T","View Company Online")</f>
      </c>
    </row>
    <row r="1882">
      <c r="A1882" s="12" t="s">
        <v>10792</v>
      </c>
      <c r="B1882" s="12" t="s">
        <v>10793</v>
      </c>
      <c r="C1882" s="19" t="s">
        <v>36</v>
      </c>
      <c r="D1882" s="19" t="s">
        <v>36</v>
      </c>
      <c r="E1882" s="19" t="s">
        <v>36</v>
      </c>
      <c r="F1882" s="19" t="s">
        <v>36</v>
      </c>
      <c r="G1882" s="15" t="s">
        <v>326</v>
      </c>
      <c r="H1882" s="14">
        <v>81.01</v>
      </c>
      <c r="I1882" s="18">
        <v>32.81</v>
      </c>
      <c r="J1882" s="12" t="s">
        <v>521</v>
      </c>
      <c r="K1882" s="13">
        <v>44743</v>
      </c>
      <c r="L1882" s="15" t="s">
        <v>122</v>
      </c>
      <c r="M1882" s="12" t="s">
        <v>36</v>
      </c>
      <c r="N1882" s="12" t="s">
        <v>122</v>
      </c>
      <c r="O1882" s="17" t="s">
        <v>36</v>
      </c>
      <c r="P1882" s="12" t="s">
        <v>36</v>
      </c>
      <c r="Q1882" s="12" t="s">
        <v>36</v>
      </c>
      <c r="R1882" s="12" t="s">
        <v>36</v>
      </c>
      <c r="S1882" s="12" t="s">
        <v>36</v>
      </c>
      <c r="T1882" s="12" t="s">
        <v>522</v>
      </c>
      <c r="U1882" s="12" t="s">
        <v>38</v>
      </c>
      <c r="V1882" s="12" t="s">
        <v>39</v>
      </c>
      <c r="W1882" s="12" t="s">
        <v>10794</v>
      </c>
      <c r="X1882" s="16" t="s">
        <v>10795</v>
      </c>
      <c r="Y1882" s="15" t="s">
        <v>108</v>
      </c>
      <c r="Z1882" s="14">
        <v>4</v>
      </c>
      <c r="AA1882" s="14">
        <v>8.18</v>
      </c>
      <c r="AB1882" s="12" t="s">
        <v>56</v>
      </c>
      <c r="AC1882" s="12" t="s">
        <v>10796</v>
      </c>
      <c r="AD1882" s="13">
        <v>44826</v>
      </c>
      <c r="AE1882" s="12" t="s">
        <v>110</v>
      </c>
      <c r="AF1882" s="12" t="s">
        <v>10797</v>
      </c>
      <c r="AG1882" s="12" t="s">
        <v>3873</v>
      </c>
      <c r="AH1882" s="1">
        <f>HYPERLINK("https://my.pitchbook.com?c=202321-36T","View Company Online")</f>
      </c>
    </row>
    <row r="1883">
      <c r="A1883" s="3" t="s">
        <v>10798</v>
      </c>
      <c r="B1883" s="3" t="s">
        <v>3818</v>
      </c>
      <c r="C1883" s="5">
        <v>1</v>
      </c>
      <c r="D1883" s="5" t="s">
        <v>36</v>
      </c>
      <c r="E1883" s="5">
        <v>1</v>
      </c>
      <c r="F1883" s="5">
        <v>1</v>
      </c>
      <c r="G1883" s="6" t="s">
        <v>36</v>
      </c>
      <c r="H1883" s="4" t="s">
        <v>36</v>
      </c>
      <c r="I1883" s="7" t="s">
        <v>36</v>
      </c>
      <c r="J1883" s="3" t="s">
        <v>36</v>
      </c>
      <c r="K1883" s="9" t="s">
        <v>36</v>
      </c>
      <c r="L1883" s="6" t="s">
        <v>36</v>
      </c>
      <c r="M1883" s="3" t="s">
        <v>36</v>
      </c>
      <c r="N1883" s="3" t="s">
        <v>36</v>
      </c>
      <c r="O1883" s="8" t="s">
        <v>36</v>
      </c>
      <c r="P1883" s="3" t="s">
        <v>36</v>
      </c>
      <c r="Q1883" s="3" t="s">
        <v>36</v>
      </c>
      <c r="R1883" s="3" t="s">
        <v>36</v>
      </c>
      <c r="S1883" s="3" t="s">
        <v>36</v>
      </c>
      <c r="T1883" s="3" t="s">
        <v>1188</v>
      </c>
      <c r="U1883" s="3" t="s">
        <v>180</v>
      </c>
      <c r="V1883" s="3" t="s">
        <v>52</v>
      </c>
      <c r="W1883" s="3" t="s">
        <v>3819</v>
      </c>
      <c r="X1883" s="10" t="s">
        <v>10799</v>
      </c>
      <c r="Y1883" s="6" t="s">
        <v>42</v>
      </c>
      <c r="Z1883" s="4">
        <v>2.6</v>
      </c>
      <c r="AA1883" s="4" t="s">
        <v>36</v>
      </c>
      <c r="AB1883" s="3" t="s">
        <v>43</v>
      </c>
      <c r="AC1883" s="3" t="s">
        <v>3821</v>
      </c>
      <c r="AD1883" s="9">
        <v>44826</v>
      </c>
      <c r="AE1883" s="3" t="s">
        <v>1192</v>
      </c>
      <c r="AF1883" s="3" t="s">
        <v>3822</v>
      </c>
      <c r="AG1883" s="3" t="s">
        <v>3823</v>
      </c>
      <c r="AH1883" s="11">
        <f>HYPERLINK("https://my.pitchbook.com?c=204546-43T","View Company Online")</f>
      </c>
    </row>
    <row r="1884">
      <c r="A1884" s="12" t="s">
        <v>10800</v>
      </c>
      <c r="B1884" s="12" t="s">
        <v>10801</v>
      </c>
      <c r="C1884" s="19" t="s">
        <v>36</v>
      </c>
      <c r="D1884" s="19" t="s">
        <v>36</v>
      </c>
      <c r="E1884" s="19">
        <v>1</v>
      </c>
      <c r="F1884" s="19">
        <v>1</v>
      </c>
      <c r="G1884" s="15" t="s">
        <v>36</v>
      </c>
      <c r="H1884" s="14" t="s">
        <v>36</v>
      </c>
      <c r="I1884" s="18" t="s">
        <v>36</v>
      </c>
      <c r="J1884" s="12" t="s">
        <v>36</v>
      </c>
      <c r="K1884" s="13" t="s">
        <v>36</v>
      </c>
      <c r="L1884" s="15" t="s">
        <v>36</v>
      </c>
      <c r="M1884" s="12" t="s">
        <v>36</v>
      </c>
      <c r="N1884" s="12" t="s">
        <v>36</v>
      </c>
      <c r="O1884" s="17" t="s">
        <v>36</v>
      </c>
      <c r="P1884" s="12" t="s">
        <v>36</v>
      </c>
      <c r="Q1884" s="12" t="s">
        <v>36</v>
      </c>
      <c r="R1884" s="12" t="s">
        <v>36</v>
      </c>
      <c r="S1884" s="12" t="s">
        <v>36</v>
      </c>
      <c r="T1884" s="12" t="s">
        <v>10802</v>
      </c>
      <c r="U1884" s="12" t="s">
        <v>438</v>
      </c>
      <c r="V1884" s="12" t="s">
        <v>405</v>
      </c>
      <c r="W1884" s="12" t="s">
        <v>10803</v>
      </c>
      <c r="X1884" s="16" t="s">
        <v>432</v>
      </c>
      <c r="Y1884" s="15" t="s">
        <v>55</v>
      </c>
      <c r="Z1884" s="14" t="s">
        <v>36</v>
      </c>
      <c r="AA1884" s="14" t="s">
        <v>36</v>
      </c>
      <c r="AB1884" s="12" t="s">
        <v>56</v>
      </c>
      <c r="AC1884" s="12" t="s">
        <v>10804</v>
      </c>
      <c r="AD1884" s="13">
        <v>44825</v>
      </c>
      <c r="AE1884" s="12" t="s">
        <v>438</v>
      </c>
      <c r="AF1884" s="12" t="s">
        <v>331</v>
      </c>
      <c r="AG1884" s="12" t="s">
        <v>81</v>
      </c>
      <c r="AH1884" s="1">
        <f>HYPERLINK("https://my.pitchbook.com?c=204530-14T","View Company Online")</f>
      </c>
    </row>
    <row r="1885">
      <c r="A1885" s="3" t="s">
        <v>10805</v>
      </c>
      <c r="B1885" s="3" t="s">
        <v>10806</v>
      </c>
      <c r="C1885" s="5" t="s">
        <v>36</v>
      </c>
      <c r="D1885" s="5" t="s">
        <v>36</v>
      </c>
      <c r="E1885" s="5" t="s">
        <v>36</v>
      </c>
      <c r="F1885" s="5" t="s">
        <v>36</v>
      </c>
      <c r="G1885" s="6" t="s">
        <v>326</v>
      </c>
      <c r="H1885" s="4" t="s">
        <v>36</v>
      </c>
      <c r="I1885" s="7">
        <v>16</v>
      </c>
      <c r="J1885" s="3" t="s">
        <v>327</v>
      </c>
      <c r="K1885" s="9" t="s">
        <v>36</v>
      </c>
      <c r="L1885" s="6" t="s">
        <v>122</v>
      </c>
      <c r="M1885" s="3" t="s">
        <v>36</v>
      </c>
      <c r="N1885" s="3" t="s">
        <v>122</v>
      </c>
      <c r="O1885" s="8" t="s">
        <v>36</v>
      </c>
      <c r="P1885" s="3" t="s">
        <v>36</v>
      </c>
      <c r="Q1885" s="3" t="s">
        <v>36</v>
      </c>
      <c r="R1885" s="3" t="s">
        <v>36</v>
      </c>
      <c r="S1885" s="3" t="s">
        <v>2314</v>
      </c>
      <c r="T1885" s="3" t="s">
        <v>10807</v>
      </c>
      <c r="U1885" s="3" t="s">
        <v>38</v>
      </c>
      <c r="V1885" s="3" t="s">
        <v>39</v>
      </c>
      <c r="W1885" s="3" t="s">
        <v>10808</v>
      </c>
      <c r="X1885" s="10" t="s">
        <v>10809</v>
      </c>
      <c r="Y1885" s="6" t="s">
        <v>108</v>
      </c>
      <c r="Z1885" s="4">
        <v>12</v>
      </c>
      <c r="AA1885" s="4">
        <v>74.93</v>
      </c>
      <c r="AB1885" s="3" t="s">
        <v>43</v>
      </c>
      <c r="AC1885" s="3" t="s">
        <v>10810</v>
      </c>
      <c r="AD1885" s="9">
        <v>44825</v>
      </c>
      <c r="AE1885" s="3" t="s">
        <v>554</v>
      </c>
      <c r="AF1885" s="3" t="s">
        <v>555</v>
      </c>
      <c r="AG1885" s="3" t="s">
        <v>81</v>
      </c>
      <c r="AH1885" s="11">
        <f>HYPERLINK("https://my.pitchbook.com?c=199271-44T","View Company Online")</f>
      </c>
    </row>
    <row r="1886">
      <c r="A1886" s="12" t="s">
        <v>10811</v>
      </c>
      <c r="B1886" s="12" t="s">
        <v>10812</v>
      </c>
      <c r="C1886" s="19" t="s">
        <v>36</v>
      </c>
      <c r="D1886" s="19" t="s">
        <v>36</v>
      </c>
      <c r="E1886" s="19" t="s">
        <v>36</v>
      </c>
      <c r="F1886" s="19" t="s">
        <v>36</v>
      </c>
      <c r="G1886" s="15" t="s">
        <v>36</v>
      </c>
      <c r="H1886" s="14">
        <v>320.04</v>
      </c>
      <c r="I1886" s="18">
        <v>13.75</v>
      </c>
      <c r="J1886" s="12" t="s">
        <v>521</v>
      </c>
      <c r="K1886" s="13" t="s">
        <v>36</v>
      </c>
      <c r="L1886" s="15" t="s">
        <v>36</v>
      </c>
      <c r="M1886" s="12" t="s">
        <v>36</v>
      </c>
      <c r="N1886" s="12" t="s">
        <v>36</v>
      </c>
      <c r="O1886" s="17" t="s">
        <v>36</v>
      </c>
      <c r="P1886" s="12" t="s">
        <v>36</v>
      </c>
      <c r="Q1886" s="12" t="s">
        <v>36</v>
      </c>
      <c r="R1886" s="12" t="s">
        <v>36</v>
      </c>
      <c r="S1886" s="12" t="s">
        <v>36</v>
      </c>
      <c r="T1886" s="12" t="s">
        <v>10813</v>
      </c>
      <c r="U1886" s="12" t="s">
        <v>648</v>
      </c>
      <c r="V1886" s="12" t="s">
        <v>64</v>
      </c>
      <c r="W1886" s="12" t="s">
        <v>10814</v>
      </c>
      <c r="X1886" s="16" t="s">
        <v>10815</v>
      </c>
      <c r="Y1886" s="15" t="s">
        <v>42</v>
      </c>
      <c r="Z1886" s="14">
        <v>2</v>
      </c>
      <c r="AA1886" s="14">
        <v>7.98</v>
      </c>
      <c r="AB1886" s="12" t="s">
        <v>43</v>
      </c>
      <c r="AC1886" s="12" t="s">
        <v>10816</v>
      </c>
      <c r="AD1886" s="13">
        <v>44825</v>
      </c>
      <c r="AE1886" s="12" t="s">
        <v>1897</v>
      </c>
      <c r="AF1886" s="12" t="s">
        <v>1115</v>
      </c>
      <c r="AG1886" s="12" t="s">
        <v>1447</v>
      </c>
      <c r="AH1886" s="1">
        <f>HYPERLINK("https://my.pitchbook.com?c=204481-72T","View Company Online")</f>
      </c>
    </row>
    <row r="1887">
      <c r="A1887" s="3" t="s">
        <v>10817</v>
      </c>
      <c r="B1887" s="3" t="s">
        <v>10818</v>
      </c>
      <c r="C1887" s="5" t="s">
        <v>36</v>
      </c>
      <c r="D1887" s="5" t="s">
        <v>36</v>
      </c>
      <c r="E1887" s="5" t="s">
        <v>36</v>
      </c>
      <c r="F1887" s="5" t="s">
        <v>36</v>
      </c>
      <c r="G1887" s="6" t="s">
        <v>36</v>
      </c>
      <c r="H1887" s="4" t="s">
        <v>36</v>
      </c>
      <c r="I1887" s="7" t="s">
        <v>36</v>
      </c>
      <c r="J1887" s="3" t="s">
        <v>36</v>
      </c>
      <c r="K1887" s="9" t="s">
        <v>36</v>
      </c>
      <c r="L1887" s="6" t="s">
        <v>36</v>
      </c>
      <c r="M1887" s="3" t="s">
        <v>36</v>
      </c>
      <c r="N1887" s="3" t="s">
        <v>36</v>
      </c>
      <c r="O1887" s="8" t="s">
        <v>36</v>
      </c>
      <c r="P1887" s="3" t="s">
        <v>36</v>
      </c>
      <c r="Q1887" s="3" t="s">
        <v>36</v>
      </c>
      <c r="R1887" s="3" t="s">
        <v>36</v>
      </c>
      <c r="S1887" s="3" t="s">
        <v>36</v>
      </c>
      <c r="T1887" s="3" t="s">
        <v>4175</v>
      </c>
      <c r="U1887" s="3" t="s">
        <v>51</v>
      </c>
      <c r="V1887" s="3" t="s">
        <v>52</v>
      </c>
      <c r="W1887" s="3" t="s">
        <v>10819</v>
      </c>
      <c r="X1887" s="10" t="s">
        <v>10820</v>
      </c>
      <c r="Y1887" s="6" t="s">
        <v>42</v>
      </c>
      <c r="Z1887" s="4">
        <v>13.99</v>
      </c>
      <c r="AA1887" s="4" t="s">
        <v>36</v>
      </c>
      <c r="AB1887" s="3" t="s">
        <v>56</v>
      </c>
      <c r="AC1887" s="3" t="s">
        <v>10821</v>
      </c>
      <c r="AD1887" s="9">
        <v>44825</v>
      </c>
      <c r="AE1887" s="3" t="s">
        <v>58</v>
      </c>
      <c r="AF1887" s="3" t="s">
        <v>6907</v>
      </c>
      <c r="AG1887" s="3" t="s">
        <v>81</v>
      </c>
      <c r="AH1887" s="11">
        <f>HYPERLINK("https://my.pitchbook.com?c=204452-56T","View Company Online")</f>
      </c>
    </row>
    <row r="1888">
      <c r="A1888" s="12" t="s">
        <v>10822</v>
      </c>
      <c r="B1888" s="12" t="s">
        <v>10823</v>
      </c>
      <c r="C1888" s="19" t="s">
        <v>36</v>
      </c>
      <c r="D1888" s="19" t="s">
        <v>36</v>
      </c>
      <c r="E1888" s="19" t="s">
        <v>36</v>
      </c>
      <c r="F1888" s="19" t="s">
        <v>36</v>
      </c>
      <c r="G1888" s="15" t="s">
        <v>36</v>
      </c>
      <c r="H1888" s="14" t="s">
        <v>36</v>
      </c>
      <c r="I1888" s="18" t="s">
        <v>36</v>
      </c>
      <c r="J1888" s="12" t="s">
        <v>36</v>
      </c>
      <c r="K1888" s="13" t="s">
        <v>36</v>
      </c>
      <c r="L1888" s="15" t="s">
        <v>36</v>
      </c>
      <c r="M1888" s="12" t="s">
        <v>36</v>
      </c>
      <c r="N1888" s="12" t="s">
        <v>36</v>
      </c>
      <c r="O1888" s="17" t="s">
        <v>36</v>
      </c>
      <c r="P1888" s="12" t="s">
        <v>36</v>
      </c>
      <c r="Q1888" s="12" t="s">
        <v>36</v>
      </c>
      <c r="R1888" s="12" t="s">
        <v>36</v>
      </c>
      <c r="S1888" s="12" t="s">
        <v>36</v>
      </c>
      <c r="T1888" s="12" t="s">
        <v>10824</v>
      </c>
      <c r="U1888" s="12" t="s">
        <v>85</v>
      </c>
      <c r="V1888" s="12" t="s">
        <v>64</v>
      </c>
      <c r="W1888" s="12" t="s">
        <v>10825</v>
      </c>
      <c r="X1888" s="16" t="s">
        <v>10826</v>
      </c>
      <c r="Y1888" s="15" t="s">
        <v>42</v>
      </c>
      <c r="Z1888" s="14" t="s">
        <v>36</v>
      </c>
      <c r="AA1888" s="14" t="s">
        <v>36</v>
      </c>
      <c r="AB1888" s="12" t="s">
        <v>43</v>
      </c>
      <c r="AC1888" s="12" t="s">
        <v>10827</v>
      </c>
      <c r="AD1888" s="13">
        <v>44825</v>
      </c>
      <c r="AE1888" s="12" t="s">
        <v>89</v>
      </c>
      <c r="AF1888" s="12" t="s">
        <v>372</v>
      </c>
      <c r="AG1888" s="12" t="s">
        <v>81</v>
      </c>
      <c r="AH1888" s="1">
        <f>HYPERLINK("https://my.pitchbook.com?c=204845-68T","View Company Online")</f>
      </c>
    </row>
    <row r="1889">
      <c r="A1889" s="3" t="s">
        <v>10828</v>
      </c>
      <c r="B1889" s="3" t="s">
        <v>10829</v>
      </c>
      <c r="C1889" s="5">
        <v>2</v>
      </c>
      <c r="D1889" s="5" t="s">
        <v>36</v>
      </c>
      <c r="E1889" s="5">
        <v>1</v>
      </c>
      <c r="F1889" s="5">
        <v>2</v>
      </c>
      <c r="G1889" s="6" t="s">
        <v>36</v>
      </c>
      <c r="H1889" s="4" t="s">
        <v>36</v>
      </c>
      <c r="I1889" s="7" t="s">
        <v>36</v>
      </c>
      <c r="J1889" s="3" t="s">
        <v>36</v>
      </c>
      <c r="K1889" s="9" t="s">
        <v>36</v>
      </c>
      <c r="L1889" s="6" t="s">
        <v>36</v>
      </c>
      <c r="M1889" s="3" t="s">
        <v>36</v>
      </c>
      <c r="N1889" s="3" t="s">
        <v>36</v>
      </c>
      <c r="O1889" s="8" t="s">
        <v>36</v>
      </c>
      <c r="P1889" s="3" t="s">
        <v>36</v>
      </c>
      <c r="Q1889" s="3" t="s">
        <v>36</v>
      </c>
      <c r="R1889" s="3" t="s">
        <v>36</v>
      </c>
      <c r="S1889" s="3" t="s">
        <v>453</v>
      </c>
      <c r="T1889" s="3" t="s">
        <v>10830</v>
      </c>
      <c r="U1889" s="3" t="s">
        <v>85</v>
      </c>
      <c r="V1889" s="3" t="s">
        <v>64</v>
      </c>
      <c r="W1889" s="3" t="s">
        <v>10831</v>
      </c>
      <c r="X1889" s="10" t="s">
        <v>10832</v>
      </c>
      <c r="Y1889" s="6" t="s">
        <v>55</v>
      </c>
      <c r="Z1889" s="4">
        <v>239.9</v>
      </c>
      <c r="AA1889" s="4" t="s">
        <v>36</v>
      </c>
      <c r="AB1889" s="3" t="s">
        <v>56</v>
      </c>
      <c r="AC1889" s="3" t="s">
        <v>10833</v>
      </c>
      <c r="AD1889" s="9">
        <v>44825</v>
      </c>
      <c r="AE1889" s="3" t="s">
        <v>89</v>
      </c>
      <c r="AF1889" s="3" t="s">
        <v>10834</v>
      </c>
      <c r="AG1889" s="3" t="s">
        <v>81</v>
      </c>
      <c r="AH1889" s="11">
        <f>HYPERLINK("https://my.pitchbook.com?c=204413-32T","View Company Online")</f>
      </c>
    </row>
    <row r="1890">
      <c r="A1890" s="12" t="s">
        <v>10835</v>
      </c>
      <c r="B1890" s="12" t="s">
        <v>10836</v>
      </c>
      <c r="C1890" s="19" t="s">
        <v>36</v>
      </c>
      <c r="D1890" s="19" t="s">
        <v>36</v>
      </c>
      <c r="E1890" s="19" t="s">
        <v>36</v>
      </c>
      <c r="F1890" s="19" t="s">
        <v>36</v>
      </c>
      <c r="G1890" s="15" t="s">
        <v>326</v>
      </c>
      <c r="H1890" s="14">
        <v>4091.95</v>
      </c>
      <c r="I1890" s="18">
        <v>14.33</v>
      </c>
      <c r="J1890" s="12" t="s">
        <v>521</v>
      </c>
      <c r="K1890" s="13" t="s">
        <v>36</v>
      </c>
      <c r="L1890" s="15" t="s">
        <v>36</v>
      </c>
      <c r="M1890" s="12" t="s">
        <v>36</v>
      </c>
      <c r="N1890" s="12" t="s">
        <v>36</v>
      </c>
      <c r="O1890" s="17" t="s">
        <v>36</v>
      </c>
      <c r="P1890" s="12" t="s">
        <v>36</v>
      </c>
      <c r="Q1890" s="12" t="s">
        <v>36</v>
      </c>
      <c r="R1890" s="12" t="s">
        <v>36</v>
      </c>
      <c r="S1890" s="12" t="s">
        <v>36</v>
      </c>
      <c r="T1890" s="12" t="s">
        <v>10837</v>
      </c>
      <c r="U1890" s="12" t="s">
        <v>1357</v>
      </c>
      <c r="V1890" s="12" t="s">
        <v>52</v>
      </c>
      <c r="W1890" s="12" t="s">
        <v>10838</v>
      </c>
      <c r="X1890" s="16" t="s">
        <v>10839</v>
      </c>
      <c r="Y1890" s="15" t="s">
        <v>108</v>
      </c>
      <c r="Z1890" s="14">
        <v>2.47</v>
      </c>
      <c r="AA1890" s="14">
        <v>17.23</v>
      </c>
      <c r="AB1890" s="12" t="s">
        <v>56</v>
      </c>
      <c r="AC1890" s="12" t="s">
        <v>10840</v>
      </c>
      <c r="AD1890" s="13">
        <v>44824</v>
      </c>
      <c r="AE1890" s="12" t="s">
        <v>10392</v>
      </c>
      <c r="AF1890" s="12" t="s">
        <v>159</v>
      </c>
      <c r="AG1890" s="12" t="s">
        <v>10841</v>
      </c>
      <c r="AH1890" s="1">
        <f>HYPERLINK("https://my.pitchbook.com?c=211155-40T","View Company Online")</f>
      </c>
    </row>
    <row r="1891">
      <c r="A1891" s="3" t="s">
        <v>10842</v>
      </c>
      <c r="B1891" s="3" t="s">
        <v>10843</v>
      </c>
      <c r="C1891" s="5" t="s">
        <v>36</v>
      </c>
      <c r="D1891" s="5" t="s">
        <v>36</v>
      </c>
      <c r="E1891" s="5" t="s">
        <v>36</v>
      </c>
      <c r="F1891" s="5" t="s">
        <v>36</v>
      </c>
      <c r="G1891" s="6" t="s">
        <v>36</v>
      </c>
      <c r="H1891" s="4" t="s">
        <v>36</v>
      </c>
      <c r="I1891" s="7" t="s">
        <v>36</v>
      </c>
      <c r="J1891" s="3" t="s">
        <v>36</v>
      </c>
      <c r="K1891" s="9" t="s">
        <v>36</v>
      </c>
      <c r="L1891" s="6" t="s">
        <v>36</v>
      </c>
      <c r="M1891" s="3" t="s">
        <v>36</v>
      </c>
      <c r="N1891" s="3" t="s">
        <v>36</v>
      </c>
      <c r="O1891" s="8" t="s">
        <v>36</v>
      </c>
      <c r="P1891" s="3" t="s">
        <v>36</v>
      </c>
      <c r="Q1891" s="3" t="s">
        <v>36</v>
      </c>
      <c r="R1891" s="3" t="s">
        <v>36</v>
      </c>
      <c r="S1891" s="3" t="s">
        <v>36</v>
      </c>
      <c r="T1891" s="3" t="s">
        <v>10844</v>
      </c>
      <c r="U1891" s="3" t="s">
        <v>833</v>
      </c>
      <c r="V1891" s="3" t="s">
        <v>64</v>
      </c>
      <c r="W1891" s="3" t="s">
        <v>10845</v>
      </c>
      <c r="X1891" s="10" t="s">
        <v>10846</v>
      </c>
      <c r="Y1891" s="6" t="s">
        <v>42</v>
      </c>
      <c r="Z1891" s="4">
        <v>2.2</v>
      </c>
      <c r="AA1891" s="4" t="s">
        <v>36</v>
      </c>
      <c r="AB1891" s="3" t="s">
        <v>43</v>
      </c>
      <c r="AC1891" s="3" t="s">
        <v>10847</v>
      </c>
      <c r="AD1891" s="9">
        <v>44824</v>
      </c>
      <c r="AE1891" s="3" t="s">
        <v>3615</v>
      </c>
      <c r="AF1891" s="3" t="s">
        <v>90</v>
      </c>
      <c r="AG1891" s="3" t="s">
        <v>81</v>
      </c>
      <c r="AH1891" s="11">
        <f>HYPERLINK("https://my.pitchbook.com?c=204469-93T","View Company Online")</f>
      </c>
    </row>
    <row r="1892">
      <c r="A1892" s="12" t="s">
        <v>10848</v>
      </c>
      <c r="B1892" s="12" t="s">
        <v>10849</v>
      </c>
      <c r="C1892" s="19">
        <v>40</v>
      </c>
      <c r="D1892" s="19">
        <v>4</v>
      </c>
      <c r="E1892" s="19">
        <v>21</v>
      </c>
      <c r="F1892" s="19">
        <v>44</v>
      </c>
      <c r="G1892" s="15" t="s">
        <v>36</v>
      </c>
      <c r="H1892" s="14" t="s">
        <v>36</v>
      </c>
      <c r="I1892" s="18" t="s">
        <v>36</v>
      </c>
      <c r="J1892" s="12" t="s">
        <v>36</v>
      </c>
      <c r="K1892" s="13" t="s">
        <v>36</v>
      </c>
      <c r="L1892" s="15" t="s">
        <v>3736</v>
      </c>
      <c r="M1892" s="12" t="s">
        <v>36</v>
      </c>
      <c r="N1892" s="12" t="s">
        <v>3736</v>
      </c>
      <c r="O1892" s="17" t="s">
        <v>36</v>
      </c>
      <c r="P1892" s="12" t="s">
        <v>36</v>
      </c>
      <c r="Q1892" s="12" t="s">
        <v>36</v>
      </c>
      <c r="R1892" s="12" t="s">
        <v>36</v>
      </c>
      <c r="S1892" s="12" t="s">
        <v>36</v>
      </c>
      <c r="T1892" s="12" t="s">
        <v>10850</v>
      </c>
      <c r="U1892" s="12" t="s">
        <v>51</v>
      </c>
      <c r="V1892" s="12" t="s">
        <v>52</v>
      </c>
      <c r="W1892" s="12" t="s">
        <v>10851</v>
      </c>
      <c r="X1892" s="16" t="s">
        <v>10852</v>
      </c>
      <c r="Y1892" s="15" t="s">
        <v>321</v>
      </c>
      <c r="Z1892" s="14">
        <v>249.94</v>
      </c>
      <c r="AA1892" s="14" t="s">
        <v>36</v>
      </c>
      <c r="AB1892" s="12" t="s">
        <v>56</v>
      </c>
      <c r="AC1892" s="12" t="s">
        <v>10853</v>
      </c>
      <c r="AD1892" s="13">
        <v>44824</v>
      </c>
      <c r="AE1892" s="12" t="s">
        <v>158</v>
      </c>
      <c r="AF1892" s="12" t="s">
        <v>7975</v>
      </c>
      <c r="AG1892" s="12" t="s">
        <v>81</v>
      </c>
      <c r="AH1892" s="1">
        <f>HYPERLINK("https://my.pitchbook.com?c=204347-62T","View Company Online")</f>
      </c>
    </row>
    <row r="1893">
      <c r="A1893" s="3" t="s">
        <v>10854</v>
      </c>
      <c r="B1893" s="3" t="s">
        <v>10855</v>
      </c>
      <c r="C1893" s="5">
        <v>6</v>
      </c>
      <c r="D1893" s="5">
        <v>64</v>
      </c>
      <c r="E1893" s="5">
        <v>12</v>
      </c>
      <c r="F1893" s="5">
        <v>81</v>
      </c>
      <c r="G1893" s="6" t="s">
        <v>683</v>
      </c>
      <c r="H1893" s="4">
        <v>35.49</v>
      </c>
      <c r="I1893" s="7">
        <v>13.62</v>
      </c>
      <c r="J1893" s="3" t="s">
        <v>521</v>
      </c>
      <c r="K1893" s="9" t="s">
        <v>36</v>
      </c>
      <c r="L1893" s="6" t="s">
        <v>36</v>
      </c>
      <c r="M1893" s="3" t="s">
        <v>36</v>
      </c>
      <c r="N1893" s="3" t="s">
        <v>36</v>
      </c>
      <c r="O1893" s="8" t="s">
        <v>36</v>
      </c>
      <c r="P1893" s="3" t="s">
        <v>36</v>
      </c>
      <c r="Q1893" s="3" t="s">
        <v>36</v>
      </c>
      <c r="R1893" s="3" t="s">
        <v>36</v>
      </c>
      <c r="S1893" s="3" t="s">
        <v>36</v>
      </c>
      <c r="T1893" s="3" t="s">
        <v>10856</v>
      </c>
      <c r="U1893" s="3" t="s">
        <v>833</v>
      </c>
      <c r="V1893" s="3" t="s">
        <v>64</v>
      </c>
      <c r="W1893" s="3" t="s">
        <v>10857</v>
      </c>
      <c r="X1893" s="10" t="s">
        <v>9140</v>
      </c>
      <c r="Y1893" s="6" t="s">
        <v>192</v>
      </c>
      <c r="Z1893" s="4">
        <v>1.73</v>
      </c>
      <c r="AA1893" s="4">
        <v>12.67</v>
      </c>
      <c r="AB1893" s="3" t="s">
        <v>56</v>
      </c>
      <c r="AC1893" s="3" t="s">
        <v>10858</v>
      </c>
      <c r="AD1893" s="9">
        <v>44824</v>
      </c>
      <c r="AE1893" s="3" t="s">
        <v>1069</v>
      </c>
      <c r="AF1893" s="3" t="s">
        <v>10859</v>
      </c>
      <c r="AG1893" s="3" t="s">
        <v>969</v>
      </c>
      <c r="AH1893" s="11">
        <f>HYPERLINK("https://my.pitchbook.com?c=206497-27T","View Company Online")</f>
      </c>
    </row>
    <row r="1894">
      <c r="A1894" s="12" t="s">
        <v>10860</v>
      </c>
      <c r="B1894" s="12" t="s">
        <v>10861</v>
      </c>
      <c r="C1894" s="19" t="s">
        <v>36</v>
      </c>
      <c r="D1894" s="19" t="s">
        <v>36</v>
      </c>
      <c r="E1894" s="19" t="s">
        <v>36</v>
      </c>
      <c r="F1894" s="19" t="s">
        <v>36</v>
      </c>
      <c r="G1894" s="15" t="s">
        <v>36</v>
      </c>
      <c r="H1894" s="14">
        <v>12.46</v>
      </c>
      <c r="I1894" s="18">
        <v>34.56</v>
      </c>
      <c r="J1894" s="12" t="s">
        <v>521</v>
      </c>
      <c r="K1894" s="13" t="s">
        <v>36</v>
      </c>
      <c r="L1894" s="15" t="s">
        <v>36</v>
      </c>
      <c r="M1894" s="12" t="s">
        <v>36</v>
      </c>
      <c r="N1894" s="12" t="s">
        <v>36</v>
      </c>
      <c r="O1894" s="17" t="s">
        <v>36</v>
      </c>
      <c r="P1894" s="12" t="s">
        <v>36</v>
      </c>
      <c r="Q1894" s="12" t="s">
        <v>36</v>
      </c>
      <c r="R1894" s="12" t="s">
        <v>36</v>
      </c>
      <c r="S1894" s="12" t="s">
        <v>36</v>
      </c>
      <c r="T1894" s="12" t="s">
        <v>485</v>
      </c>
      <c r="U1894" s="12" t="s">
        <v>38</v>
      </c>
      <c r="V1894" s="12" t="s">
        <v>39</v>
      </c>
      <c r="W1894" s="12" t="s">
        <v>10862</v>
      </c>
      <c r="X1894" s="16" t="s">
        <v>10863</v>
      </c>
      <c r="Y1894" s="15" t="s">
        <v>42</v>
      </c>
      <c r="Z1894" s="14">
        <v>1</v>
      </c>
      <c r="AA1894" s="14">
        <v>1.45</v>
      </c>
      <c r="AB1894" s="12" t="s">
        <v>43</v>
      </c>
      <c r="AC1894" s="12" t="s">
        <v>10864</v>
      </c>
      <c r="AD1894" s="13">
        <v>44824</v>
      </c>
      <c r="AE1894" s="12" t="s">
        <v>110</v>
      </c>
      <c r="AF1894" s="12" t="s">
        <v>4930</v>
      </c>
      <c r="AG1894" s="12" t="s">
        <v>4796</v>
      </c>
      <c r="AH1894" s="1">
        <f>HYPERLINK("https://my.pitchbook.com?c=205303-78T","View Company Online")</f>
      </c>
    </row>
    <row r="1895">
      <c r="A1895" s="3" t="s">
        <v>10865</v>
      </c>
      <c r="B1895" s="3" t="s">
        <v>10866</v>
      </c>
      <c r="C1895" s="5" t="s">
        <v>36</v>
      </c>
      <c r="D1895" s="5" t="s">
        <v>36</v>
      </c>
      <c r="E1895" s="5" t="s">
        <v>36</v>
      </c>
      <c r="F1895" s="5" t="s">
        <v>36</v>
      </c>
      <c r="G1895" s="6" t="s">
        <v>36</v>
      </c>
      <c r="H1895" s="4" t="s">
        <v>36</v>
      </c>
      <c r="I1895" s="7" t="s">
        <v>36</v>
      </c>
      <c r="J1895" s="3" t="s">
        <v>36</v>
      </c>
      <c r="K1895" s="9" t="s">
        <v>36</v>
      </c>
      <c r="L1895" s="6" t="s">
        <v>36</v>
      </c>
      <c r="M1895" s="3" t="s">
        <v>36</v>
      </c>
      <c r="N1895" s="3" t="s">
        <v>36</v>
      </c>
      <c r="O1895" s="8" t="s">
        <v>36</v>
      </c>
      <c r="P1895" s="3" t="s">
        <v>36</v>
      </c>
      <c r="Q1895" s="3" t="s">
        <v>36</v>
      </c>
      <c r="R1895" s="3" t="s">
        <v>36</v>
      </c>
      <c r="S1895" s="3" t="s">
        <v>36</v>
      </c>
      <c r="T1895" s="3" t="s">
        <v>37</v>
      </c>
      <c r="U1895" s="3" t="s">
        <v>38</v>
      </c>
      <c r="V1895" s="3" t="s">
        <v>39</v>
      </c>
      <c r="W1895" s="3" t="s">
        <v>10867</v>
      </c>
      <c r="X1895" s="10" t="s">
        <v>10868</v>
      </c>
      <c r="Y1895" s="6" t="s">
        <v>108</v>
      </c>
      <c r="Z1895" s="4">
        <v>3.2</v>
      </c>
      <c r="AA1895" s="4" t="s">
        <v>36</v>
      </c>
      <c r="AB1895" s="3" t="s">
        <v>43</v>
      </c>
      <c r="AC1895" s="3" t="s">
        <v>10869</v>
      </c>
      <c r="AD1895" s="9">
        <v>44824</v>
      </c>
      <c r="AE1895" s="3" t="s">
        <v>45</v>
      </c>
      <c r="AF1895" s="3" t="s">
        <v>215</v>
      </c>
      <c r="AG1895" s="3" t="s">
        <v>102</v>
      </c>
      <c r="AH1895" s="11">
        <f>HYPERLINK("https://my.pitchbook.com?c=204391-09T","View Company Online")</f>
      </c>
    </row>
    <row r="1896">
      <c r="A1896" s="12" t="s">
        <v>10870</v>
      </c>
      <c r="B1896" s="12" t="s">
        <v>5110</v>
      </c>
      <c r="C1896" s="19">
        <v>11</v>
      </c>
      <c r="D1896" s="19">
        <v>21</v>
      </c>
      <c r="E1896" s="19">
        <v>7</v>
      </c>
      <c r="F1896" s="19">
        <v>32</v>
      </c>
      <c r="G1896" s="15" t="s">
        <v>326</v>
      </c>
      <c r="H1896" s="14" t="s">
        <v>36</v>
      </c>
      <c r="I1896" s="18">
        <v>21.55</v>
      </c>
      <c r="J1896" s="12" t="s">
        <v>521</v>
      </c>
      <c r="K1896" s="13" t="s">
        <v>36</v>
      </c>
      <c r="L1896" s="15" t="s">
        <v>36</v>
      </c>
      <c r="M1896" s="12" t="s">
        <v>36</v>
      </c>
      <c r="N1896" s="12" t="s">
        <v>36</v>
      </c>
      <c r="O1896" s="17" t="s">
        <v>36</v>
      </c>
      <c r="P1896" s="12" t="s">
        <v>36</v>
      </c>
      <c r="Q1896" s="12" t="s">
        <v>36</v>
      </c>
      <c r="R1896" s="12" t="s">
        <v>36</v>
      </c>
      <c r="S1896" s="12" t="s">
        <v>36</v>
      </c>
      <c r="T1896" s="12" t="s">
        <v>2121</v>
      </c>
      <c r="U1896" s="12" t="s">
        <v>387</v>
      </c>
      <c r="V1896" s="12" t="s">
        <v>367</v>
      </c>
      <c r="W1896" s="12" t="s">
        <v>5111</v>
      </c>
      <c r="X1896" s="16" t="s">
        <v>10871</v>
      </c>
      <c r="Y1896" s="15" t="s">
        <v>55</v>
      </c>
      <c r="Z1896" s="14">
        <v>10.2</v>
      </c>
      <c r="AA1896" s="14">
        <v>47.33</v>
      </c>
      <c r="AB1896" s="12" t="s">
        <v>56</v>
      </c>
      <c r="AC1896" s="12" t="s">
        <v>5113</v>
      </c>
      <c r="AD1896" s="13">
        <v>44824</v>
      </c>
      <c r="AE1896" s="12" t="s">
        <v>391</v>
      </c>
      <c r="AF1896" s="12" t="s">
        <v>871</v>
      </c>
      <c r="AG1896" s="12" t="s">
        <v>5114</v>
      </c>
      <c r="AH1896" s="1">
        <f>HYPERLINK("https://my.pitchbook.com?c=204285-52T","View Company Online")</f>
      </c>
    </row>
    <row r="1897">
      <c r="A1897" s="3" t="s">
        <v>10872</v>
      </c>
      <c r="B1897" s="3" t="s">
        <v>2077</v>
      </c>
      <c r="C1897" s="5" t="s">
        <v>36</v>
      </c>
      <c r="D1897" s="5" t="s">
        <v>36</v>
      </c>
      <c r="E1897" s="5" t="s">
        <v>36</v>
      </c>
      <c r="F1897" s="5" t="s">
        <v>36</v>
      </c>
      <c r="G1897" s="6" t="s">
        <v>36</v>
      </c>
      <c r="H1897" s="4">
        <v>226.24</v>
      </c>
      <c r="I1897" s="7">
        <v>72.53</v>
      </c>
      <c r="J1897" s="3" t="s">
        <v>521</v>
      </c>
      <c r="K1897" s="9" t="s">
        <v>36</v>
      </c>
      <c r="L1897" s="6" t="s">
        <v>36</v>
      </c>
      <c r="M1897" s="3" t="s">
        <v>36</v>
      </c>
      <c r="N1897" s="3" t="s">
        <v>36</v>
      </c>
      <c r="O1897" s="8" t="s">
        <v>36</v>
      </c>
      <c r="P1897" s="3" t="s">
        <v>36</v>
      </c>
      <c r="Q1897" s="3" t="s">
        <v>36</v>
      </c>
      <c r="R1897" s="3" t="s">
        <v>36</v>
      </c>
      <c r="S1897" s="3" t="s">
        <v>36</v>
      </c>
      <c r="T1897" s="3" t="s">
        <v>2078</v>
      </c>
      <c r="U1897" s="3" t="s">
        <v>96</v>
      </c>
      <c r="V1897" s="3" t="s">
        <v>52</v>
      </c>
      <c r="W1897" s="3" t="s">
        <v>2079</v>
      </c>
      <c r="X1897" s="10" t="s">
        <v>10873</v>
      </c>
      <c r="Y1897" s="6" t="s">
        <v>108</v>
      </c>
      <c r="Z1897" s="4">
        <v>0.76</v>
      </c>
      <c r="AA1897" s="4">
        <v>1.05</v>
      </c>
      <c r="AB1897" s="3" t="s">
        <v>56</v>
      </c>
      <c r="AC1897" s="3" t="s">
        <v>2081</v>
      </c>
      <c r="AD1897" s="9">
        <v>44823</v>
      </c>
      <c r="AE1897" s="3" t="s">
        <v>143</v>
      </c>
      <c r="AF1897" s="3" t="s">
        <v>665</v>
      </c>
      <c r="AG1897" s="3" t="s">
        <v>81</v>
      </c>
      <c r="AH1897" s="11">
        <f>HYPERLINK("https://my.pitchbook.com?c=206408-26T","View Company Online")</f>
      </c>
    </row>
    <row r="1898">
      <c r="A1898" s="12" t="s">
        <v>10874</v>
      </c>
      <c r="B1898" s="12" t="s">
        <v>10875</v>
      </c>
      <c r="C1898" s="19" t="s">
        <v>36</v>
      </c>
      <c r="D1898" s="19" t="s">
        <v>36</v>
      </c>
      <c r="E1898" s="19" t="s">
        <v>36</v>
      </c>
      <c r="F1898" s="19" t="s">
        <v>36</v>
      </c>
      <c r="G1898" s="15" t="s">
        <v>36</v>
      </c>
      <c r="H1898" s="14" t="s">
        <v>36</v>
      </c>
      <c r="I1898" s="18" t="s">
        <v>36</v>
      </c>
      <c r="J1898" s="12" t="s">
        <v>36</v>
      </c>
      <c r="K1898" s="13" t="s">
        <v>36</v>
      </c>
      <c r="L1898" s="15" t="s">
        <v>36</v>
      </c>
      <c r="M1898" s="12" t="s">
        <v>36</v>
      </c>
      <c r="N1898" s="12" t="s">
        <v>36</v>
      </c>
      <c r="O1898" s="17" t="s">
        <v>36</v>
      </c>
      <c r="P1898" s="12" t="s">
        <v>36</v>
      </c>
      <c r="Q1898" s="12" t="s">
        <v>36</v>
      </c>
      <c r="R1898" s="12" t="s">
        <v>36</v>
      </c>
      <c r="S1898" s="12" t="s">
        <v>36</v>
      </c>
      <c r="T1898" s="12" t="s">
        <v>1188</v>
      </c>
      <c r="U1898" s="12" t="s">
        <v>180</v>
      </c>
      <c r="V1898" s="12" t="s">
        <v>52</v>
      </c>
      <c r="W1898" s="12" t="s">
        <v>10876</v>
      </c>
      <c r="X1898" s="16" t="s">
        <v>10877</v>
      </c>
      <c r="Y1898" s="15" t="s">
        <v>108</v>
      </c>
      <c r="Z1898" s="14">
        <v>26.99</v>
      </c>
      <c r="AA1898" s="14" t="s">
        <v>36</v>
      </c>
      <c r="AB1898" s="12" t="s">
        <v>56</v>
      </c>
      <c r="AC1898" s="12" t="s">
        <v>10878</v>
      </c>
      <c r="AD1898" s="13">
        <v>44823</v>
      </c>
      <c r="AE1898" s="12" t="s">
        <v>1192</v>
      </c>
      <c r="AF1898" s="12" t="s">
        <v>756</v>
      </c>
      <c r="AG1898" s="12" t="s">
        <v>81</v>
      </c>
      <c r="AH1898" s="1">
        <f>HYPERLINK("https://my.pitchbook.com?c=201805-21T","View Company Online")</f>
      </c>
    </row>
    <row r="1899">
      <c r="A1899" s="3" t="s">
        <v>10879</v>
      </c>
      <c r="B1899" s="3" t="s">
        <v>10880</v>
      </c>
      <c r="C1899" s="5" t="s">
        <v>36</v>
      </c>
      <c r="D1899" s="5" t="s">
        <v>36</v>
      </c>
      <c r="E1899" s="5" t="s">
        <v>36</v>
      </c>
      <c r="F1899" s="5" t="s">
        <v>36</v>
      </c>
      <c r="G1899" s="6" t="s">
        <v>36</v>
      </c>
      <c r="H1899" s="4">
        <v>152.15</v>
      </c>
      <c r="I1899" s="7">
        <v>32.96</v>
      </c>
      <c r="J1899" s="3" t="s">
        <v>521</v>
      </c>
      <c r="K1899" s="9" t="s">
        <v>36</v>
      </c>
      <c r="L1899" s="6" t="s">
        <v>36</v>
      </c>
      <c r="M1899" s="3" t="s">
        <v>36</v>
      </c>
      <c r="N1899" s="3" t="s">
        <v>36</v>
      </c>
      <c r="O1899" s="8" t="s">
        <v>36</v>
      </c>
      <c r="P1899" s="3" t="s">
        <v>36</v>
      </c>
      <c r="Q1899" s="3" t="s">
        <v>36</v>
      </c>
      <c r="R1899" s="3" t="s">
        <v>36</v>
      </c>
      <c r="S1899" s="3" t="s">
        <v>36</v>
      </c>
      <c r="T1899" s="3" t="s">
        <v>123</v>
      </c>
      <c r="U1899" s="3" t="s">
        <v>38</v>
      </c>
      <c r="V1899" s="3" t="s">
        <v>39</v>
      </c>
      <c r="W1899" s="3" t="s">
        <v>10881</v>
      </c>
      <c r="X1899" s="10" t="s">
        <v>10882</v>
      </c>
      <c r="Y1899" s="6" t="s">
        <v>108</v>
      </c>
      <c r="Z1899" s="4">
        <v>0.7</v>
      </c>
      <c r="AA1899" s="4">
        <v>2.12</v>
      </c>
      <c r="AB1899" s="3" t="s">
        <v>43</v>
      </c>
      <c r="AC1899" s="3" t="s">
        <v>10883</v>
      </c>
      <c r="AD1899" s="9">
        <v>44820</v>
      </c>
      <c r="AE1899" s="3" t="s">
        <v>110</v>
      </c>
      <c r="AF1899" s="3" t="s">
        <v>111</v>
      </c>
      <c r="AG1899" s="3" t="s">
        <v>47</v>
      </c>
      <c r="AH1899" s="11">
        <f>HYPERLINK("https://my.pitchbook.com?c=204099-76T","View Company Online")</f>
      </c>
    </row>
    <row r="1900">
      <c r="A1900" s="12" t="s">
        <v>10884</v>
      </c>
      <c r="B1900" s="12" t="s">
        <v>10885</v>
      </c>
      <c r="C1900" s="19" t="s">
        <v>36</v>
      </c>
      <c r="D1900" s="19" t="s">
        <v>36</v>
      </c>
      <c r="E1900" s="19" t="s">
        <v>36</v>
      </c>
      <c r="F1900" s="19" t="s">
        <v>36</v>
      </c>
      <c r="G1900" s="15" t="s">
        <v>36</v>
      </c>
      <c r="H1900" s="14">
        <v>103.86</v>
      </c>
      <c r="I1900" s="18">
        <v>37.16</v>
      </c>
      <c r="J1900" s="12" t="s">
        <v>521</v>
      </c>
      <c r="K1900" s="13" t="s">
        <v>36</v>
      </c>
      <c r="L1900" s="15" t="s">
        <v>36</v>
      </c>
      <c r="M1900" s="12" t="s">
        <v>36</v>
      </c>
      <c r="N1900" s="12" t="s">
        <v>36</v>
      </c>
      <c r="O1900" s="17" t="s">
        <v>36</v>
      </c>
      <c r="P1900" s="12" t="s">
        <v>36</v>
      </c>
      <c r="Q1900" s="12" t="s">
        <v>36</v>
      </c>
      <c r="R1900" s="12" t="s">
        <v>36</v>
      </c>
      <c r="S1900" s="12" t="s">
        <v>36</v>
      </c>
      <c r="T1900" s="12" t="s">
        <v>1162</v>
      </c>
      <c r="U1900" s="12" t="s">
        <v>423</v>
      </c>
      <c r="V1900" s="12" t="s">
        <v>64</v>
      </c>
      <c r="W1900" s="12" t="s">
        <v>10886</v>
      </c>
      <c r="X1900" s="16" t="s">
        <v>10887</v>
      </c>
      <c r="Y1900" s="15" t="s">
        <v>42</v>
      </c>
      <c r="Z1900" s="14">
        <v>0.49</v>
      </c>
      <c r="AA1900" s="14">
        <v>1.31</v>
      </c>
      <c r="AB1900" s="12" t="s">
        <v>43</v>
      </c>
      <c r="AC1900" s="12" t="s">
        <v>10888</v>
      </c>
      <c r="AD1900" s="13">
        <v>44820</v>
      </c>
      <c r="AE1900" s="12" t="s">
        <v>562</v>
      </c>
      <c r="AF1900" s="12" t="s">
        <v>36</v>
      </c>
      <c r="AG1900" s="12" t="s">
        <v>10889</v>
      </c>
      <c r="AH1900" s="1">
        <f>HYPERLINK("https://my.pitchbook.com?c=255306-88T","View Company Online")</f>
      </c>
    </row>
    <row r="1901">
      <c r="A1901" s="3" t="s">
        <v>10890</v>
      </c>
      <c r="B1901" s="3" t="s">
        <v>10891</v>
      </c>
      <c r="C1901" s="5" t="s">
        <v>36</v>
      </c>
      <c r="D1901" s="5" t="s">
        <v>36</v>
      </c>
      <c r="E1901" s="5" t="s">
        <v>36</v>
      </c>
      <c r="F1901" s="5" t="s">
        <v>36</v>
      </c>
      <c r="G1901" s="6" t="s">
        <v>683</v>
      </c>
      <c r="H1901" s="4">
        <v>78.1</v>
      </c>
      <c r="I1901" s="7">
        <v>24</v>
      </c>
      <c r="J1901" s="3" t="s">
        <v>521</v>
      </c>
      <c r="K1901" s="9" t="s">
        <v>36</v>
      </c>
      <c r="L1901" s="6" t="s">
        <v>36</v>
      </c>
      <c r="M1901" s="3" t="s">
        <v>36</v>
      </c>
      <c r="N1901" s="3" t="s">
        <v>36</v>
      </c>
      <c r="O1901" s="8" t="s">
        <v>36</v>
      </c>
      <c r="P1901" s="3" t="s">
        <v>36</v>
      </c>
      <c r="Q1901" s="3" t="s">
        <v>36</v>
      </c>
      <c r="R1901" s="3" t="s">
        <v>36</v>
      </c>
      <c r="S1901" s="3" t="s">
        <v>36</v>
      </c>
      <c r="T1901" s="3" t="s">
        <v>10892</v>
      </c>
      <c r="U1901" s="3" t="s">
        <v>38</v>
      </c>
      <c r="V1901" s="3" t="s">
        <v>39</v>
      </c>
      <c r="W1901" s="3" t="s">
        <v>10893</v>
      </c>
      <c r="X1901" s="10" t="s">
        <v>10894</v>
      </c>
      <c r="Y1901" s="6" t="s">
        <v>55</v>
      </c>
      <c r="Z1901" s="4">
        <v>1.2</v>
      </c>
      <c r="AA1901" s="4">
        <v>5</v>
      </c>
      <c r="AB1901" s="3" t="s">
        <v>56</v>
      </c>
      <c r="AC1901" s="3" t="s">
        <v>10895</v>
      </c>
      <c r="AD1901" s="9">
        <v>44820</v>
      </c>
      <c r="AE1901" s="3" t="s">
        <v>110</v>
      </c>
      <c r="AF1901" s="3" t="s">
        <v>7309</v>
      </c>
      <c r="AG1901" s="3" t="s">
        <v>81</v>
      </c>
      <c r="AH1901" s="11">
        <f>HYPERLINK("https://my.pitchbook.com?c=223740-19T","View Company Online")</f>
      </c>
    </row>
    <row r="1902">
      <c r="A1902" s="12" t="s">
        <v>10896</v>
      </c>
      <c r="B1902" s="12" t="s">
        <v>5104</v>
      </c>
      <c r="C1902" s="19" t="s">
        <v>36</v>
      </c>
      <c r="D1902" s="19" t="s">
        <v>36</v>
      </c>
      <c r="E1902" s="19" t="s">
        <v>36</v>
      </c>
      <c r="F1902" s="19" t="s">
        <v>36</v>
      </c>
      <c r="G1902" s="15" t="s">
        <v>36</v>
      </c>
      <c r="H1902" s="14" t="s">
        <v>36</v>
      </c>
      <c r="I1902" s="18" t="s">
        <v>36</v>
      </c>
      <c r="J1902" s="12" t="s">
        <v>36</v>
      </c>
      <c r="K1902" s="13" t="s">
        <v>36</v>
      </c>
      <c r="L1902" s="15" t="s">
        <v>36</v>
      </c>
      <c r="M1902" s="12" t="s">
        <v>36</v>
      </c>
      <c r="N1902" s="12" t="s">
        <v>36</v>
      </c>
      <c r="O1902" s="17" t="s">
        <v>36</v>
      </c>
      <c r="P1902" s="12" t="s">
        <v>36</v>
      </c>
      <c r="Q1902" s="12" t="s">
        <v>36</v>
      </c>
      <c r="R1902" s="12" t="s">
        <v>36</v>
      </c>
      <c r="S1902" s="12" t="s">
        <v>36</v>
      </c>
      <c r="T1902" s="12" t="s">
        <v>522</v>
      </c>
      <c r="U1902" s="12" t="s">
        <v>38</v>
      </c>
      <c r="V1902" s="12" t="s">
        <v>39</v>
      </c>
      <c r="W1902" s="12" t="s">
        <v>5105</v>
      </c>
      <c r="X1902" s="16" t="s">
        <v>1000</v>
      </c>
      <c r="Y1902" s="15" t="s">
        <v>42</v>
      </c>
      <c r="Z1902" s="14" t="s">
        <v>36</v>
      </c>
      <c r="AA1902" s="14" t="s">
        <v>36</v>
      </c>
      <c r="AB1902" s="12" t="s">
        <v>43</v>
      </c>
      <c r="AC1902" s="12" t="s">
        <v>5107</v>
      </c>
      <c r="AD1902" s="13">
        <v>44819</v>
      </c>
      <c r="AE1902" s="12" t="s">
        <v>110</v>
      </c>
      <c r="AF1902" s="12" t="s">
        <v>5108</v>
      </c>
      <c r="AG1902" s="12" t="s">
        <v>81</v>
      </c>
      <c r="AH1902" s="1">
        <f>HYPERLINK("https://my.pitchbook.com?c=233017-84T","View Company Online")</f>
      </c>
    </row>
    <row r="1903">
      <c r="A1903" s="3" t="s">
        <v>10897</v>
      </c>
      <c r="B1903" s="3" t="s">
        <v>10898</v>
      </c>
      <c r="C1903" s="5" t="s">
        <v>36</v>
      </c>
      <c r="D1903" s="5" t="s">
        <v>36</v>
      </c>
      <c r="E1903" s="5" t="s">
        <v>36</v>
      </c>
      <c r="F1903" s="5" t="s">
        <v>36</v>
      </c>
      <c r="G1903" s="6" t="s">
        <v>36</v>
      </c>
      <c r="H1903" s="4" t="s">
        <v>36</v>
      </c>
      <c r="I1903" s="7" t="s">
        <v>36</v>
      </c>
      <c r="J1903" s="3" t="s">
        <v>36</v>
      </c>
      <c r="K1903" s="9" t="s">
        <v>36</v>
      </c>
      <c r="L1903" s="6" t="s">
        <v>36</v>
      </c>
      <c r="M1903" s="3" t="s">
        <v>36</v>
      </c>
      <c r="N1903" s="3" t="s">
        <v>36</v>
      </c>
      <c r="O1903" s="8" t="s">
        <v>36</v>
      </c>
      <c r="P1903" s="3" t="s">
        <v>36</v>
      </c>
      <c r="Q1903" s="3" t="s">
        <v>36</v>
      </c>
      <c r="R1903" s="3" t="s">
        <v>36</v>
      </c>
      <c r="S1903" s="3" t="s">
        <v>36</v>
      </c>
      <c r="T1903" s="3" t="s">
        <v>342</v>
      </c>
      <c r="U1903" s="3" t="s">
        <v>38</v>
      </c>
      <c r="V1903" s="3" t="s">
        <v>39</v>
      </c>
      <c r="W1903" s="3" t="s">
        <v>10899</v>
      </c>
      <c r="X1903" s="10" t="s">
        <v>10900</v>
      </c>
      <c r="Y1903" s="6" t="s">
        <v>108</v>
      </c>
      <c r="Z1903" s="4">
        <v>3</v>
      </c>
      <c r="AA1903" s="4" t="s">
        <v>36</v>
      </c>
      <c r="AB1903" s="3" t="s">
        <v>43</v>
      </c>
      <c r="AC1903" s="3" t="s">
        <v>10901</v>
      </c>
      <c r="AD1903" s="9">
        <v>44819</v>
      </c>
      <c r="AE1903" s="3" t="s">
        <v>110</v>
      </c>
      <c r="AF1903" s="3" t="s">
        <v>256</v>
      </c>
      <c r="AG1903" s="3" t="s">
        <v>47</v>
      </c>
      <c r="AH1903" s="11">
        <f>HYPERLINK("https://my.pitchbook.com?c=204127-57T","View Company Online")</f>
      </c>
    </row>
    <row r="1904">
      <c r="A1904" s="12" t="s">
        <v>10902</v>
      </c>
      <c r="B1904" s="12" t="s">
        <v>10903</v>
      </c>
      <c r="C1904" s="19">
        <v>5</v>
      </c>
      <c r="D1904" s="19">
        <v>31</v>
      </c>
      <c r="E1904" s="19">
        <v>8</v>
      </c>
      <c r="F1904" s="19">
        <v>37</v>
      </c>
      <c r="G1904" s="15" t="s">
        <v>326</v>
      </c>
      <c r="H1904" s="14">
        <v>223</v>
      </c>
      <c r="I1904" s="18">
        <v>37.96</v>
      </c>
      <c r="J1904" s="12" t="s">
        <v>521</v>
      </c>
      <c r="K1904" s="13" t="s">
        <v>36</v>
      </c>
      <c r="L1904" s="15" t="s">
        <v>122</v>
      </c>
      <c r="M1904" s="12" t="s">
        <v>36</v>
      </c>
      <c r="N1904" s="12" t="s">
        <v>122</v>
      </c>
      <c r="O1904" s="17" t="s">
        <v>36</v>
      </c>
      <c r="P1904" s="12" t="s">
        <v>36</v>
      </c>
      <c r="Q1904" s="12" t="s">
        <v>36</v>
      </c>
      <c r="R1904" s="12" t="s">
        <v>36</v>
      </c>
      <c r="S1904" s="12" t="s">
        <v>36</v>
      </c>
      <c r="T1904" s="12" t="s">
        <v>1628</v>
      </c>
      <c r="U1904" s="12" t="s">
        <v>96</v>
      </c>
      <c r="V1904" s="12" t="s">
        <v>52</v>
      </c>
      <c r="W1904" s="12" t="s">
        <v>10904</v>
      </c>
      <c r="X1904" s="16" t="s">
        <v>10905</v>
      </c>
      <c r="Y1904" s="15" t="s">
        <v>42</v>
      </c>
      <c r="Z1904" s="14">
        <v>5.51</v>
      </c>
      <c r="AA1904" s="14">
        <v>14.51</v>
      </c>
      <c r="AB1904" s="12" t="s">
        <v>56</v>
      </c>
      <c r="AC1904" s="12" t="s">
        <v>10906</v>
      </c>
      <c r="AD1904" s="13">
        <v>44819</v>
      </c>
      <c r="AE1904" s="12" t="s">
        <v>755</v>
      </c>
      <c r="AF1904" s="12" t="s">
        <v>261</v>
      </c>
      <c r="AG1904" s="12" t="s">
        <v>81</v>
      </c>
      <c r="AH1904" s="1">
        <f>HYPERLINK("https://my.pitchbook.com?c=204252-58T","View Company Online")</f>
      </c>
    </row>
    <row r="1905">
      <c r="A1905" s="3" t="s">
        <v>10907</v>
      </c>
      <c r="B1905" s="3" t="s">
        <v>10908</v>
      </c>
      <c r="C1905" s="5" t="s">
        <v>36</v>
      </c>
      <c r="D1905" s="5" t="s">
        <v>36</v>
      </c>
      <c r="E1905" s="5" t="s">
        <v>36</v>
      </c>
      <c r="F1905" s="5" t="s">
        <v>36</v>
      </c>
      <c r="G1905" s="6" t="s">
        <v>36</v>
      </c>
      <c r="H1905" s="4" t="s">
        <v>36</v>
      </c>
      <c r="I1905" s="7" t="s">
        <v>36</v>
      </c>
      <c r="J1905" s="3" t="s">
        <v>36</v>
      </c>
      <c r="K1905" s="9">
        <v>44361</v>
      </c>
      <c r="L1905" s="6" t="s">
        <v>36</v>
      </c>
      <c r="M1905" s="3" t="s">
        <v>36</v>
      </c>
      <c r="N1905" s="3" t="s">
        <v>36</v>
      </c>
      <c r="O1905" s="8" t="s">
        <v>36</v>
      </c>
      <c r="P1905" s="3" t="s">
        <v>36</v>
      </c>
      <c r="Q1905" s="3" t="s">
        <v>36</v>
      </c>
      <c r="R1905" s="3" t="s">
        <v>36</v>
      </c>
      <c r="S1905" s="3" t="s">
        <v>2314</v>
      </c>
      <c r="T1905" s="3" t="s">
        <v>37</v>
      </c>
      <c r="U1905" s="3" t="s">
        <v>38</v>
      </c>
      <c r="V1905" s="3" t="s">
        <v>39</v>
      </c>
      <c r="W1905" s="3" t="s">
        <v>10909</v>
      </c>
      <c r="X1905" s="10" t="s">
        <v>10910</v>
      </c>
      <c r="Y1905" s="6" t="s">
        <v>42</v>
      </c>
      <c r="Z1905" s="4">
        <v>4.81</v>
      </c>
      <c r="AA1905" s="4" t="s">
        <v>36</v>
      </c>
      <c r="AB1905" s="3" t="s">
        <v>56</v>
      </c>
      <c r="AC1905" s="3" t="s">
        <v>10911</v>
      </c>
      <c r="AD1905" s="9">
        <v>44819</v>
      </c>
      <c r="AE1905" s="3" t="s">
        <v>45</v>
      </c>
      <c r="AF1905" s="3" t="s">
        <v>799</v>
      </c>
      <c r="AG1905" s="3" t="s">
        <v>6013</v>
      </c>
      <c r="AH1905" s="11">
        <f>HYPERLINK("https://my.pitchbook.com?c=174343-87T","View Company Online")</f>
      </c>
    </row>
    <row r="1906">
      <c r="A1906" s="12" t="s">
        <v>10912</v>
      </c>
      <c r="B1906" s="12" t="s">
        <v>10913</v>
      </c>
      <c r="C1906" s="19" t="s">
        <v>36</v>
      </c>
      <c r="D1906" s="19" t="s">
        <v>36</v>
      </c>
      <c r="E1906" s="19" t="s">
        <v>36</v>
      </c>
      <c r="F1906" s="19" t="s">
        <v>36</v>
      </c>
      <c r="G1906" s="15" t="s">
        <v>36</v>
      </c>
      <c r="H1906" s="14">
        <v>97.61</v>
      </c>
      <c r="I1906" s="18">
        <v>5</v>
      </c>
      <c r="J1906" s="12" t="s">
        <v>521</v>
      </c>
      <c r="K1906" s="13">
        <v>44654</v>
      </c>
      <c r="L1906" s="15" t="s">
        <v>36</v>
      </c>
      <c r="M1906" s="12" t="s">
        <v>36</v>
      </c>
      <c r="N1906" s="12" t="s">
        <v>36</v>
      </c>
      <c r="O1906" s="17" t="s">
        <v>36</v>
      </c>
      <c r="P1906" s="12" t="s">
        <v>36</v>
      </c>
      <c r="Q1906" s="12" t="s">
        <v>36</v>
      </c>
      <c r="R1906" s="12" t="s">
        <v>36</v>
      </c>
      <c r="S1906" s="12" t="s">
        <v>36</v>
      </c>
      <c r="T1906" s="12" t="s">
        <v>278</v>
      </c>
      <c r="U1906" s="12" t="s">
        <v>279</v>
      </c>
      <c r="V1906" s="12" t="s">
        <v>64</v>
      </c>
      <c r="W1906" s="12" t="s">
        <v>10914</v>
      </c>
      <c r="X1906" s="16" t="s">
        <v>10915</v>
      </c>
      <c r="Y1906" s="15" t="s">
        <v>42</v>
      </c>
      <c r="Z1906" s="14">
        <v>0.05</v>
      </c>
      <c r="AA1906" s="14">
        <v>1</v>
      </c>
      <c r="AB1906" s="12" t="s">
        <v>43</v>
      </c>
      <c r="AC1906" s="12" t="s">
        <v>10916</v>
      </c>
      <c r="AD1906" s="13">
        <v>44818</v>
      </c>
      <c r="AE1906" s="12" t="s">
        <v>283</v>
      </c>
      <c r="AF1906" s="12" t="s">
        <v>1465</v>
      </c>
      <c r="AG1906" s="12" t="s">
        <v>81</v>
      </c>
      <c r="AH1906" s="1">
        <f>HYPERLINK("https://my.pitchbook.com?c=205994-80T","View Company Online")</f>
      </c>
    </row>
    <row r="1907">
      <c r="A1907" s="3" t="s">
        <v>10917</v>
      </c>
      <c r="B1907" s="3" t="s">
        <v>10918</v>
      </c>
      <c r="C1907" s="5" t="s">
        <v>36</v>
      </c>
      <c r="D1907" s="5">
        <v>2</v>
      </c>
      <c r="E1907" s="5">
        <v>1</v>
      </c>
      <c r="F1907" s="5">
        <v>2</v>
      </c>
      <c r="G1907" s="6" t="s">
        <v>326</v>
      </c>
      <c r="H1907" s="4">
        <v>52.13</v>
      </c>
      <c r="I1907" s="7">
        <v>20.87</v>
      </c>
      <c r="J1907" s="3" t="s">
        <v>521</v>
      </c>
      <c r="K1907" s="9">
        <v>44593</v>
      </c>
      <c r="L1907" s="6" t="s">
        <v>3736</v>
      </c>
      <c r="M1907" s="3" t="s">
        <v>36</v>
      </c>
      <c r="N1907" s="3" t="s">
        <v>3736</v>
      </c>
      <c r="O1907" s="8" t="s">
        <v>36</v>
      </c>
      <c r="P1907" s="3" t="s">
        <v>36</v>
      </c>
      <c r="Q1907" s="3" t="s">
        <v>36</v>
      </c>
      <c r="R1907" s="3" t="s">
        <v>36</v>
      </c>
      <c r="S1907" s="3" t="s">
        <v>36</v>
      </c>
      <c r="T1907" s="3" t="s">
        <v>10919</v>
      </c>
      <c r="U1907" s="3" t="s">
        <v>38</v>
      </c>
      <c r="V1907" s="3" t="s">
        <v>39</v>
      </c>
      <c r="W1907" s="3" t="s">
        <v>10920</v>
      </c>
      <c r="X1907" s="10" t="s">
        <v>10921</v>
      </c>
      <c r="Y1907" s="6" t="s">
        <v>166</v>
      </c>
      <c r="Z1907" s="4">
        <v>133.25</v>
      </c>
      <c r="AA1907" s="4">
        <v>329.51</v>
      </c>
      <c r="AB1907" s="3" t="s">
        <v>56</v>
      </c>
      <c r="AC1907" s="3" t="s">
        <v>10922</v>
      </c>
      <c r="AD1907" s="9">
        <v>44818</v>
      </c>
      <c r="AE1907" s="3" t="s">
        <v>785</v>
      </c>
      <c r="AF1907" s="3" t="s">
        <v>5001</v>
      </c>
      <c r="AG1907" s="3" t="s">
        <v>81</v>
      </c>
      <c r="AH1907" s="11">
        <f>HYPERLINK("https://my.pitchbook.com?c=196505-74T","View Company Online")</f>
      </c>
    </row>
    <row r="1908">
      <c r="A1908" s="12" t="s">
        <v>10923</v>
      </c>
      <c r="B1908" s="12" t="s">
        <v>10924</v>
      </c>
      <c r="C1908" s="19" t="s">
        <v>36</v>
      </c>
      <c r="D1908" s="19" t="s">
        <v>36</v>
      </c>
      <c r="E1908" s="19" t="s">
        <v>36</v>
      </c>
      <c r="F1908" s="19" t="s">
        <v>36</v>
      </c>
      <c r="G1908" s="15" t="s">
        <v>326</v>
      </c>
      <c r="H1908" s="14">
        <v>34.19</v>
      </c>
      <c r="I1908" s="18" t="s">
        <v>36</v>
      </c>
      <c r="J1908" s="12" t="s">
        <v>521</v>
      </c>
      <c r="K1908" s="13" t="s">
        <v>36</v>
      </c>
      <c r="L1908" s="15" t="s">
        <v>36</v>
      </c>
      <c r="M1908" s="12" t="s">
        <v>36</v>
      </c>
      <c r="N1908" s="12" t="s">
        <v>36</v>
      </c>
      <c r="O1908" s="17" t="s">
        <v>36</v>
      </c>
      <c r="P1908" s="12" t="s">
        <v>36</v>
      </c>
      <c r="Q1908" s="12" t="s">
        <v>36</v>
      </c>
      <c r="R1908" s="12" t="s">
        <v>36</v>
      </c>
      <c r="S1908" s="12" t="s">
        <v>196</v>
      </c>
      <c r="T1908" s="12" t="s">
        <v>1418</v>
      </c>
      <c r="U1908" s="12" t="s">
        <v>38</v>
      </c>
      <c r="V1908" s="12" t="s">
        <v>39</v>
      </c>
      <c r="W1908" s="12" t="s">
        <v>10925</v>
      </c>
      <c r="X1908" s="16" t="s">
        <v>3370</v>
      </c>
      <c r="Y1908" s="15" t="s">
        <v>42</v>
      </c>
      <c r="Z1908" s="14">
        <v>4.01</v>
      </c>
      <c r="AA1908" s="14">
        <v>6.21</v>
      </c>
      <c r="AB1908" s="12" t="s">
        <v>43</v>
      </c>
      <c r="AC1908" s="12" t="s">
        <v>10926</v>
      </c>
      <c r="AD1908" s="13">
        <v>44818</v>
      </c>
      <c r="AE1908" s="12" t="s">
        <v>1422</v>
      </c>
      <c r="AF1908" s="12" t="s">
        <v>10927</v>
      </c>
      <c r="AG1908" s="12" t="s">
        <v>81</v>
      </c>
      <c r="AH1908" s="1">
        <f>HYPERLINK("https://my.pitchbook.com?c=206357-23T","View Company Online")</f>
      </c>
    </row>
    <row r="1909">
      <c r="A1909" s="3" t="s">
        <v>10928</v>
      </c>
      <c r="B1909" s="3" t="s">
        <v>10929</v>
      </c>
      <c r="C1909" s="5" t="s">
        <v>36</v>
      </c>
      <c r="D1909" s="5" t="s">
        <v>36</v>
      </c>
      <c r="E1909" s="5" t="s">
        <v>36</v>
      </c>
      <c r="F1909" s="5" t="s">
        <v>36</v>
      </c>
      <c r="G1909" s="6" t="s">
        <v>36</v>
      </c>
      <c r="H1909" s="4" t="s">
        <v>36</v>
      </c>
      <c r="I1909" s="7">
        <v>4</v>
      </c>
      <c r="J1909" s="3" t="s">
        <v>521</v>
      </c>
      <c r="K1909" s="9" t="s">
        <v>36</v>
      </c>
      <c r="L1909" s="6" t="s">
        <v>36</v>
      </c>
      <c r="M1909" s="3" t="s">
        <v>36</v>
      </c>
      <c r="N1909" s="3" t="s">
        <v>36</v>
      </c>
      <c r="O1909" s="8" t="s">
        <v>36</v>
      </c>
      <c r="P1909" s="3" t="s">
        <v>36</v>
      </c>
      <c r="Q1909" s="3" t="s">
        <v>36</v>
      </c>
      <c r="R1909" s="3" t="s">
        <v>36</v>
      </c>
      <c r="S1909" s="3" t="s">
        <v>36</v>
      </c>
      <c r="T1909" s="3" t="s">
        <v>522</v>
      </c>
      <c r="U1909" s="3" t="s">
        <v>38</v>
      </c>
      <c r="V1909" s="3" t="s">
        <v>39</v>
      </c>
      <c r="W1909" s="3" t="s">
        <v>10930</v>
      </c>
      <c r="X1909" s="10" t="s">
        <v>10931</v>
      </c>
      <c r="Y1909" s="6" t="s">
        <v>42</v>
      </c>
      <c r="Z1909" s="4">
        <v>6.01</v>
      </c>
      <c r="AA1909" s="4">
        <v>15.03</v>
      </c>
      <c r="AB1909" s="3" t="s">
        <v>56</v>
      </c>
      <c r="AC1909" s="3" t="s">
        <v>10932</v>
      </c>
      <c r="AD1909" s="9">
        <v>44818</v>
      </c>
      <c r="AE1909" s="3" t="s">
        <v>110</v>
      </c>
      <c r="AF1909" s="3" t="s">
        <v>526</v>
      </c>
      <c r="AG1909" s="3" t="s">
        <v>81</v>
      </c>
      <c r="AH1909" s="11">
        <f>HYPERLINK("https://my.pitchbook.com?c=203722-75T","View Company Online")</f>
      </c>
    </row>
    <row r="1910">
      <c r="A1910" s="12" t="s">
        <v>10933</v>
      </c>
      <c r="B1910" s="12" t="s">
        <v>10934</v>
      </c>
      <c r="C1910" s="19" t="s">
        <v>36</v>
      </c>
      <c r="D1910" s="19" t="s">
        <v>36</v>
      </c>
      <c r="E1910" s="19" t="s">
        <v>36</v>
      </c>
      <c r="F1910" s="19" t="s">
        <v>36</v>
      </c>
      <c r="G1910" s="15" t="s">
        <v>36</v>
      </c>
      <c r="H1910" s="14">
        <v>58.16</v>
      </c>
      <c r="I1910" s="18">
        <v>20.01</v>
      </c>
      <c r="J1910" s="12" t="s">
        <v>521</v>
      </c>
      <c r="K1910" s="13" t="s">
        <v>36</v>
      </c>
      <c r="L1910" s="15" t="s">
        <v>36</v>
      </c>
      <c r="M1910" s="12" t="s">
        <v>36</v>
      </c>
      <c r="N1910" s="12" t="s">
        <v>36</v>
      </c>
      <c r="O1910" s="17" t="s">
        <v>36</v>
      </c>
      <c r="P1910" s="12" t="s">
        <v>36</v>
      </c>
      <c r="Q1910" s="12" t="s">
        <v>36</v>
      </c>
      <c r="R1910" s="12" t="s">
        <v>36</v>
      </c>
      <c r="S1910" s="12" t="s">
        <v>36</v>
      </c>
      <c r="T1910" s="12" t="s">
        <v>10935</v>
      </c>
      <c r="U1910" s="12" t="s">
        <v>10936</v>
      </c>
      <c r="V1910" s="12" t="s">
        <v>367</v>
      </c>
      <c r="W1910" s="12" t="s">
        <v>10937</v>
      </c>
      <c r="X1910" s="16" t="s">
        <v>3107</v>
      </c>
      <c r="Y1910" s="15" t="s">
        <v>42</v>
      </c>
      <c r="Z1910" s="14">
        <v>1.4</v>
      </c>
      <c r="AA1910" s="14">
        <v>7.02</v>
      </c>
      <c r="AB1910" s="12" t="s">
        <v>43</v>
      </c>
      <c r="AC1910" s="12" t="s">
        <v>10938</v>
      </c>
      <c r="AD1910" s="13">
        <v>44817</v>
      </c>
      <c r="AE1910" s="12" t="s">
        <v>10936</v>
      </c>
      <c r="AF1910" s="12" t="s">
        <v>1619</v>
      </c>
      <c r="AG1910" s="12" t="s">
        <v>81</v>
      </c>
      <c r="AH1910" s="1">
        <f>HYPERLINK("https://my.pitchbook.com?c=242940-70T","View Company Online")</f>
      </c>
    </row>
    <row r="1911">
      <c r="A1911" s="3" t="s">
        <v>10939</v>
      </c>
      <c r="B1911" s="3" t="s">
        <v>10940</v>
      </c>
      <c r="C1911" s="5" t="s">
        <v>36</v>
      </c>
      <c r="D1911" s="5" t="s">
        <v>36</v>
      </c>
      <c r="E1911" s="5" t="s">
        <v>36</v>
      </c>
      <c r="F1911" s="5" t="s">
        <v>36</v>
      </c>
      <c r="G1911" s="6" t="s">
        <v>326</v>
      </c>
      <c r="H1911" s="4">
        <v>1215.81</v>
      </c>
      <c r="I1911" s="7">
        <v>33.44</v>
      </c>
      <c r="J1911" s="3" t="s">
        <v>521</v>
      </c>
      <c r="K1911" s="9" t="s">
        <v>36</v>
      </c>
      <c r="L1911" s="6" t="s">
        <v>36</v>
      </c>
      <c r="M1911" s="3" t="s">
        <v>36</v>
      </c>
      <c r="N1911" s="3" t="s">
        <v>36</v>
      </c>
      <c r="O1911" s="8" t="s">
        <v>36</v>
      </c>
      <c r="P1911" s="3" t="s">
        <v>36</v>
      </c>
      <c r="Q1911" s="3" t="s">
        <v>36</v>
      </c>
      <c r="R1911" s="3" t="s">
        <v>36</v>
      </c>
      <c r="S1911" s="3" t="s">
        <v>36</v>
      </c>
      <c r="T1911" s="3" t="s">
        <v>647</v>
      </c>
      <c r="U1911" s="3" t="s">
        <v>648</v>
      </c>
      <c r="V1911" s="3" t="s">
        <v>64</v>
      </c>
      <c r="W1911" s="3" t="s">
        <v>10941</v>
      </c>
      <c r="X1911" s="10" t="s">
        <v>10942</v>
      </c>
      <c r="Y1911" s="6" t="s">
        <v>108</v>
      </c>
      <c r="Z1911" s="4">
        <v>0.88</v>
      </c>
      <c r="AA1911" s="4">
        <v>1.46</v>
      </c>
      <c r="AB1911" s="3" t="s">
        <v>43</v>
      </c>
      <c r="AC1911" s="3" t="s">
        <v>10943</v>
      </c>
      <c r="AD1911" s="9">
        <v>44817</v>
      </c>
      <c r="AE1911" s="3" t="s">
        <v>651</v>
      </c>
      <c r="AF1911" s="3" t="s">
        <v>36</v>
      </c>
      <c r="AG1911" s="3" t="s">
        <v>10944</v>
      </c>
      <c r="AH1911" s="11">
        <f>HYPERLINK("https://my.pitchbook.com?c=204143-95T","View Company Online")</f>
      </c>
    </row>
    <row r="1912">
      <c r="A1912" s="12" t="s">
        <v>10945</v>
      </c>
      <c r="B1912" s="12" t="s">
        <v>10946</v>
      </c>
      <c r="C1912" s="19">
        <v>7</v>
      </c>
      <c r="D1912" s="19">
        <v>22</v>
      </c>
      <c r="E1912" s="19">
        <v>5</v>
      </c>
      <c r="F1912" s="19">
        <v>35</v>
      </c>
      <c r="G1912" s="15" t="s">
        <v>683</v>
      </c>
      <c r="H1912" s="14">
        <v>70.62</v>
      </c>
      <c r="I1912" s="18">
        <v>21.16</v>
      </c>
      <c r="J1912" s="12" t="s">
        <v>521</v>
      </c>
      <c r="K1912" s="13" t="s">
        <v>36</v>
      </c>
      <c r="L1912" s="15" t="s">
        <v>36</v>
      </c>
      <c r="M1912" s="12" t="s">
        <v>36</v>
      </c>
      <c r="N1912" s="12" t="s">
        <v>36</v>
      </c>
      <c r="O1912" s="17" t="s">
        <v>36</v>
      </c>
      <c r="P1912" s="12" t="s">
        <v>36</v>
      </c>
      <c r="Q1912" s="12" t="s">
        <v>36</v>
      </c>
      <c r="R1912" s="12" t="s">
        <v>36</v>
      </c>
      <c r="S1912" s="12" t="s">
        <v>36</v>
      </c>
      <c r="T1912" s="12" t="s">
        <v>4225</v>
      </c>
      <c r="U1912" s="12" t="s">
        <v>96</v>
      </c>
      <c r="V1912" s="12" t="s">
        <v>52</v>
      </c>
      <c r="W1912" s="12" t="s">
        <v>10947</v>
      </c>
      <c r="X1912" s="16" t="s">
        <v>10948</v>
      </c>
      <c r="Y1912" s="15" t="s">
        <v>192</v>
      </c>
      <c r="Z1912" s="14">
        <v>2.38</v>
      </c>
      <c r="AA1912" s="14">
        <v>11.23</v>
      </c>
      <c r="AB1912" s="12" t="s">
        <v>56</v>
      </c>
      <c r="AC1912" s="12" t="s">
        <v>10949</v>
      </c>
      <c r="AD1912" s="13">
        <v>44817</v>
      </c>
      <c r="AE1912" s="12" t="s">
        <v>143</v>
      </c>
      <c r="AF1912" s="12" t="s">
        <v>571</v>
      </c>
      <c r="AG1912" s="12" t="s">
        <v>392</v>
      </c>
      <c r="AH1912" s="1">
        <f>HYPERLINK("https://my.pitchbook.com?c=206631-64T","View Company Online")</f>
      </c>
    </row>
    <row r="1913">
      <c r="A1913" s="3" t="s">
        <v>10950</v>
      </c>
      <c r="B1913" s="3" t="s">
        <v>10951</v>
      </c>
      <c r="C1913" s="5">
        <v>2</v>
      </c>
      <c r="D1913" s="5" t="s">
        <v>36</v>
      </c>
      <c r="E1913" s="5">
        <v>2</v>
      </c>
      <c r="F1913" s="5">
        <v>2</v>
      </c>
      <c r="G1913" s="6" t="s">
        <v>36</v>
      </c>
      <c r="H1913" s="4" t="s">
        <v>36</v>
      </c>
      <c r="I1913" s="7" t="s">
        <v>36</v>
      </c>
      <c r="J1913" s="3" t="s">
        <v>36</v>
      </c>
      <c r="K1913" s="9" t="s">
        <v>36</v>
      </c>
      <c r="L1913" s="6" t="s">
        <v>36</v>
      </c>
      <c r="M1913" s="3" t="s">
        <v>36</v>
      </c>
      <c r="N1913" s="3" t="s">
        <v>36</v>
      </c>
      <c r="O1913" s="8" t="s">
        <v>36</v>
      </c>
      <c r="P1913" s="3" t="s">
        <v>36</v>
      </c>
      <c r="Q1913" s="3" t="s">
        <v>36</v>
      </c>
      <c r="R1913" s="3" t="s">
        <v>36</v>
      </c>
      <c r="S1913" s="3" t="s">
        <v>36</v>
      </c>
      <c r="T1913" s="3" t="s">
        <v>6247</v>
      </c>
      <c r="U1913" s="3" t="s">
        <v>85</v>
      </c>
      <c r="V1913" s="3" t="s">
        <v>64</v>
      </c>
      <c r="W1913" s="3" t="s">
        <v>10952</v>
      </c>
      <c r="X1913" s="10" t="s">
        <v>10953</v>
      </c>
      <c r="Y1913" s="6" t="s">
        <v>108</v>
      </c>
      <c r="Z1913" s="4">
        <v>16.05</v>
      </c>
      <c r="AA1913" s="4" t="s">
        <v>36</v>
      </c>
      <c r="AB1913" s="3" t="s">
        <v>56</v>
      </c>
      <c r="AC1913" s="3" t="s">
        <v>10954</v>
      </c>
      <c r="AD1913" s="9">
        <v>44816</v>
      </c>
      <c r="AE1913" s="3" t="s">
        <v>89</v>
      </c>
      <c r="AF1913" s="3" t="s">
        <v>269</v>
      </c>
      <c r="AG1913" s="3" t="s">
        <v>10955</v>
      </c>
      <c r="AH1913" s="11">
        <f>HYPERLINK("https://my.pitchbook.com?c=203528-53T","View Company Online")</f>
      </c>
    </row>
    <row r="1914">
      <c r="A1914" s="12" t="s">
        <v>10956</v>
      </c>
      <c r="B1914" s="12" t="s">
        <v>10957</v>
      </c>
      <c r="C1914" s="19">
        <v>10</v>
      </c>
      <c r="D1914" s="19">
        <v>5</v>
      </c>
      <c r="E1914" s="19">
        <v>5</v>
      </c>
      <c r="F1914" s="19">
        <v>16</v>
      </c>
      <c r="G1914" s="15" t="s">
        <v>36</v>
      </c>
      <c r="H1914" s="14" t="s">
        <v>36</v>
      </c>
      <c r="I1914" s="18" t="s">
        <v>36</v>
      </c>
      <c r="J1914" s="12" t="s">
        <v>36</v>
      </c>
      <c r="K1914" s="13" t="s">
        <v>36</v>
      </c>
      <c r="L1914" s="15" t="s">
        <v>94</v>
      </c>
      <c r="M1914" s="12" t="s">
        <v>36</v>
      </c>
      <c r="N1914" s="12" t="s">
        <v>94</v>
      </c>
      <c r="O1914" s="17" t="s">
        <v>36</v>
      </c>
      <c r="P1914" s="12" t="s">
        <v>36</v>
      </c>
      <c r="Q1914" s="12" t="s">
        <v>36</v>
      </c>
      <c r="R1914" s="12" t="s">
        <v>36</v>
      </c>
      <c r="S1914" s="12" t="s">
        <v>36</v>
      </c>
      <c r="T1914" s="12" t="s">
        <v>881</v>
      </c>
      <c r="U1914" s="12" t="s">
        <v>51</v>
      </c>
      <c r="V1914" s="12" t="s">
        <v>52</v>
      </c>
      <c r="W1914" s="12" t="s">
        <v>10958</v>
      </c>
      <c r="X1914" s="16" t="s">
        <v>10959</v>
      </c>
      <c r="Y1914" s="15" t="s">
        <v>192</v>
      </c>
      <c r="Z1914" s="14">
        <v>75.24</v>
      </c>
      <c r="AA1914" s="14" t="s">
        <v>36</v>
      </c>
      <c r="AB1914" s="12" t="s">
        <v>56</v>
      </c>
      <c r="AC1914" s="12" t="s">
        <v>10960</v>
      </c>
      <c r="AD1914" s="13">
        <v>44816</v>
      </c>
      <c r="AE1914" s="12" t="s">
        <v>504</v>
      </c>
      <c r="AF1914" s="12" t="s">
        <v>885</v>
      </c>
      <c r="AG1914" s="12" t="s">
        <v>81</v>
      </c>
      <c r="AH1914" s="1">
        <f>HYPERLINK("https://my.pitchbook.com?c=203660-02T","View Company Online")</f>
      </c>
    </row>
    <row r="1915">
      <c r="A1915" s="3" t="s">
        <v>10961</v>
      </c>
      <c r="B1915" s="3" t="s">
        <v>10962</v>
      </c>
      <c r="C1915" s="5" t="s">
        <v>36</v>
      </c>
      <c r="D1915" s="5" t="s">
        <v>36</v>
      </c>
      <c r="E1915" s="5" t="s">
        <v>36</v>
      </c>
      <c r="F1915" s="5" t="s">
        <v>36</v>
      </c>
      <c r="G1915" s="6" t="s">
        <v>326</v>
      </c>
      <c r="H1915" s="4">
        <v>618.98</v>
      </c>
      <c r="I1915" s="7">
        <v>23.74</v>
      </c>
      <c r="J1915" s="3" t="s">
        <v>521</v>
      </c>
      <c r="K1915" s="9" t="s">
        <v>36</v>
      </c>
      <c r="L1915" s="6" t="s">
        <v>36</v>
      </c>
      <c r="M1915" s="3" t="s">
        <v>36</v>
      </c>
      <c r="N1915" s="3" t="s">
        <v>36</v>
      </c>
      <c r="O1915" s="8" t="s">
        <v>36</v>
      </c>
      <c r="P1915" s="3" t="s">
        <v>36</v>
      </c>
      <c r="Q1915" s="3" t="s">
        <v>36</v>
      </c>
      <c r="R1915" s="3" t="s">
        <v>36</v>
      </c>
      <c r="S1915" s="3" t="s">
        <v>36</v>
      </c>
      <c r="T1915" s="3" t="s">
        <v>10963</v>
      </c>
      <c r="U1915" s="3" t="s">
        <v>38</v>
      </c>
      <c r="V1915" s="3" t="s">
        <v>39</v>
      </c>
      <c r="W1915" s="3" t="s">
        <v>10964</v>
      </c>
      <c r="X1915" s="10" t="s">
        <v>10965</v>
      </c>
      <c r="Y1915" s="6" t="s">
        <v>192</v>
      </c>
      <c r="Z1915" s="4">
        <v>1.5</v>
      </c>
      <c r="AA1915" s="4">
        <v>6.32</v>
      </c>
      <c r="AB1915" s="3" t="s">
        <v>56</v>
      </c>
      <c r="AC1915" s="3" t="s">
        <v>10966</v>
      </c>
      <c r="AD1915" s="9">
        <v>44816</v>
      </c>
      <c r="AE1915" s="3" t="s">
        <v>110</v>
      </c>
      <c r="AF1915" s="3" t="s">
        <v>815</v>
      </c>
      <c r="AG1915" s="3" t="s">
        <v>81</v>
      </c>
      <c r="AH1915" s="11">
        <f>HYPERLINK("https://my.pitchbook.com?c=206019-64T","View Company Online")</f>
      </c>
    </row>
    <row r="1916">
      <c r="A1916" s="12" t="s">
        <v>10967</v>
      </c>
      <c r="B1916" s="12" t="s">
        <v>10968</v>
      </c>
      <c r="C1916" s="19" t="s">
        <v>36</v>
      </c>
      <c r="D1916" s="19" t="s">
        <v>36</v>
      </c>
      <c r="E1916" s="19" t="s">
        <v>36</v>
      </c>
      <c r="F1916" s="19" t="s">
        <v>36</v>
      </c>
      <c r="G1916" s="15" t="s">
        <v>36</v>
      </c>
      <c r="H1916" s="14">
        <v>48.47</v>
      </c>
      <c r="I1916" s="18">
        <v>29.83</v>
      </c>
      <c r="J1916" s="12" t="s">
        <v>521</v>
      </c>
      <c r="K1916" s="13" t="s">
        <v>36</v>
      </c>
      <c r="L1916" s="15" t="s">
        <v>36</v>
      </c>
      <c r="M1916" s="12" t="s">
        <v>36</v>
      </c>
      <c r="N1916" s="12" t="s">
        <v>36</v>
      </c>
      <c r="O1916" s="17" t="s">
        <v>36</v>
      </c>
      <c r="P1916" s="12" t="s">
        <v>36</v>
      </c>
      <c r="Q1916" s="12" t="s">
        <v>36</v>
      </c>
      <c r="R1916" s="12" t="s">
        <v>36</v>
      </c>
      <c r="S1916" s="12" t="s">
        <v>36</v>
      </c>
      <c r="T1916" s="12" t="s">
        <v>4640</v>
      </c>
      <c r="U1916" s="12" t="s">
        <v>833</v>
      </c>
      <c r="V1916" s="12" t="s">
        <v>64</v>
      </c>
      <c r="W1916" s="12" t="s">
        <v>10969</v>
      </c>
      <c r="X1916" s="16" t="s">
        <v>10970</v>
      </c>
      <c r="Y1916" s="15" t="s">
        <v>42</v>
      </c>
      <c r="Z1916" s="14">
        <v>0.6</v>
      </c>
      <c r="AA1916" s="14">
        <v>2</v>
      </c>
      <c r="AB1916" s="12" t="s">
        <v>56</v>
      </c>
      <c r="AC1916" s="12" t="s">
        <v>10971</v>
      </c>
      <c r="AD1916" s="13">
        <v>44813</v>
      </c>
      <c r="AE1916" s="12" t="s">
        <v>1687</v>
      </c>
      <c r="AF1916" s="12" t="s">
        <v>571</v>
      </c>
      <c r="AG1916" s="12" t="s">
        <v>10972</v>
      </c>
      <c r="AH1916" s="1">
        <f>HYPERLINK("https://my.pitchbook.com?c=215208-91T","View Company Online")</f>
      </c>
    </row>
    <row r="1917">
      <c r="A1917" s="3" t="s">
        <v>10973</v>
      </c>
      <c r="B1917" s="3" t="s">
        <v>5511</v>
      </c>
      <c r="C1917" s="5" t="s">
        <v>36</v>
      </c>
      <c r="D1917" s="5">
        <v>1</v>
      </c>
      <c r="E1917" s="5">
        <v>2</v>
      </c>
      <c r="F1917" s="5">
        <v>5</v>
      </c>
      <c r="G1917" s="6" t="s">
        <v>36</v>
      </c>
      <c r="H1917" s="4" t="s">
        <v>36</v>
      </c>
      <c r="I1917" s="7" t="s">
        <v>36</v>
      </c>
      <c r="J1917" s="3" t="s">
        <v>36</v>
      </c>
      <c r="K1917" s="9">
        <v>44570</v>
      </c>
      <c r="L1917" s="6" t="s">
        <v>122</v>
      </c>
      <c r="M1917" s="3" t="s">
        <v>36</v>
      </c>
      <c r="N1917" s="3" t="s">
        <v>122</v>
      </c>
      <c r="O1917" s="8" t="s">
        <v>36</v>
      </c>
      <c r="P1917" s="3" t="s">
        <v>36</v>
      </c>
      <c r="Q1917" s="3" t="s">
        <v>36</v>
      </c>
      <c r="R1917" s="3" t="s">
        <v>36</v>
      </c>
      <c r="S1917" s="3" t="s">
        <v>36</v>
      </c>
      <c r="T1917" s="3" t="s">
        <v>5512</v>
      </c>
      <c r="U1917" s="3" t="s">
        <v>38</v>
      </c>
      <c r="V1917" s="3" t="s">
        <v>39</v>
      </c>
      <c r="W1917" s="3" t="s">
        <v>5513</v>
      </c>
      <c r="X1917" s="10" t="s">
        <v>10974</v>
      </c>
      <c r="Y1917" s="6" t="s">
        <v>108</v>
      </c>
      <c r="Z1917" s="4">
        <v>15.07</v>
      </c>
      <c r="AA1917" s="4" t="s">
        <v>36</v>
      </c>
      <c r="AB1917" s="3" t="s">
        <v>43</v>
      </c>
      <c r="AC1917" s="3" t="s">
        <v>5515</v>
      </c>
      <c r="AD1917" s="9">
        <v>44813</v>
      </c>
      <c r="AE1917" s="3" t="s">
        <v>45</v>
      </c>
      <c r="AF1917" s="3" t="s">
        <v>215</v>
      </c>
      <c r="AG1917" s="3" t="s">
        <v>81</v>
      </c>
      <c r="AH1917" s="11">
        <f>HYPERLINK("https://my.pitchbook.com?c=195501-16T","View Company Online")</f>
      </c>
    </row>
    <row r="1918">
      <c r="A1918" s="12" t="s">
        <v>10975</v>
      </c>
      <c r="B1918" s="12" t="s">
        <v>10976</v>
      </c>
      <c r="C1918" s="19">
        <v>4</v>
      </c>
      <c r="D1918" s="19" t="s">
        <v>36</v>
      </c>
      <c r="E1918" s="19">
        <v>4</v>
      </c>
      <c r="F1918" s="19">
        <v>7</v>
      </c>
      <c r="G1918" s="15" t="s">
        <v>326</v>
      </c>
      <c r="H1918" s="14">
        <v>1.94</v>
      </c>
      <c r="I1918" s="18">
        <v>34.12</v>
      </c>
      <c r="J1918" s="12" t="s">
        <v>521</v>
      </c>
      <c r="K1918" s="13" t="s">
        <v>36</v>
      </c>
      <c r="L1918" s="15" t="s">
        <v>36</v>
      </c>
      <c r="M1918" s="12" t="s">
        <v>36</v>
      </c>
      <c r="N1918" s="12" t="s">
        <v>36</v>
      </c>
      <c r="O1918" s="17" t="s">
        <v>36</v>
      </c>
      <c r="P1918" s="12" t="s">
        <v>36</v>
      </c>
      <c r="Q1918" s="12" t="s">
        <v>36</v>
      </c>
      <c r="R1918" s="12" t="s">
        <v>36</v>
      </c>
      <c r="S1918" s="12" t="s">
        <v>36</v>
      </c>
      <c r="T1918" s="12" t="s">
        <v>10977</v>
      </c>
      <c r="U1918" s="12" t="s">
        <v>74</v>
      </c>
      <c r="V1918" s="12" t="s">
        <v>75</v>
      </c>
      <c r="W1918" s="12" t="s">
        <v>10978</v>
      </c>
      <c r="X1918" s="16" t="s">
        <v>10979</v>
      </c>
      <c r="Y1918" s="15" t="s">
        <v>192</v>
      </c>
      <c r="Z1918" s="14">
        <v>23.86</v>
      </c>
      <c r="AA1918" s="14">
        <v>69.94</v>
      </c>
      <c r="AB1918" s="12" t="s">
        <v>56</v>
      </c>
      <c r="AC1918" s="12" t="s">
        <v>10980</v>
      </c>
      <c r="AD1918" s="13">
        <v>44813</v>
      </c>
      <c r="AE1918" s="12" t="s">
        <v>362</v>
      </c>
      <c r="AF1918" s="12" t="s">
        <v>468</v>
      </c>
      <c r="AG1918" s="12" t="s">
        <v>392</v>
      </c>
      <c r="AH1918" s="1">
        <f>HYPERLINK("https://my.pitchbook.com?c=203422-96T","View Company Online")</f>
      </c>
    </row>
    <row r="1919">
      <c r="A1919" s="3" t="s">
        <v>10981</v>
      </c>
      <c r="B1919" s="3" t="s">
        <v>10982</v>
      </c>
      <c r="C1919" s="5">
        <v>1</v>
      </c>
      <c r="D1919" s="5">
        <v>1</v>
      </c>
      <c r="E1919" s="5">
        <v>2</v>
      </c>
      <c r="F1919" s="5">
        <v>2</v>
      </c>
      <c r="G1919" s="6" t="s">
        <v>36</v>
      </c>
      <c r="H1919" s="4" t="s">
        <v>36</v>
      </c>
      <c r="I1919" s="7">
        <v>27.71</v>
      </c>
      <c r="J1919" s="3" t="s">
        <v>327</v>
      </c>
      <c r="K1919" s="9" t="s">
        <v>36</v>
      </c>
      <c r="L1919" s="6" t="s">
        <v>122</v>
      </c>
      <c r="M1919" s="3" t="s">
        <v>36</v>
      </c>
      <c r="N1919" s="3" t="s">
        <v>122</v>
      </c>
      <c r="O1919" s="8" t="s">
        <v>36</v>
      </c>
      <c r="P1919" s="3" t="s">
        <v>36</v>
      </c>
      <c r="Q1919" s="3" t="s">
        <v>36</v>
      </c>
      <c r="R1919" s="3" t="s">
        <v>36</v>
      </c>
      <c r="S1919" s="3" t="s">
        <v>36</v>
      </c>
      <c r="T1919" s="3" t="s">
        <v>9281</v>
      </c>
      <c r="U1919" s="3" t="s">
        <v>38</v>
      </c>
      <c r="V1919" s="3" t="s">
        <v>39</v>
      </c>
      <c r="W1919" s="3" t="s">
        <v>10983</v>
      </c>
      <c r="X1919" s="10" t="s">
        <v>10984</v>
      </c>
      <c r="Y1919" s="6" t="s">
        <v>192</v>
      </c>
      <c r="Z1919" s="4">
        <v>7.03</v>
      </c>
      <c r="AA1919" s="4">
        <v>25.38</v>
      </c>
      <c r="AB1919" s="3" t="s">
        <v>56</v>
      </c>
      <c r="AC1919" s="3" t="s">
        <v>10985</v>
      </c>
      <c r="AD1919" s="9">
        <v>44813</v>
      </c>
      <c r="AE1919" s="3" t="s">
        <v>1945</v>
      </c>
      <c r="AF1919" s="3" t="s">
        <v>526</v>
      </c>
      <c r="AG1919" s="3" t="s">
        <v>2760</v>
      </c>
      <c r="AH1919" s="11">
        <f>HYPERLINK("https://my.pitchbook.com?c=203421-79T","View Company Online")</f>
      </c>
    </row>
    <row r="1920">
      <c r="A1920" s="12" t="s">
        <v>10986</v>
      </c>
      <c r="B1920" s="12" t="s">
        <v>10987</v>
      </c>
      <c r="C1920" s="19" t="s">
        <v>36</v>
      </c>
      <c r="D1920" s="19" t="s">
        <v>36</v>
      </c>
      <c r="E1920" s="19" t="s">
        <v>36</v>
      </c>
      <c r="F1920" s="19" t="s">
        <v>36</v>
      </c>
      <c r="G1920" s="15" t="s">
        <v>36</v>
      </c>
      <c r="H1920" s="14" t="s">
        <v>36</v>
      </c>
      <c r="I1920" s="18" t="s">
        <v>36</v>
      </c>
      <c r="J1920" s="12" t="s">
        <v>36</v>
      </c>
      <c r="K1920" s="13" t="s">
        <v>36</v>
      </c>
      <c r="L1920" s="15" t="s">
        <v>36</v>
      </c>
      <c r="M1920" s="12" t="s">
        <v>36</v>
      </c>
      <c r="N1920" s="12" t="s">
        <v>36</v>
      </c>
      <c r="O1920" s="17" t="s">
        <v>36</v>
      </c>
      <c r="P1920" s="12" t="s">
        <v>36</v>
      </c>
      <c r="Q1920" s="12" t="s">
        <v>36</v>
      </c>
      <c r="R1920" s="12" t="s">
        <v>36</v>
      </c>
      <c r="S1920" s="12" t="s">
        <v>36</v>
      </c>
      <c r="T1920" s="12" t="s">
        <v>1701</v>
      </c>
      <c r="U1920" s="12" t="s">
        <v>74</v>
      </c>
      <c r="V1920" s="12" t="s">
        <v>75</v>
      </c>
      <c r="W1920" s="12" t="s">
        <v>10988</v>
      </c>
      <c r="X1920" s="16" t="s">
        <v>10989</v>
      </c>
      <c r="Y1920" s="15" t="s">
        <v>42</v>
      </c>
      <c r="Z1920" s="14">
        <v>0.2</v>
      </c>
      <c r="AA1920" s="14" t="s">
        <v>36</v>
      </c>
      <c r="AB1920" s="12" t="s">
        <v>43</v>
      </c>
      <c r="AC1920" s="12" t="s">
        <v>10990</v>
      </c>
      <c r="AD1920" s="13">
        <v>44811</v>
      </c>
      <c r="AE1920" s="12" t="s">
        <v>79</v>
      </c>
      <c r="AF1920" s="12" t="s">
        <v>1401</v>
      </c>
      <c r="AG1920" s="12" t="s">
        <v>81</v>
      </c>
      <c r="AH1920" s="1">
        <f>HYPERLINK("https://my.pitchbook.com?c=226896-31T","View Company Online")</f>
      </c>
    </row>
    <row r="1921">
      <c r="A1921" s="3" t="s">
        <v>10991</v>
      </c>
      <c r="B1921" s="3" t="s">
        <v>10992</v>
      </c>
      <c r="C1921" s="5">
        <v>3</v>
      </c>
      <c r="D1921" s="5">
        <v>2</v>
      </c>
      <c r="E1921" s="5">
        <v>3</v>
      </c>
      <c r="F1921" s="5">
        <v>6</v>
      </c>
      <c r="G1921" s="6" t="s">
        <v>36</v>
      </c>
      <c r="H1921" s="4" t="s">
        <v>36</v>
      </c>
      <c r="I1921" s="7" t="s">
        <v>36</v>
      </c>
      <c r="J1921" s="3" t="s">
        <v>36</v>
      </c>
      <c r="K1921" s="9" t="s">
        <v>36</v>
      </c>
      <c r="L1921" s="6" t="s">
        <v>36</v>
      </c>
      <c r="M1921" s="3" t="s">
        <v>36</v>
      </c>
      <c r="N1921" s="3" t="s">
        <v>36</v>
      </c>
      <c r="O1921" s="8" t="s">
        <v>36</v>
      </c>
      <c r="P1921" s="3" t="s">
        <v>36</v>
      </c>
      <c r="Q1921" s="3" t="s">
        <v>36</v>
      </c>
      <c r="R1921" s="3" t="s">
        <v>36</v>
      </c>
      <c r="S1921" s="3" t="s">
        <v>36</v>
      </c>
      <c r="T1921" s="3" t="s">
        <v>10993</v>
      </c>
      <c r="U1921" s="3" t="s">
        <v>51</v>
      </c>
      <c r="V1921" s="3" t="s">
        <v>52</v>
      </c>
      <c r="W1921" s="3" t="s">
        <v>10994</v>
      </c>
      <c r="X1921" s="10" t="s">
        <v>10995</v>
      </c>
      <c r="Y1921" s="6" t="s">
        <v>42</v>
      </c>
      <c r="Z1921" s="4">
        <v>1.51</v>
      </c>
      <c r="AA1921" s="4" t="s">
        <v>36</v>
      </c>
      <c r="AB1921" s="3" t="s">
        <v>56</v>
      </c>
      <c r="AC1921" s="3" t="s">
        <v>10996</v>
      </c>
      <c r="AD1921" s="9">
        <v>44811</v>
      </c>
      <c r="AE1921" s="3" t="s">
        <v>158</v>
      </c>
      <c r="AF1921" s="3" t="s">
        <v>159</v>
      </c>
      <c r="AG1921" s="3" t="s">
        <v>10997</v>
      </c>
      <c r="AH1921" s="11">
        <f>HYPERLINK("https://my.pitchbook.com?c=201559-69T","View Company Online")</f>
      </c>
    </row>
    <row r="1922">
      <c r="A1922" s="12" t="s">
        <v>10998</v>
      </c>
      <c r="B1922" s="12" t="s">
        <v>10999</v>
      </c>
      <c r="C1922" s="19" t="s">
        <v>36</v>
      </c>
      <c r="D1922" s="19" t="s">
        <v>36</v>
      </c>
      <c r="E1922" s="19" t="s">
        <v>36</v>
      </c>
      <c r="F1922" s="19" t="s">
        <v>36</v>
      </c>
      <c r="G1922" s="15" t="s">
        <v>326</v>
      </c>
      <c r="H1922" s="14">
        <v>9.7</v>
      </c>
      <c r="I1922" s="18">
        <v>28.95</v>
      </c>
      <c r="J1922" s="12" t="s">
        <v>521</v>
      </c>
      <c r="K1922" s="13" t="s">
        <v>36</v>
      </c>
      <c r="L1922" s="15" t="s">
        <v>122</v>
      </c>
      <c r="M1922" s="12" t="s">
        <v>36</v>
      </c>
      <c r="N1922" s="12" t="s">
        <v>122</v>
      </c>
      <c r="O1922" s="17" t="s">
        <v>36</v>
      </c>
      <c r="P1922" s="12" t="s">
        <v>36</v>
      </c>
      <c r="Q1922" s="12" t="s">
        <v>36</v>
      </c>
      <c r="R1922" s="12" t="s">
        <v>36</v>
      </c>
      <c r="S1922" s="12" t="s">
        <v>36</v>
      </c>
      <c r="T1922" s="12" t="s">
        <v>11000</v>
      </c>
      <c r="U1922" s="12" t="s">
        <v>289</v>
      </c>
      <c r="V1922" s="12" t="s">
        <v>64</v>
      </c>
      <c r="W1922" s="12" t="s">
        <v>11001</v>
      </c>
      <c r="X1922" s="16" t="s">
        <v>11002</v>
      </c>
      <c r="Y1922" s="15" t="s">
        <v>108</v>
      </c>
      <c r="Z1922" s="14">
        <v>10.29</v>
      </c>
      <c r="AA1922" s="14">
        <v>35.53</v>
      </c>
      <c r="AB1922" s="12" t="s">
        <v>43</v>
      </c>
      <c r="AC1922" s="12" t="s">
        <v>11003</v>
      </c>
      <c r="AD1922" s="13">
        <v>44811</v>
      </c>
      <c r="AE1922" s="12" t="s">
        <v>3134</v>
      </c>
      <c r="AF1922" s="12" t="s">
        <v>8032</v>
      </c>
      <c r="AG1922" s="12" t="s">
        <v>81</v>
      </c>
      <c r="AH1922" s="1">
        <f>HYPERLINK("https://my.pitchbook.com?c=203174-65T","View Company Online")</f>
      </c>
    </row>
    <row r="1923">
      <c r="A1923" s="3" t="s">
        <v>11004</v>
      </c>
      <c r="B1923" s="3" t="s">
        <v>11005</v>
      </c>
      <c r="C1923" s="5" t="s">
        <v>36</v>
      </c>
      <c r="D1923" s="5" t="s">
        <v>36</v>
      </c>
      <c r="E1923" s="5" t="s">
        <v>36</v>
      </c>
      <c r="F1923" s="5" t="s">
        <v>36</v>
      </c>
      <c r="G1923" s="6" t="s">
        <v>683</v>
      </c>
      <c r="H1923" s="4">
        <v>254.82</v>
      </c>
      <c r="I1923" s="7">
        <v>17.1</v>
      </c>
      <c r="J1923" s="3" t="s">
        <v>521</v>
      </c>
      <c r="K1923" s="9" t="s">
        <v>36</v>
      </c>
      <c r="L1923" s="6" t="s">
        <v>36</v>
      </c>
      <c r="M1923" s="3" t="s">
        <v>36</v>
      </c>
      <c r="N1923" s="3" t="s">
        <v>36</v>
      </c>
      <c r="O1923" s="8" t="s">
        <v>36</v>
      </c>
      <c r="P1923" s="3" t="s">
        <v>36</v>
      </c>
      <c r="Q1923" s="3" t="s">
        <v>36</v>
      </c>
      <c r="R1923" s="3" t="s">
        <v>36</v>
      </c>
      <c r="S1923" s="3" t="s">
        <v>36</v>
      </c>
      <c r="T1923" s="3" t="s">
        <v>11006</v>
      </c>
      <c r="U1923" s="3" t="s">
        <v>279</v>
      </c>
      <c r="V1923" s="3" t="s">
        <v>64</v>
      </c>
      <c r="W1923" s="3" t="s">
        <v>11007</v>
      </c>
      <c r="X1923" s="10" t="s">
        <v>11008</v>
      </c>
      <c r="Y1923" s="6" t="s">
        <v>321</v>
      </c>
      <c r="Z1923" s="4">
        <v>6.79</v>
      </c>
      <c r="AA1923" s="4">
        <v>39.75</v>
      </c>
      <c r="AB1923" s="3" t="s">
        <v>56</v>
      </c>
      <c r="AC1923" s="3" t="s">
        <v>11009</v>
      </c>
      <c r="AD1923" s="9">
        <v>44811</v>
      </c>
      <c r="AE1923" s="3" t="s">
        <v>283</v>
      </c>
      <c r="AF1923" s="3" t="s">
        <v>11010</v>
      </c>
      <c r="AG1923" s="3" t="s">
        <v>969</v>
      </c>
      <c r="AH1923" s="11">
        <f>HYPERLINK("https://my.pitchbook.com?c=206698-60T","View Company Online")</f>
      </c>
    </row>
    <row r="1924">
      <c r="A1924" s="12" t="s">
        <v>11011</v>
      </c>
      <c r="B1924" s="12" t="s">
        <v>11012</v>
      </c>
      <c r="C1924" s="19" t="s">
        <v>36</v>
      </c>
      <c r="D1924" s="19" t="s">
        <v>36</v>
      </c>
      <c r="E1924" s="19" t="s">
        <v>36</v>
      </c>
      <c r="F1924" s="19" t="s">
        <v>36</v>
      </c>
      <c r="G1924" s="15" t="s">
        <v>36</v>
      </c>
      <c r="H1924" s="14" t="s">
        <v>36</v>
      </c>
      <c r="I1924" s="18">
        <v>16.32</v>
      </c>
      <c r="J1924" s="12" t="s">
        <v>327</v>
      </c>
      <c r="K1924" s="13" t="s">
        <v>36</v>
      </c>
      <c r="L1924" s="15" t="s">
        <v>36</v>
      </c>
      <c r="M1924" s="12" t="s">
        <v>36</v>
      </c>
      <c r="N1924" s="12" t="s">
        <v>36</v>
      </c>
      <c r="O1924" s="17" t="s">
        <v>36</v>
      </c>
      <c r="P1924" s="12" t="s">
        <v>36</v>
      </c>
      <c r="Q1924" s="12" t="s">
        <v>36</v>
      </c>
      <c r="R1924" s="12" t="s">
        <v>36</v>
      </c>
      <c r="S1924" s="12" t="s">
        <v>36</v>
      </c>
      <c r="T1924" s="12" t="s">
        <v>881</v>
      </c>
      <c r="U1924" s="12" t="s">
        <v>51</v>
      </c>
      <c r="V1924" s="12" t="s">
        <v>52</v>
      </c>
      <c r="W1924" s="12" t="s">
        <v>11013</v>
      </c>
      <c r="X1924" s="16" t="s">
        <v>1840</v>
      </c>
      <c r="Y1924" s="15" t="s">
        <v>108</v>
      </c>
      <c r="Z1924" s="14">
        <v>2.52</v>
      </c>
      <c r="AA1924" s="14">
        <v>15.43</v>
      </c>
      <c r="AB1924" s="12" t="s">
        <v>43</v>
      </c>
      <c r="AC1924" s="12" t="s">
        <v>11014</v>
      </c>
      <c r="AD1924" s="13">
        <v>44810</v>
      </c>
      <c r="AE1924" s="12" t="s">
        <v>504</v>
      </c>
      <c r="AF1924" s="12" t="s">
        <v>665</v>
      </c>
      <c r="AG1924" s="12" t="s">
        <v>4637</v>
      </c>
      <c r="AH1924" s="1">
        <f>HYPERLINK("https://my.pitchbook.com?c=218193-58T","View Company Online")</f>
      </c>
    </row>
    <row r="1925">
      <c r="A1925" s="3" t="s">
        <v>11015</v>
      </c>
      <c r="B1925" s="3" t="s">
        <v>11016</v>
      </c>
      <c r="C1925" s="5" t="s">
        <v>36</v>
      </c>
      <c r="D1925" s="5" t="s">
        <v>36</v>
      </c>
      <c r="E1925" s="5" t="s">
        <v>36</v>
      </c>
      <c r="F1925" s="5" t="s">
        <v>36</v>
      </c>
      <c r="G1925" s="6" t="s">
        <v>36</v>
      </c>
      <c r="H1925" s="4">
        <v>5563.7</v>
      </c>
      <c r="I1925" s="7">
        <v>12.28</v>
      </c>
      <c r="J1925" s="3" t="s">
        <v>521</v>
      </c>
      <c r="K1925" s="9" t="s">
        <v>36</v>
      </c>
      <c r="L1925" s="6" t="s">
        <v>36</v>
      </c>
      <c r="M1925" s="3" t="s">
        <v>36</v>
      </c>
      <c r="N1925" s="3" t="s">
        <v>36</v>
      </c>
      <c r="O1925" s="8" t="s">
        <v>36</v>
      </c>
      <c r="P1925" s="3" t="s">
        <v>36</v>
      </c>
      <c r="Q1925" s="3" t="s">
        <v>36</v>
      </c>
      <c r="R1925" s="3" t="s">
        <v>36</v>
      </c>
      <c r="S1925" s="3" t="s">
        <v>36</v>
      </c>
      <c r="T1925" s="3" t="s">
        <v>3277</v>
      </c>
      <c r="U1925" s="3" t="s">
        <v>1357</v>
      </c>
      <c r="V1925" s="3" t="s">
        <v>52</v>
      </c>
      <c r="W1925" s="3" t="s">
        <v>11017</v>
      </c>
      <c r="X1925" s="10" t="s">
        <v>2869</v>
      </c>
      <c r="Y1925" s="6" t="s">
        <v>42</v>
      </c>
      <c r="Z1925" s="4">
        <v>0.76</v>
      </c>
      <c r="AA1925" s="4">
        <v>6.15</v>
      </c>
      <c r="AB1925" s="3" t="s">
        <v>43</v>
      </c>
      <c r="AC1925" s="3" t="s">
        <v>11018</v>
      </c>
      <c r="AD1925" s="9">
        <v>44810</v>
      </c>
      <c r="AE1925" s="3" t="s">
        <v>3204</v>
      </c>
      <c r="AF1925" s="3" t="s">
        <v>36</v>
      </c>
      <c r="AG1925" s="3" t="s">
        <v>382</v>
      </c>
      <c r="AH1925" s="11">
        <f>HYPERLINK("https://my.pitchbook.com?c=275965-75T","View Company Online")</f>
      </c>
    </row>
    <row r="1926">
      <c r="A1926" s="12" t="s">
        <v>11019</v>
      </c>
      <c r="B1926" s="12" t="s">
        <v>11020</v>
      </c>
      <c r="C1926" s="19" t="s">
        <v>36</v>
      </c>
      <c r="D1926" s="19" t="s">
        <v>36</v>
      </c>
      <c r="E1926" s="19">
        <v>1</v>
      </c>
      <c r="F1926" s="19">
        <v>1</v>
      </c>
      <c r="G1926" s="15" t="s">
        <v>36</v>
      </c>
      <c r="H1926" s="14" t="s">
        <v>36</v>
      </c>
      <c r="I1926" s="18">
        <v>42.41</v>
      </c>
      <c r="J1926" s="12" t="s">
        <v>327</v>
      </c>
      <c r="K1926" s="13" t="s">
        <v>36</v>
      </c>
      <c r="L1926" s="15" t="s">
        <v>36</v>
      </c>
      <c r="M1926" s="12" t="s">
        <v>36</v>
      </c>
      <c r="N1926" s="12" t="s">
        <v>36</v>
      </c>
      <c r="O1926" s="17" t="s">
        <v>36</v>
      </c>
      <c r="P1926" s="12" t="s">
        <v>36</v>
      </c>
      <c r="Q1926" s="12" t="s">
        <v>36</v>
      </c>
      <c r="R1926" s="12" t="s">
        <v>36</v>
      </c>
      <c r="S1926" s="12" t="s">
        <v>36</v>
      </c>
      <c r="T1926" s="12" t="s">
        <v>1188</v>
      </c>
      <c r="U1926" s="12" t="s">
        <v>180</v>
      </c>
      <c r="V1926" s="12" t="s">
        <v>52</v>
      </c>
      <c r="W1926" s="12" t="s">
        <v>11021</v>
      </c>
      <c r="X1926" s="16" t="s">
        <v>11022</v>
      </c>
      <c r="Y1926" s="15" t="s">
        <v>108</v>
      </c>
      <c r="Z1926" s="14">
        <v>10.08</v>
      </c>
      <c r="AA1926" s="14">
        <v>23.76</v>
      </c>
      <c r="AB1926" s="12" t="s">
        <v>43</v>
      </c>
      <c r="AC1926" s="12" t="s">
        <v>11023</v>
      </c>
      <c r="AD1926" s="13">
        <v>44809</v>
      </c>
      <c r="AE1926" s="12" t="s">
        <v>1192</v>
      </c>
      <c r="AF1926" s="12" t="s">
        <v>111</v>
      </c>
      <c r="AG1926" s="12" t="s">
        <v>81</v>
      </c>
      <c r="AH1926" s="1">
        <f>HYPERLINK("https://my.pitchbook.com?c=203569-75T","View Company Online")</f>
      </c>
    </row>
    <row r="1927">
      <c r="A1927" s="3" t="s">
        <v>11024</v>
      </c>
      <c r="B1927" s="3" t="s">
        <v>6530</v>
      </c>
      <c r="C1927" s="5" t="s">
        <v>36</v>
      </c>
      <c r="D1927" s="5" t="s">
        <v>36</v>
      </c>
      <c r="E1927" s="5" t="s">
        <v>36</v>
      </c>
      <c r="F1927" s="5" t="s">
        <v>36</v>
      </c>
      <c r="G1927" s="6" t="s">
        <v>326</v>
      </c>
      <c r="H1927" s="4">
        <v>25149.38</v>
      </c>
      <c r="I1927" s="7">
        <v>24.96</v>
      </c>
      <c r="J1927" s="3" t="s">
        <v>521</v>
      </c>
      <c r="K1927" s="9">
        <v>44231</v>
      </c>
      <c r="L1927" s="6" t="s">
        <v>94</v>
      </c>
      <c r="M1927" s="3" t="s">
        <v>36</v>
      </c>
      <c r="N1927" s="3" t="s">
        <v>94</v>
      </c>
      <c r="O1927" s="8" t="s">
        <v>36</v>
      </c>
      <c r="P1927" s="3" t="s">
        <v>36</v>
      </c>
      <c r="Q1927" s="3" t="s">
        <v>36</v>
      </c>
      <c r="R1927" s="3" t="s">
        <v>36</v>
      </c>
      <c r="S1927" s="3" t="s">
        <v>6531</v>
      </c>
      <c r="T1927" s="3" t="s">
        <v>6532</v>
      </c>
      <c r="U1927" s="3" t="s">
        <v>63</v>
      </c>
      <c r="V1927" s="3" t="s">
        <v>64</v>
      </c>
      <c r="W1927" s="3" t="s">
        <v>6533</v>
      </c>
      <c r="X1927" s="10" t="s">
        <v>11025</v>
      </c>
      <c r="Y1927" s="6" t="s">
        <v>108</v>
      </c>
      <c r="Z1927" s="4">
        <v>80.63</v>
      </c>
      <c r="AA1927" s="4">
        <v>171.52</v>
      </c>
      <c r="AB1927" s="3" t="s">
        <v>56</v>
      </c>
      <c r="AC1927" s="3" t="s">
        <v>6535</v>
      </c>
      <c r="AD1927" s="9">
        <v>44809</v>
      </c>
      <c r="AE1927" s="3" t="s">
        <v>68</v>
      </c>
      <c r="AF1927" s="3" t="s">
        <v>6536</v>
      </c>
      <c r="AG1927" s="3" t="s">
        <v>81</v>
      </c>
      <c r="AH1927" s="11">
        <f>HYPERLINK("https://my.pitchbook.com?c=203639-77T","View Company Online")</f>
      </c>
    </row>
    <row r="1928">
      <c r="A1928" s="12" t="s">
        <v>11026</v>
      </c>
      <c r="B1928" s="12" t="s">
        <v>1487</v>
      </c>
      <c r="C1928" s="19" t="s">
        <v>36</v>
      </c>
      <c r="D1928" s="19" t="s">
        <v>36</v>
      </c>
      <c r="E1928" s="19" t="s">
        <v>36</v>
      </c>
      <c r="F1928" s="19" t="s">
        <v>36</v>
      </c>
      <c r="G1928" s="15" t="s">
        <v>36</v>
      </c>
      <c r="H1928" s="14">
        <v>145.44</v>
      </c>
      <c r="I1928" s="18">
        <v>18.92</v>
      </c>
      <c r="J1928" s="12" t="s">
        <v>521</v>
      </c>
      <c r="K1928" s="13" t="s">
        <v>36</v>
      </c>
      <c r="L1928" s="15" t="s">
        <v>36</v>
      </c>
      <c r="M1928" s="12" t="s">
        <v>36</v>
      </c>
      <c r="N1928" s="12" t="s">
        <v>36</v>
      </c>
      <c r="O1928" s="17" t="s">
        <v>36</v>
      </c>
      <c r="P1928" s="12" t="s">
        <v>36</v>
      </c>
      <c r="Q1928" s="12" t="s">
        <v>36</v>
      </c>
      <c r="R1928" s="12" t="s">
        <v>36</v>
      </c>
      <c r="S1928" s="12" t="s">
        <v>36</v>
      </c>
      <c r="T1928" s="12" t="s">
        <v>1488</v>
      </c>
      <c r="U1928" s="12" t="s">
        <v>38</v>
      </c>
      <c r="V1928" s="12" t="s">
        <v>39</v>
      </c>
      <c r="W1928" s="12" t="s">
        <v>1489</v>
      </c>
      <c r="X1928" s="16" t="s">
        <v>11027</v>
      </c>
      <c r="Y1928" s="15" t="s">
        <v>42</v>
      </c>
      <c r="Z1928" s="14">
        <v>3.29</v>
      </c>
      <c r="AA1928" s="14">
        <v>17.41</v>
      </c>
      <c r="AB1928" s="12" t="s">
        <v>43</v>
      </c>
      <c r="AC1928" s="12" t="s">
        <v>1491</v>
      </c>
      <c r="AD1928" s="13">
        <v>44809</v>
      </c>
      <c r="AE1928" s="12" t="s">
        <v>554</v>
      </c>
      <c r="AF1928" s="12" t="s">
        <v>1492</v>
      </c>
      <c r="AG1928" s="12" t="s">
        <v>81</v>
      </c>
      <c r="AH1928" s="1">
        <f>HYPERLINK("https://my.pitchbook.com?c=203452-39T","View Company Online")</f>
      </c>
    </row>
    <row r="1929">
      <c r="A1929" s="3" t="s">
        <v>11028</v>
      </c>
      <c r="B1929" s="3" t="s">
        <v>11029</v>
      </c>
      <c r="C1929" s="5" t="s">
        <v>36</v>
      </c>
      <c r="D1929" s="5" t="s">
        <v>36</v>
      </c>
      <c r="E1929" s="5" t="s">
        <v>36</v>
      </c>
      <c r="F1929" s="5" t="s">
        <v>36</v>
      </c>
      <c r="G1929" s="6" t="s">
        <v>326</v>
      </c>
      <c r="H1929" s="4">
        <v>159.46</v>
      </c>
      <c r="I1929" s="7">
        <v>11.58</v>
      </c>
      <c r="J1929" s="3" t="s">
        <v>521</v>
      </c>
      <c r="K1929" s="9" t="s">
        <v>36</v>
      </c>
      <c r="L1929" s="6" t="s">
        <v>36</v>
      </c>
      <c r="M1929" s="3" t="s">
        <v>36</v>
      </c>
      <c r="N1929" s="3" t="s">
        <v>36</v>
      </c>
      <c r="O1929" s="8" t="s">
        <v>36</v>
      </c>
      <c r="P1929" s="3" t="s">
        <v>36</v>
      </c>
      <c r="Q1929" s="3" t="s">
        <v>36</v>
      </c>
      <c r="R1929" s="3" t="s">
        <v>36</v>
      </c>
      <c r="S1929" s="3" t="s">
        <v>36</v>
      </c>
      <c r="T1929" s="3" t="s">
        <v>11030</v>
      </c>
      <c r="U1929" s="3" t="s">
        <v>38</v>
      </c>
      <c r="V1929" s="3" t="s">
        <v>39</v>
      </c>
      <c r="W1929" s="3" t="s">
        <v>11031</v>
      </c>
      <c r="X1929" s="10" t="s">
        <v>11032</v>
      </c>
      <c r="Y1929" s="6" t="s">
        <v>108</v>
      </c>
      <c r="Z1929" s="4">
        <v>5.04</v>
      </c>
      <c r="AA1929" s="4">
        <v>43.53</v>
      </c>
      <c r="AB1929" s="3" t="s">
        <v>56</v>
      </c>
      <c r="AC1929" s="3" t="s">
        <v>11033</v>
      </c>
      <c r="AD1929" s="9">
        <v>44809</v>
      </c>
      <c r="AE1929" s="3" t="s">
        <v>45</v>
      </c>
      <c r="AF1929" s="3" t="s">
        <v>331</v>
      </c>
      <c r="AG1929" s="3" t="s">
        <v>81</v>
      </c>
      <c r="AH1929" s="11">
        <f>HYPERLINK("https://my.pitchbook.com?c=203030-11T","View Company Online")</f>
      </c>
    </row>
    <row r="1930">
      <c r="A1930" s="12" t="s">
        <v>11034</v>
      </c>
      <c r="B1930" s="12" t="s">
        <v>11035</v>
      </c>
      <c r="C1930" s="19" t="s">
        <v>36</v>
      </c>
      <c r="D1930" s="19">
        <v>1</v>
      </c>
      <c r="E1930" s="19">
        <v>1</v>
      </c>
      <c r="F1930" s="19">
        <v>2</v>
      </c>
      <c r="G1930" s="15" t="s">
        <v>683</v>
      </c>
      <c r="H1930" s="14">
        <v>391.72</v>
      </c>
      <c r="I1930" s="18">
        <v>24.21</v>
      </c>
      <c r="J1930" s="12" t="s">
        <v>521</v>
      </c>
      <c r="K1930" s="13" t="s">
        <v>36</v>
      </c>
      <c r="L1930" s="15" t="s">
        <v>122</v>
      </c>
      <c r="M1930" s="12" t="s">
        <v>36</v>
      </c>
      <c r="N1930" s="12" t="s">
        <v>122</v>
      </c>
      <c r="O1930" s="17" t="s">
        <v>36</v>
      </c>
      <c r="P1930" s="12" t="s">
        <v>36</v>
      </c>
      <c r="Q1930" s="12" t="s">
        <v>36</v>
      </c>
      <c r="R1930" s="12" t="s">
        <v>36</v>
      </c>
      <c r="S1930" s="12" t="s">
        <v>36</v>
      </c>
      <c r="T1930" s="12" t="s">
        <v>11036</v>
      </c>
      <c r="U1930" s="12" t="s">
        <v>38</v>
      </c>
      <c r="V1930" s="12" t="s">
        <v>39</v>
      </c>
      <c r="W1930" s="12" t="s">
        <v>11037</v>
      </c>
      <c r="X1930" s="16" t="s">
        <v>11038</v>
      </c>
      <c r="Y1930" s="15" t="s">
        <v>108</v>
      </c>
      <c r="Z1930" s="14">
        <v>3.03</v>
      </c>
      <c r="AA1930" s="14">
        <v>5.92</v>
      </c>
      <c r="AB1930" s="12" t="s">
        <v>56</v>
      </c>
      <c r="AC1930" s="12" t="s">
        <v>11039</v>
      </c>
      <c r="AD1930" s="13">
        <v>44807</v>
      </c>
      <c r="AE1930" s="12" t="s">
        <v>110</v>
      </c>
      <c r="AF1930" s="12" t="s">
        <v>111</v>
      </c>
      <c r="AG1930" s="12" t="s">
        <v>899</v>
      </c>
      <c r="AH1930" s="1">
        <f>HYPERLINK("https://my.pitchbook.com?c=208583-11T","View Company Online")</f>
      </c>
    </row>
    <row r="1931">
      <c r="A1931" s="3" t="s">
        <v>11040</v>
      </c>
      <c r="B1931" s="3" t="s">
        <v>794</v>
      </c>
      <c r="C1931" s="5" t="s">
        <v>36</v>
      </c>
      <c r="D1931" s="5" t="s">
        <v>36</v>
      </c>
      <c r="E1931" s="5" t="s">
        <v>36</v>
      </c>
      <c r="F1931" s="5" t="s">
        <v>36</v>
      </c>
      <c r="G1931" s="6" t="s">
        <v>36</v>
      </c>
      <c r="H1931" s="4" t="s">
        <v>36</v>
      </c>
      <c r="I1931" s="7" t="s">
        <v>36</v>
      </c>
      <c r="J1931" s="3" t="s">
        <v>36</v>
      </c>
      <c r="K1931" s="9" t="s">
        <v>36</v>
      </c>
      <c r="L1931" s="6" t="s">
        <v>36</v>
      </c>
      <c r="M1931" s="3" t="s">
        <v>36</v>
      </c>
      <c r="N1931" s="3" t="s">
        <v>36</v>
      </c>
      <c r="O1931" s="8" t="s">
        <v>36</v>
      </c>
      <c r="P1931" s="3" t="s">
        <v>36</v>
      </c>
      <c r="Q1931" s="3" t="s">
        <v>36</v>
      </c>
      <c r="R1931" s="3" t="s">
        <v>36</v>
      </c>
      <c r="S1931" s="3" t="s">
        <v>36</v>
      </c>
      <c r="T1931" s="3" t="s">
        <v>795</v>
      </c>
      <c r="U1931" s="3" t="s">
        <v>38</v>
      </c>
      <c r="V1931" s="3" t="s">
        <v>39</v>
      </c>
      <c r="W1931" s="3" t="s">
        <v>796</v>
      </c>
      <c r="X1931" s="10" t="s">
        <v>11041</v>
      </c>
      <c r="Y1931" s="6" t="s">
        <v>108</v>
      </c>
      <c r="Z1931" s="4" t="s">
        <v>36</v>
      </c>
      <c r="AA1931" s="4" t="s">
        <v>36</v>
      </c>
      <c r="AB1931" s="3" t="s">
        <v>43</v>
      </c>
      <c r="AC1931" s="3" t="s">
        <v>798</v>
      </c>
      <c r="AD1931" s="9">
        <v>44806</v>
      </c>
      <c r="AE1931" s="3" t="s">
        <v>45</v>
      </c>
      <c r="AF1931" s="3" t="s">
        <v>799</v>
      </c>
      <c r="AG1931" s="3" t="s">
        <v>800</v>
      </c>
      <c r="AH1931" s="11">
        <f>HYPERLINK("https://my.pitchbook.com?c=213401-53T","View Company Online")</f>
      </c>
    </row>
    <row r="1932">
      <c r="A1932" s="12" t="s">
        <v>11042</v>
      </c>
      <c r="B1932" s="12" t="s">
        <v>4647</v>
      </c>
      <c r="C1932" s="19" t="s">
        <v>36</v>
      </c>
      <c r="D1932" s="19" t="s">
        <v>36</v>
      </c>
      <c r="E1932" s="19" t="s">
        <v>36</v>
      </c>
      <c r="F1932" s="19" t="s">
        <v>36</v>
      </c>
      <c r="G1932" s="15" t="s">
        <v>326</v>
      </c>
      <c r="H1932" s="14">
        <v>110.09</v>
      </c>
      <c r="I1932" s="18">
        <v>11.81</v>
      </c>
      <c r="J1932" s="12" t="s">
        <v>521</v>
      </c>
      <c r="K1932" s="13" t="s">
        <v>36</v>
      </c>
      <c r="L1932" s="15" t="s">
        <v>36</v>
      </c>
      <c r="M1932" s="12" t="s">
        <v>36</v>
      </c>
      <c r="N1932" s="12" t="s">
        <v>36</v>
      </c>
      <c r="O1932" s="17" t="s">
        <v>36</v>
      </c>
      <c r="P1932" s="12" t="s">
        <v>36</v>
      </c>
      <c r="Q1932" s="12" t="s">
        <v>36</v>
      </c>
      <c r="R1932" s="12" t="s">
        <v>36</v>
      </c>
      <c r="S1932" s="12" t="s">
        <v>36</v>
      </c>
      <c r="T1932" s="12" t="s">
        <v>4648</v>
      </c>
      <c r="U1932" s="12" t="s">
        <v>74</v>
      </c>
      <c r="V1932" s="12" t="s">
        <v>75</v>
      </c>
      <c r="W1932" s="12" t="s">
        <v>4649</v>
      </c>
      <c r="X1932" s="16" t="s">
        <v>1840</v>
      </c>
      <c r="Y1932" s="15" t="s">
        <v>321</v>
      </c>
      <c r="Z1932" s="14">
        <v>60.61</v>
      </c>
      <c r="AA1932" s="14">
        <v>513.05</v>
      </c>
      <c r="AB1932" s="12" t="s">
        <v>56</v>
      </c>
      <c r="AC1932" s="12" t="s">
        <v>4650</v>
      </c>
      <c r="AD1932" s="13">
        <v>44806</v>
      </c>
      <c r="AE1932" s="12" t="s">
        <v>362</v>
      </c>
      <c r="AF1932" s="12" t="s">
        <v>4651</v>
      </c>
      <c r="AG1932" s="12" t="s">
        <v>81</v>
      </c>
      <c r="AH1932" s="1">
        <f>HYPERLINK("https://my.pitchbook.com?c=195585-49T","View Company Online")</f>
      </c>
    </row>
    <row r="1933">
      <c r="A1933" s="3" t="s">
        <v>11043</v>
      </c>
      <c r="B1933" s="3" t="s">
        <v>11044</v>
      </c>
      <c r="C1933" s="5" t="s">
        <v>36</v>
      </c>
      <c r="D1933" s="5" t="s">
        <v>36</v>
      </c>
      <c r="E1933" s="5" t="s">
        <v>36</v>
      </c>
      <c r="F1933" s="5" t="s">
        <v>36</v>
      </c>
      <c r="G1933" s="6" t="s">
        <v>36</v>
      </c>
      <c r="H1933" s="4">
        <v>0.72</v>
      </c>
      <c r="I1933" s="7">
        <v>19.9</v>
      </c>
      <c r="J1933" s="3" t="s">
        <v>521</v>
      </c>
      <c r="K1933" s="9" t="s">
        <v>36</v>
      </c>
      <c r="L1933" s="6" t="s">
        <v>36</v>
      </c>
      <c r="M1933" s="3" t="s">
        <v>36</v>
      </c>
      <c r="N1933" s="3" t="s">
        <v>36</v>
      </c>
      <c r="O1933" s="8" t="s">
        <v>36</v>
      </c>
      <c r="P1933" s="3" t="s">
        <v>36</v>
      </c>
      <c r="Q1933" s="3" t="s">
        <v>36</v>
      </c>
      <c r="R1933" s="3" t="s">
        <v>36</v>
      </c>
      <c r="S1933" s="3" t="s">
        <v>36</v>
      </c>
      <c r="T1933" s="3" t="s">
        <v>11045</v>
      </c>
      <c r="U1933" s="3" t="s">
        <v>38</v>
      </c>
      <c r="V1933" s="3" t="s">
        <v>39</v>
      </c>
      <c r="W1933" s="3" t="s">
        <v>11046</v>
      </c>
      <c r="X1933" s="10" t="s">
        <v>11047</v>
      </c>
      <c r="Y1933" s="6" t="s">
        <v>42</v>
      </c>
      <c r="Z1933" s="4">
        <v>0.51</v>
      </c>
      <c r="AA1933" s="4">
        <v>2.54</v>
      </c>
      <c r="AB1933" s="3" t="s">
        <v>43</v>
      </c>
      <c r="AC1933" s="3" t="s">
        <v>11048</v>
      </c>
      <c r="AD1933" s="9">
        <v>44805</v>
      </c>
      <c r="AE1933" s="3" t="s">
        <v>110</v>
      </c>
      <c r="AF1933" s="3" t="s">
        <v>468</v>
      </c>
      <c r="AG1933" s="3" t="s">
        <v>11049</v>
      </c>
      <c r="AH1933" s="11">
        <f>HYPERLINK("https://my.pitchbook.com?c=226900-90T","View Company Online")</f>
      </c>
    </row>
    <row r="1934">
      <c r="A1934" s="12" t="s">
        <v>11050</v>
      </c>
      <c r="B1934" s="12" t="s">
        <v>11051</v>
      </c>
      <c r="C1934" s="19" t="s">
        <v>36</v>
      </c>
      <c r="D1934" s="19" t="s">
        <v>36</v>
      </c>
      <c r="E1934" s="19" t="s">
        <v>36</v>
      </c>
      <c r="F1934" s="19" t="s">
        <v>36</v>
      </c>
      <c r="G1934" s="15" t="s">
        <v>36</v>
      </c>
      <c r="H1934" s="14" t="s">
        <v>36</v>
      </c>
      <c r="I1934" s="18" t="s">
        <v>36</v>
      </c>
      <c r="J1934" s="12" t="s">
        <v>36</v>
      </c>
      <c r="K1934" s="13" t="s">
        <v>36</v>
      </c>
      <c r="L1934" s="15" t="s">
        <v>36</v>
      </c>
      <c r="M1934" s="12" t="s">
        <v>36</v>
      </c>
      <c r="N1934" s="12" t="s">
        <v>36</v>
      </c>
      <c r="O1934" s="17" t="s">
        <v>36</v>
      </c>
      <c r="P1934" s="12" t="s">
        <v>36</v>
      </c>
      <c r="Q1934" s="12" t="s">
        <v>36</v>
      </c>
      <c r="R1934" s="12" t="s">
        <v>36</v>
      </c>
      <c r="S1934" s="12" t="s">
        <v>36</v>
      </c>
      <c r="T1934" s="12" t="s">
        <v>1935</v>
      </c>
      <c r="U1934" s="12" t="s">
        <v>38</v>
      </c>
      <c r="V1934" s="12" t="s">
        <v>39</v>
      </c>
      <c r="W1934" s="12" t="s">
        <v>11052</v>
      </c>
      <c r="X1934" s="16" t="s">
        <v>11053</v>
      </c>
      <c r="Y1934" s="15" t="s">
        <v>42</v>
      </c>
      <c r="Z1934" s="14">
        <v>3.34</v>
      </c>
      <c r="AA1934" s="14" t="s">
        <v>36</v>
      </c>
      <c r="AB1934" s="12" t="s">
        <v>56</v>
      </c>
      <c r="AC1934" s="12" t="s">
        <v>11054</v>
      </c>
      <c r="AD1934" s="13">
        <v>44805</v>
      </c>
      <c r="AE1934" s="12" t="s">
        <v>45</v>
      </c>
      <c r="AF1934" s="12" t="s">
        <v>331</v>
      </c>
      <c r="AG1934" s="12" t="s">
        <v>1479</v>
      </c>
      <c r="AH1934" s="1">
        <f>HYPERLINK("https://my.pitchbook.com?c=206189-83T","View Company Online")</f>
      </c>
    </row>
    <row r="1935">
      <c r="A1935" s="3" t="s">
        <v>11055</v>
      </c>
      <c r="B1935" s="3" t="s">
        <v>11056</v>
      </c>
      <c r="C1935" s="5" t="s">
        <v>36</v>
      </c>
      <c r="D1935" s="5" t="s">
        <v>36</v>
      </c>
      <c r="E1935" s="5" t="s">
        <v>36</v>
      </c>
      <c r="F1935" s="5" t="s">
        <v>36</v>
      </c>
      <c r="G1935" s="6" t="s">
        <v>36</v>
      </c>
      <c r="H1935" s="4" t="s">
        <v>36</v>
      </c>
      <c r="I1935" s="7" t="s">
        <v>36</v>
      </c>
      <c r="J1935" s="3" t="s">
        <v>36</v>
      </c>
      <c r="K1935" s="9" t="s">
        <v>36</v>
      </c>
      <c r="L1935" s="6" t="s">
        <v>36</v>
      </c>
      <c r="M1935" s="3" t="s">
        <v>36</v>
      </c>
      <c r="N1935" s="3" t="s">
        <v>36</v>
      </c>
      <c r="O1935" s="8" t="s">
        <v>36</v>
      </c>
      <c r="P1935" s="3" t="s">
        <v>36</v>
      </c>
      <c r="Q1935" s="3" t="s">
        <v>36</v>
      </c>
      <c r="R1935" s="3" t="s">
        <v>36</v>
      </c>
      <c r="S1935" s="3" t="s">
        <v>36</v>
      </c>
      <c r="T1935" s="3" t="s">
        <v>3125</v>
      </c>
      <c r="U1935" s="3" t="s">
        <v>279</v>
      </c>
      <c r="V1935" s="3" t="s">
        <v>64</v>
      </c>
      <c r="W1935" s="3" t="s">
        <v>11057</v>
      </c>
      <c r="X1935" s="10" t="s">
        <v>11058</v>
      </c>
      <c r="Y1935" s="6" t="s">
        <v>42</v>
      </c>
      <c r="Z1935" s="4" t="s">
        <v>36</v>
      </c>
      <c r="AA1935" s="4" t="s">
        <v>36</v>
      </c>
      <c r="AB1935" s="3" t="s">
        <v>43</v>
      </c>
      <c r="AC1935" s="3" t="s">
        <v>11059</v>
      </c>
      <c r="AD1935" s="9">
        <v>44805</v>
      </c>
      <c r="AE1935" s="3" t="s">
        <v>283</v>
      </c>
      <c r="AF1935" s="3" t="s">
        <v>90</v>
      </c>
      <c r="AG1935" s="3" t="s">
        <v>11060</v>
      </c>
      <c r="AH1935" s="11">
        <f>HYPERLINK("https://my.pitchbook.com?c=204420-97T","View Company Online")</f>
      </c>
    </row>
    <row r="1936">
      <c r="A1936" s="12" t="s">
        <v>11061</v>
      </c>
      <c r="B1936" s="12" t="s">
        <v>11062</v>
      </c>
      <c r="C1936" s="19" t="s">
        <v>36</v>
      </c>
      <c r="D1936" s="19" t="s">
        <v>36</v>
      </c>
      <c r="E1936" s="19" t="s">
        <v>36</v>
      </c>
      <c r="F1936" s="19" t="s">
        <v>36</v>
      </c>
      <c r="G1936" s="15" t="s">
        <v>36</v>
      </c>
      <c r="H1936" s="14" t="s">
        <v>36</v>
      </c>
      <c r="I1936" s="18" t="s">
        <v>36</v>
      </c>
      <c r="J1936" s="12" t="s">
        <v>36</v>
      </c>
      <c r="K1936" s="13" t="s">
        <v>36</v>
      </c>
      <c r="L1936" s="15" t="s">
        <v>36</v>
      </c>
      <c r="M1936" s="12" t="s">
        <v>36</v>
      </c>
      <c r="N1936" s="12" t="s">
        <v>36</v>
      </c>
      <c r="O1936" s="17" t="s">
        <v>36</v>
      </c>
      <c r="P1936" s="12" t="s">
        <v>36</v>
      </c>
      <c r="Q1936" s="12" t="s">
        <v>36</v>
      </c>
      <c r="R1936" s="12" t="s">
        <v>36</v>
      </c>
      <c r="S1936" s="12" t="s">
        <v>36</v>
      </c>
      <c r="T1936" s="12" t="s">
        <v>1701</v>
      </c>
      <c r="U1936" s="12" t="s">
        <v>74</v>
      </c>
      <c r="V1936" s="12" t="s">
        <v>75</v>
      </c>
      <c r="W1936" s="12" t="s">
        <v>11063</v>
      </c>
      <c r="X1936" s="16" t="s">
        <v>10625</v>
      </c>
      <c r="Y1936" s="15" t="s">
        <v>108</v>
      </c>
      <c r="Z1936" s="14" t="s">
        <v>36</v>
      </c>
      <c r="AA1936" s="14" t="s">
        <v>36</v>
      </c>
      <c r="AB1936" s="12" t="s">
        <v>56</v>
      </c>
      <c r="AC1936" s="12" t="s">
        <v>11064</v>
      </c>
      <c r="AD1936" s="13">
        <v>44805</v>
      </c>
      <c r="AE1936" s="12" t="s">
        <v>79</v>
      </c>
      <c r="AF1936" s="12" t="s">
        <v>11065</v>
      </c>
      <c r="AG1936" s="12" t="s">
        <v>81</v>
      </c>
      <c r="AH1936" s="1">
        <f>HYPERLINK("https://my.pitchbook.com?c=203699-62T","View Company Online")</f>
      </c>
    </row>
    <row r="1937">
      <c r="A1937" s="3" t="s">
        <v>11066</v>
      </c>
      <c r="B1937" s="3" t="s">
        <v>11067</v>
      </c>
      <c r="C1937" s="5" t="s">
        <v>36</v>
      </c>
      <c r="D1937" s="5" t="s">
        <v>36</v>
      </c>
      <c r="E1937" s="5" t="s">
        <v>36</v>
      </c>
      <c r="F1937" s="5" t="s">
        <v>36</v>
      </c>
      <c r="G1937" s="6" t="s">
        <v>36</v>
      </c>
      <c r="H1937" s="4" t="s">
        <v>36</v>
      </c>
      <c r="I1937" s="7" t="s">
        <v>36</v>
      </c>
      <c r="J1937" s="3" t="s">
        <v>36</v>
      </c>
      <c r="K1937" s="9" t="s">
        <v>36</v>
      </c>
      <c r="L1937" s="6" t="s">
        <v>36</v>
      </c>
      <c r="M1937" s="3" t="s">
        <v>36</v>
      </c>
      <c r="N1937" s="3" t="s">
        <v>36</v>
      </c>
      <c r="O1937" s="8" t="s">
        <v>36</v>
      </c>
      <c r="P1937" s="3" t="s">
        <v>36</v>
      </c>
      <c r="Q1937" s="3" t="s">
        <v>36</v>
      </c>
      <c r="R1937" s="3" t="s">
        <v>36</v>
      </c>
      <c r="S1937" s="3" t="s">
        <v>36</v>
      </c>
      <c r="T1937" s="3" t="s">
        <v>11068</v>
      </c>
      <c r="U1937" s="3" t="s">
        <v>219</v>
      </c>
      <c r="V1937" s="3" t="s">
        <v>75</v>
      </c>
      <c r="W1937" s="3" t="s">
        <v>11069</v>
      </c>
      <c r="X1937" s="10" t="s">
        <v>11070</v>
      </c>
      <c r="Y1937" s="6" t="s">
        <v>108</v>
      </c>
      <c r="Z1937" s="4" t="s">
        <v>36</v>
      </c>
      <c r="AA1937" s="4" t="s">
        <v>36</v>
      </c>
      <c r="AB1937" s="3" t="s">
        <v>56</v>
      </c>
      <c r="AC1937" s="3" t="s">
        <v>11071</v>
      </c>
      <c r="AD1937" s="9">
        <v>44805</v>
      </c>
      <c r="AE1937" s="3" t="s">
        <v>1007</v>
      </c>
      <c r="AF1937" s="3" t="s">
        <v>571</v>
      </c>
      <c r="AG1937" s="3" t="s">
        <v>382</v>
      </c>
      <c r="AH1937" s="11">
        <f>HYPERLINK("https://my.pitchbook.com?c=204471-28T","View Company Online")</f>
      </c>
    </row>
    <row r="1938">
      <c r="A1938" s="12" t="s">
        <v>11072</v>
      </c>
      <c r="B1938" s="12" t="s">
        <v>11073</v>
      </c>
      <c r="C1938" s="19" t="s">
        <v>36</v>
      </c>
      <c r="D1938" s="19" t="s">
        <v>36</v>
      </c>
      <c r="E1938" s="19" t="s">
        <v>36</v>
      </c>
      <c r="F1938" s="19" t="s">
        <v>36</v>
      </c>
      <c r="G1938" s="15" t="s">
        <v>36</v>
      </c>
      <c r="H1938" s="14" t="s">
        <v>36</v>
      </c>
      <c r="I1938" s="18" t="s">
        <v>36</v>
      </c>
      <c r="J1938" s="12" t="s">
        <v>36</v>
      </c>
      <c r="K1938" s="13" t="s">
        <v>36</v>
      </c>
      <c r="L1938" s="15" t="s">
        <v>36</v>
      </c>
      <c r="M1938" s="12" t="s">
        <v>36</v>
      </c>
      <c r="N1938" s="12" t="s">
        <v>36</v>
      </c>
      <c r="O1938" s="17" t="s">
        <v>36</v>
      </c>
      <c r="P1938" s="12" t="s">
        <v>36</v>
      </c>
      <c r="Q1938" s="12" t="s">
        <v>36</v>
      </c>
      <c r="R1938" s="12" t="s">
        <v>36</v>
      </c>
      <c r="S1938" s="12" t="s">
        <v>11074</v>
      </c>
      <c r="T1938" s="12" t="s">
        <v>4917</v>
      </c>
      <c r="U1938" s="12" t="s">
        <v>38</v>
      </c>
      <c r="V1938" s="12" t="s">
        <v>39</v>
      </c>
      <c r="W1938" s="12" t="s">
        <v>11075</v>
      </c>
      <c r="X1938" s="16" t="s">
        <v>11076</v>
      </c>
      <c r="Y1938" s="15" t="s">
        <v>42</v>
      </c>
      <c r="Z1938" s="14">
        <v>1.21</v>
      </c>
      <c r="AA1938" s="14" t="s">
        <v>36</v>
      </c>
      <c r="AB1938" s="12" t="s">
        <v>43</v>
      </c>
      <c r="AC1938" s="12" t="s">
        <v>11077</v>
      </c>
      <c r="AD1938" s="13">
        <v>44805</v>
      </c>
      <c r="AE1938" s="12" t="s">
        <v>134</v>
      </c>
      <c r="AF1938" s="12" t="s">
        <v>135</v>
      </c>
      <c r="AG1938" s="12" t="s">
        <v>741</v>
      </c>
      <c r="AH1938" s="1">
        <f>HYPERLINK("https://my.pitchbook.com?c=203474-80T","View Company Online")</f>
      </c>
    </row>
    <row r="1939">
      <c r="A1939" s="3" t="s">
        <v>11078</v>
      </c>
      <c r="B1939" s="3" t="s">
        <v>11079</v>
      </c>
      <c r="C1939" s="5" t="s">
        <v>36</v>
      </c>
      <c r="D1939" s="5" t="s">
        <v>36</v>
      </c>
      <c r="E1939" s="5" t="s">
        <v>36</v>
      </c>
      <c r="F1939" s="5" t="s">
        <v>36</v>
      </c>
      <c r="G1939" s="6" t="s">
        <v>326</v>
      </c>
      <c r="H1939" s="4">
        <v>2175.69</v>
      </c>
      <c r="I1939" s="7">
        <v>32.43</v>
      </c>
      <c r="J1939" s="3" t="s">
        <v>521</v>
      </c>
      <c r="K1939" s="9" t="s">
        <v>36</v>
      </c>
      <c r="L1939" s="6" t="s">
        <v>36</v>
      </c>
      <c r="M1939" s="3" t="s">
        <v>36</v>
      </c>
      <c r="N1939" s="3" t="s">
        <v>36</v>
      </c>
      <c r="O1939" s="8" t="s">
        <v>36</v>
      </c>
      <c r="P1939" s="3" t="s">
        <v>36</v>
      </c>
      <c r="Q1939" s="3" t="s">
        <v>36</v>
      </c>
      <c r="R1939" s="3" t="s">
        <v>36</v>
      </c>
      <c r="S1939" s="3" t="s">
        <v>36</v>
      </c>
      <c r="T1939" s="3" t="s">
        <v>522</v>
      </c>
      <c r="U1939" s="3" t="s">
        <v>38</v>
      </c>
      <c r="V1939" s="3" t="s">
        <v>39</v>
      </c>
      <c r="W1939" s="3" t="s">
        <v>11080</v>
      </c>
      <c r="X1939" s="10" t="s">
        <v>11081</v>
      </c>
      <c r="Y1939" s="6" t="s">
        <v>192</v>
      </c>
      <c r="Z1939" s="4">
        <v>2.62</v>
      </c>
      <c r="AA1939" s="4">
        <v>8.09</v>
      </c>
      <c r="AB1939" s="3" t="s">
        <v>56</v>
      </c>
      <c r="AC1939" s="3" t="s">
        <v>11082</v>
      </c>
      <c r="AD1939" s="9">
        <v>44805</v>
      </c>
      <c r="AE1939" s="3" t="s">
        <v>110</v>
      </c>
      <c r="AF1939" s="3" t="s">
        <v>176</v>
      </c>
      <c r="AG1939" s="3" t="s">
        <v>2760</v>
      </c>
      <c r="AH1939" s="11">
        <f>HYPERLINK("https://my.pitchbook.com?c=211182-67T","View Company Online")</f>
      </c>
    </row>
    <row r="1940">
      <c r="A1940" s="12" t="s">
        <v>11083</v>
      </c>
      <c r="B1940" s="12" t="s">
        <v>11084</v>
      </c>
      <c r="C1940" s="19" t="s">
        <v>36</v>
      </c>
      <c r="D1940" s="19" t="s">
        <v>36</v>
      </c>
      <c r="E1940" s="19" t="s">
        <v>36</v>
      </c>
      <c r="F1940" s="19" t="s">
        <v>36</v>
      </c>
      <c r="G1940" s="15" t="s">
        <v>36</v>
      </c>
      <c r="H1940" s="14" t="s">
        <v>36</v>
      </c>
      <c r="I1940" s="18" t="s">
        <v>36</v>
      </c>
      <c r="J1940" s="12" t="s">
        <v>36</v>
      </c>
      <c r="K1940" s="13" t="s">
        <v>36</v>
      </c>
      <c r="L1940" s="15" t="s">
        <v>36</v>
      </c>
      <c r="M1940" s="12" t="s">
        <v>36</v>
      </c>
      <c r="N1940" s="12" t="s">
        <v>36</v>
      </c>
      <c r="O1940" s="17" t="s">
        <v>36</v>
      </c>
      <c r="P1940" s="12" t="s">
        <v>36</v>
      </c>
      <c r="Q1940" s="12" t="s">
        <v>36</v>
      </c>
      <c r="R1940" s="12" t="s">
        <v>36</v>
      </c>
      <c r="S1940" s="12" t="s">
        <v>36</v>
      </c>
      <c r="T1940" s="12" t="s">
        <v>11085</v>
      </c>
      <c r="U1940" s="12" t="s">
        <v>38</v>
      </c>
      <c r="V1940" s="12" t="s">
        <v>39</v>
      </c>
      <c r="W1940" s="12" t="s">
        <v>11086</v>
      </c>
      <c r="X1940" s="16" t="s">
        <v>11087</v>
      </c>
      <c r="Y1940" s="15" t="s">
        <v>42</v>
      </c>
      <c r="Z1940" s="14">
        <v>1.52</v>
      </c>
      <c r="AA1940" s="14" t="s">
        <v>36</v>
      </c>
      <c r="AB1940" s="12" t="s">
        <v>43</v>
      </c>
      <c r="AC1940" s="12" t="s">
        <v>11088</v>
      </c>
      <c r="AD1940" s="13">
        <v>44805</v>
      </c>
      <c r="AE1940" s="12" t="s">
        <v>110</v>
      </c>
      <c r="AF1940" s="12" t="s">
        <v>11089</v>
      </c>
      <c r="AG1940" s="12" t="s">
        <v>47</v>
      </c>
      <c r="AH1940" s="1">
        <f>HYPERLINK("https://my.pitchbook.com?c=204745-15T","View Company Online")</f>
      </c>
    </row>
    <row r="1941">
      <c r="A1941" s="3" t="s">
        <v>11090</v>
      </c>
      <c r="B1941" s="3" t="s">
        <v>11091</v>
      </c>
      <c r="C1941" s="5" t="s">
        <v>36</v>
      </c>
      <c r="D1941" s="5" t="s">
        <v>36</v>
      </c>
      <c r="E1941" s="5" t="s">
        <v>36</v>
      </c>
      <c r="F1941" s="5" t="s">
        <v>36</v>
      </c>
      <c r="G1941" s="6" t="s">
        <v>326</v>
      </c>
      <c r="H1941" s="4">
        <v>35.11</v>
      </c>
      <c r="I1941" s="7">
        <v>23.71</v>
      </c>
      <c r="J1941" s="3" t="s">
        <v>521</v>
      </c>
      <c r="K1941" s="9" t="s">
        <v>36</v>
      </c>
      <c r="L1941" s="6" t="s">
        <v>36</v>
      </c>
      <c r="M1941" s="3" t="s">
        <v>36</v>
      </c>
      <c r="N1941" s="3" t="s">
        <v>36</v>
      </c>
      <c r="O1941" s="8" t="s">
        <v>36</v>
      </c>
      <c r="P1941" s="3" t="s">
        <v>36</v>
      </c>
      <c r="Q1941" s="3" t="s">
        <v>36</v>
      </c>
      <c r="R1941" s="3" t="s">
        <v>36</v>
      </c>
      <c r="S1941" s="3" t="s">
        <v>36</v>
      </c>
      <c r="T1941" s="3" t="s">
        <v>11092</v>
      </c>
      <c r="U1941" s="3" t="s">
        <v>74</v>
      </c>
      <c r="V1941" s="3" t="s">
        <v>75</v>
      </c>
      <c r="W1941" s="3" t="s">
        <v>11093</v>
      </c>
      <c r="X1941" s="10" t="s">
        <v>11094</v>
      </c>
      <c r="Y1941" s="6" t="s">
        <v>108</v>
      </c>
      <c r="Z1941" s="4">
        <v>1.56</v>
      </c>
      <c r="AA1941" s="4">
        <v>6.59</v>
      </c>
      <c r="AB1941" s="3" t="s">
        <v>56</v>
      </c>
      <c r="AC1941" s="3" t="s">
        <v>11095</v>
      </c>
      <c r="AD1941" s="9">
        <v>44805</v>
      </c>
      <c r="AE1941" s="3" t="s">
        <v>1888</v>
      </c>
      <c r="AF1941" s="3" t="s">
        <v>11096</v>
      </c>
      <c r="AG1941" s="3" t="s">
        <v>11097</v>
      </c>
      <c r="AH1941" s="11">
        <f>HYPERLINK("https://my.pitchbook.com?c=205195-69T","View Company Online")</f>
      </c>
    </row>
    <row r="1942">
      <c r="A1942" s="12" t="s">
        <v>11098</v>
      </c>
      <c r="B1942" s="12" t="s">
        <v>11099</v>
      </c>
      <c r="C1942" s="19" t="s">
        <v>36</v>
      </c>
      <c r="D1942" s="19" t="s">
        <v>36</v>
      </c>
      <c r="E1942" s="19" t="s">
        <v>36</v>
      </c>
      <c r="F1942" s="19" t="s">
        <v>36</v>
      </c>
      <c r="G1942" s="15" t="s">
        <v>36</v>
      </c>
      <c r="H1942" s="14" t="s">
        <v>36</v>
      </c>
      <c r="I1942" s="18" t="s">
        <v>36</v>
      </c>
      <c r="J1942" s="12" t="s">
        <v>36</v>
      </c>
      <c r="K1942" s="13" t="s">
        <v>36</v>
      </c>
      <c r="L1942" s="15" t="s">
        <v>36</v>
      </c>
      <c r="M1942" s="12" t="s">
        <v>36</v>
      </c>
      <c r="N1942" s="12" t="s">
        <v>36</v>
      </c>
      <c r="O1942" s="17" t="s">
        <v>36</v>
      </c>
      <c r="P1942" s="12" t="s">
        <v>36</v>
      </c>
      <c r="Q1942" s="12" t="s">
        <v>36</v>
      </c>
      <c r="R1942" s="12" t="s">
        <v>36</v>
      </c>
      <c r="S1942" s="12" t="s">
        <v>36</v>
      </c>
      <c r="T1942" s="12" t="s">
        <v>5039</v>
      </c>
      <c r="U1942" s="12" t="s">
        <v>74</v>
      </c>
      <c r="V1942" s="12" t="s">
        <v>75</v>
      </c>
      <c r="W1942" s="12" t="s">
        <v>11100</v>
      </c>
      <c r="X1942" s="16" t="s">
        <v>11101</v>
      </c>
      <c r="Y1942" s="15" t="s">
        <v>108</v>
      </c>
      <c r="Z1942" s="14" t="s">
        <v>36</v>
      </c>
      <c r="AA1942" s="14" t="s">
        <v>36</v>
      </c>
      <c r="AB1942" s="12" t="s">
        <v>56</v>
      </c>
      <c r="AC1942" s="12" t="s">
        <v>11102</v>
      </c>
      <c r="AD1942" s="13">
        <v>44805</v>
      </c>
      <c r="AE1942" s="12" t="s">
        <v>1243</v>
      </c>
      <c r="AF1942" s="12" t="s">
        <v>36</v>
      </c>
      <c r="AG1942" s="12" t="s">
        <v>81</v>
      </c>
      <c r="AH1942" s="1">
        <f>HYPERLINK("https://my.pitchbook.com?c=205370-83T","View Company Online")</f>
      </c>
    </row>
    <row r="1943">
      <c r="A1943" s="3" t="s">
        <v>11103</v>
      </c>
      <c r="B1943" s="3" t="s">
        <v>11104</v>
      </c>
      <c r="C1943" s="5" t="s">
        <v>36</v>
      </c>
      <c r="D1943" s="5" t="s">
        <v>36</v>
      </c>
      <c r="E1943" s="5" t="s">
        <v>36</v>
      </c>
      <c r="F1943" s="5" t="s">
        <v>36</v>
      </c>
      <c r="G1943" s="6" t="s">
        <v>36</v>
      </c>
      <c r="H1943" s="4">
        <v>346.17</v>
      </c>
      <c r="I1943" s="7">
        <v>20.56</v>
      </c>
      <c r="J1943" s="3" t="s">
        <v>521</v>
      </c>
      <c r="K1943" s="9" t="s">
        <v>36</v>
      </c>
      <c r="L1943" s="6" t="s">
        <v>36</v>
      </c>
      <c r="M1943" s="3" t="s">
        <v>36</v>
      </c>
      <c r="N1943" s="3" t="s">
        <v>36</v>
      </c>
      <c r="O1943" s="8" t="s">
        <v>36</v>
      </c>
      <c r="P1943" s="3" t="s">
        <v>36</v>
      </c>
      <c r="Q1943" s="3" t="s">
        <v>36</v>
      </c>
      <c r="R1943" s="3" t="s">
        <v>36</v>
      </c>
      <c r="S1943" s="3" t="s">
        <v>36</v>
      </c>
      <c r="T1943" s="3" t="s">
        <v>550</v>
      </c>
      <c r="U1943" s="3" t="s">
        <v>38</v>
      </c>
      <c r="V1943" s="3" t="s">
        <v>39</v>
      </c>
      <c r="W1943" s="3" t="s">
        <v>11105</v>
      </c>
      <c r="X1943" s="10" t="s">
        <v>11106</v>
      </c>
      <c r="Y1943" s="6" t="s">
        <v>42</v>
      </c>
      <c r="Z1943" s="4">
        <v>1.05</v>
      </c>
      <c r="AA1943" s="4">
        <v>5.09</v>
      </c>
      <c r="AB1943" s="3" t="s">
        <v>43</v>
      </c>
      <c r="AC1943" s="3" t="s">
        <v>11107</v>
      </c>
      <c r="AD1943" s="9">
        <v>44805</v>
      </c>
      <c r="AE1943" s="3" t="s">
        <v>554</v>
      </c>
      <c r="AF1943" s="3" t="s">
        <v>1380</v>
      </c>
      <c r="AG1943" s="3" t="s">
        <v>81</v>
      </c>
      <c r="AH1943" s="11">
        <f>HYPERLINK("https://my.pitchbook.com?c=204089-32T","View Company Online")</f>
      </c>
    </row>
    <row r="1944">
      <c r="A1944" s="12" t="s">
        <v>11108</v>
      </c>
      <c r="B1944" s="12" t="s">
        <v>11109</v>
      </c>
      <c r="C1944" s="19" t="s">
        <v>36</v>
      </c>
      <c r="D1944" s="19" t="s">
        <v>36</v>
      </c>
      <c r="E1944" s="19" t="s">
        <v>36</v>
      </c>
      <c r="F1944" s="19" t="s">
        <v>36</v>
      </c>
      <c r="G1944" s="15" t="s">
        <v>36</v>
      </c>
      <c r="H1944" s="14" t="s">
        <v>36</v>
      </c>
      <c r="I1944" s="18" t="s">
        <v>36</v>
      </c>
      <c r="J1944" s="12" t="s">
        <v>36</v>
      </c>
      <c r="K1944" s="13" t="s">
        <v>36</v>
      </c>
      <c r="L1944" s="15" t="s">
        <v>36</v>
      </c>
      <c r="M1944" s="12" t="s">
        <v>36</v>
      </c>
      <c r="N1944" s="12" t="s">
        <v>36</v>
      </c>
      <c r="O1944" s="17" t="s">
        <v>36</v>
      </c>
      <c r="P1944" s="12" t="s">
        <v>36</v>
      </c>
      <c r="Q1944" s="12" t="s">
        <v>36</v>
      </c>
      <c r="R1944" s="12" t="s">
        <v>36</v>
      </c>
      <c r="S1944" s="12" t="s">
        <v>36</v>
      </c>
      <c r="T1944" s="12" t="s">
        <v>522</v>
      </c>
      <c r="U1944" s="12" t="s">
        <v>38</v>
      </c>
      <c r="V1944" s="12" t="s">
        <v>39</v>
      </c>
      <c r="W1944" s="12" t="s">
        <v>11110</v>
      </c>
      <c r="X1944" s="16" t="s">
        <v>11111</v>
      </c>
      <c r="Y1944" s="15" t="s">
        <v>42</v>
      </c>
      <c r="Z1944" s="14" t="s">
        <v>36</v>
      </c>
      <c r="AA1944" s="14" t="s">
        <v>36</v>
      </c>
      <c r="AB1944" s="12" t="s">
        <v>43</v>
      </c>
      <c r="AC1944" s="12" t="s">
        <v>11112</v>
      </c>
      <c r="AD1944" s="13">
        <v>44805</v>
      </c>
      <c r="AE1944" s="12" t="s">
        <v>110</v>
      </c>
      <c r="AF1944" s="12" t="s">
        <v>905</v>
      </c>
      <c r="AG1944" s="12" t="s">
        <v>81</v>
      </c>
      <c r="AH1944" s="1">
        <f>HYPERLINK("https://my.pitchbook.com?c=204759-55T","View Company Online")</f>
      </c>
    </row>
    <row r="1945">
      <c r="A1945" s="3" t="s">
        <v>11113</v>
      </c>
      <c r="B1945" s="3" t="s">
        <v>11114</v>
      </c>
      <c r="C1945" s="5" t="s">
        <v>36</v>
      </c>
      <c r="D1945" s="5" t="s">
        <v>36</v>
      </c>
      <c r="E1945" s="5" t="s">
        <v>36</v>
      </c>
      <c r="F1945" s="5" t="s">
        <v>36</v>
      </c>
      <c r="G1945" s="6" t="s">
        <v>36</v>
      </c>
      <c r="H1945" s="4" t="s">
        <v>36</v>
      </c>
      <c r="I1945" s="7" t="s">
        <v>36</v>
      </c>
      <c r="J1945" s="3" t="s">
        <v>36</v>
      </c>
      <c r="K1945" s="9" t="s">
        <v>36</v>
      </c>
      <c r="L1945" s="6" t="s">
        <v>36</v>
      </c>
      <c r="M1945" s="3" t="s">
        <v>36</v>
      </c>
      <c r="N1945" s="3" t="s">
        <v>36</v>
      </c>
      <c r="O1945" s="8" t="s">
        <v>36</v>
      </c>
      <c r="P1945" s="3" t="s">
        <v>36</v>
      </c>
      <c r="Q1945" s="3" t="s">
        <v>36</v>
      </c>
      <c r="R1945" s="3" t="s">
        <v>36</v>
      </c>
      <c r="S1945" s="3" t="s">
        <v>36</v>
      </c>
      <c r="T1945" s="3" t="s">
        <v>295</v>
      </c>
      <c r="U1945" s="3" t="s">
        <v>219</v>
      </c>
      <c r="V1945" s="3" t="s">
        <v>75</v>
      </c>
      <c r="W1945" s="3" t="s">
        <v>296</v>
      </c>
      <c r="X1945" s="10" t="s">
        <v>11115</v>
      </c>
      <c r="Y1945" s="6" t="s">
        <v>42</v>
      </c>
      <c r="Z1945" s="4" t="s">
        <v>36</v>
      </c>
      <c r="AA1945" s="4" t="s">
        <v>36</v>
      </c>
      <c r="AB1945" s="3" t="s">
        <v>43</v>
      </c>
      <c r="AC1945" s="3" t="s">
        <v>11116</v>
      </c>
      <c r="AD1945" s="9">
        <v>44805</v>
      </c>
      <c r="AE1945" s="3" t="s">
        <v>223</v>
      </c>
      <c r="AF1945" s="3" t="s">
        <v>36</v>
      </c>
      <c r="AG1945" s="3" t="s">
        <v>81</v>
      </c>
      <c r="AH1945" s="11">
        <f>HYPERLINK("https://my.pitchbook.com?c=194367-25T","View Company Online")</f>
      </c>
    </row>
    <row r="1946">
      <c r="A1946" s="12" t="s">
        <v>11117</v>
      </c>
      <c r="B1946" s="12" t="s">
        <v>375</v>
      </c>
      <c r="C1946" s="19">
        <v>3</v>
      </c>
      <c r="D1946" s="19">
        <v>7</v>
      </c>
      <c r="E1946" s="19">
        <v>3</v>
      </c>
      <c r="F1946" s="19">
        <v>10</v>
      </c>
      <c r="G1946" s="15" t="s">
        <v>36</v>
      </c>
      <c r="H1946" s="14" t="s">
        <v>36</v>
      </c>
      <c r="I1946" s="18" t="s">
        <v>36</v>
      </c>
      <c r="J1946" s="12" t="s">
        <v>36</v>
      </c>
      <c r="K1946" s="13" t="s">
        <v>36</v>
      </c>
      <c r="L1946" s="15" t="s">
        <v>36</v>
      </c>
      <c r="M1946" s="12" t="s">
        <v>36</v>
      </c>
      <c r="N1946" s="12" t="s">
        <v>36</v>
      </c>
      <c r="O1946" s="17" t="s">
        <v>36</v>
      </c>
      <c r="P1946" s="12" t="s">
        <v>36</v>
      </c>
      <c r="Q1946" s="12" t="s">
        <v>36</v>
      </c>
      <c r="R1946" s="12" t="s">
        <v>36</v>
      </c>
      <c r="S1946" s="12" t="s">
        <v>36</v>
      </c>
      <c r="T1946" s="12" t="s">
        <v>376</v>
      </c>
      <c r="U1946" s="12" t="s">
        <v>377</v>
      </c>
      <c r="V1946" s="12" t="s">
        <v>378</v>
      </c>
      <c r="W1946" s="12" t="s">
        <v>379</v>
      </c>
      <c r="X1946" s="16" t="s">
        <v>11118</v>
      </c>
      <c r="Y1946" s="15" t="s">
        <v>42</v>
      </c>
      <c r="Z1946" s="14">
        <v>1.52</v>
      </c>
      <c r="AA1946" s="14" t="s">
        <v>36</v>
      </c>
      <c r="AB1946" s="12" t="s">
        <v>56</v>
      </c>
      <c r="AC1946" s="12" t="s">
        <v>381</v>
      </c>
      <c r="AD1946" s="13">
        <v>44805</v>
      </c>
      <c r="AE1946" s="12" t="s">
        <v>377</v>
      </c>
      <c r="AF1946" s="12" t="s">
        <v>372</v>
      </c>
      <c r="AG1946" s="12" t="s">
        <v>382</v>
      </c>
      <c r="AH1946" s="1">
        <f>HYPERLINK("https://my.pitchbook.com?c=204688-63T","View Company Online")</f>
      </c>
    </row>
    <row r="1947">
      <c r="A1947" s="3" t="s">
        <v>11119</v>
      </c>
      <c r="B1947" s="3" t="s">
        <v>11120</v>
      </c>
      <c r="C1947" s="5" t="s">
        <v>36</v>
      </c>
      <c r="D1947" s="5" t="s">
        <v>36</v>
      </c>
      <c r="E1947" s="5" t="s">
        <v>36</v>
      </c>
      <c r="F1947" s="5" t="s">
        <v>36</v>
      </c>
      <c r="G1947" s="6" t="s">
        <v>36</v>
      </c>
      <c r="H1947" s="4" t="s">
        <v>36</v>
      </c>
      <c r="I1947" s="7" t="s">
        <v>36</v>
      </c>
      <c r="J1947" s="3" t="s">
        <v>36</v>
      </c>
      <c r="K1947" s="9" t="s">
        <v>36</v>
      </c>
      <c r="L1947" s="6" t="s">
        <v>36</v>
      </c>
      <c r="M1947" s="3" t="s">
        <v>36</v>
      </c>
      <c r="N1947" s="3" t="s">
        <v>36</v>
      </c>
      <c r="O1947" s="8" t="s">
        <v>36</v>
      </c>
      <c r="P1947" s="3" t="s">
        <v>36</v>
      </c>
      <c r="Q1947" s="3" t="s">
        <v>36</v>
      </c>
      <c r="R1947" s="3" t="s">
        <v>36</v>
      </c>
      <c r="S1947" s="3" t="s">
        <v>36</v>
      </c>
      <c r="T1947" s="3" t="s">
        <v>11121</v>
      </c>
      <c r="U1947" s="3" t="s">
        <v>423</v>
      </c>
      <c r="V1947" s="3" t="s">
        <v>64</v>
      </c>
      <c r="W1947" s="3" t="s">
        <v>11122</v>
      </c>
      <c r="X1947" s="10" t="s">
        <v>3600</v>
      </c>
      <c r="Y1947" s="6" t="s">
        <v>55</v>
      </c>
      <c r="Z1947" s="4">
        <v>0.1</v>
      </c>
      <c r="AA1947" s="4" t="s">
        <v>36</v>
      </c>
      <c r="AB1947" s="3" t="s">
        <v>56</v>
      </c>
      <c r="AC1947" s="3" t="s">
        <v>11123</v>
      </c>
      <c r="AD1947" s="9">
        <v>44805</v>
      </c>
      <c r="AE1947" s="3" t="s">
        <v>562</v>
      </c>
      <c r="AF1947" s="3" t="s">
        <v>4270</v>
      </c>
      <c r="AG1947" s="3" t="s">
        <v>81</v>
      </c>
      <c r="AH1947" s="11">
        <f>HYPERLINK("https://my.pitchbook.com?c=235289-08T","View Company Online")</f>
      </c>
    </row>
    <row r="1948">
      <c r="A1948" s="12" t="s">
        <v>11124</v>
      </c>
      <c r="B1948" s="12" t="s">
        <v>11125</v>
      </c>
      <c r="C1948" s="19" t="s">
        <v>36</v>
      </c>
      <c r="D1948" s="19" t="s">
        <v>36</v>
      </c>
      <c r="E1948" s="19" t="s">
        <v>36</v>
      </c>
      <c r="F1948" s="19" t="s">
        <v>36</v>
      </c>
      <c r="G1948" s="15" t="s">
        <v>36</v>
      </c>
      <c r="H1948" s="14" t="s">
        <v>36</v>
      </c>
      <c r="I1948" s="18" t="s">
        <v>36</v>
      </c>
      <c r="J1948" s="12" t="s">
        <v>36</v>
      </c>
      <c r="K1948" s="13" t="s">
        <v>36</v>
      </c>
      <c r="L1948" s="15" t="s">
        <v>36</v>
      </c>
      <c r="M1948" s="12" t="s">
        <v>36</v>
      </c>
      <c r="N1948" s="12" t="s">
        <v>36</v>
      </c>
      <c r="O1948" s="17" t="s">
        <v>36</v>
      </c>
      <c r="P1948" s="12" t="s">
        <v>36</v>
      </c>
      <c r="Q1948" s="12" t="s">
        <v>36</v>
      </c>
      <c r="R1948" s="12" t="s">
        <v>36</v>
      </c>
      <c r="S1948" s="12" t="s">
        <v>36</v>
      </c>
      <c r="T1948" s="12" t="s">
        <v>2483</v>
      </c>
      <c r="U1948" s="12" t="s">
        <v>63</v>
      </c>
      <c r="V1948" s="12" t="s">
        <v>64</v>
      </c>
      <c r="W1948" s="12" t="s">
        <v>11126</v>
      </c>
      <c r="X1948" s="16" t="s">
        <v>11127</v>
      </c>
      <c r="Y1948" s="15" t="s">
        <v>42</v>
      </c>
      <c r="Z1948" s="14" t="s">
        <v>36</v>
      </c>
      <c r="AA1948" s="14" t="s">
        <v>36</v>
      </c>
      <c r="AB1948" s="12" t="s">
        <v>56</v>
      </c>
      <c r="AC1948" s="12" t="s">
        <v>11128</v>
      </c>
      <c r="AD1948" s="13">
        <v>44805</v>
      </c>
      <c r="AE1948" s="12" t="s">
        <v>399</v>
      </c>
      <c r="AF1948" s="12" t="s">
        <v>36</v>
      </c>
      <c r="AG1948" s="12" t="s">
        <v>81</v>
      </c>
      <c r="AH1948" s="1">
        <f>HYPERLINK("https://my.pitchbook.com?c=203480-92T","View Company Online")</f>
      </c>
    </row>
    <row r="1949">
      <c r="A1949" s="3" t="s">
        <v>11129</v>
      </c>
      <c r="B1949" s="3" t="s">
        <v>11130</v>
      </c>
      <c r="C1949" s="5" t="s">
        <v>36</v>
      </c>
      <c r="D1949" s="5" t="s">
        <v>36</v>
      </c>
      <c r="E1949" s="5" t="s">
        <v>36</v>
      </c>
      <c r="F1949" s="5" t="s">
        <v>36</v>
      </c>
      <c r="G1949" s="6" t="s">
        <v>36</v>
      </c>
      <c r="H1949" s="4" t="s">
        <v>36</v>
      </c>
      <c r="I1949" s="7" t="s">
        <v>36</v>
      </c>
      <c r="J1949" s="3" t="s">
        <v>36</v>
      </c>
      <c r="K1949" s="9" t="s">
        <v>36</v>
      </c>
      <c r="L1949" s="6" t="s">
        <v>36</v>
      </c>
      <c r="M1949" s="3" t="s">
        <v>36</v>
      </c>
      <c r="N1949" s="3" t="s">
        <v>36</v>
      </c>
      <c r="O1949" s="8" t="s">
        <v>36</v>
      </c>
      <c r="P1949" s="3" t="s">
        <v>36</v>
      </c>
      <c r="Q1949" s="3" t="s">
        <v>36</v>
      </c>
      <c r="R1949" s="3" t="s">
        <v>36</v>
      </c>
      <c r="S1949" s="3" t="s">
        <v>36</v>
      </c>
      <c r="T1949" s="3" t="s">
        <v>9211</v>
      </c>
      <c r="U1949" s="3" t="s">
        <v>74</v>
      </c>
      <c r="V1949" s="3" t="s">
        <v>75</v>
      </c>
      <c r="W1949" s="3" t="s">
        <v>11131</v>
      </c>
      <c r="X1949" s="10" t="s">
        <v>11132</v>
      </c>
      <c r="Y1949" s="6" t="s">
        <v>108</v>
      </c>
      <c r="Z1949" s="4" t="s">
        <v>36</v>
      </c>
      <c r="AA1949" s="4" t="s">
        <v>36</v>
      </c>
      <c r="AB1949" s="3" t="s">
        <v>56</v>
      </c>
      <c r="AC1949" s="3" t="s">
        <v>11133</v>
      </c>
      <c r="AD1949" s="9">
        <v>44805</v>
      </c>
      <c r="AE1949" s="3" t="s">
        <v>9215</v>
      </c>
      <c r="AF1949" s="3" t="s">
        <v>36</v>
      </c>
      <c r="AG1949" s="3" t="s">
        <v>1978</v>
      </c>
      <c r="AH1949" s="11">
        <f>HYPERLINK("https://my.pitchbook.com?c=204467-41T","View Company Online")</f>
      </c>
    </row>
    <row r="1950">
      <c r="A1950" s="12" t="s">
        <v>11134</v>
      </c>
      <c r="B1950" s="12" t="s">
        <v>11135</v>
      </c>
      <c r="C1950" s="19" t="s">
        <v>36</v>
      </c>
      <c r="D1950" s="19" t="s">
        <v>36</v>
      </c>
      <c r="E1950" s="19" t="s">
        <v>36</v>
      </c>
      <c r="F1950" s="19" t="s">
        <v>36</v>
      </c>
      <c r="G1950" s="15" t="s">
        <v>36</v>
      </c>
      <c r="H1950" s="14" t="s">
        <v>36</v>
      </c>
      <c r="I1950" s="18" t="s">
        <v>36</v>
      </c>
      <c r="J1950" s="12" t="s">
        <v>36</v>
      </c>
      <c r="K1950" s="13" t="s">
        <v>36</v>
      </c>
      <c r="L1950" s="15" t="s">
        <v>36</v>
      </c>
      <c r="M1950" s="12" t="s">
        <v>36</v>
      </c>
      <c r="N1950" s="12" t="s">
        <v>36</v>
      </c>
      <c r="O1950" s="17" t="s">
        <v>36</v>
      </c>
      <c r="P1950" s="12" t="s">
        <v>36</v>
      </c>
      <c r="Q1950" s="12" t="s">
        <v>36</v>
      </c>
      <c r="R1950" s="12" t="s">
        <v>36</v>
      </c>
      <c r="S1950" s="12" t="s">
        <v>36</v>
      </c>
      <c r="T1950" s="12" t="s">
        <v>11136</v>
      </c>
      <c r="U1950" s="12" t="s">
        <v>219</v>
      </c>
      <c r="V1950" s="12" t="s">
        <v>75</v>
      </c>
      <c r="W1950" s="12" t="s">
        <v>11137</v>
      </c>
      <c r="X1950" s="16" t="s">
        <v>1399</v>
      </c>
      <c r="Y1950" s="15" t="s">
        <v>42</v>
      </c>
      <c r="Z1950" s="14" t="s">
        <v>36</v>
      </c>
      <c r="AA1950" s="14" t="s">
        <v>36</v>
      </c>
      <c r="AB1950" s="12" t="s">
        <v>56</v>
      </c>
      <c r="AC1950" s="12" t="s">
        <v>11138</v>
      </c>
      <c r="AD1950" s="13">
        <v>44805</v>
      </c>
      <c r="AE1950" s="12" t="s">
        <v>1007</v>
      </c>
      <c r="AF1950" s="12" t="s">
        <v>1969</v>
      </c>
      <c r="AG1950" s="12" t="s">
        <v>11139</v>
      </c>
      <c r="AH1950" s="1">
        <f>HYPERLINK("https://my.pitchbook.com?c=218395-54T","View Company Online")</f>
      </c>
    </row>
    <row r="1951">
      <c r="A1951" s="3" t="s">
        <v>11140</v>
      </c>
      <c r="B1951" s="3" t="s">
        <v>2691</v>
      </c>
      <c r="C1951" s="5">
        <v>1</v>
      </c>
      <c r="D1951" s="5" t="s">
        <v>36</v>
      </c>
      <c r="E1951" s="5">
        <v>1</v>
      </c>
      <c r="F1951" s="5">
        <v>1</v>
      </c>
      <c r="G1951" s="6" t="s">
        <v>36</v>
      </c>
      <c r="H1951" s="4" t="s">
        <v>36</v>
      </c>
      <c r="I1951" s="7" t="s">
        <v>36</v>
      </c>
      <c r="J1951" s="3" t="s">
        <v>36</v>
      </c>
      <c r="K1951" s="9" t="s">
        <v>36</v>
      </c>
      <c r="L1951" s="6" t="s">
        <v>36</v>
      </c>
      <c r="M1951" s="3" t="s">
        <v>36</v>
      </c>
      <c r="N1951" s="3" t="s">
        <v>36</v>
      </c>
      <c r="O1951" s="8" t="s">
        <v>36</v>
      </c>
      <c r="P1951" s="3" t="s">
        <v>36</v>
      </c>
      <c r="Q1951" s="3" t="s">
        <v>36</v>
      </c>
      <c r="R1951" s="3" t="s">
        <v>36</v>
      </c>
      <c r="S1951" s="3" t="s">
        <v>36</v>
      </c>
      <c r="T1951" s="3" t="s">
        <v>2692</v>
      </c>
      <c r="U1951" s="3" t="s">
        <v>74</v>
      </c>
      <c r="V1951" s="3" t="s">
        <v>75</v>
      </c>
      <c r="W1951" s="3" t="s">
        <v>2693</v>
      </c>
      <c r="X1951" s="10" t="s">
        <v>11070</v>
      </c>
      <c r="Y1951" s="6" t="s">
        <v>42</v>
      </c>
      <c r="Z1951" s="4" t="s">
        <v>36</v>
      </c>
      <c r="AA1951" s="4" t="s">
        <v>36</v>
      </c>
      <c r="AB1951" s="3" t="s">
        <v>56</v>
      </c>
      <c r="AC1951" s="3" t="s">
        <v>2695</v>
      </c>
      <c r="AD1951" s="9">
        <v>44805</v>
      </c>
      <c r="AE1951" s="3" t="s">
        <v>975</v>
      </c>
      <c r="AF1951" s="3" t="s">
        <v>36</v>
      </c>
      <c r="AG1951" s="3" t="s">
        <v>2696</v>
      </c>
      <c r="AH1951" s="11">
        <f>HYPERLINK("https://my.pitchbook.com?c=204464-44T","View Company Online")</f>
      </c>
    </row>
    <row r="1952">
      <c r="A1952" s="12" t="s">
        <v>11141</v>
      </c>
      <c r="B1952" s="12" t="s">
        <v>11142</v>
      </c>
      <c r="C1952" s="19" t="s">
        <v>36</v>
      </c>
      <c r="D1952" s="19" t="s">
        <v>36</v>
      </c>
      <c r="E1952" s="19" t="s">
        <v>36</v>
      </c>
      <c r="F1952" s="19" t="s">
        <v>36</v>
      </c>
      <c r="G1952" s="15" t="s">
        <v>36</v>
      </c>
      <c r="H1952" s="14">
        <v>5.19</v>
      </c>
      <c r="I1952" s="18">
        <v>16.82</v>
      </c>
      <c r="J1952" s="12" t="s">
        <v>521</v>
      </c>
      <c r="K1952" s="13">
        <v>44749</v>
      </c>
      <c r="L1952" s="15" t="s">
        <v>36</v>
      </c>
      <c r="M1952" s="12" t="s">
        <v>36</v>
      </c>
      <c r="N1952" s="12" t="s">
        <v>36</v>
      </c>
      <c r="O1952" s="17" t="s">
        <v>36</v>
      </c>
      <c r="P1952" s="12" t="s">
        <v>36</v>
      </c>
      <c r="Q1952" s="12" t="s">
        <v>36</v>
      </c>
      <c r="R1952" s="12" t="s">
        <v>36</v>
      </c>
      <c r="S1952" s="12" t="s">
        <v>36</v>
      </c>
      <c r="T1952" s="12" t="s">
        <v>342</v>
      </c>
      <c r="U1952" s="12" t="s">
        <v>38</v>
      </c>
      <c r="V1952" s="12" t="s">
        <v>39</v>
      </c>
      <c r="W1952" s="12" t="s">
        <v>11143</v>
      </c>
      <c r="X1952" s="16" t="s">
        <v>11144</v>
      </c>
      <c r="Y1952" s="15" t="s">
        <v>42</v>
      </c>
      <c r="Z1952" s="14">
        <v>0.41</v>
      </c>
      <c r="AA1952" s="14">
        <v>2.43</v>
      </c>
      <c r="AB1952" s="12" t="s">
        <v>43</v>
      </c>
      <c r="AC1952" s="12" t="s">
        <v>11145</v>
      </c>
      <c r="AD1952" s="13">
        <v>44805</v>
      </c>
      <c r="AE1952" s="12" t="s">
        <v>110</v>
      </c>
      <c r="AF1952" s="12" t="s">
        <v>256</v>
      </c>
      <c r="AG1952" s="12" t="s">
        <v>81</v>
      </c>
      <c r="AH1952" s="1">
        <f>HYPERLINK("https://my.pitchbook.com?c=228040-57T","View Company Online")</f>
      </c>
    </row>
    <row r="1953">
      <c r="A1953" s="3" t="s">
        <v>11146</v>
      </c>
      <c r="B1953" s="3" t="s">
        <v>11147</v>
      </c>
      <c r="C1953" s="5" t="s">
        <v>36</v>
      </c>
      <c r="D1953" s="5" t="s">
        <v>36</v>
      </c>
      <c r="E1953" s="5" t="s">
        <v>36</v>
      </c>
      <c r="F1953" s="5" t="s">
        <v>36</v>
      </c>
      <c r="G1953" s="6" t="s">
        <v>36</v>
      </c>
      <c r="H1953" s="4" t="s">
        <v>36</v>
      </c>
      <c r="I1953" s="7" t="s">
        <v>36</v>
      </c>
      <c r="J1953" s="3" t="s">
        <v>36</v>
      </c>
      <c r="K1953" s="9" t="s">
        <v>36</v>
      </c>
      <c r="L1953" s="6" t="s">
        <v>36</v>
      </c>
      <c r="M1953" s="3" t="s">
        <v>36</v>
      </c>
      <c r="N1953" s="3" t="s">
        <v>36</v>
      </c>
      <c r="O1953" s="8" t="s">
        <v>36</v>
      </c>
      <c r="P1953" s="3" t="s">
        <v>36</v>
      </c>
      <c r="Q1953" s="3" t="s">
        <v>36</v>
      </c>
      <c r="R1953" s="3" t="s">
        <v>36</v>
      </c>
      <c r="S1953" s="3" t="s">
        <v>36</v>
      </c>
      <c r="T1953" s="3" t="s">
        <v>11148</v>
      </c>
      <c r="U1953" s="3" t="s">
        <v>648</v>
      </c>
      <c r="V1953" s="3" t="s">
        <v>64</v>
      </c>
      <c r="W1953" s="3" t="s">
        <v>11149</v>
      </c>
      <c r="X1953" s="10" t="s">
        <v>6176</v>
      </c>
      <c r="Y1953" s="6" t="s">
        <v>108</v>
      </c>
      <c r="Z1953" s="4" t="s">
        <v>36</v>
      </c>
      <c r="AA1953" s="4" t="s">
        <v>36</v>
      </c>
      <c r="AB1953" s="3" t="s">
        <v>43</v>
      </c>
      <c r="AC1953" s="3" t="s">
        <v>11150</v>
      </c>
      <c r="AD1953" s="9">
        <v>44805</v>
      </c>
      <c r="AE1953" s="3" t="s">
        <v>651</v>
      </c>
      <c r="AF1953" s="3" t="s">
        <v>5793</v>
      </c>
      <c r="AG1953" s="3" t="s">
        <v>81</v>
      </c>
      <c r="AH1953" s="11">
        <f>HYPERLINK("https://my.pitchbook.com?c=205136-47T","View Company Online")</f>
      </c>
    </row>
    <row r="1954">
      <c r="A1954" s="12" t="s">
        <v>11151</v>
      </c>
      <c r="B1954" s="12" t="s">
        <v>11152</v>
      </c>
      <c r="C1954" s="19" t="s">
        <v>36</v>
      </c>
      <c r="D1954" s="19" t="s">
        <v>36</v>
      </c>
      <c r="E1954" s="19" t="s">
        <v>36</v>
      </c>
      <c r="F1954" s="19" t="s">
        <v>36</v>
      </c>
      <c r="G1954" s="15" t="s">
        <v>36</v>
      </c>
      <c r="H1954" s="14" t="s">
        <v>36</v>
      </c>
      <c r="I1954" s="18" t="s">
        <v>36</v>
      </c>
      <c r="J1954" s="12" t="s">
        <v>36</v>
      </c>
      <c r="K1954" s="13" t="s">
        <v>36</v>
      </c>
      <c r="L1954" s="15" t="s">
        <v>36</v>
      </c>
      <c r="M1954" s="12" t="s">
        <v>36</v>
      </c>
      <c r="N1954" s="12" t="s">
        <v>36</v>
      </c>
      <c r="O1954" s="17" t="s">
        <v>36</v>
      </c>
      <c r="P1954" s="12" t="s">
        <v>36</v>
      </c>
      <c r="Q1954" s="12" t="s">
        <v>36</v>
      </c>
      <c r="R1954" s="12" t="s">
        <v>36</v>
      </c>
      <c r="S1954" s="12" t="s">
        <v>36</v>
      </c>
      <c r="T1954" s="12" t="s">
        <v>37</v>
      </c>
      <c r="U1954" s="12" t="s">
        <v>38</v>
      </c>
      <c r="V1954" s="12" t="s">
        <v>39</v>
      </c>
      <c r="W1954" s="12" t="s">
        <v>11153</v>
      </c>
      <c r="X1954" s="16" t="s">
        <v>11154</v>
      </c>
      <c r="Y1954" s="15" t="s">
        <v>42</v>
      </c>
      <c r="Z1954" s="14" t="s">
        <v>36</v>
      </c>
      <c r="AA1954" s="14" t="s">
        <v>36</v>
      </c>
      <c r="AB1954" s="12" t="s">
        <v>56</v>
      </c>
      <c r="AC1954" s="12" t="s">
        <v>11155</v>
      </c>
      <c r="AD1954" s="13">
        <v>44805</v>
      </c>
      <c r="AE1954" s="12" t="s">
        <v>45</v>
      </c>
      <c r="AF1954" s="12" t="s">
        <v>36</v>
      </c>
      <c r="AG1954" s="12" t="s">
        <v>652</v>
      </c>
      <c r="AH1954" s="1">
        <f>HYPERLINK("https://my.pitchbook.com?c=202985-02T","View Company Online")</f>
      </c>
    </row>
    <row r="1955">
      <c r="A1955" s="3" t="s">
        <v>11156</v>
      </c>
      <c r="B1955" s="3" t="s">
        <v>11157</v>
      </c>
      <c r="C1955" s="5" t="s">
        <v>36</v>
      </c>
      <c r="D1955" s="5" t="s">
        <v>36</v>
      </c>
      <c r="E1955" s="5" t="s">
        <v>36</v>
      </c>
      <c r="F1955" s="5" t="s">
        <v>36</v>
      </c>
      <c r="G1955" s="6" t="s">
        <v>36</v>
      </c>
      <c r="H1955" s="4" t="s">
        <v>36</v>
      </c>
      <c r="I1955" s="7" t="s">
        <v>36</v>
      </c>
      <c r="J1955" s="3" t="s">
        <v>36</v>
      </c>
      <c r="K1955" s="9" t="s">
        <v>36</v>
      </c>
      <c r="L1955" s="6" t="s">
        <v>36</v>
      </c>
      <c r="M1955" s="3" t="s">
        <v>36</v>
      </c>
      <c r="N1955" s="3" t="s">
        <v>36</v>
      </c>
      <c r="O1955" s="8" t="s">
        <v>36</v>
      </c>
      <c r="P1955" s="3" t="s">
        <v>36</v>
      </c>
      <c r="Q1955" s="3" t="s">
        <v>36</v>
      </c>
      <c r="R1955" s="3" t="s">
        <v>36</v>
      </c>
      <c r="S1955" s="3" t="s">
        <v>36</v>
      </c>
      <c r="T1955" s="3" t="s">
        <v>647</v>
      </c>
      <c r="U1955" s="3" t="s">
        <v>648</v>
      </c>
      <c r="V1955" s="3" t="s">
        <v>64</v>
      </c>
      <c r="W1955" s="3" t="s">
        <v>11158</v>
      </c>
      <c r="X1955" s="10" t="s">
        <v>11159</v>
      </c>
      <c r="Y1955" s="6" t="s">
        <v>42</v>
      </c>
      <c r="Z1955" s="4">
        <v>12.13</v>
      </c>
      <c r="AA1955" s="4" t="s">
        <v>36</v>
      </c>
      <c r="AB1955" s="3" t="s">
        <v>56</v>
      </c>
      <c r="AC1955" s="3" t="s">
        <v>11160</v>
      </c>
      <c r="AD1955" s="9">
        <v>44805</v>
      </c>
      <c r="AE1955" s="3" t="s">
        <v>651</v>
      </c>
      <c r="AF1955" s="3" t="s">
        <v>36</v>
      </c>
      <c r="AG1955" s="3" t="s">
        <v>81</v>
      </c>
      <c r="AH1955" s="11">
        <f>HYPERLINK("https://my.pitchbook.com?c=214608-25T","View Company Online")</f>
      </c>
    </row>
    <row r="1956">
      <c r="A1956" s="12" t="s">
        <v>11161</v>
      </c>
      <c r="B1956" s="12" t="s">
        <v>11162</v>
      </c>
      <c r="C1956" s="19" t="s">
        <v>36</v>
      </c>
      <c r="D1956" s="19" t="s">
        <v>36</v>
      </c>
      <c r="E1956" s="19" t="s">
        <v>36</v>
      </c>
      <c r="F1956" s="19" t="s">
        <v>36</v>
      </c>
      <c r="G1956" s="15" t="s">
        <v>36</v>
      </c>
      <c r="H1956" s="14" t="s">
        <v>36</v>
      </c>
      <c r="I1956" s="18" t="s">
        <v>36</v>
      </c>
      <c r="J1956" s="12" t="s">
        <v>36</v>
      </c>
      <c r="K1956" s="13" t="s">
        <v>36</v>
      </c>
      <c r="L1956" s="15" t="s">
        <v>36</v>
      </c>
      <c r="M1956" s="12" t="s">
        <v>36</v>
      </c>
      <c r="N1956" s="12" t="s">
        <v>36</v>
      </c>
      <c r="O1956" s="17" t="s">
        <v>36</v>
      </c>
      <c r="P1956" s="12" t="s">
        <v>36</v>
      </c>
      <c r="Q1956" s="12" t="s">
        <v>36</v>
      </c>
      <c r="R1956" s="12" t="s">
        <v>36</v>
      </c>
      <c r="S1956" s="12" t="s">
        <v>36</v>
      </c>
      <c r="T1956" s="12" t="s">
        <v>2044</v>
      </c>
      <c r="U1956" s="12" t="s">
        <v>74</v>
      </c>
      <c r="V1956" s="12" t="s">
        <v>75</v>
      </c>
      <c r="W1956" s="12" t="s">
        <v>11163</v>
      </c>
      <c r="X1956" s="16" t="s">
        <v>7251</v>
      </c>
      <c r="Y1956" s="15" t="s">
        <v>42</v>
      </c>
      <c r="Z1956" s="14" t="s">
        <v>36</v>
      </c>
      <c r="AA1956" s="14" t="s">
        <v>36</v>
      </c>
      <c r="AB1956" s="12" t="s">
        <v>43</v>
      </c>
      <c r="AC1956" s="12" t="s">
        <v>11164</v>
      </c>
      <c r="AD1956" s="13">
        <v>44805</v>
      </c>
      <c r="AE1956" s="12" t="s">
        <v>79</v>
      </c>
      <c r="AF1956" s="12" t="s">
        <v>11165</v>
      </c>
      <c r="AG1956" s="12" t="s">
        <v>81</v>
      </c>
      <c r="AH1956" s="1">
        <f>HYPERLINK("https://my.pitchbook.com?c=202864-06T","View Company Online")</f>
      </c>
    </row>
    <row r="1957">
      <c r="A1957" s="3" t="s">
        <v>11166</v>
      </c>
      <c r="B1957" s="3" t="s">
        <v>11167</v>
      </c>
      <c r="C1957" s="5" t="s">
        <v>36</v>
      </c>
      <c r="D1957" s="5" t="s">
        <v>36</v>
      </c>
      <c r="E1957" s="5" t="s">
        <v>36</v>
      </c>
      <c r="F1957" s="5" t="s">
        <v>36</v>
      </c>
      <c r="G1957" s="6" t="s">
        <v>36</v>
      </c>
      <c r="H1957" s="4" t="s">
        <v>36</v>
      </c>
      <c r="I1957" s="7" t="s">
        <v>36</v>
      </c>
      <c r="J1957" s="3" t="s">
        <v>36</v>
      </c>
      <c r="K1957" s="9" t="s">
        <v>36</v>
      </c>
      <c r="L1957" s="6" t="s">
        <v>36</v>
      </c>
      <c r="M1957" s="3" t="s">
        <v>36</v>
      </c>
      <c r="N1957" s="3" t="s">
        <v>36</v>
      </c>
      <c r="O1957" s="8" t="s">
        <v>36</v>
      </c>
      <c r="P1957" s="3" t="s">
        <v>36</v>
      </c>
      <c r="Q1957" s="3" t="s">
        <v>36</v>
      </c>
      <c r="R1957" s="3" t="s">
        <v>36</v>
      </c>
      <c r="S1957" s="3" t="s">
        <v>36</v>
      </c>
      <c r="T1957" s="3" t="s">
        <v>522</v>
      </c>
      <c r="U1957" s="3" t="s">
        <v>38</v>
      </c>
      <c r="V1957" s="3" t="s">
        <v>39</v>
      </c>
      <c r="W1957" s="3" t="s">
        <v>11168</v>
      </c>
      <c r="X1957" s="10" t="s">
        <v>221</v>
      </c>
      <c r="Y1957" s="6" t="s">
        <v>42</v>
      </c>
      <c r="Z1957" s="4">
        <v>0.51</v>
      </c>
      <c r="AA1957" s="4" t="s">
        <v>36</v>
      </c>
      <c r="AB1957" s="3" t="s">
        <v>43</v>
      </c>
      <c r="AC1957" s="3" t="s">
        <v>11169</v>
      </c>
      <c r="AD1957" s="9">
        <v>44805</v>
      </c>
      <c r="AE1957" s="3" t="s">
        <v>110</v>
      </c>
      <c r="AF1957" s="3" t="s">
        <v>176</v>
      </c>
      <c r="AG1957" s="3" t="s">
        <v>81</v>
      </c>
      <c r="AH1957" s="11">
        <f>HYPERLINK("https://my.pitchbook.com?c=204150-61T","View Company Online")</f>
      </c>
    </row>
    <row r="1958">
      <c r="A1958" s="12" t="s">
        <v>11170</v>
      </c>
      <c r="B1958" s="12" t="s">
        <v>1731</v>
      </c>
      <c r="C1958" s="19" t="s">
        <v>36</v>
      </c>
      <c r="D1958" s="19" t="s">
        <v>36</v>
      </c>
      <c r="E1958" s="19" t="s">
        <v>36</v>
      </c>
      <c r="F1958" s="19" t="s">
        <v>36</v>
      </c>
      <c r="G1958" s="15" t="s">
        <v>36</v>
      </c>
      <c r="H1958" s="14">
        <v>83.09</v>
      </c>
      <c r="I1958" s="18">
        <v>16.46</v>
      </c>
      <c r="J1958" s="12" t="s">
        <v>521</v>
      </c>
      <c r="K1958" s="13" t="s">
        <v>36</v>
      </c>
      <c r="L1958" s="15" t="s">
        <v>36</v>
      </c>
      <c r="M1958" s="12" t="s">
        <v>36</v>
      </c>
      <c r="N1958" s="12" t="s">
        <v>36</v>
      </c>
      <c r="O1958" s="17" t="s">
        <v>36</v>
      </c>
      <c r="P1958" s="12" t="s">
        <v>36</v>
      </c>
      <c r="Q1958" s="12" t="s">
        <v>36</v>
      </c>
      <c r="R1958" s="12" t="s">
        <v>36</v>
      </c>
      <c r="S1958" s="12" t="s">
        <v>36</v>
      </c>
      <c r="T1958" s="12" t="s">
        <v>1701</v>
      </c>
      <c r="U1958" s="12" t="s">
        <v>74</v>
      </c>
      <c r="V1958" s="12" t="s">
        <v>75</v>
      </c>
      <c r="W1958" s="12" t="s">
        <v>1732</v>
      </c>
      <c r="X1958" s="16" t="s">
        <v>11171</v>
      </c>
      <c r="Y1958" s="15" t="s">
        <v>42</v>
      </c>
      <c r="Z1958" s="14">
        <v>1.59</v>
      </c>
      <c r="AA1958" s="14">
        <v>9.68</v>
      </c>
      <c r="AB1958" s="12" t="s">
        <v>43</v>
      </c>
      <c r="AC1958" s="12" t="s">
        <v>1734</v>
      </c>
      <c r="AD1958" s="13">
        <v>44805</v>
      </c>
      <c r="AE1958" s="12" t="s">
        <v>79</v>
      </c>
      <c r="AF1958" s="12" t="s">
        <v>1735</v>
      </c>
      <c r="AG1958" s="12" t="s">
        <v>81</v>
      </c>
      <c r="AH1958" s="1">
        <f>HYPERLINK("https://my.pitchbook.com?c=204151-33T","View Company Online")</f>
      </c>
    </row>
    <row r="1959">
      <c r="A1959" s="3" t="s">
        <v>11172</v>
      </c>
      <c r="B1959" s="3" t="s">
        <v>11173</v>
      </c>
      <c r="C1959" s="5" t="s">
        <v>36</v>
      </c>
      <c r="D1959" s="5" t="s">
        <v>36</v>
      </c>
      <c r="E1959" s="5" t="s">
        <v>36</v>
      </c>
      <c r="F1959" s="5" t="s">
        <v>36</v>
      </c>
      <c r="G1959" s="6" t="s">
        <v>326</v>
      </c>
      <c r="H1959" s="4">
        <v>15.4</v>
      </c>
      <c r="I1959" s="7">
        <v>33.26</v>
      </c>
      <c r="J1959" s="3" t="s">
        <v>521</v>
      </c>
      <c r="K1959" s="9" t="s">
        <v>36</v>
      </c>
      <c r="L1959" s="6" t="s">
        <v>36</v>
      </c>
      <c r="M1959" s="3" t="s">
        <v>36</v>
      </c>
      <c r="N1959" s="3" t="s">
        <v>36</v>
      </c>
      <c r="O1959" s="8" t="s">
        <v>36</v>
      </c>
      <c r="P1959" s="3" t="s">
        <v>36</v>
      </c>
      <c r="Q1959" s="3" t="s">
        <v>36</v>
      </c>
      <c r="R1959" s="3" t="s">
        <v>36</v>
      </c>
      <c r="S1959" s="3" t="s">
        <v>36</v>
      </c>
      <c r="T1959" s="3" t="s">
        <v>11174</v>
      </c>
      <c r="U1959" s="3" t="s">
        <v>404</v>
      </c>
      <c r="V1959" s="3" t="s">
        <v>405</v>
      </c>
      <c r="W1959" s="3" t="s">
        <v>11175</v>
      </c>
      <c r="X1959" s="10" t="s">
        <v>11176</v>
      </c>
      <c r="Y1959" s="6" t="s">
        <v>166</v>
      </c>
      <c r="Z1959" s="4">
        <v>25.28</v>
      </c>
      <c r="AA1959" s="4">
        <v>75.99</v>
      </c>
      <c r="AB1959" s="3" t="s">
        <v>56</v>
      </c>
      <c r="AC1959" s="3" t="s">
        <v>11177</v>
      </c>
      <c r="AD1959" s="9">
        <v>44805</v>
      </c>
      <c r="AE1959" s="3" t="s">
        <v>3608</v>
      </c>
      <c r="AF1959" s="3" t="s">
        <v>7466</v>
      </c>
      <c r="AG1959" s="3" t="s">
        <v>81</v>
      </c>
      <c r="AH1959" s="11">
        <f>HYPERLINK("https://my.pitchbook.com?c=203680-81T","View Company Online")</f>
      </c>
    </row>
    <row r="1960">
      <c r="A1960" s="12" t="s">
        <v>11178</v>
      </c>
      <c r="B1960" s="12" t="s">
        <v>11179</v>
      </c>
      <c r="C1960" s="19">
        <v>2</v>
      </c>
      <c r="D1960" s="19">
        <v>44</v>
      </c>
      <c r="E1960" s="19">
        <v>8</v>
      </c>
      <c r="F1960" s="19">
        <v>52</v>
      </c>
      <c r="G1960" s="15" t="s">
        <v>326</v>
      </c>
      <c r="H1960" s="14" t="s">
        <v>36</v>
      </c>
      <c r="I1960" s="18">
        <v>33.3</v>
      </c>
      <c r="J1960" s="12" t="s">
        <v>327</v>
      </c>
      <c r="K1960" s="13" t="s">
        <v>36</v>
      </c>
      <c r="L1960" s="15" t="s">
        <v>36</v>
      </c>
      <c r="M1960" s="12" t="s">
        <v>36</v>
      </c>
      <c r="N1960" s="12" t="s">
        <v>36</v>
      </c>
      <c r="O1960" s="17" t="s">
        <v>36</v>
      </c>
      <c r="P1960" s="12" t="s">
        <v>36</v>
      </c>
      <c r="Q1960" s="12" t="s">
        <v>36</v>
      </c>
      <c r="R1960" s="12" t="s">
        <v>36</v>
      </c>
      <c r="S1960" s="12" t="s">
        <v>36</v>
      </c>
      <c r="T1960" s="12" t="s">
        <v>596</v>
      </c>
      <c r="U1960" s="12" t="s">
        <v>366</v>
      </c>
      <c r="V1960" s="12" t="s">
        <v>367</v>
      </c>
      <c r="W1960" s="12" t="s">
        <v>11180</v>
      </c>
      <c r="X1960" s="16" t="s">
        <v>11181</v>
      </c>
      <c r="Y1960" s="15" t="s">
        <v>192</v>
      </c>
      <c r="Z1960" s="14">
        <v>10.12</v>
      </c>
      <c r="AA1960" s="14">
        <v>30.39</v>
      </c>
      <c r="AB1960" s="12" t="s">
        <v>56</v>
      </c>
      <c r="AC1960" s="12" t="s">
        <v>11182</v>
      </c>
      <c r="AD1960" s="13">
        <v>44804</v>
      </c>
      <c r="AE1960" s="12" t="s">
        <v>600</v>
      </c>
      <c r="AF1960" s="12" t="s">
        <v>982</v>
      </c>
      <c r="AG1960" s="12" t="s">
        <v>899</v>
      </c>
      <c r="AH1960" s="1">
        <f>HYPERLINK("https://my.pitchbook.com?c=202812-31T","View Company Online")</f>
      </c>
    </row>
    <row r="1961">
      <c r="A1961" s="3" t="s">
        <v>11183</v>
      </c>
      <c r="B1961" s="3" t="s">
        <v>11184</v>
      </c>
      <c r="C1961" s="5" t="s">
        <v>36</v>
      </c>
      <c r="D1961" s="5">
        <v>5</v>
      </c>
      <c r="E1961" s="5">
        <v>4</v>
      </c>
      <c r="F1961" s="5">
        <v>7</v>
      </c>
      <c r="G1961" s="6" t="s">
        <v>326</v>
      </c>
      <c r="H1961" s="4" t="s">
        <v>36</v>
      </c>
      <c r="I1961" s="7" t="s">
        <v>36</v>
      </c>
      <c r="J1961" s="3" t="s">
        <v>521</v>
      </c>
      <c r="K1961" s="9" t="s">
        <v>36</v>
      </c>
      <c r="L1961" s="6" t="s">
        <v>36</v>
      </c>
      <c r="M1961" s="3" t="s">
        <v>36</v>
      </c>
      <c r="N1961" s="3" t="s">
        <v>36</v>
      </c>
      <c r="O1961" s="8" t="s">
        <v>36</v>
      </c>
      <c r="P1961" s="3" t="s">
        <v>36</v>
      </c>
      <c r="Q1961" s="3" t="s">
        <v>36</v>
      </c>
      <c r="R1961" s="3" t="s">
        <v>36</v>
      </c>
      <c r="S1961" s="3" t="s">
        <v>36</v>
      </c>
      <c r="T1961" s="3" t="s">
        <v>596</v>
      </c>
      <c r="U1961" s="3" t="s">
        <v>366</v>
      </c>
      <c r="V1961" s="3" t="s">
        <v>367</v>
      </c>
      <c r="W1961" s="3" t="s">
        <v>11185</v>
      </c>
      <c r="X1961" s="10" t="s">
        <v>11186</v>
      </c>
      <c r="Y1961" s="6" t="s">
        <v>55</v>
      </c>
      <c r="Z1961" s="4">
        <v>0.66</v>
      </c>
      <c r="AA1961" s="4">
        <v>11.18</v>
      </c>
      <c r="AB1961" s="3" t="s">
        <v>56</v>
      </c>
      <c r="AC1961" s="3" t="s">
        <v>11187</v>
      </c>
      <c r="AD1961" s="9">
        <v>44804</v>
      </c>
      <c r="AE1961" s="3" t="s">
        <v>600</v>
      </c>
      <c r="AF1961" s="3" t="s">
        <v>11188</v>
      </c>
      <c r="AG1961" s="3" t="s">
        <v>81</v>
      </c>
      <c r="AH1961" s="11">
        <f>HYPERLINK("https://my.pitchbook.com?c=202926-61T","View Company Online")</f>
      </c>
    </row>
    <row r="1962">
      <c r="A1962" s="12" t="s">
        <v>11189</v>
      </c>
      <c r="B1962" s="12" t="s">
        <v>349</v>
      </c>
      <c r="C1962" s="19" t="s">
        <v>36</v>
      </c>
      <c r="D1962" s="19" t="s">
        <v>36</v>
      </c>
      <c r="E1962" s="19" t="s">
        <v>36</v>
      </c>
      <c r="F1962" s="19" t="s">
        <v>36</v>
      </c>
      <c r="G1962" s="15" t="s">
        <v>326</v>
      </c>
      <c r="H1962" s="14">
        <v>5095.21</v>
      </c>
      <c r="I1962" s="18">
        <v>13.44</v>
      </c>
      <c r="J1962" s="12" t="s">
        <v>521</v>
      </c>
      <c r="K1962" s="13" t="s">
        <v>36</v>
      </c>
      <c r="L1962" s="15" t="s">
        <v>36</v>
      </c>
      <c r="M1962" s="12" t="s">
        <v>36</v>
      </c>
      <c r="N1962" s="12" t="s">
        <v>36</v>
      </c>
      <c r="O1962" s="17" t="s">
        <v>36</v>
      </c>
      <c r="P1962" s="12" t="s">
        <v>36</v>
      </c>
      <c r="Q1962" s="12" t="s">
        <v>36</v>
      </c>
      <c r="R1962" s="12" t="s">
        <v>36</v>
      </c>
      <c r="S1962" s="12" t="s">
        <v>36</v>
      </c>
      <c r="T1962" s="12" t="s">
        <v>350</v>
      </c>
      <c r="U1962" s="12" t="s">
        <v>38</v>
      </c>
      <c r="V1962" s="12" t="s">
        <v>39</v>
      </c>
      <c r="W1962" s="12" t="s">
        <v>351</v>
      </c>
      <c r="X1962" s="16" t="s">
        <v>1412</v>
      </c>
      <c r="Y1962" s="15" t="s">
        <v>55</v>
      </c>
      <c r="Z1962" s="14">
        <v>3.61</v>
      </c>
      <c r="AA1962" s="14">
        <v>26.89</v>
      </c>
      <c r="AB1962" s="12" t="s">
        <v>43</v>
      </c>
      <c r="AC1962" s="12" t="s">
        <v>353</v>
      </c>
      <c r="AD1962" s="13">
        <v>44804</v>
      </c>
      <c r="AE1962" s="12" t="s">
        <v>110</v>
      </c>
      <c r="AF1962" s="12" t="s">
        <v>354</v>
      </c>
      <c r="AG1962" s="12" t="s">
        <v>355</v>
      </c>
      <c r="AH1962" s="1">
        <f>HYPERLINK("https://my.pitchbook.com?c=203594-05T","View Company Online")</f>
      </c>
    </row>
    <row r="1963">
      <c r="A1963" s="3" t="s">
        <v>11190</v>
      </c>
      <c r="B1963" s="3" t="s">
        <v>11191</v>
      </c>
      <c r="C1963" s="5" t="s">
        <v>36</v>
      </c>
      <c r="D1963" s="5" t="s">
        <v>36</v>
      </c>
      <c r="E1963" s="5" t="s">
        <v>36</v>
      </c>
      <c r="F1963" s="5" t="s">
        <v>36</v>
      </c>
      <c r="G1963" s="6" t="s">
        <v>36</v>
      </c>
      <c r="H1963" s="4" t="s">
        <v>36</v>
      </c>
      <c r="I1963" s="7" t="s">
        <v>36</v>
      </c>
      <c r="J1963" s="3" t="s">
        <v>36</v>
      </c>
      <c r="K1963" s="9">
        <v>44621</v>
      </c>
      <c r="L1963" s="6" t="s">
        <v>36</v>
      </c>
      <c r="M1963" s="3" t="s">
        <v>36</v>
      </c>
      <c r="N1963" s="3" t="s">
        <v>36</v>
      </c>
      <c r="O1963" s="8" t="s">
        <v>36</v>
      </c>
      <c r="P1963" s="3" t="s">
        <v>36</v>
      </c>
      <c r="Q1963" s="3" t="s">
        <v>36</v>
      </c>
      <c r="R1963" s="3" t="s">
        <v>36</v>
      </c>
      <c r="S1963" s="3" t="s">
        <v>36</v>
      </c>
      <c r="T1963" s="3" t="s">
        <v>11192</v>
      </c>
      <c r="U1963" s="3" t="s">
        <v>279</v>
      </c>
      <c r="V1963" s="3" t="s">
        <v>64</v>
      </c>
      <c r="W1963" s="3" t="s">
        <v>11193</v>
      </c>
      <c r="X1963" s="10" t="s">
        <v>10226</v>
      </c>
      <c r="Y1963" s="6" t="s">
        <v>42</v>
      </c>
      <c r="Z1963" s="4">
        <v>3.04</v>
      </c>
      <c r="AA1963" s="4" t="s">
        <v>36</v>
      </c>
      <c r="AB1963" s="3" t="s">
        <v>43</v>
      </c>
      <c r="AC1963" s="3" t="s">
        <v>11194</v>
      </c>
      <c r="AD1963" s="9">
        <v>44803</v>
      </c>
      <c r="AE1963" s="3" t="s">
        <v>283</v>
      </c>
      <c r="AF1963" s="3" t="s">
        <v>118</v>
      </c>
      <c r="AG1963" s="3" t="s">
        <v>81</v>
      </c>
      <c r="AH1963" s="11">
        <f>HYPERLINK("https://my.pitchbook.com?c=190030-51T","View Company Online")</f>
      </c>
    </row>
    <row r="1964">
      <c r="A1964" s="12" t="s">
        <v>11195</v>
      </c>
      <c r="B1964" s="12" t="s">
        <v>11196</v>
      </c>
      <c r="C1964" s="19" t="s">
        <v>36</v>
      </c>
      <c r="D1964" s="19" t="s">
        <v>36</v>
      </c>
      <c r="E1964" s="19" t="s">
        <v>36</v>
      </c>
      <c r="F1964" s="19" t="s">
        <v>36</v>
      </c>
      <c r="G1964" s="15" t="s">
        <v>326</v>
      </c>
      <c r="H1964" s="14">
        <v>75.41</v>
      </c>
      <c r="I1964" s="18">
        <v>33.71</v>
      </c>
      <c r="J1964" s="12" t="s">
        <v>521</v>
      </c>
      <c r="K1964" s="13" t="s">
        <v>36</v>
      </c>
      <c r="L1964" s="15" t="s">
        <v>36</v>
      </c>
      <c r="M1964" s="12" t="s">
        <v>36</v>
      </c>
      <c r="N1964" s="12" t="s">
        <v>36</v>
      </c>
      <c r="O1964" s="17" t="s">
        <v>36</v>
      </c>
      <c r="P1964" s="12" t="s">
        <v>36</v>
      </c>
      <c r="Q1964" s="12" t="s">
        <v>36</v>
      </c>
      <c r="R1964" s="12" t="s">
        <v>36</v>
      </c>
      <c r="S1964" s="12" t="s">
        <v>36</v>
      </c>
      <c r="T1964" s="12" t="s">
        <v>5302</v>
      </c>
      <c r="U1964" s="12" t="s">
        <v>74</v>
      </c>
      <c r="V1964" s="12" t="s">
        <v>75</v>
      </c>
      <c r="W1964" s="12" t="s">
        <v>11197</v>
      </c>
      <c r="X1964" s="16" t="s">
        <v>11198</v>
      </c>
      <c r="Y1964" s="15" t="s">
        <v>108</v>
      </c>
      <c r="Z1964" s="14">
        <v>2.02</v>
      </c>
      <c r="AA1964" s="14">
        <v>3.28</v>
      </c>
      <c r="AB1964" s="12" t="s">
        <v>43</v>
      </c>
      <c r="AC1964" s="12" t="s">
        <v>11199</v>
      </c>
      <c r="AD1964" s="13">
        <v>44803</v>
      </c>
      <c r="AE1964" s="12" t="s">
        <v>362</v>
      </c>
      <c r="AF1964" s="12" t="s">
        <v>250</v>
      </c>
      <c r="AG1964" s="12" t="s">
        <v>1479</v>
      </c>
      <c r="AH1964" s="1">
        <f>HYPERLINK("https://my.pitchbook.com?c=204068-53T","View Company Online")</f>
      </c>
    </row>
    <row r="1965">
      <c r="A1965" s="3" t="s">
        <v>11200</v>
      </c>
      <c r="B1965" s="3" t="s">
        <v>11201</v>
      </c>
      <c r="C1965" s="5" t="s">
        <v>36</v>
      </c>
      <c r="D1965" s="5" t="s">
        <v>36</v>
      </c>
      <c r="E1965" s="5" t="s">
        <v>36</v>
      </c>
      <c r="F1965" s="5" t="s">
        <v>36</v>
      </c>
      <c r="G1965" s="6" t="s">
        <v>326</v>
      </c>
      <c r="H1965" s="4" t="s">
        <v>36</v>
      </c>
      <c r="I1965" s="7">
        <v>42.85</v>
      </c>
      <c r="J1965" s="3" t="s">
        <v>521</v>
      </c>
      <c r="K1965" s="9" t="s">
        <v>36</v>
      </c>
      <c r="L1965" s="6" t="s">
        <v>122</v>
      </c>
      <c r="M1965" s="3" t="s">
        <v>36</v>
      </c>
      <c r="N1965" s="3" t="s">
        <v>122</v>
      </c>
      <c r="O1965" s="8" t="s">
        <v>36</v>
      </c>
      <c r="P1965" s="3" t="s">
        <v>36</v>
      </c>
      <c r="Q1965" s="3" t="s">
        <v>36</v>
      </c>
      <c r="R1965" s="3" t="s">
        <v>36</v>
      </c>
      <c r="S1965" s="3" t="s">
        <v>36</v>
      </c>
      <c r="T1965" s="3" t="s">
        <v>7415</v>
      </c>
      <c r="U1965" s="3" t="s">
        <v>38</v>
      </c>
      <c r="V1965" s="3" t="s">
        <v>39</v>
      </c>
      <c r="W1965" s="3" t="s">
        <v>11202</v>
      </c>
      <c r="X1965" s="10" t="s">
        <v>11203</v>
      </c>
      <c r="Y1965" s="6" t="s">
        <v>192</v>
      </c>
      <c r="Z1965" s="4">
        <v>3.95</v>
      </c>
      <c r="AA1965" s="4">
        <v>9.21</v>
      </c>
      <c r="AB1965" s="3" t="s">
        <v>56</v>
      </c>
      <c r="AC1965" s="3" t="s">
        <v>11204</v>
      </c>
      <c r="AD1965" s="9">
        <v>44803</v>
      </c>
      <c r="AE1965" s="3" t="s">
        <v>1422</v>
      </c>
      <c r="AF1965" s="3" t="s">
        <v>5177</v>
      </c>
      <c r="AG1965" s="3" t="s">
        <v>81</v>
      </c>
      <c r="AH1965" s="11">
        <f>HYPERLINK("https://my.pitchbook.com?c=209775-70T","View Company Online")</f>
      </c>
    </row>
    <row r="1966">
      <c r="A1966" s="12" t="s">
        <v>11205</v>
      </c>
      <c r="B1966" s="12" t="s">
        <v>11206</v>
      </c>
      <c r="C1966" s="19" t="s">
        <v>36</v>
      </c>
      <c r="D1966" s="19" t="s">
        <v>36</v>
      </c>
      <c r="E1966" s="19" t="s">
        <v>36</v>
      </c>
      <c r="F1966" s="19" t="s">
        <v>36</v>
      </c>
      <c r="G1966" s="15" t="s">
        <v>36</v>
      </c>
      <c r="H1966" s="14">
        <v>314.58</v>
      </c>
      <c r="I1966" s="18">
        <v>13.66</v>
      </c>
      <c r="J1966" s="12" t="s">
        <v>521</v>
      </c>
      <c r="K1966" s="13" t="s">
        <v>36</v>
      </c>
      <c r="L1966" s="15" t="s">
        <v>36</v>
      </c>
      <c r="M1966" s="12" t="s">
        <v>36</v>
      </c>
      <c r="N1966" s="12" t="s">
        <v>36</v>
      </c>
      <c r="O1966" s="17" t="s">
        <v>36</v>
      </c>
      <c r="P1966" s="12" t="s">
        <v>36</v>
      </c>
      <c r="Q1966" s="12" t="s">
        <v>36</v>
      </c>
      <c r="R1966" s="12" t="s">
        <v>36</v>
      </c>
      <c r="S1966" s="12" t="s">
        <v>36</v>
      </c>
      <c r="T1966" s="12" t="s">
        <v>11207</v>
      </c>
      <c r="U1966" s="12" t="s">
        <v>648</v>
      </c>
      <c r="V1966" s="12" t="s">
        <v>64</v>
      </c>
      <c r="W1966" s="12" t="s">
        <v>11208</v>
      </c>
      <c r="X1966" s="16" t="s">
        <v>11209</v>
      </c>
      <c r="Y1966" s="15" t="s">
        <v>55</v>
      </c>
      <c r="Z1966" s="14">
        <v>6.98</v>
      </c>
      <c r="AA1966" s="14">
        <v>50.49</v>
      </c>
      <c r="AB1966" s="12" t="s">
        <v>43</v>
      </c>
      <c r="AC1966" s="12" t="s">
        <v>11210</v>
      </c>
      <c r="AD1966" s="13">
        <v>44803</v>
      </c>
      <c r="AE1966" s="12" t="s">
        <v>1897</v>
      </c>
      <c r="AF1966" s="12" t="s">
        <v>1115</v>
      </c>
      <c r="AG1966" s="12" t="s">
        <v>81</v>
      </c>
      <c r="AH1966" s="1">
        <f>HYPERLINK("https://my.pitchbook.com?c=203626-36T","View Company Online")</f>
      </c>
    </row>
    <row r="1967">
      <c r="A1967" s="3" t="s">
        <v>11211</v>
      </c>
      <c r="B1967" s="3" t="s">
        <v>2866</v>
      </c>
      <c r="C1967" s="5" t="s">
        <v>36</v>
      </c>
      <c r="D1967" s="5" t="s">
        <v>36</v>
      </c>
      <c r="E1967" s="5" t="s">
        <v>36</v>
      </c>
      <c r="F1967" s="5" t="s">
        <v>36</v>
      </c>
      <c r="G1967" s="6" t="s">
        <v>326</v>
      </c>
      <c r="H1967" s="4">
        <v>13.19</v>
      </c>
      <c r="I1967" s="7">
        <v>36.22</v>
      </c>
      <c r="J1967" s="3" t="s">
        <v>521</v>
      </c>
      <c r="K1967" s="9" t="s">
        <v>36</v>
      </c>
      <c r="L1967" s="6" t="s">
        <v>36</v>
      </c>
      <c r="M1967" s="3" t="s">
        <v>36</v>
      </c>
      <c r="N1967" s="3" t="s">
        <v>36</v>
      </c>
      <c r="O1967" s="8" t="s">
        <v>36</v>
      </c>
      <c r="P1967" s="3" t="s">
        <v>36</v>
      </c>
      <c r="Q1967" s="3" t="s">
        <v>36</v>
      </c>
      <c r="R1967" s="3" t="s">
        <v>36</v>
      </c>
      <c r="S1967" s="3" t="s">
        <v>36</v>
      </c>
      <c r="T1967" s="3" t="s">
        <v>2867</v>
      </c>
      <c r="U1967" s="3" t="s">
        <v>423</v>
      </c>
      <c r="V1967" s="3" t="s">
        <v>64</v>
      </c>
      <c r="W1967" s="3" t="s">
        <v>2868</v>
      </c>
      <c r="X1967" s="10" t="s">
        <v>2869</v>
      </c>
      <c r="Y1967" s="6" t="s">
        <v>42</v>
      </c>
      <c r="Z1967" s="4">
        <v>4.05</v>
      </c>
      <c r="AA1967" s="4">
        <v>8.49</v>
      </c>
      <c r="AB1967" s="3" t="s">
        <v>43</v>
      </c>
      <c r="AC1967" s="3" t="s">
        <v>2870</v>
      </c>
      <c r="AD1967" s="9">
        <v>44802</v>
      </c>
      <c r="AE1967" s="3" t="s">
        <v>2871</v>
      </c>
      <c r="AF1967" s="3" t="s">
        <v>90</v>
      </c>
      <c r="AG1967" s="3" t="s">
        <v>81</v>
      </c>
      <c r="AH1967" s="11">
        <f>HYPERLINK("https://my.pitchbook.com?c=226027-00T","View Company Online")</f>
      </c>
    </row>
    <row r="1968">
      <c r="A1968" s="12" t="s">
        <v>11212</v>
      </c>
      <c r="B1968" s="12" t="s">
        <v>11213</v>
      </c>
      <c r="C1968" s="19" t="s">
        <v>36</v>
      </c>
      <c r="D1968" s="19" t="s">
        <v>36</v>
      </c>
      <c r="E1968" s="19" t="s">
        <v>36</v>
      </c>
      <c r="F1968" s="19" t="s">
        <v>36</v>
      </c>
      <c r="G1968" s="15" t="s">
        <v>683</v>
      </c>
      <c r="H1968" s="14">
        <v>43.83</v>
      </c>
      <c r="I1968" s="18">
        <v>6.36</v>
      </c>
      <c r="J1968" s="12" t="s">
        <v>521</v>
      </c>
      <c r="K1968" s="13" t="s">
        <v>36</v>
      </c>
      <c r="L1968" s="15" t="s">
        <v>36</v>
      </c>
      <c r="M1968" s="12" t="s">
        <v>36</v>
      </c>
      <c r="N1968" s="12" t="s">
        <v>36</v>
      </c>
      <c r="O1968" s="17" t="s">
        <v>36</v>
      </c>
      <c r="P1968" s="12" t="s">
        <v>36</v>
      </c>
      <c r="Q1968" s="12" t="s">
        <v>36</v>
      </c>
      <c r="R1968" s="12" t="s">
        <v>36</v>
      </c>
      <c r="S1968" s="12" t="s">
        <v>36</v>
      </c>
      <c r="T1968" s="12" t="s">
        <v>11214</v>
      </c>
      <c r="U1968" s="12" t="s">
        <v>38</v>
      </c>
      <c r="V1968" s="12" t="s">
        <v>39</v>
      </c>
      <c r="W1968" s="12" t="s">
        <v>11215</v>
      </c>
      <c r="X1968" s="16" t="s">
        <v>11216</v>
      </c>
      <c r="Y1968" s="15" t="s">
        <v>192</v>
      </c>
      <c r="Z1968" s="14">
        <v>0.51</v>
      </c>
      <c r="AA1968" s="14">
        <v>7.98</v>
      </c>
      <c r="AB1968" s="12" t="s">
        <v>56</v>
      </c>
      <c r="AC1968" s="12" t="s">
        <v>11217</v>
      </c>
      <c r="AD1968" s="13">
        <v>44799</v>
      </c>
      <c r="AE1968" s="12" t="s">
        <v>1422</v>
      </c>
      <c r="AF1968" s="12" t="s">
        <v>7239</v>
      </c>
      <c r="AG1968" s="12" t="s">
        <v>2618</v>
      </c>
      <c r="AH1968" s="1">
        <f>HYPERLINK("https://my.pitchbook.com?c=203590-18T","View Company Online")</f>
      </c>
    </row>
    <row r="1969">
      <c r="A1969" s="3" t="s">
        <v>11218</v>
      </c>
      <c r="B1969" s="3" t="s">
        <v>954</v>
      </c>
      <c r="C1969" s="5" t="s">
        <v>36</v>
      </c>
      <c r="D1969" s="5" t="s">
        <v>36</v>
      </c>
      <c r="E1969" s="5" t="s">
        <v>36</v>
      </c>
      <c r="F1969" s="5" t="s">
        <v>36</v>
      </c>
      <c r="G1969" s="6" t="s">
        <v>36</v>
      </c>
      <c r="H1969" s="4" t="s">
        <v>36</v>
      </c>
      <c r="I1969" s="7" t="s">
        <v>36</v>
      </c>
      <c r="J1969" s="3" t="s">
        <v>36</v>
      </c>
      <c r="K1969" s="9">
        <v>44714</v>
      </c>
      <c r="L1969" s="6" t="s">
        <v>122</v>
      </c>
      <c r="M1969" s="3" t="s">
        <v>36</v>
      </c>
      <c r="N1969" s="3" t="s">
        <v>122</v>
      </c>
      <c r="O1969" s="8" t="s">
        <v>36</v>
      </c>
      <c r="P1969" s="3" t="s">
        <v>36</v>
      </c>
      <c r="Q1969" s="3" t="s">
        <v>36</v>
      </c>
      <c r="R1969" s="3" t="s">
        <v>36</v>
      </c>
      <c r="S1969" s="3" t="s">
        <v>36</v>
      </c>
      <c r="T1969" s="3" t="s">
        <v>955</v>
      </c>
      <c r="U1969" s="3" t="s">
        <v>956</v>
      </c>
      <c r="V1969" s="3" t="s">
        <v>405</v>
      </c>
      <c r="W1969" s="3" t="s">
        <v>957</v>
      </c>
      <c r="X1969" s="10" t="s">
        <v>11219</v>
      </c>
      <c r="Y1969" s="6" t="s">
        <v>108</v>
      </c>
      <c r="Z1969" s="4">
        <v>15.26</v>
      </c>
      <c r="AA1969" s="4" t="s">
        <v>36</v>
      </c>
      <c r="AB1969" s="3" t="s">
        <v>43</v>
      </c>
      <c r="AC1969" s="3" t="s">
        <v>959</v>
      </c>
      <c r="AD1969" s="9">
        <v>44797</v>
      </c>
      <c r="AE1969" s="3" t="s">
        <v>960</v>
      </c>
      <c r="AF1969" s="3" t="s">
        <v>961</v>
      </c>
      <c r="AG1969" s="3" t="s">
        <v>962</v>
      </c>
      <c r="AH1969" s="11">
        <f>HYPERLINK("https://my.pitchbook.com?c=195331-96T","View Company Online")</f>
      </c>
    </row>
    <row r="1970">
      <c r="A1970" s="12" t="s">
        <v>11220</v>
      </c>
      <c r="B1970" s="12" t="s">
        <v>11221</v>
      </c>
      <c r="C1970" s="19" t="s">
        <v>36</v>
      </c>
      <c r="D1970" s="19" t="s">
        <v>36</v>
      </c>
      <c r="E1970" s="19" t="s">
        <v>36</v>
      </c>
      <c r="F1970" s="19" t="s">
        <v>36</v>
      </c>
      <c r="G1970" s="15" t="s">
        <v>36</v>
      </c>
      <c r="H1970" s="14" t="s">
        <v>36</v>
      </c>
      <c r="I1970" s="18" t="s">
        <v>36</v>
      </c>
      <c r="J1970" s="12" t="s">
        <v>36</v>
      </c>
      <c r="K1970" s="13" t="s">
        <v>36</v>
      </c>
      <c r="L1970" s="15" t="s">
        <v>36</v>
      </c>
      <c r="M1970" s="12" t="s">
        <v>36</v>
      </c>
      <c r="N1970" s="12" t="s">
        <v>36</v>
      </c>
      <c r="O1970" s="17" t="s">
        <v>36</v>
      </c>
      <c r="P1970" s="12" t="s">
        <v>36</v>
      </c>
      <c r="Q1970" s="12" t="s">
        <v>36</v>
      </c>
      <c r="R1970" s="12" t="s">
        <v>36</v>
      </c>
      <c r="S1970" s="12" t="s">
        <v>2314</v>
      </c>
      <c r="T1970" s="12" t="s">
        <v>11222</v>
      </c>
      <c r="U1970" s="12" t="s">
        <v>438</v>
      </c>
      <c r="V1970" s="12" t="s">
        <v>405</v>
      </c>
      <c r="W1970" s="12" t="s">
        <v>11223</v>
      </c>
      <c r="X1970" s="16" t="s">
        <v>11224</v>
      </c>
      <c r="Y1970" s="15" t="s">
        <v>42</v>
      </c>
      <c r="Z1970" s="14" t="s">
        <v>36</v>
      </c>
      <c r="AA1970" s="14" t="s">
        <v>36</v>
      </c>
      <c r="AB1970" s="12" t="s">
        <v>43</v>
      </c>
      <c r="AC1970" s="12" t="s">
        <v>11225</v>
      </c>
      <c r="AD1970" s="13">
        <v>44795</v>
      </c>
      <c r="AE1970" s="12" t="s">
        <v>438</v>
      </c>
      <c r="AF1970" s="12" t="s">
        <v>799</v>
      </c>
      <c r="AG1970" s="12" t="s">
        <v>81</v>
      </c>
      <c r="AH1970" s="1">
        <f>HYPERLINK("https://my.pitchbook.com?c=215696-53T","View Company Online")</f>
      </c>
    </row>
    <row r="1971">
      <c r="A1971" s="3" t="s">
        <v>11226</v>
      </c>
      <c r="B1971" s="3" t="s">
        <v>11227</v>
      </c>
      <c r="C1971" s="5">
        <v>15</v>
      </c>
      <c r="D1971" s="5">
        <v>11</v>
      </c>
      <c r="E1971" s="5">
        <v>6</v>
      </c>
      <c r="F1971" s="5">
        <v>26</v>
      </c>
      <c r="G1971" s="6" t="s">
        <v>683</v>
      </c>
      <c r="H1971" s="4">
        <v>211.72</v>
      </c>
      <c r="I1971" s="7">
        <v>71.98</v>
      </c>
      <c r="J1971" s="3" t="s">
        <v>521</v>
      </c>
      <c r="K1971" s="9" t="s">
        <v>36</v>
      </c>
      <c r="L1971" s="6" t="s">
        <v>122</v>
      </c>
      <c r="M1971" s="3" t="s">
        <v>36</v>
      </c>
      <c r="N1971" s="3" t="s">
        <v>122</v>
      </c>
      <c r="O1971" s="8" t="s">
        <v>36</v>
      </c>
      <c r="P1971" s="3" t="s">
        <v>36</v>
      </c>
      <c r="Q1971" s="3" t="s">
        <v>36</v>
      </c>
      <c r="R1971" s="3" t="s">
        <v>36</v>
      </c>
      <c r="S1971" s="3" t="s">
        <v>36</v>
      </c>
      <c r="T1971" s="3" t="s">
        <v>618</v>
      </c>
      <c r="U1971" s="3" t="s">
        <v>619</v>
      </c>
      <c r="V1971" s="3" t="s">
        <v>378</v>
      </c>
      <c r="W1971" s="3" t="s">
        <v>11228</v>
      </c>
      <c r="X1971" s="10" t="s">
        <v>11229</v>
      </c>
      <c r="Y1971" s="6" t="s">
        <v>55</v>
      </c>
      <c r="Z1971" s="4">
        <v>11.23</v>
      </c>
      <c r="AA1971" s="4">
        <v>15.6</v>
      </c>
      <c r="AB1971" s="3" t="s">
        <v>56</v>
      </c>
      <c r="AC1971" s="3" t="s">
        <v>11230</v>
      </c>
      <c r="AD1971" s="9">
        <v>44791</v>
      </c>
      <c r="AE1971" s="3" t="s">
        <v>623</v>
      </c>
      <c r="AF1971" s="3" t="s">
        <v>2673</v>
      </c>
      <c r="AG1971" s="3" t="s">
        <v>81</v>
      </c>
      <c r="AH1971" s="11">
        <f>HYPERLINK("https://my.pitchbook.com?c=203614-48T","View Company Online")</f>
      </c>
    </row>
    <row r="1972">
      <c r="A1972" s="12" t="s">
        <v>11231</v>
      </c>
      <c r="B1972" s="12" t="s">
        <v>11232</v>
      </c>
      <c r="C1972" s="19">
        <v>6</v>
      </c>
      <c r="D1972" s="19">
        <v>9</v>
      </c>
      <c r="E1972" s="19">
        <v>8</v>
      </c>
      <c r="F1972" s="19">
        <v>17</v>
      </c>
      <c r="G1972" s="15" t="s">
        <v>36</v>
      </c>
      <c r="H1972" s="14">
        <v>8.65</v>
      </c>
      <c r="I1972" s="18">
        <v>18.03</v>
      </c>
      <c r="J1972" s="12" t="s">
        <v>521</v>
      </c>
      <c r="K1972" s="13" t="s">
        <v>36</v>
      </c>
      <c r="L1972" s="15" t="s">
        <v>36</v>
      </c>
      <c r="M1972" s="12" t="s">
        <v>36</v>
      </c>
      <c r="N1972" s="12" t="s">
        <v>36</v>
      </c>
      <c r="O1972" s="17" t="s">
        <v>36</v>
      </c>
      <c r="P1972" s="12" t="s">
        <v>36</v>
      </c>
      <c r="Q1972" s="12" t="s">
        <v>36</v>
      </c>
      <c r="R1972" s="12" t="s">
        <v>36</v>
      </c>
      <c r="S1972" s="12" t="s">
        <v>11233</v>
      </c>
      <c r="T1972" s="12" t="s">
        <v>11234</v>
      </c>
      <c r="U1972" s="12" t="s">
        <v>728</v>
      </c>
      <c r="V1972" s="12" t="s">
        <v>64</v>
      </c>
      <c r="W1972" s="12" t="s">
        <v>11235</v>
      </c>
      <c r="X1972" s="16" t="s">
        <v>11236</v>
      </c>
      <c r="Y1972" s="15" t="s">
        <v>108</v>
      </c>
      <c r="Z1972" s="14">
        <v>2.24</v>
      </c>
      <c r="AA1972" s="14">
        <v>12.45</v>
      </c>
      <c r="AB1972" s="12" t="s">
        <v>56</v>
      </c>
      <c r="AC1972" s="12" t="s">
        <v>11237</v>
      </c>
      <c r="AD1972" s="13">
        <v>44790</v>
      </c>
      <c r="AE1972" s="12" t="s">
        <v>732</v>
      </c>
      <c r="AF1972" s="12" t="s">
        <v>11238</v>
      </c>
      <c r="AG1972" s="12" t="s">
        <v>270</v>
      </c>
      <c r="AH1972" s="1">
        <f>HYPERLINK("https://my.pitchbook.com?c=203523-94T","View Company Online")</f>
      </c>
    </row>
    <row r="1973">
      <c r="A1973" s="3" t="s">
        <v>11239</v>
      </c>
      <c r="B1973" s="3" t="s">
        <v>11240</v>
      </c>
      <c r="C1973" s="5" t="s">
        <v>36</v>
      </c>
      <c r="D1973" s="5" t="s">
        <v>36</v>
      </c>
      <c r="E1973" s="5" t="s">
        <v>36</v>
      </c>
      <c r="F1973" s="5" t="s">
        <v>36</v>
      </c>
      <c r="G1973" s="6" t="s">
        <v>36</v>
      </c>
      <c r="H1973" s="4" t="s">
        <v>36</v>
      </c>
      <c r="I1973" s="7" t="s">
        <v>36</v>
      </c>
      <c r="J1973" s="3" t="s">
        <v>36</v>
      </c>
      <c r="K1973" s="9" t="s">
        <v>36</v>
      </c>
      <c r="L1973" s="6" t="s">
        <v>36</v>
      </c>
      <c r="M1973" s="3" t="s">
        <v>36</v>
      </c>
      <c r="N1973" s="3" t="s">
        <v>36</v>
      </c>
      <c r="O1973" s="8" t="s">
        <v>36</v>
      </c>
      <c r="P1973" s="3" t="s">
        <v>36</v>
      </c>
      <c r="Q1973" s="3" t="s">
        <v>36</v>
      </c>
      <c r="R1973" s="3" t="s">
        <v>36</v>
      </c>
      <c r="S1973" s="3" t="s">
        <v>36</v>
      </c>
      <c r="T1973" s="3" t="s">
        <v>11241</v>
      </c>
      <c r="U1973" s="3" t="s">
        <v>279</v>
      </c>
      <c r="V1973" s="3" t="s">
        <v>64</v>
      </c>
      <c r="W1973" s="3" t="s">
        <v>11242</v>
      </c>
      <c r="X1973" s="10" t="s">
        <v>3074</v>
      </c>
      <c r="Y1973" s="6" t="s">
        <v>42</v>
      </c>
      <c r="Z1973" s="4">
        <v>0.92</v>
      </c>
      <c r="AA1973" s="4" t="s">
        <v>36</v>
      </c>
      <c r="AB1973" s="3" t="s">
        <v>56</v>
      </c>
      <c r="AC1973" s="3" t="s">
        <v>11243</v>
      </c>
      <c r="AD1973" s="9">
        <v>44789</v>
      </c>
      <c r="AE1973" s="3" t="s">
        <v>283</v>
      </c>
      <c r="AF1973" s="3" t="s">
        <v>468</v>
      </c>
      <c r="AG1973" s="3" t="s">
        <v>81</v>
      </c>
      <c r="AH1973" s="11">
        <f>HYPERLINK("https://my.pitchbook.com?c=201842-74T","View Company Online")</f>
      </c>
    </row>
    <row r="1974">
      <c r="A1974" s="12" t="s">
        <v>11244</v>
      </c>
      <c r="B1974" s="12" t="s">
        <v>11245</v>
      </c>
      <c r="C1974" s="19" t="s">
        <v>36</v>
      </c>
      <c r="D1974" s="19" t="s">
        <v>36</v>
      </c>
      <c r="E1974" s="19" t="s">
        <v>36</v>
      </c>
      <c r="F1974" s="19" t="s">
        <v>36</v>
      </c>
      <c r="G1974" s="15" t="s">
        <v>36</v>
      </c>
      <c r="H1974" s="14" t="s">
        <v>36</v>
      </c>
      <c r="I1974" s="18" t="s">
        <v>36</v>
      </c>
      <c r="J1974" s="12" t="s">
        <v>36</v>
      </c>
      <c r="K1974" s="13" t="s">
        <v>36</v>
      </c>
      <c r="L1974" s="15" t="s">
        <v>36</v>
      </c>
      <c r="M1974" s="12" t="s">
        <v>36</v>
      </c>
      <c r="N1974" s="12" t="s">
        <v>36</v>
      </c>
      <c r="O1974" s="17" t="s">
        <v>36</v>
      </c>
      <c r="P1974" s="12" t="s">
        <v>36</v>
      </c>
      <c r="Q1974" s="12" t="s">
        <v>36</v>
      </c>
      <c r="R1974" s="12" t="s">
        <v>36</v>
      </c>
      <c r="S1974" s="12" t="s">
        <v>36</v>
      </c>
      <c r="T1974" s="12" t="s">
        <v>11246</v>
      </c>
      <c r="U1974" s="12" t="s">
        <v>38</v>
      </c>
      <c r="V1974" s="12" t="s">
        <v>39</v>
      </c>
      <c r="W1974" s="12" t="s">
        <v>11247</v>
      </c>
      <c r="X1974" s="16" t="s">
        <v>11248</v>
      </c>
      <c r="Y1974" s="15" t="s">
        <v>42</v>
      </c>
      <c r="Z1974" s="14">
        <v>0.1</v>
      </c>
      <c r="AA1974" s="14" t="s">
        <v>36</v>
      </c>
      <c r="AB1974" s="12" t="s">
        <v>43</v>
      </c>
      <c r="AC1974" s="12" t="s">
        <v>11249</v>
      </c>
      <c r="AD1974" s="13">
        <v>44788</v>
      </c>
      <c r="AE1974" s="12" t="s">
        <v>110</v>
      </c>
      <c r="AF1974" s="12" t="s">
        <v>11250</v>
      </c>
      <c r="AG1974" s="12" t="s">
        <v>4416</v>
      </c>
      <c r="AH1974" s="1">
        <f>HYPERLINK("https://my.pitchbook.com?c=203202-55T","View Company Online")</f>
      </c>
    </row>
    <row r="1975">
      <c r="A1975" s="3" t="s">
        <v>11251</v>
      </c>
      <c r="B1975" s="3" t="s">
        <v>11252</v>
      </c>
      <c r="C1975" s="5">
        <v>17</v>
      </c>
      <c r="D1975" s="5">
        <v>17</v>
      </c>
      <c r="E1975" s="5">
        <v>14</v>
      </c>
      <c r="F1975" s="5">
        <v>58</v>
      </c>
      <c r="G1975" s="6" t="s">
        <v>36</v>
      </c>
      <c r="H1975" s="4">
        <v>3.69</v>
      </c>
      <c r="I1975" s="7">
        <v>39.03</v>
      </c>
      <c r="J1975" s="3" t="s">
        <v>521</v>
      </c>
      <c r="K1975" s="9" t="s">
        <v>36</v>
      </c>
      <c r="L1975" s="6" t="s">
        <v>36</v>
      </c>
      <c r="M1975" s="3" t="s">
        <v>36</v>
      </c>
      <c r="N1975" s="3" t="s">
        <v>36</v>
      </c>
      <c r="O1975" s="8" t="s">
        <v>36</v>
      </c>
      <c r="P1975" s="3" t="s">
        <v>36</v>
      </c>
      <c r="Q1975" s="3" t="s">
        <v>36</v>
      </c>
      <c r="R1975" s="3" t="s">
        <v>36</v>
      </c>
      <c r="S1975" s="3" t="s">
        <v>36</v>
      </c>
      <c r="T1975" s="3" t="s">
        <v>881</v>
      </c>
      <c r="U1975" s="3" t="s">
        <v>51</v>
      </c>
      <c r="V1975" s="3" t="s">
        <v>52</v>
      </c>
      <c r="W1975" s="3" t="s">
        <v>11253</v>
      </c>
      <c r="X1975" s="10" t="s">
        <v>4018</v>
      </c>
      <c r="Y1975" s="6" t="s">
        <v>42</v>
      </c>
      <c r="Z1975" s="4">
        <v>16.86</v>
      </c>
      <c r="AA1975" s="4">
        <v>43.19</v>
      </c>
      <c r="AB1975" s="3" t="s">
        <v>56</v>
      </c>
      <c r="AC1975" s="3" t="s">
        <v>11254</v>
      </c>
      <c r="AD1975" s="9">
        <v>44785</v>
      </c>
      <c r="AE1975" s="3" t="s">
        <v>504</v>
      </c>
      <c r="AF1975" s="3" t="s">
        <v>665</v>
      </c>
      <c r="AG1975" s="3" t="s">
        <v>81</v>
      </c>
      <c r="AH1975" s="11">
        <f>HYPERLINK("https://my.pitchbook.com?c=216029-17T","View Company Online")</f>
      </c>
    </row>
    <row r="1976">
      <c r="A1976" s="12" t="s">
        <v>11255</v>
      </c>
      <c r="B1976" s="12" t="s">
        <v>11256</v>
      </c>
      <c r="C1976" s="19" t="s">
        <v>36</v>
      </c>
      <c r="D1976" s="19" t="s">
        <v>36</v>
      </c>
      <c r="E1976" s="19" t="s">
        <v>36</v>
      </c>
      <c r="F1976" s="19" t="s">
        <v>36</v>
      </c>
      <c r="G1976" s="15" t="s">
        <v>36</v>
      </c>
      <c r="H1976" s="14">
        <v>6.79</v>
      </c>
      <c r="I1976" s="18">
        <v>27.28</v>
      </c>
      <c r="J1976" s="12" t="s">
        <v>521</v>
      </c>
      <c r="K1976" s="13" t="s">
        <v>36</v>
      </c>
      <c r="L1976" s="15" t="s">
        <v>36</v>
      </c>
      <c r="M1976" s="12" t="s">
        <v>36</v>
      </c>
      <c r="N1976" s="12" t="s">
        <v>36</v>
      </c>
      <c r="O1976" s="17" t="s">
        <v>36</v>
      </c>
      <c r="P1976" s="12" t="s">
        <v>36</v>
      </c>
      <c r="Q1976" s="12" t="s">
        <v>36</v>
      </c>
      <c r="R1976" s="12" t="s">
        <v>36</v>
      </c>
      <c r="S1976" s="12" t="s">
        <v>36</v>
      </c>
      <c r="T1976" s="12" t="s">
        <v>11257</v>
      </c>
      <c r="U1976" s="12" t="s">
        <v>438</v>
      </c>
      <c r="V1976" s="12" t="s">
        <v>405</v>
      </c>
      <c r="W1976" s="12" t="s">
        <v>11258</v>
      </c>
      <c r="X1976" s="16" t="s">
        <v>11259</v>
      </c>
      <c r="Y1976" s="15" t="s">
        <v>42</v>
      </c>
      <c r="Z1976" s="14">
        <v>2.41</v>
      </c>
      <c r="AA1976" s="14">
        <v>8.85</v>
      </c>
      <c r="AB1976" s="12" t="s">
        <v>43</v>
      </c>
      <c r="AC1976" s="12" t="s">
        <v>11260</v>
      </c>
      <c r="AD1976" s="13">
        <v>44784</v>
      </c>
      <c r="AE1976" s="12" t="s">
        <v>11261</v>
      </c>
      <c r="AF1976" s="12" t="s">
        <v>36</v>
      </c>
      <c r="AG1976" s="12" t="s">
        <v>47</v>
      </c>
      <c r="AH1976" s="1">
        <f>HYPERLINK("https://my.pitchbook.com?c=277907-95T","View Company Online")</f>
      </c>
    </row>
    <row r="1977">
      <c r="A1977" s="3" t="s">
        <v>11262</v>
      </c>
      <c r="B1977" s="3" t="s">
        <v>11263</v>
      </c>
      <c r="C1977" s="5" t="s">
        <v>36</v>
      </c>
      <c r="D1977" s="5">
        <v>7</v>
      </c>
      <c r="E1977" s="5">
        <v>2</v>
      </c>
      <c r="F1977" s="5">
        <v>8</v>
      </c>
      <c r="G1977" s="6" t="s">
        <v>36</v>
      </c>
      <c r="H1977" s="4">
        <v>63.49</v>
      </c>
      <c r="I1977" s="7">
        <v>32.32</v>
      </c>
      <c r="J1977" s="3" t="s">
        <v>521</v>
      </c>
      <c r="K1977" s="9">
        <v>44774</v>
      </c>
      <c r="L1977" s="6" t="s">
        <v>36</v>
      </c>
      <c r="M1977" s="3" t="s">
        <v>36</v>
      </c>
      <c r="N1977" s="3" t="s">
        <v>36</v>
      </c>
      <c r="O1977" s="8" t="s">
        <v>36</v>
      </c>
      <c r="P1977" s="3" t="s">
        <v>36</v>
      </c>
      <c r="Q1977" s="3" t="s">
        <v>36</v>
      </c>
      <c r="R1977" s="3" t="s">
        <v>36</v>
      </c>
      <c r="S1977" s="3" t="s">
        <v>11264</v>
      </c>
      <c r="T1977" s="3" t="s">
        <v>588</v>
      </c>
      <c r="U1977" s="3" t="s">
        <v>318</v>
      </c>
      <c r="V1977" s="3" t="s">
        <v>39</v>
      </c>
      <c r="W1977" s="3" t="s">
        <v>11265</v>
      </c>
      <c r="X1977" s="10" t="s">
        <v>11266</v>
      </c>
      <c r="Y1977" s="6" t="s">
        <v>55</v>
      </c>
      <c r="Z1977" s="4">
        <v>5.44</v>
      </c>
      <c r="AA1977" s="4">
        <v>16.84</v>
      </c>
      <c r="AB1977" s="3" t="s">
        <v>56</v>
      </c>
      <c r="AC1977" s="3" t="s">
        <v>11267</v>
      </c>
      <c r="AD1977" s="9">
        <v>44784</v>
      </c>
      <c r="AE1977" s="3" t="s">
        <v>417</v>
      </c>
      <c r="AF1977" s="3" t="s">
        <v>592</v>
      </c>
      <c r="AG1977" s="3" t="s">
        <v>11268</v>
      </c>
      <c r="AH1977" s="11">
        <f>HYPERLINK("https://my.pitchbook.com?c=203680-09T","View Company Online")</f>
      </c>
    </row>
    <row r="1978">
      <c r="A1978" s="12" t="s">
        <v>11269</v>
      </c>
      <c r="B1978" s="12" t="s">
        <v>5651</v>
      </c>
      <c r="C1978" s="19" t="s">
        <v>36</v>
      </c>
      <c r="D1978" s="19" t="s">
        <v>36</v>
      </c>
      <c r="E1978" s="19" t="s">
        <v>36</v>
      </c>
      <c r="F1978" s="19" t="s">
        <v>36</v>
      </c>
      <c r="G1978" s="15" t="s">
        <v>326</v>
      </c>
      <c r="H1978" s="14" t="s">
        <v>36</v>
      </c>
      <c r="I1978" s="18" t="s">
        <v>36</v>
      </c>
      <c r="J1978" s="12" t="s">
        <v>521</v>
      </c>
      <c r="K1978" s="13" t="s">
        <v>36</v>
      </c>
      <c r="L1978" s="15" t="s">
        <v>4010</v>
      </c>
      <c r="M1978" s="12" t="s">
        <v>36</v>
      </c>
      <c r="N1978" s="12" t="s">
        <v>4010</v>
      </c>
      <c r="O1978" s="17" t="s">
        <v>36</v>
      </c>
      <c r="P1978" s="12" t="s">
        <v>36</v>
      </c>
      <c r="Q1978" s="12" t="s">
        <v>36</v>
      </c>
      <c r="R1978" s="12" t="s">
        <v>36</v>
      </c>
      <c r="S1978" s="12" t="s">
        <v>5652</v>
      </c>
      <c r="T1978" s="12" t="s">
        <v>253</v>
      </c>
      <c r="U1978" s="12" t="s">
        <v>38</v>
      </c>
      <c r="V1978" s="12" t="s">
        <v>39</v>
      </c>
      <c r="W1978" s="12" t="s">
        <v>5653</v>
      </c>
      <c r="X1978" s="16" t="s">
        <v>11270</v>
      </c>
      <c r="Y1978" s="15" t="s">
        <v>108</v>
      </c>
      <c r="Z1978" s="14">
        <v>5.08</v>
      </c>
      <c r="AA1978" s="14">
        <v>22.36</v>
      </c>
      <c r="AB1978" s="12" t="s">
        <v>43</v>
      </c>
      <c r="AC1978" s="12" t="s">
        <v>5655</v>
      </c>
      <c r="AD1978" s="13">
        <v>44783</v>
      </c>
      <c r="AE1978" s="12" t="s">
        <v>110</v>
      </c>
      <c r="AF1978" s="12" t="s">
        <v>5001</v>
      </c>
      <c r="AG1978" s="12" t="s">
        <v>81</v>
      </c>
      <c r="AH1978" s="1">
        <f>HYPERLINK("https://my.pitchbook.com?c=204970-96T","View Company Online")</f>
      </c>
    </row>
    <row r="1979">
      <c r="A1979" s="3" t="s">
        <v>11271</v>
      </c>
      <c r="B1979" s="3" t="s">
        <v>11272</v>
      </c>
      <c r="C1979" s="5">
        <v>4</v>
      </c>
      <c r="D1979" s="5">
        <v>6</v>
      </c>
      <c r="E1979" s="5">
        <v>3</v>
      </c>
      <c r="F1979" s="5">
        <v>10</v>
      </c>
      <c r="G1979" s="6" t="s">
        <v>36</v>
      </c>
      <c r="H1979" s="4" t="s">
        <v>36</v>
      </c>
      <c r="I1979" s="7">
        <v>15.36</v>
      </c>
      <c r="J1979" s="3" t="s">
        <v>521</v>
      </c>
      <c r="K1979" s="9" t="s">
        <v>36</v>
      </c>
      <c r="L1979" s="6" t="s">
        <v>11273</v>
      </c>
      <c r="M1979" s="3" t="s">
        <v>36</v>
      </c>
      <c r="N1979" s="3" t="s">
        <v>11273</v>
      </c>
      <c r="O1979" s="8" t="s">
        <v>36</v>
      </c>
      <c r="P1979" s="3" t="s">
        <v>36</v>
      </c>
      <c r="Q1979" s="3" t="s">
        <v>36</v>
      </c>
      <c r="R1979" s="3" t="s">
        <v>36</v>
      </c>
      <c r="S1979" s="3" t="s">
        <v>36</v>
      </c>
      <c r="T1979" s="3" t="s">
        <v>105</v>
      </c>
      <c r="U1979" s="3" t="s">
        <v>38</v>
      </c>
      <c r="V1979" s="3" t="s">
        <v>39</v>
      </c>
      <c r="W1979" s="3" t="s">
        <v>11274</v>
      </c>
      <c r="X1979" s="10" t="s">
        <v>4677</v>
      </c>
      <c r="Y1979" s="6" t="s">
        <v>55</v>
      </c>
      <c r="Z1979" s="4">
        <v>4.37</v>
      </c>
      <c r="AA1979" s="4">
        <v>28.46</v>
      </c>
      <c r="AB1979" s="3" t="s">
        <v>43</v>
      </c>
      <c r="AC1979" s="3" t="s">
        <v>11275</v>
      </c>
      <c r="AD1979" s="9">
        <v>44782</v>
      </c>
      <c r="AE1979" s="3" t="s">
        <v>110</v>
      </c>
      <c r="AF1979" s="3" t="s">
        <v>11276</v>
      </c>
      <c r="AG1979" s="3" t="s">
        <v>81</v>
      </c>
      <c r="AH1979" s="11">
        <f>HYPERLINK("https://my.pitchbook.com?c=204971-32T","View Company Online")</f>
      </c>
    </row>
    <row r="1980">
      <c r="A1980" s="12" t="s">
        <v>11277</v>
      </c>
      <c r="B1980" s="12" t="s">
        <v>7627</v>
      </c>
      <c r="C1980" s="19">
        <v>2</v>
      </c>
      <c r="D1980" s="19" t="s">
        <v>36</v>
      </c>
      <c r="E1980" s="19">
        <v>1</v>
      </c>
      <c r="F1980" s="19">
        <v>2</v>
      </c>
      <c r="G1980" s="15" t="s">
        <v>326</v>
      </c>
      <c r="H1980" s="14">
        <v>22.85</v>
      </c>
      <c r="I1980" s="18">
        <v>42.52</v>
      </c>
      <c r="J1980" s="12" t="s">
        <v>521</v>
      </c>
      <c r="K1980" s="13" t="s">
        <v>36</v>
      </c>
      <c r="L1980" s="15" t="s">
        <v>36</v>
      </c>
      <c r="M1980" s="12" t="s">
        <v>36</v>
      </c>
      <c r="N1980" s="12" t="s">
        <v>36</v>
      </c>
      <c r="O1980" s="17" t="s">
        <v>36</v>
      </c>
      <c r="P1980" s="12" t="s">
        <v>36</v>
      </c>
      <c r="Q1980" s="12" t="s">
        <v>36</v>
      </c>
      <c r="R1980" s="12" t="s">
        <v>36</v>
      </c>
      <c r="S1980" s="12" t="s">
        <v>36</v>
      </c>
      <c r="T1980" s="12" t="s">
        <v>7628</v>
      </c>
      <c r="U1980" s="12" t="s">
        <v>74</v>
      </c>
      <c r="V1980" s="12" t="s">
        <v>75</v>
      </c>
      <c r="W1980" s="12" t="s">
        <v>7629</v>
      </c>
      <c r="X1980" s="16" t="s">
        <v>988</v>
      </c>
      <c r="Y1980" s="15" t="s">
        <v>108</v>
      </c>
      <c r="Z1980" s="14">
        <v>5.49</v>
      </c>
      <c r="AA1980" s="14">
        <v>12.91</v>
      </c>
      <c r="AB1980" s="12" t="s">
        <v>56</v>
      </c>
      <c r="AC1980" s="12" t="s">
        <v>7631</v>
      </c>
      <c r="AD1980" s="13">
        <v>44782</v>
      </c>
      <c r="AE1980" s="12" t="s">
        <v>1888</v>
      </c>
      <c r="AF1980" s="12" t="s">
        <v>7632</v>
      </c>
      <c r="AG1980" s="12" t="s">
        <v>7633</v>
      </c>
      <c r="AH1980" s="1">
        <f>HYPERLINK("https://my.pitchbook.com?c=199960-66T","View Company Online")</f>
      </c>
    </row>
    <row r="1981">
      <c r="A1981" s="3" t="s">
        <v>11278</v>
      </c>
      <c r="B1981" s="3" t="s">
        <v>11279</v>
      </c>
      <c r="C1981" s="5" t="s">
        <v>36</v>
      </c>
      <c r="D1981" s="5" t="s">
        <v>36</v>
      </c>
      <c r="E1981" s="5" t="s">
        <v>36</v>
      </c>
      <c r="F1981" s="5" t="s">
        <v>36</v>
      </c>
      <c r="G1981" s="6" t="s">
        <v>326</v>
      </c>
      <c r="H1981" s="4">
        <v>371.47</v>
      </c>
      <c r="I1981" s="7">
        <v>25</v>
      </c>
      <c r="J1981" s="3" t="s">
        <v>521</v>
      </c>
      <c r="K1981" s="9" t="s">
        <v>36</v>
      </c>
      <c r="L1981" s="6" t="s">
        <v>36</v>
      </c>
      <c r="M1981" s="3" t="s">
        <v>36</v>
      </c>
      <c r="N1981" s="3" t="s">
        <v>36</v>
      </c>
      <c r="O1981" s="8" t="s">
        <v>36</v>
      </c>
      <c r="P1981" s="3" t="s">
        <v>36</v>
      </c>
      <c r="Q1981" s="3" t="s">
        <v>36</v>
      </c>
      <c r="R1981" s="3" t="s">
        <v>36</v>
      </c>
      <c r="S1981" s="3" t="s">
        <v>11280</v>
      </c>
      <c r="T1981" s="3" t="s">
        <v>105</v>
      </c>
      <c r="U1981" s="3" t="s">
        <v>38</v>
      </c>
      <c r="V1981" s="3" t="s">
        <v>39</v>
      </c>
      <c r="W1981" s="3" t="s">
        <v>11281</v>
      </c>
      <c r="X1981" s="10" t="s">
        <v>11282</v>
      </c>
      <c r="Y1981" s="6" t="s">
        <v>108</v>
      </c>
      <c r="Z1981" s="4">
        <v>4.06</v>
      </c>
      <c r="AA1981" s="4">
        <v>12.6</v>
      </c>
      <c r="AB1981" s="3" t="s">
        <v>56</v>
      </c>
      <c r="AC1981" s="3" t="s">
        <v>11283</v>
      </c>
      <c r="AD1981" s="9">
        <v>44781</v>
      </c>
      <c r="AE1981" s="3" t="s">
        <v>110</v>
      </c>
      <c r="AF1981" s="3" t="s">
        <v>176</v>
      </c>
      <c r="AG1981" s="3" t="s">
        <v>2450</v>
      </c>
      <c r="AH1981" s="11">
        <f>HYPERLINK("https://my.pitchbook.com?c=207574-57T","View Company Online")</f>
      </c>
    </row>
    <row r="1982">
      <c r="A1982" s="12" t="s">
        <v>11284</v>
      </c>
      <c r="B1982" s="12" t="s">
        <v>11285</v>
      </c>
      <c r="C1982" s="19" t="s">
        <v>36</v>
      </c>
      <c r="D1982" s="19">
        <v>5</v>
      </c>
      <c r="E1982" s="19">
        <v>1</v>
      </c>
      <c r="F1982" s="19">
        <v>5</v>
      </c>
      <c r="G1982" s="15" t="s">
        <v>36</v>
      </c>
      <c r="H1982" s="14" t="s">
        <v>36</v>
      </c>
      <c r="I1982" s="18" t="s">
        <v>36</v>
      </c>
      <c r="J1982" s="12" t="s">
        <v>36</v>
      </c>
      <c r="K1982" s="13" t="s">
        <v>36</v>
      </c>
      <c r="L1982" s="15" t="s">
        <v>36</v>
      </c>
      <c r="M1982" s="12" t="s">
        <v>36</v>
      </c>
      <c r="N1982" s="12" t="s">
        <v>36</v>
      </c>
      <c r="O1982" s="17" t="s">
        <v>36</v>
      </c>
      <c r="P1982" s="12" t="s">
        <v>36</v>
      </c>
      <c r="Q1982" s="12" t="s">
        <v>36</v>
      </c>
      <c r="R1982" s="12" t="s">
        <v>36</v>
      </c>
      <c r="S1982" s="12" t="s">
        <v>36</v>
      </c>
      <c r="T1982" s="12" t="s">
        <v>1048</v>
      </c>
      <c r="U1982" s="12" t="s">
        <v>423</v>
      </c>
      <c r="V1982" s="12" t="s">
        <v>64</v>
      </c>
      <c r="W1982" s="12" t="s">
        <v>11286</v>
      </c>
      <c r="X1982" s="16" t="s">
        <v>11287</v>
      </c>
      <c r="Y1982" s="15" t="s">
        <v>108</v>
      </c>
      <c r="Z1982" s="14" t="s">
        <v>36</v>
      </c>
      <c r="AA1982" s="14" t="s">
        <v>36</v>
      </c>
      <c r="AB1982" s="12" t="s">
        <v>56</v>
      </c>
      <c r="AC1982" s="12" t="s">
        <v>11288</v>
      </c>
      <c r="AD1982" s="13">
        <v>44779</v>
      </c>
      <c r="AE1982" s="12" t="s">
        <v>1051</v>
      </c>
      <c r="AF1982" s="12" t="s">
        <v>11289</v>
      </c>
      <c r="AG1982" s="12" t="s">
        <v>1890</v>
      </c>
      <c r="AH1982" s="1">
        <f>HYPERLINK("https://my.pitchbook.com?c=203587-21T","View Company Online")</f>
      </c>
    </row>
    <row r="1983">
      <c r="A1983" s="3" t="s">
        <v>11290</v>
      </c>
      <c r="B1983" s="3" t="s">
        <v>11291</v>
      </c>
      <c r="C1983" s="5" t="s">
        <v>36</v>
      </c>
      <c r="D1983" s="5" t="s">
        <v>36</v>
      </c>
      <c r="E1983" s="5" t="s">
        <v>36</v>
      </c>
      <c r="F1983" s="5" t="s">
        <v>36</v>
      </c>
      <c r="G1983" s="6" t="s">
        <v>36</v>
      </c>
      <c r="H1983" s="4">
        <v>768.54</v>
      </c>
      <c r="I1983" s="7">
        <v>42.15</v>
      </c>
      <c r="J1983" s="3" t="s">
        <v>521</v>
      </c>
      <c r="K1983" s="9" t="s">
        <v>36</v>
      </c>
      <c r="L1983" s="6" t="s">
        <v>36</v>
      </c>
      <c r="M1983" s="3" t="s">
        <v>36</v>
      </c>
      <c r="N1983" s="3" t="s">
        <v>36</v>
      </c>
      <c r="O1983" s="8" t="s">
        <v>36</v>
      </c>
      <c r="P1983" s="3" t="s">
        <v>36</v>
      </c>
      <c r="Q1983" s="3" t="s">
        <v>36</v>
      </c>
      <c r="R1983" s="3" t="s">
        <v>36</v>
      </c>
      <c r="S1983" s="3" t="s">
        <v>36</v>
      </c>
      <c r="T1983" s="3" t="s">
        <v>11292</v>
      </c>
      <c r="U1983" s="3" t="s">
        <v>423</v>
      </c>
      <c r="V1983" s="3" t="s">
        <v>64</v>
      </c>
      <c r="W1983" s="3" t="s">
        <v>11293</v>
      </c>
      <c r="X1983" s="10" t="s">
        <v>11294</v>
      </c>
      <c r="Y1983" s="6" t="s">
        <v>42</v>
      </c>
      <c r="Z1983" s="4">
        <v>4.02</v>
      </c>
      <c r="AA1983" s="4">
        <v>9.54</v>
      </c>
      <c r="AB1983" s="3" t="s">
        <v>43</v>
      </c>
      <c r="AC1983" s="3" t="s">
        <v>11295</v>
      </c>
      <c r="AD1983" s="9">
        <v>44778</v>
      </c>
      <c r="AE1983" s="3" t="s">
        <v>427</v>
      </c>
      <c r="AF1983" s="3" t="s">
        <v>7368</v>
      </c>
      <c r="AG1983" s="3" t="s">
        <v>47</v>
      </c>
      <c r="AH1983" s="11">
        <f>HYPERLINK("https://my.pitchbook.com?c=191181-97T","View Company Online")</f>
      </c>
    </row>
    <row r="1984">
      <c r="A1984" s="12" t="s">
        <v>11296</v>
      </c>
      <c r="B1984" s="12" t="s">
        <v>5570</v>
      </c>
      <c r="C1984" s="19">
        <v>9</v>
      </c>
      <c r="D1984" s="19">
        <v>6</v>
      </c>
      <c r="E1984" s="19">
        <v>6</v>
      </c>
      <c r="F1984" s="19">
        <v>15</v>
      </c>
      <c r="G1984" s="15" t="s">
        <v>326</v>
      </c>
      <c r="H1984" s="14">
        <v>491.24</v>
      </c>
      <c r="I1984" s="18">
        <v>28.93</v>
      </c>
      <c r="J1984" s="12" t="s">
        <v>521</v>
      </c>
      <c r="K1984" s="13" t="s">
        <v>36</v>
      </c>
      <c r="L1984" s="15" t="s">
        <v>122</v>
      </c>
      <c r="M1984" s="12" t="s">
        <v>36</v>
      </c>
      <c r="N1984" s="12" t="s">
        <v>122</v>
      </c>
      <c r="O1984" s="17" t="s">
        <v>36</v>
      </c>
      <c r="P1984" s="12" t="s">
        <v>36</v>
      </c>
      <c r="Q1984" s="12" t="s">
        <v>36</v>
      </c>
      <c r="R1984" s="12" t="s">
        <v>36</v>
      </c>
      <c r="S1984" s="12" t="s">
        <v>36</v>
      </c>
      <c r="T1984" s="12" t="s">
        <v>2992</v>
      </c>
      <c r="U1984" s="12" t="s">
        <v>96</v>
      </c>
      <c r="V1984" s="12" t="s">
        <v>52</v>
      </c>
      <c r="W1984" s="12" t="s">
        <v>5571</v>
      </c>
      <c r="X1984" s="16" t="s">
        <v>11297</v>
      </c>
      <c r="Y1984" s="15" t="s">
        <v>192</v>
      </c>
      <c r="Z1984" s="14">
        <v>6.46</v>
      </c>
      <c r="AA1984" s="14">
        <v>22.35</v>
      </c>
      <c r="AB1984" s="12" t="s">
        <v>56</v>
      </c>
      <c r="AC1984" s="12" t="s">
        <v>5572</v>
      </c>
      <c r="AD1984" s="13">
        <v>44777</v>
      </c>
      <c r="AE1984" s="12" t="s">
        <v>100</v>
      </c>
      <c r="AF1984" s="12" t="s">
        <v>5573</v>
      </c>
      <c r="AG1984" s="12" t="s">
        <v>382</v>
      </c>
      <c r="AH1984" s="1">
        <f>HYPERLINK("https://my.pitchbook.com?c=201937-24T","View Company Online")</f>
      </c>
    </row>
    <row r="1985">
      <c r="A1985" s="3" t="s">
        <v>11298</v>
      </c>
      <c r="B1985" s="3" t="s">
        <v>4418</v>
      </c>
      <c r="C1985" s="5" t="s">
        <v>36</v>
      </c>
      <c r="D1985" s="5" t="s">
        <v>36</v>
      </c>
      <c r="E1985" s="5" t="s">
        <v>36</v>
      </c>
      <c r="F1985" s="5" t="s">
        <v>36</v>
      </c>
      <c r="G1985" s="6" t="s">
        <v>36</v>
      </c>
      <c r="H1985" s="4">
        <v>20.77</v>
      </c>
      <c r="I1985" s="7">
        <v>57.15</v>
      </c>
      <c r="J1985" s="3" t="s">
        <v>521</v>
      </c>
      <c r="K1985" s="9" t="s">
        <v>36</v>
      </c>
      <c r="L1985" s="6" t="s">
        <v>36</v>
      </c>
      <c r="M1985" s="3" t="s">
        <v>36</v>
      </c>
      <c r="N1985" s="3" t="s">
        <v>36</v>
      </c>
      <c r="O1985" s="8" t="s">
        <v>36</v>
      </c>
      <c r="P1985" s="3" t="s">
        <v>36</v>
      </c>
      <c r="Q1985" s="3" t="s">
        <v>36</v>
      </c>
      <c r="R1985" s="3" t="s">
        <v>36</v>
      </c>
      <c r="S1985" s="3" t="s">
        <v>36</v>
      </c>
      <c r="T1985" s="3" t="s">
        <v>154</v>
      </c>
      <c r="U1985" s="3" t="s">
        <v>51</v>
      </c>
      <c r="V1985" s="3" t="s">
        <v>52</v>
      </c>
      <c r="W1985" s="3" t="s">
        <v>4419</v>
      </c>
      <c r="X1985" s="10" t="s">
        <v>11299</v>
      </c>
      <c r="Y1985" s="6" t="s">
        <v>42</v>
      </c>
      <c r="Z1985" s="4">
        <v>1.72</v>
      </c>
      <c r="AA1985" s="4">
        <v>3.01</v>
      </c>
      <c r="AB1985" s="3" t="s">
        <v>56</v>
      </c>
      <c r="AC1985" s="3" t="s">
        <v>4420</v>
      </c>
      <c r="AD1985" s="9">
        <v>44776</v>
      </c>
      <c r="AE1985" s="3" t="s">
        <v>158</v>
      </c>
      <c r="AF1985" s="3" t="s">
        <v>159</v>
      </c>
      <c r="AG1985" s="3" t="s">
        <v>4421</v>
      </c>
      <c r="AH1985" s="11">
        <f>HYPERLINK("https://my.pitchbook.com?c=249974-11T","View Company Online")</f>
      </c>
    </row>
    <row r="1986">
      <c r="A1986" s="12" t="s">
        <v>11300</v>
      </c>
      <c r="B1986" s="12" t="s">
        <v>802</v>
      </c>
      <c r="C1986" s="19">
        <v>2</v>
      </c>
      <c r="D1986" s="19" t="s">
        <v>36</v>
      </c>
      <c r="E1986" s="19">
        <v>1</v>
      </c>
      <c r="F1986" s="19">
        <v>2</v>
      </c>
      <c r="G1986" s="15" t="s">
        <v>36</v>
      </c>
      <c r="H1986" s="14">
        <v>1225.81</v>
      </c>
      <c r="I1986" s="18">
        <v>13.12</v>
      </c>
      <c r="J1986" s="12" t="s">
        <v>521</v>
      </c>
      <c r="K1986" s="13" t="s">
        <v>36</v>
      </c>
      <c r="L1986" s="15" t="s">
        <v>36</v>
      </c>
      <c r="M1986" s="12" t="s">
        <v>36</v>
      </c>
      <c r="N1986" s="12" t="s">
        <v>36</v>
      </c>
      <c r="O1986" s="17" t="s">
        <v>36</v>
      </c>
      <c r="P1986" s="12" t="s">
        <v>36</v>
      </c>
      <c r="Q1986" s="12" t="s">
        <v>36</v>
      </c>
      <c r="R1986" s="12" t="s">
        <v>36</v>
      </c>
      <c r="S1986" s="12" t="s">
        <v>36</v>
      </c>
      <c r="T1986" s="12" t="s">
        <v>803</v>
      </c>
      <c r="U1986" s="12" t="s">
        <v>51</v>
      </c>
      <c r="V1986" s="12" t="s">
        <v>52</v>
      </c>
      <c r="W1986" s="12" t="s">
        <v>804</v>
      </c>
      <c r="X1986" s="16" t="s">
        <v>11301</v>
      </c>
      <c r="Y1986" s="15" t="s">
        <v>108</v>
      </c>
      <c r="Z1986" s="14">
        <v>1.84</v>
      </c>
      <c r="AA1986" s="14">
        <v>14.05</v>
      </c>
      <c r="AB1986" s="12" t="s">
        <v>43</v>
      </c>
      <c r="AC1986" s="12" t="s">
        <v>806</v>
      </c>
      <c r="AD1986" s="13">
        <v>44776</v>
      </c>
      <c r="AE1986" s="12" t="s">
        <v>58</v>
      </c>
      <c r="AF1986" s="12" t="s">
        <v>807</v>
      </c>
      <c r="AG1986" s="12" t="s">
        <v>808</v>
      </c>
      <c r="AH1986" s="1">
        <f>HYPERLINK("https://my.pitchbook.com?c=201023-20T","View Company Online")</f>
      </c>
    </row>
    <row r="1987">
      <c r="A1987" s="3" t="s">
        <v>11302</v>
      </c>
      <c r="B1987" s="3" t="s">
        <v>11303</v>
      </c>
      <c r="C1987" s="5" t="s">
        <v>36</v>
      </c>
      <c r="D1987" s="5" t="s">
        <v>36</v>
      </c>
      <c r="E1987" s="5" t="s">
        <v>36</v>
      </c>
      <c r="F1987" s="5" t="s">
        <v>36</v>
      </c>
      <c r="G1987" s="6" t="s">
        <v>683</v>
      </c>
      <c r="H1987" s="4">
        <v>85.53</v>
      </c>
      <c r="I1987" s="7">
        <v>7.41</v>
      </c>
      <c r="J1987" s="3" t="s">
        <v>521</v>
      </c>
      <c r="K1987" s="9" t="s">
        <v>36</v>
      </c>
      <c r="L1987" s="6" t="s">
        <v>36</v>
      </c>
      <c r="M1987" s="3" t="s">
        <v>36</v>
      </c>
      <c r="N1987" s="3" t="s">
        <v>36</v>
      </c>
      <c r="O1987" s="8" t="s">
        <v>36</v>
      </c>
      <c r="P1987" s="3" t="s">
        <v>36</v>
      </c>
      <c r="Q1987" s="3" t="s">
        <v>36</v>
      </c>
      <c r="R1987" s="3" t="s">
        <v>36</v>
      </c>
      <c r="S1987" s="3" t="s">
        <v>36</v>
      </c>
      <c r="T1987" s="3" t="s">
        <v>11304</v>
      </c>
      <c r="U1987" s="3" t="s">
        <v>1357</v>
      </c>
      <c r="V1987" s="3" t="s">
        <v>52</v>
      </c>
      <c r="W1987" s="3" t="s">
        <v>11305</v>
      </c>
      <c r="X1987" s="10" t="s">
        <v>11306</v>
      </c>
      <c r="Y1987" s="6" t="s">
        <v>42</v>
      </c>
      <c r="Z1987" s="4">
        <v>0.44</v>
      </c>
      <c r="AA1987" s="4">
        <v>6</v>
      </c>
      <c r="AB1987" s="3" t="s">
        <v>56</v>
      </c>
      <c r="AC1987" s="3" t="s">
        <v>11307</v>
      </c>
      <c r="AD1987" s="9">
        <v>44776</v>
      </c>
      <c r="AE1987" s="3" t="s">
        <v>2808</v>
      </c>
      <c r="AF1987" s="3" t="s">
        <v>917</v>
      </c>
      <c r="AG1987" s="3" t="s">
        <v>47</v>
      </c>
      <c r="AH1987" s="11">
        <f>HYPERLINK("https://my.pitchbook.com?c=186305-23T","View Company Online")</f>
      </c>
    </row>
    <row r="1988">
      <c r="A1988" s="12" t="s">
        <v>11308</v>
      </c>
      <c r="B1988" s="12" t="s">
        <v>11309</v>
      </c>
      <c r="C1988" s="19">
        <v>3</v>
      </c>
      <c r="D1988" s="19" t="s">
        <v>36</v>
      </c>
      <c r="E1988" s="19">
        <v>3</v>
      </c>
      <c r="F1988" s="19">
        <v>3</v>
      </c>
      <c r="G1988" s="15" t="s">
        <v>326</v>
      </c>
      <c r="H1988" s="14">
        <v>175.18</v>
      </c>
      <c r="I1988" s="18">
        <v>42.76</v>
      </c>
      <c r="J1988" s="12" t="s">
        <v>521</v>
      </c>
      <c r="K1988" s="13" t="s">
        <v>36</v>
      </c>
      <c r="L1988" s="15" t="s">
        <v>36</v>
      </c>
      <c r="M1988" s="12" t="s">
        <v>36</v>
      </c>
      <c r="N1988" s="12" t="s">
        <v>36</v>
      </c>
      <c r="O1988" s="17" t="s">
        <v>36</v>
      </c>
      <c r="P1988" s="12" t="s">
        <v>36</v>
      </c>
      <c r="Q1988" s="12" t="s">
        <v>36</v>
      </c>
      <c r="R1988" s="12" t="s">
        <v>36</v>
      </c>
      <c r="S1988" s="12" t="s">
        <v>36</v>
      </c>
      <c r="T1988" s="12" t="s">
        <v>1081</v>
      </c>
      <c r="U1988" s="12" t="s">
        <v>1082</v>
      </c>
      <c r="V1988" s="12" t="s">
        <v>378</v>
      </c>
      <c r="W1988" s="12" t="s">
        <v>11310</v>
      </c>
      <c r="X1988" s="16" t="s">
        <v>11311</v>
      </c>
      <c r="Y1988" s="15" t="s">
        <v>108</v>
      </c>
      <c r="Z1988" s="14">
        <v>5.13</v>
      </c>
      <c r="AA1988" s="14">
        <v>11.99</v>
      </c>
      <c r="AB1988" s="12" t="s">
        <v>43</v>
      </c>
      <c r="AC1988" s="12" t="s">
        <v>11312</v>
      </c>
      <c r="AD1988" s="13">
        <v>44776</v>
      </c>
      <c r="AE1988" s="12" t="s">
        <v>1086</v>
      </c>
      <c r="AF1988" s="12" t="s">
        <v>2673</v>
      </c>
      <c r="AG1988" s="12" t="s">
        <v>2450</v>
      </c>
      <c r="AH1988" s="1">
        <f>HYPERLINK("https://my.pitchbook.com?c=202350-43T","View Company Online")</f>
      </c>
    </row>
    <row r="1989">
      <c r="A1989" s="3" t="s">
        <v>11313</v>
      </c>
      <c r="B1989" s="3" t="s">
        <v>11314</v>
      </c>
      <c r="C1989" s="5" t="s">
        <v>36</v>
      </c>
      <c r="D1989" s="5" t="s">
        <v>36</v>
      </c>
      <c r="E1989" s="5" t="s">
        <v>36</v>
      </c>
      <c r="F1989" s="5" t="s">
        <v>36</v>
      </c>
      <c r="G1989" s="6" t="s">
        <v>326</v>
      </c>
      <c r="H1989" s="4">
        <v>44.91</v>
      </c>
      <c r="I1989" s="7">
        <v>21.81</v>
      </c>
      <c r="J1989" s="3" t="s">
        <v>521</v>
      </c>
      <c r="K1989" s="9" t="s">
        <v>36</v>
      </c>
      <c r="L1989" s="6" t="s">
        <v>36</v>
      </c>
      <c r="M1989" s="3" t="s">
        <v>36</v>
      </c>
      <c r="N1989" s="3" t="s">
        <v>36</v>
      </c>
      <c r="O1989" s="8" t="s">
        <v>36</v>
      </c>
      <c r="P1989" s="3" t="s">
        <v>36</v>
      </c>
      <c r="Q1989" s="3" t="s">
        <v>36</v>
      </c>
      <c r="R1989" s="3" t="s">
        <v>36</v>
      </c>
      <c r="S1989" s="3" t="s">
        <v>11315</v>
      </c>
      <c r="T1989" s="3" t="s">
        <v>2195</v>
      </c>
      <c r="U1989" s="3" t="s">
        <v>279</v>
      </c>
      <c r="V1989" s="3" t="s">
        <v>64</v>
      </c>
      <c r="W1989" s="3" t="s">
        <v>11316</v>
      </c>
      <c r="X1989" s="10" t="s">
        <v>11317</v>
      </c>
      <c r="Y1989" s="6" t="s">
        <v>108</v>
      </c>
      <c r="Z1989" s="4">
        <v>15.32</v>
      </c>
      <c r="AA1989" s="4">
        <v>70.24</v>
      </c>
      <c r="AB1989" s="3" t="s">
        <v>43</v>
      </c>
      <c r="AC1989" s="3" t="s">
        <v>11318</v>
      </c>
      <c r="AD1989" s="9">
        <v>44776</v>
      </c>
      <c r="AE1989" s="3" t="s">
        <v>283</v>
      </c>
      <c r="AF1989" s="3" t="s">
        <v>11319</v>
      </c>
      <c r="AG1989" s="3" t="s">
        <v>81</v>
      </c>
      <c r="AH1989" s="11">
        <f>HYPERLINK("https://my.pitchbook.com?c=242239-06T","View Company Online")</f>
      </c>
    </row>
    <row r="1990">
      <c r="A1990" s="12" t="s">
        <v>11320</v>
      </c>
      <c r="B1990" s="12" t="s">
        <v>11321</v>
      </c>
      <c r="C1990" s="19" t="s">
        <v>36</v>
      </c>
      <c r="D1990" s="19" t="s">
        <v>36</v>
      </c>
      <c r="E1990" s="19" t="s">
        <v>36</v>
      </c>
      <c r="F1990" s="19" t="s">
        <v>36</v>
      </c>
      <c r="G1990" s="15" t="s">
        <v>36</v>
      </c>
      <c r="H1990" s="14" t="s">
        <v>36</v>
      </c>
      <c r="I1990" s="18" t="s">
        <v>36</v>
      </c>
      <c r="J1990" s="12" t="s">
        <v>36</v>
      </c>
      <c r="K1990" s="13" t="s">
        <v>36</v>
      </c>
      <c r="L1990" s="15" t="s">
        <v>122</v>
      </c>
      <c r="M1990" s="12" t="s">
        <v>36</v>
      </c>
      <c r="N1990" s="12" t="s">
        <v>122</v>
      </c>
      <c r="O1990" s="17" t="s">
        <v>36</v>
      </c>
      <c r="P1990" s="12" t="s">
        <v>36</v>
      </c>
      <c r="Q1990" s="12" t="s">
        <v>36</v>
      </c>
      <c r="R1990" s="12" t="s">
        <v>36</v>
      </c>
      <c r="S1990" s="12" t="s">
        <v>36</v>
      </c>
      <c r="T1990" s="12" t="s">
        <v>4917</v>
      </c>
      <c r="U1990" s="12" t="s">
        <v>38</v>
      </c>
      <c r="V1990" s="12" t="s">
        <v>39</v>
      </c>
      <c r="W1990" s="12" t="s">
        <v>11322</v>
      </c>
      <c r="X1990" s="16" t="s">
        <v>11323</v>
      </c>
      <c r="Y1990" s="15" t="s">
        <v>42</v>
      </c>
      <c r="Z1990" s="14">
        <v>12.44</v>
      </c>
      <c r="AA1990" s="14" t="s">
        <v>36</v>
      </c>
      <c r="AB1990" s="12" t="s">
        <v>43</v>
      </c>
      <c r="AC1990" s="12" t="s">
        <v>11324</v>
      </c>
      <c r="AD1990" s="13">
        <v>44775</v>
      </c>
      <c r="AE1990" s="12" t="s">
        <v>134</v>
      </c>
      <c r="AF1990" s="12" t="s">
        <v>135</v>
      </c>
      <c r="AG1990" s="12" t="s">
        <v>47</v>
      </c>
      <c r="AH1990" s="1">
        <f>HYPERLINK("https://my.pitchbook.com?c=190370-35T","View Company Online")</f>
      </c>
    </row>
    <row r="1991">
      <c r="A1991" s="3" t="s">
        <v>11325</v>
      </c>
      <c r="B1991" s="3" t="s">
        <v>11326</v>
      </c>
      <c r="C1991" s="5" t="s">
        <v>36</v>
      </c>
      <c r="D1991" s="5" t="s">
        <v>36</v>
      </c>
      <c r="E1991" s="5" t="s">
        <v>36</v>
      </c>
      <c r="F1991" s="5" t="s">
        <v>36</v>
      </c>
      <c r="G1991" s="6" t="s">
        <v>2497</v>
      </c>
      <c r="H1991" s="4">
        <v>0.07</v>
      </c>
      <c r="I1991" s="7">
        <v>46.56</v>
      </c>
      <c r="J1991" s="3" t="s">
        <v>521</v>
      </c>
      <c r="K1991" s="9" t="s">
        <v>36</v>
      </c>
      <c r="L1991" s="6" t="s">
        <v>36</v>
      </c>
      <c r="M1991" s="3" t="s">
        <v>36</v>
      </c>
      <c r="N1991" s="3" t="s">
        <v>36</v>
      </c>
      <c r="O1991" s="8" t="s">
        <v>36</v>
      </c>
      <c r="P1991" s="3" t="s">
        <v>36</v>
      </c>
      <c r="Q1991" s="3" t="s">
        <v>36</v>
      </c>
      <c r="R1991" s="3" t="s">
        <v>36</v>
      </c>
      <c r="S1991" s="3" t="s">
        <v>36</v>
      </c>
      <c r="T1991" s="3" t="s">
        <v>11327</v>
      </c>
      <c r="U1991" s="3" t="s">
        <v>648</v>
      </c>
      <c r="V1991" s="3" t="s">
        <v>64</v>
      </c>
      <c r="W1991" s="3" t="s">
        <v>11328</v>
      </c>
      <c r="X1991" s="10" t="s">
        <v>11329</v>
      </c>
      <c r="Y1991" s="6" t="s">
        <v>55</v>
      </c>
      <c r="Z1991" s="4">
        <v>0.94</v>
      </c>
      <c r="AA1991" s="4">
        <v>2.01</v>
      </c>
      <c r="AB1991" s="3" t="s">
        <v>56</v>
      </c>
      <c r="AC1991" s="3" t="s">
        <v>11330</v>
      </c>
      <c r="AD1991" s="9">
        <v>44775</v>
      </c>
      <c r="AE1991" s="3" t="s">
        <v>3988</v>
      </c>
      <c r="AF1991" s="3" t="s">
        <v>11331</v>
      </c>
      <c r="AG1991" s="3" t="s">
        <v>81</v>
      </c>
      <c r="AH1991" s="11">
        <f>HYPERLINK("https://my.pitchbook.com?c=203611-78T","View Company Online")</f>
      </c>
    </row>
    <row r="1992">
      <c r="A1992" s="12" t="s">
        <v>11332</v>
      </c>
      <c r="B1992" s="12" t="s">
        <v>11333</v>
      </c>
      <c r="C1992" s="19" t="s">
        <v>36</v>
      </c>
      <c r="D1992" s="19" t="s">
        <v>36</v>
      </c>
      <c r="E1992" s="19" t="s">
        <v>36</v>
      </c>
      <c r="F1992" s="19" t="s">
        <v>36</v>
      </c>
      <c r="G1992" s="15" t="s">
        <v>683</v>
      </c>
      <c r="H1992" s="14">
        <v>512.58</v>
      </c>
      <c r="I1992" s="18">
        <v>20.34</v>
      </c>
      <c r="J1992" s="12" t="s">
        <v>521</v>
      </c>
      <c r="K1992" s="13" t="s">
        <v>36</v>
      </c>
      <c r="L1992" s="15" t="s">
        <v>36</v>
      </c>
      <c r="M1992" s="12" t="s">
        <v>36</v>
      </c>
      <c r="N1992" s="12" t="s">
        <v>36</v>
      </c>
      <c r="O1992" s="17" t="s">
        <v>36</v>
      </c>
      <c r="P1992" s="12" t="s">
        <v>36</v>
      </c>
      <c r="Q1992" s="12" t="s">
        <v>36</v>
      </c>
      <c r="R1992" s="12" t="s">
        <v>36</v>
      </c>
      <c r="S1992" s="12" t="s">
        <v>36</v>
      </c>
      <c r="T1992" s="12" t="s">
        <v>11334</v>
      </c>
      <c r="U1992" s="12" t="s">
        <v>38</v>
      </c>
      <c r="V1992" s="12" t="s">
        <v>39</v>
      </c>
      <c r="W1992" s="12" t="s">
        <v>11335</v>
      </c>
      <c r="X1992" s="16" t="s">
        <v>11336</v>
      </c>
      <c r="Y1992" s="15" t="s">
        <v>1067</v>
      </c>
      <c r="Z1992" s="14">
        <v>6.11</v>
      </c>
      <c r="AA1992" s="14">
        <v>30.03</v>
      </c>
      <c r="AB1992" s="12" t="s">
        <v>56</v>
      </c>
      <c r="AC1992" s="12" t="s">
        <v>11337</v>
      </c>
      <c r="AD1992" s="13">
        <v>44775</v>
      </c>
      <c r="AE1992" s="12" t="s">
        <v>45</v>
      </c>
      <c r="AF1992" s="12" t="s">
        <v>1852</v>
      </c>
      <c r="AG1992" s="12" t="s">
        <v>81</v>
      </c>
      <c r="AH1992" s="1">
        <f>HYPERLINK("https://my.pitchbook.com?c=223728-40T","View Company Online")</f>
      </c>
    </row>
    <row r="1993">
      <c r="A1993" s="3" t="s">
        <v>11338</v>
      </c>
      <c r="B1993" s="3" t="s">
        <v>11339</v>
      </c>
      <c r="C1993" s="5" t="s">
        <v>36</v>
      </c>
      <c r="D1993" s="5" t="s">
        <v>36</v>
      </c>
      <c r="E1993" s="5" t="s">
        <v>36</v>
      </c>
      <c r="F1993" s="5" t="s">
        <v>36</v>
      </c>
      <c r="G1993" s="6" t="s">
        <v>326</v>
      </c>
      <c r="H1993" s="4" t="s">
        <v>36</v>
      </c>
      <c r="I1993" s="7">
        <v>29.62</v>
      </c>
      <c r="J1993" s="3" t="s">
        <v>327</v>
      </c>
      <c r="K1993" s="9" t="s">
        <v>36</v>
      </c>
      <c r="L1993" s="6" t="s">
        <v>122</v>
      </c>
      <c r="M1993" s="3" t="s">
        <v>36</v>
      </c>
      <c r="N1993" s="3" t="s">
        <v>122</v>
      </c>
      <c r="O1993" s="8" t="s">
        <v>36</v>
      </c>
      <c r="P1993" s="3" t="s">
        <v>36</v>
      </c>
      <c r="Q1993" s="3" t="s">
        <v>36</v>
      </c>
      <c r="R1993" s="3" t="s">
        <v>36</v>
      </c>
      <c r="S1993" s="3" t="s">
        <v>36</v>
      </c>
      <c r="T1993" s="3" t="s">
        <v>8917</v>
      </c>
      <c r="U1993" s="3" t="s">
        <v>74</v>
      </c>
      <c r="V1993" s="3" t="s">
        <v>75</v>
      </c>
      <c r="W1993" s="3" t="s">
        <v>11340</v>
      </c>
      <c r="X1993" s="10" t="s">
        <v>11341</v>
      </c>
      <c r="Y1993" s="6" t="s">
        <v>42</v>
      </c>
      <c r="Z1993" s="4">
        <v>5.09</v>
      </c>
      <c r="AA1993" s="4">
        <v>17.19</v>
      </c>
      <c r="AB1993" s="3" t="s">
        <v>43</v>
      </c>
      <c r="AC1993" s="3" t="s">
        <v>11342</v>
      </c>
      <c r="AD1993" s="9">
        <v>44774</v>
      </c>
      <c r="AE1993" s="3" t="s">
        <v>570</v>
      </c>
      <c r="AF1993" s="3" t="s">
        <v>372</v>
      </c>
      <c r="AG1993" s="3" t="s">
        <v>81</v>
      </c>
      <c r="AH1993" s="11">
        <f>HYPERLINK("https://my.pitchbook.com?c=193301-02T","View Company Online")</f>
      </c>
    </row>
    <row r="1994">
      <c r="A1994" s="12" t="s">
        <v>11343</v>
      </c>
      <c r="B1994" s="12" t="s">
        <v>11344</v>
      </c>
      <c r="C1994" s="19" t="s">
        <v>36</v>
      </c>
      <c r="D1994" s="19" t="s">
        <v>36</v>
      </c>
      <c r="E1994" s="19" t="s">
        <v>36</v>
      </c>
      <c r="F1994" s="19" t="s">
        <v>36</v>
      </c>
      <c r="G1994" s="15" t="s">
        <v>36</v>
      </c>
      <c r="H1994" s="14" t="s">
        <v>36</v>
      </c>
      <c r="I1994" s="18" t="s">
        <v>36</v>
      </c>
      <c r="J1994" s="12" t="s">
        <v>36</v>
      </c>
      <c r="K1994" s="13" t="s">
        <v>36</v>
      </c>
      <c r="L1994" s="15" t="s">
        <v>36</v>
      </c>
      <c r="M1994" s="12" t="s">
        <v>36</v>
      </c>
      <c r="N1994" s="12" t="s">
        <v>36</v>
      </c>
      <c r="O1994" s="17" t="s">
        <v>36</v>
      </c>
      <c r="P1994" s="12" t="s">
        <v>36</v>
      </c>
      <c r="Q1994" s="12" t="s">
        <v>36</v>
      </c>
      <c r="R1994" s="12" t="s">
        <v>36</v>
      </c>
      <c r="S1994" s="12" t="s">
        <v>11345</v>
      </c>
      <c r="T1994" s="12" t="s">
        <v>5377</v>
      </c>
      <c r="U1994" s="12" t="s">
        <v>38</v>
      </c>
      <c r="V1994" s="12" t="s">
        <v>39</v>
      </c>
      <c r="W1994" s="12" t="s">
        <v>11346</v>
      </c>
      <c r="X1994" s="16" t="s">
        <v>11347</v>
      </c>
      <c r="Y1994" s="15" t="s">
        <v>42</v>
      </c>
      <c r="Z1994" s="14" t="s">
        <v>36</v>
      </c>
      <c r="AA1994" s="14" t="s">
        <v>36</v>
      </c>
      <c r="AB1994" s="12" t="s">
        <v>56</v>
      </c>
      <c r="AC1994" s="12" t="s">
        <v>11348</v>
      </c>
      <c r="AD1994" s="13">
        <v>44774</v>
      </c>
      <c r="AE1994" s="12" t="s">
        <v>1200</v>
      </c>
      <c r="AF1994" s="12" t="s">
        <v>11349</v>
      </c>
      <c r="AG1994" s="12" t="s">
        <v>102</v>
      </c>
      <c r="AH1994" s="1">
        <f>HYPERLINK("https://my.pitchbook.com?c=210307-33T","View Company Online")</f>
      </c>
    </row>
    <row r="1995">
      <c r="A1995" s="3" t="s">
        <v>11350</v>
      </c>
      <c r="B1995" s="3" t="s">
        <v>7649</v>
      </c>
      <c r="C1995" s="5" t="s">
        <v>36</v>
      </c>
      <c r="D1995" s="5" t="s">
        <v>36</v>
      </c>
      <c r="E1995" s="5" t="s">
        <v>36</v>
      </c>
      <c r="F1995" s="5" t="s">
        <v>36</v>
      </c>
      <c r="G1995" s="6" t="s">
        <v>36</v>
      </c>
      <c r="H1995" s="4" t="s">
        <v>36</v>
      </c>
      <c r="I1995" s="7" t="s">
        <v>36</v>
      </c>
      <c r="J1995" s="3" t="s">
        <v>36</v>
      </c>
      <c r="K1995" s="9" t="s">
        <v>36</v>
      </c>
      <c r="L1995" s="6" t="s">
        <v>36</v>
      </c>
      <c r="M1995" s="3" t="s">
        <v>36</v>
      </c>
      <c r="N1995" s="3" t="s">
        <v>36</v>
      </c>
      <c r="O1995" s="8" t="s">
        <v>36</v>
      </c>
      <c r="P1995" s="3" t="s">
        <v>36</v>
      </c>
      <c r="Q1995" s="3" t="s">
        <v>36</v>
      </c>
      <c r="R1995" s="3" t="s">
        <v>36</v>
      </c>
      <c r="S1995" s="3" t="s">
        <v>36</v>
      </c>
      <c r="T1995" s="3" t="s">
        <v>7650</v>
      </c>
      <c r="U1995" s="3" t="s">
        <v>438</v>
      </c>
      <c r="V1995" s="3" t="s">
        <v>405</v>
      </c>
      <c r="W1995" s="3" t="s">
        <v>7651</v>
      </c>
      <c r="X1995" s="10" t="s">
        <v>11351</v>
      </c>
      <c r="Y1995" s="6" t="s">
        <v>42</v>
      </c>
      <c r="Z1995" s="4" t="s">
        <v>36</v>
      </c>
      <c r="AA1995" s="4" t="s">
        <v>36</v>
      </c>
      <c r="AB1995" s="3" t="s">
        <v>43</v>
      </c>
      <c r="AC1995" s="3" t="s">
        <v>7653</v>
      </c>
      <c r="AD1995" s="9">
        <v>44774</v>
      </c>
      <c r="AE1995" s="3" t="s">
        <v>438</v>
      </c>
      <c r="AF1995" s="3" t="s">
        <v>7654</v>
      </c>
      <c r="AG1995" s="3" t="s">
        <v>81</v>
      </c>
      <c r="AH1995" s="11">
        <f>HYPERLINK("https://my.pitchbook.com?c=201618-55T","View Company Online")</f>
      </c>
    </row>
    <row r="1996">
      <c r="A1996" s="12" t="s">
        <v>11352</v>
      </c>
      <c r="B1996" s="12" t="s">
        <v>1245</v>
      </c>
      <c r="C1996" s="19">
        <v>1</v>
      </c>
      <c r="D1996" s="19">
        <v>2</v>
      </c>
      <c r="E1996" s="19">
        <v>2</v>
      </c>
      <c r="F1996" s="19">
        <v>3</v>
      </c>
      <c r="G1996" s="15" t="s">
        <v>36</v>
      </c>
      <c r="H1996" s="14" t="s">
        <v>36</v>
      </c>
      <c r="I1996" s="18" t="s">
        <v>36</v>
      </c>
      <c r="J1996" s="12" t="s">
        <v>36</v>
      </c>
      <c r="K1996" s="13" t="s">
        <v>36</v>
      </c>
      <c r="L1996" s="15" t="s">
        <v>36</v>
      </c>
      <c r="M1996" s="12" t="s">
        <v>36</v>
      </c>
      <c r="N1996" s="12" t="s">
        <v>36</v>
      </c>
      <c r="O1996" s="17" t="s">
        <v>36</v>
      </c>
      <c r="P1996" s="12" t="s">
        <v>36</v>
      </c>
      <c r="Q1996" s="12" t="s">
        <v>36</v>
      </c>
      <c r="R1996" s="12" t="s">
        <v>36</v>
      </c>
      <c r="S1996" s="12" t="s">
        <v>36</v>
      </c>
      <c r="T1996" s="12" t="s">
        <v>1246</v>
      </c>
      <c r="U1996" s="12" t="s">
        <v>318</v>
      </c>
      <c r="V1996" s="12" t="s">
        <v>39</v>
      </c>
      <c r="W1996" s="12" t="s">
        <v>1247</v>
      </c>
      <c r="X1996" s="16" t="s">
        <v>11353</v>
      </c>
      <c r="Y1996" s="15" t="s">
        <v>108</v>
      </c>
      <c r="Z1996" s="14" t="s">
        <v>36</v>
      </c>
      <c r="AA1996" s="14" t="s">
        <v>36</v>
      </c>
      <c r="AB1996" s="12" t="s">
        <v>56</v>
      </c>
      <c r="AC1996" s="12" t="s">
        <v>1249</v>
      </c>
      <c r="AD1996" s="13">
        <v>44774</v>
      </c>
      <c r="AE1996" s="12" t="s">
        <v>417</v>
      </c>
      <c r="AF1996" s="12" t="s">
        <v>724</v>
      </c>
      <c r="AG1996" s="12" t="s">
        <v>1250</v>
      </c>
      <c r="AH1996" s="1">
        <f>HYPERLINK("https://my.pitchbook.com?c=201286-72T","View Company Online")</f>
      </c>
    </row>
    <row r="1997">
      <c r="A1997" s="3" t="s">
        <v>11354</v>
      </c>
      <c r="B1997" s="3" t="s">
        <v>11355</v>
      </c>
      <c r="C1997" s="5" t="s">
        <v>36</v>
      </c>
      <c r="D1997" s="5" t="s">
        <v>36</v>
      </c>
      <c r="E1997" s="5" t="s">
        <v>36</v>
      </c>
      <c r="F1997" s="5" t="s">
        <v>36</v>
      </c>
      <c r="G1997" s="6" t="s">
        <v>36</v>
      </c>
      <c r="H1997" s="4" t="s">
        <v>36</v>
      </c>
      <c r="I1997" s="7" t="s">
        <v>36</v>
      </c>
      <c r="J1997" s="3" t="s">
        <v>36</v>
      </c>
      <c r="K1997" s="9" t="s">
        <v>36</v>
      </c>
      <c r="L1997" s="6" t="s">
        <v>36</v>
      </c>
      <c r="M1997" s="3" t="s">
        <v>36</v>
      </c>
      <c r="N1997" s="3" t="s">
        <v>36</v>
      </c>
      <c r="O1997" s="8" t="s">
        <v>36</v>
      </c>
      <c r="P1997" s="3" t="s">
        <v>36</v>
      </c>
      <c r="Q1997" s="3" t="s">
        <v>36</v>
      </c>
      <c r="R1997" s="3" t="s">
        <v>36</v>
      </c>
      <c r="S1997" s="3" t="s">
        <v>2699</v>
      </c>
      <c r="T1997" s="3" t="s">
        <v>11356</v>
      </c>
      <c r="U1997" s="3" t="s">
        <v>619</v>
      </c>
      <c r="V1997" s="3" t="s">
        <v>378</v>
      </c>
      <c r="W1997" s="3" t="s">
        <v>11357</v>
      </c>
      <c r="X1997" s="10" t="s">
        <v>11358</v>
      </c>
      <c r="Y1997" s="6" t="s">
        <v>192</v>
      </c>
      <c r="Z1997" s="4" t="s">
        <v>36</v>
      </c>
      <c r="AA1997" s="4" t="s">
        <v>36</v>
      </c>
      <c r="AB1997" s="3" t="s">
        <v>43</v>
      </c>
      <c r="AC1997" s="3" t="s">
        <v>11359</v>
      </c>
      <c r="AD1997" s="9">
        <v>44774</v>
      </c>
      <c r="AE1997" s="3" t="s">
        <v>2040</v>
      </c>
      <c r="AF1997" s="3" t="s">
        <v>11360</v>
      </c>
      <c r="AG1997" s="3" t="s">
        <v>81</v>
      </c>
      <c r="AH1997" s="11">
        <f>HYPERLINK("https://my.pitchbook.com?c=206724-16T","View Company Online")</f>
      </c>
    </row>
    <row r="1998">
      <c r="A1998" s="12" t="s">
        <v>11361</v>
      </c>
      <c r="B1998" s="12" t="s">
        <v>11362</v>
      </c>
      <c r="C1998" s="19" t="s">
        <v>36</v>
      </c>
      <c r="D1998" s="19" t="s">
        <v>36</v>
      </c>
      <c r="E1998" s="19" t="s">
        <v>36</v>
      </c>
      <c r="F1998" s="19" t="s">
        <v>36</v>
      </c>
      <c r="G1998" s="15" t="s">
        <v>36</v>
      </c>
      <c r="H1998" s="14" t="s">
        <v>36</v>
      </c>
      <c r="I1998" s="18" t="s">
        <v>36</v>
      </c>
      <c r="J1998" s="12" t="s">
        <v>36</v>
      </c>
      <c r="K1998" s="13" t="s">
        <v>36</v>
      </c>
      <c r="L1998" s="15" t="s">
        <v>36</v>
      </c>
      <c r="M1998" s="12" t="s">
        <v>36</v>
      </c>
      <c r="N1998" s="12" t="s">
        <v>36</v>
      </c>
      <c r="O1998" s="17" t="s">
        <v>36</v>
      </c>
      <c r="P1998" s="12" t="s">
        <v>36</v>
      </c>
      <c r="Q1998" s="12" t="s">
        <v>36</v>
      </c>
      <c r="R1998" s="12" t="s">
        <v>36</v>
      </c>
      <c r="S1998" s="12" t="s">
        <v>36</v>
      </c>
      <c r="T1998" s="12" t="s">
        <v>550</v>
      </c>
      <c r="U1998" s="12" t="s">
        <v>38</v>
      </c>
      <c r="V1998" s="12" t="s">
        <v>39</v>
      </c>
      <c r="W1998" s="12" t="s">
        <v>11363</v>
      </c>
      <c r="X1998" s="16" t="s">
        <v>10887</v>
      </c>
      <c r="Y1998" s="15" t="s">
        <v>42</v>
      </c>
      <c r="Z1998" s="14" t="s">
        <v>36</v>
      </c>
      <c r="AA1998" s="14" t="s">
        <v>36</v>
      </c>
      <c r="AB1998" s="12" t="s">
        <v>56</v>
      </c>
      <c r="AC1998" s="12" t="s">
        <v>11364</v>
      </c>
      <c r="AD1998" s="13">
        <v>44774</v>
      </c>
      <c r="AE1998" s="12" t="s">
        <v>554</v>
      </c>
      <c r="AF1998" s="12" t="s">
        <v>1380</v>
      </c>
      <c r="AG1998" s="12" t="s">
        <v>1978</v>
      </c>
      <c r="AH1998" s="1">
        <f>HYPERLINK("https://my.pitchbook.com?c=201456-28T","View Company Online")</f>
      </c>
    </row>
    <row r="1999">
      <c r="A1999" s="3" t="s">
        <v>11365</v>
      </c>
      <c r="B1999" s="3" t="s">
        <v>11366</v>
      </c>
      <c r="C1999" s="5" t="s">
        <v>36</v>
      </c>
      <c r="D1999" s="5" t="s">
        <v>36</v>
      </c>
      <c r="E1999" s="5" t="s">
        <v>36</v>
      </c>
      <c r="F1999" s="5" t="s">
        <v>36</v>
      </c>
      <c r="G1999" s="6" t="s">
        <v>36</v>
      </c>
      <c r="H1999" s="4" t="s">
        <v>36</v>
      </c>
      <c r="I1999" s="7" t="s">
        <v>36</v>
      </c>
      <c r="J1999" s="3" t="s">
        <v>36</v>
      </c>
      <c r="K1999" s="9" t="s">
        <v>36</v>
      </c>
      <c r="L1999" s="6" t="s">
        <v>36</v>
      </c>
      <c r="M1999" s="3" t="s">
        <v>36</v>
      </c>
      <c r="N1999" s="3" t="s">
        <v>36</v>
      </c>
      <c r="O1999" s="8" t="s">
        <v>36</v>
      </c>
      <c r="P1999" s="3" t="s">
        <v>36</v>
      </c>
      <c r="Q1999" s="3" t="s">
        <v>36</v>
      </c>
      <c r="R1999" s="3" t="s">
        <v>36</v>
      </c>
      <c r="S1999" s="3" t="s">
        <v>36</v>
      </c>
      <c r="T1999" s="3" t="s">
        <v>6694</v>
      </c>
      <c r="U1999" s="3" t="s">
        <v>728</v>
      </c>
      <c r="V1999" s="3" t="s">
        <v>64</v>
      </c>
      <c r="W1999" s="3" t="s">
        <v>11367</v>
      </c>
      <c r="X1999" s="10" t="s">
        <v>11368</v>
      </c>
      <c r="Y1999" s="6" t="s">
        <v>192</v>
      </c>
      <c r="Z1999" s="4" t="s">
        <v>36</v>
      </c>
      <c r="AA1999" s="4" t="s">
        <v>36</v>
      </c>
      <c r="AB1999" s="3" t="s">
        <v>56</v>
      </c>
      <c r="AC1999" s="3" t="s">
        <v>11369</v>
      </c>
      <c r="AD1999" s="9">
        <v>44774</v>
      </c>
      <c r="AE1999" s="3" t="s">
        <v>2154</v>
      </c>
      <c r="AF1999" s="3" t="s">
        <v>90</v>
      </c>
      <c r="AG1999" s="3" t="s">
        <v>81</v>
      </c>
      <c r="AH1999" s="11">
        <f>HYPERLINK("https://my.pitchbook.com?c=201928-15T","View Company Online")</f>
      </c>
    </row>
    <row r="2000">
      <c r="A2000" s="12" t="s">
        <v>11370</v>
      </c>
      <c r="B2000" s="12" t="s">
        <v>11371</v>
      </c>
      <c r="C2000" s="19" t="s">
        <v>36</v>
      </c>
      <c r="D2000" s="19" t="s">
        <v>36</v>
      </c>
      <c r="E2000" s="19" t="s">
        <v>36</v>
      </c>
      <c r="F2000" s="19" t="s">
        <v>36</v>
      </c>
      <c r="G2000" s="15" t="s">
        <v>326</v>
      </c>
      <c r="H2000" s="14" t="s">
        <v>36</v>
      </c>
      <c r="I2000" s="18">
        <v>28.7</v>
      </c>
      <c r="J2000" s="12" t="s">
        <v>327</v>
      </c>
      <c r="K2000" s="13" t="s">
        <v>36</v>
      </c>
      <c r="L2000" s="15" t="s">
        <v>122</v>
      </c>
      <c r="M2000" s="12" t="s">
        <v>36</v>
      </c>
      <c r="N2000" s="12" t="s">
        <v>122</v>
      </c>
      <c r="O2000" s="17" t="s">
        <v>36</v>
      </c>
      <c r="P2000" s="12" t="s">
        <v>36</v>
      </c>
      <c r="Q2000" s="12" t="s">
        <v>36</v>
      </c>
      <c r="R2000" s="12" t="s">
        <v>36</v>
      </c>
      <c r="S2000" s="12" t="s">
        <v>36</v>
      </c>
      <c r="T2000" s="12" t="s">
        <v>11372</v>
      </c>
      <c r="U2000" s="12" t="s">
        <v>219</v>
      </c>
      <c r="V2000" s="12" t="s">
        <v>75</v>
      </c>
      <c r="W2000" s="12" t="s">
        <v>11373</v>
      </c>
      <c r="X2000" s="16" t="s">
        <v>11374</v>
      </c>
      <c r="Y2000" s="15" t="s">
        <v>108</v>
      </c>
      <c r="Z2000" s="14">
        <v>4.07</v>
      </c>
      <c r="AA2000" s="14">
        <v>14.2</v>
      </c>
      <c r="AB2000" s="12" t="s">
        <v>56</v>
      </c>
      <c r="AC2000" s="12" t="s">
        <v>11375</v>
      </c>
      <c r="AD2000" s="13">
        <v>44774</v>
      </c>
      <c r="AE2000" s="12" t="s">
        <v>7093</v>
      </c>
      <c r="AF2000" s="12" t="s">
        <v>601</v>
      </c>
      <c r="AG2000" s="12" t="s">
        <v>4328</v>
      </c>
      <c r="AH2000" s="1">
        <f>HYPERLINK("https://my.pitchbook.com?c=270853-21T","View Company Online")</f>
      </c>
    </row>
    <row r="2001">
      <c r="A2001" s="3" t="s">
        <v>11376</v>
      </c>
      <c r="B2001" s="3" t="s">
        <v>11377</v>
      </c>
      <c r="C2001" s="5" t="s">
        <v>36</v>
      </c>
      <c r="D2001" s="5" t="s">
        <v>36</v>
      </c>
      <c r="E2001" s="5" t="s">
        <v>36</v>
      </c>
      <c r="F2001" s="5" t="s">
        <v>36</v>
      </c>
      <c r="G2001" s="6" t="s">
        <v>36</v>
      </c>
      <c r="H2001" s="4" t="s">
        <v>36</v>
      </c>
      <c r="I2001" s="7" t="s">
        <v>36</v>
      </c>
      <c r="J2001" s="3" t="s">
        <v>521</v>
      </c>
      <c r="K2001" s="9" t="s">
        <v>36</v>
      </c>
      <c r="L2001" s="6" t="s">
        <v>36</v>
      </c>
      <c r="M2001" s="3" t="s">
        <v>36</v>
      </c>
      <c r="N2001" s="3" t="s">
        <v>36</v>
      </c>
      <c r="O2001" s="8" t="s">
        <v>36</v>
      </c>
      <c r="P2001" s="3" t="s">
        <v>36</v>
      </c>
      <c r="Q2001" s="3" t="s">
        <v>36</v>
      </c>
      <c r="R2001" s="3" t="s">
        <v>36</v>
      </c>
      <c r="S2001" s="3" t="s">
        <v>36</v>
      </c>
      <c r="T2001" s="3" t="s">
        <v>2308</v>
      </c>
      <c r="U2001" s="3" t="s">
        <v>38</v>
      </c>
      <c r="V2001" s="3" t="s">
        <v>39</v>
      </c>
      <c r="W2001" s="3" t="s">
        <v>11378</v>
      </c>
      <c r="X2001" s="10" t="s">
        <v>11379</v>
      </c>
      <c r="Y2001" s="6" t="s">
        <v>42</v>
      </c>
      <c r="Z2001" s="4">
        <v>0.5</v>
      </c>
      <c r="AA2001" s="4">
        <v>1</v>
      </c>
      <c r="AB2001" s="3" t="s">
        <v>43</v>
      </c>
      <c r="AC2001" s="3" t="s">
        <v>11380</v>
      </c>
      <c r="AD2001" s="9">
        <v>44774</v>
      </c>
      <c r="AE2001" s="3" t="s">
        <v>45</v>
      </c>
      <c r="AF2001" s="3" t="s">
        <v>5816</v>
      </c>
      <c r="AG2001" s="3" t="s">
        <v>81</v>
      </c>
      <c r="AH2001" s="11">
        <f>HYPERLINK("https://my.pitchbook.com?c=208019-26T","View Company Online")</f>
      </c>
    </row>
    <row r="2002">
      <c r="A2002" s="12" t="s">
        <v>11381</v>
      </c>
      <c r="B2002" s="12" t="s">
        <v>9100</v>
      </c>
      <c r="C2002" s="19" t="s">
        <v>36</v>
      </c>
      <c r="D2002" s="19" t="s">
        <v>36</v>
      </c>
      <c r="E2002" s="19" t="s">
        <v>36</v>
      </c>
      <c r="F2002" s="19" t="s">
        <v>36</v>
      </c>
      <c r="G2002" s="15" t="s">
        <v>36</v>
      </c>
      <c r="H2002" s="14" t="s">
        <v>36</v>
      </c>
      <c r="I2002" s="18" t="s">
        <v>36</v>
      </c>
      <c r="J2002" s="12" t="s">
        <v>36</v>
      </c>
      <c r="K2002" s="13" t="s">
        <v>36</v>
      </c>
      <c r="L2002" s="15" t="s">
        <v>36</v>
      </c>
      <c r="M2002" s="12" t="s">
        <v>36</v>
      </c>
      <c r="N2002" s="12" t="s">
        <v>36</v>
      </c>
      <c r="O2002" s="17" t="s">
        <v>36</v>
      </c>
      <c r="P2002" s="12" t="s">
        <v>36</v>
      </c>
      <c r="Q2002" s="12" t="s">
        <v>36</v>
      </c>
      <c r="R2002" s="12" t="s">
        <v>36</v>
      </c>
      <c r="S2002" s="12" t="s">
        <v>36</v>
      </c>
      <c r="T2002" s="12" t="s">
        <v>179</v>
      </c>
      <c r="U2002" s="12" t="s">
        <v>180</v>
      </c>
      <c r="V2002" s="12" t="s">
        <v>52</v>
      </c>
      <c r="W2002" s="12" t="s">
        <v>9101</v>
      </c>
      <c r="X2002" s="16" t="s">
        <v>221</v>
      </c>
      <c r="Y2002" s="15" t="s">
        <v>42</v>
      </c>
      <c r="Z2002" s="14" t="s">
        <v>36</v>
      </c>
      <c r="AA2002" s="14" t="s">
        <v>36</v>
      </c>
      <c r="AB2002" s="12" t="s">
        <v>43</v>
      </c>
      <c r="AC2002" s="12" t="s">
        <v>9103</v>
      </c>
      <c r="AD2002" s="13">
        <v>44774</v>
      </c>
      <c r="AE2002" s="12" t="s">
        <v>184</v>
      </c>
      <c r="AF2002" s="12" t="s">
        <v>6389</v>
      </c>
      <c r="AG2002" s="12" t="s">
        <v>81</v>
      </c>
      <c r="AH2002" s="1">
        <f>HYPERLINK("https://my.pitchbook.com?c=203105-35T","View Company Online")</f>
      </c>
    </row>
    <row r="2003">
      <c r="A2003" s="3" t="s">
        <v>11382</v>
      </c>
      <c r="B2003" s="3" t="s">
        <v>11383</v>
      </c>
      <c r="C2003" s="5" t="s">
        <v>36</v>
      </c>
      <c r="D2003" s="5" t="s">
        <v>36</v>
      </c>
      <c r="E2003" s="5" t="s">
        <v>36</v>
      </c>
      <c r="F2003" s="5" t="s">
        <v>36</v>
      </c>
      <c r="G2003" s="6" t="s">
        <v>36</v>
      </c>
      <c r="H2003" s="4" t="s">
        <v>36</v>
      </c>
      <c r="I2003" s="7" t="s">
        <v>36</v>
      </c>
      <c r="J2003" s="3" t="s">
        <v>36</v>
      </c>
      <c r="K2003" s="9">
        <v>44208</v>
      </c>
      <c r="L2003" s="6" t="s">
        <v>36</v>
      </c>
      <c r="M2003" s="3" t="s">
        <v>36</v>
      </c>
      <c r="N2003" s="3" t="s">
        <v>36</v>
      </c>
      <c r="O2003" s="8" t="s">
        <v>36</v>
      </c>
      <c r="P2003" s="3" t="s">
        <v>36</v>
      </c>
      <c r="Q2003" s="3" t="s">
        <v>36</v>
      </c>
      <c r="R2003" s="3" t="s">
        <v>36</v>
      </c>
      <c r="S2003" s="3" t="s">
        <v>36</v>
      </c>
      <c r="T2003" s="3" t="s">
        <v>630</v>
      </c>
      <c r="U2003" s="3" t="s">
        <v>38</v>
      </c>
      <c r="V2003" s="3" t="s">
        <v>39</v>
      </c>
      <c r="W2003" s="3" t="s">
        <v>11384</v>
      </c>
      <c r="X2003" s="10" t="s">
        <v>11385</v>
      </c>
      <c r="Y2003" s="6" t="s">
        <v>108</v>
      </c>
      <c r="Z2003" s="4">
        <v>7.13</v>
      </c>
      <c r="AA2003" s="4" t="s">
        <v>36</v>
      </c>
      <c r="AB2003" s="3" t="s">
        <v>43</v>
      </c>
      <c r="AC2003" s="3" t="s">
        <v>11386</v>
      </c>
      <c r="AD2003" s="9">
        <v>44774</v>
      </c>
      <c r="AE2003" s="3" t="s">
        <v>110</v>
      </c>
      <c r="AF2003" s="3" t="s">
        <v>36</v>
      </c>
      <c r="AG2003" s="3" t="s">
        <v>81</v>
      </c>
      <c r="AH2003" s="11">
        <f>HYPERLINK("https://my.pitchbook.com?c=207471-70T","View Company Online")</f>
      </c>
    </row>
    <row r="2004">
      <c r="A2004" s="12" t="s">
        <v>11387</v>
      </c>
      <c r="B2004" s="12" t="s">
        <v>11388</v>
      </c>
      <c r="C2004" s="19" t="s">
        <v>36</v>
      </c>
      <c r="D2004" s="19" t="s">
        <v>36</v>
      </c>
      <c r="E2004" s="19" t="s">
        <v>36</v>
      </c>
      <c r="F2004" s="19" t="s">
        <v>36</v>
      </c>
      <c r="G2004" s="15" t="s">
        <v>36</v>
      </c>
      <c r="H2004" s="14" t="s">
        <v>36</v>
      </c>
      <c r="I2004" s="18" t="s">
        <v>36</v>
      </c>
      <c r="J2004" s="12" t="s">
        <v>36</v>
      </c>
      <c r="K2004" s="13">
        <v>44734</v>
      </c>
      <c r="L2004" s="15" t="s">
        <v>36</v>
      </c>
      <c r="M2004" s="12" t="s">
        <v>36</v>
      </c>
      <c r="N2004" s="12" t="s">
        <v>36</v>
      </c>
      <c r="O2004" s="17" t="s">
        <v>36</v>
      </c>
      <c r="P2004" s="12" t="s">
        <v>36</v>
      </c>
      <c r="Q2004" s="12" t="s">
        <v>36</v>
      </c>
      <c r="R2004" s="12" t="s">
        <v>36</v>
      </c>
      <c r="S2004" s="12" t="s">
        <v>36</v>
      </c>
      <c r="T2004" s="12" t="s">
        <v>11389</v>
      </c>
      <c r="U2004" s="12" t="s">
        <v>38</v>
      </c>
      <c r="V2004" s="12" t="s">
        <v>39</v>
      </c>
      <c r="W2004" s="12" t="s">
        <v>11390</v>
      </c>
      <c r="X2004" s="16" t="s">
        <v>11391</v>
      </c>
      <c r="Y2004" s="15" t="s">
        <v>42</v>
      </c>
      <c r="Z2004" s="14">
        <v>1.27</v>
      </c>
      <c r="AA2004" s="14" t="s">
        <v>36</v>
      </c>
      <c r="AB2004" s="12" t="s">
        <v>43</v>
      </c>
      <c r="AC2004" s="12" t="s">
        <v>11392</v>
      </c>
      <c r="AD2004" s="13">
        <v>44774</v>
      </c>
      <c r="AE2004" s="12" t="s">
        <v>688</v>
      </c>
      <c r="AF2004" s="12" t="s">
        <v>11393</v>
      </c>
      <c r="AG2004" s="12" t="s">
        <v>81</v>
      </c>
      <c r="AH2004" s="1">
        <f>HYPERLINK("https://my.pitchbook.com?c=202028-59T","View Company Online")</f>
      </c>
    </row>
    <row r="2005">
      <c r="A2005" s="3" t="s">
        <v>11394</v>
      </c>
      <c r="B2005" s="3" t="s">
        <v>11395</v>
      </c>
      <c r="C2005" s="5" t="s">
        <v>36</v>
      </c>
      <c r="D2005" s="5" t="s">
        <v>36</v>
      </c>
      <c r="E2005" s="5" t="s">
        <v>36</v>
      </c>
      <c r="F2005" s="5" t="s">
        <v>36</v>
      </c>
      <c r="G2005" s="6" t="s">
        <v>36</v>
      </c>
      <c r="H2005" s="4" t="s">
        <v>36</v>
      </c>
      <c r="I2005" s="7" t="s">
        <v>36</v>
      </c>
      <c r="J2005" s="3" t="s">
        <v>36</v>
      </c>
      <c r="K2005" s="9" t="s">
        <v>36</v>
      </c>
      <c r="L2005" s="6" t="s">
        <v>36</v>
      </c>
      <c r="M2005" s="3" t="s">
        <v>36</v>
      </c>
      <c r="N2005" s="3" t="s">
        <v>36</v>
      </c>
      <c r="O2005" s="8" t="s">
        <v>36</v>
      </c>
      <c r="P2005" s="3" t="s">
        <v>36</v>
      </c>
      <c r="Q2005" s="3" t="s">
        <v>36</v>
      </c>
      <c r="R2005" s="3" t="s">
        <v>36</v>
      </c>
      <c r="S2005" s="3" t="s">
        <v>36</v>
      </c>
      <c r="T2005" s="3" t="s">
        <v>11396</v>
      </c>
      <c r="U2005" s="3" t="s">
        <v>180</v>
      </c>
      <c r="V2005" s="3" t="s">
        <v>52</v>
      </c>
      <c r="W2005" s="3" t="s">
        <v>11397</v>
      </c>
      <c r="X2005" s="10" t="s">
        <v>11398</v>
      </c>
      <c r="Y2005" s="6" t="s">
        <v>42</v>
      </c>
      <c r="Z2005" s="4" t="s">
        <v>36</v>
      </c>
      <c r="AA2005" s="4" t="s">
        <v>36</v>
      </c>
      <c r="AB2005" s="3" t="s">
        <v>56</v>
      </c>
      <c r="AC2005" s="3" t="s">
        <v>11399</v>
      </c>
      <c r="AD2005" s="9">
        <v>44774</v>
      </c>
      <c r="AE2005" s="3" t="s">
        <v>184</v>
      </c>
      <c r="AF2005" s="3" t="s">
        <v>11400</v>
      </c>
      <c r="AG2005" s="3" t="s">
        <v>11401</v>
      </c>
      <c r="AH2005" s="11">
        <f>HYPERLINK("https://my.pitchbook.com?c=203184-55T","View Company Online")</f>
      </c>
    </row>
    <row r="2006">
      <c r="A2006" s="12" t="s">
        <v>11402</v>
      </c>
      <c r="B2006" s="12" t="s">
        <v>11403</v>
      </c>
      <c r="C2006" s="19" t="s">
        <v>36</v>
      </c>
      <c r="D2006" s="19" t="s">
        <v>36</v>
      </c>
      <c r="E2006" s="19" t="s">
        <v>36</v>
      </c>
      <c r="F2006" s="19" t="s">
        <v>36</v>
      </c>
      <c r="G2006" s="15" t="s">
        <v>36</v>
      </c>
      <c r="H2006" s="14" t="s">
        <v>36</v>
      </c>
      <c r="I2006" s="18" t="s">
        <v>36</v>
      </c>
      <c r="J2006" s="12" t="s">
        <v>36</v>
      </c>
      <c r="K2006" s="13" t="s">
        <v>36</v>
      </c>
      <c r="L2006" s="15" t="s">
        <v>36</v>
      </c>
      <c r="M2006" s="12" t="s">
        <v>36</v>
      </c>
      <c r="N2006" s="12" t="s">
        <v>36</v>
      </c>
      <c r="O2006" s="17" t="s">
        <v>36</v>
      </c>
      <c r="P2006" s="12" t="s">
        <v>36</v>
      </c>
      <c r="Q2006" s="12" t="s">
        <v>36</v>
      </c>
      <c r="R2006" s="12" t="s">
        <v>36</v>
      </c>
      <c r="S2006" s="12" t="s">
        <v>36</v>
      </c>
      <c r="T2006" s="12" t="s">
        <v>11404</v>
      </c>
      <c r="U2006" s="12" t="s">
        <v>11405</v>
      </c>
      <c r="V2006" s="12" t="s">
        <v>52</v>
      </c>
      <c r="W2006" s="12" t="s">
        <v>11406</v>
      </c>
      <c r="X2006" s="16" t="s">
        <v>11407</v>
      </c>
      <c r="Y2006" s="15" t="s">
        <v>108</v>
      </c>
      <c r="Z2006" s="14">
        <v>0.18</v>
      </c>
      <c r="AA2006" s="14" t="s">
        <v>36</v>
      </c>
      <c r="AB2006" s="12" t="s">
        <v>56</v>
      </c>
      <c r="AC2006" s="12" t="s">
        <v>11408</v>
      </c>
      <c r="AD2006" s="13">
        <v>44773</v>
      </c>
      <c r="AE2006" s="12" t="s">
        <v>11405</v>
      </c>
      <c r="AF2006" s="12" t="s">
        <v>101</v>
      </c>
      <c r="AG2006" s="12" t="s">
        <v>11409</v>
      </c>
      <c r="AH2006" s="1">
        <f>HYPERLINK("https://my.pitchbook.com?c=235143-64T","View Company Online")</f>
      </c>
    </row>
    <row r="2007">
      <c r="A2007" s="3" t="s">
        <v>11410</v>
      </c>
      <c r="B2007" s="3" t="s">
        <v>11411</v>
      </c>
      <c r="C2007" s="5">
        <v>8</v>
      </c>
      <c r="D2007" s="5" t="s">
        <v>36</v>
      </c>
      <c r="E2007" s="5">
        <v>3</v>
      </c>
      <c r="F2007" s="5">
        <v>9</v>
      </c>
      <c r="G2007" s="6" t="s">
        <v>326</v>
      </c>
      <c r="H2007" s="4">
        <v>308.3</v>
      </c>
      <c r="I2007" s="7">
        <v>59.49</v>
      </c>
      <c r="J2007" s="3" t="s">
        <v>521</v>
      </c>
      <c r="K2007" s="9" t="s">
        <v>36</v>
      </c>
      <c r="L2007" s="6" t="s">
        <v>122</v>
      </c>
      <c r="M2007" s="3" t="s">
        <v>36</v>
      </c>
      <c r="N2007" s="3" t="s">
        <v>122</v>
      </c>
      <c r="O2007" s="8" t="s">
        <v>36</v>
      </c>
      <c r="P2007" s="3" t="s">
        <v>36</v>
      </c>
      <c r="Q2007" s="3" t="s">
        <v>36</v>
      </c>
      <c r="R2007" s="3" t="s">
        <v>36</v>
      </c>
      <c r="S2007" s="3" t="s">
        <v>36</v>
      </c>
      <c r="T2007" s="3" t="s">
        <v>881</v>
      </c>
      <c r="U2007" s="3" t="s">
        <v>51</v>
      </c>
      <c r="V2007" s="3" t="s">
        <v>52</v>
      </c>
      <c r="W2007" s="3" t="s">
        <v>11412</v>
      </c>
      <c r="X2007" s="10" t="s">
        <v>11413</v>
      </c>
      <c r="Y2007" s="6" t="s">
        <v>55</v>
      </c>
      <c r="Z2007" s="4">
        <v>31.09</v>
      </c>
      <c r="AA2007" s="4">
        <v>52.26</v>
      </c>
      <c r="AB2007" s="3" t="s">
        <v>43</v>
      </c>
      <c r="AC2007" s="3" t="s">
        <v>11414</v>
      </c>
      <c r="AD2007" s="9">
        <v>44773</v>
      </c>
      <c r="AE2007" s="3" t="s">
        <v>504</v>
      </c>
      <c r="AF2007" s="3" t="s">
        <v>665</v>
      </c>
      <c r="AG2007" s="3" t="s">
        <v>47</v>
      </c>
      <c r="AH2007" s="11">
        <f>HYPERLINK("https://my.pitchbook.com?c=206214-22T","View Company Online")</f>
      </c>
    </row>
    <row r="2008">
      <c r="A2008" s="12" t="s">
        <v>11415</v>
      </c>
      <c r="B2008" s="12" t="s">
        <v>11416</v>
      </c>
      <c r="C2008" s="19" t="s">
        <v>36</v>
      </c>
      <c r="D2008" s="19" t="s">
        <v>36</v>
      </c>
      <c r="E2008" s="19" t="s">
        <v>36</v>
      </c>
      <c r="F2008" s="19" t="s">
        <v>36</v>
      </c>
      <c r="G2008" s="15" t="s">
        <v>36</v>
      </c>
      <c r="H2008" s="14">
        <v>1187.93</v>
      </c>
      <c r="I2008" s="18">
        <v>21.2</v>
      </c>
      <c r="J2008" s="12" t="s">
        <v>521</v>
      </c>
      <c r="K2008" s="13" t="s">
        <v>36</v>
      </c>
      <c r="L2008" s="15" t="s">
        <v>36</v>
      </c>
      <c r="M2008" s="12" t="s">
        <v>36</v>
      </c>
      <c r="N2008" s="12" t="s">
        <v>36</v>
      </c>
      <c r="O2008" s="17" t="s">
        <v>36</v>
      </c>
      <c r="P2008" s="12" t="s">
        <v>36</v>
      </c>
      <c r="Q2008" s="12" t="s">
        <v>36</v>
      </c>
      <c r="R2008" s="12" t="s">
        <v>36</v>
      </c>
      <c r="S2008" s="12" t="s">
        <v>36</v>
      </c>
      <c r="T2008" s="12" t="s">
        <v>37</v>
      </c>
      <c r="U2008" s="12" t="s">
        <v>38</v>
      </c>
      <c r="V2008" s="12" t="s">
        <v>39</v>
      </c>
      <c r="W2008" s="12" t="s">
        <v>11417</v>
      </c>
      <c r="X2008" s="16" t="s">
        <v>11418</v>
      </c>
      <c r="Y2008" s="15" t="s">
        <v>42</v>
      </c>
      <c r="Z2008" s="14">
        <v>4.12</v>
      </c>
      <c r="AA2008" s="14">
        <v>19.43</v>
      </c>
      <c r="AB2008" s="12" t="s">
        <v>43</v>
      </c>
      <c r="AC2008" s="12" t="s">
        <v>11419</v>
      </c>
      <c r="AD2008" s="13">
        <v>44771</v>
      </c>
      <c r="AE2008" s="12" t="s">
        <v>45</v>
      </c>
      <c r="AF2008" s="12" t="s">
        <v>46</v>
      </c>
      <c r="AG2008" s="12" t="s">
        <v>81</v>
      </c>
      <c r="AH2008" s="1">
        <f>HYPERLINK("https://my.pitchbook.com?c=204126-13T","View Company Online")</f>
      </c>
    </row>
    <row r="2009">
      <c r="A2009" s="3" t="s">
        <v>11420</v>
      </c>
      <c r="B2009" s="3" t="s">
        <v>11421</v>
      </c>
      <c r="C2009" s="5" t="s">
        <v>36</v>
      </c>
      <c r="D2009" s="5" t="s">
        <v>36</v>
      </c>
      <c r="E2009" s="5" t="s">
        <v>36</v>
      </c>
      <c r="F2009" s="5" t="s">
        <v>36</v>
      </c>
      <c r="G2009" s="6" t="s">
        <v>326</v>
      </c>
      <c r="H2009" s="4">
        <v>50.33</v>
      </c>
      <c r="I2009" s="7">
        <v>20.96</v>
      </c>
      <c r="J2009" s="3" t="s">
        <v>521</v>
      </c>
      <c r="K2009" s="9" t="s">
        <v>36</v>
      </c>
      <c r="L2009" s="6" t="s">
        <v>122</v>
      </c>
      <c r="M2009" s="3" t="s">
        <v>36</v>
      </c>
      <c r="N2009" s="3" t="s">
        <v>122</v>
      </c>
      <c r="O2009" s="8" t="s">
        <v>36</v>
      </c>
      <c r="P2009" s="3" t="s">
        <v>36</v>
      </c>
      <c r="Q2009" s="3" t="s">
        <v>36</v>
      </c>
      <c r="R2009" s="3" t="s">
        <v>36</v>
      </c>
      <c r="S2009" s="3" t="s">
        <v>36</v>
      </c>
      <c r="T2009" s="3" t="s">
        <v>11422</v>
      </c>
      <c r="U2009" s="3" t="s">
        <v>423</v>
      </c>
      <c r="V2009" s="3" t="s">
        <v>64</v>
      </c>
      <c r="W2009" s="3" t="s">
        <v>11423</v>
      </c>
      <c r="X2009" s="10" t="s">
        <v>11424</v>
      </c>
      <c r="Y2009" s="6" t="s">
        <v>108</v>
      </c>
      <c r="Z2009" s="4">
        <v>10.22</v>
      </c>
      <c r="AA2009" s="4">
        <v>28.99</v>
      </c>
      <c r="AB2009" s="3" t="s">
        <v>43</v>
      </c>
      <c r="AC2009" s="3" t="s">
        <v>11425</v>
      </c>
      <c r="AD2009" s="9">
        <v>44770</v>
      </c>
      <c r="AE2009" s="3" t="s">
        <v>2871</v>
      </c>
      <c r="AF2009" s="3" t="s">
        <v>1061</v>
      </c>
      <c r="AG2009" s="3" t="s">
        <v>81</v>
      </c>
      <c r="AH2009" s="11">
        <f>HYPERLINK("https://my.pitchbook.com?c=204061-60T","View Company Online")</f>
      </c>
    </row>
    <row r="2010">
      <c r="A2010" s="12" t="s">
        <v>11426</v>
      </c>
      <c r="B2010" s="12" t="s">
        <v>1187</v>
      </c>
      <c r="C2010" s="19" t="s">
        <v>36</v>
      </c>
      <c r="D2010" s="19" t="s">
        <v>36</v>
      </c>
      <c r="E2010" s="19" t="s">
        <v>36</v>
      </c>
      <c r="F2010" s="19" t="s">
        <v>36</v>
      </c>
      <c r="G2010" s="15" t="s">
        <v>326</v>
      </c>
      <c r="H2010" s="14">
        <v>17.24</v>
      </c>
      <c r="I2010" s="18">
        <v>23.03</v>
      </c>
      <c r="J2010" s="12" t="s">
        <v>521</v>
      </c>
      <c r="K2010" s="13" t="s">
        <v>36</v>
      </c>
      <c r="L2010" s="15" t="s">
        <v>36</v>
      </c>
      <c r="M2010" s="12" t="s">
        <v>36</v>
      </c>
      <c r="N2010" s="12" t="s">
        <v>36</v>
      </c>
      <c r="O2010" s="17" t="s">
        <v>36</v>
      </c>
      <c r="P2010" s="12" t="s">
        <v>36</v>
      </c>
      <c r="Q2010" s="12" t="s">
        <v>36</v>
      </c>
      <c r="R2010" s="12" t="s">
        <v>36</v>
      </c>
      <c r="S2010" s="12" t="s">
        <v>36</v>
      </c>
      <c r="T2010" s="12" t="s">
        <v>1188</v>
      </c>
      <c r="U2010" s="12" t="s">
        <v>180</v>
      </c>
      <c r="V2010" s="12" t="s">
        <v>52</v>
      </c>
      <c r="W2010" s="12" t="s">
        <v>1189</v>
      </c>
      <c r="X2010" s="16" t="s">
        <v>560</v>
      </c>
      <c r="Y2010" s="15" t="s">
        <v>108</v>
      </c>
      <c r="Z2010" s="14">
        <v>2.2</v>
      </c>
      <c r="AA2010" s="14">
        <v>9.54</v>
      </c>
      <c r="AB2010" s="12" t="s">
        <v>43</v>
      </c>
      <c r="AC2010" s="12" t="s">
        <v>1191</v>
      </c>
      <c r="AD2010" s="13">
        <v>44770</v>
      </c>
      <c r="AE2010" s="12" t="s">
        <v>1192</v>
      </c>
      <c r="AF2010" s="12" t="s">
        <v>756</v>
      </c>
      <c r="AG2010" s="12" t="s">
        <v>1193</v>
      </c>
      <c r="AH2010" s="1">
        <f>HYPERLINK("https://my.pitchbook.com?c=201927-07T","View Company Online")</f>
      </c>
    </row>
    <row r="2011">
      <c r="A2011" s="3" t="s">
        <v>11427</v>
      </c>
      <c r="B2011" s="3" t="s">
        <v>4235</v>
      </c>
      <c r="C2011" s="5">
        <v>4</v>
      </c>
      <c r="D2011" s="5" t="s">
        <v>36</v>
      </c>
      <c r="E2011" s="5">
        <v>3</v>
      </c>
      <c r="F2011" s="5">
        <v>4</v>
      </c>
      <c r="G2011" s="6" t="s">
        <v>326</v>
      </c>
      <c r="H2011" s="4">
        <v>203.31</v>
      </c>
      <c r="I2011" s="7">
        <v>16.14</v>
      </c>
      <c r="J2011" s="3" t="s">
        <v>521</v>
      </c>
      <c r="K2011" s="9" t="s">
        <v>36</v>
      </c>
      <c r="L2011" s="6" t="s">
        <v>36</v>
      </c>
      <c r="M2011" s="3" t="s">
        <v>36</v>
      </c>
      <c r="N2011" s="3" t="s">
        <v>36</v>
      </c>
      <c r="O2011" s="8" t="s">
        <v>36</v>
      </c>
      <c r="P2011" s="3" t="s">
        <v>36</v>
      </c>
      <c r="Q2011" s="3" t="s">
        <v>36</v>
      </c>
      <c r="R2011" s="3" t="s">
        <v>36</v>
      </c>
      <c r="S2011" s="3" t="s">
        <v>4236</v>
      </c>
      <c r="T2011" s="3" t="s">
        <v>4237</v>
      </c>
      <c r="U2011" s="3" t="s">
        <v>219</v>
      </c>
      <c r="V2011" s="3" t="s">
        <v>75</v>
      </c>
      <c r="W2011" s="3" t="s">
        <v>4238</v>
      </c>
      <c r="X2011" s="10" t="s">
        <v>11428</v>
      </c>
      <c r="Y2011" s="6" t="s">
        <v>55</v>
      </c>
      <c r="Z2011" s="4">
        <v>7.04</v>
      </c>
      <c r="AA2011" s="4">
        <v>43.61</v>
      </c>
      <c r="AB2011" s="3" t="s">
        <v>56</v>
      </c>
      <c r="AC2011" s="3" t="s">
        <v>4240</v>
      </c>
      <c r="AD2011" s="9">
        <v>44770</v>
      </c>
      <c r="AE2011" s="3" t="s">
        <v>243</v>
      </c>
      <c r="AF2011" s="3" t="s">
        <v>4241</v>
      </c>
      <c r="AG2011" s="3" t="s">
        <v>1078</v>
      </c>
      <c r="AH2011" s="11">
        <f>HYPERLINK("https://my.pitchbook.com?c=202067-20T","View Company Online")</f>
      </c>
    </row>
    <row r="2012">
      <c r="A2012" s="12" t="s">
        <v>11429</v>
      </c>
      <c r="B2012" s="12" t="s">
        <v>11430</v>
      </c>
      <c r="C2012" s="19" t="s">
        <v>36</v>
      </c>
      <c r="D2012" s="19" t="s">
        <v>36</v>
      </c>
      <c r="E2012" s="19" t="s">
        <v>36</v>
      </c>
      <c r="F2012" s="19" t="s">
        <v>36</v>
      </c>
      <c r="G2012" s="15" t="s">
        <v>36</v>
      </c>
      <c r="H2012" s="14">
        <v>0.74</v>
      </c>
      <c r="I2012" s="18">
        <v>24.43</v>
      </c>
      <c r="J2012" s="12" t="s">
        <v>521</v>
      </c>
      <c r="K2012" s="13" t="s">
        <v>36</v>
      </c>
      <c r="L2012" s="15" t="s">
        <v>36</v>
      </c>
      <c r="M2012" s="12" t="s">
        <v>36</v>
      </c>
      <c r="N2012" s="12" t="s">
        <v>36</v>
      </c>
      <c r="O2012" s="17" t="s">
        <v>36</v>
      </c>
      <c r="P2012" s="12" t="s">
        <v>36</v>
      </c>
      <c r="Q2012" s="12" t="s">
        <v>36</v>
      </c>
      <c r="R2012" s="12" t="s">
        <v>36</v>
      </c>
      <c r="S2012" s="12" t="s">
        <v>36</v>
      </c>
      <c r="T2012" s="12" t="s">
        <v>11431</v>
      </c>
      <c r="U2012" s="12" t="s">
        <v>1336</v>
      </c>
      <c r="V2012" s="12" t="s">
        <v>367</v>
      </c>
      <c r="W2012" s="12" t="s">
        <v>11432</v>
      </c>
      <c r="X2012" s="16" t="s">
        <v>11433</v>
      </c>
      <c r="Y2012" s="15" t="s">
        <v>42</v>
      </c>
      <c r="Z2012" s="14">
        <v>0.11</v>
      </c>
      <c r="AA2012" s="14">
        <v>0.46</v>
      </c>
      <c r="AB2012" s="12" t="s">
        <v>56</v>
      </c>
      <c r="AC2012" s="12" t="s">
        <v>11434</v>
      </c>
      <c r="AD2012" s="13">
        <v>44770</v>
      </c>
      <c r="AE2012" s="12" t="s">
        <v>2464</v>
      </c>
      <c r="AF2012" s="12" t="s">
        <v>11435</v>
      </c>
      <c r="AG2012" s="12" t="s">
        <v>11436</v>
      </c>
      <c r="AH2012" s="1">
        <f>HYPERLINK("https://my.pitchbook.com?c=242472-70T","View Company Online")</f>
      </c>
    </row>
    <row r="2013">
      <c r="A2013" s="3" t="s">
        <v>11437</v>
      </c>
      <c r="B2013" s="3" t="s">
        <v>6676</v>
      </c>
      <c r="C2013" s="5" t="s">
        <v>36</v>
      </c>
      <c r="D2013" s="5" t="s">
        <v>36</v>
      </c>
      <c r="E2013" s="5" t="s">
        <v>36</v>
      </c>
      <c r="F2013" s="5" t="s">
        <v>36</v>
      </c>
      <c r="G2013" s="6" t="s">
        <v>326</v>
      </c>
      <c r="H2013" s="4">
        <v>120.9</v>
      </c>
      <c r="I2013" s="7">
        <v>6.6</v>
      </c>
      <c r="J2013" s="3" t="s">
        <v>521</v>
      </c>
      <c r="K2013" s="9" t="s">
        <v>36</v>
      </c>
      <c r="L2013" s="6" t="s">
        <v>36</v>
      </c>
      <c r="M2013" s="3" t="s">
        <v>36</v>
      </c>
      <c r="N2013" s="3" t="s">
        <v>36</v>
      </c>
      <c r="O2013" s="8" t="s">
        <v>36</v>
      </c>
      <c r="P2013" s="3" t="s">
        <v>36</v>
      </c>
      <c r="Q2013" s="3" t="s">
        <v>36</v>
      </c>
      <c r="R2013" s="3" t="s">
        <v>36</v>
      </c>
      <c r="S2013" s="3" t="s">
        <v>6677</v>
      </c>
      <c r="T2013" s="3" t="s">
        <v>6288</v>
      </c>
      <c r="U2013" s="3" t="s">
        <v>85</v>
      </c>
      <c r="V2013" s="3" t="s">
        <v>64</v>
      </c>
      <c r="W2013" s="3" t="s">
        <v>6678</v>
      </c>
      <c r="X2013" s="10" t="s">
        <v>11438</v>
      </c>
      <c r="Y2013" s="6" t="s">
        <v>108</v>
      </c>
      <c r="Z2013" s="4">
        <v>1.6</v>
      </c>
      <c r="AA2013" s="4">
        <v>24.29</v>
      </c>
      <c r="AB2013" s="3" t="s">
        <v>56</v>
      </c>
      <c r="AC2013" s="3" t="s">
        <v>6680</v>
      </c>
      <c r="AD2013" s="9">
        <v>44770</v>
      </c>
      <c r="AE2013" s="3" t="s">
        <v>89</v>
      </c>
      <c r="AF2013" s="3" t="s">
        <v>6681</v>
      </c>
      <c r="AG2013" s="3" t="s">
        <v>102</v>
      </c>
      <c r="AH2013" s="11">
        <f>HYPERLINK("https://my.pitchbook.com?c=202139-11T","View Company Online")</f>
      </c>
    </row>
    <row r="2014">
      <c r="A2014" s="12" t="s">
        <v>11439</v>
      </c>
      <c r="B2014" s="12" t="s">
        <v>11440</v>
      </c>
      <c r="C2014" s="19" t="s">
        <v>36</v>
      </c>
      <c r="D2014" s="19" t="s">
        <v>36</v>
      </c>
      <c r="E2014" s="19" t="s">
        <v>36</v>
      </c>
      <c r="F2014" s="19" t="s">
        <v>36</v>
      </c>
      <c r="G2014" s="15" t="s">
        <v>36</v>
      </c>
      <c r="H2014" s="14" t="s">
        <v>36</v>
      </c>
      <c r="I2014" s="18" t="s">
        <v>36</v>
      </c>
      <c r="J2014" s="12" t="s">
        <v>36</v>
      </c>
      <c r="K2014" s="13">
        <v>44757</v>
      </c>
      <c r="L2014" s="15" t="s">
        <v>36</v>
      </c>
      <c r="M2014" s="12" t="s">
        <v>36</v>
      </c>
      <c r="N2014" s="12" t="s">
        <v>36</v>
      </c>
      <c r="O2014" s="17" t="s">
        <v>36</v>
      </c>
      <c r="P2014" s="12" t="s">
        <v>36</v>
      </c>
      <c r="Q2014" s="12" t="s">
        <v>36</v>
      </c>
      <c r="R2014" s="12" t="s">
        <v>36</v>
      </c>
      <c r="S2014" s="12" t="s">
        <v>36</v>
      </c>
      <c r="T2014" s="12" t="s">
        <v>2811</v>
      </c>
      <c r="U2014" s="12" t="s">
        <v>219</v>
      </c>
      <c r="V2014" s="12" t="s">
        <v>75</v>
      </c>
      <c r="W2014" s="12" t="s">
        <v>11441</v>
      </c>
      <c r="X2014" s="16" t="s">
        <v>11442</v>
      </c>
      <c r="Y2014" s="15" t="s">
        <v>108</v>
      </c>
      <c r="Z2014" s="14">
        <v>57.3</v>
      </c>
      <c r="AA2014" s="14" t="s">
        <v>36</v>
      </c>
      <c r="AB2014" s="12" t="s">
        <v>56</v>
      </c>
      <c r="AC2014" s="12" t="s">
        <v>11443</v>
      </c>
      <c r="AD2014" s="13">
        <v>44769</v>
      </c>
      <c r="AE2014" s="12" t="s">
        <v>223</v>
      </c>
      <c r="AF2014" s="12" t="s">
        <v>11444</v>
      </c>
      <c r="AG2014" s="12" t="s">
        <v>644</v>
      </c>
      <c r="AH2014" s="1">
        <f>HYPERLINK("https://my.pitchbook.com?c=204347-08T","View Company Online")</f>
      </c>
    </row>
    <row r="2015">
      <c r="A2015" s="3" t="s">
        <v>11445</v>
      </c>
      <c r="B2015" s="3" t="s">
        <v>11446</v>
      </c>
      <c r="C2015" s="5" t="s">
        <v>36</v>
      </c>
      <c r="D2015" s="5" t="s">
        <v>36</v>
      </c>
      <c r="E2015" s="5" t="s">
        <v>36</v>
      </c>
      <c r="F2015" s="5" t="s">
        <v>36</v>
      </c>
      <c r="G2015" s="6" t="s">
        <v>326</v>
      </c>
      <c r="H2015" s="4">
        <v>12.57</v>
      </c>
      <c r="I2015" s="7">
        <v>18.49</v>
      </c>
      <c r="J2015" s="3" t="s">
        <v>521</v>
      </c>
      <c r="K2015" s="9">
        <v>44260</v>
      </c>
      <c r="L2015" s="6" t="s">
        <v>36</v>
      </c>
      <c r="M2015" s="3" t="s">
        <v>36</v>
      </c>
      <c r="N2015" s="3" t="s">
        <v>36</v>
      </c>
      <c r="O2015" s="8" t="s">
        <v>36</v>
      </c>
      <c r="P2015" s="3" t="s">
        <v>36</v>
      </c>
      <c r="Q2015" s="3" t="s">
        <v>36</v>
      </c>
      <c r="R2015" s="3" t="s">
        <v>36</v>
      </c>
      <c r="S2015" s="3" t="s">
        <v>36</v>
      </c>
      <c r="T2015" s="3" t="s">
        <v>647</v>
      </c>
      <c r="U2015" s="3" t="s">
        <v>648</v>
      </c>
      <c r="V2015" s="3" t="s">
        <v>64</v>
      </c>
      <c r="W2015" s="3" t="s">
        <v>11447</v>
      </c>
      <c r="X2015" s="10" t="s">
        <v>11448</v>
      </c>
      <c r="Y2015" s="6" t="s">
        <v>55</v>
      </c>
      <c r="Z2015" s="4">
        <v>9.32</v>
      </c>
      <c r="AA2015" s="4">
        <v>50.42</v>
      </c>
      <c r="AB2015" s="3" t="s">
        <v>56</v>
      </c>
      <c r="AC2015" s="3" t="s">
        <v>11449</v>
      </c>
      <c r="AD2015" s="9">
        <v>44769</v>
      </c>
      <c r="AE2015" s="3" t="s">
        <v>651</v>
      </c>
      <c r="AF2015" s="3" t="s">
        <v>11450</v>
      </c>
      <c r="AG2015" s="3" t="s">
        <v>11451</v>
      </c>
      <c r="AH2015" s="11">
        <f>HYPERLINK("https://my.pitchbook.com?c=212554-90T","View Company Online")</f>
      </c>
    </row>
    <row r="2016">
      <c r="A2016" s="12" t="s">
        <v>11452</v>
      </c>
      <c r="B2016" s="12" t="s">
        <v>11453</v>
      </c>
      <c r="C2016" s="19">
        <v>1</v>
      </c>
      <c r="D2016" s="19">
        <v>4</v>
      </c>
      <c r="E2016" s="19">
        <v>5</v>
      </c>
      <c r="F2016" s="19">
        <v>5</v>
      </c>
      <c r="G2016" s="15" t="s">
        <v>36</v>
      </c>
      <c r="H2016" s="14" t="s">
        <v>36</v>
      </c>
      <c r="I2016" s="18" t="s">
        <v>36</v>
      </c>
      <c r="J2016" s="12" t="s">
        <v>36</v>
      </c>
      <c r="K2016" s="13" t="s">
        <v>36</v>
      </c>
      <c r="L2016" s="15" t="s">
        <v>122</v>
      </c>
      <c r="M2016" s="12" t="s">
        <v>36</v>
      </c>
      <c r="N2016" s="12" t="s">
        <v>122</v>
      </c>
      <c r="O2016" s="17" t="s">
        <v>36</v>
      </c>
      <c r="P2016" s="12" t="s">
        <v>36</v>
      </c>
      <c r="Q2016" s="12" t="s">
        <v>36</v>
      </c>
      <c r="R2016" s="12" t="s">
        <v>36</v>
      </c>
      <c r="S2016" s="12" t="s">
        <v>36</v>
      </c>
      <c r="T2016" s="12" t="s">
        <v>154</v>
      </c>
      <c r="U2016" s="12" t="s">
        <v>51</v>
      </c>
      <c r="V2016" s="12" t="s">
        <v>52</v>
      </c>
      <c r="W2016" s="12" t="s">
        <v>11454</v>
      </c>
      <c r="X2016" s="16" t="s">
        <v>11455</v>
      </c>
      <c r="Y2016" s="15" t="s">
        <v>42</v>
      </c>
      <c r="Z2016" s="14">
        <v>10</v>
      </c>
      <c r="AA2016" s="14" t="s">
        <v>36</v>
      </c>
      <c r="AB2016" s="12" t="s">
        <v>43</v>
      </c>
      <c r="AC2016" s="12" t="s">
        <v>11456</v>
      </c>
      <c r="AD2016" s="13">
        <v>44769</v>
      </c>
      <c r="AE2016" s="12" t="s">
        <v>158</v>
      </c>
      <c r="AF2016" s="12" t="s">
        <v>59</v>
      </c>
      <c r="AG2016" s="12" t="s">
        <v>2370</v>
      </c>
      <c r="AH2016" s="1">
        <f>HYPERLINK("https://my.pitchbook.com?c=203626-27T","View Company Online")</f>
      </c>
    </row>
    <row r="2017">
      <c r="A2017" s="3" t="s">
        <v>11457</v>
      </c>
      <c r="B2017" s="3" t="s">
        <v>11458</v>
      </c>
      <c r="C2017" s="5" t="s">
        <v>36</v>
      </c>
      <c r="D2017" s="5" t="s">
        <v>36</v>
      </c>
      <c r="E2017" s="5" t="s">
        <v>36</v>
      </c>
      <c r="F2017" s="5" t="s">
        <v>36</v>
      </c>
      <c r="G2017" s="6" t="s">
        <v>36</v>
      </c>
      <c r="H2017" s="4">
        <v>546.34</v>
      </c>
      <c r="I2017" s="7">
        <v>12.56</v>
      </c>
      <c r="J2017" s="3" t="s">
        <v>521</v>
      </c>
      <c r="K2017" s="9" t="s">
        <v>36</v>
      </c>
      <c r="L2017" s="6" t="s">
        <v>122</v>
      </c>
      <c r="M2017" s="3" t="s">
        <v>36</v>
      </c>
      <c r="N2017" s="3" t="s">
        <v>122</v>
      </c>
      <c r="O2017" s="8" t="s">
        <v>36</v>
      </c>
      <c r="P2017" s="3" t="s">
        <v>36</v>
      </c>
      <c r="Q2017" s="3" t="s">
        <v>36</v>
      </c>
      <c r="R2017" s="3" t="s">
        <v>36</v>
      </c>
      <c r="S2017" s="3" t="s">
        <v>196</v>
      </c>
      <c r="T2017" s="3" t="s">
        <v>1106</v>
      </c>
      <c r="U2017" s="3" t="s">
        <v>38</v>
      </c>
      <c r="V2017" s="3" t="s">
        <v>39</v>
      </c>
      <c r="W2017" s="3" t="s">
        <v>11459</v>
      </c>
      <c r="X2017" s="10" t="s">
        <v>11460</v>
      </c>
      <c r="Y2017" s="6" t="s">
        <v>166</v>
      </c>
      <c r="Z2017" s="4">
        <v>1.29</v>
      </c>
      <c r="AA2017" s="4">
        <v>10.25</v>
      </c>
      <c r="AB2017" s="3" t="s">
        <v>56</v>
      </c>
      <c r="AC2017" s="3" t="s">
        <v>11461</v>
      </c>
      <c r="AD2017" s="9">
        <v>44768</v>
      </c>
      <c r="AE2017" s="3" t="s">
        <v>110</v>
      </c>
      <c r="AF2017" s="3" t="s">
        <v>11462</v>
      </c>
      <c r="AG2017" s="3" t="s">
        <v>741</v>
      </c>
      <c r="AH2017" s="11">
        <f>HYPERLINK("https://my.pitchbook.com?c=216030-52T","View Company Online")</f>
      </c>
    </row>
    <row r="2018">
      <c r="A2018" s="12" t="s">
        <v>11463</v>
      </c>
      <c r="B2018" s="12" t="s">
        <v>11464</v>
      </c>
      <c r="C2018" s="19" t="s">
        <v>36</v>
      </c>
      <c r="D2018" s="19" t="s">
        <v>36</v>
      </c>
      <c r="E2018" s="19" t="s">
        <v>36</v>
      </c>
      <c r="F2018" s="19" t="s">
        <v>36</v>
      </c>
      <c r="G2018" s="15" t="s">
        <v>36</v>
      </c>
      <c r="H2018" s="14">
        <v>5.61</v>
      </c>
      <c r="I2018" s="18">
        <v>20.97</v>
      </c>
      <c r="J2018" s="12" t="s">
        <v>521</v>
      </c>
      <c r="K2018" s="13" t="s">
        <v>36</v>
      </c>
      <c r="L2018" s="15" t="s">
        <v>36</v>
      </c>
      <c r="M2018" s="12" t="s">
        <v>36</v>
      </c>
      <c r="N2018" s="12" t="s">
        <v>36</v>
      </c>
      <c r="O2018" s="17" t="s">
        <v>36</v>
      </c>
      <c r="P2018" s="12" t="s">
        <v>36</v>
      </c>
      <c r="Q2018" s="12" t="s">
        <v>36</v>
      </c>
      <c r="R2018" s="12" t="s">
        <v>36</v>
      </c>
      <c r="S2018" s="12" t="s">
        <v>36</v>
      </c>
      <c r="T2018" s="12" t="s">
        <v>11465</v>
      </c>
      <c r="U2018" s="12" t="s">
        <v>38</v>
      </c>
      <c r="V2018" s="12" t="s">
        <v>39</v>
      </c>
      <c r="W2018" s="12" t="s">
        <v>11466</v>
      </c>
      <c r="X2018" s="16" t="s">
        <v>11467</v>
      </c>
      <c r="Y2018" s="15" t="s">
        <v>42</v>
      </c>
      <c r="Z2018" s="14">
        <v>0.88</v>
      </c>
      <c r="AA2018" s="14">
        <v>4.2</v>
      </c>
      <c r="AB2018" s="12" t="s">
        <v>43</v>
      </c>
      <c r="AC2018" s="12" t="s">
        <v>11468</v>
      </c>
      <c r="AD2018" s="13">
        <v>44768</v>
      </c>
      <c r="AE2018" s="12" t="s">
        <v>110</v>
      </c>
      <c r="AF2018" s="12" t="s">
        <v>176</v>
      </c>
      <c r="AG2018" s="12" t="s">
        <v>81</v>
      </c>
      <c r="AH2018" s="1">
        <f>HYPERLINK("https://my.pitchbook.com?c=190046-26T","View Company Online")</f>
      </c>
    </row>
    <row r="2019">
      <c r="A2019" s="3" t="s">
        <v>11469</v>
      </c>
      <c r="B2019" s="3" t="s">
        <v>11470</v>
      </c>
      <c r="C2019" s="5" t="s">
        <v>36</v>
      </c>
      <c r="D2019" s="5" t="s">
        <v>36</v>
      </c>
      <c r="E2019" s="5" t="s">
        <v>36</v>
      </c>
      <c r="F2019" s="5" t="s">
        <v>36</v>
      </c>
      <c r="G2019" s="6" t="s">
        <v>326</v>
      </c>
      <c r="H2019" s="4">
        <v>3.19</v>
      </c>
      <c r="I2019" s="7">
        <v>17.92</v>
      </c>
      <c r="J2019" s="3" t="s">
        <v>521</v>
      </c>
      <c r="K2019" s="9" t="s">
        <v>36</v>
      </c>
      <c r="L2019" s="6" t="s">
        <v>36</v>
      </c>
      <c r="M2019" s="3" t="s">
        <v>36</v>
      </c>
      <c r="N2019" s="3" t="s">
        <v>36</v>
      </c>
      <c r="O2019" s="8" t="s">
        <v>36</v>
      </c>
      <c r="P2019" s="3" t="s">
        <v>36</v>
      </c>
      <c r="Q2019" s="3" t="s">
        <v>36</v>
      </c>
      <c r="R2019" s="3" t="s">
        <v>36</v>
      </c>
      <c r="S2019" s="3" t="s">
        <v>36</v>
      </c>
      <c r="T2019" s="3" t="s">
        <v>11471</v>
      </c>
      <c r="U2019" s="3" t="s">
        <v>648</v>
      </c>
      <c r="V2019" s="3" t="s">
        <v>64</v>
      </c>
      <c r="W2019" s="3" t="s">
        <v>11472</v>
      </c>
      <c r="X2019" s="10" t="s">
        <v>1427</v>
      </c>
      <c r="Y2019" s="6" t="s">
        <v>108</v>
      </c>
      <c r="Z2019" s="4">
        <v>0.99</v>
      </c>
      <c r="AA2019" s="4">
        <v>5.55</v>
      </c>
      <c r="AB2019" s="3" t="s">
        <v>56</v>
      </c>
      <c r="AC2019" s="3" t="s">
        <v>11473</v>
      </c>
      <c r="AD2019" s="9">
        <v>44767</v>
      </c>
      <c r="AE2019" s="3" t="s">
        <v>1897</v>
      </c>
      <c r="AF2019" s="3" t="s">
        <v>4276</v>
      </c>
      <c r="AG2019" s="3" t="s">
        <v>102</v>
      </c>
      <c r="AH2019" s="11">
        <f>HYPERLINK("https://my.pitchbook.com?c=201544-75T","View Company Online")</f>
      </c>
    </row>
    <row r="2020">
      <c r="A2020" s="12" t="s">
        <v>11474</v>
      </c>
      <c r="B2020" s="12" t="s">
        <v>11475</v>
      </c>
      <c r="C2020" s="19" t="s">
        <v>36</v>
      </c>
      <c r="D2020" s="19" t="s">
        <v>36</v>
      </c>
      <c r="E2020" s="19" t="s">
        <v>36</v>
      </c>
      <c r="F2020" s="19" t="s">
        <v>36</v>
      </c>
      <c r="G2020" s="15" t="s">
        <v>683</v>
      </c>
      <c r="H2020" s="14" t="s">
        <v>36</v>
      </c>
      <c r="I2020" s="18">
        <v>16.91</v>
      </c>
      <c r="J2020" s="12" t="s">
        <v>521</v>
      </c>
      <c r="K2020" s="13" t="s">
        <v>36</v>
      </c>
      <c r="L2020" s="15" t="s">
        <v>36</v>
      </c>
      <c r="M2020" s="12" t="s">
        <v>36</v>
      </c>
      <c r="N2020" s="12" t="s">
        <v>36</v>
      </c>
      <c r="O2020" s="17" t="s">
        <v>36</v>
      </c>
      <c r="P2020" s="12" t="s">
        <v>36</v>
      </c>
      <c r="Q2020" s="12" t="s">
        <v>36</v>
      </c>
      <c r="R2020" s="12" t="s">
        <v>36</v>
      </c>
      <c r="S2020" s="12" t="s">
        <v>36</v>
      </c>
      <c r="T2020" s="12" t="s">
        <v>105</v>
      </c>
      <c r="U2020" s="12" t="s">
        <v>38</v>
      </c>
      <c r="V2020" s="12" t="s">
        <v>39</v>
      </c>
      <c r="W2020" s="12" t="s">
        <v>11476</v>
      </c>
      <c r="X2020" s="16" t="s">
        <v>11477</v>
      </c>
      <c r="Y2020" s="15" t="s">
        <v>108</v>
      </c>
      <c r="Z2020" s="14">
        <v>1.59</v>
      </c>
      <c r="AA2020" s="14">
        <v>9.32</v>
      </c>
      <c r="AB2020" s="12" t="s">
        <v>43</v>
      </c>
      <c r="AC2020" s="12" t="s">
        <v>11478</v>
      </c>
      <c r="AD2020" s="13">
        <v>44767</v>
      </c>
      <c r="AE2020" s="12" t="s">
        <v>110</v>
      </c>
      <c r="AF2020" s="12" t="s">
        <v>11479</v>
      </c>
      <c r="AG2020" s="12" t="s">
        <v>144</v>
      </c>
      <c r="AH2020" s="1">
        <f>HYPERLINK("https://my.pitchbook.com?c=205020-10T","View Company Online")</f>
      </c>
    </row>
    <row r="2021">
      <c r="A2021" s="3" t="s">
        <v>11480</v>
      </c>
      <c r="B2021" s="3" t="s">
        <v>11481</v>
      </c>
      <c r="C2021" s="5" t="s">
        <v>36</v>
      </c>
      <c r="D2021" s="5" t="s">
        <v>36</v>
      </c>
      <c r="E2021" s="5" t="s">
        <v>36</v>
      </c>
      <c r="F2021" s="5" t="s">
        <v>36</v>
      </c>
      <c r="G2021" s="6" t="s">
        <v>683</v>
      </c>
      <c r="H2021" s="4">
        <v>7.95</v>
      </c>
      <c r="I2021" s="7">
        <v>17.38</v>
      </c>
      <c r="J2021" s="3" t="s">
        <v>521</v>
      </c>
      <c r="K2021" s="9" t="s">
        <v>36</v>
      </c>
      <c r="L2021" s="6" t="s">
        <v>94</v>
      </c>
      <c r="M2021" s="3" t="s">
        <v>36</v>
      </c>
      <c r="N2021" s="3" t="s">
        <v>94</v>
      </c>
      <c r="O2021" s="8" t="s">
        <v>36</v>
      </c>
      <c r="P2021" s="3" t="s">
        <v>36</v>
      </c>
      <c r="Q2021" s="3" t="s">
        <v>36</v>
      </c>
      <c r="R2021" s="3" t="s">
        <v>36</v>
      </c>
      <c r="S2021" s="3" t="s">
        <v>36</v>
      </c>
      <c r="T2021" s="3" t="s">
        <v>2308</v>
      </c>
      <c r="U2021" s="3" t="s">
        <v>38</v>
      </c>
      <c r="V2021" s="3" t="s">
        <v>39</v>
      </c>
      <c r="W2021" s="3" t="s">
        <v>11482</v>
      </c>
      <c r="X2021" s="10" t="s">
        <v>11483</v>
      </c>
      <c r="Y2021" s="6" t="s">
        <v>55</v>
      </c>
      <c r="Z2021" s="4">
        <v>41.03</v>
      </c>
      <c r="AA2021" s="4">
        <v>206.5</v>
      </c>
      <c r="AB2021" s="3" t="s">
        <v>43</v>
      </c>
      <c r="AC2021" s="3" t="s">
        <v>11484</v>
      </c>
      <c r="AD2021" s="9">
        <v>44767</v>
      </c>
      <c r="AE2021" s="3" t="s">
        <v>45</v>
      </c>
      <c r="AF2021" s="3" t="s">
        <v>615</v>
      </c>
      <c r="AG2021" s="3" t="s">
        <v>81</v>
      </c>
      <c r="AH2021" s="11">
        <f>HYPERLINK("https://my.pitchbook.com?c=200149-03T","View Company Online")</f>
      </c>
    </row>
    <row r="2022">
      <c r="A2022" s="12" t="s">
        <v>11485</v>
      </c>
      <c r="B2022" s="12" t="s">
        <v>1063</v>
      </c>
      <c r="C2022" s="19">
        <v>23</v>
      </c>
      <c r="D2022" s="19">
        <v>334</v>
      </c>
      <c r="E2022" s="19">
        <v>107</v>
      </c>
      <c r="F2022" s="19">
        <v>391</v>
      </c>
      <c r="G2022" s="15" t="s">
        <v>36</v>
      </c>
      <c r="H2022" s="14" t="s">
        <v>36</v>
      </c>
      <c r="I2022" s="18">
        <v>28.39</v>
      </c>
      <c r="J2022" s="12" t="s">
        <v>327</v>
      </c>
      <c r="K2022" s="13" t="s">
        <v>36</v>
      </c>
      <c r="L2022" s="15" t="s">
        <v>36</v>
      </c>
      <c r="M2022" s="12" t="s">
        <v>36</v>
      </c>
      <c r="N2022" s="12" t="s">
        <v>36</v>
      </c>
      <c r="O2022" s="17" t="s">
        <v>36</v>
      </c>
      <c r="P2022" s="12" t="s">
        <v>36</v>
      </c>
      <c r="Q2022" s="12" t="s">
        <v>36</v>
      </c>
      <c r="R2022" s="12" t="s">
        <v>36</v>
      </c>
      <c r="S2022" s="12" t="s">
        <v>36</v>
      </c>
      <c r="T2022" s="12" t="s">
        <v>1064</v>
      </c>
      <c r="U2022" s="12" t="s">
        <v>833</v>
      </c>
      <c r="V2022" s="12" t="s">
        <v>64</v>
      </c>
      <c r="W2022" s="12" t="s">
        <v>1065</v>
      </c>
      <c r="X2022" s="16" t="s">
        <v>11486</v>
      </c>
      <c r="Y2022" s="15" t="s">
        <v>475</v>
      </c>
      <c r="Z2022" s="14">
        <v>58.25</v>
      </c>
      <c r="AA2022" s="14">
        <v>205.15</v>
      </c>
      <c r="AB2022" s="12" t="s">
        <v>56</v>
      </c>
      <c r="AC2022" s="12" t="s">
        <v>1068</v>
      </c>
      <c r="AD2022" s="13">
        <v>44764</v>
      </c>
      <c r="AE2022" s="12" t="s">
        <v>1069</v>
      </c>
      <c r="AF2022" s="12" t="s">
        <v>1070</v>
      </c>
      <c r="AG2022" s="12" t="s">
        <v>81</v>
      </c>
      <c r="AH2022" s="1">
        <f>HYPERLINK("https://my.pitchbook.com?c=203650-03T","View Company Online")</f>
      </c>
    </row>
    <row r="2023">
      <c r="A2023" s="3" t="s">
        <v>11487</v>
      </c>
      <c r="B2023" s="3" t="s">
        <v>2686</v>
      </c>
      <c r="C2023" s="5" t="s">
        <v>36</v>
      </c>
      <c r="D2023" s="5" t="s">
        <v>36</v>
      </c>
      <c r="E2023" s="5" t="s">
        <v>36</v>
      </c>
      <c r="F2023" s="5" t="s">
        <v>36</v>
      </c>
      <c r="G2023" s="6" t="s">
        <v>326</v>
      </c>
      <c r="H2023" s="4" t="s">
        <v>36</v>
      </c>
      <c r="I2023" s="7">
        <v>20.21</v>
      </c>
      <c r="J2023" s="3" t="s">
        <v>327</v>
      </c>
      <c r="K2023" s="9">
        <v>44706</v>
      </c>
      <c r="L2023" s="6" t="s">
        <v>122</v>
      </c>
      <c r="M2023" s="3" t="s">
        <v>36</v>
      </c>
      <c r="N2023" s="3" t="s">
        <v>122</v>
      </c>
      <c r="O2023" s="8" t="s">
        <v>36</v>
      </c>
      <c r="P2023" s="3" t="s">
        <v>36</v>
      </c>
      <c r="Q2023" s="3" t="s">
        <v>36</v>
      </c>
      <c r="R2023" s="3" t="s">
        <v>36</v>
      </c>
      <c r="S2023" s="3" t="s">
        <v>36</v>
      </c>
      <c r="T2023" s="3" t="s">
        <v>522</v>
      </c>
      <c r="U2023" s="3" t="s">
        <v>38</v>
      </c>
      <c r="V2023" s="3" t="s">
        <v>39</v>
      </c>
      <c r="W2023" s="3" t="s">
        <v>2687</v>
      </c>
      <c r="X2023" s="10" t="s">
        <v>11488</v>
      </c>
      <c r="Y2023" s="6" t="s">
        <v>108</v>
      </c>
      <c r="Z2023" s="4">
        <v>17.48</v>
      </c>
      <c r="AA2023" s="4">
        <v>86.46</v>
      </c>
      <c r="AB2023" s="3" t="s">
        <v>43</v>
      </c>
      <c r="AC2023" s="3" t="s">
        <v>2689</v>
      </c>
      <c r="AD2023" s="9">
        <v>44764</v>
      </c>
      <c r="AE2023" s="3" t="s">
        <v>110</v>
      </c>
      <c r="AF2023" s="3" t="s">
        <v>815</v>
      </c>
      <c r="AG2023" s="3" t="s">
        <v>81</v>
      </c>
      <c r="AH2023" s="11">
        <f>HYPERLINK("https://my.pitchbook.com?c=196618-33T","View Company Online")</f>
      </c>
    </row>
    <row r="2024">
      <c r="A2024" s="12" t="s">
        <v>11489</v>
      </c>
      <c r="B2024" s="12" t="s">
        <v>11490</v>
      </c>
      <c r="C2024" s="19">
        <v>1</v>
      </c>
      <c r="D2024" s="19">
        <v>17</v>
      </c>
      <c r="E2024" s="19">
        <v>7</v>
      </c>
      <c r="F2024" s="19">
        <v>27</v>
      </c>
      <c r="G2024" s="15" t="s">
        <v>683</v>
      </c>
      <c r="H2024" s="14">
        <v>8308.53</v>
      </c>
      <c r="I2024" s="18">
        <v>12.03</v>
      </c>
      <c r="J2024" s="12" t="s">
        <v>521</v>
      </c>
      <c r="K2024" s="13" t="s">
        <v>36</v>
      </c>
      <c r="L2024" s="15" t="s">
        <v>36</v>
      </c>
      <c r="M2024" s="12" t="s">
        <v>36</v>
      </c>
      <c r="N2024" s="12" t="s">
        <v>36</v>
      </c>
      <c r="O2024" s="17" t="s">
        <v>36</v>
      </c>
      <c r="P2024" s="12" t="s">
        <v>36</v>
      </c>
      <c r="Q2024" s="12" t="s">
        <v>36</v>
      </c>
      <c r="R2024" s="12" t="s">
        <v>36</v>
      </c>
      <c r="S2024" s="12" t="s">
        <v>36</v>
      </c>
      <c r="T2024" s="12" t="s">
        <v>139</v>
      </c>
      <c r="U2024" s="12" t="s">
        <v>96</v>
      </c>
      <c r="V2024" s="12" t="s">
        <v>52</v>
      </c>
      <c r="W2024" s="12" t="s">
        <v>11491</v>
      </c>
      <c r="X2024" s="16" t="s">
        <v>730</v>
      </c>
      <c r="Y2024" s="15" t="s">
        <v>55</v>
      </c>
      <c r="Z2024" s="14">
        <v>0.81</v>
      </c>
      <c r="AA2024" s="14">
        <v>6.74</v>
      </c>
      <c r="AB2024" s="12" t="s">
        <v>56</v>
      </c>
      <c r="AC2024" s="12" t="s">
        <v>11492</v>
      </c>
      <c r="AD2024" s="13">
        <v>44764</v>
      </c>
      <c r="AE2024" s="12" t="s">
        <v>143</v>
      </c>
      <c r="AF2024" s="12" t="s">
        <v>101</v>
      </c>
      <c r="AG2024" s="12" t="s">
        <v>11493</v>
      </c>
      <c r="AH2024" s="1">
        <f>HYPERLINK("https://my.pitchbook.com?c=202042-09T","View Company Online")</f>
      </c>
    </row>
    <row r="2025">
      <c r="A2025" s="3" t="s">
        <v>11494</v>
      </c>
      <c r="B2025" s="3" t="s">
        <v>11495</v>
      </c>
      <c r="C2025" s="5" t="s">
        <v>36</v>
      </c>
      <c r="D2025" s="5" t="s">
        <v>36</v>
      </c>
      <c r="E2025" s="5" t="s">
        <v>36</v>
      </c>
      <c r="F2025" s="5" t="s">
        <v>36</v>
      </c>
      <c r="G2025" s="6" t="s">
        <v>36</v>
      </c>
      <c r="H2025" s="4" t="s">
        <v>36</v>
      </c>
      <c r="I2025" s="7" t="s">
        <v>36</v>
      </c>
      <c r="J2025" s="3" t="s">
        <v>36</v>
      </c>
      <c r="K2025" s="9" t="s">
        <v>36</v>
      </c>
      <c r="L2025" s="6" t="s">
        <v>36</v>
      </c>
      <c r="M2025" s="3" t="s">
        <v>36</v>
      </c>
      <c r="N2025" s="3" t="s">
        <v>36</v>
      </c>
      <c r="O2025" s="8" t="s">
        <v>36</v>
      </c>
      <c r="P2025" s="3" t="s">
        <v>36</v>
      </c>
      <c r="Q2025" s="3" t="s">
        <v>36</v>
      </c>
      <c r="R2025" s="3" t="s">
        <v>36</v>
      </c>
      <c r="S2025" s="3" t="s">
        <v>36</v>
      </c>
      <c r="T2025" s="3" t="s">
        <v>11496</v>
      </c>
      <c r="U2025" s="3" t="s">
        <v>38</v>
      </c>
      <c r="V2025" s="3" t="s">
        <v>39</v>
      </c>
      <c r="W2025" s="3" t="s">
        <v>11497</v>
      </c>
      <c r="X2025" s="10" t="s">
        <v>11498</v>
      </c>
      <c r="Y2025" s="6" t="s">
        <v>108</v>
      </c>
      <c r="Z2025" s="4">
        <v>11.33</v>
      </c>
      <c r="AA2025" s="4" t="s">
        <v>36</v>
      </c>
      <c r="AB2025" s="3" t="s">
        <v>43</v>
      </c>
      <c r="AC2025" s="3" t="s">
        <v>11499</v>
      </c>
      <c r="AD2025" s="9">
        <v>44763</v>
      </c>
      <c r="AE2025" s="3" t="s">
        <v>45</v>
      </c>
      <c r="AF2025" s="3" t="s">
        <v>5816</v>
      </c>
      <c r="AG2025" s="3" t="s">
        <v>741</v>
      </c>
      <c r="AH2025" s="11">
        <f>HYPERLINK("https://my.pitchbook.com?c=199947-25T","View Company Online")</f>
      </c>
    </row>
    <row r="2026">
      <c r="A2026" s="12" t="s">
        <v>11500</v>
      </c>
      <c r="B2026" s="12" t="s">
        <v>11501</v>
      </c>
      <c r="C2026" s="19">
        <v>5</v>
      </c>
      <c r="D2026" s="19">
        <v>16</v>
      </c>
      <c r="E2026" s="19">
        <v>8</v>
      </c>
      <c r="F2026" s="19">
        <v>21</v>
      </c>
      <c r="G2026" s="15" t="s">
        <v>36</v>
      </c>
      <c r="H2026" s="14">
        <v>70.62</v>
      </c>
      <c r="I2026" s="18">
        <v>22.95</v>
      </c>
      <c r="J2026" s="12" t="s">
        <v>521</v>
      </c>
      <c r="K2026" s="13">
        <v>44720</v>
      </c>
      <c r="L2026" s="15" t="s">
        <v>36</v>
      </c>
      <c r="M2026" s="12" t="s">
        <v>36</v>
      </c>
      <c r="N2026" s="12" t="s">
        <v>36</v>
      </c>
      <c r="O2026" s="17" t="s">
        <v>36</v>
      </c>
      <c r="P2026" s="12" t="s">
        <v>36</v>
      </c>
      <c r="Q2026" s="12" t="s">
        <v>36</v>
      </c>
      <c r="R2026" s="12" t="s">
        <v>36</v>
      </c>
      <c r="S2026" s="12" t="s">
        <v>36</v>
      </c>
      <c r="T2026" s="12" t="s">
        <v>10606</v>
      </c>
      <c r="U2026" s="12" t="s">
        <v>377</v>
      </c>
      <c r="V2026" s="12" t="s">
        <v>378</v>
      </c>
      <c r="W2026" s="12" t="s">
        <v>11502</v>
      </c>
      <c r="X2026" s="16" t="s">
        <v>11503</v>
      </c>
      <c r="Y2026" s="15" t="s">
        <v>55</v>
      </c>
      <c r="Z2026" s="14">
        <v>4.64</v>
      </c>
      <c r="AA2026" s="14">
        <v>6.74</v>
      </c>
      <c r="AB2026" s="12" t="s">
        <v>56</v>
      </c>
      <c r="AC2026" s="12" t="s">
        <v>11504</v>
      </c>
      <c r="AD2026" s="13">
        <v>44762</v>
      </c>
      <c r="AE2026" s="12" t="s">
        <v>377</v>
      </c>
      <c r="AF2026" s="12" t="s">
        <v>822</v>
      </c>
      <c r="AG2026" s="12" t="s">
        <v>144</v>
      </c>
      <c r="AH2026" s="1">
        <f>HYPERLINK("https://my.pitchbook.com?c=199360-09T","View Company Online")</f>
      </c>
    </row>
    <row r="2027">
      <c r="A2027" s="3" t="s">
        <v>11505</v>
      </c>
      <c r="B2027" s="3" t="s">
        <v>11506</v>
      </c>
      <c r="C2027" s="5">
        <v>2</v>
      </c>
      <c r="D2027" s="5">
        <v>4</v>
      </c>
      <c r="E2027" s="5">
        <v>1</v>
      </c>
      <c r="F2027" s="5">
        <v>6</v>
      </c>
      <c r="G2027" s="6" t="s">
        <v>326</v>
      </c>
      <c r="H2027" s="4" t="s">
        <v>36</v>
      </c>
      <c r="I2027" s="7">
        <v>23.21</v>
      </c>
      <c r="J2027" s="3" t="s">
        <v>521</v>
      </c>
      <c r="K2027" s="9" t="s">
        <v>36</v>
      </c>
      <c r="L2027" s="6" t="s">
        <v>94</v>
      </c>
      <c r="M2027" s="3" t="s">
        <v>36</v>
      </c>
      <c r="N2027" s="3" t="s">
        <v>94</v>
      </c>
      <c r="O2027" s="8" t="s">
        <v>36</v>
      </c>
      <c r="P2027" s="3" t="s">
        <v>36</v>
      </c>
      <c r="Q2027" s="3" t="s">
        <v>36</v>
      </c>
      <c r="R2027" s="3" t="s">
        <v>36</v>
      </c>
      <c r="S2027" s="3" t="s">
        <v>36</v>
      </c>
      <c r="T2027" s="3" t="s">
        <v>11507</v>
      </c>
      <c r="U2027" s="3" t="s">
        <v>1336</v>
      </c>
      <c r="V2027" s="3" t="s">
        <v>367</v>
      </c>
      <c r="W2027" s="3" t="s">
        <v>11508</v>
      </c>
      <c r="X2027" s="10" t="s">
        <v>11509</v>
      </c>
      <c r="Y2027" s="6" t="s">
        <v>108</v>
      </c>
      <c r="Z2027" s="4">
        <v>14.95</v>
      </c>
      <c r="AA2027" s="4">
        <v>36.43</v>
      </c>
      <c r="AB2027" s="3" t="s">
        <v>56</v>
      </c>
      <c r="AC2027" s="3" t="s">
        <v>11510</v>
      </c>
      <c r="AD2027" s="9">
        <v>44762</v>
      </c>
      <c r="AE2027" s="3" t="s">
        <v>2464</v>
      </c>
      <c r="AF2027" s="3" t="s">
        <v>11511</v>
      </c>
      <c r="AG2027" s="3" t="s">
        <v>47</v>
      </c>
      <c r="AH2027" s="11">
        <f>HYPERLINK("https://my.pitchbook.com?c=199910-89T","View Company Online")</f>
      </c>
    </row>
    <row r="2028">
      <c r="A2028" s="12" t="s">
        <v>11512</v>
      </c>
      <c r="B2028" s="12" t="s">
        <v>11513</v>
      </c>
      <c r="C2028" s="19" t="s">
        <v>36</v>
      </c>
      <c r="D2028" s="19" t="s">
        <v>36</v>
      </c>
      <c r="E2028" s="19" t="s">
        <v>36</v>
      </c>
      <c r="F2028" s="19" t="s">
        <v>36</v>
      </c>
      <c r="G2028" s="15" t="s">
        <v>326</v>
      </c>
      <c r="H2028" s="14">
        <v>133.51</v>
      </c>
      <c r="I2028" s="18">
        <v>29.34</v>
      </c>
      <c r="J2028" s="12" t="s">
        <v>521</v>
      </c>
      <c r="K2028" s="13" t="s">
        <v>36</v>
      </c>
      <c r="L2028" s="15" t="s">
        <v>122</v>
      </c>
      <c r="M2028" s="12" t="s">
        <v>36</v>
      </c>
      <c r="N2028" s="12" t="s">
        <v>122</v>
      </c>
      <c r="O2028" s="17" t="s">
        <v>36</v>
      </c>
      <c r="P2028" s="12" t="s">
        <v>36</v>
      </c>
      <c r="Q2028" s="12" t="s">
        <v>36</v>
      </c>
      <c r="R2028" s="12" t="s">
        <v>36</v>
      </c>
      <c r="S2028" s="12" t="s">
        <v>36</v>
      </c>
      <c r="T2028" s="12" t="s">
        <v>11514</v>
      </c>
      <c r="U2028" s="12" t="s">
        <v>38</v>
      </c>
      <c r="V2028" s="12" t="s">
        <v>39</v>
      </c>
      <c r="W2028" s="12" t="s">
        <v>11515</v>
      </c>
      <c r="X2028" s="16" t="s">
        <v>11516</v>
      </c>
      <c r="Y2028" s="15" t="s">
        <v>108</v>
      </c>
      <c r="Z2028" s="14">
        <v>8.25</v>
      </c>
      <c r="AA2028" s="14">
        <v>22.85</v>
      </c>
      <c r="AB2028" s="12" t="s">
        <v>56</v>
      </c>
      <c r="AC2028" s="12" t="s">
        <v>11517</v>
      </c>
      <c r="AD2028" s="13">
        <v>44762</v>
      </c>
      <c r="AE2028" s="12" t="s">
        <v>45</v>
      </c>
      <c r="AF2028" s="12" t="s">
        <v>215</v>
      </c>
      <c r="AG2028" s="12" t="s">
        <v>81</v>
      </c>
      <c r="AH2028" s="1">
        <f>HYPERLINK("https://my.pitchbook.com?c=199898-20T","View Company Online")</f>
      </c>
    </row>
    <row r="2029">
      <c r="A2029" s="3" t="s">
        <v>11518</v>
      </c>
      <c r="B2029" s="3" t="s">
        <v>8603</v>
      </c>
      <c r="C2029" s="5" t="s">
        <v>36</v>
      </c>
      <c r="D2029" s="5" t="s">
        <v>36</v>
      </c>
      <c r="E2029" s="5" t="s">
        <v>36</v>
      </c>
      <c r="F2029" s="5" t="s">
        <v>36</v>
      </c>
      <c r="G2029" s="6" t="s">
        <v>36</v>
      </c>
      <c r="H2029" s="4" t="s">
        <v>36</v>
      </c>
      <c r="I2029" s="7">
        <v>25.76</v>
      </c>
      <c r="J2029" s="3" t="s">
        <v>327</v>
      </c>
      <c r="K2029" s="9">
        <v>44258</v>
      </c>
      <c r="L2029" s="6" t="s">
        <v>94</v>
      </c>
      <c r="M2029" s="3" t="s">
        <v>36</v>
      </c>
      <c r="N2029" s="3" t="s">
        <v>94</v>
      </c>
      <c r="O2029" s="8" t="s">
        <v>36</v>
      </c>
      <c r="P2029" s="3" t="s">
        <v>36</v>
      </c>
      <c r="Q2029" s="3" t="s">
        <v>36</v>
      </c>
      <c r="R2029" s="3" t="s">
        <v>36</v>
      </c>
      <c r="S2029" s="3" t="s">
        <v>36</v>
      </c>
      <c r="T2029" s="3" t="s">
        <v>8604</v>
      </c>
      <c r="U2029" s="3" t="s">
        <v>74</v>
      </c>
      <c r="V2029" s="3" t="s">
        <v>75</v>
      </c>
      <c r="W2029" s="3" t="s">
        <v>8605</v>
      </c>
      <c r="X2029" s="10" t="s">
        <v>11519</v>
      </c>
      <c r="Y2029" s="6" t="s">
        <v>192</v>
      </c>
      <c r="Z2029" s="4">
        <v>20.63</v>
      </c>
      <c r="AA2029" s="4">
        <v>80.08</v>
      </c>
      <c r="AB2029" s="3" t="s">
        <v>56</v>
      </c>
      <c r="AC2029" s="3" t="s">
        <v>8606</v>
      </c>
      <c r="AD2029" s="9">
        <v>44762</v>
      </c>
      <c r="AE2029" s="3" t="s">
        <v>2237</v>
      </c>
      <c r="AF2029" s="3" t="s">
        <v>8607</v>
      </c>
      <c r="AG2029" s="3" t="s">
        <v>81</v>
      </c>
      <c r="AH2029" s="11">
        <f>HYPERLINK("https://my.pitchbook.com?c=206591-95T","View Company Online")</f>
      </c>
    </row>
    <row r="2030">
      <c r="A2030" s="12" t="s">
        <v>11520</v>
      </c>
      <c r="B2030" s="12" t="s">
        <v>11521</v>
      </c>
      <c r="C2030" s="19" t="s">
        <v>36</v>
      </c>
      <c r="D2030" s="19" t="s">
        <v>36</v>
      </c>
      <c r="E2030" s="19" t="s">
        <v>36</v>
      </c>
      <c r="F2030" s="19" t="s">
        <v>36</v>
      </c>
      <c r="G2030" s="15" t="s">
        <v>36</v>
      </c>
      <c r="H2030" s="14" t="s">
        <v>36</v>
      </c>
      <c r="I2030" s="18">
        <v>18.18</v>
      </c>
      <c r="J2030" s="12" t="s">
        <v>327</v>
      </c>
      <c r="K2030" s="13" t="s">
        <v>36</v>
      </c>
      <c r="L2030" s="15" t="s">
        <v>36</v>
      </c>
      <c r="M2030" s="12" t="s">
        <v>36</v>
      </c>
      <c r="N2030" s="12" t="s">
        <v>36</v>
      </c>
      <c r="O2030" s="17" t="s">
        <v>36</v>
      </c>
      <c r="P2030" s="12" t="s">
        <v>36</v>
      </c>
      <c r="Q2030" s="12" t="s">
        <v>36</v>
      </c>
      <c r="R2030" s="12" t="s">
        <v>36</v>
      </c>
      <c r="S2030" s="12" t="s">
        <v>36</v>
      </c>
      <c r="T2030" s="12" t="s">
        <v>11522</v>
      </c>
      <c r="U2030" s="12" t="s">
        <v>38</v>
      </c>
      <c r="V2030" s="12" t="s">
        <v>39</v>
      </c>
      <c r="W2030" s="12" t="s">
        <v>11523</v>
      </c>
      <c r="X2030" s="16" t="s">
        <v>11524</v>
      </c>
      <c r="Y2030" s="15" t="s">
        <v>42</v>
      </c>
      <c r="Z2030" s="14">
        <v>2.78</v>
      </c>
      <c r="AA2030" s="14">
        <v>15.31</v>
      </c>
      <c r="AB2030" s="12" t="s">
        <v>56</v>
      </c>
      <c r="AC2030" s="12" t="s">
        <v>11525</v>
      </c>
      <c r="AD2030" s="13">
        <v>44762</v>
      </c>
      <c r="AE2030" s="12" t="s">
        <v>45</v>
      </c>
      <c r="AF2030" s="12" t="s">
        <v>11526</v>
      </c>
      <c r="AG2030" s="12" t="s">
        <v>81</v>
      </c>
      <c r="AH2030" s="1">
        <f>HYPERLINK("https://my.pitchbook.com?c=232303-78T","View Company Online")</f>
      </c>
    </row>
    <row r="2031">
      <c r="A2031" s="3" t="s">
        <v>11527</v>
      </c>
      <c r="B2031" s="3" t="s">
        <v>5760</v>
      </c>
      <c r="C2031" s="5">
        <v>48</v>
      </c>
      <c r="D2031" s="5">
        <v>52</v>
      </c>
      <c r="E2031" s="5">
        <v>20</v>
      </c>
      <c r="F2031" s="5">
        <v>109</v>
      </c>
      <c r="G2031" s="6" t="s">
        <v>326</v>
      </c>
      <c r="H2031" s="4">
        <v>9.78</v>
      </c>
      <c r="I2031" s="7">
        <v>11.31</v>
      </c>
      <c r="J2031" s="3" t="s">
        <v>521</v>
      </c>
      <c r="K2031" s="9" t="s">
        <v>36</v>
      </c>
      <c r="L2031" s="6" t="s">
        <v>36</v>
      </c>
      <c r="M2031" s="3" t="s">
        <v>36</v>
      </c>
      <c r="N2031" s="3" t="s">
        <v>36</v>
      </c>
      <c r="O2031" s="8" t="s">
        <v>36</v>
      </c>
      <c r="P2031" s="3" t="s">
        <v>36</v>
      </c>
      <c r="Q2031" s="3" t="s">
        <v>36</v>
      </c>
      <c r="R2031" s="3" t="s">
        <v>36</v>
      </c>
      <c r="S2031" s="3" t="s">
        <v>36</v>
      </c>
      <c r="T2031" s="3" t="s">
        <v>881</v>
      </c>
      <c r="U2031" s="3" t="s">
        <v>51</v>
      </c>
      <c r="V2031" s="3" t="s">
        <v>52</v>
      </c>
      <c r="W2031" s="3" t="s">
        <v>5761</v>
      </c>
      <c r="X2031" s="10" t="s">
        <v>11528</v>
      </c>
      <c r="Y2031" s="6" t="s">
        <v>1067</v>
      </c>
      <c r="Z2031" s="4">
        <v>41.28</v>
      </c>
      <c r="AA2031" s="4">
        <v>216.97</v>
      </c>
      <c r="AB2031" s="3" t="s">
        <v>56</v>
      </c>
      <c r="AC2031" s="3" t="s">
        <v>5763</v>
      </c>
      <c r="AD2031" s="9">
        <v>44761</v>
      </c>
      <c r="AE2031" s="3" t="s">
        <v>504</v>
      </c>
      <c r="AF2031" s="3" t="s">
        <v>665</v>
      </c>
      <c r="AG2031" s="3" t="s">
        <v>81</v>
      </c>
      <c r="AH2031" s="11">
        <f>HYPERLINK("https://my.pitchbook.com?c=199804-78T","View Company Online")</f>
      </c>
    </row>
    <row r="2032">
      <c r="A2032" s="12" t="s">
        <v>11529</v>
      </c>
      <c r="B2032" s="12" t="s">
        <v>4659</v>
      </c>
      <c r="C2032" s="19">
        <v>5</v>
      </c>
      <c r="D2032" s="19">
        <v>2</v>
      </c>
      <c r="E2032" s="19">
        <v>2</v>
      </c>
      <c r="F2032" s="19">
        <v>9</v>
      </c>
      <c r="G2032" s="15" t="s">
        <v>326</v>
      </c>
      <c r="H2032" s="14">
        <v>519.28</v>
      </c>
      <c r="I2032" s="18">
        <v>11.23</v>
      </c>
      <c r="J2032" s="12" t="s">
        <v>521</v>
      </c>
      <c r="K2032" s="13" t="s">
        <v>36</v>
      </c>
      <c r="L2032" s="15" t="s">
        <v>36</v>
      </c>
      <c r="M2032" s="12" t="s">
        <v>36</v>
      </c>
      <c r="N2032" s="12" t="s">
        <v>36</v>
      </c>
      <c r="O2032" s="17" t="s">
        <v>36</v>
      </c>
      <c r="P2032" s="12" t="s">
        <v>36</v>
      </c>
      <c r="Q2032" s="12" t="s">
        <v>36</v>
      </c>
      <c r="R2032" s="12" t="s">
        <v>36</v>
      </c>
      <c r="S2032" s="12" t="s">
        <v>36</v>
      </c>
      <c r="T2032" s="12" t="s">
        <v>1227</v>
      </c>
      <c r="U2032" s="12" t="s">
        <v>74</v>
      </c>
      <c r="V2032" s="12" t="s">
        <v>75</v>
      </c>
      <c r="W2032" s="12" t="s">
        <v>4660</v>
      </c>
      <c r="X2032" s="16" t="s">
        <v>11530</v>
      </c>
      <c r="Y2032" s="15" t="s">
        <v>108</v>
      </c>
      <c r="Z2032" s="14">
        <v>1.05</v>
      </c>
      <c r="AA2032" s="14">
        <v>9.38</v>
      </c>
      <c r="AB2032" s="12" t="s">
        <v>56</v>
      </c>
      <c r="AC2032" s="12" t="s">
        <v>4662</v>
      </c>
      <c r="AD2032" s="13">
        <v>44761</v>
      </c>
      <c r="AE2032" s="12" t="s">
        <v>570</v>
      </c>
      <c r="AF2032" s="12" t="s">
        <v>36</v>
      </c>
      <c r="AG2032" s="12" t="s">
        <v>1193</v>
      </c>
      <c r="AH2032" s="1">
        <f>HYPERLINK("https://my.pitchbook.com?c=201788-02T","View Company Online")</f>
      </c>
    </row>
    <row r="2033">
      <c r="A2033" s="3" t="s">
        <v>11531</v>
      </c>
      <c r="B2033" s="3" t="s">
        <v>11532</v>
      </c>
      <c r="C2033" s="5" t="s">
        <v>36</v>
      </c>
      <c r="D2033" s="5" t="s">
        <v>36</v>
      </c>
      <c r="E2033" s="5" t="s">
        <v>36</v>
      </c>
      <c r="F2033" s="5" t="s">
        <v>36</v>
      </c>
      <c r="G2033" s="6" t="s">
        <v>36</v>
      </c>
      <c r="H2033" s="4">
        <v>207.71</v>
      </c>
      <c r="I2033" s="7">
        <v>26.39</v>
      </c>
      <c r="J2033" s="3" t="s">
        <v>521</v>
      </c>
      <c r="K2033" s="9" t="s">
        <v>36</v>
      </c>
      <c r="L2033" s="6" t="s">
        <v>36</v>
      </c>
      <c r="M2033" s="3" t="s">
        <v>36</v>
      </c>
      <c r="N2033" s="3" t="s">
        <v>36</v>
      </c>
      <c r="O2033" s="8" t="s">
        <v>36</v>
      </c>
      <c r="P2033" s="3" t="s">
        <v>36</v>
      </c>
      <c r="Q2033" s="3" t="s">
        <v>36</v>
      </c>
      <c r="R2033" s="3" t="s">
        <v>36</v>
      </c>
      <c r="S2033" s="3" t="s">
        <v>36</v>
      </c>
      <c r="T2033" s="3" t="s">
        <v>11533</v>
      </c>
      <c r="U2033" s="3" t="s">
        <v>648</v>
      </c>
      <c r="V2033" s="3" t="s">
        <v>64</v>
      </c>
      <c r="W2033" s="3" t="s">
        <v>11534</v>
      </c>
      <c r="X2033" s="10" t="s">
        <v>11535</v>
      </c>
      <c r="Y2033" s="6" t="s">
        <v>42</v>
      </c>
      <c r="Z2033" s="4">
        <v>7.4</v>
      </c>
      <c r="AA2033" s="4">
        <v>28.04</v>
      </c>
      <c r="AB2033" s="3" t="s">
        <v>43</v>
      </c>
      <c r="AC2033" s="3" t="s">
        <v>11536</v>
      </c>
      <c r="AD2033" s="9">
        <v>44761</v>
      </c>
      <c r="AE2033" s="3" t="s">
        <v>651</v>
      </c>
      <c r="AF2033" s="3" t="s">
        <v>11537</v>
      </c>
      <c r="AG2033" s="3" t="s">
        <v>81</v>
      </c>
      <c r="AH2033" s="11">
        <f>HYPERLINK("https://my.pitchbook.com?c=227999-35T","View Company Online")</f>
      </c>
    </row>
    <row r="2034">
      <c r="A2034" s="12" t="s">
        <v>11538</v>
      </c>
      <c r="B2034" s="12" t="s">
        <v>11539</v>
      </c>
      <c r="C2034" s="19" t="s">
        <v>36</v>
      </c>
      <c r="D2034" s="19" t="s">
        <v>36</v>
      </c>
      <c r="E2034" s="19" t="s">
        <v>36</v>
      </c>
      <c r="F2034" s="19" t="s">
        <v>36</v>
      </c>
      <c r="G2034" s="15" t="s">
        <v>326</v>
      </c>
      <c r="H2034" s="14">
        <v>63.01</v>
      </c>
      <c r="I2034" s="18">
        <v>18.47</v>
      </c>
      <c r="J2034" s="12" t="s">
        <v>521</v>
      </c>
      <c r="K2034" s="13" t="s">
        <v>36</v>
      </c>
      <c r="L2034" s="15" t="s">
        <v>36</v>
      </c>
      <c r="M2034" s="12" t="s">
        <v>36</v>
      </c>
      <c r="N2034" s="12" t="s">
        <v>36</v>
      </c>
      <c r="O2034" s="17" t="s">
        <v>36</v>
      </c>
      <c r="P2034" s="12" t="s">
        <v>36</v>
      </c>
      <c r="Q2034" s="12" t="s">
        <v>36</v>
      </c>
      <c r="R2034" s="12" t="s">
        <v>36</v>
      </c>
      <c r="S2034" s="12" t="s">
        <v>36</v>
      </c>
      <c r="T2034" s="12" t="s">
        <v>9243</v>
      </c>
      <c r="U2034" s="12" t="s">
        <v>423</v>
      </c>
      <c r="V2034" s="12" t="s">
        <v>64</v>
      </c>
      <c r="W2034" s="12" t="s">
        <v>11540</v>
      </c>
      <c r="X2034" s="16" t="s">
        <v>11541</v>
      </c>
      <c r="Y2034" s="15" t="s">
        <v>108</v>
      </c>
      <c r="Z2034" s="14">
        <v>0.66</v>
      </c>
      <c r="AA2034" s="14">
        <v>3.59</v>
      </c>
      <c r="AB2034" s="12" t="s">
        <v>56</v>
      </c>
      <c r="AC2034" s="12" t="s">
        <v>11542</v>
      </c>
      <c r="AD2034" s="13">
        <v>44761</v>
      </c>
      <c r="AE2034" s="12" t="s">
        <v>427</v>
      </c>
      <c r="AF2034" s="12" t="s">
        <v>90</v>
      </c>
      <c r="AG2034" s="12" t="s">
        <v>3774</v>
      </c>
      <c r="AH2034" s="1">
        <f>HYPERLINK("https://my.pitchbook.com?c=188718-94T","View Company Online")</f>
      </c>
    </row>
    <row r="2035">
      <c r="A2035" s="3" t="s">
        <v>11543</v>
      </c>
      <c r="B2035" s="3" t="s">
        <v>11544</v>
      </c>
      <c r="C2035" s="5" t="s">
        <v>36</v>
      </c>
      <c r="D2035" s="5" t="s">
        <v>36</v>
      </c>
      <c r="E2035" s="5" t="s">
        <v>36</v>
      </c>
      <c r="F2035" s="5" t="s">
        <v>36</v>
      </c>
      <c r="G2035" s="6" t="s">
        <v>326</v>
      </c>
      <c r="H2035" s="4">
        <v>29.18</v>
      </c>
      <c r="I2035" s="7">
        <v>13.62</v>
      </c>
      <c r="J2035" s="3" t="s">
        <v>521</v>
      </c>
      <c r="K2035" s="9" t="s">
        <v>36</v>
      </c>
      <c r="L2035" s="6" t="s">
        <v>122</v>
      </c>
      <c r="M2035" s="3" t="s">
        <v>36</v>
      </c>
      <c r="N2035" s="3" t="s">
        <v>122</v>
      </c>
      <c r="O2035" s="8" t="s">
        <v>36</v>
      </c>
      <c r="P2035" s="3" t="s">
        <v>36</v>
      </c>
      <c r="Q2035" s="3" t="s">
        <v>36</v>
      </c>
      <c r="R2035" s="3" t="s">
        <v>36</v>
      </c>
      <c r="S2035" s="3" t="s">
        <v>36</v>
      </c>
      <c r="T2035" s="3" t="s">
        <v>62</v>
      </c>
      <c r="U2035" s="3" t="s">
        <v>63</v>
      </c>
      <c r="V2035" s="3" t="s">
        <v>64</v>
      </c>
      <c r="W2035" s="3" t="s">
        <v>11545</v>
      </c>
      <c r="X2035" s="10" t="s">
        <v>11546</v>
      </c>
      <c r="Y2035" s="6" t="s">
        <v>166</v>
      </c>
      <c r="Z2035" s="4">
        <v>4.43</v>
      </c>
      <c r="AA2035" s="4">
        <v>32.54</v>
      </c>
      <c r="AB2035" s="3" t="s">
        <v>56</v>
      </c>
      <c r="AC2035" s="3" t="s">
        <v>11547</v>
      </c>
      <c r="AD2035" s="9">
        <v>44760</v>
      </c>
      <c r="AE2035" s="3" t="s">
        <v>68</v>
      </c>
      <c r="AF2035" s="3" t="s">
        <v>36</v>
      </c>
      <c r="AG2035" s="3" t="s">
        <v>81</v>
      </c>
      <c r="AH2035" s="11">
        <f>HYPERLINK("https://my.pitchbook.com?c=205598-17T","View Company Online")</f>
      </c>
    </row>
    <row r="2036">
      <c r="A2036" s="12" t="s">
        <v>11548</v>
      </c>
      <c r="B2036" s="12" t="s">
        <v>5122</v>
      </c>
      <c r="C2036" s="19">
        <v>7</v>
      </c>
      <c r="D2036" s="19">
        <v>2</v>
      </c>
      <c r="E2036" s="19">
        <v>4</v>
      </c>
      <c r="F2036" s="19">
        <v>9</v>
      </c>
      <c r="G2036" s="15" t="s">
        <v>326</v>
      </c>
      <c r="H2036" s="14">
        <v>30.7</v>
      </c>
      <c r="I2036" s="18">
        <v>42.86</v>
      </c>
      <c r="J2036" s="12" t="s">
        <v>521</v>
      </c>
      <c r="K2036" s="13" t="s">
        <v>36</v>
      </c>
      <c r="L2036" s="15" t="s">
        <v>36</v>
      </c>
      <c r="M2036" s="12" t="s">
        <v>36</v>
      </c>
      <c r="N2036" s="12" t="s">
        <v>36</v>
      </c>
      <c r="O2036" s="17" t="s">
        <v>36</v>
      </c>
      <c r="P2036" s="12" t="s">
        <v>36</v>
      </c>
      <c r="Q2036" s="12" t="s">
        <v>36</v>
      </c>
      <c r="R2036" s="12" t="s">
        <v>36</v>
      </c>
      <c r="S2036" s="12" t="s">
        <v>36</v>
      </c>
      <c r="T2036" s="12" t="s">
        <v>5123</v>
      </c>
      <c r="U2036" s="12" t="s">
        <v>74</v>
      </c>
      <c r="V2036" s="12" t="s">
        <v>75</v>
      </c>
      <c r="W2036" s="12" t="s">
        <v>5124</v>
      </c>
      <c r="X2036" s="16" t="s">
        <v>11549</v>
      </c>
      <c r="Y2036" s="15" t="s">
        <v>55</v>
      </c>
      <c r="Z2036" s="14">
        <v>20.51</v>
      </c>
      <c r="AA2036" s="14">
        <v>41.37</v>
      </c>
      <c r="AB2036" s="12" t="s">
        <v>43</v>
      </c>
      <c r="AC2036" s="12" t="s">
        <v>5126</v>
      </c>
      <c r="AD2036" s="13">
        <v>44759</v>
      </c>
      <c r="AE2036" s="12" t="s">
        <v>1888</v>
      </c>
      <c r="AF2036" s="12" t="s">
        <v>982</v>
      </c>
      <c r="AG2036" s="12" t="s">
        <v>5127</v>
      </c>
      <c r="AH2036" s="1">
        <f>HYPERLINK("https://my.pitchbook.com?c=196261-39T","View Company Online")</f>
      </c>
    </row>
    <row r="2037">
      <c r="A2037" s="3" t="s">
        <v>11550</v>
      </c>
      <c r="B2037" s="3" t="s">
        <v>4763</v>
      </c>
      <c r="C2037" s="5">
        <v>20</v>
      </c>
      <c r="D2037" s="5">
        <v>97</v>
      </c>
      <c r="E2037" s="5">
        <v>70</v>
      </c>
      <c r="F2037" s="5">
        <v>130</v>
      </c>
      <c r="G2037" s="6" t="s">
        <v>326</v>
      </c>
      <c r="H2037" s="4">
        <v>10.19</v>
      </c>
      <c r="I2037" s="7">
        <v>6.99</v>
      </c>
      <c r="J2037" s="3" t="s">
        <v>521</v>
      </c>
      <c r="K2037" s="9">
        <v>44757</v>
      </c>
      <c r="L2037" s="6" t="s">
        <v>1846</v>
      </c>
      <c r="M2037" s="3" t="s">
        <v>36</v>
      </c>
      <c r="N2037" s="3" t="s">
        <v>1846</v>
      </c>
      <c r="O2037" s="8" t="s">
        <v>36</v>
      </c>
      <c r="P2037" s="3" t="s">
        <v>36</v>
      </c>
      <c r="Q2037" s="3" t="s">
        <v>36</v>
      </c>
      <c r="R2037" s="3" t="s">
        <v>36</v>
      </c>
      <c r="S2037" s="3" t="s">
        <v>196</v>
      </c>
      <c r="T2037" s="3" t="s">
        <v>522</v>
      </c>
      <c r="U2037" s="3" t="s">
        <v>38</v>
      </c>
      <c r="V2037" s="3" t="s">
        <v>39</v>
      </c>
      <c r="W2037" s="3" t="s">
        <v>4764</v>
      </c>
      <c r="X2037" s="10" t="s">
        <v>11551</v>
      </c>
      <c r="Y2037" s="6" t="s">
        <v>475</v>
      </c>
      <c r="Z2037" s="4">
        <v>603.1</v>
      </c>
      <c r="AA2037" s="4">
        <v>5686.4</v>
      </c>
      <c r="AB2037" s="3" t="s">
        <v>56</v>
      </c>
      <c r="AC2037" s="3" t="s">
        <v>4766</v>
      </c>
      <c r="AD2037" s="9">
        <v>44757</v>
      </c>
      <c r="AE2037" s="3" t="s">
        <v>110</v>
      </c>
      <c r="AF2037" s="3" t="s">
        <v>111</v>
      </c>
      <c r="AG2037" s="3" t="s">
        <v>81</v>
      </c>
      <c r="AH2037" s="11">
        <f>HYPERLINK("https://my.pitchbook.com?c=199952-56T","View Company Online")</f>
      </c>
    </row>
    <row r="2038">
      <c r="A2038" s="12" t="s">
        <v>11552</v>
      </c>
      <c r="B2038" s="12" t="s">
        <v>587</v>
      </c>
      <c r="C2038" s="19">
        <v>3</v>
      </c>
      <c r="D2038" s="19">
        <v>7</v>
      </c>
      <c r="E2038" s="19">
        <v>3</v>
      </c>
      <c r="F2038" s="19">
        <v>10</v>
      </c>
      <c r="G2038" s="15" t="s">
        <v>326</v>
      </c>
      <c r="H2038" s="14">
        <v>23.55</v>
      </c>
      <c r="I2038" s="18">
        <v>10.87</v>
      </c>
      <c r="J2038" s="12" t="s">
        <v>521</v>
      </c>
      <c r="K2038" s="13" t="s">
        <v>36</v>
      </c>
      <c r="L2038" s="15" t="s">
        <v>36</v>
      </c>
      <c r="M2038" s="12" t="s">
        <v>36</v>
      </c>
      <c r="N2038" s="12" t="s">
        <v>36</v>
      </c>
      <c r="O2038" s="17" t="s">
        <v>36</v>
      </c>
      <c r="P2038" s="12" t="s">
        <v>36</v>
      </c>
      <c r="Q2038" s="12" t="s">
        <v>36</v>
      </c>
      <c r="R2038" s="12" t="s">
        <v>36</v>
      </c>
      <c r="S2038" s="12" t="s">
        <v>36</v>
      </c>
      <c r="T2038" s="12" t="s">
        <v>588</v>
      </c>
      <c r="U2038" s="12" t="s">
        <v>318</v>
      </c>
      <c r="V2038" s="12" t="s">
        <v>39</v>
      </c>
      <c r="W2038" s="12" t="s">
        <v>589</v>
      </c>
      <c r="X2038" s="16" t="s">
        <v>11553</v>
      </c>
      <c r="Y2038" s="15" t="s">
        <v>42</v>
      </c>
      <c r="Z2038" s="14">
        <v>1.27</v>
      </c>
      <c r="AA2038" s="14">
        <v>11.63</v>
      </c>
      <c r="AB2038" s="12" t="s">
        <v>43</v>
      </c>
      <c r="AC2038" s="12" t="s">
        <v>591</v>
      </c>
      <c r="AD2038" s="13">
        <v>44757</v>
      </c>
      <c r="AE2038" s="12" t="s">
        <v>417</v>
      </c>
      <c r="AF2038" s="12" t="s">
        <v>592</v>
      </c>
      <c r="AG2038" s="12" t="s">
        <v>81</v>
      </c>
      <c r="AH2038" s="1">
        <f>HYPERLINK("https://my.pitchbook.com?c=201786-31T","View Company Online")</f>
      </c>
    </row>
    <row r="2039">
      <c r="A2039" s="3" t="s">
        <v>11554</v>
      </c>
      <c r="B2039" s="3" t="s">
        <v>11555</v>
      </c>
      <c r="C2039" s="5" t="s">
        <v>36</v>
      </c>
      <c r="D2039" s="5" t="s">
        <v>36</v>
      </c>
      <c r="E2039" s="5" t="s">
        <v>36</v>
      </c>
      <c r="F2039" s="5" t="s">
        <v>36</v>
      </c>
      <c r="G2039" s="6" t="s">
        <v>36</v>
      </c>
      <c r="H2039" s="4" t="s">
        <v>36</v>
      </c>
      <c r="I2039" s="7" t="s">
        <v>36</v>
      </c>
      <c r="J2039" s="3" t="s">
        <v>36</v>
      </c>
      <c r="K2039" s="9" t="s">
        <v>36</v>
      </c>
      <c r="L2039" s="6" t="s">
        <v>122</v>
      </c>
      <c r="M2039" s="3" t="s">
        <v>36</v>
      </c>
      <c r="N2039" s="3" t="s">
        <v>122</v>
      </c>
      <c r="O2039" s="8" t="s">
        <v>36</v>
      </c>
      <c r="P2039" s="3" t="s">
        <v>36</v>
      </c>
      <c r="Q2039" s="3" t="s">
        <v>36</v>
      </c>
      <c r="R2039" s="3" t="s">
        <v>36</v>
      </c>
      <c r="S2039" s="3" t="s">
        <v>36</v>
      </c>
      <c r="T2039" s="3" t="s">
        <v>10467</v>
      </c>
      <c r="U2039" s="3" t="s">
        <v>423</v>
      </c>
      <c r="V2039" s="3" t="s">
        <v>64</v>
      </c>
      <c r="W2039" s="3" t="s">
        <v>11556</v>
      </c>
      <c r="X2039" s="10" t="s">
        <v>11557</v>
      </c>
      <c r="Y2039" s="6" t="s">
        <v>108</v>
      </c>
      <c r="Z2039" s="4" t="s">
        <v>36</v>
      </c>
      <c r="AA2039" s="4" t="s">
        <v>36</v>
      </c>
      <c r="AB2039" s="3" t="s">
        <v>56</v>
      </c>
      <c r="AC2039" s="3" t="s">
        <v>11558</v>
      </c>
      <c r="AD2039" s="9">
        <v>44757</v>
      </c>
      <c r="AE2039" s="3" t="s">
        <v>427</v>
      </c>
      <c r="AF2039" s="3" t="s">
        <v>4270</v>
      </c>
      <c r="AG2039" s="3" t="s">
        <v>11559</v>
      </c>
      <c r="AH2039" s="11">
        <f>HYPERLINK("https://my.pitchbook.com?c=205533-01T","View Company Online")</f>
      </c>
    </row>
    <row r="2040">
      <c r="A2040" s="12" t="s">
        <v>11560</v>
      </c>
      <c r="B2040" s="12" t="s">
        <v>11561</v>
      </c>
      <c r="C2040" s="19" t="s">
        <v>36</v>
      </c>
      <c r="D2040" s="19" t="s">
        <v>36</v>
      </c>
      <c r="E2040" s="19" t="s">
        <v>36</v>
      </c>
      <c r="F2040" s="19" t="s">
        <v>36</v>
      </c>
      <c r="G2040" s="15" t="s">
        <v>36</v>
      </c>
      <c r="H2040" s="14" t="s">
        <v>36</v>
      </c>
      <c r="I2040" s="18" t="s">
        <v>36</v>
      </c>
      <c r="J2040" s="12" t="s">
        <v>36</v>
      </c>
      <c r="K2040" s="13" t="s">
        <v>36</v>
      </c>
      <c r="L2040" s="15" t="s">
        <v>36</v>
      </c>
      <c r="M2040" s="12" t="s">
        <v>36</v>
      </c>
      <c r="N2040" s="12" t="s">
        <v>36</v>
      </c>
      <c r="O2040" s="17" t="s">
        <v>36</v>
      </c>
      <c r="P2040" s="12" t="s">
        <v>36</v>
      </c>
      <c r="Q2040" s="12" t="s">
        <v>36</v>
      </c>
      <c r="R2040" s="12" t="s">
        <v>36</v>
      </c>
      <c r="S2040" s="12" t="s">
        <v>36</v>
      </c>
      <c r="T2040" s="12" t="s">
        <v>1990</v>
      </c>
      <c r="U2040" s="12" t="s">
        <v>38</v>
      </c>
      <c r="V2040" s="12" t="s">
        <v>39</v>
      </c>
      <c r="W2040" s="12" t="s">
        <v>11562</v>
      </c>
      <c r="X2040" s="16" t="s">
        <v>11563</v>
      </c>
      <c r="Y2040" s="15" t="s">
        <v>42</v>
      </c>
      <c r="Z2040" s="14">
        <v>1.56</v>
      </c>
      <c r="AA2040" s="14" t="s">
        <v>36</v>
      </c>
      <c r="AB2040" s="12" t="s">
        <v>43</v>
      </c>
      <c r="AC2040" s="12" t="s">
        <v>11564</v>
      </c>
      <c r="AD2040" s="13">
        <v>44757</v>
      </c>
      <c r="AE2040" s="12" t="s">
        <v>110</v>
      </c>
      <c r="AF2040" s="12" t="s">
        <v>111</v>
      </c>
      <c r="AG2040" s="12" t="s">
        <v>81</v>
      </c>
      <c r="AH2040" s="1">
        <f>HYPERLINK("https://my.pitchbook.com?c=219515-77T","View Company Online")</f>
      </c>
    </row>
    <row r="2041">
      <c r="A2041" s="3" t="s">
        <v>11565</v>
      </c>
      <c r="B2041" s="3" t="s">
        <v>11566</v>
      </c>
      <c r="C2041" s="5" t="s">
        <v>36</v>
      </c>
      <c r="D2041" s="5" t="s">
        <v>36</v>
      </c>
      <c r="E2041" s="5" t="s">
        <v>36</v>
      </c>
      <c r="F2041" s="5" t="s">
        <v>36</v>
      </c>
      <c r="G2041" s="6" t="s">
        <v>36</v>
      </c>
      <c r="H2041" s="4" t="s">
        <v>36</v>
      </c>
      <c r="I2041" s="7" t="s">
        <v>36</v>
      </c>
      <c r="J2041" s="3" t="s">
        <v>36</v>
      </c>
      <c r="K2041" s="9" t="s">
        <v>36</v>
      </c>
      <c r="L2041" s="6" t="s">
        <v>36</v>
      </c>
      <c r="M2041" s="3" t="s">
        <v>36</v>
      </c>
      <c r="N2041" s="3" t="s">
        <v>36</v>
      </c>
      <c r="O2041" s="8" t="s">
        <v>36</v>
      </c>
      <c r="P2041" s="3" t="s">
        <v>36</v>
      </c>
      <c r="Q2041" s="3" t="s">
        <v>36</v>
      </c>
      <c r="R2041" s="3" t="s">
        <v>36</v>
      </c>
      <c r="S2041" s="3" t="s">
        <v>2314</v>
      </c>
      <c r="T2041" s="3" t="s">
        <v>7452</v>
      </c>
      <c r="U2041" s="3" t="s">
        <v>38</v>
      </c>
      <c r="V2041" s="3" t="s">
        <v>39</v>
      </c>
      <c r="W2041" s="3" t="s">
        <v>11567</v>
      </c>
      <c r="X2041" s="10" t="s">
        <v>11568</v>
      </c>
      <c r="Y2041" s="6" t="s">
        <v>108</v>
      </c>
      <c r="Z2041" s="4">
        <v>0.3</v>
      </c>
      <c r="AA2041" s="4" t="s">
        <v>36</v>
      </c>
      <c r="AB2041" s="3" t="s">
        <v>43</v>
      </c>
      <c r="AC2041" s="3" t="s">
        <v>11569</v>
      </c>
      <c r="AD2041" s="9">
        <v>44756</v>
      </c>
      <c r="AE2041" s="3" t="s">
        <v>45</v>
      </c>
      <c r="AF2041" s="3" t="s">
        <v>3334</v>
      </c>
      <c r="AG2041" s="3" t="s">
        <v>81</v>
      </c>
      <c r="AH2041" s="11">
        <f>HYPERLINK("https://my.pitchbook.com?c=199470-97T","View Company Online")</f>
      </c>
    </row>
    <row r="2042">
      <c r="A2042" s="12" t="s">
        <v>11570</v>
      </c>
      <c r="B2042" s="12" t="s">
        <v>11571</v>
      </c>
      <c r="C2042" s="19" t="s">
        <v>36</v>
      </c>
      <c r="D2042" s="19" t="s">
        <v>36</v>
      </c>
      <c r="E2042" s="19" t="s">
        <v>36</v>
      </c>
      <c r="F2042" s="19" t="s">
        <v>36</v>
      </c>
      <c r="G2042" s="15" t="s">
        <v>683</v>
      </c>
      <c r="H2042" s="14">
        <v>31.92</v>
      </c>
      <c r="I2042" s="18">
        <v>5.4</v>
      </c>
      <c r="J2042" s="12" t="s">
        <v>521</v>
      </c>
      <c r="K2042" s="13" t="s">
        <v>36</v>
      </c>
      <c r="L2042" s="15" t="s">
        <v>36</v>
      </c>
      <c r="M2042" s="12" t="s">
        <v>36</v>
      </c>
      <c r="N2042" s="12" t="s">
        <v>36</v>
      </c>
      <c r="O2042" s="17" t="s">
        <v>36</v>
      </c>
      <c r="P2042" s="12" t="s">
        <v>36</v>
      </c>
      <c r="Q2042" s="12" t="s">
        <v>36</v>
      </c>
      <c r="R2042" s="12" t="s">
        <v>36</v>
      </c>
      <c r="S2042" s="12" t="s">
        <v>36</v>
      </c>
      <c r="T2042" s="12" t="s">
        <v>522</v>
      </c>
      <c r="U2042" s="12" t="s">
        <v>38</v>
      </c>
      <c r="V2042" s="12" t="s">
        <v>39</v>
      </c>
      <c r="W2042" s="12" t="s">
        <v>11572</v>
      </c>
      <c r="X2042" s="16" t="s">
        <v>11573</v>
      </c>
      <c r="Y2042" s="15" t="s">
        <v>192</v>
      </c>
      <c r="Z2042" s="14">
        <v>1.25</v>
      </c>
      <c r="AA2042" s="14">
        <v>23.12</v>
      </c>
      <c r="AB2042" s="12" t="s">
        <v>56</v>
      </c>
      <c r="AC2042" s="12" t="s">
        <v>11574</v>
      </c>
      <c r="AD2042" s="13">
        <v>44755</v>
      </c>
      <c r="AE2042" s="12" t="s">
        <v>110</v>
      </c>
      <c r="AF2042" s="12" t="s">
        <v>2409</v>
      </c>
      <c r="AG2042" s="12" t="s">
        <v>81</v>
      </c>
      <c r="AH2042" s="1">
        <f>HYPERLINK("https://my.pitchbook.com?c=201801-52T","View Company Online")</f>
      </c>
    </row>
    <row r="2043">
      <c r="A2043" s="3" t="s">
        <v>11575</v>
      </c>
      <c r="B2043" s="3" t="s">
        <v>11576</v>
      </c>
      <c r="C2043" s="5" t="s">
        <v>36</v>
      </c>
      <c r="D2043" s="5" t="s">
        <v>36</v>
      </c>
      <c r="E2043" s="5" t="s">
        <v>36</v>
      </c>
      <c r="F2043" s="5" t="s">
        <v>36</v>
      </c>
      <c r="G2043" s="6" t="s">
        <v>683</v>
      </c>
      <c r="H2043" s="4">
        <v>11.3</v>
      </c>
      <c r="I2043" s="7">
        <v>9.18</v>
      </c>
      <c r="J2043" s="3" t="s">
        <v>521</v>
      </c>
      <c r="K2043" s="9" t="s">
        <v>36</v>
      </c>
      <c r="L2043" s="6" t="s">
        <v>36</v>
      </c>
      <c r="M2043" s="3" t="s">
        <v>36</v>
      </c>
      <c r="N2043" s="3" t="s">
        <v>36</v>
      </c>
      <c r="O2043" s="8" t="s">
        <v>36</v>
      </c>
      <c r="P2043" s="3" t="s">
        <v>36</v>
      </c>
      <c r="Q2043" s="3" t="s">
        <v>36</v>
      </c>
      <c r="R2043" s="3" t="s">
        <v>36</v>
      </c>
      <c r="S2043" s="3" t="s">
        <v>36</v>
      </c>
      <c r="T2043" s="3" t="s">
        <v>11577</v>
      </c>
      <c r="U2043" s="3" t="s">
        <v>318</v>
      </c>
      <c r="V2043" s="3" t="s">
        <v>39</v>
      </c>
      <c r="W2043" s="3" t="s">
        <v>11578</v>
      </c>
      <c r="X2043" s="10" t="s">
        <v>11579</v>
      </c>
      <c r="Y2043" s="6" t="s">
        <v>166</v>
      </c>
      <c r="Z2043" s="4">
        <v>0.37</v>
      </c>
      <c r="AA2043" s="4">
        <v>4.03</v>
      </c>
      <c r="AB2043" s="3" t="s">
        <v>56</v>
      </c>
      <c r="AC2043" s="3" t="s">
        <v>11580</v>
      </c>
      <c r="AD2043" s="9">
        <v>44755</v>
      </c>
      <c r="AE2043" s="3" t="s">
        <v>763</v>
      </c>
      <c r="AF2043" s="3" t="s">
        <v>11581</v>
      </c>
      <c r="AG2043" s="3" t="s">
        <v>11582</v>
      </c>
      <c r="AH2043" s="11">
        <f>HYPERLINK("https://my.pitchbook.com?c=200712-70T","View Company Online")</f>
      </c>
    </row>
    <row r="2044">
      <c r="A2044" s="12" t="s">
        <v>11583</v>
      </c>
      <c r="B2044" s="12" t="s">
        <v>6789</v>
      </c>
      <c r="C2044" s="19" t="s">
        <v>36</v>
      </c>
      <c r="D2044" s="19" t="s">
        <v>36</v>
      </c>
      <c r="E2044" s="19" t="s">
        <v>36</v>
      </c>
      <c r="F2044" s="19" t="s">
        <v>36</v>
      </c>
      <c r="G2044" s="15" t="s">
        <v>36</v>
      </c>
      <c r="H2044" s="14">
        <v>1.85</v>
      </c>
      <c r="I2044" s="18">
        <v>5.93</v>
      </c>
      <c r="J2044" s="12" t="s">
        <v>521</v>
      </c>
      <c r="K2044" s="13" t="s">
        <v>36</v>
      </c>
      <c r="L2044" s="15" t="s">
        <v>36</v>
      </c>
      <c r="M2044" s="12" t="s">
        <v>36</v>
      </c>
      <c r="N2044" s="12" t="s">
        <v>36</v>
      </c>
      <c r="O2044" s="17" t="s">
        <v>36</v>
      </c>
      <c r="P2044" s="12" t="s">
        <v>36</v>
      </c>
      <c r="Q2044" s="12" t="s">
        <v>36</v>
      </c>
      <c r="R2044" s="12" t="s">
        <v>36</v>
      </c>
      <c r="S2044" s="12" t="s">
        <v>36</v>
      </c>
      <c r="T2044" s="12" t="s">
        <v>37</v>
      </c>
      <c r="U2044" s="12" t="s">
        <v>38</v>
      </c>
      <c r="V2044" s="12" t="s">
        <v>39</v>
      </c>
      <c r="W2044" s="12" t="s">
        <v>6790</v>
      </c>
      <c r="X2044" s="16" t="s">
        <v>11584</v>
      </c>
      <c r="Y2044" s="15" t="s">
        <v>42</v>
      </c>
      <c r="Z2044" s="14">
        <v>0.41</v>
      </c>
      <c r="AA2044" s="14">
        <v>6.99</v>
      </c>
      <c r="AB2044" s="12" t="s">
        <v>43</v>
      </c>
      <c r="AC2044" s="12" t="s">
        <v>6792</v>
      </c>
      <c r="AD2044" s="13">
        <v>44754</v>
      </c>
      <c r="AE2044" s="12" t="s">
        <v>45</v>
      </c>
      <c r="AF2044" s="12" t="s">
        <v>6793</v>
      </c>
      <c r="AG2044" s="12" t="s">
        <v>81</v>
      </c>
      <c r="AH2044" s="1">
        <f>HYPERLINK("https://my.pitchbook.com?c=178448-59T","View Company Online")</f>
      </c>
    </row>
    <row r="2045">
      <c r="A2045" s="3" t="s">
        <v>11585</v>
      </c>
      <c r="B2045" s="3" t="s">
        <v>11586</v>
      </c>
      <c r="C2045" s="5" t="s">
        <v>36</v>
      </c>
      <c r="D2045" s="5" t="s">
        <v>36</v>
      </c>
      <c r="E2045" s="5" t="s">
        <v>36</v>
      </c>
      <c r="F2045" s="5" t="s">
        <v>36</v>
      </c>
      <c r="G2045" s="6" t="s">
        <v>36</v>
      </c>
      <c r="H2045" s="4">
        <v>173.1</v>
      </c>
      <c r="I2045" s="7">
        <v>15</v>
      </c>
      <c r="J2045" s="3" t="s">
        <v>521</v>
      </c>
      <c r="K2045" s="9" t="s">
        <v>36</v>
      </c>
      <c r="L2045" s="6" t="s">
        <v>36</v>
      </c>
      <c r="M2045" s="3" t="s">
        <v>36</v>
      </c>
      <c r="N2045" s="3" t="s">
        <v>36</v>
      </c>
      <c r="O2045" s="8" t="s">
        <v>36</v>
      </c>
      <c r="P2045" s="3" t="s">
        <v>36</v>
      </c>
      <c r="Q2045" s="3" t="s">
        <v>36</v>
      </c>
      <c r="R2045" s="3" t="s">
        <v>36</v>
      </c>
      <c r="S2045" s="3" t="s">
        <v>36</v>
      </c>
      <c r="T2045" s="3" t="s">
        <v>3432</v>
      </c>
      <c r="U2045" s="3" t="s">
        <v>1357</v>
      </c>
      <c r="V2045" s="3" t="s">
        <v>52</v>
      </c>
      <c r="W2045" s="3" t="s">
        <v>11587</v>
      </c>
      <c r="X2045" s="10" t="s">
        <v>4047</v>
      </c>
      <c r="Y2045" s="6" t="s">
        <v>42</v>
      </c>
      <c r="Z2045" s="4">
        <v>0.16</v>
      </c>
      <c r="AA2045" s="4">
        <v>1.04</v>
      </c>
      <c r="AB2045" s="3" t="s">
        <v>43</v>
      </c>
      <c r="AC2045" s="3" t="s">
        <v>11588</v>
      </c>
      <c r="AD2045" s="9">
        <v>44754</v>
      </c>
      <c r="AE2045" s="3" t="s">
        <v>2808</v>
      </c>
      <c r="AF2045" s="3" t="s">
        <v>917</v>
      </c>
      <c r="AG2045" s="3" t="s">
        <v>11589</v>
      </c>
      <c r="AH2045" s="11">
        <f>HYPERLINK("https://my.pitchbook.com?c=226301-05T","View Company Online")</f>
      </c>
    </row>
    <row r="2046">
      <c r="A2046" s="12" t="s">
        <v>11590</v>
      </c>
      <c r="B2046" s="12" t="s">
        <v>11591</v>
      </c>
      <c r="C2046" s="19" t="s">
        <v>36</v>
      </c>
      <c r="D2046" s="19" t="s">
        <v>36</v>
      </c>
      <c r="E2046" s="19" t="s">
        <v>36</v>
      </c>
      <c r="F2046" s="19" t="s">
        <v>36</v>
      </c>
      <c r="G2046" s="15" t="s">
        <v>326</v>
      </c>
      <c r="H2046" s="14">
        <v>0.44</v>
      </c>
      <c r="I2046" s="18">
        <v>28.48</v>
      </c>
      <c r="J2046" s="12" t="s">
        <v>521</v>
      </c>
      <c r="K2046" s="13" t="s">
        <v>36</v>
      </c>
      <c r="L2046" s="15" t="s">
        <v>36</v>
      </c>
      <c r="M2046" s="12" t="s">
        <v>36</v>
      </c>
      <c r="N2046" s="12" t="s">
        <v>36</v>
      </c>
      <c r="O2046" s="17" t="s">
        <v>36</v>
      </c>
      <c r="P2046" s="12" t="s">
        <v>36</v>
      </c>
      <c r="Q2046" s="12" t="s">
        <v>36</v>
      </c>
      <c r="R2046" s="12" t="s">
        <v>36</v>
      </c>
      <c r="S2046" s="12" t="s">
        <v>36</v>
      </c>
      <c r="T2046" s="12" t="s">
        <v>422</v>
      </c>
      <c r="U2046" s="12" t="s">
        <v>423</v>
      </c>
      <c r="V2046" s="12" t="s">
        <v>64</v>
      </c>
      <c r="W2046" s="12" t="s">
        <v>11592</v>
      </c>
      <c r="X2046" s="16" t="s">
        <v>11593</v>
      </c>
      <c r="Y2046" s="15" t="s">
        <v>108</v>
      </c>
      <c r="Z2046" s="14">
        <v>3.56</v>
      </c>
      <c r="AA2046" s="14">
        <v>12.51</v>
      </c>
      <c r="AB2046" s="12" t="s">
        <v>56</v>
      </c>
      <c r="AC2046" s="12" t="s">
        <v>11594</v>
      </c>
      <c r="AD2046" s="13">
        <v>44753</v>
      </c>
      <c r="AE2046" s="12" t="s">
        <v>427</v>
      </c>
      <c r="AF2046" s="12" t="s">
        <v>90</v>
      </c>
      <c r="AG2046" s="12" t="s">
        <v>11595</v>
      </c>
      <c r="AH2046" s="1">
        <f>HYPERLINK("https://my.pitchbook.com?c=201563-65T","View Company Online")</f>
      </c>
    </row>
    <row r="2047">
      <c r="A2047" s="3" t="s">
        <v>11596</v>
      </c>
      <c r="B2047" s="3" t="s">
        <v>11597</v>
      </c>
      <c r="C2047" s="5" t="s">
        <v>36</v>
      </c>
      <c r="D2047" s="5" t="s">
        <v>36</v>
      </c>
      <c r="E2047" s="5" t="s">
        <v>36</v>
      </c>
      <c r="F2047" s="5" t="s">
        <v>36</v>
      </c>
      <c r="G2047" s="6" t="s">
        <v>326</v>
      </c>
      <c r="H2047" s="4">
        <v>3011.84</v>
      </c>
      <c r="I2047" s="7">
        <v>10.53</v>
      </c>
      <c r="J2047" s="3" t="s">
        <v>521</v>
      </c>
      <c r="K2047" s="9" t="s">
        <v>36</v>
      </c>
      <c r="L2047" s="6" t="s">
        <v>36</v>
      </c>
      <c r="M2047" s="3" t="s">
        <v>36</v>
      </c>
      <c r="N2047" s="3" t="s">
        <v>36</v>
      </c>
      <c r="O2047" s="8" t="s">
        <v>36</v>
      </c>
      <c r="P2047" s="3" t="s">
        <v>36</v>
      </c>
      <c r="Q2047" s="3" t="s">
        <v>36</v>
      </c>
      <c r="R2047" s="3" t="s">
        <v>36</v>
      </c>
      <c r="S2047" s="3" t="s">
        <v>36</v>
      </c>
      <c r="T2047" s="3" t="s">
        <v>9982</v>
      </c>
      <c r="U2047" s="3" t="s">
        <v>648</v>
      </c>
      <c r="V2047" s="3" t="s">
        <v>64</v>
      </c>
      <c r="W2047" s="3" t="s">
        <v>11598</v>
      </c>
      <c r="X2047" s="10" t="s">
        <v>1872</v>
      </c>
      <c r="Y2047" s="6" t="s">
        <v>55</v>
      </c>
      <c r="Z2047" s="4">
        <v>0.06</v>
      </c>
      <c r="AA2047" s="4">
        <v>0.57</v>
      </c>
      <c r="AB2047" s="3" t="s">
        <v>56</v>
      </c>
      <c r="AC2047" s="3" t="s">
        <v>11599</v>
      </c>
      <c r="AD2047" s="9">
        <v>44753</v>
      </c>
      <c r="AE2047" s="3" t="s">
        <v>3988</v>
      </c>
      <c r="AF2047" s="3" t="s">
        <v>4284</v>
      </c>
      <c r="AG2047" s="3" t="s">
        <v>5178</v>
      </c>
      <c r="AH2047" s="11">
        <f>HYPERLINK("https://my.pitchbook.com?c=207171-10T","View Company Online")</f>
      </c>
    </row>
    <row r="2048">
      <c r="A2048" s="12" t="s">
        <v>11600</v>
      </c>
      <c r="B2048" s="12" t="s">
        <v>7224</v>
      </c>
      <c r="C2048" s="19" t="s">
        <v>36</v>
      </c>
      <c r="D2048" s="19" t="s">
        <v>36</v>
      </c>
      <c r="E2048" s="19" t="s">
        <v>36</v>
      </c>
      <c r="F2048" s="19" t="s">
        <v>36</v>
      </c>
      <c r="G2048" s="15" t="s">
        <v>36</v>
      </c>
      <c r="H2048" s="14" t="s">
        <v>36</v>
      </c>
      <c r="I2048" s="18" t="s">
        <v>36</v>
      </c>
      <c r="J2048" s="12" t="s">
        <v>36</v>
      </c>
      <c r="K2048" s="13" t="s">
        <v>36</v>
      </c>
      <c r="L2048" s="15" t="s">
        <v>36</v>
      </c>
      <c r="M2048" s="12" t="s">
        <v>36</v>
      </c>
      <c r="N2048" s="12" t="s">
        <v>36</v>
      </c>
      <c r="O2048" s="17" t="s">
        <v>36</v>
      </c>
      <c r="P2048" s="12" t="s">
        <v>36</v>
      </c>
      <c r="Q2048" s="12" t="s">
        <v>36</v>
      </c>
      <c r="R2048" s="12" t="s">
        <v>36</v>
      </c>
      <c r="S2048" s="12" t="s">
        <v>36</v>
      </c>
      <c r="T2048" s="12" t="s">
        <v>123</v>
      </c>
      <c r="U2048" s="12" t="s">
        <v>38</v>
      </c>
      <c r="V2048" s="12" t="s">
        <v>39</v>
      </c>
      <c r="W2048" s="12" t="s">
        <v>7225</v>
      </c>
      <c r="X2048" s="16" t="s">
        <v>11601</v>
      </c>
      <c r="Y2048" s="15" t="s">
        <v>55</v>
      </c>
      <c r="Z2048" s="14" t="s">
        <v>36</v>
      </c>
      <c r="AA2048" s="14" t="s">
        <v>36</v>
      </c>
      <c r="AB2048" s="12" t="s">
        <v>43</v>
      </c>
      <c r="AC2048" s="12" t="s">
        <v>7226</v>
      </c>
      <c r="AD2048" s="13">
        <v>44753</v>
      </c>
      <c r="AE2048" s="12" t="s">
        <v>110</v>
      </c>
      <c r="AF2048" s="12" t="s">
        <v>7227</v>
      </c>
      <c r="AG2048" s="12" t="s">
        <v>81</v>
      </c>
      <c r="AH2048" s="1">
        <f>HYPERLINK("https://my.pitchbook.com?c=200584-90T","View Company Online")</f>
      </c>
    </row>
    <row r="2049">
      <c r="A2049" s="3" t="s">
        <v>11602</v>
      </c>
      <c r="B2049" s="3" t="s">
        <v>11603</v>
      </c>
      <c r="C2049" s="5">
        <v>2</v>
      </c>
      <c r="D2049" s="5" t="s">
        <v>36</v>
      </c>
      <c r="E2049" s="5">
        <v>1</v>
      </c>
      <c r="F2049" s="5">
        <v>2</v>
      </c>
      <c r="G2049" s="6" t="s">
        <v>326</v>
      </c>
      <c r="H2049" s="4">
        <v>210.83</v>
      </c>
      <c r="I2049" s="7">
        <v>56.39</v>
      </c>
      <c r="J2049" s="3" t="s">
        <v>521</v>
      </c>
      <c r="K2049" s="9" t="s">
        <v>36</v>
      </c>
      <c r="L2049" s="6" t="s">
        <v>36</v>
      </c>
      <c r="M2049" s="3" t="s">
        <v>36</v>
      </c>
      <c r="N2049" s="3" t="s">
        <v>36</v>
      </c>
      <c r="O2049" s="8" t="s">
        <v>36</v>
      </c>
      <c r="P2049" s="3" t="s">
        <v>36</v>
      </c>
      <c r="Q2049" s="3" t="s">
        <v>36</v>
      </c>
      <c r="R2049" s="3" t="s">
        <v>36</v>
      </c>
      <c r="S2049" s="3" t="s">
        <v>36</v>
      </c>
      <c r="T2049" s="3" t="s">
        <v>881</v>
      </c>
      <c r="U2049" s="3" t="s">
        <v>51</v>
      </c>
      <c r="V2049" s="3" t="s">
        <v>52</v>
      </c>
      <c r="W2049" s="3" t="s">
        <v>11604</v>
      </c>
      <c r="X2049" s="10" t="s">
        <v>11605</v>
      </c>
      <c r="Y2049" s="6" t="s">
        <v>108</v>
      </c>
      <c r="Z2049" s="4">
        <v>16.69</v>
      </c>
      <c r="AA2049" s="4">
        <v>14.8</v>
      </c>
      <c r="AB2049" s="3" t="s">
        <v>43</v>
      </c>
      <c r="AC2049" s="3" t="s">
        <v>11606</v>
      </c>
      <c r="AD2049" s="9">
        <v>44753</v>
      </c>
      <c r="AE2049" s="3" t="s">
        <v>504</v>
      </c>
      <c r="AF2049" s="3" t="s">
        <v>159</v>
      </c>
      <c r="AG2049" s="3" t="s">
        <v>81</v>
      </c>
      <c r="AH2049" s="11">
        <f>HYPERLINK("https://my.pitchbook.com?c=203800-51T","View Company Online")</f>
      </c>
    </row>
    <row r="2050">
      <c r="A2050" s="12" t="s">
        <v>11607</v>
      </c>
      <c r="B2050" s="12" t="s">
        <v>11608</v>
      </c>
      <c r="C2050" s="19" t="s">
        <v>36</v>
      </c>
      <c r="D2050" s="19" t="s">
        <v>36</v>
      </c>
      <c r="E2050" s="19" t="s">
        <v>36</v>
      </c>
      <c r="F2050" s="19" t="s">
        <v>36</v>
      </c>
      <c r="G2050" s="15" t="s">
        <v>36</v>
      </c>
      <c r="H2050" s="14">
        <v>186.94</v>
      </c>
      <c r="I2050" s="18">
        <v>10</v>
      </c>
      <c r="J2050" s="12" t="s">
        <v>521</v>
      </c>
      <c r="K2050" s="13" t="s">
        <v>36</v>
      </c>
      <c r="L2050" s="15" t="s">
        <v>36</v>
      </c>
      <c r="M2050" s="12" t="s">
        <v>36</v>
      </c>
      <c r="N2050" s="12" t="s">
        <v>36</v>
      </c>
      <c r="O2050" s="17" t="s">
        <v>36</v>
      </c>
      <c r="P2050" s="12" t="s">
        <v>36</v>
      </c>
      <c r="Q2050" s="12" t="s">
        <v>36</v>
      </c>
      <c r="R2050" s="12" t="s">
        <v>36</v>
      </c>
      <c r="S2050" s="12" t="s">
        <v>36</v>
      </c>
      <c r="T2050" s="12" t="s">
        <v>123</v>
      </c>
      <c r="U2050" s="12" t="s">
        <v>38</v>
      </c>
      <c r="V2050" s="12" t="s">
        <v>39</v>
      </c>
      <c r="W2050" s="12" t="s">
        <v>11609</v>
      </c>
      <c r="X2050" s="16" t="s">
        <v>1000</v>
      </c>
      <c r="Y2050" s="15" t="s">
        <v>42</v>
      </c>
      <c r="Z2050" s="14">
        <v>0.21</v>
      </c>
      <c r="AA2050" s="14">
        <v>2.09</v>
      </c>
      <c r="AB2050" s="12" t="s">
        <v>43</v>
      </c>
      <c r="AC2050" s="12" t="s">
        <v>11610</v>
      </c>
      <c r="AD2050" s="13">
        <v>44752</v>
      </c>
      <c r="AE2050" s="12" t="s">
        <v>110</v>
      </c>
      <c r="AF2050" s="12" t="s">
        <v>1115</v>
      </c>
      <c r="AG2050" s="12" t="s">
        <v>382</v>
      </c>
      <c r="AH2050" s="1">
        <f>HYPERLINK("https://my.pitchbook.com?c=233018-02T","View Company Online")</f>
      </c>
    </row>
    <row r="2051">
      <c r="A2051" s="3" t="s">
        <v>11611</v>
      </c>
      <c r="B2051" s="3" t="s">
        <v>11612</v>
      </c>
      <c r="C2051" s="5">
        <v>1</v>
      </c>
      <c r="D2051" s="5">
        <v>7</v>
      </c>
      <c r="E2051" s="5">
        <v>7</v>
      </c>
      <c r="F2051" s="5">
        <v>15</v>
      </c>
      <c r="G2051" s="6" t="s">
        <v>2497</v>
      </c>
      <c r="H2051" s="4">
        <v>0.46</v>
      </c>
      <c r="I2051" s="7">
        <v>34.98</v>
      </c>
      <c r="J2051" s="3" t="s">
        <v>521</v>
      </c>
      <c r="K2051" s="9" t="s">
        <v>36</v>
      </c>
      <c r="L2051" s="6" t="s">
        <v>36</v>
      </c>
      <c r="M2051" s="3" t="s">
        <v>36</v>
      </c>
      <c r="N2051" s="3" t="s">
        <v>36</v>
      </c>
      <c r="O2051" s="8" t="s">
        <v>36</v>
      </c>
      <c r="P2051" s="3" t="s">
        <v>36</v>
      </c>
      <c r="Q2051" s="3" t="s">
        <v>36</v>
      </c>
      <c r="R2051" s="3" t="s">
        <v>36</v>
      </c>
      <c r="S2051" s="3" t="s">
        <v>36</v>
      </c>
      <c r="T2051" s="3" t="s">
        <v>11613</v>
      </c>
      <c r="U2051" s="3" t="s">
        <v>423</v>
      </c>
      <c r="V2051" s="3" t="s">
        <v>64</v>
      </c>
      <c r="W2051" s="3" t="s">
        <v>11614</v>
      </c>
      <c r="X2051" s="10" t="s">
        <v>11615</v>
      </c>
      <c r="Y2051" s="6" t="s">
        <v>55</v>
      </c>
      <c r="Z2051" s="4">
        <v>1.72</v>
      </c>
      <c r="AA2051" s="4">
        <v>4.9</v>
      </c>
      <c r="AB2051" s="3" t="s">
        <v>56</v>
      </c>
      <c r="AC2051" s="3" t="s">
        <v>11616</v>
      </c>
      <c r="AD2051" s="9">
        <v>44752</v>
      </c>
      <c r="AE2051" s="3" t="s">
        <v>562</v>
      </c>
      <c r="AF2051" s="3" t="s">
        <v>11617</v>
      </c>
      <c r="AG2051" s="3" t="s">
        <v>102</v>
      </c>
      <c r="AH2051" s="11">
        <f>HYPERLINK("https://my.pitchbook.com?c=211115-35T","View Company Online")</f>
      </c>
    </row>
    <row r="2052">
      <c r="A2052" s="12" t="s">
        <v>11618</v>
      </c>
      <c r="B2052" s="12" t="s">
        <v>11619</v>
      </c>
      <c r="C2052" s="19" t="s">
        <v>36</v>
      </c>
      <c r="D2052" s="19" t="s">
        <v>36</v>
      </c>
      <c r="E2052" s="19" t="s">
        <v>36</v>
      </c>
      <c r="F2052" s="19" t="s">
        <v>36</v>
      </c>
      <c r="G2052" s="15" t="s">
        <v>36</v>
      </c>
      <c r="H2052" s="14" t="s">
        <v>36</v>
      </c>
      <c r="I2052" s="18" t="s">
        <v>36</v>
      </c>
      <c r="J2052" s="12" t="s">
        <v>36</v>
      </c>
      <c r="K2052" s="13">
        <v>44727</v>
      </c>
      <c r="L2052" s="15" t="s">
        <v>122</v>
      </c>
      <c r="M2052" s="12" t="s">
        <v>36</v>
      </c>
      <c r="N2052" s="12" t="s">
        <v>122</v>
      </c>
      <c r="O2052" s="17" t="s">
        <v>36</v>
      </c>
      <c r="P2052" s="12" t="s">
        <v>36</v>
      </c>
      <c r="Q2052" s="12" t="s">
        <v>36</v>
      </c>
      <c r="R2052" s="12" t="s">
        <v>36</v>
      </c>
      <c r="S2052" s="12" t="s">
        <v>36</v>
      </c>
      <c r="T2052" s="12" t="s">
        <v>11620</v>
      </c>
      <c r="U2052" s="12" t="s">
        <v>956</v>
      </c>
      <c r="V2052" s="12" t="s">
        <v>405</v>
      </c>
      <c r="W2052" s="12" t="s">
        <v>11621</v>
      </c>
      <c r="X2052" s="16" t="s">
        <v>11622</v>
      </c>
      <c r="Y2052" s="15" t="s">
        <v>108</v>
      </c>
      <c r="Z2052" s="14">
        <v>6.78</v>
      </c>
      <c r="AA2052" s="14" t="s">
        <v>36</v>
      </c>
      <c r="AB2052" s="12" t="s">
        <v>43</v>
      </c>
      <c r="AC2052" s="12" t="s">
        <v>11623</v>
      </c>
      <c r="AD2052" s="13">
        <v>44750</v>
      </c>
      <c r="AE2052" s="12" t="s">
        <v>960</v>
      </c>
      <c r="AF2052" s="12" t="s">
        <v>215</v>
      </c>
      <c r="AG2052" s="12" t="s">
        <v>81</v>
      </c>
      <c r="AH2052" s="1">
        <f>HYPERLINK("https://my.pitchbook.com?c=206928-73T","View Company Online")</f>
      </c>
    </row>
    <row r="2053">
      <c r="A2053" s="3" t="s">
        <v>11624</v>
      </c>
      <c r="B2053" s="3" t="s">
        <v>11625</v>
      </c>
      <c r="C2053" s="5" t="s">
        <v>36</v>
      </c>
      <c r="D2053" s="5" t="s">
        <v>36</v>
      </c>
      <c r="E2053" s="5" t="s">
        <v>36</v>
      </c>
      <c r="F2053" s="5" t="s">
        <v>36</v>
      </c>
      <c r="G2053" s="6" t="s">
        <v>326</v>
      </c>
      <c r="H2053" s="4">
        <v>1924.46</v>
      </c>
      <c r="I2053" s="7">
        <v>20.4</v>
      </c>
      <c r="J2053" s="3" t="s">
        <v>521</v>
      </c>
      <c r="K2053" s="9" t="s">
        <v>36</v>
      </c>
      <c r="L2053" s="6" t="s">
        <v>36</v>
      </c>
      <c r="M2053" s="3" t="s">
        <v>36</v>
      </c>
      <c r="N2053" s="3" t="s">
        <v>36</v>
      </c>
      <c r="O2053" s="8" t="s">
        <v>36</v>
      </c>
      <c r="P2053" s="3" t="s">
        <v>36</v>
      </c>
      <c r="Q2053" s="3" t="s">
        <v>36</v>
      </c>
      <c r="R2053" s="3" t="s">
        <v>36</v>
      </c>
      <c r="S2053" s="3" t="s">
        <v>36</v>
      </c>
      <c r="T2053" s="3" t="s">
        <v>9390</v>
      </c>
      <c r="U2053" s="3" t="s">
        <v>63</v>
      </c>
      <c r="V2053" s="3" t="s">
        <v>64</v>
      </c>
      <c r="W2053" s="3" t="s">
        <v>11626</v>
      </c>
      <c r="X2053" s="10" t="s">
        <v>11627</v>
      </c>
      <c r="Y2053" s="6" t="s">
        <v>55</v>
      </c>
      <c r="Z2053" s="4">
        <v>5.37</v>
      </c>
      <c r="AA2053" s="4">
        <v>26.32</v>
      </c>
      <c r="AB2053" s="3" t="s">
        <v>43</v>
      </c>
      <c r="AC2053" s="3" t="s">
        <v>11628</v>
      </c>
      <c r="AD2053" s="9">
        <v>44750</v>
      </c>
      <c r="AE2053" s="3" t="s">
        <v>399</v>
      </c>
      <c r="AF2053" s="3" t="s">
        <v>938</v>
      </c>
      <c r="AG2053" s="3" t="s">
        <v>81</v>
      </c>
      <c r="AH2053" s="11">
        <f>HYPERLINK("https://my.pitchbook.com?c=199374-31T","View Company Online")</f>
      </c>
    </row>
    <row r="2054">
      <c r="A2054" s="12" t="s">
        <v>11629</v>
      </c>
      <c r="B2054" s="12" t="s">
        <v>11630</v>
      </c>
      <c r="C2054" s="19" t="s">
        <v>36</v>
      </c>
      <c r="D2054" s="19" t="s">
        <v>36</v>
      </c>
      <c r="E2054" s="19" t="s">
        <v>36</v>
      </c>
      <c r="F2054" s="19" t="s">
        <v>36</v>
      </c>
      <c r="G2054" s="15" t="s">
        <v>36</v>
      </c>
      <c r="H2054" s="14" t="s">
        <v>36</v>
      </c>
      <c r="I2054" s="18" t="s">
        <v>36</v>
      </c>
      <c r="J2054" s="12" t="s">
        <v>36</v>
      </c>
      <c r="K2054" s="13" t="s">
        <v>36</v>
      </c>
      <c r="L2054" s="15" t="s">
        <v>36</v>
      </c>
      <c r="M2054" s="12" t="s">
        <v>36</v>
      </c>
      <c r="N2054" s="12" t="s">
        <v>36</v>
      </c>
      <c r="O2054" s="17" t="s">
        <v>36</v>
      </c>
      <c r="P2054" s="12" t="s">
        <v>36</v>
      </c>
      <c r="Q2054" s="12" t="s">
        <v>36</v>
      </c>
      <c r="R2054" s="12" t="s">
        <v>36</v>
      </c>
      <c r="S2054" s="12" t="s">
        <v>36</v>
      </c>
      <c r="T2054" s="12" t="s">
        <v>522</v>
      </c>
      <c r="U2054" s="12" t="s">
        <v>38</v>
      </c>
      <c r="V2054" s="12" t="s">
        <v>39</v>
      </c>
      <c r="W2054" s="12" t="s">
        <v>11631</v>
      </c>
      <c r="X2054" s="16" t="s">
        <v>2433</v>
      </c>
      <c r="Y2054" s="15" t="s">
        <v>108</v>
      </c>
      <c r="Z2054" s="14">
        <v>0.16</v>
      </c>
      <c r="AA2054" s="14" t="s">
        <v>36</v>
      </c>
      <c r="AB2054" s="12" t="s">
        <v>56</v>
      </c>
      <c r="AC2054" s="12" t="s">
        <v>11632</v>
      </c>
      <c r="AD2054" s="13">
        <v>44750</v>
      </c>
      <c r="AE2054" s="12" t="s">
        <v>110</v>
      </c>
      <c r="AF2054" s="12" t="s">
        <v>1401</v>
      </c>
      <c r="AG2054" s="12" t="s">
        <v>81</v>
      </c>
      <c r="AH2054" s="1">
        <f>HYPERLINK("https://my.pitchbook.com?c=232309-90T","View Company Online")</f>
      </c>
    </row>
    <row r="2055">
      <c r="A2055" s="3" t="s">
        <v>11633</v>
      </c>
      <c r="B2055" s="3" t="s">
        <v>11634</v>
      </c>
      <c r="C2055" s="5" t="s">
        <v>36</v>
      </c>
      <c r="D2055" s="5" t="s">
        <v>36</v>
      </c>
      <c r="E2055" s="5" t="s">
        <v>36</v>
      </c>
      <c r="F2055" s="5" t="s">
        <v>36</v>
      </c>
      <c r="G2055" s="6" t="s">
        <v>36</v>
      </c>
      <c r="H2055" s="4" t="s">
        <v>36</v>
      </c>
      <c r="I2055" s="7" t="s">
        <v>36</v>
      </c>
      <c r="J2055" s="3" t="s">
        <v>36</v>
      </c>
      <c r="K2055" s="9" t="s">
        <v>36</v>
      </c>
      <c r="L2055" s="6" t="s">
        <v>36</v>
      </c>
      <c r="M2055" s="3" t="s">
        <v>36</v>
      </c>
      <c r="N2055" s="3" t="s">
        <v>36</v>
      </c>
      <c r="O2055" s="8" t="s">
        <v>36</v>
      </c>
      <c r="P2055" s="3" t="s">
        <v>36</v>
      </c>
      <c r="Q2055" s="3" t="s">
        <v>36</v>
      </c>
      <c r="R2055" s="3" t="s">
        <v>36</v>
      </c>
      <c r="S2055" s="3" t="s">
        <v>36</v>
      </c>
      <c r="T2055" s="3" t="s">
        <v>550</v>
      </c>
      <c r="U2055" s="3" t="s">
        <v>38</v>
      </c>
      <c r="V2055" s="3" t="s">
        <v>39</v>
      </c>
      <c r="W2055" s="3" t="s">
        <v>11635</v>
      </c>
      <c r="X2055" s="10" t="s">
        <v>8090</v>
      </c>
      <c r="Y2055" s="6" t="s">
        <v>42</v>
      </c>
      <c r="Z2055" s="4">
        <v>1.36</v>
      </c>
      <c r="AA2055" s="4" t="s">
        <v>36</v>
      </c>
      <c r="AB2055" s="3" t="s">
        <v>43</v>
      </c>
      <c r="AC2055" s="3" t="s">
        <v>11636</v>
      </c>
      <c r="AD2055" s="9">
        <v>44750</v>
      </c>
      <c r="AE2055" s="3" t="s">
        <v>554</v>
      </c>
      <c r="AF2055" s="3" t="s">
        <v>1380</v>
      </c>
      <c r="AG2055" s="3" t="s">
        <v>81</v>
      </c>
      <c r="AH2055" s="11">
        <f>HYPERLINK("https://my.pitchbook.com?c=228047-23T","View Company Online")</f>
      </c>
    </row>
    <row r="2056">
      <c r="A2056" s="12" t="s">
        <v>11637</v>
      </c>
      <c r="B2056" s="12" t="s">
        <v>11638</v>
      </c>
      <c r="C2056" s="19" t="s">
        <v>36</v>
      </c>
      <c r="D2056" s="19" t="s">
        <v>36</v>
      </c>
      <c r="E2056" s="19" t="s">
        <v>36</v>
      </c>
      <c r="F2056" s="19" t="s">
        <v>36</v>
      </c>
      <c r="G2056" s="15" t="s">
        <v>2497</v>
      </c>
      <c r="H2056" s="14">
        <v>786.1</v>
      </c>
      <c r="I2056" s="18">
        <v>51.47</v>
      </c>
      <c r="J2056" s="12" t="s">
        <v>521</v>
      </c>
      <c r="K2056" s="13" t="s">
        <v>36</v>
      </c>
      <c r="L2056" s="15" t="s">
        <v>36</v>
      </c>
      <c r="M2056" s="12" t="s">
        <v>36</v>
      </c>
      <c r="N2056" s="12" t="s">
        <v>36</v>
      </c>
      <c r="O2056" s="17" t="s">
        <v>36</v>
      </c>
      <c r="P2056" s="12" t="s">
        <v>36</v>
      </c>
      <c r="Q2056" s="12" t="s">
        <v>36</v>
      </c>
      <c r="R2056" s="12" t="s">
        <v>36</v>
      </c>
      <c r="S2056" s="12" t="s">
        <v>36</v>
      </c>
      <c r="T2056" s="12" t="s">
        <v>2308</v>
      </c>
      <c r="U2056" s="12" t="s">
        <v>38</v>
      </c>
      <c r="V2056" s="12" t="s">
        <v>39</v>
      </c>
      <c r="W2056" s="12" t="s">
        <v>11639</v>
      </c>
      <c r="X2056" s="16" t="s">
        <v>11640</v>
      </c>
      <c r="Y2056" s="15" t="s">
        <v>321</v>
      </c>
      <c r="Z2056" s="14">
        <v>21.57</v>
      </c>
      <c r="AA2056" s="14">
        <v>41.91</v>
      </c>
      <c r="AB2056" s="12" t="s">
        <v>56</v>
      </c>
      <c r="AC2056" s="12" t="s">
        <v>11641</v>
      </c>
      <c r="AD2056" s="13">
        <v>44749</v>
      </c>
      <c r="AE2056" s="12" t="s">
        <v>45</v>
      </c>
      <c r="AF2056" s="12" t="s">
        <v>5816</v>
      </c>
      <c r="AG2056" s="12" t="s">
        <v>81</v>
      </c>
      <c r="AH2056" s="1">
        <f>HYPERLINK("https://my.pitchbook.com?c=199126-18T","View Company Online")</f>
      </c>
    </row>
    <row r="2057">
      <c r="A2057" s="3" t="s">
        <v>11642</v>
      </c>
      <c r="B2057" s="3" t="s">
        <v>11643</v>
      </c>
      <c r="C2057" s="5" t="s">
        <v>36</v>
      </c>
      <c r="D2057" s="5" t="s">
        <v>36</v>
      </c>
      <c r="E2057" s="5" t="s">
        <v>36</v>
      </c>
      <c r="F2057" s="5" t="s">
        <v>36</v>
      </c>
      <c r="G2057" s="6" t="s">
        <v>36</v>
      </c>
      <c r="H2057" s="4" t="s">
        <v>36</v>
      </c>
      <c r="I2057" s="7" t="s">
        <v>36</v>
      </c>
      <c r="J2057" s="3" t="s">
        <v>36</v>
      </c>
      <c r="K2057" s="9" t="s">
        <v>36</v>
      </c>
      <c r="L2057" s="6" t="s">
        <v>36</v>
      </c>
      <c r="M2057" s="3" t="s">
        <v>36</v>
      </c>
      <c r="N2057" s="3" t="s">
        <v>36</v>
      </c>
      <c r="O2057" s="8" t="s">
        <v>36</v>
      </c>
      <c r="P2057" s="3" t="s">
        <v>36</v>
      </c>
      <c r="Q2057" s="3" t="s">
        <v>36</v>
      </c>
      <c r="R2057" s="3" t="s">
        <v>36</v>
      </c>
      <c r="S2057" s="3" t="s">
        <v>36</v>
      </c>
      <c r="T2057" s="3" t="s">
        <v>6288</v>
      </c>
      <c r="U2057" s="3" t="s">
        <v>85</v>
      </c>
      <c r="V2057" s="3" t="s">
        <v>64</v>
      </c>
      <c r="W2057" s="3" t="s">
        <v>11644</v>
      </c>
      <c r="X2057" s="10" t="s">
        <v>11645</v>
      </c>
      <c r="Y2057" s="6" t="s">
        <v>108</v>
      </c>
      <c r="Z2057" s="4">
        <v>10.49</v>
      </c>
      <c r="AA2057" s="4" t="s">
        <v>36</v>
      </c>
      <c r="AB2057" s="3" t="s">
        <v>56</v>
      </c>
      <c r="AC2057" s="3" t="s">
        <v>11646</v>
      </c>
      <c r="AD2057" s="9">
        <v>44749</v>
      </c>
      <c r="AE2057" s="3" t="s">
        <v>89</v>
      </c>
      <c r="AF2057" s="3" t="s">
        <v>11647</v>
      </c>
      <c r="AG2057" s="3" t="s">
        <v>81</v>
      </c>
      <c r="AH2057" s="11">
        <f>HYPERLINK("https://my.pitchbook.com?c=199919-26T","View Company Online")</f>
      </c>
    </row>
    <row r="2058">
      <c r="A2058" s="12" t="s">
        <v>11648</v>
      </c>
      <c r="B2058" s="12" t="s">
        <v>5922</v>
      </c>
      <c r="C2058" s="19" t="s">
        <v>36</v>
      </c>
      <c r="D2058" s="19" t="s">
        <v>36</v>
      </c>
      <c r="E2058" s="19" t="s">
        <v>36</v>
      </c>
      <c r="F2058" s="19" t="s">
        <v>36</v>
      </c>
      <c r="G2058" s="15" t="s">
        <v>36</v>
      </c>
      <c r="H2058" s="14">
        <v>157.24</v>
      </c>
      <c r="I2058" s="18">
        <v>20.79</v>
      </c>
      <c r="J2058" s="12" t="s">
        <v>521</v>
      </c>
      <c r="K2058" s="13" t="s">
        <v>36</v>
      </c>
      <c r="L2058" s="15" t="s">
        <v>36</v>
      </c>
      <c r="M2058" s="12" t="s">
        <v>36</v>
      </c>
      <c r="N2058" s="12" t="s">
        <v>36</v>
      </c>
      <c r="O2058" s="17" t="s">
        <v>36</v>
      </c>
      <c r="P2058" s="12" t="s">
        <v>36</v>
      </c>
      <c r="Q2058" s="12" t="s">
        <v>36</v>
      </c>
      <c r="R2058" s="12" t="s">
        <v>36</v>
      </c>
      <c r="S2058" s="12" t="s">
        <v>36</v>
      </c>
      <c r="T2058" s="12" t="s">
        <v>5923</v>
      </c>
      <c r="U2058" s="12" t="s">
        <v>956</v>
      </c>
      <c r="V2058" s="12" t="s">
        <v>405</v>
      </c>
      <c r="W2058" s="12" t="s">
        <v>5924</v>
      </c>
      <c r="X2058" s="16" t="s">
        <v>11649</v>
      </c>
      <c r="Y2058" s="15" t="s">
        <v>42</v>
      </c>
      <c r="Z2058" s="14">
        <v>5.26</v>
      </c>
      <c r="AA2058" s="14">
        <v>20.09</v>
      </c>
      <c r="AB2058" s="12" t="s">
        <v>43</v>
      </c>
      <c r="AC2058" s="12" t="s">
        <v>5926</v>
      </c>
      <c r="AD2058" s="13">
        <v>44748</v>
      </c>
      <c r="AE2058" s="12" t="s">
        <v>1851</v>
      </c>
      <c r="AF2058" s="12" t="s">
        <v>961</v>
      </c>
      <c r="AG2058" s="12" t="s">
        <v>382</v>
      </c>
      <c r="AH2058" s="1">
        <f>HYPERLINK("https://my.pitchbook.com?c=198786-34T","View Company Online")</f>
      </c>
    </row>
    <row r="2059">
      <c r="A2059" s="3" t="s">
        <v>11650</v>
      </c>
      <c r="B2059" s="3" t="s">
        <v>11651</v>
      </c>
      <c r="C2059" s="5" t="s">
        <v>36</v>
      </c>
      <c r="D2059" s="5" t="s">
        <v>36</v>
      </c>
      <c r="E2059" s="5" t="s">
        <v>36</v>
      </c>
      <c r="F2059" s="5" t="s">
        <v>36</v>
      </c>
      <c r="G2059" s="6" t="s">
        <v>326</v>
      </c>
      <c r="H2059" s="4" t="s">
        <v>36</v>
      </c>
      <c r="I2059" s="7">
        <v>29.41</v>
      </c>
      <c r="J2059" s="3" t="s">
        <v>327</v>
      </c>
      <c r="K2059" s="9" t="s">
        <v>36</v>
      </c>
      <c r="L2059" s="6" t="s">
        <v>36</v>
      </c>
      <c r="M2059" s="3" t="s">
        <v>36</v>
      </c>
      <c r="N2059" s="3" t="s">
        <v>36</v>
      </c>
      <c r="O2059" s="8" t="s">
        <v>36</v>
      </c>
      <c r="P2059" s="3" t="s">
        <v>36</v>
      </c>
      <c r="Q2059" s="3" t="s">
        <v>36</v>
      </c>
      <c r="R2059" s="3" t="s">
        <v>36</v>
      </c>
      <c r="S2059" s="3" t="s">
        <v>36</v>
      </c>
      <c r="T2059" s="3" t="s">
        <v>1922</v>
      </c>
      <c r="U2059" s="3" t="s">
        <v>38</v>
      </c>
      <c r="V2059" s="3" t="s">
        <v>39</v>
      </c>
      <c r="W2059" s="3" t="s">
        <v>11652</v>
      </c>
      <c r="X2059" s="10" t="s">
        <v>11653</v>
      </c>
      <c r="Y2059" s="6" t="s">
        <v>108</v>
      </c>
      <c r="Z2059" s="4">
        <v>10</v>
      </c>
      <c r="AA2059" s="4">
        <v>34</v>
      </c>
      <c r="AB2059" s="3" t="s">
        <v>43</v>
      </c>
      <c r="AC2059" s="3" t="s">
        <v>11654</v>
      </c>
      <c r="AD2059" s="9">
        <v>44747</v>
      </c>
      <c r="AE2059" s="3" t="s">
        <v>1422</v>
      </c>
      <c r="AF2059" s="3" t="s">
        <v>4200</v>
      </c>
      <c r="AG2059" s="3" t="s">
        <v>6068</v>
      </c>
      <c r="AH2059" s="11">
        <f>HYPERLINK("https://my.pitchbook.com?c=198698-23T","View Company Online")</f>
      </c>
    </row>
    <row r="2060">
      <c r="A2060" s="12" t="s">
        <v>11655</v>
      </c>
      <c r="B2060" s="12" t="s">
        <v>11656</v>
      </c>
      <c r="C2060" s="19" t="s">
        <v>36</v>
      </c>
      <c r="D2060" s="19" t="s">
        <v>36</v>
      </c>
      <c r="E2060" s="19" t="s">
        <v>36</v>
      </c>
      <c r="F2060" s="19" t="s">
        <v>36</v>
      </c>
      <c r="G2060" s="15" t="s">
        <v>2497</v>
      </c>
      <c r="H2060" s="14">
        <v>336</v>
      </c>
      <c r="I2060" s="18">
        <v>43.68</v>
      </c>
      <c r="J2060" s="12" t="s">
        <v>521</v>
      </c>
      <c r="K2060" s="13" t="s">
        <v>36</v>
      </c>
      <c r="L2060" s="15" t="s">
        <v>122</v>
      </c>
      <c r="M2060" s="12" t="s">
        <v>36</v>
      </c>
      <c r="N2060" s="12" t="s">
        <v>122</v>
      </c>
      <c r="O2060" s="17" t="s">
        <v>36</v>
      </c>
      <c r="P2060" s="12" t="s">
        <v>36</v>
      </c>
      <c r="Q2060" s="12" t="s">
        <v>36</v>
      </c>
      <c r="R2060" s="12" t="s">
        <v>36</v>
      </c>
      <c r="S2060" s="12" t="s">
        <v>36</v>
      </c>
      <c r="T2060" s="12" t="s">
        <v>11657</v>
      </c>
      <c r="U2060" s="12" t="s">
        <v>289</v>
      </c>
      <c r="V2060" s="12" t="s">
        <v>64</v>
      </c>
      <c r="W2060" s="12" t="s">
        <v>11658</v>
      </c>
      <c r="X2060" s="16" t="s">
        <v>6406</v>
      </c>
      <c r="Y2060" s="15" t="s">
        <v>55</v>
      </c>
      <c r="Z2060" s="14">
        <v>3.85</v>
      </c>
      <c r="AA2060" s="14">
        <v>8.82</v>
      </c>
      <c r="AB2060" s="12" t="s">
        <v>56</v>
      </c>
      <c r="AC2060" s="12" t="s">
        <v>11659</v>
      </c>
      <c r="AD2060" s="13">
        <v>44747</v>
      </c>
      <c r="AE2060" s="12" t="s">
        <v>292</v>
      </c>
      <c r="AF2060" s="12" t="s">
        <v>90</v>
      </c>
      <c r="AG2060" s="12" t="s">
        <v>81</v>
      </c>
      <c r="AH2060" s="1">
        <f>HYPERLINK("https://my.pitchbook.com?c=194808-34T","View Company Online")</f>
      </c>
    </row>
    <row r="2061">
      <c r="A2061" s="3" t="s">
        <v>11660</v>
      </c>
      <c r="B2061" s="3" t="s">
        <v>11661</v>
      </c>
      <c r="C2061" s="5" t="s">
        <v>36</v>
      </c>
      <c r="D2061" s="5" t="s">
        <v>36</v>
      </c>
      <c r="E2061" s="5" t="s">
        <v>36</v>
      </c>
      <c r="F2061" s="5" t="s">
        <v>36</v>
      </c>
      <c r="G2061" s="6" t="s">
        <v>36</v>
      </c>
      <c r="H2061" s="4" t="s">
        <v>36</v>
      </c>
      <c r="I2061" s="7" t="s">
        <v>36</v>
      </c>
      <c r="J2061" s="3" t="s">
        <v>36</v>
      </c>
      <c r="K2061" s="9" t="s">
        <v>36</v>
      </c>
      <c r="L2061" s="6" t="s">
        <v>36</v>
      </c>
      <c r="M2061" s="3" t="s">
        <v>36</v>
      </c>
      <c r="N2061" s="3" t="s">
        <v>36</v>
      </c>
      <c r="O2061" s="8" t="s">
        <v>36</v>
      </c>
      <c r="P2061" s="3" t="s">
        <v>36</v>
      </c>
      <c r="Q2061" s="3" t="s">
        <v>36</v>
      </c>
      <c r="R2061" s="3" t="s">
        <v>36</v>
      </c>
      <c r="S2061" s="3" t="s">
        <v>36</v>
      </c>
      <c r="T2061" s="3" t="s">
        <v>189</v>
      </c>
      <c r="U2061" s="3" t="s">
        <v>180</v>
      </c>
      <c r="V2061" s="3" t="s">
        <v>52</v>
      </c>
      <c r="W2061" s="3" t="s">
        <v>11662</v>
      </c>
      <c r="X2061" s="10" t="s">
        <v>11663</v>
      </c>
      <c r="Y2061" s="6" t="s">
        <v>108</v>
      </c>
      <c r="Z2061" s="4">
        <v>1.05</v>
      </c>
      <c r="AA2061" s="4" t="s">
        <v>36</v>
      </c>
      <c r="AB2061" s="3" t="s">
        <v>43</v>
      </c>
      <c r="AC2061" s="3" t="s">
        <v>11664</v>
      </c>
      <c r="AD2061" s="9">
        <v>44747</v>
      </c>
      <c r="AE2061" s="3" t="s">
        <v>184</v>
      </c>
      <c r="AF2061" s="3" t="s">
        <v>3024</v>
      </c>
      <c r="AG2061" s="3" t="s">
        <v>270</v>
      </c>
      <c r="AH2061" s="11">
        <f>HYPERLINK("https://my.pitchbook.com?c=199931-23T","View Company Online")</f>
      </c>
    </row>
    <row r="2062">
      <c r="A2062" s="12" t="s">
        <v>11665</v>
      </c>
      <c r="B2062" s="12" t="s">
        <v>11666</v>
      </c>
      <c r="C2062" s="19">
        <v>2</v>
      </c>
      <c r="D2062" s="19">
        <v>6</v>
      </c>
      <c r="E2062" s="19">
        <v>2</v>
      </c>
      <c r="F2062" s="19">
        <v>8</v>
      </c>
      <c r="G2062" s="15" t="s">
        <v>36</v>
      </c>
      <c r="H2062" s="14" t="s">
        <v>36</v>
      </c>
      <c r="I2062" s="18" t="s">
        <v>36</v>
      </c>
      <c r="J2062" s="12" t="s">
        <v>36</v>
      </c>
      <c r="K2062" s="13" t="s">
        <v>36</v>
      </c>
      <c r="L2062" s="15" t="s">
        <v>36</v>
      </c>
      <c r="M2062" s="12" t="s">
        <v>36</v>
      </c>
      <c r="N2062" s="12" t="s">
        <v>36</v>
      </c>
      <c r="O2062" s="17" t="s">
        <v>36</v>
      </c>
      <c r="P2062" s="12" t="s">
        <v>36</v>
      </c>
      <c r="Q2062" s="12" t="s">
        <v>36</v>
      </c>
      <c r="R2062" s="12" t="s">
        <v>36</v>
      </c>
      <c r="S2062" s="12" t="s">
        <v>36</v>
      </c>
      <c r="T2062" s="12" t="s">
        <v>2811</v>
      </c>
      <c r="U2062" s="12" t="s">
        <v>219</v>
      </c>
      <c r="V2062" s="12" t="s">
        <v>75</v>
      </c>
      <c r="W2062" s="12" t="s">
        <v>11667</v>
      </c>
      <c r="X2062" s="16" t="s">
        <v>11668</v>
      </c>
      <c r="Y2062" s="15" t="s">
        <v>42</v>
      </c>
      <c r="Z2062" s="14">
        <v>3.68</v>
      </c>
      <c r="AA2062" s="14" t="s">
        <v>36</v>
      </c>
      <c r="AB2062" s="12" t="s">
        <v>43</v>
      </c>
      <c r="AC2062" s="12" t="s">
        <v>11669</v>
      </c>
      <c r="AD2062" s="13">
        <v>44747</v>
      </c>
      <c r="AE2062" s="12" t="s">
        <v>223</v>
      </c>
      <c r="AF2062" s="12" t="s">
        <v>982</v>
      </c>
      <c r="AG2062" s="12" t="s">
        <v>47</v>
      </c>
      <c r="AH2062" s="1">
        <f>HYPERLINK("https://my.pitchbook.com?c=198765-28T","View Company Online")</f>
      </c>
    </row>
    <row r="2063">
      <c r="A2063" s="3" t="s">
        <v>11670</v>
      </c>
      <c r="B2063" s="3" t="s">
        <v>11671</v>
      </c>
      <c r="C2063" s="5" t="s">
        <v>36</v>
      </c>
      <c r="D2063" s="5" t="s">
        <v>36</v>
      </c>
      <c r="E2063" s="5" t="s">
        <v>36</v>
      </c>
      <c r="F2063" s="5" t="s">
        <v>36</v>
      </c>
      <c r="G2063" s="6" t="s">
        <v>326</v>
      </c>
      <c r="H2063" s="4" t="s">
        <v>36</v>
      </c>
      <c r="I2063" s="7">
        <v>35.48</v>
      </c>
      <c r="J2063" s="3" t="s">
        <v>327</v>
      </c>
      <c r="K2063" s="9" t="s">
        <v>36</v>
      </c>
      <c r="L2063" s="6" t="s">
        <v>36</v>
      </c>
      <c r="M2063" s="3" t="s">
        <v>36</v>
      </c>
      <c r="N2063" s="3" t="s">
        <v>36</v>
      </c>
      <c r="O2063" s="8" t="s">
        <v>36</v>
      </c>
      <c r="P2063" s="3" t="s">
        <v>36</v>
      </c>
      <c r="Q2063" s="3" t="s">
        <v>36</v>
      </c>
      <c r="R2063" s="3" t="s">
        <v>36</v>
      </c>
      <c r="S2063" s="3" t="s">
        <v>36</v>
      </c>
      <c r="T2063" s="3" t="s">
        <v>4141</v>
      </c>
      <c r="U2063" s="3" t="s">
        <v>74</v>
      </c>
      <c r="V2063" s="3" t="s">
        <v>75</v>
      </c>
      <c r="W2063" s="3" t="s">
        <v>11672</v>
      </c>
      <c r="X2063" s="10" t="s">
        <v>11673</v>
      </c>
      <c r="Y2063" s="6" t="s">
        <v>108</v>
      </c>
      <c r="Z2063" s="4">
        <v>3.16</v>
      </c>
      <c r="AA2063" s="4">
        <v>8.91</v>
      </c>
      <c r="AB2063" s="3" t="s">
        <v>56</v>
      </c>
      <c r="AC2063" s="3" t="s">
        <v>11674</v>
      </c>
      <c r="AD2063" s="9">
        <v>44746</v>
      </c>
      <c r="AE2063" s="3" t="s">
        <v>570</v>
      </c>
      <c r="AF2063" s="3" t="s">
        <v>176</v>
      </c>
      <c r="AG2063" s="3" t="s">
        <v>11675</v>
      </c>
      <c r="AH2063" s="11">
        <f>HYPERLINK("https://my.pitchbook.com?c=198693-46T","View Company Online")</f>
      </c>
    </row>
    <row r="2064">
      <c r="A2064" s="12" t="s">
        <v>11676</v>
      </c>
      <c r="B2064" s="12" t="s">
        <v>11677</v>
      </c>
      <c r="C2064" s="19" t="s">
        <v>36</v>
      </c>
      <c r="D2064" s="19" t="s">
        <v>36</v>
      </c>
      <c r="E2064" s="19" t="s">
        <v>36</v>
      </c>
      <c r="F2064" s="19" t="s">
        <v>36</v>
      </c>
      <c r="G2064" s="15" t="s">
        <v>36</v>
      </c>
      <c r="H2064" s="14" t="s">
        <v>36</v>
      </c>
      <c r="I2064" s="18" t="s">
        <v>36</v>
      </c>
      <c r="J2064" s="12" t="s">
        <v>36</v>
      </c>
      <c r="K2064" s="13" t="s">
        <v>36</v>
      </c>
      <c r="L2064" s="15" t="s">
        <v>36</v>
      </c>
      <c r="M2064" s="12" t="s">
        <v>36</v>
      </c>
      <c r="N2064" s="12" t="s">
        <v>36</v>
      </c>
      <c r="O2064" s="17" t="s">
        <v>36</v>
      </c>
      <c r="P2064" s="12" t="s">
        <v>36</v>
      </c>
      <c r="Q2064" s="12" t="s">
        <v>36</v>
      </c>
      <c r="R2064" s="12" t="s">
        <v>36</v>
      </c>
      <c r="S2064" s="12" t="s">
        <v>36</v>
      </c>
      <c r="T2064" s="12" t="s">
        <v>1701</v>
      </c>
      <c r="U2064" s="12" t="s">
        <v>74</v>
      </c>
      <c r="V2064" s="12" t="s">
        <v>75</v>
      </c>
      <c r="W2064" s="12" t="s">
        <v>11678</v>
      </c>
      <c r="X2064" s="16" t="s">
        <v>9033</v>
      </c>
      <c r="Y2064" s="15" t="s">
        <v>42</v>
      </c>
      <c r="Z2064" s="14" t="s">
        <v>36</v>
      </c>
      <c r="AA2064" s="14" t="s">
        <v>36</v>
      </c>
      <c r="AB2064" s="12" t="s">
        <v>56</v>
      </c>
      <c r="AC2064" s="12" t="s">
        <v>11679</v>
      </c>
      <c r="AD2064" s="13">
        <v>44743</v>
      </c>
      <c r="AE2064" s="12" t="s">
        <v>79</v>
      </c>
      <c r="AF2064" s="12" t="s">
        <v>4552</v>
      </c>
      <c r="AG2064" s="12" t="s">
        <v>81</v>
      </c>
      <c r="AH2064" s="1">
        <f>HYPERLINK("https://my.pitchbook.com?c=205522-03T","View Company Online")</f>
      </c>
    </row>
    <row r="2065">
      <c r="A2065" s="3" t="s">
        <v>11680</v>
      </c>
      <c r="B2065" s="3" t="s">
        <v>11681</v>
      </c>
      <c r="C2065" s="5" t="s">
        <v>36</v>
      </c>
      <c r="D2065" s="5" t="s">
        <v>36</v>
      </c>
      <c r="E2065" s="5" t="s">
        <v>36</v>
      </c>
      <c r="F2065" s="5" t="s">
        <v>36</v>
      </c>
      <c r="G2065" s="6" t="s">
        <v>36</v>
      </c>
      <c r="H2065" s="4" t="s">
        <v>36</v>
      </c>
      <c r="I2065" s="7" t="s">
        <v>36</v>
      </c>
      <c r="J2065" s="3" t="s">
        <v>36</v>
      </c>
      <c r="K2065" s="9" t="s">
        <v>36</v>
      </c>
      <c r="L2065" s="6" t="s">
        <v>122</v>
      </c>
      <c r="M2065" s="3" t="s">
        <v>36</v>
      </c>
      <c r="N2065" s="3" t="s">
        <v>122</v>
      </c>
      <c r="O2065" s="8" t="s">
        <v>36</v>
      </c>
      <c r="P2065" s="3" t="s">
        <v>36</v>
      </c>
      <c r="Q2065" s="3" t="s">
        <v>36</v>
      </c>
      <c r="R2065" s="3" t="s">
        <v>36</v>
      </c>
      <c r="S2065" s="3" t="s">
        <v>36</v>
      </c>
      <c r="T2065" s="3" t="s">
        <v>1162</v>
      </c>
      <c r="U2065" s="3" t="s">
        <v>423</v>
      </c>
      <c r="V2065" s="3" t="s">
        <v>64</v>
      </c>
      <c r="W2065" s="3" t="s">
        <v>11682</v>
      </c>
      <c r="X2065" s="10" t="s">
        <v>11683</v>
      </c>
      <c r="Y2065" s="6" t="s">
        <v>192</v>
      </c>
      <c r="Z2065" s="4">
        <v>3.17</v>
      </c>
      <c r="AA2065" s="4" t="s">
        <v>36</v>
      </c>
      <c r="AB2065" s="3" t="s">
        <v>56</v>
      </c>
      <c r="AC2065" s="3" t="s">
        <v>11684</v>
      </c>
      <c r="AD2065" s="9">
        <v>44743</v>
      </c>
      <c r="AE2065" s="3" t="s">
        <v>562</v>
      </c>
      <c r="AF2065" s="3" t="s">
        <v>1977</v>
      </c>
      <c r="AG2065" s="3" t="s">
        <v>11685</v>
      </c>
      <c r="AH2065" s="11">
        <f>HYPERLINK("https://my.pitchbook.com?c=206433-46T","View Company Online")</f>
      </c>
    </row>
    <row r="2066">
      <c r="A2066" s="12" t="s">
        <v>11686</v>
      </c>
      <c r="B2066" s="12" t="s">
        <v>528</v>
      </c>
      <c r="C2066" s="19" t="s">
        <v>36</v>
      </c>
      <c r="D2066" s="19" t="s">
        <v>36</v>
      </c>
      <c r="E2066" s="19" t="s">
        <v>36</v>
      </c>
      <c r="F2066" s="19" t="s">
        <v>36</v>
      </c>
      <c r="G2066" s="15" t="s">
        <v>326</v>
      </c>
      <c r="H2066" s="14" t="s">
        <v>36</v>
      </c>
      <c r="I2066" s="18">
        <v>53.3</v>
      </c>
      <c r="J2066" s="12" t="s">
        <v>521</v>
      </c>
      <c r="K2066" s="13" t="s">
        <v>36</v>
      </c>
      <c r="L2066" s="15" t="s">
        <v>122</v>
      </c>
      <c r="M2066" s="12" t="s">
        <v>36</v>
      </c>
      <c r="N2066" s="12" t="s">
        <v>122</v>
      </c>
      <c r="O2066" s="17" t="s">
        <v>36</v>
      </c>
      <c r="P2066" s="12" t="s">
        <v>36</v>
      </c>
      <c r="Q2066" s="12" t="s">
        <v>36</v>
      </c>
      <c r="R2066" s="12" t="s">
        <v>36</v>
      </c>
      <c r="S2066" s="12" t="s">
        <v>36</v>
      </c>
      <c r="T2066" s="12" t="s">
        <v>529</v>
      </c>
      <c r="U2066" s="12" t="s">
        <v>38</v>
      </c>
      <c r="V2066" s="12" t="s">
        <v>39</v>
      </c>
      <c r="W2066" s="12" t="s">
        <v>530</v>
      </c>
      <c r="X2066" s="16" t="s">
        <v>11687</v>
      </c>
      <c r="Y2066" s="15" t="s">
        <v>42</v>
      </c>
      <c r="Z2066" s="14">
        <v>5</v>
      </c>
      <c r="AA2066" s="14">
        <v>16</v>
      </c>
      <c r="AB2066" s="12" t="s">
        <v>43</v>
      </c>
      <c r="AC2066" s="12" t="s">
        <v>532</v>
      </c>
      <c r="AD2066" s="13">
        <v>44743</v>
      </c>
      <c r="AE2066" s="12" t="s">
        <v>134</v>
      </c>
      <c r="AF2066" s="12" t="s">
        <v>533</v>
      </c>
      <c r="AG2066" s="12" t="s">
        <v>81</v>
      </c>
      <c r="AH2066" s="1">
        <f>HYPERLINK("https://my.pitchbook.com?c=178819-66T","View Company Online")</f>
      </c>
    </row>
    <row r="2067">
      <c r="A2067" s="3" t="s">
        <v>11688</v>
      </c>
      <c r="B2067" s="3" t="s">
        <v>11689</v>
      </c>
      <c r="C2067" s="5" t="s">
        <v>36</v>
      </c>
      <c r="D2067" s="5" t="s">
        <v>36</v>
      </c>
      <c r="E2067" s="5" t="s">
        <v>36</v>
      </c>
      <c r="F2067" s="5" t="s">
        <v>36</v>
      </c>
      <c r="G2067" s="6" t="s">
        <v>36</v>
      </c>
      <c r="H2067" s="4" t="s">
        <v>36</v>
      </c>
      <c r="I2067" s="7" t="s">
        <v>36</v>
      </c>
      <c r="J2067" s="3" t="s">
        <v>36</v>
      </c>
      <c r="K2067" s="9" t="s">
        <v>36</v>
      </c>
      <c r="L2067" s="6" t="s">
        <v>36</v>
      </c>
      <c r="M2067" s="3" t="s">
        <v>36</v>
      </c>
      <c r="N2067" s="3" t="s">
        <v>36</v>
      </c>
      <c r="O2067" s="8" t="s">
        <v>36</v>
      </c>
      <c r="P2067" s="3" t="s">
        <v>36</v>
      </c>
      <c r="Q2067" s="3" t="s">
        <v>36</v>
      </c>
      <c r="R2067" s="3" t="s">
        <v>36</v>
      </c>
      <c r="S2067" s="3" t="s">
        <v>36</v>
      </c>
      <c r="T2067" s="3" t="s">
        <v>7415</v>
      </c>
      <c r="U2067" s="3" t="s">
        <v>38</v>
      </c>
      <c r="V2067" s="3" t="s">
        <v>39</v>
      </c>
      <c r="W2067" s="3" t="s">
        <v>11690</v>
      </c>
      <c r="X2067" s="10" t="s">
        <v>11691</v>
      </c>
      <c r="Y2067" s="6" t="s">
        <v>42</v>
      </c>
      <c r="Z2067" s="4" t="s">
        <v>36</v>
      </c>
      <c r="AA2067" s="4" t="s">
        <v>36</v>
      </c>
      <c r="AB2067" s="3" t="s">
        <v>43</v>
      </c>
      <c r="AC2067" s="3" t="s">
        <v>11692</v>
      </c>
      <c r="AD2067" s="9">
        <v>44743</v>
      </c>
      <c r="AE2067" s="3" t="s">
        <v>1422</v>
      </c>
      <c r="AF2067" s="3" t="s">
        <v>4284</v>
      </c>
      <c r="AG2067" s="3" t="s">
        <v>81</v>
      </c>
      <c r="AH2067" s="11">
        <f>HYPERLINK("https://my.pitchbook.com?c=200456-65T","View Company Online")</f>
      </c>
    </row>
    <row r="2068">
      <c r="A2068" s="12" t="s">
        <v>11693</v>
      </c>
      <c r="B2068" s="12" t="s">
        <v>11694</v>
      </c>
      <c r="C2068" s="19" t="s">
        <v>36</v>
      </c>
      <c r="D2068" s="19" t="s">
        <v>36</v>
      </c>
      <c r="E2068" s="19" t="s">
        <v>36</v>
      </c>
      <c r="F2068" s="19" t="s">
        <v>36</v>
      </c>
      <c r="G2068" s="15" t="s">
        <v>36</v>
      </c>
      <c r="H2068" s="14" t="s">
        <v>36</v>
      </c>
      <c r="I2068" s="18" t="s">
        <v>36</v>
      </c>
      <c r="J2068" s="12" t="s">
        <v>36</v>
      </c>
      <c r="K2068" s="13" t="s">
        <v>36</v>
      </c>
      <c r="L2068" s="15" t="s">
        <v>36</v>
      </c>
      <c r="M2068" s="12" t="s">
        <v>36</v>
      </c>
      <c r="N2068" s="12" t="s">
        <v>36</v>
      </c>
      <c r="O2068" s="17" t="s">
        <v>36</v>
      </c>
      <c r="P2068" s="12" t="s">
        <v>36</v>
      </c>
      <c r="Q2068" s="12" t="s">
        <v>36</v>
      </c>
      <c r="R2068" s="12" t="s">
        <v>36</v>
      </c>
      <c r="S2068" s="12" t="s">
        <v>36</v>
      </c>
      <c r="T2068" s="12" t="s">
        <v>881</v>
      </c>
      <c r="U2068" s="12" t="s">
        <v>51</v>
      </c>
      <c r="V2068" s="12" t="s">
        <v>52</v>
      </c>
      <c r="W2068" s="12" t="s">
        <v>11695</v>
      </c>
      <c r="X2068" s="16" t="s">
        <v>11696</v>
      </c>
      <c r="Y2068" s="15" t="s">
        <v>55</v>
      </c>
      <c r="Z2068" s="14" t="s">
        <v>36</v>
      </c>
      <c r="AA2068" s="14" t="s">
        <v>36</v>
      </c>
      <c r="AB2068" s="12" t="s">
        <v>43</v>
      </c>
      <c r="AC2068" s="12" t="s">
        <v>11697</v>
      </c>
      <c r="AD2068" s="13">
        <v>44743</v>
      </c>
      <c r="AE2068" s="12" t="s">
        <v>504</v>
      </c>
      <c r="AF2068" s="12" t="s">
        <v>3193</v>
      </c>
      <c r="AG2068" s="12" t="s">
        <v>81</v>
      </c>
      <c r="AH2068" s="1">
        <f>HYPERLINK("https://my.pitchbook.com?c=200158-12T","View Company Online")</f>
      </c>
    </row>
    <row r="2069">
      <c r="A2069" s="3" t="s">
        <v>11698</v>
      </c>
      <c r="B2069" s="3" t="s">
        <v>11699</v>
      </c>
      <c r="C2069" s="5">
        <v>32</v>
      </c>
      <c r="D2069" s="5">
        <v>9</v>
      </c>
      <c r="E2069" s="5">
        <v>24</v>
      </c>
      <c r="F2069" s="5">
        <v>41</v>
      </c>
      <c r="G2069" s="6" t="s">
        <v>36</v>
      </c>
      <c r="H2069" s="4" t="s">
        <v>36</v>
      </c>
      <c r="I2069" s="7" t="s">
        <v>36</v>
      </c>
      <c r="J2069" s="3" t="s">
        <v>36</v>
      </c>
      <c r="K2069" s="9">
        <v>44593</v>
      </c>
      <c r="L2069" s="6" t="s">
        <v>122</v>
      </c>
      <c r="M2069" s="3" t="s">
        <v>36</v>
      </c>
      <c r="N2069" s="3" t="s">
        <v>122</v>
      </c>
      <c r="O2069" s="8" t="s">
        <v>36</v>
      </c>
      <c r="P2069" s="3" t="s">
        <v>36</v>
      </c>
      <c r="Q2069" s="3" t="s">
        <v>36</v>
      </c>
      <c r="R2069" s="3" t="s">
        <v>36</v>
      </c>
      <c r="S2069" s="3" t="s">
        <v>36</v>
      </c>
      <c r="T2069" s="3" t="s">
        <v>11700</v>
      </c>
      <c r="U2069" s="3" t="s">
        <v>1502</v>
      </c>
      <c r="V2069" s="3" t="s">
        <v>75</v>
      </c>
      <c r="W2069" s="3" t="s">
        <v>11701</v>
      </c>
      <c r="X2069" s="10" t="s">
        <v>11702</v>
      </c>
      <c r="Y2069" s="6" t="s">
        <v>42</v>
      </c>
      <c r="Z2069" s="4">
        <v>6.34</v>
      </c>
      <c r="AA2069" s="4" t="s">
        <v>36</v>
      </c>
      <c r="AB2069" s="3" t="s">
        <v>43</v>
      </c>
      <c r="AC2069" s="3" t="s">
        <v>11703</v>
      </c>
      <c r="AD2069" s="9">
        <v>44743</v>
      </c>
      <c r="AE2069" s="3" t="s">
        <v>1822</v>
      </c>
      <c r="AF2069" s="3" t="s">
        <v>571</v>
      </c>
      <c r="AG2069" s="3" t="s">
        <v>81</v>
      </c>
      <c r="AH2069" s="11">
        <f>HYPERLINK("https://my.pitchbook.com?c=187634-89T","View Company Online")</f>
      </c>
    </row>
    <row r="2070">
      <c r="A2070" s="12" t="s">
        <v>11704</v>
      </c>
      <c r="B2070" s="12" t="s">
        <v>11705</v>
      </c>
      <c r="C2070" s="19" t="s">
        <v>36</v>
      </c>
      <c r="D2070" s="19" t="s">
        <v>36</v>
      </c>
      <c r="E2070" s="19" t="s">
        <v>36</v>
      </c>
      <c r="F2070" s="19" t="s">
        <v>36</v>
      </c>
      <c r="G2070" s="15" t="s">
        <v>36</v>
      </c>
      <c r="H2070" s="14" t="s">
        <v>36</v>
      </c>
      <c r="I2070" s="18">
        <v>17.38</v>
      </c>
      <c r="J2070" s="12" t="s">
        <v>327</v>
      </c>
      <c r="K2070" s="13" t="s">
        <v>36</v>
      </c>
      <c r="L2070" s="15" t="s">
        <v>36</v>
      </c>
      <c r="M2070" s="12" t="s">
        <v>36</v>
      </c>
      <c r="N2070" s="12" t="s">
        <v>36</v>
      </c>
      <c r="O2070" s="17" t="s">
        <v>36</v>
      </c>
      <c r="P2070" s="12" t="s">
        <v>36</v>
      </c>
      <c r="Q2070" s="12" t="s">
        <v>36</v>
      </c>
      <c r="R2070" s="12" t="s">
        <v>36</v>
      </c>
      <c r="S2070" s="12" t="s">
        <v>36</v>
      </c>
      <c r="T2070" s="12" t="s">
        <v>11706</v>
      </c>
      <c r="U2070" s="12" t="s">
        <v>74</v>
      </c>
      <c r="V2070" s="12" t="s">
        <v>75</v>
      </c>
      <c r="W2070" s="12" t="s">
        <v>11707</v>
      </c>
      <c r="X2070" s="16" t="s">
        <v>11708</v>
      </c>
      <c r="Y2070" s="15" t="s">
        <v>42</v>
      </c>
      <c r="Z2070" s="14">
        <v>1.48</v>
      </c>
      <c r="AA2070" s="14">
        <v>8.51</v>
      </c>
      <c r="AB2070" s="12" t="s">
        <v>43</v>
      </c>
      <c r="AC2070" s="12" t="s">
        <v>11709</v>
      </c>
      <c r="AD2070" s="13">
        <v>44743</v>
      </c>
      <c r="AE2070" s="12" t="s">
        <v>79</v>
      </c>
      <c r="AF2070" s="12" t="s">
        <v>176</v>
      </c>
      <c r="AG2070" s="12" t="s">
        <v>2618</v>
      </c>
      <c r="AH2070" s="1">
        <f>HYPERLINK("https://my.pitchbook.com?c=197393-68T","View Company Online")</f>
      </c>
    </row>
    <row r="2071">
      <c r="A2071" s="3" t="s">
        <v>11710</v>
      </c>
      <c r="B2071" s="3" t="s">
        <v>11711</v>
      </c>
      <c r="C2071" s="5" t="s">
        <v>36</v>
      </c>
      <c r="D2071" s="5" t="s">
        <v>36</v>
      </c>
      <c r="E2071" s="5" t="s">
        <v>36</v>
      </c>
      <c r="F2071" s="5" t="s">
        <v>36</v>
      </c>
      <c r="G2071" s="6" t="s">
        <v>36</v>
      </c>
      <c r="H2071" s="4" t="s">
        <v>36</v>
      </c>
      <c r="I2071" s="7" t="s">
        <v>36</v>
      </c>
      <c r="J2071" s="3" t="s">
        <v>36</v>
      </c>
      <c r="K2071" s="9" t="s">
        <v>36</v>
      </c>
      <c r="L2071" s="6" t="s">
        <v>36</v>
      </c>
      <c r="M2071" s="3" t="s">
        <v>36</v>
      </c>
      <c r="N2071" s="3" t="s">
        <v>36</v>
      </c>
      <c r="O2071" s="8" t="s">
        <v>36</v>
      </c>
      <c r="P2071" s="3" t="s">
        <v>36</v>
      </c>
      <c r="Q2071" s="3" t="s">
        <v>36</v>
      </c>
      <c r="R2071" s="3" t="s">
        <v>36</v>
      </c>
      <c r="S2071" s="3" t="s">
        <v>36</v>
      </c>
      <c r="T2071" s="3" t="s">
        <v>37</v>
      </c>
      <c r="U2071" s="3" t="s">
        <v>38</v>
      </c>
      <c r="V2071" s="3" t="s">
        <v>39</v>
      </c>
      <c r="W2071" s="3" t="s">
        <v>11712</v>
      </c>
      <c r="X2071" s="10" t="s">
        <v>6913</v>
      </c>
      <c r="Y2071" s="6" t="s">
        <v>192</v>
      </c>
      <c r="Z2071" s="4" t="s">
        <v>36</v>
      </c>
      <c r="AA2071" s="4" t="s">
        <v>36</v>
      </c>
      <c r="AB2071" s="3" t="s">
        <v>56</v>
      </c>
      <c r="AC2071" s="3" t="s">
        <v>11713</v>
      </c>
      <c r="AD2071" s="9">
        <v>44743</v>
      </c>
      <c r="AE2071" s="3" t="s">
        <v>45</v>
      </c>
      <c r="AF2071" s="3" t="s">
        <v>7466</v>
      </c>
      <c r="AG2071" s="3" t="s">
        <v>81</v>
      </c>
      <c r="AH2071" s="11">
        <f>HYPERLINK("https://my.pitchbook.com?c=199297-09T","View Company Online")</f>
      </c>
    </row>
    <row r="2072">
      <c r="A2072" s="12" t="s">
        <v>11714</v>
      </c>
      <c r="B2072" s="12" t="s">
        <v>11715</v>
      </c>
      <c r="C2072" s="19" t="s">
        <v>36</v>
      </c>
      <c r="D2072" s="19" t="s">
        <v>36</v>
      </c>
      <c r="E2072" s="19" t="s">
        <v>36</v>
      </c>
      <c r="F2072" s="19" t="s">
        <v>36</v>
      </c>
      <c r="G2072" s="15" t="s">
        <v>36</v>
      </c>
      <c r="H2072" s="14" t="s">
        <v>36</v>
      </c>
      <c r="I2072" s="18" t="s">
        <v>36</v>
      </c>
      <c r="J2072" s="12" t="s">
        <v>36</v>
      </c>
      <c r="K2072" s="13" t="s">
        <v>36</v>
      </c>
      <c r="L2072" s="15" t="s">
        <v>36</v>
      </c>
      <c r="M2072" s="12" t="s">
        <v>36</v>
      </c>
      <c r="N2072" s="12" t="s">
        <v>36</v>
      </c>
      <c r="O2072" s="17" t="s">
        <v>36</v>
      </c>
      <c r="P2072" s="12" t="s">
        <v>36</v>
      </c>
      <c r="Q2072" s="12" t="s">
        <v>36</v>
      </c>
      <c r="R2072" s="12" t="s">
        <v>36</v>
      </c>
      <c r="S2072" s="12" t="s">
        <v>36</v>
      </c>
      <c r="T2072" s="12" t="s">
        <v>11716</v>
      </c>
      <c r="U2072" s="12" t="s">
        <v>74</v>
      </c>
      <c r="V2072" s="12" t="s">
        <v>75</v>
      </c>
      <c r="W2072" s="12" t="s">
        <v>11717</v>
      </c>
      <c r="X2072" s="16" t="s">
        <v>11718</v>
      </c>
      <c r="Y2072" s="15" t="s">
        <v>108</v>
      </c>
      <c r="Z2072" s="14" t="s">
        <v>36</v>
      </c>
      <c r="AA2072" s="14" t="s">
        <v>36</v>
      </c>
      <c r="AB2072" s="12" t="s">
        <v>43</v>
      </c>
      <c r="AC2072" s="12" t="s">
        <v>11719</v>
      </c>
      <c r="AD2072" s="13">
        <v>44743</v>
      </c>
      <c r="AE2072" s="12" t="s">
        <v>975</v>
      </c>
      <c r="AF2072" s="12" t="s">
        <v>36</v>
      </c>
      <c r="AG2072" s="12" t="s">
        <v>741</v>
      </c>
      <c r="AH2072" s="1">
        <f>HYPERLINK("https://my.pitchbook.com?c=200270-98T","View Company Online")</f>
      </c>
    </row>
    <row r="2073">
      <c r="A2073" s="3" t="s">
        <v>11720</v>
      </c>
      <c r="B2073" s="3" t="s">
        <v>11721</v>
      </c>
      <c r="C2073" s="5" t="s">
        <v>36</v>
      </c>
      <c r="D2073" s="5" t="s">
        <v>36</v>
      </c>
      <c r="E2073" s="5" t="s">
        <v>36</v>
      </c>
      <c r="F2073" s="5" t="s">
        <v>36</v>
      </c>
      <c r="G2073" s="6" t="s">
        <v>36</v>
      </c>
      <c r="H2073" s="4" t="s">
        <v>36</v>
      </c>
      <c r="I2073" s="7" t="s">
        <v>36</v>
      </c>
      <c r="J2073" s="3" t="s">
        <v>36</v>
      </c>
      <c r="K2073" s="9" t="s">
        <v>36</v>
      </c>
      <c r="L2073" s="6" t="s">
        <v>36</v>
      </c>
      <c r="M2073" s="3" t="s">
        <v>36</v>
      </c>
      <c r="N2073" s="3" t="s">
        <v>36</v>
      </c>
      <c r="O2073" s="8" t="s">
        <v>36</v>
      </c>
      <c r="P2073" s="3" t="s">
        <v>36</v>
      </c>
      <c r="Q2073" s="3" t="s">
        <v>36</v>
      </c>
      <c r="R2073" s="3" t="s">
        <v>36</v>
      </c>
      <c r="S2073" s="3" t="s">
        <v>36</v>
      </c>
      <c r="T2073" s="3" t="s">
        <v>11722</v>
      </c>
      <c r="U2073" s="3" t="s">
        <v>51</v>
      </c>
      <c r="V2073" s="3" t="s">
        <v>52</v>
      </c>
      <c r="W2073" s="3" t="s">
        <v>11723</v>
      </c>
      <c r="X2073" s="10" t="s">
        <v>11724</v>
      </c>
      <c r="Y2073" s="6" t="s">
        <v>108</v>
      </c>
      <c r="Z2073" s="4" t="s">
        <v>36</v>
      </c>
      <c r="AA2073" s="4" t="s">
        <v>36</v>
      </c>
      <c r="AB2073" s="3" t="s">
        <v>56</v>
      </c>
      <c r="AC2073" s="3" t="s">
        <v>11725</v>
      </c>
      <c r="AD2073" s="9">
        <v>44743</v>
      </c>
      <c r="AE2073" s="3" t="s">
        <v>58</v>
      </c>
      <c r="AF2073" s="3" t="s">
        <v>885</v>
      </c>
      <c r="AG2073" s="3" t="s">
        <v>144</v>
      </c>
      <c r="AH2073" s="11">
        <f>HYPERLINK("https://my.pitchbook.com?c=198687-88T","View Company Online")</f>
      </c>
    </row>
    <row r="2074">
      <c r="A2074" s="12" t="s">
        <v>11726</v>
      </c>
      <c r="B2074" s="12" t="s">
        <v>11727</v>
      </c>
      <c r="C2074" s="19" t="s">
        <v>36</v>
      </c>
      <c r="D2074" s="19" t="s">
        <v>36</v>
      </c>
      <c r="E2074" s="19" t="s">
        <v>36</v>
      </c>
      <c r="F2074" s="19" t="s">
        <v>36</v>
      </c>
      <c r="G2074" s="15" t="s">
        <v>36</v>
      </c>
      <c r="H2074" s="14">
        <v>5.8</v>
      </c>
      <c r="I2074" s="18">
        <v>44.64</v>
      </c>
      <c r="J2074" s="12" t="s">
        <v>521</v>
      </c>
      <c r="K2074" s="13" t="s">
        <v>36</v>
      </c>
      <c r="L2074" s="15" t="s">
        <v>36</v>
      </c>
      <c r="M2074" s="12" t="s">
        <v>36</v>
      </c>
      <c r="N2074" s="12" t="s">
        <v>36</v>
      </c>
      <c r="O2074" s="17" t="s">
        <v>36</v>
      </c>
      <c r="P2074" s="12" t="s">
        <v>36</v>
      </c>
      <c r="Q2074" s="12" t="s">
        <v>36</v>
      </c>
      <c r="R2074" s="12" t="s">
        <v>36</v>
      </c>
      <c r="S2074" s="12" t="s">
        <v>36</v>
      </c>
      <c r="T2074" s="12" t="s">
        <v>105</v>
      </c>
      <c r="U2074" s="12" t="s">
        <v>38</v>
      </c>
      <c r="V2074" s="12" t="s">
        <v>39</v>
      </c>
      <c r="W2074" s="12" t="s">
        <v>11728</v>
      </c>
      <c r="X2074" s="16" t="s">
        <v>11729</v>
      </c>
      <c r="Y2074" s="15" t="s">
        <v>42</v>
      </c>
      <c r="Z2074" s="14">
        <v>0.95</v>
      </c>
      <c r="AA2074" s="14">
        <v>2.13</v>
      </c>
      <c r="AB2074" s="12" t="s">
        <v>56</v>
      </c>
      <c r="AC2074" s="12" t="s">
        <v>11730</v>
      </c>
      <c r="AD2074" s="13">
        <v>44743</v>
      </c>
      <c r="AE2074" s="12" t="s">
        <v>110</v>
      </c>
      <c r="AF2074" s="12" t="s">
        <v>176</v>
      </c>
      <c r="AG2074" s="12" t="s">
        <v>11731</v>
      </c>
      <c r="AH2074" s="1">
        <f>HYPERLINK("https://my.pitchbook.com?c=201206-26T","View Company Online")</f>
      </c>
    </row>
    <row r="2075">
      <c r="A2075" s="3" t="s">
        <v>11732</v>
      </c>
      <c r="B2075" s="3" t="s">
        <v>11733</v>
      </c>
      <c r="C2075" s="5" t="s">
        <v>36</v>
      </c>
      <c r="D2075" s="5" t="s">
        <v>36</v>
      </c>
      <c r="E2075" s="5" t="s">
        <v>36</v>
      </c>
      <c r="F2075" s="5" t="s">
        <v>36</v>
      </c>
      <c r="G2075" s="6" t="s">
        <v>36</v>
      </c>
      <c r="H2075" s="4" t="s">
        <v>36</v>
      </c>
      <c r="I2075" s="7" t="s">
        <v>36</v>
      </c>
      <c r="J2075" s="3" t="s">
        <v>36</v>
      </c>
      <c r="K2075" s="9" t="s">
        <v>36</v>
      </c>
      <c r="L2075" s="6" t="s">
        <v>36</v>
      </c>
      <c r="M2075" s="3" t="s">
        <v>36</v>
      </c>
      <c r="N2075" s="3" t="s">
        <v>36</v>
      </c>
      <c r="O2075" s="8" t="s">
        <v>36</v>
      </c>
      <c r="P2075" s="3" t="s">
        <v>36</v>
      </c>
      <c r="Q2075" s="3" t="s">
        <v>36</v>
      </c>
      <c r="R2075" s="3" t="s">
        <v>36</v>
      </c>
      <c r="S2075" s="3" t="s">
        <v>36</v>
      </c>
      <c r="T2075" s="3" t="s">
        <v>5929</v>
      </c>
      <c r="U2075" s="3" t="s">
        <v>38</v>
      </c>
      <c r="V2075" s="3" t="s">
        <v>39</v>
      </c>
      <c r="W2075" s="3" t="s">
        <v>11734</v>
      </c>
      <c r="X2075" s="10" t="s">
        <v>11735</v>
      </c>
      <c r="Y2075" s="6" t="s">
        <v>108</v>
      </c>
      <c r="Z2075" s="4">
        <v>1.06</v>
      </c>
      <c r="AA2075" s="4" t="s">
        <v>36</v>
      </c>
      <c r="AB2075" s="3" t="s">
        <v>43</v>
      </c>
      <c r="AC2075" s="3" t="s">
        <v>11736</v>
      </c>
      <c r="AD2075" s="9">
        <v>44743</v>
      </c>
      <c r="AE2075" s="3" t="s">
        <v>110</v>
      </c>
      <c r="AF2075" s="3" t="s">
        <v>11737</v>
      </c>
      <c r="AG2075" s="3" t="s">
        <v>741</v>
      </c>
      <c r="AH2075" s="11">
        <f>HYPERLINK("https://my.pitchbook.com?c=200752-84T","View Company Online")</f>
      </c>
    </row>
    <row r="2076">
      <c r="A2076" s="12" t="s">
        <v>11738</v>
      </c>
      <c r="B2076" s="12" t="s">
        <v>11739</v>
      </c>
      <c r="C2076" s="19" t="s">
        <v>36</v>
      </c>
      <c r="D2076" s="19" t="s">
        <v>36</v>
      </c>
      <c r="E2076" s="19" t="s">
        <v>36</v>
      </c>
      <c r="F2076" s="19" t="s">
        <v>36</v>
      </c>
      <c r="G2076" s="15" t="s">
        <v>36</v>
      </c>
      <c r="H2076" s="14">
        <v>13.63</v>
      </c>
      <c r="I2076" s="18">
        <v>7</v>
      </c>
      <c r="J2076" s="12" t="s">
        <v>521</v>
      </c>
      <c r="K2076" s="13" t="s">
        <v>36</v>
      </c>
      <c r="L2076" s="15" t="s">
        <v>36</v>
      </c>
      <c r="M2076" s="12" t="s">
        <v>36</v>
      </c>
      <c r="N2076" s="12" t="s">
        <v>36</v>
      </c>
      <c r="O2076" s="17" t="s">
        <v>36</v>
      </c>
      <c r="P2076" s="12" t="s">
        <v>36</v>
      </c>
      <c r="Q2076" s="12" t="s">
        <v>36</v>
      </c>
      <c r="R2076" s="12" t="s">
        <v>36</v>
      </c>
      <c r="S2076" s="12" t="s">
        <v>36</v>
      </c>
      <c r="T2076" s="12" t="s">
        <v>2445</v>
      </c>
      <c r="U2076" s="12" t="s">
        <v>648</v>
      </c>
      <c r="V2076" s="12" t="s">
        <v>64</v>
      </c>
      <c r="W2076" s="12" t="s">
        <v>11740</v>
      </c>
      <c r="X2076" s="16" t="s">
        <v>11741</v>
      </c>
      <c r="Y2076" s="15" t="s">
        <v>42</v>
      </c>
      <c r="Z2076" s="14">
        <v>0.1</v>
      </c>
      <c r="AA2076" s="14">
        <v>1.4</v>
      </c>
      <c r="AB2076" s="12" t="s">
        <v>43</v>
      </c>
      <c r="AC2076" s="12" t="s">
        <v>11742</v>
      </c>
      <c r="AD2076" s="13">
        <v>44743</v>
      </c>
      <c r="AE2076" s="12" t="s">
        <v>651</v>
      </c>
      <c r="AF2076" s="12" t="s">
        <v>118</v>
      </c>
      <c r="AG2076" s="12" t="s">
        <v>8945</v>
      </c>
      <c r="AH2076" s="1">
        <f>HYPERLINK("https://my.pitchbook.com?c=201988-45T","View Company Online")</f>
      </c>
    </row>
    <row r="2077">
      <c r="A2077" s="3" t="s">
        <v>11743</v>
      </c>
      <c r="B2077" s="3" t="s">
        <v>11744</v>
      </c>
      <c r="C2077" s="5">
        <v>9</v>
      </c>
      <c r="D2077" s="5">
        <v>86</v>
      </c>
      <c r="E2077" s="5">
        <v>105</v>
      </c>
      <c r="F2077" s="5">
        <v>234</v>
      </c>
      <c r="G2077" s="6" t="s">
        <v>36</v>
      </c>
      <c r="H2077" s="4" t="s">
        <v>36</v>
      </c>
      <c r="I2077" s="7" t="s">
        <v>36</v>
      </c>
      <c r="J2077" s="3" t="s">
        <v>36</v>
      </c>
      <c r="K2077" s="9" t="s">
        <v>36</v>
      </c>
      <c r="L2077" s="6" t="s">
        <v>36</v>
      </c>
      <c r="M2077" s="3" t="s">
        <v>36</v>
      </c>
      <c r="N2077" s="3" t="s">
        <v>36</v>
      </c>
      <c r="O2077" s="8" t="s">
        <v>36</v>
      </c>
      <c r="P2077" s="3" t="s">
        <v>36</v>
      </c>
      <c r="Q2077" s="3" t="s">
        <v>36</v>
      </c>
      <c r="R2077" s="3" t="s">
        <v>36</v>
      </c>
      <c r="S2077" s="3" t="s">
        <v>36</v>
      </c>
      <c r="T2077" s="3" t="s">
        <v>927</v>
      </c>
      <c r="U2077" s="3" t="s">
        <v>219</v>
      </c>
      <c r="V2077" s="3" t="s">
        <v>75</v>
      </c>
      <c r="W2077" s="3" t="s">
        <v>11745</v>
      </c>
      <c r="X2077" s="10" t="s">
        <v>590</v>
      </c>
      <c r="Y2077" s="6" t="s">
        <v>42</v>
      </c>
      <c r="Z2077" s="4" t="s">
        <v>36</v>
      </c>
      <c r="AA2077" s="4" t="s">
        <v>36</v>
      </c>
      <c r="AB2077" s="3" t="s">
        <v>56</v>
      </c>
      <c r="AC2077" s="3" t="s">
        <v>11746</v>
      </c>
      <c r="AD2077" s="9">
        <v>44743</v>
      </c>
      <c r="AE2077" s="3" t="s">
        <v>243</v>
      </c>
      <c r="AF2077" s="3" t="s">
        <v>2471</v>
      </c>
      <c r="AG2077" s="3" t="s">
        <v>11747</v>
      </c>
      <c r="AH2077" s="11">
        <f>HYPERLINK("https://my.pitchbook.com?c=207856-81T","View Company Online")</f>
      </c>
    </row>
    <row r="2078">
      <c r="A2078" s="12" t="s">
        <v>11748</v>
      </c>
      <c r="B2078" s="12" t="s">
        <v>11749</v>
      </c>
      <c r="C2078" s="19" t="s">
        <v>36</v>
      </c>
      <c r="D2078" s="19" t="s">
        <v>36</v>
      </c>
      <c r="E2078" s="19" t="s">
        <v>36</v>
      </c>
      <c r="F2078" s="19" t="s">
        <v>36</v>
      </c>
      <c r="G2078" s="15" t="s">
        <v>36</v>
      </c>
      <c r="H2078" s="14">
        <v>253.41</v>
      </c>
      <c r="I2078" s="18">
        <v>24.98</v>
      </c>
      <c r="J2078" s="12" t="s">
        <v>521</v>
      </c>
      <c r="K2078" s="13">
        <v>44733</v>
      </c>
      <c r="L2078" s="15" t="s">
        <v>36</v>
      </c>
      <c r="M2078" s="12" t="s">
        <v>36</v>
      </c>
      <c r="N2078" s="12" t="s">
        <v>36</v>
      </c>
      <c r="O2078" s="17" t="s">
        <v>36</v>
      </c>
      <c r="P2078" s="12" t="s">
        <v>36</v>
      </c>
      <c r="Q2078" s="12" t="s">
        <v>36</v>
      </c>
      <c r="R2078" s="12" t="s">
        <v>36</v>
      </c>
      <c r="S2078" s="12" t="s">
        <v>36</v>
      </c>
      <c r="T2078" s="12" t="s">
        <v>4141</v>
      </c>
      <c r="U2078" s="12" t="s">
        <v>74</v>
      </c>
      <c r="V2078" s="12" t="s">
        <v>75</v>
      </c>
      <c r="W2078" s="12" t="s">
        <v>11750</v>
      </c>
      <c r="X2078" s="16" t="s">
        <v>11751</v>
      </c>
      <c r="Y2078" s="15" t="s">
        <v>42</v>
      </c>
      <c r="Z2078" s="14">
        <v>2.64</v>
      </c>
      <c r="AA2078" s="14">
        <v>8.25</v>
      </c>
      <c r="AB2078" s="12" t="s">
        <v>43</v>
      </c>
      <c r="AC2078" s="12" t="s">
        <v>11752</v>
      </c>
      <c r="AD2078" s="13">
        <v>44743</v>
      </c>
      <c r="AE2078" s="12" t="s">
        <v>570</v>
      </c>
      <c r="AF2078" s="12" t="s">
        <v>3535</v>
      </c>
      <c r="AG2078" s="12" t="s">
        <v>81</v>
      </c>
      <c r="AH2078" s="1">
        <f>HYPERLINK("https://my.pitchbook.com?c=197392-33T","View Company Online")</f>
      </c>
    </row>
    <row r="2079">
      <c r="A2079" s="3" t="s">
        <v>11753</v>
      </c>
      <c r="B2079" s="3" t="s">
        <v>11754</v>
      </c>
      <c r="C2079" s="5" t="s">
        <v>36</v>
      </c>
      <c r="D2079" s="5" t="s">
        <v>36</v>
      </c>
      <c r="E2079" s="5" t="s">
        <v>36</v>
      </c>
      <c r="F2079" s="5" t="s">
        <v>36</v>
      </c>
      <c r="G2079" s="6" t="s">
        <v>36</v>
      </c>
      <c r="H2079" s="4">
        <v>31.16</v>
      </c>
      <c r="I2079" s="7" t="s">
        <v>36</v>
      </c>
      <c r="J2079" s="3" t="s">
        <v>521</v>
      </c>
      <c r="K2079" s="9">
        <v>44736</v>
      </c>
      <c r="L2079" s="6" t="s">
        <v>36</v>
      </c>
      <c r="M2079" s="3" t="s">
        <v>36</v>
      </c>
      <c r="N2079" s="3" t="s">
        <v>36</v>
      </c>
      <c r="O2079" s="8" t="s">
        <v>36</v>
      </c>
      <c r="P2079" s="3" t="s">
        <v>36</v>
      </c>
      <c r="Q2079" s="3" t="s">
        <v>36</v>
      </c>
      <c r="R2079" s="3" t="s">
        <v>36</v>
      </c>
      <c r="S2079" s="3" t="s">
        <v>36</v>
      </c>
      <c r="T2079" s="3" t="s">
        <v>1106</v>
      </c>
      <c r="U2079" s="3" t="s">
        <v>38</v>
      </c>
      <c r="V2079" s="3" t="s">
        <v>39</v>
      </c>
      <c r="W2079" s="3" t="s">
        <v>11755</v>
      </c>
      <c r="X2079" s="10" t="s">
        <v>11756</v>
      </c>
      <c r="Y2079" s="6" t="s">
        <v>42</v>
      </c>
      <c r="Z2079" s="4">
        <v>2.11</v>
      </c>
      <c r="AA2079" s="4">
        <v>4.86</v>
      </c>
      <c r="AB2079" s="3" t="s">
        <v>56</v>
      </c>
      <c r="AC2079" s="3" t="s">
        <v>11757</v>
      </c>
      <c r="AD2079" s="9">
        <v>44742</v>
      </c>
      <c r="AE2079" s="3" t="s">
        <v>110</v>
      </c>
      <c r="AF2079" s="3" t="s">
        <v>489</v>
      </c>
      <c r="AG2079" s="3" t="s">
        <v>1078</v>
      </c>
      <c r="AH2079" s="11">
        <f>HYPERLINK("https://my.pitchbook.com?c=197283-34T","View Company Online")</f>
      </c>
    </row>
    <row r="2080">
      <c r="A2080" s="12" t="s">
        <v>11758</v>
      </c>
      <c r="B2080" s="12" t="s">
        <v>4607</v>
      </c>
      <c r="C2080" s="19" t="s">
        <v>36</v>
      </c>
      <c r="D2080" s="19">
        <v>2</v>
      </c>
      <c r="E2080" s="19">
        <v>3</v>
      </c>
      <c r="F2080" s="19">
        <v>4</v>
      </c>
      <c r="G2080" s="15" t="s">
        <v>326</v>
      </c>
      <c r="H2080" s="14">
        <v>2708.39</v>
      </c>
      <c r="I2080" s="18">
        <v>45.18</v>
      </c>
      <c r="J2080" s="12" t="s">
        <v>521</v>
      </c>
      <c r="K2080" s="13" t="s">
        <v>36</v>
      </c>
      <c r="L2080" s="15" t="s">
        <v>36</v>
      </c>
      <c r="M2080" s="12" t="s">
        <v>36</v>
      </c>
      <c r="N2080" s="12" t="s">
        <v>36</v>
      </c>
      <c r="O2080" s="17" t="s">
        <v>36</v>
      </c>
      <c r="P2080" s="12" t="s">
        <v>36</v>
      </c>
      <c r="Q2080" s="12" t="s">
        <v>36</v>
      </c>
      <c r="R2080" s="12" t="s">
        <v>36</v>
      </c>
      <c r="S2080" s="12" t="s">
        <v>453</v>
      </c>
      <c r="T2080" s="12" t="s">
        <v>4608</v>
      </c>
      <c r="U2080" s="12" t="s">
        <v>455</v>
      </c>
      <c r="V2080" s="12" t="s">
        <v>367</v>
      </c>
      <c r="W2080" s="12" t="s">
        <v>4609</v>
      </c>
      <c r="X2080" s="16" t="s">
        <v>11759</v>
      </c>
      <c r="Y2080" s="15" t="s">
        <v>108</v>
      </c>
      <c r="Z2080" s="14">
        <v>169.15</v>
      </c>
      <c r="AA2080" s="14">
        <v>305.81</v>
      </c>
      <c r="AB2080" s="12" t="s">
        <v>43</v>
      </c>
      <c r="AC2080" s="12" t="s">
        <v>4611</v>
      </c>
      <c r="AD2080" s="13">
        <v>44742</v>
      </c>
      <c r="AE2080" s="12" t="s">
        <v>459</v>
      </c>
      <c r="AF2080" s="12" t="s">
        <v>4612</v>
      </c>
      <c r="AG2080" s="12" t="s">
        <v>81</v>
      </c>
      <c r="AH2080" s="1">
        <f>HYPERLINK("https://my.pitchbook.com?c=197316-46T","View Company Online")</f>
      </c>
    </row>
    <row r="2081">
      <c r="A2081" s="3" t="s">
        <v>11760</v>
      </c>
      <c r="B2081" s="3" t="s">
        <v>4632</v>
      </c>
      <c r="C2081" s="5" t="s">
        <v>36</v>
      </c>
      <c r="D2081" s="5" t="s">
        <v>36</v>
      </c>
      <c r="E2081" s="5" t="s">
        <v>36</v>
      </c>
      <c r="F2081" s="5" t="s">
        <v>36</v>
      </c>
      <c r="G2081" s="6" t="s">
        <v>36</v>
      </c>
      <c r="H2081" s="4" t="s">
        <v>36</v>
      </c>
      <c r="I2081" s="7">
        <v>44.06</v>
      </c>
      <c r="J2081" s="3" t="s">
        <v>327</v>
      </c>
      <c r="K2081" s="9" t="s">
        <v>36</v>
      </c>
      <c r="L2081" s="6" t="s">
        <v>122</v>
      </c>
      <c r="M2081" s="3" t="s">
        <v>36</v>
      </c>
      <c r="N2081" s="3" t="s">
        <v>122</v>
      </c>
      <c r="O2081" s="8" t="s">
        <v>36</v>
      </c>
      <c r="P2081" s="3" t="s">
        <v>36</v>
      </c>
      <c r="Q2081" s="3" t="s">
        <v>36</v>
      </c>
      <c r="R2081" s="3" t="s">
        <v>36</v>
      </c>
      <c r="S2081" s="3" t="s">
        <v>4633</v>
      </c>
      <c r="T2081" s="3" t="s">
        <v>1125</v>
      </c>
      <c r="U2081" s="3" t="s">
        <v>74</v>
      </c>
      <c r="V2081" s="3" t="s">
        <v>75</v>
      </c>
      <c r="W2081" s="3" t="s">
        <v>4634</v>
      </c>
      <c r="X2081" s="10" t="s">
        <v>11761</v>
      </c>
      <c r="Y2081" s="6" t="s">
        <v>108</v>
      </c>
      <c r="Z2081" s="4">
        <v>10.55</v>
      </c>
      <c r="AA2081" s="4">
        <v>23.93</v>
      </c>
      <c r="AB2081" s="3" t="s">
        <v>43</v>
      </c>
      <c r="AC2081" s="3" t="s">
        <v>4636</v>
      </c>
      <c r="AD2081" s="9">
        <v>44742</v>
      </c>
      <c r="AE2081" s="3" t="s">
        <v>975</v>
      </c>
      <c r="AF2081" s="3" t="s">
        <v>2132</v>
      </c>
      <c r="AG2081" s="3" t="s">
        <v>4637</v>
      </c>
      <c r="AH2081" s="11">
        <f>HYPERLINK("https://my.pitchbook.com?c=197416-27T","View Company Online")</f>
      </c>
    </row>
    <row r="2082">
      <c r="A2082" s="12" t="s">
        <v>11762</v>
      </c>
      <c r="B2082" s="12" t="s">
        <v>11763</v>
      </c>
      <c r="C2082" s="19" t="s">
        <v>36</v>
      </c>
      <c r="D2082" s="19" t="s">
        <v>36</v>
      </c>
      <c r="E2082" s="19" t="s">
        <v>36</v>
      </c>
      <c r="F2082" s="19" t="s">
        <v>36</v>
      </c>
      <c r="G2082" s="15" t="s">
        <v>326</v>
      </c>
      <c r="H2082" s="14">
        <v>204.47</v>
      </c>
      <c r="I2082" s="18">
        <v>29.04</v>
      </c>
      <c r="J2082" s="12" t="s">
        <v>521</v>
      </c>
      <c r="K2082" s="13" t="s">
        <v>36</v>
      </c>
      <c r="L2082" s="15" t="s">
        <v>36</v>
      </c>
      <c r="M2082" s="12" t="s">
        <v>36</v>
      </c>
      <c r="N2082" s="12" t="s">
        <v>36</v>
      </c>
      <c r="O2082" s="17" t="s">
        <v>36</v>
      </c>
      <c r="P2082" s="12" t="s">
        <v>36</v>
      </c>
      <c r="Q2082" s="12" t="s">
        <v>36</v>
      </c>
      <c r="R2082" s="12" t="s">
        <v>36</v>
      </c>
      <c r="S2082" s="12" t="s">
        <v>36</v>
      </c>
      <c r="T2082" s="12" t="s">
        <v>11764</v>
      </c>
      <c r="U2082" s="12" t="s">
        <v>74</v>
      </c>
      <c r="V2082" s="12" t="s">
        <v>75</v>
      </c>
      <c r="W2082" s="12" t="s">
        <v>11765</v>
      </c>
      <c r="X2082" s="16" t="s">
        <v>560</v>
      </c>
      <c r="Y2082" s="15" t="s">
        <v>108</v>
      </c>
      <c r="Z2082" s="14">
        <v>2.11</v>
      </c>
      <c r="AA2082" s="14">
        <v>5.87</v>
      </c>
      <c r="AB2082" s="12" t="s">
        <v>56</v>
      </c>
      <c r="AC2082" s="12" t="s">
        <v>11766</v>
      </c>
      <c r="AD2082" s="13">
        <v>44742</v>
      </c>
      <c r="AE2082" s="12" t="s">
        <v>975</v>
      </c>
      <c r="AF2082" s="12" t="s">
        <v>1340</v>
      </c>
      <c r="AG2082" s="12" t="s">
        <v>11767</v>
      </c>
      <c r="AH2082" s="1">
        <f>HYPERLINK("https://my.pitchbook.com?c=197353-81T","View Company Online")</f>
      </c>
    </row>
    <row r="2083">
      <c r="A2083" s="3" t="s">
        <v>11768</v>
      </c>
      <c r="B2083" s="3" t="s">
        <v>8386</v>
      </c>
      <c r="C2083" s="5" t="s">
        <v>36</v>
      </c>
      <c r="D2083" s="5" t="s">
        <v>36</v>
      </c>
      <c r="E2083" s="5" t="s">
        <v>36</v>
      </c>
      <c r="F2083" s="5" t="s">
        <v>36</v>
      </c>
      <c r="G2083" s="6" t="s">
        <v>36</v>
      </c>
      <c r="H2083" s="4" t="s">
        <v>36</v>
      </c>
      <c r="I2083" s="7" t="s">
        <v>36</v>
      </c>
      <c r="J2083" s="3" t="s">
        <v>36</v>
      </c>
      <c r="K2083" s="9">
        <v>44700</v>
      </c>
      <c r="L2083" s="6" t="s">
        <v>11769</v>
      </c>
      <c r="M2083" s="3" t="s">
        <v>36</v>
      </c>
      <c r="N2083" s="3" t="s">
        <v>11769</v>
      </c>
      <c r="O2083" s="8" t="s">
        <v>36</v>
      </c>
      <c r="P2083" s="3" t="s">
        <v>36</v>
      </c>
      <c r="Q2083" s="3" t="s">
        <v>36</v>
      </c>
      <c r="R2083" s="3" t="s">
        <v>36</v>
      </c>
      <c r="S2083" s="3" t="s">
        <v>36</v>
      </c>
      <c r="T2083" s="3" t="s">
        <v>8387</v>
      </c>
      <c r="U2083" s="3" t="s">
        <v>38</v>
      </c>
      <c r="V2083" s="3" t="s">
        <v>39</v>
      </c>
      <c r="W2083" s="3" t="s">
        <v>8388</v>
      </c>
      <c r="X2083" s="10" t="s">
        <v>11770</v>
      </c>
      <c r="Y2083" s="6" t="s">
        <v>42</v>
      </c>
      <c r="Z2083" s="4">
        <v>2.11</v>
      </c>
      <c r="AA2083" s="4" t="s">
        <v>36</v>
      </c>
      <c r="AB2083" s="3" t="s">
        <v>43</v>
      </c>
      <c r="AC2083" s="3" t="s">
        <v>8390</v>
      </c>
      <c r="AD2083" s="9">
        <v>44742</v>
      </c>
      <c r="AE2083" s="3" t="s">
        <v>110</v>
      </c>
      <c r="AF2083" s="3" t="s">
        <v>8391</v>
      </c>
      <c r="AG2083" s="3" t="s">
        <v>741</v>
      </c>
      <c r="AH2083" s="11">
        <f>HYPERLINK("https://my.pitchbook.com?c=205533-91T","View Company Online")</f>
      </c>
    </row>
    <row r="2084">
      <c r="A2084" s="12" t="s">
        <v>11771</v>
      </c>
      <c r="B2084" s="12" t="s">
        <v>11772</v>
      </c>
      <c r="C2084" s="19" t="s">
        <v>36</v>
      </c>
      <c r="D2084" s="19" t="s">
        <v>36</v>
      </c>
      <c r="E2084" s="19" t="s">
        <v>36</v>
      </c>
      <c r="F2084" s="19" t="s">
        <v>36</v>
      </c>
      <c r="G2084" s="15" t="s">
        <v>36</v>
      </c>
      <c r="H2084" s="14">
        <v>2376.82</v>
      </c>
      <c r="I2084" s="18">
        <v>22.31</v>
      </c>
      <c r="J2084" s="12" t="s">
        <v>521</v>
      </c>
      <c r="K2084" s="13" t="s">
        <v>36</v>
      </c>
      <c r="L2084" s="15" t="s">
        <v>36</v>
      </c>
      <c r="M2084" s="12" t="s">
        <v>36</v>
      </c>
      <c r="N2084" s="12" t="s">
        <v>36</v>
      </c>
      <c r="O2084" s="17" t="s">
        <v>36</v>
      </c>
      <c r="P2084" s="12" t="s">
        <v>36</v>
      </c>
      <c r="Q2084" s="12" t="s">
        <v>36</v>
      </c>
      <c r="R2084" s="12" t="s">
        <v>36</v>
      </c>
      <c r="S2084" s="12" t="s">
        <v>36</v>
      </c>
      <c r="T2084" s="12" t="s">
        <v>11773</v>
      </c>
      <c r="U2084" s="12" t="s">
        <v>38</v>
      </c>
      <c r="V2084" s="12" t="s">
        <v>39</v>
      </c>
      <c r="W2084" s="12" t="s">
        <v>11774</v>
      </c>
      <c r="X2084" s="16" t="s">
        <v>11775</v>
      </c>
      <c r="Y2084" s="15" t="s">
        <v>42</v>
      </c>
      <c r="Z2084" s="14">
        <v>7.01</v>
      </c>
      <c r="AA2084" s="14">
        <v>31.44</v>
      </c>
      <c r="AB2084" s="12" t="s">
        <v>43</v>
      </c>
      <c r="AC2084" s="12" t="s">
        <v>11776</v>
      </c>
      <c r="AD2084" s="13">
        <v>44742</v>
      </c>
      <c r="AE2084" s="12" t="s">
        <v>45</v>
      </c>
      <c r="AF2084" s="12" t="s">
        <v>11777</v>
      </c>
      <c r="AG2084" s="12" t="s">
        <v>81</v>
      </c>
      <c r="AH2084" s="1">
        <f>HYPERLINK("https://my.pitchbook.com?c=206436-79T","View Company Online")</f>
      </c>
    </row>
    <row r="2085">
      <c r="A2085" s="3" t="s">
        <v>11778</v>
      </c>
      <c r="B2085" s="3" t="s">
        <v>8896</v>
      </c>
      <c r="C2085" s="5">
        <v>1</v>
      </c>
      <c r="D2085" s="5">
        <v>7</v>
      </c>
      <c r="E2085" s="5">
        <v>3</v>
      </c>
      <c r="F2085" s="5">
        <v>17</v>
      </c>
      <c r="G2085" s="6" t="s">
        <v>36</v>
      </c>
      <c r="H2085" s="4" t="s">
        <v>36</v>
      </c>
      <c r="I2085" s="7" t="s">
        <v>36</v>
      </c>
      <c r="J2085" s="3" t="s">
        <v>36</v>
      </c>
      <c r="K2085" s="9">
        <v>44593</v>
      </c>
      <c r="L2085" s="6" t="s">
        <v>36</v>
      </c>
      <c r="M2085" s="3" t="s">
        <v>36</v>
      </c>
      <c r="N2085" s="3" t="s">
        <v>36</v>
      </c>
      <c r="O2085" s="8" t="s">
        <v>36</v>
      </c>
      <c r="P2085" s="3" t="s">
        <v>36</v>
      </c>
      <c r="Q2085" s="3" t="s">
        <v>36</v>
      </c>
      <c r="R2085" s="3" t="s">
        <v>36</v>
      </c>
      <c r="S2085" s="3" t="s">
        <v>36</v>
      </c>
      <c r="T2085" s="3" t="s">
        <v>8394</v>
      </c>
      <c r="U2085" s="3" t="s">
        <v>85</v>
      </c>
      <c r="V2085" s="3" t="s">
        <v>64</v>
      </c>
      <c r="W2085" s="3" t="s">
        <v>8897</v>
      </c>
      <c r="X2085" s="10" t="s">
        <v>11779</v>
      </c>
      <c r="Y2085" s="6" t="s">
        <v>55</v>
      </c>
      <c r="Z2085" s="4">
        <v>6.35</v>
      </c>
      <c r="AA2085" s="4" t="s">
        <v>36</v>
      </c>
      <c r="AB2085" s="3" t="s">
        <v>56</v>
      </c>
      <c r="AC2085" s="3" t="s">
        <v>8899</v>
      </c>
      <c r="AD2085" s="9">
        <v>44741</v>
      </c>
      <c r="AE2085" s="3" t="s">
        <v>89</v>
      </c>
      <c r="AF2085" s="3" t="s">
        <v>1507</v>
      </c>
      <c r="AG2085" s="3" t="s">
        <v>81</v>
      </c>
      <c r="AH2085" s="11">
        <f>HYPERLINK("https://my.pitchbook.com?c=197317-36T","View Company Online")</f>
      </c>
    </row>
    <row r="2086">
      <c r="A2086" s="12" t="s">
        <v>11780</v>
      </c>
      <c r="B2086" s="12" t="s">
        <v>7878</v>
      </c>
      <c r="C2086" s="19" t="s">
        <v>36</v>
      </c>
      <c r="D2086" s="19" t="s">
        <v>36</v>
      </c>
      <c r="E2086" s="19" t="s">
        <v>36</v>
      </c>
      <c r="F2086" s="19" t="s">
        <v>36</v>
      </c>
      <c r="G2086" s="15" t="s">
        <v>36</v>
      </c>
      <c r="H2086" s="14">
        <v>297.5</v>
      </c>
      <c r="I2086" s="18">
        <v>8.2</v>
      </c>
      <c r="J2086" s="12" t="s">
        <v>521</v>
      </c>
      <c r="K2086" s="13" t="s">
        <v>36</v>
      </c>
      <c r="L2086" s="15" t="s">
        <v>36</v>
      </c>
      <c r="M2086" s="12" t="s">
        <v>36</v>
      </c>
      <c r="N2086" s="12" t="s">
        <v>36</v>
      </c>
      <c r="O2086" s="17" t="s">
        <v>36</v>
      </c>
      <c r="P2086" s="12" t="s">
        <v>36</v>
      </c>
      <c r="Q2086" s="12" t="s">
        <v>36</v>
      </c>
      <c r="R2086" s="12" t="s">
        <v>36</v>
      </c>
      <c r="S2086" s="12" t="s">
        <v>36</v>
      </c>
      <c r="T2086" s="12" t="s">
        <v>7126</v>
      </c>
      <c r="U2086" s="12" t="s">
        <v>38</v>
      </c>
      <c r="V2086" s="12" t="s">
        <v>39</v>
      </c>
      <c r="W2086" s="12" t="s">
        <v>7879</v>
      </c>
      <c r="X2086" s="16" t="s">
        <v>11781</v>
      </c>
      <c r="Y2086" s="15" t="s">
        <v>108</v>
      </c>
      <c r="Z2086" s="14">
        <v>1.06</v>
      </c>
      <c r="AA2086" s="14">
        <v>12.91</v>
      </c>
      <c r="AB2086" s="12" t="s">
        <v>43</v>
      </c>
      <c r="AC2086" s="12" t="s">
        <v>7881</v>
      </c>
      <c r="AD2086" s="13">
        <v>44741</v>
      </c>
      <c r="AE2086" s="12" t="s">
        <v>110</v>
      </c>
      <c r="AF2086" s="12" t="s">
        <v>1115</v>
      </c>
      <c r="AG2086" s="12" t="s">
        <v>7882</v>
      </c>
      <c r="AH2086" s="1">
        <f>HYPERLINK("https://my.pitchbook.com?c=243470-89T","View Company Online")</f>
      </c>
    </row>
    <row r="2087">
      <c r="A2087" s="3" t="s">
        <v>11782</v>
      </c>
      <c r="B2087" s="3" t="s">
        <v>11783</v>
      </c>
      <c r="C2087" s="5" t="s">
        <v>36</v>
      </c>
      <c r="D2087" s="5" t="s">
        <v>36</v>
      </c>
      <c r="E2087" s="5" t="s">
        <v>36</v>
      </c>
      <c r="F2087" s="5" t="s">
        <v>36</v>
      </c>
      <c r="G2087" s="6" t="s">
        <v>36</v>
      </c>
      <c r="H2087" s="4" t="s">
        <v>36</v>
      </c>
      <c r="I2087" s="7">
        <v>25.63</v>
      </c>
      <c r="J2087" s="3" t="s">
        <v>36</v>
      </c>
      <c r="K2087" s="9" t="s">
        <v>36</v>
      </c>
      <c r="L2087" s="6" t="s">
        <v>36</v>
      </c>
      <c r="M2087" s="3" t="s">
        <v>36</v>
      </c>
      <c r="N2087" s="3" t="s">
        <v>36</v>
      </c>
      <c r="O2087" s="8" t="s">
        <v>36</v>
      </c>
      <c r="P2087" s="3" t="s">
        <v>36</v>
      </c>
      <c r="Q2087" s="3" t="s">
        <v>36</v>
      </c>
      <c r="R2087" s="3" t="s">
        <v>36</v>
      </c>
      <c r="S2087" s="3" t="s">
        <v>36</v>
      </c>
      <c r="T2087" s="3" t="s">
        <v>105</v>
      </c>
      <c r="U2087" s="3" t="s">
        <v>38</v>
      </c>
      <c r="V2087" s="3" t="s">
        <v>39</v>
      </c>
      <c r="W2087" s="3" t="s">
        <v>11784</v>
      </c>
      <c r="X2087" s="10" t="s">
        <v>11785</v>
      </c>
      <c r="Y2087" s="6" t="s">
        <v>42</v>
      </c>
      <c r="Z2087" s="4">
        <v>1.06</v>
      </c>
      <c r="AA2087" s="4" t="s">
        <v>36</v>
      </c>
      <c r="AB2087" s="3" t="s">
        <v>43</v>
      </c>
      <c r="AC2087" s="3" t="s">
        <v>11786</v>
      </c>
      <c r="AD2087" s="9">
        <v>44741</v>
      </c>
      <c r="AE2087" s="3" t="s">
        <v>110</v>
      </c>
      <c r="AF2087" s="3" t="s">
        <v>250</v>
      </c>
      <c r="AG2087" s="3" t="s">
        <v>11787</v>
      </c>
      <c r="AH2087" s="11">
        <f>HYPERLINK("https://my.pitchbook.com?c=243278-92T","View Company Online")</f>
      </c>
    </row>
    <row r="2088">
      <c r="A2088" s="12" t="s">
        <v>11788</v>
      </c>
      <c r="B2088" s="12" t="s">
        <v>11789</v>
      </c>
      <c r="C2088" s="19" t="s">
        <v>36</v>
      </c>
      <c r="D2088" s="19" t="s">
        <v>36</v>
      </c>
      <c r="E2088" s="19" t="s">
        <v>36</v>
      </c>
      <c r="F2088" s="19" t="s">
        <v>36</v>
      </c>
      <c r="G2088" s="15" t="s">
        <v>36</v>
      </c>
      <c r="H2088" s="14" t="s">
        <v>36</v>
      </c>
      <c r="I2088" s="18" t="s">
        <v>36</v>
      </c>
      <c r="J2088" s="12" t="s">
        <v>36</v>
      </c>
      <c r="K2088" s="13">
        <v>44593</v>
      </c>
      <c r="L2088" s="15" t="s">
        <v>36</v>
      </c>
      <c r="M2088" s="12" t="s">
        <v>36</v>
      </c>
      <c r="N2088" s="12" t="s">
        <v>36</v>
      </c>
      <c r="O2088" s="17" t="s">
        <v>36</v>
      </c>
      <c r="P2088" s="12" t="s">
        <v>36</v>
      </c>
      <c r="Q2088" s="12" t="s">
        <v>36</v>
      </c>
      <c r="R2088" s="12" t="s">
        <v>36</v>
      </c>
      <c r="S2088" s="12" t="s">
        <v>36</v>
      </c>
      <c r="T2088" s="12" t="s">
        <v>3309</v>
      </c>
      <c r="U2088" s="12" t="s">
        <v>38</v>
      </c>
      <c r="V2088" s="12" t="s">
        <v>39</v>
      </c>
      <c r="W2088" s="12" t="s">
        <v>11790</v>
      </c>
      <c r="X2088" s="16" t="s">
        <v>11791</v>
      </c>
      <c r="Y2088" s="15" t="s">
        <v>321</v>
      </c>
      <c r="Z2088" s="14">
        <v>36.53</v>
      </c>
      <c r="AA2088" s="14" t="s">
        <v>36</v>
      </c>
      <c r="AB2088" s="12" t="s">
        <v>43</v>
      </c>
      <c r="AC2088" s="12" t="s">
        <v>11792</v>
      </c>
      <c r="AD2088" s="13">
        <v>44741</v>
      </c>
      <c r="AE2088" s="12" t="s">
        <v>554</v>
      </c>
      <c r="AF2088" s="12" t="s">
        <v>555</v>
      </c>
      <c r="AG2088" s="12" t="s">
        <v>3492</v>
      </c>
      <c r="AH2088" s="1">
        <f>HYPERLINK("https://my.pitchbook.com?c=202303-27T","View Company Online")</f>
      </c>
    </row>
    <row r="2089">
      <c r="A2089" s="3" t="s">
        <v>11793</v>
      </c>
      <c r="B2089" s="3" t="s">
        <v>11794</v>
      </c>
      <c r="C2089" s="5" t="s">
        <v>36</v>
      </c>
      <c r="D2089" s="5" t="s">
        <v>36</v>
      </c>
      <c r="E2089" s="5" t="s">
        <v>36</v>
      </c>
      <c r="F2089" s="5" t="s">
        <v>36</v>
      </c>
      <c r="G2089" s="6" t="s">
        <v>36</v>
      </c>
      <c r="H2089" s="4" t="s">
        <v>36</v>
      </c>
      <c r="I2089" s="7" t="s">
        <v>36</v>
      </c>
      <c r="J2089" s="3" t="s">
        <v>36</v>
      </c>
      <c r="K2089" s="9" t="s">
        <v>36</v>
      </c>
      <c r="L2089" s="6" t="s">
        <v>36</v>
      </c>
      <c r="M2089" s="3" t="s">
        <v>36</v>
      </c>
      <c r="N2089" s="3" t="s">
        <v>36</v>
      </c>
      <c r="O2089" s="8" t="s">
        <v>36</v>
      </c>
      <c r="P2089" s="3" t="s">
        <v>36</v>
      </c>
      <c r="Q2089" s="3" t="s">
        <v>36</v>
      </c>
      <c r="R2089" s="3" t="s">
        <v>36</v>
      </c>
      <c r="S2089" s="3" t="s">
        <v>36</v>
      </c>
      <c r="T2089" s="3" t="s">
        <v>11795</v>
      </c>
      <c r="U2089" s="3" t="s">
        <v>438</v>
      </c>
      <c r="V2089" s="3" t="s">
        <v>405</v>
      </c>
      <c r="W2089" s="3" t="s">
        <v>11796</v>
      </c>
      <c r="X2089" s="10" t="s">
        <v>11797</v>
      </c>
      <c r="Y2089" s="6" t="s">
        <v>55</v>
      </c>
      <c r="Z2089" s="4">
        <v>31.77</v>
      </c>
      <c r="AA2089" s="4" t="s">
        <v>36</v>
      </c>
      <c r="AB2089" s="3" t="s">
        <v>56</v>
      </c>
      <c r="AC2089" s="3" t="s">
        <v>11798</v>
      </c>
      <c r="AD2089" s="9">
        <v>44740</v>
      </c>
      <c r="AE2089" s="3" t="s">
        <v>10018</v>
      </c>
      <c r="AF2089" s="3" t="s">
        <v>11799</v>
      </c>
      <c r="AG2089" s="3" t="s">
        <v>81</v>
      </c>
      <c r="AH2089" s="11">
        <f>HYPERLINK("https://my.pitchbook.com?c=206515-36T","View Company Online")</f>
      </c>
    </row>
    <row r="2090">
      <c r="A2090" s="12" t="s">
        <v>11800</v>
      </c>
      <c r="B2090" s="12" t="s">
        <v>11801</v>
      </c>
      <c r="C2090" s="19" t="s">
        <v>36</v>
      </c>
      <c r="D2090" s="19" t="s">
        <v>36</v>
      </c>
      <c r="E2090" s="19" t="s">
        <v>36</v>
      </c>
      <c r="F2090" s="19" t="s">
        <v>36</v>
      </c>
      <c r="G2090" s="15" t="s">
        <v>326</v>
      </c>
      <c r="H2090" s="14">
        <v>4.28</v>
      </c>
      <c r="I2090" s="18">
        <v>5.92</v>
      </c>
      <c r="J2090" s="12" t="s">
        <v>521</v>
      </c>
      <c r="K2090" s="13" t="s">
        <v>36</v>
      </c>
      <c r="L2090" s="15" t="s">
        <v>36</v>
      </c>
      <c r="M2090" s="12" t="s">
        <v>36</v>
      </c>
      <c r="N2090" s="12" t="s">
        <v>36</v>
      </c>
      <c r="O2090" s="17" t="s">
        <v>36</v>
      </c>
      <c r="P2090" s="12" t="s">
        <v>36</v>
      </c>
      <c r="Q2090" s="12" t="s">
        <v>36</v>
      </c>
      <c r="R2090" s="12" t="s">
        <v>36</v>
      </c>
      <c r="S2090" s="12" t="s">
        <v>36</v>
      </c>
      <c r="T2090" s="12" t="s">
        <v>11802</v>
      </c>
      <c r="U2090" s="12" t="s">
        <v>74</v>
      </c>
      <c r="V2090" s="12" t="s">
        <v>75</v>
      </c>
      <c r="W2090" s="12" t="s">
        <v>11803</v>
      </c>
      <c r="X2090" s="16" t="s">
        <v>1840</v>
      </c>
      <c r="Y2090" s="15" t="s">
        <v>192</v>
      </c>
      <c r="Z2090" s="14">
        <v>1.56</v>
      </c>
      <c r="AA2090" s="14">
        <v>26.3</v>
      </c>
      <c r="AB2090" s="12" t="s">
        <v>56</v>
      </c>
      <c r="AC2090" s="12" t="s">
        <v>11804</v>
      </c>
      <c r="AD2090" s="13">
        <v>44740</v>
      </c>
      <c r="AE2090" s="12" t="s">
        <v>1888</v>
      </c>
      <c r="AF2090" s="12" t="s">
        <v>36</v>
      </c>
      <c r="AG2090" s="12" t="s">
        <v>11805</v>
      </c>
      <c r="AH2090" s="1">
        <f>HYPERLINK("https://my.pitchbook.com?c=197049-34T","View Company Online")</f>
      </c>
    </row>
    <row r="2091">
      <c r="A2091" s="3" t="s">
        <v>11806</v>
      </c>
      <c r="B2091" s="3" t="s">
        <v>11807</v>
      </c>
      <c r="C2091" s="5" t="s">
        <v>36</v>
      </c>
      <c r="D2091" s="5" t="s">
        <v>36</v>
      </c>
      <c r="E2091" s="5" t="s">
        <v>36</v>
      </c>
      <c r="F2091" s="5" t="s">
        <v>36</v>
      </c>
      <c r="G2091" s="6" t="s">
        <v>326</v>
      </c>
      <c r="H2091" s="4">
        <v>1.17</v>
      </c>
      <c r="I2091" s="7">
        <v>31.03</v>
      </c>
      <c r="J2091" s="3" t="s">
        <v>521</v>
      </c>
      <c r="K2091" s="9">
        <v>44659</v>
      </c>
      <c r="L2091" s="6" t="s">
        <v>122</v>
      </c>
      <c r="M2091" s="3" t="s">
        <v>36</v>
      </c>
      <c r="N2091" s="3" t="s">
        <v>122</v>
      </c>
      <c r="O2091" s="8" t="s">
        <v>36</v>
      </c>
      <c r="P2091" s="3" t="s">
        <v>36</v>
      </c>
      <c r="Q2091" s="3" t="s">
        <v>36</v>
      </c>
      <c r="R2091" s="3" t="s">
        <v>36</v>
      </c>
      <c r="S2091" s="3" t="s">
        <v>36</v>
      </c>
      <c r="T2091" s="3" t="s">
        <v>11808</v>
      </c>
      <c r="U2091" s="3" t="s">
        <v>289</v>
      </c>
      <c r="V2091" s="3" t="s">
        <v>64</v>
      </c>
      <c r="W2091" s="3" t="s">
        <v>11809</v>
      </c>
      <c r="X2091" s="10" t="s">
        <v>11810</v>
      </c>
      <c r="Y2091" s="6" t="s">
        <v>108</v>
      </c>
      <c r="Z2091" s="4">
        <v>5.29</v>
      </c>
      <c r="AA2091" s="4">
        <v>10.24</v>
      </c>
      <c r="AB2091" s="3" t="s">
        <v>43</v>
      </c>
      <c r="AC2091" s="3" t="s">
        <v>11811</v>
      </c>
      <c r="AD2091" s="9">
        <v>44740</v>
      </c>
      <c r="AE2091" s="3" t="s">
        <v>3134</v>
      </c>
      <c r="AF2091" s="3" t="s">
        <v>11812</v>
      </c>
      <c r="AG2091" s="3" t="s">
        <v>144</v>
      </c>
      <c r="AH2091" s="11">
        <f>HYPERLINK("https://my.pitchbook.com?c=195540-49T","View Company Online")</f>
      </c>
    </row>
    <row r="2092">
      <c r="A2092" s="12" t="s">
        <v>11813</v>
      </c>
      <c r="B2092" s="12" t="s">
        <v>1777</v>
      </c>
      <c r="C2092" s="19">
        <v>1</v>
      </c>
      <c r="D2092" s="19" t="s">
        <v>36</v>
      </c>
      <c r="E2092" s="19">
        <v>1</v>
      </c>
      <c r="F2092" s="19">
        <v>1</v>
      </c>
      <c r="G2092" s="15" t="s">
        <v>326</v>
      </c>
      <c r="H2092" s="14" t="s">
        <v>36</v>
      </c>
      <c r="I2092" s="18">
        <v>25.08</v>
      </c>
      <c r="J2092" s="12" t="s">
        <v>327</v>
      </c>
      <c r="K2092" s="13">
        <v>44665</v>
      </c>
      <c r="L2092" s="15" t="s">
        <v>1981</v>
      </c>
      <c r="M2092" s="12" t="s">
        <v>36</v>
      </c>
      <c r="N2092" s="12" t="s">
        <v>1981</v>
      </c>
      <c r="O2092" s="17" t="s">
        <v>36</v>
      </c>
      <c r="P2092" s="12" t="s">
        <v>36</v>
      </c>
      <c r="Q2092" s="12" t="s">
        <v>36</v>
      </c>
      <c r="R2092" s="12" t="s">
        <v>36</v>
      </c>
      <c r="S2092" s="12" t="s">
        <v>36</v>
      </c>
      <c r="T2092" s="12" t="s">
        <v>1081</v>
      </c>
      <c r="U2092" s="12" t="s">
        <v>1082</v>
      </c>
      <c r="V2092" s="12" t="s">
        <v>378</v>
      </c>
      <c r="W2092" s="12" t="s">
        <v>1778</v>
      </c>
      <c r="X2092" s="16" t="s">
        <v>11814</v>
      </c>
      <c r="Y2092" s="15" t="s">
        <v>55</v>
      </c>
      <c r="Z2092" s="14">
        <v>9.27</v>
      </c>
      <c r="AA2092" s="14">
        <v>36.94</v>
      </c>
      <c r="AB2092" s="12" t="s">
        <v>56</v>
      </c>
      <c r="AC2092" s="12" t="s">
        <v>1780</v>
      </c>
      <c r="AD2092" s="13">
        <v>44740</v>
      </c>
      <c r="AE2092" s="12" t="s">
        <v>1086</v>
      </c>
      <c r="AF2092" s="12" t="s">
        <v>1781</v>
      </c>
      <c r="AG2092" s="12" t="s">
        <v>1782</v>
      </c>
      <c r="AH2092" s="1">
        <f>HYPERLINK("https://my.pitchbook.com?c=196997-14T","View Company Online")</f>
      </c>
    </row>
    <row r="2093">
      <c r="A2093" s="3" t="s">
        <v>11815</v>
      </c>
      <c r="B2093" s="3" t="s">
        <v>11816</v>
      </c>
      <c r="C2093" s="5" t="s">
        <v>36</v>
      </c>
      <c r="D2093" s="5" t="s">
        <v>36</v>
      </c>
      <c r="E2093" s="5" t="s">
        <v>36</v>
      </c>
      <c r="F2093" s="5" t="s">
        <v>36</v>
      </c>
      <c r="G2093" s="6" t="s">
        <v>36</v>
      </c>
      <c r="H2093" s="4" t="s">
        <v>36</v>
      </c>
      <c r="I2093" s="7" t="s">
        <v>36</v>
      </c>
      <c r="J2093" s="3" t="s">
        <v>36</v>
      </c>
      <c r="K2093" s="9" t="s">
        <v>36</v>
      </c>
      <c r="L2093" s="6" t="s">
        <v>36</v>
      </c>
      <c r="M2093" s="3" t="s">
        <v>36</v>
      </c>
      <c r="N2093" s="3" t="s">
        <v>36</v>
      </c>
      <c r="O2093" s="8" t="s">
        <v>36</v>
      </c>
      <c r="P2093" s="3" t="s">
        <v>36</v>
      </c>
      <c r="Q2093" s="3" t="s">
        <v>36</v>
      </c>
      <c r="R2093" s="3" t="s">
        <v>36</v>
      </c>
      <c r="S2093" s="3" t="s">
        <v>36</v>
      </c>
      <c r="T2093" s="3" t="s">
        <v>3754</v>
      </c>
      <c r="U2093" s="3" t="s">
        <v>1357</v>
      </c>
      <c r="V2093" s="3" t="s">
        <v>52</v>
      </c>
      <c r="W2093" s="3" t="s">
        <v>11817</v>
      </c>
      <c r="X2093" s="10" t="s">
        <v>11818</v>
      </c>
      <c r="Y2093" s="6" t="s">
        <v>42</v>
      </c>
      <c r="Z2093" s="4">
        <v>0.2</v>
      </c>
      <c r="AA2093" s="4" t="s">
        <v>36</v>
      </c>
      <c r="AB2093" s="3" t="s">
        <v>43</v>
      </c>
      <c r="AC2093" s="3" t="s">
        <v>11819</v>
      </c>
      <c r="AD2093" s="9">
        <v>44740</v>
      </c>
      <c r="AE2093" s="3" t="s">
        <v>3204</v>
      </c>
      <c r="AF2093" s="3" t="s">
        <v>101</v>
      </c>
      <c r="AG2093" s="3" t="s">
        <v>347</v>
      </c>
      <c r="AH2093" s="11">
        <f>HYPERLINK("https://my.pitchbook.com?c=207820-00T","View Company Online")</f>
      </c>
    </row>
    <row r="2094">
      <c r="A2094" s="12" t="s">
        <v>11820</v>
      </c>
      <c r="B2094" s="12" t="s">
        <v>11821</v>
      </c>
      <c r="C2094" s="19" t="s">
        <v>36</v>
      </c>
      <c r="D2094" s="19" t="s">
        <v>36</v>
      </c>
      <c r="E2094" s="19" t="s">
        <v>36</v>
      </c>
      <c r="F2094" s="19" t="s">
        <v>36</v>
      </c>
      <c r="G2094" s="15" t="s">
        <v>326</v>
      </c>
      <c r="H2094" s="14">
        <v>2.73</v>
      </c>
      <c r="I2094" s="18">
        <v>35.41</v>
      </c>
      <c r="J2094" s="12" t="s">
        <v>521</v>
      </c>
      <c r="K2094" s="13" t="s">
        <v>36</v>
      </c>
      <c r="L2094" s="15" t="s">
        <v>122</v>
      </c>
      <c r="M2094" s="12" t="s">
        <v>36</v>
      </c>
      <c r="N2094" s="12" t="s">
        <v>122</v>
      </c>
      <c r="O2094" s="17" t="s">
        <v>36</v>
      </c>
      <c r="P2094" s="12" t="s">
        <v>36</v>
      </c>
      <c r="Q2094" s="12" t="s">
        <v>36</v>
      </c>
      <c r="R2094" s="12" t="s">
        <v>36</v>
      </c>
      <c r="S2094" s="12" t="s">
        <v>36</v>
      </c>
      <c r="T2094" s="12" t="s">
        <v>11822</v>
      </c>
      <c r="U2094" s="12" t="s">
        <v>279</v>
      </c>
      <c r="V2094" s="12" t="s">
        <v>64</v>
      </c>
      <c r="W2094" s="12" t="s">
        <v>11823</v>
      </c>
      <c r="X2094" s="16" t="s">
        <v>11824</v>
      </c>
      <c r="Y2094" s="15" t="s">
        <v>42</v>
      </c>
      <c r="Z2094" s="14">
        <v>3.05</v>
      </c>
      <c r="AA2094" s="14">
        <v>8.63</v>
      </c>
      <c r="AB2094" s="12" t="s">
        <v>43</v>
      </c>
      <c r="AC2094" s="12" t="s">
        <v>11825</v>
      </c>
      <c r="AD2094" s="13">
        <v>44740</v>
      </c>
      <c r="AE2094" s="12" t="s">
        <v>11826</v>
      </c>
      <c r="AF2094" s="12" t="s">
        <v>1842</v>
      </c>
      <c r="AG2094" s="12" t="s">
        <v>899</v>
      </c>
      <c r="AH2094" s="1">
        <f>HYPERLINK("https://my.pitchbook.com?c=197426-08T","View Company Online")</f>
      </c>
    </row>
    <row r="2095">
      <c r="A2095" s="3" t="s">
        <v>11827</v>
      </c>
      <c r="B2095" s="3" t="s">
        <v>11828</v>
      </c>
      <c r="C2095" s="5" t="s">
        <v>36</v>
      </c>
      <c r="D2095" s="5" t="s">
        <v>36</v>
      </c>
      <c r="E2095" s="5" t="s">
        <v>36</v>
      </c>
      <c r="F2095" s="5" t="s">
        <v>36</v>
      </c>
      <c r="G2095" s="6" t="s">
        <v>36</v>
      </c>
      <c r="H2095" s="4" t="s">
        <v>36</v>
      </c>
      <c r="I2095" s="7" t="s">
        <v>36</v>
      </c>
      <c r="J2095" s="3" t="s">
        <v>36</v>
      </c>
      <c r="K2095" s="9" t="s">
        <v>36</v>
      </c>
      <c r="L2095" s="6" t="s">
        <v>36</v>
      </c>
      <c r="M2095" s="3" t="s">
        <v>36</v>
      </c>
      <c r="N2095" s="3" t="s">
        <v>36</v>
      </c>
      <c r="O2095" s="8" t="s">
        <v>36</v>
      </c>
      <c r="P2095" s="3" t="s">
        <v>36</v>
      </c>
      <c r="Q2095" s="3" t="s">
        <v>36</v>
      </c>
      <c r="R2095" s="3" t="s">
        <v>36</v>
      </c>
      <c r="S2095" s="3" t="s">
        <v>36</v>
      </c>
      <c r="T2095" s="3" t="s">
        <v>11829</v>
      </c>
      <c r="U2095" s="3" t="s">
        <v>38</v>
      </c>
      <c r="V2095" s="3" t="s">
        <v>39</v>
      </c>
      <c r="W2095" s="3" t="s">
        <v>11830</v>
      </c>
      <c r="X2095" s="10" t="s">
        <v>11831</v>
      </c>
      <c r="Y2095" s="6" t="s">
        <v>55</v>
      </c>
      <c r="Z2095" s="4" t="s">
        <v>36</v>
      </c>
      <c r="AA2095" s="4" t="s">
        <v>36</v>
      </c>
      <c r="AB2095" s="3" t="s">
        <v>43</v>
      </c>
      <c r="AC2095" s="3" t="s">
        <v>11832</v>
      </c>
      <c r="AD2095" s="9">
        <v>44739</v>
      </c>
      <c r="AE2095" s="3" t="s">
        <v>110</v>
      </c>
      <c r="AF2095" s="3" t="s">
        <v>11833</v>
      </c>
      <c r="AG2095" s="3" t="s">
        <v>81</v>
      </c>
      <c r="AH2095" s="11">
        <f>HYPERLINK("https://my.pitchbook.com?c=215317-90T","View Company Online")</f>
      </c>
    </row>
    <row r="2096">
      <c r="A2096" s="12" t="s">
        <v>11834</v>
      </c>
      <c r="B2096" s="12" t="s">
        <v>11835</v>
      </c>
      <c r="C2096" s="19" t="s">
        <v>36</v>
      </c>
      <c r="D2096" s="19" t="s">
        <v>36</v>
      </c>
      <c r="E2096" s="19" t="s">
        <v>36</v>
      </c>
      <c r="F2096" s="19" t="s">
        <v>36</v>
      </c>
      <c r="G2096" s="15" t="s">
        <v>326</v>
      </c>
      <c r="H2096" s="14">
        <v>848.81</v>
      </c>
      <c r="I2096" s="18">
        <v>6.58</v>
      </c>
      <c r="J2096" s="12" t="s">
        <v>521</v>
      </c>
      <c r="K2096" s="13" t="s">
        <v>36</v>
      </c>
      <c r="L2096" s="15" t="s">
        <v>36</v>
      </c>
      <c r="M2096" s="12" t="s">
        <v>36</v>
      </c>
      <c r="N2096" s="12" t="s">
        <v>36</v>
      </c>
      <c r="O2096" s="17" t="s">
        <v>36</v>
      </c>
      <c r="P2096" s="12" t="s">
        <v>36</v>
      </c>
      <c r="Q2096" s="12" t="s">
        <v>36</v>
      </c>
      <c r="R2096" s="12" t="s">
        <v>36</v>
      </c>
      <c r="S2096" s="12" t="s">
        <v>36</v>
      </c>
      <c r="T2096" s="12" t="s">
        <v>1048</v>
      </c>
      <c r="U2096" s="12" t="s">
        <v>423</v>
      </c>
      <c r="V2096" s="12" t="s">
        <v>64</v>
      </c>
      <c r="W2096" s="12" t="s">
        <v>11836</v>
      </c>
      <c r="X2096" s="16" t="s">
        <v>11837</v>
      </c>
      <c r="Y2096" s="15" t="s">
        <v>108</v>
      </c>
      <c r="Z2096" s="14">
        <v>1.25</v>
      </c>
      <c r="AA2096" s="14">
        <v>18.99</v>
      </c>
      <c r="AB2096" s="12" t="s">
        <v>56</v>
      </c>
      <c r="AC2096" s="12" t="s">
        <v>11838</v>
      </c>
      <c r="AD2096" s="13">
        <v>44739</v>
      </c>
      <c r="AE2096" s="12" t="s">
        <v>1051</v>
      </c>
      <c r="AF2096" s="12" t="s">
        <v>11839</v>
      </c>
      <c r="AG2096" s="12" t="s">
        <v>81</v>
      </c>
      <c r="AH2096" s="1">
        <f>HYPERLINK("https://my.pitchbook.com?c=184416-85T","View Company Online")</f>
      </c>
    </row>
    <row r="2097">
      <c r="A2097" s="3" t="s">
        <v>11840</v>
      </c>
      <c r="B2097" s="3" t="s">
        <v>5172</v>
      </c>
      <c r="C2097" s="5" t="s">
        <v>36</v>
      </c>
      <c r="D2097" s="5" t="s">
        <v>36</v>
      </c>
      <c r="E2097" s="5" t="s">
        <v>36</v>
      </c>
      <c r="F2097" s="5" t="s">
        <v>36</v>
      </c>
      <c r="G2097" s="6" t="s">
        <v>36</v>
      </c>
      <c r="H2097" s="4">
        <v>35.31</v>
      </c>
      <c r="I2097" s="7">
        <v>10.99</v>
      </c>
      <c r="J2097" s="3" t="s">
        <v>521</v>
      </c>
      <c r="K2097" s="9" t="s">
        <v>36</v>
      </c>
      <c r="L2097" s="6" t="s">
        <v>36</v>
      </c>
      <c r="M2097" s="3" t="s">
        <v>36</v>
      </c>
      <c r="N2097" s="3" t="s">
        <v>36</v>
      </c>
      <c r="O2097" s="8" t="s">
        <v>36</v>
      </c>
      <c r="P2097" s="3" t="s">
        <v>36</v>
      </c>
      <c r="Q2097" s="3" t="s">
        <v>36</v>
      </c>
      <c r="R2097" s="3" t="s">
        <v>36</v>
      </c>
      <c r="S2097" s="3" t="s">
        <v>36</v>
      </c>
      <c r="T2097" s="3" t="s">
        <v>5173</v>
      </c>
      <c r="U2097" s="3" t="s">
        <v>38</v>
      </c>
      <c r="V2097" s="3" t="s">
        <v>39</v>
      </c>
      <c r="W2097" s="3" t="s">
        <v>5174</v>
      </c>
      <c r="X2097" s="10" t="s">
        <v>2257</v>
      </c>
      <c r="Y2097" s="6" t="s">
        <v>42</v>
      </c>
      <c r="Z2097" s="4">
        <v>0.22</v>
      </c>
      <c r="AA2097" s="4">
        <v>2.02</v>
      </c>
      <c r="AB2097" s="3" t="s">
        <v>43</v>
      </c>
      <c r="AC2097" s="3" t="s">
        <v>5176</v>
      </c>
      <c r="AD2097" s="9">
        <v>44739</v>
      </c>
      <c r="AE2097" s="3" t="s">
        <v>1422</v>
      </c>
      <c r="AF2097" s="3" t="s">
        <v>5177</v>
      </c>
      <c r="AG2097" s="3" t="s">
        <v>5178</v>
      </c>
      <c r="AH2097" s="11">
        <f>HYPERLINK("https://my.pitchbook.com?c=241710-94T","View Company Online")</f>
      </c>
    </row>
    <row r="2098">
      <c r="A2098" s="12" t="s">
        <v>11841</v>
      </c>
      <c r="B2098" s="12" t="s">
        <v>11842</v>
      </c>
      <c r="C2098" s="19" t="s">
        <v>36</v>
      </c>
      <c r="D2098" s="19" t="s">
        <v>36</v>
      </c>
      <c r="E2098" s="19" t="s">
        <v>36</v>
      </c>
      <c r="F2098" s="19" t="s">
        <v>36</v>
      </c>
      <c r="G2098" s="15" t="s">
        <v>326</v>
      </c>
      <c r="H2098" s="14" t="s">
        <v>36</v>
      </c>
      <c r="I2098" s="18">
        <v>31.2</v>
      </c>
      <c r="J2098" s="12" t="s">
        <v>327</v>
      </c>
      <c r="K2098" s="13" t="s">
        <v>36</v>
      </c>
      <c r="L2098" s="15" t="s">
        <v>36</v>
      </c>
      <c r="M2098" s="12" t="s">
        <v>36</v>
      </c>
      <c r="N2098" s="12" t="s">
        <v>36</v>
      </c>
      <c r="O2098" s="17" t="s">
        <v>36</v>
      </c>
      <c r="P2098" s="12" t="s">
        <v>36</v>
      </c>
      <c r="Q2098" s="12" t="s">
        <v>36</v>
      </c>
      <c r="R2098" s="12" t="s">
        <v>36</v>
      </c>
      <c r="S2098" s="12" t="s">
        <v>36</v>
      </c>
      <c r="T2098" s="12" t="s">
        <v>1048</v>
      </c>
      <c r="U2098" s="12" t="s">
        <v>423</v>
      </c>
      <c r="V2098" s="12" t="s">
        <v>64</v>
      </c>
      <c r="W2098" s="12" t="s">
        <v>11843</v>
      </c>
      <c r="X2098" s="16" t="s">
        <v>11844</v>
      </c>
      <c r="Y2098" s="15" t="s">
        <v>108</v>
      </c>
      <c r="Z2098" s="14">
        <v>5.3</v>
      </c>
      <c r="AA2098" s="14">
        <v>16.98</v>
      </c>
      <c r="AB2098" s="12" t="s">
        <v>56</v>
      </c>
      <c r="AC2098" s="12" t="s">
        <v>11845</v>
      </c>
      <c r="AD2098" s="13">
        <v>44739</v>
      </c>
      <c r="AE2098" s="12" t="s">
        <v>1051</v>
      </c>
      <c r="AF2098" s="12" t="s">
        <v>4397</v>
      </c>
      <c r="AG2098" s="12" t="s">
        <v>11846</v>
      </c>
      <c r="AH2098" s="1">
        <f>HYPERLINK("https://my.pitchbook.com?c=196929-01T","View Company Online")</f>
      </c>
    </row>
    <row r="2099">
      <c r="A2099" s="3" t="s">
        <v>11847</v>
      </c>
      <c r="B2099" s="3" t="s">
        <v>4560</v>
      </c>
      <c r="C2099" s="5" t="s">
        <v>36</v>
      </c>
      <c r="D2099" s="5" t="s">
        <v>36</v>
      </c>
      <c r="E2099" s="5" t="s">
        <v>36</v>
      </c>
      <c r="F2099" s="5" t="s">
        <v>36</v>
      </c>
      <c r="G2099" s="6" t="s">
        <v>326</v>
      </c>
      <c r="H2099" s="4">
        <v>5685.55</v>
      </c>
      <c r="I2099" s="7">
        <v>24.78</v>
      </c>
      <c r="J2099" s="3" t="s">
        <v>521</v>
      </c>
      <c r="K2099" s="9">
        <v>44642</v>
      </c>
      <c r="L2099" s="6" t="s">
        <v>122</v>
      </c>
      <c r="M2099" s="3" t="s">
        <v>36</v>
      </c>
      <c r="N2099" s="3" t="s">
        <v>122</v>
      </c>
      <c r="O2099" s="8" t="s">
        <v>36</v>
      </c>
      <c r="P2099" s="3" t="s">
        <v>36</v>
      </c>
      <c r="Q2099" s="3" t="s">
        <v>36</v>
      </c>
      <c r="R2099" s="3" t="s">
        <v>36</v>
      </c>
      <c r="S2099" s="3" t="s">
        <v>36</v>
      </c>
      <c r="T2099" s="3" t="s">
        <v>37</v>
      </c>
      <c r="U2099" s="3" t="s">
        <v>38</v>
      </c>
      <c r="V2099" s="3" t="s">
        <v>39</v>
      </c>
      <c r="W2099" s="3" t="s">
        <v>4561</v>
      </c>
      <c r="X2099" s="10" t="s">
        <v>11848</v>
      </c>
      <c r="Y2099" s="6" t="s">
        <v>108</v>
      </c>
      <c r="Z2099" s="4">
        <v>30.2</v>
      </c>
      <c r="AA2099" s="4">
        <v>90.97</v>
      </c>
      <c r="AB2099" s="3" t="s">
        <v>43</v>
      </c>
      <c r="AC2099" s="3" t="s">
        <v>4563</v>
      </c>
      <c r="AD2099" s="9">
        <v>44736</v>
      </c>
      <c r="AE2099" s="3" t="s">
        <v>45</v>
      </c>
      <c r="AF2099" s="3" t="s">
        <v>799</v>
      </c>
      <c r="AG2099" s="3" t="s">
        <v>81</v>
      </c>
      <c r="AH2099" s="11">
        <f>HYPERLINK("https://my.pitchbook.com?c=170492-41T","View Company Online")</f>
      </c>
    </row>
    <row r="2100">
      <c r="A2100" s="12" t="s">
        <v>11849</v>
      </c>
      <c r="B2100" s="12" t="s">
        <v>11850</v>
      </c>
      <c r="C2100" s="19" t="s">
        <v>36</v>
      </c>
      <c r="D2100" s="19" t="s">
        <v>36</v>
      </c>
      <c r="E2100" s="19" t="s">
        <v>36</v>
      </c>
      <c r="F2100" s="19" t="s">
        <v>36</v>
      </c>
      <c r="G2100" s="15" t="s">
        <v>326</v>
      </c>
      <c r="H2100" s="14">
        <v>11.78</v>
      </c>
      <c r="I2100" s="18">
        <v>18.95</v>
      </c>
      <c r="J2100" s="12" t="s">
        <v>521</v>
      </c>
      <c r="K2100" s="13" t="s">
        <v>36</v>
      </c>
      <c r="L2100" s="15" t="s">
        <v>36</v>
      </c>
      <c r="M2100" s="12" t="s">
        <v>36</v>
      </c>
      <c r="N2100" s="12" t="s">
        <v>36</v>
      </c>
      <c r="O2100" s="17" t="s">
        <v>36</v>
      </c>
      <c r="P2100" s="12" t="s">
        <v>36</v>
      </c>
      <c r="Q2100" s="12" t="s">
        <v>36</v>
      </c>
      <c r="R2100" s="12" t="s">
        <v>36</v>
      </c>
      <c r="S2100" s="12" t="s">
        <v>36</v>
      </c>
      <c r="T2100" s="12" t="s">
        <v>2967</v>
      </c>
      <c r="U2100" s="12" t="s">
        <v>38</v>
      </c>
      <c r="V2100" s="12" t="s">
        <v>39</v>
      </c>
      <c r="W2100" s="12" t="s">
        <v>11851</v>
      </c>
      <c r="X2100" s="16" t="s">
        <v>11852</v>
      </c>
      <c r="Y2100" s="15" t="s">
        <v>108</v>
      </c>
      <c r="Z2100" s="14">
        <v>2.12</v>
      </c>
      <c r="AA2100" s="14">
        <v>11.2</v>
      </c>
      <c r="AB2100" s="12" t="s">
        <v>56</v>
      </c>
      <c r="AC2100" s="12" t="s">
        <v>11853</v>
      </c>
      <c r="AD2100" s="13">
        <v>44736</v>
      </c>
      <c r="AE2100" s="12" t="s">
        <v>110</v>
      </c>
      <c r="AF2100" s="12" t="s">
        <v>1115</v>
      </c>
      <c r="AG2100" s="12" t="s">
        <v>11854</v>
      </c>
      <c r="AH2100" s="1">
        <f>HYPERLINK("https://my.pitchbook.com?c=180134-56T","View Company Online")</f>
      </c>
    </row>
    <row r="2101">
      <c r="A2101" s="3" t="s">
        <v>11855</v>
      </c>
      <c r="B2101" s="3" t="s">
        <v>11856</v>
      </c>
      <c r="C2101" s="5" t="s">
        <v>36</v>
      </c>
      <c r="D2101" s="5" t="s">
        <v>36</v>
      </c>
      <c r="E2101" s="5">
        <v>1</v>
      </c>
      <c r="F2101" s="5">
        <v>1</v>
      </c>
      <c r="G2101" s="6" t="s">
        <v>326</v>
      </c>
      <c r="H2101" s="4" t="s">
        <v>36</v>
      </c>
      <c r="I2101" s="7">
        <v>16.81</v>
      </c>
      <c r="J2101" s="3" t="s">
        <v>327</v>
      </c>
      <c r="K2101" s="9" t="s">
        <v>36</v>
      </c>
      <c r="L2101" s="6" t="s">
        <v>94</v>
      </c>
      <c r="M2101" s="3" t="s">
        <v>36</v>
      </c>
      <c r="N2101" s="3" t="s">
        <v>94</v>
      </c>
      <c r="O2101" s="8" t="s">
        <v>36</v>
      </c>
      <c r="P2101" s="3" t="s">
        <v>36</v>
      </c>
      <c r="Q2101" s="3" t="s">
        <v>36</v>
      </c>
      <c r="R2101" s="3" t="s">
        <v>36</v>
      </c>
      <c r="S2101" s="3" t="s">
        <v>36</v>
      </c>
      <c r="T2101" s="3" t="s">
        <v>11857</v>
      </c>
      <c r="U2101" s="3" t="s">
        <v>38</v>
      </c>
      <c r="V2101" s="3" t="s">
        <v>39</v>
      </c>
      <c r="W2101" s="3" t="s">
        <v>11858</v>
      </c>
      <c r="X2101" s="10" t="s">
        <v>11859</v>
      </c>
      <c r="Y2101" s="6" t="s">
        <v>192</v>
      </c>
      <c r="Z2101" s="4">
        <v>100.66</v>
      </c>
      <c r="AA2101" s="4">
        <v>598.84</v>
      </c>
      <c r="AB2101" s="3" t="s">
        <v>43</v>
      </c>
      <c r="AC2101" s="3" t="s">
        <v>11860</v>
      </c>
      <c r="AD2101" s="9">
        <v>44736</v>
      </c>
      <c r="AE2101" s="3" t="s">
        <v>554</v>
      </c>
      <c r="AF2101" s="3" t="s">
        <v>1380</v>
      </c>
      <c r="AG2101" s="3" t="s">
        <v>81</v>
      </c>
      <c r="AH2101" s="11">
        <f>HYPERLINK("https://my.pitchbook.com?c=205905-43T","View Company Online")</f>
      </c>
    </row>
    <row r="2102">
      <c r="A2102" s="12" t="s">
        <v>11861</v>
      </c>
      <c r="B2102" s="12" t="s">
        <v>11862</v>
      </c>
      <c r="C2102" s="19" t="s">
        <v>36</v>
      </c>
      <c r="D2102" s="19" t="s">
        <v>36</v>
      </c>
      <c r="E2102" s="19" t="s">
        <v>36</v>
      </c>
      <c r="F2102" s="19" t="s">
        <v>36</v>
      </c>
      <c r="G2102" s="15" t="s">
        <v>326</v>
      </c>
      <c r="H2102" s="14">
        <v>10.73</v>
      </c>
      <c r="I2102" s="18">
        <v>19.86</v>
      </c>
      <c r="J2102" s="12" t="s">
        <v>521</v>
      </c>
      <c r="K2102" s="13" t="s">
        <v>36</v>
      </c>
      <c r="L2102" s="15" t="s">
        <v>122</v>
      </c>
      <c r="M2102" s="12" t="s">
        <v>36</v>
      </c>
      <c r="N2102" s="12" t="s">
        <v>122</v>
      </c>
      <c r="O2102" s="17" t="s">
        <v>36</v>
      </c>
      <c r="P2102" s="12" t="s">
        <v>36</v>
      </c>
      <c r="Q2102" s="12" t="s">
        <v>36</v>
      </c>
      <c r="R2102" s="12" t="s">
        <v>36</v>
      </c>
      <c r="S2102" s="12" t="s">
        <v>36</v>
      </c>
      <c r="T2102" s="12" t="s">
        <v>522</v>
      </c>
      <c r="U2102" s="12" t="s">
        <v>38</v>
      </c>
      <c r="V2102" s="12" t="s">
        <v>39</v>
      </c>
      <c r="W2102" s="12" t="s">
        <v>11863</v>
      </c>
      <c r="X2102" s="16" t="s">
        <v>11864</v>
      </c>
      <c r="Y2102" s="15" t="s">
        <v>108</v>
      </c>
      <c r="Z2102" s="14">
        <v>10.61</v>
      </c>
      <c r="AA2102" s="14">
        <v>42.95</v>
      </c>
      <c r="AB2102" s="12" t="s">
        <v>56</v>
      </c>
      <c r="AC2102" s="12" t="s">
        <v>11865</v>
      </c>
      <c r="AD2102" s="13">
        <v>44736</v>
      </c>
      <c r="AE2102" s="12" t="s">
        <v>110</v>
      </c>
      <c r="AF2102" s="12" t="s">
        <v>176</v>
      </c>
      <c r="AG2102" s="12" t="s">
        <v>81</v>
      </c>
      <c r="AH2102" s="1">
        <f>HYPERLINK("https://my.pitchbook.com?c=196921-72T","View Company Online")</f>
      </c>
    </row>
    <row r="2103">
      <c r="A2103" s="3" t="s">
        <v>11866</v>
      </c>
      <c r="B2103" s="3" t="s">
        <v>6089</v>
      </c>
      <c r="C2103" s="5">
        <v>12</v>
      </c>
      <c r="D2103" s="5" t="s">
        <v>36</v>
      </c>
      <c r="E2103" s="5">
        <v>3</v>
      </c>
      <c r="F2103" s="5">
        <v>12</v>
      </c>
      <c r="G2103" s="6" t="s">
        <v>36</v>
      </c>
      <c r="H2103" s="4" t="s">
        <v>36</v>
      </c>
      <c r="I2103" s="7">
        <v>42.1</v>
      </c>
      <c r="J2103" s="3" t="s">
        <v>327</v>
      </c>
      <c r="K2103" s="9" t="s">
        <v>36</v>
      </c>
      <c r="L2103" s="6" t="s">
        <v>122</v>
      </c>
      <c r="M2103" s="3" t="s">
        <v>36</v>
      </c>
      <c r="N2103" s="3" t="s">
        <v>122</v>
      </c>
      <c r="O2103" s="8" t="s">
        <v>36</v>
      </c>
      <c r="P2103" s="3" t="s">
        <v>36</v>
      </c>
      <c r="Q2103" s="3" t="s">
        <v>36</v>
      </c>
      <c r="R2103" s="3" t="s">
        <v>36</v>
      </c>
      <c r="S2103" s="3" t="s">
        <v>36</v>
      </c>
      <c r="T2103" s="3" t="s">
        <v>1162</v>
      </c>
      <c r="U2103" s="3" t="s">
        <v>423</v>
      </c>
      <c r="V2103" s="3" t="s">
        <v>64</v>
      </c>
      <c r="W2103" s="3" t="s">
        <v>6090</v>
      </c>
      <c r="X2103" s="10" t="s">
        <v>11867</v>
      </c>
      <c r="Y2103" s="6" t="s">
        <v>42</v>
      </c>
      <c r="Z2103" s="4">
        <v>12.73</v>
      </c>
      <c r="AA2103" s="4">
        <v>39.69</v>
      </c>
      <c r="AB2103" s="3" t="s">
        <v>43</v>
      </c>
      <c r="AC2103" s="3" t="s">
        <v>6092</v>
      </c>
      <c r="AD2103" s="9">
        <v>44736</v>
      </c>
      <c r="AE2103" s="3" t="s">
        <v>562</v>
      </c>
      <c r="AF2103" s="3" t="s">
        <v>938</v>
      </c>
      <c r="AG2103" s="3" t="s">
        <v>81</v>
      </c>
      <c r="AH2103" s="11">
        <f>HYPERLINK("https://my.pitchbook.com?c=201027-52T","View Company Online")</f>
      </c>
    </row>
    <row r="2104">
      <c r="A2104" s="12" t="s">
        <v>11868</v>
      </c>
      <c r="B2104" s="12" t="s">
        <v>11869</v>
      </c>
      <c r="C2104" s="19" t="s">
        <v>36</v>
      </c>
      <c r="D2104" s="19" t="s">
        <v>36</v>
      </c>
      <c r="E2104" s="19" t="s">
        <v>36</v>
      </c>
      <c r="F2104" s="19" t="s">
        <v>36</v>
      </c>
      <c r="G2104" s="15" t="s">
        <v>36</v>
      </c>
      <c r="H2104" s="14" t="s">
        <v>36</v>
      </c>
      <c r="I2104" s="18" t="s">
        <v>36</v>
      </c>
      <c r="J2104" s="12" t="s">
        <v>36</v>
      </c>
      <c r="K2104" s="13" t="s">
        <v>36</v>
      </c>
      <c r="L2104" s="15" t="s">
        <v>36</v>
      </c>
      <c r="M2104" s="12" t="s">
        <v>36</v>
      </c>
      <c r="N2104" s="12" t="s">
        <v>36</v>
      </c>
      <c r="O2104" s="17" t="s">
        <v>36</v>
      </c>
      <c r="P2104" s="12" t="s">
        <v>36</v>
      </c>
      <c r="Q2104" s="12" t="s">
        <v>36</v>
      </c>
      <c r="R2104" s="12" t="s">
        <v>36</v>
      </c>
      <c r="S2104" s="12" t="s">
        <v>36</v>
      </c>
      <c r="T2104" s="12" t="s">
        <v>542</v>
      </c>
      <c r="U2104" s="12" t="s">
        <v>74</v>
      </c>
      <c r="V2104" s="12" t="s">
        <v>75</v>
      </c>
      <c r="W2104" s="12" t="s">
        <v>11870</v>
      </c>
      <c r="X2104" s="16" t="s">
        <v>11871</v>
      </c>
      <c r="Y2104" s="15" t="s">
        <v>321</v>
      </c>
      <c r="Z2104" s="14" t="s">
        <v>36</v>
      </c>
      <c r="AA2104" s="14" t="s">
        <v>36</v>
      </c>
      <c r="AB2104" s="12" t="s">
        <v>56</v>
      </c>
      <c r="AC2104" s="12" t="s">
        <v>11872</v>
      </c>
      <c r="AD2104" s="13">
        <v>44735</v>
      </c>
      <c r="AE2104" s="12" t="s">
        <v>362</v>
      </c>
      <c r="AF2104" s="12" t="s">
        <v>2087</v>
      </c>
      <c r="AG2104" s="12" t="s">
        <v>2618</v>
      </c>
      <c r="AH2104" s="1">
        <f>HYPERLINK("https://my.pitchbook.com?c=200577-25T","View Company Online")</f>
      </c>
    </row>
    <row r="2105">
      <c r="A2105" s="3" t="s">
        <v>11873</v>
      </c>
      <c r="B2105" s="3" t="s">
        <v>11874</v>
      </c>
      <c r="C2105" s="5" t="s">
        <v>36</v>
      </c>
      <c r="D2105" s="5" t="s">
        <v>36</v>
      </c>
      <c r="E2105" s="5" t="s">
        <v>36</v>
      </c>
      <c r="F2105" s="5" t="s">
        <v>36</v>
      </c>
      <c r="G2105" s="6" t="s">
        <v>36</v>
      </c>
      <c r="H2105" s="4" t="s">
        <v>36</v>
      </c>
      <c r="I2105" s="7" t="s">
        <v>36</v>
      </c>
      <c r="J2105" s="3" t="s">
        <v>36</v>
      </c>
      <c r="K2105" s="9" t="s">
        <v>36</v>
      </c>
      <c r="L2105" s="6" t="s">
        <v>36</v>
      </c>
      <c r="M2105" s="3" t="s">
        <v>36</v>
      </c>
      <c r="N2105" s="3" t="s">
        <v>36</v>
      </c>
      <c r="O2105" s="8" t="s">
        <v>36</v>
      </c>
      <c r="P2105" s="3" t="s">
        <v>36</v>
      </c>
      <c r="Q2105" s="3" t="s">
        <v>36</v>
      </c>
      <c r="R2105" s="3" t="s">
        <v>36</v>
      </c>
      <c r="S2105" s="3" t="s">
        <v>36</v>
      </c>
      <c r="T2105" s="3" t="s">
        <v>1344</v>
      </c>
      <c r="U2105" s="3" t="s">
        <v>38</v>
      </c>
      <c r="V2105" s="3" t="s">
        <v>39</v>
      </c>
      <c r="W2105" s="3" t="s">
        <v>11875</v>
      </c>
      <c r="X2105" s="10" t="s">
        <v>2433</v>
      </c>
      <c r="Y2105" s="6" t="s">
        <v>42</v>
      </c>
      <c r="Z2105" s="4">
        <v>0.53</v>
      </c>
      <c r="AA2105" s="4" t="s">
        <v>36</v>
      </c>
      <c r="AB2105" s="3" t="s">
        <v>43</v>
      </c>
      <c r="AC2105" s="3" t="s">
        <v>11876</v>
      </c>
      <c r="AD2105" s="9">
        <v>44735</v>
      </c>
      <c r="AE2105" s="3" t="s">
        <v>110</v>
      </c>
      <c r="AF2105" s="3" t="s">
        <v>111</v>
      </c>
      <c r="AG2105" s="3" t="s">
        <v>81</v>
      </c>
      <c r="AH2105" s="11">
        <f>HYPERLINK("https://my.pitchbook.com?c=219661-30T","View Company Online")</f>
      </c>
    </row>
    <row r="2106">
      <c r="A2106" s="12" t="s">
        <v>11877</v>
      </c>
      <c r="B2106" s="12" t="s">
        <v>11878</v>
      </c>
      <c r="C2106" s="19" t="s">
        <v>36</v>
      </c>
      <c r="D2106" s="19" t="s">
        <v>36</v>
      </c>
      <c r="E2106" s="19" t="s">
        <v>36</v>
      </c>
      <c r="F2106" s="19" t="s">
        <v>36</v>
      </c>
      <c r="G2106" s="15" t="s">
        <v>326</v>
      </c>
      <c r="H2106" s="14" t="s">
        <v>36</v>
      </c>
      <c r="I2106" s="18">
        <v>30.46</v>
      </c>
      <c r="J2106" s="12" t="s">
        <v>327</v>
      </c>
      <c r="K2106" s="13" t="s">
        <v>36</v>
      </c>
      <c r="L2106" s="15" t="s">
        <v>36</v>
      </c>
      <c r="M2106" s="12" t="s">
        <v>36</v>
      </c>
      <c r="N2106" s="12" t="s">
        <v>36</v>
      </c>
      <c r="O2106" s="17" t="s">
        <v>36</v>
      </c>
      <c r="P2106" s="12" t="s">
        <v>36</v>
      </c>
      <c r="Q2106" s="12" t="s">
        <v>36</v>
      </c>
      <c r="R2106" s="12" t="s">
        <v>36</v>
      </c>
      <c r="S2106" s="12" t="s">
        <v>36</v>
      </c>
      <c r="T2106" s="12" t="s">
        <v>11879</v>
      </c>
      <c r="U2106" s="12" t="s">
        <v>648</v>
      </c>
      <c r="V2106" s="12" t="s">
        <v>64</v>
      </c>
      <c r="W2106" s="12" t="s">
        <v>11880</v>
      </c>
      <c r="X2106" s="16" t="s">
        <v>11881</v>
      </c>
      <c r="Y2106" s="15" t="s">
        <v>166</v>
      </c>
      <c r="Z2106" s="14">
        <v>12.74</v>
      </c>
      <c r="AA2106" s="14">
        <v>41.82</v>
      </c>
      <c r="AB2106" s="12" t="s">
        <v>56</v>
      </c>
      <c r="AC2106" s="12" t="s">
        <v>11882</v>
      </c>
      <c r="AD2106" s="13">
        <v>44735</v>
      </c>
      <c r="AE2106" s="12" t="s">
        <v>651</v>
      </c>
      <c r="AF2106" s="12" t="s">
        <v>2118</v>
      </c>
      <c r="AG2106" s="12" t="s">
        <v>11883</v>
      </c>
      <c r="AH2106" s="1">
        <f>HYPERLINK("https://my.pitchbook.com?c=196804-45T","View Company Online")</f>
      </c>
    </row>
    <row r="2107">
      <c r="A2107" s="3" t="s">
        <v>11884</v>
      </c>
      <c r="B2107" s="3" t="s">
        <v>11885</v>
      </c>
      <c r="C2107" s="5" t="s">
        <v>36</v>
      </c>
      <c r="D2107" s="5" t="s">
        <v>36</v>
      </c>
      <c r="E2107" s="5" t="s">
        <v>36</v>
      </c>
      <c r="F2107" s="5" t="s">
        <v>36</v>
      </c>
      <c r="G2107" s="6" t="s">
        <v>36</v>
      </c>
      <c r="H2107" s="4" t="s">
        <v>36</v>
      </c>
      <c r="I2107" s="7" t="s">
        <v>36</v>
      </c>
      <c r="J2107" s="3" t="s">
        <v>36</v>
      </c>
      <c r="K2107" s="9" t="s">
        <v>36</v>
      </c>
      <c r="L2107" s="6" t="s">
        <v>36</v>
      </c>
      <c r="M2107" s="3" t="s">
        <v>36</v>
      </c>
      <c r="N2107" s="3" t="s">
        <v>36</v>
      </c>
      <c r="O2107" s="8" t="s">
        <v>36</v>
      </c>
      <c r="P2107" s="3" t="s">
        <v>36</v>
      </c>
      <c r="Q2107" s="3" t="s">
        <v>36</v>
      </c>
      <c r="R2107" s="3" t="s">
        <v>36</v>
      </c>
      <c r="S2107" s="3" t="s">
        <v>36</v>
      </c>
      <c r="T2107" s="3" t="s">
        <v>11886</v>
      </c>
      <c r="U2107" s="3" t="s">
        <v>648</v>
      </c>
      <c r="V2107" s="3" t="s">
        <v>64</v>
      </c>
      <c r="W2107" s="3" t="s">
        <v>11887</v>
      </c>
      <c r="X2107" s="10" t="s">
        <v>11888</v>
      </c>
      <c r="Y2107" s="6" t="s">
        <v>108</v>
      </c>
      <c r="Z2107" s="4">
        <v>0.32</v>
      </c>
      <c r="AA2107" s="4" t="s">
        <v>36</v>
      </c>
      <c r="AB2107" s="3" t="s">
        <v>43</v>
      </c>
      <c r="AC2107" s="3" t="s">
        <v>11889</v>
      </c>
      <c r="AD2107" s="9">
        <v>44735</v>
      </c>
      <c r="AE2107" s="3" t="s">
        <v>651</v>
      </c>
      <c r="AF2107" s="3" t="s">
        <v>215</v>
      </c>
      <c r="AG2107" s="3" t="s">
        <v>81</v>
      </c>
      <c r="AH2107" s="11">
        <f>HYPERLINK("https://my.pitchbook.com?c=219525-13T","View Company Online")</f>
      </c>
    </row>
    <row r="2108">
      <c r="A2108" s="12" t="s">
        <v>11890</v>
      </c>
      <c r="B2108" s="12" t="s">
        <v>4410</v>
      </c>
      <c r="C2108" s="19" t="s">
        <v>36</v>
      </c>
      <c r="D2108" s="19" t="s">
        <v>36</v>
      </c>
      <c r="E2108" s="19" t="s">
        <v>36</v>
      </c>
      <c r="F2108" s="19" t="s">
        <v>36</v>
      </c>
      <c r="G2108" s="15" t="s">
        <v>36</v>
      </c>
      <c r="H2108" s="14" t="s">
        <v>36</v>
      </c>
      <c r="I2108" s="18" t="s">
        <v>36</v>
      </c>
      <c r="J2108" s="12" t="s">
        <v>36</v>
      </c>
      <c r="K2108" s="13" t="s">
        <v>36</v>
      </c>
      <c r="L2108" s="15" t="s">
        <v>36</v>
      </c>
      <c r="M2108" s="12" t="s">
        <v>36</v>
      </c>
      <c r="N2108" s="12" t="s">
        <v>36</v>
      </c>
      <c r="O2108" s="17" t="s">
        <v>36</v>
      </c>
      <c r="P2108" s="12" t="s">
        <v>36</v>
      </c>
      <c r="Q2108" s="12" t="s">
        <v>36</v>
      </c>
      <c r="R2108" s="12" t="s">
        <v>36</v>
      </c>
      <c r="S2108" s="12" t="s">
        <v>4411</v>
      </c>
      <c r="T2108" s="12" t="s">
        <v>4412</v>
      </c>
      <c r="U2108" s="12" t="s">
        <v>38</v>
      </c>
      <c r="V2108" s="12" t="s">
        <v>39</v>
      </c>
      <c r="W2108" s="12" t="s">
        <v>4413</v>
      </c>
      <c r="X2108" s="16" t="s">
        <v>8450</v>
      </c>
      <c r="Y2108" s="15" t="s">
        <v>42</v>
      </c>
      <c r="Z2108" s="14" t="s">
        <v>36</v>
      </c>
      <c r="AA2108" s="14" t="s">
        <v>36</v>
      </c>
      <c r="AB2108" s="12" t="s">
        <v>43</v>
      </c>
      <c r="AC2108" s="12" t="s">
        <v>4415</v>
      </c>
      <c r="AD2108" s="13">
        <v>44735</v>
      </c>
      <c r="AE2108" s="12" t="s">
        <v>688</v>
      </c>
      <c r="AF2108" s="12" t="s">
        <v>680</v>
      </c>
      <c r="AG2108" s="12" t="s">
        <v>4416</v>
      </c>
      <c r="AH2108" s="1">
        <f>HYPERLINK("https://my.pitchbook.com?c=225925-66T","View Company Online")</f>
      </c>
    </row>
    <row r="2109">
      <c r="A2109" s="3" t="s">
        <v>11891</v>
      </c>
      <c r="B2109" s="3" t="s">
        <v>11892</v>
      </c>
      <c r="C2109" s="5" t="s">
        <v>36</v>
      </c>
      <c r="D2109" s="5" t="s">
        <v>36</v>
      </c>
      <c r="E2109" s="5" t="s">
        <v>36</v>
      </c>
      <c r="F2109" s="5" t="s">
        <v>36</v>
      </c>
      <c r="G2109" s="6" t="s">
        <v>36</v>
      </c>
      <c r="H2109" s="4" t="s">
        <v>36</v>
      </c>
      <c r="I2109" s="7" t="s">
        <v>36</v>
      </c>
      <c r="J2109" s="3" t="s">
        <v>36</v>
      </c>
      <c r="K2109" s="9" t="s">
        <v>36</v>
      </c>
      <c r="L2109" s="6" t="s">
        <v>36</v>
      </c>
      <c r="M2109" s="3" t="s">
        <v>36</v>
      </c>
      <c r="N2109" s="3" t="s">
        <v>36</v>
      </c>
      <c r="O2109" s="8" t="s">
        <v>36</v>
      </c>
      <c r="P2109" s="3" t="s">
        <v>36</v>
      </c>
      <c r="Q2109" s="3" t="s">
        <v>36</v>
      </c>
      <c r="R2109" s="3" t="s">
        <v>36</v>
      </c>
      <c r="S2109" s="3" t="s">
        <v>36</v>
      </c>
      <c r="T2109" s="3" t="s">
        <v>11893</v>
      </c>
      <c r="U2109" s="3" t="s">
        <v>648</v>
      </c>
      <c r="V2109" s="3" t="s">
        <v>64</v>
      </c>
      <c r="W2109" s="3" t="s">
        <v>11894</v>
      </c>
      <c r="X2109" s="10" t="s">
        <v>11895</v>
      </c>
      <c r="Y2109" s="6" t="s">
        <v>108</v>
      </c>
      <c r="Z2109" s="4">
        <v>1.59</v>
      </c>
      <c r="AA2109" s="4" t="s">
        <v>36</v>
      </c>
      <c r="AB2109" s="3" t="s">
        <v>43</v>
      </c>
      <c r="AC2109" s="3" t="s">
        <v>11896</v>
      </c>
      <c r="AD2109" s="9">
        <v>44734</v>
      </c>
      <c r="AE2109" s="3" t="s">
        <v>651</v>
      </c>
      <c r="AF2109" s="3" t="s">
        <v>36</v>
      </c>
      <c r="AG2109" s="3" t="s">
        <v>11897</v>
      </c>
      <c r="AH2109" s="11">
        <f>HYPERLINK("https://my.pitchbook.com?c=196699-24T","View Company Online")</f>
      </c>
    </row>
    <row r="2110">
      <c r="A2110" s="12" t="s">
        <v>11898</v>
      </c>
      <c r="B2110" s="12" t="s">
        <v>11899</v>
      </c>
      <c r="C2110" s="19" t="s">
        <v>36</v>
      </c>
      <c r="D2110" s="19" t="s">
        <v>36</v>
      </c>
      <c r="E2110" s="19" t="s">
        <v>36</v>
      </c>
      <c r="F2110" s="19" t="s">
        <v>36</v>
      </c>
      <c r="G2110" s="15" t="s">
        <v>36</v>
      </c>
      <c r="H2110" s="14" t="s">
        <v>36</v>
      </c>
      <c r="I2110" s="18" t="s">
        <v>36</v>
      </c>
      <c r="J2110" s="12" t="s">
        <v>36</v>
      </c>
      <c r="K2110" s="13" t="s">
        <v>36</v>
      </c>
      <c r="L2110" s="15" t="s">
        <v>36</v>
      </c>
      <c r="M2110" s="12" t="s">
        <v>36</v>
      </c>
      <c r="N2110" s="12" t="s">
        <v>36</v>
      </c>
      <c r="O2110" s="17" t="s">
        <v>36</v>
      </c>
      <c r="P2110" s="12" t="s">
        <v>36</v>
      </c>
      <c r="Q2110" s="12" t="s">
        <v>36</v>
      </c>
      <c r="R2110" s="12" t="s">
        <v>36</v>
      </c>
      <c r="S2110" s="12" t="s">
        <v>11900</v>
      </c>
      <c r="T2110" s="12" t="s">
        <v>1260</v>
      </c>
      <c r="U2110" s="12" t="s">
        <v>38</v>
      </c>
      <c r="V2110" s="12" t="s">
        <v>39</v>
      </c>
      <c r="W2110" s="12" t="s">
        <v>11901</v>
      </c>
      <c r="X2110" s="16" t="s">
        <v>11902</v>
      </c>
      <c r="Y2110" s="15" t="s">
        <v>55</v>
      </c>
      <c r="Z2110" s="14" t="s">
        <v>36</v>
      </c>
      <c r="AA2110" s="14" t="s">
        <v>36</v>
      </c>
      <c r="AB2110" s="12" t="s">
        <v>56</v>
      </c>
      <c r="AC2110" s="12" t="s">
        <v>11903</v>
      </c>
      <c r="AD2110" s="13">
        <v>44734</v>
      </c>
      <c r="AE2110" s="12" t="s">
        <v>110</v>
      </c>
      <c r="AF2110" s="12" t="s">
        <v>3040</v>
      </c>
      <c r="AG2110" s="12" t="s">
        <v>81</v>
      </c>
      <c r="AH2110" s="1">
        <f>HYPERLINK("https://my.pitchbook.com?c=196686-19T","View Company Online")</f>
      </c>
    </row>
    <row r="2111">
      <c r="A2111" s="3" t="s">
        <v>11904</v>
      </c>
      <c r="B2111" s="3" t="s">
        <v>11905</v>
      </c>
      <c r="C2111" s="5" t="s">
        <v>36</v>
      </c>
      <c r="D2111" s="5" t="s">
        <v>36</v>
      </c>
      <c r="E2111" s="5" t="s">
        <v>36</v>
      </c>
      <c r="F2111" s="5" t="s">
        <v>36</v>
      </c>
      <c r="G2111" s="6" t="s">
        <v>36</v>
      </c>
      <c r="H2111" s="4">
        <v>2.96</v>
      </c>
      <c r="I2111" s="7">
        <v>17.24</v>
      </c>
      <c r="J2111" s="3" t="s">
        <v>521</v>
      </c>
      <c r="K2111" s="9" t="s">
        <v>36</v>
      </c>
      <c r="L2111" s="6" t="s">
        <v>36</v>
      </c>
      <c r="M2111" s="3" t="s">
        <v>36</v>
      </c>
      <c r="N2111" s="3" t="s">
        <v>36</v>
      </c>
      <c r="O2111" s="8" t="s">
        <v>36</v>
      </c>
      <c r="P2111" s="3" t="s">
        <v>36</v>
      </c>
      <c r="Q2111" s="3" t="s">
        <v>36</v>
      </c>
      <c r="R2111" s="3" t="s">
        <v>36</v>
      </c>
      <c r="S2111" s="3" t="s">
        <v>36</v>
      </c>
      <c r="T2111" s="3" t="s">
        <v>11906</v>
      </c>
      <c r="U2111" s="3" t="s">
        <v>74</v>
      </c>
      <c r="V2111" s="3" t="s">
        <v>75</v>
      </c>
      <c r="W2111" s="3" t="s">
        <v>11907</v>
      </c>
      <c r="X2111" s="10" t="s">
        <v>11908</v>
      </c>
      <c r="Y2111" s="6" t="s">
        <v>42</v>
      </c>
      <c r="Z2111" s="4">
        <v>1.91</v>
      </c>
      <c r="AA2111" s="4">
        <v>5.84</v>
      </c>
      <c r="AB2111" s="3" t="s">
        <v>43</v>
      </c>
      <c r="AC2111" s="3" t="s">
        <v>11909</v>
      </c>
      <c r="AD2111" s="9">
        <v>44734</v>
      </c>
      <c r="AE2111" s="3" t="s">
        <v>570</v>
      </c>
      <c r="AF2111" s="3" t="s">
        <v>372</v>
      </c>
      <c r="AG2111" s="3" t="s">
        <v>332</v>
      </c>
      <c r="AH2111" s="11">
        <f>HYPERLINK("https://my.pitchbook.com?c=215922-25T","View Company Online")</f>
      </c>
    </row>
    <row r="2112">
      <c r="A2112" s="12" t="s">
        <v>11910</v>
      </c>
      <c r="B2112" s="12" t="s">
        <v>9148</v>
      </c>
      <c r="C2112" s="19" t="s">
        <v>36</v>
      </c>
      <c r="D2112" s="19" t="s">
        <v>36</v>
      </c>
      <c r="E2112" s="19" t="s">
        <v>36</v>
      </c>
      <c r="F2112" s="19" t="s">
        <v>36</v>
      </c>
      <c r="G2112" s="15" t="s">
        <v>36</v>
      </c>
      <c r="H2112" s="14">
        <v>55.98</v>
      </c>
      <c r="I2112" s="18">
        <v>24.04</v>
      </c>
      <c r="J2112" s="12" t="s">
        <v>521</v>
      </c>
      <c r="K2112" s="13">
        <v>44684</v>
      </c>
      <c r="L2112" s="15" t="s">
        <v>36</v>
      </c>
      <c r="M2112" s="12" t="s">
        <v>36</v>
      </c>
      <c r="N2112" s="12" t="s">
        <v>36</v>
      </c>
      <c r="O2112" s="17" t="s">
        <v>36</v>
      </c>
      <c r="P2112" s="12" t="s">
        <v>36</v>
      </c>
      <c r="Q2112" s="12" t="s">
        <v>36</v>
      </c>
      <c r="R2112" s="12" t="s">
        <v>36</v>
      </c>
      <c r="S2112" s="12" t="s">
        <v>36</v>
      </c>
      <c r="T2112" s="12" t="s">
        <v>522</v>
      </c>
      <c r="U2112" s="12" t="s">
        <v>38</v>
      </c>
      <c r="V2112" s="12" t="s">
        <v>39</v>
      </c>
      <c r="W2112" s="12" t="s">
        <v>9149</v>
      </c>
      <c r="X2112" s="16" t="s">
        <v>11911</v>
      </c>
      <c r="Y2112" s="15" t="s">
        <v>55</v>
      </c>
      <c r="Z2112" s="14">
        <v>2.01</v>
      </c>
      <c r="AA2112" s="14">
        <v>8.37</v>
      </c>
      <c r="AB2112" s="12" t="s">
        <v>43</v>
      </c>
      <c r="AC2112" s="12" t="s">
        <v>9151</v>
      </c>
      <c r="AD2112" s="13">
        <v>44733</v>
      </c>
      <c r="AE2112" s="12" t="s">
        <v>110</v>
      </c>
      <c r="AF2112" s="12" t="s">
        <v>2210</v>
      </c>
      <c r="AG2112" s="12" t="s">
        <v>741</v>
      </c>
      <c r="AH2112" s="1">
        <f>HYPERLINK("https://my.pitchbook.com?c=190354-96T","View Company Online")</f>
      </c>
    </row>
    <row r="2113">
      <c r="A2113" s="3" t="s">
        <v>11912</v>
      </c>
      <c r="B2113" s="3" t="s">
        <v>5665</v>
      </c>
      <c r="C2113" s="5">
        <v>2</v>
      </c>
      <c r="D2113" s="5">
        <v>13</v>
      </c>
      <c r="E2113" s="5">
        <v>3</v>
      </c>
      <c r="F2113" s="5">
        <v>15</v>
      </c>
      <c r="G2113" s="6" t="s">
        <v>326</v>
      </c>
      <c r="H2113" s="4" t="s">
        <v>36</v>
      </c>
      <c r="I2113" s="7">
        <v>34.13</v>
      </c>
      <c r="J2113" s="3" t="s">
        <v>327</v>
      </c>
      <c r="K2113" s="9" t="s">
        <v>36</v>
      </c>
      <c r="L2113" s="6" t="s">
        <v>122</v>
      </c>
      <c r="M2113" s="3" t="s">
        <v>36</v>
      </c>
      <c r="N2113" s="3" t="s">
        <v>122</v>
      </c>
      <c r="O2113" s="8" t="s">
        <v>36</v>
      </c>
      <c r="P2113" s="3" t="s">
        <v>36</v>
      </c>
      <c r="Q2113" s="3" t="s">
        <v>36</v>
      </c>
      <c r="R2113" s="3" t="s">
        <v>36</v>
      </c>
      <c r="S2113" s="3" t="s">
        <v>36</v>
      </c>
      <c r="T2113" s="3" t="s">
        <v>5666</v>
      </c>
      <c r="U2113" s="3" t="s">
        <v>219</v>
      </c>
      <c r="V2113" s="3" t="s">
        <v>75</v>
      </c>
      <c r="W2113" s="3" t="s">
        <v>5667</v>
      </c>
      <c r="X2113" s="10" t="s">
        <v>11913</v>
      </c>
      <c r="Y2113" s="6" t="s">
        <v>108</v>
      </c>
      <c r="Z2113" s="4">
        <v>7.43</v>
      </c>
      <c r="AA2113" s="4">
        <v>21.78</v>
      </c>
      <c r="AB2113" s="3" t="s">
        <v>43</v>
      </c>
      <c r="AC2113" s="3" t="s">
        <v>5669</v>
      </c>
      <c r="AD2113" s="9">
        <v>44733</v>
      </c>
      <c r="AE2113" s="3" t="s">
        <v>223</v>
      </c>
      <c r="AF2113" s="3" t="s">
        <v>372</v>
      </c>
      <c r="AG2113" s="3" t="s">
        <v>5670</v>
      </c>
      <c r="AH2113" s="11">
        <f>HYPERLINK("https://my.pitchbook.com?c=199731-25T","View Company Online")</f>
      </c>
    </row>
    <row r="2114">
      <c r="A2114" s="12" t="s">
        <v>11914</v>
      </c>
      <c r="B2114" s="12" t="s">
        <v>11915</v>
      </c>
      <c r="C2114" s="19" t="s">
        <v>36</v>
      </c>
      <c r="D2114" s="19" t="s">
        <v>36</v>
      </c>
      <c r="E2114" s="19" t="s">
        <v>36</v>
      </c>
      <c r="F2114" s="19" t="s">
        <v>36</v>
      </c>
      <c r="G2114" s="15" t="s">
        <v>36</v>
      </c>
      <c r="H2114" s="14" t="s">
        <v>36</v>
      </c>
      <c r="I2114" s="18" t="s">
        <v>36</v>
      </c>
      <c r="J2114" s="12" t="s">
        <v>36</v>
      </c>
      <c r="K2114" s="13" t="s">
        <v>36</v>
      </c>
      <c r="L2114" s="15" t="s">
        <v>36</v>
      </c>
      <c r="M2114" s="12" t="s">
        <v>36</v>
      </c>
      <c r="N2114" s="12" t="s">
        <v>36</v>
      </c>
      <c r="O2114" s="17" t="s">
        <v>36</v>
      </c>
      <c r="P2114" s="12" t="s">
        <v>36</v>
      </c>
      <c r="Q2114" s="12" t="s">
        <v>36</v>
      </c>
      <c r="R2114" s="12" t="s">
        <v>36</v>
      </c>
      <c r="S2114" s="12" t="s">
        <v>3895</v>
      </c>
      <c r="T2114" s="12" t="s">
        <v>550</v>
      </c>
      <c r="U2114" s="12" t="s">
        <v>38</v>
      </c>
      <c r="V2114" s="12" t="s">
        <v>39</v>
      </c>
      <c r="W2114" s="12" t="s">
        <v>11916</v>
      </c>
      <c r="X2114" s="16" t="s">
        <v>11917</v>
      </c>
      <c r="Y2114" s="15" t="s">
        <v>192</v>
      </c>
      <c r="Z2114" s="14" t="s">
        <v>36</v>
      </c>
      <c r="AA2114" s="14" t="s">
        <v>36</v>
      </c>
      <c r="AB2114" s="12" t="s">
        <v>56</v>
      </c>
      <c r="AC2114" s="12" t="s">
        <v>11918</v>
      </c>
      <c r="AD2114" s="13">
        <v>44733</v>
      </c>
      <c r="AE2114" s="12" t="s">
        <v>554</v>
      </c>
      <c r="AF2114" s="12" t="s">
        <v>1296</v>
      </c>
      <c r="AG2114" s="12" t="s">
        <v>1078</v>
      </c>
      <c r="AH2114" s="1">
        <f>HYPERLINK("https://my.pitchbook.com?c=196588-27T","View Company Online")</f>
      </c>
    </row>
    <row r="2115">
      <c r="A2115" s="3" t="s">
        <v>11919</v>
      </c>
      <c r="B2115" s="3" t="s">
        <v>11920</v>
      </c>
      <c r="C2115" s="5">
        <v>2</v>
      </c>
      <c r="D2115" s="5" t="s">
        <v>36</v>
      </c>
      <c r="E2115" s="5">
        <v>2</v>
      </c>
      <c r="F2115" s="5">
        <v>2</v>
      </c>
      <c r="G2115" s="6" t="s">
        <v>36</v>
      </c>
      <c r="H2115" s="4" t="s">
        <v>36</v>
      </c>
      <c r="I2115" s="7" t="s">
        <v>36</v>
      </c>
      <c r="J2115" s="3" t="s">
        <v>36</v>
      </c>
      <c r="K2115" s="9" t="s">
        <v>36</v>
      </c>
      <c r="L2115" s="6" t="s">
        <v>36</v>
      </c>
      <c r="M2115" s="3" t="s">
        <v>36</v>
      </c>
      <c r="N2115" s="3" t="s">
        <v>36</v>
      </c>
      <c r="O2115" s="8" t="s">
        <v>36</v>
      </c>
      <c r="P2115" s="3" t="s">
        <v>36</v>
      </c>
      <c r="Q2115" s="3" t="s">
        <v>36</v>
      </c>
      <c r="R2115" s="3" t="s">
        <v>36</v>
      </c>
      <c r="S2115" s="3" t="s">
        <v>36</v>
      </c>
      <c r="T2115" s="3" t="s">
        <v>2992</v>
      </c>
      <c r="U2115" s="3" t="s">
        <v>96</v>
      </c>
      <c r="V2115" s="3" t="s">
        <v>52</v>
      </c>
      <c r="W2115" s="3" t="s">
        <v>11921</v>
      </c>
      <c r="X2115" s="10" t="s">
        <v>11922</v>
      </c>
      <c r="Y2115" s="6" t="s">
        <v>42</v>
      </c>
      <c r="Z2115" s="4">
        <v>1.59</v>
      </c>
      <c r="AA2115" s="4" t="s">
        <v>36</v>
      </c>
      <c r="AB2115" s="3" t="s">
        <v>56</v>
      </c>
      <c r="AC2115" s="3" t="s">
        <v>11923</v>
      </c>
      <c r="AD2115" s="9">
        <v>44733</v>
      </c>
      <c r="AE2115" s="3" t="s">
        <v>100</v>
      </c>
      <c r="AF2115" s="3" t="s">
        <v>11924</v>
      </c>
      <c r="AG2115" s="3" t="s">
        <v>1525</v>
      </c>
      <c r="AH2115" s="11">
        <f>HYPERLINK("https://my.pitchbook.com?c=192737-35T","View Company Online")</f>
      </c>
    </row>
    <row r="2116">
      <c r="A2116" s="12" t="s">
        <v>11925</v>
      </c>
      <c r="B2116" s="12" t="s">
        <v>11926</v>
      </c>
      <c r="C2116" s="19" t="s">
        <v>36</v>
      </c>
      <c r="D2116" s="19" t="s">
        <v>36</v>
      </c>
      <c r="E2116" s="19" t="s">
        <v>36</v>
      </c>
      <c r="F2116" s="19" t="s">
        <v>36</v>
      </c>
      <c r="G2116" s="15" t="s">
        <v>326</v>
      </c>
      <c r="H2116" s="14">
        <v>153.51</v>
      </c>
      <c r="I2116" s="18">
        <v>40.58</v>
      </c>
      <c r="J2116" s="12" t="s">
        <v>521</v>
      </c>
      <c r="K2116" s="13" t="s">
        <v>36</v>
      </c>
      <c r="L2116" s="15" t="s">
        <v>122</v>
      </c>
      <c r="M2116" s="12" t="s">
        <v>36</v>
      </c>
      <c r="N2116" s="12" t="s">
        <v>122</v>
      </c>
      <c r="O2116" s="17" t="s">
        <v>36</v>
      </c>
      <c r="P2116" s="12" t="s">
        <v>36</v>
      </c>
      <c r="Q2116" s="12" t="s">
        <v>36</v>
      </c>
      <c r="R2116" s="12" t="s">
        <v>36</v>
      </c>
      <c r="S2116" s="12" t="s">
        <v>36</v>
      </c>
      <c r="T2116" s="12" t="s">
        <v>105</v>
      </c>
      <c r="U2116" s="12" t="s">
        <v>38</v>
      </c>
      <c r="V2116" s="12" t="s">
        <v>39</v>
      </c>
      <c r="W2116" s="12" t="s">
        <v>11927</v>
      </c>
      <c r="X2116" s="16" t="s">
        <v>11928</v>
      </c>
      <c r="Y2116" s="15" t="s">
        <v>108</v>
      </c>
      <c r="Z2116" s="14">
        <v>8.32</v>
      </c>
      <c r="AA2116" s="14">
        <v>20.5</v>
      </c>
      <c r="AB2116" s="12" t="s">
        <v>56</v>
      </c>
      <c r="AC2116" s="12" t="s">
        <v>11929</v>
      </c>
      <c r="AD2116" s="13">
        <v>44733</v>
      </c>
      <c r="AE2116" s="12" t="s">
        <v>110</v>
      </c>
      <c r="AF2116" s="12" t="s">
        <v>11930</v>
      </c>
      <c r="AG2116" s="12" t="s">
        <v>81</v>
      </c>
      <c r="AH2116" s="1">
        <f>HYPERLINK("https://my.pitchbook.com?c=196673-50T","View Company Online")</f>
      </c>
    </row>
    <row r="2117">
      <c r="A2117" s="3" t="s">
        <v>11931</v>
      </c>
      <c r="B2117" s="3" t="s">
        <v>11932</v>
      </c>
      <c r="C2117" s="5" t="s">
        <v>36</v>
      </c>
      <c r="D2117" s="5" t="s">
        <v>36</v>
      </c>
      <c r="E2117" s="5" t="s">
        <v>36</v>
      </c>
      <c r="F2117" s="5" t="s">
        <v>36</v>
      </c>
      <c r="G2117" s="6" t="s">
        <v>326</v>
      </c>
      <c r="H2117" s="4">
        <v>218.85</v>
      </c>
      <c r="I2117" s="7">
        <v>30.99</v>
      </c>
      <c r="J2117" s="3" t="s">
        <v>327</v>
      </c>
      <c r="K2117" s="9" t="s">
        <v>36</v>
      </c>
      <c r="L2117" s="6" t="s">
        <v>122</v>
      </c>
      <c r="M2117" s="3" t="s">
        <v>36</v>
      </c>
      <c r="N2117" s="3" t="s">
        <v>122</v>
      </c>
      <c r="O2117" s="8" t="s">
        <v>36</v>
      </c>
      <c r="P2117" s="3" t="s">
        <v>36</v>
      </c>
      <c r="Q2117" s="3" t="s">
        <v>36</v>
      </c>
      <c r="R2117" s="3" t="s">
        <v>36</v>
      </c>
      <c r="S2117" s="3" t="s">
        <v>36</v>
      </c>
      <c r="T2117" s="3" t="s">
        <v>9522</v>
      </c>
      <c r="U2117" s="3" t="s">
        <v>423</v>
      </c>
      <c r="V2117" s="3" t="s">
        <v>64</v>
      </c>
      <c r="W2117" s="3" t="s">
        <v>11933</v>
      </c>
      <c r="X2117" s="10" t="s">
        <v>11934</v>
      </c>
      <c r="Y2117" s="6" t="s">
        <v>55</v>
      </c>
      <c r="Z2117" s="4">
        <v>6.37</v>
      </c>
      <c r="AA2117" s="4">
        <v>12.57</v>
      </c>
      <c r="AB2117" s="3" t="s">
        <v>43</v>
      </c>
      <c r="AC2117" s="3" t="s">
        <v>11935</v>
      </c>
      <c r="AD2117" s="9">
        <v>44733</v>
      </c>
      <c r="AE2117" s="3" t="s">
        <v>2871</v>
      </c>
      <c r="AF2117" s="3" t="s">
        <v>36</v>
      </c>
      <c r="AG2117" s="3" t="s">
        <v>11936</v>
      </c>
      <c r="AH2117" s="11">
        <f>HYPERLINK("https://my.pitchbook.com?c=189781-30T","View Company Online")</f>
      </c>
    </row>
    <row r="2118">
      <c r="A2118" s="12" t="s">
        <v>11937</v>
      </c>
      <c r="B2118" s="12" t="s">
        <v>11938</v>
      </c>
      <c r="C2118" s="19">
        <v>7</v>
      </c>
      <c r="D2118" s="19">
        <v>12</v>
      </c>
      <c r="E2118" s="19">
        <v>16</v>
      </c>
      <c r="F2118" s="19">
        <v>31</v>
      </c>
      <c r="G2118" s="15" t="s">
        <v>326</v>
      </c>
      <c r="H2118" s="14">
        <v>18.76</v>
      </c>
      <c r="I2118" s="18">
        <v>20.03</v>
      </c>
      <c r="J2118" s="12" t="s">
        <v>521</v>
      </c>
      <c r="K2118" s="13">
        <v>44287</v>
      </c>
      <c r="L2118" s="15" t="s">
        <v>122</v>
      </c>
      <c r="M2118" s="12" t="s">
        <v>36</v>
      </c>
      <c r="N2118" s="12" t="s">
        <v>122</v>
      </c>
      <c r="O2118" s="17" t="s">
        <v>36</v>
      </c>
      <c r="P2118" s="12" t="s">
        <v>36</v>
      </c>
      <c r="Q2118" s="12" t="s">
        <v>36</v>
      </c>
      <c r="R2118" s="12" t="s">
        <v>36</v>
      </c>
      <c r="S2118" s="12" t="s">
        <v>36</v>
      </c>
      <c r="T2118" s="12" t="s">
        <v>11939</v>
      </c>
      <c r="U2118" s="12" t="s">
        <v>833</v>
      </c>
      <c r="V2118" s="12" t="s">
        <v>64</v>
      </c>
      <c r="W2118" s="12" t="s">
        <v>11940</v>
      </c>
      <c r="X2118" s="16" t="s">
        <v>11941</v>
      </c>
      <c r="Y2118" s="15" t="s">
        <v>108</v>
      </c>
      <c r="Z2118" s="14">
        <v>6.37</v>
      </c>
      <c r="AA2118" s="14">
        <v>31.81</v>
      </c>
      <c r="AB2118" s="12" t="s">
        <v>56</v>
      </c>
      <c r="AC2118" s="12" t="s">
        <v>11942</v>
      </c>
      <c r="AD2118" s="13">
        <v>44733</v>
      </c>
      <c r="AE2118" s="12" t="s">
        <v>1069</v>
      </c>
      <c r="AF2118" s="12" t="s">
        <v>2996</v>
      </c>
      <c r="AG2118" s="12" t="s">
        <v>81</v>
      </c>
      <c r="AH2118" s="1">
        <f>HYPERLINK("https://my.pitchbook.com?c=187755-40T","View Company Online")</f>
      </c>
    </row>
    <row r="2119">
      <c r="A2119" s="3" t="s">
        <v>11943</v>
      </c>
      <c r="B2119" s="3" t="s">
        <v>7017</v>
      </c>
      <c r="C2119" s="5">
        <v>22</v>
      </c>
      <c r="D2119" s="5">
        <v>31</v>
      </c>
      <c r="E2119" s="5">
        <v>17</v>
      </c>
      <c r="F2119" s="5">
        <v>53</v>
      </c>
      <c r="G2119" s="6" t="s">
        <v>326</v>
      </c>
      <c r="H2119" s="4">
        <v>255.25</v>
      </c>
      <c r="I2119" s="7" t="s">
        <v>36</v>
      </c>
      <c r="J2119" s="3" t="s">
        <v>521</v>
      </c>
      <c r="K2119" s="9" t="s">
        <v>36</v>
      </c>
      <c r="L2119" s="6" t="s">
        <v>94</v>
      </c>
      <c r="M2119" s="3" t="s">
        <v>36</v>
      </c>
      <c r="N2119" s="3" t="s">
        <v>94</v>
      </c>
      <c r="O2119" s="8" t="s">
        <v>36</v>
      </c>
      <c r="P2119" s="3" t="s">
        <v>36</v>
      </c>
      <c r="Q2119" s="3" t="s">
        <v>36</v>
      </c>
      <c r="R2119" s="3" t="s">
        <v>36</v>
      </c>
      <c r="S2119" s="3" t="s">
        <v>7018</v>
      </c>
      <c r="T2119" s="3" t="s">
        <v>7019</v>
      </c>
      <c r="U2119" s="3" t="s">
        <v>1798</v>
      </c>
      <c r="V2119" s="3" t="s">
        <v>39</v>
      </c>
      <c r="W2119" s="3" t="s">
        <v>7020</v>
      </c>
      <c r="X2119" s="10" t="s">
        <v>11944</v>
      </c>
      <c r="Y2119" s="6" t="s">
        <v>108</v>
      </c>
      <c r="Z2119" s="4">
        <v>15.93</v>
      </c>
      <c r="AA2119" s="4">
        <v>42.49</v>
      </c>
      <c r="AB2119" s="3" t="s">
        <v>43</v>
      </c>
      <c r="AC2119" s="3" t="s">
        <v>7021</v>
      </c>
      <c r="AD2119" s="9">
        <v>44733</v>
      </c>
      <c r="AE2119" s="3" t="s">
        <v>4247</v>
      </c>
      <c r="AF2119" s="3" t="s">
        <v>36</v>
      </c>
      <c r="AG2119" s="3" t="s">
        <v>969</v>
      </c>
      <c r="AH2119" s="11">
        <f>HYPERLINK("https://my.pitchbook.com?c=196569-64T","View Company Online")</f>
      </c>
    </row>
    <row r="2120">
      <c r="A2120" s="12" t="s">
        <v>11945</v>
      </c>
      <c r="B2120" s="12" t="s">
        <v>11946</v>
      </c>
      <c r="C2120" s="19" t="s">
        <v>36</v>
      </c>
      <c r="D2120" s="19" t="s">
        <v>36</v>
      </c>
      <c r="E2120" s="19" t="s">
        <v>36</v>
      </c>
      <c r="F2120" s="19" t="s">
        <v>36</v>
      </c>
      <c r="G2120" s="15" t="s">
        <v>36</v>
      </c>
      <c r="H2120" s="14" t="s">
        <v>36</v>
      </c>
      <c r="I2120" s="18" t="s">
        <v>36</v>
      </c>
      <c r="J2120" s="12" t="s">
        <v>36</v>
      </c>
      <c r="K2120" s="13" t="s">
        <v>36</v>
      </c>
      <c r="L2120" s="15" t="s">
        <v>36</v>
      </c>
      <c r="M2120" s="12" t="s">
        <v>36</v>
      </c>
      <c r="N2120" s="12" t="s">
        <v>36</v>
      </c>
      <c r="O2120" s="17" t="s">
        <v>36</v>
      </c>
      <c r="P2120" s="12" t="s">
        <v>36</v>
      </c>
      <c r="Q2120" s="12" t="s">
        <v>36</v>
      </c>
      <c r="R2120" s="12" t="s">
        <v>36</v>
      </c>
      <c r="S2120" s="12" t="s">
        <v>36</v>
      </c>
      <c r="T2120" s="12" t="s">
        <v>472</v>
      </c>
      <c r="U2120" s="12" t="s">
        <v>38</v>
      </c>
      <c r="V2120" s="12" t="s">
        <v>39</v>
      </c>
      <c r="W2120" s="12" t="s">
        <v>11947</v>
      </c>
      <c r="X2120" s="16" t="s">
        <v>11948</v>
      </c>
      <c r="Y2120" s="15" t="s">
        <v>42</v>
      </c>
      <c r="Z2120" s="14" t="s">
        <v>36</v>
      </c>
      <c r="AA2120" s="14" t="s">
        <v>36</v>
      </c>
      <c r="AB2120" s="12" t="s">
        <v>56</v>
      </c>
      <c r="AC2120" s="12" t="s">
        <v>11949</v>
      </c>
      <c r="AD2120" s="13">
        <v>44733</v>
      </c>
      <c r="AE2120" s="12" t="s">
        <v>110</v>
      </c>
      <c r="AF2120" s="12" t="s">
        <v>90</v>
      </c>
      <c r="AG2120" s="12" t="s">
        <v>144</v>
      </c>
      <c r="AH2120" s="1">
        <f>HYPERLINK("https://my.pitchbook.com?c=197403-31T","View Company Online")</f>
      </c>
    </row>
    <row r="2121">
      <c r="A2121" s="3" t="s">
        <v>11950</v>
      </c>
      <c r="B2121" s="3" t="s">
        <v>11951</v>
      </c>
      <c r="C2121" s="5">
        <v>4</v>
      </c>
      <c r="D2121" s="5">
        <v>4</v>
      </c>
      <c r="E2121" s="5">
        <v>3</v>
      </c>
      <c r="F2121" s="5">
        <v>12</v>
      </c>
      <c r="G2121" s="6" t="s">
        <v>326</v>
      </c>
      <c r="H2121" s="4" t="s">
        <v>36</v>
      </c>
      <c r="I2121" s="7">
        <v>29.45</v>
      </c>
      <c r="J2121" s="3" t="s">
        <v>327</v>
      </c>
      <c r="K2121" s="9" t="s">
        <v>36</v>
      </c>
      <c r="L2121" s="6" t="s">
        <v>36</v>
      </c>
      <c r="M2121" s="3" t="s">
        <v>36</v>
      </c>
      <c r="N2121" s="3" t="s">
        <v>36</v>
      </c>
      <c r="O2121" s="8" t="s">
        <v>36</v>
      </c>
      <c r="P2121" s="3" t="s">
        <v>36</v>
      </c>
      <c r="Q2121" s="3" t="s">
        <v>36</v>
      </c>
      <c r="R2121" s="3" t="s">
        <v>36</v>
      </c>
      <c r="S2121" s="3" t="s">
        <v>36</v>
      </c>
      <c r="T2121" s="3" t="s">
        <v>11952</v>
      </c>
      <c r="U2121" s="3" t="s">
        <v>38</v>
      </c>
      <c r="V2121" s="3" t="s">
        <v>39</v>
      </c>
      <c r="W2121" s="3" t="s">
        <v>11953</v>
      </c>
      <c r="X2121" s="10" t="s">
        <v>11954</v>
      </c>
      <c r="Y2121" s="6" t="s">
        <v>108</v>
      </c>
      <c r="Z2121" s="4">
        <v>4.46</v>
      </c>
      <c r="AA2121" s="4">
        <v>15.16</v>
      </c>
      <c r="AB2121" s="3" t="s">
        <v>43</v>
      </c>
      <c r="AC2121" s="3" t="s">
        <v>11955</v>
      </c>
      <c r="AD2121" s="9">
        <v>44732</v>
      </c>
      <c r="AE2121" s="3" t="s">
        <v>110</v>
      </c>
      <c r="AF2121" s="3" t="s">
        <v>135</v>
      </c>
      <c r="AG2121" s="3" t="s">
        <v>81</v>
      </c>
      <c r="AH2121" s="11">
        <f>HYPERLINK("https://my.pitchbook.com?c=196467-58T","View Company Online")</f>
      </c>
    </row>
    <row r="2122">
      <c r="A2122" s="12" t="s">
        <v>11956</v>
      </c>
      <c r="B2122" s="12" t="s">
        <v>668</v>
      </c>
      <c r="C2122" s="19" t="s">
        <v>36</v>
      </c>
      <c r="D2122" s="19" t="s">
        <v>36</v>
      </c>
      <c r="E2122" s="19" t="s">
        <v>36</v>
      </c>
      <c r="F2122" s="19" t="s">
        <v>36</v>
      </c>
      <c r="G2122" s="15" t="s">
        <v>36</v>
      </c>
      <c r="H2122" s="14" t="s">
        <v>36</v>
      </c>
      <c r="I2122" s="18" t="s">
        <v>36</v>
      </c>
      <c r="J2122" s="12" t="s">
        <v>36</v>
      </c>
      <c r="K2122" s="13" t="s">
        <v>36</v>
      </c>
      <c r="L2122" s="15" t="s">
        <v>36</v>
      </c>
      <c r="M2122" s="12" t="s">
        <v>36</v>
      </c>
      <c r="N2122" s="12" t="s">
        <v>36</v>
      </c>
      <c r="O2122" s="17" t="s">
        <v>36</v>
      </c>
      <c r="P2122" s="12" t="s">
        <v>36</v>
      </c>
      <c r="Q2122" s="12" t="s">
        <v>36</v>
      </c>
      <c r="R2122" s="12" t="s">
        <v>36</v>
      </c>
      <c r="S2122" s="12" t="s">
        <v>36</v>
      </c>
      <c r="T2122" s="12" t="s">
        <v>669</v>
      </c>
      <c r="U2122" s="12" t="s">
        <v>38</v>
      </c>
      <c r="V2122" s="12" t="s">
        <v>39</v>
      </c>
      <c r="W2122" s="12" t="s">
        <v>670</v>
      </c>
      <c r="X2122" s="16" t="s">
        <v>11957</v>
      </c>
      <c r="Y2122" s="15" t="s">
        <v>108</v>
      </c>
      <c r="Z2122" s="14">
        <v>3.29</v>
      </c>
      <c r="AA2122" s="14" t="s">
        <v>36</v>
      </c>
      <c r="AB2122" s="12" t="s">
        <v>43</v>
      </c>
      <c r="AC2122" s="12" t="s">
        <v>672</v>
      </c>
      <c r="AD2122" s="13">
        <v>44732</v>
      </c>
      <c r="AE2122" s="12" t="s">
        <v>45</v>
      </c>
      <c r="AF2122" s="12" t="s">
        <v>331</v>
      </c>
      <c r="AG2122" s="12" t="s">
        <v>81</v>
      </c>
      <c r="AH2122" s="1">
        <f>HYPERLINK("https://my.pitchbook.com?c=196456-42T","View Company Online")</f>
      </c>
    </row>
    <row r="2123">
      <c r="A2123" s="3" t="s">
        <v>11958</v>
      </c>
      <c r="B2123" s="3" t="s">
        <v>2833</v>
      </c>
      <c r="C2123" s="5" t="s">
        <v>36</v>
      </c>
      <c r="D2123" s="5" t="s">
        <v>36</v>
      </c>
      <c r="E2123" s="5" t="s">
        <v>36</v>
      </c>
      <c r="F2123" s="5" t="s">
        <v>36</v>
      </c>
      <c r="G2123" s="6" t="s">
        <v>36</v>
      </c>
      <c r="H2123" s="4" t="s">
        <v>36</v>
      </c>
      <c r="I2123" s="7" t="s">
        <v>36</v>
      </c>
      <c r="J2123" s="3" t="s">
        <v>36</v>
      </c>
      <c r="K2123" s="9" t="s">
        <v>36</v>
      </c>
      <c r="L2123" s="6" t="s">
        <v>36</v>
      </c>
      <c r="M2123" s="3" t="s">
        <v>36</v>
      </c>
      <c r="N2123" s="3" t="s">
        <v>36</v>
      </c>
      <c r="O2123" s="8" t="s">
        <v>36</v>
      </c>
      <c r="P2123" s="3" t="s">
        <v>36</v>
      </c>
      <c r="Q2123" s="3" t="s">
        <v>36</v>
      </c>
      <c r="R2123" s="3" t="s">
        <v>36</v>
      </c>
      <c r="S2123" s="3" t="s">
        <v>36</v>
      </c>
      <c r="T2123" s="3" t="s">
        <v>37</v>
      </c>
      <c r="U2123" s="3" t="s">
        <v>38</v>
      </c>
      <c r="V2123" s="3" t="s">
        <v>39</v>
      </c>
      <c r="W2123" s="3" t="s">
        <v>2834</v>
      </c>
      <c r="X2123" s="10" t="s">
        <v>11959</v>
      </c>
      <c r="Y2123" s="6" t="s">
        <v>42</v>
      </c>
      <c r="Z2123" s="4">
        <v>7.44</v>
      </c>
      <c r="AA2123" s="4" t="s">
        <v>36</v>
      </c>
      <c r="AB2123" s="3" t="s">
        <v>43</v>
      </c>
      <c r="AC2123" s="3" t="s">
        <v>2836</v>
      </c>
      <c r="AD2123" s="9">
        <v>44732</v>
      </c>
      <c r="AE2123" s="3" t="s">
        <v>45</v>
      </c>
      <c r="AF2123" s="3" t="s">
        <v>215</v>
      </c>
      <c r="AG2123" s="3" t="s">
        <v>81</v>
      </c>
      <c r="AH2123" s="11">
        <f>HYPERLINK("https://my.pitchbook.com?c=265580-47T","View Company Online")</f>
      </c>
    </row>
    <row r="2124">
      <c r="A2124" s="12" t="s">
        <v>11960</v>
      </c>
      <c r="B2124" s="12" t="s">
        <v>11961</v>
      </c>
      <c r="C2124" s="19" t="s">
        <v>36</v>
      </c>
      <c r="D2124" s="19" t="s">
        <v>36</v>
      </c>
      <c r="E2124" s="19" t="s">
        <v>36</v>
      </c>
      <c r="F2124" s="19" t="s">
        <v>36</v>
      </c>
      <c r="G2124" s="15" t="s">
        <v>36</v>
      </c>
      <c r="H2124" s="14" t="s">
        <v>36</v>
      </c>
      <c r="I2124" s="18">
        <v>32.65</v>
      </c>
      <c r="J2124" s="12" t="s">
        <v>327</v>
      </c>
      <c r="K2124" s="13" t="s">
        <v>36</v>
      </c>
      <c r="L2124" s="15" t="s">
        <v>36</v>
      </c>
      <c r="M2124" s="12" t="s">
        <v>36</v>
      </c>
      <c r="N2124" s="12" t="s">
        <v>36</v>
      </c>
      <c r="O2124" s="17" t="s">
        <v>36</v>
      </c>
      <c r="P2124" s="12" t="s">
        <v>36</v>
      </c>
      <c r="Q2124" s="12" t="s">
        <v>36</v>
      </c>
      <c r="R2124" s="12" t="s">
        <v>36</v>
      </c>
      <c r="S2124" s="12" t="s">
        <v>36</v>
      </c>
      <c r="T2124" s="12" t="s">
        <v>11962</v>
      </c>
      <c r="U2124" s="12" t="s">
        <v>289</v>
      </c>
      <c r="V2124" s="12" t="s">
        <v>64</v>
      </c>
      <c r="W2124" s="12" t="s">
        <v>11963</v>
      </c>
      <c r="X2124" s="16" t="s">
        <v>11964</v>
      </c>
      <c r="Y2124" s="15" t="s">
        <v>42</v>
      </c>
      <c r="Z2124" s="14">
        <v>5.31</v>
      </c>
      <c r="AA2124" s="14">
        <v>16.27</v>
      </c>
      <c r="AB2124" s="12" t="s">
        <v>56</v>
      </c>
      <c r="AC2124" s="12" t="s">
        <v>11965</v>
      </c>
      <c r="AD2124" s="13">
        <v>44732</v>
      </c>
      <c r="AE2124" s="12" t="s">
        <v>292</v>
      </c>
      <c r="AF2124" s="12" t="s">
        <v>11966</v>
      </c>
      <c r="AG2124" s="12" t="s">
        <v>7160</v>
      </c>
      <c r="AH2124" s="1">
        <f>HYPERLINK("https://my.pitchbook.com?c=196873-66T","View Company Online")</f>
      </c>
    </row>
    <row r="2125">
      <c r="A2125" s="3" t="s">
        <v>11967</v>
      </c>
      <c r="B2125" s="3" t="s">
        <v>11968</v>
      </c>
      <c r="C2125" s="5" t="s">
        <v>36</v>
      </c>
      <c r="D2125" s="5" t="s">
        <v>36</v>
      </c>
      <c r="E2125" s="5" t="s">
        <v>36</v>
      </c>
      <c r="F2125" s="5" t="s">
        <v>36</v>
      </c>
      <c r="G2125" s="6" t="s">
        <v>683</v>
      </c>
      <c r="H2125" s="4">
        <v>1558.24</v>
      </c>
      <c r="I2125" s="7">
        <v>19.99</v>
      </c>
      <c r="J2125" s="3" t="s">
        <v>521</v>
      </c>
      <c r="K2125" s="9" t="s">
        <v>36</v>
      </c>
      <c r="L2125" s="6" t="s">
        <v>36</v>
      </c>
      <c r="M2125" s="3" t="s">
        <v>36</v>
      </c>
      <c r="N2125" s="3" t="s">
        <v>36</v>
      </c>
      <c r="O2125" s="8" t="s">
        <v>36</v>
      </c>
      <c r="P2125" s="3" t="s">
        <v>36</v>
      </c>
      <c r="Q2125" s="3" t="s">
        <v>36</v>
      </c>
      <c r="R2125" s="3" t="s">
        <v>36</v>
      </c>
      <c r="S2125" s="3" t="s">
        <v>36</v>
      </c>
      <c r="T2125" s="3" t="s">
        <v>522</v>
      </c>
      <c r="U2125" s="3" t="s">
        <v>38</v>
      </c>
      <c r="V2125" s="3" t="s">
        <v>39</v>
      </c>
      <c r="W2125" s="3" t="s">
        <v>11969</v>
      </c>
      <c r="X2125" s="10" t="s">
        <v>11970</v>
      </c>
      <c r="Y2125" s="6" t="s">
        <v>108</v>
      </c>
      <c r="Z2125" s="4">
        <v>1.06</v>
      </c>
      <c r="AA2125" s="4">
        <v>2.66</v>
      </c>
      <c r="AB2125" s="3" t="s">
        <v>43</v>
      </c>
      <c r="AC2125" s="3" t="s">
        <v>11971</v>
      </c>
      <c r="AD2125" s="9">
        <v>44732</v>
      </c>
      <c r="AE2125" s="3" t="s">
        <v>110</v>
      </c>
      <c r="AF2125" s="3" t="s">
        <v>3974</v>
      </c>
      <c r="AG2125" s="3" t="s">
        <v>11972</v>
      </c>
      <c r="AH2125" s="11">
        <f>HYPERLINK("https://my.pitchbook.com?c=196492-69T","View Company Online")</f>
      </c>
    </row>
    <row r="2126">
      <c r="A2126" s="12" t="s">
        <v>11973</v>
      </c>
      <c r="B2126" s="12" t="s">
        <v>1142</v>
      </c>
      <c r="C2126" s="19">
        <v>3</v>
      </c>
      <c r="D2126" s="19" t="s">
        <v>36</v>
      </c>
      <c r="E2126" s="19">
        <v>2</v>
      </c>
      <c r="F2126" s="19">
        <v>3</v>
      </c>
      <c r="G2126" s="15" t="s">
        <v>36</v>
      </c>
      <c r="H2126" s="14" t="s">
        <v>36</v>
      </c>
      <c r="I2126" s="18" t="s">
        <v>36</v>
      </c>
      <c r="J2126" s="12" t="s">
        <v>36</v>
      </c>
      <c r="K2126" s="13" t="s">
        <v>36</v>
      </c>
      <c r="L2126" s="15" t="s">
        <v>36</v>
      </c>
      <c r="M2126" s="12" t="s">
        <v>36</v>
      </c>
      <c r="N2126" s="12" t="s">
        <v>36</v>
      </c>
      <c r="O2126" s="17" t="s">
        <v>36</v>
      </c>
      <c r="P2126" s="12" t="s">
        <v>36</v>
      </c>
      <c r="Q2126" s="12" t="s">
        <v>36</v>
      </c>
      <c r="R2126" s="12" t="s">
        <v>36</v>
      </c>
      <c r="S2126" s="12" t="s">
        <v>36</v>
      </c>
      <c r="T2126" s="12" t="s">
        <v>1143</v>
      </c>
      <c r="U2126" s="12" t="s">
        <v>1144</v>
      </c>
      <c r="V2126" s="12" t="s">
        <v>378</v>
      </c>
      <c r="W2126" s="12" t="s">
        <v>1145</v>
      </c>
      <c r="X2126" s="16" t="s">
        <v>11974</v>
      </c>
      <c r="Y2126" s="15" t="s">
        <v>108</v>
      </c>
      <c r="Z2126" s="14">
        <v>4.68</v>
      </c>
      <c r="AA2126" s="14" t="s">
        <v>36</v>
      </c>
      <c r="AB2126" s="12" t="s">
        <v>43</v>
      </c>
      <c r="AC2126" s="12" t="s">
        <v>1147</v>
      </c>
      <c r="AD2126" s="13">
        <v>44730</v>
      </c>
      <c r="AE2126" s="12" t="s">
        <v>1148</v>
      </c>
      <c r="AF2126" s="12" t="s">
        <v>36</v>
      </c>
      <c r="AG2126" s="12" t="s">
        <v>81</v>
      </c>
      <c r="AH2126" s="1">
        <f>HYPERLINK("https://my.pitchbook.com?c=196147-63T","View Company Online")</f>
      </c>
    </row>
    <row r="2127">
      <c r="A2127" s="3" t="s">
        <v>11975</v>
      </c>
      <c r="B2127" s="3" t="s">
        <v>11976</v>
      </c>
      <c r="C2127" s="5" t="s">
        <v>36</v>
      </c>
      <c r="D2127" s="5" t="s">
        <v>36</v>
      </c>
      <c r="E2127" s="5" t="s">
        <v>36</v>
      </c>
      <c r="F2127" s="5" t="s">
        <v>36</v>
      </c>
      <c r="G2127" s="6" t="s">
        <v>36</v>
      </c>
      <c r="H2127" s="4" t="s">
        <v>36</v>
      </c>
      <c r="I2127" s="7">
        <v>23.31</v>
      </c>
      <c r="J2127" s="3" t="s">
        <v>36</v>
      </c>
      <c r="K2127" s="9" t="s">
        <v>36</v>
      </c>
      <c r="L2127" s="6" t="s">
        <v>94</v>
      </c>
      <c r="M2127" s="3" t="s">
        <v>36</v>
      </c>
      <c r="N2127" s="3" t="s">
        <v>94</v>
      </c>
      <c r="O2127" s="8" t="s">
        <v>36</v>
      </c>
      <c r="P2127" s="3" t="s">
        <v>36</v>
      </c>
      <c r="Q2127" s="3" t="s">
        <v>36</v>
      </c>
      <c r="R2127" s="3" t="s">
        <v>36</v>
      </c>
      <c r="S2127" s="3" t="s">
        <v>36</v>
      </c>
      <c r="T2127" s="3" t="s">
        <v>4141</v>
      </c>
      <c r="U2127" s="3" t="s">
        <v>74</v>
      </c>
      <c r="V2127" s="3" t="s">
        <v>75</v>
      </c>
      <c r="W2127" s="3" t="s">
        <v>11977</v>
      </c>
      <c r="X2127" s="10" t="s">
        <v>11978</v>
      </c>
      <c r="Y2127" s="6" t="s">
        <v>55</v>
      </c>
      <c r="Z2127" s="4">
        <v>17.01</v>
      </c>
      <c r="AA2127" s="4" t="s">
        <v>36</v>
      </c>
      <c r="AB2127" s="3" t="s">
        <v>56</v>
      </c>
      <c r="AC2127" s="3" t="s">
        <v>11979</v>
      </c>
      <c r="AD2127" s="9">
        <v>44729</v>
      </c>
      <c r="AE2127" s="3" t="s">
        <v>570</v>
      </c>
      <c r="AF2127" s="3" t="s">
        <v>2369</v>
      </c>
      <c r="AG2127" s="3" t="s">
        <v>3733</v>
      </c>
      <c r="AH2127" s="11">
        <f>HYPERLINK("https://my.pitchbook.com?c=196950-88T","View Company Online")</f>
      </c>
    </row>
    <row r="2128">
      <c r="A2128" s="12" t="s">
        <v>11980</v>
      </c>
      <c r="B2128" s="12" t="s">
        <v>11981</v>
      </c>
      <c r="C2128" s="19">
        <v>3</v>
      </c>
      <c r="D2128" s="19">
        <v>10</v>
      </c>
      <c r="E2128" s="19">
        <v>5</v>
      </c>
      <c r="F2128" s="19">
        <v>13</v>
      </c>
      <c r="G2128" s="15" t="s">
        <v>36</v>
      </c>
      <c r="H2128" s="14" t="s">
        <v>36</v>
      </c>
      <c r="I2128" s="18">
        <v>19.44</v>
      </c>
      <c r="J2128" s="12" t="s">
        <v>327</v>
      </c>
      <c r="K2128" s="13">
        <v>44575</v>
      </c>
      <c r="L2128" s="15" t="s">
        <v>36</v>
      </c>
      <c r="M2128" s="12" t="s">
        <v>36</v>
      </c>
      <c r="N2128" s="12" t="s">
        <v>36</v>
      </c>
      <c r="O2128" s="17" t="s">
        <v>36</v>
      </c>
      <c r="P2128" s="12" t="s">
        <v>36</v>
      </c>
      <c r="Q2128" s="12" t="s">
        <v>36</v>
      </c>
      <c r="R2128" s="12" t="s">
        <v>36</v>
      </c>
      <c r="S2128" s="12" t="s">
        <v>36</v>
      </c>
      <c r="T2128" s="12" t="s">
        <v>1162</v>
      </c>
      <c r="U2128" s="12" t="s">
        <v>423</v>
      </c>
      <c r="V2128" s="12" t="s">
        <v>64</v>
      </c>
      <c r="W2128" s="12" t="s">
        <v>11982</v>
      </c>
      <c r="X2128" s="16" t="s">
        <v>11983</v>
      </c>
      <c r="Y2128" s="15" t="s">
        <v>108</v>
      </c>
      <c r="Z2128" s="14">
        <v>37.21</v>
      </c>
      <c r="AA2128" s="14">
        <v>191.4</v>
      </c>
      <c r="AB2128" s="12" t="s">
        <v>43</v>
      </c>
      <c r="AC2128" s="12" t="s">
        <v>11984</v>
      </c>
      <c r="AD2128" s="13">
        <v>44729</v>
      </c>
      <c r="AE2128" s="12" t="s">
        <v>562</v>
      </c>
      <c r="AF2128" s="12" t="s">
        <v>1612</v>
      </c>
      <c r="AG2128" s="12" t="s">
        <v>81</v>
      </c>
      <c r="AH2128" s="1">
        <f>HYPERLINK("https://my.pitchbook.com?c=196416-64T","View Company Online")</f>
      </c>
    </row>
    <row r="2129">
      <c r="A2129" s="3" t="s">
        <v>11985</v>
      </c>
      <c r="B2129" s="3" t="s">
        <v>11986</v>
      </c>
      <c r="C2129" s="5">
        <v>2</v>
      </c>
      <c r="D2129" s="5" t="s">
        <v>36</v>
      </c>
      <c r="E2129" s="5">
        <v>1</v>
      </c>
      <c r="F2129" s="5">
        <v>2</v>
      </c>
      <c r="G2129" s="6" t="s">
        <v>36</v>
      </c>
      <c r="H2129" s="4">
        <v>61.88</v>
      </c>
      <c r="I2129" s="7">
        <v>38.71</v>
      </c>
      <c r="J2129" s="3" t="s">
        <v>521</v>
      </c>
      <c r="K2129" s="9" t="s">
        <v>36</v>
      </c>
      <c r="L2129" s="6" t="s">
        <v>36</v>
      </c>
      <c r="M2129" s="3" t="s">
        <v>36</v>
      </c>
      <c r="N2129" s="3" t="s">
        <v>36</v>
      </c>
      <c r="O2129" s="8" t="s">
        <v>36</v>
      </c>
      <c r="P2129" s="3" t="s">
        <v>36</v>
      </c>
      <c r="Q2129" s="3" t="s">
        <v>36</v>
      </c>
      <c r="R2129" s="3" t="s">
        <v>36</v>
      </c>
      <c r="S2129" s="3" t="s">
        <v>36</v>
      </c>
      <c r="T2129" s="3" t="s">
        <v>2811</v>
      </c>
      <c r="U2129" s="3" t="s">
        <v>219</v>
      </c>
      <c r="V2129" s="3" t="s">
        <v>75</v>
      </c>
      <c r="W2129" s="3" t="s">
        <v>11987</v>
      </c>
      <c r="X2129" s="10" t="s">
        <v>11988</v>
      </c>
      <c r="Y2129" s="6" t="s">
        <v>42</v>
      </c>
      <c r="Z2129" s="4">
        <v>0.6</v>
      </c>
      <c r="AA2129" s="4">
        <v>1.55</v>
      </c>
      <c r="AB2129" s="3" t="s">
        <v>43</v>
      </c>
      <c r="AC2129" s="3" t="s">
        <v>11989</v>
      </c>
      <c r="AD2129" s="9">
        <v>44729</v>
      </c>
      <c r="AE2129" s="3" t="s">
        <v>223</v>
      </c>
      <c r="AF2129" s="3" t="s">
        <v>159</v>
      </c>
      <c r="AG2129" s="3" t="s">
        <v>1823</v>
      </c>
      <c r="AH2129" s="11">
        <f>HYPERLINK("https://my.pitchbook.com?c=212934-25T","View Company Online")</f>
      </c>
    </row>
    <row r="2130">
      <c r="A2130" s="12" t="s">
        <v>11990</v>
      </c>
      <c r="B2130" s="12" t="s">
        <v>1540</v>
      </c>
      <c r="C2130" s="19" t="s">
        <v>36</v>
      </c>
      <c r="D2130" s="19" t="s">
        <v>36</v>
      </c>
      <c r="E2130" s="19" t="s">
        <v>36</v>
      </c>
      <c r="F2130" s="19" t="s">
        <v>36</v>
      </c>
      <c r="G2130" s="15" t="s">
        <v>326</v>
      </c>
      <c r="H2130" s="14">
        <v>5.59</v>
      </c>
      <c r="I2130" s="18">
        <v>25.82</v>
      </c>
      <c r="J2130" s="12" t="s">
        <v>521</v>
      </c>
      <c r="K2130" s="13" t="s">
        <v>36</v>
      </c>
      <c r="L2130" s="15" t="s">
        <v>122</v>
      </c>
      <c r="M2130" s="12" t="s">
        <v>36</v>
      </c>
      <c r="N2130" s="12" t="s">
        <v>122</v>
      </c>
      <c r="O2130" s="17" t="s">
        <v>36</v>
      </c>
      <c r="P2130" s="12" t="s">
        <v>36</v>
      </c>
      <c r="Q2130" s="12" t="s">
        <v>36</v>
      </c>
      <c r="R2130" s="12" t="s">
        <v>36</v>
      </c>
      <c r="S2130" s="12" t="s">
        <v>36</v>
      </c>
      <c r="T2130" s="12" t="s">
        <v>1541</v>
      </c>
      <c r="U2130" s="12" t="s">
        <v>38</v>
      </c>
      <c r="V2130" s="12" t="s">
        <v>39</v>
      </c>
      <c r="W2130" s="12" t="s">
        <v>1542</v>
      </c>
      <c r="X2130" s="16" t="s">
        <v>11991</v>
      </c>
      <c r="Y2130" s="15" t="s">
        <v>108</v>
      </c>
      <c r="Z2130" s="14">
        <v>11.69</v>
      </c>
      <c r="AA2130" s="14">
        <v>45.29</v>
      </c>
      <c r="AB2130" s="12" t="s">
        <v>43</v>
      </c>
      <c r="AC2130" s="12" t="s">
        <v>1544</v>
      </c>
      <c r="AD2130" s="13">
        <v>44729</v>
      </c>
      <c r="AE2130" s="12" t="s">
        <v>134</v>
      </c>
      <c r="AF2130" s="12" t="s">
        <v>1545</v>
      </c>
      <c r="AG2130" s="12" t="s">
        <v>81</v>
      </c>
      <c r="AH2130" s="1">
        <f>HYPERLINK("https://my.pitchbook.com?c=197035-93T","View Company Online")</f>
      </c>
    </row>
    <row r="2131">
      <c r="A2131" s="3" t="s">
        <v>11992</v>
      </c>
      <c r="B2131" s="3" t="s">
        <v>11993</v>
      </c>
      <c r="C2131" s="5" t="s">
        <v>36</v>
      </c>
      <c r="D2131" s="5" t="s">
        <v>36</v>
      </c>
      <c r="E2131" s="5" t="s">
        <v>36</v>
      </c>
      <c r="F2131" s="5" t="s">
        <v>36</v>
      </c>
      <c r="G2131" s="6" t="s">
        <v>36</v>
      </c>
      <c r="H2131" s="4">
        <v>20.77</v>
      </c>
      <c r="I2131" s="7">
        <v>32.09</v>
      </c>
      <c r="J2131" s="3" t="s">
        <v>327</v>
      </c>
      <c r="K2131" s="9" t="s">
        <v>36</v>
      </c>
      <c r="L2131" s="6" t="s">
        <v>36</v>
      </c>
      <c r="M2131" s="3" t="s">
        <v>36</v>
      </c>
      <c r="N2131" s="3" t="s">
        <v>36</v>
      </c>
      <c r="O2131" s="8" t="s">
        <v>36</v>
      </c>
      <c r="P2131" s="3" t="s">
        <v>36</v>
      </c>
      <c r="Q2131" s="3" t="s">
        <v>36</v>
      </c>
      <c r="R2131" s="3" t="s">
        <v>36</v>
      </c>
      <c r="S2131" s="3" t="s">
        <v>36</v>
      </c>
      <c r="T2131" s="3" t="s">
        <v>6020</v>
      </c>
      <c r="U2131" s="3" t="s">
        <v>833</v>
      </c>
      <c r="V2131" s="3" t="s">
        <v>64</v>
      </c>
      <c r="W2131" s="3" t="s">
        <v>11994</v>
      </c>
      <c r="X2131" s="10" t="s">
        <v>11995</v>
      </c>
      <c r="Y2131" s="6" t="s">
        <v>42</v>
      </c>
      <c r="Z2131" s="4">
        <v>1.17</v>
      </c>
      <c r="AA2131" s="4">
        <v>3.13</v>
      </c>
      <c r="AB2131" s="3" t="s">
        <v>43</v>
      </c>
      <c r="AC2131" s="3" t="s">
        <v>11996</v>
      </c>
      <c r="AD2131" s="9">
        <v>44729</v>
      </c>
      <c r="AE2131" s="3" t="s">
        <v>3615</v>
      </c>
      <c r="AF2131" s="3" t="s">
        <v>11997</v>
      </c>
      <c r="AG2131" s="3" t="s">
        <v>644</v>
      </c>
      <c r="AH2131" s="11">
        <f>HYPERLINK("https://my.pitchbook.com?c=196402-06T","View Company Online")</f>
      </c>
    </row>
    <row r="2132">
      <c r="A2132" s="12" t="s">
        <v>11998</v>
      </c>
      <c r="B2132" s="12" t="s">
        <v>11999</v>
      </c>
      <c r="C2132" s="19" t="s">
        <v>36</v>
      </c>
      <c r="D2132" s="19" t="s">
        <v>36</v>
      </c>
      <c r="E2132" s="19" t="s">
        <v>36</v>
      </c>
      <c r="F2132" s="19" t="s">
        <v>36</v>
      </c>
      <c r="G2132" s="15" t="s">
        <v>36</v>
      </c>
      <c r="H2132" s="14">
        <v>949.25</v>
      </c>
      <c r="I2132" s="18">
        <v>23.16</v>
      </c>
      <c r="J2132" s="12" t="s">
        <v>521</v>
      </c>
      <c r="K2132" s="13" t="s">
        <v>36</v>
      </c>
      <c r="L2132" s="15" t="s">
        <v>36</v>
      </c>
      <c r="M2132" s="12" t="s">
        <v>36</v>
      </c>
      <c r="N2132" s="12" t="s">
        <v>36</v>
      </c>
      <c r="O2132" s="17" t="s">
        <v>36</v>
      </c>
      <c r="P2132" s="12" t="s">
        <v>36</v>
      </c>
      <c r="Q2132" s="12" t="s">
        <v>36</v>
      </c>
      <c r="R2132" s="12" t="s">
        <v>36</v>
      </c>
      <c r="S2132" s="12" t="s">
        <v>36</v>
      </c>
      <c r="T2132" s="12" t="s">
        <v>1746</v>
      </c>
      <c r="U2132" s="12" t="s">
        <v>74</v>
      </c>
      <c r="V2132" s="12" t="s">
        <v>75</v>
      </c>
      <c r="W2132" s="12" t="s">
        <v>12000</v>
      </c>
      <c r="X2132" s="16" t="s">
        <v>12001</v>
      </c>
      <c r="Y2132" s="15" t="s">
        <v>42</v>
      </c>
      <c r="Z2132" s="14">
        <v>0.32</v>
      </c>
      <c r="AA2132" s="14">
        <v>1.38</v>
      </c>
      <c r="AB2132" s="12" t="s">
        <v>56</v>
      </c>
      <c r="AC2132" s="12" t="s">
        <v>12002</v>
      </c>
      <c r="AD2132" s="13">
        <v>44728</v>
      </c>
      <c r="AE2132" s="12" t="s">
        <v>570</v>
      </c>
      <c r="AF2132" s="12" t="s">
        <v>12003</v>
      </c>
      <c r="AG2132" s="12" t="s">
        <v>741</v>
      </c>
      <c r="AH2132" s="1">
        <f>HYPERLINK("https://my.pitchbook.com?c=214551-55T","View Company Online")</f>
      </c>
    </row>
    <row r="2133">
      <c r="A2133" s="3" t="s">
        <v>12004</v>
      </c>
      <c r="B2133" s="3" t="s">
        <v>12005</v>
      </c>
      <c r="C2133" s="5" t="s">
        <v>36</v>
      </c>
      <c r="D2133" s="5" t="s">
        <v>36</v>
      </c>
      <c r="E2133" s="5" t="s">
        <v>36</v>
      </c>
      <c r="F2133" s="5" t="s">
        <v>36</v>
      </c>
      <c r="G2133" s="6" t="s">
        <v>36</v>
      </c>
      <c r="H2133" s="4" t="s">
        <v>36</v>
      </c>
      <c r="I2133" s="7" t="s">
        <v>36</v>
      </c>
      <c r="J2133" s="3" t="s">
        <v>36</v>
      </c>
      <c r="K2133" s="9" t="s">
        <v>36</v>
      </c>
      <c r="L2133" s="6" t="s">
        <v>36</v>
      </c>
      <c r="M2133" s="3" t="s">
        <v>36</v>
      </c>
      <c r="N2133" s="3" t="s">
        <v>36</v>
      </c>
      <c r="O2133" s="8" t="s">
        <v>36</v>
      </c>
      <c r="P2133" s="3" t="s">
        <v>36</v>
      </c>
      <c r="Q2133" s="3" t="s">
        <v>36</v>
      </c>
      <c r="R2133" s="3" t="s">
        <v>36</v>
      </c>
      <c r="S2133" s="3" t="s">
        <v>36</v>
      </c>
      <c r="T2133" s="3" t="s">
        <v>1188</v>
      </c>
      <c r="U2133" s="3" t="s">
        <v>180</v>
      </c>
      <c r="V2133" s="3" t="s">
        <v>52</v>
      </c>
      <c r="W2133" s="3" t="s">
        <v>12006</v>
      </c>
      <c r="X2133" s="10" t="s">
        <v>1840</v>
      </c>
      <c r="Y2133" s="6" t="s">
        <v>108</v>
      </c>
      <c r="Z2133" s="4">
        <v>1.7</v>
      </c>
      <c r="AA2133" s="4" t="s">
        <v>36</v>
      </c>
      <c r="AB2133" s="3" t="s">
        <v>43</v>
      </c>
      <c r="AC2133" s="3" t="s">
        <v>12007</v>
      </c>
      <c r="AD2133" s="9">
        <v>44727</v>
      </c>
      <c r="AE2133" s="3" t="s">
        <v>1192</v>
      </c>
      <c r="AF2133" s="3" t="s">
        <v>12008</v>
      </c>
      <c r="AG2133" s="3" t="s">
        <v>3733</v>
      </c>
      <c r="AH2133" s="11">
        <f>HYPERLINK("https://my.pitchbook.com?c=196411-33T","View Company Online")</f>
      </c>
    </row>
    <row r="2134">
      <c r="A2134" s="12" t="s">
        <v>12009</v>
      </c>
      <c r="B2134" s="12" t="s">
        <v>12010</v>
      </c>
      <c r="C2134" s="19" t="s">
        <v>36</v>
      </c>
      <c r="D2134" s="19" t="s">
        <v>36</v>
      </c>
      <c r="E2134" s="19" t="s">
        <v>36</v>
      </c>
      <c r="F2134" s="19" t="s">
        <v>36</v>
      </c>
      <c r="G2134" s="15" t="s">
        <v>36</v>
      </c>
      <c r="H2134" s="14">
        <v>45.07</v>
      </c>
      <c r="I2134" s="18">
        <v>36.17</v>
      </c>
      <c r="J2134" s="12" t="s">
        <v>521</v>
      </c>
      <c r="K2134" s="13" t="s">
        <v>36</v>
      </c>
      <c r="L2134" s="15" t="s">
        <v>36</v>
      </c>
      <c r="M2134" s="12" t="s">
        <v>36</v>
      </c>
      <c r="N2134" s="12" t="s">
        <v>36</v>
      </c>
      <c r="O2134" s="17" t="s">
        <v>36</v>
      </c>
      <c r="P2134" s="12" t="s">
        <v>36</v>
      </c>
      <c r="Q2134" s="12" t="s">
        <v>36</v>
      </c>
      <c r="R2134" s="12" t="s">
        <v>36</v>
      </c>
      <c r="S2134" s="12" t="s">
        <v>36</v>
      </c>
      <c r="T2134" s="12" t="s">
        <v>2558</v>
      </c>
      <c r="U2134" s="12" t="s">
        <v>38</v>
      </c>
      <c r="V2134" s="12" t="s">
        <v>39</v>
      </c>
      <c r="W2134" s="12" t="s">
        <v>12011</v>
      </c>
      <c r="X2134" s="16" t="s">
        <v>12012</v>
      </c>
      <c r="Y2134" s="15" t="s">
        <v>42</v>
      </c>
      <c r="Z2134" s="14">
        <v>2.61</v>
      </c>
      <c r="AA2134" s="14">
        <v>7.23</v>
      </c>
      <c r="AB2134" s="12" t="s">
        <v>43</v>
      </c>
      <c r="AC2134" s="12" t="s">
        <v>12013</v>
      </c>
      <c r="AD2134" s="13">
        <v>44727</v>
      </c>
      <c r="AE2134" s="12" t="s">
        <v>110</v>
      </c>
      <c r="AF2134" s="12" t="s">
        <v>468</v>
      </c>
      <c r="AG2134" s="12" t="s">
        <v>2897</v>
      </c>
      <c r="AH2134" s="1">
        <f>HYPERLINK("https://my.pitchbook.com?c=206405-11T","View Company Online")</f>
      </c>
    </row>
    <row r="2135">
      <c r="A2135" s="3" t="s">
        <v>12014</v>
      </c>
      <c r="B2135" s="3" t="s">
        <v>5032</v>
      </c>
      <c r="C2135" s="5">
        <v>9</v>
      </c>
      <c r="D2135" s="5">
        <v>6</v>
      </c>
      <c r="E2135" s="5">
        <v>3</v>
      </c>
      <c r="F2135" s="5">
        <v>15</v>
      </c>
      <c r="G2135" s="6" t="s">
        <v>36</v>
      </c>
      <c r="H2135" s="4" t="s">
        <v>36</v>
      </c>
      <c r="I2135" s="7" t="s">
        <v>36</v>
      </c>
      <c r="J2135" s="3" t="s">
        <v>36</v>
      </c>
      <c r="K2135" s="9" t="s">
        <v>36</v>
      </c>
      <c r="L2135" s="6" t="s">
        <v>36</v>
      </c>
      <c r="M2135" s="3" t="s">
        <v>36</v>
      </c>
      <c r="N2135" s="3" t="s">
        <v>36</v>
      </c>
      <c r="O2135" s="8" t="s">
        <v>36</v>
      </c>
      <c r="P2135" s="3" t="s">
        <v>36</v>
      </c>
      <c r="Q2135" s="3" t="s">
        <v>36</v>
      </c>
      <c r="R2135" s="3" t="s">
        <v>36</v>
      </c>
      <c r="S2135" s="3" t="s">
        <v>36</v>
      </c>
      <c r="T2135" s="3" t="s">
        <v>5033</v>
      </c>
      <c r="U2135" s="3" t="s">
        <v>366</v>
      </c>
      <c r="V2135" s="3" t="s">
        <v>367</v>
      </c>
      <c r="W2135" s="3" t="s">
        <v>5034</v>
      </c>
      <c r="X2135" s="10" t="s">
        <v>12015</v>
      </c>
      <c r="Y2135" s="6" t="s">
        <v>108</v>
      </c>
      <c r="Z2135" s="4">
        <v>9.57</v>
      </c>
      <c r="AA2135" s="4" t="s">
        <v>36</v>
      </c>
      <c r="AB2135" s="3" t="s">
        <v>56</v>
      </c>
      <c r="AC2135" s="3" t="s">
        <v>5035</v>
      </c>
      <c r="AD2135" s="9">
        <v>44727</v>
      </c>
      <c r="AE2135" s="3" t="s">
        <v>600</v>
      </c>
      <c r="AF2135" s="3" t="s">
        <v>5036</v>
      </c>
      <c r="AG2135" s="3" t="s">
        <v>392</v>
      </c>
      <c r="AH2135" s="11">
        <f>HYPERLINK("https://my.pitchbook.com?c=196222-78T","View Company Online")</f>
      </c>
    </row>
    <row r="2136">
      <c r="A2136" s="12" t="s">
        <v>12016</v>
      </c>
      <c r="B2136" s="12" t="s">
        <v>5022</v>
      </c>
      <c r="C2136" s="19" t="s">
        <v>36</v>
      </c>
      <c r="D2136" s="19" t="s">
        <v>36</v>
      </c>
      <c r="E2136" s="19" t="s">
        <v>36</v>
      </c>
      <c r="F2136" s="19" t="s">
        <v>36</v>
      </c>
      <c r="G2136" s="15" t="s">
        <v>36</v>
      </c>
      <c r="H2136" s="14">
        <v>29.51</v>
      </c>
      <c r="I2136" s="18">
        <v>7.5</v>
      </c>
      <c r="J2136" s="12" t="s">
        <v>521</v>
      </c>
      <c r="K2136" s="13" t="s">
        <v>36</v>
      </c>
      <c r="L2136" s="15" t="s">
        <v>36</v>
      </c>
      <c r="M2136" s="12" t="s">
        <v>36</v>
      </c>
      <c r="N2136" s="12" t="s">
        <v>36</v>
      </c>
      <c r="O2136" s="17" t="s">
        <v>36</v>
      </c>
      <c r="P2136" s="12" t="s">
        <v>36</v>
      </c>
      <c r="Q2136" s="12" t="s">
        <v>36</v>
      </c>
      <c r="R2136" s="12" t="s">
        <v>36</v>
      </c>
      <c r="S2136" s="12" t="s">
        <v>36</v>
      </c>
      <c r="T2136" s="12" t="s">
        <v>1990</v>
      </c>
      <c r="U2136" s="12" t="s">
        <v>38</v>
      </c>
      <c r="V2136" s="12" t="s">
        <v>39</v>
      </c>
      <c r="W2136" s="12" t="s">
        <v>5023</v>
      </c>
      <c r="X2136" s="16" t="s">
        <v>12017</v>
      </c>
      <c r="Y2136" s="15" t="s">
        <v>42</v>
      </c>
      <c r="Z2136" s="14">
        <v>0.51</v>
      </c>
      <c r="AA2136" s="14">
        <v>6.79</v>
      </c>
      <c r="AB2136" s="12" t="s">
        <v>43</v>
      </c>
      <c r="AC2136" s="12" t="s">
        <v>5025</v>
      </c>
      <c r="AD2136" s="13">
        <v>44727</v>
      </c>
      <c r="AE2136" s="12" t="s">
        <v>110</v>
      </c>
      <c r="AF2136" s="12" t="s">
        <v>36</v>
      </c>
      <c r="AG2136" s="12" t="s">
        <v>741</v>
      </c>
      <c r="AH2136" s="1">
        <f>HYPERLINK("https://my.pitchbook.com?c=233018-11T","View Company Online")</f>
      </c>
    </row>
    <row r="2137">
      <c r="A2137" s="3" t="s">
        <v>12018</v>
      </c>
      <c r="B2137" s="3" t="s">
        <v>12019</v>
      </c>
      <c r="C2137" s="5" t="s">
        <v>36</v>
      </c>
      <c r="D2137" s="5" t="s">
        <v>36</v>
      </c>
      <c r="E2137" s="5" t="s">
        <v>36</v>
      </c>
      <c r="F2137" s="5" t="s">
        <v>36</v>
      </c>
      <c r="G2137" s="6" t="s">
        <v>36</v>
      </c>
      <c r="H2137" s="4">
        <v>86.3</v>
      </c>
      <c r="I2137" s="7">
        <v>43.91</v>
      </c>
      <c r="J2137" s="3" t="s">
        <v>521</v>
      </c>
      <c r="K2137" s="9" t="s">
        <v>36</v>
      </c>
      <c r="L2137" s="6" t="s">
        <v>36</v>
      </c>
      <c r="M2137" s="3" t="s">
        <v>36</v>
      </c>
      <c r="N2137" s="3" t="s">
        <v>36</v>
      </c>
      <c r="O2137" s="8" t="s">
        <v>36</v>
      </c>
      <c r="P2137" s="3" t="s">
        <v>36</v>
      </c>
      <c r="Q2137" s="3" t="s">
        <v>36</v>
      </c>
      <c r="R2137" s="3" t="s">
        <v>36</v>
      </c>
      <c r="S2137" s="3" t="s">
        <v>36</v>
      </c>
      <c r="T2137" s="3" t="s">
        <v>881</v>
      </c>
      <c r="U2137" s="3" t="s">
        <v>51</v>
      </c>
      <c r="V2137" s="3" t="s">
        <v>52</v>
      </c>
      <c r="W2137" s="3" t="s">
        <v>12020</v>
      </c>
      <c r="X2137" s="10" t="s">
        <v>12021</v>
      </c>
      <c r="Y2137" s="6" t="s">
        <v>42</v>
      </c>
      <c r="Z2137" s="4">
        <v>7.27</v>
      </c>
      <c r="AA2137" s="4">
        <v>16.55</v>
      </c>
      <c r="AB2137" s="3" t="s">
        <v>43</v>
      </c>
      <c r="AC2137" s="3" t="s">
        <v>12022</v>
      </c>
      <c r="AD2137" s="9">
        <v>44726</v>
      </c>
      <c r="AE2137" s="3" t="s">
        <v>504</v>
      </c>
      <c r="AF2137" s="3" t="s">
        <v>665</v>
      </c>
      <c r="AG2137" s="3" t="s">
        <v>1276</v>
      </c>
      <c r="AH2137" s="11">
        <f>HYPERLINK("https://my.pitchbook.com?c=168179-68T","View Company Online")</f>
      </c>
    </row>
    <row r="2138">
      <c r="A2138" s="12" t="s">
        <v>12023</v>
      </c>
      <c r="B2138" s="12" t="s">
        <v>12024</v>
      </c>
      <c r="C2138" s="19" t="s">
        <v>36</v>
      </c>
      <c r="D2138" s="19" t="s">
        <v>36</v>
      </c>
      <c r="E2138" s="19" t="s">
        <v>36</v>
      </c>
      <c r="F2138" s="19" t="s">
        <v>36</v>
      </c>
      <c r="G2138" s="15" t="s">
        <v>326</v>
      </c>
      <c r="H2138" s="14">
        <v>37.68</v>
      </c>
      <c r="I2138" s="18">
        <v>26.03</v>
      </c>
      <c r="J2138" s="12" t="s">
        <v>521</v>
      </c>
      <c r="K2138" s="13" t="s">
        <v>36</v>
      </c>
      <c r="L2138" s="15" t="s">
        <v>36</v>
      </c>
      <c r="M2138" s="12" t="s">
        <v>36</v>
      </c>
      <c r="N2138" s="12" t="s">
        <v>36</v>
      </c>
      <c r="O2138" s="17" t="s">
        <v>36</v>
      </c>
      <c r="P2138" s="12" t="s">
        <v>36</v>
      </c>
      <c r="Q2138" s="12" t="s">
        <v>36</v>
      </c>
      <c r="R2138" s="12" t="s">
        <v>36</v>
      </c>
      <c r="S2138" s="12" t="s">
        <v>1883</v>
      </c>
      <c r="T2138" s="12" t="s">
        <v>12025</v>
      </c>
      <c r="U2138" s="12" t="s">
        <v>38</v>
      </c>
      <c r="V2138" s="12" t="s">
        <v>39</v>
      </c>
      <c r="W2138" s="12" t="s">
        <v>12026</v>
      </c>
      <c r="X2138" s="16" t="s">
        <v>12027</v>
      </c>
      <c r="Y2138" s="15" t="s">
        <v>108</v>
      </c>
      <c r="Z2138" s="14">
        <v>10.95</v>
      </c>
      <c r="AA2138" s="14">
        <v>42.05</v>
      </c>
      <c r="AB2138" s="12" t="s">
        <v>43</v>
      </c>
      <c r="AC2138" s="12" t="s">
        <v>12028</v>
      </c>
      <c r="AD2138" s="13">
        <v>44726</v>
      </c>
      <c r="AE2138" s="12" t="s">
        <v>1945</v>
      </c>
      <c r="AF2138" s="12" t="s">
        <v>12029</v>
      </c>
      <c r="AG2138" s="12" t="s">
        <v>81</v>
      </c>
      <c r="AH2138" s="1">
        <f>HYPERLINK("https://my.pitchbook.com?c=196807-51T","View Company Online")</f>
      </c>
    </row>
    <row r="2139">
      <c r="A2139" s="3" t="s">
        <v>12030</v>
      </c>
      <c r="B2139" s="3" t="s">
        <v>2924</v>
      </c>
      <c r="C2139" s="5" t="s">
        <v>36</v>
      </c>
      <c r="D2139" s="5" t="s">
        <v>36</v>
      </c>
      <c r="E2139" s="5" t="s">
        <v>36</v>
      </c>
      <c r="F2139" s="5" t="s">
        <v>36</v>
      </c>
      <c r="G2139" s="6" t="s">
        <v>36</v>
      </c>
      <c r="H2139" s="4" t="s">
        <v>36</v>
      </c>
      <c r="I2139" s="7" t="s">
        <v>36</v>
      </c>
      <c r="J2139" s="3" t="s">
        <v>36</v>
      </c>
      <c r="K2139" s="9" t="s">
        <v>36</v>
      </c>
      <c r="L2139" s="6" t="s">
        <v>122</v>
      </c>
      <c r="M2139" s="3" t="s">
        <v>36</v>
      </c>
      <c r="N2139" s="3" t="s">
        <v>122</v>
      </c>
      <c r="O2139" s="8" t="s">
        <v>36</v>
      </c>
      <c r="P2139" s="3" t="s">
        <v>36</v>
      </c>
      <c r="Q2139" s="3" t="s">
        <v>36</v>
      </c>
      <c r="R2139" s="3" t="s">
        <v>36</v>
      </c>
      <c r="S2139" s="3" t="s">
        <v>36</v>
      </c>
      <c r="T2139" s="3" t="s">
        <v>2925</v>
      </c>
      <c r="U2139" s="3" t="s">
        <v>38</v>
      </c>
      <c r="V2139" s="3" t="s">
        <v>39</v>
      </c>
      <c r="W2139" s="3" t="s">
        <v>2926</v>
      </c>
      <c r="X2139" s="10" t="s">
        <v>12031</v>
      </c>
      <c r="Y2139" s="6" t="s">
        <v>42</v>
      </c>
      <c r="Z2139" s="4">
        <v>3.19</v>
      </c>
      <c r="AA2139" s="4" t="s">
        <v>36</v>
      </c>
      <c r="AB2139" s="3" t="s">
        <v>43</v>
      </c>
      <c r="AC2139" s="3" t="s">
        <v>2928</v>
      </c>
      <c r="AD2139" s="9">
        <v>44725</v>
      </c>
      <c r="AE2139" s="3" t="s">
        <v>110</v>
      </c>
      <c r="AF2139" s="3" t="s">
        <v>1842</v>
      </c>
      <c r="AG2139" s="3" t="s">
        <v>81</v>
      </c>
      <c r="AH2139" s="11">
        <f>HYPERLINK("https://my.pitchbook.com?c=196014-16T","View Company Online")</f>
      </c>
    </row>
    <row r="2140">
      <c r="A2140" s="12" t="s">
        <v>12032</v>
      </c>
      <c r="B2140" s="12" t="s">
        <v>12033</v>
      </c>
      <c r="C2140" s="19" t="s">
        <v>36</v>
      </c>
      <c r="D2140" s="19" t="s">
        <v>36</v>
      </c>
      <c r="E2140" s="19" t="s">
        <v>36</v>
      </c>
      <c r="F2140" s="19" t="s">
        <v>36</v>
      </c>
      <c r="G2140" s="15" t="s">
        <v>36</v>
      </c>
      <c r="H2140" s="14" t="s">
        <v>36</v>
      </c>
      <c r="I2140" s="18" t="s">
        <v>36</v>
      </c>
      <c r="J2140" s="12" t="s">
        <v>36</v>
      </c>
      <c r="K2140" s="13" t="s">
        <v>36</v>
      </c>
      <c r="L2140" s="15" t="s">
        <v>122</v>
      </c>
      <c r="M2140" s="12" t="s">
        <v>36</v>
      </c>
      <c r="N2140" s="12" t="s">
        <v>122</v>
      </c>
      <c r="O2140" s="17" t="s">
        <v>36</v>
      </c>
      <c r="P2140" s="12" t="s">
        <v>36</v>
      </c>
      <c r="Q2140" s="12" t="s">
        <v>36</v>
      </c>
      <c r="R2140" s="12" t="s">
        <v>36</v>
      </c>
      <c r="S2140" s="12" t="s">
        <v>36</v>
      </c>
      <c r="T2140" s="12" t="s">
        <v>4648</v>
      </c>
      <c r="U2140" s="12" t="s">
        <v>74</v>
      </c>
      <c r="V2140" s="12" t="s">
        <v>75</v>
      </c>
      <c r="W2140" s="12" t="s">
        <v>12034</v>
      </c>
      <c r="X2140" s="16" t="s">
        <v>12035</v>
      </c>
      <c r="Y2140" s="15" t="s">
        <v>192</v>
      </c>
      <c r="Z2140" s="14">
        <v>4.25</v>
      </c>
      <c r="AA2140" s="14" t="s">
        <v>36</v>
      </c>
      <c r="AB2140" s="12" t="s">
        <v>56</v>
      </c>
      <c r="AC2140" s="12" t="s">
        <v>12036</v>
      </c>
      <c r="AD2140" s="13">
        <v>44722</v>
      </c>
      <c r="AE2140" s="12" t="s">
        <v>362</v>
      </c>
      <c r="AF2140" s="12" t="s">
        <v>12037</v>
      </c>
      <c r="AG2140" s="12" t="s">
        <v>81</v>
      </c>
      <c r="AH2140" s="1">
        <f>HYPERLINK("https://my.pitchbook.com?c=195941-98T","View Company Online")</f>
      </c>
    </row>
    <row r="2141">
      <c r="A2141" s="3" t="s">
        <v>12038</v>
      </c>
      <c r="B2141" s="3" t="s">
        <v>12039</v>
      </c>
      <c r="C2141" s="5">
        <v>25</v>
      </c>
      <c r="D2141" s="5">
        <v>12</v>
      </c>
      <c r="E2141" s="5">
        <v>6</v>
      </c>
      <c r="F2141" s="5">
        <v>37</v>
      </c>
      <c r="G2141" s="6" t="s">
        <v>2497</v>
      </c>
      <c r="H2141" s="4">
        <v>275.15</v>
      </c>
      <c r="I2141" s="7">
        <v>43.98</v>
      </c>
      <c r="J2141" s="3" t="s">
        <v>521</v>
      </c>
      <c r="K2141" s="9" t="s">
        <v>36</v>
      </c>
      <c r="L2141" s="6" t="s">
        <v>1279</v>
      </c>
      <c r="M2141" s="3" t="s">
        <v>36</v>
      </c>
      <c r="N2141" s="3" t="s">
        <v>1279</v>
      </c>
      <c r="O2141" s="8" t="s">
        <v>36</v>
      </c>
      <c r="P2141" s="3" t="s">
        <v>36</v>
      </c>
      <c r="Q2141" s="3" t="s">
        <v>36</v>
      </c>
      <c r="R2141" s="3" t="s">
        <v>36</v>
      </c>
      <c r="S2141" s="3" t="s">
        <v>36</v>
      </c>
      <c r="T2141" s="3" t="s">
        <v>881</v>
      </c>
      <c r="U2141" s="3" t="s">
        <v>51</v>
      </c>
      <c r="V2141" s="3" t="s">
        <v>52</v>
      </c>
      <c r="W2141" s="3" t="s">
        <v>12040</v>
      </c>
      <c r="X2141" s="10" t="s">
        <v>12041</v>
      </c>
      <c r="Y2141" s="6" t="s">
        <v>192</v>
      </c>
      <c r="Z2141" s="4">
        <v>101.67</v>
      </c>
      <c r="AA2141" s="4">
        <v>158.71</v>
      </c>
      <c r="AB2141" s="3" t="s">
        <v>56</v>
      </c>
      <c r="AC2141" s="3" t="s">
        <v>12042</v>
      </c>
      <c r="AD2141" s="9">
        <v>44722</v>
      </c>
      <c r="AE2141" s="3" t="s">
        <v>504</v>
      </c>
      <c r="AF2141" s="3" t="s">
        <v>3193</v>
      </c>
      <c r="AG2141" s="3" t="s">
        <v>899</v>
      </c>
      <c r="AH2141" s="11">
        <f>HYPERLINK("https://my.pitchbook.com?c=196041-79T","View Company Online")</f>
      </c>
    </row>
    <row r="2142">
      <c r="A2142" s="12" t="s">
        <v>12043</v>
      </c>
      <c r="B2142" s="12" t="s">
        <v>12044</v>
      </c>
      <c r="C2142" s="19" t="s">
        <v>36</v>
      </c>
      <c r="D2142" s="19" t="s">
        <v>36</v>
      </c>
      <c r="E2142" s="19" t="s">
        <v>36</v>
      </c>
      <c r="F2142" s="19" t="s">
        <v>36</v>
      </c>
      <c r="G2142" s="15" t="s">
        <v>36</v>
      </c>
      <c r="H2142" s="14" t="s">
        <v>36</v>
      </c>
      <c r="I2142" s="18" t="s">
        <v>36</v>
      </c>
      <c r="J2142" s="12" t="s">
        <v>36</v>
      </c>
      <c r="K2142" s="13" t="s">
        <v>36</v>
      </c>
      <c r="L2142" s="15" t="s">
        <v>122</v>
      </c>
      <c r="M2142" s="12" t="s">
        <v>36</v>
      </c>
      <c r="N2142" s="12" t="s">
        <v>122</v>
      </c>
      <c r="O2142" s="17" t="s">
        <v>36</v>
      </c>
      <c r="P2142" s="12" t="s">
        <v>36</v>
      </c>
      <c r="Q2142" s="12" t="s">
        <v>36</v>
      </c>
      <c r="R2142" s="12" t="s">
        <v>36</v>
      </c>
      <c r="S2142" s="12" t="s">
        <v>36</v>
      </c>
      <c r="T2142" s="12" t="s">
        <v>12045</v>
      </c>
      <c r="U2142" s="12" t="s">
        <v>9881</v>
      </c>
      <c r="V2142" s="12" t="s">
        <v>75</v>
      </c>
      <c r="W2142" s="12" t="s">
        <v>12046</v>
      </c>
      <c r="X2142" s="16" t="s">
        <v>12047</v>
      </c>
      <c r="Y2142" s="15" t="s">
        <v>55</v>
      </c>
      <c r="Z2142" s="14">
        <v>15.93</v>
      </c>
      <c r="AA2142" s="14" t="s">
        <v>36</v>
      </c>
      <c r="AB2142" s="12" t="s">
        <v>43</v>
      </c>
      <c r="AC2142" s="12" t="s">
        <v>12048</v>
      </c>
      <c r="AD2142" s="13">
        <v>44722</v>
      </c>
      <c r="AE2142" s="12" t="s">
        <v>12049</v>
      </c>
      <c r="AF2142" s="12" t="s">
        <v>546</v>
      </c>
      <c r="AG2142" s="12" t="s">
        <v>81</v>
      </c>
      <c r="AH2142" s="1">
        <f>HYPERLINK("https://my.pitchbook.com?c=196058-26T","View Company Online")</f>
      </c>
    </row>
    <row r="2143">
      <c r="A2143" s="3" t="s">
        <v>12050</v>
      </c>
      <c r="B2143" s="3" t="s">
        <v>12051</v>
      </c>
      <c r="C2143" s="5" t="s">
        <v>36</v>
      </c>
      <c r="D2143" s="5" t="s">
        <v>36</v>
      </c>
      <c r="E2143" s="5" t="s">
        <v>36</v>
      </c>
      <c r="F2143" s="5" t="s">
        <v>36</v>
      </c>
      <c r="G2143" s="6" t="s">
        <v>36</v>
      </c>
      <c r="H2143" s="4">
        <v>89.11</v>
      </c>
      <c r="I2143" s="7">
        <v>33.33</v>
      </c>
      <c r="J2143" s="3" t="s">
        <v>521</v>
      </c>
      <c r="K2143" s="9" t="s">
        <v>36</v>
      </c>
      <c r="L2143" s="6" t="s">
        <v>122</v>
      </c>
      <c r="M2143" s="3" t="s">
        <v>36</v>
      </c>
      <c r="N2143" s="3" t="s">
        <v>122</v>
      </c>
      <c r="O2143" s="8" t="s">
        <v>36</v>
      </c>
      <c r="P2143" s="3" t="s">
        <v>36</v>
      </c>
      <c r="Q2143" s="3" t="s">
        <v>36</v>
      </c>
      <c r="R2143" s="3" t="s">
        <v>36</v>
      </c>
      <c r="S2143" s="3" t="s">
        <v>36</v>
      </c>
      <c r="T2143" s="3" t="s">
        <v>105</v>
      </c>
      <c r="U2143" s="3" t="s">
        <v>38</v>
      </c>
      <c r="V2143" s="3" t="s">
        <v>39</v>
      </c>
      <c r="W2143" s="3" t="s">
        <v>12052</v>
      </c>
      <c r="X2143" s="10" t="s">
        <v>11948</v>
      </c>
      <c r="Y2143" s="6" t="s">
        <v>42</v>
      </c>
      <c r="Z2143" s="4">
        <v>4.25</v>
      </c>
      <c r="AA2143" s="4">
        <v>11.47</v>
      </c>
      <c r="AB2143" s="3" t="s">
        <v>56</v>
      </c>
      <c r="AC2143" s="3" t="s">
        <v>12053</v>
      </c>
      <c r="AD2143" s="9">
        <v>44722</v>
      </c>
      <c r="AE2143" s="3" t="s">
        <v>110</v>
      </c>
      <c r="AF2143" s="3" t="s">
        <v>12054</v>
      </c>
      <c r="AG2143" s="3" t="s">
        <v>144</v>
      </c>
      <c r="AH2143" s="11">
        <f>HYPERLINK("https://my.pitchbook.com?c=195942-79T","View Company Online")</f>
      </c>
    </row>
    <row r="2144">
      <c r="A2144" s="12" t="s">
        <v>12055</v>
      </c>
      <c r="B2144" s="12" t="s">
        <v>12056</v>
      </c>
      <c r="C2144" s="19" t="s">
        <v>36</v>
      </c>
      <c r="D2144" s="19" t="s">
        <v>36</v>
      </c>
      <c r="E2144" s="19" t="s">
        <v>36</v>
      </c>
      <c r="F2144" s="19" t="s">
        <v>36</v>
      </c>
      <c r="G2144" s="15" t="s">
        <v>36</v>
      </c>
      <c r="H2144" s="14" t="s">
        <v>36</v>
      </c>
      <c r="I2144" s="18" t="s">
        <v>36</v>
      </c>
      <c r="J2144" s="12" t="s">
        <v>36</v>
      </c>
      <c r="K2144" s="13" t="s">
        <v>36</v>
      </c>
      <c r="L2144" s="15" t="s">
        <v>36</v>
      </c>
      <c r="M2144" s="12" t="s">
        <v>36</v>
      </c>
      <c r="N2144" s="12" t="s">
        <v>36</v>
      </c>
      <c r="O2144" s="17" t="s">
        <v>36</v>
      </c>
      <c r="P2144" s="12" t="s">
        <v>36</v>
      </c>
      <c r="Q2144" s="12" t="s">
        <v>36</v>
      </c>
      <c r="R2144" s="12" t="s">
        <v>36</v>
      </c>
      <c r="S2144" s="12" t="s">
        <v>36</v>
      </c>
      <c r="T2144" s="12" t="s">
        <v>12057</v>
      </c>
      <c r="U2144" s="12" t="s">
        <v>233</v>
      </c>
      <c r="V2144" s="12" t="s">
        <v>39</v>
      </c>
      <c r="W2144" s="12" t="s">
        <v>12058</v>
      </c>
      <c r="X2144" s="16" t="s">
        <v>12059</v>
      </c>
      <c r="Y2144" s="15" t="s">
        <v>42</v>
      </c>
      <c r="Z2144" s="14">
        <v>4.25</v>
      </c>
      <c r="AA2144" s="14" t="s">
        <v>36</v>
      </c>
      <c r="AB2144" s="12" t="s">
        <v>56</v>
      </c>
      <c r="AC2144" s="12" t="s">
        <v>12060</v>
      </c>
      <c r="AD2144" s="13">
        <v>44721</v>
      </c>
      <c r="AE2144" s="12" t="s">
        <v>12061</v>
      </c>
      <c r="AF2144" s="12" t="s">
        <v>3860</v>
      </c>
      <c r="AG2144" s="12" t="s">
        <v>12062</v>
      </c>
      <c r="AH2144" s="1">
        <f>HYPERLINK("https://my.pitchbook.com?c=195994-81T","View Company Online")</f>
      </c>
    </row>
    <row r="2145">
      <c r="A2145" s="3" t="s">
        <v>12063</v>
      </c>
      <c r="B2145" s="3" t="s">
        <v>12064</v>
      </c>
      <c r="C2145" s="5">
        <v>4</v>
      </c>
      <c r="D2145" s="5">
        <v>11</v>
      </c>
      <c r="E2145" s="5">
        <v>4</v>
      </c>
      <c r="F2145" s="5">
        <v>17</v>
      </c>
      <c r="G2145" s="6" t="s">
        <v>326</v>
      </c>
      <c r="H2145" s="4">
        <v>7.27</v>
      </c>
      <c r="I2145" s="7">
        <v>35.73</v>
      </c>
      <c r="J2145" s="3" t="s">
        <v>521</v>
      </c>
      <c r="K2145" s="9" t="s">
        <v>36</v>
      </c>
      <c r="L2145" s="6" t="s">
        <v>36</v>
      </c>
      <c r="M2145" s="3" t="s">
        <v>36</v>
      </c>
      <c r="N2145" s="3" t="s">
        <v>36</v>
      </c>
      <c r="O2145" s="8" t="s">
        <v>36</v>
      </c>
      <c r="P2145" s="3" t="s">
        <v>36</v>
      </c>
      <c r="Q2145" s="3" t="s">
        <v>36</v>
      </c>
      <c r="R2145" s="3" t="s">
        <v>36</v>
      </c>
      <c r="S2145" s="3" t="s">
        <v>36</v>
      </c>
      <c r="T2145" s="3" t="s">
        <v>6713</v>
      </c>
      <c r="U2145" s="3" t="s">
        <v>728</v>
      </c>
      <c r="V2145" s="3" t="s">
        <v>64</v>
      </c>
      <c r="W2145" s="3" t="s">
        <v>12065</v>
      </c>
      <c r="X2145" s="10" t="s">
        <v>12066</v>
      </c>
      <c r="Y2145" s="6" t="s">
        <v>108</v>
      </c>
      <c r="Z2145" s="4">
        <v>6.47</v>
      </c>
      <c r="AA2145" s="4">
        <v>18.1</v>
      </c>
      <c r="AB2145" s="3" t="s">
        <v>56</v>
      </c>
      <c r="AC2145" s="3" t="s">
        <v>12067</v>
      </c>
      <c r="AD2145" s="9">
        <v>44721</v>
      </c>
      <c r="AE2145" s="3" t="s">
        <v>6717</v>
      </c>
      <c r="AF2145" s="3" t="s">
        <v>36</v>
      </c>
      <c r="AG2145" s="3" t="s">
        <v>81</v>
      </c>
      <c r="AH2145" s="11">
        <f>HYPERLINK("https://my.pitchbook.com?c=218607-13T","View Company Online")</f>
      </c>
    </row>
    <row r="2146">
      <c r="A2146" s="12" t="s">
        <v>12068</v>
      </c>
      <c r="B2146" s="12" t="s">
        <v>12069</v>
      </c>
      <c r="C2146" s="19" t="s">
        <v>36</v>
      </c>
      <c r="D2146" s="19" t="s">
        <v>36</v>
      </c>
      <c r="E2146" s="19" t="s">
        <v>36</v>
      </c>
      <c r="F2146" s="19" t="s">
        <v>36</v>
      </c>
      <c r="G2146" s="15" t="s">
        <v>326</v>
      </c>
      <c r="H2146" s="14">
        <v>34.27</v>
      </c>
      <c r="I2146" s="18">
        <v>41.48</v>
      </c>
      <c r="J2146" s="12" t="s">
        <v>521</v>
      </c>
      <c r="K2146" s="13" t="s">
        <v>36</v>
      </c>
      <c r="L2146" s="15" t="s">
        <v>36</v>
      </c>
      <c r="M2146" s="12" t="s">
        <v>36</v>
      </c>
      <c r="N2146" s="12" t="s">
        <v>36</v>
      </c>
      <c r="O2146" s="17" t="s">
        <v>36</v>
      </c>
      <c r="P2146" s="12" t="s">
        <v>36</v>
      </c>
      <c r="Q2146" s="12" t="s">
        <v>36</v>
      </c>
      <c r="R2146" s="12" t="s">
        <v>36</v>
      </c>
      <c r="S2146" s="12" t="s">
        <v>36</v>
      </c>
      <c r="T2146" s="12" t="s">
        <v>2992</v>
      </c>
      <c r="U2146" s="12" t="s">
        <v>96</v>
      </c>
      <c r="V2146" s="12" t="s">
        <v>52</v>
      </c>
      <c r="W2146" s="12" t="s">
        <v>12070</v>
      </c>
      <c r="X2146" s="16" t="s">
        <v>12071</v>
      </c>
      <c r="Y2146" s="15" t="s">
        <v>108</v>
      </c>
      <c r="Z2146" s="14">
        <v>4.46</v>
      </c>
      <c r="AA2146" s="14">
        <v>5.52</v>
      </c>
      <c r="AB2146" s="12" t="s">
        <v>56</v>
      </c>
      <c r="AC2146" s="12" t="s">
        <v>12072</v>
      </c>
      <c r="AD2146" s="13">
        <v>44721</v>
      </c>
      <c r="AE2146" s="12" t="s">
        <v>100</v>
      </c>
      <c r="AF2146" s="12" t="s">
        <v>12073</v>
      </c>
      <c r="AG2146" s="12" t="s">
        <v>47</v>
      </c>
      <c r="AH2146" s="1">
        <f>HYPERLINK("https://my.pitchbook.com?c=198692-56T","View Company Online")</f>
      </c>
    </row>
    <row r="2147">
      <c r="A2147" s="3" t="s">
        <v>12074</v>
      </c>
      <c r="B2147" s="3" t="s">
        <v>7952</v>
      </c>
      <c r="C2147" s="5" t="s">
        <v>36</v>
      </c>
      <c r="D2147" s="5" t="s">
        <v>36</v>
      </c>
      <c r="E2147" s="5" t="s">
        <v>36</v>
      </c>
      <c r="F2147" s="5" t="s">
        <v>36</v>
      </c>
      <c r="G2147" s="6" t="s">
        <v>36</v>
      </c>
      <c r="H2147" s="4">
        <v>7.68</v>
      </c>
      <c r="I2147" s="7">
        <v>10.24</v>
      </c>
      <c r="J2147" s="3" t="s">
        <v>521</v>
      </c>
      <c r="K2147" s="9" t="s">
        <v>36</v>
      </c>
      <c r="L2147" s="6" t="s">
        <v>36</v>
      </c>
      <c r="M2147" s="3" t="s">
        <v>36</v>
      </c>
      <c r="N2147" s="3" t="s">
        <v>36</v>
      </c>
      <c r="O2147" s="8" t="s">
        <v>36</v>
      </c>
      <c r="P2147" s="3" t="s">
        <v>36</v>
      </c>
      <c r="Q2147" s="3" t="s">
        <v>36</v>
      </c>
      <c r="R2147" s="3" t="s">
        <v>36</v>
      </c>
      <c r="S2147" s="3" t="s">
        <v>36</v>
      </c>
      <c r="T2147" s="3" t="s">
        <v>7953</v>
      </c>
      <c r="U2147" s="3" t="s">
        <v>74</v>
      </c>
      <c r="V2147" s="3" t="s">
        <v>75</v>
      </c>
      <c r="W2147" s="3" t="s">
        <v>7954</v>
      </c>
      <c r="X2147" s="10" t="s">
        <v>12075</v>
      </c>
      <c r="Y2147" s="6" t="s">
        <v>192</v>
      </c>
      <c r="Z2147" s="4">
        <v>1.11</v>
      </c>
      <c r="AA2147" s="4">
        <v>10.87</v>
      </c>
      <c r="AB2147" s="3" t="s">
        <v>56</v>
      </c>
      <c r="AC2147" s="3" t="s">
        <v>7956</v>
      </c>
      <c r="AD2147" s="9">
        <v>44721</v>
      </c>
      <c r="AE2147" s="3" t="s">
        <v>7957</v>
      </c>
      <c r="AF2147" s="3" t="s">
        <v>176</v>
      </c>
      <c r="AG2147" s="3" t="s">
        <v>81</v>
      </c>
      <c r="AH2147" s="11">
        <f>HYPERLINK("https://my.pitchbook.com?c=198750-34T","View Company Online")</f>
      </c>
    </row>
    <row r="2148">
      <c r="A2148" s="12" t="s">
        <v>12076</v>
      </c>
      <c r="B2148" s="12" t="s">
        <v>12077</v>
      </c>
      <c r="C2148" s="19" t="s">
        <v>36</v>
      </c>
      <c r="D2148" s="19" t="s">
        <v>36</v>
      </c>
      <c r="E2148" s="19" t="s">
        <v>36</v>
      </c>
      <c r="F2148" s="19" t="s">
        <v>36</v>
      </c>
      <c r="G2148" s="15" t="s">
        <v>36</v>
      </c>
      <c r="H2148" s="14">
        <v>2497.52</v>
      </c>
      <c r="I2148" s="18">
        <v>23.37</v>
      </c>
      <c r="J2148" s="12" t="s">
        <v>521</v>
      </c>
      <c r="K2148" s="13" t="s">
        <v>36</v>
      </c>
      <c r="L2148" s="15" t="s">
        <v>122</v>
      </c>
      <c r="M2148" s="12" t="s">
        <v>36</v>
      </c>
      <c r="N2148" s="12" t="s">
        <v>122</v>
      </c>
      <c r="O2148" s="17" t="s">
        <v>36</v>
      </c>
      <c r="P2148" s="12" t="s">
        <v>36</v>
      </c>
      <c r="Q2148" s="12" t="s">
        <v>36</v>
      </c>
      <c r="R2148" s="12" t="s">
        <v>36</v>
      </c>
      <c r="S2148" s="12" t="s">
        <v>36</v>
      </c>
      <c r="T2148" s="12" t="s">
        <v>5377</v>
      </c>
      <c r="U2148" s="12" t="s">
        <v>38</v>
      </c>
      <c r="V2148" s="12" t="s">
        <v>39</v>
      </c>
      <c r="W2148" s="12" t="s">
        <v>12078</v>
      </c>
      <c r="X2148" s="16" t="s">
        <v>12079</v>
      </c>
      <c r="Y2148" s="15" t="s">
        <v>55</v>
      </c>
      <c r="Z2148" s="14">
        <v>23.3</v>
      </c>
      <c r="AA2148" s="14">
        <v>90.8</v>
      </c>
      <c r="AB2148" s="12" t="s">
        <v>56</v>
      </c>
      <c r="AC2148" s="12" t="s">
        <v>12080</v>
      </c>
      <c r="AD2148" s="13">
        <v>44719</v>
      </c>
      <c r="AE2148" s="12" t="s">
        <v>1200</v>
      </c>
      <c r="AF2148" s="12" t="s">
        <v>36</v>
      </c>
      <c r="AG2148" s="12" t="s">
        <v>81</v>
      </c>
      <c r="AH2148" s="1">
        <f>HYPERLINK("https://my.pitchbook.com?c=194221-09T","View Company Online")</f>
      </c>
    </row>
    <row r="2149">
      <c r="A2149" s="3" t="s">
        <v>12081</v>
      </c>
      <c r="B2149" s="3" t="s">
        <v>7709</v>
      </c>
      <c r="C2149" s="5" t="s">
        <v>36</v>
      </c>
      <c r="D2149" s="5" t="s">
        <v>36</v>
      </c>
      <c r="E2149" s="5" t="s">
        <v>36</v>
      </c>
      <c r="F2149" s="5" t="s">
        <v>36</v>
      </c>
      <c r="G2149" s="6" t="s">
        <v>683</v>
      </c>
      <c r="H2149" s="4" t="s">
        <v>36</v>
      </c>
      <c r="I2149" s="7">
        <v>25</v>
      </c>
      <c r="J2149" s="3" t="s">
        <v>521</v>
      </c>
      <c r="K2149" s="9" t="s">
        <v>36</v>
      </c>
      <c r="L2149" s="6" t="s">
        <v>1279</v>
      </c>
      <c r="M2149" s="3" t="s">
        <v>36</v>
      </c>
      <c r="N2149" s="3" t="s">
        <v>1279</v>
      </c>
      <c r="O2149" s="8" t="s">
        <v>36</v>
      </c>
      <c r="P2149" s="3" t="s">
        <v>36</v>
      </c>
      <c r="Q2149" s="3" t="s">
        <v>36</v>
      </c>
      <c r="R2149" s="3" t="s">
        <v>36</v>
      </c>
      <c r="S2149" s="3" t="s">
        <v>36</v>
      </c>
      <c r="T2149" s="3" t="s">
        <v>1560</v>
      </c>
      <c r="U2149" s="3" t="s">
        <v>438</v>
      </c>
      <c r="V2149" s="3" t="s">
        <v>405</v>
      </c>
      <c r="W2149" s="3" t="s">
        <v>7710</v>
      </c>
      <c r="X2149" s="10" t="s">
        <v>12082</v>
      </c>
      <c r="Y2149" s="6" t="s">
        <v>166</v>
      </c>
      <c r="Z2149" s="4">
        <v>42.43</v>
      </c>
      <c r="AA2149" s="4">
        <v>169.71</v>
      </c>
      <c r="AB2149" s="3" t="s">
        <v>56</v>
      </c>
      <c r="AC2149" s="3" t="s">
        <v>7712</v>
      </c>
      <c r="AD2149" s="9">
        <v>44719</v>
      </c>
      <c r="AE2149" s="3" t="s">
        <v>438</v>
      </c>
      <c r="AF2149" s="3" t="s">
        <v>799</v>
      </c>
      <c r="AG2149" s="3" t="s">
        <v>81</v>
      </c>
      <c r="AH2149" s="11">
        <f>HYPERLINK("https://my.pitchbook.com?c=195679-72T","View Company Online")</f>
      </c>
    </row>
    <row r="2150">
      <c r="A2150" s="12" t="s">
        <v>12083</v>
      </c>
      <c r="B2150" s="12" t="s">
        <v>7524</v>
      </c>
      <c r="C2150" s="19">
        <v>7</v>
      </c>
      <c r="D2150" s="19">
        <v>31</v>
      </c>
      <c r="E2150" s="19">
        <v>12</v>
      </c>
      <c r="F2150" s="19">
        <v>39</v>
      </c>
      <c r="G2150" s="15" t="s">
        <v>326</v>
      </c>
      <c r="H2150" s="14" t="s">
        <v>36</v>
      </c>
      <c r="I2150" s="18">
        <v>36.45</v>
      </c>
      <c r="J2150" s="12" t="s">
        <v>327</v>
      </c>
      <c r="K2150" s="13">
        <v>44692</v>
      </c>
      <c r="L2150" s="15" t="s">
        <v>122</v>
      </c>
      <c r="M2150" s="12" t="s">
        <v>36</v>
      </c>
      <c r="N2150" s="12" t="s">
        <v>122</v>
      </c>
      <c r="O2150" s="17" t="s">
        <v>36</v>
      </c>
      <c r="P2150" s="12" t="s">
        <v>36</v>
      </c>
      <c r="Q2150" s="12" t="s">
        <v>36</v>
      </c>
      <c r="R2150" s="12" t="s">
        <v>36</v>
      </c>
      <c r="S2150" s="12" t="s">
        <v>36</v>
      </c>
      <c r="T2150" s="12" t="s">
        <v>3264</v>
      </c>
      <c r="U2150" s="12" t="s">
        <v>96</v>
      </c>
      <c r="V2150" s="12" t="s">
        <v>52</v>
      </c>
      <c r="W2150" s="12" t="s">
        <v>7525</v>
      </c>
      <c r="X2150" s="16" t="s">
        <v>12084</v>
      </c>
      <c r="Y2150" s="15" t="s">
        <v>108</v>
      </c>
      <c r="Z2150" s="14">
        <v>31.3</v>
      </c>
      <c r="AA2150" s="14">
        <v>85.86</v>
      </c>
      <c r="AB2150" s="12" t="s">
        <v>43</v>
      </c>
      <c r="AC2150" s="12" t="s">
        <v>7527</v>
      </c>
      <c r="AD2150" s="13">
        <v>44719</v>
      </c>
      <c r="AE2150" s="12" t="s">
        <v>496</v>
      </c>
      <c r="AF2150" s="12" t="s">
        <v>885</v>
      </c>
      <c r="AG2150" s="12" t="s">
        <v>81</v>
      </c>
      <c r="AH2150" s="1">
        <f>HYPERLINK("https://my.pitchbook.com?c=195626-62T","View Company Online")</f>
      </c>
    </row>
    <row r="2151">
      <c r="A2151" s="3" t="s">
        <v>12085</v>
      </c>
      <c r="B2151" s="3" t="s">
        <v>12086</v>
      </c>
      <c r="C2151" s="5">
        <v>4</v>
      </c>
      <c r="D2151" s="5">
        <v>5</v>
      </c>
      <c r="E2151" s="5">
        <v>2</v>
      </c>
      <c r="F2151" s="5">
        <v>10</v>
      </c>
      <c r="G2151" s="6" t="s">
        <v>36</v>
      </c>
      <c r="H2151" s="4">
        <v>1038.57</v>
      </c>
      <c r="I2151" s="7">
        <v>15</v>
      </c>
      <c r="J2151" s="3" t="s">
        <v>521</v>
      </c>
      <c r="K2151" s="9" t="s">
        <v>36</v>
      </c>
      <c r="L2151" s="6" t="s">
        <v>36</v>
      </c>
      <c r="M2151" s="3" t="s">
        <v>36</v>
      </c>
      <c r="N2151" s="3" t="s">
        <v>36</v>
      </c>
      <c r="O2151" s="8" t="s">
        <v>36</v>
      </c>
      <c r="P2151" s="3" t="s">
        <v>36</v>
      </c>
      <c r="Q2151" s="3" t="s">
        <v>36</v>
      </c>
      <c r="R2151" s="3" t="s">
        <v>36</v>
      </c>
      <c r="S2151" s="3" t="s">
        <v>36</v>
      </c>
      <c r="T2151" s="3" t="s">
        <v>881</v>
      </c>
      <c r="U2151" s="3" t="s">
        <v>51</v>
      </c>
      <c r="V2151" s="3" t="s">
        <v>52</v>
      </c>
      <c r="W2151" s="3" t="s">
        <v>12087</v>
      </c>
      <c r="X2151" s="10" t="s">
        <v>12088</v>
      </c>
      <c r="Y2151" s="6" t="s">
        <v>55</v>
      </c>
      <c r="Z2151" s="4">
        <v>0.8</v>
      </c>
      <c r="AA2151" s="4">
        <v>5.3</v>
      </c>
      <c r="AB2151" s="3" t="s">
        <v>56</v>
      </c>
      <c r="AC2151" s="3" t="s">
        <v>12089</v>
      </c>
      <c r="AD2151" s="9">
        <v>44719</v>
      </c>
      <c r="AE2151" s="3" t="s">
        <v>504</v>
      </c>
      <c r="AF2151" s="3" t="s">
        <v>3193</v>
      </c>
      <c r="AG2151" s="3" t="s">
        <v>1276</v>
      </c>
      <c r="AH2151" s="11">
        <f>HYPERLINK("https://my.pitchbook.com?c=203631-13T","View Company Online")</f>
      </c>
    </row>
    <row r="2152">
      <c r="A2152" s="12" t="s">
        <v>12090</v>
      </c>
      <c r="B2152" s="12" t="s">
        <v>12091</v>
      </c>
      <c r="C2152" s="19" t="s">
        <v>36</v>
      </c>
      <c r="D2152" s="19" t="s">
        <v>36</v>
      </c>
      <c r="E2152" s="19" t="s">
        <v>36</v>
      </c>
      <c r="F2152" s="19" t="s">
        <v>36</v>
      </c>
      <c r="G2152" s="15" t="s">
        <v>36</v>
      </c>
      <c r="H2152" s="14">
        <v>26.72</v>
      </c>
      <c r="I2152" s="18">
        <v>13.76</v>
      </c>
      <c r="J2152" s="12" t="s">
        <v>521</v>
      </c>
      <c r="K2152" s="13" t="s">
        <v>36</v>
      </c>
      <c r="L2152" s="15" t="s">
        <v>36</v>
      </c>
      <c r="M2152" s="12" t="s">
        <v>36</v>
      </c>
      <c r="N2152" s="12" t="s">
        <v>36</v>
      </c>
      <c r="O2152" s="17" t="s">
        <v>36</v>
      </c>
      <c r="P2152" s="12" t="s">
        <v>36</v>
      </c>
      <c r="Q2152" s="12" t="s">
        <v>36</v>
      </c>
      <c r="R2152" s="12" t="s">
        <v>36</v>
      </c>
      <c r="S2152" s="12" t="s">
        <v>2314</v>
      </c>
      <c r="T2152" s="12" t="s">
        <v>12092</v>
      </c>
      <c r="U2152" s="12" t="s">
        <v>648</v>
      </c>
      <c r="V2152" s="12" t="s">
        <v>64</v>
      </c>
      <c r="W2152" s="12" t="s">
        <v>12093</v>
      </c>
      <c r="X2152" s="16" t="s">
        <v>12094</v>
      </c>
      <c r="Y2152" s="15" t="s">
        <v>42</v>
      </c>
      <c r="Z2152" s="14">
        <v>0.49</v>
      </c>
      <c r="AA2152" s="14">
        <v>3.53</v>
      </c>
      <c r="AB2152" s="12" t="s">
        <v>43</v>
      </c>
      <c r="AC2152" s="12" t="s">
        <v>12095</v>
      </c>
      <c r="AD2152" s="13">
        <v>44719</v>
      </c>
      <c r="AE2152" s="12" t="s">
        <v>651</v>
      </c>
      <c r="AF2152" s="12" t="s">
        <v>680</v>
      </c>
      <c r="AG2152" s="12" t="s">
        <v>81</v>
      </c>
      <c r="AH2152" s="1">
        <f>HYPERLINK("https://my.pitchbook.com?c=191272-69T","View Company Online")</f>
      </c>
    </row>
    <row r="2153">
      <c r="A2153" s="3" t="s">
        <v>12096</v>
      </c>
      <c r="B2153" s="3" t="s">
        <v>12097</v>
      </c>
      <c r="C2153" s="5" t="s">
        <v>36</v>
      </c>
      <c r="D2153" s="5" t="s">
        <v>36</v>
      </c>
      <c r="E2153" s="5" t="s">
        <v>36</v>
      </c>
      <c r="F2153" s="5" t="s">
        <v>36</v>
      </c>
      <c r="G2153" s="6" t="s">
        <v>36</v>
      </c>
      <c r="H2153" s="4">
        <v>125.67</v>
      </c>
      <c r="I2153" s="7">
        <v>36.84</v>
      </c>
      <c r="J2153" s="3" t="s">
        <v>521</v>
      </c>
      <c r="K2153" s="9" t="s">
        <v>36</v>
      </c>
      <c r="L2153" s="6" t="s">
        <v>36</v>
      </c>
      <c r="M2153" s="3" t="s">
        <v>36</v>
      </c>
      <c r="N2153" s="3" t="s">
        <v>36</v>
      </c>
      <c r="O2153" s="8" t="s">
        <v>36</v>
      </c>
      <c r="P2153" s="3" t="s">
        <v>36</v>
      </c>
      <c r="Q2153" s="3" t="s">
        <v>36</v>
      </c>
      <c r="R2153" s="3" t="s">
        <v>36</v>
      </c>
      <c r="S2153" s="3" t="s">
        <v>36</v>
      </c>
      <c r="T2153" s="3" t="s">
        <v>8164</v>
      </c>
      <c r="U2153" s="3" t="s">
        <v>38</v>
      </c>
      <c r="V2153" s="3" t="s">
        <v>39</v>
      </c>
      <c r="W2153" s="3" t="s">
        <v>12098</v>
      </c>
      <c r="X2153" s="10" t="s">
        <v>1840</v>
      </c>
      <c r="Y2153" s="6" t="s">
        <v>42</v>
      </c>
      <c r="Z2153" s="4">
        <v>0.75</v>
      </c>
      <c r="AA2153" s="4">
        <v>2.03</v>
      </c>
      <c r="AB2153" s="3" t="s">
        <v>43</v>
      </c>
      <c r="AC2153" s="3" t="s">
        <v>12099</v>
      </c>
      <c r="AD2153" s="9">
        <v>44719</v>
      </c>
      <c r="AE2153" s="3" t="s">
        <v>554</v>
      </c>
      <c r="AF2153" s="3" t="s">
        <v>12100</v>
      </c>
      <c r="AG2153" s="3" t="s">
        <v>81</v>
      </c>
      <c r="AH2153" s="11">
        <f>HYPERLINK("https://my.pitchbook.com?c=195962-50T","View Company Online")</f>
      </c>
    </row>
    <row r="2154">
      <c r="A2154" s="12" t="s">
        <v>12101</v>
      </c>
      <c r="B2154" s="12" t="s">
        <v>12102</v>
      </c>
      <c r="C2154" s="19">
        <v>10</v>
      </c>
      <c r="D2154" s="19">
        <v>2</v>
      </c>
      <c r="E2154" s="19">
        <v>4</v>
      </c>
      <c r="F2154" s="19">
        <v>13</v>
      </c>
      <c r="G2154" s="15" t="s">
        <v>36</v>
      </c>
      <c r="H2154" s="14" t="s">
        <v>36</v>
      </c>
      <c r="I2154" s="18" t="s">
        <v>36</v>
      </c>
      <c r="J2154" s="12" t="s">
        <v>36</v>
      </c>
      <c r="K2154" s="13" t="s">
        <v>36</v>
      </c>
      <c r="L2154" s="15" t="s">
        <v>36</v>
      </c>
      <c r="M2154" s="12" t="s">
        <v>36</v>
      </c>
      <c r="N2154" s="12" t="s">
        <v>36</v>
      </c>
      <c r="O2154" s="17" t="s">
        <v>36</v>
      </c>
      <c r="P2154" s="12" t="s">
        <v>36</v>
      </c>
      <c r="Q2154" s="12" t="s">
        <v>36</v>
      </c>
      <c r="R2154" s="12" t="s">
        <v>36</v>
      </c>
      <c r="S2154" s="12" t="s">
        <v>36</v>
      </c>
      <c r="T2154" s="12" t="s">
        <v>3462</v>
      </c>
      <c r="U2154" s="12" t="s">
        <v>219</v>
      </c>
      <c r="V2154" s="12" t="s">
        <v>75</v>
      </c>
      <c r="W2154" s="12" t="s">
        <v>12103</v>
      </c>
      <c r="X2154" s="16" t="s">
        <v>12104</v>
      </c>
      <c r="Y2154" s="15" t="s">
        <v>108</v>
      </c>
      <c r="Z2154" s="14">
        <v>2.12</v>
      </c>
      <c r="AA2154" s="14" t="s">
        <v>36</v>
      </c>
      <c r="AB2154" s="12" t="s">
        <v>56</v>
      </c>
      <c r="AC2154" s="12" t="s">
        <v>12105</v>
      </c>
      <c r="AD2154" s="13">
        <v>44719</v>
      </c>
      <c r="AE2154" s="12" t="s">
        <v>223</v>
      </c>
      <c r="AF2154" s="12" t="s">
        <v>571</v>
      </c>
      <c r="AG2154" s="12" t="s">
        <v>47</v>
      </c>
      <c r="AH2154" s="1">
        <f>HYPERLINK("https://my.pitchbook.com?c=211956-58T","View Company Online")</f>
      </c>
    </row>
    <row r="2155">
      <c r="A2155" s="3" t="s">
        <v>12106</v>
      </c>
      <c r="B2155" s="3" t="s">
        <v>210</v>
      </c>
      <c r="C2155" s="5" t="s">
        <v>36</v>
      </c>
      <c r="D2155" s="5" t="s">
        <v>36</v>
      </c>
      <c r="E2155" s="5" t="s">
        <v>36</v>
      </c>
      <c r="F2155" s="5" t="s">
        <v>36</v>
      </c>
      <c r="G2155" s="6" t="s">
        <v>36</v>
      </c>
      <c r="H2155" s="4" t="s">
        <v>36</v>
      </c>
      <c r="I2155" s="7" t="s">
        <v>36</v>
      </c>
      <c r="J2155" s="3" t="s">
        <v>36</v>
      </c>
      <c r="K2155" s="9" t="s">
        <v>36</v>
      </c>
      <c r="L2155" s="6" t="s">
        <v>122</v>
      </c>
      <c r="M2155" s="3" t="s">
        <v>36</v>
      </c>
      <c r="N2155" s="3" t="s">
        <v>122</v>
      </c>
      <c r="O2155" s="8" t="s">
        <v>36</v>
      </c>
      <c r="P2155" s="3" t="s">
        <v>36</v>
      </c>
      <c r="Q2155" s="3" t="s">
        <v>36</v>
      </c>
      <c r="R2155" s="3" t="s">
        <v>36</v>
      </c>
      <c r="S2155" s="3" t="s">
        <v>36</v>
      </c>
      <c r="T2155" s="3" t="s">
        <v>211</v>
      </c>
      <c r="U2155" s="3" t="s">
        <v>38</v>
      </c>
      <c r="V2155" s="3" t="s">
        <v>39</v>
      </c>
      <c r="W2155" s="3" t="s">
        <v>212</v>
      </c>
      <c r="X2155" s="10" t="s">
        <v>12107</v>
      </c>
      <c r="Y2155" s="6" t="s">
        <v>55</v>
      </c>
      <c r="Z2155" s="4">
        <v>25</v>
      </c>
      <c r="AA2155" s="4" t="s">
        <v>36</v>
      </c>
      <c r="AB2155" s="3" t="s">
        <v>43</v>
      </c>
      <c r="AC2155" s="3" t="s">
        <v>214</v>
      </c>
      <c r="AD2155" s="9">
        <v>44718</v>
      </c>
      <c r="AE2155" s="3" t="s">
        <v>45</v>
      </c>
      <c r="AF2155" s="3" t="s">
        <v>215</v>
      </c>
      <c r="AG2155" s="3" t="s">
        <v>81</v>
      </c>
      <c r="AH2155" s="11">
        <f>HYPERLINK("https://my.pitchbook.com?c=195535-09T","View Company Online")</f>
      </c>
    </row>
    <row r="2156">
      <c r="A2156" s="12" t="s">
        <v>12108</v>
      </c>
      <c r="B2156" s="12" t="s">
        <v>12109</v>
      </c>
      <c r="C2156" s="19" t="s">
        <v>36</v>
      </c>
      <c r="D2156" s="19" t="s">
        <v>36</v>
      </c>
      <c r="E2156" s="19" t="s">
        <v>36</v>
      </c>
      <c r="F2156" s="19" t="s">
        <v>36</v>
      </c>
      <c r="G2156" s="15" t="s">
        <v>36</v>
      </c>
      <c r="H2156" s="14" t="s">
        <v>36</v>
      </c>
      <c r="I2156" s="18" t="s">
        <v>36</v>
      </c>
      <c r="J2156" s="12" t="s">
        <v>36</v>
      </c>
      <c r="K2156" s="13">
        <v>44460</v>
      </c>
      <c r="L2156" s="15" t="s">
        <v>94</v>
      </c>
      <c r="M2156" s="12" t="s">
        <v>36</v>
      </c>
      <c r="N2156" s="12" t="s">
        <v>94</v>
      </c>
      <c r="O2156" s="17" t="s">
        <v>36</v>
      </c>
      <c r="P2156" s="12" t="s">
        <v>36</v>
      </c>
      <c r="Q2156" s="12" t="s">
        <v>36</v>
      </c>
      <c r="R2156" s="12" t="s">
        <v>36</v>
      </c>
      <c r="S2156" s="12" t="s">
        <v>36</v>
      </c>
      <c r="T2156" s="12" t="s">
        <v>9281</v>
      </c>
      <c r="U2156" s="12" t="s">
        <v>38</v>
      </c>
      <c r="V2156" s="12" t="s">
        <v>39</v>
      </c>
      <c r="W2156" s="12" t="s">
        <v>12110</v>
      </c>
      <c r="X2156" s="16" t="s">
        <v>12111</v>
      </c>
      <c r="Y2156" s="15" t="s">
        <v>321</v>
      </c>
      <c r="Z2156" s="14">
        <v>100</v>
      </c>
      <c r="AA2156" s="14" t="s">
        <v>36</v>
      </c>
      <c r="AB2156" s="12" t="s">
        <v>56</v>
      </c>
      <c r="AC2156" s="12" t="s">
        <v>12112</v>
      </c>
      <c r="AD2156" s="13">
        <v>44718</v>
      </c>
      <c r="AE2156" s="12" t="s">
        <v>1945</v>
      </c>
      <c r="AF2156" s="12" t="s">
        <v>1401</v>
      </c>
      <c r="AG2156" s="12" t="s">
        <v>102</v>
      </c>
      <c r="AH2156" s="1">
        <f>HYPERLINK("https://my.pitchbook.com?c=195497-65T","View Company Online")</f>
      </c>
    </row>
    <row r="2157">
      <c r="A2157" s="3" t="s">
        <v>12113</v>
      </c>
      <c r="B2157" s="3" t="s">
        <v>3396</v>
      </c>
      <c r="C2157" s="5" t="s">
        <v>36</v>
      </c>
      <c r="D2157" s="5" t="s">
        <v>36</v>
      </c>
      <c r="E2157" s="5" t="s">
        <v>36</v>
      </c>
      <c r="F2157" s="5" t="s">
        <v>36</v>
      </c>
      <c r="G2157" s="6" t="s">
        <v>326</v>
      </c>
      <c r="H2157" s="4">
        <v>269.53</v>
      </c>
      <c r="I2157" s="7">
        <v>13.5</v>
      </c>
      <c r="J2157" s="3" t="s">
        <v>521</v>
      </c>
      <c r="K2157" s="9" t="s">
        <v>36</v>
      </c>
      <c r="L2157" s="6" t="s">
        <v>36</v>
      </c>
      <c r="M2157" s="3" t="s">
        <v>36</v>
      </c>
      <c r="N2157" s="3" t="s">
        <v>36</v>
      </c>
      <c r="O2157" s="8" t="s">
        <v>36</v>
      </c>
      <c r="P2157" s="3" t="s">
        <v>36</v>
      </c>
      <c r="Q2157" s="3" t="s">
        <v>36</v>
      </c>
      <c r="R2157" s="3" t="s">
        <v>36</v>
      </c>
      <c r="S2157" s="3" t="s">
        <v>36</v>
      </c>
      <c r="T2157" s="3" t="s">
        <v>3397</v>
      </c>
      <c r="U2157" s="3" t="s">
        <v>423</v>
      </c>
      <c r="V2157" s="3" t="s">
        <v>64</v>
      </c>
      <c r="W2157" s="3" t="s">
        <v>3398</v>
      </c>
      <c r="X2157" s="10" t="s">
        <v>12114</v>
      </c>
      <c r="Y2157" s="6" t="s">
        <v>108</v>
      </c>
      <c r="Z2157" s="4">
        <v>0.53</v>
      </c>
      <c r="AA2157" s="4">
        <v>3.67</v>
      </c>
      <c r="AB2157" s="3" t="s">
        <v>43</v>
      </c>
      <c r="AC2157" s="3" t="s">
        <v>3400</v>
      </c>
      <c r="AD2157" s="9">
        <v>44715</v>
      </c>
      <c r="AE2157" s="3" t="s">
        <v>562</v>
      </c>
      <c r="AF2157" s="3" t="s">
        <v>1061</v>
      </c>
      <c r="AG2157" s="3" t="s">
        <v>144</v>
      </c>
      <c r="AH2157" s="11">
        <f>HYPERLINK("https://my.pitchbook.com?c=195423-49T","View Company Online")</f>
      </c>
    </row>
    <row r="2158">
      <c r="A2158" s="12" t="s">
        <v>12115</v>
      </c>
      <c r="B2158" s="12" t="s">
        <v>12116</v>
      </c>
      <c r="C2158" s="19" t="s">
        <v>36</v>
      </c>
      <c r="D2158" s="19" t="s">
        <v>36</v>
      </c>
      <c r="E2158" s="19" t="s">
        <v>36</v>
      </c>
      <c r="F2158" s="19" t="s">
        <v>36</v>
      </c>
      <c r="G2158" s="15" t="s">
        <v>326</v>
      </c>
      <c r="H2158" s="14">
        <v>241.31</v>
      </c>
      <c r="I2158" s="18">
        <v>3.87</v>
      </c>
      <c r="J2158" s="12" t="s">
        <v>521</v>
      </c>
      <c r="K2158" s="13">
        <v>44683</v>
      </c>
      <c r="L2158" s="15" t="s">
        <v>36</v>
      </c>
      <c r="M2158" s="12" t="s">
        <v>36</v>
      </c>
      <c r="N2158" s="12" t="s">
        <v>36</v>
      </c>
      <c r="O2158" s="17" t="s">
        <v>36</v>
      </c>
      <c r="P2158" s="12" t="s">
        <v>36</v>
      </c>
      <c r="Q2158" s="12" t="s">
        <v>36</v>
      </c>
      <c r="R2158" s="12" t="s">
        <v>36</v>
      </c>
      <c r="S2158" s="12" t="s">
        <v>36</v>
      </c>
      <c r="T2158" s="12" t="s">
        <v>692</v>
      </c>
      <c r="U2158" s="12" t="s">
        <v>74</v>
      </c>
      <c r="V2158" s="12" t="s">
        <v>75</v>
      </c>
      <c r="W2158" s="12" t="s">
        <v>12117</v>
      </c>
      <c r="X2158" s="16" t="s">
        <v>12118</v>
      </c>
      <c r="Y2158" s="15" t="s">
        <v>108</v>
      </c>
      <c r="Z2158" s="14">
        <v>0.32</v>
      </c>
      <c r="AA2158" s="14">
        <v>7.94</v>
      </c>
      <c r="AB2158" s="12" t="s">
        <v>43</v>
      </c>
      <c r="AC2158" s="12" t="s">
        <v>12119</v>
      </c>
      <c r="AD2158" s="13">
        <v>44715</v>
      </c>
      <c r="AE2158" s="12" t="s">
        <v>696</v>
      </c>
      <c r="AF2158" s="12" t="s">
        <v>176</v>
      </c>
      <c r="AG2158" s="12" t="s">
        <v>10521</v>
      </c>
      <c r="AH2158" s="1">
        <f>HYPERLINK("https://my.pitchbook.com?c=166534-75T","View Company Online")</f>
      </c>
    </row>
    <row r="2159">
      <c r="A2159" s="3" t="s">
        <v>12120</v>
      </c>
      <c r="B2159" s="3" t="s">
        <v>12121</v>
      </c>
      <c r="C2159" s="5" t="s">
        <v>36</v>
      </c>
      <c r="D2159" s="5" t="s">
        <v>36</v>
      </c>
      <c r="E2159" s="5" t="s">
        <v>36</v>
      </c>
      <c r="F2159" s="5" t="s">
        <v>36</v>
      </c>
      <c r="G2159" s="6" t="s">
        <v>36</v>
      </c>
      <c r="H2159" s="4">
        <v>9.81</v>
      </c>
      <c r="I2159" s="7">
        <v>16</v>
      </c>
      <c r="J2159" s="3" t="s">
        <v>521</v>
      </c>
      <c r="K2159" s="9" t="s">
        <v>36</v>
      </c>
      <c r="L2159" s="6" t="s">
        <v>36</v>
      </c>
      <c r="M2159" s="3" t="s">
        <v>36</v>
      </c>
      <c r="N2159" s="3" t="s">
        <v>36</v>
      </c>
      <c r="O2159" s="8" t="s">
        <v>36</v>
      </c>
      <c r="P2159" s="3" t="s">
        <v>36</v>
      </c>
      <c r="Q2159" s="3" t="s">
        <v>36</v>
      </c>
      <c r="R2159" s="3" t="s">
        <v>36</v>
      </c>
      <c r="S2159" s="3" t="s">
        <v>36</v>
      </c>
      <c r="T2159" s="3" t="s">
        <v>3984</v>
      </c>
      <c r="U2159" s="3" t="s">
        <v>648</v>
      </c>
      <c r="V2159" s="3" t="s">
        <v>64</v>
      </c>
      <c r="W2159" s="3" t="s">
        <v>12122</v>
      </c>
      <c r="X2159" s="10" t="s">
        <v>12123</v>
      </c>
      <c r="Y2159" s="6" t="s">
        <v>42</v>
      </c>
      <c r="Z2159" s="4">
        <v>2.12</v>
      </c>
      <c r="AA2159" s="4">
        <v>13.23</v>
      </c>
      <c r="AB2159" s="3" t="s">
        <v>43</v>
      </c>
      <c r="AC2159" s="3" t="s">
        <v>12124</v>
      </c>
      <c r="AD2159" s="9">
        <v>44715</v>
      </c>
      <c r="AE2159" s="3" t="s">
        <v>3988</v>
      </c>
      <c r="AF2159" s="3" t="s">
        <v>4284</v>
      </c>
      <c r="AG2159" s="3" t="s">
        <v>12125</v>
      </c>
      <c r="AH2159" s="11">
        <f>HYPERLINK("https://my.pitchbook.com?c=196525-54T","View Company Online")</f>
      </c>
    </row>
    <row r="2160">
      <c r="A2160" s="12" t="s">
        <v>12126</v>
      </c>
      <c r="B2160" s="12" t="s">
        <v>12127</v>
      </c>
      <c r="C2160" s="19" t="s">
        <v>36</v>
      </c>
      <c r="D2160" s="19" t="s">
        <v>36</v>
      </c>
      <c r="E2160" s="19" t="s">
        <v>36</v>
      </c>
      <c r="F2160" s="19" t="s">
        <v>36</v>
      </c>
      <c r="G2160" s="15" t="s">
        <v>36</v>
      </c>
      <c r="H2160" s="14" t="s">
        <v>36</v>
      </c>
      <c r="I2160" s="18" t="s">
        <v>36</v>
      </c>
      <c r="J2160" s="12" t="s">
        <v>36</v>
      </c>
      <c r="K2160" s="13" t="s">
        <v>36</v>
      </c>
      <c r="L2160" s="15" t="s">
        <v>36</v>
      </c>
      <c r="M2160" s="12" t="s">
        <v>36</v>
      </c>
      <c r="N2160" s="12" t="s">
        <v>36</v>
      </c>
      <c r="O2160" s="17" t="s">
        <v>36</v>
      </c>
      <c r="P2160" s="12" t="s">
        <v>36</v>
      </c>
      <c r="Q2160" s="12" t="s">
        <v>36</v>
      </c>
      <c r="R2160" s="12" t="s">
        <v>36</v>
      </c>
      <c r="S2160" s="12" t="s">
        <v>36</v>
      </c>
      <c r="T2160" s="12" t="s">
        <v>1990</v>
      </c>
      <c r="U2160" s="12" t="s">
        <v>38</v>
      </c>
      <c r="V2160" s="12" t="s">
        <v>39</v>
      </c>
      <c r="W2160" s="12" t="s">
        <v>12128</v>
      </c>
      <c r="X2160" s="16" t="s">
        <v>12129</v>
      </c>
      <c r="Y2160" s="15" t="s">
        <v>42</v>
      </c>
      <c r="Z2160" s="14">
        <v>2.12</v>
      </c>
      <c r="AA2160" s="14" t="s">
        <v>36</v>
      </c>
      <c r="AB2160" s="12" t="s">
        <v>43</v>
      </c>
      <c r="AC2160" s="12" t="s">
        <v>12130</v>
      </c>
      <c r="AD2160" s="13">
        <v>44715</v>
      </c>
      <c r="AE2160" s="12" t="s">
        <v>110</v>
      </c>
      <c r="AF2160" s="12" t="s">
        <v>176</v>
      </c>
      <c r="AG2160" s="12" t="s">
        <v>81</v>
      </c>
      <c r="AH2160" s="1">
        <f>HYPERLINK("https://my.pitchbook.com?c=195407-74T","View Company Online")</f>
      </c>
    </row>
    <row r="2161">
      <c r="A2161" s="3" t="s">
        <v>12131</v>
      </c>
      <c r="B2161" s="3" t="s">
        <v>4003</v>
      </c>
      <c r="C2161" s="5">
        <v>32</v>
      </c>
      <c r="D2161" s="5">
        <v>17</v>
      </c>
      <c r="E2161" s="5">
        <v>15</v>
      </c>
      <c r="F2161" s="5">
        <v>49</v>
      </c>
      <c r="G2161" s="6" t="s">
        <v>36</v>
      </c>
      <c r="H2161" s="4" t="s">
        <v>36</v>
      </c>
      <c r="I2161" s="7" t="s">
        <v>36</v>
      </c>
      <c r="J2161" s="3" t="s">
        <v>36</v>
      </c>
      <c r="K2161" s="9" t="s">
        <v>36</v>
      </c>
      <c r="L2161" s="6" t="s">
        <v>1279</v>
      </c>
      <c r="M2161" s="3" t="s">
        <v>36</v>
      </c>
      <c r="N2161" s="3" t="s">
        <v>1279</v>
      </c>
      <c r="O2161" s="8" t="s">
        <v>36</v>
      </c>
      <c r="P2161" s="3" t="s">
        <v>36</v>
      </c>
      <c r="Q2161" s="3" t="s">
        <v>36</v>
      </c>
      <c r="R2161" s="3" t="s">
        <v>36</v>
      </c>
      <c r="S2161" s="3" t="s">
        <v>36</v>
      </c>
      <c r="T2161" s="3" t="s">
        <v>4004</v>
      </c>
      <c r="U2161" s="3" t="s">
        <v>96</v>
      </c>
      <c r="V2161" s="3" t="s">
        <v>52</v>
      </c>
      <c r="W2161" s="3" t="s">
        <v>4005</v>
      </c>
      <c r="X2161" s="10" t="s">
        <v>12132</v>
      </c>
      <c r="Y2161" s="6" t="s">
        <v>55</v>
      </c>
      <c r="Z2161" s="4">
        <v>74.05</v>
      </c>
      <c r="AA2161" s="4" t="s">
        <v>36</v>
      </c>
      <c r="AB2161" s="3" t="s">
        <v>56</v>
      </c>
      <c r="AC2161" s="3" t="s">
        <v>4007</v>
      </c>
      <c r="AD2161" s="9">
        <v>44714</v>
      </c>
      <c r="AE2161" s="3" t="s">
        <v>100</v>
      </c>
      <c r="AF2161" s="3" t="s">
        <v>3024</v>
      </c>
      <c r="AG2161" s="3" t="s">
        <v>969</v>
      </c>
      <c r="AH2161" s="11">
        <f>HYPERLINK("https://my.pitchbook.com?c=195315-49T","View Company Online")</f>
      </c>
    </row>
    <row r="2162">
      <c r="A2162" s="12" t="s">
        <v>12133</v>
      </c>
      <c r="B2162" s="12" t="s">
        <v>12134</v>
      </c>
      <c r="C2162" s="19" t="s">
        <v>36</v>
      </c>
      <c r="D2162" s="19" t="s">
        <v>36</v>
      </c>
      <c r="E2162" s="19" t="s">
        <v>36</v>
      </c>
      <c r="F2162" s="19" t="s">
        <v>36</v>
      </c>
      <c r="G2162" s="15" t="s">
        <v>326</v>
      </c>
      <c r="H2162" s="14">
        <v>4.47</v>
      </c>
      <c r="I2162" s="18">
        <v>15.76</v>
      </c>
      <c r="J2162" s="12" t="s">
        <v>521</v>
      </c>
      <c r="K2162" s="13" t="s">
        <v>36</v>
      </c>
      <c r="L2162" s="15" t="s">
        <v>122</v>
      </c>
      <c r="M2162" s="12" t="s">
        <v>36</v>
      </c>
      <c r="N2162" s="12" t="s">
        <v>122</v>
      </c>
      <c r="O2162" s="17" t="s">
        <v>36</v>
      </c>
      <c r="P2162" s="12" t="s">
        <v>36</v>
      </c>
      <c r="Q2162" s="12" t="s">
        <v>36</v>
      </c>
      <c r="R2162" s="12" t="s">
        <v>36</v>
      </c>
      <c r="S2162" s="12" t="s">
        <v>36</v>
      </c>
      <c r="T2162" s="12" t="s">
        <v>105</v>
      </c>
      <c r="U2162" s="12" t="s">
        <v>38</v>
      </c>
      <c r="V2162" s="12" t="s">
        <v>39</v>
      </c>
      <c r="W2162" s="12" t="s">
        <v>12135</v>
      </c>
      <c r="X2162" s="16" t="s">
        <v>12136</v>
      </c>
      <c r="Y2162" s="15" t="s">
        <v>108</v>
      </c>
      <c r="Z2162" s="14">
        <v>4.23</v>
      </c>
      <c r="AA2162" s="14">
        <v>15.34</v>
      </c>
      <c r="AB2162" s="12" t="s">
        <v>43</v>
      </c>
      <c r="AC2162" s="12" t="s">
        <v>12137</v>
      </c>
      <c r="AD2162" s="13">
        <v>44714</v>
      </c>
      <c r="AE2162" s="12" t="s">
        <v>110</v>
      </c>
      <c r="AF2162" s="12" t="s">
        <v>176</v>
      </c>
      <c r="AG2162" s="12" t="s">
        <v>2760</v>
      </c>
      <c r="AH2162" s="1">
        <f>HYPERLINK("https://my.pitchbook.com?c=195328-81T","View Company Online")</f>
      </c>
    </row>
    <row r="2163">
      <c r="A2163" s="3" t="s">
        <v>12138</v>
      </c>
      <c r="B2163" s="3" t="s">
        <v>12139</v>
      </c>
      <c r="C2163" s="5" t="s">
        <v>36</v>
      </c>
      <c r="D2163" s="5">
        <v>2</v>
      </c>
      <c r="E2163" s="5">
        <v>1</v>
      </c>
      <c r="F2163" s="5">
        <v>2</v>
      </c>
      <c r="G2163" s="6" t="s">
        <v>36</v>
      </c>
      <c r="H2163" s="4" t="s">
        <v>36</v>
      </c>
      <c r="I2163" s="7" t="s">
        <v>36</v>
      </c>
      <c r="J2163" s="3" t="s">
        <v>36</v>
      </c>
      <c r="K2163" s="9" t="s">
        <v>36</v>
      </c>
      <c r="L2163" s="6" t="s">
        <v>36</v>
      </c>
      <c r="M2163" s="3" t="s">
        <v>36</v>
      </c>
      <c r="N2163" s="3" t="s">
        <v>36</v>
      </c>
      <c r="O2163" s="8" t="s">
        <v>36</v>
      </c>
      <c r="P2163" s="3" t="s">
        <v>36</v>
      </c>
      <c r="Q2163" s="3" t="s">
        <v>36</v>
      </c>
      <c r="R2163" s="3" t="s">
        <v>36</v>
      </c>
      <c r="S2163" s="3" t="s">
        <v>36</v>
      </c>
      <c r="T2163" s="3" t="s">
        <v>12140</v>
      </c>
      <c r="U2163" s="3" t="s">
        <v>7149</v>
      </c>
      <c r="V2163" s="3" t="s">
        <v>378</v>
      </c>
      <c r="W2163" s="3" t="s">
        <v>12141</v>
      </c>
      <c r="X2163" s="10" t="s">
        <v>12142</v>
      </c>
      <c r="Y2163" s="6" t="s">
        <v>108</v>
      </c>
      <c r="Z2163" s="4">
        <v>1.06</v>
      </c>
      <c r="AA2163" s="4" t="s">
        <v>36</v>
      </c>
      <c r="AB2163" s="3" t="s">
        <v>56</v>
      </c>
      <c r="AC2163" s="3" t="s">
        <v>12143</v>
      </c>
      <c r="AD2163" s="9">
        <v>44713</v>
      </c>
      <c r="AE2163" s="3" t="s">
        <v>7153</v>
      </c>
      <c r="AF2163" s="3" t="s">
        <v>12144</v>
      </c>
      <c r="AG2163" s="3" t="s">
        <v>12145</v>
      </c>
      <c r="AH2163" s="11">
        <f>HYPERLINK("https://my.pitchbook.com?c=197100-01T","View Company Online")</f>
      </c>
    </row>
    <row r="2164">
      <c r="A2164" s="12" t="s">
        <v>12146</v>
      </c>
      <c r="B2164" s="12" t="s">
        <v>12147</v>
      </c>
      <c r="C2164" s="19" t="s">
        <v>36</v>
      </c>
      <c r="D2164" s="19" t="s">
        <v>36</v>
      </c>
      <c r="E2164" s="19" t="s">
        <v>36</v>
      </c>
      <c r="F2164" s="19" t="s">
        <v>36</v>
      </c>
      <c r="G2164" s="15" t="s">
        <v>36</v>
      </c>
      <c r="H2164" s="14" t="s">
        <v>36</v>
      </c>
      <c r="I2164" s="18" t="s">
        <v>36</v>
      </c>
      <c r="J2164" s="12" t="s">
        <v>36</v>
      </c>
      <c r="K2164" s="13" t="s">
        <v>36</v>
      </c>
      <c r="L2164" s="15" t="s">
        <v>36</v>
      </c>
      <c r="M2164" s="12" t="s">
        <v>36</v>
      </c>
      <c r="N2164" s="12" t="s">
        <v>36</v>
      </c>
      <c r="O2164" s="17" t="s">
        <v>36</v>
      </c>
      <c r="P2164" s="12" t="s">
        <v>36</v>
      </c>
      <c r="Q2164" s="12" t="s">
        <v>36</v>
      </c>
      <c r="R2164" s="12" t="s">
        <v>36</v>
      </c>
      <c r="S2164" s="12" t="s">
        <v>36</v>
      </c>
      <c r="T2164" s="12" t="s">
        <v>5929</v>
      </c>
      <c r="U2164" s="12" t="s">
        <v>38</v>
      </c>
      <c r="V2164" s="12" t="s">
        <v>39</v>
      </c>
      <c r="W2164" s="12" t="s">
        <v>12148</v>
      </c>
      <c r="X2164" s="16" t="s">
        <v>4402</v>
      </c>
      <c r="Y2164" s="15" t="s">
        <v>42</v>
      </c>
      <c r="Z2164" s="14" t="s">
        <v>36</v>
      </c>
      <c r="AA2164" s="14" t="s">
        <v>36</v>
      </c>
      <c r="AB2164" s="12" t="s">
        <v>56</v>
      </c>
      <c r="AC2164" s="12" t="s">
        <v>12149</v>
      </c>
      <c r="AD2164" s="13">
        <v>44713</v>
      </c>
      <c r="AE2164" s="12" t="s">
        <v>110</v>
      </c>
      <c r="AF2164" s="12" t="s">
        <v>9001</v>
      </c>
      <c r="AG2164" s="12" t="s">
        <v>81</v>
      </c>
      <c r="AH2164" s="1">
        <f>HYPERLINK("https://my.pitchbook.com?c=197107-39T","View Company Online")</f>
      </c>
    </row>
    <row r="2165">
      <c r="A2165" s="3" t="s">
        <v>12150</v>
      </c>
      <c r="B2165" s="3" t="s">
        <v>12151</v>
      </c>
      <c r="C2165" s="5" t="s">
        <v>36</v>
      </c>
      <c r="D2165" s="5">
        <v>4</v>
      </c>
      <c r="E2165" s="5">
        <v>2</v>
      </c>
      <c r="F2165" s="5">
        <v>4</v>
      </c>
      <c r="G2165" s="6" t="s">
        <v>36</v>
      </c>
      <c r="H2165" s="4" t="s">
        <v>36</v>
      </c>
      <c r="I2165" s="7" t="s">
        <v>36</v>
      </c>
      <c r="J2165" s="3" t="s">
        <v>36</v>
      </c>
      <c r="K2165" s="9">
        <v>44713</v>
      </c>
      <c r="L2165" s="6" t="s">
        <v>36</v>
      </c>
      <c r="M2165" s="3" t="s">
        <v>36</v>
      </c>
      <c r="N2165" s="3" t="s">
        <v>36</v>
      </c>
      <c r="O2165" s="8" t="s">
        <v>36</v>
      </c>
      <c r="P2165" s="3" t="s">
        <v>36</v>
      </c>
      <c r="Q2165" s="3" t="s">
        <v>36</v>
      </c>
      <c r="R2165" s="3" t="s">
        <v>36</v>
      </c>
      <c r="S2165" s="3" t="s">
        <v>36</v>
      </c>
      <c r="T2165" s="3" t="s">
        <v>4692</v>
      </c>
      <c r="U2165" s="3" t="s">
        <v>85</v>
      </c>
      <c r="V2165" s="3" t="s">
        <v>64</v>
      </c>
      <c r="W2165" s="3" t="s">
        <v>12152</v>
      </c>
      <c r="X2165" s="10" t="s">
        <v>12153</v>
      </c>
      <c r="Y2165" s="6" t="s">
        <v>12154</v>
      </c>
      <c r="Z2165" s="4">
        <v>15.86</v>
      </c>
      <c r="AA2165" s="4" t="s">
        <v>36</v>
      </c>
      <c r="AB2165" s="3" t="s">
        <v>56</v>
      </c>
      <c r="AC2165" s="3" t="s">
        <v>12155</v>
      </c>
      <c r="AD2165" s="9">
        <v>44713</v>
      </c>
      <c r="AE2165" s="3" t="s">
        <v>89</v>
      </c>
      <c r="AF2165" s="3" t="s">
        <v>12156</v>
      </c>
      <c r="AG2165" s="3" t="s">
        <v>81</v>
      </c>
      <c r="AH2165" s="11">
        <f>HYPERLINK("https://my.pitchbook.com?c=196470-73T","View Company Online")</f>
      </c>
    </row>
    <row r="2166">
      <c r="A2166" s="12" t="s">
        <v>12157</v>
      </c>
      <c r="B2166" s="12" t="s">
        <v>3849</v>
      </c>
      <c r="C2166" s="19">
        <v>1</v>
      </c>
      <c r="D2166" s="19" t="s">
        <v>36</v>
      </c>
      <c r="E2166" s="19">
        <v>1</v>
      </c>
      <c r="F2166" s="19">
        <v>1</v>
      </c>
      <c r="G2166" s="15" t="s">
        <v>36</v>
      </c>
      <c r="H2166" s="14" t="s">
        <v>36</v>
      </c>
      <c r="I2166" s="18" t="s">
        <v>36</v>
      </c>
      <c r="J2166" s="12" t="s">
        <v>521</v>
      </c>
      <c r="K2166" s="13" t="s">
        <v>36</v>
      </c>
      <c r="L2166" s="15" t="s">
        <v>36</v>
      </c>
      <c r="M2166" s="12" t="s">
        <v>36</v>
      </c>
      <c r="N2166" s="12" t="s">
        <v>36</v>
      </c>
      <c r="O2166" s="17" t="s">
        <v>36</v>
      </c>
      <c r="P2166" s="12" t="s">
        <v>36</v>
      </c>
      <c r="Q2166" s="12" t="s">
        <v>36</v>
      </c>
      <c r="R2166" s="12" t="s">
        <v>36</v>
      </c>
      <c r="S2166" s="12" t="s">
        <v>36</v>
      </c>
      <c r="T2166" s="12" t="s">
        <v>3850</v>
      </c>
      <c r="U2166" s="12" t="s">
        <v>1580</v>
      </c>
      <c r="V2166" s="12" t="s">
        <v>39</v>
      </c>
      <c r="W2166" s="12" t="s">
        <v>3851</v>
      </c>
      <c r="X2166" s="16" t="s">
        <v>12158</v>
      </c>
      <c r="Y2166" s="15" t="s">
        <v>55</v>
      </c>
      <c r="Z2166" s="14">
        <v>5.29</v>
      </c>
      <c r="AA2166" s="14">
        <v>12.69</v>
      </c>
      <c r="AB2166" s="12" t="s">
        <v>43</v>
      </c>
      <c r="AC2166" s="12" t="s">
        <v>3853</v>
      </c>
      <c r="AD2166" s="13">
        <v>44713</v>
      </c>
      <c r="AE2166" s="12" t="s">
        <v>3854</v>
      </c>
      <c r="AF2166" s="12" t="s">
        <v>36</v>
      </c>
      <c r="AG2166" s="12" t="s">
        <v>924</v>
      </c>
      <c r="AH2166" s="1">
        <f>HYPERLINK("https://my.pitchbook.com?c=203030-56T","View Company Online")</f>
      </c>
    </row>
    <row r="2167">
      <c r="A2167" s="3" t="s">
        <v>12159</v>
      </c>
      <c r="B2167" s="3" t="s">
        <v>3957</v>
      </c>
      <c r="C2167" s="5" t="s">
        <v>36</v>
      </c>
      <c r="D2167" s="5" t="s">
        <v>36</v>
      </c>
      <c r="E2167" s="5">
        <v>1</v>
      </c>
      <c r="F2167" s="5">
        <v>1</v>
      </c>
      <c r="G2167" s="6" t="s">
        <v>36</v>
      </c>
      <c r="H2167" s="4">
        <v>17.96</v>
      </c>
      <c r="I2167" s="7">
        <v>33.12</v>
      </c>
      <c r="J2167" s="3" t="s">
        <v>521</v>
      </c>
      <c r="K2167" s="9" t="s">
        <v>36</v>
      </c>
      <c r="L2167" s="6" t="s">
        <v>122</v>
      </c>
      <c r="M2167" s="3" t="s">
        <v>36</v>
      </c>
      <c r="N2167" s="3" t="s">
        <v>122</v>
      </c>
      <c r="O2167" s="8" t="s">
        <v>36</v>
      </c>
      <c r="P2167" s="3" t="s">
        <v>36</v>
      </c>
      <c r="Q2167" s="3" t="s">
        <v>36</v>
      </c>
      <c r="R2167" s="3" t="s">
        <v>36</v>
      </c>
      <c r="S2167" s="3" t="s">
        <v>36</v>
      </c>
      <c r="T2167" s="3" t="s">
        <v>3958</v>
      </c>
      <c r="U2167" s="3" t="s">
        <v>38</v>
      </c>
      <c r="V2167" s="3" t="s">
        <v>39</v>
      </c>
      <c r="W2167" s="3" t="s">
        <v>3959</v>
      </c>
      <c r="X2167" s="10" t="s">
        <v>12160</v>
      </c>
      <c r="Y2167" s="6" t="s">
        <v>55</v>
      </c>
      <c r="Z2167" s="4">
        <v>22.49</v>
      </c>
      <c r="AA2167" s="4">
        <v>63.85</v>
      </c>
      <c r="AB2167" s="3" t="s">
        <v>43</v>
      </c>
      <c r="AC2167" s="3" t="s">
        <v>3961</v>
      </c>
      <c r="AD2167" s="9">
        <v>44713</v>
      </c>
      <c r="AE2167" s="3" t="s">
        <v>110</v>
      </c>
      <c r="AF2167" s="3" t="s">
        <v>2397</v>
      </c>
      <c r="AG2167" s="3" t="s">
        <v>81</v>
      </c>
      <c r="AH2167" s="11">
        <f>HYPERLINK("https://my.pitchbook.com?c=192306-43T","View Company Online")</f>
      </c>
    </row>
    <row r="2168">
      <c r="A2168" s="12" t="s">
        <v>12161</v>
      </c>
      <c r="B2168" s="12" t="s">
        <v>12162</v>
      </c>
      <c r="C2168" s="19" t="s">
        <v>36</v>
      </c>
      <c r="D2168" s="19" t="s">
        <v>36</v>
      </c>
      <c r="E2168" s="19" t="s">
        <v>36</v>
      </c>
      <c r="F2168" s="19" t="s">
        <v>36</v>
      </c>
      <c r="G2168" s="15" t="s">
        <v>36</v>
      </c>
      <c r="H2168" s="14" t="s">
        <v>36</v>
      </c>
      <c r="I2168" s="18" t="s">
        <v>36</v>
      </c>
      <c r="J2168" s="12" t="s">
        <v>36</v>
      </c>
      <c r="K2168" s="13" t="s">
        <v>36</v>
      </c>
      <c r="L2168" s="15" t="s">
        <v>36</v>
      </c>
      <c r="M2168" s="12" t="s">
        <v>36</v>
      </c>
      <c r="N2168" s="12" t="s">
        <v>36</v>
      </c>
      <c r="O2168" s="17" t="s">
        <v>36</v>
      </c>
      <c r="P2168" s="12" t="s">
        <v>36</v>
      </c>
      <c r="Q2168" s="12" t="s">
        <v>36</v>
      </c>
      <c r="R2168" s="12" t="s">
        <v>36</v>
      </c>
      <c r="S2168" s="12" t="s">
        <v>36</v>
      </c>
      <c r="T2168" s="12" t="s">
        <v>12163</v>
      </c>
      <c r="U2168" s="12" t="s">
        <v>648</v>
      </c>
      <c r="V2168" s="12" t="s">
        <v>64</v>
      </c>
      <c r="W2168" s="12" t="s">
        <v>12164</v>
      </c>
      <c r="X2168" s="16" t="s">
        <v>1598</v>
      </c>
      <c r="Y2168" s="15" t="s">
        <v>42</v>
      </c>
      <c r="Z2168" s="14" t="s">
        <v>36</v>
      </c>
      <c r="AA2168" s="14" t="s">
        <v>36</v>
      </c>
      <c r="AB2168" s="12" t="s">
        <v>56</v>
      </c>
      <c r="AC2168" s="12" t="s">
        <v>12165</v>
      </c>
      <c r="AD2168" s="13">
        <v>44713</v>
      </c>
      <c r="AE2168" s="12" t="s">
        <v>3988</v>
      </c>
      <c r="AF2168" s="12" t="s">
        <v>4284</v>
      </c>
      <c r="AG2168" s="12" t="s">
        <v>3733</v>
      </c>
      <c r="AH2168" s="1">
        <f>HYPERLINK("https://my.pitchbook.com?c=198951-94T","View Company Online")</f>
      </c>
    </row>
    <row r="2169">
      <c r="A2169" s="3" t="s">
        <v>12166</v>
      </c>
      <c r="B2169" s="3" t="s">
        <v>12167</v>
      </c>
      <c r="C2169" s="5">
        <v>11</v>
      </c>
      <c r="D2169" s="5">
        <v>19</v>
      </c>
      <c r="E2169" s="5">
        <v>13</v>
      </c>
      <c r="F2169" s="5">
        <v>32</v>
      </c>
      <c r="G2169" s="6" t="s">
        <v>683</v>
      </c>
      <c r="H2169" s="4">
        <v>5.13</v>
      </c>
      <c r="I2169" s="7">
        <v>49.44</v>
      </c>
      <c r="J2169" s="3" t="s">
        <v>521</v>
      </c>
      <c r="K2169" s="9" t="s">
        <v>36</v>
      </c>
      <c r="L2169" s="6" t="s">
        <v>36</v>
      </c>
      <c r="M2169" s="3" t="s">
        <v>36</v>
      </c>
      <c r="N2169" s="3" t="s">
        <v>36</v>
      </c>
      <c r="O2169" s="8" t="s">
        <v>36</v>
      </c>
      <c r="P2169" s="3" t="s">
        <v>36</v>
      </c>
      <c r="Q2169" s="3" t="s">
        <v>36</v>
      </c>
      <c r="R2169" s="3" t="s">
        <v>36</v>
      </c>
      <c r="S2169" s="3" t="s">
        <v>36</v>
      </c>
      <c r="T2169" s="3" t="s">
        <v>12168</v>
      </c>
      <c r="U2169" s="3" t="s">
        <v>2279</v>
      </c>
      <c r="V2169" s="3" t="s">
        <v>378</v>
      </c>
      <c r="W2169" s="3" t="s">
        <v>12169</v>
      </c>
      <c r="X2169" s="10" t="s">
        <v>12170</v>
      </c>
      <c r="Y2169" s="6" t="s">
        <v>108</v>
      </c>
      <c r="Z2169" s="4">
        <v>6.34</v>
      </c>
      <c r="AA2169" s="4">
        <v>7.49</v>
      </c>
      <c r="AB2169" s="3" t="s">
        <v>56</v>
      </c>
      <c r="AC2169" s="3" t="s">
        <v>12171</v>
      </c>
      <c r="AD2169" s="9">
        <v>44713</v>
      </c>
      <c r="AE2169" s="3" t="s">
        <v>5828</v>
      </c>
      <c r="AF2169" s="3" t="s">
        <v>2369</v>
      </c>
      <c r="AG2169" s="3" t="s">
        <v>12172</v>
      </c>
      <c r="AH2169" s="11">
        <f>HYPERLINK("https://my.pitchbook.com?c=195290-20T","View Company Online")</f>
      </c>
    </row>
    <row r="2170">
      <c r="A2170" s="12" t="s">
        <v>12173</v>
      </c>
      <c r="B2170" s="12" t="s">
        <v>12174</v>
      </c>
      <c r="C2170" s="19" t="s">
        <v>36</v>
      </c>
      <c r="D2170" s="19" t="s">
        <v>36</v>
      </c>
      <c r="E2170" s="19" t="s">
        <v>36</v>
      </c>
      <c r="F2170" s="19" t="s">
        <v>36</v>
      </c>
      <c r="G2170" s="15" t="s">
        <v>36</v>
      </c>
      <c r="H2170" s="14" t="s">
        <v>36</v>
      </c>
      <c r="I2170" s="18" t="s">
        <v>36</v>
      </c>
      <c r="J2170" s="12" t="s">
        <v>36</v>
      </c>
      <c r="K2170" s="13" t="s">
        <v>36</v>
      </c>
      <c r="L2170" s="15" t="s">
        <v>36</v>
      </c>
      <c r="M2170" s="12" t="s">
        <v>36</v>
      </c>
      <c r="N2170" s="12" t="s">
        <v>36</v>
      </c>
      <c r="O2170" s="17" t="s">
        <v>36</v>
      </c>
      <c r="P2170" s="12" t="s">
        <v>36</v>
      </c>
      <c r="Q2170" s="12" t="s">
        <v>36</v>
      </c>
      <c r="R2170" s="12" t="s">
        <v>36</v>
      </c>
      <c r="S2170" s="12" t="s">
        <v>36</v>
      </c>
      <c r="T2170" s="12" t="s">
        <v>1253</v>
      </c>
      <c r="U2170" s="12" t="s">
        <v>38</v>
      </c>
      <c r="V2170" s="12" t="s">
        <v>39</v>
      </c>
      <c r="W2170" s="12" t="s">
        <v>12175</v>
      </c>
      <c r="X2170" s="16" t="s">
        <v>12176</v>
      </c>
      <c r="Y2170" s="15" t="s">
        <v>42</v>
      </c>
      <c r="Z2170" s="14">
        <v>2.11</v>
      </c>
      <c r="AA2170" s="14" t="s">
        <v>36</v>
      </c>
      <c r="AB2170" s="12" t="s">
        <v>43</v>
      </c>
      <c r="AC2170" s="12" t="s">
        <v>12177</v>
      </c>
      <c r="AD2170" s="13">
        <v>44712</v>
      </c>
      <c r="AE2170" s="12" t="s">
        <v>45</v>
      </c>
      <c r="AF2170" s="12" t="s">
        <v>615</v>
      </c>
      <c r="AG2170" s="12" t="s">
        <v>81</v>
      </c>
      <c r="AH2170" s="1">
        <f>HYPERLINK("https://my.pitchbook.com?c=195903-64T","View Company Online")</f>
      </c>
    </row>
    <row r="2171">
      <c r="A2171" s="3" t="s">
        <v>12178</v>
      </c>
      <c r="B2171" s="3" t="s">
        <v>12179</v>
      </c>
      <c r="C2171" s="5">
        <v>3</v>
      </c>
      <c r="D2171" s="5">
        <v>4</v>
      </c>
      <c r="E2171" s="5">
        <v>2</v>
      </c>
      <c r="F2171" s="5">
        <v>8</v>
      </c>
      <c r="G2171" s="6" t="s">
        <v>326</v>
      </c>
      <c r="H2171" s="4" t="s">
        <v>36</v>
      </c>
      <c r="I2171" s="7" t="s">
        <v>36</v>
      </c>
      <c r="J2171" s="3" t="s">
        <v>521</v>
      </c>
      <c r="K2171" s="9" t="s">
        <v>36</v>
      </c>
      <c r="L2171" s="6" t="s">
        <v>36</v>
      </c>
      <c r="M2171" s="3" t="s">
        <v>36</v>
      </c>
      <c r="N2171" s="3" t="s">
        <v>36</v>
      </c>
      <c r="O2171" s="8" t="s">
        <v>36</v>
      </c>
      <c r="P2171" s="3" t="s">
        <v>36</v>
      </c>
      <c r="Q2171" s="3" t="s">
        <v>36</v>
      </c>
      <c r="R2171" s="3" t="s">
        <v>36</v>
      </c>
      <c r="S2171" s="3" t="s">
        <v>36</v>
      </c>
      <c r="T2171" s="3" t="s">
        <v>12180</v>
      </c>
      <c r="U2171" s="3" t="s">
        <v>833</v>
      </c>
      <c r="V2171" s="3" t="s">
        <v>64</v>
      </c>
      <c r="W2171" s="3" t="s">
        <v>12181</v>
      </c>
      <c r="X2171" s="10" t="s">
        <v>12182</v>
      </c>
      <c r="Y2171" s="6" t="s">
        <v>192</v>
      </c>
      <c r="Z2171" s="4">
        <v>0.98</v>
      </c>
      <c r="AA2171" s="4">
        <v>15.24</v>
      </c>
      <c r="AB2171" s="3" t="s">
        <v>56</v>
      </c>
      <c r="AC2171" s="3" t="s">
        <v>12183</v>
      </c>
      <c r="AD2171" s="9">
        <v>44711</v>
      </c>
      <c r="AE2171" s="3" t="s">
        <v>1069</v>
      </c>
      <c r="AF2171" s="3" t="s">
        <v>12184</v>
      </c>
      <c r="AG2171" s="3" t="s">
        <v>580</v>
      </c>
      <c r="AH2171" s="11">
        <f>HYPERLINK("https://my.pitchbook.com?c=210949-21T","View Company Online")</f>
      </c>
    </row>
    <row r="2172">
      <c r="A2172" s="12" t="s">
        <v>12185</v>
      </c>
      <c r="B2172" s="12" t="s">
        <v>12186</v>
      </c>
      <c r="C2172" s="19" t="s">
        <v>36</v>
      </c>
      <c r="D2172" s="19">
        <v>10</v>
      </c>
      <c r="E2172" s="19">
        <v>3</v>
      </c>
      <c r="F2172" s="19">
        <v>11</v>
      </c>
      <c r="G2172" s="15" t="s">
        <v>326</v>
      </c>
      <c r="H2172" s="14">
        <v>2978.61</v>
      </c>
      <c r="I2172" s="18">
        <v>42.05</v>
      </c>
      <c r="J2172" s="12" t="s">
        <v>521</v>
      </c>
      <c r="K2172" s="13" t="s">
        <v>36</v>
      </c>
      <c r="L2172" s="15" t="s">
        <v>36</v>
      </c>
      <c r="M2172" s="12" t="s">
        <v>36</v>
      </c>
      <c r="N2172" s="12" t="s">
        <v>36</v>
      </c>
      <c r="O2172" s="17" t="s">
        <v>36</v>
      </c>
      <c r="P2172" s="12" t="s">
        <v>36</v>
      </c>
      <c r="Q2172" s="12" t="s">
        <v>36</v>
      </c>
      <c r="R2172" s="12" t="s">
        <v>36</v>
      </c>
      <c r="S2172" s="12" t="s">
        <v>36</v>
      </c>
      <c r="T2172" s="12" t="s">
        <v>596</v>
      </c>
      <c r="U2172" s="12" t="s">
        <v>366</v>
      </c>
      <c r="V2172" s="12" t="s">
        <v>367</v>
      </c>
      <c r="W2172" s="12" t="s">
        <v>12187</v>
      </c>
      <c r="X2172" s="16" t="s">
        <v>12188</v>
      </c>
      <c r="Y2172" s="15" t="s">
        <v>192</v>
      </c>
      <c r="Z2172" s="14">
        <v>10.73</v>
      </c>
      <c r="AA2172" s="14">
        <v>25.51</v>
      </c>
      <c r="AB2172" s="12" t="s">
        <v>56</v>
      </c>
      <c r="AC2172" s="12" t="s">
        <v>12189</v>
      </c>
      <c r="AD2172" s="13">
        <v>44711</v>
      </c>
      <c r="AE2172" s="12" t="s">
        <v>600</v>
      </c>
      <c r="AF2172" s="12" t="s">
        <v>703</v>
      </c>
      <c r="AG2172" s="12" t="s">
        <v>3733</v>
      </c>
      <c r="AH2172" s="1">
        <f>HYPERLINK("https://my.pitchbook.com?c=195008-32T","View Company Online")</f>
      </c>
    </row>
    <row r="2173">
      <c r="A2173" s="3" t="s">
        <v>12190</v>
      </c>
      <c r="B2173" s="3" t="s">
        <v>12191</v>
      </c>
      <c r="C2173" s="5">
        <v>5</v>
      </c>
      <c r="D2173" s="5" t="s">
        <v>36</v>
      </c>
      <c r="E2173" s="5">
        <v>1</v>
      </c>
      <c r="F2173" s="5">
        <v>5</v>
      </c>
      <c r="G2173" s="6" t="s">
        <v>36</v>
      </c>
      <c r="H2173" s="4" t="s">
        <v>36</v>
      </c>
      <c r="I2173" s="7" t="s">
        <v>36</v>
      </c>
      <c r="J2173" s="3" t="s">
        <v>36</v>
      </c>
      <c r="K2173" s="9">
        <v>43719</v>
      </c>
      <c r="L2173" s="6" t="s">
        <v>122</v>
      </c>
      <c r="M2173" s="3" t="s">
        <v>36</v>
      </c>
      <c r="N2173" s="3" t="s">
        <v>122</v>
      </c>
      <c r="O2173" s="8" t="s">
        <v>36</v>
      </c>
      <c r="P2173" s="3" t="s">
        <v>36</v>
      </c>
      <c r="Q2173" s="3" t="s">
        <v>36</v>
      </c>
      <c r="R2173" s="3" t="s">
        <v>36</v>
      </c>
      <c r="S2173" s="3" t="s">
        <v>36</v>
      </c>
      <c r="T2173" s="3" t="s">
        <v>881</v>
      </c>
      <c r="U2173" s="3" t="s">
        <v>51</v>
      </c>
      <c r="V2173" s="3" t="s">
        <v>52</v>
      </c>
      <c r="W2173" s="3" t="s">
        <v>12192</v>
      </c>
      <c r="X2173" s="10" t="s">
        <v>12193</v>
      </c>
      <c r="Y2173" s="6" t="s">
        <v>42</v>
      </c>
      <c r="Z2173" s="4">
        <v>12.99</v>
      </c>
      <c r="AA2173" s="4" t="s">
        <v>36</v>
      </c>
      <c r="AB2173" s="3" t="s">
        <v>43</v>
      </c>
      <c r="AC2173" s="3" t="s">
        <v>12194</v>
      </c>
      <c r="AD2173" s="9">
        <v>44711</v>
      </c>
      <c r="AE2173" s="3" t="s">
        <v>504</v>
      </c>
      <c r="AF2173" s="3" t="s">
        <v>159</v>
      </c>
      <c r="AG2173" s="3" t="s">
        <v>81</v>
      </c>
      <c r="AH2173" s="11">
        <f>HYPERLINK("https://my.pitchbook.com?c=123313-78T","View Company Online")</f>
      </c>
    </row>
    <row r="2174">
      <c r="A2174" s="12" t="s">
        <v>12195</v>
      </c>
      <c r="B2174" s="12" t="s">
        <v>12196</v>
      </c>
      <c r="C2174" s="19" t="s">
        <v>36</v>
      </c>
      <c r="D2174" s="19" t="s">
        <v>36</v>
      </c>
      <c r="E2174" s="19" t="s">
        <v>36</v>
      </c>
      <c r="F2174" s="19" t="s">
        <v>36</v>
      </c>
      <c r="G2174" s="15" t="s">
        <v>36</v>
      </c>
      <c r="H2174" s="14" t="s">
        <v>36</v>
      </c>
      <c r="I2174" s="18" t="s">
        <v>36</v>
      </c>
      <c r="J2174" s="12" t="s">
        <v>36</v>
      </c>
      <c r="K2174" s="13" t="s">
        <v>36</v>
      </c>
      <c r="L2174" s="15" t="s">
        <v>36</v>
      </c>
      <c r="M2174" s="12" t="s">
        <v>36</v>
      </c>
      <c r="N2174" s="12" t="s">
        <v>36</v>
      </c>
      <c r="O2174" s="17" t="s">
        <v>36</v>
      </c>
      <c r="P2174" s="12" t="s">
        <v>36</v>
      </c>
      <c r="Q2174" s="12" t="s">
        <v>36</v>
      </c>
      <c r="R2174" s="12" t="s">
        <v>36</v>
      </c>
      <c r="S2174" s="12" t="s">
        <v>36</v>
      </c>
      <c r="T2174" s="12" t="s">
        <v>12197</v>
      </c>
      <c r="U2174" s="12" t="s">
        <v>289</v>
      </c>
      <c r="V2174" s="12" t="s">
        <v>64</v>
      </c>
      <c r="W2174" s="12" t="s">
        <v>12198</v>
      </c>
      <c r="X2174" s="16" t="s">
        <v>12199</v>
      </c>
      <c r="Y2174" s="15" t="s">
        <v>42</v>
      </c>
      <c r="Z2174" s="14">
        <v>0.84</v>
      </c>
      <c r="AA2174" s="14" t="s">
        <v>36</v>
      </c>
      <c r="AB2174" s="12" t="s">
        <v>56</v>
      </c>
      <c r="AC2174" s="12" t="s">
        <v>12200</v>
      </c>
      <c r="AD2174" s="13">
        <v>44711</v>
      </c>
      <c r="AE2174" s="12" t="s">
        <v>3134</v>
      </c>
      <c r="AF2174" s="12" t="s">
        <v>12201</v>
      </c>
      <c r="AG2174" s="12" t="s">
        <v>12202</v>
      </c>
      <c r="AH2174" s="1">
        <f>HYPERLINK("https://my.pitchbook.com?c=199620-73T","View Company Online")</f>
      </c>
    </row>
    <row r="2175">
      <c r="A2175" s="3" t="s">
        <v>12203</v>
      </c>
      <c r="B2175" s="3" t="s">
        <v>12204</v>
      </c>
      <c r="C2175" s="5" t="s">
        <v>36</v>
      </c>
      <c r="D2175" s="5" t="s">
        <v>36</v>
      </c>
      <c r="E2175" s="5" t="s">
        <v>36</v>
      </c>
      <c r="F2175" s="5" t="s">
        <v>36</v>
      </c>
      <c r="G2175" s="6" t="s">
        <v>36</v>
      </c>
      <c r="H2175" s="4" t="s">
        <v>36</v>
      </c>
      <c r="I2175" s="7" t="s">
        <v>36</v>
      </c>
      <c r="J2175" s="3" t="s">
        <v>36</v>
      </c>
      <c r="K2175" s="9" t="s">
        <v>36</v>
      </c>
      <c r="L2175" s="6" t="s">
        <v>36</v>
      </c>
      <c r="M2175" s="3" t="s">
        <v>36</v>
      </c>
      <c r="N2175" s="3" t="s">
        <v>36</v>
      </c>
      <c r="O2175" s="8" t="s">
        <v>36</v>
      </c>
      <c r="P2175" s="3" t="s">
        <v>36</v>
      </c>
      <c r="Q2175" s="3" t="s">
        <v>36</v>
      </c>
      <c r="R2175" s="3" t="s">
        <v>36</v>
      </c>
      <c r="S2175" s="3" t="s">
        <v>36</v>
      </c>
      <c r="T2175" s="3" t="s">
        <v>12205</v>
      </c>
      <c r="U2175" s="3" t="s">
        <v>233</v>
      </c>
      <c r="V2175" s="3" t="s">
        <v>39</v>
      </c>
      <c r="W2175" s="3" t="s">
        <v>12206</v>
      </c>
      <c r="X2175" s="10" t="s">
        <v>12207</v>
      </c>
      <c r="Y2175" s="6" t="s">
        <v>42</v>
      </c>
      <c r="Z2175" s="4">
        <v>1.48</v>
      </c>
      <c r="AA2175" s="4" t="s">
        <v>36</v>
      </c>
      <c r="AB2175" s="3" t="s">
        <v>43</v>
      </c>
      <c r="AC2175" s="3" t="s">
        <v>12208</v>
      </c>
      <c r="AD2175" s="9">
        <v>44711</v>
      </c>
      <c r="AE2175" s="3" t="s">
        <v>236</v>
      </c>
      <c r="AF2175" s="3" t="s">
        <v>275</v>
      </c>
      <c r="AG2175" s="3" t="s">
        <v>9544</v>
      </c>
      <c r="AH2175" s="11">
        <f>HYPERLINK("https://my.pitchbook.com?c=194340-88T","View Company Online")</f>
      </c>
    </row>
    <row r="2176">
      <c r="A2176" s="12" t="s">
        <v>12209</v>
      </c>
      <c r="B2176" s="12" t="s">
        <v>12210</v>
      </c>
      <c r="C2176" s="19" t="s">
        <v>36</v>
      </c>
      <c r="D2176" s="19" t="s">
        <v>36</v>
      </c>
      <c r="E2176" s="19" t="s">
        <v>36</v>
      </c>
      <c r="F2176" s="19" t="s">
        <v>36</v>
      </c>
      <c r="G2176" s="15" t="s">
        <v>326</v>
      </c>
      <c r="H2176" s="14">
        <v>2077.13</v>
      </c>
      <c r="I2176" s="18">
        <v>16.13</v>
      </c>
      <c r="J2176" s="12" t="s">
        <v>521</v>
      </c>
      <c r="K2176" s="13" t="s">
        <v>36</v>
      </c>
      <c r="L2176" s="15" t="s">
        <v>36</v>
      </c>
      <c r="M2176" s="12" t="s">
        <v>36</v>
      </c>
      <c r="N2176" s="12" t="s">
        <v>36</v>
      </c>
      <c r="O2176" s="17" t="s">
        <v>36</v>
      </c>
      <c r="P2176" s="12" t="s">
        <v>36</v>
      </c>
      <c r="Q2176" s="12" t="s">
        <v>36</v>
      </c>
      <c r="R2176" s="12" t="s">
        <v>36</v>
      </c>
      <c r="S2176" s="12" t="s">
        <v>36</v>
      </c>
      <c r="T2176" s="12" t="s">
        <v>12211</v>
      </c>
      <c r="U2176" s="12" t="s">
        <v>38</v>
      </c>
      <c r="V2176" s="12" t="s">
        <v>39</v>
      </c>
      <c r="W2176" s="12" t="s">
        <v>12212</v>
      </c>
      <c r="X2176" s="16" t="s">
        <v>12213</v>
      </c>
      <c r="Y2176" s="15" t="s">
        <v>108</v>
      </c>
      <c r="Z2176" s="14">
        <v>0.53</v>
      </c>
      <c r="AA2176" s="14">
        <v>3.27</v>
      </c>
      <c r="AB2176" s="12" t="s">
        <v>43</v>
      </c>
      <c r="AC2176" s="12" t="s">
        <v>12214</v>
      </c>
      <c r="AD2176" s="13">
        <v>44709</v>
      </c>
      <c r="AE2176" s="12" t="s">
        <v>785</v>
      </c>
      <c r="AF2176" s="12" t="s">
        <v>111</v>
      </c>
      <c r="AG2176" s="12" t="s">
        <v>580</v>
      </c>
      <c r="AH2176" s="1">
        <f>HYPERLINK("https://my.pitchbook.com?c=195078-88T","View Company Online")</f>
      </c>
    </row>
    <row r="2177">
      <c r="A2177" s="3" t="s">
        <v>12215</v>
      </c>
      <c r="B2177" s="3" t="s">
        <v>3296</v>
      </c>
      <c r="C2177" s="5" t="s">
        <v>36</v>
      </c>
      <c r="D2177" s="5">
        <v>3</v>
      </c>
      <c r="E2177" s="5">
        <v>1</v>
      </c>
      <c r="F2177" s="5">
        <v>7</v>
      </c>
      <c r="G2177" s="6" t="s">
        <v>326</v>
      </c>
      <c r="H2177" s="4">
        <v>364.89</v>
      </c>
      <c r="I2177" s="7">
        <v>9.1</v>
      </c>
      <c r="J2177" s="3" t="s">
        <v>521</v>
      </c>
      <c r="K2177" s="9" t="s">
        <v>36</v>
      </c>
      <c r="L2177" s="6" t="s">
        <v>36</v>
      </c>
      <c r="M2177" s="3" t="s">
        <v>36</v>
      </c>
      <c r="N2177" s="3" t="s">
        <v>36</v>
      </c>
      <c r="O2177" s="8" t="s">
        <v>36</v>
      </c>
      <c r="P2177" s="3" t="s">
        <v>36</v>
      </c>
      <c r="Q2177" s="3" t="s">
        <v>36</v>
      </c>
      <c r="R2177" s="3" t="s">
        <v>36</v>
      </c>
      <c r="S2177" s="3" t="s">
        <v>36</v>
      </c>
      <c r="T2177" s="3" t="s">
        <v>3297</v>
      </c>
      <c r="U2177" s="3" t="s">
        <v>1336</v>
      </c>
      <c r="V2177" s="3" t="s">
        <v>367</v>
      </c>
      <c r="W2177" s="3" t="s">
        <v>3298</v>
      </c>
      <c r="X2177" s="10" t="s">
        <v>12216</v>
      </c>
      <c r="Y2177" s="6" t="s">
        <v>108</v>
      </c>
      <c r="Z2177" s="4">
        <v>0.82</v>
      </c>
      <c r="AA2177" s="4">
        <v>9.04</v>
      </c>
      <c r="AB2177" s="3" t="s">
        <v>43</v>
      </c>
      <c r="AC2177" s="3" t="s">
        <v>3300</v>
      </c>
      <c r="AD2177" s="9">
        <v>44708</v>
      </c>
      <c r="AE2177" s="3" t="s">
        <v>2464</v>
      </c>
      <c r="AF2177" s="3" t="s">
        <v>372</v>
      </c>
      <c r="AG2177" s="3" t="s">
        <v>741</v>
      </c>
      <c r="AH2177" s="11">
        <f>HYPERLINK("https://my.pitchbook.com?c=252368-02T","View Company Online")</f>
      </c>
    </row>
    <row r="2178">
      <c r="A2178" s="12" t="s">
        <v>12217</v>
      </c>
      <c r="B2178" s="12" t="s">
        <v>2930</v>
      </c>
      <c r="C2178" s="19">
        <v>4</v>
      </c>
      <c r="D2178" s="19" t="s">
        <v>36</v>
      </c>
      <c r="E2178" s="19">
        <v>1</v>
      </c>
      <c r="F2178" s="19">
        <v>4</v>
      </c>
      <c r="G2178" s="15" t="s">
        <v>326</v>
      </c>
      <c r="H2178" s="14">
        <v>5.22</v>
      </c>
      <c r="I2178" s="18">
        <v>42.68</v>
      </c>
      <c r="J2178" s="12" t="s">
        <v>521</v>
      </c>
      <c r="K2178" s="13" t="s">
        <v>36</v>
      </c>
      <c r="L2178" s="15" t="s">
        <v>36</v>
      </c>
      <c r="M2178" s="12" t="s">
        <v>36</v>
      </c>
      <c r="N2178" s="12" t="s">
        <v>36</v>
      </c>
      <c r="O2178" s="17" t="s">
        <v>36</v>
      </c>
      <c r="P2178" s="12" t="s">
        <v>36</v>
      </c>
      <c r="Q2178" s="12" t="s">
        <v>36</v>
      </c>
      <c r="R2178" s="12" t="s">
        <v>36</v>
      </c>
      <c r="S2178" s="12" t="s">
        <v>36</v>
      </c>
      <c r="T2178" s="12" t="s">
        <v>2931</v>
      </c>
      <c r="U2178" s="12" t="s">
        <v>38</v>
      </c>
      <c r="V2178" s="12" t="s">
        <v>39</v>
      </c>
      <c r="W2178" s="12" t="s">
        <v>2932</v>
      </c>
      <c r="X2178" s="16" t="s">
        <v>12218</v>
      </c>
      <c r="Y2178" s="15" t="s">
        <v>108</v>
      </c>
      <c r="Z2178" s="14">
        <v>2.11</v>
      </c>
      <c r="AA2178" s="14">
        <v>3.95</v>
      </c>
      <c r="AB2178" s="12" t="s">
        <v>43</v>
      </c>
      <c r="AC2178" s="12" t="s">
        <v>2934</v>
      </c>
      <c r="AD2178" s="13">
        <v>44708</v>
      </c>
      <c r="AE2178" s="12" t="s">
        <v>110</v>
      </c>
      <c r="AF2178" s="12" t="s">
        <v>2935</v>
      </c>
      <c r="AG2178" s="12" t="s">
        <v>2936</v>
      </c>
      <c r="AH2178" s="1">
        <f>HYPERLINK("https://my.pitchbook.com?c=194920-48T","View Company Online")</f>
      </c>
    </row>
    <row r="2179">
      <c r="A2179" s="3" t="s">
        <v>12219</v>
      </c>
      <c r="B2179" s="3" t="s">
        <v>12220</v>
      </c>
      <c r="C2179" s="5" t="s">
        <v>36</v>
      </c>
      <c r="D2179" s="5" t="s">
        <v>36</v>
      </c>
      <c r="E2179" s="5" t="s">
        <v>36</v>
      </c>
      <c r="F2179" s="5" t="s">
        <v>36</v>
      </c>
      <c r="G2179" s="6" t="s">
        <v>326</v>
      </c>
      <c r="H2179" s="4">
        <v>264.89</v>
      </c>
      <c r="I2179" s="7">
        <v>9.99</v>
      </c>
      <c r="J2179" s="3" t="s">
        <v>521</v>
      </c>
      <c r="K2179" s="9" t="s">
        <v>36</v>
      </c>
      <c r="L2179" s="6" t="s">
        <v>36</v>
      </c>
      <c r="M2179" s="3" t="s">
        <v>36</v>
      </c>
      <c r="N2179" s="3" t="s">
        <v>36</v>
      </c>
      <c r="O2179" s="8" t="s">
        <v>36</v>
      </c>
      <c r="P2179" s="3" t="s">
        <v>36</v>
      </c>
      <c r="Q2179" s="3" t="s">
        <v>36</v>
      </c>
      <c r="R2179" s="3" t="s">
        <v>36</v>
      </c>
      <c r="S2179" s="3" t="s">
        <v>36</v>
      </c>
      <c r="T2179" s="3" t="s">
        <v>12221</v>
      </c>
      <c r="U2179" s="3" t="s">
        <v>74</v>
      </c>
      <c r="V2179" s="3" t="s">
        <v>75</v>
      </c>
      <c r="W2179" s="3" t="s">
        <v>12222</v>
      </c>
      <c r="X2179" s="10" t="s">
        <v>4402</v>
      </c>
      <c r="Y2179" s="6" t="s">
        <v>42</v>
      </c>
      <c r="Z2179" s="4">
        <v>0.12</v>
      </c>
      <c r="AA2179" s="4">
        <v>1.15</v>
      </c>
      <c r="AB2179" s="3" t="s">
        <v>56</v>
      </c>
      <c r="AC2179" s="3" t="s">
        <v>12223</v>
      </c>
      <c r="AD2179" s="9">
        <v>44706</v>
      </c>
      <c r="AE2179" s="3" t="s">
        <v>3144</v>
      </c>
      <c r="AF2179" s="3" t="s">
        <v>12224</v>
      </c>
      <c r="AG2179" s="3" t="s">
        <v>81</v>
      </c>
      <c r="AH2179" s="11">
        <f>HYPERLINK("https://my.pitchbook.com?c=194867-02T","View Company Online")</f>
      </c>
    </row>
    <row r="2180">
      <c r="A2180" s="12" t="s">
        <v>12225</v>
      </c>
      <c r="B2180" s="12" t="s">
        <v>12226</v>
      </c>
      <c r="C2180" s="19" t="s">
        <v>36</v>
      </c>
      <c r="D2180" s="19" t="s">
        <v>36</v>
      </c>
      <c r="E2180" s="19" t="s">
        <v>36</v>
      </c>
      <c r="F2180" s="19" t="s">
        <v>36</v>
      </c>
      <c r="G2180" s="15" t="s">
        <v>36</v>
      </c>
      <c r="H2180" s="14">
        <v>1176.7</v>
      </c>
      <c r="I2180" s="18">
        <v>15.18</v>
      </c>
      <c r="J2180" s="12" t="s">
        <v>521</v>
      </c>
      <c r="K2180" s="13" t="s">
        <v>36</v>
      </c>
      <c r="L2180" s="15" t="s">
        <v>36</v>
      </c>
      <c r="M2180" s="12" t="s">
        <v>36</v>
      </c>
      <c r="N2180" s="12" t="s">
        <v>36</v>
      </c>
      <c r="O2180" s="17" t="s">
        <v>36</v>
      </c>
      <c r="P2180" s="12" t="s">
        <v>36</v>
      </c>
      <c r="Q2180" s="12" t="s">
        <v>36</v>
      </c>
      <c r="R2180" s="12" t="s">
        <v>36</v>
      </c>
      <c r="S2180" s="12" t="s">
        <v>36</v>
      </c>
      <c r="T2180" s="12" t="s">
        <v>12227</v>
      </c>
      <c r="U2180" s="12" t="s">
        <v>423</v>
      </c>
      <c r="V2180" s="12" t="s">
        <v>64</v>
      </c>
      <c r="W2180" s="12" t="s">
        <v>12228</v>
      </c>
      <c r="X2180" s="16" t="s">
        <v>12229</v>
      </c>
      <c r="Y2180" s="15" t="s">
        <v>42</v>
      </c>
      <c r="Z2180" s="14">
        <v>1.07</v>
      </c>
      <c r="AA2180" s="14">
        <v>7.04</v>
      </c>
      <c r="AB2180" s="12" t="s">
        <v>43</v>
      </c>
      <c r="AC2180" s="12" t="s">
        <v>12230</v>
      </c>
      <c r="AD2180" s="13">
        <v>44706</v>
      </c>
      <c r="AE2180" s="12" t="s">
        <v>2871</v>
      </c>
      <c r="AF2180" s="12" t="s">
        <v>12231</v>
      </c>
      <c r="AG2180" s="12" t="s">
        <v>81</v>
      </c>
      <c r="AH2180" s="1">
        <f>HYPERLINK("https://my.pitchbook.com?c=194727-88T","View Company Online")</f>
      </c>
    </row>
    <row r="2181">
      <c r="A2181" s="3" t="s">
        <v>12232</v>
      </c>
      <c r="B2181" s="3" t="s">
        <v>12233</v>
      </c>
      <c r="C2181" s="5" t="s">
        <v>36</v>
      </c>
      <c r="D2181" s="5" t="s">
        <v>36</v>
      </c>
      <c r="E2181" s="5" t="s">
        <v>36</v>
      </c>
      <c r="F2181" s="5" t="s">
        <v>36</v>
      </c>
      <c r="G2181" s="6" t="s">
        <v>326</v>
      </c>
      <c r="H2181" s="4">
        <v>188.24</v>
      </c>
      <c r="I2181" s="7">
        <v>10.43</v>
      </c>
      <c r="J2181" s="3" t="s">
        <v>521</v>
      </c>
      <c r="K2181" s="9" t="s">
        <v>36</v>
      </c>
      <c r="L2181" s="6" t="s">
        <v>122</v>
      </c>
      <c r="M2181" s="3" t="s">
        <v>36</v>
      </c>
      <c r="N2181" s="3" t="s">
        <v>122</v>
      </c>
      <c r="O2181" s="8" t="s">
        <v>36</v>
      </c>
      <c r="P2181" s="3" t="s">
        <v>36</v>
      </c>
      <c r="Q2181" s="3" t="s">
        <v>36</v>
      </c>
      <c r="R2181" s="3" t="s">
        <v>36</v>
      </c>
      <c r="S2181" s="3" t="s">
        <v>36</v>
      </c>
      <c r="T2181" s="3" t="s">
        <v>317</v>
      </c>
      <c r="U2181" s="3" t="s">
        <v>318</v>
      </c>
      <c r="V2181" s="3" t="s">
        <v>39</v>
      </c>
      <c r="W2181" s="3" t="s">
        <v>12234</v>
      </c>
      <c r="X2181" s="10" t="s">
        <v>12235</v>
      </c>
      <c r="Y2181" s="6" t="s">
        <v>108</v>
      </c>
      <c r="Z2181" s="4">
        <v>3.95</v>
      </c>
      <c r="AA2181" s="4">
        <v>27.94</v>
      </c>
      <c r="AB2181" s="3" t="s">
        <v>56</v>
      </c>
      <c r="AC2181" s="3" t="s">
        <v>12236</v>
      </c>
      <c r="AD2181" s="9">
        <v>44706</v>
      </c>
      <c r="AE2181" s="3" t="s">
        <v>323</v>
      </c>
      <c r="AF2181" s="3" t="s">
        <v>12237</v>
      </c>
      <c r="AG2181" s="3" t="s">
        <v>11436</v>
      </c>
      <c r="AH2181" s="11">
        <f>HYPERLINK("https://my.pitchbook.com?c=194763-16T","View Company Online")</f>
      </c>
    </row>
    <row r="2182">
      <c r="A2182" s="12" t="s">
        <v>12238</v>
      </c>
      <c r="B2182" s="12" t="s">
        <v>12239</v>
      </c>
      <c r="C2182" s="19">
        <v>1</v>
      </c>
      <c r="D2182" s="19" t="s">
        <v>36</v>
      </c>
      <c r="E2182" s="19">
        <v>1</v>
      </c>
      <c r="F2182" s="19">
        <v>1</v>
      </c>
      <c r="G2182" s="15" t="s">
        <v>36</v>
      </c>
      <c r="H2182" s="14" t="s">
        <v>36</v>
      </c>
      <c r="I2182" s="18" t="s">
        <v>36</v>
      </c>
      <c r="J2182" s="12" t="s">
        <v>36</v>
      </c>
      <c r="K2182" s="13" t="s">
        <v>36</v>
      </c>
      <c r="L2182" s="15" t="s">
        <v>36</v>
      </c>
      <c r="M2182" s="12" t="s">
        <v>36</v>
      </c>
      <c r="N2182" s="12" t="s">
        <v>36</v>
      </c>
      <c r="O2182" s="17" t="s">
        <v>36</v>
      </c>
      <c r="P2182" s="12" t="s">
        <v>36</v>
      </c>
      <c r="Q2182" s="12" t="s">
        <v>36</v>
      </c>
      <c r="R2182" s="12" t="s">
        <v>36</v>
      </c>
      <c r="S2182" s="12" t="s">
        <v>12240</v>
      </c>
      <c r="T2182" s="12" t="s">
        <v>4406</v>
      </c>
      <c r="U2182" s="12" t="s">
        <v>833</v>
      </c>
      <c r="V2182" s="12" t="s">
        <v>64</v>
      </c>
      <c r="W2182" s="12" t="s">
        <v>12241</v>
      </c>
      <c r="X2182" s="16" t="s">
        <v>2994</v>
      </c>
      <c r="Y2182" s="15" t="s">
        <v>192</v>
      </c>
      <c r="Z2182" s="14" t="s">
        <v>36</v>
      </c>
      <c r="AA2182" s="14" t="s">
        <v>36</v>
      </c>
      <c r="AB2182" s="12" t="s">
        <v>56</v>
      </c>
      <c r="AC2182" s="12" t="s">
        <v>12242</v>
      </c>
      <c r="AD2182" s="13">
        <v>44706</v>
      </c>
      <c r="AE2182" s="12" t="s">
        <v>1069</v>
      </c>
      <c r="AF2182" s="12" t="s">
        <v>12243</v>
      </c>
      <c r="AG2182" s="12" t="s">
        <v>81</v>
      </c>
      <c r="AH2182" s="1">
        <f>HYPERLINK("https://my.pitchbook.com?c=199032-94T","View Company Online")</f>
      </c>
    </row>
    <row r="2183">
      <c r="A2183" s="3" t="s">
        <v>12244</v>
      </c>
      <c r="B2183" s="3" t="s">
        <v>12245</v>
      </c>
      <c r="C2183" s="5" t="s">
        <v>36</v>
      </c>
      <c r="D2183" s="5" t="s">
        <v>36</v>
      </c>
      <c r="E2183" s="5" t="s">
        <v>36</v>
      </c>
      <c r="F2183" s="5" t="s">
        <v>36</v>
      </c>
      <c r="G2183" s="6" t="s">
        <v>326</v>
      </c>
      <c r="H2183" s="4">
        <v>99.97</v>
      </c>
      <c r="I2183" s="7">
        <v>35.25</v>
      </c>
      <c r="J2183" s="3" t="s">
        <v>521</v>
      </c>
      <c r="K2183" s="9" t="s">
        <v>36</v>
      </c>
      <c r="L2183" s="6" t="s">
        <v>94</v>
      </c>
      <c r="M2183" s="3" t="s">
        <v>36</v>
      </c>
      <c r="N2183" s="3" t="s">
        <v>94</v>
      </c>
      <c r="O2183" s="8" t="s">
        <v>36</v>
      </c>
      <c r="P2183" s="3" t="s">
        <v>36</v>
      </c>
      <c r="Q2183" s="3" t="s">
        <v>36</v>
      </c>
      <c r="R2183" s="3" t="s">
        <v>36</v>
      </c>
      <c r="S2183" s="3" t="s">
        <v>36</v>
      </c>
      <c r="T2183" s="3" t="s">
        <v>4590</v>
      </c>
      <c r="U2183" s="3" t="s">
        <v>1357</v>
      </c>
      <c r="V2183" s="3" t="s">
        <v>52</v>
      </c>
      <c r="W2183" s="3" t="s">
        <v>12246</v>
      </c>
      <c r="X2183" s="10" t="s">
        <v>12247</v>
      </c>
      <c r="Y2183" s="6" t="s">
        <v>166</v>
      </c>
      <c r="Z2183" s="4">
        <v>31.61</v>
      </c>
      <c r="AA2183" s="4">
        <v>71.84</v>
      </c>
      <c r="AB2183" s="3" t="s">
        <v>56</v>
      </c>
      <c r="AC2183" s="3" t="s">
        <v>12248</v>
      </c>
      <c r="AD2183" s="9">
        <v>44706</v>
      </c>
      <c r="AE2183" s="3" t="s">
        <v>2377</v>
      </c>
      <c r="AF2183" s="3" t="s">
        <v>36</v>
      </c>
      <c r="AG2183" s="3" t="s">
        <v>81</v>
      </c>
      <c r="AH2183" s="11">
        <f>HYPERLINK("https://my.pitchbook.com?c=195420-70T","View Company Online")</f>
      </c>
    </row>
    <row r="2184">
      <c r="A2184" s="12" t="s">
        <v>12249</v>
      </c>
      <c r="B2184" s="12" t="s">
        <v>12250</v>
      </c>
      <c r="C2184" s="19" t="s">
        <v>36</v>
      </c>
      <c r="D2184" s="19" t="s">
        <v>36</v>
      </c>
      <c r="E2184" s="19" t="s">
        <v>36</v>
      </c>
      <c r="F2184" s="19" t="s">
        <v>36</v>
      </c>
      <c r="G2184" s="15" t="s">
        <v>36</v>
      </c>
      <c r="H2184" s="14" t="s">
        <v>36</v>
      </c>
      <c r="I2184" s="18" t="s">
        <v>36</v>
      </c>
      <c r="J2184" s="12" t="s">
        <v>36</v>
      </c>
      <c r="K2184" s="13" t="s">
        <v>36</v>
      </c>
      <c r="L2184" s="15" t="s">
        <v>36</v>
      </c>
      <c r="M2184" s="12" t="s">
        <v>36</v>
      </c>
      <c r="N2184" s="12" t="s">
        <v>36</v>
      </c>
      <c r="O2184" s="17" t="s">
        <v>36</v>
      </c>
      <c r="P2184" s="12" t="s">
        <v>36</v>
      </c>
      <c r="Q2184" s="12" t="s">
        <v>36</v>
      </c>
      <c r="R2184" s="12" t="s">
        <v>36</v>
      </c>
      <c r="S2184" s="12" t="s">
        <v>36</v>
      </c>
      <c r="T2184" s="12" t="s">
        <v>6989</v>
      </c>
      <c r="U2184" s="12" t="s">
        <v>63</v>
      </c>
      <c r="V2184" s="12" t="s">
        <v>64</v>
      </c>
      <c r="W2184" s="12" t="s">
        <v>12251</v>
      </c>
      <c r="X2184" s="16" t="s">
        <v>12252</v>
      </c>
      <c r="Y2184" s="15" t="s">
        <v>108</v>
      </c>
      <c r="Z2184" s="14">
        <v>1.58</v>
      </c>
      <c r="AA2184" s="14" t="s">
        <v>36</v>
      </c>
      <c r="AB2184" s="12" t="s">
        <v>56</v>
      </c>
      <c r="AC2184" s="12" t="s">
        <v>12253</v>
      </c>
      <c r="AD2184" s="13">
        <v>44705</v>
      </c>
      <c r="AE2184" s="12" t="s">
        <v>68</v>
      </c>
      <c r="AF2184" s="12" t="s">
        <v>36</v>
      </c>
      <c r="AG2184" s="12" t="s">
        <v>12254</v>
      </c>
      <c r="AH2184" s="1">
        <f>HYPERLINK("https://my.pitchbook.com?c=194785-30T","View Company Online")</f>
      </c>
    </row>
    <row r="2185">
      <c r="A2185" s="3" t="s">
        <v>12255</v>
      </c>
      <c r="B2185" s="3" t="s">
        <v>12256</v>
      </c>
      <c r="C2185" s="5" t="s">
        <v>36</v>
      </c>
      <c r="D2185" s="5" t="s">
        <v>36</v>
      </c>
      <c r="E2185" s="5" t="s">
        <v>36</v>
      </c>
      <c r="F2185" s="5" t="s">
        <v>36</v>
      </c>
      <c r="G2185" s="6" t="s">
        <v>36</v>
      </c>
      <c r="H2185" s="4">
        <v>229.52</v>
      </c>
      <c r="I2185" s="7">
        <v>29.84</v>
      </c>
      <c r="J2185" s="3" t="s">
        <v>521</v>
      </c>
      <c r="K2185" s="9" t="s">
        <v>36</v>
      </c>
      <c r="L2185" s="6" t="s">
        <v>36</v>
      </c>
      <c r="M2185" s="3" t="s">
        <v>36</v>
      </c>
      <c r="N2185" s="3" t="s">
        <v>36</v>
      </c>
      <c r="O2185" s="8" t="s">
        <v>36</v>
      </c>
      <c r="P2185" s="3" t="s">
        <v>36</v>
      </c>
      <c r="Q2185" s="3" t="s">
        <v>36</v>
      </c>
      <c r="R2185" s="3" t="s">
        <v>36</v>
      </c>
      <c r="S2185" s="3" t="s">
        <v>36</v>
      </c>
      <c r="T2185" s="3" t="s">
        <v>661</v>
      </c>
      <c r="U2185" s="3" t="s">
        <v>51</v>
      </c>
      <c r="V2185" s="3" t="s">
        <v>52</v>
      </c>
      <c r="W2185" s="3" t="s">
        <v>12257</v>
      </c>
      <c r="X2185" s="10" t="s">
        <v>12258</v>
      </c>
      <c r="Y2185" s="6" t="s">
        <v>42</v>
      </c>
      <c r="Z2185" s="4">
        <v>0.53</v>
      </c>
      <c r="AA2185" s="4">
        <v>1.66</v>
      </c>
      <c r="AB2185" s="3" t="s">
        <v>43</v>
      </c>
      <c r="AC2185" s="3" t="s">
        <v>12259</v>
      </c>
      <c r="AD2185" s="9">
        <v>44704</v>
      </c>
      <c r="AE2185" s="3" t="s">
        <v>158</v>
      </c>
      <c r="AF2185" s="3" t="s">
        <v>665</v>
      </c>
      <c r="AG2185" s="3" t="s">
        <v>47</v>
      </c>
      <c r="AH2185" s="11">
        <f>HYPERLINK("https://my.pitchbook.com?c=194569-30T","View Company Online")</f>
      </c>
    </row>
    <row r="2186">
      <c r="A2186" s="12" t="s">
        <v>12260</v>
      </c>
      <c r="B2186" s="12" t="s">
        <v>12261</v>
      </c>
      <c r="C2186" s="19" t="s">
        <v>36</v>
      </c>
      <c r="D2186" s="19" t="s">
        <v>36</v>
      </c>
      <c r="E2186" s="19" t="s">
        <v>36</v>
      </c>
      <c r="F2186" s="19" t="s">
        <v>36</v>
      </c>
      <c r="G2186" s="15" t="s">
        <v>36</v>
      </c>
      <c r="H2186" s="14" t="s">
        <v>36</v>
      </c>
      <c r="I2186" s="18" t="s">
        <v>36</v>
      </c>
      <c r="J2186" s="12" t="s">
        <v>36</v>
      </c>
      <c r="K2186" s="13" t="s">
        <v>36</v>
      </c>
      <c r="L2186" s="15" t="s">
        <v>36</v>
      </c>
      <c r="M2186" s="12" t="s">
        <v>36</v>
      </c>
      <c r="N2186" s="12" t="s">
        <v>36</v>
      </c>
      <c r="O2186" s="17" t="s">
        <v>36</v>
      </c>
      <c r="P2186" s="12" t="s">
        <v>36</v>
      </c>
      <c r="Q2186" s="12" t="s">
        <v>36</v>
      </c>
      <c r="R2186" s="12" t="s">
        <v>36</v>
      </c>
      <c r="S2186" s="12" t="s">
        <v>36</v>
      </c>
      <c r="T2186" s="12" t="s">
        <v>123</v>
      </c>
      <c r="U2186" s="12" t="s">
        <v>38</v>
      </c>
      <c r="V2186" s="12" t="s">
        <v>39</v>
      </c>
      <c r="W2186" s="12" t="s">
        <v>12262</v>
      </c>
      <c r="X2186" s="16" t="s">
        <v>12263</v>
      </c>
      <c r="Y2186" s="15" t="s">
        <v>108</v>
      </c>
      <c r="Z2186" s="14">
        <v>1</v>
      </c>
      <c r="AA2186" s="14" t="s">
        <v>36</v>
      </c>
      <c r="AB2186" s="12" t="s">
        <v>43</v>
      </c>
      <c r="AC2186" s="12" t="s">
        <v>12264</v>
      </c>
      <c r="AD2186" s="13">
        <v>44704</v>
      </c>
      <c r="AE2186" s="12" t="s">
        <v>110</v>
      </c>
      <c r="AF2186" s="12" t="s">
        <v>3860</v>
      </c>
      <c r="AG2186" s="12" t="s">
        <v>81</v>
      </c>
      <c r="AH2186" s="1">
        <f>HYPERLINK("https://my.pitchbook.com?c=200596-60T","View Company Online")</f>
      </c>
    </row>
    <row r="2187">
      <c r="A2187" s="3" t="s">
        <v>12265</v>
      </c>
      <c r="B2187" s="3" t="s">
        <v>12266</v>
      </c>
      <c r="C2187" s="5" t="s">
        <v>36</v>
      </c>
      <c r="D2187" s="5" t="s">
        <v>36</v>
      </c>
      <c r="E2187" s="5" t="s">
        <v>36</v>
      </c>
      <c r="F2187" s="5" t="s">
        <v>36</v>
      </c>
      <c r="G2187" s="6" t="s">
        <v>326</v>
      </c>
      <c r="H2187" s="4" t="s">
        <v>36</v>
      </c>
      <c r="I2187" s="7">
        <v>13.39</v>
      </c>
      <c r="J2187" s="3" t="s">
        <v>327</v>
      </c>
      <c r="K2187" s="9" t="s">
        <v>36</v>
      </c>
      <c r="L2187" s="6" t="s">
        <v>36</v>
      </c>
      <c r="M2187" s="3" t="s">
        <v>36</v>
      </c>
      <c r="N2187" s="3" t="s">
        <v>36</v>
      </c>
      <c r="O2187" s="8" t="s">
        <v>36</v>
      </c>
      <c r="P2187" s="3" t="s">
        <v>36</v>
      </c>
      <c r="Q2187" s="3" t="s">
        <v>36</v>
      </c>
      <c r="R2187" s="3" t="s">
        <v>36</v>
      </c>
      <c r="S2187" s="3" t="s">
        <v>36</v>
      </c>
      <c r="T2187" s="3" t="s">
        <v>6159</v>
      </c>
      <c r="U2187" s="3" t="s">
        <v>648</v>
      </c>
      <c r="V2187" s="3" t="s">
        <v>64</v>
      </c>
      <c r="W2187" s="3" t="s">
        <v>12267</v>
      </c>
      <c r="X2187" s="10" t="s">
        <v>12268</v>
      </c>
      <c r="Y2187" s="6" t="s">
        <v>108</v>
      </c>
      <c r="Z2187" s="4">
        <v>1.13</v>
      </c>
      <c r="AA2187" s="4">
        <v>8.44</v>
      </c>
      <c r="AB2187" s="3" t="s">
        <v>56</v>
      </c>
      <c r="AC2187" s="3" t="s">
        <v>12269</v>
      </c>
      <c r="AD2187" s="9">
        <v>44702</v>
      </c>
      <c r="AE2187" s="3" t="s">
        <v>3988</v>
      </c>
      <c r="AF2187" s="3" t="s">
        <v>12201</v>
      </c>
      <c r="AG2187" s="3" t="s">
        <v>2760</v>
      </c>
      <c r="AH2187" s="11">
        <f>HYPERLINK("https://my.pitchbook.com?c=202598-47T","View Company Online")</f>
      </c>
    </row>
    <row r="2188">
      <c r="A2188" s="12" t="s">
        <v>12270</v>
      </c>
      <c r="B2188" s="12" t="s">
        <v>12271</v>
      </c>
      <c r="C2188" s="19" t="s">
        <v>36</v>
      </c>
      <c r="D2188" s="19" t="s">
        <v>36</v>
      </c>
      <c r="E2188" s="19" t="s">
        <v>36</v>
      </c>
      <c r="F2188" s="19" t="s">
        <v>36</v>
      </c>
      <c r="G2188" s="15" t="s">
        <v>326</v>
      </c>
      <c r="H2188" s="14">
        <v>0.62</v>
      </c>
      <c r="I2188" s="18">
        <v>11.18</v>
      </c>
      <c r="J2188" s="12" t="s">
        <v>521</v>
      </c>
      <c r="K2188" s="13" t="s">
        <v>36</v>
      </c>
      <c r="L2188" s="15" t="s">
        <v>36</v>
      </c>
      <c r="M2188" s="12" t="s">
        <v>36</v>
      </c>
      <c r="N2188" s="12" t="s">
        <v>36</v>
      </c>
      <c r="O2188" s="17" t="s">
        <v>36</v>
      </c>
      <c r="P2188" s="12" t="s">
        <v>36</v>
      </c>
      <c r="Q2188" s="12" t="s">
        <v>36</v>
      </c>
      <c r="R2188" s="12" t="s">
        <v>36</v>
      </c>
      <c r="S2188" s="12" t="s">
        <v>36</v>
      </c>
      <c r="T2188" s="12" t="s">
        <v>1048</v>
      </c>
      <c r="U2188" s="12" t="s">
        <v>423</v>
      </c>
      <c r="V2188" s="12" t="s">
        <v>64</v>
      </c>
      <c r="W2188" s="12" t="s">
        <v>12272</v>
      </c>
      <c r="X2188" s="16" t="s">
        <v>12273</v>
      </c>
      <c r="Y2188" s="15" t="s">
        <v>192</v>
      </c>
      <c r="Z2188" s="14">
        <v>0.3</v>
      </c>
      <c r="AA2188" s="14">
        <v>2.65</v>
      </c>
      <c r="AB2188" s="12" t="s">
        <v>56</v>
      </c>
      <c r="AC2188" s="12" t="s">
        <v>12274</v>
      </c>
      <c r="AD2188" s="13">
        <v>44701</v>
      </c>
      <c r="AE2188" s="12" t="s">
        <v>1051</v>
      </c>
      <c r="AF2188" s="12" t="s">
        <v>12275</v>
      </c>
      <c r="AG2188" s="12" t="s">
        <v>81</v>
      </c>
      <c r="AH2188" s="1">
        <f>HYPERLINK("https://my.pitchbook.com?c=195449-86T","View Company Online")</f>
      </c>
    </row>
    <row r="2189">
      <c r="A2189" s="3" t="s">
        <v>12276</v>
      </c>
      <c r="B2189" s="3" t="s">
        <v>12277</v>
      </c>
      <c r="C2189" s="5" t="s">
        <v>36</v>
      </c>
      <c r="D2189" s="5" t="s">
        <v>36</v>
      </c>
      <c r="E2189" s="5" t="s">
        <v>36</v>
      </c>
      <c r="F2189" s="5" t="s">
        <v>36</v>
      </c>
      <c r="G2189" s="6" t="s">
        <v>326</v>
      </c>
      <c r="H2189" s="4">
        <v>145.97</v>
      </c>
      <c r="I2189" s="7">
        <v>30.6</v>
      </c>
      <c r="J2189" s="3" t="s">
        <v>521</v>
      </c>
      <c r="K2189" s="9" t="s">
        <v>36</v>
      </c>
      <c r="L2189" s="6" t="s">
        <v>36</v>
      </c>
      <c r="M2189" s="3" t="s">
        <v>36</v>
      </c>
      <c r="N2189" s="3" t="s">
        <v>36</v>
      </c>
      <c r="O2189" s="8" t="s">
        <v>36</v>
      </c>
      <c r="P2189" s="3" t="s">
        <v>36</v>
      </c>
      <c r="Q2189" s="3" t="s">
        <v>36</v>
      </c>
      <c r="R2189" s="3" t="s">
        <v>36</v>
      </c>
      <c r="S2189" s="3" t="s">
        <v>36</v>
      </c>
      <c r="T2189" s="3" t="s">
        <v>661</v>
      </c>
      <c r="U2189" s="3" t="s">
        <v>51</v>
      </c>
      <c r="V2189" s="3" t="s">
        <v>52</v>
      </c>
      <c r="W2189" s="3" t="s">
        <v>12278</v>
      </c>
      <c r="X2189" s="10" t="s">
        <v>12279</v>
      </c>
      <c r="Y2189" s="6" t="s">
        <v>42</v>
      </c>
      <c r="Z2189" s="4">
        <v>1.94</v>
      </c>
      <c r="AA2189" s="4">
        <v>6.34</v>
      </c>
      <c r="AB2189" s="3" t="s">
        <v>56</v>
      </c>
      <c r="AC2189" s="3" t="s">
        <v>12280</v>
      </c>
      <c r="AD2189" s="9">
        <v>44701</v>
      </c>
      <c r="AE2189" s="3" t="s">
        <v>158</v>
      </c>
      <c r="AF2189" s="3" t="s">
        <v>159</v>
      </c>
      <c r="AG2189" s="3" t="s">
        <v>991</v>
      </c>
      <c r="AH2189" s="11">
        <f>HYPERLINK("https://my.pitchbook.com?c=206147-26T","View Company Online")</f>
      </c>
    </row>
    <row r="2190">
      <c r="A2190" s="12" t="s">
        <v>12281</v>
      </c>
      <c r="B2190" s="12" t="s">
        <v>12282</v>
      </c>
      <c r="C2190" s="19" t="s">
        <v>36</v>
      </c>
      <c r="D2190" s="19" t="s">
        <v>36</v>
      </c>
      <c r="E2190" s="19" t="s">
        <v>36</v>
      </c>
      <c r="F2190" s="19" t="s">
        <v>36</v>
      </c>
      <c r="G2190" s="15" t="s">
        <v>683</v>
      </c>
      <c r="H2190" s="14">
        <v>5815.97</v>
      </c>
      <c r="I2190" s="18">
        <v>10.05</v>
      </c>
      <c r="J2190" s="12" t="s">
        <v>521</v>
      </c>
      <c r="K2190" s="13" t="s">
        <v>36</v>
      </c>
      <c r="L2190" s="15" t="s">
        <v>36</v>
      </c>
      <c r="M2190" s="12" t="s">
        <v>36</v>
      </c>
      <c r="N2190" s="12" t="s">
        <v>36</v>
      </c>
      <c r="O2190" s="17" t="s">
        <v>36</v>
      </c>
      <c r="P2190" s="12" t="s">
        <v>36</v>
      </c>
      <c r="Q2190" s="12" t="s">
        <v>36</v>
      </c>
      <c r="R2190" s="12" t="s">
        <v>36</v>
      </c>
      <c r="S2190" s="12" t="s">
        <v>36</v>
      </c>
      <c r="T2190" s="12" t="s">
        <v>2490</v>
      </c>
      <c r="U2190" s="12" t="s">
        <v>318</v>
      </c>
      <c r="V2190" s="12" t="s">
        <v>39</v>
      </c>
      <c r="W2190" s="12" t="s">
        <v>12283</v>
      </c>
      <c r="X2190" s="16" t="s">
        <v>12284</v>
      </c>
      <c r="Y2190" s="15" t="s">
        <v>108</v>
      </c>
      <c r="Z2190" s="14">
        <v>0.12</v>
      </c>
      <c r="AA2190" s="14">
        <v>1.18</v>
      </c>
      <c r="AB2190" s="12" t="s">
        <v>56</v>
      </c>
      <c r="AC2190" s="12" t="s">
        <v>12285</v>
      </c>
      <c r="AD2190" s="13">
        <v>44700</v>
      </c>
      <c r="AE2190" s="12" t="s">
        <v>417</v>
      </c>
      <c r="AF2190" s="12" t="s">
        <v>592</v>
      </c>
      <c r="AG2190" s="12" t="s">
        <v>12286</v>
      </c>
      <c r="AH2190" s="1">
        <f>HYPERLINK("https://my.pitchbook.com?c=195408-91T","View Company Online")</f>
      </c>
    </row>
    <row r="2191">
      <c r="A2191" s="3" t="s">
        <v>12287</v>
      </c>
      <c r="B2191" s="3" t="s">
        <v>4565</v>
      </c>
      <c r="C2191" s="5" t="s">
        <v>36</v>
      </c>
      <c r="D2191" s="5" t="s">
        <v>36</v>
      </c>
      <c r="E2191" s="5" t="s">
        <v>36</v>
      </c>
      <c r="F2191" s="5" t="s">
        <v>36</v>
      </c>
      <c r="G2191" s="6" t="s">
        <v>326</v>
      </c>
      <c r="H2191" s="4" t="s">
        <v>36</v>
      </c>
      <c r="I2191" s="7">
        <v>15.89</v>
      </c>
      <c r="J2191" s="3" t="s">
        <v>327</v>
      </c>
      <c r="K2191" s="9">
        <v>44385</v>
      </c>
      <c r="L2191" s="6" t="s">
        <v>36</v>
      </c>
      <c r="M2191" s="3" t="s">
        <v>36</v>
      </c>
      <c r="N2191" s="3" t="s">
        <v>36</v>
      </c>
      <c r="O2191" s="8" t="s">
        <v>36</v>
      </c>
      <c r="P2191" s="3" t="s">
        <v>36</v>
      </c>
      <c r="Q2191" s="3" t="s">
        <v>36</v>
      </c>
      <c r="R2191" s="3" t="s">
        <v>36</v>
      </c>
      <c r="S2191" s="3" t="s">
        <v>36</v>
      </c>
      <c r="T2191" s="3" t="s">
        <v>942</v>
      </c>
      <c r="U2191" s="3" t="s">
        <v>38</v>
      </c>
      <c r="V2191" s="3" t="s">
        <v>39</v>
      </c>
      <c r="W2191" s="3" t="s">
        <v>4566</v>
      </c>
      <c r="X2191" s="10" t="s">
        <v>12288</v>
      </c>
      <c r="Y2191" s="6" t="s">
        <v>108</v>
      </c>
      <c r="Z2191" s="4">
        <v>5</v>
      </c>
      <c r="AA2191" s="4">
        <v>31.44</v>
      </c>
      <c r="AB2191" s="3" t="s">
        <v>43</v>
      </c>
      <c r="AC2191" s="3" t="s">
        <v>4568</v>
      </c>
      <c r="AD2191" s="9">
        <v>44700</v>
      </c>
      <c r="AE2191" s="3" t="s">
        <v>45</v>
      </c>
      <c r="AF2191" s="3" t="s">
        <v>4569</v>
      </c>
      <c r="AG2191" s="3" t="s">
        <v>81</v>
      </c>
      <c r="AH2191" s="11">
        <f>HYPERLINK("https://my.pitchbook.com?c=184423-78T","View Company Online")</f>
      </c>
    </row>
    <row r="2192">
      <c r="A2192" s="12" t="s">
        <v>12289</v>
      </c>
      <c r="B2192" s="12" t="s">
        <v>12290</v>
      </c>
      <c r="C2192" s="19" t="s">
        <v>36</v>
      </c>
      <c r="D2192" s="19" t="s">
        <v>36</v>
      </c>
      <c r="E2192" s="19" t="s">
        <v>36</v>
      </c>
      <c r="F2192" s="19" t="s">
        <v>36</v>
      </c>
      <c r="G2192" s="15" t="s">
        <v>36</v>
      </c>
      <c r="H2192" s="14">
        <v>236.13</v>
      </c>
      <c r="I2192" s="18">
        <v>14.29</v>
      </c>
      <c r="J2192" s="12" t="s">
        <v>521</v>
      </c>
      <c r="K2192" s="13" t="s">
        <v>36</v>
      </c>
      <c r="L2192" s="15" t="s">
        <v>36</v>
      </c>
      <c r="M2192" s="12" t="s">
        <v>36</v>
      </c>
      <c r="N2192" s="12" t="s">
        <v>36</v>
      </c>
      <c r="O2192" s="17" t="s">
        <v>36</v>
      </c>
      <c r="P2192" s="12" t="s">
        <v>36</v>
      </c>
      <c r="Q2192" s="12" t="s">
        <v>36</v>
      </c>
      <c r="R2192" s="12" t="s">
        <v>36</v>
      </c>
      <c r="S2192" s="12" t="s">
        <v>36</v>
      </c>
      <c r="T2192" s="12" t="s">
        <v>12291</v>
      </c>
      <c r="U2192" s="12" t="s">
        <v>74</v>
      </c>
      <c r="V2192" s="12" t="s">
        <v>75</v>
      </c>
      <c r="W2192" s="12" t="s">
        <v>12292</v>
      </c>
      <c r="X2192" s="16" t="s">
        <v>6913</v>
      </c>
      <c r="Y2192" s="15" t="s">
        <v>42</v>
      </c>
      <c r="Z2192" s="14">
        <v>0.21</v>
      </c>
      <c r="AA2192" s="14">
        <v>1.48</v>
      </c>
      <c r="AB2192" s="12" t="s">
        <v>43</v>
      </c>
      <c r="AC2192" s="12" t="s">
        <v>12293</v>
      </c>
      <c r="AD2192" s="13">
        <v>44699</v>
      </c>
      <c r="AE2192" s="12" t="s">
        <v>79</v>
      </c>
      <c r="AF2192" s="12" t="s">
        <v>12294</v>
      </c>
      <c r="AG2192" s="12" t="s">
        <v>186</v>
      </c>
      <c r="AH2192" s="1">
        <f>HYPERLINK("https://my.pitchbook.com?c=249916-87T","View Company Online")</f>
      </c>
    </row>
    <row r="2193">
      <c r="A2193" s="3" t="s">
        <v>12295</v>
      </c>
      <c r="B2193" s="3" t="s">
        <v>12296</v>
      </c>
      <c r="C2193" s="5" t="s">
        <v>36</v>
      </c>
      <c r="D2193" s="5" t="s">
        <v>36</v>
      </c>
      <c r="E2193" s="5" t="s">
        <v>36</v>
      </c>
      <c r="F2193" s="5" t="s">
        <v>36</v>
      </c>
      <c r="G2193" s="6" t="s">
        <v>36</v>
      </c>
      <c r="H2193" s="4" t="s">
        <v>36</v>
      </c>
      <c r="I2193" s="7" t="s">
        <v>36</v>
      </c>
      <c r="J2193" s="3" t="s">
        <v>36</v>
      </c>
      <c r="K2193" s="9" t="s">
        <v>36</v>
      </c>
      <c r="L2193" s="6" t="s">
        <v>36</v>
      </c>
      <c r="M2193" s="3" t="s">
        <v>36</v>
      </c>
      <c r="N2193" s="3" t="s">
        <v>36</v>
      </c>
      <c r="O2193" s="8" t="s">
        <v>36</v>
      </c>
      <c r="P2193" s="3" t="s">
        <v>36</v>
      </c>
      <c r="Q2193" s="3" t="s">
        <v>36</v>
      </c>
      <c r="R2193" s="3" t="s">
        <v>36</v>
      </c>
      <c r="S2193" s="3" t="s">
        <v>36</v>
      </c>
      <c r="T2193" s="3" t="s">
        <v>12297</v>
      </c>
      <c r="U2193" s="3" t="s">
        <v>1502</v>
      </c>
      <c r="V2193" s="3" t="s">
        <v>75</v>
      </c>
      <c r="W2193" s="3" t="s">
        <v>12298</v>
      </c>
      <c r="X2193" s="10" t="s">
        <v>12299</v>
      </c>
      <c r="Y2193" s="6" t="s">
        <v>108</v>
      </c>
      <c r="Z2193" s="4" t="s">
        <v>36</v>
      </c>
      <c r="AA2193" s="4" t="s">
        <v>36</v>
      </c>
      <c r="AB2193" s="3" t="s">
        <v>43</v>
      </c>
      <c r="AC2193" s="3" t="s">
        <v>12300</v>
      </c>
      <c r="AD2193" s="9">
        <v>44699</v>
      </c>
      <c r="AE2193" s="3" t="s">
        <v>12301</v>
      </c>
      <c r="AF2193" s="3" t="s">
        <v>36</v>
      </c>
      <c r="AG2193" s="3" t="s">
        <v>102</v>
      </c>
      <c r="AH2193" s="11">
        <f>HYPERLINK("https://my.pitchbook.com?c=219303-64T","View Company Online")</f>
      </c>
    </row>
    <row r="2194">
      <c r="A2194" s="12" t="s">
        <v>12302</v>
      </c>
      <c r="B2194" s="12" t="s">
        <v>12303</v>
      </c>
      <c r="C2194" s="19" t="s">
        <v>36</v>
      </c>
      <c r="D2194" s="19" t="s">
        <v>36</v>
      </c>
      <c r="E2194" s="19" t="s">
        <v>36</v>
      </c>
      <c r="F2194" s="19" t="s">
        <v>36</v>
      </c>
      <c r="G2194" s="15" t="s">
        <v>326</v>
      </c>
      <c r="H2194" s="14">
        <v>497.46</v>
      </c>
      <c r="I2194" s="18">
        <v>9.05</v>
      </c>
      <c r="J2194" s="12" t="s">
        <v>521</v>
      </c>
      <c r="K2194" s="13" t="s">
        <v>36</v>
      </c>
      <c r="L2194" s="15" t="s">
        <v>36</v>
      </c>
      <c r="M2194" s="12" t="s">
        <v>36</v>
      </c>
      <c r="N2194" s="12" t="s">
        <v>36</v>
      </c>
      <c r="O2194" s="17" t="s">
        <v>36</v>
      </c>
      <c r="P2194" s="12" t="s">
        <v>36</v>
      </c>
      <c r="Q2194" s="12" t="s">
        <v>36</v>
      </c>
      <c r="R2194" s="12" t="s">
        <v>36</v>
      </c>
      <c r="S2194" s="12" t="s">
        <v>36</v>
      </c>
      <c r="T2194" s="12" t="s">
        <v>11952</v>
      </c>
      <c r="U2194" s="12" t="s">
        <v>38</v>
      </c>
      <c r="V2194" s="12" t="s">
        <v>39</v>
      </c>
      <c r="W2194" s="12" t="s">
        <v>12304</v>
      </c>
      <c r="X2194" s="16" t="s">
        <v>12305</v>
      </c>
      <c r="Y2194" s="15" t="s">
        <v>108</v>
      </c>
      <c r="Z2194" s="14">
        <v>2.13</v>
      </c>
      <c r="AA2194" s="14">
        <v>23.54</v>
      </c>
      <c r="AB2194" s="12" t="s">
        <v>56</v>
      </c>
      <c r="AC2194" s="12" t="s">
        <v>12306</v>
      </c>
      <c r="AD2194" s="13">
        <v>44699</v>
      </c>
      <c r="AE2194" s="12" t="s">
        <v>110</v>
      </c>
      <c r="AF2194" s="12" t="s">
        <v>12307</v>
      </c>
      <c r="AG2194" s="12" t="s">
        <v>765</v>
      </c>
      <c r="AH2194" s="1">
        <f>HYPERLINK("https://my.pitchbook.com?c=195746-14T","View Company Online")</f>
      </c>
    </row>
    <row r="2195">
      <c r="A2195" s="3" t="s">
        <v>12308</v>
      </c>
      <c r="B2195" s="3" t="s">
        <v>12309</v>
      </c>
      <c r="C2195" s="5" t="s">
        <v>36</v>
      </c>
      <c r="D2195" s="5" t="s">
        <v>36</v>
      </c>
      <c r="E2195" s="5" t="s">
        <v>36</v>
      </c>
      <c r="F2195" s="5" t="s">
        <v>36</v>
      </c>
      <c r="G2195" s="6" t="s">
        <v>36</v>
      </c>
      <c r="H2195" s="4" t="s">
        <v>36</v>
      </c>
      <c r="I2195" s="7" t="s">
        <v>36</v>
      </c>
      <c r="J2195" s="3" t="s">
        <v>36</v>
      </c>
      <c r="K2195" s="9" t="s">
        <v>36</v>
      </c>
      <c r="L2195" s="6" t="s">
        <v>122</v>
      </c>
      <c r="M2195" s="3" t="s">
        <v>36</v>
      </c>
      <c r="N2195" s="3" t="s">
        <v>122</v>
      </c>
      <c r="O2195" s="8" t="s">
        <v>36</v>
      </c>
      <c r="P2195" s="3" t="s">
        <v>36</v>
      </c>
      <c r="Q2195" s="3" t="s">
        <v>36</v>
      </c>
      <c r="R2195" s="3" t="s">
        <v>36</v>
      </c>
      <c r="S2195" s="3" t="s">
        <v>36</v>
      </c>
      <c r="T2195" s="3" t="s">
        <v>464</v>
      </c>
      <c r="U2195" s="3" t="s">
        <v>38</v>
      </c>
      <c r="V2195" s="3" t="s">
        <v>39</v>
      </c>
      <c r="W2195" s="3" t="s">
        <v>12310</v>
      </c>
      <c r="X2195" s="10" t="s">
        <v>12311</v>
      </c>
      <c r="Y2195" s="6" t="s">
        <v>108</v>
      </c>
      <c r="Z2195" s="4">
        <v>7.42</v>
      </c>
      <c r="AA2195" s="4" t="s">
        <v>36</v>
      </c>
      <c r="AB2195" s="3" t="s">
        <v>56</v>
      </c>
      <c r="AC2195" s="3" t="s">
        <v>12312</v>
      </c>
      <c r="AD2195" s="9">
        <v>44698</v>
      </c>
      <c r="AE2195" s="3" t="s">
        <v>110</v>
      </c>
      <c r="AF2195" s="3" t="s">
        <v>468</v>
      </c>
      <c r="AG2195" s="3" t="s">
        <v>12313</v>
      </c>
      <c r="AH2195" s="11">
        <f>HYPERLINK("https://my.pitchbook.com?c=194164-12T","View Company Online")</f>
      </c>
    </row>
    <row r="2196">
      <c r="A2196" s="12" t="s">
        <v>12314</v>
      </c>
      <c r="B2196" s="12" t="s">
        <v>12315</v>
      </c>
      <c r="C2196" s="19" t="s">
        <v>36</v>
      </c>
      <c r="D2196" s="19" t="s">
        <v>36</v>
      </c>
      <c r="E2196" s="19" t="s">
        <v>36</v>
      </c>
      <c r="F2196" s="19" t="s">
        <v>36</v>
      </c>
      <c r="G2196" s="15" t="s">
        <v>326</v>
      </c>
      <c r="H2196" s="14">
        <v>519.28</v>
      </c>
      <c r="I2196" s="18">
        <v>15.82</v>
      </c>
      <c r="J2196" s="12" t="s">
        <v>521</v>
      </c>
      <c r="K2196" s="13" t="s">
        <v>36</v>
      </c>
      <c r="L2196" s="15" t="s">
        <v>36</v>
      </c>
      <c r="M2196" s="12" t="s">
        <v>36</v>
      </c>
      <c r="N2196" s="12" t="s">
        <v>36</v>
      </c>
      <c r="O2196" s="17" t="s">
        <v>36</v>
      </c>
      <c r="P2196" s="12" t="s">
        <v>36</v>
      </c>
      <c r="Q2196" s="12" t="s">
        <v>36</v>
      </c>
      <c r="R2196" s="12" t="s">
        <v>36</v>
      </c>
      <c r="S2196" s="12" t="s">
        <v>36</v>
      </c>
      <c r="T2196" s="12" t="s">
        <v>4876</v>
      </c>
      <c r="U2196" s="12" t="s">
        <v>1357</v>
      </c>
      <c r="V2196" s="12" t="s">
        <v>52</v>
      </c>
      <c r="W2196" s="12" t="s">
        <v>12316</v>
      </c>
      <c r="X2196" s="16" t="s">
        <v>12317</v>
      </c>
      <c r="Y2196" s="15" t="s">
        <v>108</v>
      </c>
      <c r="Z2196" s="14">
        <v>1.74</v>
      </c>
      <c r="AA2196" s="14">
        <v>10.97</v>
      </c>
      <c r="AB2196" s="12" t="s">
        <v>56</v>
      </c>
      <c r="AC2196" s="12" t="s">
        <v>12318</v>
      </c>
      <c r="AD2196" s="13">
        <v>44698</v>
      </c>
      <c r="AE2196" s="12" t="s">
        <v>2808</v>
      </c>
      <c r="AF2196" s="12" t="s">
        <v>101</v>
      </c>
      <c r="AG2196" s="12" t="s">
        <v>12319</v>
      </c>
      <c r="AH2196" s="1">
        <f>HYPERLINK("https://my.pitchbook.com?c=195558-04T","View Company Online")</f>
      </c>
    </row>
    <row r="2197">
      <c r="A2197" s="3" t="s">
        <v>12320</v>
      </c>
      <c r="B2197" s="3" t="s">
        <v>12321</v>
      </c>
      <c r="C2197" s="5" t="s">
        <v>36</v>
      </c>
      <c r="D2197" s="5" t="s">
        <v>36</v>
      </c>
      <c r="E2197" s="5" t="s">
        <v>36</v>
      </c>
      <c r="F2197" s="5" t="s">
        <v>36</v>
      </c>
      <c r="G2197" s="6" t="s">
        <v>36</v>
      </c>
      <c r="H2197" s="4" t="s">
        <v>36</v>
      </c>
      <c r="I2197" s="7" t="s">
        <v>36</v>
      </c>
      <c r="J2197" s="3" t="s">
        <v>36</v>
      </c>
      <c r="K2197" s="9" t="s">
        <v>36</v>
      </c>
      <c r="L2197" s="6" t="s">
        <v>36</v>
      </c>
      <c r="M2197" s="3" t="s">
        <v>36</v>
      </c>
      <c r="N2197" s="3" t="s">
        <v>36</v>
      </c>
      <c r="O2197" s="8" t="s">
        <v>36</v>
      </c>
      <c r="P2197" s="3" t="s">
        <v>36</v>
      </c>
      <c r="Q2197" s="3" t="s">
        <v>36</v>
      </c>
      <c r="R2197" s="3" t="s">
        <v>36</v>
      </c>
      <c r="S2197" s="3" t="s">
        <v>36</v>
      </c>
      <c r="T2197" s="3" t="s">
        <v>1023</v>
      </c>
      <c r="U2197" s="3" t="s">
        <v>74</v>
      </c>
      <c r="V2197" s="3" t="s">
        <v>75</v>
      </c>
      <c r="W2197" s="3" t="s">
        <v>12322</v>
      </c>
      <c r="X2197" s="10" t="s">
        <v>11101</v>
      </c>
      <c r="Y2197" s="6" t="s">
        <v>42</v>
      </c>
      <c r="Z2197" s="4" t="s">
        <v>36</v>
      </c>
      <c r="AA2197" s="4" t="s">
        <v>36</v>
      </c>
      <c r="AB2197" s="3" t="s">
        <v>43</v>
      </c>
      <c r="AC2197" s="3" t="s">
        <v>12323</v>
      </c>
      <c r="AD2197" s="9">
        <v>44697</v>
      </c>
      <c r="AE2197" s="3" t="s">
        <v>79</v>
      </c>
      <c r="AF2197" s="3" t="s">
        <v>36</v>
      </c>
      <c r="AG2197" s="3" t="s">
        <v>81</v>
      </c>
      <c r="AH2197" s="11">
        <f>HYPERLINK("https://my.pitchbook.com?c=204738-94T","View Company Online")</f>
      </c>
    </row>
    <row r="2198">
      <c r="A2198" s="12" t="s">
        <v>12324</v>
      </c>
      <c r="B2198" s="12" t="s">
        <v>12325</v>
      </c>
      <c r="C2198" s="19" t="s">
        <v>36</v>
      </c>
      <c r="D2198" s="19" t="s">
        <v>36</v>
      </c>
      <c r="E2198" s="19" t="s">
        <v>36</v>
      </c>
      <c r="F2198" s="19" t="s">
        <v>36</v>
      </c>
      <c r="G2198" s="15" t="s">
        <v>326</v>
      </c>
      <c r="H2198" s="14">
        <v>56.36</v>
      </c>
      <c r="I2198" s="18">
        <v>35</v>
      </c>
      <c r="J2198" s="12" t="s">
        <v>521</v>
      </c>
      <c r="K2198" s="13" t="s">
        <v>36</v>
      </c>
      <c r="L2198" s="15" t="s">
        <v>36</v>
      </c>
      <c r="M2198" s="12" t="s">
        <v>36</v>
      </c>
      <c r="N2198" s="12" t="s">
        <v>36</v>
      </c>
      <c r="O2198" s="17" t="s">
        <v>36</v>
      </c>
      <c r="P2198" s="12" t="s">
        <v>36</v>
      </c>
      <c r="Q2198" s="12" t="s">
        <v>36</v>
      </c>
      <c r="R2198" s="12" t="s">
        <v>36</v>
      </c>
      <c r="S2198" s="12" t="s">
        <v>36</v>
      </c>
      <c r="T2198" s="12" t="s">
        <v>12326</v>
      </c>
      <c r="U2198" s="12" t="s">
        <v>648</v>
      </c>
      <c r="V2198" s="12" t="s">
        <v>64</v>
      </c>
      <c r="W2198" s="12" t="s">
        <v>12327</v>
      </c>
      <c r="X2198" s="16" t="s">
        <v>12328</v>
      </c>
      <c r="Y2198" s="15" t="s">
        <v>108</v>
      </c>
      <c r="Z2198" s="14">
        <v>4.24</v>
      </c>
      <c r="AA2198" s="14">
        <v>12.13</v>
      </c>
      <c r="AB2198" s="12" t="s">
        <v>43</v>
      </c>
      <c r="AC2198" s="12" t="s">
        <v>12329</v>
      </c>
      <c r="AD2198" s="13">
        <v>44697</v>
      </c>
      <c r="AE2198" s="12" t="s">
        <v>1897</v>
      </c>
      <c r="AF2198" s="12" t="s">
        <v>12330</v>
      </c>
      <c r="AG2198" s="12" t="s">
        <v>81</v>
      </c>
      <c r="AH2198" s="1">
        <f>HYPERLINK("https://my.pitchbook.com?c=194128-30T","View Company Online")</f>
      </c>
    </row>
    <row r="2199">
      <c r="A2199" s="3" t="s">
        <v>12331</v>
      </c>
      <c r="B2199" s="3" t="s">
        <v>12332</v>
      </c>
      <c r="C2199" s="5" t="s">
        <v>36</v>
      </c>
      <c r="D2199" s="5" t="s">
        <v>36</v>
      </c>
      <c r="E2199" s="5" t="s">
        <v>36</v>
      </c>
      <c r="F2199" s="5" t="s">
        <v>36</v>
      </c>
      <c r="G2199" s="6" t="s">
        <v>36</v>
      </c>
      <c r="H2199" s="4" t="s">
        <v>36</v>
      </c>
      <c r="I2199" s="7" t="s">
        <v>36</v>
      </c>
      <c r="J2199" s="3" t="s">
        <v>36</v>
      </c>
      <c r="K2199" s="9">
        <v>44379</v>
      </c>
      <c r="L2199" s="6" t="s">
        <v>36</v>
      </c>
      <c r="M2199" s="3" t="s">
        <v>36</v>
      </c>
      <c r="N2199" s="3" t="s">
        <v>36</v>
      </c>
      <c r="O2199" s="8" t="s">
        <v>36</v>
      </c>
      <c r="P2199" s="3" t="s">
        <v>36</v>
      </c>
      <c r="Q2199" s="3" t="s">
        <v>36</v>
      </c>
      <c r="R2199" s="3" t="s">
        <v>36</v>
      </c>
      <c r="S2199" s="3" t="s">
        <v>36</v>
      </c>
      <c r="T2199" s="3" t="s">
        <v>12333</v>
      </c>
      <c r="U2199" s="3" t="s">
        <v>74</v>
      </c>
      <c r="V2199" s="3" t="s">
        <v>75</v>
      </c>
      <c r="W2199" s="3" t="s">
        <v>12334</v>
      </c>
      <c r="X2199" s="10" t="s">
        <v>12335</v>
      </c>
      <c r="Y2199" s="6" t="s">
        <v>42</v>
      </c>
      <c r="Z2199" s="4">
        <v>6.37</v>
      </c>
      <c r="AA2199" s="4" t="s">
        <v>36</v>
      </c>
      <c r="AB2199" s="3" t="s">
        <v>56</v>
      </c>
      <c r="AC2199" s="3" t="s">
        <v>12336</v>
      </c>
      <c r="AD2199" s="9">
        <v>44697</v>
      </c>
      <c r="AE2199" s="3" t="s">
        <v>362</v>
      </c>
      <c r="AF2199" s="3" t="s">
        <v>12337</v>
      </c>
      <c r="AG2199" s="3" t="s">
        <v>2760</v>
      </c>
      <c r="AH2199" s="11">
        <f>HYPERLINK("https://my.pitchbook.com?c=194522-23T","View Company Online")</f>
      </c>
    </row>
    <row r="2200">
      <c r="A2200" s="12" t="s">
        <v>12338</v>
      </c>
      <c r="B2200" s="12" t="s">
        <v>12339</v>
      </c>
      <c r="C2200" s="19" t="s">
        <v>36</v>
      </c>
      <c r="D2200" s="19" t="s">
        <v>36</v>
      </c>
      <c r="E2200" s="19" t="s">
        <v>36</v>
      </c>
      <c r="F2200" s="19" t="s">
        <v>36</v>
      </c>
      <c r="G2200" s="15" t="s">
        <v>36</v>
      </c>
      <c r="H2200" s="14">
        <v>15.67</v>
      </c>
      <c r="I2200" s="18">
        <v>17.21</v>
      </c>
      <c r="J2200" s="12" t="s">
        <v>521</v>
      </c>
      <c r="K2200" s="13" t="s">
        <v>36</v>
      </c>
      <c r="L2200" s="15" t="s">
        <v>36</v>
      </c>
      <c r="M2200" s="12" t="s">
        <v>36</v>
      </c>
      <c r="N2200" s="12" t="s">
        <v>36</v>
      </c>
      <c r="O2200" s="17" t="s">
        <v>36</v>
      </c>
      <c r="P2200" s="12" t="s">
        <v>36</v>
      </c>
      <c r="Q2200" s="12" t="s">
        <v>36</v>
      </c>
      <c r="R2200" s="12" t="s">
        <v>36</v>
      </c>
      <c r="S2200" s="12" t="s">
        <v>36</v>
      </c>
      <c r="T2200" s="12" t="s">
        <v>7901</v>
      </c>
      <c r="U2200" s="12" t="s">
        <v>38</v>
      </c>
      <c r="V2200" s="12" t="s">
        <v>39</v>
      </c>
      <c r="W2200" s="12" t="s">
        <v>12340</v>
      </c>
      <c r="X2200" s="16" t="s">
        <v>12341</v>
      </c>
      <c r="Y2200" s="15" t="s">
        <v>108</v>
      </c>
      <c r="Z2200" s="14">
        <v>0.55</v>
      </c>
      <c r="AA2200" s="14">
        <v>3.21</v>
      </c>
      <c r="AB2200" s="12" t="s">
        <v>56</v>
      </c>
      <c r="AC2200" s="12" t="s">
        <v>12342</v>
      </c>
      <c r="AD2200" s="13">
        <v>44697</v>
      </c>
      <c r="AE2200" s="12" t="s">
        <v>134</v>
      </c>
      <c r="AF2200" s="12" t="s">
        <v>12343</v>
      </c>
      <c r="AG2200" s="12" t="s">
        <v>741</v>
      </c>
      <c r="AH2200" s="1">
        <f>HYPERLINK("https://my.pitchbook.com?c=195743-53T","View Company Online")</f>
      </c>
    </row>
    <row r="2201">
      <c r="A2201" s="3" t="s">
        <v>12344</v>
      </c>
      <c r="B2201" s="3" t="s">
        <v>1713</v>
      </c>
      <c r="C2201" s="5" t="s">
        <v>36</v>
      </c>
      <c r="D2201" s="5" t="s">
        <v>36</v>
      </c>
      <c r="E2201" s="5" t="s">
        <v>36</v>
      </c>
      <c r="F2201" s="5" t="s">
        <v>36</v>
      </c>
      <c r="G2201" s="6" t="s">
        <v>36</v>
      </c>
      <c r="H2201" s="4">
        <v>25.37</v>
      </c>
      <c r="I2201" s="7">
        <v>41.74</v>
      </c>
      <c r="J2201" s="3" t="s">
        <v>521</v>
      </c>
      <c r="K2201" s="9">
        <v>44621</v>
      </c>
      <c r="L2201" s="6" t="s">
        <v>36</v>
      </c>
      <c r="M2201" s="3" t="s">
        <v>36</v>
      </c>
      <c r="N2201" s="3" t="s">
        <v>36</v>
      </c>
      <c r="O2201" s="8" t="s">
        <v>36</v>
      </c>
      <c r="P2201" s="3" t="s">
        <v>36</v>
      </c>
      <c r="Q2201" s="3" t="s">
        <v>36</v>
      </c>
      <c r="R2201" s="3" t="s">
        <v>36</v>
      </c>
      <c r="S2201" s="3" t="s">
        <v>36</v>
      </c>
      <c r="T2201" s="3" t="s">
        <v>422</v>
      </c>
      <c r="U2201" s="3" t="s">
        <v>423</v>
      </c>
      <c r="V2201" s="3" t="s">
        <v>64</v>
      </c>
      <c r="W2201" s="3" t="s">
        <v>1714</v>
      </c>
      <c r="X2201" s="10" t="s">
        <v>6022</v>
      </c>
      <c r="Y2201" s="6" t="s">
        <v>42</v>
      </c>
      <c r="Z2201" s="4">
        <v>1.38</v>
      </c>
      <c r="AA2201" s="4">
        <v>2.67</v>
      </c>
      <c r="AB2201" s="3" t="s">
        <v>43</v>
      </c>
      <c r="AC2201" s="3" t="s">
        <v>1716</v>
      </c>
      <c r="AD2201" s="9">
        <v>44696</v>
      </c>
      <c r="AE2201" s="3" t="s">
        <v>427</v>
      </c>
      <c r="AF2201" s="3" t="s">
        <v>90</v>
      </c>
      <c r="AG2201" s="3" t="s">
        <v>1717</v>
      </c>
      <c r="AH2201" s="11">
        <f>HYPERLINK("https://my.pitchbook.com?c=180298-00T","View Company Online")</f>
      </c>
    </row>
    <row r="2202">
      <c r="A2202" s="12" t="s">
        <v>12345</v>
      </c>
      <c r="B2202" s="12" t="s">
        <v>12346</v>
      </c>
      <c r="C2202" s="19" t="s">
        <v>36</v>
      </c>
      <c r="D2202" s="19" t="s">
        <v>36</v>
      </c>
      <c r="E2202" s="19" t="s">
        <v>36</v>
      </c>
      <c r="F2202" s="19" t="s">
        <v>36</v>
      </c>
      <c r="G2202" s="15" t="s">
        <v>36</v>
      </c>
      <c r="H2202" s="14" t="s">
        <v>36</v>
      </c>
      <c r="I2202" s="18" t="s">
        <v>36</v>
      </c>
      <c r="J2202" s="12" t="s">
        <v>36</v>
      </c>
      <c r="K2202" s="13" t="s">
        <v>36</v>
      </c>
      <c r="L2202" s="15" t="s">
        <v>36</v>
      </c>
      <c r="M2202" s="12" t="s">
        <v>36</v>
      </c>
      <c r="N2202" s="12" t="s">
        <v>36</v>
      </c>
      <c r="O2202" s="17" t="s">
        <v>36</v>
      </c>
      <c r="P2202" s="12" t="s">
        <v>36</v>
      </c>
      <c r="Q2202" s="12" t="s">
        <v>36</v>
      </c>
      <c r="R2202" s="12" t="s">
        <v>36</v>
      </c>
      <c r="S2202" s="12" t="s">
        <v>36</v>
      </c>
      <c r="T2202" s="12" t="s">
        <v>2498</v>
      </c>
      <c r="U2202" s="12" t="s">
        <v>956</v>
      </c>
      <c r="V2202" s="12" t="s">
        <v>405</v>
      </c>
      <c r="W2202" s="12" t="s">
        <v>12347</v>
      </c>
      <c r="X2202" s="16" t="s">
        <v>2433</v>
      </c>
      <c r="Y2202" s="15" t="s">
        <v>108</v>
      </c>
      <c r="Z2202" s="14">
        <v>2.13</v>
      </c>
      <c r="AA2202" s="14" t="s">
        <v>36</v>
      </c>
      <c r="AB2202" s="12" t="s">
        <v>43</v>
      </c>
      <c r="AC2202" s="12" t="s">
        <v>12348</v>
      </c>
      <c r="AD2202" s="13">
        <v>44694</v>
      </c>
      <c r="AE2202" s="12" t="s">
        <v>960</v>
      </c>
      <c r="AF2202" s="12" t="s">
        <v>2054</v>
      </c>
      <c r="AG2202" s="12" t="s">
        <v>12349</v>
      </c>
      <c r="AH2202" s="1">
        <f>HYPERLINK("https://my.pitchbook.com?c=219542-59T","View Company Online")</f>
      </c>
    </row>
    <row r="2203">
      <c r="A2203" s="3" t="s">
        <v>12350</v>
      </c>
      <c r="B2203" s="3" t="s">
        <v>12351</v>
      </c>
      <c r="C2203" s="5" t="s">
        <v>36</v>
      </c>
      <c r="D2203" s="5" t="s">
        <v>36</v>
      </c>
      <c r="E2203" s="5" t="s">
        <v>36</v>
      </c>
      <c r="F2203" s="5" t="s">
        <v>36</v>
      </c>
      <c r="G2203" s="6" t="s">
        <v>326</v>
      </c>
      <c r="H2203" s="4">
        <v>5.81</v>
      </c>
      <c r="I2203" s="7">
        <v>3.06</v>
      </c>
      <c r="J2203" s="3" t="s">
        <v>521</v>
      </c>
      <c r="K2203" s="9" t="s">
        <v>36</v>
      </c>
      <c r="L2203" s="6" t="s">
        <v>1279</v>
      </c>
      <c r="M2203" s="3" t="s">
        <v>36</v>
      </c>
      <c r="N2203" s="3" t="s">
        <v>1279</v>
      </c>
      <c r="O2203" s="8" t="s">
        <v>36</v>
      </c>
      <c r="P2203" s="3" t="s">
        <v>36</v>
      </c>
      <c r="Q2203" s="3" t="s">
        <v>36</v>
      </c>
      <c r="R2203" s="3" t="s">
        <v>36</v>
      </c>
      <c r="S2203" s="3" t="s">
        <v>36</v>
      </c>
      <c r="T2203" s="3" t="s">
        <v>12352</v>
      </c>
      <c r="U2203" s="3" t="s">
        <v>455</v>
      </c>
      <c r="V2203" s="3" t="s">
        <v>367</v>
      </c>
      <c r="W2203" s="3" t="s">
        <v>12353</v>
      </c>
      <c r="X2203" s="10" t="s">
        <v>12354</v>
      </c>
      <c r="Y2203" s="6" t="s">
        <v>55</v>
      </c>
      <c r="Z2203" s="4">
        <v>31.96</v>
      </c>
      <c r="AA2203" s="4">
        <v>1043.2</v>
      </c>
      <c r="AB2203" s="3" t="s">
        <v>56</v>
      </c>
      <c r="AC2203" s="3" t="s">
        <v>12355</v>
      </c>
      <c r="AD2203" s="9">
        <v>44694</v>
      </c>
      <c r="AE2203" s="3" t="s">
        <v>12356</v>
      </c>
      <c r="AF2203" s="3" t="s">
        <v>3179</v>
      </c>
      <c r="AG2203" s="3" t="s">
        <v>81</v>
      </c>
      <c r="AH2203" s="11">
        <f>HYPERLINK("https://my.pitchbook.com?c=194065-03T","View Company Online")</f>
      </c>
    </row>
    <row r="2204">
      <c r="A2204" s="12" t="s">
        <v>12357</v>
      </c>
      <c r="B2204" s="12" t="s">
        <v>12358</v>
      </c>
      <c r="C2204" s="19" t="s">
        <v>36</v>
      </c>
      <c r="D2204" s="19" t="s">
        <v>36</v>
      </c>
      <c r="E2204" s="19" t="s">
        <v>36</v>
      </c>
      <c r="F2204" s="19" t="s">
        <v>36</v>
      </c>
      <c r="G2204" s="15" t="s">
        <v>2497</v>
      </c>
      <c r="H2204" s="14">
        <v>503.34</v>
      </c>
      <c r="I2204" s="18">
        <v>32.87</v>
      </c>
      <c r="J2204" s="12" t="s">
        <v>521</v>
      </c>
      <c r="K2204" s="13" t="s">
        <v>36</v>
      </c>
      <c r="L2204" s="15" t="s">
        <v>36</v>
      </c>
      <c r="M2204" s="12" t="s">
        <v>36</v>
      </c>
      <c r="N2204" s="12" t="s">
        <v>36</v>
      </c>
      <c r="O2204" s="17" t="s">
        <v>36</v>
      </c>
      <c r="P2204" s="12" t="s">
        <v>36</v>
      </c>
      <c r="Q2204" s="12" t="s">
        <v>36</v>
      </c>
      <c r="R2204" s="12" t="s">
        <v>36</v>
      </c>
      <c r="S2204" s="12" t="s">
        <v>36</v>
      </c>
      <c r="T2204" s="12" t="s">
        <v>12359</v>
      </c>
      <c r="U2204" s="12" t="s">
        <v>38</v>
      </c>
      <c r="V2204" s="12" t="s">
        <v>39</v>
      </c>
      <c r="W2204" s="12" t="s">
        <v>12360</v>
      </c>
      <c r="X2204" s="16" t="s">
        <v>12361</v>
      </c>
      <c r="Y2204" s="15" t="s">
        <v>192</v>
      </c>
      <c r="Z2204" s="14">
        <v>10.23</v>
      </c>
      <c r="AA2204" s="14">
        <v>24.62</v>
      </c>
      <c r="AB2204" s="12" t="s">
        <v>56</v>
      </c>
      <c r="AC2204" s="12" t="s">
        <v>12362</v>
      </c>
      <c r="AD2204" s="13">
        <v>44694</v>
      </c>
      <c r="AE2204" s="12" t="s">
        <v>110</v>
      </c>
      <c r="AF2204" s="12" t="s">
        <v>12363</v>
      </c>
      <c r="AG2204" s="12" t="s">
        <v>81</v>
      </c>
      <c r="AH2204" s="1">
        <f>HYPERLINK("https://my.pitchbook.com?c=194068-81T","View Company Online")</f>
      </c>
    </row>
    <row r="2205">
      <c r="A2205" s="3" t="s">
        <v>12364</v>
      </c>
      <c r="B2205" s="3" t="s">
        <v>12365</v>
      </c>
      <c r="C2205" s="5" t="s">
        <v>36</v>
      </c>
      <c r="D2205" s="5" t="s">
        <v>36</v>
      </c>
      <c r="E2205" s="5" t="s">
        <v>36</v>
      </c>
      <c r="F2205" s="5" t="s">
        <v>36</v>
      </c>
      <c r="G2205" s="6" t="s">
        <v>683</v>
      </c>
      <c r="H2205" s="4">
        <v>207.71</v>
      </c>
      <c r="I2205" s="7">
        <v>28.73</v>
      </c>
      <c r="J2205" s="3" t="s">
        <v>521</v>
      </c>
      <c r="K2205" s="9" t="s">
        <v>36</v>
      </c>
      <c r="L2205" s="6" t="s">
        <v>36</v>
      </c>
      <c r="M2205" s="3" t="s">
        <v>36</v>
      </c>
      <c r="N2205" s="3" t="s">
        <v>36</v>
      </c>
      <c r="O2205" s="8" t="s">
        <v>36</v>
      </c>
      <c r="P2205" s="3" t="s">
        <v>36</v>
      </c>
      <c r="Q2205" s="3" t="s">
        <v>36</v>
      </c>
      <c r="R2205" s="3" t="s">
        <v>36</v>
      </c>
      <c r="S2205" s="3" t="s">
        <v>36</v>
      </c>
      <c r="T2205" s="3" t="s">
        <v>12366</v>
      </c>
      <c r="U2205" s="3" t="s">
        <v>1336</v>
      </c>
      <c r="V2205" s="3" t="s">
        <v>367</v>
      </c>
      <c r="W2205" s="3" t="s">
        <v>12367</v>
      </c>
      <c r="X2205" s="10" t="s">
        <v>12368</v>
      </c>
      <c r="Y2205" s="6" t="s">
        <v>108</v>
      </c>
      <c r="Z2205" s="4">
        <v>7.88</v>
      </c>
      <c r="AA2205" s="4">
        <v>18.54</v>
      </c>
      <c r="AB2205" s="3" t="s">
        <v>56</v>
      </c>
      <c r="AC2205" s="3" t="s">
        <v>12369</v>
      </c>
      <c r="AD2205" s="9">
        <v>44694</v>
      </c>
      <c r="AE2205" s="3" t="s">
        <v>3712</v>
      </c>
      <c r="AF2205" s="3" t="s">
        <v>7379</v>
      </c>
      <c r="AG2205" s="3" t="s">
        <v>12370</v>
      </c>
      <c r="AH2205" s="11">
        <f>HYPERLINK("https://my.pitchbook.com?c=194064-58T","View Company Online")</f>
      </c>
    </row>
    <row r="2206">
      <c r="A2206" s="12" t="s">
        <v>12371</v>
      </c>
      <c r="B2206" s="12" t="s">
        <v>6897</v>
      </c>
      <c r="C2206" s="19">
        <v>20</v>
      </c>
      <c r="D2206" s="19">
        <v>48</v>
      </c>
      <c r="E2206" s="19">
        <v>17</v>
      </c>
      <c r="F2206" s="19">
        <v>68</v>
      </c>
      <c r="G2206" s="15" t="s">
        <v>36</v>
      </c>
      <c r="H2206" s="14">
        <v>43.21</v>
      </c>
      <c r="I2206" s="18">
        <v>44.39</v>
      </c>
      <c r="J2206" s="12" t="s">
        <v>521</v>
      </c>
      <c r="K2206" s="13" t="s">
        <v>36</v>
      </c>
      <c r="L2206" s="15" t="s">
        <v>94</v>
      </c>
      <c r="M2206" s="12" t="s">
        <v>36</v>
      </c>
      <c r="N2206" s="12" t="s">
        <v>94</v>
      </c>
      <c r="O2206" s="17" t="s">
        <v>36</v>
      </c>
      <c r="P2206" s="12" t="s">
        <v>36</v>
      </c>
      <c r="Q2206" s="12" t="s">
        <v>36</v>
      </c>
      <c r="R2206" s="12" t="s">
        <v>36</v>
      </c>
      <c r="S2206" s="12" t="s">
        <v>36</v>
      </c>
      <c r="T2206" s="12" t="s">
        <v>6898</v>
      </c>
      <c r="U2206" s="12" t="s">
        <v>51</v>
      </c>
      <c r="V2206" s="12" t="s">
        <v>52</v>
      </c>
      <c r="W2206" s="12" t="s">
        <v>6899</v>
      </c>
      <c r="X2206" s="16" t="s">
        <v>12372</v>
      </c>
      <c r="Y2206" s="15" t="s">
        <v>108</v>
      </c>
      <c r="Z2206" s="14">
        <v>4.26</v>
      </c>
      <c r="AA2206" s="14">
        <v>9.59</v>
      </c>
      <c r="AB2206" s="12" t="s">
        <v>43</v>
      </c>
      <c r="AC2206" s="12" t="s">
        <v>6900</v>
      </c>
      <c r="AD2206" s="13">
        <v>44693</v>
      </c>
      <c r="AE2206" s="12" t="s">
        <v>58</v>
      </c>
      <c r="AF2206" s="12" t="s">
        <v>159</v>
      </c>
      <c r="AG2206" s="12" t="s">
        <v>6901</v>
      </c>
      <c r="AH2206" s="1">
        <f>HYPERLINK("https://my.pitchbook.com?c=195165-19T","View Company Online")</f>
      </c>
    </row>
    <row r="2207">
      <c r="A2207" s="3" t="s">
        <v>12373</v>
      </c>
      <c r="B2207" s="3" t="s">
        <v>12374</v>
      </c>
      <c r="C2207" s="5" t="s">
        <v>36</v>
      </c>
      <c r="D2207" s="5" t="s">
        <v>36</v>
      </c>
      <c r="E2207" s="5" t="s">
        <v>36</v>
      </c>
      <c r="F2207" s="5" t="s">
        <v>36</v>
      </c>
      <c r="G2207" s="6" t="s">
        <v>326</v>
      </c>
      <c r="H2207" s="4">
        <v>133.79</v>
      </c>
      <c r="I2207" s="7">
        <v>12.55</v>
      </c>
      <c r="J2207" s="3" t="s">
        <v>521</v>
      </c>
      <c r="K2207" s="9" t="s">
        <v>36</v>
      </c>
      <c r="L2207" s="6" t="s">
        <v>36</v>
      </c>
      <c r="M2207" s="3" t="s">
        <v>36</v>
      </c>
      <c r="N2207" s="3" t="s">
        <v>36</v>
      </c>
      <c r="O2207" s="8" t="s">
        <v>36</v>
      </c>
      <c r="P2207" s="3" t="s">
        <v>36</v>
      </c>
      <c r="Q2207" s="3" t="s">
        <v>36</v>
      </c>
      <c r="R2207" s="3" t="s">
        <v>36</v>
      </c>
      <c r="S2207" s="3" t="s">
        <v>36</v>
      </c>
      <c r="T2207" s="3" t="s">
        <v>12375</v>
      </c>
      <c r="U2207" s="3" t="s">
        <v>279</v>
      </c>
      <c r="V2207" s="3" t="s">
        <v>64</v>
      </c>
      <c r="W2207" s="3" t="s">
        <v>12376</v>
      </c>
      <c r="X2207" s="10" t="s">
        <v>12377</v>
      </c>
      <c r="Y2207" s="6" t="s">
        <v>42</v>
      </c>
      <c r="Z2207" s="4">
        <v>0.24</v>
      </c>
      <c r="AA2207" s="4">
        <v>1.88</v>
      </c>
      <c r="AB2207" s="3" t="s">
        <v>56</v>
      </c>
      <c r="AC2207" s="3" t="s">
        <v>12378</v>
      </c>
      <c r="AD2207" s="9">
        <v>44693</v>
      </c>
      <c r="AE2207" s="3" t="s">
        <v>283</v>
      </c>
      <c r="AF2207" s="3" t="s">
        <v>36</v>
      </c>
      <c r="AG2207" s="3" t="s">
        <v>512</v>
      </c>
      <c r="AH2207" s="11">
        <f>HYPERLINK("https://my.pitchbook.com?c=204497-92T","View Company Online")</f>
      </c>
    </row>
    <row r="2208">
      <c r="A2208" s="12" t="s">
        <v>12379</v>
      </c>
      <c r="B2208" s="12" t="s">
        <v>7420</v>
      </c>
      <c r="C2208" s="19" t="s">
        <v>36</v>
      </c>
      <c r="D2208" s="19" t="s">
        <v>36</v>
      </c>
      <c r="E2208" s="19" t="s">
        <v>36</v>
      </c>
      <c r="F2208" s="19" t="s">
        <v>36</v>
      </c>
      <c r="G2208" s="15" t="s">
        <v>326</v>
      </c>
      <c r="H2208" s="14">
        <v>9.2</v>
      </c>
      <c r="I2208" s="18">
        <v>14.93</v>
      </c>
      <c r="J2208" s="12" t="s">
        <v>521</v>
      </c>
      <c r="K2208" s="13" t="s">
        <v>36</v>
      </c>
      <c r="L2208" s="15" t="s">
        <v>122</v>
      </c>
      <c r="M2208" s="12" t="s">
        <v>36</v>
      </c>
      <c r="N2208" s="12" t="s">
        <v>122</v>
      </c>
      <c r="O2208" s="17" t="s">
        <v>36</v>
      </c>
      <c r="P2208" s="12" t="s">
        <v>36</v>
      </c>
      <c r="Q2208" s="12" t="s">
        <v>36</v>
      </c>
      <c r="R2208" s="12" t="s">
        <v>36</v>
      </c>
      <c r="S2208" s="12" t="s">
        <v>36</v>
      </c>
      <c r="T2208" s="12" t="s">
        <v>1188</v>
      </c>
      <c r="U2208" s="12" t="s">
        <v>180</v>
      </c>
      <c r="V2208" s="12" t="s">
        <v>52</v>
      </c>
      <c r="W2208" s="12" t="s">
        <v>7421</v>
      </c>
      <c r="X2208" s="16" t="s">
        <v>12380</v>
      </c>
      <c r="Y2208" s="15" t="s">
        <v>192</v>
      </c>
      <c r="Z2208" s="14">
        <v>1.07</v>
      </c>
      <c r="AA2208" s="14">
        <v>7.14</v>
      </c>
      <c r="AB2208" s="12" t="s">
        <v>56</v>
      </c>
      <c r="AC2208" s="12" t="s">
        <v>7423</v>
      </c>
      <c r="AD2208" s="13">
        <v>44693</v>
      </c>
      <c r="AE2208" s="12" t="s">
        <v>1192</v>
      </c>
      <c r="AF2208" s="12" t="s">
        <v>7424</v>
      </c>
      <c r="AG2208" s="12" t="s">
        <v>7425</v>
      </c>
      <c r="AH2208" s="1">
        <f>HYPERLINK("https://my.pitchbook.com?c=196868-44T","View Company Online")</f>
      </c>
    </row>
    <row r="2209">
      <c r="A2209" s="3" t="s">
        <v>12381</v>
      </c>
      <c r="B2209" s="3" t="s">
        <v>12382</v>
      </c>
      <c r="C2209" s="5" t="s">
        <v>36</v>
      </c>
      <c r="D2209" s="5" t="s">
        <v>36</v>
      </c>
      <c r="E2209" s="5" t="s">
        <v>36</v>
      </c>
      <c r="F2209" s="5" t="s">
        <v>36</v>
      </c>
      <c r="G2209" s="6" t="s">
        <v>326</v>
      </c>
      <c r="H2209" s="4">
        <v>5.4</v>
      </c>
      <c r="I2209" s="7">
        <v>49.48</v>
      </c>
      <c r="J2209" s="3" t="s">
        <v>521</v>
      </c>
      <c r="K2209" s="9">
        <v>44681</v>
      </c>
      <c r="L2209" s="6" t="s">
        <v>94</v>
      </c>
      <c r="M2209" s="3" t="s">
        <v>36</v>
      </c>
      <c r="N2209" s="3" t="s">
        <v>94</v>
      </c>
      <c r="O2209" s="8" t="s">
        <v>36</v>
      </c>
      <c r="P2209" s="3" t="s">
        <v>36</v>
      </c>
      <c r="Q2209" s="3" t="s">
        <v>36</v>
      </c>
      <c r="R2209" s="3" t="s">
        <v>36</v>
      </c>
      <c r="S2209" s="3" t="s">
        <v>36</v>
      </c>
      <c r="T2209" s="3" t="s">
        <v>1188</v>
      </c>
      <c r="U2209" s="3" t="s">
        <v>180</v>
      </c>
      <c r="V2209" s="3" t="s">
        <v>52</v>
      </c>
      <c r="W2209" s="3" t="s">
        <v>12383</v>
      </c>
      <c r="X2209" s="10" t="s">
        <v>12384</v>
      </c>
      <c r="Y2209" s="6" t="s">
        <v>192</v>
      </c>
      <c r="Z2209" s="4">
        <v>15.26</v>
      </c>
      <c r="AA2209" s="4">
        <v>30.83</v>
      </c>
      <c r="AB2209" s="3" t="s">
        <v>56</v>
      </c>
      <c r="AC2209" s="3" t="s">
        <v>12385</v>
      </c>
      <c r="AD2209" s="9">
        <v>44693</v>
      </c>
      <c r="AE2209" s="3" t="s">
        <v>1192</v>
      </c>
      <c r="AF2209" s="3" t="s">
        <v>6907</v>
      </c>
      <c r="AG2209" s="3" t="s">
        <v>924</v>
      </c>
      <c r="AH2209" s="11">
        <f>HYPERLINK("https://my.pitchbook.com?c=193931-56T","View Company Online")</f>
      </c>
    </row>
    <row r="2210">
      <c r="A2210" s="12" t="s">
        <v>12386</v>
      </c>
      <c r="B2210" s="12" t="s">
        <v>12387</v>
      </c>
      <c r="C2210" s="19">
        <v>3</v>
      </c>
      <c r="D2210" s="19">
        <v>15</v>
      </c>
      <c r="E2210" s="19">
        <v>6</v>
      </c>
      <c r="F2210" s="19">
        <v>27</v>
      </c>
      <c r="G2210" s="15" t="s">
        <v>36</v>
      </c>
      <c r="H2210" s="14">
        <v>3.32</v>
      </c>
      <c r="I2210" s="18">
        <v>52.18</v>
      </c>
      <c r="J2210" s="12" t="s">
        <v>521</v>
      </c>
      <c r="K2210" s="13" t="s">
        <v>36</v>
      </c>
      <c r="L2210" s="15" t="s">
        <v>36</v>
      </c>
      <c r="M2210" s="12" t="s">
        <v>36</v>
      </c>
      <c r="N2210" s="12" t="s">
        <v>36</v>
      </c>
      <c r="O2210" s="17" t="s">
        <v>36</v>
      </c>
      <c r="P2210" s="12" t="s">
        <v>36</v>
      </c>
      <c r="Q2210" s="12" t="s">
        <v>36</v>
      </c>
      <c r="R2210" s="12" t="s">
        <v>36</v>
      </c>
      <c r="S2210" s="12" t="s">
        <v>36</v>
      </c>
      <c r="T2210" s="12" t="s">
        <v>12388</v>
      </c>
      <c r="U2210" s="12" t="s">
        <v>96</v>
      </c>
      <c r="V2210" s="12" t="s">
        <v>52</v>
      </c>
      <c r="W2210" s="12" t="s">
        <v>12389</v>
      </c>
      <c r="X2210" s="16" t="s">
        <v>12390</v>
      </c>
      <c r="Y2210" s="15" t="s">
        <v>166</v>
      </c>
      <c r="Z2210" s="14">
        <v>3.74</v>
      </c>
      <c r="AA2210" s="14">
        <v>7.16</v>
      </c>
      <c r="AB2210" s="12" t="s">
        <v>56</v>
      </c>
      <c r="AC2210" s="12" t="s">
        <v>12391</v>
      </c>
      <c r="AD2210" s="13">
        <v>44692</v>
      </c>
      <c r="AE2210" s="12" t="s">
        <v>12392</v>
      </c>
      <c r="AF2210" s="12" t="s">
        <v>36</v>
      </c>
      <c r="AG2210" s="12" t="s">
        <v>47</v>
      </c>
      <c r="AH2210" s="1">
        <f>HYPERLINK("https://my.pitchbook.com?c=195200-65T","View Company Online")</f>
      </c>
    </row>
    <row r="2211">
      <c r="A2211" s="3" t="s">
        <v>12393</v>
      </c>
      <c r="B2211" s="3" t="s">
        <v>12394</v>
      </c>
      <c r="C2211" s="5" t="s">
        <v>36</v>
      </c>
      <c r="D2211" s="5" t="s">
        <v>36</v>
      </c>
      <c r="E2211" s="5" t="s">
        <v>36</v>
      </c>
      <c r="F2211" s="5" t="s">
        <v>36</v>
      </c>
      <c r="G2211" s="6" t="s">
        <v>326</v>
      </c>
      <c r="H2211" s="4">
        <v>60.12</v>
      </c>
      <c r="I2211" s="7">
        <v>29.69</v>
      </c>
      <c r="J2211" s="3" t="s">
        <v>521</v>
      </c>
      <c r="K2211" s="9">
        <v>44635</v>
      </c>
      <c r="L2211" s="6" t="s">
        <v>122</v>
      </c>
      <c r="M2211" s="3" t="s">
        <v>36</v>
      </c>
      <c r="N2211" s="3" t="s">
        <v>122</v>
      </c>
      <c r="O2211" s="8" t="s">
        <v>36</v>
      </c>
      <c r="P2211" s="3" t="s">
        <v>36</v>
      </c>
      <c r="Q2211" s="3" t="s">
        <v>36</v>
      </c>
      <c r="R2211" s="3" t="s">
        <v>36</v>
      </c>
      <c r="S2211" s="3" t="s">
        <v>36</v>
      </c>
      <c r="T2211" s="3" t="s">
        <v>522</v>
      </c>
      <c r="U2211" s="3" t="s">
        <v>38</v>
      </c>
      <c r="V2211" s="3" t="s">
        <v>39</v>
      </c>
      <c r="W2211" s="3" t="s">
        <v>12395</v>
      </c>
      <c r="X2211" s="10" t="s">
        <v>12396</v>
      </c>
      <c r="Y2211" s="6" t="s">
        <v>55</v>
      </c>
      <c r="Z2211" s="4">
        <v>4.06</v>
      </c>
      <c r="AA2211" s="4">
        <v>13.67</v>
      </c>
      <c r="AB2211" s="3" t="s">
        <v>56</v>
      </c>
      <c r="AC2211" s="3" t="s">
        <v>12397</v>
      </c>
      <c r="AD2211" s="9">
        <v>44692</v>
      </c>
      <c r="AE2211" s="3" t="s">
        <v>110</v>
      </c>
      <c r="AF2211" s="3" t="s">
        <v>176</v>
      </c>
      <c r="AG2211" s="3" t="s">
        <v>81</v>
      </c>
      <c r="AH2211" s="11">
        <f>HYPERLINK("https://my.pitchbook.com?c=195564-25T","View Company Online")</f>
      </c>
    </row>
    <row r="2212">
      <c r="A2212" s="12" t="s">
        <v>12398</v>
      </c>
      <c r="B2212" s="12" t="s">
        <v>6131</v>
      </c>
      <c r="C2212" s="19">
        <v>180</v>
      </c>
      <c r="D2212" s="19">
        <v>606</v>
      </c>
      <c r="E2212" s="19">
        <v>197</v>
      </c>
      <c r="F2212" s="19">
        <v>860</v>
      </c>
      <c r="G2212" s="15" t="s">
        <v>36</v>
      </c>
      <c r="H2212" s="14" t="s">
        <v>36</v>
      </c>
      <c r="I2212" s="18" t="s">
        <v>36</v>
      </c>
      <c r="J2212" s="12" t="s">
        <v>36</v>
      </c>
      <c r="K2212" s="13" t="s">
        <v>36</v>
      </c>
      <c r="L2212" s="15" t="s">
        <v>3736</v>
      </c>
      <c r="M2212" s="12" t="s">
        <v>36</v>
      </c>
      <c r="N2212" s="12" t="s">
        <v>3736</v>
      </c>
      <c r="O2212" s="17" t="s">
        <v>36</v>
      </c>
      <c r="P2212" s="12" t="s">
        <v>36</v>
      </c>
      <c r="Q2212" s="12" t="s">
        <v>36</v>
      </c>
      <c r="R2212" s="12" t="s">
        <v>36</v>
      </c>
      <c r="S2212" s="12" t="s">
        <v>36</v>
      </c>
      <c r="T2212" s="12" t="s">
        <v>317</v>
      </c>
      <c r="U2212" s="12" t="s">
        <v>318</v>
      </c>
      <c r="V2212" s="12" t="s">
        <v>39</v>
      </c>
      <c r="W2212" s="12" t="s">
        <v>6132</v>
      </c>
      <c r="X2212" s="16" t="s">
        <v>12399</v>
      </c>
      <c r="Y2212" s="15" t="s">
        <v>475</v>
      </c>
      <c r="Z2212" s="14">
        <v>30</v>
      </c>
      <c r="AA2212" s="14" t="s">
        <v>36</v>
      </c>
      <c r="AB2212" s="12" t="s">
        <v>56</v>
      </c>
      <c r="AC2212" s="12" t="s">
        <v>6134</v>
      </c>
      <c r="AD2212" s="13">
        <v>44691</v>
      </c>
      <c r="AE2212" s="12" t="s">
        <v>323</v>
      </c>
      <c r="AF2212" s="12" t="s">
        <v>6135</v>
      </c>
      <c r="AG2212" s="12" t="s">
        <v>6136</v>
      </c>
      <c r="AH2212" s="1">
        <f>HYPERLINK("https://my.pitchbook.com?c=204839-38T","View Company Online")</f>
      </c>
    </row>
    <row r="2213">
      <c r="A2213" s="3" t="s">
        <v>12400</v>
      </c>
      <c r="B2213" s="3" t="s">
        <v>12401</v>
      </c>
      <c r="C2213" s="5">
        <v>16</v>
      </c>
      <c r="D2213" s="5">
        <v>40</v>
      </c>
      <c r="E2213" s="5">
        <v>27</v>
      </c>
      <c r="F2213" s="5">
        <v>96</v>
      </c>
      <c r="G2213" s="6" t="s">
        <v>326</v>
      </c>
      <c r="H2213" s="4" t="s">
        <v>36</v>
      </c>
      <c r="I2213" s="7">
        <v>46.25</v>
      </c>
      <c r="J2213" s="3" t="s">
        <v>327</v>
      </c>
      <c r="K2213" s="9" t="s">
        <v>36</v>
      </c>
      <c r="L2213" s="6" t="s">
        <v>122</v>
      </c>
      <c r="M2213" s="3" t="s">
        <v>36</v>
      </c>
      <c r="N2213" s="3" t="s">
        <v>122</v>
      </c>
      <c r="O2213" s="8" t="s">
        <v>36</v>
      </c>
      <c r="P2213" s="3" t="s">
        <v>36</v>
      </c>
      <c r="Q2213" s="3" t="s">
        <v>36</v>
      </c>
      <c r="R2213" s="3" t="s">
        <v>36</v>
      </c>
      <c r="S2213" s="3" t="s">
        <v>36</v>
      </c>
      <c r="T2213" s="3" t="s">
        <v>2321</v>
      </c>
      <c r="U2213" s="3" t="s">
        <v>51</v>
      </c>
      <c r="V2213" s="3" t="s">
        <v>52</v>
      </c>
      <c r="W2213" s="3" t="s">
        <v>12402</v>
      </c>
      <c r="X2213" s="10" t="s">
        <v>12403</v>
      </c>
      <c r="Y2213" s="6" t="s">
        <v>321</v>
      </c>
      <c r="Z2213" s="4">
        <v>42.55</v>
      </c>
      <c r="AA2213" s="4">
        <v>92</v>
      </c>
      <c r="AB2213" s="3" t="s">
        <v>56</v>
      </c>
      <c r="AC2213" s="3" t="s">
        <v>12404</v>
      </c>
      <c r="AD2213" s="9">
        <v>44691</v>
      </c>
      <c r="AE2213" s="3" t="s">
        <v>504</v>
      </c>
      <c r="AF2213" s="3" t="s">
        <v>665</v>
      </c>
      <c r="AG2213" s="3" t="s">
        <v>12405</v>
      </c>
      <c r="AH2213" s="11">
        <f>HYPERLINK("https://my.pitchbook.com?c=193738-33T","View Company Online")</f>
      </c>
    </row>
    <row r="2214">
      <c r="A2214" s="12" t="s">
        <v>12406</v>
      </c>
      <c r="B2214" s="12" t="s">
        <v>93</v>
      </c>
      <c r="C2214" s="19">
        <v>14</v>
      </c>
      <c r="D2214" s="19">
        <v>78</v>
      </c>
      <c r="E2214" s="19">
        <v>18</v>
      </c>
      <c r="F2214" s="19">
        <v>103</v>
      </c>
      <c r="G2214" s="15" t="s">
        <v>683</v>
      </c>
      <c r="H2214" s="14">
        <v>11.08</v>
      </c>
      <c r="I2214" s="18">
        <v>43.06</v>
      </c>
      <c r="J2214" s="12" t="s">
        <v>327</v>
      </c>
      <c r="K2214" s="13">
        <v>44197</v>
      </c>
      <c r="L2214" s="15" t="s">
        <v>122</v>
      </c>
      <c r="M2214" s="12" t="s">
        <v>36</v>
      </c>
      <c r="N2214" s="12" t="s">
        <v>122</v>
      </c>
      <c r="O2214" s="17" t="s">
        <v>36</v>
      </c>
      <c r="P2214" s="12" t="s">
        <v>36</v>
      </c>
      <c r="Q2214" s="12" t="s">
        <v>36</v>
      </c>
      <c r="R2214" s="12" t="s">
        <v>36</v>
      </c>
      <c r="S2214" s="12" t="s">
        <v>36</v>
      </c>
      <c r="T2214" s="12" t="s">
        <v>95</v>
      </c>
      <c r="U2214" s="12" t="s">
        <v>96</v>
      </c>
      <c r="V2214" s="12" t="s">
        <v>52</v>
      </c>
      <c r="W2214" s="12" t="s">
        <v>97</v>
      </c>
      <c r="X2214" s="16" t="s">
        <v>12407</v>
      </c>
      <c r="Y2214" s="15" t="s">
        <v>108</v>
      </c>
      <c r="Z2214" s="14">
        <v>14.7</v>
      </c>
      <c r="AA2214" s="14">
        <v>34.14</v>
      </c>
      <c r="AB2214" s="12" t="s">
        <v>56</v>
      </c>
      <c r="AC2214" s="12" t="s">
        <v>99</v>
      </c>
      <c r="AD2214" s="13">
        <v>44691</v>
      </c>
      <c r="AE2214" s="12" t="s">
        <v>100</v>
      </c>
      <c r="AF2214" s="12" t="s">
        <v>101</v>
      </c>
      <c r="AG2214" s="12" t="s">
        <v>102</v>
      </c>
      <c r="AH2214" s="1">
        <f>HYPERLINK("https://my.pitchbook.com?c=193722-31T","View Company Online")</f>
      </c>
    </row>
    <row r="2215">
      <c r="A2215" s="3" t="s">
        <v>12408</v>
      </c>
      <c r="B2215" s="3" t="s">
        <v>12409</v>
      </c>
      <c r="C2215" s="5" t="s">
        <v>36</v>
      </c>
      <c r="D2215" s="5" t="s">
        <v>36</v>
      </c>
      <c r="E2215" s="5" t="s">
        <v>36</v>
      </c>
      <c r="F2215" s="5" t="s">
        <v>36</v>
      </c>
      <c r="G2215" s="6" t="s">
        <v>36</v>
      </c>
      <c r="H2215" s="4" t="s">
        <v>36</v>
      </c>
      <c r="I2215" s="7" t="s">
        <v>36</v>
      </c>
      <c r="J2215" s="3" t="s">
        <v>36</v>
      </c>
      <c r="K2215" s="9" t="s">
        <v>36</v>
      </c>
      <c r="L2215" s="6" t="s">
        <v>36</v>
      </c>
      <c r="M2215" s="3" t="s">
        <v>36</v>
      </c>
      <c r="N2215" s="3" t="s">
        <v>36</v>
      </c>
      <c r="O2215" s="8" t="s">
        <v>36</v>
      </c>
      <c r="P2215" s="3" t="s">
        <v>36</v>
      </c>
      <c r="Q2215" s="3" t="s">
        <v>36</v>
      </c>
      <c r="R2215" s="3" t="s">
        <v>36</v>
      </c>
      <c r="S2215" s="3" t="s">
        <v>36</v>
      </c>
      <c r="T2215" s="3" t="s">
        <v>522</v>
      </c>
      <c r="U2215" s="3" t="s">
        <v>38</v>
      </c>
      <c r="V2215" s="3" t="s">
        <v>39</v>
      </c>
      <c r="W2215" s="3" t="s">
        <v>12410</v>
      </c>
      <c r="X2215" s="10" t="s">
        <v>12411</v>
      </c>
      <c r="Y2215" s="6" t="s">
        <v>55</v>
      </c>
      <c r="Z2215" s="4">
        <v>13.9</v>
      </c>
      <c r="AA2215" s="4" t="s">
        <v>36</v>
      </c>
      <c r="AB2215" s="3" t="s">
        <v>56</v>
      </c>
      <c r="AC2215" s="3" t="s">
        <v>12412</v>
      </c>
      <c r="AD2215" s="9">
        <v>44691</v>
      </c>
      <c r="AE2215" s="3" t="s">
        <v>110</v>
      </c>
      <c r="AF2215" s="3" t="s">
        <v>331</v>
      </c>
      <c r="AG2215" s="3" t="s">
        <v>47</v>
      </c>
      <c r="AH2215" s="11">
        <f>HYPERLINK("https://my.pitchbook.com?c=195471-28T","View Company Online")</f>
      </c>
    </row>
    <row r="2216">
      <c r="A2216" s="12" t="s">
        <v>12413</v>
      </c>
      <c r="B2216" s="12" t="s">
        <v>12414</v>
      </c>
      <c r="C2216" s="19" t="s">
        <v>36</v>
      </c>
      <c r="D2216" s="19" t="s">
        <v>36</v>
      </c>
      <c r="E2216" s="19" t="s">
        <v>36</v>
      </c>
      <c r="F2216" s="19" t="s">
        <v>36</v>
      </c>
      <c r="G2216" s="15" t="s">
        <v>326</v>
      </c>
      <c r="H2216" s="14">
        <v>327.88</v>
      </c>
      <c r="I2216" s="18">
        <v>29.38</v>
      </c>
      <c r="J2216" s="12" t="s">
        <v>521</v>
      </c>
      <c r="K2216" s="13" t="s">
        <v>36</v>
      </c>
      <c r="L2216" s="15" t="s">
        <v>36</v>
      </c>
      <c r="M2216" s="12" t="s">
        <v>36</v>
      </c>
      <c r="N2216" s="12" t="s">
        <v>36</v>
      </c>
      <c r="O2216" s="17" t="s">
        <v>36</v>
      </c>
      <c r="P2216" s="12" t="s">
        <v>36</v>
      </c>
      <c r="Q2216" s="12" t="s">
        <v>36</v>
      </c>
      <c r="R2216" s="12" t="s">
        <v>36</v>
      </c>
      <c r="S2216" s="12" t="s">
        <v>36</v>
      </c>
      <c r="T2216" s="12" t="s">
        <v>7809</v>
      </c>
      <c r="U2216" s="12" t="s">
        <v>648</v>
      </c>
      <c r="V2216" s="12" t="s">
        <v>64</v>
      </c>
      <c r="W2216" s="12" t="s">
        <v>12415</v>
      </c>
      <c r="X2216" s="16" t="s">
        <v>12416</v>
      </c>
      <c r="Y2216" s="15" t="s">
        <v>55</v>
      </c>
      <c r="Z2216" s="14">
        <v>9.47</v>
      </c>
      <c r="AA2216" s="14">
        <v>20.42</v>
      </c>
      <c r="AB2216" s="12" t="s">
        <v>56</v>
      </c>
      <c r="AC2216" s="12" t="s">
        <v>12417</v>
      </c>
      <c r="AD2216" s="13">
        <v>44691</v>
      </c>
      <c r="AE2216" s="12" t="s">
        <v>1897</v>
      </c>
      <c r="AF2216" s="12" t="s">
        <v>1115</v>
      </c>
      <c r="AG2216" s="12" t="s">
        <v>652</v>
      </c>
      <c r="AH2216" s="1">
        <f>HYPERLINK("https://my.pitchbook.com?c=193709-26T","View Company Online")</f>
      </c>
    </row>
    <row r="2217">
      <c r="A2217" s="3" t="s">
        <v>12418</v>
      </c>
      <c r="B2217" s="3" t="s">
        <v>12419</v>
      </c>
      <c r="C2217" s="5" t="s">
        <v>36</v>
      </c>
      <c r="D2217" s="5" t="s">
        <v>36</v>
      </c>
      <c r="E2217" s="5" t="s">
        <v>36</v>
      </c>
      <c r="F2217" s="5" t="s">
        <v>36</v>
      </c>
      <c r="G2217" s="6" t="s">
        <v>36</v>
      </c>
      <c r="H2217" s="4">
        <v>14.42</v>
      </c>
      <c r="I2217" s="7">
        <v>38.68</v>
      </c>
      <c r="J2217" s="3" t="s">
        <v>521</v>
      </c>
      <c r="K2217" s="9" t="s">
        <v>36</v>
      </c>
      <c r="L2217" s="6" t="s">
        <v>36</v>
      </c>
      <c r="M2217" s="3" t="s">
        <v>36</v>
      </c>
      <c r="N2217" s="3" t="s">
        <v>36</v>
      </c>
      <c r="O2217" s="8" t="s">
        <v>36</v>
      </c>
      <c r="P2217" s="3" t="s">
        <v>36</v>
      </c>
      <c r="Q2217" s="3" t="s">
        <v>36</v>
      </c>
      <c r="R2217" s="3" t="s">
        <v>36</v>
      </c>
      <c r="S2217" s="3" t="s">
        <v>595</v>
      </c>
      <c r="T2217" s="3" t="s">
        <v>596</v>
      </c>
      <c r="U2217" s="3" t="s">
        <v>366</v>
      </c>
      <c r="V2217" s="3" t="s">
        <v>367</v>
      </c>
      <c r="W2217" s="3" t="s">
        <v>12420</v>
      </c>
      <c r="X2217" s="10" t="s">
        <v>12421</v>
      </c>
      <c r="Y2217" s="6" t="s">
        <v>42</v>
      </c>
      <c r="Z2217" s="4">
        <v>2.22</v>
      </c>
      <c r="AA2217" s="4">
        <v>5.74</v>
      </c>
      <c r="AB2217" s="3" t="s">
        <v>56</v>
      </c>
      <c r="AC2217" s="3" t="s">
        <v>12422</v>
      </c>
      <c r="AD2217" s="9">
        <v>44691</v>
      </c>
      <c r="AE2217" s="3" t="s">
        <v>600</v>
      </c>
      <c r="AF2217" s="3" t="s">
        <v>7374</v>
      </c>
      <c r="AG2217" s="3" t="s">
        <v>81</v>
      </c>
      <c r="AH2217" s="11">
        <f>HYPERLINK("https://my.pitchbook.com?c=201660-76T","View Company Online")</f>
      </c>
    </row>
    <row r="2218">
      <c r="A2218" s="12" t="s">
        <v>12423</v>
      </c>
      <c r="B2218" s="12" t="s">
        <v>12424</v>
      </c>
      <c r="C2218" s="19">
        <v>6</v>
      </c>
      <c r="D2218" s="19">
        <v>4</v>
      </c>
      <c r="E2218" s="19">
        <v>2</v>
      </c>
      <c r="F2218" s="19">
        <v>10</v>
      </c>
      <c r="G2218" s="15" t="s">
        <v>683</v>
      </c>
      <c r="H2218" s="14">
        <v>7.63</v>
      </c>
      <c r="I2218" s="18">
        <v>26.3</v>
      </c>
      <c r="J2218" s="12" t="s">
        <v>521</v>
      </c>
      <c r="K2218" s="13">
        <v>44635</v>
      </c>
      <c r="L2218" s="15" t="s">
        <v>94</v>
      </c>
      <c r="M2218" s="12" t="s">
        <v>36</v>
      </c>
      <c r="N2218" s="12" t="s">
        <v>94</v>
      </c>
      <c r="O2218" s="17" t="s">
        <v>36</v>
      </c>
      <c r="P2218" s="12" t="s">
        <v>36</v>
      </c>
      <c r="Q2218" s="12" t="s">
        <v>36</v>
      </c>
      <c r="R2218" s="12" t="s">
        <v>36</v>
      </c>
      <c r="S2218" s="12" t="s">
        <v>36</v>
      </c>
      <c r="T2218" s="12" t="s">
        <v>12425</v>
      </c>
      <c r="U2218" s="12" t="s">
        <v>74</v>
      </c>
      <c r="V2218" s="12" t="s">
        <v>75</v>
      </c>
      <c r="W2218" s="12" t="s">
        <v>12426</v>
      </c>
      <c r="X2218" s="16" t="s">
        <v>12427</v>
      </c>
      <c r="Y2218" s="15" t="s">
        <v>55</v>
      </c>
      <c r="Z2218" s="14">
        <v>18.27</v>
      </c>
      <c r="AA2218" s="14">
        <v>25.7</v>
      </c>
      <c r="AB2218" s="12" t="s">
        <v>56</v>
      </c>
      <c r="AC2218" s="12" t="s">
        <v>12428</v>
      </c>
      <c r="AD2218" s="13">
        <v>44691</v>
      </c>
      <c r="AE2218" s="12" t="s">
        <v>79</v>
      </c>
      <c r="AF2218" s="12" t="s">
        <v>12429</v>
      </c>
      <c r="AG2218" s="12" t="s">
        <v>741</v>
      </c>
      <c r="AH2218" s="1">
        <f>HYPERLINK("https://my.pitchbook.com?c=193723-30T","View Company Online")</f>
      </c>
    </row>
    <row r="2219">
      <c r="A2219" s="3" t="s">
        <v>12430</v>
      </c>
      <c r="B2219" s="3" t="s">
        <v>5424</v>
      </c>
      <c r="C2219" s="5" t="s">
        <v>36</v>
      </c>
      <c r="D2219" s="5" t="s">
        <v>36</v>
      </c>
      <c r="E2219" s="5" t="s">
        <v>36</v>
      </c>
      <c r="F2219" s="5" t="s">
        <v>36</v>
      </c>
      <c r="G2219" s="6" t="s">
        <v>36</v>
      </c>
      <c r="H2219" s="4" t="s">
        <v>36</v>
      </c>
      <c r="I2219" s="7" t="s">
        <v>36</v>
      </c>
      <c r="J2219" s="3" t="s">
        <v>36</v>
      </c>
      <c r="K2219" s="9" t="s">
        <v>36</v>
      </c>
      <c r="L2219" s="6" t="s">
        <v>36</v>
      </c>
      <c r="M2219" s="3" t="s">
        <v>36</v>
      </c>
      <c r="N2219" s="3" t="s">
        <v>36</v>
      </c>
      <c r="O2219" s="8" t="s">
        <v>36</v>
      </c>
      <c r="P2219" s="3" t="s">
        <v>36</v>
      </c>
      <c r="Q2219" s="3" t="s">
        <v>36</v>
      </c>
      <c r="R2219" s="3" t="s">
        <v>36</v>
      </c>
      <c r="S2219" s="3" t="s">
        <v>36</v>
      </c>
      <c r="T2219" s="3" t="s">
        <v>5425</v>
      </c>
      <c r="U2219" s="3" t="s">
        <v>38</v>
      </c>
      <c r="V2219" s="3" t="s">
        <v>39</v>
      </c>
      <c r="W2219" s="3" t="s">
        <v>5426</v>
      </c>
      <c r="X2219" s="10" t="s">
        <v>2433</v>
      </c>
      <c r="Y2219" s="6" t="s">
        <v>192</v>
      </c>
      <c r="Z2219" s="4">
        <v>0.27</v>
      </c>
      <c r="AA2219" s="4" t="s">
        <v>36</v>
      </c>
      <c r="AB2219" s="3" t="s">
        <v>56</v>
      </c>
      <c r="AC2219" s="3" t="s">
        <v>5428</v>
      </c>
      <c r="AD2219" s="9">
        <v>44690</v>
      </c>
      <c r="AE2219" s="3" t="s">
        <v>45</v>
      </c>
      <c r="AF2219" s="3" t="s">
        <v>1257</v>
      </c>
      <c r="AG2219" s="3" t="s">
        <v>47</v>
      </c>
      <c r="AH2219" s="11">
        <f>HYPERLINK("https://my.pitchbook.com?c=232318-09T","View Company Online")</f>
      </c>
    </row>
    <row r="2220">
      <c r="A2220" s="12" t="s">
        <v>12431</v>
      </c>
      <c r="B2220" s="12" t="s">
        <v>12432</v>
      </c>
      <c r="C2220" s="19" t="s">
        <v>36</v>
      </c>
      <c r="D2220" s="19" t="s">
        <v>36</v>
      </c>
      <c r="E2220" s="19" t="s">
        <v>36</v>
      </c>
      <c r="F2220" s="19" t="s">
        <v>36</v>
      </c>
      <c r="G2220" s="15" t="s">
        <v>326</v>
      </c>
      <c r="H2220" s="14">
        <v>41.54</v>
      </c>
      <c r="I2220" s="18">
        <v>31.42</v>
      </c>
      <c r="J2220" s="12" t="s">
        <v>521</v>
      </c>
      <c r="K2220" s="13" t="s">
        <v>36</v>
      </c>
      <c r="L2220" s="15" t="s">
        <v>36</v>
      </c>
      <c r="M2220" s="12" t="s">
        <v>36</v>
      </c>
      <c r="N2220" s="12" t="s">
        <v>36</v>
      </c>
      <c r="O2220" s="17" t="s">
        <v>36</v>
      </c>
      <c r="P2220" s="12" t="s">
        <v>36</v>
      </c>
      <c r="Q2220" s="12" t="s">
        <v>36</v>
      </c>
      <c r="R2220" s="12" t="s">
        <v>36</v>
      </c>
      <c r="S2220" s="12" t="s">
        <v>36</v>
      </c>
      <c r="T2220" s="12" t="s">
        <v>12433</v>
      </c>
      <c r="U2220" s="12" t="s">
        <v>51</v>
      </c>
      <c r="V2220" s="12" t="s">
        <v>52</v>
      </c>
      <c r="W2220" s="12" t="s">
        <v>12434</v>
      </c>
      <c r="X2220" s="16" t="s">
        <v>12435</v>
      </c>
      <c r="Y2220" s="15" t="s">
        <v>42</v>
      </c>
      <c r="Z2220" s="14">
        <v>1.61</v>
      </c>
      <c r="AA2220" s="14">
        <v>5.11</v>
      </c>
      <c r="AB2220" s="12" t="s">
        <v>43</v>
      </c>
      <c r="AC2220" s="12" t="s">
        <v>12436</v>
      </c>
      <c r="AD2220" s="13">
        <v>44690</v>
      </c>
      <c r="AE2220" s="12" t="s">
        <v>504</v>
      </c>
      <c r="AF2220" s="12" t="s">
        <v>12437</v>
      </c>
      <c r="AG2220" s="12" t="s">
        <v>47</v>
      </c>
      <c r="AH2220" s="1">
        <f>HYPERLINK("https://my.pitchbook.com?c=193765-78T","View Company Online")</f>
      </c>
    </row>
    <row r="2221">
      <c r="A2221" s="3" t="s">
        <v>12438</v>
      </c>
      <c r="B2221" s="3" t="s">
        <v>12439</v>
      </c>
      <c r="C2221" s="5" t="s">
        <v>36</v>
      </c>
      <c r="D2221" s="5" t="s">
        <v>36</v>
      </c>
      <c r="E2221" s="5" t="s">
        <v>36</v>
      </c>
      <c r="F2221" s="5" t="s">
        <v>36</v>
      </c>
      <c r="G2221" s="6" t="s">
        <v>326</v>
      </c>
      <c r="H2221" s="4" t="s">
        <v>36</v>
      </c>
      <c r="I2221" s="7">
        <v>16.46</v>
      </c>
      <c r="J2221" s="3" t="s">
        <v>327</v>
      </c>
      <c r="K2221" s="9">
        <v>44460</v>
      </c>
      <c r="L2221" s="6" t="s">
        <v>122</v>
      </c>
      <c r="M2221" s="3" t="s">
        <v>36</v>
      </c>
      <c r="N2221" s="3" t="s">
        <v>122</v>
      </c>
      <c r="O2221" s="8" t="s">
        <v>36</v>
      </c>
      <c r="P2221" s="3" t="s">
        <v>36</v>
      </c>
      <c r="Q2221" s="3" t="s">
        <v>36</v>
      </c>
      <c r="R2221" s="3" t="s">
        <v>36</v>
      </c>
      <c r="S2221" s="3" t="s">
        <v>36</v>
      </c>
      <c r="T2221" s="3" t="s">
        <v>12440</v>
      </c>
      <c r="U2221" s="3" t="s">
        <v>648</v>
      </c>
      <c r="V2221" s="3" t="s">
        <v>64</v>
      </c>
      <c r="W2221" s="3" t="s">
        <v>12441</v>
      </c>
      <c r="X2221" s="10" t="s">
        <v>12442</v>
      </c>
      <c r="Y2221" s="6" t="s">
        <v>108</v>
      </c>
      <c r="Z2221" s="4">
        <v>29.96</v>
      </c>
      <c r="AA2221" s="4">
        <v>182.02</v>
      </c>
      <c r="AB2221" s="3" t="s">
        <v>56</v>
      </c>
      <c r="AC2221" s="3" t="s">
        <v>12443</v>
      </c>
      <c r="AD2221" s="9">
        <v>44690</v>
      </c>
      <c r="AE2221" s="3" t="s">
        <v>651</v>
      </c>
      <c r="AF2221" s="3" t="s">
        <v>118</v>
      </c>
      <c r="AG2221" s="3" t="s">
        <v>81</v>
      </c>
      <c r="AH2221" s="11">
        <f>HYPERLINK("https://my.pitchbook.com?c=193702-51T","View Company Online")</f>
      </c>
    </row>
    <row r="2222">
      <c r="A2222" s="12" t="s">
        <v>12444</v>
      </c>
      <c r="B2222" s="12" t="s">
        <v>12445</v>
      </c>
      <c r="C2222" s="19" t="s">
        <v>36</v>
      </c>
      <c r="D2222" s="19" t="s">
        <v>36</v>
      </c>
      <c r="E2222" s="19" t="s">
        <v>36</v>
      </c>
      <c r="F2222" s="19" t="s">
        <v>36</v>
      </c>
      <c r="G2222" s="15" t="s">
        <v>36</v>
      </c>
      <c r="H2222" s="14">
        <v>49.35</v>
      </c>
      <c r="I2222" s="18">
        <v>4.42</v>
      </c>
      <c r="J2222" s="12" t="s">
        <v>521</v>
      </c>
      <c r="K2222" s="13" t="s">
        <v>36</v>
      </c>
      <c r="L2222" s="15" t="s">
        <v>36</v>
      </c>
      <c r="M2222" s="12" t="s">
        <v>36</v>
      </c>
      <c r="N2222" s="12" t="s">
        <v>36</v>
      </c>
      <c r="O2222" s="17" t="s">
        <v>36</v>
      </c>
      <c r="P2222" s="12" t="s">
        <v>36</v>
      </c>
      <c r="Q2222" s="12" t="s">
        <v>36</v>
      </c>
      <c r="R2222" s="12" t="s">
        <v>36</v>
      </c>
      <c r="S2222" s="12" t="s">
        <v>36</v>
      </c>
      <c r="T2222" s="12" t="s">
        <v>12446</v>
      </c>
      <c r="U2222" s="12" t="s">
        <v>38</v>
      </c>
      <c r="V2222" s="12" t="s">
        <v>39</v>
      </c>
      <c r="W2222" s="12" t="s">
        <v>12447</v>
      </c>
      <c r="X2222" s="16" t="s">
        <v>9424</v>
      </c>
      <c r="Y2222" s="15" t="s">
        <v>42</v>
      </c>
      <c r="Z2222" s="14">
        <v>2.13</v>
      </c>
      <c r="AA2222" s="14">
        <v>48.04</v>
      </c>
      <c r="AB2222" s="12" t="s">
        <v>43</v>
      </c>
      <c r="AC2222" s="12" t="s">
        <v>12448</v>
      </c>
      <c r="AD2222" s="13">
        <v>44687</v>
      </c>
      <c r="AE2222" s="12" t="s">
        <v>45</v>
      </c>
      <c r="AF2222" s="12" t="s">
        <v>215</v>
      </c>
      <c r="AG2222" s="12" t="s">
        <v>81</v>
      </c>
      <c r="AH2222" s="1">
        <f>HYPERLINK("https://my.pitchbook.com?c=193634-65T","View Company Online")</f>
      </c>
    </row>
    <row r="2223">
      <c r="A2223" s="3" t="s">
        <v>12449</v>
      </c>
      <c r="B2223" s="3" t="s">
        <v>2544</v>
      </c>
      <c r="C2223" s="5" t="s">
        <v>36</v>
      </c>
      <c r="D2223" s="5" t="s">
        <v>36</v>
      </c>
      <c r="E2223" s="5" t="s">
        <v>36</v>
      </c>
      <c r="F2223" s="5" t="s">
        <v>36</v>
      </c>
      <c r="G2223" s="6" t="s">
        <v>326</v>
      </c>
      <c r="H2223" s="4">
        <v>1873.81</v>
      </c>
      <c r="I2223" s="7">
        <v>20.06</v>
      </c>
      <c r="J2223" s="3" t="s">
        <v>521</v>
      </c>
      <c r="K2223" s="9" t="s">
        <v>36</v>
      </c>
      <c r="L2223" s="6" t="s">
        <v>122</v>
      </c>
      <c r="M2223" s="3" t="s">
        <v>36</v>
      </c>
      <c r="N2223" s="3" t="s">
        <v>122</v>
      </c>
      <c r="O2223" s="8" t="s">
        <v>36</v>
      </c>
      <c r="P2223" s="3" t="s">
        <v>36</v>
      </c>
      <c r="Q2223" s="3" t="s">
        <v>36</v>
      </c>
      <c r="R2223" s="3" t="s">
        <v>36</v>
      </c>
      <c r="S2223" s="3" t="s">
        <v>36</v>
      </c>
      <c r="T2223" s="3" t="s">
        <v>2545</v>
      </c>
      <c r="U2223" s="3" t="s">
        <v>438</v>
      </c>
      <c r="V2223" s="3" t="s">
        <v>405</v>
      </c>
      <c r="W2223" s="3" t="s">
        <v>2546</v>
      </c>
      <c r="X2223" s="10" t="s">
        <v>12450</v>
      </c>
      <c r="Y2223" s="6" t="s">
        <v>108</v>
      </c>
      <c r="Z2223" s="4">
        <v>5.9</v>
      </c>
      <c r="AA2223" s="4">
        <v>18.09</v>
      </c>
      <c r="AB2223" s="3" t="s">
        <v>43</v>
      </c>
      <c r="AC2223" s="3" t="s">
        <v>2548</v>
      </c>
      <c r="AD2223" s="9">
        <v>44687</v>
      </c>
      <c r="AE2223" s="3" t="s">
        <v>438</v>
      </c>
      <c r="AF2223" s="3" t="s">
        <v>2549</v>
      </c>
      <c r="AG2223" s="3" t="s">
        <v>81</v>
      </c>
      <c r="AH2223" s="11">
        <f>HYPERLINK("https://my.pitchbook.com?c=193560-04T","View Company Online")</f>
      </c>
    </row>
    <row r="2224">
      <c r="A2224" s="12" t="s">
        <v>12451</v>
      </c>
      <c r="B2224" s="12" t="s">
        <v>12452</v>
      </c>
      <c r="C2224" s="19" t="s">
        <v>36</v>
      </c>
      <c r="D2224" s="19" t="s">
        <v>36</v>
      </c>
      <c r="E2224" s="19" t="s">
        <v>36</v>
      </c>
      <c r="F2224" s="19" t="s">
        <v>36</v>
      </c>
      <c r="G2224" s="15" t="s">
        <v>36</v>
      </c>
      <c r="H2224" s="14" t="s">
        <v>36</v>
      </c>
      <c r="I2224" s="18" t="s">
        <v>36</v>
      </c>
      <c r="J2224" s="12" t="s">
        <v>36</v>
      </c>
      <c r="K2224" s="13" t="s">
        <v>36</v>
      </c>
      <c r="L2224" s="15" t="s">
        <v>36</v>
      </c>
      <c r="M2224" s="12" t="s">
        <v>36</v>
      </c>
      <c r="N2224" s="12" t="s">
        <v>36</v>
      </c>
      <c r="O2224" s="17" t="s">
        <v>36</v>
      </c>
      <c r="P2224" s="12" t="s">
        <v>36</v>
      </c>
      <c r="Q2224" s="12" t="s">
        <v>36</v>
      </c>
      <c r="R2224" s="12" t="s">
        <v>36</v>
      </c>
      <c r="S2224" s="12" t="s">
        <v>36</v>
      </c>
      <c r="T2224" s="12" t="s">
        <v>3386</v>
      </c>
      <c r="U2224" s="12" t="s">
        <v>74</v>
      </c>
      <c r="V2224" s="12" t="s">
        <v>75</v>
      </c>
      <c r="W2224" s="12" t="s">
        <v>12453</v>
      </c>
      <c r="X2224" s="16" t="s">
        <v>12454</v>
      </c>
      <c r="Y2224" s="15" t="s">
        <v>42</v>
      </c>
      <c r="Z2224" s="14">
        <v>10</v>
      </c>
      <c r="AA2224" s="14" t="s">
        <v>36</v>
      </c>
      <c r="AB2224" s="12" t="s">
        <v>56</v>
      </c>
      <c r="AC2224" s="12" t="s">
        <v>12455</v>
      </c>
      <c r="AD2224" s="13">
        <v>44687</v>
      </c>
      <c r="AE2224" s="12" t="s">
        <v>1243</v>
      </c>
      <c r="AF2224" s="12" t="s">
        <v>546</v>
      </c>
      <c r="AG2224" s="12" t="s">
        <v>400</v>
      </c>
      <c r="AH2224" s="1">
        <f>HYPERLINK("https://my.pitchbook.com?c=241343-65T","View Company Online")</f>
      </c>
    </row>
    <row r="2225">
      <c r="A2225" s="3" t="s">
        <v>12456</v>
      </c>
      <c r="B2225" s="3" t="s">
        <v>12457</v>
      </c>
      <c r="C2225" s="5" t="s">
        <v>36</v>
      </c>
      <c r="D2225" s="5" t="s">
        <v>36</v>
      </c>
      <c r="E2225" s="5" t="s">
        <v>36</v>
      </c>
      <c r="F2225" s="5" t="s">
        <v>36</v>
      </c>
      <c r="G2225" s="6" t="s">
        <v>36</v>
      </c>
      <c r="H2225" s="4" t="s">
        <v>36</v>
      </c>
      <c r="I2225" s="7" t="s">
        <v>36</v>
      </c>
      <c r="J2225" s="3" t="s">
        <v>36</v>
      </c>
      <c r="K2225" s="9" t="s">
        <v>36</v>
      </c>
      <c r="L2225" s="6" t="s">
        <v>36</v>
      </c>
      <c r="M2225" s="3" t="s">
        <v>36</v>
      </c>
      <c r="N2225" s="3" t="s">
        <v>36</v>
      </c>
      <c r="O2225" s="8" t="s">
        <v>36</v>
      </c>
      <c r="P2225" s="3" t="s">
        <v>36</v>
      </c>
      <c r="Q2225" s="3" t="s">
        <v>36</v>
      </c>
      <c r="R2225" s="3" t="s">
        <v>36</v>
      </c>
      <c r="S2225" s="3" t="s">
        <v>36</v>
      </c>
      <c r="T2225" s="3" t="s">
        <v>105</v>
      </c>
      <c r="U2225" s="3" t="s">
        <v>38</v>
      </c>
      <c r="V2225" s="3" t="s">
        <v>39</v>
      </c>
      <c r="W2225" s="3" t="s">
        <v>12458</v>
      </c>
      <c r="X2225" s="10" t="s">
        <v>12459</v>
      </c>
      <c r="Y2225" s="6" t="s">
        <v>42</v>
      </c>
      <c r="Z2225" s="4">
        <v>4.29</v>
      </c>
      <c r="AA2225" s="4" t="s">
        <v>36</v>
      </c>
      <c r="AB2225" s="3" t="s">
        <v>43</v>
      </c>
      <c r="AC2225" s="3" t="s">
        <v>12460</v>
      </c>
      <c r="AD2225" s="9">
        <v>44687</v>
      </c>
      <c r="AE2225" s="3" t="s">
        <v>110</v>
      </c>
      <c r="AF2225" s="3" t="s">
        <v>111</v>
      </c>
      <c r="AG2225" s="3" t="s">
        <v>81</v>
      </c>
      <c r="AH2225" s="11">
        <f>HYPERLINK("https://my.pitchbook.com?c=193607-02T","View Company Online")</f>
      </c>
    </row>
    <row r="2226">
      <c r="A2226" s="12" t="s">
        <v>12461</v>
      </c>
      <c r="B2226" s="12" t="s">
        <v>1845</v>
      </c>
      <c r="C2226" s="19" t="s">
        <v>36</v>
      </c>
      <c r="D2226" s="19" t="s">
        <v>36</v>
      </c>
      <c r="E2226" s="19" t="s">
        <v>36</v>
      </c>
      <c r="F2226" s="19" t="s">
        <v>36</v>
      </c>
      <c r="G2226" s="15" t="s">
        <v>326</v>
      </c>
      <c r="H2226" s="14" t="s">
        <v>36</v>
      </c>
      <c r="I2226" s="18">
        <v>6.31</v>
      </c>
      <c r="J2226" s="12" t="s">
        <v>521</v>
      </c>
      <c r="K2226" s="13" t="s">
        <v>36</v>
      </c>
      <c r="L2226" s="15" t="s">
        <v>12462</v>
      </c>
      <c r="M2226" s="12" t="s">
        <v>36</v>
      </c>
      <c r="N2226" s="12" t="s">
        <v>12462</v>
      </c>
      <c r="O2226" s="17" t="s">
        <v>36</v>
      </c>
      <c r="P2226" s="12" t="s">
        <v>36</v>
      </c>
      <c r="Q2226" s="12" t="s">
        <v>36</v>
      </c>
      <c r="R2226" s="12" t="s">
        <v>36</v>
      </c>
      <c r="S2226" s="12" t="s">
        <v>36</v>
      </c>
      <c r="T2226" s="12" t="s">
        <v>1847</v>
      </c>
      <c r="U2226" s="12" t="s">
        <v>956</v>
      </c>
      <c r="V2226" s="12" t="s">
        <v>405</v>
      </c>
      <c r="W2226" s="12" t="s">
        <v>1848</v>
      </c>
      <c r="X2226" s="16" t="s">
        <v>12463</v>
      </c>
      <c r="Y2226" s="15" t="s">
        <v>321</v>
      </c>
      <c r="Z2226" s="14">
        <v>197.4</v>
      </c>
      <c r="AA2226" s="14">
        <v>3117.02</v>
      </c>
      <c r="AB2226" s="12" t="s">
        <v>56</v>
      </c>
      <c r="AC2226" s="12" t="s">
        <v>1850</v>
      </c>
      <c r="AD2226" s="13">
        <v>44686</v>
      </c>
      <c r="AE2226" s="12" t="s">
        <v>1851</v>
      </c>
      <c r="AF2226" s="12" t="s">
        <v>1852</v>
      </c>
      <c r="AG2226" s="12" t="s">
        <v>81</v>
      </c>
      <c r="AH2226" s="1">
        <f>HYPERLINK("https://my.pitchbook.com?c=193413-07T","View Company Online")</f>
      </c>
    </row>
    <row r="2227">
      <c r="A2227" s="3" t="s">
        <v>12464</v>
      </c>
      <c r="B2227" s="3" t="s">
        <v>12465</v>
      </c>
      <c r="C2227" s="5" t="s">
        <v>36</v>
      </c>
      <c r="D2227" s="5" t="s">
        <v>36</v>
      </c>
      <c r="E2227" s="5" t="s">
        <v>36</v>
      </c>
      <c r="F2227" s="5" t="s">
        <v>36</v>
      </c>
      <c r="G2227" s="6" t="s">
        <v>36</v>
      </c>
      <c r="H2227" s="4">
        <v>1321.06</v>
      </c>
      <c r="I2227" s="7">
        <v>26.32</v>
      </c>
      <c r="J2227" s="3" t="s">
        <v>521</v>
      </c>
      <c r="K2227" s="9" t="s">
        <v>36</v>
      </c>
      <c r="L2227" s="6" t="s">
        <v>122</v>
      </c>
      <c r="M2227" s="3" t="s">
        <v>36</v>
      </c>
      <c r="N2227" s="3" t="s">
        <v>122</v>
      </c>
      <c r="O2227" s="8" t="s">
        <v>36</v>
      </c>
      <c r="P2227" s="3" t="s">
        <v>36</v>
      </c>
      <c r="Q2227" s="3" t="s">
        <v>36</v>
      </c>
      <c r="R2227" s="3" t="s">
        <v>36</v>
      </c>
      <c r="S2227" s="3" t="s">
        <v>36</v>
      </c>
      <c r="T2227" s="3" t="s">
        <v>105</v>
      </c>
      <c r="U2227" s="3" t="s">
        <v>38</v>
      </c>
      <c r="V2227" s="3" t="s">
        <v>39</v>
      </c>
      <c r="W2227" s="3" t="s">
        <v>12466</v>
      </c>
      <c r="X2227" s="10" t="s">
        <v>2455</v>
      </c>
      <c r="Y2227" s="6" t="s">
        <v>42</v>
      </c>
      <c r="Z2227" s="4">
        <v>10.75</v>
      </c>
      <c r="AA2227" s="4">
        <v>20.41</v>
      </c>
      <c r="AB2227" s="3" t="s">
        <v>56</v>
      </c>
      <c r="AC2227" s="3" t="s">
        <v>12467</v>
      </c>
      <c r="AD2227" s="9">
        <v>44686</v>
      </c>
      <c r="AE2227" s="3" t="s">
        <v>110</v>
      </c>
      <c r="AF2227" s="3" t="s">
        <v>615</v>
      </c>
      <c r="AG2227" s="3" t="s">
        <v>81</v>
      </c>
      <c r="AH2227" s="11">
        <f>HYPERLINK("https://my.pitchbook.com?c=195779-08T","View Company Online")</f>
      </c>
    </row>
    <row r="2228">
      <c r="A2228" s="12" t="s">
        <v>12468</v>
      </c>
      <c r="B2228" s="12" t="s">
        <v>4979</v>
      </c>
      <c r="C2228" s="19" t="s">
        <v>36</v>
      </c>
      <c r="D2228" s="19" t="s">
        <v>36</v>
      </c>
      <c r="E2228" s="19" t="s">
        <v>36</v>
      </c>
      <c r="F2228" s="19" t="s">
        <v>36</v>
      </c>
      <c r="G2228" s="15" t="s">
        <v>36</v>
      </c>
      <c r="H2228" s="14" t="s">
        <v>36</v>
      </c>
      <c r="I2228" s="18">
        <v>24.36</v>
      </c>
      <c r="J2228" s="12" t="s">
        <v>327</v>
      </c>
      <c r="K2228" s="13" t="s">
        <v>36</v>
      </c>
      <c r="L2228" s="15" t="s">
        <v>4010</v>
      </c>
      <c r="M2228" s="12" t="s">
        <v>36</v>
      </c>
      <c r="N2228" s="12" t="s">
        <v>4010</v>
      </c>
      <c r="O2228" s="17" t="s">
        <v>36</v>
      </c>
      <c r="P2228" s="12" t="s">
        <v>36</v>
      </c>
      <c r="Q2228" s="12" t="s">
        <v>36</v>
      </c>
      <c r="R2228" s="12" t="s">
        <v>36</v>
      </c>
      <c r="S2228" s="12" t="s">
        <v>36</v>
      </c>
      <c r="T2228" s="12" t="s">
        <v>189</v>
      </c>
      <c r="U2228" s="12" t="s">
        <v>180</v>
      </c>
      <c r="V2228" s="12" t="s">
        <v>52</v>
      </c>
      <c r="W2228" s="12" t="s">
        <v>4980</v>
      </c>
      <c r="X2228" s="16" t="s">
        <v>12469</v>
      </c>
      <c r="Y2228" s="15" t="s">
        <v>42</v>
      </c>
      <c r="Z2228" s="14">
        <v>1.72</v>
      </c>
      <c r="AA2228" s="14">
        <v>7.06</v>
      </c>
      <c r="AB2228" s="12" t="s">
        <v>56</v>
      </c>
      <c r="AC2228" s="12" t="s">
        <v>4982</v>
      </c>
      <c r="AD2228" s="13">
        <v>44686</v>
      </c>
      <c r="AE2228" s="12" t="s">
        <v>184</v>
      </c>
      <c r="AF2228" s="12" t="s">
        <v>3580</v>
      </c>
      <c r="AG2228" s="12" t="s">
        <v>741</v>
      </c>
      <c r="AH2228" s="1">
        <f>HYPERLINK("https://my.pitchbook.com?c=195339-61T","View Company Online")</f>
      </c>
    </row>
    <row r="2229">
      <c r="A2229" s="3" t="s">
        <v>12470</v>
      </c>
      <c r="B2229" s="3" t="s">
        <v>8526</v>
      </c>
      <c r="C2229" s="5">
        <v>15</v>
      </c>
      <c r="D2229" s="5">
        <v>73</v>
      </c>
      <c r="E2229" s="5">
        <v>25</v>
      </c>
      <c r="F2229" s="5">
        <v>97</v>
      </c>
      <c r="G2229" s="6" t="s">
        <v>326</v>
      </c>
      <c r="H2229" s="4">
        <v>21.01</v>
      </c>
      <c r="I2229" s="7">
        <v>12.7</v>
      </c>
      <c r="J2229" s="3" t="s">
        <v>521</v>
      </c>
      <c r="K2229" s="9" t="s">
        <v>36</v>
      </c>
      <c r="L2229" s="6" t="s">
        <v>36</v>
      </c>
      <c r="M2229" s="3" t="s">
        <v>36</v>
      </c>
      <c r="N2229" s="3" t="s">
        <v>36</v>
      </c>
      <c r="O2229" s="8" t="s">
        <v>36</v>
      </c>
      <c r="P2229" s="3" t="s">
        <v>36</v>
      </c>
      <c r="Q2229" s="3" t="s">
        <v>36</v>
      </c>
      <c r="R2229" s="3" t="s">
        <v>36</v>
      </c>
      <c r="S2229" s="3" t="s">
        <v>36</v>
      </c>
      <c r="T2229" s="3" t="s">
        <v>8527</v>
      </c>
      <c r="U2229" s="3" t="s">
        <v>180</v>
      </c>
      <c r="V2229" s="3" t="s">
        <v>52</v>
      </c>
      <c r="W2229" s="3" t="s">
        <v>8528</v>
      </c>
      <c r="X2229" s="10" t="s">
        <v>8667</v>
      </c>
      <c r="Y2229" s="6" t="s">
        <v>475</v>
      </c>
      <c r="Z2229" s="4">
        <v>24.95</v>
      </c>
      <c r="AA2229" s="4">
        <v>196.46</v>
      </c>
      <c r="AB2229" s="3" t="s">
        <v>56</v>
      </c>
      <c r="AC2229" s="3" t="s">
        <v>8530</v>
      </c>
      <c r="AD2229" s="9">
        <v>44686</v>
      </c>
      <c r="AE2229" s="3" t="s">
        <v>184</v>
      </c>
      <c r="AF2229" s="3" t="s">
        <v>3193</v>
      </c>
      <c r="AG2229" s="3" t="s">
        <v>8531</v>
      </c>
      <c r="AH2229" s="11">
        <f>HYPERLINK("https://my.pitchbook.com?c=193501-81T","View Company Online")</f>
      </c>
    </row>
    <row r="2230">
      <c r="A2230" s="12" t="s">
        <v>12471</v>
      </c>
      <c r="B2230" s="12" t="s">
        <v>1559</v>
      </c>
      <c r="C2230" s="19" t="s">
        <v>36</v>
      </c>
      <c r="D2230" s="19" t="s">
        <v>36</v>
      </c>
      <c r="E2230" s="19" t="s">
        <v>36</v>
      </c>
      <c r="F2230" s="19" t="s">
        <v>36</v>
      </c>
      <c r="G2230" s="15" t="s">
        <v>36</v>
      </c>
      <c r="H2230" s="14">
        <v>40.41</v>
      </c>
      <c r="I2230" s="18">
        <v>13.89</v>
      </c>
      <c r="J2230" s="12" t="s">
        <v>521</v>
      </c>
      <c r="K2230" s="13">
        <v>44562</v>
      </c>
      <c r="L2230" s="15" t="s">
        <v>36</v>
      </c>
      <c r="M2230" s="12" t="s">
        <v>36</v>
      </c>
      <c r="N2230" s="12" t="s">
        <v>36</v>
      </c>
      <c r="O2230" s="17" t="s">
        <v>36</v>
      </c>
      <c r="P2230" s="12" t="s">
        <v>36</v>
      </c>
      <c r="Q2230" s="12" t="s">
        <v>36</v>
      </c>
      <c r="R2230" s="12" t="s">
        <v>36</v>
      </c>
      <c r="S2230" s="12" t="s">
        <v>36</v>
      </c>
      <c r="T2230" s="12" t="s">
        <v>1560</v>
      </c>
      <c r="U2230" s="12" t="s">
        <v>438</v>
      </c>
      <c r="V2230" s="12" t="s">
        <v>405</v>
      </c>
      <c r="W2230" s="12" t="s">
        <v>1561</v>
      </c>
      <c r="X2230" s="16" t="s">
        <v>10233</v>
      </c>
      <c r="Y2230" s="15" t="s">
        <v>108</v>
      </c>
      <c r="Z2230" s="14">
        <v>0.93</v>
      </c>
      <c r="AA2230" s="14">
        <v>6.68</v>
      </c>
      <c r="AB2230" s="12" t="s">
        <v>56</v>
      </c>
      <c r="AC2230" s="12" t="s">
        <v>1563</v>
      </c>
      <c r="AD2230" s="13">
        <v>44686</v>
      </c>
      <c r="AE2230" s="12" t="s">
        <v>438</v>
      </c>
      <c r="AF2230" s="12" t="s">
        <v>799</v>
      </c>
      <c r="AG2230" s="12" t="s">
        <v>81</v>
      </c>
      <c r="AH2230" s="1">
        <f>HYPERLINK("https://my.pitchbook.com?c=201824-20T","View Company Online")</f>
      </c>
    </row>
    <row r="2231">
      <c r="A2231" s="3" t="s">
        <v>12472</v>
      </c>
      <c r="B2231" s="3" t="s">
        <v>12473</v>
      </c>
      <c r="C2231" s="5" t="s">
        <v>36</v>
      </c>
      <c r="D2231" s="5" t="s">
        <v>36</v>
      </c>
      <c r="E2231" s="5" t="s">
        <v>36</v>
      </c>
      <c r="F2231" s="5" t="s">
        <v>36</v>
      </c>
      <c r="G2231" s="6" t="s">
        <v>36</v>
      </c>
      <c r="H2231" s="4" t="s">
        <v>36</v>
      </c>
      <c r="I2231" s="7" t="s">
        <v>36</v>
      </c>
      <c r="J2231" s="3" t="s">
        <v>36</v>
      </c>
      <c r="K2231" s="9" t="s">
        <v>36</v>
      </c>
      <c r="L2231" s="6" t="s">
        <v>36</v>
      </c>
      <c r="M2231" s="3" t="s">
        <v>36</v>
      </c>
      <c r="N2231" s="3" t="s">
        <v>36</v>
      </c>
      <c r="O2231" s="8" t="s">
        <v>36</v>
      </c>
      <c r="P2231" s="3" t="s">
        <v>36</v>
      </c>
      <c r="Q2231" s="3" t="s">
        <v>36</v>
      </c>
      <c r="R2231" s="3" t="s">
        <v>36</v>
      </c>
      <c r="S2231" s="3" t="s">
        <v>36</v>
      </c>
      <c r="T2231" s="3" t="s">
        <v>522</v>
      </c>
      <c r="U2231" s="3" t="s">
        <v>38</v>
      </c>
      <c r="V2231" s="3" t="s">
        <v>39</v>
      </c>
      <c r="W2231" s="3" t="s">
        <v>12474</v>
      </c>
      <c r="X2231" s="10" t="s">
        <v>12475</v>
      </c>
      <c r="Y2231" s="6" t="s">
        <v>42</v>
      </c>
      <c r="Z2231" s="4">
        <v>1.08</v>
      </c>
      <c r="AA2231" s="4" t="s">
        <v>36</v>
      </c>
      <c r="AB2231" s="3" t="s">
        <v>43</v>
      </c>
      <c r="AC2231" s="3" t="s">
        <v>12476</v>
      </c>
      <c r="AD2231" s="9">
        <v>44685</v>
      </c>
      <c r="AE2231" s="3" t="s">
        <v>110</v>
      </c>
      <c r="AF2231" s="3" t="s">
        <v>4000</v>
      </c>
      <c r="AG2231" s="3" t="s">
        <v>270</v>
      </c>
      <c r="AH2231" s="11">
        <f>HYPERLINK("https://my.pitchbook.com?c=193508-65T","View Company Online")</f>
      </c>
    </row>
    <row r="2232">
      <c r="A2232" s="12" t="s">
        <v>12477</v>
      </c>
      <c r="B2232" s="12" t="s">
        <v>12478</v>
      </c>
      <c r="C2232" s="19" t="s">
        <v>36</v>
      </c>
      <c r="D2232" s="19">
        <v>3</v>
      </c>
      <c r="E2232" s="19">
        <v>1</v>
      </c>
      <c r="F2232" s="19">
        <v>3</v>
      </c>
      <c r="G2232" s="15" t="s">
        <v>326</v>
      </c>
      <c r="H2232" s="14">
        <v>263.69</v>
      </c>
      <c r="I2232" s="18">
        <v>25.02</v>
      </c>
      <c r="J2232" s="12" t="s">
        <v>521</v>
      </c>
      <c r="K2232" s="13" t="s">
        <v>36</v>
      </c>
      <c r="L2232" s="15" t="s">
        <v>36</v>
      </c>
      <c r="M2232" s="12" t="s">
        <v>36</v>
      </c>
      <c r="N2232" s="12" t="s">
        <v>36</v>
      </c>
      <c r="O2232" s="17" t="s">
        <v>36</v>
      </c>
      <c r="P2232" s="12" t="s">
        <v>36</v>
      </c>
      <c r="Q2232" s="12" t="s">
        <v>36</v>
      </c>
      <c r="R2232" s="12" t="s">
        <v>36</v>
      </c>
      <c r="S2232" s="12" t="s">
        <v>36</v>
      </c>
      <c r="T2232" s="12" t="s">
        <v>12479</v>
      </c>
      <c r="U2232" s="12" t="s">
        <v>38</v>
      </c>
      <c r="V2232" s="12" t="s">
        <v>39</v>
      </c>
      <c r="W2232" s="12" t="s">
        <v>12480</v>
      </c>
      <c r="X2232" s="16" t="s">
        <v>12481</v>
      </c>
      <c r="Y2232" s="15" t="s">
        <v>42</v>
      </c>
      <c r="Z2232" s="14">
        <v>2.79</v>
      </c>
      <c r="AA2232" s="14">
        <v>11.14</v>
      </c>
      <c r="AB2232" s="12" t="s">
        <v>56</v>
      </c>
      <c r="AC2232" s="12" t="s">
        <v>12482</v>
      </c>
      <c r="AD2232" s="13">
        <v>44685</v>
      </c>
      <c r="AE2232" s="12" t="s">
        <v>110</v>
      </c>
      <c r="AF2232" s="12" t="s">
        <v>275</v>
      </c>
      <c r="AG2232" s="12" t="s">
        <v>652</v>
      </c>
      <c r="AH2232" s="1">
        <f>HYPERLINK("https://my.pitchbook.com?c=194706-55T","View Company Online")</f>
      </c>
    </row>
    <row r="2233">
      <c r="A2233" s="3" t="s">
        <v>12483</v>
      </c>
      <c r="B2233" s="3" t="s">
        <v>12484</v>
      </c>
      <c r="C2233" s="5" t="s">
        <v>36</v>
      </c>
      <c r="D2233" s="5" t="s">
        <v>36</v>
      </c>
      <c r="E2233" s="5" t="s">
        <v>36</v>
      </c>
      <c r="F2233" s="5" t="s">
        <v>36</v>
      </c>
      <c r="G2233" s="6" t="s">
        <v>326</v>
      </c>
      <c r="H2233" s="4">
        <v>103.86</v>
      </c>
      <c r="I2233" s="7">
        <v>11.76</v>
      </c>
      <c r="J2233" s="3" t="s">
        <v>521</v>
      </c>
      <c r="K2233" s="9" t="s">
        <v>36</v>
      </c>
      <c r="L2233" s="6" t="s">
        <v>36</v>
      </c>
      <c r="M2233" s="3" t="s">
        <v>36</v>
      </c>
      <c r="N2233" s="3" t="s">
        <v>36</v>
      </c>
      <c r="O2233" s="8" t="s">
        <v>36</v>
      </c>
      <c r="P2233" s="3" t="s">
        <v>36</v>
      </c>
      <c r="Q2233" s="3" t="s">
        <v>36</v>
      </c>
      <c r="R2233" s="3" t="s">
        <v>36</v>
      </c>
      <c r="S2233" s="3" t="s">
        <v>36</v>
      </c>
      <c r="T2233" s="3" t="s">
        <v>2811</v>
      </c>
      <c r="U2233" s="3" t="s">
        <v>219</v>
      </c>
      <c r="V2233" s="3" t="s">
        <v>75</v>
      </c>
      <c r="W2233" s="3" t="s">
        <v>12485</v>
      </c>
      <c r="X2233" s="10" t="s">
        <v>12486</v>
      </c>
      <c r="Y2233" s="6" t="s">
        <v>108</v>
      </c>
      <c r="Z2233" s="4">
        <v>0.27</v>
      </c>
      <c r="AA2233" s="4">
        <v>2.29</v>
      </c>
      <c r="AB2233" s="3" t="s">
        <v>56</v>
      </c>
      <c r="AC2233" s="3" t="s">
        <v>12487</v>
      </c>
      <c r="AD2233" s="9">
        <v>44685</v>
      </c>
      <c r="AE2233" s="3" t="s">
        <v>223</v>
      </c>
      <c r="AF2233" s="3" t="s">
        <v>36</v>
      </c>
      <c r="AG2233" s="3" t="s">
        <v>81</v>
      </c>
      <c r="AH2233" s="11">
        <f>HYPERLINK("https://my.pitchbook.com?c=209285-74T","View Company Online")</f>
      </c>
    </row>
    <row r="2234">
      <c r="A2234" s="12" t="s">
        <v>12488</v>
      </c>
      <c r="B2234" s="12" t="s">
        <v>12489</v>
      </c>
      <c r="C2234" s="19" t="s">
        <v>36</v>
      </c>
      <c r="D2234" s="19" t="s">
        <v>36</v>
      </c>
      <c r="E2234" s="19" t="s">
        <v>36</v>
      </c>
      <c r="F2234" s="19" t="s">
        <v>36</v>
      </c>
      <c r="G2234" s="15" t="s">
        <v>326</v>
      </c>
      <c r="H2234" s="14">
        <v>27.31</v>
      </c>
      <c r="I2234" s="18">
        <v>33.88</v>
      </c>
      <c r="J2234" s="12" t="s">
        <v>521</v>
      </c>
      <c r="K2234" s="13" t="s">
        <v>36</v>
      </c>
      <c r="L2234" s="15" t="s">
        <v>36</v>
      </c>
      <c r="M2234" s="12" t="s">
        <v>36</v>
      </c>
      <c r="N2234" s="12" t="s">
        <v>36</v>
      </c>
      <c r="O2234" s="17" t="s">
        <v>36</v>
      </c>
      <c r="P2234" s="12" t="s">
        <v>36</v>
      </c>
      <c r="Q2234" s="12" t="s">
        <v>36</v>
      </c>
      <c r="R2234" s="12" t="s">
        <v>36</v>
      </c>
      <c r="S2234" s="12" t="s">
        <v>36</v>
      </c>
      <c r="T2234" s="12" t="s">
        <v>7415</v>
      </c>
      <c r="U2234" s="12" t="s">
        <v>38</v>
      </c>
      <c r="V2234" s="12" t="s">
        <v>39</v>
      </c>
      <c r="W2234" s="12" t="s">
        <v>12490</v>
      </c>
      <c r="X2234" s="16" t="s">
        <v>12491</v>
      </c>
      <c r="Y2234" s="15" t="s">
        <v>108</v>
      </c>
      <c r="Z2234" s="14">
        <v>7.53</v>
      </c>
      <c r="AA2234" s="14">
        <v>14.83</v>
      </c>
      <c r="AB2234" s="12" t="s">
        <v>56</v>
      </c>
      <c r="AC2234" s="12" t="s">
        <v>12492</v>
      </c>
      <c r="AD2234" s="13">
        <v>44685</v>
      </c>
      <c r="AE2234" s="12" t="s">
        <v>1422</v>
      </c>
      <c r="AF2234" s="12" t="s">
        <v>4284</v>
      </c>
      <c r="AG2234" s="12" t="s">
        <v>12493</v>
      </c>
      <c r="AH2234" s="1">
        <f>HYPERLINK("https://my.pitchbook.com?c=193517-92T","View Company Online")</f>
      </c>
    </row>
    <row r="2235">
      <c r="A2235" s="3" t="s">
        <v>12494</v>
      </c>
      <c r="B2235" s="3" t="s">
        <v>6562</v>
      </c>
      <c r="C2235" s="5" t="s">
        <v>36</v>
      </c>
      <c r="D2235" s="5" t="s">
        <v>36</v>
      </c>
      <c r="E2235" s="5" t="s">
        <v>36</v>
      </c>
      <c r="F2235" s="5" t="s">
        <v>36</v>
      </c>
      <c r="G2235" s="6" t="s">
        <v>326</v>
      </c>
      <c r="H2235" s="4">
        <v>43.64</v>
      </c>
      <c r="I2235" s="7">
        <v>24.21</v>
      </c>
      <c r="J2235" s="3" t="s">
        <v>521</v>
      </c>
      <c r="K2235" s="9" t="s">
        <v>36</v>
      </c>
      <c r="L2235" s="6" t="s">
        <v>36</v>
      </c>
      <c r="M2235" s="3" t="s">
        <v>36</v>
      </c>
      <c r="N2235" s="3" t="s">
        <v>36</v>
      </c>
      <c r="O2235" s="8" t="s">
        <v>36</v>
      </c>
      <c r="P2235" s="3" t="s">
        <v>36</v>
      </c>
      <c r="Q2235" s="3" t="s">
        <v>36</v>
      </c>
      <c r="R2235" s="3" t="s">
        <v>36</v>
      </c>
      <c r="S2235" s="3" t="s">
        <v>36</v>
      </c>
      <c r="T2235" s="3" t="s">
        <v>6563</v>
      </c>
      <c r="U2235" s="3" t="s">
        <v>38</v>
      </c>
      <c r="V2235" s="3" t="s">
        <v>39</v>
      </c>
      <c r="W2235" s="3" t="s">
        <v>6564</v>
      </c>
      <c r="X2235" s="10" t="s">
        <v>3074</v>
      </c>
      <c r="Y2235" s="6" t="s">
        <v>108</v>
      </c>
      <c r="Z2235" s="4">
        <v>1.86</v>
      </c>
      <c r="AA2235" s="4">
        <v>7.68</v>
      </c>
      <c r="AB2235" s="3" t="s">
        <v>43</v>
      </c>
      <c r="AC2235" s="3" t="s">
        <v>6566</v>
      </c>
      <c r="AD2235" s="9">
        <v>44684</v>
      </c>
      <c r="AE2235" s="3" t="s">
        <v>45</v>
      </c>
      <c r="AF2235" s="3" t="s">
        <v>215</v>
      </c>
      <c r="AG2235" s="3" t="s">
        <v>3492</v>
      </c>
      <c r="AH2235" s="11">
        <f>HYPERLINK("https://my.pitchbook.com?c=210965-41T","View Company Online")</f>
      </c>
    </row>
    <row r="2236">
      <c r="A2236" s="12" t="s">
        <v>12495</v>
      </c>
      <c r="B2236" s="12" t="s">
        <v>5706</v>
      </c>
      <c r="C2236" s="19" t="s">
        <v>36</v>
      </c>
      <c r="D2236" s="19" t="s">
        <v>36</v>
      </c>
      <c r="E2236" s="19" t="s">
        <v>36</v>
      </c>
      <c r="F2236" s="19" t="s">
        <v>36</v>
      </c>
      <c r="G2236" s="15" t="s">
        <v>326</v>
      </c>
      <c r="H2236" s="14">
        <v>2.84</v>
      </c>
      <c r="I2236" s="18">
        <v>9.95</v>
      </c>
      <c r="J2236" s="12" t="s">
        <v>521</v>
      </c>
      <c r="K2236" s="13" t="s">
        <v>36</v>
      </c>
      <c r="L2236" s="15" t="s">
        <v>12496</v>
      </c>
      <c r="M2236" s="12" t="s">
        <v>36</v>
      </c>
      <c r="N2236" s="12" t="s">
        <v>12496</v>
      </c>
      <c r="O2236" s="17" t="s">
        <v>36</v>
      </c>
      <c r="P2236" s="12" t="s">
        <v>36</v>
      </c>
      <c r="Q2236" s="12" t="s">
        <v>36</v>
      </c>
      <c r="R2236" s="12" t="s">
        <v>36</v>
      </c>
      <c r="S2236" s="12" t="s">
        <v>36</v>
      </c>
      <c r="T2236" s="12" t="s">
        <v>5707</v>
      </c>
      <c r="U2236" s="12" t="s">
        <v>279</v>
      </c>
      <c r="V2236" s="12" t="s">
        <v>64</v>
      </c>
      <c r="W2236" s="12" t="s">
        <v>5708</v>
      </c>
      <c r="X2236" s="16" t="s">
        <v>12497</v>
      </c>
      <c r="Y2236" s="15" t="s">
        <v>12154</v>
      </c>
      <c r="Z2236" s="14">
        <v>141.53</v>
      </c>
      <c r="AA2236" s="14">
        <v>1422.52</v>
      </c>
      <c r="AB2236" s="12" t="s">
        <v>56</v>
      </c>
      <c r="AC2236" s="12" t="s">
        <v>5711</v>
      </c>
      <c r="AD2236" s="13">
        <v>44684</v>
      </c>
      <c r="AE2236" s="12" t="s">
        <v>283</v>
      </c>
      <c r="AF2236" s="12" t="s">
        <v>2363</v>
      </c>
      <c r="AG2236" s="12" t="s">
        <v>81</v>
      </c>
      <c r="AH2236" s="1">
        <f>HYPERLINK("https://my.pitchbook.com?c=179901-37T","View Company Online")</f>
      </c>
    </row>
    <row r="2237">
      <c r="A2237" s="3" t="s">
        <v>12498</v>
      </c>
      <c r="B2237" s="3" t="s">
        <v>3950</v>
      </c>
      <c r="C2237" s="5">
        <v>23</v>
      </c>
      <c r="D2237" s="5">
        <v>20</v>
      </c>
      <c r="E2237" s="5">
        <v>21</v>
      </c>
      <c r="F2237" s="5">
        <v>50</v>
      </c>
      <c r="G2237" s="6" t="s">
        <v>326</v>
      </c>
      <c r="H2237" s="4">
        <v>890.53</v>
      </c>
      <c r="I2237" s="7">
        <v>21.39</v>
      </c>
      <c r="J2237" s="3" t="s">
        <v>521</v>
      </c>
      <c r="K2237" s="9" t="s">
        <v>36</v>
      </c>
      <c r="L2237" s="6" t="s">
        <v>36</v>
      </c>
      <c r="M2237" s="3" t="s">
        <v>36</v>
      </c>
      <c r="N2237" s="3" t="s">
        <v>36</v>
      </c>
      <c r="O2237" s="8" t="s">
        <v>36</v>
      </c>
      <c r="P2237" s="3" t="s">
        <v>36</v>
      </c>
      <c r="Q2237" s="3" t="s">
        <v>36</v>
      </c>
      <c r="R2237" s="3" t="s">
        <v>36</v>
      </c>
      <c r="S2237" s="3" t="s">
        <v>36</v>
      </c>
      <c r="T2237" s="3" t="s">
        <v>3951</v>
      </c>
      <c r="U2237" s="3" t="s">
        <v>38</v>
      </c>
      <c r="V2237" s="3" t="s">
        <v>39</v>
      </c>
      <c r="W2237" s="3" t="s">
        <v>3952</v>
      </c>
      <c r="X2237" s="10" t="s">
        <v>12499</v>
      </c>
      <c r="Y2237" s="6" t="s">
        <v>192</v>
      </c>
      <c r="Z2237" s="4">
        <v>40.45</v>
      </c>
      <c r="AA2237" s="4">
        <v>189.12</v>
      </c>
      <c r="AB2237" s="3" t="s">
        <v>43</v>
      </c>
      <c r="AC2237" s="3" t="s">
        <v>3954</v>
      </c>
      <c r="AD2237" s="9">
        <v>44684</v>
      </c>
      <c r="AE2237" s="3" t="s">
        <v>134</v>
      </c>
      <c r="AF2237" s="3" t="s">
        <v>3955</v>
      </c>
      <c r="AG2237" s="3" t="s">
        <v>81</v>
      </c>
      <c r="AH2237" s="11">
        <f>HYPERLINK("https://my.pitchbook.com?c=195859-27T","View Company Online")</f>
      </c>
    </row>
    <row r="2238">
      <c r="A2238" s="12" t="s">
        <v>12500</v>
      </c>
      <c r="B2238" s="12" t="s">
        <v>12501</v>
      </c>
      <c r="C2238" s="19" t="s">
        <v>36</v>
      </c>
      <c r="D2238" s="19" t="s">
        <v>36</v>
      </c>
      <c r="E2238" s="19">
        <v>1</v>
      </c>
      <c r="F2238" s="19">
        <v>1</v>
      </c>
      <c r="G2238" s="15" t="s">
        <v>36</v>
      </c>
      <c r="H2238" s="14">
        <v>7.89</v>
      </c>
      <c r="I2238" s="18">
        <v>48.8</v>
      </c>
      <c r="J2238" s="12" t="s">
        <v>521</v>
      </c>
      <c r="K2238" s="13" t="s">
        <v>36</v>
      </c>
      <c r="L2238" s="15" t="s">
        <v>94</v>
      </c>
      <c r="M2238" s="12" t="s">
        <v>36</v>
      </c>
      <c r="N2238" s="12" t="s">
        <v>94</v>
      </c>
      <c r="O2238" s="17" t="s">
        <v>36</v>
      </c>
      <c r="P2238" s="12" t="s">
        <v>36</v>
      </c>
      <c r="Q2238" s="12" t="s">
        <v>36</v>
      </c>
      <c r="R2238" s="12" t="s">
        <v>36</v>
      </c>
      <c r="S2238" s="12" t="s">
        <v>36</v>
      </c>
      <c r="T2238" s="12" t="s">
        <v>9159</v>
      </c>
      <c r="U2238" s="12" t="s">
        <v>74</v>
      </c>
      <c r="V2238" s="12" t="s">
        <v>75</v>
      </c>
      <c r="W2238" s="12" t="s">
        <v>12502</v>
      </c>
      <c r="X2238" s="16" t="s">
        <v>12503</v>
      </c>
      <c r="Y2238" s="15" t="s">
        <v>108</v>
      </c>
      <c r="Z2238" s="14">
        <v>0.5</v>
      </c>
      <c r="AA2238" s="14">
        <v>1.03</v>
      </c>
      <c r="AB2238" s="12" t="s">
        <v>56</v>
      </c>
      <c r="AC2238" s="12" t="s">
        <v>12504</v>
      </c>
      <c r="AD2238" s="13">
        <v>44683</v>
      </c>
      <c r="AE2238" s="12" t="s">
        <v>3144</v>
      </c>
      <c r="AF2238" s="12" t="s">
        <v>12505</v>
      </c>
      <c r="AG2238" s="12" t="s">
        <v>102</v>
      </c>
      <c r="AH2238" s="1">
        <f>HYPERLINK("https://my.pitchbook.com?c=197089-57T","View Company Online")</f>
      </c>
    </row>
    <row r="2239">
      <c r="A2239" s="3" t="s">
        <v>12506</v>
      </c>
      <c r="B2239" s="3" t="s">
        <v>12507</v>
      </c>
      <c r="C2239" s="5" t="s">
        <v>36</v>
      </c>
      <c r="D2239" s="5" t="s">
        <v>36</v>
      </c>
      <c r="E2239" s="5" t="s">
        <v>36</v>
      </c>
      <c r="F2239" s="5" t="s">
        <v>36</v>
      </c>
      <c r="G2239" s="6" t="s">
        <v>36</v>
      </c>
      <c r="H2239" s="4" t="s">
        <v>36</v>
      </c>
      <c r="I2239" s="7" t="s">
        <v>36</v>
      </c>
      <c r="J2239" s="3" t="s">
        <v>36</v>
      </c>
      <c r="K2239" s="9" t="s">
        <v>36</v>
      </c>
      <c r="L2239" s="6" t="s">
        <v>36</v>
      </c>
      <c r="M2239" s="3" t="s">
        <v>36</v>
      </c>
      <c r="N2239" s="3" t="s">
        <v>36</v>
      </c>
      <c r="O2239" s="8" t="s">
        <v>36</v>
      </c>
      <c r="P2239" s="3" t="s">
        <v>36</v>
      </c>
      <c r="Q2239" s="3" t="s">
        <v>36</v>
      </c>
      <c r="R2239" s="3" t="s">
        <v>36</v>
      </c>
      <c r="S2239" s="3" t="s">
        <v>36</v>
      </c>
      <c r="T2239" s="3" t="s">
        <v>12508</v>
      </c>
      <c r="U2239" s="3" t="s">
        <v>1091</v>
      </c>
      <c r="V2239" s="3" t="s">
        <v>378</v>
      </c>
      <c r="W2239" s="3" t="s">
        <v>12509</v>
      </c>
      <c r="X2239" s="10" t="s">
        <v>1598</v>
      </c>
      <c r="Y2239" s="6" t="s">
        <v>42</v>
      </c>
      <c r="Z2239" s="4" t="s">
        <v>36</v>
      </c>
      <c r="AA2239" s="4" t="s">
        <v>36</v>
      </c>
      <c r="AB2239" s="3" t="s">
        <v>56</v>
      </c>
      <c r="AC2239" s="3" t="s">
        <v>12510</v>
      </c>
      <c r="AD2239" s="9">
        <v>44683</v>
      </c>
      <c r="AE2239" s="3" t="s">
        <v>12511</v>
      </c>
      <c r="AF2239" s="3" t="s">
        <v>571</v>
      </c>
      <c r="AG2239" s="3" t="s">
        <v>12512</v>
      </c>
      <c r="AH2239" s="11">
        <f>HYPERLINK("https://my.pitchbook.com?c=193842-64T","View Company Online")</f>
      </c>
    </row>
    <row r="2240">
      <c r="A2240" s="12" t="s">
        <v>12513</v>
      </c>
      <c r="B2240" s="12" t="s">
        <v>12514</v>
      </c>
      <c r="C2240" s="19" t="s">
        <v>36</v>
      </c>
      <c r="D2240" s="19" t="s">
        <v>36</v>
      </c>
      <c r="E2240" s="19" t="s">
        <v>36</v>
      </c>
      <c r="F2240" s="19" t="s">
        <v>36</v>
      </c>
      <c r="G2240" s="15" t="s">
        <v>326</v>
      </c>
      <c r="H2240" s="14">
        <v>14.64</v>
      </c>
      <c r="I2240" s="18">
        <v>2.38</v>
      </c>
      <c r="J2240" s="12" t="s">
        <v>521</v>
      </c>
      <c r="K2240" s="13">
        <v>44649</v>
      </c>
      <c r="L2240" s="15" t="s">
        <v>1981</v>
      </c>
      <c r="M2240" s="12" t="s">
        <v>36</v>
      </c>
      <c r="N2240" s="12" t="s">
        <v>1981</v>
      </c>
      <c r="O2240" s="17" t="s">
        <v>36</v>
      </c>
      <c r="P2240" s="12" t="s">
        <v>36</v>
      </c>
      <c r="Q2240" s="12" t="s">
        <v>36</v>
      </c>
      <c r="R2240" s="12" t="s">
        <v>36</v>
      </c>
      <c r="S2240" s="12" t="s">
        <v>36</v>
      </c>
      <c r="T2240" s="12" t="s">
        <v>7256</v>
      </c>
      <c r="U2240" s="12" t="s">
        <v>74</v>
      </c>
      <c r="V2240" s="12" t="s">
        <v>75</v>
      </c>
      <c r="W2240" s="12" t="s">
        <v>12515</v>
      </c>
      <c r="X2240" s="16" t="s">
        <v>12516</v>
      </c>
      <c r="Y2240" s="15" t="s">
        <v>108</v>
      </c>
      <c r="Z2240" s="14">
        <v>8.64</v>
      </c>
      <c r="AA2240" s="14">
        <v>38.5</v>
      </c>
      <c r="AB2240" s="12" t="s">
        <v>43</v>
      </c>
      <c r="AC2240" s="12" t="s">
        <v>12517</v>
      </c>
      <c r="AD2240" s="13">
        <v>44683</v>
      </c>
      <c r="AE2240" s="12" t="s">
        <v>79</v>
      </c>
      <c r="AF2240" s="12" t="s">
        <v>176</v>
      </c>
      <c r="AG2240" s="12" t="s">
        <v>81</v>
      </c>
      <c r="AH2240" s="1">
        <f>HYPERLINK("https://my.pitchbook.com?c=209715-31T","View Company Online")</f>
      </c>
    </row>
    <row r="2241">
      <c r="A2241" s="3" t="s">
        <v>12518</v>
      </c>
      <c r="B2241" s="3" t="s">
        <v>2630</v>
      </c>
      <c r="C2241" s="5">
        <v>4</v>
      </c>
      <c r="D2241" s="5">
        <v>2</v>
      </c>
      <c r="E2241" s="5">
        <v>3</v>
      </c>
      <c r="F2241" s="5">
        <v>7</v>
      </c>
      <c r="G2241" s="6" t="s">
        <v>36</v>
      </c>
      <c r="H2241" s="4">
        <v>289.43</v>
      </c>
      <c r="I2241" s="7">
        <v>31.16</v>
      </c>
      <c r="J2241" s="3" t="s">
        <v>521</v>
      </c>
      <c r="K2241" s="9">
        <v>44638</v>
      </c>
      <c r="L2241" s="6" t="s">
        <v>122</v>
      </c>
      <c r="M2241" s="3" t="s">
        <v>36</v>
      </c>
      <c r="N2241" s="3" t="s">
        <v>122</v>
      </c>
      <c r="O2241" s="8" t="s">
        <v>36</v>
      </c>
      <c r="P2241" s="3" t="s">
        <v>36</v>
      </c>
      <c r="Q2241" s="3" t="s">
        <v>36</v>
      </c>
      <c r="R2241" s="3" t="s">
        <v>36</v>
      </c>
      <c r="S2241" s="3" t="s">
        <v>36</v>
      </c>
      <c r="T2241" s="3" t="s">
        <v>2631</v>
      </c>
      <c r="U2241" s="3" t="s">
        <v>96</v>
      </c>
      <c r="V2241" s="3" t="s">
        <v>52</v>
      </c>
      <c r="W2241" s="3" t="s">
        <v>2632</v>
      </c>
      <c r="X2241" s="10" t="s">
        <v>12519</v>
      </c>
      <c r="Y2241" s="6" t="s">
        <v>108</v>
      </c>
      <c r="Z2241" s="4">
        <v>2.69</v>
      </c>
      <c r="AA2241" s="4">
        <v>8.64</v>
      </c>
      <c r="AB2241" s="3" t="s">
        <v>43</v>
      </c>
      <c r="AC2241" s="3" t="s">
        <v>2634</v>
      </c>
      <c r="AD2241" s="9">
        <v>44682</v>
      </c>
      <c r="AE2241" s="3" t="s">
        <v>100</v>
      </c>
      <c r="AF2241" s="3" t="s">
        <v>2635</v>
      </c>
      <c r="AG2241" s="3" t="s">
        <v>2636</v>
      </c>
      <c r="AH2241" s="11">
        <f>HYPERLINK("https://my.pitchbook.com?c=187477-12T","View Company Online")</f>
      </c>
    </row>
    <row r="2242">
      <c r="A2242" s="12" t="s">
        <v>12520</v>
      </c>
      <c r="B2242" s="12" t="s">
        <v>12521</v>
      </c>
      <c r="C2242" s="19" t="s">
        <v>36</v>
      </c>
      <c r="D2242" s="19" t="s">
        <v>36</v>
      </c>
      <c r="E2242" s="19" t="s">
        <v>36</v>
      </c>
      <c r="F2242" s="19" t="s">
        <v>36</v>
      </c>
      <c r="G2242" s="15" t="s">
        <v>36</v>
      </c>
      <c r="H2242" s="14" t="s">
        <v>36</v>
      </c>
      <c r="I2242" s="18" t="s">
        <v>36</v>
      </c>
      <c r="J2242" s="12" t="s">
        <v>36</v>
      </c>
      <c r="K2242" s="13" t="s">
        <v>36</v>
      </c>
      <c r="L2242" s="15" t="s">
        <v>36</v>
      </c>
      <c r="M2242" s="12" t="s">
        <v>36</v>
      </c>
      <c r="N2242" s="12" t="s">
        <v>36</v>
      </c>
      <c r="O2242" s="17" t="s">
        <v>36</v>
      </c>
      <c r="P2242" s="12" t="s">
        <v>36</v>
      </c>
      <c r="Q2242" s="12" t="s">
        <v>36</v>
      </c>
      <c r="R2242" s="12" t="s">
        <v>36</v>
      </c>
      <c r="S2242" s="12" t="s">
        <v>36</v>
      </c>
      <c r="T2242" s="12" t="s">
        <v>12522</v>
      </c>
      <c r="U2242" s="12" t="s">
        <v>38</v>
      </c>
      <c r="V2242" s="12" t="s">
        <v>39</v>
      </c>
      <c r="W2242" s="12" t="s">
        <v>12523</v>
      </c>
      <c r="X2242" s="16" t="s">
        <v>12524</v>
      </c>
      <c r="Y2242" s="15" t="s">
        <v>108</v>
      </c>
      <c r="Z2242" s="14" t="s">
        <v>36</v>
      </c>
      <c r="AA2242" s="14" t="s">
        <v>36</v>
      </c>
      <c r="AB2242" s="12" t="s">
        <v>56</v>
      </c>
      <c r="AC2242" s="12" t="s">
        <v>12525</v>
      </c>
      <c r="AD2242" s="13">
        <v>44682</v>
      </c>
      <c r="AE2242" s="12" t="s">
        <v>110</v>
      </c>
      <c r="AF2242" s="12" t="s">
        <v>36</v>
      </c>
      <c r="AG2242" s="12" t="s">
        <v>81</v>
      </c>
      <c r="AH2242" s="1">
        <f>HYPERLINK("https://my.pitchbook.com?c=266314-78T","View Company Online")</f>
      </c>
    </row>
    <row r="2243">
      <c r="A2243" s="3" t="s">
        <v>12526</v>
      </c>
      <c r="B2243" s="3" t="s">
        <v>6840</v>
      </c>
      <c r="C2243" s="5" t="s">
        <v>36</v>
      </c>
      <c r="D2243" s="5" t="s">
        <v>36</v>
      </c>
      <c r="E2243" s="5" t="s">
        <v>36</v>
      </c>
      <c r="F2243" s="5" t="s">
        <v>36</v>
      </c>
      <c r="G2243" s="6" t="s">
        <v>36</v>
      </c>
      <c r="H2243" s="4" t="s">
        <v>36</v>
      </c>
      <c r="I2243" s="7" t="s">
        <v>36</v>
      </c>
      <c r="J2243" s="3" t="s">
        <v>36</v>
      </c>
      <c r="K2243" s="9" t="s">
        <v>36</v>
      </c>
      <c r="L2243" s="6" t="s">
        <v>36</v>
      </c>
      <c r="M2243" s="3" t="s">
        <v>36</v>
      </c>
      <c r="N2243" s="3" t="s">
        <v>36</v>
      </c>
      <c r="O2243" s="8" t="s">
        <v>36</v>
      </c>
      <c r="P2243" s="3" t="s">
        <v>36</v>
      </c>
      <c r="Q2243" s="3" t="s">
        <v>36</v>
      </c>
      <c r="R2243" s="3" t="s">
        <v>36</v>
      </c>
      <c r="S2243" s="3" t="s">
        <v>36</v>
      </c>
      <c r="T2243" s="3" t="s">
        <v>522</v>
      </c>
      <c r="U2243" s="3" t="s">
        <v>38</v>
      </c>
      <c r="V2243" s="3" t="s">
        <v>39</v>
      </c>
      <c r="W2243" s="3" t="s">
        <v>6841</v>
      </c>
      <c r="X2243" s="10" t="s">
        <v>12527</v>
      </c>
      <c r="Y2243" s="6" t="s">
        <v>166</v>
      </c>
      <c r="Z2243" s="4" t="s">
        <v>36</v>
      </c>
      <c r="AA2243" s="4" t="s">
        <v>36</v>
      </c>
      <c r="AB2243" s="3" t="s">
        <v>56</v>
      </c>
      <c r="AC2243" s="3" t="s">
        <v>6843</v>
      </c>
      <c r="AD2243" s="9">
        <v>44682</v>
      </c>
      <c r="AE2243" s="3" t="s">
        <v>110</v>
      </c>
      <c r="AF2243" s="3" t="s">
        <v>3860</v>
      </c>
      <c r="AG2243" s="3" t="s">
        <v>47</v>
      </c>
      <c r="AH2243" s="11">
        <f>HYPERLINK("https://my.pitchbook.com?c=193674-25T","View Company Online")</f>
      </c>
    </row>
    <row r="2244">
      <c r="A2244" s="12" t="s">
        <v>12528</v>
      </c>
      <c r="B2244" s="12" t="s">
        <v>12529</v>
      </c>
      <c r="C2244" s="19" t="s">
        <v>36</v>
      </c>
      <c r="D2244" s="19" t="s">
        <v>36</v>
      </c>
      <c r="E2244" s="19" t="s">
        <v>36</v>
      </c>
      <c r="F2244" s="19" t="s">
        <v>36</v>
      </c>
      <c r="G2244" s="15" t="s">
        <v>36</v>
      </c>
      <c r="H2244" s="14" t="s">
        <v>36</v>
      </c>
      <c r="I2244" s="18">
        <v>19.44</v>
      </c>
      <c r="J2244" s="12" t="s">
        <v>327</v>
      </c>
      <c r="K2244" s="13" t="s">
        <v>36</v>
      </c>
      <c r="L2244" s="15" t="s">
        <v>36</v>
      </c>
      <c r="M2244" s="12" t="s">
        <v>36</v>
      </c>
      <c r="N2244" s="12" t="s">
        <v>36</v>
      </c>
      <c r="O2244" s="17" t="s">
        <v>36</v>
      </c>
      <c r="P2244" s="12" t="s">
        <v>36</v>
      </c>
      <c r="Q2244" s="12" t="s">
        <v>36</v>
      </c>
      <c r="R2244" s="12" t="s">
        <v>36</v>
      </c>
      <c r="S2244" s="12" t="s">
        <v>36</v>
      </c>
      <c r="T2244" s="12" t="s">
        <v>12530</v>
      </c>
      <c r="U2244" s="12" t="s">
        <v>63</v>
      </c>
      <c r="V2244" s="12" t="s">
        <v>64</v>
      </c>
      <c r="W2244" s="12" t="s">
        <v>12531</v>
      </c>
      <c r="X2244" s="16" t="s">
        <v>12532</v>
      </c>
      <c r="Y2244" s="15" t="s">
        <v>55</v>
      </c>
      <c r="Z2244" s="14">
        <v>5.41</v>
      </c>
      <c r="AA2244" s="14">
        <v>27.81</v>
      </c>
      <c r="AB2244" s="12" t="s">
        <v>56</v>
      </c>
      <c r="AC2244" s="12" t="s">
        <v>12533</v>
      </c>
      <c r="AD2244" s="13">
        <v>44682</v>
      </c>
      <c r="AE2244" s="12" t="s">
        <v>4310</v>
      </c>
      <c r="AF2244" s="12" t="s">
        <v>4903</v>
      </c>
      <c r="AG2244" s="12" t="s">
        <v>332</v>
      </c>
      <c r="AH2244" s="1">
        <f>HYPERLINK("https://my.pitchbook.com?c=193650-04T","View Company Online")</f>
      </c>
    </row>
    <row r="2245">
      <c r="A2245" s="3" t="s">
        <v>12534</v>
      </c>
      <c r="B2245" s="3" t="s">
        <v>12535</v>
      </c>
      <c r="C2245" s="5" t="s">
        <v>36</v>
      </c>
      <c r="D2245" s="5" t="s">
        <v>36</v>
      </c>
      <c r="E2245" s="5" t="s">
        <v>36</v>
      </c>
      <c r="F2245" s="5" t="s">
        <v>36</v>
      </c>
      <c r="G2245" s="6" t="s">
        <v>2497</v>
      </c>
      <c r="H2245" s="4">
        <v>1088.42</v>
      </c>
      <c r="I2245" s="7">
        <v>13.29</v>
      </c>
      <c r="J2245" s="3" t="s">
        <v>521</v>
      </c>
      <c r="K2245" s="9" t="s">
        <v>36</v>
      </c>
      <c r="L2245" s="6" t="s">
        <v>36</v>
      </c>
      <c r="M2245" s="3" t="s">
        <v>36</v>
      </c>
      <c r="N2245" s="3" t="s">
        <v>36</v>
      </c>
      <c r="O2245" s="8" t="s">
        <v>36</v>
      </c>
      <c r="P2245" s="3" t="s">
        <v>36</v>
      </c>
      <c r="Q2245" s="3" t="s">
        <v>36</v>
      </c>
      <c r="R2245" s="3" t="s">
        <v>36</v>
      </c>
      <c r="S2245" s="3" t="s">
        <v>36</v>
      </c>
      <c r="T2245" s="3" t="s">
        <v>583</v>
      </c>
      <c r="U2245" s="3" t="s">
        <v>423</v>
      </c>
      <c r="V2245" s="3" t="s">
        <v>64</v>
      </c>
      <c r="W2245" s="3" t="s">
        <v>12536</v>
      </c>
      <c r="X2245" s="10" t="s">
        <v>12537</v>
      </c>
      <c r="Y2245" s="6" t="s">
        <v>55</v>
      </c>
      <c r="Z2245" s="4">
        <v>1.33</v>
      </c>
      <c r="AA2245" s="4">
        <v>9.97</v>
      </c>
      <c r="AB2245" s="3" t="s">
        <v>43</v>
      </c>
      <c r="AC2245" s="3" t="s">
        <v>12538</v>
      </c>
      <c r="AD2245" s="9">
        <v>44682</v>
      </c>
      <c r="AE2245" s="3" t="s">
        <v>562</v>
      </c>
      <c r="AF2245" s="3" t="s">
        <v>90</v>
      </c>
      <c r="AG2245" s="3" t="s">
        <v>81</v>
      </c>
      <c r="AH2245" s="11">
        <f>HYPERLINK("https://my.pitchbook.com?c=193337-29T","View Company Online")</f>
      </c>
    </row>
    <row r="2246">
      <c r="A2246" s="12" t="s">
        <v>12539</v>
      </c>
      <c r="B2246" s="12" t="s">
        <v>12540</v>
      </c>
      <c r="C2246" s="19">
        <v>1</v>
      </c>
      <c r="D2246" s="19">
        <v>2</v>
      </c>
      <c r="E2246" s="19">
        <v>1</v>
      </c>
      <c r="F2246" s="19">
        <v>3</v>
      </c>
      <c r="G2246" s="15" t="s">
        <v>326</v>
      </c>
      <c r="H2246" s="14" t="s">
        <v>36</v>
      </c>
      <c r="I2246" s="18">
        <v>29.4</v>
      </c>
      <c r="J2246" s="12" t="s">
        <v>521</v>
      </c>
      <c r="K2246" s="13">
        <v>44682</v>
      </c>
      <c r="L2246" s="15" t="s">
        <v>94</v>
      </c>
      <c r="M2246" s="12" t="s">
        <v>36</v>
      </c>
      <c r="N2246" s="12" t="s">
        <v>94</v>
      </c>
      <c r="O2246" s="17" t="s">
        <v>36</v>
      </c>
      <c r="P2246" s="12" t="s">
        <v>36</v>
      </c>
      <c r="Q2246" s="12" t="s">
        <v>36</v>
      </c>
      <c r="R2246" s="12" t="s">
        <v>36</v>
      </c>
      <c r="S2246" s="12" t="s">
        <v>36</v>
      </c>
      <c r="T2246" s="12" t="s">
        <v>12541</v>
      </c>
      <c r="U2246" s="12" t="s">
        <v>38</v>
      </c>
      <c r="V2246" s="12" t="s">
        <v>39</v>
      </c>
      <c r="W2246" s="12" t="s">
        <v>12542</v>
      </c>
      <c r="X2246" s="16" t="s">
        <v>12543</v>
      </c>
      <c r="Y2246" s="15" t="s">
        <v>192</v>
      </c>
      <c r="Z2246" s="14">
        <v>54.06</v>
      </c>
      <c r="AA2246" s="14">
        <v>194.62</v>
      </c>
      <c r="AB2246" s="12" t="s">
        <v>56</v>
      </c>
      <c r="AC2246" s="12" t="s">
        <v>12544</v>
      </c>
      <c r="AD2246" s="13">
        <v>44682</v>
      </c>
      <c r="AE2246" s="12" t="s">
        <v>45</v>
      </c>
      <c r="AF2246" s="12" t="s">
        <v>12545</v>
      </c>
      <c r="AG2246" s="12" t="s">
        <v>81</v>
      </c>
      <c r="AH2246" s="1">
        <f>HYPERLINK("https://my.pitchbook.com?c=197025-67T","View Company Online")</f>
      </c>
    </row>
    <row r="2247">
      <c r="A2247" s="3" t="s">
        <v>12546</v>
      </c>
      <c r="B2247" s="3" t="s">
        <v>4996</v>
      </c>
      <c r="C2247" s="5">
        <v>1</v>
      </c>
      <c r="D2247" s="5">
        <v>4</v>
      </c>
      <c r="E2247" s="5">
        <v>1</v>
      </c>
      <c r="F2247" s="5">
        <v>5</v>
      </c>
      <c r="G2247" s="6" t="s">
        <v>36</v>
      </c>
      <c r="H2247" s="4" t="s">
        <v>36</v>
      </c>
      <c r="I2247" s="7" t="s">
        <v>36</v>
      </c>
      <c r="J2247" s="3" t="s">
        <v>36</v>
      </c>
      <c r="K2247" s="9" t="s">
        <v>36</v>
      </c>
      <c r="L2247" s="6" t="s">
        <v>36</v>
      </c>
      <c r="M2247" s="3" t="s">
        <v>36</v>
      </c>
      <c r="N2247" s="3" t="s">
        <v>36</v>
      </c>
      <c r="O2247" s="8" t="s">
        <v>36</v>
      </c>
      <c r="P2247" s="3" t="s">
        <v>36</v>
      </c>
      <c r="Q2247" s="3" t="s">
        <v>36</v>
      </c>
      <c r="R2247" s="3" t="s">
        <v>36</v>
      </c>
      <c r="S2247" s="3" t="s">
        <v>36</v>
      </c>
      <c r="T2247" s="3" t="s">
        <v>4997</v>
      </c>
      <c r="U2247" s="3" t="s">
        <v>38</v>
      </c>
      <c r="V2247" s="3" t="s">
        <v>39</v>
      </c>
      <c r="W2247" s="3" t="s">
        <v>4998</v>
      </c>
      <c r="X2247" s="10" t="s">
        <v>12547</v>
      </c>
      <c r="Y2247" s="6" t="s">
        <v>55</v>
      </c>
      <c r="Z2247" s="4" t="s">
        <v>36</v>
      </c>
      <c r="AA2247" s="4" t="s">
        <v>36</v>
      </c>
      <c r="AB2247" s="3" t="s">
        <v>56</v>
      </c>
      <c r="AC2247" s="3" t="s">
        <v>5000</v>
      </c>
      <c r="AD2247" s="9">
        <v>44682</v>
      </c>
      <c r="AE2247" s="3" t="s">
        <v>1945</v>
      </c>
      <c r="AF2247" s="3" t="s">
        <v>5001</v>
      </c>
      <c r="AG2247" s="3" t="s">
        <v>81</v>
      </c>
      <c r="AH2247" s="11">
        <f>HYPERLINK("https://my.pitchbook.com?c=207555-40T","View Company Online")</f>
      </c>
    </row>
    <row r="2248">
      <c r="A2248" s="12" t="s">
        <v>12548</v>
      </c>
      <c r="B2248" s="12" t="s">
        <v>3478</v>
      </c>
      <c r="C2248" s="19" t="s">
        <v>36</v>
      </c>
      <c r="D2248" s="19" t="s">
        <v>36</v>
      </c>
      <c r="E2248" s="19" t="s">
        <v>36</v>
      </c>
      <c r="F2248" s="19" t="s">
        <v>36</v>
      </c>
      <c r="G2248" s="15" t="s">
        <v>36</v>
      </c>
      <c r="H2248" s="14" t="s">
        <v>36</v>
      </c>
      <c r="I2248" s="18" t="s">
        <v>36</v>
      </c>
      <c r="J2248" s="12" t="s">
        <v>36</v>
      </c>
      <c r="K2248" s="13" t="s">
        <v>36</v>
      </c>
      <c r="L2248" s="15" t="s">
        <v>36</v>
      </c>
      <c r="M2248" s="12" t="s">
        <v>36</v>
      </c>
      <c r="N2248" s="12" t="s">
        <v>36</v>
      </c>
      <c r="O2248" s="17" t="s">
        <v>36</v>
      </c>
      <c r="P2248" s="12" t="s">
        <v>36</v>
      </c>
      <c r="Q2248" s="12" t="s">
        <v>36</v>
      </c>
      <c r="R2248" s="12" t="s">
        <v>36</v>
      </c>
      <c r="S2248" s="12" t="s">
        <v>3479</v>
      </c>
      <c r="T2248" s="12" t="s">
        <v>37</v>
      </c>
      <c r="U2248" s="12" t="s">
        <v>38</v>
      </c>
      <c r="V2248" s="12" t="s">
        <v>39</v>
      </c>
      <c r="W2248" s="12" t="s">
        <v>3480</v>
      </c>
      <c r="X2248" s="16" t="s">
        <v>12549</v>
      </c>
      <c r="Y2248" s="15" t="s">
        <v>108</v>
      </c>
      <c r="Z2248" s="14">
        <v>18</v>
      </c>
      <c r="AA2248" s="14" t="s">
        <v>36</v>
      </c>
      <c r="AB2248" s="12" t="s">
        <v>43</v>
      </c>
      <c r="AC2248" s="12" t="s">
        <v>3482</v>
      </c>
      <c r="AD2248" s="13">
        <v>44682</v>
      </c>
      <c r="AE2248" s="12" t="s">
        <v>45</v>
      </c>
      <c r="AF2248" s="12" t="s">
        <v>799</v>
      </c>
      <c r="AG2248" s="12" t="s">
        <v>81</v>
      </c>
      <c r="AH2248" s="1">
        <f>HYPERLINK("https://my.pitchbook.com?c=199291-42T","View Company Online")</f>
      </c>
    </row>
    <row r="2249">
      <c r="A2249" s="3" t="s">
        <v>12550</v>
      </c>
      <c r="B2249" s="3" t="s">
        <v>12551</v>
      </c>
      <c r="C2249" s="5" t="s">
        <v>36</v>
      </c>
      <c r="D2249" s="5" t="s">
        <v>36</v>
      </c>
      <c r="E2249" s="5" t="s">
        <v>36</v>
      </c>
      <c r="F2249" s="5" t="s">
        <v>36</v>
      </c>
      <c r="G2249" s="6" t="s">
        <v>36</v>
      </c>
      <c r="H2249" s="4">
        <v>6.93</v>
      </c>
      <c r="I2249" s="7">
        <v>21.29</v>
      </c>
      <c r="J2249" s="3" t="s">
        <v>521</v>
      </c>
      <c r="K2249" s="9" t="s">
        <v>36</v>
      </c>
      <c r="L2249" s="6" t="s">
        <v>36</v>
      </c>
      <c r="M2249" s="3" t="s">
        <v>36</v>
      </c>
      <c r="N2249" s="3" t="s">
        <v>36</v>
      </c>
      <c r="O2249" s="8" t="s">
        <v>36</v>
      </c>
      <c r="P2249" s="3" t="s">
        <v>36</v>
      </c>
      <c r="Q2249" s="3" t="s">
        <v>36</v>
      </c>
      <c r="R2249" s="3" t="s">
        <v>36</v>
      </c>
      <c r="S2249" s="3" t="s">
        <v>36</v>
      </c>
      <c r="T2249" s="3" t="s">
        <v>5696</v>
      </c>
      <c r="U2249" s="3" t="s">
        <v>180</v>
      </c>
      <c r="V2249" s="3" t="s">
        <v>52</v>
      </c>
      <c r="W2249" s="3" t="s">
        <v>12552</v>
      </c>
      <c r="X2249" s="10" t="s">
        <v>738</v>
      </c>
      <c r="Y2249" s="6" t="s">
        <v>42</v>
      </c>
      <c r="Z2249" s="4">
        <v>0.35</v>
      </c>
      <c r="AA2249" s="4">
        <v>1.65</v>
      </c>
      <c r="AB2249" s="3" t="s">
        <v>43</v>
      </c>
      <c r="AC2249" s="3" t="s">
        <v>12553</v>
      </c>
      <c r="AD2249" s="9">
        <v>44682</v>
      </c>
      <c r="AE2249" s="3" t="s">
        <v>3847</v>
      </c>
      <c r="AF2249" s="3" t="s">
        <v>12554</v>
      </c>
      <c r="AG2249" s="3" t="s">
        <v>741</v>
      </c>
      <c r="AH2249" s="11">
        <f>HYPERLINK("https://my.pitchbook.com?c=194342-50T","View Company Online")</f>
      </c>
    </row>
    <row r="2250">
      <c r="A2250" s="12" t="s">
        <v>12555</v>
      </c>
      <c r="B2250" s="12" t="s">
        <v>12556</v>
      </c>
      <c r="C2250" s="19" t="s">
        <v>36</v>
      </c>
      <c r="D2250" s="19" t="s">
        <v>36</v>
      </c>
      <c r="E2250" s="19" t="s">
        <v>36</v>
      </c>
      <c r="F2250" s="19" t="s">
        <v>36</v>
      </c>
      <c r="G2250" s="15" t="s">
        <v>36</v>
      </c>
      <c r="H2250" s="14" t="s">
        <v>36</v>
      </c>
      <c r="I2250" s="18" t="s">
        <v>36</v>
      </c>
      <c r="J2250" s="12" t="s">
        <v>36</v>
      </c>
      <c r="K2250" s="13" t="s">
        <v>36</v>
      </c>
      <c r="L2250" s="15" t="s">
        <v>36</v>
      </c>
      <c r="M2250" s="12" t="s">
        <v>36</v>
      </c>
      <c r="N2250" s="12" t="s">
        <v>36</v>
      </c>
      <c r="O2250" s="17" t="s">
        <v>36</v>
      </c>
      <c r="P2250" s="12" t="s">
        <v>36</v>
      </c>
      <c r="Q2250" s="12" t="s">
        <v>36</v>
      </c>
      <c r="R2250" s="12" t="s">
        <v>36</v>
      </c>
      <c r="S2250" s="12" t="s">
        <v>36</v>
      </c>
      <c r="T2250" s="12" t="s">
        <v>12557</v>
      </c>
      <c r="U2250" s="12" t="s">
        <v>1357</v>
      </c>
      <c r="V2250" s="12" t="s">
        <v>52</v>
      </c>
      <c r="W2250" s="12" t="s">
        <v>12558</v>
      </c>
      <c r="X2250" s="16" t="s">
        <v>1840</v>
      </c>
      <c r="Y2250" s="15" t="s">
        <v>42</v>
      </c>
      <c r="Z2250" s="14" t="s">
        <v>36</v>
      </c>
      <c r="AA2250" s="14" t="s">
        <v>36</v>
      </c>
      <c r="AB2250" s="12" t="s">
        <v>56</v>
      </c>
      <c r="AC2250" s="12" t="s">
        <v>12559</v>
      </c>
      <c r="AD2250" s="13">
        <v>44682</v>
      </c>
      <c r="AE2250" s="12" t="s">
        <v>2808</v>
      </c>
      <c r="AF2250" s="12" t="s">
        <v>6389</v>
      </c>
      <c r="AG2250" s="12" t="s">
        <v>12560</v>
      </c>
      <c r="AH2250" s="1">
        <f>HYPERLINK("https://my.pitchbook.com?c=253511-74T","View Company Online")</f>
      </c>
    </row>
    <row r="2251">
      <c r="A2251" s="3" t="s">
        <v>12561</v>
      </c>
      <c r="B2251" s="3" t="s">
        <v>3862</v>
      </c>
      <c r="C2251" s="5">
        <v>4</v>
      </c>
      <c r="D2251" s="5">
        <v>12</v>
      </c>
      <c r="E2251" s="5">
        <v>4</v>
      </c>
      <c r="F2251" s="5">
        <v>16</v>
      </c>
      <c r="G2251" s="6" t="s">
        <v>36</v>
      </c>
      <c r="H2251" s="4" t="s">
        <v>36</v>
      </c>
      <c r="I2251" s="7" t="s">
        <v>36</v>
      </c>
      <c r="J2251" s="3" t="s">
        <v>36</v>
      </c>
      <c r="K2251" s="9" t="s">
        <v>36</v>
      </c>
      <c r="L2251" s="6" t="s">
        <v>36</v>
      </c>
      <c r="M2251" s="3" t="s">
        <v>36</v>
      </c>
      <c r="N2251" s="3" t="s">
        <v>36</v>
      </c>
      <c r="O2251" s="8" t="s">
        <v>36</v>
      </c>
      <c r="P2251" s="3" t="s">
        <v>36</v>
      </c>
      <c r="Q2251" s="3" t="s">
        <v>36</v>
      </c>
      <c r="R2251" s="3" t="s">
        <v>36</v>
      </c>
      <c r="S2251" s="3" t="s">
        <v>36</v>
      </c>
      <c r="T2251" s="3" t="s">
        <v>3729</v>
      </c>
      <c r="U2251" s="3" t="s">
        <v>219</v>
      </c>
      <c r="V2251" s="3" t="s">
        <v>75</v>
      </c>
      <c r="W2251" s="3" t="s">
        <v>3863</v>
      </c>
      <c r="X2251" s="10" t="s">
        <v>12562</v>
      </c>
      <c r="Y2251" s="6" t="s">
        <v>108</v>
      </c>
      <c r="Z2251" s="4">
        <v>1.41</v>
      </c>
      <c r="AA2251" s="4" t="s">
        <v>36</v>
      </c>
      <c r="AB2251" s="3" t="s">
        <v>56</v>
      </c>
      <c r="AC2251" s="3" t="s">
        <v>3865</v>
      </c>
      <c r="AD2251" s="9">
        <v>44682</v>
      </c>
      <c r="AE2251" s="3" t="s">
        <v>1032</v>
      </c>
      <c r="AF2251" s="3" t="s">
        <v>2915</v>
      </c>
      <c r="AG2251" s="3" t="s">
        <v>3866</v>
      </c>
      <c r="AH2251" s="11">
        <f>HYPERLINK("https://my.pitchbook.com?c=195263-56T","View Company Online")</f>
      </c>
    </row>
    <row r="2252">
      <c r="A2252" s="12" t="s">
        <v>12563</v>
      </c>
      <c r="B2252" s="12" t="s">
        <v>12564</v>
      </c>
      <c r="C2252" s="19" t="s">
        <v>36</v>
      </c>
      <c r="D2252" s="19" t="s">
        <v>36</v>
      </c>
      <c r="E2252" s="19" t="s">
        <v>36</v>
      </c>
      <c r="F2252" s="19" t="s">
        <v>36</v>
      </c>
      <c r="G2252" s="15" t="s">
        <v>36</v>
      </c>
      <c r="H2252" s="14">
        <v>155.78</v>
      </c>
      <c r="I2252" s="18">
        <v>15.5</v>
      </c>
      <c r="J2252" s="12" t="s">
        <v>521</v>
      </c>
      <c r="K2252" s="13" t="s">
        <v>36</v>
      </c>
      <c r="L2252" s="15" t="s">
        <v>36</v>
      </c>
      <c r="M2252" s="12" t="s">
        <v>36</v>
      </c>
      <c r="N2252" s="12" t="s">
        <v>36</v>
      </c>
      <c r="O2252" s="17" t="s">
        <v>36</v>
      </c>
      <c r="P2252" s="12" t="s">
        <v>36</v>
      </c>
      <c r="Q2252" s="12" t="s">
        <v>36</v>
      </c>
      <c r="R2252" s="12" t="s">
        <v>36</v>
      </c>
      <c r="S2252" s="12" t="s">
        <v>36</v>
      </c>
      <c r="T2252" s="12" t="s">
        <v>655</v>
      </c>
      <c r="U2252" s="12" t="s">
        <v>38</v>
      </c>
      <c r="V2252" s="12" t="s">
        <v>39</v>
      </c>
      <c r="W2252" s="12" t="s">
        <v>12565</v>
      </c>
      <c r="X2252" s="16" t="s">
        <v>12566</v>
      </c>
      <c r="Y2252" s="15" t="s">
        <v>42</v>
      </c>
      <c r="Z2252" s="14">
        <v>0.3</v>
      </c>
      <c r="AA2252" s="14">
        <v>1.92</v>
      </c>
      <c r="AB2252" s="12" t="s">
        <v>43</v>
      </c>
      <c r="AC2252" s="12" t="s">
        <v>12567</v>
      </c>
      <c r="AD2252" s="13">
        <v>44682</v>
      </c>
      <c r="AE2252" s="12" t="s">
        <v>110</v>
      </c>
      <c r="AF2252" s="12" t="s">
        <v>468</v>
      </c>
      <c r="AG2252" s="12" t="s">
        <v>12568</v>
      </c>
      <c r="AH2252" s="1">
        <f>HYPERLINK("https://my.pitchbook.com?c=193767-58T","View Company Online")</f>
      </c>
    </row>
    <row r="2253">
      <c r="A2253" s="3" t="s">
        <v>12569</v>
      </c>
      <c r="B2253" s="3" t="s">
        <v>12570</v>
      </c>
      <c r="C2253" s="5" t="s">
        <v>36</v>
      </c>
      <c r="D2253" s="5" t="s">
        <v>36</v>
      </c>
      <c r="E2253" s="5" t="s">
        <v>36</v>
      </c>
      <c r="F2253" s="5" t="s">
        <v>36</v>
      </c>
      <c r="G2253" s="6" t="s">
        <v>36</v>
      </c>
      <c r="H2253" s="4" t="s">
        <v>36</v>
      </c>
      <c r="I2253" s="7" t="s">
        <v>36</v>
      </c>
      <c r="J2253" s="3" t="s">
        <v>36</v>
      </c>
      <c r="K2253" s="9" t="s">
        <v>36</v>
      </c>
      <c r="L2253" s="6" t="s">
        <v>36</v>
      </c>
      <c r="M2253" s="3" t="s">
        <v>36</v>
      </c>
      <c r="N2253" s="3" t="s">
        <v>36</v>
      </c>
      <c r="O2253" s="8" t="s">
        <v>36</v>
      </c>
      <c r="P2253" s="3" t="s">
        <v>36</v>
      </c>
      <c r="Q2253" s="3" t="s">
        <v>36</v>
      </c>
      <c r="R2253" s="3" t="s">
        <v>36</v>
      </c>
      <c r="S2253" s="3" t="s">
        <v>36</v>
      </c>
      <c r="T2253" s="3" t="s">
        <v>12571</v>
      </c>
      <c r="U2253" s="3" t="s">
        <v>38</v>
      </c>
      <c r="V2253" s="3" t="s">
        <v>39</v>
      </c>
      <c r="W2253" s="3" t="s">
        <v>12572</v>
      </c>
      <c r="X2253" s="10" t="s">
        <v>12573</v>
      </c>
      <c r="Y2253" s="6" t="s">
        <v>42</v>
      </c>
      <c r="Z2253" s="4" t="s">
        <v>36</v>
      </c>
      <c r="AA2253" s="4" t="s">
        <v>36</v>
      </c>
      <c r="AB2253" s="3" t="s">
        <v>43</v>
      </c>
      <c r="AC2253" s="3" t="s">
        <v>12574</v>
      </c>
      <c r="AD2253" s="9">
        <v>44682</v>
      </c>
      <c r="AE2253" s="3" t="s">
        <v>110</v>
      </c>
      <c r="AF2253" s="3" t="s">
        <v>176</v>
      </c>
      <c r="AG2253" s="3" t="s">
        <v>12575</v>
      </c>
      <c r="AH2253" s="11">
        <f>HYPERLINK("https://my.pitchbook.com?c=242916-13T","View Company Online")</f>
      </c>
    </row>
    <row r="2254">
      <c r="A2254" s="12" t="s">
        <v>12576</v>
      </c>
      <c r="B2254" s="12" t="s">
        <v>12577</v>
      </c>
      <c r="C2254" s="19" t="s">
        <v>36</v>
      </c>
      <c r="D2254" s="19" t="s">
        <v>36</v>
      </c>
      <c r="E2254" s="19" t="s">
        <v>36</v>
      </c>
      <c r="F2254" s="19" t="s">
        <v>36</v>
      </c>
      <c r="G2254" s="15" t="s">
        <v>36</v>
      </c>
      <c r="H2254" s="14" t="s">
        <v>36</v>
      </c>
      <c r="I2254" s="18" t="s">
        <v>36</v>
      </c>
      <c r="J2254" s="12" t="s">
        <v>36</v>
      </c>
      <c r="K2254" s="13" t="s">
        <v>36</v>
      </c>
      <c r="L2254" s="15" t="s">
        <v>36</v>
      </c>
      <c r="M2254" s="12" t="s">
        <v>36</v>
      </c>
      <c r="N2254" s="12" t="s">
        <v>36</v>
      </c>
      <c r="O2254" s="17" t="s">
        <v>36</v>
      </c>
      <c r="P2254" s="12" t="s">
        <v>36</v>
      </c>
      <c r="Q2254" s="12" t="s">
        <v>36</v>
      </c>
      <c r="R2254" s="12" t="s">
        <v>36</v>
      </c>
      <c r="S2254" s="12" t="s">
        <v>36</v>
      </c>
      <c r="T2254" s="12" t="s">
        <v>1260</v>
      </c>
      <c r="U2254" s="12" t="s">
        <v>38</v>
      </c>
      <c r="V2254" s="12" t="s">
        <v>39</v>
      </c>
      <c r="W2254" s="12" t="s">
        <v>12578</v>
      </c>
      <c r="X2254" s="16" t="s">
        <v>4740</v>
      </c>
      <c r="Y2254" s="15" t="s">
        <v>192</v>
      </c>
      <c r="Z2254" s="14" t="s">
        <v>36</v>
      </c>
      <c r="AA2254" s="14" t="s">
        <v>36</v>
      </c>
      <c r="AB2254" s="12" t="s">
        <v>56</v>
      </c>
      <c r="AC2254" s="12" t="s">
        <v>12579</v>
      </c>
      <c r="AD2254" s="13">
        <v>44682</v>
      </c>
      <c r="AE2254" s="12" t="s">
        <v>110</v>
      </c>
      <c r="AF2254" s="12" t="s">
        <v>4060</v>
      </c>
      <c r="AG2254" s="12" t="s">
        <v>81</v>
      </c>
      <c r="AH2254" s="1">
        <f>HYPERLINK("https://my.pitchbook.com?c=193221-01T","View Company Online")</f>
      </c>
    </row>
    <row r="2255">
      <c r="A2255" s="3" t="s">
        <v>12580</v>
      </c>
      <c r="B2255" s="3" t="s">
        <v>6782</v>
      </c>
      <c r="C2255" s="5" t="s">
        <v>36</v>
      </c>
      <c r="D2255" s="5" t="s">
        <v>36</v>
      </c>
      <c r="E2255" s="5" t="s">
        <v>36</v>
      </c>
      <c r="F2255" s="5" t="s">
        <v>36</v>
      </c>
      <c r="G2255" s="6" t="s">
        <v>36</v>
      </c>
      <c r="H2255" s="4">
        <v>19.99</v>
      </c>
      <c r="I2255" s="7">
        <v>21.27</v>
      </c>
      <c r="J2255" s="3" t="s">
        <v>521</v>
      </c>
      <c r="K2255" s="9" t="s">
        <v>36</v>
      </c>
      <c r="L2255" s="6" t="s">
        <v>36</v>
      </c>
      <c r="M2255" s="3" t="s">
        <v>36</v>
      </c>
      <c r="N2255" s="3" t="s">
        <v>36</v>
      </c>
      <c r="O2255" s="8" t="s">
        <v>36</v>
      </c>
      <c r="P2255" s="3" t="s">
        <v>36</v>
      </c>
      <c r="Q2255" s="3" t="s">
        <v>36</v>
      </c>
      <c r="R2255" s="3" t="s">
        <v>36</v>
      </c>
      <c r="S2255" s="3" t="s">
        <v>36</v>
      </c>
      <c r="T2255" s="3" t="s">
        <v>6783</v>
      </c>
      <c r="U2255" s="3" t="s">
        <v>38</v>
      </c>
      <c r="V2255" s="3" t="s">
        <v>39</v>
      </c>
      <c r="W2255" s="3" t="s">
        <v>6784</v>
      </c>
      <c r="X2255" s="10" t="s">
        <v>12581</v>
      </c>
      <c r="Y2255" s="6" t="s">
        <v>42</v>
      </c>
      <c r="Z2255" s="4">
        <v>0.56</v>
      </c>
      <c r="AA2255" s="4">
        <v>2.65</v>
      </c>
      <c r="AB2255" s="3" t="s">
        <v>43</v>
      </c>
      <c r="AC2255" s="3" t="s">
        <v>6786</v>
      </c>
      <c r="AD2255" s="9">
        <v>44680</v>
      </c>
      <c r="AE2255" s="3" t="s">
        <v>110</v>
      </c>
      <c r="AF2255" s="3" t="s">
        <v>6787</v>
      </c>
      <c r="AG2255" s="3" t="s">
        <v>81</v>
      </c>
      <c r="AH2255" s="11">
        <f>HYPERLINK("https://my.pitchbook.com?c=193227-49T","View Company Online")</f>
      </c>
    </row>
    <row r="2256">
      <c r="A2256" s="12" t="s">
        <v>12582</v>
      </c>
      <c r="B2256" s="12" t="s">
        <v>12583</v>
      </c>
      <c r="C2256" s="19" t="s">
        <v>36</v>
      </c>
      <c r="D2256" s="19" t="s">
        <v>36</v>
      </c>
      <c r="E2256" s="19" t="s">
        <v>36</v>
      </c>
      <c r="F2256" s="19" t="s">
        <v>36</v>
      </c>
      <c r="G2256" s="15" t="s">
        <v>326</v>
      </c>
      <c r="H2256" s="14">
        <v>15.92</v>
      </c>
      <c r="I2256" s="18">
        <v>18.26</v>
      </c>
      <c r="J2256" s="12" t="s">
        <v>521</v>
      </c>
      <c r="K2256" s="13" t="s">
        <v>36</v>
      </c>
      <c r="L2256" s="15" t="s">
        <v>36</v>
      </c>
      <c r="M2256" s="12" t="s">
        <v>36</v>
      </c>
      <c r="N2256" s="12" t="s">
        <v>36</v>
      </c>
      <c r="O2256" s="17" t="s">
        <v>36</v>
      </c>
      <c r="P2256" s="12" t="s">
        <v>36</v>
      </c>
      <c r="Q2256" s="12" t="s">
        <v>36</v>
      </c>
      <c r="R2256" s="12" t="s">
        <v>36</v>
      </c>
      <c r="S2256" s="12" t="s">
        <v>36</v>
      </c>
      <c r="T2256" s="12" t="s">
        <v>12584</v>
      </c>
      <c r="U2256" s="12" t="s">
        <v>279</v>
      </c>
      <c r="V2256" s="12" t="s">
        <v>64</v>
      </c>
      <c r="W2256" s="12" t="s">
        <v>12585</v>
      </c>
      <c r="X2256" s="16" t="s">
        <v>12586</v>
      </c>
      <c r="Y2256" s="15" t="s">
        <v>55</v>
      </c>
      <c r="Z2256" s="14">
        <v>2.34</v>
      </c>
      <c r="AA2256" s="14">
        <v>12.83</v>
      </c>
      <c r="AB2256" s="12" t="s">
        <v>56</v>
      </c>
      <c r="AC2256" s="12" t="s">
        <v>12587</v>
      </c>
      <c r="AD2256" s="13">
        <v>44680</v>
      </c>
      <c r="AE2256" s="12" t="s">
        <v>851</v>
      </c>
      <c r="AF2256" s="12" t="s">
        <v>176</v>
      </c>
      <c r="AG2256" s="12" t="s">
        <v>81</v>
      </c>
      <c r="AH2256" s="1">
        <f>HYPERLINK("https://my.pitchbook.com?c=202999-69T","View Company Online")</f>
      </c>
    </row>
    <row r="2257">
      <c r="A2257" s="3" t="s">
        <v>12588</v>
      </c>
      <c r="B2257" s="3" t="s">
        <v>654</v>
      </c>
      <c r="C2257" s="5" t="s">
        <v>36</v>
      </c>
      <c r="D2257" s="5" t="s">
        <v>36</v>
      </c>
      <c r="E2257" s="5" t="s">
        <v>36</v>
      </c>
      <c r="F2257" s="5" t="s">
        <v>36</v>
      </c>
      <c r="G2257" s="6" t="s">
        <v>36</v>
      </c>
      <c r="H2257" s="4" t="s">
        <v>36</v>
      </c>
      <c r="I2257" s="7">
        <v>40.85</v>
      </c>
      <c r="J2257" s="3" t="s">
        <v>521</v>
      </c>
      <c r="K2257" s="9">
        <v>44449</v>
      </c>
      <c r="L2257" s="6" t="s">
        <v>122</v>
      </c>
      <c r="M2257" s="3" t="s">
        <v>36</v>
      </c>
      <c r="N2257" s="3" t="s">
        <v>122</v>
      </c>
      <c r="O2257" s="8" t="s">
        <v>36</v>
      </c>
      <c r="P2257" s="3" t="s">
        <v>36</v>
      </c>
      <c r="Q2257" s="3" t="s">
        <v>36</v>
      </c>
      <c r="R2257" s="3" t="s">
        <v>36</v>
      </c>
      <c r="S2257" s="3" t="s">
        <v>36</v>
      </c>
      <c r="T2257" s="3" t="s">
        <v>655</v>
      </c>
      <c r="U2257" s="3" t="s">
        <v>38</v>
      </c>
      <c r="V2257" s="3" t="s">
        <v>39</v>
      </c>
      <c r="W2257" s="3" t="s">
        <v>656</v>
      </c>
      <c r="X2257" s="10" t="s">
        <v>12589</v>
      </c>
      <c r="Y2257" s="6" t="s">
        <v>108</v>
      </c>
      <c r="Z2257" s="4">
        <v>32.55</v>
      </c>
      <c r="AA2257" s="4">
        <v>79.68</v>
      </c>
      <c r="AB2257" s="3" t="s">
        <v>56</v>
      </c>
      <c r="AC2257" s="3" t="s">
        <v>658</v>
      </c>
      <c r="AD2257" s="9">
        <v>44680</v>
      </c>
      <c r="AE2257" s="3" t="s">
        <v>110</v>
      </c>
      <c r="AF2257" s="3" t="s">
        <v>468</v>
      </c>
      <c r="AG2257" s="3" t="s">
        <v>81</v>
      </c>
      <c r="AH2257" s="11">
        <f>HYPERLINK("https://my.pitchbook.com?c=193922-47T","View Company Online")</f>
      </c>
    </row>
    <row r="2258">
      <c r="A2258" s="12" t="s">
        <v>12590</v>
      </c>
      <c r="B2258" s="12" t="s">
        <v>609</v>
      </c>
      <c r="C2258" s="19" t="s">
        <v>36</v>
      </c>
      <c r="D2258" s="19" t="s">
        <v>36</v>
      </c>
      <c r="E2258" s="19" t="s">
        <v>36</v>
      </c>
      <c r="F2258" s="19" t="s">
        <v>36</v>
      </c>
      <c r="G2258" s="15" t="s">
        <v>36</v>
      </c>
      <c r="H2258" s="14" t="s">
        <v>36</v>
      </c>
      <c r="I2258" s="18" t="s">
        <v>36</v>
      </c>
      <c r="J2258" s="12" t="s">
        <v>36</v>
      </c>
      <c r="K2258" s="13" t="s">
        <v>36</v>
      </c>
      <c r="L2258" s="15" t="s">
        <v>122</v>
      </c>
      <c r="M2258" s="12" t="s">
        <v>36</v>
      </c>
      <c r="N2258" s="12" t="s">
        <v>122</v>
      </c>
      <c r="O2258" s="17" t="s">
        <v>36</v>
      </c>
      <c r="P2258" s="12" t="s">
        <v>36</v>
      </c>
      <c r="Q2258" s="12" t="s">
        <v>36</v>
      </c>
      <c r="R2258" s="12" t="s">
        <v>36</v>
      </c>
      <c r="S2258" s="12" t="s">
        <v>610</v>
      </c>
      <c r="T2258" s="12" t="s">
        <v>611</v>
      </c>
      <c r="U2258" s="12" t="s">
        <v>38</v>
      </c>
      <c r="V2258" s="12" t="s">
        <v>39</v>
      </c>
      <c r="W2258" s="12" t="s">
        <v>612</v>
      </c>
      <c r="X2258" s="16" t="s">
        <v>12591</v>
      </c>
      <c r="Y2258" s="15" t="s">
        <v>192</v>
      </c>
      <c r="Z2258" s="14">
        <v>6.5</v>
      </c>
      <c r="AA2258" s="14" t="s">
        <v>36</v>
      </c>
      <c r="AB2258" s="12" t="s">
        <v>43</v>
      </c>
      <c r="AC2258" s="12" t="s">
        <v>614</v>
      </c>
      <c r="AD2258" s="13">
        <v>44679</v>
      </c>
      <c r="AE2258" s="12" t="s">
        <v>45</v>
      </c>
      <c r="AF2258" s="12" t="s">
        <v>615</v>
      </c>
      <c r="AG2258" s="12" t="s">
        <v>81</v>
      </c>
      <c r="AH2258" s="1">
        <f>HYPERLINK("https://my.pitchbook.com?c=199129-06T","View Company Online")</f>
      </c>
    </row>
    <row r="2259">
      <c r="A2259" s="3" t="s">
        <v>12592</v>
      </c>
      <c r="B2259" s="3" t="s">
        <v>12593</v>
      </c>
      <c r="C2259" s="5" t="s">
        <v>36</v>
      </c>
      <c r="D2259" s="5" t="s">
        <v>36</v>
      </c>
      <c r="E2259" s="5" t="s">
        <v>36</v>
      </c>
      <c r="F2259" s="5" t="s">
        <v>36</v>
      </c>
      <c r="G2259" s="6" t="s">
        <v>326</v>
      </c>
      <c r="H2259" s="4" t="s">
        <v>36</v>
      </c>
      <c r="I2259" s="7">
        <v>28.62</v>
      </c>
      <c r="J2259" s="3" t="s">
        <v>327</v>
      </c>
      <c r="K2259" s="9" t="s">
        <v>36</v>
      </c>
      <c r="L2259" s="6" t="s">
        <v>122</v>
      </c>
      <c r="M2259" s="3" t="s">
        <v>36</v>
      </c>
      <c r="N2259" s="3" t="s">
        <v>122</v>
      </c>
      <c r="O2259" s="8" t="s">
        <v>36</v>
      </c>
      <c r="P2259" s="3" t="s">
        <v>36</v>
      </c>
      <c r="Q2259" s="3" t="s">
        <v>36</v>
      </c>
      <c r="R2259" s="3" t="s">
        <v>36</v>
      </c>
      <c r="S2259" s="3" t="s">
        <v>36</v>
      </c>
      <c r="T2259" s="3" t="s">
        <v>1701</v>
      </c>
      <c r="U2259" s="3" t="s">
        <v>74</v>
      </c>
      <c r="V2259" s="3" t="s">
        <v>75</v>
      </c>
      <c r="W2259" s="3" t="s">
        <v>12594</v>
      </c>
      <c r="X2259" s="10" t="s">
        <v>12595</v>
      </c>
      <c r="Y2259" s="6" t="s">
        <v>108</v>
      </c>
      <c r="Z2259" s="4">
        <v>21.74</v>
      </c>
      <c r="AA2259" s="4">
        <v>75.96</v>
      </c>
      <c r="AB2259" s="3" t="s">
        <v>43</v>
      </c>
      <c r="AC2259" s="3" t="s">
        <v>12596</v>
      </c>
      <c r="AD2259" s="9">
        <v>44679</v>
      </c>
      <c r="AE2259" s="3" t="s">
        <v>79</v>
      </c>
      <c r="AF2259" s="3" t="s">
        <v>1115</v>
      </c>
      <c r="AG2259" s="3" t="s">
        <v>81</v>
      </c>
      <c r="AH2259" s="11">
        <f>HYPERLINK("https://my.pitchbook.com?c=193066-75T","View Company Online")</f>
      </c>
    </row>
    <row r="2260">
      <c r="A2260" s="12" t="s">
        <v>12597</v>
      </c>
      <c r="B2260" s="12" t="s">
        <v>12598</v>
      </c>
      <c r="C2260" s="19">
        <v>5</v>
      </c>
      <c r="D2260" s="19">
        <v>43</v>
      </c>
      <c r="E2260" s="19">
        <v>10</v>
      </c>
      <c r="F2260" s="19">
        <v>56</v>
      </c>
      <c r="G2260" s="15" t="s">
        <v>2497</v>
      </c>
      <c r="H2260" s="14">
        <v>12.45</v>
      </c>
      <c r="I2260" s="18">
        <v>27.77</v>
      </c>
      <c r="J2260" s="12" t="s">
        <v>521</v>
      </c>
      <c r="K2260" s="13" t="s">
        <v>36</v>
      </c>
      <c r="L2260" s="15" t="s">
        <v>36</v>
      </c>
      <c r="M2260" s="12" t="s">
        <v>36</v>
      </c>
      <c r="N2260" s="12" t="s">
        <v>36</v>
      </c>
      <c r="O2260" s="17" t="s">
        <v>36</v>
      </c>
      <c r="P2260" s="12" t="s">
        <v>36</v>
      </c>
      <c r="Q2260" s="12" t="s">
        <v>36</v>
      </c>
      <c r="R2260" s="12" t="s">
        <v>36</v>
      </c>
      <c r="S2260" s="12" t="s">
        <v>36</v>
      </c>
      <c r="T2260" s="12" t="s">
        <v>12599</v>
      </c>
      <c r="U2260" s="12" t="s">
        <v>51</v>
      </c>
      <c r="V2260" s="12" t="s">
        <v>52</v>
      </c>
      <c r="W2260" s="12" t="s">
        <v>12600</v>
      </c>
      <c r="X2260" s="16" t="s">
        <v>12601</v>
      </c>
      <c r="Y2260" s="15" t="s">
        <v>108</v>
      </c>
      <c r="Z2260" s="14">
        <v>1.56</v>
      </c>
      <c r="AA2260" s="14">
        <v>5.61</v>
      </c>
      <c r="AB2260" s="12" t="s">
        <v>56</v>
      </c>
      <c r="AC2260" s="12" t="s">
        <v>12602</v>
      </c>
      <c r="AD2260" s="13">
        <v>44679</v>
      </c>
      <c r="AE2260" s="12" t="s">
        <v>158</v>
      </c>
      <c r="AF2260" s="12" t="s">
        <v>159</v>
      </c>
      <c r="AG2260" s="12" t="s">
        <v>144</v>
      </c>
      <c r="AH2260" s="1">
        <f>HYPERLINK("https://my.pitchbook.com?c=188811-64T","View Company Online")</f>
      </c>
    </row>
    <row r="2261">
      <c r="A2261" s="3" t="s">
        <v>12603</v>
      </c>
      <c r="B2261" s="3" t="s">
        <v>12604</v>
      </c>
      <c r="C2261" s="5" t="s">
        <v>36</v>
      </c>
      <c r="D2261" s="5">
        <v>2</v>
      </c>
      <c r="E2261" s="5">
        <v>1</v>
      </c>
      <c r="F2261" s="5">
        <v>2</v>
      </c>
      <c r="G2261" s="6" t="s">
        <v>326</v>
      </c>
      <c r="H2261" s="4">
        <v>15.81</v>
      </c>
      <c r="I2261" s="7">
        <v>12.15</v>
      </c>
      <c r="J2261" s="3" t="s">
        <v>521</v>
      </c>
      <c r="K2261" s="9" t="s">
        <v>36</v>
      </c>
      <c r="L2261" s="6" t="s">
        <v>36</v>
      </c>
      <c r="M2261" s="3" t="s">
        <v>36</v>
      </c>
      <c r="N2261" s="3" t="s">
        <v>36</v>
      </c>
      <c r="O2261" s="8" t="s">
        <v>36</v>
      </c>
      <c r="P2261" s="3" t="s">
        <v>36</v>
      </c>
      <c r="Q2261" s="3" t="s">
        <v>36</v>
      </c>
      <c r="R2261" s="3" t="s">
        <v>36</v>
      </c>
      <c r="S2261" s="3" t="s">
        <v>36</v>
      </c>
      <c r="T2261" s="3" t="s">
        <v>588</v>
      </c>
      <c r="U2261" s="3" t="s">
        <v>318</v>
      </c>
      <c r="V2261" s="3" t="s">
        <v>39</v>
      </c>
      <c r="W2261" s="3" t="s">
        <v>12605</v>
      </c>
      <c r="X2261" s="10" t="s">
        <v>1427</v>
      </c>
      <c r="Y2261" s="6" t="s">
        <v>108</v>
      </c>
      <c r="Z2261" s="4">
        <v>0.36</v>
      </c>
      <c r="AA2261" s="4">
        <v>2.96</v>
      </c>
      <c r="AB2261" s="3" t="s">
        <v>56</v>
      </c>
      <c r="AC2261" s="3" t="s">
        <v>12606</v>
      </c>
      <c r="AD2261" s="9">
        <v>44678</v>
      </c>
      <c r="AE2261" s="3" t="s">
        <v>417</v>
      </c>
      <c r="AF2261" s="3" t="s">
        <v>12607</v>
      </c>
      <c r="AG2261" s="3" t="s">
        <v>12608</v>
      </c>
      <c r="AH2261" s="11">
        <f>HYPERLINK("https://my.pitchbook.com?c=195180-67T","View Company Online")</f>
      </c>
    </row>
    <row r="2262">
      <c r="A2262" s="12" t="s">
        <v>12609</v>
      </c>
      <c r="B2262" s="12" t="s">
        <v>12610</v>
      </c>
      <c r="C2262" s="19" t="s">
        <v>36</v>
      </c>
      <c r="D2262" s="19" t="s">
        <v>36</v>
      </c>
      <c r="E2262" s="19" t="s">
        <v>36</v>
      </c>
      <c r="F2262" s="19" t="s">
        <v>36</v>
      </c>
      <c r="G2262" s="15" t="s">
        <v>683</v>
      </c>
      <c r="H2262" s="14">
        <v>104.16</v>
      </c>
      <c r="I2262" s="18">
        <v>16.14</v>
      </c>
      <c r="J2262" s="12" t="s">
        <v>521</v>
      </c>
      <c r="K2262" s="13" t="s">
        <v>36</v>
      </c>
      <c r="L2262" s="15" t="s">
        <v>36</v>
      </c>
      <c r="M2262" s="12" t="s">
        <v>36</v>
      </c>
      <c r="N2262" s="12" t="s">
        <v>36</v>
      </c>
      <c r="O2262" s="17" t="s">
        <v>36</v>
      </c>
      <c r="P2262" s="12" t="s">
        <v>36</v>
      </c>
      <c r="Q2262" s="12" t="s">
        <v>36</v>
      </c>
      <c r="R2262" s="12" t="s">
        <v>36</v>
      </c>
      <c r="S2262" s="12" t="s">
        <v>36</v>
      </c>
      <c r="T2262" s="12" t="s">
        <v>4692</v>
      </c>
      <c r="U2262" s="12" t="s">
        <v>85</v>
      </c>
      <c r="V2262" s="12" t="s">
        <v>64</v>
      </c>
      <c r="W2262" s="12" t="s">
        <v>12611</v>
      </c>
      <c r="X2262" s="16" t="s">
        <v>12612</v>
      </c>
      <c r="Y2262" s="15" t="s">
        <v>55</v>
      </c>
      <c r="Z2262" s="14">
        <v>1.25</v>
      </c>
      <c r="AA2262" s="14">
        <v>7.75</v>
      </c>
      <c r="AB2262" s="12" t="s">
        <v>56</v>
      </c>
      <c r="AC2262" s="12" t="s">
        <v>12613</v>
      </c>
      <c r="AD2262" s="13">
        <v>44678</v>
      </c>
      <c r="AE2262" s="12" t="s">
        <v>89</v>
      </c>
      <c r="AF2262" s="12" t="s">
        <v>12614</v>
      </c>
      <c r="AG2262" s="12" t="s">
        <v>186</v>
      </c>
      <c r="AH2262" s="1">
        <f>HYPERLINK("https://my.pitchbook.com?c=197234-38T","View Company Online")</f>
      </c>
    </row>
    <row r="2263">
      <c r="A2263" s="3" t="s">
        <v>12615</v>
      </c>
      <c r="B2263" s="3" t="s">
        <v>12616</v>
      </c>
      <c r="C2263" s="5">
        <v>9</v>
      </c>
      <c r="D2263" s="5">
        <v>3</v>
      </c>
      <c r="E2263" s="5">
        <v>5</v>
      </c>
      <c r="F2263" s="5">
        <v>13</v>
      </c>
      <c r="G2263" s="6" t="s">
        <v>326</v>
      </c>
      <c r="H2263" s="4">
        <v>18.07</v>
      </c>
      <c r="I2263" s="7">
        <v>38.59</v>
      </c>
      <c r="J2263" s="3" t="s">
        <v>521</v>
      </c>
      <c r="K2263" s="9">
        <v>44621</v>
      </c>
      <c r="L2263" s="6" t="s">
        <v>122</v>
      </c>
      <c r="M2263" s="3" t="s">
        <v>36</v>
      </c>
      <c r="N2263" s="3" t="s">
        <v>122</v>
      </c>
      <c r="O2263" s="8" t="s">
        <v>36</v>
      </c>
      <c r="P2263" s="3" t="s">
        <v>36</v>
      </c>
      <c r="Q2263" s="3" t="s">
        <v>36</v>
      </c>
      <c r="R2263" s="3" t="s">
        <v>36</v>
      </c>
      <c r="S2263" s="3" t="s">
        <v>36</v>
      </c>
      <c r="T2263" s="3" t="s">
        <v>12617</v>
      </c>
      <c r="U2263" s="3" t="s">
        <v>96</v>
      </c>
      <c r="V2263" s="3" t="s">
        <v>52</v>
      </c>
      <c r="W2263" s="3" t="s">
        <v>12618</v>
      </c>
      <c r="X2263" s="10" t="s">
        <v>12619</v>
      </c>
      <c r="Y2263" s="6" t="s">
        <v>55</v>
      </c>
      <c r="Z2263" s="4">
        <v>22.41</v>
      </c>
      <c r="AA2263" s="4">
        <v>58.08</v>
      </c>
      <c r="AB2263" s="3" t="s">
        <v>56</v>
      </c>
      <c r="AC2263" s="3" t="s">
        <v>12620</v>
      </c>
      <c r="AD2263" s="9">
        <v>44678</v>
      </c>
      <c r="AE2263" s="3" t="s">
        <v>100</v>
      </c>
      <c r="AF2263" s="3" t="s">
        <v>12621</v>
      </c>
      <c r="AG2263" s="3" t="s">
        <v>81</v>
      </c>
      <c r="AH2263" s="11">
        <f>HYPERLINK("https://my.pitchbook.com?c=193031-20T","View Company Online")</f>
      </c>
    </row>
    <row r="2264">
      <c r="A2264" s="12" t="s">
        <v>12622</v>
      </c>
      <c r="B2264" s="12" t="s">
        <v>12623</v>
      </c>
      <c r="C2264" s="19" t="s">
        <v>36</v>
      </c>
      <c r="D2264" s="19" t="s">
        <v>36</v>
      </c>
      <c r="E2264" s="19" t="s">
        <v>36</v>
      </c>
      <c r="F2264" s="19" t="s">
        <v>36</v>
      </c>
      <c r="G2264" s="15" t="s">
        <v>326</v>
      </c>
      <c r="H2264" s="14">
        <v>491.17</v>
      </c>
      <c r="I2264" s="18">
        <v>25.43</v>
      </c>
      <c r="J2264" s="12" t="s">
        <v>521</v>
      </c>
      <c r="K2264" s="13">
        <v>44678</v>
      </c>
      <c r="L2264" s="15" t="s">
        <v>94</v>
      </c>
      <c r="M2264" s="12" t="s">
        <v>36</v>
      </c>
      <c r="N2264" s="12" t="s">
        <v>94</v>
      </c>
      <c r="O2264" s="17" t="s">
        <v>36</v>
      </c>
      <c r="P2264" s="12" t="s">
        <v>36</v>
      </c>
      <c r="Q2264" s="12" t="s">
        <v>36</v>
      </c>
      <c r="R2264" s="12" t="s">
        <v>36</v>
      </c>
      <c r="S2264" s="12" t="s">
        <v>36</v>
      </c>
      <c r="T2264" s="12" t="s">
        <v>12624</v>
      </c>
      <c r="U2264" s="12" t="s">
        <v>38</v>
      </c>
      <c r="V2264" s="12" t="s">
        <v>39</v>
      </c>
      <c r="W2264" s="12" t="s">
        <v>12625</v>
      </c>
      <c r="X2264" s="16" t="s">
        <v>12626</v>
      </c>
      <c r="Y2264" s="15" t="s">
        <v>108</v>
      </c>
      <c r="Z2264" s="14">
        <v>22.07</v>
      </c>
      <c r="AA2264" s="14">
        <v>86.76</v>
      </c>
      <c r="AB2264" s="12" t="s">
        <v>56</v>
      </c>
      <c r="AC2264" s="12" t="s">
        <v>12627</v>
      </c>
      <c r="AD2264" s="13">
        <v>44678</v>
      </c>
      <c r="AE2264" s="12" t="s">
        <v>110</v>
      </c>
      <c r="AF2264" s="12" t="s">
        <v>2409</v>
      </c>
      <c r="AG2264" s="12" t="s">
        <v>81</v>
      </c>
      <c r="AH2264" s="1">
        <f>HYPERLINK("https://my.pitchbook.com?c=193044-07T","View Company Online")</f>
      </c>
    </row>
    <row r="2265">
      <c r="A2265" s="3" t="s">
        <v>12628</v>
      </c>
      <c r="B2265" s="3" t="s">
        <v>188</v>
      </c>
      <c r="C2265" s="5">
        <v>7</v>
      </c>
      <c r="D2265" s="5">
        <v>8</v>
      </c>
      <c r="E2265" s="5">
        <v>7</v>
      </c>
      <c r="F2265" s="5">
        <v>18</v>
      </c>
      <c r="G2265" s="6" t="s">
        <v>326</v>
      </c>
      <c r="H2265" s="4" t="s">
        <v>36</v>
      </c>
      <c r="I2265" s="7">
        <v>22.26</v>
      </c>
      <c r="J2265" s="3" t="s">
        <v>327</v>
      </c>
      <c r="K2265" s="9" t="s">
        <v>36</v>
      </c>
      <c r="L2265" s="6" t="s">
        <v>122</v>
      </c>
      <c r="M2265" s="3" t="s">
        <v>36</v>
      </c>
      <c r="N2265" s="3" t="s">
        <v>122</v>
      </c>
      <c r="O2265" s="8" t="s">
        <v>36</v>
      </c>
      <c r="P2265" s="3" t="s">
        <v>36</v>
      </c>
      <c r="Q2265" s="3" t="s">
        <v>36</v>
      </c>
      <c r="R2265" s="3" t="s">
        <v>36</v>
      </c>
      <c r="S2265" s="3" t="s">
        <v>36</v>
      </c>
      <c r="T2265" s="3" t="s">
        <v>189</v>
      </c>
      <c r="U2265" s="3" t="s">
        <v>180</v>
      </c>
      <c r="V2265" s="3" t="s">
        <v>52</v>
      </c>
      <c r="W2265" s="3" t="s">
        <v>190</v>
      </c>
      <c r="X2265" s="10" t="s">
        <v>12629</v>
      </c>
      <c r="Y2265" s="6" t="s">
        <v>108</v>
      </c>
      <c r="Z2265" s="4">
        <v>8.72</v>
      </c>
      <c r="AA2265" s="4">
        <v>39.17</v>
      </c>
      <c r="AB2265" s="3" t="s">
        <v>43</v>
      </c>
      <c r="AC2265" s="3" t="s">
        <v>193</v>
      </c>
      <c r="AD2265" s="9">
        <v>44677</v>
      </c>
      <c r="AE2265" s="3" t="s">
        <v>184</v>
      </c>
      <c r="AF2265" s="3" t="s">
        <v>59</v>
      </c>
      <c r="AG2265" s="3" t="s">
        <v>47</v>
      </c>
      <c r="AH2265" s="11">
        <f>HYPERLINK("https://my.pitchbook.com?c=193082-86T","View Company Online")</f>
      </c>
    </row>
    <row r="2266">
      <c r="A2266" s="12" t="s">
        <v>12630</v>
      </c>
      <c r="B2266" s="12" t="s">
        <v>12631</v>
      </c>
      <c r="C2266" s="19" t="s">
        <v>36</v>
      </c>
      <c r="D2266" s="19" t="s">
        <v>36</v>
      </c>
      <c r="E2266" s="19" t="s">
        <v>36</v>
      </c>
      <c r="F2266" s="19" t="s">
        <v>36</v>
      </c>
      <c r="G2266" s="15" t="s">
        <v>36</v>
      </c>
      <c r="H2266" s="14" t="s">
        <v>36</v>
      </c>
      <c r="I2266" s="18">
        <v>47.04</v>
      </c>
      <c r="J2266" s="12" t="s">
        <v>327</v>
      </c>
      <c r="K2266" s="13" t="s">
        <v>36</v>
      </c>
      <c r="L2266" s="15" t="s">
        <v>36</v>
      </c>
      <c r="M2266" s="12" t="s">
        <v>36</v>
      </c>
      <c r="N2266" s="12" t="s">
        <v>36</v>
      </c>
      <c r="O2266" s="17" t="s">
        <v>36</v>
      </c>
      <c r="P2266" s="12" t="s">
        <v>36</v>
      </c>
      <c r="Q2266" s="12" t="s">
        <v>36</v>
      </c>
      <c r="R2266" s="12" t="s">
        <v>36</v>
      </c>
      <c r="S2266" s="12" t="s">
        <v>5151</v>
      </c>
      <c r="T2266" s="12" t="s">
        <v>12632</v>
      </c>
      <c r="U2266" s="12" t="s">
        <v>318</v>
      </c>
      <c r="V2266" s="12" t="s">
        <v>39</v>
      </c>
      <c r="W2266" s="12" t="s">
        <v>12633</v>
      </c>
      <c r="X2266" s="16" t="s">
        <v>12634</v>
      </c>
      <c r="Y2266" s="15" t="s">
        <v>42</v>
      </c>
      <c r="Z2266" s="14">
        <v>1.42</v>
      </c>
      <c r="AA2266" s="14">
        <v>3.01</v>
      </c>
      <c r="AB2266" s="12" t="s">
        <v>43</v>
      </c>
      <c r="AC2266" s="12" t="s">
        <v>12635</v>
      </c>
      <c r="AD2266" s="13">
        <v>44676</v>
      </c>
      <c r="AE2266" s="12" t="s">
        <v>763</v>
      </c>
      <c r="AF2266" s="12" t="s">
        <v>12636</v>
      </c>
      <c r="AG2266" s="12" t="s">
        <v>741</v>
      </c>
      <c r="AH2266" s="1">
        <f>HYPERLINK("https://my.pitchbook.com?c=193093-21T","View Company Online")</f>
      </c>
    </row>
    <row r="2267">
      <c r="A2267" s="3" t="s">
        <v>12637</v>
      </c>
      <c r="B2267" s="3" t="s">
        <v>12638</v>
      </c>
      <c r="C2267" s="5" t="s">
        <v>36</v>
      </c>
      <c r="D2267" s="5" t="s">
        <v>36</v>
      </c>
      <c r="E2267" s="5" t="s">
        <v>36</v>
      </c>
      <c r="F2267" s="5" t="s">
        <v>36</v>
      </c>
      <c r="G2267" s="6" t="s">
        <v>36</v>
      </c>
      <c r="H2267" s="4" t="s">
        <v>36</v>
      </c>
      <c r="I2267" s="7" t="s">
        <v>36</v>
      </c>
      <c r="J2267" s="3" t="s">
        <v>36</v>
      </c>
      <c r="K2267" s="9" t="s">
        <v>36</v>
      </c>
      <c r="L2267" s="6" t="s">
        <v>36</v>
      </c>
      <c r="M2267" s="3" t="s">
        <v>36</v>
      </c>
      <c r="N2267" s="3" t="s">
        <v>36</v>
      </c>
      <c r="O2267" s="8" t="s">
        <v>36</v>
      </c>
      <c r="P2267" s="3" t="s">
        <v>36</v>
      </c>
      <c r="Q2267" s="3" t="s">
        <v>36</v>
      </c>
      <c r="R2267" s="3" t="s">
        <v>36</v>
      </c>
      <c r="S2267" s="3" t="s">
        <v>36</v>
      </c>
      <c r="T2267" s="3" t="s">
        <v>6159</v>
      </c>
      <c r="U2267" s="3" t="s">
        <v>648</v>
      </c>
      <c r="V2267" s="3" t="s">
        <v>64</v>
      </c>
      <c r="W2267" s="3" t="s">
        <v>12639</v>
      </c>
      <c r="X2267" s="10" t="s">
        <v>12640</v>
      </c>
      <c r="Y2267" s="6" t="s">
        <v>55</v>
      </c>
      <c r="Z2267" s="4">
        <v>0.66</v>
      </c>
      <c r="AA2267" s="4" t="s">
        <v>36</v>
      </c>
      <c r="AB2267" s="3" t="s">
        <v>43</v>
      </c>
      <c r="AC2267" s="3" t="s">
        <v>12641</v>
      </c>
      <c r="AD2267" s="9">
        <v>44673</v>
      </c>
      <c r="AE2267" s="3" t="s">
        <v>3988</v>
      </c>
      <c r="AF2267" s="3" t="s">
        <v>4284</v>
      </c>
      <c r="AG2267" s="3" t="s">
        <v>81</v>
      </c>
      <c r="AH2267" s="11">
        <f>HYPERLINK("https://my.pitchbook.com?c=192752-11T","View Company Online")</f>
      </c>
    </row>
    <row r="2268">
      <c r="A2268" s="12" t="s">
        <v>12642</v>
      </c>
      <c r="B2268" s="12" t="s">
        <v>12643</v>
      </c>
      <c r="C2268" s="19" t="s">
        <v>36</v>
      </c>
      <c r="D2268" s="19" t="s">
        <v>36</v>
      </c>
      <c r="E2268" s="19" t="s">
        <v>36</v>
      </c>
      <c r="F2268" s="19" t="s">
        <v>36</v>
      </c>
      <c r="G2268" s="15" t="s">
        <v>36</v>
      </c>
      <c r="H2268" s="14" t="s">
        <v>36</v>
      </c>
      <c r="I2268" s="18" t="s">
        <v>36</v>
      </c>
      <c r="J2268" s="12" t="s">
        <v>36</v>
      </c>
      <c r="K2268" s="13" t="s">
        <v>36</v>
      </c>
      <c r="L2268" s="15" t="s">
        <v>36</v>
      </c>
      <c r="M2268" s="12" t="s">
        <v>36</v>
      </c>
      <c r="N2268" s="12" t="s">
        <v>36</v>
      </c>
      <c r="O2268" s="17" t="s">
        <v>36</v>
      </c>
      <c r="P2268" s="12" t="s">
        <v>36</v>
      </c>
      <c r="Q2268" s="12" t="s">
        <v>36</v>
      </c>
      <c r="R2268" s="12" t="s">
        <v>36</v>
      </c>
      <c r="S2268" s="12" t="s">
        <v>36</v>
      </c>
      <c r="T2268" s="12" t="s">
        <v>4529</v>
      </c>
      <c r="U2268" s="12" t="s">
        <v>38</v>
      </c>
      <c r="V2268" s="12" t="s">
        <v>39</v>
      </c>
      <c r="W2268" s="12" t="s">
        <v>12644</v>
      </c>
      <c r="X2268" s="16" t="s">
        <v>12645</v>
      </c>
      <c r="Y2268" s="15" t="s">
        <v>42</v>
      </c>
      <c r="Z2268" s="14">
        <v>1.31</v>
      </c>
      <c r="AA2268" s="14" t="s">
        <v>36</v>
      </c>
      <c r="AB2268" s="12" t="s">
        <v>43</v>
      </c>
      <c r="AC2268" s="12" t="s">
        <v>12646</v>
      </c>
      <c r="AD2268" s="13">
        <v>44673</v>
      </c>
      <c r="AE2268" s="12" t="s">
        <v>1422</v>
      </c>
      <c r="AF2268" s="12" t="s">
        <v>4200</v>
      </c>
      <c r="AG2268" s="12" t="s">
        <v>81</v>
      </c>
      <c r="AH2268" s="1">
        <f>HYPERLINK("https://my.pitchbook.com?c=192744-64T","View Company Online")</f>
      </c>
    </row>
    <row r="2269">
      <c r="A2269" s="3" t="s">
        <v>12647</v>
      </c>
      <c r="B2269" s="3" t="s">
        <v>12648</v>
      </c>
      <c r="C2269" s="5" t="s">
        <v>36</v>
      </c>
      <c r="D2269" s="5" t="s">
        <v>36</v>
      </c>
      <c r="E2269" s="5" t="s">
        <v>36</v>
      </c>
      <c r="F2269" s="5" t="s">
        <v>36</v>
      </c>
      <c r="G2269" s="6" t="s">
        <v>2497</v>
      </c>
      <c r="H2269" s="4">
        <v>8.78</v>
      </c>
      <c r="I2269" s="7">
        <v>35.39</v>
      </c>
      <c r="J2269" s="3" t="s">
        <v>521</v>
      </c>
      <c r="K2269" s="9" t="s">
        <v>36</v>
      </c>
      <c r="L2269" s="6" t="s">
        <v>36</v>
      </c>
      <c r="M2269" s="3" t="s">
        <v>36</v>
      </c>
      <c r="N2269" s="3" t="s">
        <v>36</v>
      </c>
      <c r="O2269" s="8" t="s">
        <v>36</v>
      </c>
      <c r="P2269" s="3" t="s">
        <v>36</v>
      </c>
      <c r="Q2269" s="3" t="s">
        <v>36</v>
      </c>
      <c r="R2269" s="3" t="s">
        <v>36</v>
      </c>
      <c r="S2269" s="3" t="s">
        <v>36</v>
      </c>
      <c r="T2269" s="3" t="s">
        <v>12649</v>
      </c>
      <c r="U2269" s="3" t="s">
        <v>648</v>
      </c>
      <c r="V2269" s="3" t="s">
        <v>64</v>
      </c>
      <c r="W2269" s="3" t="s">
        <v>12650</v>
      </c>
      <c r="X2269" s="10" t="s">
        <v>12651</v>
      </c>
      <c r="Y2269" s="6" t="s">
        <v>55</v>
      </c>
      <c r="Z2269" s="4">
        <v>1.63</v>
      </c>
      <c r="AA2269" s="4">
        <v>4.61</v>
      </c>
      <c r="AB2269" s="3" t="s">
        <v>56</v>
      </c>
      <c r="AC2269" s="3" t="s">
        <v>12652</v>
      </c>
      <c r="AD2269" s="9">
        <v>44672</v>
      </c>
      <c r="AE2269" s="3" t="s">
        <v>12653</v>
      </c>
      <c r="AF2269" s="3" t="s">
        <v>12654</v>
      </c>
      <c r="AG2269" s="3" t="s">
        <v>81</v>
      </c>
      <c r="AH2269" s="11">
        <f>HYPERLINK("https://my.pitchbook.com?c=195257-26T","View Company Online")</f>
      </c>
    </row>
    <row r="2270">
      <c r="A2270" s="12" t="s">
        <v>12655</v>
      </c>
      <c r="B2270" s="12" t="s">
        <v>7929</v>
      </c>
      <c r="C2270" s="19" t="s">
        <v>36</v>
      </c>
      <c r="D2270" s="19" t="s">
        <v>36</v>
      </c>
      <c r="E2270" s="19" t="s">
        <v>36</v>
      </c>
      <c r="F2270" s="19" t="s">
        <v>36</v>
      </c>
      <c r="G2270" s="15" t="s">
        <v>36</v>
      </c>
      <c r="H2270" s="14">
        <v>413.67</v>
      </c>
      <c r="I2270" s="18">
        <v>26.09</v>
      </c>
      <c r="J2270" s="12" t="s">
        <v>521</v>
      </c>
      <c r="K2270" s="13" t="s">
        <v>36</v>
      </c>
      <c r="L2270" s="15" t="s">
        <v>36</v>
      </c>
      <c r="M2270" s="12" t="s">
        <v>36</v>
      </c>
      <c r="N2270" s="12" t="s">
        <v>36</v>
      </c>
      <c r="O2270" s="17" t="s">
        <v>36</v>
      </c>
      <c r="P2270" s="12" t="s">
        <v>36</v>
      </c>
      <c r="Q2270" s="12" t="s">
        <v>36</v>
      </c>
      <c r="R2270" s="12" t="s">
        <v>36</v>
      </c>
      <c r="S2270" s="12" t="s">
        <v>36</v>
      </c>
      <c r="T2270" s="12" t="s">
        <v>7930</v>
      </c>
      <c r="U2270" s="12" t="s">
        <v>455</v>
      </c>
      <c r="V2270" s="12" t="s">
        <v>367</v>
      </c>
      <c r="W2270" s="12" t="s">
        <v>7931</v>
      </c>
      <c r="X2270" s="16" t="s">
        <v>7932</v>
      </c>
      <c r="Y2270" s="15" t="s">
        <v>108</v>
      </c>
      <c r="Z2270" s="14">
        <v>1.64</v>
      </c>
      <c r="AA2270" s="14">
        <v>6.29</v>
      </c>
      <c r="AB2270" s="12" t="s">
        <v>56</v>
      </c>
      <c r="AC2270" s="12" t="s">
        <v>7933</v>
      </c>
      <c r="AD2270" s="13">
        <v>44672</v>
      </c>
      <c r="AE2270" s="12" t="s">
        <v>7934</v>
      </c>
      <c r="AF2270" s="12" t="s">
        <v>36</v>
      </c>
      <c r="AG2270" s="12" t="s">
        <v>81</v>
      </c>
      <c r="AH2270" s="1">
        <f>HYPERLINK("https://my.pitchbook.com?c=192690-55T","View Company Online")</f>
      </c>
    </row>
    <row r="2271">
      <c r="A2271" s="3" t="s">
        <v>12656</v>
      </c>
      <c r="B2271" s="3" t="s">
        <v>4893</v>
      </c>
      <c r="C2271" s="5" t="s">
        <v>36</v>
      </c>
      <c r="D2271" s="5" t="s">
        <v>36</v>
      </c>
      <c r="E2271" s="5" t="s">
        <v>36</v>
      </c>
      <c r="F2271" s="5" t="s">
        <v>36</v>
      </c>
      <c r="G2271" s="6" t="s">
        <v>36</v>
      </c>
      <c r="H2271" s="4">
        <v>78.93</v>
      </c>
      <c r="I2271" s="7">
        <v>20.83</v>
      </c>
      <c r="J2271" s="3" t="s">
        <v>521</v>
      </c>
      <c r="K2271" s="9" t="s">
        <v>36</v>
      </c>
      <c r="L2271" s="6" t="s">
        <v>36</v>
      </c>
      <c r="M2271" s="3" t="s">
        <v>36</v>
      </c>
      <c r="N2271" s="3" t="s">
        <v>36</v>
      </c>
      <c r="O2271" s="8" t="s">
        <v>36</v>
      </c>
      <c r="P2271" s="3" t="s">
        <v>36</v>
      </c>
      <c r="Q2271" s="3" t="s">
        <v>36</v>
      </c>
      <c r="R2271" s="3" t="s">
        <v>36</v>
      </c>
      <c r="S2271" s="3" t="s">
        <v>36</v>
      </c>
      <c r="T2271" s="3" t="s">
        <v>4894</v>
      </c>
      <c r="U2271" s="3" t="s">
        <v>438</v>
      </c>
      <c r="V2271" s="3" t="s">
        <v>405</v>
      </c>
      <c r="W2271" s="3" t="s">
        <v>4895</v>
      </c>
      <c r="X2271" s="10" t="s">
        <v>12657</v>
      </c>
      <c r="Y2271" s="6" t="s">
        <v>42</v>
      </c>
      <c r="Z2271" s="4">
        <v>1.64</v>
      </c>
      <c r="AA2271" s="4">
        <v>5.25</v>
      </c>
      <c r="AB2271" s="3" t="s">
        <v>43</v>
      </c>
      <c r="AC2271" s="3" t="s">
        <v>4897</v>
      </c>
      <c r="AD2271" s="9">
        <v>44672</v>
      </c>
      <c r="AE2271" s="3" t="s">
        <v>438</v>
      </c>
      <c r="AF2271" s="3" t="s">
        <v>3034</v>
      </c>
      <c r="AG2271" s="3" t="s">
        <v>4796</v>
      </c>
      <c r="AH2271" s="11">
        <f>HYPERLINK("https://my.pitchbook.com?c=192645-01T","View Company Online")</f>
      </c>
    </row>
    <row r="2272">
      <c r="A2272" s="12" t="s">
        <v>12658</v>
      </c>
      <c r="B2272" s="12" t="s">
        <v>12659</v>
      </c>
      <c r="C2272" s="19">
        <v>6</v>
      </c>
      <c r="D2272" s="19">
        <v>4</v>
      </c>
      <c r="E2272" s="19">
        <v>6</v>
      </c>
      <c r="F2272" s="19">
        <v>13</v>
      </c>
      <c r="G2272" s="15" t="s">
        <v>683</v>
      </c>
      <c r="H2272" s="14">
        <v>25.96</v>
      </c>
      <c r="I2272" s="18">
        <v>11.63</v>
      </c>
      <c r="J2272" s="12" t="s">
        <v>521</v>
      </c>
      <c r="K2272" s="13" t="s">
        <v>36</v>
      </c>
      <c r="L2272" s="15" t="s">
        <v>36</v>
      </c>
      <c r="M2272" s="12" t="s">
        <v>36</v>
      </c>
      <c r="N2272" s="12" t="s">
        <v>36</v>
      </c>
      <c r="O2272" s="17" t="s">
        <v>36</v>
      </c>
      <c r="P2272" s="12" t="s">
        <v>36</v>
      </c>
      <c r="Q2272" s="12" t="s">
        <v>36</v>
      </c>
      <c r="R2272" s="12" t="s">
        <v>36</v>
      </c>
      <c r="S2272" s="12" t="s">
        <v>36</v>
      </c>
      <c r="T2272" s="12" t="s">
        <v>12660</v>
      </c>
      <c r="U2272" s="12" t="s">
        <v>96</v>
      </c>
      <c r="V2272" s="12" t="s">
        <v>52</v>
      </c>
      <c r="W2272" s="12" t="s">
        <v>12661</v>
      </c>
      <c r="X2272" s="16" t="s">
        <v>2414</v>
      </c>
      <c r="Y2272" s="15" t="s">
        <v>108</v>
      </c>
      <c r="Z2272" s="14">
        <v>0.33</v>
      </c>
      <c r="AA2272" s="14">
        <v>2.82</v>
      </c>
      <c r="AB2272" s="12" t="s">
        <v>43</v>
      </c>
      <c r="AC2272" s="12" t="s">
        <v>12662</v>
      </c>
      <c r="AD2272" s="13">
        <v>44672</v>
      </c>
      <c r="AE2272" s="12" t="s">
        <v>755</v>
      </c>
      <c r="AF2272" s="12" t="s">
        <v>261</v>
      </c>
      <c r="AG2272" s="12" t="s">
        <v>144</v>
      </c>
      <c r="AH2272" s="1">
        <f>HYPERLINK("https://my.pitchbook.com?c=195821-92T","View Company Online")</f>
      </c>
    </row>
    <row r="2273">
      <c r="A2273" s="3" t="s">
        <v>12663</v>
      </c>
      <c r="B2273" s="3" t="s">
        <v>12664</v>
      </c>
      <c r="C2273" s="5">
        <v>1</v>
      </c>
      <c r="D2273" s="5" t="s">
        <v>36</v>
      </c>
      <c r="E2273" s="5">
        <v>1</v>
      </c>
      <c r="F2273" s="5">
        <v>1</v>
      </c>
      <c r="G2273" s="6" t="s">
        <v>36</v>
      </c>
      <c r="H2273" s="4" t="s">
        <v>36</v>
      </c>
      <c r="I2273" s="7">
        <v>10.01</v>
      </c>
      <c r="J2273" s="3" t="s">
        <v>327</v>
      </c>
      <c r="K2273" s="9" t="s">
        <v>36</v>
      </c>
      <c r="L2273" s="6" t="s">
        <v>36</v>
      </c>
      <c r="M2273" s="3" t="s">
        <v>36</v>
      </c>
      <c r="N2273" s="3" t="s">
        <v>36</v>
      </c>
      <c r="O2273" s="8" t="s">
        <v>36</v>
      </c>
      <c r="P2273" s="3" t="s">
        <v>36</v>
      </c>
      <c r="Q2273" s="3" t="s">
        <v>36</v>
      </c>
      <c r="R2273" s="3" t="s">
        <v>36</v>
      </c>
      <c r="S2273" s="3" t="s">
        <v>36</v>
      </c>
      <c r="T2273" s="3" t="s">
        <v>522</v>
      </c>
      <c r="U2273" s="3" t="s">
        <v>38</v>
      </c>
      <c r="V2273" s="3" t="s">
        <v>39</v>
      </c>
      <c r="W2273" s="3" t="s">
        <v>12665</v>
      </c>
      <c r="X2273" s="10" t="s">
        <v>1840</v>
      </c>
      <c r="Y2273" s="6" t="s">
        <v>42</v>
      </c>
      <c r="Z2273" s="4">
        <v>2.19</v>
      </c>
      <c r="AA2273" s="4">
        <v>21.85</v>
      </c>
      <c r="AB2273" s="3" t="s">
        <v>43</v>
      </c>
      <c r="AC2273" s="3" t="s">
        <v>12666</v>
      </c>
      <c r="AD2273" s="9">
        <v>44672</v>
      </c>
      <c r="AE2273" s="3" t="s">
        <v>110</v>
      </c>
      <c r="AF2273" s="3" t="s">
        <v>111</v>
      </c>
      <c r="AG2273" s="3" t="s">
        <v>12667</v>
      </c>
      <c r="AH2273" s="11">
        <f>HYPERLINK("https://my.pitchbook.com?c=192636-55T","View Company Online")</f>
      </c>
    </row>
    <row r="2274">
      <c r="A2274" s="12" t="s">
        <v>12668</v>
      </c>
      <c r="B2274" s="12" t="s">
        <v>12669</v>
      </c>
      <c r="C2274" s="19" t="s">
        <v>36</v>
      </c>
      <c r="D2274" s="19" t="s">
        <v>36</v>
      </c>
      <c r="E2274" s="19" t="s">
        <v>36</v>
      </c>
      <c r="F2274" s="19" t="s">
        <v>36</v>
      </c>
      <c r="G2274" s="15" t="s">
        <v>36</v>
      </c>
      <c r="H2274" s="14">
        <v>745.59</v>
      </c>
      <c r="I2274" s="18">
        <v>21.99</v>
      </c>
      <c r="J2274" s="12" t="s">
        <v>327</v>
      </c>
      <c r="K2274" s="13" t="s">
        <v>36</v>
      </c>
      <c r="L2274" s="15" t="s">
        <v>122</v>
      </c>
      <c r="M2274" s="12" t="s">
        <v>36</v>
      </c>
      <c r="N2274" s="12" t="s">
        <v>122</v>
      </c>
      <c r="O2274" s="17" t="s">
        <v>36</v>
      </c>
      <c r="P2274" s="12" t="s">
        <v>36</v>
      </c>
      <c r="Q2274" s="12" t="s">
        <v>36</v>
      </c>
      <c r="R2274" s="12" t="s">
        <v>36</v>
      </c>
      <c r="S2274" s="12" t="s">
        <v>36</v>
      </c>
      <c r="T2274" s="12" t="s">
        <v>630</v>
      </c>
      <c r="U2274" s="12" t="s">
        <v>38</v>
      </c>
      <c r="V2274" s="12" t="s">
        <v>39</v>
      </c>
      <c r="W2274" s="12" t="s">
        <v>12670</v>
      </c>
      <c r="X2274" s="16" t="s">
        <v>12671</v>
      </c>
      <c r="Y2274" s="15" t="s">
        <v>192</v>
      </c>
      <c r="Z2274" s="14">
        <v>21.88</v>
      </c>
      <c r="AA2274" s="14">
        <v>69.62</v>
      </c>
      <c r="AB2274" s="12" t="s">
        <v>43</v>
      </c>
      <c r="AC2274" s="12" t="s">
        <v>12672</v>
      </c>
      <c r="AD2274" s="13">
        <v>44671</v>
      </c>
      <c r="AE2274" s="12" t="s">
        <v>110</v>
      </c>
      <c r="AF2274" s="12" t="s">
        <v>799</v>
      </c>
      <c r="AG2274" s="12" t="s">
        <v>12673</v>
      </c>
      <c r="AH2274" s="1">
        <f>HYPERLINK("https://my.pitchbook.com?c=193725-10T","View Company Online")</f>
      </c>
    </row>
    <row r="2275">
      <c r="A2275" s="3" t="s">
        <v>12674</v>
      </c>
      <c r="B2275" s="3" t="s">
        <v>12675</v>
      </c>
      <c r="C2275" s="5" t="s">
        <v>36</v>
      </c>
      <c r="D2275" s="5">
        <v>1</v>
      </c>
      <c r="E2275" s="5">
        <v>1</v>
      </c>
      <c r="F2275" s="5">
        <v>1</v>
      </c>
      <c r="G2275" s="6" t="s">
        <v>36</v>
      </c>
      <c r="H2275" s="4">
        <v>137.33</v>
      </c>
      <c r="I2275" s="7">
        <v>25</v>
      </c>
      <c r="J2275" s="3" t="s">
        <v>521</v>
      </c>
      <c r="K2275" s="9" t="s">
        <v>36</v>
      </c>
      <c r="L2275" s="6" t="s">
        <v>122</v>
      </c>
      <c r="M2275" s="3" t="s">
        <v>36</v>
      </c>
      <c r="N2275" s="3" t="s">
        <v>122</v>
      </c>
      <c r="O2275" s="8" t="s">
        <v>36</v>
      </c>
      <c r="P2275" s="3" t="s">
        <v>36</v>
      </c>
      <c r="Q2275" s="3" t="s">
        <v>36</v>
      </c>
      <c r="R2275" s="3" t="s">
        <v>36</v>
      </c>
      <c r="S2275" s="3" t="s">
        <v>36</v>
      </c>
      <c r="T2275" s="3" t="s">
        <v>9862</v>
      </c>
      <c r="U2275" s="3" t="s">
        <v>728</v>
      </c>
      <c r="V2275" s="3" t="s">
        <v>64</v>
      </c>
      <c r="W2275" s="3" t="s">
        <v>12676</v>
      </c>
      <c r="X2275" s="10" t="s">
        <v>12677</v>
      </c>
      <c r="Y2275" s="6" t="s">
        <v>42</v>
      </c>
      <c r="Z2275" s="4">
        <v>4.82</v>
      </c>
      <c r="AA2275" s="4">
        <v>19.28</v>
      </c>
      <c r="AB2275" s="3" t="s">
        <v>56</v>
      </c>
      <c r="AC2275" s="3" t="s">
        <v>12678</v>
      </c>
      <c r="AD2275" s="9">
        <v>44671</v>
      </c>
      <c r="AE2275" s="3" t="s">
        <v>2154</v>
      </c>
      <c r="AF2275" s="3" t="s">
        <v>36</v>
      </c>
      <c r="AG2275" s="3" t="s">
        <v>81</v>
      </c>
      <c r="AH2275" s="11">
        <f>HYPERLINK("https://my.pitchbook.com?c=192540-25T","View Company Online")</f>
      </c>
    </row>
    <row r="2276">
      <c r="A2276" s="12" t="s">
        <v>12679</v>
      </c>
      <c r="B2276" s="12" t="s">
        <v>12680</v>
      </c>
      <c r="C2276" s="19" t="s">
        <v>36</v>
      </c>
      <c r="D2276" s="19" t="s">
        <v>36</v>
      </c>
      <c r="E2276" s="19" t="s">
        <v>36</v>
      </c>
      <c r="F2276" s="19" t="s">
        <v>36</v>
      </c>
      <c r="G2276" s="15" t="s">
        <v>683</v>
      </c>
      <c r="H2276" s="14">
        <v>68.13</v>
      </c>
      <c r="I2276" s="18">
        <v>40.97</v>
      </c>
      <c r="J2276" s="12" t="s">
        <v>521</v>
      </c>
      <c r="K2276" s="13" t="s">
        <v>36</v>
      </c>
      <c r="L2276" s="15" t="s">
        <v>122</v>
      </c>
      <c r="M2276" s="12" t="s">
        <v>36</v>
      </c>
      <c r="N2276" s="12" t="s">
        <v>122</v>
      </c>
      <c r="O2276" s="17" t="s">
        <v>36</v>
      </c>
      <c r="P2276" s="12" t="s">
        <v>36</v>
      </c>
      <c r="Q2276" s="12" t="s">
        <v>36</v>
      </c>
      <c r="R2276" s="12" t="s">
        <v>36</v>
      </c>
      <c r="S2276" s="12" t="s">
        <v>36</v>
      </c>
      <c r="T2276" s="12" t="s">
        <v>12681</v>
      </c>
      <c r="U2276" s="12" t="s">
        <v>289</v>
      </c>
      <c r="V2276" s="12" t="s">
        <v>64</v>
      </c>
      <c r="W2276" s="12" t="s">
        <v>12682</v>
      </c>
      <c r="X2276" s="16" t="s">
        <v>12683</v>
      </c>
      <c r="Y2276" s="15" t="s">
        <v>108</v>
      </c>
      <c r="Z2276" s="14">
        <v>8.32</v>
      </c>
      <c r="AA2276" s="14">
        <v>20.31</v>
      </c>
      <c r="AB2276" s="12" t="s">
        <v>56</v>
      </c>
      <c r="AC2276" s="12" t="s">
        <v>12684</v>
      </c>
      <c r="AD2276" s="13">
        <v>44671</v>
      </c>
      <c r="AE2276" s="12" t="s">
        <v>292</v>
      </c>
      <c r="AF2276" s="12" t="s">
        <v>6718</v>
      </c>
      <c r="AG2276" s="12" t="s">
        <v>81</v>
      </c>
      <c r="AH2276" s="1">
        <f>HYPERLINK("https://my.pitchbook.com?c=192543-31T","View Company Online")</f>
      </c>
    </row>
    <row r="2277">
      <c r="A2277" s="3" t="s">
        <v>12685</v>
      </c>
      <c r="B2277" s="3" t="s">
        <v>12686</v>
      </c>
      <c r="C2277" s="5" t="s">
        <v>36</v>
      </c>
      <c r="D2277" s="5" t="s">
        <v>36</v>
      </c>
      <c r="E2277" s="5" t="s">
        <v>36</v>
      </c>
      <c r="F2277" s="5" t="s">
        <v>36</v>
      </c>
      <c r="G2277" s="6" t="s">
        <v>36</v>
      </c>
      <c r="H2277" s="4">
        <v>705.55</v>
      </c>
      <c r="I2277" s="7" t="s">
        <v>36</v>
      </c>
      <c r="J2277" s="3" t="s">
        <v>36</v>
      </c>
      <c r="K2277" s="9" t="s">
        <v>36</v>
      </c>
      <c r="L2277" s="6" t="s">
        <v>122</v>
      </c>
      <c r="M2277" s="3" t="s">
        <v>36</v>
      </c>
      <c r="N2277" s="3" t="s">
        <v>122</v>
      </c>
      <c r="O2277" s="8" t="s">
        <v>36</v>
      </c>
      <c r="P2277" s="3" t="s">
        <v>36</v>
      </c>
      <c r="Q2277" s="3" t="s">
        <v>36</v>
      </c>
      <c r="R2277" s="3" t="s">
        <v>36</v>
      </c>
      <c r="S2277" s="3" t="s">
        <v>36</v>
      </c>
      <c r="T2277" s="3" t="s">
        <v>472</v>
      </c>
      <c r="U2277" s="3" t="s">
        <v>38</v>
      </c>
      <c r="V2277" s="3" t="s">
        <v>39</v>
      </c>
      <c r="W2277" s="3" t="s">
        <v>12687</v>
      </c>
      <c r="X2277" s="10" t="s">
        <v>12688</v>
      </c>
      <c r="Y2277" s="6" t="s">
        <v>108</v>
      </c>
      <c r="Z2277" s="4">
        <v>8.4</v>
      </c>
      <c r="AA2277" s="4" t="s">
        <v>36</v>
      </c>
      <c r="AB2277" s="3" t="s">
        <v>56</v>
      </c>
      <c r="AC2277" s="3" t="s">
        <v>12689</v>
      </c>
      <c r="AD2277" s="9">
        <v>44671</v>
      </c>
      <c r="AE2277" s="3" t="s">
        <v>110</v>
      </c>
      <c r="AF2277" s="3" t="s">
        <v>12690</v>
      </c>
      <c r="AG2277" s="3" t="s">
        <v>81</v>
      </c>
      <c r="AH2277" s="11">
        <f>HYPERLINK("https://my.pitchbook.com?c=195551-83T","View Company Online")</f>
      </c>
    </row>
    <row r="2278">
      <c r="A2278" s="12" t="s">
        <v>12691</v>
      </c>
      <c r="B2278" s="12" t="s">
        <v>1099</v>
      </c>
      <c r="C2278" s="19" t="s">
        <v>36</v>
      </c>
      <c r="D2278" s="19" t="s">
        <v>36</v>
      </c>
      <c r="E2278" s="19" t="s">
        <v>36</v>
      </c>
      <c r="F2278" s="19" t="s">
        <v>36</v>
      </c>
      <c r="G2278" s="15" t="s">
        <v>326</v>
      </c>
      <c r="H2278" s="14">
        <v>662.07</v>
      </c>
      <c r="I2278" s="18">
        <v>20.48</v>
      </c>
      <c r="J2278" s="12" t="s">
        <v>521</v>
      </c>
      <c r="K2278" s="13" t="s">
        <v>36</v>
      </c>
      <c r="L2278" s="15" t="s">
        <v>36</v>
      </c>
      <c r="M2278" s="12" t="s">
        <v>36</v>
      </c>
      <c r="N2278" s="12" t="s">
        <v>36</v>
      </c>
      <c r="O2278" s="17" t="s">
        <v>36</v>
      </c>
      <c r="P2278" s="12" t="s">
        <v>36</v>
      </c>
      <c r="Q2278" s="12" t="s">
        <v>36</v>
      </c>
      <c r="R2278" s="12" t="s">
        <v>36</v>
      </c>
      <c r="S2278" s="12" t="s">
        <v>36</v>
      </c>
      <c r="T2278" s="12" t="s">
        <v>105</v>
      </c>
      <c r="U2278" s="12" t="s">
        <v>38</v>
      </c>
      <c r="V2278" s="12" t="s">
        <v>39</v>
      </c>
      <c r="W2278" s="12" t="s">
        <v>1100</v>
      </c>
      <c r="X2278" s="16" t="s">
        <v>12692</v>
      </c>
      <c r="Y2278" s="15" t="s">
        <v>108</v>
      </c>
      <c r="Z2278" s="14">
        <v>2.84</v>
      </c>
      <c r="AA2278" s="14">
        <v>10.32</v>
      </c>
      <c r="AB2278" s="12" t="s">
        <v>43</v>
      </c>
      <c r="AC2278" s="12" t="s">
        <v>1102</v>
      </c>
      <c r="AD2278" s="13">
        <v>44671</v>
      </c>
      <c r="AE2278" s="12" t="s">
        <v>110</v>
      </c>
      <c r="AF2278" s="12" t="s">
        <v>1103</v>
      </c>
      <c r="AG2278" s="12" t="s">
        <v>939</v>
      </c>
      <c r="AH2278" s="1">
        <f>HYPERLINK("https://my.pitchbook.com?c=193065-67T","View Company Online")</f>
      </c>
    </row>
    <row r="2279">
      <c r="A2279" s="3" t="s">
        <v>12693</v>
      </c>
      <c r="B2279" s="3" t="s">
        <v>1695</v>
      </c>
      <c r="C2279" s="5" t="s">
        <v>36</v>
      </c>
      <c r="D2279" s="5" t="s">
        <v>36</v>
      </c>
      <c r="E2279" s="5" t="s">
        <v>36</v>
      </c>
      <c r="F2279" s="5" t="s">
        <v>36</v>
      </c>
      <c r="G2279" s="6" t="s">
        <v>326</v>
      </c>
      <c r="H2279" s="4">
        <v>3.53</v>
      </c>
      <c r="I2279" s="7">
        <v>23.64</v>
      </c>
      <c r="J2279" s="3" t="s">
        <v>521</v>
      </c>
      <c r="K2279" s="9" t="s">
        <v>36</v>
      </c>
      <c r="L2279" s="6" t="s">
        <v>36</v>
      </c>
      <c r="M2279" s="3" t="s">
        <v>36</v>
      </c>
      <c r="N2279" s="3" t="s">
        <v>36</v>
      </c>
      <c r="O2279" s="8" t="s">
        <v>36</v>
      </c>
      <c r="P2279" s="3" t="s">
        <v>36</v>
      </c>
      <c r="Q2279" s="3" t="s">
        <v>36</v>
      </c>
      <c r="R2279" s="3" t="s">
        <v>36</v>
      </c>
      <c r="S2279" s="3" t="s">
        <v>36</v>
      </c>
      <c r="T2279" s="3" t="s">
        <v>422</v>
      </c>
      <c r="U2279" s="3" t="s">
        <v>423</v>
      </c>
      <c r="V2279" s="3" t="s">
        <v>64</v>
      </c>
      <c r="W2279" s="3" t="s">
        <v>1696</v>
      </c>
      <c r="X2279" s="10" t="s">
        <v>12694</v>
      </c>
      <c r="Y2279" s="6" t="s">
        <v>108</v>
      </c>
      <c r="Z2279" s="4">
        <v>3.28</v>
      </c>
      <c r="AA2279" s="4">
        <v>11.58</v>
      </c>
      <c r="AB2279" s="3" t="s">
        <v>43</v>
      </c>
      <c r="AC2279" s="3" t="s">
        <v>1698</v>
      </c>
      <c r="AD2279" s="9">
        <v>44670</v>
      </c>
      <c r="AE2279" s="3" t="s">
        <v>427</v>
      </c>
      <c r="AF2279" s="3" t="s">
        <v>90</v>
      </c>
      <c r="AG2279" s="3" t="s">
        <v>81</v>
      </c>
      <c r="AH2279" s="11">
        <f>HYPERLINK("https://my.pitchbook.com?c=198775-90T","View Company Online")</f>
      </c>
    </row>
    <row r="2280">
      <c r="A2280" s="12" t="s">
        <v>12695</v>
      </c>
      <c r="B2280" s="12" t="s">
        <v>12696</v>
      </c>
      <c r="C2280" s="19" t="s">
        <v>36</v>
      </c>
      <c r="D2280" s="19" t="s">
        <v>36</v>
      </c>
      <c r="E2280" s="19" t="s">
        <v>36</v>
      </c>
      <c r="F2280" s="19" t="s">
        <v>36</v>
      </c>
      <c r="G2280" s="15" t="s">
        <v>36</v>
      </c>
      <c r="H2280" s="14">
        <v>1038.57</v>
      </c>
      <c r="I2280" s="18">
        <v>15.29</v>
      </c>
      <c r="J2280" s="12" t="s">
        <v>521</v>
      </c>
      <c r="K2280" s="13">
        <v>44586</v>
      </c>
      <c r="L2280" s="15" t="s">
        <v>36</v>
      </c>
      <c r="M2280" s="12" t="s">
        <v>36</v>
      </c>
      <c r="N2280" s="12" t="s">
        <v>36</v>
      </c>
      <c r="O2280" s="17" t="s">
        <v>36</v>
      </c>
      <c r="P2280" s="12" t="s">
        <v>36</v>
      </c>
      <c r="Q2280" s="12" t="s">
        <v>36</v>
      </c>
      <c r="R2280" s="12" t="s">
        <v>36</v>
      </c>
      <c r="S2280" s="12" t="s">
        <v>36</v>
      </c>
      <c r="T2280" s="12" t="s">
        <v>12697</v>
      </c>
      <c r="U2280" s="12" t="s">
        <v>63</v>
      </c>
      <c r="V2280" s="12" t="s">
        <v>64</v>
      </c>
      <c r="W2280" s="12" t="s">
        <v>12698</v>
      </c>
      <c r="X2280" s="16" t="s">
        <v>12699</v>
      </c>
      <c r="Y2280" s="15" t="s">
        <v>42</v>
      </c>
      <c r="Z2280" s="14">
        <v>0.63</v>
      </c>
      <c r="AA2280" s="14">
        <v>4.12</v>
      </c>
      <c r="AB2280" s="12" t="s">
        <v>43</v>
      </c>
      <c r="AC2280" s="12" t="s">
        <v>12700</v>
      </c>
      <c r="AD2280" s="13">
        <v>44670</v>
      </c>
      <c r="AE2280" s="12" t="s">
        <v>68</v>
      </c>
      <c r="AF2280" s="12" t="s">
        <v>36</v>
      </c>
      <c r="AG2280" s="12" t="s">
        <v>7327</v>
      </c>
      <c r="AH2280" s="1">
        <f>HYPERLINK("https://my.pitchbook.com?c=190406-26T","View Company Online")</f>
      </c>
    </row>
    <row r="2281">
      <c r="A2281" s="3" t="s">
        <v>12701</v>
      </c>
      <c r="B2281" s="3" t="s">
        <v>12702</v>
      </c>
      <c r="C2281" s="5" t="s">
        <v>36</v>
      </c>
      <c r="D2281" s="5" t="s">
        <v>36</v>
      </c>
      <c r="E2281" s="5" t="s">
        <v>36</v>
      </c>
      <c r="F2281" s="5" t="s">
        <v>36</v>
      </c>
      <c r="G2281" s="6" t="s">
        <v>36</v>
      </c>
      <c r="H2281" s="4" t="s">
        <v>36</v>
      </c>
      <c r="I2281" s="7">
        <v>10.45</v>
      </c>
      <c r="J2281" s="3" t="s">
        <v>327</v>
      </c>
      <c r="K2281" s="9">
        <v>44348</v>
      </c>
      <c r="L2281" s="6" t="s">
        <v>36</v>
      </c>
      <c r="M2281" s="3" t="s">
        <v>36</v>
      </c>
      <c r="N2281" s="3" t="s">
        <v>36</v>
      </c>
      <c r="O2281" s="8" t="s">
        <v>36</v>
      </c>
      <c r="P2281" s="3" t="s">
        <v>36</v>
      </c>
      <c r="Q2281" s="3" t="s">
        <v>36</v>
      </c>
      <c r="R2281" s="3" t="s">
        <v>36</v>
      </c>
      <c r="S2281" s="3" t="s">
        <v>36</v>
      </c>
      <c r="T2281" s="3" t="s">
        <v>6557</v>
      </c>
      <c r="U2281" s="3" t="s">
        <v>648</v>
      </c>
      <c r="V2281" s="3" t="s">
        <v>64</v>
      </c>
      <c r="W2281" s="3" t="s">
        <v>12703</v>
      </c>
      <c r="X2281" s="10" t="s">
        <v>2433</v>
      </c>
      <c r="Y2281" s="6" t="s">
        <v>42</v>
      </c>
      <c r="Z2281" s="4">
        <v>0.22</v>
      </c>
      <c r="AA2281" s="4">
        <v>2.1</v>
      </c>
      <c r="AB2281" s="3" t="s">
        <v>43</v>
      </c>
      <c r="AC2281" s="3" t="s">
        <v>12704</v>
      </c>
      <c r="AD2281" s="9">
        <v>44667</v>
      </c>
      <c r="AE2281" s="3" t="s">
        <v>1897</v>
      </c>
      <c r="AF2281" s="3" t="s">
        <v>1115</v>
      </c>
      <c r="AG2281" s="3" t="s">
        <v>899</v>
      </c>
      <c r="AH2281" s="11">
        <f>HYPERLINK("https://my.pitchbook.com?c=190477-54T","View Company Online")</f>
      </c>
    </row>
    <row r="2282">
      <c r="A2282" s="12" t="s">
        <v>12705</v>
      </c>
      <c r="B2282" s="12" t="s">
        <v>4196</v>
      </c>
      <c r="C2282" s="19" t="s">
        <v>36</v>
      </c>
      <c r="D2282" s="19" t="s">
        <v>36</v>
      </c>
      <c r="E2282" s="19" t="s">
        <v>36</v>
      </c>
      <c r="F2282" s="19" t="s">
        <v>36</v>
      </c>
      <c r="G2282" s="15" t="s">
        <v>36</v>
      </c>
      <c r="H2282" s="14" t="s">
        <v>36</v>
      </c>
      <c r="I2282" s="18" t="s">
        <v>36</v>
      </c>
      <c r="J2282" s="12" t="s">
        <v>36</v>
      </c>
      <c r="K2282" s="13" t="s">
        <v>36</v>
      </c>
      <c r="L2282" s="15" t="s">
        <v>36</v>
      </c>
      <c r="M2282" s="12" t="s">
        <v>36</v>
      </c>
      <c r="N2282" s="12" t="s">
        <v>36</v>
      </c>
      <c r="O2282" s="17" t="s">
        <v>36</v>
      </c>
      <c r="P2282" s="12" t="s">
        <v>36</v>
      </c>
      <c r="Q2282" s="12" t="s">
        <v>36</v>
      </c>
      <c r="R2282" s="12" t="s">
        <v>36</v>
      </c>
      <c r="S2282" s="12" t="s">
        <v>36</v>
      </c>
      <c r="T2282" s="12" t="s">
        <v>4197</v>
      </c>
      <c r="U2282" s="12" t="s">
        <v>74</v>
      </c>
      <c r="V2282" s="12" t="s">
        <v>75</v>
      </c>
      <c r="W2282" s="12" t="s">
        <v>4198</v>
      </c>
      <c r="X2282" s="16" t="s">
        <v>12706</v>
      </c>
      <c r="Y2282" s="15" t="s">
        <v>42</v>
      </c>
      <c r="Z2282" s="14">
        <v>1.32</v>
      </c>
      <c r="AA2282" s="14" t="s">
        <v>36</v>
      </c>
      <c r="AB2282" s="12" t="s">
        <v>43</v>
      </c>
      <c r="AC2282" s="12" t="s">
        <v>4199</v>
      </c>
      <c r="AD2282" s="13">
        <v>44666</v>
      </c>
      <c r="AE2282" s="12" t="s">
        <v>696</v>
      </c>
      <c r="AF2282" s="12" t="s">
        <v>4200</v>
      </c>
      <c r="AG2282" s="12" t="s">
        <v>1362</v>
      </c>
      <c r="AH2282" s="1">
        <f>HYPERLINK("https://my.pitchbook.com?c=192351-52T","View Company Online")</f>
      </c>
    </row>
    <row r="2283">
      <c r="A2283" s="3" t="s">
        <v>12707</v>
      </c>
      <c r="B2283" s="3" t="s">
        <v>12708</v>
      </c>
      <c r="C2283" s="5" t="s">
        <v>36</v>
      </c>
      <c r="D2283" s="5" t="s">
        <v>36</v>
      </c>
      <c r="E2283" s="5" t="s">
        <v>36</v>
      </c>
      <c r="F2283" s="5" t="s">
        <v>36</v>
      </c>
      <c r="G2283" s="6" t="s">
        <v>36</v>
      </c>
      <c r="H2283" s="4">
        <v>57.12</v>
      </c>
      <c r="I2283" s="7">
        <v>30.3</v>
      </c>
      <c r="J2283" s="3" t="s">
        <v>521</v>
      </c>
      <c r="K2283" s="9" t="s">
        <v>36</v>
      </c>
      <c r="L2283" s="6" t="s">
        <v>36</v>
      </c>
      <c r="M2283" s="3" t="s">
        <v>36</v>
      </c>
      <c r="N2283" s="3" t="s">
        <v>36</v>
      </c>
      <c r="O2283" s="8" t="s">
        <v>36</v>
      </c>
      <c r="P2283" s="3" t="s">
        <v>36</v>
      </c>
      <c r="Q2283" s="3" t="s">
        <v>36</v>
      </c>
      <c r="R2283" s="3" t="s">
        <v>36</v>
      </c>
      <c r="S2283" s="3" t="s">
        <v>36</v>
      </c>
      <c r="T2283" s="3" t="s">
        <v>12709</v>
      </c>
      <c r="U2283" s="3" t="s">
        <v>74</v>
      </c>
      <c r="V2283" s="3" t="s">
        <v>75</v>
      </c>
      <c r="W2283" s="3" t="s">
        <v>12710</v>
      </c>
      <c r="X2283" s="10" t="s">
        <v>8617</v>
      </c>
      <c r="Y2283" s="6" t="s">
        <v>42</v>
      </c>
      <c r="Z2283" s="4">
        <v>0.02</v>
      </c>
      <c r="AA2283" s="4">
        <v>0.06</v>
      </c>
      <c r="AB2283" s="3" t="s">
        <v>56</v>
      </c>
      <c r="AC2283" s="3" t="s">
        <v>12711</v>
      </c>
      <c r="AD2283" s="9">
        <v>44666</v>
      </c>
      <c r="AE2283" s="3" t="s">
        <v>975</v>
      </c>
      <c r="AF2283" s="3" t="s">
        <v>36</v>
      </c>
      <c r="AG2283" s="3" t="s">
        <v>392</v>
      </c>
      <c r="AH2283" s="11">
        <f>HYPERLINK("https://my.pitchbook.com?c=246630-61T","View Company Online")</f>
      </c>
    </row>
    <row r="2284">
      <c r="A2284" s="12" t="s">
        <v>12712</v>
      </c>
      <c r="B2284" s="12" t="s">
        <v>1449</v>
      </c>
      <c r="C2284" s="19" t="s">
        <v>36</v>
      </c>
      <c r="D2284" s="19" t="s">
        <v>36</v>
      </c>
      <c r="E2284" s="19" t="s">
        <v>36</v>
      </c>
      <c r="F2284" s="19" t="s">
        <v>36</v>
      </c>
      <c r="G2284" s="15" t="s">
        <v>36</v>
      </c>
      <c r="H2284" s="14" t="s">
        <v>36</v>
      </c>
      <c r="I2284" s="18" t="s">
        <v>36</v>
      </c>
      <c r="J2284" s="12" t="s">
        <v>36</v>
      </c>
      <c r="K2284" s="13" t="s">
        <v>36</v>
      </c>
      <c r="L2284" s="15" t="s">
        <v>36</v>
      </c>
      <c r="M2284" s="12" t="s">
        <v>36</v>
      </c>
      <c r="N2284" s="12" t="s">
        <v>36</v>
      </c>
      <c r="O2284" s="17" t="s">
        <v>36</v>
      </c>
      <c r="P2284" s="12" t="s">
        <v>36</v>
      </c>
      <c r="Q2284" s="12" t="s">
        <v>36</v>
      </c>
      <c r="R2284" s="12" t="s">
        <v>36</v>
      </c>
      <c r="S2284" s="12" t="s">
        <v>36</v>
      </c>
      <c r="T2284" s="12" t="s">
        <v>818</v>
      </c>
      <c r="U2284" s="12" t="s">
        <v>74</v>
      </c>
      <c r="V2284" s="12" t="s">
        <v>75</v>
      </c>
      <c r="W2284" s="12" t="s">
        <v>1450</v>
      </c>
      <c r="X2284" s="16" t="s">
        <v>12713</v>
      </c>
      <c r="Y2284" s="15" t="s">
        <v>108</v>
      </c>
      <c r="Z2284" s="14">
        <v>3.84</v>
      </c>
      <c r="AA2284" s="14" t="s">
        <v>36</v>
      </c>
      <c r="AB2284" s="12" t="s">
        <v>56</v>
      </c>
      <c r="AC2284" s="12" t="s">
        <v>1452</v>
      </c>
      <c r="AD2284" s="13">
        <v>44666</v>
      </c>
      <c r="AE2284" s="12" t="s">
        <v>570</v>
      </c>
      <c r="AF2284" s="12" t="s">
        <v>822</v>
      </c>
      <c r="AG2284" s="12" t="s">
        <v>1453</v>
      </c>
      <c r="AH2284" s="1">
        <f>HYPERLINK("https://my.pitchbook.com?c=192343-06T","View Company Online")</f>
      </c>
    </row>
    <row r="2285">
      <c r="A2285" s="3" t="s">
        <v>12714</v>
      </c>
      <c r="B2285" s="3" t="s">
        <v>12715</v>
      </c>
      <c r="C2285" s="5" t="s">
        <v>36</v>
      </c>
      <c r="D2285" s="5" t="s">
        <v>36</v>
      </c>
      <c r="E2285" s="5" t="s">
        <v>36</v>
      </c>
      <c r="F2285" s="5" t="s">
        <v>36</v>
      </c>
      <c r="G2285" s="6" t="s">
        <v>36</v>
      </c>
      <c r="H2285" s="4" t="s">
        <v>36</v>
      </c>
      <c r="I2285" s="7" t="s">
        <v>36</v>
      </c>
      <c r="J2285" s="3" t="s">
        <v>36</v>
      </c>
      <c r="K2285" s="9" t="s">
        <v>36</v>
      </c>
      <c r="L2285" s="6" t="s">
        <v>36</v>
      </c>
      <c r="M2285" s="3" t="s">
        <v>36</v>
      </c>
      <c r="N2285" s="3" t="s">
        <v>36</v>
      </c>
      <c r="O2285" s="8" t="s">
        <v>36</v>
      </c>
      <c r="P2285" s="3" t="s">
        <v>36</v>
      </c>
      <c r="Q2285" s="3" t="s">
        <v>36</v>
      </c>
      <c r="R2285" s="3" t="s">
        <v>36</v>
      </c>
      <c r="S2285" s="3" t="s">
        <v>36</v>
      </c>
      <c r="T2285" s="3" t="s">
        <v>1893</v>
      </c>
      <c r="U2285" s="3" t="s">
        <v>648</v>
      </c>
      <c r="V2285" s="3" t="s">
        <v>64</v>
      </c>
      <c r="W2285" s="3" t="s">
        <v>12716</v>
      </c>
      <c r="X2285" s="10" t="s">
        <v>12717</v>
      </c>
      <c r="Y2285" s="6" t="s">
        <v>42</v>
      </c>
      <c r="Z2285" s="4">
        <v>2.75</v>
      </c>
      <c r="AA2285" s="4" t="s">
        <v>36</v>
      </c>
      <c r="AB2285" s="3" t="s">
        <v>43</v>
      </c>
      <c r="AC2285" s="3" t="s">
        <v>12718</v>
      </c>
      <c r="AD2285" s="9">
        <v>44666</v>
      </c>
      <c r="AE2285" s="3" t="s">
        <v>1897</v>
      </c>
      <c r="AF2285" s="3" t="s">
        <v>1115</v>
      </c>
      <c r="AG2285" s="3" t="s">
        <v>81</v>
      </c>
      <c r="AH2285" s="11">
        <f>HYPERLINK("https://my.pitchbook.com?c=193023-19T","View Company Online")</f>
      </c>
    </row>
    <row r="2286">
      <c r="A2286" s="12" t="s">
        <v>12719</v>
      </c>
      <c r="B2286" s="12" t="s">
        <v>12720</v>
      </c>
      <c r="C2286" s="19">
        <v>12</v>
      </c>
      <c r="D2286" s="19">
        <v>11</v>
      </c>
      <c r="E2286" s="19">
        <v>13</v>
      </c>
      <c r="F2286" s="19">
        <v>24</v>
      </c>
      <c r="G2286" s="15" t="s">
        <v>326</v>
      </c>
      <c r="H2286" s="14">
        <v>31.95</v>
      </c>
      <c r="I2286" s="18">
        <v>26.16</v>
      </c>
      <c r="J2286" s="12" t="s">
        <v>521</v>
      </c>
      <c r="K2286" s="13" t="s">
        <v>36</v>
      </c>
      <c r="L2286" s="15" t="s">
        <v>122</v>
      </c>
      <c r="M2286" s="12" t="s">
        <v>36</v>
      </c>
      <c r="N2286" s="12" t="s">
        <v>122</v>
      </c>
      <c r="O2286" s="17" t="s">
        <v>36</v>
      </c>
      <c r="P2286" s="12" t="s">
        <v>36</v>
      </c>
      <c r="Q2286" s="12" t="s">
        <v>36</v>
      </c>
      <c r="R2286" s="12" t="s">
        <v>36</v>
      </c>
      <c r="S2286" s="12" t="s">
        <v>36</v>
      </c>
      <c r="T2286" s="12" t="s">
        <v>6904</v>
      </c>
      <c r="U2286" s="12" t="s">
        <v>96</v>
      </c>
      <c r="V2286" s="12" t="s">
        <v>52</v>
      </c>
      <c r="W2286" s="12" t="s">
        <v>12721</v>
      </c>
      <c r="X2286" s="16" t="s">
        <v>12722</v>
      </c>
      <c r="Y2286" s="15" t="s">
        <v>55</v>
      </c>
      <c r="Z2286" s="14">
        <v>13.07</v>
      </c>
      <c r="AA2286" s="14">
        <v>42.19</v>
      </c>
      <c r="AB2286" s="12" t="s">
        <v>56</v>
      </c>
      <c r="AC2286" s="12" t="s">
        <v>12723</v>
      </c>
      <c r="AD2286" s="13">
        <v>44666</v>
      </c>
      <c r="AE2286" s="12" t="s">
        <v>143</v>
      </c>
      <c r="AF2286" s="12" t="s">
        <v>5573</v>
      </c>
      <c r="AG2286" s="12" t="s">
        <v>10841</v>
      </c>
      <c r="AH2286" s="1">
        <f>HYPERLINK("https://my.pitchbook.com?c=194247-55T","View Company Online")</f>
      </c>
    </row>
    <row r="2287">
      <c r="A2287" s="3" t="s">
        <v>12724</v>
      </c>
      <c r="B2287" s="3" t="s">
        <v>12725</v>
      </c>
      <c r="C2287" s="5" t="s">
        <v>36</v>
      </c>
      <c r="D2287" s="5" t="s">
        <v>36</v>
      </c>
      <c r="E2287" s="5" t="s">
        <v>36</v>
      </c>
      <c r="F2287" s="5" t="s">
        <v>36</v>
      </c>
      <c r="G2287" s="6" t="s">
        <v>326</v>
      </c>
      <c r="H2287" s="4">
        <v>45.82</v>
      </c>
      <c r="I2287" s="7">
        <v>25.39</v>
      </c>
      <c r="J2287" s="3" t="s">
        <v>521</v>
      </c>
      <c r="K2287" s="9" t="s">
        <v>36</v>
      </c>
      <c r="L2287" s="6" t="s">
        <v>122</v>
      </c>
      <c r="M2287" s="3" t="s">
        <v>36</v>
      </c>
      <c r="N2287" s="3" t="s">
        <v>122</v>
      </c>
      <c r="O2287" s="8" t="s">
        <v>36</v>
      </c>
      <c r="P2287" s="3" t="s">
        <v>36</v>
      </c>
      <c r="Q2287" s="3" t="s">
        <v>36</v>
      </c>
      <c r="R2287" s="3" t="s">
        <v>36</v>
      </c>
      <c r="S2287" s="3" t="s">
        <v>36</v>
      </c>
      <c r="T2287" s="3" t="s">
        <v>9065</v>
      </c>
      <c r="U2287" s="3" t="s">
        <v>648</v>
      </c>
      <c r="V2287" s="3" t="s">
        <v>64</v>
      </c>
      <c r="W2287" s="3" t="s">
        <v>12726</v>
      </c>
      <c r="X2287" s="10" t="s">
        <v>12727</v>
      </c>
      <c r="Y2287" s="6" t="s">
        <v>108</v>
      </c>
      <c r="Z2287" s="4">
        <v>14.48</v>
      </c>
      <c r="AA2287" s="4">
        <v>40.1</v>
      </c>
      <c r="AB2287" s="3" t="s">
        <v>43</v>
      </c>
      <c r="AC2287" s="3" t="s">
        <v>12728</v>
      </c>
      <c r="AD2287" s="9">
        <v>44665</v>
      </c>
      <c r="AE2287" s="3" t="s">
        <v>1897</v>
      </c>
      <c r="AF2287" s="3" t="s">
        <v>12729</v>
      </c>
      <c r="AG2287" s="3" t="s">
        <v>3492</v>
      </c>
      <c r="AH2287" s="11">
        <f>HYPERLINK("https://my.pitchbook.com?c=192213-37T","View Company Online")</f>
      </c>
    </row>
    <row r="2288">
      <c r="A2288" s="12" t="s">
        <v>12730</v>
      </c>
      <c r="B2288" s="12" t="s">
        <v>12731</v>
      </c>
      <c r="C2288" s="19">
        <v>11</v>
      </c>
      <c r="D2288" s="19">
        <v>123</v>
      </c>
      <c r="E2288" s="19">
        <v>31</v>
      </c>
      <c r="F2288" s="19">
        <v>140</v>
      </c>
      <c r="G2288" s="15" t="s">
        <v>326</v>
      </c>
      <c r="H2288" s="14">
        <v>16.61</v>
      </c>
      <c r="I2288" s="18">
        <v>17.82</v>
      </c>
      <c r="J2288" s="12" t="s">
        <v>521</v>
      </c>
      <c r="K2288" s="13" t="s">
        <v>36</v>
      </c>
      <c r="L2288" s="15" t="s">
        <v>1279</v>
      </c>
      <c r="M2288" s="12" t="s">
        <v>36</v>
      </c>
      <c r="N2288" s="12" t="s">
        <v>1279</v>
      </c>
      <c r="O2288" s="17" t="s">
        <v>36</v>
      </c>
      <c r="P2288" s="12" t="s">
        <v>36</v>
      </c>
      <c r="Q2288" s="12" t="s">
        <v>36</v>
      </c>
      <c r="R2288" s="12" t="s">
        <v>36</v>
      </c>
      <c r="S2288" s="12" t="s">
        <v>36</v>
      </c>
      <c r="T2288" s="12" t="s">
        <v>12732</v>
      </c>
      <c r="U2288" s="12" t="s">
        <v>318</v>
      </c>
      <c r="V2288" s="12" t="s">
        <v>39</v>
      </c>
      <c r="W2288" s="12" t="s">
        <v>12733</v>
      </c>
      <c r="X2288" s="16" t="s">
        <v>12734</v>
      </c>
      <c r="Y2288" s="15" t="s">
        <v>192</v>
      </c>
      <c r="Z2288" s="14">
        <v>9.85</v>
      </c>
      <c r="AA2288" s="14">
        <v>55.28</v>
      </c>
      <c r="AB2288" s="12" t="s">
        <v>56</v>
      </c>
      <c r="AC2288" s="12" t="s">
        <v>12735</v>
      </c>
      <c r="AD2288" s="13">
        <v>44665</v>
      </c>
      <c r="AE2288" s="12" t="s">
        <v>763</v>
      </c>
      <c r="AF2288" s="12" t="s">
        <v>12736</v>
      </c>
      <c r="AG2288" s="12" t="s">
        <v>969</v>
      </c>
      <c r="AH2288" s="1">
        <f>HYPERLINK("https://my.pitchbook.com?c=194725-81T","View Company Online")</f>
      </c>
    </row>
    <row r="2289">
      <c r="A2289" s="3" t="s">
        <v>12737</v>
      </c>
      <c r="B2289" s="3" t="s">
        <v>4785</v>
      </c>
      <c r="C2289" s="5">
        <v>2</v>
      </c>
      <c r="D2289" s="5" t="s">
        <v>36</v>
      </c>
      <c r="E2289" s="5">
        <v>1</v>
      </c>
      <c r="F2289" s="5">
        <v>2</v>
      </c>
      <c r="G2289" s="6" t="s">
        <v>326</v>
      </c>
      <c r="H2289" s="4" t="s">
        <v>36</v>
      </c>
      <c r="I2289" s="7">
        <v>31.81</v>
      </c>
      <c r="J2289" s="3" t="s">
        <v>327</v>
      </c>
      <c r="K2289" s="9">
        <v>44481</v>
      </c>
      <c r="L2289" s="6" t="s">
        <v>36</v>
      </c>
      <c r="M2289" s="3" t="s">
        <v>36</v>
      </c>
      <c r="N2289" s="3" t="s">
        <v>36</v>
      </c>
      <c r="O2289" s="8" t="s">
        <v>36</v>
      </c>
      <c r="P2289" s="3" t="s">
        <v>36</v>
      </c>
      <c r="Q2289" s="3" t="s">
        <v>36</v>
      </c>
      <c r="R2289" s="3" t="s">
        <v>36</v>
      </c>
      <c r="S2289" s="3" t="s">
        <v>36</v>
      </c>
      <c r="T2289" s="3" t="s">
        <v>4786</v>
      </c>
      <c r="U2289" s="3" t="s">
        <v>74</v>
      </c>
      <c r="V2289" s="3" t="s">
        <v>75</v>
      </c>
      <c r="W2289" s="3" t="s">
        <v>4787</v>
      </c>
      <c r="X2289" s="10" t="s">
        <v>12738</v>
      </c>
      <c r="Y2289" s="6" t="s">
        <v>108</v>
      </c>
      <c r="Z2289" s="4">
        <v>6.59</v>
      </c>
      <c r="AA2289" s="4">
        <v>20.73</v>
      </c>
      <c r="AB2289" s="3" t="s">
        <v>56</v>
      </c>
      <c r="AC2289" s="3" t="s">
        <v>4789</v>
      </c>
      <c r="AD2289" s="9">
        <v>44664</v>
      </c>
      <c r="AE2289" s="3" t="s">
        <v>79</v>
      </c>
      <c r="AF2289" s="3" t="s">
        <v>1115</v>
      </c>
      <c r="AG2289" s="3" t="s">
        <v>144</v>
      </c>
      <c r="AH2289" s="11">
        <f>HYPERLINK("https://my.pitchbook.com?c=193623-22T","View Company Online")</f>
      </c>
    </row>
    <row r="2290">
      <c r="A2290" s="12" t="s">
        <v>12739</v>
      </c>
      <c r="B2290" s="12" t="s">
        <v>12740</v>
      </c>
      <c r="C2290" s="19" t="s">
        <v>36</v>
      </c>
      <c r="D2290" s="19" t="s">
        <v>36</v>
      </c>
      <c r="E2290" s="19" t="s">
        <v>36</v>
      </c>
      <c r="F2290" s="19" t="s">
        <v>36</v>
      </c>
      <c r="G2290" s="15" t="s">
        <v>36</v>
      </c>
      <c r="H2290" s="14" t="s">
        <v>36</v>
      </c>
      <c r="I2290" s="18" t="s">
        <v>36</v>
      </c>
      <c r="J2290" s="12" t="s">
        <v>36</v>
      </c>
      <c r="K2290" s="13" t="s">
        <v>36</v>
      </c>
      <c r="L2290" s="15" t="s">
        <v>36</v>
      </c>
      <c r="M2290" s="12" t="s">
        <v>36</v>
      </c>
      <c r="N2290" s="12" t="s">
        <v>36</v>
      </c>
      <c r="O2290" s="17" t="s">
        <v>36</v>
      </c>
      <c r="P2290" s="12" t="s">
        <v>36</v>
      </c>
      <c r="Q2290" s="12" t="s">
        <v>36</v>
      </c>
      <c r="R2290" s="12" t="s">
        <v>36</v>
      </c>
      <c r="S2290" s="12" t="s">
        <v>36</v>
      </c>
      <c r="T2290" s="12" t="s">
        <v>2515</v>
      </c>
      <c r="U2290" s="12" t="s">
        <v>74</v>
      </c>
      <c r="V2290" s="12" t="s">
        <v>75</v>
      </c>
      <c r="W2290" s="12" t="s">
        <v>12741</v>
      </c>
      <c r="X2290" s="16" t="s">
        <v>12742</v>
      </c>
      <c r="Y2290" s="15" t="s">
        <v>55</v>
      </c>
      <c r="Z2290" s="14">
        <v>19.78</v>
      </c>
      <c r="AA2290" s="14" t="s">
        <v>36</v>
      </c>
      <c r="AB2290" s="12" t="s">
        <v>56</v>
      </c>
      <c r="AC2290" s="12" t="s">
        <v>12743</v>
      </c>
      <c r="AD2290" s="13">
        <v>44664</v>
      </c>
      <c r="AE2290" s="12" t="s">
        <v>570</v>
      </c>
      <c r="AF2290" s="12" t="s">
        <v>982</v>
      </c>
      <c r="AG2290" s="12" t="s">
        <v>12744</v>
      </c>
      <c r="AH2290" s="1">
        <f>HYPERLINK("https://my.pitchbook.com?c=192111-13T","View Company Online")</f>
      </c>
    </row>
    <row r="2291">
      <c r="A2291" s="3" t="s">
        <v>12745</v>
      </c>
      <c r="B2291" s="3" t="s">
        <v>12746</v>
      </c>
      <c r="C2291" s="5" t="s">
        <v>36</v>
      </c>
      <c r="D2291" s="5" t="s">
        <v>36</v>
      </c>
      <c r="E2291" s="5" t="s">
        <v>36</v>
      </c>
      <c r="F2291" s="5" t="s">
        <v>36</v>
      </c>
      <c r="G2291" s="6" t="s">
        <v>36</v>
      </c>
      <c r="H2291" s="4">
        <v>22.51</v>
      </c>
      <c r="I2291" s="7">
        <v>13.45</v>
      </c>
      <c r="J2291" s="3" t="s">
        <v>521</v>
      </c>
      <c r="K2291" s="9" t="s">
        <v>36</v>
      </c>
      <c r="L2291" s="6" t="s">
        <v>36</v>
      </c>
      <c r="M2291" s="3" t="s">
        <v>36</v>
      </c>
      <c r="N2291" s="3" t="s">
        <v>36</v>
      </c>
      <c r="O2291" s="8" t="s">
        <v>36</v>
      </c>
      <c r="P2291" s="3" t="s">
        <v>36</v>
      </c>
      <c r="Q2291" s="3" t="s">
        <v>3530</v>
      </c>
      <c r="R2291" s="3" t="s">
        <v>36</v>
      </c>
      <c r="S2291" s="3" t="s">
        <v>36</v>
      </c>
      <c r="T2291" s="3" t="s">
        <v>12747</v>
      </c>
      <c r="U2291" s="3" t="s">
        <v>648</v>
      </c>
      <c r="V2291" s="3" t="s">
        <v>64</v>
      </c>
      <c r="W2291" s="3" t="s">
        <v>12748</v>
      </c>
      <c r="X2291" s="10" t="s">
        <v>12749</v>
      </c>
      <c r="Y2291" s="6" t="s">
        <v>166</v>
      </c>
      <c r="Z2291" s="4">
        <v>4.4</v>
      </c>
      <c r="AA2291" s="4">
        <v>32.73</v>
      </c>
      <c r="AB2291" s="3" t="s">
        <v>56</v>
      </c>
      <c r="AC2291" s="3" t="s">
        <v>12750</v>
      </c>
      <c r="AD2291" s="9">
        <v>44664</v>
      </c>
      <c r="AE2291" s="3" t="s">
        <v>651</v>
      </c>
      <c r="AF2291" s="3" t="s">
        <v>546</v>
      </c>
      <c r="AG2291" s="3" t="s">
        <v>12751</v>
      </c>
      <c r="AH2291" s="11">
        <f>HYPERLINK("https://my.pitchbook.com?c=187151-23T","View Company Online")</f>
      </c>
    </row>
    <row r="2292">
      <c r="A2292" s="12" t="s">
        <v>12752</v>
      </c>
      <c r="B2292" s="12" t="s">
        <v>12753</v>
      </c>
      <c r="C2292" s="19" t="s">
        <v>36</v>
      </c>
      <c r="D2292" s="19" t="s">
        <v>36</v>
      </c>
      <c r="E2292" s="19" t="s">
        <v>36</v>
      </c>
      <c r="F2292" s="19" t="s">
        <v>36</v>
      </c>
      <c r="G2292" s="15" t="s">
        <v>683</v>
      </c>
      <c r="H2292" s="14">
        <v>0.14</v>
      </c>
      <c r="I2292" s="18">
        <v>18.38</v>
      </c>
      <c r="J2292" s="12" t="s">
        <v>521</v>
      </c>
      <c r="K2292" s="13" t="s">
        <v>36</v>
      </c>
      <c r="L2292" s="15" t="s">
        <v>36</v>
      </c>
      <c r="M2292" s="12" t="s">
        <v>36</v>
      </c>
      <c r="N2292" s="12" t="s">
        <v>36</v>
      </c>
      <c r="O2292" s="17" t="s">
        <v>36</v>
      </c>
      <c r="P2292" s="12" t="s">
        <v>36</v>
      </c>
      <c r="Q2292" s="12" t="s">
        <v>36</v>
      </c>
      <c r="R2292" s="12" t="s">
        <v>36</v>
      </c>
      <c r="S2292" s="12" t="s">
        <v>36</v>
      </c>
      <c r="T2292" s="12" t="s">
        <v>522</v>
      </c>
      <c r="U2292" s="12" t="s">
        <v>38</v>
      </c>
      <c r="V2292" s="12" t="s">
        <v>39</v>
      </c>
      <c r="W2292" s="12" t="s">
        <v>12754</v>
      </c>
      <c r="X2292" s="16" t="s">
        <v>12755</v>
      </c>
      <c r="Y2292" s="15" t="s">
        <v>108</v>
      </c>
      <c r="Z2292" s="14">
        <v>3.99</v>
      </c>
      <c r="AA2292" s="14">
        <v>21.72</v>
      </c>
      <c r="AB2292" s="12" t="s">
        <v>56</v>
      </c>
      <c r="AC2292" s="12" t="s">
        <v>12756</v>
      </c>
      <c r="AD2292" s="13">
        <v>44663</v>
      </c>
      <c r="AE2292" s="12" t="s">
        <v>110</v>
      </c>
      <c r="AF2292" s="12" t="s">
        <v>12757</v>
      </c>
      <c r="AG2292" s="12" t="s">
        <v>12758</v>
      </c>
      <c r="AH2292" s="1">
        <f>HYPERLINK("https://my.pitchbook.com?c=190071-01T","View Company Online")</f>
      </c>
    </row>
    <row r="2293">
      <c r="A2293" s="3" t="s">
        <v>12759</v>
      </c>
      <c r="B2293" s="3" t="s">
        <v>12760</v>
      </c>
      <c r="C2293" s="5" t="s">
        <v>36</v>
      </c>
      <c r="D2293" s="5" t="s">
        <v>36</v>
      </c>
      <c r="E2293" s="5" t="s">
        <v>36</v>
      </c>
      <c r="F2293" s="5" t="s">
        <v>36</v>
      </c>
      <c r="G2293" s="6" t="s">
        <v>36</v>
      </c>
      <c r="H2293" s="4" t="s">
        <v>36</v>
      </c>
      <c r="I2293" s="7" t="s">
        <v>36</v>
      </c>
      <c r="J2293" s="3" t="s">
        <v>36</v>
      </c>
      <c r="K2293" s="9" t="s">
        <v>36</v>
      </c>
      <c r="L2293" s="6" t="s">
        <v>36</v>
      </c>
      <c r="M2293" s="3" t="s">
        <v>36</v>
      </c>
      <c r="N2293" s="3" t="s">
        <v>36</v>
      </c>
      <c r="O2293" s="8" t="s">
        <v>36</v>
      </c>
      <c r="P2293" s="3" t="s">
        <v>36</v>
      </c>
      <c r="Q2293" s="3" t="s">
        <v>36</v>
      </c>
      <c r="R2293" s="3" t="s">
        <v>36</v>
      </c>
      <c r="S2293" s="3" t="s">
        <v>36</v>
      </c>
      <c r="T2293" s="3" t="s">
        <v>386</v>
      </c>
      <c r="U2293" s="3" t="s">
        <v>387</v>
      </c>
      <c r="V2293" s="3" t="s">
        <v>367</v>
      </c>
      <c r="W2293" s="3" t="s">
        <v>12761</v>
      </c>
      <c r="X2293" s="10" t="s">
        <v>12762</v>
      </c>
      <c r="Y2293" s="6" t="s">
        <v>192</v>
      </c>
      <c r="Z2293" s="4">
        <v>10.99</v>
      </c>
      <c r="AA2293" s="4" t="s">
        <v>36</v>
      </c>
      <c r="AB2293" s="3" t="s">
        <v>56</v>
      </c>
      <c r="AC2293" s="3" t="s">
        <v>12763</v>
      </c>
      <c r="AD2293" s="9">
        <v>44663</v>
      </c>
      <c r="AE2293" s="3" t="s">
        <v>391</v>
      </c>
      <c r="AF2293" s="3" t="s">
        <v>982</v>
      </c>
      <c r="AG2293" s="3" t="s">
        <v>186</v>
      </c>
      <c r="AH2293" s="11">
        <f>HYPERLINK("https://my.pitchbook.com?c=192029-50T","View Company Online")</f>
      </c>
    </row>
    <row r="2294">
      <c r="A2294" s="12" t="s">
        <v>12764</v>
      </c>
      <c r="B2294" s="12" t="s">
        <v>12765</v>
      </c>
      <c r="C2294" s="19" t="s">
        <v>36</v>
      </c>
      <c r="D2294" s="19" t="s">
        <v>36</v>
      </c>
      <c r="E2294" s="19" t="s">
        <v>36</v>
      </c>
      <c r="F2294" s="19" t="s">
        <v>36</v>
      </c>
      <c r="G2294" s="15" t="s">
        <v>36</v>
      </c>
      <c r="H2294" s="14" t="s">
        <v>36</v>
      </c>
      <c r="I2294" s="18" t="s">
        <v>36</v>
      </c>
      <c r="J2294" s="12" t="s">
        <v>36</v>
      </c>
      <c r="K2294" s="13" t="s">
        <v>36</v>
      </c>
      <c r="L2294" s="15" t="s">
        <v>122</v>
      </c>
      <c r="M2294" s="12" t="s">
        <v>36</v>
      </c>
      <c r="N2294" s="12" t="s">
        <v>122</v>
      </c>
      <c r="O2294" s="17" t="s">
        <v>36</v>
      </c>
      <c r="P2294" s="12" t="s">
        <v>36</v>
      </c>
      <c r="Q2294" s="12" t="s">
        <v>36</v>
      </c>
      <c r="R2294" s="12" t="s">
        <v>36</v>
      </c>
      <c r="S2294" s="12" t="s">
        <v>6677</v>
      </c>
      <c r="T2294" s="12" t="s">
        <v>6288</v>
      </c>
      <c r="U2294" s="12" t="s">
        <v>85</v>
      </c>
      <c r="V2294" s="12" t="s">
        <v>64</v>
      </c>
      <c r="W2294" s="12" t="s">
        <v>12766</v>
      </c>
      <c r="X2294" s="16" t="s">
        <v>12767</v>
      </c>
      <c r="Y2294" s="15" t="s">
        <v>192</v>
      </c>
      <c r="Z2294" s="14">
        <v>26.38</v>
      </c>
      <c r="AA2294" s="14" t="s">
        <v>36</v>
      </c>
      <c r="AB2294" s="12" t="s">
        <v>56</v>
      </c>
      <c r="AC2294" s="12" t="s">
        <v>12768</v>
      </c>
      <c r="AD2294" s="13">
        <v>44662</v>
      </c>
      <c r="AE2294" s="12" t="s">
        <v>89</v>
      </c>
      <c r="AF2294" s="12" t="s">
        <v>12769</v>
      </c>
      <c r="AG2294" s="12" t="s">
        <v>81</v>
      </c>
      <c r="AH2294" s="1">
        <f>HYPERLINK("https://my.pitchbook.com?c=174825-01T","View Company Online")</f>
      </c>
    </row>
    <row r="2295">
      <c r="A2295" s="3" t="s">
        <v>12770</v>
      </c>
      <c r="B2295" s="3" t="s">
        <v>12771</v>
      </c>
      <c r="C2295" s="5" t="s">
        <v>36</v>
      </c>
      <c r="D2295" s="5" t="s">
        <v>36</v>
      </c>
      <c r="E2295" s="5" t="s">
        <v>36</v>
      </c>
      <c r="F2295" s="5" t="s">
        <v>36</v>
      </c>
      <c r="G2295" s="6" t="s">
        <v>326</v>
      </c>
      <c r="H2295" s="4">
        <v>61.22</v>
      </c>
      <c r="I2295" s="7">
        <v>25</v>
      </c>
      <c r="J2295" s="3" t="s">
        <v>521</v>
      </c>
      <c r="K2295" s="9" t="s">
        <v>36</v>
      </c>
      <c r="L2295" s="6" t="s">
        <v>36</v>
      </c>
      <c r="M2295" s="3" t="s">
        <v>36</v>
      </c>
      <c r="N2295" s="3" t="s">
        <v>36</v>
      </c>
      <c r="O2295" s="8" t="s">
        <v>36</v>
      </c>
      <c r="P2295" s="3" t="s">
        <v>36</v>
      </c>
      <c r="Q2295" s="3" t="s">
        <v>36</v>
      </c>
      <c r="R2295" s="3" t="s">
        <v>36</v>
      </c>
      <c r="S2295" s="3" t="s">
        <v>36</v>
      </c>
      <c r="T2295" s="3" t="s">
        <v>522</v>
      </c>
      <c r="U2295" s="3" t="s">
        <v>38</v>
      </c>
      <c r="V2295" s="3" t="s">
        <v>39</v>
      </c>
      <c r="W2295" s="3" t="s">
        <v>12772</v>
      </c>
      <c r="X2295" s="10" t="s">
        <v>12773</v>
      </c>
      <c r="Y2295" s="6" t="s">
        <v>321</v>
      </c>
      <c r="Z2295" s="4">
        <v>3.85</v>
      </c>
      <c r="AA2295" s="4">
        <v>10.99</v>
      </c>
      <c r="AB2295" s="3" t="s">
        <v>56</v>
      </c>
      <c r="AC2295" s="3" t="s">
        <v>12774</v>
      </c>
      <c r="AD2295" s="9">
        <v>44662</v>
      </c>
      <c r="AE2295" s="3" t="s">
        <v>110</v>
      </c>
      <c r="AF2295" s="3" t="s">
        <v>3860</v>
      </c>
      <c r="AG2295" s="3" t="s">
        <v>741</v>
      </c>
      <c r="AH2295" s="11">
        <f>HYPERLINK("https://my.pitchbook.com?c=188639-02T","View Company Online")</f>
      </c>
    </row>
    <row r="2296">
      <c r="A2296" s="12" t="s">
        <v>12775</v>
      </c>
      <c r="B2296" s="12" t="s">
        <v>12776</v>
      </c>
      <c r="C2296" s="19">
        <v>7</v>
      </c>
      <c r="D2296" s="19">
        <v>7</v>
      </c>
      <c r="E2296" s="19">
        <v>10</v>
      </c>
      <c r="F2296" s="19">
        <v>18</v>
      </c>
      <c r="G2296" s="15" t="s">
        <v>36</v>
      </c>
      <c r="H2296" s="14" t="s">
        <v>36</v>
      </c>
      <c r="I2296" s="18" t="s">
        <v>36</v>
      </c>
      <c r="J2296" s="12" t="s">
        <v>36</v>
      </c>
      <c r="K2296" s="13" t="s">
        <v>36</v>
      </c>
      <c r="L2296" s="15" t="s">
        <v>36</v>
      </c>
      <c r="M2296" s="12" t="s">
        <v>36</v>
      </c>
      <c r="N2296" s="12" t="s">
        <v>36</v>
      </c>
      <c r="O2296" s="17" t="s">
        <v>36</v>
      </c>
      <c r="P2296" s="12" t="s">
        <v>36</v>
      </c>
      <c r="Q2296" s="12" t="s">
        <v>36</v>
      </c>
      <c r="R2296" s="12" t="s">
        <v>36</v>
      </c>
      <c r="S2296" s="12" t="s">
        <v>36</v>
      </c>
      <c r="T2296" s="12" t="s">
        <v>12777</v>
      </c>
      <c r="U2296" s="12" t="s">
        <v>1082</v>
      </c>
      <c r="V2296" s="12" t="s">
        <v>378</v>
      </c>
      <c r="W2296" s="12" t="s">
        <v>12778</v>
      </c>
      <c r="X2296" s="16" t="s">
        <v>2442</v>
      </c>
      <c r="Y2296" s="15" t="s">
        <v>108</v>
      </c>
      <c r="Z2296" s="14">
        <v>0.55</v>
      </c>
      <c r="AA2296" s="14" t="s">
        <v>36</v>
      </c>
      <c r="AB2296" s="12" t="s">
        <v>56</v>
      </c>
      <c r="AC2296" s="12" t="s">
        <v>12779</v>
      </c>
      <c r="AD2296" s="13">
        <v>44662</v>
      </c>
      <c r="AE2296" s="12" t="s">
        <v>10211</v>
      </c>
      <c r="AF2296" s="12" t="s">
        <v>571</v>
      </c>
      <c r="AG2296" s="12" t="s">
        <v>1078</v>
      </c>
      <c r="AH2296" s="1">
        <f>HYPERLINK("https://my.pitchbook.com?c=245214-01T","View Company Online")</f>
      </c>
    </row>
    <row r="2297">
      <c r="A2297" s="3" t="s">
        <v>12780</v>
      </c>
      <c r="B2297" s="3" t="s">
        <v>12781</v>
      </c>
      <c r="C2297" s="5">
        <v>2</v>
      </c>
      <c r="D2297" s="5">
        <v>22</v>
      </c>
      <c r="E2297" s="5">
        <v>3</v>
      </c>
      <c r="F2297" s="5">
        <v>25</v>
      </c>
      <c r="G2297" s="6" t="s">
        <v>36</v>
      </c>
      <c r="H2297" s="4">
        <v>467.35</v>
      </c>
      <c r="I2297" s="7">
        <v>8.9</v>
      </c>
      <c r="J2297" s="3" t="s">
        <v>521</v>
      </c>
      <c r="K2297" s="9" t="s">
        <v>36</v>
      </c>
      <c r="L2297" s="6" t="s">
        <v>36</v>
      </c>
      <c r="M2297" s="3" t="s">
        <v>36</v>
      </c>
      <c r="N2297" s="3" t="s">
        <v>36</v>
      </c>
      <c r="O2297" s="8" t="s">
        <v>36</v>
      </c>
      <c r="P2297" s="3" t="s">
        <v>36</v>
      </c>
      <c r="Q2297" s="3" t="s">
        <v>36</v>
      </c>
      <c r="R2297" s="3" t="s">
        <v>36</v>
      </c>
      <c r="S2297" s="3" t="s">
        <v>36</v>
      </c>
      <c r="T2297" s="3" t="s">
        <v>12782</v>
      </c>
      <c r="U2297" s="3" t="s">
        <v>219</v>
      </c>
      <c r="V2297" s="3" t="s">
        <v>75</v>
      </c>
      <c r="W2297" s="3" t="s">
        <v>12783</v>
      </c>
      <c r="X2297" s="10" t="s">
        <v>12784</v>
      </c>
      <c r="Y2297" s="6" t="s">
        <v>108</v>
      </c>
      <c r="Z2297" s="4">
        <v>0.55</v>
      </c>
      <c r="AA2297" s="4">
        <v>6.18</v>
      </c>
      <c r="AB2297" s="3" t="s">
        <v>56</v>
      </c>
      <c r="AC2297" s="3" t="s">
        <v>12785</v>
      </c>
      <c r="AD2297" s="9">
        <v>44662</v>
      </c>
      <c r="AE2297" s="3" t="s">
        <v>223</v>
      </c>
      <c r="AF2297" s="3" t="s">
        <v>11238</v>
      </c>
      <c r="AG2297" s="3" t="s">
        <v>1843</v>
      </c>
      <c r="AH2297" s="11">
        <f>HYPERLINK("https://my.pitchbook.com?c=117637-12T","View Company Online")</f>
      </c>
    </row>
    <row r="2298">
      <c r="A2298" s="12" t="s">
        <v>12786</v>
      </c>
      <c r="B2298" s="12" t="s">
        <v>12787</v>
      </c>
      <c r="C2298" s="19" t="s">
        <v>36</v>
      </c>
      <c r="D2298" s="19" t="s">
        <v>36</v>
      </c>
      <c r="E2298" s="19" t="s">
        <v>36</v>
      </c>
      <c r="F2298" s="19" t="s">
        <v>36</v>
      </c>
      <c r="G2298" s="15" t="s">
        <v>36</v>
      </c>
      <c r="H2298" s="14">
        <v>60.55</v>
      </c>
      <c r="I2298" s="18">
        <v>25.65</v>
      </c>
      <c r="J2298" s="12" t="s">
        <v>521</v>
      </c>
      <c r="K2298" s="13" t="s">
        <v>36</v>
      </c>
      <c r="L2298" s="15" t="s">
        <v>36</v>
      </c>
      <c r="M2298" s="12" t="s">
        <v>36</v>
      </c>
      <c r="N2298" s="12" t="s">
        <v>36</v>
      </c>
      <c r="O2298" s="17" t="s">
        <v>36</v>
      </c>
      <c r="P2298" s="12" t="s">
        <v>36</v>
      </c>
      <c r="Q2298" s="12" t="s">
        <v>36</v>
      </c>
      <c r="R2298" s="12" t="s">
        <v>36</v>
      </c>
      <c r="S2298" s="12" t="s">
        <v>36</v>
      </c>
      <c r="T2298" s="12" t="s">
        <v>12788</v>
      </c>
      <c r="U2298" s="12" t="s">
        <v>180</v>
      </c>
      <c r="V2298" s="12" t="s">
        <v>52</v>
      </c>
      <c r="W2298" s="12" t="s">
        <v>12789</v>
      </c>
      <c r="X2298" s="16" t="s">
        <v>12790</v>
      </c>
      <c r="Y2298" s="15" t="s">
        <v>42</v>
      </c>
      <c r="Z2298" s="14">
        <v>1.43</v>
      </c>
      <c r="AA2298" s="14">
        <v>2.96</v>
      </c>
      <c r="AB2298" s="12" t="s">
        <v>56</v>
      </c>
      <c r="AC2298" s="12" t="s">
        <v>12791</v>
      </c>
      <c r="AD2298" s="13">
        <v>44662</v>
      </c>
      <c r="AE2298" s="12" t="s">
        <v>8291</v>
      </c>
      <c r="AF2298" s="12" t="s">
        <v>12792</v>
      </c>
      <c r="AG2298" s="12" t="s">
        <v>186</v>
      </c>
      <c r="AH2298" s="1">
        <f>HYPERLINK("https://my.pitchbook.com?c=192322-45T","View Company Online")</f>
      </c>
    </row>
    <row r="2299">
      <c r="A2299" s="3" t="s">
        <v>12793</v>
      </c>
      <c r="B2299" s="3" t="s">
        <v>12794</v>
      </c>
      <c r="C2299" s="5" t="s">
        <v>36</v>
      </c>
      <c r="D2299" s="5" t="s">
        <v>36</v>
      </c>
      <c r="E2299" s="5" t="s">
        <v>36</v>
      </c>
      <c r="F2299" s="5" t="s">
        <v>36</v>
      </c>
      <c r="G2299" s="6" t="s">
        <v>36</v>
      </c>
      <c r="H2299" s="4" t="s">
        <v>36</v>
      </c>
      <c r="I2299" s="7" t="s">
        <v>36</v>
      </c>
      <c r="J2299" s="3" t="s">
        <v>36</v>
      </c>
      <c r="K2299" s="9" t="s">
        <v>36</v>
      </c>
      <c r="L2299" s="6" t="s">
        <v>36</v>
      </c>
      <c r="M2299" s="3" t="s">
        <v>36</v>
      </c>
      <c r="N2299" s="3" t="s">
        <v>36</v>
      </c>
      <c r="O2299" s="8" t="s">
        <v>36</v>
      </c>
      <c r="P2299" s="3" t="s">
        <v>36</v>
      </c>
      <c r="Q2299" s="3" t="s">
        <v>36</v>
      </c>
      <c r="R2299" s="3" t="s">
        <v>36</v>
      </c>
      <c r="S2299" s="3" t="s">
        <v>36</v>
      </c>
      <c r="T2299" s="3" t="s">
        <v>10813</v>
      </c>
      <c r="U2299" s="3" t="s">
        <v>648</v>
      </c>
      <c r="V2299" s="3" t="s">
        <v>64</v>
      </c>
      <c r="W2299" s="3" t="s">
        <v>12795</v>
      </c>
      <c r="X2299" s="10" t="s">
        <v>12796</v>
      </c>
      <c r="Y2299" s="6" t="s">
        <v>42</v>
      </c>
      <c r="Z2299" s="4">
        <v>1.65</v>
      </c>
      <c r="AA2299" s="4" t="s">
        <v>36</v>
      </c>
      <c r="AB2299" s="3" t="s">
        <v>43</v>
      </c>
      <c r="AC2299" s="3" t="s">
        <v>12797</v>
      </c>
      <c r="AD2299" s="9">
        <v>44662</v>
      </c>
      <c r="AE2299" s="3" t="s">
        <v>1897</v>
      </c>
      <c r="AF2299" s="3" t="s">
        <v>2409</v>
      </c>
      <c r="AG2299" s="3" t="s">
        <v>6368</v>
      </c>
      <c r="AH2299" s="11">
        <f>HYPERLINK("https://my.pitchbook.com?c=192160-09T","View Company Online")</f>
      </c>
    </row>
    <row r="2300">
      <c r="A2300" s="12" t="s">
        <v>12798</v>
      </c>
      <c r="B2300" s="12" t="s">
        <v>12799</v>
      </c>
      <c r="C2300" s="19" t="s">
        <v>36</v>
      </c>
      <c r="D2300" s="19" t="s">
        <v>36</v>
      </c>
      <c r="E2300" s="19" t="s">
        <v>36</v>
      </c>
      <c r="F2300" s="19" t="s">
        <v>36</v>
      </c>
      <c r="G2300" s="15" t="s">
        <v>326</v>
      </c>
      <c r="H2300" s="14">
        <v>490.79</v>
      </c>
      <c r="I2300" s="18">
        <v>26.77</v>
      </c>
      <c r="J2300" s="12" t="s">
        <v>521</v>
      </c>
      <c r="K2300" s="13" t="s">
        <v>36</v>
      </c>
      <c r="L2300" s="15" t="s">
        <v>36</v>
      </c>
      <c r="M2300" s="12" t="s">
        <v>36</v>
      </c>
      <c r="N2300" s="12" t="s">
        <v>36</v>
      </c>
      <c r="O2300" s="17" t="s">
        <v>36</v>
      </c>
      <c r="P2300" s="12" t="s">
        <v>36</v>
      </c>
      <c r="Q2300" s="12" t="s">
        <v>36</v>
      </c>
      <c r="R2300" s="12" t="s">
        <v>36</v>
      </c>
      <c r="S2300" s="12" t="s">
        <v>36</v>
      </c>
      <c r="T2300" s="12" t="s">
        <v>12800</v>
      </c>
      <c r="U2300" s="12" t="s">
        <v>833</v>
      </c>
      <c r="V2300" s="12" t="s">
        <v>64</v>
      </c>
      <c r="W2300" s="12" t="s">
        <v>12801</v>
      </c>
      <c r="X2300" s="16" t="s">
        <v>12802</v>
      </c>
      <c r="Y2300" s="15" t="s">
        <v>192</v>
      </c>
      <c r="Z2300" s="14">
        <v>38.47</v>
      </c>
      <c r="AA2300" s="14">
        <v>82.35</v>
      </c>
      <c r="AB2300" s="12" t="s">
        <v>56</v>
      </c>
      <c r="AC2300" s="12" t="s">
        <v>12803</v>
      </c>
      <c r="AD2300" s="13">
        <v>44662</v>
      </c>
      <c r="AE2300" s="12" t="s">
        <v>1687</v>
      </c>
      <c r="AF2300" s="12" t="s">
        <v>90</v>
      </c>
      <c r="AG2300" s="12" t="s">
        <v>81</v>
      </c>
      <c r="AH2300" s="1">
        <f>HYPERLINK("https://my.pitchbook.com?c=192106-27T","View Company Online")</f>
      </c>
    </row>
    <row r="2301">
      <c r="A2301" s="3" t="s">
        <v>12804</v>
      </c>
      <c r="B2301" s="3" t="s">
        <v>12805</v>
      </c>
      <c r="C2301" s="5" t="s">
        <v>36</v>
      </c>
      <c r="D2301" s="5" t="s">
        <v>36</v>
      </c>
      <c r="E2301" s="5" t="s">
        <v>36</v>
      </c>
      <c r="F2301" s="5" t="s">
        <v>36</v>
      </c>
      <c r="G2301" s="6" t="s">
        <v>36</v>
      </c>
      <c r="H2301" s="4" t="s">
        <v>36</v>
      </c>
      <c r="I2301" s="7" t="s">
        <v>36</v>
      </c>
      <c r="J2301" s="3" t="s">
        <v>36</v>
      </c>
      <c r="K2301" s="9" t="s">
        <v>36</v>
      </c>
      <c r="L2301" s="6" t="s">
        <v>36</v>
      </c>
      <c r="M2301" s="3" t="s">
        <v>36</v>
      </c>
      <c r="N2301" s="3" t="s">
        <v>36</v>
      </c>
      <c r="O2301" s="8" t="s">
        <v>36</v>
      </c>
      <c r="P2301" s="3" t="s">
        <v>36</v>
      </c>
      <c r="Q2301" s="3" t="s">
        <v>36</v>
      </c>
      <c r="R2301" s="3" t="s">
        <v>36</v>
      </c>
      <c r="S2301" s="3" t="s">
        <v>36</v>
      </c>
      <c r="T2301" s="3" t="s">
        <v>12806</v>
      </c>
      <c r="U2301" s="3" t="s">
        <v>74</v>
      </c>
      <c r="V2301" s="3" t="s">
        <v>75</v>
      </c>
      <c r="W2301" s="3" t="s">
        <v>12807</v>
      </c>
      <c r="X2301" s="10" t="s">
        <v>2433</v>
      </c>
      <c r="Y2301" s="6" t="s">
        <v>192</v>
      </c>
      <c r="Z2301" s="4">
        <v>10</v>
      </c>
      <c r="AA2301" s="4" t="s">
        <v>36</v>
      </c>
      <c r="AB2301" s="3" t="s">
        <v>56</v>
      </c>
      <c r="AC2301" s="3" t="s">
        <v>12808</v>
      </c>
      <c r="AD2301" s="9">
        <v>44662</v>
      </c>
      <c r="AE2301" s="3" t="s">
        <v>975</v>
      </c>
      <c r="AF2301" s="3" t="s">
        <v>12809</v>
      </c>
      <c r="AG2301" s="3" t="s">
        <v>81</v>
      </c>
      <c r="AH2301" s="11">
        <f>HYPERLINK("https://my.pitchbook.com?c=187565-32T","View Company Online")</f>
      </c>
    </row>
    <row r="2302">
      <c r="A2302" s="12" t="s">
        <v>12810</v>
      </c>
      <c r="B2302" s="12" t="s">
        <v>4628</v>
      </c>
      <c r="C2302" s="19" t="s">
        <v>36</v>
      </c>
      <c r="D2302" s="19" t="s">
        <v>36</v>
      </c>
      <c r="E2302" s="19" t="s">
        <v>36</v>
      </c>
      <c r="F2302" s="19" t="s">
        <v>36</v>
      </c>
      <c r="G2302" s="15" t="s">
        <v>36</v>
      </c>
      <c r="H2302" s="14">
        <v>1.47</v>
      </c>
      <c r="I2302" s="18">
        <v>13.87</v>
      </c>
      <c r="J2302" s="12" t="s">
        <v>521</v>
      </c>
      <c r="K2302" s="13">
        <v>44550</v>
      </c>
      <c r="L2302" s="15" t="s">
        <v>36</v>
      </c>
      <c r="M2302" s="12" t="s">
        <v>36</v>
      </c>
      <c r="N2302" s="12" t="s">
        <v>36</v>
      </c>
      <c r="O2302" s="17" t="s">
        <v>36</v>
      </c>
      <c r="P2302" s="12" t="s">
        <v>36</v>
      </c>
      <c r="Q2302" s="12" t="s">
        <v>36</v>
      </c>
      <c r="R2302" s="12" t="s">
        <v>36</v>
      </c>
      <c r="S2302" s="12" t="s">
        <v>36</v>
      </c>
      <c r="T2302" s="12" t="s">
        <v>1365</v>
      </c>
      <c r="U2302" s="12" t="s">
        <v>38</v>
      </c>
      <c r="V2302" s="12" t="s">
        <v>39</v>
      </c>
      <c r="W2302" s="12" t="s">
        <v>4629</v>
      </c>
      <c r="X2302" s="16" t="s">
        <v>12811</v>
      </c>
      <c r="Y2302" s="15" t="s">
        <v>108</v>
      </c>
      <c r="Z2302" s="14">
        <v>1</v>
      </c>
      <c r="AA2302" s="14">
        <v>7.21</v>
      </c>
      <c r="AB2302" s="12" t="s">
        <v>43</v>
      </c>
      <c r="AC2302" s="12" t="s">
        <v>4630</v>
      </c>
      <c r="AD2302" s="13">
        <v>44659</v>
      </c>
      <c r="AE2302" s="12" t="s">
        <v>110</v>
      </c>
      <c r="AF2302" s="12" t="s">
        <v>3860</v>
      </c>
      <c r="AG2302" s="12" t="s">
        <v>186</v>
      </c>
      <c r="AH2302" s="1">
        <f>HYPERLINK("https://my.pitchbook.com?c=190382-50T","View Company Online")</f>
      </c>
    </row>
    <row r="2303">
      <c r="A2303" s="3" t="s">
        <v>12812</v>
      </c>
      <c r="B2303" s="3" t="s">
        <v>8705</v>
      </c>
      <c r="C2303" s="5" t="s">
        <v>36</v>
      </c>
      <c r="D2303" s="5" t="s">
        <v>36</v>
      </c>
      <c r="E2303" s="5" t="s">
        <v>36</v>
      </c>
      <c r="F2303" s="5" t="s">
        <v>36</v>
      </c>
      <c r="G2303" s="6" t="s">
        <v>326</v>
      </c>
      <c r="H2303" s="4">
        <v>744.65</v>
      </c>
      <c r="I2303" s="7">
        <v>16.16</v>
      </c>
      <c r="J2303" s="3" t="s">
        <v>521</v>
      </c>
      <c r="K2303" s="9" t="s">
        <v>36</v>
      </c>
      <c r="L2303" s="6" t="s">
        <v>36</v>
      </c>
      <c r="M2303" s="3" t="s">
        <v>36</v>
      </c>
      <c r="N2303" s="3" t="s">
        <v>36</v>
      </c>
      <c r="O2303" s="8" t="s">
        <v>36</v>
      </c>
      <c r="P2303" s="3" t="s">
        <v>36</v>
      </c>
      <c r="Q2303" s="3" t="s">
        <v>36</v>
      </c>
      <c r="R2303" s="3" t="s">
        <v>36</v>
      </c>
      <c r="S2303" s="3" t="s">
        <v>36</v>
      </c>
      <c r="T2303" s="3" t="s">
        <v>422</v>
      </c>
      <c r="U2303" s="3" t="s">
        <v>423</v>
      </c>
      <c r="V2303" s="3" t="s">
        <v>64</v>
      </c>
      <c r="W2303" s="3" t="s">
        <v>8706</v>
      </c>
      <c r="X2303" s="10" t="s">
        <v>12813</v>
      </c>
      <c r="Y2303" s="6" t="s">
        <v>42</v>
      </c>
      <c r="Z2303" s="4">
        <v>1.46</v>
      </c>
      <c r="AA2303" s="4">
        <v>9.04</v>
      </c>
      <c r="AB2303" s="3" t="s">
        <v>43</v>
      </c>
      <c r="AC2303" s="3" t="s">
        <v>8708</v>
      </c>
      <c r="AD2303" s="9">
        <v>44659</v>
      </c>
      <c r="AE2303" s="3" t="s">
        <v>427</v>
      </c>
      <c r="AF2303" s="3" t="s">
        <v>1061</v>
      </c>
      <c r="AG2303" s="3" t="s">
        <v>81</v>
      </c>
      <c r="AH2303" s="11">
        <f>HYPERLINK("https://my.pitchbook.com?c=216291-43T","View Company Online")</f>
      </c>
    </row>
    <row r="2304">
      <c r="A2304" s="12" t="s">
        <v>12814</v>
      </c>
      <c r="B2304" s="12" t="s">
        <v>12815</v>
      </c>
      <c r="C2304" s="19">
        <v>2</v>
      </c>
      <c r="D2304" s="19" t="s">
        <v>36</v>
      </c>
      <c r="E2304" s="19">
        <v>1</v>
      </c>
      <c r="F2304" s="19">
        <v>2</v>
      </c>
      <c r="G2304" s="15" t="s">
        <v>326</v>
      </c>
      <c r="H2304" s="14">
        <v>63.68</v>
      </c>
      <c r="I2304" s="18">
        <v>9.09</v>
      </c>
      <c r="J2304" s="12" t="s">
        <v>521</v>
      </c>
      <c r="K2304" s="13" t="s">
        <v>36</v>
      </c>
      <c r="L2304" s="15" t="s">
        <v>36</v>
      </c>
      <c r="M2304" s="12" t="s">
        <v>36</v>
      </c>
      <c r="N2304" s="12" t="s">
        <v>36</v>
      </c>
      <c r="O2304" s="17" t="s">
        <v>36</v>
      </c>
      <c r="P2304" s="12" t="s">
        <v>36</v>
      </c>
      <c r="Q2304" s="12" t="s">
        <v>36</v>
      </c>
      <c r="R2304" s="12" t="s">
        <v>36</v>
      </c>
      <c r="S2304" s="12" t="s">
        <v>36</v>
      </c>
      <c r="T2304" s="12" t="s">
        <v>7971</v>
      </c>
      <c r="U2304" s="12" t="s">
        <v>1082</v>
      </c>
      <c r="V2304" s="12" t="s">
        <v>378</v>
      </c>
      <c r="W2304" s="12" t="s">
        <v>12816</v>
      </c>
      <c r="X2304" s="16" t="s">
        <v>12817</v>
      </c>
      <c r="Y2304" s="15" t="s">
        <v>108</v>
      </c>
      <c r="Z2304" s="14">
        <v>6.6</v>
      </c>
      <c r="AA2304" s="14">
        <v>72.64</v>
      </c>
      <c r="AB2304" s="12" t="s">
        <v>56</v>
      </c>
      <c r="AC2304" s="12" t="s">
        <v>12818</v>
      </c>
      <c r="AD2304" s="13">
        <v>44659</v>
      </c>
      <c r="AE2304" s="12" t="s">
        <v>1086</v>
      </c>
      <c r="AF2304" s="12" t="s">
        <v>5435</v>
      </c>
      <c r="AG2304" s="12" t="s">
        <v>419</v>
      </c>
      <c r="AH2304" s="1">
        <f>HYPERLINK("https://my.pitchbook.com?c=203539-42T","View Company Online")</f>
      </c>
    </row>
    <row r="2305">
      <c r="A2305" s="3" t="s">
        <v>12819</v>
      </c>
      <c r="B2305" s="3" t="s">
        <v>1915</v>
      </c>
      <c r="C2305" s="5" t="s">
        <v>36</v>
      </c>
      <c r="D2305" s="5" t="s">
        <v>36</v>
      </c>
      <c r="E2305" s="5" t="s">
        <v>36</v>
      </c>
      <c r="F2305" s="5" t="s">
        <v>36</v>
      </c>
      <c r="G2305" s="6" t="s">
        <v>326</v>
      </c>
      <c r="H2305" s="4">
        <v>24.26</v>
      </c>
      <c r="I2305" s="7">
        <v>27.67</v>
      </c>
      <c r="J2305" s="3" t="s">
        <v>521</v>
      </c>
      <c r="K2305" s="9" t="s">
        <v>36</v>
      </c>
      <c r="L2305" s="6" t="s">
        <v>36</v>
      </c>
      <c r="M2305" s="3" t="s">
        <v>36</v>
      </c>
      <c r="N2305" s="3" t="s">
        <v>36</v>
      </c>
      <c r="O2305" s="8" t="s">
        <v>36</v>
      </c>
      <c r="P2305" s="3" t="s">
        <v>36</v>
      </c>
      <c r="Q2305" s="3" t="s">
        <v>36</v>
      </c>
      <c r="R2305" s="3" t="s">
        <v>36</v>
      </c>
      <c r="S2305" s="3" t="s">
        <v>36</v>
      </c>
      <c r="T2305" s="3" t="s">
        <v>278</v>
      </c>
      <c r="U2305" s="3" t="s">
        <v>279</v>
      </c>
      <c r="V2305" s="3" t="s">
        <v>64</v>
      </c>
      <c r="W2305" s="3" t="s">
        <v>1916</v>
      </c>
      <c r="X2305" s="10" t="s">
        <v>12820</v>
      </c>
      <c r="Y2305" s="6" t="s">
        <v>108</v>
      </c>
      <c r="Z2305" s="4">
        <v>3.3</v>
      </c>
      <c r="AA2305" s="4">
        <v>8.75</v>
      </c>
      <c r="AB2305" s="3" t="s">
        <v>43</v>
      </c>
      <c r="AC2305" s="3" t="s">
        <v>1918</v>
      </c>
      <c r="AD2305" s="9">
        <v>44659</v>
      </c>
      <c r="AE2305" s="3" t="s">
        <v>283</v>
      </c>
      <c r="AF2305" s="3" t="s">
        <v>1919</v>
      </c>
      <c r="AG2305" s="3" t="s">
        <v>443</v>
      </c>
      <c r="AH2305" s="11">
        <f>HYPERLINK("https://my.pitchbook.com?c=192375-19T","View Company Online")</f>
      </c>
    </row>
    <row r="2306">
      <c r="A2306" s="12" t="s">
        <v>12821</v>
      </c>
      <c r="B2306" s="12" t="s">
        <v>12822</v>
      </c>
      <c r="C2306" s="19" t="s">
        <v>36</v>
      </c>
      <c r="D2306" s="19" t="s">
        <v>36</v>
      </c>
      <c r="E2306" s="19" t="s">
        <v>36</v>
      </c>
      <c r="F2306" s="19" t="s">
        <v>36</v>
      </c>
      <c r="G2306" s="15" t="s">
        <v>326</v>
      </c>
      <c r="H2306" s="14">
        <v>120.13</v>
      </c>
      <c r="I2306" s="18">
        <v>21.69</v>
      </c>
      <c r="J2306" s="12" t="s">
        <v>521</v>
      </c>
      <c r="K2306" s="13" t="s">
        <v>36</v>
      </c>
      <c r="L2306" s="15" t="s">
        <v>36</v>
      </c>
      <c r="M2306" s="12" t="s">
        <v>36</v>
      </c>
      <c r="N2306" s="12" t="s">
        <v>36</v>
      </c>
      <c r="O2306" s="17" t="s">
        <v>36</v>
      </c>
      <c r="P2306" s="12" t="s">
        <v>36</v>
      </c>
      <c r="Q2306" s="12" t="s">
        <v>36</v>
      </c>
      <c r="R2306" s="12" t="s">
        <v>36</v>
      </c>
      <c r="S2306" s="12" t="s">
        <v>36</v>
      </c>
      <c r="T2306" s="12" t="s">
        <v>1922</v>
      </c>
      <c r="U2306" s="12" t="s">
        <v>38</v>
      </c>
      <c r="V2306" s="12" t="s">
        <v>39</v>
      </c>
      <c r="W2306" s="12" t="s">
        <v>12823</v>
      </c>
      <c r="X2306" s="16" t="s">
        <v>12824</v>
      </c>
      <c r="Y2306" s="15" t="s">
        <v>108</v>
      </c>
      <c r="Z2306" s="14">
        <v>8.8</v>
      </c>
      <c r="AA2306" s="14">
        <v>25.37</v>
      </c>
      <c r="AB2306" s="12" t="s">
        <v>56</v>
      </c>
      <c r="AC2306" s="12" t="s">
        <v>12825</v>
      </c>
      <c r="AD2306" s="13">
        <v>44659</v>
      </c>
      <c r="AE2306" s="12" t="s">
        <v>1422</v>
      </c>
      <c r="AF2306" s="12" t="s">
        <v>4200</v>
      </c>
      <c r="AG2306" s="12" t="s">
        <v>2760</v>
      </c>
      <c r="AH2306" s="1">
        <f>HYPERLINK("https://my.pitchbook.com?c=192464-74T","View Company Online")</f>
      </c>
    </row>
    <row r="2307">
      <c r="A2307" s="3" t="s">
        <v>12826</v>
      </c>
      <c r="B2307" s="3" t="s">
        <v>12827</v>
      </c>
      <c r="C2307" s="5" t="s">
        <v>36</v>
      </c>
      <c r="D2307" s="5" t="s">
        <v>36</v>
      </c>
      <c r="E2307" s="5" t="s">
        <v>36</v>
      </c>
      <c r="F2307" s="5" t="s">
        <v>36</v>
      </c>
      <c r="G2307" s="6" t="s">
        <v>36</v>
      </c>
      <c r="H2307" s="4">
        <v>80.05</v>
      </c>
      <c r="I2307" s="7">
        <v>6.12</v>
      </c>
      <c r="J2307" s="3" t="s">
        <v>327</v>
      </c>
      <c r="K2307" s="9" t="s">
        <v>36</v>
      </c>
      <c r="L2307" s="6" t="s">
        <v>36</v>
      </c>
      <c r="M2307" s="3" t="s">
        <v>36</v>
      </c>
      <c r="N2307" s="3" t="s">
        <v>36</v>
      </c>
      <c r="O2307" s="8" t="s">
        <v>36</v>
      </c>
      <c r="P2307" s="3" t="s">
        <v>36</v>
      </c>
      <c r="Q2307" s="3" t="s">
        <v>36</v>
      </c>
      <c r="R2307" s="3" t="s">
        <v>36</v>
      </c>
      <c r="S2307" s="3" t="s">
        <v>36</v>
      </c>
      <c r="T2307" s="3" t="s">
        <v>5302</v>
      </c>
      <c r="U2307" s="3" t="s">
        <v>74</v>
      </c>
      <c r="V2307" s="3" t="s">
        <v>75</v>
      </c>
      <c r="W2307" s="3" t="s">
        <v>12828</v>
      </c>
      <c r="X2307" s="10" t="s">
        <v>12829</v>
      </c>
      <c r="Y2307" s="6" t="s">
        <v>42</v>
      </c>
      <c r="Z2307" s="4">
        <v>0.55</v>
      </c>
      <c r="AA2307" s="4">
        <v>9.04</v>
      </c>
      <c r="AB2307" s="3" t="s">
        <v>43</v>
      </c>
      <c r="AC2307" s="3" t="s">
        <v>12830</v>
      </c>
      <c r="AD2307" s="9">
        <v>44659</v>
      </c>
      <c r="AE2307" s="3" t="s">
        <v>362</v>
      </c>
      <c r="AF2307" s="3" t="s">
        <v>250</v>
      </c>
      <c r="AG2307" s="3" t="s">
        <v>81</v>
      </c>
      <c r="AH2307" s="11">
        <f>HYPERLINK("https://my.pitchbook.com?c=226414-09T","View Company Online")</f>
      </c>
    </row>
    <row r="2308">
      <c r="A2308" s="12" t="s">
        <v>12831</v>
      </c>
      <c r="B2308" s="12" t="s">
        <v>6656</v>
      </c>
      <c r="C2308" s="19">
        <v>26</v>
      </c>
      <c r="D2308" s="19">
        <v>25</v>
      </c>
      <c r="E2308" s="19">
        <v>11</v>
      </c>
      <c r="F2308" s="19">
        <v>54</v>
      </c>
      <c r="G2308" s="15" t="s">
        <v>2497</v>
      </c>
      <c r="H2308" s="14">
        <v>106.5</v>
      </c>
      <c r="I2308" s="18">
        <v>6.63</v>
      </c>
      <c r="J2308" s="12" t="s">
        <v>521</v>
      </c>
      <c r="K2308" s="13" t="s">
        <v>36</v>
      </c>
      <c r="L2308" s="15" t="s">
        <v>36</v>
      </c>
      <c r="M2308" s="12" t="s">
        <v>36</v>
      </c>
      <c r="N2308" s="12" t="s">
        <v>36</v>
      </c>
      <c r="O2308" s="17" t="s">
        <v>36</v>
      </c>
      <c r="P2308" s="12" t="s">
        <v>36</v>
      </c>
      <c r="Q2308" s="12" t="s">
        <v>36</v>
      </c>
      <c r="R2308" s="12" t="s">
        <v>36</v>
      </c>
      <c r="S2308" s="12" t="s">
        <v>6657</v>
      </c>
      <c r="T2308" s="12" t="s">
        <v>6658</v>
      </c>
      <c r="U2308" s="12" t="s">
        <v>74</v>
      </c>
      <c r="V2308" s="12" t="s">
        <v>75</v>
      </c>
      <c r="W2308" s="12" t="s">
        <v>6659</v>
      </c>
      <c r="X2308" s="16" t="s">
        <v>7962</v>
      </c>
      <c r="Y2308" s="15" t="s">
        <v>55</v>
      </c>
      <c r="Z2308" s="14">
        <v>0.36</v>
      </c>
      <c r="AA2308" s="14">
        <v>5.48</v>
      </c>
      <c r="AB2308" s="12" t="s">
        <v>56</v>
      </c>
      <c r="AC2308" s="12" t="s">
        <v>6661</v>
      </c>
      <c r="AD2308" s="13">
        <v>44658</v>
      </c>
      <c r="AE2308" s="12" t="s">
        <v>570</v>
      </c>
      <c r="AF2308" s="12" t="s">
        <v>871</v>
      </c>
      <c r="AG2308" s="12" t="s">
        <v>392</v>
      </c>
      <c r="AH2308" s="1">
        <f>HYPERLINK("https://my.pitchbook.com?c=214381-45T","View Company Online")</f>
      </c>
    </row>
    <row r="2309">
      <c r="A2309" s="3" t="s">
        <v>12832</v>
      </c>
      <c r="B2309" s="3" t="s">
        <v>12833</v>
      </c>
      <c r="C2309" s="5">
        <v>2</v>
      </c>
      <c r="D2309" s="5">
        <v>2</v>
      </c>
      <c r="E2309" s="5">
        <v>2</v>
      </c>
      <c r="F2309" s="5">
        <v>4</v>
      </c>
      <c r="G2309" s="6" t="s">
        <v>36</v>
      </c>
      <c r="H2309" s="4" t="s">
        <v>36</v>
      </c>
      <c r="I2309" s="7" t="s">
        <v>36</v>
      </c>
      <c r="J2309" s="3" t="s">
        <v>36</v>
      </c>
      <c r="K2309" s="9">
        <v>44454</v>
      </c>
      <c r="L2309" s="6" t="s">
        <v>94</v>
      </c>
      <c r="M2309" s="3" t="s">
        <v>36</v>
      </c>
      <c r="N2309" s="3" t="s">
        <v>94</v>
      </c>
      <c r="O2309" s="8" t="s">
        <v>36</v>
      </c>
      <c r="P2309" s="3" t="s">
        <v>36</v>
      </c>
      <c r="Q2309" s="3" t="s">
        <v>36</v>
      </c>
      <c r="R2309" s="3" t="s">
        <v>36</v>
      </c>
      <c r="S2309" s="3" t="s">
        <v>36</v>
      </c>
      <c r="T2309" s="3" t="s">
        <v>692</v>
      </c>
      <c r="U2309" s="3" t="s">
        <v>74</v>
      </c>
      <c r="V2309" s="3" t="s">
        <v>75</v>
      </c>
      <c r="W2309" s="3" t="s">
        <v>12834</v>
      </c>
      <c r="X2309" s="10" t="s">
        <v>12835</v>
      </c>
      <c r="Y2309" s="6" t="s">
        <v>192</v>
      </c>
      <c r="Z2309" s="4">
        <v>33.02</v>
      </c>
      <c r="AA2309" s="4" t="s">
        <v>36</v>
      </c>
      <c r="AB2309" s="3" t="s">
        <v>56</v>
      </c>
      <c r="AC2309" s="3" t="s">
        <v>12836</v>
      </c>
      <c r="AD2309" s="9">
        <v>44658</v>
      </c>
      <c r="AE2309" s="3" t="s">
        <v>696</v>
      </c>
      <c r="AF2309" s="3" t="s">
        <v>12837</v>
      </c>
      <c r="AG2309" s="3" t="s">
        <v>81</v>
      </c>
      <c r="AH2309" s="11">
        <f>HYPERLINK("https://my.pitchbook.com?c=193332-97T","View Company Online")</f>
      </c>
    </row>
    <row r="2310">
      <c r="A2310" s="12" t="s">
        <v>12838</v>
      </c>
      <c r="B2310" s="12" t="s">
        <v>5339</v>
      </c>
      <c r="C2310" s="19">
        <v>12</v>
      </c>
      <c r="D2310" s="19">
        <v>31</v>
      </c>
      <c r="E2310" s="19">
        <v>16</v>
      </c>
      <c r="F2310" s="19">
        <v>58</v>
      </c>
      <c r="G2310" s="15" t="s">
        <v>683</v>
      </c>
      <c r="H2310" s="14">
        <v>212.52</v>
      </c>
      <c r="I2310" s="18">
        <v>26.87</v>
      </c>
      <c r="J2310" s="12" t="s">
        <v>521</v>
      </c>
      <c r="K2310" s="13" t="s">
        <v>36</v>
      </c>
      <c r="L2310" s="15" t="s">
        <v>122</v>
      </c>
      <c r="M2310" s="12" t="s">
        <v>36</v>
      </c>
      <c r="N2310" s="12" t="s">
        <v>122</v>
      </c>
      <c r="O2310" s="17" t="s">
        <v>36</v>
      </c>
      <c r="P2310" s="12" t="s">
        <v>36</v>
      </c>
      <c r="Q2310" s="12" t="s">
        <v>36</v>
      </c>
      <c r="R2310" s="12" t="s">
        <v>36</v>
      </c>
      <c r="S2310" s="12" t="s">
        <v>36</v>
      </c>
      <c r="T2310" s="12" t="s">
        <v>881</v>
      </c>
      <c r="U2310" s="12" t="s">
        <v>51</v>
      </c>
      <c r="V2310" s="12" t="s">
        <v>52</v>
      </c>
      <c r="W2310" s="12" t="s">
        <v>5340</v>
      </c>
      <c r="X2310" s="16" t="s">
        <v>12839</v>
      </c>
      <c r="Y2310" s="15" t="s">
        <v>55</v>
      </c>
      <c r="Z2310" s="14">
        <v>13.87</v>
      </c>
      <c r="AA2310" s="14">
        <v>30.48</v>
      </c>
      <c r="AB2310" s="12" t="s">
        <v>56</v>
      </c>
      <c r="AC2310" s="12" t="s">
        <v>5342</v>
      </c>
      <c r="AD2310" s="13">
        <v>44657</v>
      </c>
      <c r="AE2310" s="12" t="s">
        <v>504</v>
      </c>
      <c r="AF2310" s="12" t="s">
        <v>5343</v>
      </c>
      <c r="AG2310" s="12" t="s">
        <v>539</v>
      </c>
      <c r="AH2310" s="1">
        <f>HYPERLINK("https://my.pitchbook.com?c=181337-86T","View Company Online")</f>
      </c>
    </row>
    <row r="2311">
      <c r="A2311" s="3" t="s">
        <v>12840</v>
      </c>
      <c r="B2311" s="3" t="s">
        <v>2301</v>
      </c>
      <c r="C2311" s="5">
        <v>2</v>
      </c>
      <c r="D2311" s="5" t="s">
        <v>36</v>
      </c>
      <c r="E2311" s="5">
        <v>1</v>
      </c>
      <c r="F2311" s="5">
        <v>2</v>
      </c>
      <c r="G2311" s="6" t="s">
        <v>326</v>
      </c>
      <c r="H2311" s="4">
        <v>11.48</v>
      </c>
      <c r="I2311" s="7">
        <v>5</v>
      </c>
      <c r="J2311" s="3" t="s">
        <v>521</v>
      </c>
      <c r="K2311" s="9" t="s">
        <v>36</v>
      </c>
      <c r="L2311" s="6" t="s">
        <v>1279</v>
      </c>
      <c r="M2311" s="3" t="s">
        <v>36</v>
      </c>
      <c r="N2311" s="3" t="s">
        <v>1279</v>
      </c>
      <c r="O2311" s="8" t="s">
        <v>36</v>
      </c>
      <c r="P2311" s="3" t="s">
        <v>3530</v>
      </c>
      <c r="Q2311" s="3" t="s">
        <v>3530</v>
      </c>
      <c r="R2311" s="3" t="s">
        <v>12841</v>
      </c>
      <c r="S2311" s="3" t="s">
        <v>2302</v>
      </c>
      <c r="T2311" s="3" t="s">
        <v>1344</v>
      </c>
      <c r="U2311" s="3" t="s">
        <v>38</v>
      </c>
      <c r="V2311" s="3" t="s">
        <v>39</v>
      </c>
      <c r="W2311" s="3" t="s">
        <v>2303</v>
      </c>
      <c r="X2311" s="10" t="s">
        <v>12842</v>
      </c>
      <c r="Y2311" s="6" t="s">
        <v>55</v>
      </c>
      <c r="Z2311" s="4">
        <v>100</v>
      </c>
      <c r="AA2311" s="4">
        <v>2000</v>
      </c>
      <c r="AB2311" s="3" t="s">
        <v>56</v>
      </c>
      <c r="AC2311" s="3" t="s">
        <v>2305</v>
      </c>
      <c r="AD2311" s="9">
        <v>44657</v>
      </c>
      <c r="AE2311" s="3" t="s">
        <v>110</v>
      </c>
      <c r="AF2311" s="3" t="s">
        <v>111</v>
      </c>
      <c r="AG2311" s="3" t="s">
        <v>81</v>
      </c>
      <c r="AH2311" s="11">
        <f>HYPERLINK("https://my.pitchbook.com?c=193715-92T","View Company Online")</f>
      </c>
    </row>
    <row r="2312">
      <c r="A2312" s="12" t="s">
        <v>12843</v>
      </c>
      <c r="B2312" s="12" t="s">
        <v>12844</v>
      </c>
      <c r="C2312" s="19" t="s">
        <v>36</v>
      </c>
      <c r="D2312" s="19" t="s">
        <v>36</v>
      </c>
      <c r="E2312" s="19" t="s">
        <v>36</v>
      </c>
      <c r="F2312" s="19" t="s">
        <v>36</v>
      </c>
      <c r="G2312" s="15" t="s">
        <v>36</v>
      </c>
      <c r="H2312" s="14">
        <v>38.95</v>
      </c>
      <c r="I2312" s="18">
        <v>30.56</v>
      </c>
      <c r="J2312" s="12" t="s">
        <v>521</v>
      </c>
      <c r="K2312" s="13" t="s">
        <v>36</v>
      </c>
      <c r="L2312" s="15" t="s">
        <v>36</v>
      </c>
      <c r="M2312" s="12" t="s">
        <v>36</v>
      </c>
      <c r="N2312" s="12" t="s">
        <v>36</v>
      </c>
      <c r="O2312" s="17" t="s">
        <v>36</v>
      </c>
      <c r="P2312" s="12" t="s">
        <v>36</v>
      </c>
      <c r="Q2312" s="12" t="s">
        <v>36</v>
      </c>
      <c r="R2312" s="12" t="s">
        <v>36</v>
      </c>
      <c r="S2312" s="12" t="s">
        <v>36</v>
      </c>
      <c r="T2312" s="12" t="s">
        <v>3253</v>
      </c>
      <c r="U2312" s="12" t="s">
        <v>38</v>
      </c>
      <c r="V2312" s="12" t="s">
        <v>39</v>
      </c>
      <c r="W2312" s="12" t="s">
        <v>12845</v>
      </c>
      <c r="X2312" s="16" t="s">
        <v>12846</v>
      </c>
      <c r="Y2312" s="15" t="s">
        <v>42</v>
      </c>
      <c r="Z2312" s="14">
        <v>2.62</v>
      </c>
      <c r="AA2312" s="14">
        <v>5.94</v>
      </c>
      <c r="AB2312" s="12" t="s">
        <v>43</v>
      </c>
      <c r="AC2312" s="12" t="s">
        <v>12847</v>
      </c>
      <c r="AD2312" s="13">
        <v>44657</v>
      </c>
      <c r="AE2312" s="12" t="s">
        <v>785</v>
      </c>
      <c r="AF2312" s="12" t="s">
        <v>111</v>
      </c>
      <c r="AG2312" s="12" t="s">
        <v>47</v>
      </c>
      <c r="AH2312" s="1">
        <f>HYPERLINK("https://my.pitchbook.com?c=192728-62T","View Company Online")</f>
      </c>
    </row>
    <row r="2313">
      <c r="A2313" s="3" t="s">
        <v>12848</v>
      </c>
      <c r="B2313" s="3" t="s">
        <v>12849</v>
      </c>
      <c r="C2313" s="5">
        <v>21</v>
      </c>
      <c r="D2313" s="5">
        <v>52</v>
      </c>
      <c r="E2313" s="5">
        <v>7</v>
      </c>
      <c r="F2313" s="5">
        <v>73</v>
      </c>
      <c r="G2313" s="6" t="s">
        <v>683</v>
      </c>
      <c r="H2313" s="4">
        <v>310.19</v>
      </c>
      <c r="I2313" s="7">
        <v>33.08</v>
      </c>
      <c r="J2313" s="3" t="s">
        <v>521</v>
      </c>
      <c r="K2313" s="9" t="s">
        <v>36</v>
      </c>
      <c r="L2313" s="6" t="s">
        <v>3736</v>
      </c>
      <c r="M2313" s="3" t="s">
        <v>36</v>
      </c>
      <c r="N2313" s="3" t="s">
        <v>3736</v>
      </c>
      <c r="O2313" s="8" t="s">
        <v>36</v>
      </c>
      <c r="P2313" s="3" t="s">
        <v>36</v>
      </c>
      <c r="Q2313" s="3" t="s">
        <v>36</v>
      </c>
      <c r="R2313" s="3" t="s">
        <v>36</v>
      </c>
      <c r="S2313" s="3" t="s">
        <v>36</v>
      </c>
      <c r="T2313" s="3" t="s">
        <v>4225</v>
      </c>
      <c r="U2313" s="3" t="s">
        <v>96</v>
      </c>
      <c r="V2313" s="3" t="s">
        <v>52</v>
      </c>
      <c r="W2313" s="3" t="s">
        <v>12850</v>
      </c>
      <c r="X2313" s="10" t="s">
        <v>12851</v>
      </c>
      <c r="Y2313" s="6" t="s">
        <v>1067</v>
      </c>
      <c r="Z2313" s="4">
        <v>48.47</v>
      </c>
      <c r="AA2313" s="4">
        <v>146.54</v>
      </c>
      <c r="AB2313" s="3" t="s">
        <v>56</v>
      </c>
      <c r="AC2313" s="3" t="s">
        <v>12852</v>
      </c>
      <c r="AD2313" s="9">
        <v>44656</v>
      </c>
      <c r="AE2313" s="3" t="s">
        <v>143</v>
      </c>
      <c r="AF2313" s="3" t="s">
        <v>6285</v>
      </c>
      <c r="AG2313" s="3" t="s">
        <v>81</v>
      </c>
      <c r="AH2313" s="11">
        <f>HYPERLINK("https://my.pitchbook.com?c=191619-28T","View Company Online")</f>
      </c>
    </row>
    <row r="2314">
      <c r="A2314" s="12" t="s">
        <v>12853</v>
      </c>
      <c r="B2314" s="12" t="s">
        <v>4075</v>
      </c>
      <c r="C2314" s="19" t="s">
        <v>36</v>
      </c>
      <c r="D2314" s="19" t="s">
        <v>36</v>
      </c>
      <c r="E2314" s="19" t="s">
        <v>36</v>
      </c>
      <c r="F2314" s="19" t="s">
        <v>36</v>
      </c>
      <c r="G2314" s="15" t="s">
        <v>326</v>
      </c>
      <c r="H2314" s="14">
        <v>25.01</v>
      </c>
      <c r="I2314" s="18">
        <v>20.15</v>
      </c>
      <c r="J2314" s="12" t="s">
        <v>521</v>
      </c>
      <c r="K2314" s="13" t="s">
        <v>36</v>
      </c>
      <c r="L2314" s="15" t="s">
        <v>94</v>
      </c>
      <c r="M2314" s="12" t="s">
        <v>36</v>
      </c>
      <c r="N2314" s="12" t="s">
        <v>94</v>
      </c>
      <c r="O2314" s="17" t="s">
        <v>36</v>
      </c>
      <c r="P2314" s="12" t="s">
        <v>36</v>
      </c>
      <c r="Q2314" s="12" t="s">
        <v>36</v>
      </c>
      <c r="R2314" s="12" t="s">
        <v>36</v>
      </c>
      <c r="S2314" s="12" t="s">
        <v>36</v>
      </c>
      <c r="T2314" s="12" t="s">
        <v>2658</v>
      </c>
      <c r="U2314" s="12" t="s">
        <v>38</v>
      </c>
      <c r="V2314" s="12" t="s">
        <v>39</v>
      </c>
      <c r="W2314" s="12" t="s">
        <v>4076</v>
      </c>
      <c r="X2314" s="16" t="s">
        <v>12854</v>
      </c>
      <c r="Y2314" s="15" t="s">
        <v>55</v>
      </c>
      <c r="Z2314" s="14">
        <v>80.33</v>
      </c>
      <c r="AA2314" s="14">
        <v>354.06</v>
      </c>
      <c r="AB2314" s="12" t="s">
        <v>43</v>
      </c>
      <c r="AC2314" s="12" t="s">
        <v>4078</v>
      </c>
      <c r="AD2314" s="13">
        <v>44656</v>
      </c>
      <c r="AE2314" s="12" t="s">
        <v>110</v>
      </c>
      <c r="AF2314" s="12" t="s">
        <v>4079</v>
      </c>
      <c r="AG2314" s="12" t="s">
        <v>652</v>
      </c>
      <c r="AH2314" s="1">
        <f>HYPERLINK("https://my.pitchbook.com?c=191589-31T","View Company Online")</f>
      </c>
    </row>
    <row r="2315">
      <c r="A2315" s="3" t="s">
        <v>12855</v>
      </c>
      <c r="B2315" s="3" t="s">
        <v>12856</v>
      </c>
      <c r="C2315" s="5" t="s">
        <v>36</v>
      </c>
      <c r="D2315" s="5" t="s">
        <v>36</v>
      </c>
      <c r="E2315" s="5" t="s">
        <v>36</v>
      </c>
      <c r="F2315" s="5" t="s">
        <v>36</v>
      </c>
      <c r="G2315" s="6" t="s">
        <v>326</v>
      </c>
      <c r="H2315" s="4">
        <v>171.97</v>
      </c>
      <c r="I2315" s="7">
        <v>22.87</v>
      </c>
      <c r="J2315" s="3" t="s">
        <v>521</v>
      </c>
      <c r="K2315" s="9" t="s">
        <v>36</v>
      </c>
      <c r="L2315" s="6" t="s">
        <v>122</v>
      </c>
      <c r="M2315" s="3" t="s">
        <v>36</v>
      </c>
      <c r="N2315" s="3" t="s">
        <v>122</v>
      </c>
      <c r="O2315" s="8" t="s">
        <v>36</v>
      </c>
      <c r="P2315" s="3" t="s">
        <v>36</v>
      </c>
      <c r="Q2315" s="3" t="s">
        <v>36</v>
      </c>
      <c r="R2315" s="3" t="s">
        <v>36</v>
      </c>
      <c r="S2315" s="3" t="s">
        <v>36</v>
      </c>
      <c r="T2315" s="3" t="s">
        <v>4876</v>
      </c>
      <c r="U2315" s="3" t="s">
        <v>1357</v>
      </c>
      <c r="V2315" s="3" t="s">
        <v>52</v>
      </c>
      <c r="W2315" s="3" t="s">
        <v>12857</v>
      </c>
      <c r="X2315" s="10" t="s">
        <v>12858</v>
      </c>
      <c r="Y2315" s="6" t="s">
        <v>108</v>
      </c>
      <c r="Z2315" s="4">
        <v>16.5</v>
      </c>
      <c r="AA2315" s="4">
        <v>54.92</v>
      </c>
      <c r="AB2315" s="3" t="s">
        <v>43</v>
      </c>
      <c r="AC2315" s="3" t="s">
        <v>12859</v>
      </c>
      <c r="AD2315" s="9">
        <v>44655</v>
      </c>
      <c r="AE2315" s="3" t="s">
        <v>2808</v>
      </c>
      <c r="AF2315" s="3" t="s">
        <v>250</v>
      </c>
      <c r="AG2315" s="3" t="s">
        <v>81</v>
      </c>
      <c r="AH2315" s="11">
        <f>HYPERLINK("https://my.pitchbook.com?c=194588-92T","View Company Online")</f>
      </c>
    </row>
    <row r="2316">
      <c r="A2316" s="12" t="s">
        <v>12860</v>
      </c>
      <c r="B2316" s="12" t="s">
        <v>12861</v>
      </c>
      <c r="C2316" s="19" t="s">
        <v>36</v>
      </c>
      <c r="D2316" s="19" t="s">
        <v>36</v>
      </c>
      <c r="E2316" s="19" t="s">
        <v>36</v>
      </c>
      <c r="F2316" s="19" t="s">
        <v>36</v>
      </c>
      <c r="G2316" s="15" t="s">
        <v>683</v>
      </c>
      <c r="H2316" s="14">
        <v>90.08</v>
      </c>
      <c r="I2316" s="18">
        <v>42.79</v>
      </c>
      <c r="J2316" s="12" t="s">
        <v>521</v>
      </c>
      <c r="K2316" s="13" t="s">
        <v>36</v>
      </c>
      <c r="L2316" s="15" t="s">
        <v>36</v>
      </c>
      <c r="M2316" s="12" t="s">
        <v>36</v>
      </c>
      <c r="N2316" s="12" t="s">
        <v>36</v>
      </c>
      <c r="O2316" s="17" t="s">
        <v>36</v>
      </c>
      <c r="P2316" s="12" t="s">
        <v>36</v>
      </c>
      <c r="Q2316" s="12" t="s">
        <v>36</v>
      </c>
      <c r="R2316" s="12" t="s">
        <v>36</v>
      </c>
      <c r="S2316" s="12" t="s">
        <v>36</v>
      </c>
      <c r="T2316" s="12" t="s">
        <v>8342</v>
      </c>
      <c r="U2316" s="12" t="s">
        <v>85</v>
      </c>
      <c r="V2316" s="12" t="s">
        <v>64</v>
      </c>
      <c r="W2316" s="12" t="s">
        <v>12862</v>
      </c>
      <c r="X2316" s="16" t="s">
        <v>12863</v>
      </c>
      <c r="Y2316" s="15" t="s">
        <v>108</v>
      </c>
      <c r="Z2316" s="14">
        <v>3.33</v>
      </c>
      <c r="AA2316" s="14">
        <v>7.78</v>
      </c>
      <c r="AB2316" s="12" t="s">
        <v>56</v>
      </c>
      <c r="AC2316" s="12" t="s">
        <v>12864</v>
      </c>
      <c r="AD2316" s="13">
        <v>44655</v>
      </c>
      <c r="AE2316" s="12" t="s">
        <v>2823</v>
      </c>
      <c r="AF2316" s="12" t="s">
        <v>12865</v>
      </c>
      <c r="AG2316" s="12" t="s">
        <v>12866</v>
      </c>
      <c r="AH2316" s="1">
        <f>HYPERLINK("https://my.pitchbook.com?c=195567-85T","View Company Online")</f>
      </c>
    </row>
    <row r="2317">
      <c r="A2317" s="3" t="s">
        <v>12867</v>
      </c>
      <c r="B2317" s="3" t="s">
        <v>8916</v>
      </c>
      <c r="C2317" s="5" t="s">
        <v>36</v>
      </c>
      <c r="D2317" s="5">
        <v>2</v>
      </c>
      <c r="E2317" s="5">
        <v>1</v>
      </c>
      <c r="F2317" s="5">
        <v>7</v>
      </c>
      <c r="G2317" s="6" t="s">
        <v>36</v>
      </c>
      <c r="H2317" s="4">
        <v>2047.75</v>
      </c>
      <c r="I2317" s="7" t="s">
        <v>36</v>
      </c>
      <c r="J2317" s="3" t="s">
        <v>521</v>
      </c>
      <c r="K2317" s="9" t="s">
        <v>36</v>
      </c>
      <c r="L2317" s="6" t="s">
        <v>122</v>
      </c>
      <c r="M2317" s="3" t="s">
        <v>36</v>
      </c>
      <c r="N2317" s="3" t="s">
        <v>122</v>
      </c>
      <c r="O2317" s="8" t="s">
        <v>36</v>
      </c>
      <c r="P2317" s="3" t="s">
        <v>36</v>
      </c>
      <c r="Q2317" s="3" t="s">
        <v>36</v>
      </c>
      <c r="R2317" s="3" t="s">
        <v>36</v>
      </c>
      <c r="S2317" s="3" t="s">
        <v>36</v>
      </c>
      <c r="T2317" s="3" t="s">
        <v>8917</v>
      </c>
      <c r="U2317" s="3" t="s">
        <v>74</v>
      </c>
      <c r="V2317" s="3" t="s">
        <v>75</v>
      </c>
      <c r="W2317" s="3" t="s">
        <v>8918</v>
      </c>
      <c r="X2317" s="10" t="s">
        <v>12868</v>
      </c>
      <c r="Y2317" s="6" t="s">
        <v>42</v>
      </c>
      <c r="Z2317" s="4">
        <v>5.17</v>
      </c>
      <c r="AA2317" s="4">
        <v>34.53</v>
      </c>
      <c r="AB2317" s="3" t="s">
        <v>43</v>
      </c>
      <c r="AC2317" s="3" t="s">
        <v>8920</v>
      </c>
      <c r="AD2317" s="9">
        <v>44655</v>
      </c>
      <c r="AE2317" s="3" t="s">
        <v>570</v>
      </c>
      <c r="AF2317" s="3" t="s">
        <v>36</v>
      </c>
      <c r="AG2317" s="3" t="s">
        <v>8921</v>
      </c>
      <c r="AH2317" s="11">
        <f>HYPERLINK("https://my.pitchbook.com?c=158688-19T","View Company Online")</f>
      </c>
    </row>
    <row r="2318">
      <c r="A2318" s="12" t="s">
        <v>12869</v>
      </c>
      <c r="B2318" s="12" t="s">
        <v>12870</v>
      </c>
      <c r="C2318" s="19" t="s">
        <v>36</v>
      </c>
      <c r="D2318" s="19">
        <v>2</v>
      </c>
      <c r="E2318" s="19">
        <v>1</v>
      </c>
      <c r="F2318" s="19">
        <v>2</v>
      </c>
      <c r="G2318" s="15" t="s">
        <v>36</v>
      </c>
      <c r="H2318" s="14" t="s">
        <v>36</v>
      </c>
      <c r="I2318" s="18" t="s">
        <v>36</v>
      </c>
      <c r="J2318" s="12" t="s">
        <v>36</v>
      </c>
      <c r="K2318" s="13" t="s">
        <v>36</v>
      </c>
      <c r="L2318" s="15" t="s">
        <v>36</v>
      </c>
      <c r="M2318" s="12" t="s">
        <v>36</v>
      </c>
      <c r="N2318" s="12" t="s">
        <v>36</v>
      </c>
      <c r="O2318" s="17" t="s">
        <v>36</v>
      </c>
      <c r="P2318" s="12" t="s">
        <v>36</v>
      </c>
      <c r="Q2318" s="12" t="s">
        <v>36</v>
      </c>
      <c r="R2318" s="12" t="s">
        <v>36</v>
      </c>
      <c r="S2318" s="12" t="s">
        <v>36</v>
      </c>
      <c r="T2318" s="12" t="s">
        <v>3729</v>
      </c>
      <c r="U2318" s="12" t="s">
        <v>219</v>
      </c>
      <c r="V2318" s="12" t="s">
        <v>75</v>
      </c>
      <c r="W2318" s="12" t="s">
        <v>12871</v>
      </c>
      <c r="X2318" s="16" t="s">
        <v>12872</v>
      </c>
      <c r="Y2318" s="15" t="s">
        <v>108</v>
      </c>
      <c r="Z2318" s="14">
        <v>5.5</v>
      </c>
      <c r="AA2318" s="14" t="s">
        <v>36</v>
      </c>
      <c r="AB2318" s="12" t="s">
        <v>56</v>
      </c>
      <c r="AC2318" s="12" t="s">
        <v>12873</v>
      </c>
      <c r="AD2318" s="13">
        <v>44654</v>
      </c>
      <c r="AE2318" s="12" t="s">
        <v>1032</v>
      </c>
      <c r="AF2318" s="12" t="s">
        <v>1340</v>
      </c>
      <c r="AG2318" s="12" t="s">
        <v>81</v>
      </c>
      <c r="AH2318" s="1">
        <f>HYPERLINK("https://my.pitchbook.com?c=189651-88T","View Company Online")</f>
      </c>
    </row>
    <row r="2319">
      <c r="A2319" s="3" t="s">
        <v>12874</v>
      </c>
      <c r="B2319" s="3" t="s">
        <v>11458</v>
      </c>
      <c r="C2319" s="5" t="s">
        <v>36</v>
      </c>
      <c r="D2319" s="5" t="s">
        <v>36</v>
      </c>
      <c r="E2319" s="5" t="s">
        <v>36</v>
      </c>
      <c r="F2319" s="5" t="s">
        <v>36</v>
      </c>
      <c r="G2319" s="6" t="s">
        <v>36</v>
      </c>
      <c r="H2319" s="4" t="s">
        <v>36</v>
      </c>
      <c r="I2319" s="7" t="s">
        <v>36</v>
      </c>
      <c r="J2319" s="3" t="s">
        <v>36</v>
      </c>
      <c r="K2319" s="9" t="s">
        <v>36</v>
      </c>
      <c r="L2319" s="6" t="s">
        <v>36</v>
      </c>
      <c r="M2319" s="3" t="s">
        <v>36</v>
      </c>
      <c r="N2319" s="3" t="s">
        <v>36</v>
      </c>
      <c r="O2319" s="8" t="s">
        <v>36</v>
      </c>
      <c r="P2319" s="3" t="s">
        <v>36</v>
      </c>
      <c r="Q2319" s="3" t="s">
        <v>36</v>
      </c>
      <c r="R2319" s="3" t="s">
        <v>36</v>
      </c>
      <c r="S2319" s="3" t="s">
        <v>196</v>
      </c>
      <c r="T2319" s="3" t="s">
        <v>1106</v>
      </c>
      <c r="U2319" s="3" t="s">
        <v>38</v>
      </c>
      <c r="V2319" s="3" t="s">
        <v>39</v>
      </c>
      <c r="W2319" s="3" t="s">
        <v>11459</v>
      </c>
      <c r="X2319" s="10" t="s">
        <v>12875</v>
      </c>
      <c r="Y2319" s="6" t="s">
        <v>192</v>
      </c>
      <c r="Z2319" s="4">
        <v>9.18</v>
      </c>
      <c r="AA2319" s="4" t="s">
        <v>36</v>
      </c>
      <c r="AB2319" s="3" t="s">
        <v>56</v>
      </c>
      <c r="AC2319" s="3" t="s">
        <v>11461</v>
      </c>
      <c r="AD2319" s="9">
        <v>44652</v>
      </c>
      <c r="AE2319" s="3" t="s">
        <v>110</v>
      </c>
      <c r="AF2319" s="3" t="s">
        <v>11462</v>
      </c>
      <c r="AG2319" s="3" t="s">
        <v>741</v>
      </c>
      <c r="AH2319" s="11">
        <f>HYPERLINK("https://my.pitchbook.com?c=186418-18T","View Company Online")</f>
      </c>
    </row>
    <row r="2320">
      <c r="A2320" s="12" t="s">
        <v>12876</v>
      </c>
      <c r="B2320" s="12" t="s">
        <v>12877</v>
      </c>
      <c r="C2320" s="19" t="s">
        <v>36</v>
      </c>
      <c r="D2320" s="19" t="s">
        <v>36</v>
      </c>
      <c r="E2320" s="19" t="s">
        <v>36</v>
      </c>
      <c r="F2320" s="19" t="s">
        <v>36</v>
      </c>
      <c r="G2320" s="15" t="s">
        <v>36</v>
      </c>
      <c r="H2320" s="14" t="s">
        <v>36</v>
      </c>
      <c r="I2320" s="18" t="s">
        <v>36</v>
      </c>
      <c r="J2320" s="12" t="s">
        <v>36</v>
      </c>
      <c r="K2320" s="13" t="s">
        <v>36</v>
      </c>
      <c r="L2320" s="15" t="s">
        <v>36</v>
      </c>
      <c r="M2320" s="12" t="s">
        <v>36</v>
      </c>
      <c r="N2320" s="12" t="s">
        <v>36</v>
      </c>
      <c r="O2320" s="17" t="s">
        <v>36</v>
      </c>
      <c r="P2320" s="12" t="s">
        <v>36</v>
      </c>
      <c r="Q2320" s="12" t="s">
        <v>36</v>
      </c>
      <c r="R2320" s="12" t="s">
        <v>36</v>
      </c>
      <c r="S2320" s="12" t="s">
        <v>36</v>
      </c>
      <c r="T2320" s="12" t="s">
        <v>1701</v>
      </c>
      <c r="U2320" s="12" t="s">
        <v>74</v>
      </c>
      <c r="V2320" s="12" t="s">
        <v>75</v>
      </c>
      <c r="W2320" s="12" t="s">
        <v>12878</v>
      </c>
      <c r="X2320" s="16" t="s">
        <v>12879</v>
      </c>
      <c r="Y2320" s="15" t="s">
        <v>42</v>
      </c>
      <c r="Z2320" s="14" t="s">
        <v>36</v>
      </c>
      <c r="AA2320" s="14" t="s">
        <v>36</v>
      </c>
      <c r="AB2320" s="12" t="s">
        <v>56</v>
      </c>
      <c r="AC2320" s="12" t="s">
        <v>12880</v>
      </c>
      <c r="AD2320" s="13">
        <v>44652</v>
      </c>
      <c r="AE2320" s="12" t="s">
        <v>79</v>
      </c>
      <c r="AF2320" s="12" t="s">
        <v>36</v>
      </c>
      <c r="AG2320" s="12" t="s">
        <v>12881</v>
      </c>
      <c r="AH2320" s="1">
        <f>HYPERLINK("https://my.pitchbook.com?c=191488-15T","View Company Online")</f>
      </c>
    </row>
    <row r="2321">
      <c r="A2321" s="3" t="s">
        <v>12882</v>
      </c>
      <c r="B2321" s="3" t="s">
        <v>12883</v>
      </c>
      <c r="C2321" s="5">
        <v>1</v>
      </c>
      <c r="D2321" s="5">
        <v>4</v>
      </c>
      <c r="E2321" s="5">
        <v>1</v>
      </c>
      <c r="F2321" s="5">
        <v>6</v>
      </c>
      <c r="G2321" s="6" t="s">
        <v>36</v>
      </c>
      <c r="H2321" s="4" t="s">
        <v>36</v>
      </c>
      <c r="I2321" s="7" t="s">
        <v>36</v>
      </c>
      <c r="J2321" s="3" t="s">
        <v>36</v>
      </c>
      <c r="K2321" s="9" t="s">
        <v>36</v>
      </c>
      <c r="L2321" s="6" t="s">
        <v>36</v>
      </c>
      <c r="M2321" s="3" t="s">
        <v>36</v>
      </c>
      <c r="N2321" s="3" t="s">
        <v>36</v>
      </c>
      <c r="O2321" s="8" t="s">
        <v>36</v>
      </c>
      <c r="P2321" s="3" t="s">
        <v>36</v>
      </c>
      <c r="Q2321" s="3" t="s">
        <v>36</v>
      </c>
      <c r="R2321" s="3" t="s">
        <v>36</v>
      </c>
      <c r="S2321" s="3" t="s">
        <v>36</v>
      </c>
      <c r="T2321" s="3" t="s">
        <v>12884</v>
      </c>
      <c r="U2321" s="3" t="s">
        <v>318</v>
      </c>
      <c r="V2321" s="3" t="s">
        <v>39</v>
      </c>
      <c r="W2321" s="3" t="s">
        <v>12885</v>
      </c>
      <c r="X2321" s="10" t="s">
        <v>12886</v>
      </c>
      <c r="Y2321" s="6" t="s">
        <v>55</v>
      </c>
      <c r="Z2321" s="4" t="s">
        <v>36</v>
      </c>
      <c r="AA2321" s="4" t="s">
        <v>36</v>
      </c>
      <c r="AB2321" s="3" t="s">
        <v>56</v>
      </c>
      <c r="AC2321" s="3" t="s">
        <v>12887</v>
      </c>
      <c r="AD2321" s="9">
        <v>44652</v>
      </c>
      <c r="AE2321" s="3" t="s">
        <v>763</v>
      </c>
      <c r="AF2321" s="3" t="s">
        <v>36</v>
      </c>
      <c r="AG2321" s="3" t="s">
        <v>81</v>
      </c>
      <c r="AH2321" s="11">
        <f>HYPERLINK("https://my.pitchbook.com?c=205920-37T","View Company Online")</f>
      </c>
    </row>
    <row r="2322">
      <c r="A2322" s="12" t="s">
        <v>12888</v>
      </c>
      <c r="B2322" s="12" t="s">
        <v>9111</v>
      </c>
      <c r="C2322" s="19">
        <v>3</v>
      </c>
      <c r="D2322" s="19">
        <v>6</v>
      </c>
      <c r="E2322" s="19">
        <v>2</v>
      </c>
      <c r="F2322" s="19">
        <v>11</v>
      </c>
      <c r="G2322" s="15" t="s">
        <v>36</v>
      </c>
      <c r="H2322" s="14" t="s">
        <v>36</v>
      </c>
      <c r="I2322" s="18" t="s">
        <v>36</v>
      </c>
      <c r="J2322" s="12" t="s">
        <v>36</v>
      </c>
      <c r="K2322" s="13" t="s">
        <v>36</v>
      </c>
      <c r="L2322" s="15" t="s">
        <v>36</v>
      </c>
      <c r="M2322" s="12" t="s">
        <v>36</v>
      </c>
      <c r="N2322" s="12" t="s">
        <v>36</v>
      </c>
      <c r="O2322" s="17" t="s">
        <v>36</v>
      </c>
      <c r="P2322" s="12" t="s">
        <v>36</v>
      </c>
      <c r="Q2322" s="12" t="s">
        <v>36</v>
      </c>
      <c r="R2322" s="12" t="s">
        <v>36</v>
      </c>
      <c r="S2322" s="12" t="s">
        <v>36</v>
      </c>
      <c r="T2322" s="12" t="s">
        <v>9112</v>
      </c>
      <c r="U2322" s="12" t="s">
        <v>38</v>
      </c>
      <c r="V2322" s="12" t="s">
        <v>39</v>
      </c>
      <c r="W2322" s="12" t="s">
        <v>9113</v>
      </c>
      <c r="X2322" s="16" t="s">
        <v>12889</v>
      </c>
      <c r="Y2322" s="15" t="s">
        <v>55</v>
      </c>
      <c r="Z2322" s="14" t="s">
        <v>36</v>
      </c>
      <c r="AA2322" s="14" t="s">
        <v>36</v>
      </c>
      <c r="AB2322" s="12" t="s">
        <v>56</v>
      </c>
      <c r="AC2322" s="12" t="s">
        <v>9115</v>
      </c>
      <c r="AD2322" s="13">
        <v>44652</v>
      </c>
      <c r="AE2322" s="12" t="s">
        <v>110</v>
      </c>
      <c r="AF2322" s="12" t="s">
        <v>176</v>
      </c>
      <c r="AG2322" s="12" t="s">
        <v>47</v>
      </c>
      <c r="AH2322" s="1">
        <f>HYPERLINK("https://my.pitchbook.com?c=193012-75T","View Company Online")</f>
      </c>
    </row>
    <row r="2323">
      <c r="A2323" s="3" t="s">
        <v>12890</v>
      </c>
      <c r="B2323" s="3" t="s">
        <v>12891</v>
      </c>
      <c r="C2323" s="5">
        <v>6</v>
      </c>
      <c r="D2323" s="5">
        <v>22</v>
      </c>
      <c r="E2323" s="5">
        <v>3</v>
      </c>
      <c r="F2323" s="5">
        <v>29</v>
      </c>
      <c r="G2323" s="6" t="s">
        <v>326</v>
      </c>
      <c r="H2323" s="4">
        <v>65.8</v>
      </c>
      <c r="I2323" s="7">
        <v>17.86</v>
      </c>
      <c r="J2323" s="3" t="s">
        <v>521</v>
      </c>
      <c r="K2323" s="9" t="s">
        <v>36</v>
      </c>
      <c r="L2323" s="6" t="s">
        <v>36</v>
      </c>
      <c r="M2323" s="3" t="s">
        <v>36</v>
      </c>
      <c r="N2323" s="3" t="s">
        <v>36</v>
      </c>
      <c r="O2323" s="8" t="s">
        <v>36</v>
      </c>
      <c r="P2323" s="3" t="s">
        <v>36</v>
      </c>
      <c r="Q2323" s="3" t="s">
        <v>36</v>
      </c>
      <c r="R2323" s="3" t="s">
        <v>36</v>
      </c>
      <c r="S2323" s="3" t="s">
        <v>36</v>
      </c>
      <c r="T2323" s="3" t="s">
        <v>4225</v>
      </c>
      <c r="U2323" s="3" t="s">
        <v>96</v>
      </c>
      <c r="V2323" s="3" t="s">
        <v>52</v>
      </c>
      <c r="W2323" s="3" t="s">
        <v>12892</v>
      </c>
      <c r="X2323" s="10" t="s">
        <v>12893</v>
      </c>
      <c r="Y2323" s="6" t="s">
        <v>108</v>
      </c>
      <c r="Z2323" s="4">
        <v>5.5</v>
      </c>
      <c r="AA2323" s="4">
        <v>30.8</v>
      </c>
      <c r="AB2323" s="3" t="s">
        <v>56</v>
      </c>
      <c r="AC2323" s="3" t="s">
        <v>12894</v>
      </c>
      <c r="AD2323" s="9">
        <v>44652</v>
      </c>
      <c r="AE2323" s="3" t="s">
        <v>143</v>
      </c>
      <c r="AF2323" s="3" t="s">
        <v>90</v>
      </c>
      <c r="AG2323" s="3" t="s">
        <v>12895</v>
      </c>
      <c r="AH2323" s="11">
        <f>HYPERLINK("https://my.pitchbook.com?c=197111-53T","View Company Online")</f>
      </c>
    </row>
    <row r="2324">
      <c r="A2324" s="12" t="s">
        <v>12896</v>
      </c>
      <c r="B2324" s="12" t="s">
        <v>12897</v>
      </c>
      <c r="C2324" s="19" t="s">
        <v>36</v>
      </c>
      <c r="D2324" s="19" t="s">
        <v>36</v>
      </c>
      <c r="E2324" s="19" t="s">
        <v>36</v>
      </c>
      <c r="F2324" s="19" t="s">
        <v>36</v>
      </c>
      <c r="G2324" s="15" t="s">
        <v>36</v>
      </c>
      <c r="H2324" s="14" t="s">
        <v>36</v>
      </c>
      <c r="I2324" s="18" t="s">
        <v>36</v>
      </c>
      <c r="J2324" s="12" t="s">
        <v>36</v>
      </c>
      <c r="K2324" s="13" t="s">
        <v>36</v>
      </c>
      <c r="L2324" s="15" t="s">
        <v>36</v>
      </c>
      <c r="M2324" s="12" t="s">
        <v>36</v>
      </c>
      <c r="N2324" s="12" t="s">
        <v>36</v>
      </c>
      <c r="O2324" s="17" t="s">
        <v>36</v>
      </c>
      <c r="P2324" s="12" t="s">
        <v>36</v>
      </c>
      <c r="Q2324" s="12" t="s">
        <v>36</v>
      </c>
      <c r="R2324" s="12" t="s">
        <v>36</v>
      </c>
      <c r="S2324" s="12" t="s">
        <v>36</v>
      </c>
      <c r="T2324" s="12" t="s">
        <v>12898</v>
      </c>
      <c r="U2324" s="12" t="s">
        <v>318</v>
      </c>
      <c r="V2324" s="12" t="s">
        <v>39</v>
      </c>
      <c r="W2324" s="12" t="s">
        <v>12899</v>
      </c>
      <c r="X2324" s="16" t="s">
        <v>7214</v>
      </c>
      <c r="Y2324" s="15" t="s">
        <v>42</v>
      </c>
      <c r="Z2324" s="14" t="s">
        <v>36</v>
      </c>
      <c r="AA2324" s="14" t="s">
        <v>36</v>
      </c>
      <c r="AB2324" s="12" t="s">
        <v>56</v>
      </c>
      <c r="AC2324" s="12" t="s">
        <v>12900</v>
      </c>
      <c r="AD2324" s="13">
        <v>44652</v>
      </c>
      <c r="AE2324" s="12" t="s">
        <v>417</v>
      </c>
      <c r="AF2324" s="12" t="s">
        <v>5769</v>
      </c>
      <c r="AG2324" s="12" t="s">
        <v>12901</v>
      </c>
      <c r="AH2324" s="1">
        <f>HYPERLINK("https://my.pitchbook.com?c=192332-53T","View Company Online")</f>
      </c>
    </row>
    <row r="2325">
      <c r="A2325" s="3" t="s">
        <v>12902</v>
      </c>
      <c r="B2325" s="3" t="s">
        <v>12903</v>
      </c>
      <c r="C2325" s="5" t="s">
        <v>36</v>
      </c>
      <c r="D2325" s="5" t="s">
        <v>36</v>
      </c>
      <c r="E2325" s="5" t="s">
        <v>36</v>
      </c>
      <c r="F2325" s="5" t="s">
        <v>36</v>
      </c>
      <c r="G2325" s="6" t="s">
        <v>36</v>
      </c>
      <c r="H2325" s="4" t="s">
        <v>36</v>
      </c>
      <c r="I2325" s="7" t="s">
        <v>36</v>
      </c>
      <c r="J2325" s="3" t="s">
        <v>36</v>
      </c>
      <c r="K2325" s="9" t="s">
        <v>36</v>
      </c>
      <c r="L2325" s="6" t="s">
        <v>36</v>
      </c>
      <c r="M2325" s="3" t="s">
        <v>36</v>
      </c>
      <c r="N2325" s="3" t="s">
        <v>36</v>
      </c>
      <c r="O2325" s="8" t="s">
        <v>36</v>
      </c>
      <c r="P2325" s="3" t="s">
        <v>36</v>
      </c>
      <c r="Q2325" s="3" t="s">
        <v>36</v>
      </c>
      <c r="R2325" s="3" t="s">
        <v>36</v>
      </c>
      <c r="S2325" s="3" t="s">
        <v>36</v>
      </c>
      <c r="T2325" s="3" t="s">
        <v>596</v>
      </c>
      <c r="U2325" s="3" t="s">
        <v>366</v>
      </c>
      <c r="V2325" s="3" t="s">
        <v>367</v>
      </c>
      <c r="W2325" s="3" t="s">
        <v>12904</v>
      </c>
      <c r="X2325" s="10" t="s">
        <v>980</v>
      </c>
      <c r="Y2325" s="6" t="s">
        <v>55</v>
      </c>
      <c r="Z2325" s="4" t="s">
        <v>36</v>
      </c>
      <c r="AA2325" s="4" t="s">
        <v>36</v>
      </c>
      <c r="AB2325" s="3" t="s">
        <v>56</v>
      </c>
      <c r="AC2325" s="3" t="s">
        <v>12905</v>
      </c>
      <c r="AD2325" s="9">
        <v>44652</v>
      </c>
      <c r="AE2325" s="3" t="s">
        <v>600</v>
      </c>
      <c r="AF2325" s="3" t="s">
        <v>931</v>
      </c>
      <c r="AG2325" s="3" t="s">
        <v>186</v>
      </c>
      <c r="AH2325" s="11">
        <f>HYPERLINK("https://my.pitchbook.com?c=214152-76T","View Company Online")</f>
      </c>
    </row>
    <row r="2326">
      <c r="A2326" s="12" t="s">
        <v>12906</v>
      </c>
      <c r="B2326" s="12" t="s">
        <v>12907</v>
      </c>
      <c r="C2326" s="19" t="s">
        <v>36</v>
      </c>
      <c r="D2326" s="19" t="s">
        <v>36</v>
      </c>
      <c r="E2326" s="19" t="s">
        <v>36</v>
      </c>
      <c r="F2326" s="19" t="s">
        <v>36</v>
      </c>
      <c r="G2326" s="15" t="s">
        <v>36</v>
      </c>
      <c r="H2326" s="14" t="s">
        <v>36</v>
      </c>
      <c r="I2326" s="18" t="s">
        <v>36</v>
      </c>
      <c r="J2326" s="12" t="s">
        <v>36</v>
      </c>
      <c r="K2326" s="13" t="s">
        <v>36</v>
      </c>
      <c r="L2326" s="15" t="s">
        <v>36</v>
      </c>
      <c r="M2326" s="12" t="s">
        <v>36</v>
      </c>
      <c r="N2326" s="12" t="s">
        <v>36</v>
      </c>
      <c r="O2326" s="17" t="s">
        <v>36</v>
      </c>
      <c r="P2326" s="12" t="s">
        <v>36</v>
      </c>
      <c r="Q2326" s="12" t="s">
        <v>36</v>
      </c>
      <c r="R2326" s="12" t="s">
        <v>36</v>
      </c>
      <c r="S2326" s="12" t="s">
        <v>36</v>
      </c>
      <c r="T2326" s="12" t="s">
        <v>2910</v>
      </c>
      <c r="U2326" s="12" t="s">
        <v>219</v>
      </c>
      <c r="V2326" s="12" t="s">
        <v>75</v>
      </c>
      <c r="W2326" s="12" t="s">
        <v>12908</v>
      </c>
      <c r="X2326" s="16" t="s">
        <v>12909</v>
      </c>
      <c r="Y2326" s="15" t="s">
        <v>42</v>
      </c>
      <c r="Z2326" s="14" t="s">
        <v>36</v>
      </c>
      <c r="AA2326" s="14" t="s">
        <v>36</v>
      </c>
      <c r="AB2326" s="12" t="s">
        <v>56</v>
      </c>
      <c r="AC2326" s="12" t="s">
        <v>12910</v>
      </c>
      <c r="AD2326" s="13">
        <v>44652</v>
      </c>
      <c r="AE2326" s="12" t="s">
        <v>2914</v>
      </c>
      <c r="AF2326" s="12" t="s">
        <v>571</v>
      </c>
      <c r="AG2326" s="12" t="s">
        <v>12911</v>
      </c>
      <c r="AH2326" s="1">
        <f>HYPERLINK("https://my.pitchbook.com?c=192622-33T","View Company Online")</f>
      </c>
    </row>
    <row r="2327">
      <c r="A2327" s="3" t="s">
        <v>12912</v>
      </c>
      <c r="B2327" s="3" t="s">
        <v>12913</v>
      </c>
      <c r="C2327" s="5" t="s">
        <v>36</v>
      </c>
      <c r="D2327" s="5" t="s">
        <v>36</v>
      </c>
      <c r="E2327" s="5" t="s">
        <v>36</v>
      </c>
      <c r="F2327" s="5" t="s">
        <v>36</v>
      </c>
      <c r="G2327" s="6" t="s">
        <v>36</v>
      </c>
      <c r="H2327" s="4">
        <v>220.18</v>
      </c>
      <c r="I2327" s="7">
        <v>6.94</v>
      </c>
      <c r="J2327" s="3" t="s">
        <v>521</v>
      </c>
      <c r="K2327" s="9" t="s">
        <v>36</v>
      </c>
      <c r="L2327" s="6" t="s">
        <v>36</v>
      </c>
      <c r="M2327" s="3" t="s">
        <v>36</v>
      </c>
      <c r="N2327" s="3" t="s">
        <v>36</v>
      </c>
      <c r="O2327" s="8" t="s">
        <v>36</v>
      </c>
      <c r="P2327" s="3" t="s">
        <v>36</v>
      </c>
      <c r="Q2327" s="3" t="s">
        <v>36</v>
      </c>
      <c r="R2327" s="3" t="s">
        <v>36</v>
      </c>
      <c r="S2327" s="3" t="s">
        <v>36</v>
      </c>
      <c r="T2327" s="3" t="s">
        <v>12914</v>
      </c>
      <c r="U2327" s="3" t="s">
        <v>74</v>
      </c>
      <c r="V2327" s="3" t="s">
        <v>75</v>
      </c>
      <c r="W2327" s="3" t="s">
        <v>12915</v>
      </c>
      <c r="X2327" s="10" t="s">
        <v>7422</v>
      </c>
      <c r="Y2327" s="6" t="s">
        <v>108</v>
      </c>
      <c r="Z2327" s="4">
        <v>0.33</v>
      </c>
      <c r="AA2327" s="4">
        <v>4.75</v>
      </c>
      <c r="AB2327" s="3" t="s">
        <v>43</v>
      </c>
      <c r="AC2327" s="3" t="s">
        <v>12916</v>
      </c>
      <c r="AD2327" s="9">
        <v>44652</v>
      </c>
      <c r="AE2327" s="3" t="s">
        <v>2237</v>
      </c>
      <c r="AF2327" s="3" t="s">
        <v>8607</v>
      </c>
      <c r="AG2327" s="3" t="s">
        <v>652</v>
      </c>
      <c r="AH2327" s="11">
        <f>HYPERLINK("https://my.pitchbook.com?c=232889-23T","View Company Online")</f>
      </c>
    </row>
    <row r="2328">
      <c r="A2328" s="12" t="s">
        <v>12917</v>
      </c>
      <c r="B2328" s="12" t="s">
        <v>12918</v>
      </c>
      <c r="C2328" s="19" t="s">
        <v>36</v>
      </c>
      <c r="D2328" s="19" t="s">
        <v>36</v>
      </c>
      <c r="E2328" s="19" t="s">
        <v>36</v>
      </c>
      <c r="F2328" s="19" t="s">
        <v>36</v>
      </c>
      <c r="G2328" s="15" t="s">
        <v>36</v>
      </c>
      <c r="H2328" s="14" t="s">
        <v>36</v>
      </c>
      <c r="I2328" s="18" t="s">
        <v>36</v>
      </c>
      <c r="J2328" s="12" t="s">
        <v>36</v>
      </c>
      <c r="K2328" s="13" t="s">
        <v>36</v>
      </c>
      <c r="L2328" s="15" t="s">
        <v>36</v>
      </c>
      <c r="M2328" s="12" t="s">
        <v>36</v>
      </c>
      <c r="N2328" s="12" t="s">
        <v>36</v>
      </c>
      <c r="O2328" s="17" t="s">
        <v>36</v>
      </c>
      <c r="P2328" s="12" t="s">
        <v>36</v>
      </c>
      <c r="Q2328" s="12" t="s">
        <v>36</v>
      </c>
      <c r="R2328" s="12" t="s">
        <v>36</v>
      </c>
      <c r="S2328" s="12" t="s">
        <v>36</v>
      </c>
      <c r="T2328" s="12" t="s">
        <v>12919</v>
      </c>
      <c r="U2328" s="12" t="s">
        <v>74</v>
      </c>
      <c r="V2328" s="12" t="s">
        <v>75</v>
      </c>
      <c r="W2328" s="12" t="s">
        <v>12920</v>
      </c>
      <c r="X2328" s="16" t="s">
        <v>12921</v>
      </c>
      <c r="Y2328" s="15" t="s">
        <v>55</v>
      </c>
      <c r="Z2328" s="14">
        <v>1.65</v>
      </c>
      <c r="AA2328" s="14" t="s">
        <v>36</v>
      </c>
      <c r="AB2328" s="12" t="s">
        <v>43</v>
      </c>
      <c r="AC2328" s="12" t="s">
        <v>12922</v>
      </c>
      <c r="AD2328" s="13">
        <v>44652</v>
      </c>
      <c r="AE2328" s="12" t="s">
        <v>79</v>
      </c>
      <c r="AF2328" s="12" t="s">
        <v>111</v>
      </c>
      <c r="AG2328" s="12" t="s">
        <v>1078</v>
      </c>
      <c r="AH2328" s="1">
        <f>HYPERLINK("https://my.pitchbook.com?c=198931-60T","View Company Online")</f>
      </c>
    </row>
    <row r="2329">
      <c r="A2329" s="3" t="s">
        <v>12923</v>
      </c>
      <c r="B2329" s="3" t="s">
        <v>12924</v>
      </c>
      <c r="C2329" s="5">
        <v>1</v>
      </c>
      <c r="D2329" s="5" t="s">
        <v>36</v>
      </c>
      <c r="E2329" s="5">
        <v>1</v>
      </c>
      <c r="F2329" s="5">
        <v>1</v>
      </c>
      <c r="G2329" s="6" t="s">
        <v>326</v>
      </c>
      <c r="H2329" s="4">
        <v>17.66</v>
      </c>
      <c r="I2329" s="7">
        <v>39.41</v>
      </c>
      <c r="J2329" s="3" t="s">
        <v>521</v>
      </c>
      <c r="K2329" s="9" t="s">
        <v>36</v>
      </c>
      <c r="L2329" s="6" t="s">
        <v>122</v>
      </c>
      <c r="M2329" s="3" t="s">
        <v>36</v>
      </c>
      <c r="N2329" s="3" t="s">
        <v>122</v>
      </c>
      <c r="O2329" s="8" t="s">
        <v>36</v>
      </c>
      <c r="P2329" s="3" t="s">
        <v>36</v>
      </c>
      <c r="Q2329" s="3" t="s">
        <v>36</v>
      </c>
      <c r="R2329" s="3" t="s">
        <v>36</v>
      </c>
      <c r="S2329" s="3" t="s">
        <v>36</v>
      </c>
      <c r="T2329" s="3" t="s">
        <v>3790</v>
      </c>
      <c r="U2329" s="3" t="s">
        <v>318</v>
      </c>
      <c r="V2329" s="3" t="s">
        <v>39</v>
      </c>
      <c r="W2329" s="3" t="s">
        <v>12925</v>
      </c>
      <c r="X2329" s="10" t="s">
        <v>12926</v>
      </c>
      <c r="Y2329" s="6" t="s">
        <v>42</v>
      </c>
      <c r="Z2329" s="4">
        <v>1.71</v>
      </c>
      <c r="AA2329" s="4">
        <v>4.33</v>
      </c>
      <c r="AB2329" s="3" t="s">
        <v>43</v>
      </c>
      <c r="AC2329" s="3" t="s">
        <v>12927</v>
      </c>
      <c r="AD2329" s="9">
        <v>44652</v>
      </c>
      <c r="AE2329" s="3" t="s">
        <v>763</v>
      </c>
      <c r="AF2329" s="3" t="s">
        <v>571</v>
      </c>
      <c r="AG2329" s="3" t="s">
        <v>12928</v>
      </c>
      <c r="AH2329" s="11">
        <f>HYPERLINK("https://my.pitchbook.com?c=192628-09T","View Company Online")</f>
      </c>
    </row>
    <row r="2330">
      <c r="A2330" s="12" t="s">
        <v>12929</v>
      </c>
      <c r="B2330" s="12" t="s">
        <v>12930</v>
      </c>
      <c r="C2330" s="19" t="s">
        <v>36</v>
      </c>
      <c r="D2330" s="19" t="s">
        <v>36</v>
      </c>
      <c r="E2330" s="19" t="s">
        <v>36</v>
      </c>
      <c r="F2330" s="19" t="s">
        <v>36</v>
      </c>
      <c r="G2330" s="15" t="s">
        <v>36</v>
      </c>
      <c r="H2330" s="14" t="s">
        <v>36</v>
      </c>
      <c r="I2330" s="18" t="s">
        <v>36</v>
      </c>
      <c r="J2330" s="12" t="s">
        <v>36</v>
      </c>
      <c r="K2330" s="13" t="s">
        <v>36</v>
      </c>
      <c r="L2330" s="15" t="s">
        <v>36</v>
      </c>
      <c r="M2330" s="12" t="s">
        <v>36</v>
      </c>
      <c r="N2330" s="12" t="s">
        <v>36</v>
      </c>
      <c r="O2330" s="17" t="s">
        <v>36</v>
      </c>
      <c r="P2330" s="12" t="s">
        <v>36</v>
      </c>
      <c r="Q2330" s="12" t="s">
        <v>36</v>
      </c>
      <c r="R2330" s="12" t="s">
        <v>36</v>
      </c>
      <c r="S2330" s="12" t="s">
        <v>2314</v>
      </c>
      <c r="T2330" s="12" t="s">
        <v>10807</v>
      </c>
      <c r="U2330" s="12" t="s">
        <v>38</v>
      </c>
      <c r="V2330" s="12" t="s">
        <v>39</v>
      </c>
      <c r="W2330" s="12" t="s">
        <v>12931</v>
      </c>
      <c r="X2330" s="16" t="s">
        <v>12932</v>
      </c>
      <c r="Y2330" s="15" t="s">
        <v>42</v>
      </c>
      <c r="Z2330" s="14" t="s">
        <v>36</v>
      </c>
      <c r="AA2330" s="14" t="s">
        <v>36</v>
      </c>
      <c r="AB2330" s="12" t="s">
        <v>43</v>
      </c>
      <c r="AC2330" s="12" t="s">
        <v>12933</v>
      </c>
      <c r="AD2330" s="13">
        <v>44652</v>
      </c>
      <c r="AE2330" s="12" t="s">
        <v>554</v>
      </c>
      <c r="AF2330" s="12" t="s">
        <v>1380</v>
      </c>
      <c r="AG2330" s="12" t="s">
        <v>47</v>
      </c>
      <c r="AH2330" s="1">
        <f>HYPERLINK("https://my.pitchbook.com?c=192675-25T","View Company Online")</f>
      </c>
    </row>
    <row r="2331">
      <c r="A2331" s="3" t="s">
        <v>12934</v>
      </c>
      <c r="B2331" s="3" t="s">
        <v>12935</v>
      </c>
      <c r="C2331" s="5" t="s">
        <v>36</v>
      </c>
      <c r="D2331" s="5" t="s">
        <v>36</v>
      </c>
      <c r="E2331" s="5" t="s">
        <v>36</v>
      </c>
      <c r="F2331" s="5" t="s">
        <v>36</v>
      </c>
      <c r="G2331" s="6" t="s">
        <v>36</v>
      </c>
      <c r="H2331" s="4" t="s">
        <v>36</v>
      </c>
      <c r="I2331" s="7" t="s">
        <v>36</v>
      </c>
      <c r="J2331" s="3" t="s">
        <v>36</v>
      </c>
      <c r="K2331" s="9" t="s">
        <v>36</v>
      </c>
      <c r="L2331" s="6" t="s">
        <v>36</v>
      </c>
      <c r="M2331" s="3" t="s">
        <v>36</v>
      </c>
      <c r="N2331" s="3" t="s">
        <v>36</v>
      </c>
      <c r="O2331" s="8" t="s">
        <v>36</v>
      </c>
      <c r="P2331" s="3" t="s">
        <v>36</v>
      </c>
      <c r="Q2331" s="3" t="s">
        <v>36</v>
      </c>
      <c r="R2331" s="3" t="s">
        <v>36</v>
      </c>
      <c r="S2331" s="3" t="s">
        <v>36</v>
      </c>
      <c r="T2331" s="3" t="s">
        <v>3201</v>
      </c>
      <c r="U2331" s="3" t="s">
        <v>1357</v>
      </c>
      <c r="V2331" s="3" t="s">
        <v>52</v>
      </c>
      <c r="W2331" s="3" t="s">
        <v>12936</v>
      </c>
      <c r="X2331" s="10" t="s">
        <v>12937</v>
      </c>
      <c r="Y2331" s="6" t="s">
        <v>42</v>
      </c>
      <c r="Z2331" s="4" t="s">
        <v>36</v>
      </c>
      <c r="AA2331" s="4" t="s">
        <v>36</v>
      </c>
      <c r="AB2331" s="3" t="s">
        <v>56</v>
      </c>
      <c r="AC2331" s="3" t="s">
        <v>12938</v>
      </c>
      <c r="AD2331" s="9">
        <v>44651</v>
      </c>
      <c r="AE2331" s="3" t="s">
        <v>3204</v>
      </c>
      <c r="AF2331" s="3" t="s">
        <v>571</v>
      </c>
      <c r="AG2331" s="3" t="s">
        <v>81</v>
      </c>
      <c r="AH2331" s="11">
        <f>HYPERLINK("https://my.pitchbook.com?c=191503-90T","View Company Online")</f>
      </c>
    </row>
    <row r="2332">
      <c r="A2332" s="12" t="s">
        <v>12939</v>
      </c>
      <c r="B2332" s="12" t="s">
        <v>7592</v>
      </c>
      <c r="C2332" s="19" t="s">
        <v>36</v>
      </c>
      <c r="D2332" s="19" t="s">
        <v>36</v>
      </c>
      <c r="E2332" s="19" t="s">
        <v>36</v>
      </c>
      <c r="F2332" s="19" t="s">
        <v>36</v>
      </c>
      <c r="G2332" s="15" t="s">
        <v>36</v>
      </c>
      <c r="H2332" s="14" t="s">
        <v>36</v>
      </c>
      <c r="I2332" s="18" t="s">
        <v>36</v>
      </c>
      <c r="J2332" s="12" t="s">
        <v>36</v>
      </c>
      <c r="K2332" s="13" t="s">
        <v>36</v>
      </c>
      <c r="L2332" s="15" t="s">
        <v>1279</v>
      </c>
      <c r="M2332" s="12" t="s">
        <v>36</v>
      </c>
      <c r="N2332" s="12" t="s">
        <v>1279</v>
      </c>
      <c r="O2332" s="17" t="s">
        <v>36</v>
      </c>
      <c r="P2332" s="12" t="s">
        <v>36</v>
      </c>
      <c r="Q2332" s="12" t="s">
        <v>36</v>
      </c>
      <c r="R2332" s="12" t="s">
        <v>36</v>
      </c>
      <c r="S2332" s="12" t="s">
        <v>36</v>
      </c>
      <c r="T2332" s="12" t="s">
        <v>105</v>
      </c>
      <c r="U2332" s="12" t="s">
        <v>38</v>
      </c>
      <c r="V2332" s="12" t="s">
        <v>39</v>
      </c>
      <c r="W2332" s="12" t="s">
        <v>7593</v>
      </c>
      <c r="X2332" s="16" t="s">
        <v>12940</v>
      </c>
      <c r="Y2332" s="15" t="s">
        <v>55</v>
      </c>
      <c r="Z2332" s="14">
        <v>165.05</v>
      </c>
      <c r="AA2332" s="14" t="s">
        <v>36</v>
      </c>
      <c r="AB2332" s="12" t="s">
        <v>56</v>
      </c>
      <c r="AC2332" s="12" t="s">
        <v>7595</v>
      </c>
      <c r="AD2332" s="13">
        <v>44651</v>
      </c>
      <c r="AE2332" s="12" t="s">
        <v>110</v>
      </c>
      <c r="AF2332" s="12" t="s">
        <v>7596</v>
      </c>
      <c r="AG2332" s="12" t="s">
        <v>81</v>
      </c>
      <c r="AH2332" s="1">
        <f>HYPERLINK("https://my.pitchbook.com?c=191184-22T","View Company Online")</f>
      </c>
    </row>
    <row r="2333">
      <c r="A2333" s="3" t="s">
        <v>12941</v>
      </c>
      <c r="B2333" s="3" t="s">
        <v>12942</v>
      </c>
      <c r="C2333" s="5" t="s">
        <v>36</v>
      </c>
      <c r="D2333" s="5" t="s">
        <v>36</v>
      </c>
      <c r="E2333" s="5" t="s">
        <v>36</v>
      </c>
      <c r="F2333" s="5" t="s">
        <v>36</v>
      </c>
      <c r="G2333" s="6" t="s">
        <v>36</v>
      </c>
      <c r="H2333" s="4" t="s">
        <v>36</v>
      </c>
      <c r="I2333" s="7" t="s">
        <v>36</v>
      </c>
      <c r="J2333" s="3" t="s">
        <v>36</v>
      </c>
      <c r="K2333" s="9" t="s">
        <v>36</v>
      </c>
      <c r="L2333" s="6" t="s">
        <v>36</v>
      </c>
      <c r="M2333" s="3" t="s">
        <v>36</v>
      </c>
      <c r="N2333" s="3" t="s">
        <v>36</v>
      </c>
      <c r="O2333" s="8" t="s">
        <v>36</v>
      </c>
      <c r="P2333" s="3" t="s">
        <v>36</v>
      </c>
      <c r="Q2333" s="3" t="s">
        <v>36</v>
      </c>
      <c r="R2333" s="3" t="s">
        <v>36</v>
      </c>
      <c r="S2333" s="3" t="s">
        <v>36</v>
      </c>
      <c r="T2333" s="3" t="s">
        <v>5181</v>
      </c>
      <c r="U2333" s="3" t="s">
        <v>38</v>
      </c>
      <c r="V2333" s="3" t="s">
        <v>39</v>
      </c>
      <c r="W2333" s="3" t="s">
        <v>12943</v>
      </c>
      <c r="X2333" s="10" t="s">
        <v>12944</v>
      </c>
      <c r="Y2333" s="6" t="s">
        <v>42</v>
      </c>
      <c r="Z2333" s="4">
        <v>1.65</v>
      </c>
      <c r="AA2333" s="4" t="s">
        <v>36</v>
      </c>
      <c r="AB2333" s="3" t="s">
        <v>43</v>
      </c>
      <c r="AC2333" s="3" t="s">
        <v>12945</v>
      </c>
      <c r="AD2333" s="9">
        <v>44651</v>
      </c>
      <c r="AE2333" s="3" t="s">
        <v>110</v>
      </c>
      <c r="AF2333" s="3" t="s">
        <v>176</v>
      </c>
      <c r="AG2333" s="3" t="s">
        <v>741</v>
      </c>
      <c r="AH2333" s="11">
        <f>HYPERLINK("https://my.pitchbook.com?c=194444-92T","View Company Online")</f>
      </c>
    </row>
    <row r="2334">
      <c r="A2334" s="12" t="s">
        <v>12946</v>
      </c>
      <c r="B2334" s="12" t="s">
        <v>12947</v>
      </c>
      <c r="C2334" s="19">
        <v>3</v>
      </c>
      <c r="D2334" s="19" t="s">
        <v>36</v>
      </c>
      <c r="E2334" s="19">
        <v>2</v>
      </c>
      <c r="F2334" s="19">
        <v>5</v>
      </c>
      <c r="G2334" s="15" t="s">
        <v>326</v>
      </c>
      <c r="H2334" s="14">
        <v>938.83</v>
      </c>
      <c r="I2334" s="18">
        <v>27.09</v>
      </c>
      <c r="J2334" s="12" t="s">
        <v>521</v>
      </c>
      <c r="K2334" s="13" t="s">
        <v>36</v>
      </c>
      <c r="L2334" s="15" t="s">
        <v>122</v>
      </c>
      <c r="M2334" s="12" t="s">
        <v>36</v>
      </c>
      <c r="N2334" s="12" t="s">
        <v>122</v>
      </c>
      <c r="O2334" s="17" t="s">
        <v>36</v>
      </c>
      <c r="P2334" s="12" t="s">
        <v>36</v>
      </c>
      <c r="Q2334" s="12" t="s">
        <v>36</v>
      </c>
      <c r="R2334" s="12" t="s">
        <v>36</v>
      </c>
      <c r="S2334" s="12" t="s">
        <v>12948</v>
      </c>
      <c r="T2334" s="12" t="s">
        <v>12949</v>
      </c>
      <c r="U2334" s="12" t="s">
        <v>51</v>
      </c>
      <c r="V2334" s="12" t="s">
        <v>52</v>
      </c>
      <c r="W2334" s="12" t="s">
        <v>12950</v>
      </c>
      <c r="X2334" s="16" t="s">
        <v>12951</v>
      </c>
      <c r="Y2334" s="15" t="s">
        <v>108</v>
      </c>
      <c r="Z2334" s="14">
        <v>11.04</v>
      </c>
      <c r="AA2334" s="14">
        <v>40.76</v>
      </c>
      <c r="AB2334" s="12" t="s">
        <v>43</v>
      </c>
      <c r="AC2334" s="12" t="s">
        <v>12952</v>
      </c>
      <c r="AD2334" s="13">
        <v>44649</v>
      </c>
      <c r="AE2334" s="12" t="s">
        <v>158</v>
      </c>
      <c r="AF2334" s="12" t="s">
        <v>865</v>
      </c>
      <c r="AG2334" s="12" t="s">
        <v>12953</v>
      </c>
      <c r="AH2334" s="1">
        <f>HYPERLINK("https://my.pitchbook.com?c=191089-09T","View Company Online")</f>
      </c>
    </row>
    <row r="2335">
      <c r="A2335" s="3" t="s">
        <v>12954</v>
      </c>
      <c r="B2335" s="3" t="s">
        <v>12955</v>
      </c>
      <c r="C2335" s="5">
        <v>19</v>
      </c>
      <c r="D2335" s="5">
        <v>4</v>
      </c>
      <c r="E2335" s="5">
        <v>7</v>
      </c>
      <c r="F2335" s="5">
        <v>24</v>
      </c>
      <c r="G2335" s="6" t="s">
        <v>326</v>
      </c>
      <c r="H2335" s="4">
        <v>1069.21</v>
      </c>
      <c r="I2335" s="7">
        <v>22.16</v>
      </c>
      <c r="J2335" s="3" t="s">
        <v>521</v>
      </c>
      <c r="K2335" s="9">
        <v>44593</v>
      </c>
      <c r="L2335" s="6" t="s">
        <v>36</v>
      </c>
      <c r="M2335" s="3" t="s">
        <v>36</v>
      </c>
      <c r="N2335" s="3" t="s">
        <v>36</v>
      </c>
      <c r="O2335" s="8" t="s">
        <v>36</v>
      </c>
      <c r="P2335" s="3" t="s">
        <v>36</v>
      </c>
      <c r="Q2335" s="3" t="s">
        <v>36</v>
      </c>
      <c r="R2335" s="3" t="s">
        <v>36</v>
      </c>
      <c r="S2335" s="3" t="s">
        <v>3570</v>
      </c>
      <c r="T2335" s="3" t="s">
        <v>12956</v>
      </c>
      <c r="U2335" s="3" t="s">
        <v>1144</v>
      </c>
      <c r="V2335" s="3" t="s">
        <v>378</v>
      </c>
      <c r="W2335" s="3" t="s">
        <v>12957</v>
      </c>
      <c r="X2335" s="10" t="s">
        <v>12958</v>
      </c>
      <c r="Y2335" s="6" t="s">
        <v>108</v>
      </c>
      <c r="Z2335" s="4">
        <v>7.2</v>
      </c>
      <c r="AA2335" s="4">
        <v>16.25</v>
      </c>
      <c r="AB2335" s="3" t="s">
        <v>43</v>
      </c>
      <c r="AC2335" s="3" t="s">
        <v>12959</v>
      </c>
      <c r="AD2335" s="9">
        <v>44649</v>
      </c>
      <c r="AE2335" s="3" t="s">
        <v>12960</v>
      </c>
      <c r="AF2335" s="3" t="s">
        <v>982</v>
      </c>
      <c r="AG2335" s="3" t="s">
        <v>347</v>
      </c>
      <c r="AH2335" s="11">
        <f>HYPERLINK("https://my.pitchbook.com?c=191566-09T","View Company Online")</f>
      </c>
    </row>
    <row r="2336">
      <c r="A2336" s="12" t="s">
        <v>12961</v>
      </c>
      <c r="B2336" s="12" t="s">
        <v>2991</v>
      </c>
      <c r="C2336" s="19">
        <v>13</v>
      </c>
      <c r="D2336" s="19">
        <v>21</v>
      </c>
      <c r="E2336" s="19">
        <v>14</v>
      </c>
      <c r="F2336" s="19">
        <v>36</v>
      </c>
      <c r="G2336" s="15" t="s">
        <v>36</v>
      </c>
      <c r="H2336" s="14" t="s">
        <v>36</v>
      </c>
      <c r="I2336" s="18" t="s">
        <v>36</v>
      </c>
      <c r="J2336" s="12" t="s">
        <v>36</v>
      </c>
      <c r="K2336" s="13" t="s">
        <v>36</v>
      </c>
      <c r="L2336" s="15" t="s">
        <v>36</v>
      </c>
      <c r="M2336" s="12" t="s">
        <v>36</v>
      </c>
      <c r="N2336" s="12" t="s">
        <v>36</v>
      </c>
      <c r="O2336" s="17" t="s">
        <v>36</v>
      </c>
      <c r="P2336" s="12" t="s">
        <v>36</v>
      </c>
      <c r="Q2336" s="12" t="s">
        <v>36</v>
      </c>
      <c r="R2336" s="12" t="s">
        <v>36</v>
      </c>
      <c r="S2336" s="12" t="s">
        <v>36</v>
      </c>
      <c r="T2336" s="12" t="s">
        <v>2992</v>
      </c>
      <c r="U2336" s="12" t="s">
        <v>96</v>
      </c>
      <c r="V2336" s="12" t="s">
        <v>52</v>
      </c>
      <c r="W2336" s="12" t="s">
        <v>2993</v>
      </c>
      <c r="X2336" s="16" t="s">
        <v>2994</v>
      </c>
      <c r="Y2336" s="15" t="s">
        <v>55</v>
      </c>
      <c r="Z2336" s="14" t="s">
        <v>36</v>
      </c>
      <c r="AA2336" s="14" t="s">
        <v>36</v>
      </c>
      <c r="AB2336" s="12" t="s">
        <v>56</v>
      </c>
      <c r="AC2336" s="12" t="s">
        <v>2995</v>
      </c>
      <c r="AD2336" s="13">
        <v>44649</v>
      </c>
      <c r="AE2336" s="12" t="s">
        <v>100</v>
      </c>
      <c r="AF2336" s="12" t="s">
        <v>2996</v>
      </c>
      <c r="AG2336" s="12" t="s">
        <v>81</v>
      </c>
      <c r="AH2336" s="1">
        <f>HYPERLINK("https://my.pitchbook.com?c=193081-69T","View Company Online")</f>
      </c>
    </row>
    <row r="2337">
      <c r="A2337" s="3" t="s">
        <v>12962</v>
      </c>
      <c r="B2337" s="3" t="s">
        <v>12963</v>
      </c>
      <c r="C2337" s="5" t="s">
        <v>36</v>
      </c>
      <c r="D2337" s="5" t="s">
        <v>36</v>
      </c>
      <c r="E2337" s="5" t="s">
        <v>36</v>
      </c>
      <c r="F2337" s="5" t="s">
        <v>36</v>
      </c>
      <c r="G2337" s="6" t="s">
        <v>36</v>
      </c>
      <c r="H2337" s="4" t="s">
        <v>36</v>
      </c>
      <c r="I2337" s="7" t="s">
        <v>36</v>
      </c>
      <c r="J2337" s="3" t="s">
        <v>36</v>
      </c>
      <c r="K2337" s="9" t="s">
        <v>36</v>
      </c>
      <c r="L2337" s="6" t="s">
        <v>36</v>
      </c>
      <c r="M2337" s="3" t="s">
        <v>36</v>
      </c>
      <c r="N2337" s="3" t="s">
        <v>36</v>
      </c>
      <c r="O2337" s="8" t="s">
        <v>36</v>
      </c>
      <c r="P2337" s="3" t="s">
        <v>36</v>
      </c>
      <c r="Q2337" s="3" t="s">
        <v>36</v>
      </c>
      <c r="R2337" s="3" t="s">
        <v>36</v>
      </c>
      <c r="S2337" s="3" t="s">
        <v>36</v>
      </c>
      <c r="T2337" s="3" t="s">
        <v>12964</v>
      </c>
      <c r="U2337" s="3" t="s">
        <v>51</v>
      </c>
      <c r="V2337" s="3" t="s">
        <v>52</v>
      </c>
      <c r="W2337" s="3" t="s">
        <v>12965</v>
      </c>
      <c r="X2337" s="10" t="s">
        <v>12966</v>
      </c>
      <c r="Y2337" s="6" t="s">
        <v>166</v>
      </c>
      <c r="Z2337" s="4">
        <v>5.5</v>
      </c>
      <c r="AA2337" s="4" t="s">
        <v>36</v>
      </c>
      <c r="AB2337" s="3" t="s">
        <v>56</v>
      </c>
      <c r="AC2337" s="3" t="s">
        <v>12967</v>
      </c>
      <c r="AD2337" s="9">
        <v>44649</v>
      </c>
      <c r="AE2337" s="3" t="s">
        <v>158</v>
      </c>
      <c r="AF2337" s="3" t="s">
        <v>4730</v>
      </c>
      <c r="AG2337" s="3" t="s">
        <v>3508</v>
      </c>
      <c r="AH2337" s="11">
        <f>HYPERLINK("https://my.pitchbook.com?c=191112-31T","View Company Online")</f>
      </c>
    </row>
    <row r="2338">
      <c r="A2338" s="12" t="s">
        <v>12968</v>
      </c>
      <c r="B2338" s="12" t="s">
        <v>6082</v>
      </c>
      <c r="C2338" s="19" t="s">
        <v>36</v>
      </c>
      <c r="D2338" s="19" t="s">
        <v>36</v>
      </c>
      <c r="E2338" s="19" t="s">
        <v>36</v>
      </c>
      <c r="F2338" s="19" t="s">
        <v>36</v>
      </c>
      <c r="G2338" s="15" t="s">
        <v>36</v>
      </c>
      <c r="H2338" s="14" t="s">
        <v>36</v>
      </c>
      <c r="I2338" s="18" t="s">
        <v>36</v>
      </c>
      <c r="J2338" s="12" t="s">
        <v>36</v>
      </c>
      <c r="K2338" s="13">
        <v>44551</v>
      </c>
      <c r="L2338" s="15" t="s">
        <v>36</v>
      </c>
      <c r="M2338" s="12" t="s">
        <v>36</v>
      </c>
      <c r="N2338" s="12" t="s">
        <v>36</v>
      </c>
      <c r="O2338" s="17" t="s">
        <v>36</v>
      </c>
      <c r="P2338" s="12" t="s">
        <v>36</v>
      </c>
      <c r="Q2338" s="12" t="s">
        <v>36</v>
      </c>
      <c r="R2338" s="12" t="s">
        <v>36</v>
      </c>
      <c r="S2338" s="12" t="s">
        <v>36</v>
      </c>
      <c r="T2338" s="12" t="s">
        <v>3330</v>
      </c>
      <c r="U2338" s="12" t="s">
        <v>438</v>
      </c>
      <c r="V2338" s="12" t="s">
        <v>405</v>
      </c>
      <c r="W2338" s="12" t="s">
        <v>6083</v>
      </c>
      <c r="X2338" s="16" t="s">
        <v>12969</v>
      </c>
      <c r="Y2338" s="15" t="s">
        <v>108</v>
      </c>
      <c r="Z2338" s="14" t="s">
        <v>36</v>
      </c>
      <c r="AA2338" s="14" t="s">
        <v>36</v>
      </c>
      <c r="AB2338" s="12" t="s">
        <v>43</v>
      </c>
      <c r="AC2338" s="12" t="s">
        <v>6085</v>
      </c>
      <c r="AD2338" s="13">
        <v>44649</v>
      </c>
      <c r="AE2338" s="12" t="s">
        <v>438</v>
      </c>
      <c r="AF2338" s="12" t="s">
        <v>3334</v>
      </c>
      <c r="AG2338" s="12" t="s">
        <v>81</v>
      </c>
      <c r="AH2338" s="1">
        <f>HYPERLINK("https://my.pitchbook.com?c=186646-42T","View Company Online")</f>
      </c>
    </row>
    <row r="2339">
      <c r="A2339" s="3" t="s">
        <v>12970</v>
      </c>
      <c r="B2339" s="3" t="s">
        <v>6306</v>
      </c>
      <c r="C2339" s="5">
        <v>19</v>
      </c>
      <c r="D2339" s="5">
        <v>14</v>
      </c>
      <c r="E2339" s="5">
        <v>21</v>
      </c>
      <c r="F2339" s="5">
        <v>38</v>
      </c>
      <c r="G2339" s="6" t="s">
        <v>36</v>
      </c>
      <c r="H2339" s="4" t="s">
        <v>36</v>
      </c>
      <c r="I2339" s="7" t="s">
        <v>36</v>
      </c>
      <c r="J2339" s="3" t="s">
        <v>36</v>
      </c>
      <c r="K2339" s="9" t="s">
        <v>36</v>
      </c>
      <c r="L2339" s="6" t="s">
        <v>36</v>
      </c>
      <c r="M2339" s="3" t="s">
        <v>36</v>
      </c>
      <c r="N2339" s="3" t="s">
        <v>36</v>
      </c>
      <c r="O2339" s="8" t="s">
        <v>36</v>
      </c>
      <c r="P2339" s="3" t="s">
        <v>36</v>
      </c>
      <c r="Q2339" s="3" t="s">
        <v>36</v>
      </c>
      <c r="R2339" s="3" t="s">
        <v>36</v>
      </c>
      <c r="S2339" s="3" t="s">
        <v>36</v>
      </c>
      <c r="T2339" s="3" t="s">
        <v>2213</v>
      </c>
      <c r="U2339" s="3" t="s">
        <v>219</v>
      </c>
      <c r="V2339" s="3" t="s">
        <v>75</v>
      </c>
      <c r="W2339" s="3" t="s">
        <v>6307</v>
      </c>
      <c r="X2339" s="10" t="s">
        <v>12971</v>
      </c>
      <c r="Y2339" s="6" t="s">
        <v>55</v>
      </c>
      <c r="Z2339" s="4">
        <v>22.02</v>
      </c>
      <c r="AA2339" s="4" t="s">
        <v>36</v>
      </c>
      <c r="AB2339" s="3" t="s">
        <v>43</v>
      </c>
      <c r="AC2339" s="3" t="s">
        <v>6309</v>
      </c>
      <c r="AD2339" s="9">
        <v>44649</v>
      </c>
      <c r="AE2339" s="3" t="s">
        <v>1912</v>
      </c>
      <c r="AF2339" s="3" t="s">
        <v>982</v>
      </c>
      <c r="AG2339" s="3" t="s">
        <v>969</v>
      </c>
      <c r="AH2339" s="11">
        <f>HYPERLINK("https://my.pitchbook.com?c=191103-49T","View Company Online")</f>
      </c>
    </row>
    <row r="2340">
      <c r="A2340" s="12" t="s">
        <v>12972</v>
      </c>
      <c r="B2340" s="12" t="s">
        <v>3308</v>
      </c>
      <c r="C2340" s="19" t="s">
        <v>36</v>
      </c>
      <c r="D2340" s="19" t="s">
        <v>36</v>
      </c>
      <c r="E2340" s="19" t="s">
        <v>36</v>
      </c>
      <c r="F2340" s="19" t="s">
        <v>36</v>
      </c>
      <c r="G2340" s="15" t="s">
        <v>36</v>
      </c>
      <c r="H2340" s="14" t="s">
        <v>36</v>
      </c>
      <c r="I2340" s="18" t="s">
        <v>36</v>
      </c>
      <c r="J2340" s="12" t="s">
        <v>36</v>
      </c>
      <c r="K2340" s="13">
        <v>44563</v>
      </c>
      <c r="L2340" s="15" t="s">
        <v>4010</v>
      </c>
      <c r="M2340" s="12" t="s">
        <v>36</v>
      </c>
      <c r="N2340" s="12" t="s">
        <v>4010</v>
      </c>
      <c r="O2340" s="17" t="s">
        <v>36</v>
      </c>
      <c r="P2340" s="12" t="s">
        <v>36</v>
      </c>
      <c r="Q2340" s="12" t="s">
        <v>36</v>
      </c>
      <c r="R2340" s="12" t="s">
        <v>36</v>
      </c>
      <c r="S2340" s="12" t="s">
        <v>36</v>
      </c>
      <c r="T2340" s="12" t="s">
        <v>3309</v>
      </c>
      <c r="U2340" s="12" t="s">
        <v>38</v>
      </c>
      <c r="V2340" s="12" t="s">
        <v>39</v>
      </c>
      <c r="W2340" s="12" t="s">
        <v>3310</v>
      </c>
      <c r="X2340" s="16" t="s">
        <v>12973</v>
      </c>
      <c r="Y2340" s="15" t="s">
        <v>42</v>
      </c>
      <c r="Z2340" s="14">
        <v>12</v>
      </c>
      <c r="AA2340" s="14" t="s">
        <v>36</v>
      </c>
      <c r="AB2340" s="12" t="s">
        <v>43</v>
      </c>
      <c r="AC2340" s="12" t="s">
        <v>3312</v>
      </c>
      <c r="AD2340" s="13">
        <v>44648</v>
      </c>
      <c r="AE2340" s="12" t="s">
        <v>554</v>
      </c>
      <c r="AF2340" s="12" t="s">
        <v>555</v>
      </c>
      <c r="AG2340" s="12" t="s">
        <v>899</v>
      </c>
      <c r="AH2340" s="1">
        <f>HYPERLINK("https://my.pitchbook.com?c=188887-33T","View Company Online")</f>
      </c>
    </row>
    <row r="2341">
      <c r="A2341" s="3" t="s">
        <v>12974</v>
      </c>
      <c r="B2341" s="3" t="s">
        <v>12975</v>
      </c>
      <c r="C2341" s="5" t="s">
        <v>36</v>
      </c>
      <c r="D2341" s="5" t="s">
        <v>36</v>
      </c>
      <c r="E2341" s="5" t="s">
        <v>36</v>
      </c>
      <c r="F2341" s="5" t="s">
        <v>36</v>
      </c>
      <c r="G2341" s="6" t="s">
        <v>326</v>
      </c>
      <c r="H2341" s="4">
        <v>916.95</v>
      </c>
      <c r="I2341" s="7">
        <v>35.54</v>
      </c>
      <c r="J2341" s="3" t="s">
        <v>521</v>
      </c>
      <c r="K2341" s="9" t="s">
        <v>36</v>
      </c>
      <c r="L2341" s="6" t="s">
        <v>36</v>
      </c>
      <c r="M2341" s="3" t="s">
        <v>36</v>
      </c>
      <c r="N2341" s="3" t="s">
        <v>36</v>
      </c>
      <c r="O2341" s="8" t="s">
        <v>36</v>
      </c>
      <c r="P2341" s="3" t="s">
        <v>36</v>
      </c>
      <c r="Q2341" s="3" t="s">
        <v>36</v>
      </c>
      <c r="R2341" s="3" t="s">
        <v>36</v>
      </c>
      <c r="S2341" s="3" t="s">
        <v>36</v>
      </c>
      <c r="T2341" s="3" t="s">
        <v>2558</v>
      </c>
      <c r="U2341" s="3" t="s">
        <v>38</v>
      </c>
      <c r="V2341" s="3" t="s">
        <v>39</v>
      </c>
      <c r="W2341" s="3" t="s">
        <v>12976</v>
      </c>
      <c r="X2341" s="10" t="s">
        <v>9445</v>
      </c>
      <c r="Y2341" s="6" t="s">
        <v>55</v>
      </c>
      <c r="Z2341" s="4">
        <v>9.25</v>
      </c>
      <c r="AA2341" s="4">
        <v>28.38</v>
      </c>
      <c r="AB2341" s="3" t="s">
        <v>56</v>
      </c>
      <c r="AC2341" s="3" t="s">
        <v>12977</v>
      </c>
      <c r="AD2341" s="9">
        <v>44648</v>
      </c>
      <c r="AE2341" s="3" t="s">
        <v>110</v>
      </c>
      <c r="AF2341" s="3" t="s">
        <v>2759</v>
      </c>
      <c r="AG2341" s="3" t="s">
        <v>899</v>
      </c>
      <c r="AH2341" s="11">
        <f>HYPERLINK("https://my.pitchbook.com?c=194858-38T","View Company Online")</f>
      </c>
    </row>
    <row r="2342">
      <c r="A2342" s="12" t="s">
        <v>12978</v>
      </c>
      <c r="B2342" s="12" t="s">
        <v>12979</v>
      </c>
      <c r="C2342" s="19" t="s">
        <v>36</v>
      </c>
      <c r="D2342" s="19" t="s">
        <v>36</v>
      </c>
      <c r="E2342" s="19" t="s">
        <v>36</v>
      </c>
      <c r="F2342" s="19" t="s">
        <v>36</v>
      </c>
      <c r="G2342" s="15" t="s">
        <v>36</v>
      </c>
      <c r="H2342" s="14">
        <v>46.94</v>
      </c>
      <c r="I2342" s="18">
        <v>31.01</v>
      </c>
      <c r="J2342" s="12" t="s">
        <v>521</v>
      </c>
      <c r="K2342" s="13" t="s">
        <v>36</v>
      </c>
      <c r="L2342" s="15" t="s">
        <v>36</v>
      </c>
      <c r="M2342" s="12" t="s">
        <v>36</v>
      </c>
      <c r="N2342" s="12" t="s">
        <v>36</v>
      </c>
      <c r="O2342" s="17" t="s">
        <v>36</v>
      </c>
      <c r="P2342" s="12" t="s">
        <v>36</v>
      </c>
      <c r="Q2342" s="12" t="s">
        <v>36</v>
      </c>
      <c r="R2342" s="12" t="s">
        <v>36</v>
      </c>
      <c r="S2342" s="12" t="s">
        <v>36</v>
      </c>
      <c r="T2342" s="12" t="s">
        <v>12980</v>
      </c>
      <c r="U2342" s="12" t="s">
        <v>85</v>
      </c>
      <c r="V2342" s="12" t="s">
        <v>64</v>
      </c>
      <c r="W2342" s="12" t="s">
        <v>12981</v>
      </c>
      <c r="X2342" s="16" t="s">
        <v>12982</v>
      </c>
      <c r="Y2342" s="15" t="s">
        <v>108</v>
      </c>
      <c r="Z2342" s="14">
        <v>8.1</v>
      </c>
      <c r="AA2342" s="14">
        <v>19.82</v>
      </c>
      <c r="AB2342" s="12" t="s">
        <v>43</v>
      </c>
      <c r="AC2342" s="12" t="s">
        <v>12983</v>
      </c>
      <c r="AD2342" s="13">
        <v>44648</v>
      </c>
      <c r="AE2342" s="12" t="s">
        <v>2823</v>
      </c>
      <c r="AF2342" s="12" t="s">
        <v>12984</v>
      </c>
      <c r="AG2342" s="12" t="s">
        <v>81</v>
      </c>
      <c r="AH2342" s="1">
        <f>HYPERLINK("https://my.pitchbook.com?c=191052-01T","View Company Online")</f>
      </c>
    </row>
    <row r="2343">
      <c r="A2343" s="3" t="s">
        <v>12985</v>
      </c>
      <c r="B2343" s="3" t="s">
        <v>49</v>
      </c>
      <c r="C2343" s="5">
        <v>1</v>
      </c>
      <c r="D2343" s="5">
        <v>6</v>
      </c>
      <c r="E2343" s="5">
        <v>4</v>
      </c>
      <c r="F2343" s="5">
        <v>7</v>
      </c>
      <c r="G2343" s="6" t="s">
        <v>326</v>
      </c>
      <c r="H2343" s="4">
        <v>72.35</v>
      </c>
      <c r="I2343" s="7">
        <v>9.41</v>
      </c>
      <c r="J2343" s="3" t="s">
        <v>521</v>
      </c>
      <c r="K2343" s="9" t="s">
        <v>36</v>
      </c>
      <c r="L2343" s="6" t="s">
        <v>36</v>
      </c>
      <c r="M2343" s="3" t="s">
        <v>36</v>
      </c>
      <c r="N2343" s="3" t="s">
        <v>36</v>
      </c>
      <c r="O2343" s="8" t="s">
        <v>36</v>
      </c>
      <c r="P2343" s="3" t="s">
        <v>36</v>
      </c>
      <c r="Q2343" s="3" t="s">
        <v>36</v>
      </c>
      <c r="R2343" s="3" t="s">
        <v>36</v>
      </c>
      <c r="S2343" s="3" t="s">
        <v>36</v>
      </c>
      <c r="T2343" s="3" t="s">
        <v>50</v>
      </c>
      <c r="U2343" s="3" t="s">
        <v>51</v>
      </c>
      <c r="V2343" s="3" t="s">
        <v>52</v>
      </c>
      <c r="W2343" s="3" t="s">
        <v>53</v>
      </c>
      <c r="X2343" s="10" t="s">
        <v>12986</v>
      </c>
      <c r="Y2343" s="6" t="s">
        <v>42</v>
      </c>
      <c r="Z2343" s="4">
        <v>2.98</v>
      </c>
      <c r="AA2343" s="4">
        <v>31.68</v>
      </c>
      <c r="AB2343" s="3" t="s">
        <v>56</v>
      </c>
      <c r="AC2343" s="3" t="s">
        <v>57</v>
      </c>
      <c r="AD2343" s="9">
        <v>44648</v>
      </c>
      <c r="AE2343" s="3" t="s">
        <v>58</v>
      </c>
      <c r="AF2343" s="3" t="s">
        <v>59</v>
      </c>
      <c r="AG2343" s="3" t="s">
        <v>47</v>
      </c>
      <c r="AH2343" s="11">
        <f>HYPERLINK("https://my.pitchbook.com?c=189684-10T","View Company Online")</f>
      </c>
    </row>
    <row r="2344">
      <c r="A2344" s="12" t="s">
        <v>12987</v>
      </c>
      <c r="B2344" s="12" t="s">
        <v>12988</v>
      </c>
      <c r="C2344" s="19" t="s">
        <v>36</v>
      </c>
      <c r="D2344" s="19" t="s">
        <v>36</v>
      </c>
      <c r="E2344" s="19" t="s">
        <v>36</v>
      </c>
      <c r="F2344" s="19" t="s">
        <v>36</v>
      </c>
      <c r="G2344" s="15" t="s">
        <v>36</v>
      </c>
      <c r="H2344" s="14" t="s">
        <v>36</v>
      </c>
      <c r="I2344" s="18" t="s">
        <v>36</v>
      </c>
      <c r="J2344" s="12" t="s">
        <v>36</v>
      </c>
      <c r="K2344" s="13" t="s">
        <v>36</v>
      </c>
      <c r="L2344" s="15" t="s">
        <v>11769</v>
      </c>
      <c r="M2344" s="12" t="s">
        <v>36</v>
      </c>
      <c r="N2344" s="12" t="s">
        <v>11769</v>
      </c>
      <c r="O2344" s="17" t="s">
        <v>36</v>
      </c>
      <c r="P2344" s="12" t="s">
        <v>36</v>
      </c>
      <c r="Q2344" s="12" t="s">
        <v>36</v>
      </c>
      <c r="R2344" s="12" t="s">
        <v>36</v>
      </c>
      <c r="S2344" s="12" t="s">
        <v>36</v>
      </c>
      <c r="T2344" s="12" t="s">
        <v>10182</v>
      </c>
      <c r="U2344" s="12" t="s">
        <v>38</v>
      </c>
      <c r="V2344" s="12" t="s">
        <v>39</v>
      </c>
      <c r="W2344" s="12" t="s">
        <v>12989</v>
      </c>
      <c r="X2344" s="16" t="s">
        <v>12990</v>
      </c>
      <c r="Y2344" s="15" t="s">
        <v>108</v>
      </c>
      <c r="Z2344" s="14">
        <v>2.7</v>
      </c>
      <c r="AA2344" s="14" t="s">
        <v>36</v>
      </c>
      <c r="AB2344" s="12" t="s">
        <v>43</v>
      </c>
      <c r="AC2344" s="12" t="s">
        <v>12991</v>
      </c>
      <c r="AD2344" s="13">
        <v>44645</v>
      </c>
      <c r="AE2344" s="12" t="s">
        <v>110</v>
      </c>
      <c r="AF2344" s="12" t="s">
        <v>12992</v>
      </c>
      <c r="AG2344" s="12" t="s">
        <v>81</v>
      </c>
      <c r="AH2344" s="1">
        <f>HYPERLINK("https://my.pitchbook.com?c=210714-04T","View Company Online")</f>
      </c>
    </row>
    <row r="2345">
      <c r="A2345" s="3" t="s">
        <v>12993</v>
      </c>
      <c r="B2345" s="3" t="s">
        <v>12994</v>
      </c>
      <c r="C2345" s="5" t="s">
        <v>36</v>
      </c>
      <c r="D2345" s="5" t="s">
        <v>36</v>
      </c>
      <c r="E2345" s="5" t="s">
        <v>36</v>
      </c>
      <c r="F2345" s="5" t="s">
        <v>36</v>
      </c>
      <c r="G2345" s="6" t="s">
        <v>326</v>
      </c>
      <c r="H2345" s="4">
        <v>84.98</v>
      </c>
      <c r="I2345" s="7">
        <v>29.95</v>
      </c>
      <c r="J2345" s="3" t="s">
        <v>521</v>
      </c>
      <c r="K2345" s="9" t="s">
        <v>36</v>
      </c>
      <c r="L2345" s="6" t="s">
        <v>36</v>
      </c>
      <c r="M2345" s="3" t="s">
        <v>36</v>
      </c>
      <c r="N2345" s="3" t="s">
        <v>36</v>
      </c>
      <c r="O2345" s="8" t="s">
        <v>36</v>
      </c>
      <c r="P2345" s="3" t="s">
        <v>36</v>
      </c>
      <c r="Q2345" s="3" t="s">
        <v>36</v>
      </c>
      <c r="R2345" s="3" t="s">
        <v>36</v>
      </c>
      <c r="S2345" s="3" t="s">
        <v>36</v>
      </c>
      <c r="T2345" s="3" t="s">
        <v>7415</v>
      </c>
      <c r="U2345" s="3" t="s">
        <v>38</v>
      </c>
      <c r="V2345" s="3" t="s">
        <v>39</v>
      </c>
      <c r="W2345" s="3" t="s">
        <v>12995</v>
      </c>
      <c r="X2345" s="10" t="s">
        <v>12996</v>
      </c>
      <c r="Y2345" s="6" t="s">
        <v>108</v>
      </c>
      <c r="Z2345" s="4">
        <v>13.47</v>
      </c>
      <c r="AA2345" s="4">
        <v>44.98</v>
      </c>
      <c r="AB2345" s="3" t="s">
        <v>56</v>
      </c>
      <c r="AC2345" s="3" t="s">
        <v>12997</v>
      </c>
      <c r="AD2345" s="9">
        <v>44645</v>
      </c>
      <c r="AE2345" s="3" t="s">
        <v>1422</v>
      </c>
      <c r="AF2345" s="3" t="s">
        <v>4284</v>
      </c>
      <c r="AG2345" s="3" t="s">
        <v>12998</v>
      </c>
      <c r="AH2345" s="11">
        <f>HYPERLINK("https://my.pitchbook.com?c=186910-21T","View Company Online")</f>
      </c>
    </row>
    <row r="2346">
      <c r="A2346" s="12" t="s">
        <v>12999</v>
      </c>
      <c r="B2346" s="12" t="s">
        <v>13000</v>
      </c>
      <c r="C2346" s="19" t="s">
        <v>36</v>
      </c>
      <c r="D2346" s="19" t="s">
        <v>36</v>
      </c>
      <c r="E2346" s="19" t="s">
        <v>36</v>
      </c>
      <c r="F2346" s="19" t="s">
        <v>36</v>
      </c>
      <c r="G2346" s="15" t="s">
        <v>36</v>
      </c>
      <c r="H2346" s="14" t="s">
        <v>36</v>
      </c>
      <c r="I2346" s="18" t="s">
        <v>36</v>
      </c>
      <c r="J2346" s="12" t="s">
        <v>36</v>
      </c>
      <c r="K2346" s="13" t="s">
        <v>36</v>
      </c>
      <c r="L2346" s="15" t="s">
        <v>122</v>
      </c>
      <c r="M2346" s="12" t="s">
        <v>36</v>
      </c>
      <c r="N2346" s="12" t="s">
        <v>122</v>
      </c>
      <c r="O2346" s="17" t="s">
        <v>36</v>
      </c>
      <c r="P2346" s="12" t="s">
        <v>36</v>
      </c>
      <c r="Q2346" s="12" t="s">
        <v>36</v>
      </c>
      <c r="R2346" s="12" t="s">
        <v>36</v>
      </c>
      <c r="S2346" s="12" t="s">
        <v>36</v>
      </c>
      <c r="T2346" s="12" t="s">
        <v>8047</v>
      </c>
      <c r="U2346" s="12" t="s">
        <v>74</v>
      </c>
      <c r="V2346" s="12" t="s">
        <v>75</v>
      </c>
      <c r="W2346" s="12" t="s">
        <v>13001</v>
      </c>
      <c r="X2346" s="16" t="s">
        <v>13002</v>
      </c>
      <c r="Y2346" s="15" t="s">
        <v>42</v>
      </c>
      <c r="Z2346" s="14">
        <v>5.52</v>
      </c>
      <c r="AA2346" s="14" t="s">
        <v>36</v>
      </c>
      <c r="AB2346" s="12" t="s">
        <v>56</v>
      </c>
      <c r="AC2346" s="12" t="s">
        <v>13003</v>
      </c>
      <c r="AD2346" s="13">
        <v>44645</v>
      </c>
      <c r="AE2346" s="12" t="s">
        <v>362</v>
      </c>
      <c r="AF2346" s="12" t="s">
        <v>13004</v>
      </c>
      <c r="AG2346" s="12" t="s">
        <v>81</v>
      </c>
      <c r="AH2346" s="1">
        <f>HYPERLINK("https://my.pitchbook.com?c=190935-91T","View Company Online")</f>
      </c>
    </row>
    <row r="2347">
      <c r="A2347" s="3" t="s">
        <v>13005</v>
      </c>
      <c r="B2347" s="3" t="s">
        <v>6385</v>
      </c>
      <c r="C2347" s="5" t="s">
        <v>36</v>
      </c>
      <c r="D2347" s="5" t="s">
        <v>36</v>
      </c>
      <c r="E2347" s="5" t="s">
        <v>36</v>
      </c>
      <c r="F2347" s="5" t="s">
        <v>36</v>
      </c>
      <c r="G2347" s="6" t="s">
        <v>2497</v>
      </c>
      <c r="H2347" s="4">
        <v>61.83</v>
      </c>
      <c r="I2347" s="7">
        <v>41.56</v>
      </c>
      <c r="J2347" s="3" t="s">
        <v>521</v>
      </c>
      <c r="K2347" s="9" t="s">
        <v>36</v>
      </c>
      <c r="L2347" s="6" t="s">
        <v>36</v>
      </c>
      <c r="M2347" s="3" t="s">
        <v>36</v>
      </c>
      <c r="N2347" s="3" t="s">
        <v>36</v>
      </c>
      <c r="O2347" s="8" t="s">
        <v>36</v>
      </c>
      <c r="P2347" s="3" t="s">
        <v>36</v>
      </c>
      <c r="Q2347" s="3" t="s">
        <v>36</v>
      </c>
      <c r="R2347" s="3" t="s">
        <v>36</v>
      </c>
      <c r="S2347" s="3" t="s">
        <v>36</v>
      </c>
      <c r="T2347" s="3" t="s">
        <v>189</v>
      </c>
      <c r="U2347" s="3" t="s">
        <v>180</v>
      </c>
      <c r="V2347" s="3" t="s">
        <v>52</v>
      </c>
      <c r="W2347" s="3" t="s">
        <v>6386</v>
      </c>
      <c r="X2347" s="10" t="s">
        <v>6387</v>
      </c>
      <c r="Y2347" s="6" t="s">
        <v>42</v>
      </c>
      <c r="Z2347" s="4">
        <v>0.7</v>
      </c>
      <c r="AA2347" s="4">
        <v>1.68</v>
      </c>
      <c r="AB2347" s="3" t="s">
        <v>43</v>
      </c>
      <c r="AC2347" s="3" t="s">
        <v>6388</v>
      </c>
      <c r="AD2347" s="9">
        <v>44645</v>
      </c>
      <c r="AE2347" s="3" t="s">
        <v>184</v>
      </c>
      <c r="AF2347" s="3" t="s">
        <v>6389</v>
      </c>
      <c r="AG2347" s="3" t="s">
        <v>186</v>
      </c>
      <c r="AH2347" s="11">
        <f>HYPERLINK("https://my.pitchbook.com?c=190955-17T","View Company Online")</f>
      </c>
    </row>
    <row r="2348">
      <c r="A2348" s="12" t="s">
        <v>13006</v>
      </c>
      <c r="B2348" s="12" t="s">
        <v>10431</v>
      </c>
      <c r="C2348" s="19" t="s">
        <v>36</v>
      </c>
      <c r="D2348" s="19" t="s">
        <v>36</v>
      </c>
      <c r="E2348" s="19" t="s">
        <v>36</v>
      </c>
      <c r="F2348" s="19" t="s">
        <v>36</v>
      </c>
      <c r="G2348" s="15" t="s">
        <v>36</v>
      </c>
      <c r="H2348" s="14" t="s">
        <v>36</v>
      </c>
      <c r="I2348" s="18" t="s">
        <v>36</v>
      </c>
      <c r="J2348" s="12" t="s">
        <v>36</v>
      </c>
      <c r="K2348" s="13" t="s">
        <v>36</v>
      </c>
      <c r="L2348" s="15" t="s">
        <v>122</v>
      </c>
      <c r="M2348" s="12" t="s">
        <v>36</v>
      </c>
      <c r="N2348" s="12" t="s">
        <v>122</v>
      </c>
      <c r="O2348" s="17" t="s">
        <v>36</v>
      </c>
      <c r="P2348" s="12" t="s">
        <v>36</v>
      </c>
      <c r="Q2348" s="12" t="s">
        <v>36</v>
      </c>
      <c r="R2348" s="12" t="s">
        <v>36</v>
      </c>
      <c r="S2348" s="12" t="s">
        <v>36</v>
      </c>
      <c r="T2348" s="12" t="s">
        <v>522</v>
      </c>
      <c r="U2348" s="12" t="s">
        <v>38</v>
      </c>
      <c r="V2348" s="12" t="s">
        <v>39</v>
      </c>
      <c r="W2348" s="12" t="s">
        <v>10432</v>
      </c>
      <c r="X2348" s="16" t="s">
        <v>13007</v>
      </c>
      <c r="Y2348" s="15" t="s">
        <v>42</v>
      </c>
      <c r="Z2348" s="14">
        <v>1.3</v>
      </c>
      <c r="AA2348" s="14" t="s">
        <v>36</v>
      </c>
      <c r="AB2348" s="12" t="s">
        <v>43</v>
      </c>
      <c r="AC2348" s="12" t="s">
        <v>10434</v>
      </c>
      <c r="AD2348" s="13">
        <v>44644</v>
      </c>
      <c r="AE2348" s="12" t="s">
        <v>110</v>
      </c>
      <c r="AF2348" s="12" t="s">
        <v>680</v>
      </c>
      <c r="AG2348" s="12" t="s">
        <v>47</v>
      </c>
      <c r="AH2348" s="1">
        <f>HYPERLINK("https://my.pitchbook.com?c=195910-39T","View Company Online")</f>
      </c>
    </row>
    <row r="2349">
      <c r="A2349" s="3" t="s">
        <v>13008</v>
      </c>
      <c r="B2349" s="3" t="s">
        <v>13009</v>
      </c>
      <c r="C2349" s="5" t="s">
        <v>36</v>
      </c>
      <c r="D2349" s="5" t="s">
        <v>36</v>
      </c>
      <c r="E2349" s="5" t="s">
        <v>36</v>
      </c>
      <c r="F2349" s="5" t="s">
        <v>36</v>
      </c>
      <c r="G2349" s="6" t="s">
        <v>326</v>
      </c>
      <c r="H2349" s="4">
        <v>46.47</v>
      </c>
      <c r="I2349" s="7">
        <v>28.37</v>
      </c>
      <c r="J2349" s="3" t="s">
        <v>521</v>
      </c>
      <c r="K2349" s="9" t="s">
        <v>36</v>
      </c>
      <c r="L2349" s="6" t="s">
        <v>122</v>
      </c>
      <c r="M2349" s="3" t="s">
        <v>36</v>
      </c>
      <c r="N2349" s="3" t="s">
        <v>122</v>
      </c>
      <c r="O2349" s="8" t="s">
        <v>36</v>
      </c>
      <c r="P2349" s="3" t="s">
        <v>36</v>
      </c>
      <c r="Q2349" s="3" t="s">
        <v>36</v>
      </c>
      <c r="R2349" s="3" t="s">
        <v>36</v>
      </c>
      <c r="S2349" s="3" t="s">
        <v>36</v>
      </c>
      <c r="T2349" s="3" t="s">
        <v>5196</v>
      </c>
      <c r="U2349" s="3" t="s">
        <v>38</v>
      </c>
      <c r="V2349" s="3" t="s">
        <v>39</v>
      </c>
      <c r="W2349" s="3" t="s">
        <v>13010</v>
      </c>
      <c r="X2349" s="10" t="s">
        <v>13011</v>
      </c>
      <c r="Y2349" s="6" t="s">
        <v>55</v>
      </c>
      <c r="Z2349" s="4">
        <v>7.74</v>
      </c>
      <c r="AA2349" s="4">
        <v>19.89</v>
      </c>
      <c r="AB2349" s="3" t="s">
        <v>56</v>
      </c>
      <c r="AC2349" s="3" t="s">
        <v>13012</v>
      </c>
      <c r="AD2349" s="9">
        <v>44644</v>
      </c>
      <c r="AE2349" s="3" t="s">
        <v>1422</v>
      </c>
      <c r="AF2349" s="3" t="s">
        <v>13013</v>
      </c>
      <c r="AG2349" s="3" t="s">
        <v>3406</v>
      </c>
      <c r="AH2349" s="11">
        <f>HYPERLINK("https://my.pitchbook.com?c=190848-43T","View Company Online")</f>
      </c>
    </row>
    <row r="2350">
      <c r="A2350" s="12" t="s">
        <v>13014</v>
      </c>
      <c r="B2350" s="12" t="s">
        <v>13015</v>
      </c>
      <c r="C2350" s="19" t="s">
        <v>36</v>
      </c>
      <c r="D2350" s="19" t="s">
        <v>36</v>
      </c>
      <c r="E2350" s="19" t="s">
        <v>36</v>
      </c>
      <c r="F2350" s="19" t="s">
        <v>36</v>
      </c>
      <c r="G2350" s="15" t="s">
        <v>36</v>
      </c>
      <c r="H2350" s="14">
        <v>3255.3</v>
      </c>
      <c r="I2350" s="18">
        <v>36.28</v>
      </c>
      <c r="J2350" s="12" t="s">
        <v>521</v>
      </c>
      <c r="K2350" s="13">
        <v>44593</v>
      </c>
      <c r="L2350" s="15" t="s">
        <v>122</v>
      </c>
      <c r="M2350" s="12" t="s">
        <v>36</v>
      </c>
      <c r="N2350" s="12" t="s">
        <v>122</v>
      </c>
      <c r="O2350" s="17" t="s">
        <v>36</v>
      </c>
      <c r="P2350" s="12" t="s">
        <v>36</v>
      </c>
      <c r="Q2350" s="12" t="s">
        <v>36</v>
      </c>
      <c r="R2350" s="12" t="s">
        <v>36</v>
      </c>
      <c r="S2350" s="12" t="s">
        <v>36</v>
      </c>
      <c r="T2350" s="12" t="s">
        <v>9788</v>
      </c>
      <c r="U2350" s="12" t="s">
        <v>74</v>
      </c>
      <c r="V2350" s="12" t="s">
        <v>75</v>
      </c>
      <c r="W2350" s="12" t="s">
        <v>13016</v>
      </c>
      <c r="X2350" s="16" t="s">
        <v>13017</v>
      </c>
      <c r="Y2350" s="15" t="s">
        <v>192</v>
      </c>
      <c r="Z2350" s="14">
        <v>2.06</v>
      </c>
      <c r="AA2350" s="14">
        <v>5.69</v>
      </c>
      <c r="AB2350" s="12" t="s">
        <v>43</v>
      </c>
      <c r="AC2350" s="12" t="s">
        <v>13018</v>
      </c>
      <c r="AD2350" s="13">
        <v>44644</v>
      </c>
      <c r="AE2350" s="12" t="s">
        <v>3144</v>
      </c>
      <c r="AF2350" s="12" t="s">
        <v>5049</v>
      </c>
      <c r="AG2350" s="12" t="s">
        <v>81</v>
      </c>
      <c r="AH2350" s="1">
        <f>HYPERLINK("https://my.pitchbook.com?c=190847-98T","View Company Online")</f>
      </c>
    </row>
    <row r="2351">
      <c r="A2351" s="3" t="s">
        <v>13019</v>
      </c>
      <c r="B2351" s="3" t="s">
        <v>13020</v>
      </c>
      <c r="C2351" s="5" t="s">
        <v>36</v>
      </c>
      <c r="D2351" s="5" t="s">
        <v>36</v>
      </c>
      <c r="E2351" s="5" t="s">
        <v>36</v>
      </c>
      <c r="F2351" s="5" t="s">
        <v>36</v>
      </c>
      <c r="G2351" s="6" t="s">
        <v>36</v>
      </c>
      <c r="H2351" s="4" t="s">
        <v>36</v>
      </c>
      <c r="I2351" s="7" t="s">
        <v>36</v>
      </c>
      <c r="J2351" s="3" t="s">
        <v>36</v>
      </c>
      <c r="K2351" s="9" t="s">
        <v>36</v>
      </c>
      <c r="L2351" s="6" t="s">
        <v>36</v>
      </c>
      <c r="M2351" s="3" t="s">
        <v>36</v>
      </c>
      <c r="N2351" s="3" t="s">
        <v>36</v>
      </c>
      <c r="O2351" s="8" t="s">
        <v>36</v>
      </c>
      <c r="P2351" s="3" t="s">
        <v>36</v>
      </c>
      <c r="Q2351" s="3" t="s">
        <v>36</v>
      </c>
      <c r="R2351" s="3" t="s">
        <v>36</v>
      </c>
      <c r="S2351" s="3" t="s">
        <v>6583</v>
      </c>
      <c r="T2351" s="3" t="s">
        <v>13021</v>
      </c>
      <c r="U2351" s="3" t="s">
        <v>38</v>
      </c>
      <c r="V2351" s="3" t="s">
        <v>39</v>
      </c>
      <c r="W2351" s="3" t="s">
        <v>13022</v>
      </c>
      <c r="X2351" s="10" t="s">
        <v>1840</v>
      </c>
      <c r="Y2351" s="6" t="s">
        <v>42</v>
      </c>
      <c r="Z2351" s="4">
        <v>1.66</v>
      </c>
      <c r="AA2351" s="4" t="s">
        <v>36</v>
      </c>
      <c r="AB2351" s="3" t="s">
        <v>43</v>
      </c>
      <c r="AC2351" s="3" t="s">
        <v>13023</v>
      </c>
      <c r="AD2351" s="9">
        <v>44644</v>
      </c>
      <c r="AE2351" s="3" t="s">
        <v>110</v>
      </c>
      <c r="AF2351" s="3" t="s">
        <v>13024</v>
      </c>
      <c r="AG2351" s="3" t="s">
        <v>741</v>
      </c>
      <c r="AH2351" s="11">
        <f>HYPERLINK("https://my.pitchbook.com?c=190890-01T","View Company Online")</f>
      </c>
    </row>
    <row r="2352">
      <c r="A2352" s="12" t="s">
        <v>13025</v>
      </c>
      <c r="B2352" s="12" t="s">
        <v>13026</v>
      </c>
      <c r="C2352" s="19" t="s">
        <v>36</v>
      </c>
      <c r="D2352" s="19" t="s">
        <v>36</v>
      </c>
      <c r="E2352" s="19" t="s">
        <v>36</v>
      </c>
      <c r="F2352" s="19" t="s">
        <v>36</v>
      </c>
      <c r="G2352" s="15" t="s">
        <v>326</v>
      </c>
      <c r="H2352" s="14">
        <v>22.89</v>
      </c>
      <c r="I2352" s="18">
        <v>38.69</v>
      </c>
      <c r="J2352" s="12" t="s">
        <v>521</v>
      </c>
      <c r="K2352" s="13" t="s">
        <v>36</v>
      </c>
      <c r="L2352" s="15" t="s">
        <v>122</v>
      </c>
      <c r="M2352" s="12" t="s">
        <v>36</v>
      </c>
      <c r="N2352" s="12" t="s">
        <v>122</v>
      </c>
      <c r="O2352" s="17" t="s">
        <v>36</v>
      </c>
      <c r="P2352" s="12" t="s">
        <v>36</v>
      </c>
      <c r="Q2352" s="12" t="s">
        <v>36</v>
      </c>
      <c r="R2352" s="12" t="s">
        <v>36</v>
      </c>
      <c r="S2352" s="12" t="s">
        <v>36</v>
      </c>
      <c r="T2352" s="12" t="s">
        <v>948</v>
      </c>
      <c r="U2352" s="12" t="s">
        <v>38</v>
      </c>
      <c r="V2352" s="12" t="s">
        <v>39</v>
      </c>
      <c r="W2352" s="12" t="s">
        <v>13027</v>
      </c>
      <c r="X2352" s="16" t="s">
        <v>13028</v>
      </c>
      <c r="Y2352" s="15" t="s">
        <v>55</v>
      </c>
      <c r="Z2352" s="14">
        <v>30.14</v>
      </c>
      <c r="AA2352" s="14">
        <v>77.91</v>
      </c>
      <c r="AB2352" s="12" t="s">
        <v>56</v>
      </c>
      <c r="AC2352" s="12" t="s">
        <v>13029</v>
      </c>
      <c r="AD2352" s="13">
        <v>44644</v>
      </c>
      <c r="AE2352" s="12" t="s">
        <v>110</v>
      </c>
      <c r="AF2352" s="12" t="s">
        <v>8083</v>
      </c>
      <c r="AG2352" s="12" t="s">
        <v>81</v>
      </c>
      <c r="AH2352" s="1">
        <f>HYPERLINK("https://my.pitchbook.com?c=190824-04T","View Company Online")</f>
      </c>
    </row>
    <row r="2353">
      <c r="A2353" s="3" t="s">
        <v>13030</v>
      </c>
      <c r="B2353" s="3" t="s">
        <v>13031</v>
      </c>
      <c r="C2353" s="5">
        <v>6</v>
      </c>
      <c r="D2353" s="5">
        <v>36</v>
      </c>
      <c r="E2353" s="5">
        <v>9</v>
      </c>
      <c r="F2353" s="5">
        <v>47</v>
      </c>
      <c r="G2353" s="6" t="s">
        <v>2497</v>
      </c>
      <c r="H2353" s="4">
        <v>14.54</v>
      </c>
      <c r="I2353" s="7">
        <v>41.18</v>
      </c>
      <c r="J2353" s="3" t="s">
        <v>521</v>
      </c>
      <c r="K2353" s="9" t="s">
        <v>36</v>
      </c>
      <c r="L2353" s="6" t="s">
        <v>36</v>
      </c>
      <c r="M2353" s="3" t="s">
        <v>36</v>
      </c>
      <c r="N2353" s="3" t="s">
        <v>36</v>
      </c>
      <c r="O2353" s="8" t="s">
        <v>36</v>
      </c>
      <c r="P2353" s="3" t="s">
        <v>36</v>
      </c>
      <c r="Q2353" s="3" t="s">
        <v>36</v>
      </c>
      <c r="R2353" s="3" t="s">
        <v>36</v>
      </c>
      <c r="S2353" s="3" t="s">
        <v>36</v>
      </c>
      <c r="T2353" s="3" t="s">
        <v>4876</v>
      </c>
      <c r="U2353" s="3" t="s">
        <v>1357</v>
      </c>
      <c r="V2353" s="3" t="s">
        <v>52</v>
      </c>
      <c r="W2353" s="3" t="s">
        <v>13032</v>
      </c>
      <c r="X2353" s="10" t="s">
        <v>13033</v>
      </c>
      <c r="Y2353" s="6" t="s">
        <v>192</v>
      </c>
      <c r="Z2353" s="4">
        <v>7.73</v>
      </c>
      <c r="AA2353" s="4">
        <v>18.78</v>
      </c>
      <c r="AB2353" s="3" t="s">
        <v>56</v>
      </c>
      <c r="AC2353" s="3" t="s">
        <v>13034</v>
      </c>
      <c r="AD2353" s="9">
        <v>44644</v>
      </c>
      <c r="AE2353" s="3" t="s">
        <v>2808</v>
      </c>
      <c r="AF2353" s="3" t="s">
        <v>571</v>
      </c>
      <c r="AG2353" s="3" t="s">
        <v>13035</v>
      </c>
      <c r="AH2353" s="11">
        <f>HYPERLINK("https://my.pitchbook.com?c=195655-06T","View Company Online")</f>
      </c>
    </row>
    <row r="2354">
      <c r="A2354" s="12" t="s">
        <v>13036</v>
      </c>
      <c r="B2354" s="12" t="s">
        <v>3321</v>
      </c>
      <c r="C2354" s="19" t="s">
        <v>36</v>
      </c>
      <c r="D2354" s="19" t="s">
        <v>36</v>
      </c>
      <c r="E2354" s="19" t="s">
        <v>36</v>
      </c>
      <c r="F2354" s="19" t="s">
        <v>36</v>
      </c>
      <c r="G2354" s="15" t="s">
        <v>36</v>
      </c>
      <c r="H2354" s="14">
        <v>138.47</v>
      </c>
      <c r="I2354" s="18">
        <v>24.53</v>
      </c>
      <c r="J2354" s="12" t="s">
        <v>521</v>
      </c>
      <c r="K2354" s="13" t="s">
        <v>36</v>
      </c>
      <c r="L2354" s="15" t="s">
        <v>36</v>
      </c>
      <c r="M2354" s="12" t="s">
        <v>36</v>
      </c>
      <c r="N2354" s="12" t="s">
        <v>36</v>
      </c>
      <c r="O2354" s="17" t="s">
        <v>36</v>
      </c>
      <c r="P2354" s="12" t="s">
        <v>36</v>
      </c>
      <c r="Q2354" s="12" t="s">
        <v>36</v>
      </c>
      <c r="R2354" s="12" t="s">
        <v>36</v>
      </c>
      <c r="S2354" s="12" t="s">
        <v>36</v>
      </c>
      <c r="T2354" s="12" t="s">
        <v>3322</v>
      </c>
      <c r="U2354" s="12" t="s">
        <v>74</v>
      </c>
      <c r="V2354" s="12" t="s">
        <v>75</v>
      </c>
      <c r="W2354" s="12" t="s">
        <v>3323</v>
      </c>
      <c r="X2354" s="16" t="s">
        <v>13037</v>
      </c>
      <c r="Y2354" s="15" t="s">
        <v>42</v>
      </c>
      <c r="Z2354" s="14">
        <v>1.88</v>
      </c>
      <c r="AA2354" s="14">
        <v>5.86</v>
      </c>
      <c r="AB2354" s="12" t="s">
        <v>43</v>
      </c>
      <c r="AC2354" s="12" t="s">
        <v>3325</v>
      </c>
      <c r="AD2354" s="13">
        <v>44644</v>
      </c>
      <c r="AE2354" s="12" t="s">
        <v>79</v>
      </c>
      <c r="AF2354" s="12" t="s">
        <v>3326</v>
      </c>
      <c r="AG2354" s="12" t="s">
        <v>3327</v>
      </c>
      <c r="AH2354" s="1">
        <f>HYPERLINK("https://my.pitchbook.com?c=190861-57T","View Company Online")</f>
      </c>
    </row>
    <row r="2355">
      <c r="A2355" s="3" t="s">
        <v>13038</v>
      </c>
      <c r="B2355" s="3" t="s">
        <v>13039</v>
      </c>
      <c r="C2355" s="5" t="s">
        <v>36</v>
      </c>
      <c r="D2355" s="5" t="s">
        <v>36</v>
      </c>
      <c r="E2355" s="5" t="s">
        <v>36</v>
      </c>
      <c r="F2355" s="5" t="s">
        <v>36</v>
      </c>
      <c r="G2355" s="6" t="s">
        <v>36</v>
      </c>
      <c r="H2355" s="4" t="s">
        <v>36</v>
      </c>
      <c r="I2355" s="7" t="s">
        <v>36</v>
      </c>
      <c r="J2355" s="3" t="s">
        <v>36</v>
      </c>
      <c r="K2355" s="9" t="s">
        <v>36</v>
      </c>
      <c r="L2355" s="6" t="s">
        <v>94</v>
      </c>
      <c r="M2355" s="3" t="s">
        <v>36</v>
      </c>
      <c r="N2355" s="3" t="s">
        <v>94</v>
      </c>
      <c r="O2355" s="8" t="s">
        <v>36</v>
      </c>
      <c r="P2355" s="3" t="s">
        <v>36</v>
      </c>
      <c r="Q2355" s="3" t="s">
        <v>36</v>
      </c>
      <c r="R2355" s="3" t="s">
        <v>36</v>
      </c>
      <c r="S2355" s="3" t="s">
        <v>36</v>
      </c>
      <c r="T2355" s="3" t="s">
        <v>13040</v>
      </c>
      <c r="U2355" s="3" t="s">
        <v>74</v>
      </c>
      <c r="V2355" s="3" t="s">
        <v>75</v>
      </c>
      <c r="W2355" s="3" t="s">
        <v>13041</v>
      </c>
      <c r="X2355" s="10" t="s">
        <v>13042</v>
      </c>
      <c r="Y2355" s="6" t="s">
        <v>42</v>
      </c>
      <c r="Z2355" s="4">
        <v>0.3</v>
      </c>
      <c r="AA2355" s="4" t="s">
        <v>36</v>
      </c>
      <c r="AB2355" s="3" t="s">
        <v>56</v>
      </c>
      <c r="AC2355" s="3" t="s">
        <v>13043</v>
      </c>
      <c r="AD2355" s="9">
        <v>44644</v>
      </c>
      <c r="AE2355" s="3" t="s">
        <v>2237</v>
      </c>
      <c r="AF2355" s="3" t="s">
        <v>8607</v>
      </c>
      <c r="AG2355" s="3" t="s">
        <v>81</v>
      </c>
      <c r="AH2355" s="11">
        <f>HYPERLINK("https://my.pitchbook.com?c=213825-43T","View Company Online")</f>
      </c>
    </row>
    <row r="2356">
      <c r="A2356" s="12" t="s">
        <v>13044</v>
      </c>
      <c r="B2356" s="12" t="s">
        <v>13045</v>
      </c>
      <c r="C2356" s="19" t="s">
        <v>36</v>
      </c>
      <c r="D2356" s="19" t="s">
        <v>36</v>
      </c>
      <c r="E2356" s="19" t="s">
        <v>36</v>
      </c>
      <c r="F2356" s="19" t="s">
        <v>36</v>
      </c>
      <c r="G2356" s="15" t="s">
        <v>36</v>
      </c>
      <c r="H2356" s="14" t="s">
        <v>36</v>
      </c>
      <c r="I2356" s="18" t="s">
        <v>36</v>
      </c>
      <c r="J2356" s="12" t="s">
        <v>36</v>
      </c>
      <c r="K2356" s="13" t="s">
        <v>36</v>
      </c>
      <c r="L2356" s="15" t="s">
        <v>122</v>
      </c>
      <c r="M2356" s="12" t="s">
        <v>36</v>
      </c>
      <c r="N2356" s="12" t="s">
        <v>122</v>
      </c>
      <c r="O2356" s="17" t="s">
        <v>36</v>
      </c>
      <c r="P2356" s="12" t="s">
        <v>36</v>
      </c>
      <c r="Q2356" s="12" t="s">
        <v>36</v>
      </c>
      <c r="R2356" s="12" t="s">
        <v>36</v>
      </c>
      <c r="S2356" s="12" t="s">
        <v>36</v>
      </c>
      <c r="T2356" s="12" t="s">
        <v>13046</v>
      </c>
      <c r="U2356" s="12" t="s">
        <v>74</v>
      </c>
      <c r="V2356" s="12" t="s">
        <v>75</v>
      </c>
      <c r="W2356" s="12" t="s">
        <v>13047</v>
      </c>
      <c r="X2356" s="16" t="s">
        <v>13048</v>
      </c>
      <c r="Y2356" s="15" t="s">
        <v>42</v>
      </c>
      <c r="Z2356" s="14">
        <v>4.86</v>
      </c>
      <c r="AA2356" s="14" t="s">
        <v>36</v>
      </c>
      <c r="AB2356" s="12" t="s">
        <v>56</v>
      </c>
      <c r="AC2356" s="12" t="s">
        <v>13049</v>
      </c>
      <c r="AD2356" s="13">
        <v>44644</v>
      </c>
      <c r="AE2356" s="12" t="s">
        <v>696</v>
      </c>
      <c r="AF2356" s="12" t="s">
        <v>4284</v>
      </c>
      <c r="AG2356" s="12" t="s">
        <v>1053</v>
      </c>
      <c r="AH2356" s="1">
        <f>HYPERLINK("https://my.pitchbook.com?c=189313-84T","View Company Online")</f>
      </c>
    </row>
    <row r="2357">
      <c r="A2357" s="3" t="s">
        <v>13050</v>
      </c>
      <c r="B2357" s="3" t="s">
        <v>8885</v>
      </c>
      <c r="C2357" s="5" t="s">
        <v>36</v>
      </c>
      <c r="D2357" s="5" t="s">
        <v>36</v>
      </c>
      <c r="E2357" s="5" t="s">
        <v>36</v>
      </c>
      <c r="F2357" s="5" t="s">
        <v>36</v>
      </c>
      <c r="G2357" s="6" t="s">
        <v>36</v>
      </c>
      <c r="H2357" s="4" t="s">
        <v>36</v>
      </c>
      <c r="I2357" s="7" t="s">
        <v>36</v>
      </c>
      <c r="J2357" s="3" t="s">
        <v>36</v>
      </c>
      <c r="K2357" s="9">
        <v>44501</v>
      </c>
      <c r="L2357" s="6" t="s">
        <v>122</v>
      </c>
      <c r="M2357" s="3" t="s">
        <v>36</v>
      </c>
      <c r="N2357" s="3" t="s">
        <v>122</v>
      </c>
      <c r="O2357" s="8" t="s">
        <v>36</v>
      </c>
      <c r="P2357" s="3" t="s">
        <v>36</v>
      </c>
      <c r="Q2357" s="3" t="s">
        <v>36</v>
      </c>
      <c r="R2357" s="3" t="s">
        <v>36</v>
      </c>
      <c r="S2357" s="3" t="s">
        <v>36</v>
      </c>
      <c r="T2357" s="3" t="s">
        <v>472</v>
      </c>
      <c r="U2357" s="3" t="s">
        <v>38</v>
      </c>
      <c r="V2357" s="3" t="s">
        <v>39</v>
      </c>
      <c r="W2357" s="3" t="s">
        <v>8886</v>
      </c>
      <c r="X2357" s="10" t="s">
        <v>13051</v>
      </c>
      <c r="Y2357" s="6" t="s">
        <v>108</v>
      </c>
      <c r="Z2357" s="4">
        <v>15.05</v>
      </c>
      <c r="AA2357" s="4" t="s">
        <v>36</v>
      </c>
      <c r="AB2357" s="3" t="s">
        <v>56</v>
      </c>
      <c r="AC2357" s="3" t="s">
        <v>8888</v>
      </c>
      <c r="AD2357" s="9">
        <v>44643</v>
      </c>
      <c r="AE2357" s="3" t="s">
        <v>110</v>
      </c>
      <c r="AF2357" s="3" t="s">
        <v>168</v>
      </c>
      <c r="AG2357" s="3" t="s">
        <v>144</v>
      </c>
      <c r="AH2357" s="11">
        <f>HYPERLINK("https://my.pitchbook.com?c=190810-99T","View Company Online")</f>
      </c>
    </row>
    <row r="2358">
      <c r="A2358" s="12" t="s">
        <v>13052</v>
      </c>
      <c r="B2358" s="12" t="s">
        <v>13053</v>
      </c>
      <c r="C2358" s="19" t="s">
        <v>36</v>
      </c>
      <c r="D2358" s="19" t="s">
        <v>36</v>
      </c>
      <c r="E2358" s="19" t="s">
        <v>36</v>
      </c>
      <c r="F2358" s="19" t="s">
        <v>36</v>
      </c>
      <c r="G2358" s="15" t="s">
        <v>36</v>
      </c>
      <c r="H2358" s="14">
        <v>6155.8</v>
      </c>
      <c r="I2358" s="18">
        <v>10.58</v>
      </c>
      <c r="J2358" s="12" t="s">
        <v>521</v>
      </c>
      <c r="K2358" s="13">
        <v>44643</v>
      </c>
      <c r="L2358" s="15" t="s">
        <v>122</v>
      </c>
      <c r="M2358" s="12" t="s">
        <v>36</v>
      </c>
      <c r="N2358" s="12" t="s">
        <v>122</v>
      </c>
      <c r="O2358" s="17" t="s">
        <v>36</v>
      </c>
      <c r="P2358" s="12" t="s">
        <v>36</v>
      </c>
      <c r="Q2358" s="12" t="s">
        <v>36</v>
      </c>
      <c r="R2358" s="12" t="s">
        <v>36</v>
      </c>
      <c r="S2358" s="12" t="s">
        <v>36</v>
      </c>
      <c r="T2358" s="12" t="s">
        <v>464</v>
      </c>
      <c r="U2358" s="12" t="s">
        <v>38</v>
      </c>
      <c r="V2358" s="12" t="s">
        <v>39</v>
      </c>
      <c r="W2358" s="12" t="s">
        <v>13054</v>
      </c>
      <c r="X2358" s="16" t="s">
        <v>13055</v>
      </c>
      <c r="Y2358" s="15" t="s">
        <v>42</v>
      </c>
      <c r="Z2358" s="14">
        <v>71.91</v>
      </c>
      <c r="AA2358" s="14">
        <v>366.09</v>
      </c>
      <c r="AB2358" s="12" t="s">
        <v>56</v>
      </c>
      <c r="AC2358" s="12" t="s">
        <v>13056</v>
      </c>
      <c r="AD2358" s="13">
        <v>44643</v>
      </c>
      <c r="AE2358" s="12" t="s">
        <v>110</v>
      </c>
      <c r="AF2358" s="12" t="s">
        <v>468</v>
      </c>
      <c r="AG2358" s="12" t="s">
        <v>81</v>
      </c>
      <c r="AH2358" s="1">
        <f>HYPERLINK("https://my.pitchbook.com?c=190770-76T","View Company Online")</f>
      </c>
    </row>
    <row r="2359">
      <c r="A2359" s="3" t="s">
        <v>13057</v>
      </c>
      <c r="B2359" s="3" t="s">
        <v>3110</v>
      </c>
      <c r="C2359" s="5" t="s">
        <v>36</v>
      </c>
      <c r="D2359" s="5" t="s">
        <v>36</v>
      </c>
      <c r="E2359" s="5">
        <v>2</v>
      </c>
      <c r="F2359" s="5">
        <v>2</v>
      </c>
      <c r="G2359" s="6" t="s">
        <v>36</v>
      </c>
      <c r="H2359" s="4" t="s">
        <v>36</v>
      </c>
      <c r="I2359" s="7" t="s">
        <v>36</v>
      </c>
      <c r="J2359" s="3" t="s">
        <v>36</v>
      </c>
      <c r="K2359" s="9">
        <v>44551</v>
      </c>
      <c r="L2359" s="6" t="s">
        <v>36</v>
      </c>
      <c r="M2359" s="3" t="s">
        <v>36</v>
      </c>
      <c r="N2359" s="3" t="s">
        <v>36</v>
      </c>
      <c r="O2359" s="8" t="s">
        <v>36</v>
      </c>
      <c r="P2359" s="3" t="s">
        <v>36</v>
      </c>
      <c r="Q2359" s="3" t="s">
        <v>36</v>
      </c>
      <c r="R2359" s="3" t="s">
        <v>36</v>
      </c>
      <c r="S2359" s="3" t="s">
        <v>36</v>
      </c>
      <c r="T2359" s="3" t="s">
        <v>927</v>
      </c>
      <c r="U2359" s="3" t="s">
        <v>219</v>
      </c>
      <c r="V2359" s="3" t="s">
        <v>75</v>
      </c>
      <c r="W2359" s="3" t="s">
        <v>3111</v>
      </c>
      <c r="X2359" s="10" t="s">
        <v>13058</v>
      </c>
      <c r="Y2359" s="6" t="s">
        <v>42</v>
      </c>
      <c r="Z2359" s="4">
        <v>2</v>
      </c>
      <c r="AA2359" s="4" t="s">
        <v>36</v>
      </c>
      <c r="AB2359" s="3" t="s">
        <v>43</v>
      </c>
      <c r="AC2359" s="3" t="s">
        <v>3113</v>
      </c>
      <c r="AD2359" s="9">
        <v>44642</v>
      </c>
      <c r="AE2359" s="3" t="s">
        <v>243</v>
      </c>
      <c r="AF2359" s="3" t="s">
        <v>3114</v>
      </c>
      <c r="AG2359" s="3" t="s">
        <v>3115</v>
      </c>
      <c r="AH2359" s="11">
        <f>HYPERLINK("https://my.pitchbook.com?c=190630-27T","View Company Online")</f>
      </c>
    </row>
    <row r="2360">
      <c r="A2360" s="12" t="s">
        <v>13059</v>
      </c>
      <c r="B2360" s="12" t="s">
        <v>13060</v>
      </c>
      <c r="C2360" s="19">
        <v>9</v>
      </c>
      <c r="D2360" s="19">
        <v>10</v>
      </c>
      <c r="E2360" s="19">
        <v>9</v>
      </c>
      <c r="F2360" s="19">
        <v>22</v>
      </c>
      <c r="G2360" s="15" t="s">
        <v>36</v>
      </c>
      <c r="H2360" s="14" t="s">
        <v>36</v>
      </c>
      <c r="I2360" s="18" t="s">
        <v>36</v>
      </c>
      <c r="J2360" s="12" t="s">
        <v>36</v>
      </c>
      <c r="K2360" s="13" t="s">
        <v>36</v>
      </c>
      <c r="L2360" s="15" t="s">
        <v>36</v>
      </c>
      <c r="M2360" s="12" t="s">
        <v>36</v>
      </c>
      <c r="N2360" s="12" t="s">
        <v>36</v>
      </c>
      <c r="O2360" s="17" t="s">
        <v>36</v>
      </c>
      <c r="P2360" s="12" t="s">
        <v>36</v>
      </c>
      <c r="Q2360" s="12" t="s">
        <v>36</v>
      </c>
      <c r="R2360" s="12" t="s">
        <v>36</v>
      </c>
      <c r="S2360" s="12" t="s">
        <v>36</v>
      </c>
      <c r="T2360" s="12" t="s">
        <v>1645</v>
      </c>
      <c r="U2360" s="12" t="s">
        <v>38</v>
      </c>
      <c r="V2360" s="12" t="s">
        <v>39</v>
      </c>
      <c r="W2360" s="12" t="s">
        <v>13061</v>
      </c>
      <c r="X2360" s="16" t="s">
        <v>13062</v>
      </c>
      <c r="Y2360" s="15" t="s">
        <v>192</v>
      </c>
      <c r="Z2360" s="14">
        <v>44.29</v>
      </c>
      <c r="AA2360" s="14" t="s">
        <v>36</v>
      </c>
      <c r="AB2360" s="12" t="s">
        <v>56</v>
      </c>
      <c r="AC2360" s="12" t="s">
        <v>13063</v>
      </c>
      <c r="AD2360" s="13">
        <v>44642</v>
      </c>
      <c r="AE2360" s="12" t="s">
        <v>110</v>
      </c>
      <c r="AF2360" s="12" t="s">
        <v>13064</v>
      </c>
      <c r="AG2360" s="12" t="s">
        <v>81</v>
      </c>
      <c r="AH2360" s="1">
        <f>HYPERLINK("https://my.pitchbook.com?c=190645-21T","View Company Online")</f>
      </c>
    </row>
    <row r="2361">
      <c r="A2361" s="3" t="s">
        <v>13065</v>
      </c>
      <c r="B2361" s="3" t="s">
        <v>13066</v>
      </c>
      <c r="C2361" s="5" t="s">
        <v>36</v>
      </c>
      <c r="D2361" s="5" t="s">
        <v>36</v>
      </c>
      <c r="E2361" s="5" t="s">
        <v>36</v>
      </c>
      <c r="F2361" s="5" t="s">
        <v>36</v>
      </c>
      <c r="G2361" s="6" t="s">
        <v>326</v>
      </c>
      <c r="H2361" s="4" t="s">
        <v>36</v>
      </c>
      <c r="I2361" s="7">
        <v>23.02</v>
      </c>
      <c r="J2361" s="3" t="s">
        <v>327</v>
      </c>
      <c r="K2361" s="9" t="s">
        <v>36</v>
      </c>
      <c r="L2361" s="6" t="s">
        <v>36</v>
      </c>
      <c r="M2361" s="3" t="s">
        <v>36</v>
      </c>
      <c r="N2361" s="3" t="s">
        <v>36</v>
      </c>
      <c r="O2361" s="8" t="s">
        <v>36</v>
      </c>
      <c r="P2361" s="3" t="s">
        <v>36</v>
      </c>
      <c r="Q2361" s="3" t="s">
        <v>36</v>
      </c>
      <c r="R2361" s="3" t="s">
        <v>36</v>
      </c>
      <c r="S2361" s="3" t="s">
        <v>36</v>
      </c>
      <c r="T2361" s="3" t="s">
        <v>464</v>
      </c>
      <c r="U2361" s="3" t="s">
        <v>38</v>
      </c>
      <c r="V2361" s="3" t="s">
        <v>39</v>
      </c>
      <c r="W2361" s="3" t="s">
        <v>13067</v>
      </c>
      <c r="X2361" s="10" t="s">
        <v>13068</v>
      </c>
      <c r="Y2361" s="6" t="s">
        <v>108</v>
      </c>
      <c r="Z2361" s="4">
        <v>8.86</v>
      </c>
      <c r="AA2361" s="4">
        <v>24.05</v>
      </c>
      <c r="AB2361" s="3" t="s">
        <v>56</v>
      </c>
      <c r="AC2361" s="3" t="s">
        <v>13069</v>
      </c>
      <c r="AD2361" s="9">
        <v>44642</v>
      </c>
      <c r="AE2361" s="3" t="s">
        <v>110</v>
      </c>
      <c r="AF2361" s="3" t="s">
        <v>468</v>
      </c>
      <c r="AG2361" s="3" t="s">
        <v>81</v>
      </c>
      <c r="AH2361" s="11">
        <f>HYPERLINK("https://my.pitchbook.com?c=190669-69T","View Company Online")</f>
      </c>
    </row>
    <row r="2362">
      <c r="A2362" s="12" t="s">
        <v>13070</v>
      </c>
      <c r="B2362" s="12" t="s">
        <v>13071</v>
      </c>
      <c r="C2362" s="19" t="s">
        <v>36</v>
      </c>
      <c r="D2362" s="19" t="s">
        <v>36</v>
      </c>
      <c r="E2362" s="19" t="s">
        <v>36</v>
      </c>
      <c r="F2362" s="19" t="s">
        <v>36</v>
      </c>
      <c r="G2362" s="15" t="s">
        <v>326</v>
      </c>
      <c r="H2362" s="14" t="s">
        <v>36</v>
      </c>
      <c r="I2362" s="18">
        <v>25.85</v>
      </c>
      <c r="J2362" s="12" t="s">
        <v>327</v>
      </c>
      <c r="K2362" s="13" t="s">
        <v>36</v>
      </c>
      <c r="L2362" s="15" t="s">
        <v>122</v>
      </c>
      <c r="M2362" s="12" t="s">
        <v>36</v>
      </c>
      <c r="N2362" s="12" t="s">
        <v>122</v>
      </c>
      <c r="O2362" s="17" t="s">
        <v>36</v>
      </c>
      <c r="P2362" s="12" t="s">
        <v>36</v>
      </c>
      <c r="Q2362" s="12" t="s">
        <v>36</v>
      </c>
      <c r="R2362" s="12" t="s">
        <v>36</v>
      </c>
      <c r="S2362" s="12" t="s">
        <v>36</v>
      </c>
      <c r="T2362" s="12" t="s">
        <v>1838</v>
      </c>
      <c r="U2362" s="12" t="s">
        <v>38</v>
      </c>
      <c r="V2362" s="12" t="s">
        <v>39</v>
      </c>
      <c r="W2362" s="12" t="s">
        <v>13072</v>
      </c>
      <c r="X2362" s="16" t="s">
        <v>13073</v>
      </c>
      <c r="Y2362" s="15" t="s">
        <v>108</v>
      </c>
      <c r="Z2362" s="14">
        <v>6.09</v>
      </c>
      <c r="AA2362" s="14">
        <v>23.56</v>
      </c>
      <c r="AB2362" s="12" t="s">
        <v>56</v>
      </c>
      <c r="AC2362" s="12" t="s">
        <v>13074</v>
      </c>
      <c r="AD2362" s="13">
        <v>44642</v>
      </c>
      <c r="AE2362" s="12" t="s">
        <v>110</v>
      </c>
      <c r="AF2362" s="12" t="s">
        <v>3904</v>
      </c>
      <c r="AG2362" s="12" t="s">
        <v>13075</v>
      </c>
      <c r="AH2362" s="1">
        <f>HYPERLINK("https://my.pitchbook.com?c=190728-91T","View Company Online")</f>
      </c>
    </row>
    <row r="2363">
      <c r="A2363" s="3" t="s">
        <v>13076</v>
      </c>
      <c r="B2363" s="3" t="s">
        <v>13077</v>
      </c>
      <c r="C2363" s="5" t="s">
        <v>36</v>
      </c>
      <c r="D2363" s="5" t="s">
        <v>36</v>
      </c>
      <c r="E2363" s="5" t="s">
        <v>36</v>
      </c>
      <c r="F2363" s="5" t="s">
        <v>36</v>
      </c>
      <c r="G2363" s="6" t="s">
        <v>36</v>
      </c>
      <c r="H2363" s="4">
        <v>7.79</v>
      </c>
      <c r="I2363" s="7">
        <v>26.01</v>
      </c>
      <c r="J2363" s="3" t="s">
        <v>521</v>
      </c>
      <c r="K2363" s="9" t="s">
        <v>36</v>
      </c>
      <c r="L2363" s="6" t="s">
        <v>36</v>
      </c>
      <c r="M2363" s="3" t="s">
        <v>36</v>
      </c>
      <c r="N2363" s="3" t="s">
        <v>36</v>
      </c>
      <c r="O2363" s="8" t="s">
        <v>36</v>
      </c>
      <c r="P2363" s="3" t="s">
        <v>36</v>
      </c>
      <c r="Q2363" s="3" t="s">
        <v>36</v>
      </c>
      <c r="R2363" s="3" t="s">
        <v>36</v>
      </c>
      <c r="S2363" s="3" t="s">
        <v>36</v>
      </c>
      <c r="T2363" s="3" t="s">
        <v>13078</v>
      </c>
      <c r="U2363" s="3" t="s">
        <v>219</v>
      </c>
      <c r="V2363" s="3" t="s">
        <v>75</v>
      </c>
      <c r="W2363" s="3" t="s">
        <v>13079</v>
      </c>
      <c r="X2363" s="10" t="s">
        <v>13080</v>
      </c>
      <c r="Y2363" s="6" t="s">
        <v>108</v>
      </c>
      <c r="Z2363" s="4">
        <v>0.5</v>
      </c>
      <c r="AA2363" s="4">
        <v>1.94</v>
      </c>
      <c r="AB2363" s="3" t="s">
        <v>43</v>
      </c>
      <c r="AC2363" s="3" t="s">
        <v>13081</v>
      </c>
      <c r="AD2363" s="9">
        <v>44641</v>
      </c>
      <c r="AE2363" s="3" t="s">
        <v>223</v>
      </c>
      <c r="AF2363" s="3" t="s">
        <v>36</v>
      </c>
      <c r="AG2363" s="3" t="s">
        <v>13082</v>
      </c>
      <c r="AH2363" s="11">
        <f>HYPERLINK("https://my.pitchbook.com?c=211304-62T","View Company Online")</f>
      </c>
    </row>
    <row r="2364">
      <c r="A2364" s="12" t="s">
        <v>13083</v>
      </c>
      <c r="B2364" s="12" t="s">
        <v>13084</v>
      </c>
      <c r="C2364" s="19">
        <v>40</v>
      </c>
      <c r="D2364" s="19">
        <v>97</v>
      </c>
      <c r="E2364" s="19">
        <v>38</v>
      </c>
      <c r="F2364" s="19">
        <v>142</v>
      </c>
      <c r="G2364" s="15" t="s">
        <v>326</v>
      </c>
      <c r="H2364" s="14">
        <v>259.64</v>
      </c>
      <c r="I2364" s="18">
        <v>9.11</v>
      </c>
      <c r="J2364" s="12" t="s">
        <v>521</v>
      </c>
      <c r="K2364" s="13" t="s">
        <v>36</v>
      </c>
      <c r="L2364" s="15" t="s">
        <v>36</v>
      </c>
      <c r="M2364" s="12" t="s">
        <v>36</v>
      </c>
      <c r="N2364" s="12" t="s">
        <v>36</v>
      </c>
      <c r="O2364" s="17" t="s">
        <v>36</v>
      </c>
      <c r="P2364" s="12" t="s">
        <v>36</v>
      </c>
      <c r="Q2364" s="12" t="s">
        <v>36</v>
      </c>
      <c r="R2364" s="12" t="s">
        <v>36</v>
      </c>
      <c r="S2364" s="12" t="s">
        <v>36</v>
      </c>
      <c r="T2364" s="12" t="s">
        <v>13085</v>
      </c>
      <c r="U2364" s="12" t="s">
        <v>96</v>
      </c>
      <c r="V2364" s="12" t="s">
        <v>52</v>
      </c>
      <c r="W2364" s="12" t="s">
        <v>13086</v>
      </c>
      <c r="X2364" s="16" t="s">
        <v>13087</v>
      </c>
      <c r="Y2364" s="15" t="s">
        <v>321</v>
      </c>
      <c r="Z2364" s="14">
        <v>11.08</v>
      </c>
      <c r="AA2364" s="14">
        <v>121.71</v>
      </c>
      <c r="AB2364" s="12" t="s">
        <v>56</v>
      </c>
      <c r="AC2364" s="12" t="s">
        <v>13088</v>
      </c>
      <c r="AD2364" s="13">
        <v>44641</v>
      </c>
      <c r="AE2364" s="12" t="s">
        <v>496</v>
      </c>
      <c r="AF2364" s="12" t="s">
        <v>885</v>
      </c>
      <c r="AG2364" s="12" t="s">
        <v>1978</v>
      </c>
      <c r="AH2364" s="1">
        <f>HYPERLINK("https://my.pitchbook.com?c=194954-77T","View Company Online")</f>
      </c>
    </row>
    <row r="2365">
      <c r="A2365" s="3" t="s">
        <v>13089</v>
      </c>
      <c r="B2365" s="3" t="s">
        <v>13090</v>
      </c>
      <c r="C2365" s="5" t="s">
        <v>36</v>
      </c>
      <c r="D2365" s="5">
        <v>2</v>
      </c>
      <c r="E2365" s="5">
        <v>1</v>
      </c>
      <c r="F2365" s="5">
        <v>3</v>
      </c>
      <c r="G2365" s="6" t="s">
        <v>326</v>
      </c>
      <c r="H2365" s="4">
        <v>115.34</v>
      </c>
      <c r="I2365" s="7">
        <v>20.19</v>
      </c>
      <c r="J2365" s="3" t="s">
        <v>521</v>
      </c>
      <c r="K2365" s="9" t="s">
        <v>36</v>
      </c>
      <c r="L2365" s="6" t="s">
        <v>36</v>
      </c>
      <c r="M2365" s="3" t="s">
        <v>36</v>
      </c>
      <c r="N2365" s="3" t="s">
        <v>36</v>
      </c>
      <c r="O2365" s="8" t="s">
        <v>36</v>
      </c>
      <c r="P2365" s="3" t="s">
        <v>36</v>
      </c>
      <c r="Q2365" s="3" t="s">
        <v>36</v>
      </c>
      <c r="R2365" s="3" t="s">
        <v>36</v>
      </c>
      <c r="S2365" s="3" t="s">
        <v>36</v>
      </c>
      <c r="T2365" s="3" t="s">
        <v>13091</v>
      </c>
      <c r="U2365" s="3" t="s">
        <v>423</v>
      </c>
      <c r="V2365" s="3" t="s">
        <v>64</v>
      </c>
      <c r="W2365" s="3" t="s">
        <v>13092</v>
      </c>
      <c r="X2365" s="10" t="s">
        <v>13093</v>
      </c>
      <c r="Y2365" s="6" t="s">
        <v>108</v>
      </c>
      <c r="Z2365" s="4">
        <v>4.26</v>
      </c>
      <c r="AA2365" s="4">
        <v>21.11</v>
      </c>
      <c r="AB2365" s="3" t="s">
        <v>43</v>
      </c>
      <c r="AC2365" s="3" t="s">
        <v>13094</v>
      </c>
      <c r="AD2365" s="9">
        <v>44641</v>
      </c>
      <c r="AE2365" s="3" t="s">
        <v>5969</v>
      </c>
      <c r="AF2365" s="3" t="s">
        <v>1061</v>
      </c>
      <c r="AG2365" s="3" t="s">
        <v>81</v>
      </c>
      <c r="AH2365" s="11">
        <f>HYPERLINK("https://my.pitchbook.com?c=245251-54T","View Company Online")</f>
      </c>
    </row>
    <row r="2366">
      <c r="A2366" s="12" t="s">
        <v>13095</v>
      </c>
      <c r="B2366" s="12" t="s">
        <v>13096</v>
      </c>
      <c r="C2366" s="19" t="s">
        <v>36</v>
      </c>
      <c r="D2366" s="19" t="s">
        <v>36</v>
      </c>
      <c r="E2366" s="19" t="s">
        <v>36</v>
      </c>
      <c r="F2366" s="19" t="s">
        <v>36</v>
      </c>
      <c r="G2366" s="15" t="s">
        <v>36</v>
      </c>
      <c r="H2366" s="14" t="s">
        <v>36</v>
      </c>
      <c r="I2366" s="18" t="s">
        <v>36</v>
      </c>
      <c r="J2366" s="12" t="s">
        <v>36</v>
      </c>
      <c r="K2366" s="13" t="s">
        <v>36</v>
      </c>
      <c r="L2366" s="15" t="s">
        <v>36</v>
      </c>
      <c r="M2366" s="12" t="s">
        <v>36</v>
      </c>
      <c r="N2366" s="12" t="s">
        <v>36</v>
      </c>
      <c r="O2366" s="17" t="s">
        <v>36</v>
      </c>
      <c r="P2366" s="12" t="s">
        <v>36</v>
      </c>
      <c r="Q2366" s="12" t="s">
        <v>36</v>
      </c>
      <c r="R2366" s="12" t="s">
        <v>36</v>
      </c>
      <c r="S2366" s="12" t="s">
        <v>36</v>
      </c>
      <c r="T2366" s="12" t="s">
        <v>2558</v>
      </c>
      <c r="U2366" s="12" t="s">
        <v>38</v>
      </c>
      <c r="V2366" s="12" t="s">
        <v>39</v>
      </c>
      <c r="W2366" s="12" t="s">
        <v>13097</v>
      </c>
      <c r="X2366" s="16" t="s">
        <v>13098</v>
      </c>
      <c r="Y2366" s="15" t="s">
        <v>42</v>
      </c>
      <c r="Z2366" s="14">
        <v>0.44</v>
      </c>
      <c r="AA2366" s="14" t="s">
        <v>36</v>
      </c>
      <c r="AB2366" s="12" t="s">
        <v>43</v>
      </c>
      <c r="AC2366" s="12" t="s">
        <v>13099</v>
      </c>
      <c r="AD2366" s="13">
        <v>44640</v>
      </c>
      <c r="AE2366" s="12" t="s">
        <v>110</v>
      </c>
      <c r="AF2366" s="12" t="s">
        <v>526</v>
      </c>
      <c r="AG2366" s="12" t="s">
        <v>81</v>
      </c>
      <c r="AH2366" s="1">
        <f>HYPERLINK("https://my.pitchbook.com?c=190987-48T","View Company Online")</f>
      </c>
    </row>
    <row r="2367">
      <c r="A2367" s="3" t="s">
        <v>13100</v>
      </c>
      <c r="B2367" s="3" t="s">
        <v>13101</v>
      </c>
      <c r="C2367" s="5" t="s">
        <v>36</v>
      </c>
      <c r="D2367" s="5" t="s">
        <v>36</v>
      </c>
      <c r="E2367" s="5" t="s">
        <v>36</v>
      </c>
      <c r="F2367" s="5" t="s">
        <v>36</v>
      </c>
      <c r="G2367" s="6" t="s">
        <v>326</v>
      </c>
      <c r="H2367" s="4" t="s">
        <v>36</v>
      </c>
      <c r="I2367" s="7">
        <v>28.84</v>
      </c>
      <c r="J2367" s="3" t="s">
        <v>327</v>
      </c>
      <c r="K2367" s="9" t="s">
        <v>36</v>
      </c>
      <c r="L2367" s="6" t="s">
        <v>36</v>
      </c>
      <c r="M2367" s="3" t="s">
        <v>36</v>
      </c>
      <c r="N2367" s="3" t="s">
        <v>36</v>
      </c>
      <c r="O2367" s="8" t="s">
        <v>36</v>
      </c>
      <c r="P2367" s="3" t="s">
        <v>36</v>
      </c>
      <c r="Q2367" s="3" t="s">
        <v>36</v>
      </c>
      <c r="R2367" s="3" t="s">
        <v>36</v>
      </c>
      <c r="S2367" s="3" t="s">
        <v>36</v>
      </c>
      <c r="T2367" s="3" t="s">
        <v>278</v>
      </c>
      <c r="U2367" s="3" t="s">
        <v>279</v>
      </c>
      <c r="V2367" s="3" t="s">
        <v>64</v>
      </c>
      <c r="W2367" s="3" t="s">
        <v>13102</v>
      </c>
      <c r="X2367" s="10" t="s">
        <v>13103</v>
      </c>
      <c r="Y2367" s="6" t="s">
        <v>108</v>
      </c>
      <c r="Z2367" s="4">
        <v>4.22</v>
      </c>
      <c r="AA2367" s="4">
        <v>14.64</v>
      </c>
      <c r="AB2367" s="3" t="s">
        <v>56</v>
      </c>
      <c r="AC2367" s="3" t="s">
        <v>13104</v>
      </c>
      <c r="AD2367" s="9">
        <v>44638</v>
      </c>
      <c r="AE2367" s="3" t="s">
        <v>283</v>
      </c>
      <c r="AF2367" s="3" t="s">
        <v>118</v>
      </c>
      <c r="AG2367" s="3" t="s">
        <v>1479</v>
      </c>
      <c r="AH2367" s="11">
        <f>HYPERLINK("https://my.pitchbook.com?c=190543-51T","View Company Online")</f>
      </c>
    </row>
    <row r="2368">
      <c r="A2368" s="12" t="s">
        <v>13105</v>
      </c>
      <c r="B2368" s="12" t="s">
        <v>13106</v>
      </c>
      <c r="C2368" s="19" t="s">
        <v>36</v>
      </c>
      <c r="D2368" s="19" t="s">
        <v>36</v>
      </c>
      <c r="E2368" s="19" t="s">
        <v>36</v>
      </c>
      <c r="F2368" s="19" t="s">
        <v>36</v>
      </c>
      <c r="G2368" s="15" t="s">
        <v>36</v>
      </c>
      <c r="H2368" s="14" t="s">
        <v>36</v>
      </c>
      <c r="I2368" s="18" t="s">
        <v>36</v>
      </c>
      <c r="J2368" s="12" t="s">
        <v>36</v>
      </c>
      <c r="K2368" s="13" t="s">
        <v>36</v>
      </c>
      <c r="L2368" s="15" t="s">
        <v>36</v>
      </c>
      <c r="M2368" s="12" t="s">
        <v>36</v>
      </c>
      <c r="N2368" s="12" t="s">
        <v>36</v>
      </c>
      <c r="O2368" s="17" t="s">
        <v>36</v>
      </c>
      <c r="P2368" s="12" t="s">
        <v>36</v>
      </c>
      <c r="Q2368" s="12" t="s">
        <v>36</v>
      </c>
      <c r="R2368" s="12" t="s">
        <v>36</v>
      </c>
      <c r="S2368" s="12" t="s">
        <v>36</v>
      </c>
      <c r="T2368" s="12" t="s">
        <v>395</v>
      </c>
      <c r="U2368" s="12" t="s">
        <v>63</v>
      </c>
      <c r="V2368" s="12" t="s">
        <v>64</v>
      </c>
      <c r="W2368" s="12" t="s">
        <v>13107</v>
      </c>
      <c r="X2368" s="16" t="s">
        <v>2455</v>
      </c>
      <c r="Y2368" s="15" t="s">
        <v>42</v>
      </c>
      <c r="Z2368" s="14">
        <v>1.11</v>
      </c>
      <c r="AA2368" s="14" t="s">
        <v>36</v>
      </c>
      <c r="AB2368" s="12" t="s">
        <v>56</v>
      </c>
      <c r="AC2368" s="12" t="s">
        <v>13108</v>
      </c>
      <c r="AD2368" s="13">
        <v>44638</v>
      </c>
      <c r="AE2368" s="12" t="s">
        <v>399</v>
      </c>
      <c r="AF2368" s="12" t="s">
        <v>6536</v>
      </c>
      <c r="AG2368" s="12" t="s">
        <v>144</v>
      </c>
      <c r="AH2368" s="1">
        <f>HYPERLINK("https://my.pitchbook.com?c=190523-53T","View Company Online")</f>
      </c>
    </row>
    <row r="2369">
      <c r="A2369" s="3" t="s">
        <v>13109</v>
      </c>
      <c r="B2369" s="3" t="s">
        <v>13110</v>
      </c>
      <c r="C2369" s="5" t="s">
        <v>36</v>
      </c>
      <c r="D2369" s="5" t="s">
        <v>36</v>
      </c>
      <c r="E2369" s="5" t="s">
        <v>36</v>
      </c>
      <c r="F2369" s="5" t="s">
        <v>36</v>
      </c>
      <c r="G2369" s="6" t="s">
        <v>36</v>
      </c>
      <c r="H2369" s="4">
        <v>62.31</v>
      </c>
      <c r="I2369" s="7">
        <v>16.28</v>
      </c>
      <c r="J2369" s="3" t="s">
        <v>521</v>
      </c>
      <c r="K2369" s="9" t="s">
        <v>36</v>
      </c>
      <c r="L2369" s="6" t="s">
        <v>36</v>
      </c>
      <c r="M2369" s="3" t="s">
        <v>36</v>
      </c>
      <c r="N2369" s="3" t="s">
        <v>36</v>
      </c>
      <c r="O2369" s="8" t="s">
        <v>36</v>
      </c>
      <c r="P2369" s="3" t="s">
        <v>36</v>
      </c>
      <c r="Q2369" s="3" t="s">
        <v>36</v>
      </c>
      <c r="R2369" s="3" t="s">
        <v>36</v>
      </c>
      <c r="S2369" s="3" t="s">
        <v>2314</v>
      </c>
      <c r="T2369" s="3" t="s">
        <v>13111</v>
      </c>
      <c r="U2369" s="3" t="s">
        <v>74</v>
      </c>
      <c r="V2369" s="3" t="s">
        <v>75</v>
      </c>
      <c r="W2369" s="3" t="s">
        <v>13112</v>
      </c>
      <c r="X2369" s="10" t="s">
        <v>13113</v>
      </c>
      <c r="Y2369" s="6" t="s">
        <v>42</v>
      </c>
      <c r="Z2369" s="4">
        <v>0.39</v>
      </c>
      <c r="AA2369" s="4">
        <v>2.39</v>
      </c>
      <c r="AB2369" s="3" t="s">
        <v>43</v>
      </c>
      <c r="AC2369" s="3" t="s">
        <v>13114</v>
      </c>
      <c r="AD2369" s="9">
        <v>44638</v>
      </c>
      <c r="AE2369" s="3" t="s">
        <v>79</v>
      </c>
      <c r="AF2369" s="3" t="s">
        <v>36</v>
      </c>
      <c r="AG2369" s="3" t="s">
        <v>81</v>
      </c>
      <c r="AH2369" s="11">
        <f>HYPERLINK("https://my.pitchbook.com?c=211058-47T","View Company Online")</f>
      </c>
    </row>
    <row r="2370">
      <c r="A2370" s="12" t="s">
        <v>13115</v>
      </c>
      <c r="B2370" s="12" t="s">
        <v>13116</v>
      </c>
      <c r="C2370" s="19">
        <v>1</v>
      </c>
      <c r="D2370" s="19" t="s">
        <v>36</v>
      </c>
      <c r="E2370" s="19">
        <v>1</v>
      </c>
      <c r="F2370" s="19">
        <v>1</v>
      </c>
      <c r="G2370" s="15" t="s">
        <v>36</v>
      </c>
      <c r="H2370" s="14" t="s">
        <v>36</v>
      </c>
      <c r="I2370" s="18" t="s">
        <v>36</v>
      </c>
      <c r="J2370" s="12" t="s">
        <v>36</v>
      </c>
      <c r="K2370" s="13" t="s">
        <v>36</v>
      </c>
      <c r="L2370" s="15" t="s">
        <v>36</v>
      </c>
      <c r="M2370" s="12" t="s">
        <v>36</v>
      </c>
      <c r="N2370" s="12" t="s">
        <v>36</v>
      </c>
      <c r="O2370" s="17" t="s">
        <v>36</v>
      </c>
      <c r="P2370" s="12" t="s">
        <v>36</v>
      </c>
      <c r="Q2370" s="12" t="s">
        <v>36</v>
      </c>
      <c r="R2370" s="12" t="s">
        <v>36</v>
      </c>
      <c r="S2370" s="12" t="s">
        <v>36</v>
      </c>
      <c r="T2370" s="12" t="s">
        <v>881</v>
      </c>
      <c r="U2370" s="12" t="s">
        <v>51</v>
      </c>
      <c r="V2370" s="12" t="s">
        <v>52</v>
      </c>
      <c r="W2370" s="12" t="s">
        <v>13117</v>
      </c>
      <c r="X2370" s="16" t="s">
        <v>13118</v>
      </c>
      <c r="Y2370" s="15" t="s">
        <v>55</v>
      </c>
      <c r="Z2370" s="14">
        <v>1.33</v>
      </c>
      <c r="AA2370" s="14" t="s">
        <v>36</v>
      </c>
      <c r="AB2370" s="12" t="s">
        <v>43</v>
      </c>
      <c r="AC2370" s="12" t="s">
        <v>13119</v>
      </c>
      <c r="AD2370" s="13">
        <v>44638</v>
      </c>
      <c r="AE2370" s="12" t="s">
        <v>504</v>
      </c>
      <c r="AF2370" s="12" t="s">
        <v>159</v>
      </c>
      <c r="AG2370" s="12" t="s">
        <v>1353</v>
      </c>
      <c r="AH2370" s="1">
        <f>HYPERLINK("https://my.pitchbook.com?c=190519-12T","View Company Online")</f>
      </c>
    </row>
    <row r="2371">
      <c r="A2371" s="3" t="s">
        <v>13120</v>
      </c>
      <c r="B2371" s="3" t="s">
        <v>13121</v>
      </c>
      <c r="C2371" s="5" t="s">
        <v>36</v>
      </c>
      <c r="D2371" s="5" t="s">
        <v>36</v>
      </c>
      <c r="E2371" s="5" t="s">
        <v>36</v>
      </c>
      <c r="F2371" s="5" t="s">
        <v>36</v>
      </c>
      <c r="G2371" s="6" t="s">
        <v>326</v>
      </c>
      <c r="H2371" s="4" t="s">
        <v>36</v>
      </c>
      <c r="I2371" s="7">
        <v>25.02</v>
      </c>
      <c r="J2371" s="3" t="s">
        <v>327</v>
      </c>
      <c r="K2371" s="9" t="s">
        <v>36</v>
      </c>
      <c r="L2371" s="6" t="s">
        <v>122</v>
      </c>
      <c r="M2371" s="3" t="s">
        <v>36</v>
      </c>
      <c r="N2371" s="3" t="s">
        <v>122</v>
      </c>
      <c r="O2371" s="8" t="s">
        <v>36</v>
      </c>
      <c r="P2371" s="3" t="s">
        <v>36</v>
      </c>
      <c r="Q2371" s="3" t="s">
        <v>36</v>
      </c>
      <c r="R2371" s="3" t="s">
        <v>36</v>
      </c>
      <c r="S2371" s="3" t="s">
        <v>36</v>
      </c>
      <c r="T2371" s="3" t="s">
        <v>522</v>
      </c>
      <c r="U2371" s="3" t="s">
        <v>38</v>
      </c>
      <c r="V2371" s="3" t="s">
        <v>39</v>
      </c>
      <c r="W2371" s="3" t="s">
        <v>13122</v>
      </c>
      <c r="X2371" s="10" t="s">
        <v>13123</v>
      </c>
      <c r="Y2371" s="6" t="s">
        <v>192</v>
      </c>
      <c r="Z2371" s="4">
        <v>12</v>
      </c>
      <c r="AA2371" s="4">
        <v>47.97</v>
      </c>
      <c r="AB2371" s="3" t="s">
        <v>43</v>
      </c>
      <c r="AC2371" s="3" t="s">
        <v>13124</v>
      </c>
      <c r="AD2371" s="9">
        <v>44638</v>
      </c>
      <c r="AE2371" s="3" t="s">
        <v>110</v>
      </c>
      <c r="AF2371" s="3" t="s">
        <v>526</v>
      </c>
      <c r="AG2371" s="3" t="s">
        <v>6068</v>
      </c>
      <c r="AH2371" s="11">
        <f>HYPERLINK("https://my.pitchbook.com?c=190507-15T","View Company Online")</f>
      </c>
    </row>
    <row r="2372">
      <c r="A2372" s="12" t="s">
        <v>13125</v>
      </c>
      <c r="B2372" s="12" t="s">
        <v>13126</v>
      </c>
      <c r="C2372" s="19" t="s">
        <v>36</v>
      </c>
      <c r="D2372" s="19" t="s">
        <v>36</v>
      </c>
      <c r="E2372" s="19" t="s">
        <v>36</v>
      </c>
      <c r="F2372" s="19" t="s">
        <v>36</v>
      </c>
      <c r="G2372" s="15" t="s">
        <v>36</v>
      </c>
      <c r="H2372" s="14" t="s">
        <v>36</v>
      </c>
      <c r="I2372" s="18" t="s">
        <v>36</v>
      </c>
      <c r="J2372" s="12" t="s">
        <v>36</v>
      </c>
      <c r="K2372" s="13" t="s">
        <v>36</v>
      </c>
      <c r="L2372" s="15" t="s">
        <v>36</v>
      </c>
      <c r="M2372" s="12" t="s">
        <v>36</v>
      </c>
      <c r="N2372" s="12" t="s">
        <v>36</v>
      </c>
      <c r="O2372" s="17" t="s">
        <v>36</v>
      </c>
      <c r="P2372" s="12" t="s">
        <v>36</v>
      </c>
      <c r="Q2372" s="12" t="s">
        <v>36</v>
      </c>
      <c r="R2372" s="12" t="s">
        <v>36</v>
      </c>
      <c r="S2372" s="12" t="s">
        <v>36</v>
      </c>
      <c r="T2372" s="12" t="s">
        <v>3790</v>
      </c>
      <c r="U2372" s="12" t="s">
        <v>318</v>
      </c>
      <c r="V2372" s="12" t="s">
        <v>39</v>
      </c>
      <c r="W2372" s="12" t="s">
        <v>13127</v>
      </c>
      <c r="X2372" s="16" t="s">
        <v>13128</v>
      </c>
      <c r="Y2372" s="15" t="s">
        <v>192</v>
      </c>
      <c r="Z2372" s="14">
        <v>4.45</v>
      </c>
      <c r="AA2372" s="14" t="s">
        <v>36</v>
      </c>
      <c r="AB2372" s="12" t="s">
        <v>56</v>
      </c>
      <c r="AC2372" s="12" t="s">
        <v>13129</v>
      </c>
      <c r="AD2372" s="13">
        <v>44637</v>
      </c>
      <c r="AE2372" s="12" t="s">
        <v>763</v>
      </c>
      <c r="AF2372" s="12" t="s">
        <v>4668</v>
      </c>
      <c r="AG2372" s="12" t="s">
        <v>81</v>
      </c>
      <c r="AH2372" s="1">
        <f>HYPERLINK("https://my.pitchbook.com?c=216160-21T","View Company Online")</f>
      </c>
    </row>
    <row r="2373">
      <c r="A2373" s="3" t="s">
        <v>13130</v>
      </c>
      <c r="B2373" s="3" t="s">
        <v>13131</v>
      </c>
      <c r="C2373" s="5">
        <v>2</v>
      </c>
      <c r="D2373" s="5">
        <v>9</v>
      </c>
      <c r="E2373" s="5">
        <v>7</v>
      </c>
      <c r="F2373" s="5">
        <v>30</v>
      </c>
      <c r="G2373" s="6" t="s">
        <v>36</v>
      </c>
      <c r="H2373" s="4" t="s">
        <v>36</v>
      </c>
      <c r="I2373" s="7" t="s">
        <v>36</v>
      </c>
      <c r="J2373" s="3" t="s">
        <v>36</v>
      </c>
      <c r="K2373" s="9">
        <v>44466</v>
      </c>
      <c r="L2373" s="6" t="s">
        <v>94</v>
      </c>
      <c r="M2373" s="3" t="s">
        <v>36</v>
      </c>
      <c r="N2373" s="3" t="s">
        <v>94</v>
      </c>
      <c r="O2373" s="8" t="s">
        <v>36</v>
      </c>
      <c r="P2373" s="3" t="s">
        <v>36</v>
      </c>
      <c r="Q2373" s="3" t="s">
        <v>36</v>
      </c>
      <c r="R2373" s="3" t="s">
        <v>36</v>
      </c>
      <c r="S2373" s="3" t="s">
        <v>36</v>
      </c>
      <c r="T2373" s="3" t="s">
        <v>522</v>
      </c>
      <c r="U2373" s="3" t="s">
        <v>38</v>
      </c>
      <c r="V2373" s="3" t="s">
        <v>39</v>
      </c>
      <c r="W2373" s="3" t="s">
        <v>13132</v>
      </c>
      <c r="X2373" s="10" t="s">
        <v>13133</v>
      </c>
      <c r="Y2373" s="6" t="s">
        <v>55</v>
      </c>
      <c r="Z2373" s="4">
        <v>15.57</v>
      </c>
      <c r="AA2373" s="4" t="s">
        <v>36</v>
      </c>
      <c r="AB2373" s="3" t="s">
        <v>56</v>
      </c>
      <c r="AC2373" s="3" t="s">
        <v>13134</v>
      </c>
      <c r="AD2373" s="9">
        <v>44637</v>
      </c>
      <c r="AE2373" s="3" t="s">
        <v>110</v>
      </c>
      <c r="AF2373" s="3" t="s">
        <v>1842</v>
      </c>
      <c r="AG2373" s="3" t="s">
        <v>81</v>
      </c>
      <c r="AH2373" s="11">
        <f>HYPERLINK("https://my.pitchbook.com?c=180760-33T","View Company Online")</f>
      </c>
    </row>
    <row r="2374">
      <c r="A2374" s="12" t="s">
        <v>13135</v>
      </c>
      <c r="B2374" s="12" t="s">
        <v>13136</v>
      </c>
      <c r="C2374" s="19" t="s">
        <v>36</v>
      </c>
      <c r="D2374" s="19" t="s">
        <v>36</v>
      </c>
      <c r="E2374" s="19" t="s">
        <v>36</v>
      </c>
      <c r="F2374" s="19" t="s">
        <v>36</v>
      </c>
      <c r="G2374" s="15" t="s">
        <v>683</v>
      </c>
      <c r="H2374" s="14">
        <v>1869.42</v>
      </c>
      <c r="I2374" s="18">
        <v>16.01</v>
      </c>
      <c r="J2374" s="12" t="s">
        <v>521</v>
      </c>
      <c r="K2374" s="13" t="s">
        <v>36</v>
      </c>
      <c r="L2374" s="15" t="s">
        <v>36</v>
      </c>
      <c r="M2374" s="12" t="s">
        <v>36</v>
      </c>
      <c r="N2374" s="12" t="s">
        <v>36</v>
      </c>
      <c r="O2374" s="17" t="s">
        <v>36</v>
      </c>
      <c r="P2374" s="12" t="s">
        <v>36</v>
      </c>
      <c r="Q2374" s="12" t="s">
        <v>36</v>
      </c>
      <c r="R2374" s="12" t="s">
        <v>36</v>
      </c>
      <c r="S2374" s="12" t="s">
        <v>36</v>
      </c>
      <c r="T2374" s="12" t="s">
        <v>265</v>
      </c>
      <c r="U2374" s="12" t="s">
        <v>85</v>
      </c>
      <c r="V2374" s="12" t="s">
        <v>64</v>
      </c>
      <c r="W2374" s="12" t="s">
        <v>13137</v>
      </c>
      <c r="X2374" s="16" t="s">
        <v>13138</v>
      </c>
      <c r="Y2374" s="15" t="s">
        <v>108</v>
      </c>
      <c r="Z2374" s="14">
        <v>0.42</v>
      </c>
      <c r="AA2374" s="14">
        <v>2.63</v>
      </c>
      <c r="AB2374" s="12" t="s">
        <v>56</v>
      </c>
      <c r="AC2374" s="12" t="s">
        <v>13139</v>
      </c>
      <c r="AD2374" s="13">
        <v>44636</v>
      </c>
      <c r="AE2374" s="12" t="s">
        <v>89</v>
      </c>
      <c r="AF2374" s="12" t="s">
        <v>13140</v>
      </c>
      <c r="AG2374" s="12" t="s">
        <v>13141</v>
      </c>
      <c r="AH2374" s="1">
        <f>HYPERLINK("https://my.pitchbook.com?c=195169-06T","View Company Online")</f>
      </c>
    </row>
    <row r="2375">
      <c r="A2375" s="3" t="s">
        <v>13142</v>
      </c>
      <c r="B2375" s="3" t="s">
        <v>4484</v>
      </c>
      <c r="C2375" s="5" t="s">
        <v>36</v>
      </c>
      <c r="D2375" s="5" t="s">
        <v>36</v>
      </c>
      <c r="E2375" s="5" t="s">
        <v>36</v>
      </c>
      <c r="F2375" s="5" t="s">
        <v>36</v>
      </c>
      <c r="G2375" s="6" t="s">
        <v>36</v>
      </c>
      <c r="H2375" s="4" t="s">
        <v>36</v>
      </c>
      <c r="I2375" s="7" t="s">
        <v>36</v>
      </c>
      <c r="J2375" s="3" t="s">
        <v>36</v>
      </c>
      <c r="K2375" s="9" t="s">
        <v>36</v>
      </c>
      <c r="L2375" s="6" t="s">
        <v>36</v>
      </c>
      <c r="M2375" s="3" t="s">
        <v>36</v>
      </c>
      <c r="N2375" s="3" t="s">
        <v>36</v>
      </c>
      <c r="O2375" s="8" t="s">
        <v>36</v>
      </c>
      <c r="P2375" s="3" t="s">
        <v>36</v>
      </c>
      <c r="Q2375" s="3" t="s">
        <v>36</v>
      </c>
      <c r="R2375" s="3" t="s">
        <v>36</v>
      </c>
      <c r="S2375" s="3" t="s">
        <v>36</v>
      </c>
      <c r="T2375" s="3" t="s">
        <v>4485</v>
      </c>
      <c r="U2375" s="3" t="s">
        <v>219</v>
      </c>
      <c r="V2375" s="3" t="s">
        <v>75</v>
      </c>
      <c r="W2375" s="3" t="s">
        <v>4486</v>
      </c>
      <c r="X2375" s="10" t="s">
        <v>7214</v>
      </c>
      <c r="Y2375" s="6" t="s">
        <v>42</v>
      </c>
      <c r="Z2375" s="4">
        <v>0.33</v>
      </c>
      <c r="AA2375" s="4" t="s">
        <v>36</v>
      </c>
      <c r="AB2375" s="3" t="s">
        <v>43</v>
      </c>
      <c r="AC2375" s="3" t="s">
        <v>4488</v>
      </c>
      <c r="AD2375" s="9">
        <v>44636</v>
      </c>
      <c r="AE2375" s="3" t="s">
        <v>1912</v>
      </c>
      <c r="AF2375" s="3" t="s">
        <v>372</v>
      </c>
      <c r="AG2375" s="3" t="s">
        <v>932</v>
      </c>
      <c r="AH2375" s="11">
        <f>HYPERLINK("https://my.pitchbook.com?c=191435-86T","View Company Online")</f>
      </c>
    </row>
    <row r="2376">
      <c r="A2376" s="12" t="s">
        <v>13143</v>
      </c>
      <c r="B2376" s="12" t="s">
        <v>13144</v>
      </c>
      <c r="C2376" s="19" t="s">
        <v>36</v>
      </c>
      <c r="D2376" s="19" t="s">
        <v>36</v>
      </c>
      <c r="E2376" s="19" t="s">
        <v>36</v>
      </c>
      <c r="F2376" s="19" t="s">
        <v>36</v>
      </c>
      <c r="G2376" s="15" t="s">
        <v>36</v>
      </c>
      <c r="H2376" s="14" t="s">
        <v>36</v>
      </c>
      <c r="I2376" s="18" t="s">
        <v>36</v>
      </c>
      <c r="J2376" s="12" t="s">
        <v>36</v>
      </c>
      <c r="K2376" s="13" t="s">
        <v>36</v>
      </c>
      <c r="L2376" s="15" t="s">
        <v>4010</v>
      </c>
      <c r="M2376" s="12" t="s">
        <v>36</v>
      </c>
      <c r="N2376" s="12" t="s">
        <v>4010</v>
      </c>
      <c r="O2376" s="17" t="s">
        <v>36</v>
      </c>
      <c r="P2376" s="12" t="s">
        <v>36</v>
      </c>
      <c r="Q2376" s="12" t="s">
        <v>36</v>
      </c>
      <c r="R2376" s="12" t="s">
        <v>36</v>
      </c>
      <c r="S2376" s="12" t="s">
        <v>36</v>
      </c>
      <c r="T2376" s="12" t="s">
        <v>1941</v>
      </c>
      <c r="U2376" s="12" t="s">
        <v>38</v>
      </c>
      <c r="V2376" s="12" t="s">
        <v>39</v>
      </c>
      <c r="W2376" s="12" t="s">
        <v>13145</v>
      </c>
      <c r="X2376" s="16" t="s">
        <v>13146</v>
      </c>
      <c r="Y2376" s="15" t="s">
        <v>42</v>
      </c>
      <c r="Z2376" s="14" t="s">
        <v>36</v>
      </c>
      <c r="AA2376" s="14" t="s">
        <v>36</v>
      </c>
      <c r="AB2376" s="12" t="s">
        <v>43</v>
      </c>
      <c r="AC2376" s="12" t="s">
        <v>13147</v>
      </c>
      <c r="AD2376" s="13">
        <v>44636</v>
      </c>
      <c r="AE2376" s="12" t="s">
        <v>1945</v>
      </c>
      <c r="AF2376" s="12" t="s">
        <v>176</v>
      </c>
      <c r="AG2376" s="12" t="s">
        <v>443</v>
      </c>
      <c r="AH2376" s="1">
        <f>HYPERLINK("https://my.pitchbook.com?c=137231-11T","View Company Online")</f>
      </c>
    </row>
    <row r="2377">
      <c r="A2377" s="3" t="s">
        <v>13148</v>
      </c>
      <c r="B2377" s="3" t="s">
        <v>13149</v>
      </c>
      <c r="C2377" s="5" t="s">
        <v>36</v>
      </c>
      <c r="D2377" s="5" t="s">
        <v>36</v>
      </c>
      <c r="E2377" s="5" t="s">
        <v>36</v>
      </c>
      <c r="F2377" s="5" t="s">
        <v>36</v>
      </c>
      <c r="G2377" s="6" t="s">
        <v>326</v>
      </c>
      <c r="H2377" s="4" t="s">
        <v>36</v>
      </c>
      <c r="I2377" s="7">
        <v>23.49</v>
      </c>
      <c r="J2377" s="3" t="s">
        <v>327</v>
      </c>
      <c r="K2377" s="9">
        <v>44636</v>
      </c>
      <c r="L2377" s="6" t="s">
        <v>122</v>
      </c>
      <c r="M2377" s="3" t="s">
        <v>36</v>
      </c>
      <c r="N2377" s="3" t="s">
        <v>122</v>
      </c>
      <c r="O2377" s="8" t="s">
        <v>36</v>
      </c>
      <c r="P2377" s="3" t="s">
        <v>36</v>
      </c>
      <c r="Q2377" s="3" t="s">
        <v>36</v>
      </c>
      <c r="R2377" s="3" t="s">
        <v>36</v>
      </c>
      <c r="S2377" s="3" t="s">
        <v>36</v>
      </c>
      <c r="T2377" s="3" t="s">
        <v>105</v>
      </c>
      <c r="U2377" s="3" t="s">
        <v>38</v>
      </c>
      <c r="V2377" s="3" t="s">
        <v>39</v>
      </c>
      <c r="W2377" s="3" t="s">
        <v>13150</v>
      </c>
      <c r="X2377" s="10" t="s">
        <v>13151</v>
      </c>
      <c r="Y2377" s="6" t="s">
        <v>55</v>
      </c>
      <c r="Z2377" s="4">
        <v>27.82</v>
      </c>
      <c r="AA2377" s="4">
        <v>118.44</v>
      </c>
      <c r="AB2377" s="3" t="s">
        <v>43</v>
      </c>
      <c r="AC2377" s="3" t="s">
        <v>13152</v>
      </c>
      <c r="AD2377" s="9">
        <v>44636</v>
      </c>
      <c r="AE2377" s="3" t="s">
        <v>110</v>
      </c>
      <c r="AF2377" s="3" t="s">
        <v>13153</v>
      </c>
      <c r="AG2377" s="3" t="s">
        <v>81</v>
      </c>
      <c r="AH2377" s="11">
        <f>HYPERLINK("https://my.pitchbook.com?c=190360-54T","View Company Online")</f>
      </c>
    </row>
    <row r="2378">
      <c r="A2378" s="12" t="s">
        <v>13154</v>
      </c>
      <c r="B2378" s="12" t="s">
        <v>13155</v>
      </c>
      <c r="C2378" s="19" t="s">
        <v>36</v>
      </c>
      <c r="D2378" s="19" t="s">
        <v>36</v>
      </c>
      <c r="E2378" s="19" t="s">
        <v>36</v>
      </c>
      <c r="F2378" s="19" t="s">
        <v>36</v>
      </c>
      <c r="G2378" s="15" t="s">
        <v>36</v>
      </c>
      <c r="H2378" s="14" t="s">
        <v>36</v>
      </c>
      <c r="I2378" s="18" t="s">
        <v>36</v>
      </c>
      <c r="J2378" s="12" t="s">
        <v>36</v>
      </c>
      <c r="K2378" s="13" t="s">
        <v>36</v>
      </c>
      <c r="L2378" s="15" t="s">
        <v>3736</v>
      </c>
      <c r="M2378" s="12" t="s">
        <v>36</v>
      </c>
      <c r="N2378" s="12" t="s">
        <v>3736</v>
      </c>
      <c r="O2378" s="17" t="s">
        <v>36</v>
      </c>
      <c r="P2378" s="12" t="s">
        <v>36</v>
      </c>
      <c r="Q2378" s="12" t="s">
        <v>36</v>
      </c>
      <c r="R2378" s="12" t="s">
        <v>36</v>
      </c>
      <c r="S2378" s="12" t="s">
        <v>36</v>
      </c>
      <c r="T2378" s="12" t="s">
        <v>522</v>
      </c>
      <c r="U2378" s="12" t="s">
        <v>38</v>
      </c>
      <c r="V2378" s="12" t="s">
        <v>39</v>
      </c>
      <c r="W2378" s="12" t="s">
        <v>13156</v>
      </c>
      <c r="X2378" s="16" t="s">
        <v>13157</v>
      </c>
      <c r="Y2378" s="15" t="s">
        <v>321</v>
      </c>
      <c r="Z2378" s="14">
        <v>135</v>
      </c>
      <c r="AA2378" s="14" t="s">
        <v>36</v>
      </c>
      <c r="AB2378" s="12" t="s">
        <v>56</v>
      </c>
      <c r="AC2378" s="12" t="s">
        <v>13158</v>
      </c>
      <c r="AD2378" s="13">
        <v>44635</v>
      </c>
      <c r="AE2378" s="12" t="s">
        <v>110</v>
      </c>
      <c r="AF2378" s="12" t="s">
        <v>4552</v>
      </c>
      <c r="AG2378" s="12" t="s">
        <v>186</v>
      </c>
      <c r="AH2378" s="1">
        <f>HYPERLINK("https://my.pitchbook.com?c=190280-26T","View Company Online")</f>
      </c>
    </row>
    <row r="2379">
      <c r="A2379" s="3" t="s">
        <v>13159</v>
      </c>
      <c r="B2379" s="3" t="s">
        <v>13160</v>
      </c>
      <c r="C2379" s="5" t="s">
        <v>36</v>
      </c>
      <c r="D2379" s="5" t="s">
        <v>36</v>
      </c>
      <c r="E2379" s="5" t="s">
        <v>36</v>
      </c>
      <c r="F2379" s="5" t="s">
        <v>36</v>
      </c>
      <c r="G2379" s="6" t="s">
        <v>326</v>
      </c>
      <c r="H2379" s="4" t="s">
        <v>36</v>
      </c>
      <c r="I2379" s="7">
        <v>8.62</v>
      </c>
      <c r="J2379" s="3" t="s">
        <v>521</v>
      </c>
      <c r="K2379" s="9" t="s">
        <v>36</v>
      </c>
      <c r="L2379" s="6" t="s">
        <v>1846</v>
      </c>
      <c r="M2379" s="3" t="s">
        <v>36</v>
      </c>
      <c r="N2379" s="3" t="s">
        <v>1846</v>
      </c>
      <c r="O2379" s="8" t="s">
        <v>36</v>
      </c>
      <c r="P2379" s="3" t="s">
        <v>36</v>
      </c>
      <c r="Q2379" s="3" t="s">
        <v>36</v>
      </c>
      <c r="R2379" s="3" t="s">
        <v>36</v>
      </c>
      <c r="S2379" s="3" t="s">
        <v>36</v>
      </c>
      <c r="T2379" s="3" t="s">
        <v>189</v>
      </c>
      <c r="U2379" s="3" t="s">
        <v>180</v>
      </c>
      <c r="V2379" s="3" t="s">
        <v>52</v>
      </c>
      <c r="W2379" s="3" t="s">
        <v>13161</v>
      </c>
      <c r="X2379" s="10" t="s">
        <v>13162</v>
      </c>
      <c r="Y2379" s="6" t="s">
        <v>475</v>
      </c>
      <c r="Z2379" s="4">
        <v>557.1</v>
      </c>
      <c r="AA2379" s="4">
        <v>6462.35</v>
      </c>
      <c r="AB2379" s="3" t="s">
        <v>56</v>
      </c>
      <c r="AC2379" s="3" t="s">
        <v>13163</v>
      </c>
      <c r="AD2379" s="9">
        <v>44635</v>
      </c>
      <c r="AE2379" s="3" t="s">
        <v>184</v>
      </c>
      <c r="AF2379" s="3" t="s">
        <v>7086</v>
      </c>
      <c r="AG2379" s="3" t="s">
        <v>2088</v>
      </c>
      <c r="AH2379" s="11">
        <f>HYPERLINK("https://my.pitchbook.com?c=190288-72T","View Company Online")</f>
      </c>
    </row>
    <row r="2380">
      <c r="A2380" s="12" t="s">
        <v>13164</v>
      </c>
      <c r="B2380" s="12" t="s">
        <v>13165</v>
      </c>
      <c r="C2380" s="19">
        <v>1</v>
      </c>
      <c r="D2380" s="19">
        <v>10</v>
      </c>
      <c r="E2380" s="19">
        <v>3</v>
      </c>
      <c r="F2380" s="19">
        <v>11</v>
      </c>
      <c r="G2380" s="15" t="s">
        <v>2497</v>
      </c>
      <c r="H2380" s="14">
        <v>103.86</v>
      </c>
      <c r="I2380" s="18">
        <v>30.44</v>
      </c>
      <c r="J2380" s="12" t="s">
        <v>521</v>
      </c>
      <c r="K2380" s="13" t="s">
        <v>36</v>
      </c>
      <c r="L2380" s="15" t="s">
        <v>122</v>
      </c>
      <c r="M2380" s="12" t="s">
        <v>36</v>
      </c>
      <c r="N2380" s="12" t="s">
        <v>122</v>
      </c>
      <c r="O2380" s="17" t="s">
        <v>36</v>
      </c>
      <c r="P2380" s="12" t="s">
        <v>36</v>
      </c>
      <c r="Q2380" s="12" t="s">
        <v>36</v>
      </c>
      <c r="R2380" s="12" t="s">
        <v>36</v>
      </c>
      <c r="S2380" s="12" t="s">
        <v>36</v>
      </c>
      <c r="T2380" s="12" t="s">
        <v>13166</v>
      </c>
      <c r="U2380" s="12" t="s">
        <v>85</v>
      </c>
      <c r="V2380" s="12" t="s">
        <v>64</v>
      </c>
      <c r="W2380" s="12" t="s">
        <v>13167</v>
      </c>
      <c r="X2380" s="16" t="s">
        <v>13168</v>
      </c>
      <c r="Y2380" s="15" t="s">
        <v>321</v>
      </c>
      <c r="Z2380" s="14">
        <v>13.44</v>
      </c>
      <c r="AA2380" s="14">
        <v>29.44</v>
      </c>
      <c r="AB2380" s="12" t="s">
        <v>56</v>
      </c>
      <c r="AC2380" s="12" t="s">
        <v>13169</v>
      </c>
      <c r="AD2380" s="13">
        <v>44635</v>
      </c>
      <c r="AE2380" s="12" t="s">
        <v>89</v>
      </c>
      <c r="AF2380" s="12" t="s">
        <v>13170</v>
      </c>
      <c r="AG2380" s="12" t="s">
        <v>81</v>
      </c>
      <c r="AH2380" s="1">
        <f>HYPERLINK("https://my.pitchbook.com?c=190265-05T","View Company Online")</f>
      </c>
    </row>
    <row r="2381">
      <c r="A2381" s="3" t="s">
        <v>13171</v>
      </c>
      <c r="B2381" s="3" t="s">
        <v>13172</v>
      </c>
      <c r="C2381" s="5" t="s">
        <v>36</v>
      </c>
      <c r="D2381" s="5" t="s">
        <v>36</v>
      </c>
      <c r="E2381" s="5" t="s">
        <v>36</v>
      </c>
      <c r="F2381" s="5" t="s">
        <v>36</v>
      </c>
      <c r="G2381" s="6" t="s">
        <v>36</v>
      </c>
      <c r="H2381" s="4">
        <v>67.78</v>
      </c>
      <c r="I2381" s="7">
        <v>24.34</v>
      </c>
      <c r="J2381" s="3" t="s">
        <v>521</v>
      </c>
      <c r="K2381" s="9" t="s">
        <v>36</v>
      </c>
      <c r="L2381" s="6" t="s">
        <v>36</v>
      </c>
      <c r="M2381" s="3" t="s">
        <v>36</v>
      </c>
      <c r="N2381" s="3" t="s">
        <v>36</v>
      </c>
      <c r="O2381" s="8" t="s">
        <v>36</v>
      </c>
      <c r="P2381" s="3" t="s">
        <v>36</v>
      </c>
      <c r="Q2381" s="3" t="s">
        <v>36</v>
      </c>
      <c r="R2381" s="3" t="s">
        <v>36</v>
      </c>
      <c r="S2381" s="3" t="s">
        <v>36</v>
      </c>
      <c r="T2381" s="3" t="s">
        <v>1615</v>
      </c>
      <c r="U2381" s="3" t="s">
        <v>85</v>
      </c>
      <c r="V2381" s="3" t="s">
        <v>64</v>
      </c>
      <c r="W2381" s="3" t="s">
        <v>13173</v>
      </c>
      <c r="X2381" s="10" t="s">
        <v>13174</v>
      </c>
      <c r="Y2381" s="6" t="s">
        <v>42</v>
      </c>
      <c r="Z2381" s="4">
        <v>4.47</v>
      </c>
      <c r="AA2381" s="4">
        <v>9.61</v>
      </c>
      <c r="AB2381" s="3" t="s">
        <v>43</v>
      </c>
      <c r="AC2381" s="3" t="s">
        <v>13175</v>
      </c>
      <c r="AD2381" s="9">
        <v>44635</v>
      </c>
      <c r="AE2381" s="3" t="s">
        <v>89</v>
      </c>
      <c r="AF2381" s="3" t="s">
        <v>13176</v>
      </c>
      <c r="AG2381" s="3" t="s">
        <v>1485</v>
      </c>
      <c r="AH2381" s="11">
        <f>HYPERLINK("https://my.pitchbook.com?c=188904-16T","View Company Online")</f>
      </c>
    </row>
    <row r="2382">
      <c r="A2382" s="12" t="s">
        <v>13177</v>
      </c>
      <c r="B2382" s="12" t="s">
        <v>13178</v>
      </c>
      <c r="C2382" s="19" t="s">
        <v>36</v>
      </c>
      <c r="D2382" s="19" t="s">
        <v>36</v>
      </c>
      <c r="E2382" s="19" t="s">
        <v>36</v>
      </c>
      <c r="F2382" s="19" t="s">
        <v>36</v>
      </c>
      <c r="G2382" s="15" t="s">
        <v>36</v>
      </c>
      <c r="H2382" s="14" t="s">
        <v>36</v>
      </c>
      <c r="I2382" s="18" t="s">
        <v>36</v>
      </c>
      <c r="J2382" s="12" t="s">
        <v>36</v>
      </c>
      <c r="K2382" s="13" t="s">
        <v>36</v>
      </c>
      <c r="L2382" s="15" t="s">
        <v>122</v>
      </c>
      <c r="M2382" s="12" t="s">
        <v>36</v>
      </c>
      <c r="N2382" s="12" t="s">
        <v>122</v>
      </c>
      <c r="O2382" s="17" t="s">
        <v>36</v>
      </c>
      <c r="P2382" s="12" t="s">
        <v>36</v>
      </c>
      <c r="Q2382" s="12" t="s">
        <v>36</v>
      </c>
      <c r="R2382" s="12" t="s">
        <v>36</v>
      </c>
      <c r="S2382" s="12" t="s">
        <v>36</v>
      </c>
      <c r="T2382" s="12" t="s">
        <v>9494</v>
      </c>
      <c r="U2382" s="12" t="s">
        <v>38</v>
      </c>
      <c r="V2382" s="12" t="s">
        <v>39</v>
      </c>
      <c r="W2382" s="12" t="s">
        <v>13179</v>
      </c>
      <c r="X2382" s="16" t="s">
        <v>13180</v>
      </c>
      <c r="Y2382" s="15" t="s">
        <v>108</v>
      </c>
      <c r="Z2382" s="14" t="s">
        <v>36</v>
      </c>
      <c r="AA2382" s="14" t="s">
        <v>36</v>
      </c>
      <c r="AB2382" s="12" t="s">
        <v>43</v>
      </c>
      <c r="AC2382" s="12" t="s">
        <v>13181</v>
      </c>
      <c r="AD2382" s="13">
        <v>44635</v>
      </c>
      <c r="AE2382" s="12" t="s">
        <v>554</v>
      </c>
      <c r="AF2382" s="12" t="s">
        <v>13182</v>
      </c>
      <c r="AG2382" s="12" t="s">
        <v>81</v>
      </c>
      <c r="AH2382" s="1">
        <f>HYPERLINK("https://my.pitchbook.com?c=190314-10T","View Company Online")</f>
      </c>
    </row>
    <row r="2383">
      <c r="A2383" s="3" t="s">
        <v>13183</v>
      </c>
      <c r="B2383" s="3" t="s">
        <v>13184</v>
      </c>
      <c r="C2383" s="5" t="s">
        <v>36</v>
      </c>
      <c r="D2383" s="5" t="s">
        <v>36</v>
      </c>
      <c r="E2383" s="5" t="s">
        <v>36</v>
      </c>
      <c r="F2383" s="5" t="s">
        <v>36</v>
      </c>
      <c r="G2383" s="6" t="s">
        <v>326</v>
      </c>
      <c r="H2383" s="4">
        <v>59.82</v>
      </c>
      <c r="I2383" s="7">
        <v>15.8</v>
      </c>
      <c r="J2383" s="3" t="s">
        <v>521</v>
      </c>
      <c r="K2383" s="9" t="s">
        <v>36</v>
      </c>
      <c r="L2383" s="6" t="s">
        <v>36</v>
      </c>
      <c r="M2383" s="3" t="s">
        <v>36</v>
      </c>
      <c r="N2383" s="3" t="s">
        <v>36</v>
      </c>
      <c r="O2383" s="8" t="s">
        <v>36</v>
      </c>
      <c r="P2383" s="3" t="s">
        <v>36</v>
      </c>
      <c r="Q2383" s="3" t="s">
        <v>36</v>
      </c>
      <c r="R2383" s="3" t="s">
        <v>36</v>
      </c>
      <c r="S2383" s="3" t="s">
        <v>36</v>
      </c>
      <c r="T2383" s="3" t="s">
        <v>13185</v>
      </c>
      <c r="U2383" s="3" t="s">
        <v>38</v>
      </c>
      <c r="V2383" s="3" t="s">
        <v>39</v>
      </c>
      <c r="W2383" s="3" t="s">
        <v>13186</v>
      </c>
      <c r="X2383" s="10" t="s">
        <v>13187</v>
      </c>
      <c r="Y2383" s="6" t="s">
        <v>42</v>
      </c>
      <c r="Z2383" s="4">
        <v>1.67</v>
      </c>
      <c r="AA2383" s="4">
        <v>10.59</v>
      </c>
      <c r="AB2383" s="3" t="s">
        <v>43</v>
      </c>
      <c r="AC2383" s="3" t="s">
        <v>13188</v>
      </c>
      <c r="AD2383" s="9">
        <v>44635</v>
      </c>
      <c r="AE2383" s="3" t="s">
        <v>1422</v>
      </c>
      <c r="AF2383" s="3" t="s">
        <v>13189</v>
      </c>
      <c r="AG2383" s="3" t="s">
        <v>899</v>
      </c>
      <c r="AH2383" s="11">
        <f>HYPERLINK("https://my.pitchbook.com?c=190523-71T","View Company Online")</f>
      </c>
    </row>
    <row r="2384">
      <c r="A2384" s="12" t="s">
        <v>13190</v>
      </c>
      <c r="B2384" s="12" t="s">
        <v>6646</v>
      </c>
      <c r="C2384" s="19" t="s">
        <v>36</v>
      </c>
      <c r="D2384" s="19" t="s">
        <v>36</v>
      </c>
      <c r="E2384" s="19" t="s">
        <v>36</v>
      </c>
      <c r="F2384" s="19" t="s">
        <v>36</v>
      </c>
      <c r="G2384" s="15" t="s">
        <v>326</v>
      </c>
      <c r="H2384" s="14">
        <v>3417.92</v>
      </c>
      <c r="I2384" s="18">
        <v>9.55</v>
      </c>
      <c r="J2384" s="12" t="s">
        <v>521</v>
      </c>
      <c r="K2384" s="13" t="s">
        <v>36</v>
      </c>
      <c r="L2384" s="15" t="s">
        <v>36</v>
      </c>
      <c r="M2384" s="12" t="s">
        <v>36</v>
      </c>
      <c r="N2384" s="12" t="s">
        <v>36</v>
      </c>
      <c r="O2384" s="17" t="s">
        <v>36</v>
      </c>
      <c r="P2384" s="12" t="s">
        <v>36</v>
      </c>
      <c r="Q2384" s="12" t="s">
        <v>36</v>
      </c>
      <c r="R2384" s="12" t="s">
        <v>36</v>
      </c>
      <c r="S2384" s="12" t="s">
        <v>36</v>
      </c>
      <c r="T2384" s="12" t="s">
        <v>6647</v>
      </c>
      <c r="U2384" s="12" t="s">
        <v>233</v>
      </c>
      <c r="V2384" s="12" t="s">
        <v>39</v>
      </c>
      <c r="W2384" s="12" t="s">
        <v>6648</v>
      </c>
      <c r="X2384" s="16" t="s">
        <v>13191</v>
      </c>
      <c r="Y2384" s="15" t="s">
        <v>108</v>
      </c>
      <c r="Z2384" s="14">
        <v>1.65</v>
      </c>
      <c r="AA2384" s="14">
        <v>17.29</v>
      </c>
      <c r="AB2384" s="12" t="s">
        <v>56</v>
      </c>
      <c r="AC2384" s="12" t="s">
        <v>6650</v>
      </c>
      <c r="AD2384" s="13">
        <v>44633</v>
      </c>
      <c r="AE2384" s="12" t="s">
        <v>236</v>
      </c>
      <c r="AF2384" s="12" t="s">
        <v>80</v>
      </c>
      <c r="AG2384" s="12" t="s">
        <v>81</v>
      </c>
      <c r="AH2384" s="1">
        <f>HYPERLINK("https://my.pitchbook.com?c=234520-66T","View Company Online")</f>
      </c>
    </row>
    <row r="2385">
      <c r="A2385" s="3" t="s">
        <v>13192</v>
      </c>
      <c r="B2385" s="3" t="s">
        <v>13193</v>
      </c>
      <c r="C2385" s="5" t="s">
        <v>36</v>
      </c>
      <c r="D2385" s="5" t="s">
        <v>36</v>
      </c>
      <c r="E2385" s="5" t="s">
        <v>36</v>
      </c>
      <c r="F2385" s="5" t="s">
        <v>36</v>
      </c>
      <c r="G2385" s="6" t="s">
        <v>2497</v>
      </c>
      <c r="H2385" s="4">
        <v>0.54</v>
      </c>
      <c r="I2385" s="7">
        <v>5.55</v>
      </c>
      <c r="J2385" s="3" t="s">
        <v>521</v>
      </c>
      <c r="K2385" s="9" t="s">
        <v>36</v>
      </c>
      <c r="L2385" s="6" t="s">
        <v>122</v>
      </c>
      <c r="M2385" s="3" t="s">
        <v>36</v>
      </c>
      <c r="N2385" s="3" t="s">
        <v>122</v>
      </c>
      <c r="O2385" s="8" t="s">
        <v>36</v>
      </c>
      <c r="P2385" s="3" t="s">
        <v>36</v>
      </c>
      <c r="Q2385" s="3" t="s">
        <v>36</v>
      </c>
      <c r="R2385" s="3" t="s">
        <v>36</v>
      </c>
      <c r="S2385" s="3" t="s">
        <v>36</v>
      </c>
      <c r="T2385" s="3" t="s">
        <v>105</v>
      </c>
      <c r="U2385" s="3" t="s">
        <v>38</v>
      </c>
      <c r="V2385" s="3" t="s">
        <v>39</v>
      </c>
      <c r="W2385" s="3" t="s">
        <v>13194</v>
      </c>
      <c r="X2385" s="10" t="s">
        <v>13195</v>
      </c>
      <c r="Y2385" s="6" t="s">
        <v>55</v>
      </c>
      <c r="Z2385" s="4">
        <v>0.31</v>
      </c>
      <c r="AA2385" s="4">
        <v>5.6</v>
      </c>
      <c r="AB2385" s="3" t="s">
        <v>56</v>
      </c>
      <c r="AC2385" s="3" t="s">
        <v>13196</v>
      </c>
      <c r="AD2385" s="9">
        <v>44632</v>
      </c>
      <c r="AE2385" s="3" t="s">
        <v>110</v>
      </c>
      <c r="AF2385" s="3" t="s">
        <v>526</v>
      </c>
      <c r="AG2385" s="3" t="s">
        <v>81</v>
      </c>
      <c r="AH2385" s="11">
        <f>HYPERLINK("https://my.pitchbook.com?c=190777-78T","View Company Online")</f>
      </c>
    </row>
    <row r="2386">
      <c r="A2386" s="12" t="s">
        <v>13197</v>
      </c>
      <c r="B2386" s="12" t="s">
        <v>13198</v>
      </c>
      <c r="C2386" s="19" t="s">
        <v>36</v>
      </c>
      <c r="D2386" s="19" t="s">
        <v>36</v>
      </c>
      <c r="E2386" s="19" t="s">
        <v>36</v>
      </c>
      <c r="F2386" s="19" t="s">
        <v>36</v>
      </c>
      <c r="G2386" s="15" t="s">
        <v>36</v>
      </c>
      <c r="H2386" s="14" t="s">
        <v>36</v>
      </c>
      <c r="I2386" s="18" t="s">
        <v>36</v>
      </c>
      <c r="J2386" s="12" t="s">
        <v>36</v>
      </c>
      <c r="K2386" s="13" t="s">
        <v>36</v>
      </c>
      <c r="L2386" s="15" t="s">
        <v>36</v>
      </c>
      <c r="M2386" s="12" t="s">
        <v>36</v>
      </c>
      <c r="N2386" s="12" t="s">
        <v>36</v>
      </c>
      <c r="O2386" s="17" t="s">
        <v>36</v>
      </c>
      <c r="P2386" s="12" t="s">
        <v>36</v>
      </c>
      <c r="Q2386" s="12" t="s">
        <v>36</v>
      </c>
      <c r="R2386" s="12" t="s">
        <v>36</v>
      </c>
      <c r="S2386" s="12" t="s">
        <v>36</v>
      </c>
      <c r="T2386" s="12" t="s">
        <v>13199</v>
      </c>
      <c r="U2386" s="12" t="s">
        <v>279</v>
      </c>
      <c r="V2386" s="12" t="s">
        <v>64</v>
      </c>
      <c r="W2386" s="12" t="s">
        <v>13200</v>
      </c>
      <c r="X2386" s="16" t="s">
        <v>13201</v>
      </c>
      <c r="Y2386" s="15" t="s">
        <v>42</v>
      </c>
      <c r="Z2386" s="14">
        <v>0.9</v>
      </c>
      <c r="AA2386" s="14" t="s">
        <v>36</v>
      </c>
      <c r="AB2386" s="12" t="s">
        <v>43</v>
      </c>
      <c r="AC2386" s="12" t="s">
        <v>13202</v>
      </c>
      <c r="AD2386" s="13">
        <v>44631</v>
      </c>
      <c r="AE2386" s="12" t="s">
        <v>8519</v>
      </c>
      <c r="AF2386" s="12" t="s">
        <v>13203</v>
      </c>
      <c r="AG2386" s="12" t="s">
        <v>47</v>
      </c>
      <c r="AH2386" s="1">
        <f>HYPERLINK("https://my.pitchbook.com?c=190112-23T","View Company Online")</f>
      </c>
    </row>
    <row r="2387">
      <c r="A2387" s="3" t="s">
        <v>13204</v>
      </c>
      <c r="B2387" s="3" t="s">
        <v>13205</v>
      </c>
      <c r="C2387" s="5" t="s">
        <v>36</v>
      </c>
      <c r="D2387" s="5" t="s">
        <v>36</v>
      </c>
      <c r="E2387" s="5" t="s">
        <v>36</v>
      </c>
      <c r="F2387" s="5" t="s">
        <v>36</v>
      </c>
      <c r="G2387" s="6" t="s">
        <v>36</v>
      </c>
      <c r="H2387" s="4" t="s">
        <v>36</v>
      </c>
      <c r="I2387" s="7" t="s">
        <v>36</v>
      </c>
      <c r="J2387" s="3" t="s">
        <v>36</v>
      </c>
      <c r="K2387" s="9" t="s">
        <v>36</v>
      </c>
      <c r="L2387" s="6" t="s">
        <v>36</v>
      </c>
      <c r="M2387" s="3" t="s">
        <v>36</v>
      </c>
      <c r="N2387" s="3" t="s">
        <v>36</v>
      </c>
      <c r="O2387" s="8" t="s">
        <v>36</v>
      </c>
      <c r="P2387" s="3" t="s">
        <v>36</v>
      </c>
      <c r="Q2387" s="3" t="s">
        <v>36</v>
      </c>
      <c r="R2387" s="3" t="s">
        <v>36</v>
      </c>
      <c r="S2387" s="3" t="s">
        <v>36</v>
      </c>
      <c r="T2387" s="3" t="s">
        <v>2498</v>
      </c>
      <c r="U2387" s="3" t="s">
        <v>956</v>
      </c>
      <c r="V2387" s="3" t="s">
        <v>405</v>
      </c>
      <c r="W2387" s="3" t="s">
        <v>13206</v>
      </c>
      <c r="X2387" s="10" t="s">
        <v>13207</v>
      </c>
      <c r="Y2387" s="6" t="s">
        <v>166</v>
      </c>
      <c r="Z2387" s="4">
        <v>100.94</v>
      </c>
      <c r="AA2387" s="4" t="s">
        <v>36</v>
      </c>
      <c r="AB2387" s="3" t="s">
        <v>56</v>
      </c>
      <c r="AC2387" s="3" t="s">
        <v>13208</v>
      </c>
      <c r="AD2387" s="9">
        <v>44630</v>
      </c>
      <c r="AE2387" s="3" t="s">
        <v>960</v>
      </c>
      <c r="AF2387" s="3" t="s">
        <v>13209</v>
      </c>
      <c r="AG2387" s="3" t="s">
        <v>899</v>
      </c>
      <c r="AH2387" s="11">
        <f>HYPERLINK("https://my.pitchbook.com?c=190048-60T","View Company Online")</f>
      </c>
    </row>
    <row r="2388">
      <c r="A2388" s="12" t="s">
        <v>13210</v>
      </c>
      <c r="B2388" s="12" t="s">
        <v>11828</v>
      </c>
      <c r="C2388" s="19" t="s">
        <v>36</v>
      </c>
      <c r="D2388" s="19" t="s">
        <v>36</v>
      </c>
      <c r="E2388" s="19" t="s">
        <v>36</v>
      </c>
      <c r="F2388" s="19" t="s">
        <v>36</v>
      </c>
      <c r="G2388" s="15" t="s">
        <v>326</v>
      </c>
      <c r="H2388" s="14">
        <v>9.82</v>
      </c>
      <c r="I2388" s="18">
        <v>24.48</v>
      </c>
      <c r="J2388" s="12" t="s">
        <v>521</v>
      </c>
      <c r="K2388" s="13" t="s">
        <v>36</v>
      </c>
      <c r="L2388" s="15" t="s">
        <v>122</v>
      </c>
      <c r="M2388" s="12" t="s">
        <v>36</v>
      </c>
      <c r="N2388" s="12" t="s">
        <v>122</v>
      </c>
      <c r="O2388" s="17" t="s">
        <v>36</v>
      </c>
      <c r="P2388" s="12" t="s">
        <v>36</v>
      </c>
      <c r="Q2388" s="12" t="s">
        <v>36</v>
      </c>
      <c r="R2388" s="12" t="s">
        <v>36</v>
      </c>
      <c r="S2388" s="12" t="s">
        <v>36</v>
      </c>
      <c r="T2388" s="12" t="s">
        <v>11829</v>
      </c>
      <c r="U2388" s="12" t="s">
        <v>38</v>
      </c>
      <c r="V2388" s="12" t="s">
        <v>39</v>
      </c>
      <c r="W2388" s="12" t="s">
        <v>11830</v>
      </c>
      <c r="X2388" s="16" t="s">
        <v>13211</v>
      </c>
      <c r="Y2388" s="15" t="s">
        <v>108</v>
      </c>
      <c r="Z2388" s="14">
        <v>5.61</v>
      </c>
      <c r="AA2388" s="14">
        <v>16.04</v>
      </c>
      <c r="AB2388" s="12" t="s">
        <v>43</v>
      </c>
      <c r="AC2388" s="12" t="s">
        <v>11832</v>
      </c>
      <c r="AD2388" s="13">
        <v>44630</v>
      </c>
      <c r="AE2388" s="12" t="s">
        <v>110</v>
      </c>
      <c r="AF2388" s="12" t="s">
        <v>11833</v>
      </c>
      <c r="AG2388" s="12" t="s">
        <v>81</v>
      </c>
      <c r="AH2388" s="1">
        <f>HYPERLINK("https://my.pitchbook.com?c=190045-99T","View Company Online")</f>
      </c>
    </row>
    <row r="2389">
      <c r="A2389" s="3" t="s">
        <v>13212</v>
      </c>
      <c r="B2389" s="3" t="s">
        <v>6720</v>
      </c>
      <c r="C2389" s="5" t="s">
        <v>36</v>
      </c>
      <c r="D2389" s="5" t="s">
        <v>36</v>
      </c>
      <c r="E2389" s="5" t="s">
        <v>36</v>
      </c>
      <c r="F2389" s="5" t="s">
        <v>36</v>
      </c>
      <c r="G2389" s="6" t="s">
        <v>326</v>
      </c>
      <c r="H2389" s="4" t="s">
        <v>36</v>
      </c>
      <c r="I2389" s="7">
        <v>28.28</v>
      </c>
      <c r="J2389" s="3" t="s">
        <v>327</v>
      </c>
      <c r="K2389" s="9" t="s">
        <v>36</v>
      </c>
      <c r="L2389" s="6" t="s">
        <v>122</v>
      </c>
      <c r="M2389" s="3" t="s">
        <v>36</v>
      </c>
      <c r="N2389" s="3" t="s">
        <v>122</v>
      </c>
      <c r="O2389" s="8" t="s">
        <v>36</v>
      </c>
      <c r="P2389" s="3" t="s">
        <v>36</v>
      </c>
      <c r="Q2389" s="3" t="s">
        <v>36</v>
      </c>
      <c r="R2389" s="3" t="s">
        <v>36</v>
      </c>
      <c r="S2389" s="3" t="s">
        <v>36</v>
      </c>
      <c r="T2389" s="3" t="s">
        <v>6721</v>
      </c>
      <c r="U2389" s="3" t="s">
        <v>318</v>
      </c>
      <c r="V2389" s="3" t="s">
        <v>39</v>
      </c>
      <c r="W2389" s="3" t="s">
        <v>6722</v>
      </c>
      <c r="X2389" s="10" t="s">
        <v>13213</v>
      </c>
      <c r="Y2389" s="6" t="s">
        <v>108</v>
      </c>
      <c r="Z2389" s="4">
        <v>11.22</v>
      </c>
      <c r="AA2389" s="4">
        <v>39.67</v>
      </c>
      <c r="AB2389" s="3" t="s">
        <v>43</v>
      </c>
      <c r="AC2389" s="3" t="s">
        <v>6724</v>
      </c>
      <c r="AD2389" s="9">
        <v>44630</v>
      </c>
      <c r="AE2389" s="3" t="s">
        <v>763</v>
      </c>
      <c r="AF2389" s="3" t="s">
        <v>6725</v>
      </c>
      <c r="AG2389" s="3" t="s">
        <v>102</v>
      </c>
      <c r="AH2389" s="11">
        <f>HYPERLINK("https://my.pitchbook.com?c=190105-30T","View Company Online")</f>
      </c>
    </row>
    <row r="2390">
      <c r="A2390" s="12" t="s">
        <v>13214</v>
      </c>
      <c r="B2390" s="12" t="s">
        <v>315</v>
      </c>
      <c r="C2390" s="19">
        <v>16</v>
      </c>
      <c r="D2390" s="19">
        <v>5</v>
      </c>
      <c r="E2390" s="19">
        <v>14</v>
      </c>
      <c r="F2390" s="19">
        <v>21</v>
      </c>
      <c r="G2390" s="15" t="s">
        <v>326</v>
      </c>
      <c r="H2390" s="14" t="s">
        <v>36</v>
      </c>
      <c r="I2390" s="18">
        <v>38.6</v>
      </c>
      <c r="J2390" s="12" t="s">
        <v>327</v>
      </c>
      <c r="K2390" s="13">
        <v>44607</v>
      </c>
      <c r="L2390" s="15" t="s">
        <v>122</v>
      </c>
      <c r="M2390" s="12" t="s">
        <v>36</v>
      </c>
      <c r="N2390" s="12" t="s">
        <v>122</v>
      </c>
      <c r="O2390" s="17" t="s">
        <v>36</v>
      </c>
      <c r="P2390" s="12" t="s">
        <v>36</v>
      </c>
      <c r="Q2390" s="12" t="s">
        <v>36</v>
      </c>
      <c r="R2390" s="12" t="s">
        <v>36</v>
      </c>
      <c r="S2390" s="12" t="s">
        <v>316</v>
      </c>
      <c r="T2390" s="12" t="s">
        <v>317</v>
      </c>
      <c r="U2390" s="12" t="s">
        <v>318</v>
      </c>
      <c r="V2390" s="12" t="s">
        <v>39</v>
      </c>
      <c r="W2390" s="12" t="s">
        <v>319</v>
      </c>
      <c r="X2390" s="16" t="s">
        <v>13215</v>
      </c>
      <c r="Y2390" s="15" t="s">
        <v>55</v>
      </c>
      <c r="Z2390" s="14">
        <v>30.32</v>
      </c>
      <c r="AA2390" s="14">
        <v>78.54</v>
      </c>
      <c r="AB2390" s="12" t="s">
        <v>43</v>
      </c>
      <c r="AC2390" s="12" t="s">
        <v>322</v>
      </c>
      <c r="AD2390" s="13">
        <v>44629</v>
      </c>
      <c r="AE2390" s="12" t="s">
        <v>323</v>
      </c>
      <c r="AF2390" s="12" t="s">
        <v>36</v>
      </c>
      <c r="AG2390" s="12" t="s">
        <v>81</v>
      </c>
      <c r="AH2390" s="1">
        <f>HYPERLINK("https://my.pitchbook.com?c=190029-79T","View Company Online")</f>
      </c>
    </row>
    <row r="2391">
      <c r="A2391" s="3" t="s">
        <v>13216</v>
      </c>
      <c r="B2391" s="3" t="s">
        <v>13217</v>
      </c>
      <c r="C2391" s="5" t="s">
        <v>36</v>
      </c>
      <c r="D2391" s="5">
        <v>3</v>
      </c>
      <c r="E2391" s="5">
        <v>4</v>
      </c>
      <c r="F2391" s="5">
        <v>11</v>
      </c>
      <c r="G2391" s="6" t="s">
        <v>326</v>
      </c>
      <c r="H2391" s="4">
        <v>152.1</v>
      </c>
      <c r="I2391" s="7">
        <v>32.19</v>
      </c>
      <c r="J2391" s="3" t="s">
        <v>521</v>
      </c>
      <c r="K2391" s="9" t="s">
        <v>36</v>
      </c>
      <c r="L2391" s="6" t="s">
        <v>122</v>
      </c>
      <c r="M2391" s="3" t="s">
        <v>36</v>
      </c>
      <c r="N2391" s="3" t="s">
        <v>122</v>
      </c>
      <c r="O2391" s="8" t="s">
        <v>36</v>
      </c>
      <c r="P2391" s="3" t="s">
        <v>36</v>
      </c>
      <c r="Q2391" s="3" t="s">
        <v>36</v>
      </c>
      <c r="R2391" s="3" t="s">
        <v>36</v>
      </c>
      <c r="S2391" s="3" t="s">
        <v>13218</v>
      </c>
      <c r="T2391" s="3" t="s">
        <v>522</v>
      </c>
      <c r="U2391" s="3" t="s">
        <v>38</v>
      </c>
      <c r="V2391" s="3" t="s">
        <v>39</v>
      </c>
      <c r="W2391" s="3" t="s">
        <v>13219</v>
      </c>
      <c r="X2391" s="10" t="s">
        <v>13220</v>
      </c>
      <c r="Y2391" s="6" t="s">
        <v>108</v>
      </c>
      <c r="Z2391" s="4">
        <v>10.17</v>
      </c>
      <c r="AA2391" s="4">
        <v>31.61</v>
      </c>
      <c r="AB2391" s="3" t="s">
        <v>56</v>
      </c>
      <c r="AC2391" s="3" t="s">
        <v>13221</v>
      </c>
      <c r="AD2391" s="9">
        <v>44629</v>
      </c>
      <c r="AE2391" s="3" t="s">
        <v>110</v>
      </c>
      <c r="AF2391" s="3" t="s">
        <v>7996</v>
      </c>
      <c r="AG2391" s="3" t="s">
        <v>924</v>
      </c>
      <c r="AH2391" s="11">
        <f>HYPERLINK("https://my.pitchbook.com?c=189971-29T","View Company Online")</f>
      </c>
    </row>
    <row r="2392">
      <c r="A2392" s="12" t="s">
        <v>13222</v>
      </c>
      <c r="B2392" s="12" t="s">
        <v>4313</v>
      </c>
      <c r="C2392" s="19" t="s">
        <v>36</v>
      </c>
      <c r="D2392" s="19" t="s">
        <v>36</v>
      </c>
      <c r="E2392" s="19" t="s">
        <v>36</v>
      </c>
      <c r="F2392" s="19" t="s">
        <v>36</v>
      </c>
      <c r="G2392" s="15" t="s">
        <v>36</v>
      </c>
      <c r="H2392" s="14" t="s">
        <v>36</v>
      </c>
      <c r="I2392" s="18" t="s">
        <v>36</v>
      </c>
      <c r="J2392" s="12" t="s">
        <v>36</v>
      </c>
      <c r="K2392" s="13" t="s">
        <v>36</v>
      </c>
      <c r="L2392" s="15" t="s">
        <v>36</v>
      </c>
      <c r="M2392" s="12" t="s">
        <v>36</v>
      </c>
      <c r="N2392" s="12" t="s">
        <v>36</v>
      </c>
      <c r="O2392" s="17" t="s">
        <v>36</v>
      </c>
      <c r="P2392" s="12" t="s">
        <v>36</v>
      </c>
      <c r="Q2392" s="12" t="s">
        <v>36</v>
      </c>
      <c r="R2392" s="12" t="s">
        <v>36</v>
      </c>
      <c r="S2392" s="12" t="s">
        <v>36</v>
      </c>
      <c r="T2392" s="12" t="s">
        <v>529</v>
      </c>
      <c r="U2392" s="12" t="s">
        <v>38</v>
      </c>
      <c r="V2392" s="12" t="s">
        <v>39</v>
      </c>
      <c r="W2392" s="12" t="s">
        <v>4314</v>
      </c>
      <c r="X2392" s="16" t="s">
        <v>13223</v>
      </c>
      <c r="Y2392" s="15" t="s">
        <v>42</v>
      </c>
      <c r="Z2392" s="14">
        <v>2.81</v>
      </c>
      <c r="AA2392" s="14" t="s">
        <v>36</v>
      </c>
      <c r="AB2392" s="12" t="s">
        <v>43</v>
      </c>
      <c r="AC2392" s="12" t="s">
        <v>4315</v>
      </c>
      <c r="AD2392" s="13">
        <v>44629</v>
      </c>
      <c r="AE2392" s="12" t="s">
        <v>134</v>
      </c>
      <c r="AF2392" s="12" t="s">
        <v>135</v>
      </c>
      <c r="AG2392" s="12" t="s">
        <v>47</v>
      </c>
      <c r="AH2392" s="1">
        <f>HYPERLINK("https://my.pitchbook.com?c=189939-25T","View Company Online")</f>
      </c>
    </row>
    <row r="2393">
      <c r="A2393" s="3" t="s">
        <v>13224</v>
      </c>
      <c r="B2393" s="3" t="s">
        <v>13225</v>
      </c>
      <c r="C2393" s="5" t="s">
        <v>36</v>
      </c>
      <c r="D2393" s="5" t="s">
        <v>36</v>
      </c>
      <c r="E2393" s="5" t="s">
        <v>36</v>
      </c>
      <c r="F2393" s="5" t="s">
        <v>36</v>
      </c>
      <c r="G2393" s="6" t="s">
        <v>36</v>
      </c>
      <c r="H2393" s="4">
        <v>3.35</v>
      </c>
      <c r="I2393" s="7">
        <v>48.15</v>
      </c>
      <c r="J2393" s="3" t="s">
        <v>521</v>
      </c>
      <c r="K2393" s="9" t="s">
        <v>36</v>
      </c>
      <c r="L2393" s="6" t="s">
        <v>36</v>
      </c>
      <c r="M2393" s="3" t="s">
        <v>36</v>
      </c>
      <c r="N2393" s="3" t="s">
        <v>36</v>
      </c>
      <c r="O2393" s="8" t="s">
        <v>36</v>
      </c>
      <c r="P2393" s="3" t="s">
        <v>36</v>
      </c>
      <c r="Q2393" s="3" t="s">
        <v>36</v>
      </c>
      <c r="R2393" s="3" t="s">
        <v>36</v>
      </c>
      <c r="S2393" s="3" t="s">
        <v>36</v>
      </c>
      <c r="T2393" s="3" t="s">
        <v>13226</v>
      </c>
      <c r="U2393" s="3" t="s">
        <v>9881</v>
      </c>
      <c r="V2393" s="3" t="s">
        <v>75</v>
      </c>
      <c r="W2393" s="3" t="s">
        <v>13227</v>
      </c>
      <c r="X2393" s="10" t="s">
        <v>2455</v>
      </c>
      <c r="Y2393" s="6" t="s">
        <v>42</v>
      </c>
      <c r="Z2393" s="4">
        <v>0.67</v>
      </c>
      <c r="AA2393" s="4">
        <v>1.4</v>
      </c>
      <c r="AB2393" s="3" t="s">
        <v>43</v>
      </c>
      <c r="AC2393" s="3" t="s">
        <v>13228</v>
      </c>
      <c r="AD2393" s="9">
        <v>44629</v>
      </c>
      <c r="AE2393" s="3" t="s">
        <v>12049</v>
      </c>
      <c r="AF2393" s="3" t="s">
        <v>1115</v>
      </c>
      <c r="AG2393" s="3" t="s">
        <v>81</v>
      </c>
      <c r="AH2393" s="11">
        <f>HYPERLINK("https://my.pitchbook.com?c=207230-86T","View Company Online")</f>
      </c>
    </row>
    <row r="2394">
      <c r="A2394" s="12" t="s">
        <v>13229</v>
      </c>
      <c r="B2394" s="12" t="s">
        <v>4444</v>
      </c>
      <c r="C2394" s="19" t="s">
        <v>36</v>
      </c>
      <c r="D2394" s="19" t="s">
        <v>36</v>
      </c>
      <c r="E2394" s="19" t="s">
        <v>36</v>
      </c>
      <c r="F2394" s="19" t="s">
        <v>36</v>
      </c>
      <c r="G2394" s="15" t="s">
        <v>36</v>
      </c>
      <c r="H2394" s="14" t="s">
        <v>36</v>
      </c>
      <c r="I2394" s="18" t="s">
        <v>36</v>
      </c>
      <c r="J2394" s="12" t="s">
        <v>36</v>
      </c>
      <c r="K2394" s="13" t="s">
        <v>36</v>
      </c>
      <c r="L2394" s="15" t="s">
        <v>36</v>
      </c>
      <c r="M2394" s="12" t="s">
        <v>36</v>
      </c>
      <c r="N2394" s="12" t="s">
        <v>36</v>
      </c>
      <c r="O2394" s="17" t="s">
        <v>36</v>
      </c>
      <c r="P2394" s="12" t="s">
        <v>36</v>
      </c>
      <c r="Q2394" s="12" t="s">
        <v>36</v>
      </c>
      <c r="R2394" s="12" t="s">
        <v>36</v>
      </c>
      <c r="S2394" s="12" t="s">
        <v>36</v>
      </c>
      <c r="T2394" s="12" t="s">
        <v>2490</v>
      </c>
      <c r="U2394" s="12" t="s">
        <v>318</v>
      </c>
      <c r="V2394" s="12" t="s">
        <v>39</v>
      </c>
      <c r="W2394" s="12" t="s">
        <v>4445</v>
      </c>
      <c r="X2394" s="16" t="s">
        <v>13230</v>
      </c>
      <c r="Y2394" s="15" t="s">
        <v>55</v>
      </c>
      <c r="Z2394" s="14">
        <v>1.12</v>
      </c>
      <c r="AA2394" s="14" t="s">
        <v>36</v>
      </c>
      <c r="AB2394" s="12" t="s">
        <v>43</v>
      </c>
      <c r="AC2394" s="12" t="s">
        <v>4447</v>
      </c>
      <c r="AD2394" s="13">
        <v>44628</v>
      </c>
      <c r="AE2394" s="12" t="s">
        <v>417</v>
      </c>
      <c r="AF2394" s="12" t="s">
        <v>4448</v>
      </c>
      <c r="AG2394" s="12" t="s">
        <v>4449</v>
      </c>
      <c r="AH2394" s="1">
        <f>HYPERLINK("https://my.pitchbook.com?c=203158-72T","View Company Online")</f>
      </c>
    </row>
    <row r="2395">
      <c r="A2395" s="3" t="s">
        <v>13231</v>
      </c>
      <c r="B2395" s="3" t="s">
        <v>13232</v>
      </c>
      <c r="C2395" s="5" t="s">
        <v>36</v>
      </c>
      <c r="D2395" s="5" t="s">
        <v>36</v>
      </c>
      <c r="E2395" s="5" t="s">
        <v>36</v>
      </c>
      <c r="F2395" s="5" t="s">
        <v>36</v>
      </c>
      <c r="G2395" s="6" t="s">
        <v>36</v>
      </c>
      <c r="H2395" s="4" t="s">
        <v>36</v>
      </c>
      <c r="I2395" s="7" t="s">
        <v>36</v>
      </c>
      <c r="J2395" s="3" t="s">
        <v>36</v>
      </c>
      <c r="K2395" s="9" t="s">
        <v>36</v>
      </c>
      <c r="L2395" s="6" t="s">
        <v>36</v>
      </c>
      <c r="M2395" s="3" t="s">
        <v>36</v>
      </c>
      <c r="N2395" s="3" t="s">
        <v>36</v>
      </c>
      <c r="O2395" s="8" t="s">
        <v>36</v>
      </c>
      <c r="P2395" s="3" t="s">
        <v>36</v>
      </c>
      <c r="Q2395" s="3" t="s">
        <v>36</v>
      </c>
      <c r="R2395" s="3" t="s">
        <v>36</v>
      </c>
      <c r="S2395" s="3" t="s">
        <v>36</v>
      </c>
      <c r="T2395" s="3" t="s">
        <v>422</v>
      </c>
      <c r="U2395" s="3" t="s">
        <v>423</v>
      </c>
      <c r="V2395" s="3" t="s">
        <v>64</v>
      </c>
      <c r="W2395" s="3" t="s">
        <v>13233</v>
      </c>
      <c r="X2395" s="10" t="s">
        <v>13234</v>
      </c>
      <c r="Y2395" s="6" t="s">
        <v>42</v>
      </c>
      <c r="Z2395" s="4">
        <v>1.12</v>
      </c>
      <c r="AA2395" s="4" t="s">
        <v>36</v>
      </c>
      <c r="AB2395" s="3" t="s">
        <v>43</v>
      </c>
      <c r="AC2395" s="3" t="s">
        <v>13235</v>
      </c>
      <c r="AD2395" s="9">
        <v>44628</v>
      </c>
      <c r="AE2395" s="3" t="s">
        <v>427</v>
      </c>
      <c r="AF2395" s="3" t="s">
        <v>5793</v>
      </c>
      <c r="AG2395" s="3" t="s">
        <v>1705</v>
      </c>
      <c r="AH2395" s="11">
        <f>HYPERLINK("https://my.pitchbook.com?c=190516-33T","View Company Online")</f>
      </c>
    </row>
    <row r="2396">
      <c r="A2396" s="12" t="s">
        <v>13236</v>
      </c>
      <c r="B2396" s="12" t="s">
        <v>13237</v>
      </c>
      <c r="C2396" s="19" t="s">
        <v>36</v>
      </c>
      <c r="D2396" s="19" t="s">
        <v>36</v>
      </c>
      <c r="E2396" s="19" t="s">
        <v>36</v>
      </c>
      <c r="F2396" s="19" t="s">
        <v>36</v>
      </c>
      <c r="G2396" s="15" t="s">
        <v>326</v>
      </c>
      <c r="H2396" s="14" t="s">
        <v>36</v>
      </c>
      <c r="I2396" s="18">
        <v>18</v>
      </c>
      <c r="J2396" s="12" t="s">
        <v>327</v>
      </c>
      <c r="K2396" s="13" t="s">
        <v>36</v>
      </c>
      <c r="L2396" s="15" t="s">
        <v>36</v>
      </c>
      <c r="M2396" s="12" t="s">
        <v>36</v>
      </c>
      <c r="N2396" s="12" t="s">
        <v>36</v>
      </c>
      <c r="O2396" s="17" t="s">
        <v>36</v>
      </c>
      <c r="P2396" s="12" t="s">
        <v>36</v>
      </c>
      <c r="Q2396" s="12" t="s">
        <v>36</v>
      </c>
      <c r="R2396" s="12" t="s">
        <v>36</v>
      </c>
      <c r="S2396" s="12" t="s">
        <v>36</v>
      </c>
      <c r="T2396" s="12" t="s">
        <v>13238</v>
      </c>
      <c r="U2396" s="12" t="s">
        <v>38</v>
      </c>
      <c r="V2396" s="12" t="s">
        <v>39</v>
      </c>
      <c r="W2396" s="12" t="s">
        <v>13239</v>
      </c>
      <c r="X2396" s="16" t="s">
        <v>13240</v>
      </c>
      <c r="Y2396" s="15" t="s">
        <v>108</v>
      </c>
      <c r="Z2396" s="14">
        <v>4.5</v>
      </c>
      <c r="AA2396" s="14">
        <v>24.99</v>
      </c>
      <c r="AB2396" s="12" t="s">
        <v>43</v>
      </c>
      <c r="AC2396" s="12" t="s">
        <v>13241</v>
      </c>
      <c r="AD2396" s="13">
        <v>44628</v>
      </c>
      <c r="AE2396" s="12" t="s">
        <v>110</v>
      </c>
      <c r="AF2396" s="12" t="s">
        <v>7922</v>
      </c>
      <c r="AG2396" s="12" t="s">
        <v>4416</v>
      </c>
      <c r="AH2396" s="1">
        <f>HYPERLINK("https://my.pitchbook.com?c=190270-72T","View Company Online")</f>
      </c>
    </row>
    <row r="2397">
      <c r="A2397" s="3" t="s">
        <v>13242</v>
      </c>
      <c r="B2397" s="3" t="s">
        <v>13243</v>
      </c>
      <c r="C2397" s="5" t="s">
        <v>36</v>
      </c>
      <c r="D2397" s="5" t="s">
        <v>36</v>
      </c>
      <c r="E2397" s="5" t="s">
        <v>36</v>
      </c>
      <c r="F2397" s="5" t="s">
        <v>36</v>
      </c>
      <c r="G2397" s="6" t="s">
        <v>326</v>
      </c>
      <c r="H2397" s="4" t="s">
        <v>36</v>
      </c>
      <c r="I2397" s="7">
        <v>24.13</v>
      </c>
      <c r="J2397" s="3" t="s">
        <v>327</v>
      </c>
      <c r="K2397" s="9" t="s">
        <v>36</v>
      </c>
      <c r="L2397" s="6" t="s">
        <v>122</v>
      </c>
      <c r="M2397" s="3" t="s">
        <v>36</v>
      </c>
      <c r="N2397" s="3" t="s">
        <v>122</v>
      </c>
      <c r="O2397" s="8" t="s">
        <v>36</v>
      </c>
      <c r="P2397" s="3" t="s">
        <v>36</v>
      </c>
      <c r="Q2397" s="3" t="s">
        <v>36</v>
      </c>
      <c r="R2397" s="3" t="s">
        <v>36</v>
      </c>
      <c r="S2397" s="3" t="s">
        <v>36</v>
      </c>
      <c r="T2397" s="3" t="s">
        <v>522</v>
      </c>
      <c r="U2397" s="3" t="s">
        <v>38</v>
      </c>
      <c r="V2397" s="3" t="s">
        <v>39</v>
      </c>
      <c r="W2397" s="3" t="s">
        <v>13244</v>
      </c>
      <c r="X2397" s="10" t="s">
        <v>13245</v>
      </c>
      <c r="Y2397" s="6" t="s">
        <v>192</v>
      </c>
      <c r="Z2397" s="4">
        <v>50</v>
      </c>
      <c r="AA2397" s="4">
        <v>207.19</v>
      </c>
      <c r="AB2397" s="3" t="s">
        <v>56</v>
      </c>
      <c r="AC2397" s="3" t="s">
        <v>13246</v>
      </c>
      <c r="AD2397" s="9">
        <v>44627</v>
      </c>
      <c r="AE2397" s="3" t="s">
        <v>110</v>
      </c>
      <c r="AF2397" s="3" t="s">
        <v>6214</v>
      </c>
      <c r="AG2397" s="3" t="s">
        <v>81</v>
      </c>
      <c r="AH2397" s="11">
        <f>HYPERLINK("https://my.pitchbook.com?c=192995-38T","View Company Online")</f>
      </c>
    </row>
    <row r="2398">
      <c r="A2398" s="12" t="s">
        <v>13247</v>
      </c>
      <c r="B2398" s="12" t="s">
        <v>13248</v>
      </c>
      <c r="C2398" s="19" t="s">
        <v>36</v>
      </c>
      <c r="D2398" s="19" t="s">
        <v>36</v>
      </c>
      <c r="E2398" s="19" t="s">
        <v>36</v>
      </c>
      <c r="F2398" s="19" t="s">
        <v>36</v>
      </c>
      <c r="G2398" s="15" t="s">
        <v>326</v>
      </c>
      <c r="H2398" s="14">
        <v>522.79</v>
      </c>
      <c r="I2398" s="18">
        <v>18.6</v>
      </c>
      <c r="J2398" s="12" t="s">
        <v>521</v>
      </c>
      <c r="K2398" s="13" t="s">
        <v>36</v>
      </c>
      <c r="L2398" s="15" t="s">
        <v>94</v>
      </c>
      <c r="M2398" s="12" t="s">
        <v>36</v>
      </c>
      <c r="N2398" s="12" t="s">
        <v>94</v>
      </c>
      <c r="O2398" s="17" t="s">
        <v>36</v>
      </c>
      <c r="P2398" s="12" t="s">
        <v>36</v>
      </c>
      <c r="Q2398" s="12" t="s">
        <v>36</v>
      </c>
      <c r="R2398" s="12" t="s">
        <v>36</v>
      </c>
      <c r="S2398" s="12" t="s">
        <v>36</v>
      </c>
      <c r="T2398" s="12" t="s">
        <v>13249</v>
      </c>
      <c r="U2398" s="12" t="s">
        <v>74</v>
      </c>
      <c r="V2398" s="12" t="s">
        <v>75</v>
      </c>
      <c r="W2398" s="12" t="s">
        <v>13250</v>
      </c>
      <c r="X2398" s="16" t="s">
        <v>13251</v>
      </c>
      <c r="Y2398" s="15" t="s">
        <v>55</v>
      </c>
      <c r="Z2398" s="14">
        <v>33.86</v>
      </c>
      <c r="AA2398" s="14">
        <v>151.67</v>
      </c>
      <c r="AB2398" s="12" t="s">
        <v>56</v>
      </c>
      <c r="AC2398" s="12" t="s">
        <v>13252</v>
      </c>
      <c r="AD2398" s="13">
        <v>44626</v>
      </c>
      <c r="AE2398" s="12" t="s">
        <v>3144</v>
      </c>
      <c r="AF2398" s="12" t="s">
        <v>168</v>
      </c>
      <c r="AG2398" s="12" t="s">
        <v>81</v>
      </c>
      <c r="AH2398" s="1">
        <f>HYPERLINK("https://my.pitchbook.com?c=189684-01T","View Company Online")</f>
      </c>
    </row>
    <row r="2399">
      <c r="A2399" s="3" t="s">
        <v>13253</v>
      </c>
      <c r="B2399" s="3" t="s">
        <v>13254</v>
      </c>
      <c r="C2399" s="5">
        <v>2</v>
      </c>
      <c r="D2399" s="5">
        <v>2</v>
      </c>
      <c r="E2399" s="5">
        <v>1</v>
      </c>
      <c r="F2399" s="5">
        <v>4</v>
      </c>
      <c r="G2399" s="6" t="s">
        <v>36</v>
      </c>
      <c r="H2399" s="4">
        <v>44.48</v>
      </c>
      <c r="I2399" s="7">
        <v>27.08</v>
      </c>
      <c r="J2399" s="3" t="s">
        <v>521</v>
      </c>
      <c r="K2399" s="9" t="s">
        <v>36</v>
      </c>
      <c r="L2399" s="6" t="s">
        <v>36</v>
      </c>
      <c r="M2399" s="3" t="s">
        <v>36</v>
      </c>
      <c r="N2399" s="3" t="s">
        <v>36</v>
      </c>
      <c r="O2399" s="8" t="s">
        <v>36</v>
      </c>
      <c r="P2399" s="3" t="s">
        <v>36</v>
      </c>
      <c r="Q2399" s="3" t="s">
        <v>36</v>
      </c>
      <c r="R2399" s="3" t="s">
        <v>36</v>
      </c>
      <c r="S2399" s="3" t="s">
        <v>36</v>
      </c>
      <c r="T2399" s="3" t="s">
        <v>13255</v>
      </c>
      <c r="U2399" s="3" t="s">
        <v>619</v>
      </c>
      <c r="V2399" s="3" t="s">
        <v>378</v>
      </c>
      <c r="W2399" s="3" t="s">
        <v>13256</v>
      </c>
      <c r="X2399" s="10" t="s">
        <v>13257</v>
      </c>
      <c r="Y2399" s="6" t="s">
        <v>55</v>
      </c>
      <c r="Z2399" s="4">
        <v>2.95</v>
      </c>
      <c r="AA2399" s="4">
        <v>10.87</v>
      </c>
      <c r="AB2399" s="3" t="s">
        <v>43</v>
      </c>
      <c r="AC2399" s="3" t="s">
        <v>13258</v>
      </c>
      <c r="AD2399" s="9">
        <v>44624</v>
      </c>
      <c r="AE2399" s="3" t="s">
        <v>3891</v>
      </c>
      <c r="AF2399" s="3" t="s">
        <v>13259</v>
      </c>
      <c r="AG2399" s="3" t="s">
        <v>186</v>
      </c>
      <c r="AH2399" s="11">
        <f>HYPERLINK("https://my.pitchbook.com?c=189565-57T","View Company Online")</f>
      </c>
    </row>
    <row r="2400">
      <c r="A2400" s="12" t="s">
        <v>13260</v>
      </c>
      <c r="B2400" s="12" t="s">
        <v>13261</v>
      </c>
      <c r="C2400" s="19">
        <v>1</v>
      </c>
      <c r="D2400" s="19">
        <v>97</v>
      </c>
      <c r="E2400" s="19">
        <v>48</v>
      </c>
      <c r="F2400" s="19">
        <v>183</v>
      </c>
      <c r="G2400" s="15" t="s">
        <v>36</v>
      </c>
      <c r="H2400" s="14" t="s">
        <v>36</v>
      </c>
      <c r="I2400" s="18" t="s">
        <v>36</v>
      </c>
      <c r="J2400" s="12" t="s">
        <v>36</v>
      </c>
      <c r="K2400" s="13" t="s">
        <v>36</v>
      </c>
      <c r="L2400" s="15" t="s">
        <v>122</v>
      </c>
      <c r="M2400" s="12" t="s">
        <v>36</v>
      </c>
      <c r="N2400" s="12" t="s">
        <v>122</v>
      </c>
      <c r="O2400" s="17" t="s">
        <v>36</v>
      </c>
      <c r="P2400" s="12" t="s">
        <v>36</v>
      </c>
      <c r="Q2400" s="12" t="s">
        <v>36</v>
      </c>
      <c r="R2400" s="12" t="s">
        <v>36</v>
      </c>
      <c r="S2400" s="12" t="s">
        <v>36</v>
      </c>
      <c r="T2400" s="12" t="s">
        <v>13262</v>
      </c>
      <c r="U2400" s="12" t="s">
        <v>1082</v>
      </c>
      <c r="V2400" s="12" t="s">
        <v>378</v>
      </c>
      <c r="W2400" s="12" t="s">
        <v>13263</v>
      </c>
      <c r="X2400" s="16" t="s">
        <v>13264</v>
      </c>
      <c r="Y2400" s="15" t="s">
        <v>42</v>
      </c>
      <c r="Z2400" s="14">
        <v>16.99</v>
      </c>
      <c r="AA2400" s="14" t="s">
        <v>36</v>
      </c>
      <c r="AB2400" s="12" t="s">
        <v>56</v>
      </c>
      <c r="AC2400" s="12" t="s">
        <v>13265</v>
      </c>
      <c r="AD2400" s="13">
        <v>44623</v>
      </c>
      <c r="AE2400" s="12" t="s">
        <v>2061</v>
      </c>
      <c r="AF2400" s="12" t="s">
        <v>13266</v>
      </c>
      <c r="AG2400" s="12" t="s">
        <v>7046</v>
      </c>
      <c r="AH2400" s="1">
        <f>HYPERLINK("https://my.pitchbook.com?c=193513-51T","View Company Online")</f>
      </c>
    </row>
    <row r="2401">
      <c r="A2401" s="3" t="s">
        <v>13267</v>
      </c>
      <c r="B2401" s="3" t="s">
        <v>13268</v>
      </c>
      <c r="C2401" s="5" t="s">
        <v>36</v>
      </c>
      <c r="D2401" s="5" t="s">
        <v>36</v>
      </c>
      <c r="E2401" s="5" t="s">
        <v>36</v>
      </c>
      <c r="F2401" s="5" t="s">
        <v>36</v>
      </c>
      <c r="G2401" s="6" t="s">
        <v>326</v>
      </c>
      <c r="H2401" s="4">
        <v>24.88</v>
      </c>
      <c r="I2401" s="7">
        <v>28.18</v>
      </c>
      <c r="J2401" s="3" t="s">
        <v>521</v>
      </c>
      <c r="K2401" s="9" t="s">
        <v>36</v>
      </c>
      <c r="L2401" s="6" t="s">
        <v>94</v>
      </c>
      <c r="M2401" s="3" t="s">
        <v>36</v>
      </c>
      <c r="N2401" s="3" t="s">
        <v>94</v>
      </c>
      <c r="O2401" s="8" t="s">
        <v>36</v>
      </c>
      <c r="P2401" s="3" t="s">
        <v>36</v>
      </c>
      <c r="Q2401" s="3" t="s">
        <v>36</v>
      </c>
      <c r="R2401" s="3" t="s">
        <v>36</v>
      </c>
      <c r="S2401" s="3" t="s">
        <v>36</v>
      </c>
      <c r="T2401" s="3" t="s">
        <v>12788</v>
      </c>
      <c r="U2401" s="3" t="s">
        <v>180</v>
      </c>
      <c r="V2401" s="3" t="s">
        <v>52</v>
      </c>
      <c r="W2401" s="3" t="s">
        <v>13269</v>
      </c>
      <c r="X2401" s="10" t="s">
        <v>13270</v>
      </c>
      <c r="Y2401" s="6" t="s">
        <v>55</v>
      </c>
      <c r="Z2401" s="4">
        <v>26.98</v>
      </c>
      <c r="AA2401" s="4">
        <v>95.75</v>
      </c>
      <c r="AB2401" s="3" t="s">
        <v>56</v>
      </c>
      <c r="AC2401" s="3" t="s">
        <v>13271</v>
      </c>
      <c r="AD2401" s="9">
        <v>44622</v>
      </c>
      <c r="AE2401" s="3" t="s">
        <v>8291</v>
      </c>
      <c r="AF2401" s="3" t="s">
        <v>13272</v>
      </c>
      <c r="AG2401" s="3" t="s">
        <v>102</v>
      </c>
      <c r="AH2401" s="11">
        <f>HYPERLINK("https://my.pitchbook.com?c=189374-77T","View Company Online")</f>
      </c>
    </row>
    <row r="2402">
      <c r="A2402" s="12" t="s">
        <v>13273</v>
      </c>
      <c r="B2402" s="12" t="s">
        <v>7076</v>
      </c>
      <c r="C2402" s="19" t="s">
        <v>36</v>
      </c>
      <c r="D2402" s="19" t="s">
        <v>36</v>
      </c>
      <c r="E2402" s="19" t="s">
        <v>36</v>
      </c>
      <c r="F2402" s="19" t="s">
        <v>36</v>
      </c>
      <c r="G2402" s="15" t="s">
        <v>36</v>
      </c>
      <c r="H2402" s="14" t="s">
        <v>36</v>
      </c>
      <c r="I2402" s="18" t="s">
        <v>36</v>
      </c>
      <c r="J2402" s="12" t="s">
        <v>36</v>
      </c>
      <c r="K2402" s="13">
        <v>44371</v>
      </c>
      <c r="L2402" s="15" t="s">
        <v>36</v>
      </c>
      <c r="M2402" s="12" t="s">
        <v>36</v>
      </c>
      <c r="N2402" s="12" t="s">
        <v>36</v>
      </c>
      <c r="O2402" s="17" t="s">
        <v>36</v>
      </c>
      <c r="P2402" s="12" t="s">
        <v>36</v>
      </c>
      <c r="Q2402" s="12" t="s">
        <v>36</v>
      </c>
      <c r="R2402" s="12" t="s">
        <v>36</v>
      </c>
      <c r="S2402" s="12" t="s">
        <v>36</v>
      </c>
      <c r="T2402" s="12" t="s">
        <v>7077</v>
      </c>
      <c r="U2402" s="12" t="s">
        <v>648</v>
      </c>
      <c r="V2402" s="12" t="s">
        <v>64</v>
      </c>
      <c r="W2402" s="12" t="s">
        <v>7078</v>
      </c>
      <c r="X2402" s="16" t="s">
        <v>2433</v>
      </c>
      <c r="Y2402" s="15" t="s">
        <v>42</v>
      </c>
      <c r="Z2402" s="14">
        <v>0.28</v>
      </c>
      <c r="AA2402" s="14" t="s">
        <v>36</v>
      </c>
      <c r="AB2402" s="12" t="s">
        <v>43</v>
      </c>
      <c r="AC2402" s="12" t="s">
        <v>7080</v>
      </c>
      <c r="AD2402" s="13">
        <v>44622</v>
      </c>
      <c r="AE2402" s="12" t="s">
        <v>651</v>
      </c>
      <c r="AF2402" s="12" t="s">
        <v>36</v>
      </c>
      <c r="AG2402" s="12" t="s">
        <v>81</v>
      </c>
      <c r="AH2402" s="1">
        <f>HYPERLINK("https://my.pitchbook.com?c=204756-22T","View Company Online")</f>
      </c>
    </row>
    <row r="2403">
      <c r="A2403" s="3" t="s">
        <v>13274</v>
      </c>
      <c r="B2403" s="3" t="s">
        <v>13275</v>
      </c>
      <c r="C2403" s="5">
        <v>1</v>
      </c>
      <c r="D2403" s="5">
        <v>7</v>
      </c>
      <c r="E2403" s="5">
        <v>3</v>
      </c>
      <c r="F2403" s="5">
        <v>8</v>
      </c>
      <c r="G2403" s="6" t="s">
        <v>326</v>
      </c>
      <c r="H2403" s="4">
        <v>88.71</v>
      </c>
      <c r="I2403" s="7">
        <v>15.73</v>
      </c>
      <c r="J2403" s="3" t="s">
        <v>521</v>
      </c>
      <c r="K2403" s="9" t="s">
        <v>36</v>
      </c>
      <c r="L2403" s="6" t="s">
        <v>36</v>
      </c>
      <c r="M2403" s="3" t="s">
        <v>36</v>
      </c>
      <c r="N2403" s="3" t="s">
        <v>36</v>
      </c>
      <c r="O2403" s="8" t="s">
        <v>36</v>
      </c>
      <c r="P2403" s="3" t="s">
        <v>36</v>
      </c>
      <c r="Q2403" s="3" t="s">
        <v>36</v>
      </c>
      <c r="R2403" s="3" t="s">
        <v>36</v>
      </c>
      <c r="S2403" s="3" t="s">
        <v>36</v>
      </c>
      <c r="T2403" s="3" t="s">
        <v>13276</v>
      </c>
      <c r="U2403" s="3" t="s">
        <v>74</v>
      </c>
      <c r="V2403" s="3" t="s">
        <v>75</v>
      </c>
      <c r="W2403" s="3" t="s">
        <v>13277</v>
      </c>
      <c r="X2403" s="10" t="s">
        <v>13278</v>
      </c>
      <c r="Y2403" s="6" t="s">
        <v>108</v>
      </c>
      <c r="Z2403" s="4">
        <v>0.95</v>
      </c>
      <c r="AA2403" s="4">
        <v>6.05</v>
      </c>
      <c r="AB2403" s="3" t="s">
        <v>56</v>
      </c>
      <c r="AC2403" s="3" t="s">
        <v>13279</v>
      </c>
      <c r="AD2403" s="9">
        <v>44622</v>
      </c>
      <c r="AE2403" s="3" t="s">
        <v>570</v>
      </c>
      <c r="AF2403" s="3" t="s">
        <v>13280</v>
      </c>
      <c r="AG2403" s="3" t="s">
        <v>12062</v>
      </c>
      <c r="AH2403" s="11">
        <f>HYPERLINK("https://my.pitchbook.com?c=190261-00T","View Company Online")</f>
      </c>
    </row>
    <row r="2404">
      <c r="A2404" s="12" t="s">
        <v>13281</v>
      </c>
      <c r="B2404" s="12" t="s">
        <v>13282</v>
      </c>
      <c r="C2404" s="19" t="s">
        <v>36</v>
      </c>
      <c r="D2404" s="19" t="s">
        <v>36</v>
      </c>
      <c r="E2404" s="19" t="s">
        <v>36</v>
      </c>
      <c r="F2404" s="19" t="s">
        <v>36</v>
      </c>
      <c r="G2404" s="15" t="s">
        <v>36</v>
      </c>
      <c r="H2404" s="14" t="s">
        <v>36</v>
      </c>
      <c r="I2404" s="18" t="s">
        <v>36</v>
      </c>
      <c r="J2404" s="12" t="s">
        <v>36</v>
      </c>
      <c r="K2404" s="13" t="s">
        <v>36</v>
      </c>
      <c r="L2404" s="15" t="s">
        <v>36</v>
      </c>
      <c r="M2404" s="12" t="s">
        <v>36</v>
      </c>
      <c r="N2404" s="12" t="s">
        <v>36</v>
      </c>
      <c r="O2404" s="17" t="s">
        <v>36</v>
      </c>
      <c r="P2404" s="12" t="s">
        <v>36</v>
      </c>
      <c r="Q2404" s="12" t="s">
        <v>36</v>
      </c>
      <c r="R2404" s="12" t="s">
        <v>36</v>
      </c>
      <c r="S2404" s="12" t="s">
        <v>675</v>
      </c>
      <c r="T2404" s="12" t="s">
        <v>13283</v>
      </c>
      <c r="U2404" s="12" t="s">
        <v>279</v>
      </c>
      <c r="V2404" s="12" t="s">
        <v>64</v>
      </c>
      <c r="W2404" s="12" t="s">
        <v>13284</v>
      </c>
      <c r="X2404" s="16" t="s">
        <v>2688</v>
      </c>
      <c r="Y2404" s="15" t="s">
        <v>42</v>
      </c>
      <c r="Z2404" s="14">
        <v>180</v>
      </c>
      <c r="AA2404" s="14" t="s">
        <v>36</v>
      </c>
      <c r="AB2404" s="12" t="s">
        <v>43</v>
      </c>
      <c r="AC2404" s="12" t="s">
        <v>13285</v>
      </c>
      <c r="AD2404" s="13">
        <v>44621</v>
      </c>
      <c r="AE2404" s="12" t="s">
        <v>851</v>
      </c>
      <c r="AF2404" s="12" t="s">
        <v>799</v>
      </c>
      <c r="AG2404" s="12" t="s">
        <v>899</v>
      </c>
      <c r="AH2404" s="1">
        <f>HYPERLINK("https://my.pitchbook.com?c=267663-70T","View Company Online")</f>
      </c>
    </row>
    <row r="2405">
      <c r="A2405" s="3" t="s">
        <v>13286</v>
      </c>
      <c r="B2405" s="3" t="s">
        <v>13287</v>
      </c>
      <c r="C2405" s="5" t="s">
        <v>36</v>
      </c>
      <c r="D2405" s="5" t="s">
        <v>36</v>
      </c>
      <c r="E2405" s="5" t="s">
        <v>36</v>
      </c>
      <c r="F2405" s="5" t="s">
        <v>36</v>
      </c>
      <c r="G2405" s="6" t="s">
        <v>36</v>
      </c>
      <c r="H2405" s="4" t="s">
        <v>36</v>
      </c>
      <c r="I2405" s="7" t="s">
        <v>36</v>
      </c>
      <c r="J2405" s="3" t="s">
        <v>36</v>
      </c>
      <c r="K2405" s="9" t="s">
        <v>36</v>
      </c>
      <c r="L2405" s="6" t="s">
        <v>36</v>
      </c>
      <c r="M2405" s="3" t="s">
        <v>36</v>
      </c>
      <c r="N2405" s="3" t="s">
        <v>36</v>
      </c>
      <c r="O2405" s="8" t="s">
        <v>36</v>
      </c>
      <c r="P2405" s="3" t="s">
        <v>36</v>
      </c>
      <c r="Q2405" s="3" t="s">
        <v>36</v>
      </c>
      <c r="R2405" s="3" t="s">
        <v>36</v>
      </c>
      <c r="S2405" s="3" t="s">
        <v>36</v>
      </c>
      <c r="T2405" s="3" t="s">
        <v>1162</v>
      </c>
      <c r="U2405" s="3" t="s">
        <v>423</v>
      </c>
      <c r="V2405" s="3" t="s">
        <v>64</v>
      </c>
      <c r="W2405" s="3" t="s">
        <v>13288</v>
      </c>
      <c r="X2405" s="10" t="s">
        <v>13289</v>
      </c>
      <c r="Y2405" s="6" t="s">
        <v>42</v>
      </c>
      <c r="Z2405" s="4" t="s">
        <v>36</v>
      </c>
      <c r="AA2405" s="4" t="s">
        <v>36</v>
      </c>
      <c r="AB2405" s="3" t="s">
        <v>43</v>
      </c>
      <c r="AC2405" s="3" t="s">
        <v>13290</v>
      </c>
      <c r="AD2405" s="9">
        <v>44621</v>
      </c>
      <c r="AE2405" s="3" t="s">
        <v>562</v>
      </c>
      <c r="AF2405" s="3" t="s">
        <v>13291</v>
      </c>
      <c r="AG2405" s="3" t="s">
        <v>6013</v>
      </c>
      <c r="AH2405" s="11">
        <f>HYPERLINK("https://my.pitchbook.com?c=209469-61T","View Company Online")</f>
      </c>
    </row>
    <row r="2406">
      <c r="A2406" s="12" t="s">
        <v>13292</v>
      </c>
      <c r="B2406" s="12" t="s">
        <v>13293</v>
      </c>
      <c r="C2406" s="19" t="s">
        <v>36</v>
      </c>
      <c r="D2406" s="19" t="s">
        <v>36</v>
      </c>
      <c r="E2406" s="19" t="s">
        <v>36</v>
      </c>
      <c r="F2406" s="19" t="s">
        <v>36</v>
      </c>
      <c r="G2406" s="15" t="s">
        <v>36</v>
      </c>
      <c r="H2406" s="14" t="s">
        <v>36</v>
      </c>
      <c r="I2406" s="18" t="s">
        <v>36</v>
      </c>
      <c r="J2406" s="12" t="s">
        <v>36</v>
      </c>
      <c r="K2406" s="13" t="s">
        <v>36</v>
      </c>
      <c r="L2406" s="15" t="s">
        <v>36</v>
      </c>
      <c r="M2406" s="12" t="s">
        <v>36</v>
      </c>
      <c r="N2406" s="12" t="s">
        <v>36</v>
      </c>
      <c r="O2406" s="17" t="s">
        <v>36</v>
      </c>
      <c r="P2406" s="12" t="s">
        <v>36</v>
      </c>
      <c r="Q2406" s="12" t="s">
        <v>36</v>
      </c>
      <c r="R2406" s="12" t="s">
        <v>36</v>
      </c>
      <c r="S2406" s="12" t="s">
        <v>36</v>
      </c>
      <c r="T2406" s="12" t="s">
        <v>13294</v>
      </c>
      <c r="U2406" s="12" t="s">
        <v>1091</v>
      </c>
      <c r="V2406" s="12" t="s">
        <v>378</v>
      </c>
      <c r="W2406" s="12" t="s">
        <v>13295</v>
      </c>
      <c r="X2406" s="16" t="s">
        <v>13296</v>
      </c>
      <c r="Y2406" s="15" t="s">
        <v>42</v>
      </c>
      <c r="Z2406" s="14" t="s">
        <v>36</v>
      </c>
      <c r="AA2406" s="14" t="s">
        <v>36</v>
      </c>
      <c r="AB2406" s="12" t="s">
        <v>43</v>
      </c>
      <c r="AC2406" s="12" t="s">
        <v>13297</v>
      </c>
      <c r="AD2406" s="13">
        <v>44621</v>
      </c>
      <c r="AE2406" s="12" t="s">
        <v>13298</v>
      </c>
      <c r="AF2406" s="12" t="s">
        <v>13299</v>
      </c>
      <c r="AG2406" s="12" t="s">
        <v>47</v>
      </c>
      <c r="AH2406" s="1">
        <f>HYPERLINK("https://my.pitchbook.com?c=227045-80T","View Company Online")</f>
      </c>
    </row>
    <row r="2407">
      <c r="A2407" s="3" t="s">
        <v>13300</v>
      </c>
      <c r="B2407" s="3" t="s">
        <v>9762</v>
      </c>
      <c r="C2407" s="5" t="s">
        <v>36</v>
      </c>
      <c r="D2407" s="5" t="s">
        <v>36</v>
      </c>
      <c r="E2407" s="5" t="s">
        <v>36</v>
      </c>
      <c r="F2407" s="5" t="s">
        <v>36</v>
      </c>
      <c r="G2407" s="6" t="s">
        <v>36</v>
      </c>
      <c r="H2407" s="4" t="s">
        <v>36</v>
      </c>
      <c r="I2407" s="7" t="s">
        <v>36</v>
      </c>
      <c r="J2407" s="3" t="s">
        <v>36</v>
      </c>
      <c r="K2407" s="9" t="s">
        <v>36</v>
      </c>
      <c r="L2407" s="6" t="s">
        <v>36</v>
      </c>
      <c r="M2407" s="3" t="s">
        <v>36</v>
      </c>
      <c r="N2407" s="3" t="s">
        <v>36</v>
      </c>
      <c r="O2407" s="8" t="s">
        <v>36</v>
      </c>
      <c r="P2407" s="3" t="s">
        <v>36</v>
      </c>
      <c r="Q2407" s="3" t="s">
        <v>36</v>
      </c>
      <c r="R2407" s="3" t="s">
        <v>36</v>
      </c>
      <c r="S2407" s="3" t="s">
        <v>36</v>
      </c>
      <c r="T2407" s="3" t="s">
        <v>7415</v>
      </c>
      <c r="U2407" s="3" t="s">
        <v>38</v>
      </c>
      <c r="V2407" s="3" t="s">
        <v>39</v>
      </c>
      <c r="W2407" s="3" t="s">
        <v>9763</v>
      </c>
      <c r="X2407" s="10" t="s">
        <v>621</v>
      </c>
      <c r="Y2407" s="6" t="s">
        <v>42</v>
      </c>
      <c r="Z2407" s="4" t="s">
        <v>36</v>
      </c>
      <c r="AA2407" s="4" t="s">
        <v>36</v>
      </c>
      <c r="AB2407" s="3" t="s">
        <v>43</v>
      </c>
      <c r="AC2407" s="3" t="s">
        <v>9765</v>
      </c>
      <c r="AD2407" s="9">
        <v>44621</v>
      </c>
      <c r="AE2407" s="3" t="s">
        <v>1422</v>
      </c>
      <c r="AF2407" s="3" t="s">
        <v>4284</v>
      </c>
      <c r="AG2407" s="3" t="s">
        <v>741</v>
      </c>
      <c r="AH2407" s="11">
        <f>HYPERLINK("https://my.pitchbook.com?c=280062-73T","View Company Online")</f>
      </c>
    </row>
    <row r="2408">
      <c r="A2408" s="12" t="s">
        <v>13301</v>
      </c>
      <c r="B2408" s="12" t="s">
        <v>5009</v>
      </c>
      <c r="C2408" s="19" t="s">
        <v>36</v>
      </c>
      <c r="D2408" s="19" t="s">
        <v>36</v>
      </c>
      <c r="E2408" s="19" t="s">
        <v>36</v>
      </c>
      <c r="F2408" s="19" t="s">
        <v>36</v>
      </c>
      <c r="G2408" s="15" t="s">
        <v>36</v>
      </c>
      <c r="H2408" s="14" t="s">
        <v>36</v>
      </c>
      <c r="I2408" s="18" t="s">
        <v>36</v>
      </c>
      <c r="J2408" s="12" t="s">
        <v>36</v>
      </c>
      <c r="K2408" s="13" t="s">
        <v>36</v>
      </c>
      <c r="L2408" s="15" t="s">
        <v>36</v>
      </c>
      <c r="M2408" s="12" t="s">
        <v>36</v>
      </c>
      <c r="N2408" s="12" t="s">
        <v>36</v>
      </c>
      <c r="O2408" s="17" t="s">
        <v>36</v>
      </c>
      <c r="P2408" s="12" t="s">
        <v>36</v>
      </c>
      <c r="Q2408" s="12" t="s">
        <v>36</v>
      </c>
      <c r="R2408" s="12" t="s">
        <v>36</v>
      </c>
      <c r="S2408" s="12" t="s">
        <v>36</v>
      </c>
      <c r="T2408" s="12" t="s">
        <v>522</v>
      </c>
      <c r="U2408" s="12" t="s">
        <v>38</v>
      </c>
      <c r="V2408" s="12" t="s">
        <v>39</v>
      </c>
      <c r="W2408" s="12" t="s">
        <v>5010</v>
      </c>
      <c r="X2408" s="16" t="s">
        <v>13302</v>
      </c>
      <c r="Y2408" s="15" t="s">
        <v>42</v>
      </c>
      <c r="Z2408" s="14">
        <v>2.61</v>
      </c>
      <c r="AA2408" s="14" t="s">
        <v>36</v>
      </c>
      <c r="AB2408" s="12" t="s">
        <v>56</v>
      </c>
      <c r="AC2408" s="12" t="s">
        <v>5012</v>
      </c>
      <c r="AD2408" s="13">
        <v>44621</v>
      </c>
      <c r="AE2408" s="12" t="s">
        <v>110</v>
      </c>
      <c r="AF2408" s="12" t="s">
        <v>176</v>
      </c>
      <c r="AG2408" s="12" t="s">
        <v>5013</v>
      </c>
      <c r="AH2408" s="1">
        <f>HYPERLINK("https://my.pitchbook.com?c=189510-76T","View Company Online")</f>
      </c>
    </row>
    <row r="2409">
      <c r="A2409" s="3" t="s">
        <v>13303</v>
      </c>
      <c r="B2409" s="3" t="s">
        <v>13304</v>
      </c>
      <c r="C2409" s="5" t="s">
        <v>36</v>
      </c>
      <c r="D2409" s="5" t="s">
        <v>36</v>
      </c>
      <c r="E2409" s="5" t="s">
        <v>36</v>
      </c>
      <c r="F2409" s="5" t="s">
        <v>36</v>
      </c>
      <c r="G2409" s="6" t="s">
        <v>36</v>
      </c>
      <c r="H2409" s="4">
        <v>327.75</v>
      </c>
      <c r="I2409" s="7">
        <v>31.12</v>
      </c>
      <c r="J2409" s="3" t="s">
        <v>521</v>
      </c>
      <c r="K2409" s="9" t="s">
        <v>36</v>
      </c>
      <c r="L2409" s="6" t="s">
        <v>36</v>
      </c>
      <c r="M2409" s="3" t="s">
        <v>36</v>
      </c>
      <c r="N2409" s="3" t="s">
        <v>36</v>
      </c>
      <c r="O2409" s="8" t="s">
        <v>36</v>
      </c>
      <c r="P2409" s="3" t="s">
        <v>36</v>
      </c>
      <c r="Q2409" s="3" t="s">
        <v>36</v>
      </c>
      <c r="R2409" s="3" t="s">
        <v>36</v>
      </c>
      <c r="S2409" s="3" t="s">
        <v>36</v>
      </c>
      <c r="T2409" s="3" t="s">
        <v>13305</v>
      </c>
      <c r="U2409" s="3" t="s">
        <v>38</v>
      </c>
      <c r="V2409" s="3" t="s">
        <v>39</v>
      </c>
      <c r="W2409" s="3" t="s">
        <v>13306</v>
      </c>
      <c r="X2409" s="10" t="s">
        <v>13307</v>
      </c>
      <c r="Y2409" s="6" t="s">
        <v>42</v>
      </c>
      <c r="Z2409" s="4">
        <v>2.05</v>
      </c>
      <c r="AA2409" s="4">
        <v>6.58</v>
      </c>
      <c r="AB2409" s="3" t="s">
        <v>56</v>
      </c>
      <c r="AC2409" s="3" t="s">
        <v>13308</v>
      </c>
      <c r="AD2409" s="9">
        <v>44621</v>
      </c>
      <c r="AE2409" s="3" t="s">
        <v>45</v>
      </c>
      <c r="AF2409" s="3" t="s">
        <v>215</v>
      </c>
      <c r="AG2409" s="3" t="s">
        <v>81</v>
      </c>
      <c r="AH2409" s="11">
        <f>HYPERLINK("https://my.pitchbook.com?c=190637-29T","View Company Online")</f>
      </c>
    </row>
    <row r="2410">
      <c r="A2410" s="12" t="s">
        <v>13309</v>
      </c>
      <c r="B2410" s="12" t="s">
        <v>13310</v>
      </c>
      <c r="C2410" s="19" t="s">
        <v>36</v>
      </c>
      <c r="D2410" s="19" t="s">
        <v>36</v>
      </c>
      <c r="E2410" s="19" t="s">
        <v>36</v>
      </c>
      <c r="F2410" s="19" t="s">
        <v>36</v>
      </c>
      <c r="G2410" s="15" t="s">
        <v>36</v>
      </c>
      <c r="H2410" s="14" t="s">
        <v>36</v>
      </c>
      <c r="I2410" s="18" t="s">
        <v>36</v>
      </c>
      <c r="J2410" s="12" t="s">
        <v>36</v>
      </c>
      <c r="K2410" s="13" t="s">
        <v>36</v>
      </c>
      <c r="L2410" s="15" t="s">
        <v>36</v>
      </c>
      <c r="M2410" s="12" t="s">
        <v>36</v>
      </c>
      <c r="N2410" s="12" t="s">
        <v>36</v>
      </c>
      <c r="O2410" s="17" t="s">
        <v>36</v>
      </c>
      <c r="P2410" s="12" t="s">
        <v>36</v>
      </c>
      <c r="Q2410" s="12" t="s">
        <v>36</v>
      </c>
      <c r="R2410" s="12" t="s">
        <v>36</v>
      </c>
      <c r="S2410" s="12" t="s">
        <v>36</v>
      </c>
      <c r="T2410" s="12" t="s">
        <v>13311</v>
      </c>
      <c r="U2410" s="12" t="s">
        <v>38</v>
      </c>
      <c r="V2410" s="12" t="s">
        <v>39</v>
      </c>
      <c r="W2410" s="12" t="s">
        <v>13312</v>
      </c>
      <c r="X2410" s="16" t="s">
        <v>13313</v>
      </c>
      <c r="Y2410" s="15" t="s">
        <v>42</v>
      </c>
      <c r="Z2410" s="14" t="s">
        <v>36</v>
      </c>
      <c r="AA2410" s="14" t="s">
        <v>36</v>
      </c>
      <c r="AB2410" s="12" t="s">
        <v>43</v>
      </c>
      <c r="AC2410" s="12" t="s">
        <v>13314</v>
      </c>
      <c r="AD2410" s="13">
        <v>44621</v>
      </c>
      <c r="AE2410" s="12" t="s">
        <v>110</v>
      </c>
      <c r="AF2410" s="12" t="s">
        <v>2409</v>
      </c>
      <c r="AG2410" s="12" t="s">
        <v>899</v>
      </c>
      <c r="AH2410" s="1">
        <f>HYPERLINK("https://my.pitchbook.com?c=191573-29T","View Company Online")</f>
      </c>
    </row>
    <row r="2411">
      <c r="A2411" s="3" t="s">
        <v>13315</v>
      </c>
      <c r="B2411" s="3" t="s">
        <v>13316</v>
      </c>
      <c r="C2411" s="5">
        <v>1</v>
      </c>
      <c r="D2411" s="5" t="s">
        <v>36</v>
      </c>
      <c r="E2411" s="5">
        <v>1</v>
      </c>
      <c r="F2411" s="5">
        <v>1</v>
      </c>
      <c r="G2411" s="6" t="s">
        <v>36</v>
      </c>
      <c r="H2411" s="4" t="s">
        <v>36</v>
      </c>
      <c r="I2411" s="7" t="s">
        <v>36</v>
      </c>
      <c r="J2411" s="3" t="s">
        <v>36</v>
      </c>
      <c r="K2411" s="9" t="s">
        <v>36</v>
      </c>
      <c r="L2411" s="6" t="s">
        <v>36</v>
      </c>
      <c r="M2411" s="3" t="s">
        <v>36</v>
      </c>
      <c r="N2411" s="3" t="s">
        <v>36</v>
      </c>
      <c r="O2411" s="8" t="s">
        <v>36</v>
      </c>
      <c r="P2411" s="3" t="s">
        <v>36</v>
      </c>
      <c r="Q2411" s="3" t="s">
        <v>36</v>
      </c>
      <c r="R2411" s="3" t="s">
        <v>36</v>
      </c>
      <c r="S2411" s="3" t="s">
        <v>36</v>
      </c>
      <c r="T2411" s="3" t="s">
        <v>13317</v>
      </c>
      <c r="U2411" s="3" t="s">
        <v>619</v>
      </c>
      <c r="V2411" s="3" t="s">
        <v>378</v>
      </c>
      <c r="W2411" s="3" t="s">
        <v>13318</v>
      </c>
      <c r="X2411" s="10" t="s">
        <v>13319</v>
      </c>
      <c r="Y2411" s="6" t="s">
        <v>42</v>
      </c>
      <c r="Z2411" s="4" t="s">
        <v>36</v>
      </c>
      <c r="AA2411" s="4" t="s">
        <v>36</v>
      </c>
      <c r="AB2411" s="3" t="s">
        <v>43</v>
      </c>
      <c r="AC2411" s="3" t="s">
        <v>13320</v>
      </c>
      <c r="AD2411" s="9">
        <v>44621</v>
      </c>
      <c r="AE2411" s="3" t="s">
        <v>2040</v>
      </c>
      <c r="AF2411" s="3" t="s">
        <v>13321</v>
      </c>
      <c r="AG2411" s="3" t="s">
        <v>13322</v>
      </c>
      <c r="AH2411" s="11">
        <f>HYPERLINK("https://my.pitchbook.com?c=193850-83T","View Company Online")</f>
      </c>
    </row>
    <row r="2412">
      <c r="A2412" s="12" t="s">
        <v>13323</v>
      </c>
      <c r="B2412" s="12" t="s">
        <v>13324</v>
      </c>
      <c r="C2412" s="19" t="s">
        <v>36</v>
      </c>
      <c r="D2412" s="19" t="s">
        <v>36</v>
      </c>
      <c r="E2412" s="19" t="s">
        <v>36</v>
      </c>
      <c r="F2412" s="19" t="s">
        <v>36</v>
      </c>
      <c r="G2412" s="15" t="s">
        <v>36</v>
      </c>
      <c r="H2412" s="14" t="s">
        <v>36</v>
      </c>
      <c r="I2412" s="18" t="s">
        <v>36</v>
      </c>
      <c r="J2412" s="12" t="s">
        <v>36</v>
      </c>
      <c r="K2412" s="13" t="s">
        <v>36</v>
      </c>
      <c r="L2412" s="15" t="s">
        <v>36</v>
      </c>
      <c r="M2412" s="12" t="s">
        <v>36</v>
      </c>
      <c r="N2412" s="12" t="s">
        <v>36</v>
      </c>
      <c r="O2412" s="17" t="s">
        <v>36</v>
      </c>
      <c r="P2412" s="12" t="s">
        <v>36</v>
      </c>
      <c r="Q2412" s="12" t="s">
        <v>36</v>
      </c>
      <c r="R2412" s="12" t="s">
        <v>36</v>
      </c>
      <c r="S2412" s="12" t="s">
        <v>36</v>
      </c>
      <c r="T2412" s="12" t="s">
        <v>522</v>
      </c>
      <c r="U2412" s="12" t="s">
        <v>38</v>
      </c>
      <c r="V2412" s="12" t="s">
        <v>39</v>
      </c>
      <c r="W2412" s="12" t="s">
        <v>13325</v>
      </c>
      <c r="X2412" s="16" t="s">
        <v>221</v>
      </c>
      <c r="Y2412" s="15" t="s">
        <v>42</v>
      </c>
      <c r="Z2412" s="14" t="s">
        <v>36</v>
      </c>
      <c r="AA2412" s="14" t="s">
        <v>36</v>
      </c>
      <c r="AB2412" s="12" t="s">
        <v>43</v>
      </c>
      <c r="AC2412" s="12" t="s">
        <v>13326</v>
      </c>
      <c r="AD2412" s="13">
        <v>44621</v>
      </c>
      <c r="AE2412" s="12" t="s">
        <v>110</v>
      </c>
      <c r="AF2412" s="12" t="s">
        <v>111</v>
      </c>
      <c r="AG2412" s="12" t="s">
        <v>81</v>
      </c>
      <c r="AH2412" s="1">
        <f>HYPERLINK("https://my.pitchbook.com?c=190656-55T","View Company Online")</f>
      </c>
    </row>
    <row r="2413">
      <c r="A2413" s="3" t="s">
        <v>13327</v>
      </c>
      <c r="B2413" s="3" t="s">
        <v>13328</v>
      </c>
      <c r="C2413" s="5" t="s">
        <v>36</v>
      </c>
      <c r="D2413" s="5" t="s">
        <v>36</v>
      </c>
      <c r="E2413" s="5" t="s">
        <v>36</v>
      </c>
      <c r="F2413" s="5" t="s">
        <v>36</v>
      </c>
      <c r="G2413" s="6" t="s">
        <v>36</v>
      </c>
      <c r="H2413" s="4" t="s">
        <v>36</v>
      </c>
      <c r="I2413" s="7" t="s">
        <v>36</v>
      </c>
      <c r="J2413" s="3" t="s">
        <v>36</v>
      </c>
      <c r="K2413" s="9" t="s">
        <v>36</v>
      </c>
      <c r="L2413" s="6" t="s">
        <v>36</v>
      </c>
      <c r="M2413" s="3" t="s">
        <v>36</v>
      </c>
      <c r="N2413" s="3" t="s">
        <v>36</v>
      </c>
      <c r="O2413" s="8" t="s">
        <v>36</v>
      </c>
      <c r="P2413" s="3" t="s">
        <v>36</v>
      </c>
      <c r="Q2413" s="3" t="s">
        <v>36</v>
      </c>
      <c r="R2413" s="3" t="s">
        <v>36</v>
      </c>
      <c r="S2413" s="3" t="s">
        <v>36</v>
      </c>
      <c r="T2413" s="3" t="s">
        <v>13329</v>
      </c>
      <c r="U2413" s="3" t="s">
        <v>74</v>
      </c>
      <c r="V2413" s="3" t="s">
        <v>75</v>
      </c>
      <c r="W2413" s="3" t="s">
        <v>13330</v>
      </c>
      <c r="X2413" s="10" t="s">
        <v>13331</v>
      </c>
      <c r="Y2413" s="6" t="s">
        <v>42</v>
      </c>
      <c r="Z2413" s="4" t="s">
        <v>36</v>
      </c>
      <c r="AA2413" s="4" t="s">
        <v>36</v>
      </c>
      <c r="AB2413" s="3" t="s">
        <v>56</v>
      </c>
      <c r="AC2413" s="3" t="s">
        <v>13332</v>
      </c>
      <c r="AD2413" s="9">
        <v>44621</v>
      </c>
      <c r="AE2413" s="3" t="s">
        <v>79</v>
      </c>
      <c r="AF2413" s="3" t="s">
        <v>13333</v>
      </c>
      <c r="AG2413" s="3" t="s">
        <v>81</v>
      </c>
      <c r="AH2413" s="11">
        <f>HYPERLINK("https://my.pitchbook.com?c=189685-09T","View Company Online")</f>
      </c>
    </row>
    <row r="2414">
      <c r="A2414" s="12" t="s">
        <v>13334</v>
      </c>
      <c r="B2414" s="12" t="s">
        <v>13335</v>
      </c>
      <c r="C2414" s="19" t="s">
        <v>36</v>
      </c>
      <c r="D2414" s="19" t="s">
        <v>36</v>
      </c>
      <c r="E2414" s="19" t="s">
        <v>36</v>
      </c>
      <c r="F2414" s="19" t="s">
        <v>36</v>
      </c>
      <c r="G2414" s="15" t="s">
        <v>36</v>
      </c>
      <c r="H2414" s="14" t="s">
        <v>36</v>
      </c>
      <c r="I2414" s="18" t="s">
        <v>36</v>
      </c>
      <c r="J2414" s="12" t="s">
        <v>36</v>
      </c>
      <c r="K2414" s="13" t="s">
        <v>36</v>
      </c>
      <c r="L2414" s="15" t="s">
        <v>36</v>
      </c>
      <c r="M2414" s="12" t="s">
        <v>36</v>
      </c>
      <c r="N2414" s="12" t="s">
        <v>36</v>
      </c>
      <c r="O2414" s="17" t="s">
        <v>36</v>
      </c>
      <c r="P2414" s="12" t="s">
        <v>36</v>
      </c>
      <c r="Q2414" s="12" t="s">
        <v>36</v>
      </c>
      <c r="R2414" s="12" t="s">
        <v>36</v>
      </c>
      <c r="S2414" s="12" t="s">
        <v>36</v>
      </c>
      <c r="T2414" s="12" t="s">
        <v>13336</v>
      </c>
      <c r="U2414" s="12" t="s">
        <v>279</v>
      </c>
      <c r="V2414" s="12" t="s">
        <v>64</v>
      </c>
      <c r="W2414" s="12" t="s">
        <v>13337</v>
      </c>
      <c r="X2414" s="16" t="s">
        <v>13338</v>
      </c>
      <c r="Y2414" s="15" t="s">
        <v>42</v>
      </c>
      <c r="Z2414" s="14" t="s">
        <v>36</v>
      </c>
      <c r="AA2414" s="14" t="s">
        <v>36</v>
      </c>
      <c r="AB2414" s="12" t="s">
        <v>56</v>
      </c>
      <c r="AC2414" s="12" t="s">
        <v>13339</v>
      </c>
      <c r="AD2414" s="13">
        <v>44621</v>
      </c>
      <c r="AE2414" s="12" t="s">
        <v>13340</v>
      </c>
      <c r="AF2414" s="12" t="s">
        <v>1636</v>
      </c>
      <c r="AG2414" s="12" t="s">
        <v>539</v>
      </c>
      <c r="AH2414" s="1">
        <f>HYPERLINK("https://my.pitchbook.com?c=191201-41T","View Company Online")</f>
      </c>
    </row>
    <row r="2415">
      <c r="A2415" s="3" t="s">
        <v>13341</v>
      </c>
      <c r="B2415" s="3" t="s">
        <v>13342</v>
      </c>
      <c r="C2415" s="5" t="s">
        <v>36</v>
      </c>
      <c r="D2415" s="5" t="s">
        <v>36</v>
      </c>
      <c r="E2415" s="5" t="s">
        <v>36</v>
      </c>
      <c r="F2415" s="5" t="s">
        <v>36</v>
      </c>
      <c r="G2415" s="6" t="s">
        <v>36</v>
      </c>
      <c r="H2415" s="4" t="s">
        <v>36</v>
      </c>
      <c r="I2415" s="7" t="s">
        <v>36</v>
      </c>
      <c r="J2415" s="3" t="s">
        <v>36</v>
      </c>
      <c r="K2415" s="9" t="s">
        <v>36</v>
      </c>
      <c r="L2415" s="6" t="s">
        <v>36</v>
      </c>
      <c r="M2415" s="3" t="s">
        <v>36</v>
      </c>
      <c r="N2415" s="3" t="s">
        <v>36</v>
      </c>
      <c r="O2415" s="8" t="s">
        <v>36</v>
      </c>
      <c r="P2415" s="3" t="s">
        <v>36</v>
      </c>
      <c r="Q2415" s="3" t="s">
        <v>36</v>
      </c>
      <c r="R2415" s="3" t="s">
        <v>36</v>
      </c>
      <c r="S2415" s="3" t="s">
        <v>6531</v>
      </c>
      <c r="T2415" s="3" t="s">
        <v>10504</v>
      </c>
      <c r="U2415" s="3" t="s">
        <v>63</v>
      </c>
      <c r="V2415" s="3" t="s">
        <v>64</v>
      </c>
      <c r="W2415" s="3" t="s">
        <v>13343</v>
      </c>
      <c r="X2415" s="10" t="s">
        <v>13344</v>
      </c>
      <c r="Y2415" s="6" t="s">
        <v>192</v>
      </c>
      <c r="Z2415" s="4">
        <v>16.99</v>
      </c>
      <c r="AA2415" s="4" t="s">
        <v>36</v>
      </c>
      <c r="AB2415" s="3" t="s">
        <v>56</v>
      </c>
      <c r="AC2415" s="3" t="s">
        <v>13345</v>
      </c>
      <c r="AD2415" s="9">
        <v>44621</v>
      </c>
      <c r="AE2415" s="3" t="s">
        <v>68</v>
      </c>
      <c r="AF2415" s="3" t="s">
        <v>13346</v>
      </c>
      <c r="AG2415" s="3" t="s">
        <v>81</v>
      </c>
      <c r="AH2415" s="11">
        <f>HYPERLINK("https://my.pitchbook.com?c=201978-64T","View Company Online")</f>
      </c>
    </row>
    <row r="2416">
      <c r="A2416" s="12" t="s">
        <v>13347</v>
      </c>
      <c r="B2416" s="12" t="s">
        <v>13348</v>
      </c>
      <c r="C2416" s="19" t="s">
        <v>36</v>
      </c>
      <c r="D2416" s="19" t="s">
        <v>36</v>
      </c>
      <c r="E2416" s="19" t="s">
        <v>36</v>
      </c>
      <c r="F2416" s="19" t="s">
        <v>36</v>
      </c>
      <c r="G2416" s="15" t="s">
        <v>36</v>
      </c>
      <c r="H2416" s="14" t="s">
        <v>36</v>
      </c>
      <c r="I2416" s="18" t="s">
        <v>36</v>
      </c>
      <c r="J2416" s="12" t="s">
        <v>36</v>
      </c>
      <c r="K2416" s="13" t="s">
        <v>36</v>
      </c>
      <c r="L2416" s="15" t="s">
        <v>36</v>
      </c>
      <c r="M2416" s="12" t="s">
        <v>36</v>
      </c>
      <c r="N2416" s="12" t="s">
        <v>36</v>
      </c>
      <c r="O2416" s="17" t="s">
        <v>36</v>
      </c>
      <c r="P2416" s="12" t="s">
        <v>36</v>
      </c>
      <c r="Q2416" s="12" t="s">
        <v>36</v>
      </c>
      <c r="R2416" s="12" t="s">
        <v>36</v>
      </c>
      <c r="S2416" s="12" t="s">
        <v>36</v>
      </c>
      <c r="T2416" s="12" t="s">
        <v>13349</v>
      </c>
      <c r="U2416" s="12" t="s">
        <v>619</v>
      </c>
      <c r="V2416" s="12" t="s">
        <v>378</v>
      </c>
      <c r="W2416" s="12" t="s">
        <v>13350</v>
      </c>
      <c r="X2416" s="16" t="s">
        <v>13351</v>
      </c>
      <c r="Y2416" s="15" t="s">
        <v>42</v>
      </c>
      <c r="Z2416" s="14">
        <v>3.06</v>
      </c>
      <c r="AA2416" s="14" t="s">
        <v>36</v>
      </c>
      <c r="AB2416" s="12" t="s">
        <v>43</v>
      </c>
      <c r="AC2416" s="12" t="s">
        <v>13352</v>
      </c>
      <c r="AD2416" s="13">
        <v>44621</v>
      </c>
      <c r="AE2416" s="12" t="s">
        <v>623</v>
      </c>
      <c r="AF2416" s="12" t="s">
        <v>2703</v>
      </c>
      <c r="AG2416" s="12" t="s">
        <v>347</v>
      </c>
      <c r="AH2416" s="1">
        <f>HYPERLINK("https://my.pitchbook.com?c=158793-85T","View Company Online")</f>
      </c>
    </row>
    <row r="2417">
      <c r="A2417" s="3" t="s">
        <v>13353</v>
      </c>
      <c r="B2417" s="3" t="s">
        <v>13354</v>
      </c>
      <c r="C2417" s="5" t="s">
        <v>36</v>
      </c>
      <c r="D2417" s="5" t="s">
        <v>36</v>
      </c>
      <c r="E2417" s="5" t="s">
        <v>36</v>
      </c>
      <c r="F2417" s="5" t="s">
        <v>36</v>
      </c>
      <c r="G2417" s="6" t="s">
        <v>36</v>
      </c>
      <c r="H2417" s="4" t="s">
        <v>36</v>
      </c>
      <c r="I2417" s="7" t="s">
        <v>36</v>
      </c>
      <c r="J2417" s="3" t="s">
        <v>36</v>
      </c>
      <c r="K2417" s="9" t="s">
        <v>36</v>
      </c>
      <c r="L2417" s="6" t="s">
        <v>36</v>
      </c>
      <c r="M2417" s="3" t="s">
        <v>36</v>
      </c>
      <c r="N2417" s="3" t="s">
        <v>36</v>
      </c>
      <c r="O2417" s="8" t="s">
        <v>36</v>
      </c>
      <c r="P2417" s="3" t="s">
        <v>36</v>
      </c>
      <c r="Q2417" s="3" t="s">
        <v>36</v>
      </c>
      <c r="R2417" s="3" t="s">
        <v>36</v>
      </c>
      <c r="S2417" s="3" t="s">
        <v>36</v>
      </c>
      <c r="T2417" s="3" t="s">
        <v>1838</v>
      </c>
      <c r="U2417" s="3" t="s">
        <v>38</v>
      </c>
      <c r="V2417" s="3" t="s">
        <v>39</v>
      </c>
      <c r="W2417" s="3" t="s">
        <v>13355</v>
      </c>
      <c r="X2417" s="10" t="s">
        <v>621</v>
      </c>
      <c r="Y2417" s="6" t="s">
        <v>55</v>
      </c>
      <c r="Z2417" s="4" t="s">
        <v>36</v>
      </c>
      <c r="AA2417" s="4" t="s">
        <v>36</v>
      </c>
      <c r="AB2417" s="3" t="s">
        <v>56</v>
      </c>
      <c r="AC2417" s="3" t="s">
        <v>13356</v>
      </c>
      <c r="AD2417" s="9">
        <v>44621</v>
      </c>
      <c r="AE2417" s="3" t="s">
        <v>110</v>
      </c>
      <c r="AF2417" s="3" t="s">
        <v>4552</v>
      </c>
      <c r="AG2417" s="3" t="s">
        <v>81</v>
      </c>
      <c r="AH2417" s="11">
        <f>HYPERLINK("https://my.pitchbook.com?c=280054-72T","View Company Online")</f>
      </c>
    </row>
    <row r="2418">
      <c r="A2418" s="12" t="s">
        <v>13357</v>
      </c>
      <c r="B2418" s="12" t="s">
        <v>13358</v>
      </c>
      <c r="C2418" s="19">
        <v>5</v>
      </c>
      <c r="D2418" s="19" t="s">
        <v>36</v>
      </c>
      <c r="E2418" s="19">
        <v>4</v>
      </c>
      <c r="F2418" s="19">
        <v>5</v>
      </c>
      <c r="G2418" s="15" t="s">
        <v>36</v>
      </c>
      <c r="H2418" s="14" t="s">
        <v>36</v>
      </c>
      <c r="I2418" s="18" t="s">
        <v>36</v>
      </c>
      <c r="J2418" s="12" t="s">
        <v>36</v>
      </c>
      <c r="K2418" s="13" t="s">
        <v>36</v>
      </c>
      <c r="L2418" s="15" t="s">
        <v>122</v>
      </c>
      <c r="M2418" s="12" t="s">
        <v>36</v>
      </c>
      <c r="N2418" s="12" t="s">
        <v>122</v>
      </c>
      <c r="O2418" s="17" t="s">
        <v>36</v>
      </c>
      <c r="P2418" s="12" t="s">
        <v>36</v>
      </c>
      <c r="Q2418" s="12" t="s">
        <v>36</v>
      </c>
      <c r="R2418" s="12" t="s">
        <v>36</v>
      </c>
      <c r="S2418" s="12" t="s">
        <v>13359</v>
      </c>
      <c r="T2418" s="12" t="s">
        <v>13360</v>
      </c>
      <c r="U2418" s="12" t="s">
        <v>74</v>
      </c>
      <c r="V2418" s="12" t="s">
        <v>75</v>
      </c>
      <c r="W2418" s="12" t="s">
        <v>13361</v>
      </c>
      <c r="X2418" s="16" t="s">
        <v>13362</v>
      </c>
      <c r="Y2418" s="15" t="s">
        <v>42</v>
      </c>
      <c r="Z2418" s="14">
        <v>12.46</v>
      </c>
      <c r="AA2418" s="14" t="s">
        <v>36</v>
      </c>
      <c r="AB2418" s="12" t="s">
        <v>43</v>
      </c>
      <c r="AC2418" s="12" t="s">
        <v>13363</v>
      </c>
      <c r="AD2418" s="13">
        <v>44620</v>
      </c>
      <c r="AE2418" s="12" t="s">
        <v>570</v>
      </c>
      <c r="AF2418" s="12" t="s">
        <v>5503</v>
      </c>
      <c r="AG2418" s="12" t="s">
        <v>13364</v>
      </c>
      <c r="AH2418" s="1">
        <f>HYPERLINK("https://my.pitchbook.com?c=189376-48T","View Company Online")</f>
      </c>
    </row>
    <row r="2419">
      <c r="A2419" s="3" t="s">
        <v>13365</v>
      </c>
      <c r="B2419" s="3" t="s">
        <v>13366</v>
      </c>
      <c r="C2419" s="5" t="s">
        <v>36</v>
      </c>
      <c r="D2419" s="5" t="s">
        <v>36</v>
      </c>
      <c r="E2419" s="5" t="s">
        <v>36</v>
      </c>
      <c r="F2419" s="5" t="s">
        <v>36</v>
      </c>
      <c r="G2419" s="6" t="s">
        <v>36</v>
      </c>
      <c r="H2419" s="4" t="s">
        <v>36</v>
      </c>
      <c r="I2419" s="7" t="s">
        <v>36</v>
      </c>
      <c r="J2419" s="3" t="s">
        <v>36</v>
      </c>
      <c r="K2419" s="9" t="s">
        <v>36</v>
      </c>
      <c r="L2419" s="6" t="s">
        <v>36</v>
      </c>
      <c r="M2419" s="3" t="s">
        <v>36</v>
      </c>
      <c r="N2419" s="3" t="s">
        <v>36</v>
      </c>
      <c r="O2419" s="8" t="s">
        <v>36</v>
      </c>
      <c r="P2419" s="3" t="s">
        <v>36</v>
      </c>
      <c r="Q2419" s="3" t="s">
        <v>36</v>
      </c>
      <c r="R2419" s="3" t="s">
        <v>36</v>
      </c>
      <c r="S2419" s="3" t="s">
        <v>36</v>
      </c>
      <c r="T2419" s="3" t="s">
        <v>2736</v>
      </c>
      <c r="U2419" s="3" t="s">
        <v>51</v>
      </c>
      <c r="V2419" s="3" t="s">
        <v>52</v>
      </c>
      <c r="W2419" s="3" t="s">
        <v>13367</v>
      </c>
      <c r="X2419" s="10" t="s">
        <v>13368</v>
      </c>
      <c r="Y2419" s="6" t="s">
        <v>108</v>
      </c>
      <c r="Z2419" s="4">
        <v>8.83</v>
      </c>
      <c r="AA2419" s="4" t="s">
        <v>36</v>
      </c>
      <c r="AB2419" s="3" t="s">
        <v>56</v>
      </c>
      <c r="AC2419" s="3" t="s">
        <v>13369</v>
      </c>
      <c r="AD2419" s="9">
        <v>44620</v>
      </c>
      <c r="AE2419" s="3" t="s">
        <v>2740</v>
      </c>
      <c r="AF2419" s="3" t="s">
        <v>159</v>
      </c>
      <c r="AG2419" s="3" t="s">
        <v>144</v>
      </c>
      <c r="AH2419" s="11">
        <f>HYPERLINK("https://my.pitchbook.com?c=197012-80T","View Company Online")</f>
      </c>
    </row>
    <row r="2420">
      <c r="A2420" s="12" t="s">
        <v>13370</v>
      </c>
      <c r="B2420" s="12" t="s">
        <v>13371</v>
      </c>
      <c r="C2420" s="19" t="s">
        <v>36</v>
      </c>
      <c r="D2420" s="19" t="s">
        <v>36</v>
      </c>
      <c r="E2420" s="19" t="s">
        <v>36</v>
      </c>
      <c r="F2420" s="19" t="s">
        <v>36</v>
      </c>
      <c r="G2420" s="15" t="s">
        <v>326</v>
      </c>
      <c r="H2420" s="14">
        <v>19.9</v>
      </c>
      <c r="I2420" s="18">
        <v>42.54</v>
      </c>
      <c r="J2420" s="12" t="s">
        <v>521</v>
      </c>
      <c r="K2420" s="13" t="s">
        <v>36</v>
      </c>
      <c r="L2420" s="15" t="s">
        <v>36</v>
      </c>
      <c r="M2420" s="12" t="s">
        <v>36</v>
      </c>
      <c r="N2420" s="12" t="s">
        <v>36</v>
      </c>
      <c r="O2420" s="17" t="s">
        <v>36</v>
      </c>
      <c r="P2420" s="12" t="s">
        <v>36</v>
      </c>
      <c r="Q2420" s="12" t="s">
        <v>36</v>
      </c>
      <c r="R2420" s="12" t="s">
        <v>36</v>
      </c>
      <c r="S2420" s="12" t="s">
        <v>36</v>
      </c>
      <c r="T2420" s="12" t="s">
        <v>13372</v>
      </c>
      <c r="U2420" s="12" t="s">
        <v>438</v>
      </c>
      <c r="V2420" s="12" t="s">
        <v>405</v>
      </c>
      <c r="W2420" s="12" t="s">
        <v>13373</v>
      </c>
      <c r="X2420" s="16" t="s">
        <v>13374</v>
      </c>
      <c r="Y2420" s="15" t="s">
        <v>321</v>
      </c>
      <c r="Z2420" s="14">
        <v>51.59</v>
      </c>
      <c r="AA2420" s="14">
        <v>121.28</v>
      </c>
      <c r="AB2420" s="12" t="s">
        <v>56</v>
      </c>
      <c r="AC2420" s="12" t="s">
        <v>13375</v>
      </c>
      <c r="AD2420" s="13">
        <v>44620</v>
      </c>
      <c r="AE2420" s="12" t="s">
        <v>442</v>
      </c>
      <c r="AF2420" s="12" t="s">
        <v>9736</v>
      </c>
      <c r="AG2420" s="12" t="s">
        <v>81</v>
      </c>
      <c r="AH2420" s="1">
        <f>HYPERLINK("https://my.pitchbook.com?c=189399-43T","View Company Online")</f>
      </c>
    </row>
    <row r="2421">
      <c r="A2421" s="3" t="s">
        <v>13376</v>
      </c>
      <c r="B2421" s="3" t="s">
        <v>13377</v>
      </c>
      <c r="C2421" s="5" t="s">
        <v>36</v>
      </c>
      <c r="D2421" s="5" t="s">
        <v>36</v>
      </c>
      <c r="E2421" s="5" t="s">
        <v>36</v>
      </c>
      <c r="F2421" s="5" t="s">
        <v>36</v>
      </c>
      <c r="G2421" s="6" t="s">
        <v>683</v>
      </c>
      <c r="H2421" s="4">
        <v>2.13</v>
      </c>
      <c r="I2421" s="7">
        <v>12.41</v>
      </c>
      <c r="J2421" s="3" t="s">
        <v>521</v>
      </c>
      <c r="K2421" s="9" t="s">
        <v>36</v>
      </c>
      <c r="L2421" s="6" t="s">
        <v>36</v>
      </c>
      <c r="M2421" s="3" t="s">
        <v>36</v>
      </c>
      <c r="N2421" s="3" t="s">
        <v>36</v>
      </c>
      <c r="O2421" s="8" t="s">
        <v>36</v>
      </c>
      <c r="P2421" s="3" t="s">
        <v>36</v>
      </c>
      <c r="Q2421" s="3" t="s">
        <v>36</v>
      </c>
      <c r="R2421" s="3" t="s">
        <v>36</v>
      </c>
      <c r="S2421" s="3" t="s">
        <v>36</v>
      </c>
      <c r="T2421" s="3" t="s">
        <v>6904</v>
      </c>
      <c r="U2421" s="3" t="s">
        <v>96</v>
      </c>
      <c r="V2421" s="3" t="s">
        <v>52</v>
      </c>
      <c r="W2421" s="3" t="s">
        <v>13378</v>
      </c>
      <c r="X2421" s="10" t="s">
        <v>13379</v>
      </c>
      <c r="Y2421" s="6" t="s">
        <v>42</v>
      </c>
      <c r="Z2421" s="4">
        <v>0.29</v>
      </c>
      <c r="AA2421" s="4">
        <v>2.37</v>
      </c>
      <c r="AB2421" s="3" t="s">
        <v>56</v>
      </c>
      <c r="AC2421" s="3" t="s">
        <v>13380</v>
      </c>
      <c r="AD2421" s="9">
        <v>44620</v>
      </c>
      <c r="AE2421" s="3" t="s">
        <v>143</v>
      </c>
      <c r="AF2421" s="3" t="s">
        <v>13381</v>
      </c>
      <c r="AG2421" s="3" t="s">
        <v>3595</v>
      </c>
      <c r="AH2421" s="11">
        <f>HYPERLINK("https://my.pitchbook.com?c=189203-50T","View Company Online")</f>
      </c>
    </row>
    <row r="2422">
      <c r="A2422" s="12" t="s">
        <v>13382</v>
      </c>
      <c r="B2422" s="12" t="s">
        <v>13383</v>
      </c>
      <c r="C2422" s="19" t="s">
        <v>36</v>
      </c>
      <c r="D2422" s="19" t="s">
        <v>36</v>
      </c>
      <c r="E2422" s="19" t="s">
        <v>36</v>
      </c>
      <c r="F2422" s="19" t="s">
        <v>36</v>
      </c>
      <c r="G2422" s="15" t="s">
        <v>36</v>
      </c>
      <c r="H2422" s="14" t="s">
        <v>36</v>
      </c>
      <c r="I2422" s="18">
        <v>16.75</v>
      </c>
      <c r="J2422" s="12" t="s">
        <v>327</v>
      </c>
      <c r="K2422" s="13" t="s">
        <v>36</v>
      </c>
      <c r="L2422" s="15" t="s">
        <v>36</v>
      </c>
      <c r="M2422" s="12" t="s">
        <v>36</v>
      </c>
      <c r="N2422" s="12" t="s">
        <v>36</v>
      </c>
      <c r="O2422" s="17" t="s">
        <v>36</v>
      </c>
      <c r="P2422" s="12" t="s">
        <v>36</v>
      </c>
      <c r="Q2422" s="12" t="s">
        <v>36</v>
      </c>
      <c r="R2422" s="12" t="s">
        <v>36</v>
      </c>
      <c r="S2422" s="12" t="s">
        <v>36</v>
      </c>
      <c r="T2422" s="12" t="s">
        <v>13384</v>
      </c>
      <c r="U2422" s="12" t="s">
        <v>74</v>
      </c>
      <c r="V2422" s="12" t="s">
        <v>75</v>
      </c>
      <c r="W2422" s="12" t="s">
        <v>13385</v>
      </c>
      <c r="X2422" s="16" t="s">
        <v>13386</v>
      </c>
      <c r="Y2422" s="15" t="s">
        <v>42</v>
      </c>
      <c r="Z2422" s="14">
        <v>1.6</v>
      </c>
      <c r="AA2422" s="14">
        <v>9.53</v>
      </c>
      <c r="AB2422" s="12" t="s">
        <v>43</v>
      </c>
      <c r="AC2422" s="12" t="s">
        <v>13387</v>
      </c>
      <c r="AD2422" s="13">
        <v>44618</v>
      </c>
      <c r="AE2422" s="12" t="s">
        <v>362</v>
      </c>
      <c r="AF2422" s="12" t="s">
        <v>250</v>
      </c>
      <c r="AG2422" s="12" t="s">
        <v>81</v>
      </c>
      <c r="AH2422" s="1">
        <f>HYPERLINK("https://my.pitchbook.com?c=207991-54T","View Company Online")</f>
      </c>
    </row>
    <row r="2423">
      <c r="A2423" s="3" t="s">
        <v>13388</v>
      </c>
      <c r="B2423" s="3" t="s">
        <v>13389</v>
      </c>
      <c r="C2423" s="5">
        <v>3</v>
      </c>
      <c r="D2423" s="5">
        <v>5</v>
      </c>
      <c r="E2423" s="5">
        <v>2</v>
      </c>
      <c r="F2423" s="5">
        <v>8</v>
      </c>
      <c r="G2423" s="6" t="s">
        <v>36</v>
      </c>
      <c r="H2423" s="4" t="s">
        <v>36</v>
      </c>
      <c r="I2423" s="7" t="s">
        <v>36</v>
      </c>
      <c r="J2423" s="3" t="s">
        <v>36</v>
      </c>
      <c r="K2423" s="9" t="s">
        <v>36</v>
      </c>
      <c r="L2423" s="6" t="s">
        <v>36</v>
      </c>
      <c r="M2423" s="3" t="s">
        <v>36</v>
      </c>
      <c r="N2423" s="3" t="s">
        <v>36</v>
      </c>
      <c r="O2423" s="8" t="s">
        <v>36</v>
      </c>
      <c r="P2423" s="3" t="s">
        <v>36</v>
      </c>
      <c r="Q2423" s="3" t="s">
        <v>36</v>
      </c>
      <c r="R2423" s="3" t="s">
        <v>36</v>
      </c>
      <c r="S2423" s="3" t="s">
        <v>36</v>
      </c>
      <c r="T2423" s="3" t="s">
        <v>10993</v>
      </c>
      <c r="U2423" s="3" t="s">
        <v>51</v>
      </c>
      <c r="V2423" s="3" t="s">
        <v>52</v>
      </c>
      <c r="W2423" s="3" t="s">
        <v>13390</v>
      </c>
      <c r="X2423" s="10" t="s">
        <v>13391</v>
      </c>
      <c r="Y2423" s="6" t="s">
        <v>108</v>
      </c>
      <c r="Z2423" s="4">
        <v>1.08</v>
      </c>
      <c r="AA2423" s="4" t="s">
        <v>36</v>
      </c>
      <c r="AB2423" s="3" t="s">
        <v>56</v>
      </c>
      <c r="AC2423" s="3" t="s">
        <v>13392</v>
      </c>
      <c r="AD2423" s="9">
        <v>44616</v>
      </c>
      <c r="AE2423" s="3" t="s">
        <v>158</v>
      </c>
      <c r="AF2423" s="3" t="s">
        <v>1275</v>
      </c>
      <c r="AG2423" s="3" t="s">
        <v>12928</v>
      </c>
      <c r="AH2423" s="11">
        <f>HYPERLINK("https://my.pitchbook.com?c=223733-35T","View Company Online")</f>
      </c>
    </row>
    <row r="2424">
      <c r="A2424" s="12" t="s">
        <v>13393</v>
      </c>
      <c r="B2424" s="12" t="s">
        <v>13394</v>
      </c>
      <c r="C2424" s="19" t="s">
        <v>36</v>
      </c>
      <c r="D2424" s="19" t="s">
        <v>36</v>
      </c>
      <c r="E2424" s="19" t="s">
        <v>36</v>
      </c>
      <c r="F2424" s="19" t="s">
        <v>36</v>
      </c>
      <c r="G2424" s="15" t="s">
        <v>36</v>
      </c>
      <c r="H2424" s="14" t="s">
        <v>36</v>
      </c>
      <c r="I2424" s="18" t="s">
        <v>36</v>
      </c>
      <c r="J2424" s="12" t="s">
        <v>36</v>
      </c>
      <c r="K2424" s="13">
        <v>44616</v>
      </c>
      <c r="L2424" s="15" t="s">
        <v>122</v>
      </c>
      <c r="M2424" s="12" t="s">
        <v>36</v>
      </c>
      <c r="N2424" s="12" t="s">
        <v>122</v>
      </c>
      <c r="O2424" s="17" t="s">
        <v>36</v>
      </c>
      <c r="P2424" s="12" t="s">
        <v>36</v>
      </c>
      <c r="Q2424" s="12" t="s">
        <v>36</v>
      </c>
      <c r="R2424" s="12" t="s">
        <v>36</v>
      </c>
      <c r="S2424" s="12" t="s">
        <v>36</v>
      </c>
      <c r="T2424" s="12" t="s">
        <v>37</v>
      </c>
      <c r="U2424" s="12" t="s">
        <v>38</v>
      </c>
      <c r="V2424" s="12" t="s">
        <v>39</v>
      </c>
      <c r="W2424" s="12" t="s">
        <v>13395</v>
      </c>
      <c r="X2424" s="16" t="s">
        <v>13396</v>
      </c>
      <c r="Y2424" s="15" t="s">
        <v>55</v>
      </c>
      <c r="Z2424" s="14">
        <v>8.85</v>
      </c>
      <c r="AA2424" s="14" t="s">
        <v>36</v>
      </c>
      <c r="AB2424" s="12" t="s">
        <v>43</v>
      </c>
      <c r="AC2424" s="12" t="s">
        <v>13397</v>
      </c>
      <c r="AD2424" s="13">
        <v>44616</v>
      </c>
      <c r="AE2424" s="12" t="s">
        <v>45</v>
      </c>
      <c r="AF2424" s="12" t="s">
        <v>331</v>
      </c>
      <c r="AG2424" s="12" t="s">
        <v>81</v>
      </c>
      <c r="AH2424" s="1">
        <f>HYPERLINK("https://my.pitchbook.com?c=189056-08T","View Company Online")</f>
      </c>
    </row>
    <row r="2425">
      <c r="A2425" s="3" t="s">
        <v>13398</v>
      </c>
      <c r="B2425" s="3" t="s">
        <v>13399</v>
      </c>
      <c r="C2425" s="5" t="s">
        <v>36</v>
      </c>
      <c r="D2425" s="5" t="s">
        <v>36</v>
      </c>
      <c r="E2425" s="5" t="s">
        <v>36</v>
      </c>
      <c r="F2425" s="5" t="s">
        <v>36</v>
      </c>
      <c r="G2425" s="6" t="s">
        <v>36</v>
      </c>
      <c r="H2425" s="4" t="s">
        <v>36</v>
      </c>
      <c r="I2425" s="7" t="s">
        <v>36</v>
      </c>
      <c r="J2425" s="3" t="s">
        <v>36</v>
      </c>
      <c r="K2425" s="9" t="s">
        <v>36</v>
      </c>
      <c r="L2425" s="6" t="s">
        <v>36</v>
      </c>
      <c r="M2425" s="3" t="s">
        <v>36</v>
      </c>
      <c r="N2425" s="3" t="s">
        <v>36</v>
      </c>
      <c r="O2425" s="8" t="s">
        <v>36</v>
      </c>
      <c r="P2425" s="3" t="s">
        <v>36</v>
      </c>
      <c r="Q2425" s="3" t="s">
        <v>36</v>
      </c>
      <c r="R2425" s="3" t="s">
        <v>36</v>
      </c>
      <c r="S2425" s="3" t="s">
        <v>36</v>
      </c>
      <c r="T2425" s="3" t="s">
        <v>13400</v>
      </c>
      <c r="U2425" s="3" t="s">
        <v>833</v>
      </c>
      <c r="V2425" s="3" t="s">
        <v>64</v>
      </c>
      <c r="W2425" s="3" t="s">
        <v>13401</v>
      </c>
      <c r="X2425" s="10" t="s">
        <v>2433</v>
      </c>
      <c r="Y2425" s="6" t="s">
        <v>108</v>
      </c>
      <c r="Z2425" s="4">
        <v>1.13</v>
      </c>
      <c r="AA2425" s="4" t="s">
        <v>36</v>
      </c>
      <c r="AB2425" s="3" t="s">
        <v>43</v>
      </c>
      <c r="AC2425" s="3" t="s">
        <v>13402</v>
      </c>
      <c r="AD2425" s="9">
        <v>44616</v>
      </c>
      <c r="AE2425" s="3" t="s">
        <v>13403</v>
      </c>
      <c r="AF2425" s="3" t="s">
        <v>36</v>
      </c>
      <c r="AG2425" s="3" t="s">
        <v>13404</v>
      </c>
      <c r="AH2425" s="11">
        <f>HYPERLINK("https://my.pitchbook.com?c=232325-74T","View Company Online")</f>
      </c>
    </row>
    <row r="2426">
      <c r="A2426" s="12" t="s">
        <v>13405</v>
      </c>
      <c r="B2426" s="12" t="s">
        <v>13406</v>
      </c>
      <c r="C2426" s="19" t="s">
        <v>36</v>
      </c>
      <c r="D2426" s="19">
        <v>9</v>
      </c>
      <c r="E2426" s="19">
        <v>3</v>
      </c>
      <c r="F2426" s="19">
        <v>9</v>
      </c>
      <c r="G2426" s="15" t="s">
        <v>36</v>
      </c>
      <c r="H2426" s="14">
        <v>49.67</v>
      </c>
      <c r="I2426" s="18">
        <v>39.49</v>
      </c>
      <c r="J2426" s="12" t="s">
        <v>521</v>
      </c>
      <c r="K2426" s="13" t="s">
        <v>36</v>
      </c>
      <c r="L2426" s="15" t="s">
        <v>122</v>
      </c>
      <c r="M2426" s="12" t="s">
        <v>36</v>
      </c>
      <c r="N2426" s="12" t="s">
        <v>122</v>
      </c>
      <c r="O2426" s="17" t="s">
        <v>36</v>
      </c>
      <c r="P2426" s="12" t="s">
        <v>36</v>
      </c>
      <c r="Q2426" s="12" t="s">
        <v>36</v>
      </c>
      <c r="R2426" s="12" t="s">
        <v>36</v>
      </c>
      <c r="S2426" s="12" t="s">
        <v>36</v>
      </c>
      <c r="T2426" s="12" t="s">
        <v>1048</v>
      </c>
      <c r="U2426" s="12" t="s">
        <v>423</v>
      </c>
      <c r="V2426" s="12" t="s">
        <v>64</v>
      </c>
      <c r="W2426" s="12" t="s">
        <v>13407</v>
      </c>
      <c r="X2426" s="16" t="s">
        <v>13408</v>
      </c>
      <c r="Y2426" s="15" t="s">
        <v>192</v>
      </c>
      <c r="Z2426" s="14">
        <v>11.32</v>
      </c>
      <c r="AA2426" s="14">
        <v>23.75</v>
      </c>
      <c r="AB2426" s="12" t="s">
        <v>56</v>
      </c>
      <c r="AC2426" s="12" t="s">
        <v>13409</v>
      </c>
      <c r="AD2426" s="13">
        <v>44616</v>
      </c>
      <c r="AE2426" s="12" t="s">
        <v>1051</v>
      </c>
      <c r="AF2426" s="12" t="s">
        <v>1061</v>
      </c>
      <c r="AG2426" s="12" t="s">
        <v>81</v>
      </c>
      <c r="AH2426" s="1">
        <f>HYPERLINK("https://my.pitchbook.com?c=189062-29T","View Company Online")</f>
      </c>
    </row>
    <row r="2427">
      <c r="A2427" s="3" t="s">
        <v>13410</v>
      </c>
      <c r="B2427" s="3" t="s">
        <v>13411</v>
      </c>
      <c r="C2427" s="5" t="s">
        <v>36</v>
      </c>
      <c r="D2427" s="5" t="s">
        <v>36</v>
      </c>
      <c r="E2427" s="5" t="s">
        <v>36</v>
      </c>
      <c r="F2427" s="5" t="s">
        <v>36</v>
      </c>
      <c r="G2427" s="6" t="s">
        <v>36</v>
      </c>
      <c r="H2427" s="4">
        <v>310.69</v>
      </c>
      <c r="I2427" s="7">
        <v>21.18</v>
      </c>
      <c r="J2427" s="3" t="s">
        <v>521</v>
      </c>
      <c r="K2427" s="9" t="s">
        <v>36</v>
      </c>
      <c r="L2427" s="6" t="s">
        <v>36</v>
      </c>
      <c r="M2427" s="3" t="s">
        <v>36</v>
      </c>
      <c r="N2427" s="3" t="s">
        <v>36</v>
      </c>
      <c r="O2427" s="8" t="s">
        <v>36</v>
      </c>
      <c r="P2427" s="3" t="s">
        <v>36</v>
      </c>
      <c r="Q2427" s="3" t="s">
        <v>36</v>
      </c>
      <c r="R2427" s="3" t="s">
        <v>36</v>
      </c>
      <c r="S2427" s="3" t="s">
        <v>36</v>
      </c>
      <c r="T2427" s="3" t="s">
        <v>13412</v>
      </c>
      <c r="U2427" s="3" t="s">
        <v>956</v>
      </c>
      <c r="V2427" s="3" t="s">
        <v>405</v>
      </c>
      <c r="W2427" s="3" t="s">
        <v>13413</v>
      </c>
      <c r="X2427" s="10" t="s">
        <v>13414</v>
      </c>
      <c r="Y2427" s="6" t="s">
        <v>42</v>
      </c>
      <c r="Z2427" s="4">
        <v>1.17</v>
      </c>
      <c r="AA2427" s="4">
        <v>5.54</v>
      </c>
      <c r="AB2427" s="3" t="s">
        <v>43</v>
      </c>
      <c r="AC2427" s="3" t="s">
        <v>13415</v>
      </c>
      <c r="AD2427" s="9">
        <v>44615</v>
      </c>
      <c r="AE2427" s="3" t="s">
        <v>960</v>
      </c>
      <c r="AF2427" s="3" t="s">
        <v>2054</v>
      </c>
      <c r="AG2427" s="3" t="s">
        <v>81</v>
      </c>
      <c r="AH2427" s="11">
        <f>HYPERLINK("https://my.pitchbook.com?c=188410-60T","View Company Online")</f>
      </c>
    </row>
    <row r="2428">
      <c r="A2428" s="12" t="s">
        <v>13416</v>
      </c>
      <c r="B2428" s="12" t="s">
        <v>13417</v>
      </c>
      <c r="C2428" s="19" t="s">
        <v>36</v>
      </c>
      <c r="D2428" s="19" t="s">
        <v>36</v>
      </c>
      <c r="E2428" s="19" t="s">
        <v>36</v>
      </c>
      <c r="F2428" s="19" t="s">
        <v>36</v>
      </c>
      <c r="G2428" s="15" t="s">
        <v>326</v>
      </c>
      <c r="H2428" s="14">
        <v>239.68</v>
      </c>
      <c r="I2428" s="18">
        <v>27.94</v>
      </c>
      <c r="J2428" s="12" t="s">
        <v>521</v>
      </c>
      <c r="K2428" s="13" t="s">
        <v>36</v>
      </c>
      <c r="L2428" s="15" t="s">
        <v>122</v>
      </c>
      <c r="M2428" s="12" t="s">
        <v>36</v>
      </c>
      <c r="N2428" s="12" t="s">
        <v>122</v>
      </c>
      <c r="O2428" s="17" t="s">
        <v>36</v>
      </c>
      <c r="P2428" s="12" t="s">
        <v>36</v>
      </c>
      <c r="Q2428" s="12" t="s">
        <v>36</v>
      </c>
      <c r="R2428" s="12" t="s">
        <v>36</v>
      </c>
      <c r="S2428" s="12" t="s">
        <v>36</v>
      </c>
      <c r="T2428" s="12" t="s">
        <v>13418</v>
      </c>
      <c r="U2428" s="12" t="s">
        <v>38</v>
      </c>
      <c r="V2428" s="12" t="s">
        <v>39</v>
      </c>
      <c r="W2428" s="12" t="s">
        <v>13419</v>
      </c>
      <c r="X2428" s="16" t="s">
        <v>13420</v>
      </c>
      <c r="Y2428" s="15" t="s">
        <v>108</v>
      </c>
      <c r="Z2428" s="14">
        <v>37.37</v>
      </c>
      <c r="AA2428" s="14">
        <v>103.77</v>
      </c>
      <c r="AB2428" s="12" t="s">
        <v>43</v>
      </c>
      <c r="AC2428" s="12" t="s">
        <v>13421</v>
      </c>
      <c r="AD2428" s="13">
        <v>44615</v>
      </c>
      <c r="AE2428" s="12" t="s">
        <v>110</v>
      </c>
      <c r="AF2428" s="12" t="s">
        <v>1852</v>
      </c>
      <c r="AG2428" s="12" t="s">
        <v>2033</v>
      </c>
      <c r="AH2428" s="1">
        <f>HYPERLINK("https://my.pitchbook.com?c=188112-88T","View Company Online")</f>
      </c>
    </row>
    <row r="2429">
      <c r="A2429" s="3" t="s">
        <v>13422</v>
      </c>
      <c r="B2429" s="3" t="s">
        <v>13423</v>
      </c>
      <c r="C2429" s="5" t="s">
        <v>36</v>
      </c>
      <c r="D2429" s="5" t="s">
        <v>36</v>
      </c>
      <c r="E2429" s="5" t="s">
        <v>36</v>
      </c>
      <c r="F2429" s="5" t="s">
        <v>36</v>
      </c>
      <c r="G2429" s="6" t="s">
        <v>36</v>
      </c>
      <c r="H2429" s="4" t="s">
        <v>36</v>
      </c>
      <c r="I2429" s="7" t="s">
        <v>36</v>
      </c>
      <c r="J2429" s="3" t="s">
        <v>36</v>
      </c>
      <c r="K2429" s="9" t="s">
        <v>36</v>
      </c>
      <c r="L2429" s="6" t="s">
        <v>122</v>
      </c>
      <c r="M2429" s="3" t="s">
        <v>36</v>
      </c>
      <c r="N2429" s="3" t="s">
        <v>122</v>
      </c>
      <c r="O2429" s="8" t="s">
        <v>36</v>
      </c>
      <c r="P2429" s="3" t="s">
        <v>36</v>
      </c>
      <c r="Q2429" s="3" t="s">
        <v>36</v>
      </c>
      <c r="R2429" s="3" t="s">
        <v>36</v>
      </c>
      <c r="S2429" s="3" t="s">
        <v>36</v>
      </c>
      <c r="T2429" s="3" t="s">
        <v>13424</v>
      </c>
      <c r="U2429" s="3" t="s">
        <v>38</v>
      </c>
      <c r="V2429" s="3" t="s">
        <v>39</v>
      </c>
      <c r="W2429" s="3" t="s">
        <v>13425</v>
      </c>
      <c r="X2429" s="10" t="s">
        <v>13426</v>
      </c>
      <c r="Y2429" s="6" t="s">
        <v>55</v>
      </c>
      <c r="Z2429" s="4">
        <v>13.59</v>
      </c>
      <c r="AA2429" s="4" t="s">
        <v>36</v>
      </c>
      <c r="AB2429" s="3" t="s">
        <v>56</v>
      </c>
      <c r="AC2429" s="3" t="s">
        <v>13427</v>
      </c>
      <c r="AD2429" s="9">
        <v>44615</v>
      </c>
      <c r="AE2429" s="3" t="s">
        <v>110</v>
      </c>
      <c r="AF2429" s="3" t="s">
        <v>8063</v>
      </c>
      <c r="AG2429" s="3" t="s">
        <v>81</v>
      </c>
      <c r="AH2429" s="11">
        <f>HYPERLINK("https://my.pitchbook.com?c=189005-50T","View Company Online")</f>
      </c>
    </row>
    <row r="2430">
      <c r="A2430" s="12" t="s">
        <v>13428</v>
      </c>
      <c r="B2430" s="12" t="s">
        <v>13429</v>
      </c>
      <c r="C2430" s="19" t="s">
        <v>36</v>
      </c>
      <c r="D2430" s="19" t="s">
        <v>36</v>
      </c>
      <c r="E2430" s="19">
        <v>2</v>
      </c>
      <c r="F2430" s="19">
        <v>3</v>
      </c>
      <c r="G2430" s="15" t="s">
        <v>326</v>
      </c>
      <c r="H2430" s="14">
        <v>12.5</v>
      </c>
      <c r="I2430" s="18">
        <v>8.26</v>
      </c>
      <c r="J2430" s="12" t="s">
        <v>521</v>
      </c>
      <c r="K2430" s="13" t="s">
        <v>36</v>
      </c>
      <c r="L2430" s="15" t="s">
        <v>36</v>
      </c>
      <c r="M2430" s="12" t="s">
        <v>36</v>
      </c>
      <c r="N2430" s="12" t="s">
        <v>36</v>
      </c>
      <c r="O2430" s="17" t="s">
        <v>36</v>
      </c>
      <c r="P2430" s="12" t="s">
        <v>36</v>
      </c>
      <c r="Q2430" s="12" t="s">
        <v>36</v>
      </c>
      <c r="R2430" s="12" t="s">
        <v>36</v>
      </c>
      <c r="S2430" s="12" t="s">
        <v>36</v>
      </c>
      <c r="T2430" s="12" t="s">
        <v>522</v>
      </c>
      <c r="U2430" s="12" t="s">
        <v>38</v>
      </c>
      <c r="V2430" s="12" t="s">
        <v>39</v>
      </c>
      <c r="W2430" s="12" t="s">
        <v>13430</v>
      </c>
      <c r="X2430" s="16" t="s">
        <v>13431</v>
      </c>
      <c r="Y2430" s="15" t="s">
        <v>192</v>
      </c>
      <c r="Z2430" s="14">
        <v>3.06</v>
      </c>
      <c r="AA2430" s="14">
        <v>37.03</v>
      </c>
      <c r="AB2430" s="12" t="s">
        <v>43</v>
      </c>
      <c r="AC2430" s="12" t="s">
        <v>13432</v>
      </c>
      <c r="AD2430" s="13">
        <v>44614</v>
      </c>
      <c r="AE2430" s="12" t="s">
        <v>110</v>
      </c>
      <c r="AF2430" s="12" t="s">
        <v>526</v>
      </c>
      <c r="AG2430" s="12" t="s">
        <v>12667</v>
      </c>
      <c r="AH2430" s="1">
        <f>HYPERLINK("https://my.pitchbook.com?c=188931-52T","View Company Online")</f>
      </c>
    </row>
    <row r="2431">
      <c r="A2431" s="3" t="s">
        <v>13433</v>
      </c>
      <c r="B2431" s="3" t="s">
        <v>13434</v>
      </c>
      <c r="C2431" s="5" t="s">
        <v>36</v>
      </c>
      <c r="D2431" s="5" t="s">
        <v>36</v>
      </c>
      <c r="E2431" s="5" t="s">
        <v>36</v>
      </c>
      <c r="F2431" s="5" t="s">
        <v>36</v>
      </c>
      <c r="G2431" s="6" t="s">
        <v>36</v>
      </c>
      <c r="H2431" s="4">
        <v>380.89</v>
      </c>
      <c r="I2431" s="7">
        <v>20.06</v>
      </c>
      <c r="J2431" s="3" t="s">
        <v>521</v>
      </c>
      <c r="K2431" s="9" t="s">
        <v>36</v>
      </c>
      <c r="L2431" s="6" t="s">
        <v>36</v>
      </c>
      <c r="M2431" s="3" t="s">
        <v>36</v>
      </c>
      <c r="N2431" s="3" t="s">
        <v>36</v>
      </c>
      <c r="O2431" s="8" t="s">
        <v>36</v>
      </c>
      <c r="P2431" s="3" t="s">
        <v>36</v>
      </c>
      <c r="Q2431" s="3" t="s">
        <v>36</v>
      </c>
      <c r="R2431" s="3" t="s">
        <v>36</v>
      </c>
      <c r="S2431" s="3" t="s">
        <v>36</v>
      </c>
      <c r="T2431" s="3" t="s">
        <v>2308</v>
      </c>
      <c r="U2431" s="3" t="s">
        <v>38</v>
      </c>
      <c r="V2431" s="3" t="s">
        <v>39</v>
      </c>
      <c r="W2431" s="3" t="s">
        <v>13435</v>
      </c>
      <c r="X2431" s="10" t="s">
        <v>13436</v>
      </c>
      <c r="Y2431" s="6" t="s">
        <v>42</v>
      </c>
      <c r="Z2431" s="4">
        <v>0.68</v>
      </c>
      <c r="AA2431" s="4">
        <v>1.7</v>
      </c>
      <c r="AB2431" s="3" t="s">
        <v>43</v>
      </c>
      <c r="AC2431" s="3" t="s">
        <v>13437</v>
      </c>
      <c r="AD2431" s="9">
        <v>44614</v>
      </c>
      <c r="AE2431" s="3" t="s">
        <v>45</v>
      </c>
      <c r="AF2431" s="3" t="s">
        <v>5816</v>
      </c>
      <c r="AG2431" s="3" t="s">
        <v>186</v>
      </c>
      <c r="AH2431" s="11">
        <f>HYPERLINK("https://my.pitchbook.com?c=190037-62T","View Company Online")</f>
      </c>
    </row>
    <row r="2432">
      <c r="A2432" s="12" t="s">
        <v>13438</v>
      </c>
      <c r="B2432" s="12" t="s">
        <v>13439</v>
      </c>
      <c r="C2432" s="19" t="s">
        <v>36</v>
      </c>
      <c r="D2432" s="19" t="s">
        <v>36</v>
      </c>
      <c r="E2432" s="19" t="s">
        <v>36</v>
      </c>
      <c r="F2432" s="19" t="s">
        <v>36</v>
      </c>
      <c r="G2432" s="15" t="s">
        <v>36</v>
      </c>
      <c r="H2432" s="14" t="s">
        <v>36</v>
      </c>
      <c r="I2432" s="18" t="s">
        <v>36</v>
      </c>
      <c r="J2432" s="12" t="s">
        <v>36</v>
      </c>
      <c r="K2432" s="13" t="s">
        <v>36</v>
      </c>
      <c r="L2432" s="15" t="s">
        <v>94</v>
      </c>
      <c r="M2432" s="12" t="s">
        <v>36</v>
      </c>
      <c r="N2432" s="12" t="s">
        <v>94</v>
      </c>
      <c r="O2432" s="17" t="s">
        <v>36</v>
      </c>
      <c r="P2432" s="12" t="s">
        <v>36</v>
      </c>
      <c r="Q2432" s="12" t="s">
        <v>36</v>
      </c>
      <c r="R2432" s="12" t="s">
        <v>36</v>
      </c>
      <c r="S2432" s="12" t="s">
        <v>36</v>
      </c>
      <c r="T2432" s="12" t="s">
        <v>522</v>
      </c>
      <c r="U2432" s="12" t="s">
        <v>38</v>
      </c>
      <c r="V2432" s="12" t="s">
        <v>39</v>
      </c>
      <c r="W2432" s="12" t="s">
        <v>13440</v>
      </c>
      <c r="X2432" s="16" t="s">
        <v>13441</v>
      </c>
      <c r="Y2432" s="15" t="s">
        <v>55</v>
      </c>
      <c r="Z2432" s="14">
        <v>4.53</v>
      </c>
      <c r="AA2432" s="14" t="s">
        <v>36</v>
      </c>
      <c r="AB2432" s="12" t="s">
        <v>56</v>
      </c>
      <c r="AC2432" s="12" t="s">
        <v>13442</v>
      </c>
      <c r="AD2432" s="13">
        <v>44613</v>
      </c>
      <c r="AE2432" s="12" t="s">
        <v>110</v>
      </c>
      <c r="AF2432" s="12" t="s">
        <v>7844</v>
      </c>
      <c r="AG2432" s="12" t="s">
        <v>81</v>
      </c>
      <c r="AH2432" s="1">
        <f>HYPERLINK("https://my.pitchbook.com?c=187666-57T","View Company Online")</f>
      </c>
    </row>
    <row r="2433">
      <c r="A2433" s="3" t="s">
        <v>13443</v>
      </c>
      <c r="B2433" s="3" t="s">
        <v>11206</v>
      </c>
      <c r="C2433" s="5" t="s">
        <v>36</v>
      </c>
      <c r="D2433" s="5" t="s">
        <v>36</v>
      </c>
      <c r="E2433" s="5" t="s">
        <v>36</v>
      </c>
      <c r="F2433" s="5" t="s">
        <v>36</v>
      </c>
      <c r="G2433" s="6" t="s">
        <v>36</v>
      </c>
      <c r="H2433" s="4" t="s">
        <v>36</v>
      </c>
      <c r="I2433" s="7" t="s">
        <v>36</v>
      </c>
      <c r="J2433" s="3" t="s">
        <v>36</v>
      </c>
      <c r="K2433" s="9" t="s">
        <v>36</v>
      </c>
      <c r="L2433" s="6" t="s">
        <v>36</v>
      </c>
      <c r="M2433" s="3" t="s">
        <v>36</v>
      </c>
      <c r="N2433" s="3" t="s">
        <v>36</v>
      </c>
      <c r="O2433" s="8" t="s">
        <v>36</v>
      </c>
      <c r="P2433" s="3" t="s">
        <v>36</v>
      </c>
      <c r="Q2433" s="3" t="s">
        <v>36</v>
      </c>
      <c r="R2433" s="3" t="s">
        <v>36</v>
      </c>
      <c r="S2433" s="3" t="s">
        <v>36</v>
      </c>
      <c r="T2433" s="3" t="s">
        <v>11207</v>
      </c>
      <c r="U2433" s="3" t="s">
        <v>648</v>
      </c>
      <c r="V2433" s="3" t="s">
        <v>64</v>
      </c>
      <c r="W2433" s="3" t="s">
        <v>11208</v>
      </c>
      <c r="X2433" s="10" t="s">
        <v>13444</v>
      </c>
      <c r="Y2433" s="6" t="s">
        <v>108</v>
      </c>
      <c r="Z2433" s="4">
        <v>16.68</v>
      </c>
      <c r="AA2433" s="4" t="s">
        <v>36</v>
      </c>
      <c r="AB2433" s="3" t="s">
        <v>43</v>
      </c>
      <c r="AC2433" s="3" t="s">
        <v>11210</v>
      </c>
      <c r="AD2433" s="9">
        <v>44612</v>
      </c>
      <c r="AE2433" s="3" t="s">
        <v>1897</v>
      </c>
      <c r="AF2433" s="3" t="s">
        <v>1115</v>
      </c>
      <c r="AG2433" s="3" t="s">
        <v>81</v>
      </c>
      <c r="AH2433" s="11">
        <f>HYPERLINK("https://my.pitchbook.com?c=190175-68T","View Company Online")</f>
      </c>
    </row>
    <row r="2434">
      <c r="A2434" s="12" t="s">
        <v>13445</v>
      </c>
      <c r="B2434" s="12" t="s">
        <v>13446</v>
      </c>
      <c r="C2434" s="19" t="s">
        <v>36</v>
      </c>
      <c r="D2434" s="19" t="s">
        <v>36</v>
      </c>
      <c r="E2434" s="19" t="s">
        <v>36</v>
      </c>
      <c r="F2434" s="19" t="s">
        <v>36</v>
      </c>
      <c r="G2434" s="15" t="s">
        <v>36</v>
      </c>
      <c r="H2434" s="14">
        <v>830.85</v>
      </c>
      <c r="I2434" s="18">
        <v>20.58</v>
      </c>
      <c r="J2434" s="12" t="s">
        <v>521</v>
      </c>
      <c r="K2434" s="13">
        <v>44197</v>
      </c>
      <c r="L2434" s="15" t="s">
        <v>36</v>
      </c>
      <c r="M2434" s="12" t="s">
        <v>36</v>
      </c>
      <c r="N2434" s="12" t="s">
        <v>36</v>
      </c>
      <c r="O2434" s="17" t="s">
        <v>36</v>
      </c>
      <c r="P2434" s="12" t="s">
        <v>36</v>
      </c>
      <c r="Q2434" s="12" t="s">
        <v>36</v>
      </c>
      <c r="R2434" s="12" t="s">
        <v>36</v>
      </c>
      <c r="S2434" s="12" t="s">
        <v>2314</v>
      </c>
      <c r="T2434" s="12" t="s">
        <v>13447</v>
      </c>
      <c r="U2434" s="12" t="s">
        <v>74</v>
      </c>
      <c r="V2434" s="12" t="s">
        <v>75</v>
      </c>
      <c r="W2434" s="12" t="s">
        <v>13448</v>
      </c>
      <c r="X2434" s="16" t="s">
        <v>13449</v>
      </c>
      <c r="Y2434" s="15" t="s">
        <v>42</v>
      </c>
      <c r="Z2434" s="14">
        <v>1.36</v>
      </c>
      <c r="AA2434" s="14">
        <v>3.99</v>
      </c>
      <c r="AB2434" s="12" t="s">
        <v>43</v>
      </c>
      <c r="AC2434" s="12" t="s">
        <v>13450</v>
      </c>
      <c r="AD2434" s="13">
        <v>44610</v>
      </c>
      <c r="AE2434" s="12" t="s">
        <v>79</v>
      </c>
      <c r="AF2434" s="12" t="s">
        <v>36</v>
      </c>
      <c r="AG2434" s="12" t="s">
        <v>81</v>
      </c>
      <c r="AH2434" s="1">
        <f>HYPERLINK("https://my.pitchbook.com?c=188804-26T","View Company Online")</f>
      </c>
    </row>
    <row r="2435">
      <c r="A2435" s="3" t="s">
        <v>13451</v>
      </c>
      <c r="B2435" s="3" t="s">
        <v>13452</v>
      </c>
      <c r="C2435" s="5" t="s">
        <v>36</v>
      </c>
      <c r="D2435" s="5" t="s">
        <v>36</v>
      </c>
      <c r="E2435" s="5" t="s">
        <v>36</v>
      </c>
      <c r="F2435" s="5" t="s">
        <v>36</v>
      </c>
      <c r="G2435" s="6" t="s">
        <v>36</v>
      </c>
      <c r="H2435" s="4">
        <v>37.39</v>
      </c>
      <c r="I2435" s="7">
        <v>28.57</v>
      </c>
      <c r="J2435" s="3" t="s">
        <v>521</v>
      </c>
      <c r="K2435" s="9" t="s">
        <v>36</v>
      </c>
      <c r="L2435" s="6" t="s">
        <v>36</v>
      </c>
      <c r="M2435" s="3" t="s">
        <v>36</v>
      </c>
      <c r="N2435" s="3" t="s">
        <v>36</v>
      </c>
      <c r="O2435" s="8" t="s">
        <v>36</v>
      </c>
      <c r="P2435" s="3" t="s">
        <v>36</v>
      </c>
      <c r="Q2435" s="3" t="s">
        <v>36</v>
      </c>
      <c r="R2435" s="3" t="s">
        <v>36</v>
      </c>
      <c r="S2435" s="3" t="s">
        <v>36</v>
      </c>
      <c r="T2435" s="3" t="s">
        <v>6614</v>
      </c>
      <c r="U2435" s="3" t="s">
        <v>279</v>
      </c>
      <c r="V2435" s="3" t="s">
        <v>64</v>
      </c>
      <c r="W2435" s="3" t="s">
        <v>13453</v>
      </c>
      <c r="X2435" s="10" t="s">
        <v>13454</v>
      </c>
      <c r="Y2435" s="6" t="s">
        <v>42</v>
      </c>
      <c r="Z2435" s="4">
        <v>0.41</v>
      </c>
      <c r="AA2435" s="4">
        <v>1.43</v>
      </c>
      <c r="AB2435" s="3" t="s">
        <v>43</v>
      </c>
      <c r="AC2435" s="3" t="s">
        <v>13455</v>
      </c>
      <c r="AD2435" s="9">
        <v>44610</v>
      </c>
      <c r="AE2435" s="3" t="s">
        <v>740</v>
      </c>
      <c r="AF2435" s="3" t="s">
        <v>4674</v>
      </c>
      <c r="AG2435" s="3" t="s">
        <v>741</v>
      </c>
      <c r="AH2435" s="11">
        <f>HYPERLINK("https://my.pitchbook.com?c=189443-89T","View Company Online")</f>
      </c>
    </row>
    <row r="2436">
      <c r="A2436" s="12" t="s">
        <v>13456</v>
      </c>
      <c r="B2436" s="12" t="s">
        <v>9078</v>
      </c>
      <c r="C2436" s="19">
        <v>5</v>
      </c>
      <c r="D2436" s="19">
        <v>26</v>
      </c>
      <c r="E2436" s="19">
        <v>9</v>
      </c>
      <c r="F2436" s="19">
        <v>36</v>
      </c>
      <c r="G2436" s="15" t="s">
        <v>683</v>
      </c>
      <c r="H2436" s="14">
        <v>627.47</v>
      </c>
      <c r="I2436" s="18">
        <v>18.32</v>
      </c>
      <c r="J2436" s="12" t="s">
        <v>521</v>
      </c>
      <c r="K2436" s="13" t="s">
        <v>36</v>
      </c>
      <c r="L2436" s="15" t="s">
        <v>36</v>
      </c>
      <c r="M2436" s="12" t="s">
        <v>36</v>
      </c>
      <c r="N2436" s="12" t="s">
        <v>36</v>
      </c>
      <c r="O2436" s="17" t="s">
        <v>36</v>
      </c>
      <c r="P2436" s="12" t="s">
        <v>36</v>
      </c>
      <c r="Q2436" s="12" t="s">
        <v>36</v>
      </c>
      <c r="R2436" s="12" t="s">
        <v>36</v>
      </c>
      <c r="S2436" s="12" t="s">
        <v>6657</v>
      </c>
      <c r="T2436" s="12" t="s">
        <v>9079</v>
      </c>
      <c r="U2436" s="12" t="s">
        <v>366</v>
      </c>
      <c r="V2436" s="12" t="s">
        <v>367</v>
      </c>
      <c r="W2436" s="12" t="s">
        <v>9080</v>
      </c>
      <c r="X2436" s="16" t="s">
        <v>8529</v>
      </c>
      <c r="Y2436" s="15" t="s">
        <v>321</v>
      </c>
      <c r="Z2436" s="14">
        <v>8.26</v>
      </c>
      <c r="AA2436" s="14">
        <v>45.07</v>
      </c>
      <c r="AB2436" s="12" t="s">
        <v>56</v>
      </c>
      <c r="AC2436" s="12" t="s">
        <v>9081</v>
      </c>
      <c r="AD2436" s="13">
        <v>44610</v>
      </c>
      <c r="AE2436" s="12" t="s">
        <v>600</v>
      </c>
      <c r="AF2436" s="12" t="s">
        <v>9082</v>
      </c>
      <c r="AG2436" s="12" t="s">
        <v>9083</v>
      </c>
      <c r="AH2436" s="1">
        <f>HYPERLINK("https://my.pitchbook.com?c=190174-24T","View Company Online")</f>
      </c>
    </row>
    <row r="2437">
      <c r="A2437" s="3" t="s">
        <v>13457</v>
      </c>
      <c r="B2437" s="3" t="s">
        <v>13458</v>
      </c>
      <c r="C2437" s="5" t="s">
        <v>36</v>
      </c>
      <c r="D2437" s="5" t="s">
        <v>36</v>
      </c>
      <c r="E2437" s="5" t="s">
        <v>36</v>
      </c>
      <c r="F2437" s="5" t="s">
        <v>36</v>
      </c>
      <c r="G2437" s="6" t="s">
        <v>36</v>
      </c>
      <c r="H2437" s="4" t="s">
        <v>36</v>
      </c>
      <c r="I2437" s="7" t="s">
        <v>36</v>
      </c>
      <c r="J2437" s="3" t="s">
        <v>521</v>
      </c>
      <c r="K2437" s="9" t="s">
        <v>36</v>
      </c>
      <c r="L2437" s="6" t="s">
        <v>36</v>
      </c>
      <c r="M2437" s="3" t="s">
        <v>36</v>
      </c>
      <c r="N2437" s="3" t="s">
        <v>36</v>
      </c>
      <c r="O2437" s="8" t="s">
        <v>36</v>
      </c>
      <c r="P2437" s="3" t="s">
        <v>36</v>
      </c>
      <c r="Q2437" s="3" t="s">
        <v>36</v>
      </c>
      <c r="R2437" s="3" t="s">
        <v>36</v>
      </c>
      <c r="S2437" s="3" t="s">
        <v>36</v>
      </c>
      <c r="T2437" s="3" t="s">
        <v>13459</v>
      </c>
      <c r="U2437" s="3" t="s">
        <v>51</v>
      </c>
      <c r="V2437" s="3" t="s">
        <v>52</v>
      </c>
      <c r="W2437" s="3" t="s">
        <v>13460</v>
      </c>
      <c r="X2437" s="10" t="s">
        <v>13461</v>
      </c>
      <c r="Y2437" s="6" t="s">
        <v>55</v>
      </c>
      <c r="Z2437" s="4" t="s">
        <v>36</v>
      </c>
      <c r="AA2437" s="4">
        <v>45</v>
      </c>
      <c r="AB2437" s="3" t="s">
        <v>56</v>
      </c>
      <c r="AC2437" s="3" t="s">
        <v>13462</v>
      </c>
      <c r="AD2437" s="9">
        <v>44610</v>
      </c>
      <c r="AE2437" s="3" t="s">
        <v>158</v>
      </c>
      <c r="AF2437" s="3" t="s">
        <v>665</v>
      </c>
      <c r="AG2437" s="3" t="s">
        <v>9713</v>
      </c>
      <c r="AH2437" s="11">
        <f>HYPERLINK("https://my.pitchbook.com?c=189759-97T","View Company Online")</f>
      </c>
    </row>
    <row r="2438">
      <c r="A2438" s="12" t="s">
        <v>13463</v>
      </c>
      <c r="B2438" s="12" t="s">
        <v>13464</v>
      </c>
      <c r="C2438" s="19">
        <v>2</v>
      </c>
      <c r="D2438" s="19">
        <v>8</v>
      </c>
      <c r="E2438" s="19">
        <v>1</v>
      </c>
      <c r="F2438" s="19">
        <v>10</v>
      </c>
      <c r="G2438" s="15" t="s">
        <v>326</v>
      </c>
      <c r="H2438" s="14">
        <v>18.38</v>
      </c>
      <c r="I2438" s="18">
        <v>19.39</v>
      </c>
      <c r="J2438" s="12" t="s">
        <v>521</v>
      </c>
      <c r="K2438" s="13" t="s">
        <v>36</v>
      </c>
      <c r="L2438" s="15" t="s">
        <v>36</v>
      </c>
      <c r="M2438" s="12" t="s">
        <v>36</v>
      </c>
      <c r="N2438" s="12" t="s">
        <v>36</v>
      </c>
      <c r="O2438" s="17" t="s">
        <v>36</v>
      </c>
      <c r="P2438" s="12" t="s">
        <v>36</v>
      </c>
      <c r="Q2438" s="12" t="s">
        <v>36</v>
      </c>
      <c r="R2438" s="12" t="s">
        <v>36</v>
      </c>
      <c r="S2438" s="12" t="s">
        <v>36</v>
      </c>
      <c r="T2438" s="12" t="s">
        <v>13465</v>
      </c>
      <c r="U2438" s="12" t="s">
        <v>318</v>
      </c>
      <c r="V2438" s="12" t="s">
        <v>39</v>
      </c>
      <c r="W2438" s="12" t="s">
        <v>13466</v>
      </c>
      <c r="X2438" s="16" t="s">
        <v>13467</v>
      </c>
      <c r="Y2438" s="15" t="s">
        <v>42</v>
      </c>
      <c r="Z2438" s="14">
        <v>0.91</v>
      </c>
      <c r="AA2438" s="14">
        <v>3.38</v>
      </c>
      <c r="AB2438" s="12" t="s">
        <v>43</v>
      </c>
      <c r="AC2438" s="12" t="s">
        <v>13468</v>
      </c>
      <c r="AD2438" s="13">
        <v>44609</v>
      </c>
      <c r="AE2438" s="12" t="s">
        <v>417</v>
      </c>
      <c r="AF2438" s="12" t="s">
        <v>592</v>
      </c>
      <c r="AG2438" s="12" t="s">
        <v>81</v>
      </c>
      <c r="AH2438" s="1">
        <f>HYPERLINK("https://my.pitchbook.com?c=188775-37T","View Company Online")</f>
      </c>
    </row>
    <row r="2439">
      <c r="A2439" s="3" t="s">
        <v>13469</v>
      </c>
      <c r="B2439" s="3" t="s">
        <v>13470</v>
      </c>
      <c r="C2439" s="5" t="s">
        <v>36</v>
      </c>
      <c r="D2439" s="5" t="s">
        <v>36</v>
      </c>
      <c r="E2439" s="5" t="s">
        <v>36</v>
      </c>
      <c r="F2439" s="5" t="s">
        <v>36</v>
      </c>
      <c r="G2439" s="6" t="s">
        <v>36</v>
      </c>
      <c r="H2439" s="4" t="s">
        <v>36</v>
      </c>
      <c r="I2439" s="7" t="s">
        <v>36</v>
      </c>
      <c r="J2439" s="3" t="s">
        <v>36</v>
      </c>
      <c r="K2439" s="9" t="s">
        <v>36</v>
      </c>
      <c r="L2439" s="6" t="s">
        <v>36</v>
      </c>
      <c r="M2439" s="3" t="s">
        <v>36</v>
      </c>
      <c r="N2439" s="3" t="s">
        <v>36</v>
      </c>
      <c r="O2439" s="8" t="s">
        <v>36</v>
      </c>
      <c r="P2439" s="3" t="s">
        <v>36</v>
      </c>
      <c r="Q2439" s="3" t="s">
        <v>36</v>
      </c>
      <c r="R2439" s="3" t="s">
        <v>36</v>
      </c>
      <c r="S2439" s="3" t="s">
        <v>36</v>
      </c>
      <c r="T2439" s="3" t="s">
        <v>2653</v>
      </c>
      <c r="U2439" s="3" t="s">
        <v>74</v>
      </c>
      <c r="V2439" s="3" t="s">
        <v>75</v>
      </c>
      <c r="W2439" s="3" t="s">
        <v>13471</v>
      </c>
      <c r="X2439" s="10" t="s">
        <v>13472</v>
      </c>
      <c r="Y2439" s="6" t="s">
        <v>42</v>
      </c>
      <c r="Z2439" s="4" t="s">
        <v>36</v>
      </c>
      <c r="AA2439" s="4" t="s">
        <v>36</v>
      </c>
      <c r="AB2439" s="3" t="s">
        <v>43</v>
      </c>
      <c r="AC2439" s="3" t="s">
        <v>13473</v>
      </c>
      <c r="AD2439" s="9">
        <v>44608</v>
      </c>
      <c r="AE2439" s="3" t="s">
        <v>696</v>
      </c>
      <c r="AF2439" s="3" t="s">
        <v>4200</v>
      </c>
      <c r="AG2439" s="3" t="s">
        <v>81</v>
      </c>
      <c r="AH2439" s="11">
        <f>HYPERLINK("https://my.pitchbook.com?c=267962-50T","View Company Online")</f>
      </c>
    </row>
    <row r="2440">
      <c r="A2440" s="12" t="s">
        <v>13474</v>
      </c>
      <c r="B2440" s="12" t="s">
        <v>13475</v>
      </c>
      <c r="C2440" s="19" t="s">
        <v>36</v>
      </c>
      <c r="D2440" s="19" t="s">
        <v>36</v>
      </c>
      <c r="E2440" s="19" t="s">
        <v>36</v>
      </c>
      <c r="F2440" s="19" t="s">
        <v>36</v>
      </c>
      <c r="G2440" s="15" t="s">
        <v>36</v>
      </c>
      <c r="H2440" s="14" t="s">
        <v>36</v>
      </c>
      <c r="I2440" s="18" t="s">
        <v>36</v>
      </c>
      <c r="J2440" s="12" t="s">
        <v>36</v>
      </c>
      <c r="K2440" s="13" t="s">
        <v>36</v>
      </c>
      <c r="L2440" s="15" t="s">
        <v>36</v>
      </c>
      <c r="M2440" s="12" t="s">
        <v>36</v>
      </c>
      <c r="N2440" s="12" t="s">
        <v>36</v>
      </c>
      <c r="O2440" s="17" t="s">
        <v>36</v>
      </c>
      <c r="P2440" s="12" t="s">
        <v>36</v>
      </c>
      <c r="Q2440" s="12" t="s">
        <v>36</v>
      </c>
      <c r="R2440" s="12" t="s">
        <v>36</v>
      </c>
      <c r="S2440" s="12" t="s">
        <v>36</v>
      </c>
      <c r="T2440" s="12" t="s">
        <v>13476</v>
      </c>
      <c r="U2440" s="12" t="s">
        <v>648</v>
      </c>
      <c r="V2440" s="12" t="s">
        <v>64</v>
      </c>
      <c r="W2440" s="12" t="s">
        <v>13477</v>
      </c>
      <c r="X2440" s="16" t="s">
        <v>13478</v>
      </c>
      <c r="Y2440" s="15" t="s">
        <v>192</v>
      </c>
      <c r="Z2440" s="14" t="s">
        <v>36</v>
      </c>
      <c r="AA2440" s="14" t="s">
        <v>36</v>
      </c>
      <c r="AB2440" s="12" t="s">
        <v>56</v>
      </c>
      <c r="AC2440" s="12" t="s">
        <v>13479</v>
      </c>
      <c r="AD2440" s="13">
        <v>44608</v>
      </c>
      <c r="AE2440" s="12" t="s">
        <v>651</v>
      </c>
      <c r="AF2440" s="12" t="s">
        <v>36</v>
      </c>
      <c r="AG2440" s="12" t="s">
        <v>81</v>
      </c>
      <c r="AH2440" s="1">
        <f>HYPERLINK("https://my.pitchbook.com?c=192985-39T","View Company Online")</f>
      </c>
    </row>
    <row r="2441">
      <c r="A2441" s="3" t="s">
        <v>13480</v>
      </c>
      <c r="B2441" s="3" t="s">
        <v>13481</v>
      </c>
      <c r="C2441" s="5" t="s">
        <v>36</v>
      </c>
      <c r="D2441" s="5">
        <v>1</v>
      </c>
      <c r="E2441" s="5">
        <v>1</v>
      </c>
      <c r="F2441" s="5">
        <v>4</v>
      </c>
      <c r="G2441" s="6" t="s">
        <v>2497</v>
      </c>
      <c r="H2441" s="4">
        <v>69.91</v>
      </c>
      <c r="I2441" s="7">
        <v>34.33</v>
      </c>
      <c r="J2441" s="3" t="s">
        <v>521</v>
      </c>
      <c r="K2441" s="9" t="s">
        <v>36</v>
      </c>
      <c r="L2441" s="6" t="s">
        <v>3736</v>
      </c>
      <c r="M2441" s="3" t="s">
        <v>36</v>
      </c>
      <c r="N2441" s="3" t="s">
        <v>3736</v>
      </c>
      <c r="O2441" s="8" t="s">
        <v>36</v>
      </c>
      <c r="P2441" s="3" t="s">
        <v>36</v>
      </c>
      <c r="Q2441" s="3" t="s">
        <v>36</v>
      </c>
      <c r="R2441" s="3" t="s">
        <v>36</v>
      </c>
      <c r="S2441" s="3" t="s">
        <v>36</v>
      </c>
      <c r="T2441" s="3" t="s">
        <v>13482</v>
      </c>
      <c r="U2441" s="3" t="s">
        <v>38</v>
      </c>
      <c r="V2441" s="3" t="s">
        <v>39</v>
      </c>
      <c r="W2441" s="3" t="s">
        <v>13483</v>
      </c>
      <c r="X2441" s="10" t="s">
        <v>13484</v>
      </c>
      <c r="Y2441" s="6" t="s">
        <v>166</v>
      </c>
      <c r="Z2441" s="4">
        <v>23.79</v>
      </c>
      <c r="AA2441" s="4">
        <v>69.3</v>
      </c>
      <c r="AB2441" s="3" t="s">
        <v>56</v>
      </c>
      <c r="AC2441" s="3" t="s">
        <v>13485</v>
      </c>
      <c r="AD2441" s="9">
        <v>44607</v>
      </c>
      <c r="AE2441" s="3" t="s">
        <v>110</v>
      </c>
      <c r="AF2441" s="3" t="s">
        <v>176</v>
      </c>
      <c r="AG2441" s="3" t="s">
        <v>81</v>
      </c>
      <c r="AH2441" s="11">
        <f>HYPERLINK("https://my.pitchbook.com?c=184946-41T","View Company Online")</f>
      </c>
    </row>
    <row r="2442">
      <c r="A2442" s="12" t="s">
        <v>13486</v>
      </c>
      <c r="B2442" s="12" t="s">
        <v>13487</v>
      </c>
      <c r="C2442" s="19" t="s">
        <v>36</v>
      </c>
      <c r="D2442" s="19" t="s">
        <v>36</v>
      </c>
      <c r="E2442" s="19" t="s">
        <v>36</v>
      </c>
      <c r="F2442" s="19" t="s">
        <v>36</v>
      </c>
      <c r="G2442" s="15" t="s">
        <v>326</v>
      </c>
      <c r="H2442" s="14">
        <v>1169.96</v>
      </c>
      <c r="I2442" s="18">
        <v>14.26</v>
      </c>
      <c r="J2442" s="12" t="s">
        <v>521</v>
      </c>
      <c r="K2442" s="13" t="s">
        <v>36</v>
      </c>
      <c r="L2442" s="15" t="s">
        <v>36</v>
      </c>
      <c r="M2442" s="12" t="s">
        <v>36</v>
      </c>
      <c r="N2442" s="12" t="s">
        <v>36</v>
      </c>
      <c r="O2442" s="17" t="s">
        <v>36</v>
      </c>
      <c r="P2442" s="12" t="s">
        <v>36</v>
      </c>
      <c r="Q2442" s="12" t="s">
        <v>36</v>
      </c>
      <c r="R2442" s="12" t="s">
        <v>36</v>
      </c>
      <c r="S2442" s="12" t="s">
        <v>36</v>
      </c>
      <c r="T2442" s="12" t="s">
        <v>422</v>
      </c>
      <c r="U2442" s="12" t="s">
        <v>423</v>
      </c>
      <c r="V2442" s="12" t="s">
        <v>64</v>
      </c>
      <c r="W2442" s="12" t="s">
        <v>13488</v>
      </c>
      <c r="X2442" s="16" t="s">
        <v>8760</v>
      </c>
      <c r="Y2442" s="15" t="s">
        <v>55</v>
      </c>
      <c r="Z2442" s="14">
        <v>2.4</v>
      </c>
      <c r="AA2442" s="14">
        <v>16.84</v>
      </c>
      <c r="AB2442" s="12" t="s">
        <v>56</v>
      </c>
      <c r="AC2442" s="12" t="s">
        <v>13489</v>
      </c>
      <c r="AD2442" s="13">
        <v>44607</v>
      </c>
      <c r="AE2442" s="12" t="s">
        <v>427</v>
      </c>
      <c r="AF2442" s="12" t="s">
        <v>90</v>
      </c>
      <c r="AG2442" s="12" t="s">
        <v>81</v>
      </c>
      <c r="AH2442" s="1">
        <f>HYPERLINK("https://my.pitchbook.com?c=190075-42T","View Company Online")</f>
      </c>
    </row>
    <row r="2443">
      <c r="A2443" s="3" t="s">
        <v>13490</v>
      </c>
      <c r="B2443" s="3" t="s">
        <v>13491</v>
      </c>
      <c r="C2443" s="5" t="s">
        <v>36</v>
      </c>
      <c r="D2443" s="5" t="s">
        <v>36</v>
      </c>
      <c r="E2443" s="5" t="s">
        <v>36</v>
      </c>
      <c r="F2443" s="5" t="s">
        <v>36</v>
      </c>
      <c r="G2443" s="6" t="s">
        <v>326</v>
      </c>
      <c r="H2443" s="4">
        <v>238.66</v>
      </c>
      <c r="I2443" s="7">
        <v>13.79</v>
      </c>
      <c r="J2443" s="3" t="s">
        <v>521</v>
      </c>
      <c r="K2443" s="9" t="s">
        <v>36</v>
      </c>
      <c r="L2443" s="6" t="s">
        <v>94</v>
      </c>
      <c r="M2443" s="3" t="s">
        <v>36</v>
      </c>
      <c r="N2443" s="3" t="s">
        <v>94</v>
      </c>
      <c r="O2443" s="8" t="s">
        <v>36</v>
      </c>
      <c r="P2443" s="3" t="s">
        <v>36</v>
      </c>
      <c r="Q2443" s="3" t="s">
        <v>36</v>
      </c>
      <c r="R2443" s="3" t="s">
        <v>36</v>
      </c>
      <c r="S2443" s="3" t="s">
        <v>36</v>
      </c>
      <c r="T2443" s="3" t="s">
        <v>3545</v>
      </c>
      <c r="U2443" s="3" t="s">
        <v>38</v>
      </c>
      <c r="V2443" s="3" t="s">
        <v>39</v>
      </c>
      <c r="W2443" s="3" t="s">
        <v>13492</v>
      </c>
      <c r="X2443" s="10" t="s">
        <v>13493</v>
      </c>
      <c r="Y2443" s="6" t="s">
        <v>55</v>
      </c>
      <c r="Z2443" s="4">
        <v>53.25</v>
      </c>
      <c r="AA2443" s="4">
        <v>386.17</v>
      </c>
      <c r="AB2443" s="3" t="s">
        <v>56</v>
      </c>
      <c r="AC2443" s="3" t="s">
        <v>13494</v>
      </c>
      <c r="AD2443" s="9">
        <v>44607</v>
      </c>
      <c r="AE2443" s="3" t="s">
        <v>1945</v>
      </c>
      <c r="AF2443" s="3" t="s">
        <v>1401</v>
      </c>
      <c r="AG2443" s="3" t="s">
        <v>81</v>
      </c>
      <c r="AH2443" s="11">
        <f>HYPERLINK("https://my.pitchbook.com?c=188531-20T","View Company Online")</f>
      </c>
    </row>
    <row r="2444">
      <c r="A2444" s="12" t="s">
        <v>13495</v>
      </c>
      <c r="B2444" s="12" t="s">
        <v>2904</v>
      </c>
      <c r="C2444" s="19" t="s">
        <v>36</v>
      </c>
      <c r="D2444" s="19" t="s">
        <v>36</v>
      </c>
      <c r="E2444" s="19" t="s">
        <v>36</v>
      </c>
      <c r="F2444" s="19" t="s">
        <v>36</v>
      </c>
      <c r="G2444" s="15" t="s">
        <v>36</v>
      </c>
      <c r="H2444" s="14">
        <v>5.19</v>
      </c>
      <c r="I2444" s="18">
        <v>25.28</v>
      </c>
      <c r="J2444" s="12" t="s">
        <v>521</v>
      </c>
      <c r="K2444" s="13" t="s">
        <v>36</v>
      </c>
      <c r="L2444" s="15" t="s">
        <v>36</v>
      </c>
      <c r="M2444" s="12" t="s">
        <v>36</v>
      </c>
      <c r="N2444" s="12" t="s">
        <v>36</v>
      </c>
      <c r="O2444" s="17" t="s">
        <v>36</v>
      </c>
      <c r="P2444" s="12" t="s">
        <v>36</v>
      </c>
      <c r="Q2444" s="12" t="s">
        <v>36</v>
      </c>
      <c r="R2444" s="12" t="s">
        <v>36</v>
      </c>
      <c r="S2444" s="12" t="s">
        <v>36</v>
      </c>
      <c r="T2444" s="12" t="s">
        <v>647</v>
      </c>
      <c r="U2444" s="12" t="s">
        <v>648</v>
      </c>
      <c r="V2444" s="12" t="s">
        <v>64</v>
      </c>
      <c r="W2444" s="12" t="s">
        <v>2905</v>
      </c>
      <c r="X2444" s="16" t="s">
        <v>13496</v>
      </c>
      <c r="Y2444" s="15" t="s">
        <v>42</v>
      </c>
      <c r="Z2444" s="14">
        <v>2.99</v>
      </c>
      <c r="AA2444" s="14">
        <v>10.52</v>
      </c>
      <c r="AB2444" s="12" t="s">
        <v>43</v>
      </c>
      <c r="AC2444" s="12" t="s">
        <v>2907</v>
      </c>
      <c r="AD2444" s="13">
        <v>44607</v>
      </c>
      <c r="AE2444" s="12" t="s">
        <v>651</v>
      </c>
      <c r="AF2444" s="12" t="s">
        <v>36</v>
      </c>
      <c r="AG2444" s="12" t="s">
        <v>81</v>
      </c>
      <c r="AH2444" s="1">
        <f>HYPERLINK("https://my.pitchbook.com?c=202007-35T","View Company Online")</f>
      </c>
    </row>
    <row r="2445">
      <c r="A2445" s="3" t="s">
        <v>13497</v>
      </c>
      <c r="B2445" s="3" t="s">
        <v>13498</v>
      </c>
      <c r="C2445" s="5">
        <v>1</v>
      </c>
      <c r="D2445" s="5">
        <v>1</v>
      </c>
      <c r="E2445" s="5">
        <v>1</v>
      </c>
      <c r="F2445" s="5">
        <v>2</v>
      </c>
      <c r="G2445" s="6" t="s">
        <v>2497</v>
      </c>
      <c r="H2445" s="4">
        <v>8.31</v>
      </c>
      <c r="I2445" s="7">
        <v>36.91</v>
      </c>
      <c r="J2445" s="3" t="s">
        <v>521</v>
      </c>
      <c r="K2445" s="9" t="s">
        <v>36</v>
      </c>
      <c r="L2445" s="6" t="s">
        <v>36</v>
      </c>
      <c r="M2445" s="3" t="s">
        <v>36</v>
      </c>
      <c r="N2445" s="3" t="s">
        <v>36</v>
      </c>
      <c r="O2445" s="8" t="s">
        <v>36</v>
      </c>
      <c r="P2445" s="3" t="s">
        <v>36</v>
      </c>
      <c r="Q2445" s="3" t="s">
        <v>36</v>
      </c>
      <c r="R2445" s="3" t="s">
        <v>36</v>
      </c>
      <c r="S2445" s="3" t="s">
        <v>36</v>
      </c>
      <c r="T2445" s="3" t="s">
        <v>2910</v>
      </c>
      <c r="U2445" s="3" t="s">
        <v>219</v>
      </c>
      <c r="V2445" s="3" t="s">
        <v>75</v>
      </c>
      <c r="W2445" s="3" t="s">
        <v>13499</v>
      </c>
      <c r="X2445" s="10" t="s">
        <v>13500</v>
      </c>
      <c r="Y2445" s="6" t="s">
        <v>42</v>
      </c>
      <c r="Z2445" s="4">
        <v>0.53</v>
      </c>
      <c r="AA2445" s="4">
        <v>1.45</v>
      </c>
      <c r="AB2445" s="3" t="s">
        <v>56</v>
      </c>
      <c r="AC2445" s="3" t="s">
        <v>13501</v>
      </c>
      <c r="AD2445" s="9">
        <v>44606</v>
      </c>
      <c r="AE2445" s="3" t="s">
        <v>2914</v>
      </c>
      <c r="AF2445" s="3" t="s">
        <v>571</v>
      </c>
      <c r="AG2445" s="3" t="s">
        <v>13502</v>
      </c>
      <c r="AH2445" s="11">
        <f>HYPERLINK("https://my.pitchbook.com?c=218884-60T","View Company Online")</f>
      </c>
    </row>
    <row r="2446">
      <c r="A2446" s="12" t="s">
        <v>13503</v>
      </c>
      <c r="B2446" s="12" t="s">
        <v>13504</v>
      </c>
      <c r="C2446" s="19" t="s">
        <v>36</v>
      </c>
      <c r="D2446" s="19" t="s">
        <v>36</v>
      </c>
      <c r="E2446" s="19" t="s">
        <v>36</v>
      </c>
      <c r="F2446" s="19" t="s">
        <v>36</v>
      </c>
      <c r="G2446" s="15" t="s">
        <v>36</v>
      </c>
      <c r="H2446" s="14" t="s">
        <v>36</v>
      </c>
      <c r="I2446" s="18">
        <v>7.86</v>
      </c>
      <c r="J2446" s="12" t="s">
        <v>521</v>
      </c>
      <c r="K2446" s="13" t="s">
        <v>36</v>
      </c>
      <c r="L2446" s="15" t="s">
        <v>122</v>
      </c>
      <c r="M2446" s="12" t="s">
        <v>36</v>
      </c>
      <c r="N2446" s="12" t="s">
        <v>122</v>
      </c>
      <c r="O2446" s="17" t="s">
        <v>36</v>
      </c>
      <c r="P2446" s="12" t="s">
        <v>36</v>
      </c>
      <c r="Q2446" s="12" t="s">
        <v>36</v>
      </c>
      <c r="R2446" s="12" t="s">
        <v>36</v>
      </c>
      <c r="S2446" s="12" t="s">
        <v>36</v>
      </c>
      <c r="T2446" s="12" t="s">
        <v>4917</v>
      </c>
      <c r="U2446" s="12" t="s">
        <v>38</v>
      </c>
      <c r="V2446" s="12" t="s">
        <v>39</v>
      </c>
      <c r="W2446" s="12" t="s">
        <v>13505</v>
      </c>
      <c r="X2446" s="16" t="s">
        <v>13506</v>
      </c>
      <c r="Y2446" s="15" t="s">
        <v>42</v>
      </c>
      <c r="Z2446" s="14">
        <v>32.01</v>
      </c>
      <c r="AA2446" s="14">
        <v>407.16</v>
      </c>
      <c r="AB2446" s="12" t="s">
        <v>56</v>
      </c>
      <c r="AC2446" s="12" t="s">
        <v>13507</v>
      </c>
      <c r="AD2446" s="13">
        <v>44606</v>
      </c>
      <c r="AE2446" s="12" t="s">
        <v>134</v>
      </c>
      <c r="AF2446" s="12" t="s">
        <v>533</v>
      </c>
      <c r="AG2446" s="12" t="s">
        <v>13508</v>
      </c>
      <c r="AH2446" s="1">
        <f>HYPERLINK("https://my.pitchbook.com?c=188391-97T","View Company Online")</f>
      </c>
    </row>
    <row r="2447">
      <c r="A2447" s="3" t="s">
        <v>13509</v>
      </c>
      <c r="B2447" s="3" t="s">
        <v>13510</v>
      </c>
      <c r="C2447" s="5" t="s">
        <v>36</v>
      </c>
      <c r="D2447" s="5" t="s">
        <v>36</v>
      </c>
      <c r="E2447" s="5" t="s">
        <v>36</v>
      </c>
      <c r="F2447" s="5" t="s">
        <v>36</v>
      </c>
      <c r="G2447" s="6" t="s">
        <v>36</v>
      </c>
      <c r="H2447" s="4" t="s">
        <v>36</v>
      </c>
      <c r="I2447" s="7">
        <v>40</v>
      </c>
      <c r="J2447" s="3" t="s">
        <v>36</v>
      </c>
      <c r="K2447" s="9" t="s">
        <v>36</v>
      </c>
      <c r="L2447" s="6" t="s">
        <v>36</v>
      </c>
      <c r="M2447" s="3" t="s">
        <v>36</v>
      </c>
      <c r="N2447" s="3" t="s">
        <v>36</v>
      </c>
      <c r="O2447" s="8" t="s">
        <v>36</v>
      </c>
      <c r="P2447" s="3" t="s">
        <v>36</v>
      </c>
      <c r="Q2447" s="3" t="s">
        <v>36</v>
      </c>
      <c r="R2447" s="3" t="s">
        <v>36</v>
      </c>
      <c r="S2447" s="3" t="s">
        <v>36</v>
      </c>
      <c r="T2447" s="3" t="s">
        <v>692</v>
      </c>
      <c r="U2447" s="3" t="s">
        <v>74</v>
      </c>
      <c r="V2447" s="3" t="s">
        <v>75</v>
      </c>
      <c r="W2447" s="3" t="s">
        <v>13511</v>
      </c>
      <c r="X2447" s="10" t="s">
        <v>13512</v>
      </c>
      <c r="Y2447" s="6" t="s">
        <v>42</v>
      </c>
      <c r="Z2447" s="4" t="s">
        <v>36</v>
      </c>
      <c r="AA2447" s="4" t="s">
        <v>36</v>
      </c>
      <c r="AB2447" s="3" t="s">
        <v>43</v>
      </c>
      <c r="AC2447" s="3" t="s">
        <v>13513</v>
      </c>
      <c r="AD2447" s="9">
        <v>44606</v>
      </c>
      <c r="AE2447" s="3" t="s">
        <v>696</v>
      </c>
      <c r="AF2447" s="3" t="s">
        <v>4284</v>
      </c>
      <c r="AG2447" s="3" t="s">
        <v>899</v>
      </c>
      <c r="AH2447" s="11">
        <f>HYPERLINK("https://my.pitchbook.com?c=188500-69T","View Company Online")</f>
      </c>
    </row>
    <row r="2448">
      <c r="A2448" s="12" t="s">
        <v>13514</v>
      </c>
      <c r="B2448" s="12" t="s">
        <v>13515</v>
      </c>
      <c r="C2448" s="19" t="s">
        <v>36</v>
      </c>
      <c r="D2448" s="19" t="s">
        <v>36</v>
      </c>
      <c r="E2448" s="19" t="s">
        <v>36</v>
      </c>
      <c r="F2448" s="19" t="s">
        <v>36</v>
      </c>
      <c r="G2448" s="15" t="s">
        <v>36</v>
      </c>
      <c r="H2448" s="14">
        <v>12462.8</v>
      </c>
      <c r="I2448" s="18">
        <v>21.57</v>
      </c>
      <c r="J2448" s="12" t="s">
        <v>521</v>
      </c>
      <c r="K2448" s="13" t="s">
        <v>36</v>
      </c>
      <c r="L2448" s="15" t="s">
        <v>36</v>
      </c>
      <c r="M2448" s="12" t="s">
        <v>36</v>
      </c>
      <c r="N2448" s="12" t="s">
        <v>36</v>
      </c>
      <c r="O2448" s="17" t="s">
        <v>36</v>
      </c>
      <c r="P2448" s="12" t="s">
        <v>36</v>
      </c>
      <c r="Q2448" s="12" t="s">
        <v>36</v>
      </c>
      <c r="R2448" s="12" t="s">
        <v>36</v>
      </c>
      <c r="S2448" s="12" t="s">
        <v>36</v>
      </c>
      <c r="T2448" s="12" t="s">
        <v>13516</v>
      </c>
      <c r="U2448" s="12" t="s">
        <v>438</v>
      </c>
      <c r="V2448" s="12" t="s">
        <v>405</v>
      </c>
      <c r="W2448" s="12" t="s">
        <v>13517</v>
      </c>
      <c r="X2448" s="16" t="s">
        <v>13518</v>
      </c>
      <c r="Y2448" s="15" t="s">
        <v>42</v>
      </c>
      <c r="Z2448" s="14">
        <v>5.67</v>
      </c>
      <c r="AA2448" s="14">
        <v>17.34</v>
      </c>
      <c r="AB2448" s="12" t="s">
        <v>56</v>
      </c>
      <c r="AC2448" s="12" t="s">
        <v>13519</v>
      </c>
      <c r="AD2448" s="13">
        <v>44606</v>
      </c>
      <c r="AE2448" s="12" t="s">
        <v>10018</v>
      </c>
      <c r="AF2448" s="12" t="s">
        <v>215</v>
      </c>
      <c r="AG2448" s="12" t="s">
        <v>2088</v>
      </c>
      <c r="AH2448" s="1">
        <f>HYPERLINK("https://my.pitchbook.com?c=188650-90T","View Company Online")</f>
      </c>
    </row>
    <row r="2449">
      <c r="A2449" s="3" t="s">
        <v>13520</v>
      </c>
      <c r="B2449" s="3" t="s">
        <v>13521</v>
      </c>
      <c r="C2449" s="5" t="s">
        <v>36</v>
      </c>
      <c r="D2449" s="5" t="s">
        <v>36</v>
      </c>
      <c r="E2449" s="5" t="s">
        <v>36</v>
      </c>
      <c r="F2449" s="5" t="s">
        <v>36</v>
      </c>
      <c r="G2449" s="6" t="s">
        <v>36</v>
      </c>
      <c r="H2449" s="4">
        <v>4.73</v>
      </c>
      <c r="I2449" s="7">
        <v>43.48</v>
      </c>
      <c r="J2449" s="3" t="s">
        <v>521</v>
      </c>
      <c r="K2449" s="9" t="s">
        <v>36</v>
      </c>
      <c r="L2449" s="6" t="s">
        <v>36</v>
      </c>
      <c r="M2449" s="3" t="s">
        <v>36</v>
      </c>
      <c r="N2449" s="3" t="s">
        <v>36</v>
      </c>
      <c r="O2449" s="8" t="s">
        <v>36</v>
      </c>
      <c r="P2449" s="3" t="s">
        <v>36</v>
      </c>
      <c r="Q2449" s="3" t="s">
        <v>36</v>
      </c>
      <c r="R2449" s="3" t="s">
        <v>36</v>
      </c>
      <c r="S2449" s="3" t="s">
        <v>36</v>
      </c>
      <c r="T2449" s="3" t="s">
        <v>13522</v>
      </c>
      <c r="U2449" s="3" t="s">
        <v>96</v>
      </c>
      <c r="V2449" s="3" t="s">
        <v>52</v>
      </c>
      <c r="W2449" s="3" t="s">
        <v>13523</v>
      </c>
      <c r="X2449" s="10" t="s">
        <v>13524</v>
      </c>
      <c r="Y2449" s="6" t="s">
        <v>42</v>
      </c>
      <c r="Z2449" s="4">
        <v>1.59</v>
      </c>
      <c r="AA2449" s="4">
        <v>3.65</v>
      </c>
      <c r="AB2449" s="3" t="s">
        <v>43</v>
      </c>
      <c r="AC2449" s="3" t="s">
        <v>13525</v>
      </c>
      <c r="AD2449" s="9">
        <v>44604</v>
      </c>
      <c r="AE2449" s="3" t="s">
        <v>496</v>
      </c>
      <c r="AF2449" s="3" t="s">
        <v>101</v>
      </c>
      <c r="AG2449" s="3" t="s">
        <v>899</v>
      </c>
      <c r="AH2449" s="11">
        <f>HYPERLINK("https://my.pitchbook.com?c=241221-88T","View Company Online")</f>
      </c>
    </row>
    <row r="2450">
      <c r="A2450" s="12" t="s">
        <v>13526</v>
      </c>
      <c r="B2450" s="12" t="s">
        <v>13527</v>
      </c>
      <c r="C2450" s="19" t="s">
        <v>36</v>
      </c>
      <c r="D2450" s="19" t="s">
        <v>36</v>
      </c>
      <c r="E2450" s="19" t="s">
        <v>36</v>
      </c>
      <c r="F2450" s="19" t="s">
        <v>36</v>
      </c>
      <c r="G2450" s="15" t="s">
        <v>36</v>
      </c>
      <c r="H2450" s="14">
        <v>54.09</v>
      </c>
      <c r="I2450" s="18">
        <v>9.09</v>
      </c>
      <c r="J2450" s="12" t="s">
        <v>521</v>
      </c>
      <c r="K2450" s="13" t="s">
        <v>36</v>
      </c>
      <c r="L2450" s="15" t="s">
        <v>36</v>
      </c>
      <c r="M2450" s="12" t="s">
        <v>36</v>
      </c>
      <c r="N2450" s="12" t="s">
        <v>36</v>
      </c>
      <c r="O2450" s="17" t="s">
        <v>36</v>
      </c>
      <c r="P2450" s="12" t="s">
        <v>36</v>
      </c>
      <c r="Q2450" s="12" t="s">
        <v>36</v>
      </c>
      <c r="R2450" s="12" t="s">
        <v>36</v>
      </c>
      <c r="S2450" s="12" t="s">
        <v>36</v>
      </c>
      <c r="T2450" s="12" t="s">
        <v>13528</v>
      </c>
      <c r="U2450" s="12" t="s">
        <v>38</v>
      </c>
      <c r="V2450" s="12" t="s">
        <v>39</v>
      </c>
      <c r="W2450" s="12" t="s">
        <v>13529</v>
      </c>
      <c r="X2450" s="16" t="s">
        <v>1710</v>
      </c>
      <c r="Y2450" s="15" t="s">
        <v>42</v>
      </c>
      <c r="Z2450" s="14">
        <v>0.28</v>
      </c>
      <c r="AA2450" s="14">
        <v>3.12</v>
      </c>
      <c r="AB2450" s="12" t="s">
        <v>43</v>
      </c>
      <c r="AC2450" s="12" t="s">
        <v>13530</v>
      </c>
      <c r="AD2450" s="13">
        <v>44604</v>
      </c>
      <c r="AE2450" s="12" t="s">
        <v>110</v>
      </c>
      <c r="AF2450" s="12" t="s">
        <v>176</v>
      </c>
      <c r="AG2450" s="12" t="s">
        <v>81</v>
      </c>
      <c r="AH2450" s="1">
        <f>HYPERLINK("https://my.pitchbook.com?c=212339-89T","View Company Online")</f>
      </c>
    </row>
    <row r="2451">
      <c r="A2451" s="3" t="s">
        <v>13531</v>
      </c>
      <c r="B2451" s="3" t="s">
        <v>13532</v>
      </c>
      <c r="C2451" s="5" t="s">
        <v>36</v>
      </c>
      <c r="D2451" s="5" t="s">
        <v>36</v>
      </c>
      <c r="E2451" s="5" t="s">
        <v>36</v>
      </c>
      <c r="F2451" s="5" t="s">
        <v>36</v>
      </c>
      <c r="G2451" s="6" t="s">
        <v>36</v>
      </c>
      <c r="H2451" s="4" t="s">
        <v>36</v>
      </c>
      <c r="I2451" s="7" t="s">
        <v>36</v>
      </c>
      <c r="J2451" s="3" t="s">
        <v>36</v>
      </c>
      <c r="K2451" s="9" t="s">
        <v>36</v>
      </c>
      <c r="L2451" s="6" t="s">
        <v>36</v>
      </c>
      <c r="M2451" s="3" t="s">
        <v>36</v>
      </c>
      <c r="N2451" s="3" t="s">
        <v>36</v>
      </c>
      <c r="O2451" s="8" t="s">
        <v>36</v>
      </c>
      <c r="P2451" s="3" t="s">
        <v>36</v>
      </c>
      <c r="Q2451" s="3" t="s">
        <v>36</v>
      </c>
      <c r="R2451" s="3" t="s">
        <v>36</v>
      </c>
      <c r="S2451" s="3" t="s">
        <v>36</v>
      </c>
      <c r="T2451" s="3" t="s">
        <v>13533</v>
      </c>
      <c r="U2451" s="3" t="s">
        <v>289</v>
      </c>
      <c r="V2451" s="3" t="s">
        <v>64</v>
      </c>
      <c r="W2451" s="3" t="s">
        <v>13534</v>
      </c>
      <c r="X2451" s="10" t="s">
        <v>13535</v>
      </c>
      <c r="Y2451" s="6" t="s">
        <v>42</v>
      </c>
      <c r="Z2451" s="4" t="s">
        <v>36</v>
      </c>
      <c r="AA2451" s="4" t="s">
        <v>36</v>
      </c>
      <c r="AB2451" s="3" t="s">
        <v>56</v>
      </c>
      <c r="AC2451" s="3" t="s">
        <v>13536</v>
      </c>
      <c r="AD2451" s="9">
        <v>44604</v>
      </c>
      <c r="AE2451" s="3" t="s">
        <v>292</v>
      </c>
      <c r="AF2451" s="3" t="s">
        <v>90</v>
      </c>
      <c r="AG2451" s="3" t="s">
        <v>13537</v>
      </c>
      <c r="AH2451" s="11">
        <f>HYPERLINK("https://my.pitchbook.com?c=188518-42T","View Company Online")</f>
      </c>
    </row>
    <row r="2452">
      <c r="A2452" s="12" t="s">
        <v>13538</v>
      </c>
      <c r="B2452" s="12" t="s">
        <v>13539</v>
      </c>
      <c r="C2452" s="19" t="s">
        <v>36</v>
      </c>
      <c r="D2452" s="19" t="s">
        <v>36</v>
      </c>
      <c r="E2452" s="19" t="s">
        <v>36</v>
      </c>
      <c r="F2452" s="19" t="s">
        <v>36</v>
      </c>
      <c r="G2452" s="15" t="s">
        <v>36</v>
      </c>
      <c r="H2452" s="14" t="s">
        <v>36</v>
      </c>
      <c r="I2452" s="18" t="s">
        <v>36</v>
      </c>
      <c r="J2452" s="12" t="s">
        <v>36</v>
      </c>
      <c r="K2452" s="13" t="s">
        <v>36</v>
      </c>
      <c r="L2452" s="15" t="s">
        <v>36</v>
      </c>
      <c r="M2452" s="12" t="s">
        <v>36</v>
      </c>
      <c r="N2452" s="12" t="s">
        <v>36</v>
      </c>
      <c r="O2452" s="17" t="s">
        <v>36</v>
      </c>
      <c r="P2452" s="12" t="s">
        <v>36</v>
      </c>
      <c r="Q2452" s="12" t="s">
        <v>36</v>
      </c>
      <c r="R2452" s="12" t="s">
        <v>36</v>
      </c>
      <c r="S2452" s="12" t="s">
        <v>36</v>
      </c>
      <c r="T2452" s="12" t="s">
        <v>13540</v>
      </c>
      <c r="U2452" s="12" t="s">
        <v>279</v>
      </c>
      <c r="V2452" s="12" t="s">
        <v>64</v>
      </c>
      <c r="W2452" s="12" t="s">
        <v>13541</v>
      </c>
      <c r="X2452" s="16" t="s">
        <v>13542</v>
      </c>
      <c r="Y2452" s="15" t="s">
        <v>475</v>
      </c>
      <c r="Z2452" s="14">
        <v>5.67</v>
      </c>
      <c r="AA2452" s="14" t="s">
        <v>36</v>
      </c>
      <c r="AB2452" s="12" t="s">
        <v>56</v>
      </c>
      <c r="AC2452" s="12" t="s">
        <v>13543</v>
      </c>
      <c r="AD2452" s="13">
        <v>44604</v>
      </c>
      <c r="AE2452" s="12" t="s">
        <v>851</v>
      </c>
      <c r="AF2452" s="12" t="s">
        <v>1077</v>
      </c>
      <c r="AG2452" s="12" t="s">
        <v>81</v>
      </c>
      <c r="AH2452" s="1">
        <f>HYPERLINK("https://my.pitchbook.com?c=188398-00T","View Company Online")</f>
      </c>
    </row>
    <row r="2453">
      <c r="A2453" s="3" t="s">
        <v>13544</v>
      </c>
      <c r="B2453" s="3" t="s">
        <v>13545</v>
      </c>
      <c r="C2453" s="5">
        <v>2</v>
      </c>
      <c r="D2453" s="5">
        <v>2</v>
      </c>
      <c r="E2453" s="5">
        <v>4</v>
      </c>
      <c r="F2453" s="5">
        <v>6</v>
      </c>
      <c r="G2453" s="6" t="s">
        <v>326</v>
      </c>
      <c r="H2453" s="4">
        <v>73.62</v>
      </c>
      <c r="I2453" s="7">
        <v>43.16</v>
      </c>
      <c r="J2453" s="3" t="s">
        <v>521</v>
      </c>
      <c r="K2453" s="9">
        <v>44562</v>
      </c>
      <c r="L2453" s="6" t="s">
        <v>36</v>
      </c>
      <c r="M2453" s="3" t="s">
        <v>36</v>
      </c>
      <c r="N2453" s="3" t="s">
        <v>36</v>
      </c>
      <c r="O2453" s="8" t="s">
        <v>36</v>
      </c>
      <c r="P2453" s="3" t="s">
        <v>36</v>
      </c>
      <c r="Q2453" s="3" t="s">
        <v>36</v>
      </c>
      <c r="R2453" s="3" t="s">
        <v>36</v>
      </c>
      <c r="S2453" s="3" t="s">
        <v>36</v>
      </c>
      <c r="T2453" s="3" t="s">
        <v>13546</v>
      </c>
      <c r="U2453" s="3" t="s">
        <v>85</v>
      </c>
      <c r="V2453" s="3" t="s">
        <v>64</v>
      </c>
      <c r="W2453" s="3" t="s">
        <v>13547</v>
      </c>
      <c r="X2453" s="10" t="s">
        <v>13548</v>
      </c>
      <c r="Y2453" s="6" t="s">
        <v>55</v>
      </c>
      <c r="Z2453" s="4">
        <v>63</v>
      </c>
      <c r="AA2453" s="4">
        <v>145.97</v>
      </c>
      <c r="AB2453" s="3" t="s">
        <v>56</v>
      </c>
      <c r="AC2453" s="3" t="s">
        <v>13549</v>
      </c>
      <c r="AD2453" s="9">
        <v>44603</v>
      </c>
      <c r="AE2453" s="3" t="s">
        <v>89</v>
      </c>
      <c r="AF2453" s="3" t="s">
        <v>13550</v>
      </c>
      <c r="AG2453" s="3" t="s">
        <v>81</v>
      </c>
      <c r="AH2453" s="11">
        <f>HYPERLINK("https://my.pitchbook.com?c=204731-11T","View Company Online")</f>
      </c>
    </row>
    <row r="2454">
      <c r="A2454" s="12" t="s">
        <v>13551</v>
      </c>
      <c r="B2454" s="12" t="s">
        <v>11012</v>
      </c>
      <c r="C2454" s="19" t="s">
        <v>36</v>
      </c>
      <c r="D2454" s="19" t="s">
        <v>36</v>
      </c>
      <c r="E2454" s="19" t="s">
        <v>36</v>
      </c>
      <c r="F2454" s="19" t="s">
        <v>36</v>
      </c>
      <c r="G2454" s="15" t="s">
        <v>36</v>
      </c>
      <c r="H2454" s="14" t="s">
        <v>36</v>
      </c>
      <c r="I2454" s="18" t="s">
        <v>36</v>
      </c>
      <c r="J2454" s="12" t="s">
        <v>36</v>
      </c>
      <c r="K2454" s="13" t="s">
        <v>36</v>
      </c>
      <c r="L2454" s="15" t="s">
        <v>36</v>
      </c>
      <c r="M2454" s="12" t="s">
        <v>36</v>
      </c>
      <c r="N2454" s="12" t="s">
        <v>36</v>
      </c>
      <c r="O2454" s="17" t="s">
        <v>36</v>
      </c>
      <c r="P2454" s="12" t="s">
        <v>36</v>
      </c>
      <c r="Q2454" s="12" t="s">
        <v>36</v>
      </c>
      <c r="R2454" s="12" t="s">
        <v>36</v>
      </c>
      <c r="S2454" s="12" t="s">
        <v>36</v>
      </c>
      <c r="T2454" s="12" t="s">
        <v>881</v>
      </c>
      <c r="U2454" s="12" t="s">
        <v>51</v>
      </c>
      <c r="V2454" s="12" t="s">
        <v>52</v>
      </c>
      <c r="W2454" s="12" t="s">
        <v>11013</v>
      </c>
      <c r="X2454" s="16" t="s">
        <v>13552</v>
      </c>
      <c r="Y2454" s="15" t="s">
        <v>42</v>
      </c>
      <c r="Z2454" s="14">
        <v>4.54</v>
      </c>
      <c r="AA2454" s="14" t="s">
        <v>36</v>
      </c>
      <c r="AB2454" s="12" t="s">
        <v>43</v>
      </c>
      <c r="AC2454" s="12" t="s">
        <v>11014</v>
      </c>
      <c r="AD2454" s="13">
        <v>44602</v>
      </c>
      <c r="AE2454" s="12" t="s">
        <v>504</v>
      </c>
      <c r="AF2454" s="12" t="s">
        <v>665</v>
      </c>
      <c r="AG2454" s="12" t="s">
        <v>4637</v>
      </c>
      <c r="AH2454" s="1">
        <f>HYPERLINK("https://my.pitchbook.com?c=188453-44T","View Company Online")</f>
      </c>
    </row>
    <row r="2455">
      <c r="A2455" s="3" t="s">
        <v>13553</v>
      </c>
      <c r="B2455" s="3" t="s">
        <v>3635</v>
      </c>
      <c r="C2455" s="5" t="s">
        <v>36</v>
      </c>
      <c r="D2455" s="5" t="s">
        <v>36</v>
      </c>
      <c r="E2455" s="5" t="s">
        <v>36</v>
      </c>
      <c r="F2455" s="5" t="s">
        <v>36</v>
      </c>
      <c r="G2455" s="6" t="s">
        <v>36</v>
      </c>
      <c r="H2455" s="4" t="s">
        <v>36</v>
      </c>
      <c r="I2455" s="7">
        <v>20</v>
      </c>
      <c r="J2455" s="3" t="s">
        <v>521</v>
      </c>
      <c r="K2455" s="9" t="s">
        <v>36</v>
      </c>
      <c r="L2455" s="6" t="s">
        <v>122</v>
      </c>
      <c r="M2455" s="3" t="s">
        <v>36</v>
      </c>
      <c r="N2455" s="3" t="s">
        <v>122</v>
      </c>
      <c r="O2455" s="8" t="s">
        <v>36</v>
      </c>
      <c r="P2455" s="3" t="s">
        <v>36</v>
      </c>
      <c r="Q2455" s="3" t="s">
        <v>36</v>
      </c>
      <c r="R2455" s="3" t="s">
        <v>36</v>
      </c>
      <c r="S2455" s="3" t="s">
        <v>36</v>
      </c>
      <c r="T2455" s="3" t="s">
        <v>1893</v>
      </c>
      <c r="U2455" s="3" t="s">
        <v>648</v>
      </c>
      <c r="V2455" s="3" t="s">
        <v>64</v>
      </c>
      <c r="W2455" s="3" t="s">
        <v>3636</v>
      </c>
      <c r="X2455" s="10" t="s">
        <v>13554</v>
      </c>
      <c r="Y2455" s="6" t="s">
        <v>55</v>
      </c>
      <c r="Z2455" s="4">
        <v>22.68</v>
      </c>
      <c r="AA2455" s="4">
        <v>113.4</v>
      </c>
      <c r="AB2455" s="3" t="s">
        <v>43</v>
      </c>
      <c r="AC2455" s="3" t="s">
        <v>3638</v>
      </c>
      <c r="AD2455" s="9">
        <v>44602</v>
      </c>
      <c r="AE2455" s="3" t="s">
        <v>1897</v>
      </c>
      <c r="AF2455" s="3" t="s">
        <v>1115</v>
      </c>
      <c r="AG2455" s="3" t="s">
        <v>3492</v>
      </c>
      <c r="AH2455" s="11">
        <f>HYPERLINK("https://my.pitchbook.com?c=188203-87T","View Company Online")</f>
      </c>
    </row>
    <row r="2456">
      <c r="A2456" s="12" t="s">
        <v>13555</v>
      </c>
      <c r="B2456" s="12" t="s">
        <v>13556</v>
      </c>
      <c r="C2456" s="19" t="s">
        <v>36</v>
      </c>
      <c r="D2456" s="19" t="s">
        <v>36</v>
      </c>
      <c r="E2456" s="19" t="s">
        <v>36</v>
      </c>
      <c r="F2456" s="19" t="s">
        <v>36</v>
      </c>
      <c r="G2456" s="15" t="s">
        <v>36</v>
      </c>
      <c r="H2456" s="14">
        <v>192.33</v>
      </c>
      <c r="I2456" s="18">
        <v>24.47</v>
      </c>
      <c r="J2456" s="12" t="s">
        <v>521</v>
      </c>
      <c r="K2456" s="13" t="s">
        <v>36</v>
      </c>
      <c r="L2456" s="15" t="s">
        <v>36</v>
      </c>
      <c r="M2456" s="12" t="s">
        <v>36</v>
      </c>
      <c r="N2456" s="12" t="s">
        <v>36</v>
      </c>
      <c r="O2456" s="17" t="s">
        <v>36</v>
      </c>
      <c r="P2456" s="12" t="s">
        <v>36</v>
      </c>
      <c r="Q2456" s="12" t="s">
        <v>36</v>
      </c>
      <c r="R2456" s="12" t="s">
        <v>36</v>
      </c>
      <c r="S2456" s="12" t="s">
        <v>36</v>
      </c>
      <c r="T2456" s="12" t="s">
        <v>13557</v>
      </c>
      <c r="U2456" s="12" t="s">
        <v>38</v>
      </c>
      <c r="V2456" s="12" t="s">
        <v>39</v>
      </c>
      <c r="W2456" s="12" t="s">
        <v>13558</v>
      </c>
      <c r="X2456" s="16" t="s">
        <v>13559</v>
      </c>
      <c r="Y2456" s="15" t="s">
        <v>42</v>
      </c>
      <c r="Z2456" s="14">
        <v>3.91</v>
      </c>
      <c r="AA2456" s="14">
        <v>15.98</v>
      </c>
      <c r="AB2456" s="12" t="s">
        <v>43</v>
      </c>
      <c r="AC2456" s="12" t="s">
        <v>13560</v>
      </c>
      <c r="AD2456" s="13">
        <v>44601</v>
      </c>
      <c r="AE2456" s="12" t="s">
        <v>110</v>
      </c>
      <c r="AF2456" s="12" t="s">
        <v>1401</v>
      </c>
      <c r="AG2456" s="12" t="s">
        <v>652</v>
      </c>
      <c r="AH2456" s="1">
        <f>HYPERLINK("https://my.pitchbook.com?c=192348-55T","View Company Online")</f>
      </c>
    </row>
    <row r="2457">
      <c r="A2457" s="3" t="s">
        <v>13561</v>
      </c>
      <c r="B2457" s="3" t="s">
        <v>13562</v>
      </c>
      <c r="C2457" s="5" t="s">
        <v>36</v>
      </c>
      <c r="D2457" s="5" t="s">
        <v>36</v>
      </c>
      <c r="E2457" s="5" t="s">
        <v>36</v>
      </c>
      <c r="F2457" s="5" t="s">
        <v>36</v>
      </c>
      <c r="G2457" s="6" t="s">
        <v>36</v>
      </c>
      <c r="H2457" s="4">
        <v>6.23</v>
      </c>
      <c r="I2457" s="7">
        <v>40.72</v>
      </c>
      <c r="J2457" s="3" t="s">
        <v>521</v>
      </c>
      <c r="K2457" s="9" t="s">
        <v>36</v>
      </c>
      <c r="L2457" s="6" t="s">
        <v>36</v>
      </c>
      <c r="M2457" s="3" t="s">
        <v>36</v>
      </c>
      <c r="N2457" s="3" t="s">
        <v>36</v>
      </c>
      <c r="O2457" s="8" t="s">
        <v>36</v>
      </c>
      <c r="P2457" s="3" t="s">
        <v>36</v>
      </c>
      <c r="Q2457" s="3" t="s">
        <v>36</v>
      </c>
      <c r="R2457" s="3" t="s">
        <v>36</v>
      </c>
      <c r="S2457" s="3" t="s">
        <v>36</v>
      </c>
      <c r="T2457" s="3" t="s">
        <v>37</v>
      </c>
      <c r="U2457" s="3" t="s">
        <v>38</v>
      </c>
      <c r="V2457" s="3" t="s">
        <v>39</v>
      </c>
      <c r="W2457" s="3" t="s">
        <v>13563</v>
      </c>
      <c r="X2457" s="10" t="s">
        <v>13564</v>
      </c>
      <c r="Y2457" s="6" t="s">
        <v>108</v>
      </c>
      <c r="Z2457" s="4">
        <v>6.07</v>
      </c>
      <c r="AA2457" s="4">
        <v>14.89</v>
      </c>
      <c r="AB2457" s="3" t="s">
        <v>43</v>
      </c>
      <c r="AC2457" s="3" t="s">
        <v>13565</v>
      </c>
      <c r="AD2457" s="9">
        <v>44601</v>
      </c>
      <c r="AE2457" s="3" t="s">
        <v>45</v>
      </c>
      <c r="AF2457" s="3" t="s">
        <v>5901</v>
      </c>
      <c r="AG2457" s="3" t="s">
        <v>81</v>
      </c>
      <c r="AH2457" s="11">
        <f>HYPERLINK("https://my.pitchbook.com?c=188366-14T","View Company Online")</f>
      </c>
    </row>
    <row r="2458">
      <c r="A2458" s="12" t="s">
        <v>13566</v>
      </c>
      <c r="B2458" s="12" t="s">
        <v>6441</v>
      </c>
      <c r="C2458" s="19" t="s">
        <v>36</v>
      </c>
      <c r="D2458" s="19" t="s">
        <v>36</v>
      </c>
      <c r="E2458" s="19" t="s">
        <v>36</v>
      </c>
      <c r="F2458" s="19" t="s">
        <v>36</v>
      </c>
      <c r="G2458" s="15" t="s">
        <v>36</v>
      </c>
      <c r="H2458" s="14" t="s">
        <v>36</v>
      </c>
      <c r="I2458" s="18" t="s">
        <v>36</v>
      </c>
      <c r="J2458" s="12" t="s">
        <v>36</v>
      </c>
      <c r="K2458" s="13" t="s">
        <v>36</v>
      </c>
      <c r="L2458" s="15" t="s">
        <v>36</v>
      </c>
      <c r="M2458" s="12" t="s">
        <v>36</v>
      </c>
      <c r="N2458" s="12" t="s">
        <v>36</v>
      </c>
      <c r="O2458" s="17" t="s">
        <v>36</v>
      </c>
      <c r="P2458" s="12" t="s">
        <v>36</v>
      </c>
      <c r="Q2458" s="12" t="s">
        <v>36</v>
      </c>
      <c r="R2458" s="12" t="s">
        <v>36</v>
      </c>
      <c r="S2458" s="12" t="s">
        <v>36</v>
      </c>
      <c r="T2458" s="12" t="s">
        <v>1344</v>
      </c>
      <c r="U2458" s="12" t="s">
        <v>38</v>
      </c>
      <c r="V2458" s="12" t="s">
        <v>39</v>
      </c>
      <c r="W2458" s="12" t="s">
        <v>6442</v>
      </c>
      <c r="X2458" s="16" t="s">
        <v>13567</v>
      </c>
      <c r="Y2458" s="15" t="s">
        <v>42</v>
      </c>
      <c r="Z2458" s="14">
        <v>4.31</v>
      </c>
      <c r="AA2458" s="14" t="s">
        <v>36</v>
      </c>
      <c r="AB2458" s="12" t="s">
        <v>43</v>
      </c>
      <c r="AC2458" s="12" t="s">
        <v>6444</v>
      </c>
      <c r="AD2458" s="13">
        <v>44601</v>
      </c>
      <c r="AE2458" s="12" t="s">
        <v>110</v>
      </c>
      <c r="AF2458" s="12" t="s">
        <v>680</v>
      </c>
      <c r="AG2458" s="12" t="s">
        <v>81</v>
      </c>
      <c r="AH2458" s="1">
        <f>HYPERLINK("https://my.pitchbook.com?c=188168-32T","View Company Online")</f>
      </c>
    </row>
    <row r="2459">
      <c r="A2459" s="3" t="s">
        <v>13568</v>
      </c>
      <c r="B2459" s="3" t="s">
        <v>13569</v>
      </c>
      <c r="C2459" s="5" t="s">
        <v>36</v>
      </c>
      <c r="D2459" s="5" t="s">
        <v>36</v>
      </c>
      <c r="E2459" s="5" t="s">
        <v>36</v>
      </c>
      <c r="F2459" s="5" t="s">
        <v>36</v>
      </c>
      <c r="G2459" s="6" t="s">
        <v>683</v>
      </c>
      <c r="H2459" s="4">
        <v>138.05</v>
      </c>
      <c r="I2459" s="7">
        <v>46.02</v>
      </c>
      <c r="J2459" s="3" t="s">
        <v>521</v>
      </c>
      <c r="K2459" s="9" t="s">
        <v>36</v>
      </c>
      <c r="L2459" s="6" t="s">
        <v>36</v>
      </c>
      <c r="M2459" s="3" t="s">
        <v>36</v>
      </c>
      <c r="N2459" s="3" t="s">
        <v>36</v>
      </c>
      <c r="O2459" s="8" t="s">
        <v>36</v>
      </c>
      <c r="P2459" s="3" t="s">
        <v>36</v>
      </c>
      <c r="Q2459" s="3" t="s">
        <v>36</v>
      </c>
      <c r="R2459" s="3" t="s">
        <v>36</v>
      </c>
      <c r="S2459" s="3" t="s">
        <v>36</v>
      </c>
      <c r="T2459" s="3" t="s">
        <v>13570</v>
      </c>
      <c r="U2459" s="3" t="s">
        <v>63</v>
      </c>
      <c r="V2459" s="3" t="s">
        <v>64</v>
      </c>
      <c r="W2459" s="3" t="s">
        <v>13571</v>
      </c>
      <c r="X2459" s="10" t="s">
        <v>13572</v>
      </c>
      <c r="Y2459" s="6" t="s">
        <v>55</v>
      </c>
      <c r="Z2459" s="4">
        <v>2.82</v>
      </c>
      <c r="AA2459" s="4">
        <v>6.12</v>
      </c>
      <c r="AB2459" s="3" t="s">
        <v>56</v>
      </c>
      <c r="AC2459" s="3" t="s">
        <v>13573</v>
      </c>
      <c r="AD2459" s="9">
        <v>44600</v>
      </c>
      <c r="AE2459" s="3" t="s">
        <v>399</v>
      </c>
      <c r="AF2459" s="3" t="s">
        <v>36</v>
      </c>
      <c r="AG2459" s="3" t="s">
        <v>81</v>
      </c>
      <c r="AH2459" s="11">
        <f>HYPERLINK("https://my.pitchbook.com?c=188719-12T","View Company Online")</f>
      </c>
    </row>
    <row r="2460">
      <c r="A2460" s="12" t="s">
        <v>13574</v>
      </c>
      <c r="B2460" s="12" t="s">
        <v>13575</v>
      </c>
      <c r="C2460" s="19" t="s">
        <v>36</v>
      </c>
      <c r="D2460" s="19" t="s">
        <v>36</v>
      </c>
      <c r="E2460" s="19" t="s">
        <v>36</v>
      </c>
      <c r="F2460" s="19" t="s">
        <v>36</v>
      </c>
      <c r="G2460" s="15" t="s">
        <v>326</v>
      </c>
      <c r="H2460" s="14" t="s">
        <v>36</v>
      </c>
      <c r="I2460" s="18">
        <v>26.41</v>
      </c>
      <c r="J2460" s="12" t="s">
        <v>327</v>
      </c>
      <c r="K2460" s="13" t="s">
        <v>36</v>
      </c>
      <c r="L2460" s="15" t="s">
        <v>122</v>
      </c>
      <c r="M2460" s="12" t="s">
        <v>36</v>
      </c>
      <c r="N2460" s="12" t="s">
        <v>122</v>
      </c>
      <c r="O2460" s="17" t="s">
        <v>36</v>
      </c>
      <c r="P2460" s="12" t="s">
        <v>36</v>
      </c>
      <c r="Q2460" s="12" t="s">
        <v>36</v>
      </c>
      <c r="R2460" s="12" t="s">
        <v>36</v>
      </c>
      <c r="S2460" s="12" t="s">
        <v>36</v>
      </c>
      <c r="T2460" s="12" t="s">
        <v>13576</v>
      </c>
      <c r="U2460" s="12" t="s">
        <v>438</v>
      </c>
      <c r="V2460" s="12" t="s">
        <v>405</v>
      </c>
      <c r="W2460" s="12" t="s">
        <v>13577</v>
      </c>
      <c r="X2460" s="16" t="s">
        <v>13578</v>
      </c>
      <c r="Y2460" s="15" t="s">
        <v>108</v>
      </c>
      <c r="Z2460" s="14">
        <v>147.35</v>
      </c>
      <c r="AA2460" s="14">
        <v>77.25</v>
      </c>
      <c r="AB2460" s="12" t="s">
        <v>43</v>
      </c>
      <c r="AC2460" s="12" t="s">
        <v>13579</v>
      </c>
      <c r="AD2460" s="13">
        <v>44600</v>
      </c>
      <c r="AE2460" s="12" t="s">
        <v>442</v>
      </c>
      <c r="AF2460" s="12" t="s">
        <v>215</v>
      </c>
      <c r="AG2460" s="12" t="s">
        <v>2033</v>
      </c>
      <c r="AH2460" s="1">
        <f>HYPERLINK("https://my.pitchbook.com?c=188026-48T","View Company Online")</f>
      </c>
    </row>
    <row r="2461">
      <c r="A2461" s="3" t="s">
        <v>13580</v>
      </c>
      <c r="B2461" s="3" t="s">
        <v>13354</v>
      </c>
      <c r="C2461" s="5" t="s">
        <v>36</v>
      </c>
      <c r="D2461" s="5" t="s">
        <v>36</v>
      </c>
      <c r="E2461" s="5" t="s">
        <v>36</v>
      </c>
      <c r="F2461" s="5" t="s">
        <v>36</v>
      </c>
      <c r="G2461" s="6" t="s">
        <v>36</v>
      </c>
      <c r="H2461" s="4" t="s">
        <v>36</v>
      </c>
      <c r="I2461" s="7" t="s">
        <v>36</v>
      </c>
      <c r="J2461" s="3" t="s">
        <v>36</v>
      </c>
      <c r="K2461" s="9" t="s">
        <v>36</v>
      </c>
      <c r="L2461" s="6" t="s">
        <v>122</v>
      </c>
      <c r="M2461" s="3" t="s">
        <v>36</v>
      </c>
      <c r="N2461" s="3" t="s">
        <v>122</v>
      </c>
      <c r="O2461" s="8" t="s">
        <v>36</v>
      </c>
      <c r="P2461" s="3" t="s">
        <v>36</v>
      </c>
      <c r="Q2461" s="3" t="s">
        <v>36</v>
      </c>
      <c r="R2461" s="3" t="s">
        <v>36</v>
      </c>
      <c r="S2461" s="3" t="s">
        <v>36</v>
      </c>
      <c r="T2461" s="3" t="s">
        <v>1838</v>
      </c>
      <c r="U2461" s="3" t="s">
        <v>38</v>
      </c>
      <c r="V2461" s="3" t="s">
        <v>39</v>
      </c>
      <c r="W2461" s="3" t="s">
        <v>13355</v>
      </c>
      <c r="X2461" s="10" t="s">
        <v>13581</v>
      </c>
      <c r="Y2461" s="6" t="s">
        <v>108</v>
      </c>
      <c r="Z2461" s="4">
        <v>50</v>
      </c>
      <c r="AA2461" s="4" t="s">
        <v>36</v>
      </c>
      <c r="AB2461" s="3" t="s">
        <v>56</v>
      </c>
      <c r="AC2461" s="3" t="s">
        <v>13356</v>
      </c>
      <c r="AD2461" s="9">
        <v>44600</v>
      </c>
      <c r="AE2461" s="3" t="s">
        <v>110</v>
      </c>
      <c r="AF2461" s="3" t="s">
        <v>4552</v>
      </c>
      <c r="AG2461" s="3" t="s">
        <v>81</v>
      </c>
      <c r="AH2461" s="11">
        <f>HYPERLINK("https://my.pitchbook.com?c=190860-85T","View Company Online")</f>
      </c>
    </row>
    <row r="2462">
      <c r="A2462" s="12" t="s">
        <v>13582</v>
      </c>
      <c r="B2462" s="12" t="s">
        <v>13583</v>
      </c>
      <c r="C2462" s="19" t="s">
        <v>36</v>
      </c>
      <c r="D2462" s="19" t="s">
        <v>36</v>
      </c>
      <c r="E2462" s="19" t="s">
        <v>36</v>
      </c>
      <c r="F2462" s="19" t="s">
        <v>36</v>
      </c>
      <c r="G2462" s="15" t="s">
        <v>36</v>
      </c>
      <c r="H2462" s="14" t="s">
        <v>36</v>
      </c>
      <c r="I2462" s="18" t="s">
        <v>36</v>
      </c>
      <c r="J2462" s="12" t="s">
        <v>36</v>
      </c>
      <c r="K2462" s="13" t="s">
        <v>36</v>
      </c>
      <c r="L2462" s="15" t="s">
        <v>36</v>
      </c>
      <c r="M2462" s="12" t="s">
        <v>36</v>
      </c>
      <c r="N2462" s="12" t="s">
        <v>36</v>
      </c>
      <c r="O2462" s="17" t="s">
        <v>36</v>
      </c>
      <c r="P2462" s="12" t="s">
        <v>36</v>
      </c>
      <c r="Q2462" s="12" t="s">
        <v>36</v>
      </c>
      <c r="R2462" s="12" t="s">
        <v>36</v>
      </c>
      <c r="S2462" s="12" t="s">
        <v>36</v>
      </c>
      <c r="T2462" s="12" t="s">
        <v>13584</v>
      </c>
      <c r="U2462" s="12" t="s">
        <v>63</v>
      </c>
      <c r="V2462" s="12" t="s">
        <v>64</v>
      </c>
      <c r="W2462" s="12" t="s">
        <v>13585</v>
      </c>
      <c r="X2462" s="16" t="s">
        <v>13586</v>
      </c>
      <c r="Y2462" s="15" t="s">
        <v>55</v>
      </c>
      <c r="Z2462" s="14">
        <v>4.53</v>
      </c>
      <c r="AA2462" s="14" t="s">
        <v>36</v>
      </c>
      <c r="AB2462" s="12" t="s">
        <v>43</v>
      </c>
      <c r="AC2462" s="12" t="s">
        <v>13587</v>
      </c>
      <c r="AD2462" s="13">
        <v>44599</v>
      </c>
      <c r="AE2462" s="12" t="s">
        <v>68</v>
      </c>
      <c r="AF2462" s="12" t="s">
        <v>13588</v>
      </c>
      <c r="AG2462" s="12" t="s">
        <v>81</v>
      </c>
      <c r="AH2462" s="1">
        <f>HYPERLINK("https://my.pitchbook.com?c=187945-93T","View Company Online")</f>
      </c>
    </row>
    <row r="2463">
      <c r="A2463" s="3" t="s">
        <v>13589</v>
      </c>
      <c r="B2463" s="3" t="s">
        <v>1204</v>
      </c>
      <c r="C2463" s="5">
        <v>11</v>
      </c>
      <c r="D2463" s="5">
        <v>11</v>
      </c>
      <c r="E2463" s="5">
        <v>6</v>
      </c>
      <c r="F2463" s="5">
        <v>23</v>
      </c>
      <c r="G2463" s="6" t="s">
        <v>326</v>
      </c>
      <c r="H2463" s="4">
        <v>33.96</v>
      </c>
      <c r="I2463" s="7">
        <v>36.37</v>
      </c>
      <c r="J2463" s="3" t="s">
        <v>521</v>
      </c>
      <c r="K2463" s="9" t="s">
        <v>36</v>
      </c>
      <c r="L2463" s="6" t="s">
        <v>122</v>
      </c>
      <c r="M2463" s="3" t="s">
        <v>36</v>
      </c>
      <c r="N2463" s="3" t="s">
        <v>122</v>
      </c>
      <c r="O2463" s="8" t="s">
        <v>36</v>
      </c>
      <c r="P2463" s="3" t="s">
        <v>36</v>
      </c>
      <c r="Q2463" s="3" t="s">
        <v>36</v>
      </c>
      <c r="R2463" s="3" t="s">
        <v>36</v>
      </c>
      <c r="S2463" s="3" t="s">
        <v>36</v>
      </c>
      <c r="T2463" s="3" t="s">
        <v>1081</v>
      </c>
      <c r="U2463" s="3" t="s">
        <v>1082</v>
      </c>
      <c r="V2463" s="3" t="s">
        <v>378</v>
      </c>
      <c r="W2463" s="3" t="s">
        <v>1205</v>
      </c>
      <c r="X2463" s="10" t="s">
        <v>13590</v>
      </c>
      <c r="Y2463" s="6" t="s">
        <v>108</v>
      </c>
      <c r="Z2463" s="4">
        <v>18.13</v>
      </c>
      <c r="AA2463" s="4">
        <v>34.25</v>
      </c>
      <c r="AB2463" s="3" t="s">
        <v>56</v>
      </c>
      <c r="AC2463" s="3" t="s">
        <v>1207</v>
      </c>
      <c r="AD2463" s="9">
        <v>44599</v>
      </c>
      <c r="AE2463" s="3" t="s">
        <v>1086</v>
      </c>
      <c r="AF2463" s="3" t="s">
        <v>1208</v>
      </c>
      <c r="AG2463" s="3" t="s">
        <v>1209</v>
      </c>
      <c r="AH2463" s="11">
        <f>HYPERLINK("https://my.pitchbook.com?c=186929-74T","View Company Online")</f>
      </c>
    </row>
    <row r="2464">
      <c r="A2464" s="12" t="s">
        <v>13591</v>
      </c>
      <c r="B2464" s="12" t="s">
        <v>3849</v>
      </c>
      <c r="C2464" s="19">
        <v>1</v>
      </c>
      <c r="D2464" s="19" t="s">
        <v>36</v>
      </c>
      <c r="E2464" s="19">
        <v>1</v>
      </c>
      <c r="F2464" s="19">
        <v>1</v>
      </c>
      <c r="G2464" s="15" t="s">
        <v>36</v>
      </c>
      <c r="H2464" s="14" t="s">
        <v>36</v>
      </c>
      <c r="I2464" s="18">
        <v>3.99</v>
      </c>
      <c r="J2464" s="12" t="s">
        <v>521</v>
      </c>
      <c r="K2464" s="13" t="s">
        <v>36</v>
      </c>
      <c r="L2464" s="15" t="s">
        <v>36</v>
      </c>
      <c r="M2464" s="12" t="s">
        <v>36</v>
      </c>
      <c r="N2464" s="12" t="s">
        <v>36</v>
      </c>
      <c r="O2464" s="17" t="s">
        <v>36</v>
      </c>
      <c r="P2464" s="12" t="s">
        <v>36</v>
      </c>
      <c r="Q2464" s="12" t="s">
        <v>36</v>
      </c>
      <c r="R2464" s="12" t="s">
        <v>36</v>
      </c>
      <c r="S2464" s="12" t="s">
        <v>36</v>
      </c>
      <c r="T2464" s="12" t="s">
        <v>3850</v>
      </c>
      <c r="U2464" s="12" t="s">
        <v>1580</v>
      </c>
      <c r="V2464" s="12" t="s">
        <v>39</v>
      </c>
      <c r="W2464" s="12" t="s">
        <v>3851</v>
      </c>
      <c r="X2464" s="16" t="s">
        <v>13592</v>
      </c>
      <c r="Y2464" s="15" t="s">
        <v>108</v>
      </c>
      <c r="Z2464" s="14">
        <v>0.21</v>
      </c>
      <c r="AA2464" s="14">
        <v>6.8</v>
      </c>
      <c r="AB2464" s="12" t="s">
        <v>43</v>
      </c>
      <c r="AC2464" s="12" t="s">
        <v>3853</v>
      </c>
      <c r="AD2464" s="13">
        <v>44599</v>
      </c>
      <c r="AE2464" s="12" t="s">
        <v>3854</v>
      </c>
      <c r="AF2464" s="12" t="s">
        <v>36</v>
      </c>
      <c r="AG2464" s="12" t="s">
        <v>924</v>
      </c>
      <c r="AH2464" s="1">
        <f>HYPERLINK("https://my.pitchbook.com?c=226797-40T","View Company Online")</f>
      </c>
    </row>
    <row r="2465">
      <c r="A2465" s="3" t="s">
        <v>13593</v>
      </c>
      <c r="B2465" s="3" t="s">
        <v>12760</v>
      </c>
      <c r="C2465" s="5" t="s">
        <v>36</v>
      </c>
      <c r="D2465" s="5" t="s">
        <v>36</v>
      </c>
      <c r="E2465" s="5" t="s">
        <v>36</v>
      </c>
      <c r="F2465" s="5" t="s">
        <v>36</v>
      </c>
      <c r="G2465" s="6" t="s">
        <v>36</v>
      </c>
      <c r="H2465" s="4" t="s">
        <v>36</v>
      </c>
      <c r="I2465" s="7" t="s">
        <v>36</v>
      </c>
      <c r="J2465" s="3" t="s">
        <v>36</v>
      </c>
      <c r="K2465" s="9" t="s">
        <v>36</v>
      </c>
      <c r="L2465" s="6" t="s">
        <v>36</v>
      </c>
      <c r="M2465" s="3" t="s">
        <v>36</v>
      </c>
      <c r="N2465" s="3" t="s">
        <v>36</v>
      </c>
      <c r="O2465" s="8" t="s">
        <v>36</v>
      </c>
      <c r="P2465" s="3" t="s">
        <v>36</v>
      </c>
      <c r="Q2465" s="3" t="s">
        <v>36</v>
      </c>
      <c r="R2465" s="3" t="s">
        <v>36</v>
      </c>
      <c r="S2465" s="3" t="s">
        <v>36</v>
      </c>
      <c r="T2465" s="3" t="s">
        <v>386</v>
      </c>
      <c r="U2465" s="3" t="s">
        <v>387</v>
      </c>
      <c r="V2465" s="3" t="s">
        <v>367</v>
      </c>
      <c r="W2465" s="3" t="s">
        <v>12761</v>
      </c>
      <c r="X2465" s="10" t="s">
        <v>13594</v>
      </c>
      <c r="Y2465" s="6" t="s">
        <v>55</v>
      </c>
      <c r="Z2465" s="4">
        <v>19.58</v>
      </c>
      <c r="AA2465" s="4" t="s">
        <v>36</v>
      </c>
      <c r="AB2465" s="3" t="s">
        <v>56</v>
      </c>
      <c r="AC2465" s="3" t="s">
        <v>12763</v>
      </c>
      <c r="AD2465" s="9">
        <v>44596</v>
      </c>
      <c r="AE2465" s="3" t="s">
        <v>391</v>
      </c>
      <c r="AF2465" s="3" t="s">
        <v>982</v>
      </c>
      <c r="AG2465" s="3" t="s">
        <v>186</v>
      </c>
      <c r="AH2465" s="11">
        <f>HYPERLINK("https://my.pitchbook.com?c=187843-42T","View Company Online")</f>
      </c>
    </row>
    <row r="2466">
      <c r="A2466" s="12" t="s">
        <v>13595</v>
      </c>
      <c r="B2466" s="12" t="s">
        <v>13596</v>
      </c>
      <c r="C2466" s="19" t="s">
        <v>36</v>
      </c>
      <c r="D2466" s="19" t="s">
        <v>36</v>
      </c>
      <c r="E2466" s="19" t="s">
        <v>36</v>
      </c>
      <c r="F2466" s="19" t="s">
        <v>36</v>
      </c>
      <c r="G2466" s="15" t="s">
        <v>36</v>
      </c>
      <c r="H2466" s="14">
        <v>236.04</v>
      </c>
      <c r="I2466" s="18">
        <v>41.77</v>
      </c>
      <c r="J2466" s="12" t="s">
        <v>521</v>
      </c>
      <c r="K2466" s="13" t="s">
        <v>36</v>
      </c>
      <c r="L2466" s="15" t="s">
        <v>36</v>
      </c>
      <c r="M2466" s="12" t="s">
        <v>36</v>
      </c>
      <c r="N2466" s="12" t="s">
        <v>36</v>
      </c>
      <c r="O2466" s="17" t="s">
        <v>36</v>
      </c>
      <c r="P2466" s="12" t="s">
        <v>36</v>
      </c>
      <c r="Q2466" s="12" t="s">
        <v>36</v>
      </c>
      <c r="R2466" s="12" t="s">
        <v>36</v>
      </c>
      <c r="S2466" s="12" t="s">
        <v>36</v>
      </c>
      <c r="T2466" s="12" t="s">
        <v>13597</v>
      </c>
      <c r="U2466" s="12" t="s">
        <v>366</v>
      </c>
      <c r="V2466" s="12" t="s">
        <v>367</v>
      </c>
      <c r="W2466" s="12" t="s">
        <v>13598</v>
      </c>
      <c r="X2466" s="16" t="s">
        <v>13599</v>
      </c>
      <c r="Y2466" s="15" t="s">
        <v>55</v>
      </c>
      <c r="Z2466" s="14">
        <v>5.66</v>
      </c>
      <c r="AA2466" s="14">
        <v>9.73</v>
      </c>
      <c r="AB2466" s="12" t="s">
        <v>56</v>
      </c>
      <c r="AC2466" s="12" t="s">
        <v>13600</v>
      </c>
      <c r="AD2466" s="13">
        <v>44596</v>
      </c>
      <c r="AE2466" s="12" t="s">
        <v>371</v>
      </c>
      <c r="AF2466" s="12" t="s">
        <v>982</v>
      </c>
      <c r="AG2466" s="12" t="s">
        <v>932</v>
      </c>
      <c r="AH2466" s="1">
        <f>HYPERLINK("https://my.pitchbook.com?c=190387-00T","View Company Online")</f>
      </c>
    </row>
    <row r="2467">
      <c r="A2467" s="3" t="s">
        <v>13601</v>
      </c>
      <c r="B2467" s="3" t="s">
        <v>13602</v>
      </c>
      <c r="C2467" s="5" t="s">
        <v>36</v>
      </c>
      <c r="D2467" s="5" t="s">
        <v>36</v>
      </c>
      <c r="E2467" s="5" t="s">
        <v>36</v>
      </c>
      <c r="F2467" s="5" t="s">
        <v>36</v>
      </c>
      <c r="G2467" s="6" t="s">
        <v>326</v>
      </c>
      <c r="H2467" s="4">
        <v>195</v>
      </c>
      <c r="I2467" s="7">
        <v>26.35</v>
      </c>
      <c r="J2467" s="3" t="s">
        <v>521</v>
      </c>
      <c r="K2467" s="9" t="s">
        <v>36</v>
      </c>
      <c r="L2467" s="6" t="s">
        <v>122</v>
      </c>
      <c r="M2467" s="3" t="s">
        <v>36</v>
      </c>
      <c r="N2467" s="3" t="s">
        <v>122</v>
      </c>
      <c r="O2467" s="8" t="s">
        <v>36</v>
      </c>
      <c r="P2467" s="3" t="s">
        <v>36</v>
      </c>
      <c r="Q2467" s="3" t="s">
        <v>36</v>
      </c>
      <c r="R2467" s="3" t="s">
        <v>36</v>
      </c>
      <c r="S2467" s="3" t="s">
        <v>36</v>
      </c>
      <c r="T2467" s="3" t="s">
        <v>105</v>
      </c>
      <c r="U2467" s="3" t="s">
        <v>38</v>
      </c>
      <c r="V2467" s="3" t="s">
        <v>39</v>
      </c>
      <c r="W2467" s="3" t="s">
        <v>13603</v>
      </c>
      <c r="X2467" s="10" t="s">
        <v>13604</v>
      </c>
      <c r="Y2467" s="6" t="s">
        <v>108</v>
      </c>
      <c r="Z2467" s="4">
        <v>44.99</v>
      </c>
      <c r="AA2467" s="4">
        <v>113.89</v>
      </c>
      <c r="AB2467" s="3" t="s">
        <v>56</v>
      </c>
      <c r="AC2467" s="3" t="s">
        <v>13605</v>
      </c>
      <c r="AD2467" s="9">
        <v>44595</v>
      </c>
      <c r="AE2467" s="3" t="s">
        <v>110</v>
      </c>
      <c r="AF2467" s="3" t="s">
        <v>8083</v>
      </c>
      <c r="AG2467" s="3" t="s">
        <v>81</v>
      </c>
      <c r="AH2467" s="11">
        <f>HYPERLINK("https://my.pitchbook.com?c=187819-30T","View Company Online")</f>
      </c>
    </row>
    <row r="2468">
      <c r="A2468" s="12" t="s">
        <v>13606</v>
      </c>
      <c r="B2468" s="12" t="s">
        <v>13607</v>
      </c>
      <c r="C2468" s="19">
        <v>3</v>
      </c>
      <c r="D2468" s="19">
        <v>49</v>
      </c>
      <c r="E2468" s="19">
        <v>7</v>
      </c>
      <c r="F2468" s="19">
        <v>52</v>
      </c>
      <c r="G2468" s="15" t="s">
        <v>326</v>
      </c>
      <c r="H2468" s="14">
        <v>53.74</v>
      </c>
      <c r="I2468" s="18">
        <v>22.13</v>
      </c>
      <c r="J2468" s="12" t="s">
        <v>521</v>
      </c>
      <c r="K2468" s="13" t="s">
        <v>36</v>
      </c>
      <c r="L2468" s="15" t="s">
        <v>122</v>
      </c>
      <c r="M2468" s="12" t="s">
        <v>36</v>
      </c>
      <c r="N2468" s="12" t="s">
        <v>122</v>
      </c>
      <c r="O2468" s="17" t="s">
        <v>36</v>
      </c>
      <c r="P2468" s="12" t="s">
        <v>36</v>
      </c>
      <c r="Q2468" s="12" t="s">
        <v>36</v>
      </c>
      <c r="R2468" s="12" t="s">
        <v>36</v>
      </c>
      <c r="S2468" s="12" t="s">
        <v>36</v>
      </c>
      <c r="T2468" s="12" t="s">
        <v>1628</v>
      </c>
      <c r="U2468" s="12" t="s">
        <v>96</v>
      </c>
      <c r="V2468" s="12" t="s">
        <v>52</v>
      </c>
      <c r="W2468" s="12" t="s">
        <v>13608</v>
      </c>
      <c r="X2468" s="16" t="s">
        <v>13609</v>
      </c>
      <c r="Y2468" s="15" t="s">
        <v>55</v>
      </c>
      <c r="Z2468" s="14">
        <v>5.82</v>
      </c>
      <c r="AA2468" s="14">
        <v>26.32</v>
      </c>
      <c r="AB2468" s="12" t="s">
        <v>56</v>
      </c>
      <c r="AC2468" s="12" t="s">
        <v>13610</v>
      </c>
      <c r="AD2468" s="13">
        <v>44595</v>
      </c>
      <c r="AE2468" s="12" t="s">
        <v>755</v>
      </c>
      <c r="AF2468" s="12" t="s">
        <v>665</v>
      </c>
      <c r="AG2468" s="12" t="s">
        <v>81</v>
      </c>
      <c r="AH2468" s="1">
        <f>HYPERLINK("https://my.pitchbook.com?c=187825-24T","View Company Online")</f>
      </c>
    </row>
    <row r="2469">
      <c r="A2469" s="3" t="s">
        <v>13611</v>
      </c>
      <c r="B2469" s="3" t="s">
        <v>12109</v>
      </c>
      <c r="C2469" s="5" t="s">
        <v>36</v>
      </c>
      <c r="D2469" s="5" t="s">
        <v>36</v>
      </c>
      <c r="E2469" s="5" t="s">
        <v>36</v>
      </c>
      <c r="F2469" s="5" t="s">
        <v>36</v>
      </c>
      <c r="G2469" s="6" t="s">
        <v>326</v>
      </c>
      <c r="H2469" s="4" t="s">
        <v>36</v>
      </c>
      <c r="I2469" s="7">
        <v>25.96</v>
      </c>
      <c r="J2469" s="3" t="s">
        <v>327</v>
      </c>
      <c r="K2469" s="9" t="s">
        <v>36</v>
      </c>
      <c r="L2469" s="6" t="s">
        <v>122</v>
      </c>
      <c r="M2469" s="3" t="s">
        <v>36</v>
      </c>
      <c r="N2469" s="3" t="s">
        <v>122</v>
      </c>
      <c r="O2469" s="8" t="s">
        <v>36</v>
      </c>
      <c r="P2469" s="3" t="s">
        <v>36</v>
      </c>
      <c r="Q2469" s="3" t="s">
        <v>36</v>
      </c>
      <c r="R2469" s="3" t="s">
        <v>36</v>
      </c>
      <c r="S2469" s="3" t="s">
        <v>36</v>
      </c>
      <c r="T2469" s="3" t="s">
        <v>9281</v>
      </c>
      <c r="U2469" s="3" t="s">
        <v>38</v>
      </c>
      <c r="V2469" s="3" t="s">
        <v>39</v>
      </c>
      <c r="W2469" s="3" t="s">
        <v>12110</v>
      </c>
      <c r="X2469" s="10" t="s">
        <v>13612</v>
      </c>
      <c r="Y2469" s="6" t="s">
        <v>166</v>
      </c>
      <c r="Z2469" s="4">
        <v>14.85</v>
      </c>
      <c r="AA2469" s="4">
        <v>57.22</v>
      </c>
      <c r="AB2469" s="3" t="s">
        <v>56</v>
      </c>
      <c r="AC2469" s="3" t="s">
        <v>12112</v>
      </c>
      <c r="AD2469" s="9">
        <v>44595</v>
      </c>
      <c r="AE2469" s="3" t="s">
        <v>1945</v>
      </c>
      <c r="AF2469" s="3" t="s">
        <v>1401</v>
      </c>
      <c r="AG2469" s="3" t="s">
        <v>102</v>
      </c>
      <c r="AH2469" s="11">
        <f>HYPERLINK("https://my.pitchbook.com?c=187800-13T","View Company Online")</f>
      </c>
    </row>
    <row r="2470">
      <c r="A2470" s="12" t="s">
        <v>13613</v>
      </c>
      <c r="B2470" s="12" t="s">
        <v>13614</v>
      </c>
      <c r="C2470" s="19" t="s">
        <v>36</v>
      </c>
      <c r="D2470" s="19" t="s">
        <v>36</v>
      </c>
      <c r="E2470" s="19" t="s">
        <v>36</v>
      </c>
      <c r="F2470" s="19" t="s">
        <v>36</v>
      </c>
      <c r="G2470" s="15" t="s">
        <v>36</v>
      </c>
      <c r="H2470" s="14" t="s">
        <v>36</v>
      </c>
      <c r="I2470" s="18" t="s">
        <v>36</v>
      </c>
      <c r="J2470" s="12" t="s">
        <v>36</v>
      </c>
      <c r="K2470" s="13" t="s">
        <v>36</v>
      </c>
      <c r="L2470" s="15" t="s">
        <v>36</v>
      </c>
      <c r="M2470" s="12" t="s">
        <v>36</v>
      </c>
      <c r="N2470" s="12" t="s">
        <v>36</v>
      </c>
      <c r="O2470" s="17" t="s">
        <v>36</v>
      </c>
      <c r="P2470" s="12" t="s">
        <v>36</v>
      </c>
      <c r="Q2470" s="12" t="s">
        <v>36</v>
      </c>
      <c r="R2470" s="12" t="s">
        <v>36</v>
      </c>
      <c r="S2470" s="12" t="s">
        <v>36</v>
      </c>
      <c r="T2470" s="12" t="s">
        <v>6107</v>
      </c>
      <c r="U2470" s="12" t="s">
        <v>74</v>
      </c>
      <c r="V2470" s="12" t="s">
        <v>75</v>
      </c>
      <c r="W2470" s="12" t="s">
        <v>13615</v>
      </c>
      <c r="X2470" s="16" t="s">
        <v>13616</v>
      </c>
      <c r="Y2470" s="15" t="s">
        <v>42</v>
      </c>
      <c r="Z2470" s="14" t="s">
        <v>36</v>
      </c>
      <c r="AA2470" s="14" t="s">
        <v>36</v>
      </c>
      <c r="AB2470" s="12" t="s">
        <v>56</v>
      </c>
      <c r="AC2470" s="12" t="s">
        <v>13617</v>
      </c>
      <c r="AD2470" s="13">
        <v>44595</v>
      </c>
      <c r="AE2470" s="12" t="s">
        <v>975</v>
      </c>
      <c r="AF2470" s="12" t="s">
        <v>36</v>
      </c>
      <c r="AG2470" s="12" t="s">
        <v>47</v>
      </c>
      <c r="AH2470" s="1">
        <f>HYPERLINK("https://my.pitchbook.com?c=190618-66T","View Company Online")</f>
      </c>
    </row>
    <row r="2471">
      <c r="A2471" s="3" t="s">
        <v>13618</v>
      </c>
      <c r="B2471" s="3" t="s">
        <v>8412</v>
      </c>
      <c r="C2471" s="5" t="s">
        <v>36</v>
      </c>
      <c r="D2471" s="5" t="s">
        <v>36</v>
      </c>
      <c r="E2471" s="5" t="s">
        <v>36</v>
      </c>
      <c r="F2471" s="5" t="s">
        <v>36</v>
      </c>
      <c r="G2471" s="6" t="s">
        <v>36</v>
      </c>
      <c r="H2471" s="4">
        <v>55.04</v>
      </c>
      <c r="I2471" s="7">
        <v>15.57</v>
      </c>
      <c r="J2471" s="3" t="s">
        <v>521</v>
      </c>
      <c r="K2471" s="9" t="s">
        <v>36</v>
      </c>
      <c r="L2471" s="6" t="s">
        <v>36</v>
      </c>
      <c r="M2471" s="3" t="s">
        <v>36</v>
      </c>
      <c r="N2471" s="3" t="s">
        <v>36</v>
      </c>
      <c r="O2471" s="8" t="s">
        <v>36</v>
      </c>
      <c r="P2471" s="3" t="s">
        <v>36</v>
      </c>
      <c r="Q2471" s="3" t="s">
        <v>36</v>
      </c>
      <c r="R2471" s="3" t="s">
        <v>36</v>
      </c>
      <c r="S2471" s="3" t="s">
        <v>36</v>
      </c>
      <c r="T2471" s="3" t="s">
        <v>8413</v>
      </c>
      <c r="U2471" s="3" t="s">
        <v>38</v>
      </c>
      <c r="V2471" s="3" t="s">
        <v>39</v>
      </c>
      <c r="W2471" s="3" t="s">
        <v>8414</v>
      </c>
      <c r="X2471" s="10" t="s">
        <v>13619</v>
      </c>
      <c r="Y2471" s="6" t="s">
        <v>42</v>
      </c>
      <c r="Z2471" s="4">
        <v>0.17</v>
      </c>
      <c r="AA2471" s="4">
        <v>1.09</v>
      </c>
      <c r="AB2471" s="3" t="s">
        <v>56</v>
      </c>
      <c r="AC2471" s="3" t="s">
        <v>8416</v>
      </c>
      <c r="AD2471" s="9">
        <v>44594</v>
      </c>
      <c r="AE2471" s="3" t="s">
        <v>110</v>
      </c>
      <c r="AF2471" s="3" t="s">
        <v>176</v>
      </c>
      <c r="AG2471" s="3" t="s">
        <v>8417</v>
      </c>
      <c r="AH2471" s="11">
        <f>HYPERLINK("https://my.pitchbook.com?c=173448-91T","View Company Online")</f>
      </c>
    </row>
    <row r="2472">
      <c r="A2472" s="12" t="s">
        <v>13620</v>
      </c>
      <c r="B2472" s="12" t="s">
        <v>6856</v>
      </c>
      <c r="C2472" s="19" t="s">
        <v>36</v>
      </c>
      <c r="D2472" s="19" t="s">
        <v>36</v>
      </c>
      <c r="E2472" s="19" t="s">
        <v>36</v>
      </c>
      <c r="F2472" s="19" t="s">
        <v>36</v>
      </c>
      <c r="G2472" s="15" t="s">
        <v>36</v>
      </c>
      <c r="H2472" s="14" t="s">
        <v>36</v>
      </c>
      <c r="I2472" s="18" t="s">
        <v>36</v>
      </c>
      <c r="J2472" s="12" t="s">
        <v>36</v>
      </c>
      <c r="K2472" s="13" t="s">
        <v>36</v>
      </c>
      <c r="L2472" s="15" t="s">
        <v>36</v>
      </c>
      <c r="M2472" s="12" t="s">
        <v>36</v>
      </c>
      <c r="N2472" s="12" t="s">
        <v>36</v>
      </c>
      <c r="O2472" s="17" t="s">
        <v>36</v>
      </c>
      <c r="P2472" s="12" t="s">
        <v>36</v>
      </c>
      <c r="Q2472" s="12" t="s">
        <v>36</v>
      </c>
      <c r="R2472" s="12" t="s">
        <v>36</v>
      </c>
      <c r="S2472" s="12" t="s">
        <v>36</v>
      </c>
      <c r="T2472" s="12" t="s">
        <v>6857</v>
      </c>
      <c r="U2472" s="12" t="s">
        <v>38</v>
      </c>
      <c r="V2472" s="12" t="s">
        <v>39</v>
      </c>
      <c r="W2472" s="12" t="s">
        <v>6858</v>
      </c>
      <c r="X2472" s="16" t="s">
        <v>13621</v>
      </c>
      <c r="Y2472" s="15" t="s">
        <v>108</v>
      </c>
      <c r="Z2472" s="14">
        <v>1.13</v>
      </c>
      <c r="AA2472" s="14" t="s">
        <v>36</v>
      </c>
      <c r="AB2472" s="12" t="s">
        <v>56</v>
      </c>
      <c r="AC2472" s="12" t="s">
        <v>6860</v>
      </c>
      <c r="AD2472" s="13">
        <v>44594</v>
      </c>
      <c r="AE2472" s="12" t="s">
        <v>45</v>
      </c>
      <c r="AF2472" s="12" t="s">
        <v>6861</v>
      </c>
      <c r="AG2472" s="12" t="s">
        <v>81</v>
      </c>
      <c r="AH2472" s="1">
        <f>HYPERLINK("https://my.pitchbook.com?c=187700-86T","View Company Online")</f>
      </c>
    </row>
    <row r="2473">
      <c r="A2473" s="3" t="s">
        <v>13622</v>
      </c>
      <c r="B2473" s="3" t="s">
        <v>13623</v>
      </c>
      <c r="C2473" s="5" t="s">
        <v>36</v>
      </c>
      <c r="D2473" s="5" t="s">
        <v>36</v>
      </c>
      <c r="E2473" s="5" t="s">
        <v>36</v>
      </c>
      <c r="F2473" s="5" t="s">
        <v>36</v>
      </c>
      <c r="G2473" s="6" t="s">
        <v>326</v>
      </c>
      <c r="H2473" s="4">
        <v>109.11</v>
      </c>
      <c r="I2473" s="7">
        <v>22.9</v>
      </c>
      <c r="J2473" s="3" t="s">
        <v>521</v>
      </c>
      <c r="K2473" s="9" t="s">
        <v>36</v>
      </c>
      <c r="L2473" s="6" t="s">
        <v>36</v>
      </c>
      <c r="M2473" s="3" t="s">
        <v>36</v>
      </c>
      <c r="N2473" s="3" t="s">
        <v>36</v>
      </c>
      <c r="O2473" s="8" t="s">
        <v>36</v>
      </c>
      <c r="P2473" s="3" t="s">
        <v>36</v>
      </c>
      <c r="Q2473" s="3" t="s">
        <v>36</v>
      </c>
      <c r="R2473" s="3" t="s">
        <v>36</v>
      </c>
      <c r="S2473" s="3" t="s">
        <v>36</v>
      </c>
      <c r="T2473" s="3" t="s">
        <v>1350</v>
      </c>
      <c r="U2473" s="3" t="s">
        <v>38</v>
      </c>
      <c r="V2473" s="3" t="s">
        <v>39</v>
      </c>
      <c r="W2473" s="3" t="s">
        <v>13624</v>
      </c>
      <c r="X2473" s="10" t="s">
        <v>13625</v>
      </c>
      <c r="Y2473" s="6" t="s">
        <v>108</v>
      </c>
      <c r="Z2473" s="4">
        <v>4.82</v>
      </c>
      <c r="AA2473" s="4">
        <v>21.03</v>
      </c>
      <c r="AB2473" s="3" t="s">
        <v>43</v>
      </c>
      <c r="AC2473" s="3" t="s">
        <v>13626</v>
      </c>
      <c r="AD2473" s="9">
        <v>44594</v>
      </c>
      <c r="AE2473" s="3" t="s">
        <v>785</v>
      </c>
      <c r="AF2473" s="3" t="s">
        <v>5001</v>
      </c>
      <c r="AG2473" s="3" t="s">
        <v>102</v>
      </c>
      <c r="AH2473" s="11">
        <f>HYPERLINK("https://my.pitchbook.com?c=188804-53T","View Company Online")</f>
      </c>
    </row>
    <row r="2474">
      <c r="A2474" s="12" t="s">
        <v>13627</v>
      </c>
      <c r="B2474" s="12" t="s">
        <v>13628</v>
      </c>
      <c r="C2474" s="19">
        <v>3</v>
      </c>
      <c r="D2474" s="19">
        <v>23</v>
      </c>
      <c r="E2474" s="19">
        <v>6</v>
      </c>
      <c r="F2474" s="19">
        <v>26</v>
      </c>
      <c r="G2474" s="15" t="s">
        <v>36</v>
      </c>
      <c r="H2474" s="14" t="s">
        <v>36</v>
      </c>
      <c r="I2474" s="18" t="s">
        <v>36</v>
      </c>
      <c r="J2474" s="12" t="s">
        <v>36</v>
      </c>
      <c r="K2474" s="13" t="s">
        <v>36</v>
      </c>
      <c r="L2474" s="15" t="s">
        <v>36</v>
      </c>
      <c r="M2474" s="12" t="s">
        <v>36</v>
      </c>
      <c r="N2474" s="12" t="s">
        <v>36</v>
      </c>
      <c r="O2474" s="17" t="s">
        <v>36</v>
      </c>
      <c r="P2474" s="12" t="s">
        <v>36</v>
      </c>
      <c r="Q2474" s="12" t="s">
        <v>36</v>
      </c>
      <c r="R2474" s="12" t="s">
        <v>36</v>
      </c>
      <c r="S2474" s="12" t="s">
        <v>36</v>
      </c>
      <c r="T2474" s="12" t="s">
        <v>13629</v>
      </c>
      <c r="U2474" s="12" t="s">
        <v>38</v>
      </c>
      <c r="V2474" s="12" t="s">
        <v>39</v>
      </c>
      <c r="W2474" s="12" t="s">
        <v>13630</v>
      </c>
      <c r="X2474" s="16" t="s">
        <v>13631</v>
      </c>
      <c r="Y2474" s="15" t="s">
        <v>192</v>
      </c>
      <c r="Z2474" s="14" t="s">
        <v>36</v>
      </c>
      <c r="AA2474" s="14" t="s">
        <v>36</v>
      </c>
      <c r="AB2474" s="12" t="s">
        <v>56</v>
      </c>
      <c r="AC2474" s="12" t="s">
        <v>13632</v>
      </c>
      <c r="AD2474" s="13">
        <v>44594</v>
      </c>
      <c r="AE2474" s="12" t="s">
        <v>339</v>
      </c>
      <c r="AF2474" s="12" t="s">
        <v>815</v>
      </c>
      <c r="AG2474" s="12" t="s">
        <v>2760</v>
      </c>
      <c r="AH2474" s="1">
        <f>HYPERLINK("https://my.pitchbook.com?c=190341-19T","View Company Online")</f>
      </c>
    </row>
    <row r="2475">
      <c r="A2475" s="3" t="s">
        <v>13633</v>
      </c>
      <c r="B2475" s="3" t="s">
        <v>13634</v>
      </c>
      <c r="C2475" s="5" t="s">
        <v>36</v>
      </c>
      <c r="D2475" s="5">
        <v>1</v>
      </c>
      <c r="E2475" s="5">
        <v>1</v>
      </c>
      <c r="F2475" s="5">
        <v>2</v>
      </c>
      <c r="G2475" s="6" t="s">
        <v>36</v>
      </c>
      <c r="H2475" s="4">
        <v>93.47</v>
      </c>
      <c r="I2475" s="7">
        <v>29.41</v>
      </c>
      <c r="J2475" s="3" t="s">
        <v>521</v>
      </c>
      <c r="K2475" s="9" t="s">
        <v>36</v>
      </c>
      <c r="L2475" s="6" t="s">
        <v>36</v>
      </c>
      <c r="M2475" s="3" t="s">
        <v>36</v>
      </c>
      <c r="N2475" s="3" t="s">
        <v>36</v>
      </c>
      <c r="O2475" s="8" t="s">
        <v>36</v>
      </c>
      <c r="P2475" s="3" t="s">
        <v>36</v>
      </c>
      <c r="Q2475" s="3" t="s">
        <v>36</v>
      </c>
      <c r="R2475" s="3" t="s">
        <v>36</v>
      </c>
      <c r="S2475" s="3" t="s">
        <v>36</v>
      </c>
      <c r="T2475" s="3" t="s">
        <v>13635</v>
      </c>
      <c r="U2475" s="3" t="s">
        <v>648</v>
      </c>
      <c r="V2475" s="3" t="s">
        <v>64</v>
      </c>
      <c r="W2475" s="3" t="s">
        <v>13636</v>
      </c>
      <c r="X2475" s="10" t="s">
        <v>13637</v>
      </c>
      <c r="Y2475" s="6" t="s">
        <v>42</v>
      </c>
      <c r="Z2475" s="4">
        <v>1.13</v>
      </c>
      <c r="AA2475" s="4">
        <v>2.89</v>
      </c>
      <c r="AB2475" s="3" t="s">
        <v>43</v>
      </c>
      <c r="AC2475" s="3" t="s">
        <v>13638</v>
      </c>
      <c r="AD2475" s="9">
        <v>44594</v>
      </c>
      <c r="AE2475" s="3" t="s">
        <v>651</v>
      </c>
      <c r="AF2475" s="3" t="s">
        <v>372</v>
      </c>
      <c r="AG2475" s="3" t="s">
        <v>13639</v>
      </c>
      <c r="AH2475" s="11">
        <f>HYPERLINK("https://my.pitchbook.com?c=189913-87T","View Company Online")</f>
      </c>
    </row>
    <row r="2476">
      <c r="A2476" s="12" t="s">
        <v>13640</v>
      </c>
      <c r="B2476" s="12" t="s">
        <v>1988</v>
      </c>
      <c r="C2476" s="19" t="s">
        <v>36</v>
      </c>
      <c r="D2476" s="19" t="s">
        <v>36</v>
      </c>
      <c r="E2476" s="19" t="s">
        <v>36</v>
      </c>
      <c r="F2476" s="19" t="s">
        <v>36</v>
      </c>
      <c r="G2476" s="15" t="s">
        <v>36</v>
      </c>
      <c r="H2476" s="14">
        <v>51.93</v>
      </c>
      <c r="I2476" s="18">
        <v>23.47</v>
      </c>
      <c r="J2476" s="12" t="s">
        <v>521</v>
      </c>
      <c r="K2476" s="13" t="s">
        <v>36</v>
      </c>
      <c r="L2476" s="15" t="s">
        <v>36</v>
      </c>
      <c r="M2476" s="12" t="s">
        <v>36</v>
      </c>
      <c r="N2476" s="12" t="s">
        <v>36</v>
      </c>
      <c r="O2476" s="17" t="s">
        <v>36</v>
      </c>
      <c r="P2476" s="12" t="s">
        <v>36</v>
      </c>
      <c r="Q2476" s="12" t="s">
        <v>36</v>
      </c>
      <c r="R2476" s="12" t="s">
        <v>36</v>
      </c>
      <c r="S2476" s="12" t="s">
        <v>1989</v>
      </c>
      <c r="T2476" s="12" t="s">
        <v>1990</v>
      </c>
      <c r="U2476" s="12" t="s">
        <v>38</v>
      </c>
      <c r="V2476" s="12" t="s">
        <v>39</v>
      </c>
      <c r="W2476" s="12" t="s">
        <v>1991</v>
      </c>
      <c r="X2476" s="16" t="s">
        <v>13641</v>
      </c>
      <c r="Y2476" s="15" t="s">
        <v>42</v>
      </c>
      <c r="Z2476" s="14">
        <v>0.52</v>
      </c>
      <c r="AA2476" s="14">
        <v>2.22</v>
      </c>
      <c r="AB2476" s="12" t="s">
        <v>43</v>
      </c>
      <c r="AC2476" s="12" t="s">
        <v>1993</v>
      </c>
      <c r="AD2476" s="13">
        <v>44594</v>
      </c>
      <c r="AE2476" s="12" t="s">
        <v>110</v>
      </c>
      <c r="AF2476" s="12" t="s">
        <v>176</v>
      </c>
      <c r="AG2476" s="12" t="s">
        <v>899</v>
      </c>
      <c r="AH2476" s="1">
        <f>HYPERLINK("https://my.pitchbook.com?c=204192-19T","View Company Online")</f>
      </c>
    </row>
    <row r="2477">
      <c r="A2477" s="3" t="s">
        <v>13642</v>
      </c>
      <c r="B2477" s="3" t="s">
        <v>13643</v>
      </c>
      <c r="C2477" s="5" t="s">
        <v>36</v>
      </c>
      <c r="D2477" s="5" t="s">
        <v>36</v>
      </c>
      <c r="E2477" s="5" t="s">
        <v>36</v>
      </c>
      <c r="F2477" s="5" t="s">
        <v>36</v>
      </c>
      <c r="G2477" s="6" t="s">
        <v>36</v>
      </c>
      <c r="H2477" s="4" t="s">
        <v>36</v>
      </c>
      <c r="I2477" s="7" t="s">
        <v>36</v>
      </c>
      <c r="J2477" s="3" t="s">
        <v>36</v>
      </c>
      <c r="K2477" s="9" t="s">
        <v>36</v>
      </c>
      <c r="L2477" s="6" t="s">
        <v>36</v>
      </c>
      <c r="M2477" s="3" t="s">
        <v>36</v>
      </c>
      <c r="N2477" s="3" t="s">
        <v>36</v>
      </c>
      <c r="O2477" s="8" t="s">
        <v>36</v>
      </c>
      <c r="P2477" s="3" t="s">
        <v>36</v>
      </c>
      <c r="Q2477" s="3" t="s">
        <v>36</v>
      </c>
      <c r="R2477" s="3" t="s">
        <v>36</v>
      </c>
      <c r="S2477" s="3" t="s">
        <v>36</v>
      </c>
      <c r="T2477" s="3" t="s">
        <v>1791</v>
      </c>
      <c r="U2477" s="3" t="s">
        <v>38</v>
      </c>
      <c r="V2477" s="3" t="s">
        <v>39</v>
      </c>
      <c r="W2477" s="3" t="s">
        <v>13644</v>
      </c>
      <c r="X2477" s="10" t="s">
        <v>13191</v>
      </c>
      <c r="Y2477" s="6" t="s">
        <v>42</v>
      </c>
      <c r="Z2477" s="4" t="s">
        <v>36</v>
      </c>
      <c r="AA2477" s="4" t="s">
        <v>36</v>
      </c>
      <c r="AB2477" s="3" t="s">
        <v>43</v>
      </c>
      <c r="AC2477" s="3" t="s">
        <v>13645</v>
      </c>
      <c r="AD2477" s="9">
        <v>44593</v>
      </c>
      <c r="AE2477" s="3" t="s">
        <v>110</v>
      </c>
      <c r="AF2477" s="3" t="s">
        <v>643</v>
      </c>
      <c r="AG2477" s="3" t="s">
        <v>4172</v>
      </c>
      <c r="AH2477" s="11">
        <f>HYPERLINK("https://my.pitchbook.com?c=188746-39T","View Company Online")</f>
      </c>
    </row>
    <row r="2478">
      <c r="A2478" s="12" t="s">
        <v>13646</v>
      </c>
      <c r="B2478" s="12" t="s">
        <v>13647</v>
      </c>
      <c r="C2478" s="19" t="s">
        <v>36</v>
      </c>
      <c r="D2478" s="19" t="s">
        <v>36</v>
      </c>
      <c r="E2478" s="19" t="s">
        <v>36</v>
      </c>
      <c r="F2478" s="19" t="s">
        <v>36</v>
      </c>
      <c r="G2478" s="15" t="s">
        <v>36</v>
      </c>
      <c r="H2478" s="14" t="s">
        <v>36</v>
      </c>
      <c r="I2478" s="18" t="s">
        <v>36</v>
      </c>
      <c r="J2478" s="12" t="s">
        <v>36</v>
      </c>
      <c r="K2478" s="13" t="s">
        <v>36</v>
      </c>
      <c r="L2478" s="15" t="s">
        <v>36</v>
      </c>
      <c r="M2478" s="12" t="s">
        <v>36</v>
      </c>
      <c r="N2478" s="12" t="s">
        <v>36</v>
      </c>
      <c r="O2478" s="17" t="s">
        <v>36</v>
      </c>
      <c r="P2478" s="12" t="s">
        <v>36</v>
      </c>
      <c r="Q2478" s="12" t="s">
        <v>36</v>
      </c>
      <c r="R2478" s="12" t="s">
        <v>36</v>
      </c>
      <c r="S2478" s="12" t="s">
        <v>36</v>
      </c>
      <c r="T2478" s="12" t="s">
        <v>13648</v>
      </c>
      <c r="U2478" s="12" t="s">
        <v>74</v>
      </c>
      <c r="V2478" s="12" t="s">
        <v>75</v>
      </c>
      <c r="W2478" s="12" t="s">
        <v>13649</v>
      </c>
      <c r="X2478" s="16" t="s">
        <v>10302</v>
      </c>
      <c r="Y2478" s="15" t="s">
        <v>42</v>
      </c>
      <c r="Z2478" s="14">
        <v>5.09</v>
      </c>
      <c r="AA2478" s="14" t="s">
        <v>36</v>
      </c>
      <c r="AB2478" s="12" t="s">
        <v>56</v>
      </c>
      <c r="AC2478" s="12" t="s">
        <v>13650</v>
      </c>
      <c r="AD2478" s="13">
        <v>44593</v>
      </c>
      <c r="AE2478" s="12" t="s">
        <v>1243</v>
      </c>
      <c r="AF2478" s="12" t="s">
        <v>13651</v>
      </c>
      <c r="AG2478" s="12" t="s">
        <v>81</v>
      </c>
      <c r="AH2478" s="1">
        <f>HYPERLINK("https://my.pitchbook.com?c=218707-30T","View Company Online")</f>
      </c>
    </row>
    <row r="2479">
      <c r="A2479" s="3" t="s">
        <v>13652</v>
      </c>
      <c r="B2479" s="3" t="s">
        <v>13653</v>
      </c>
      <c r="C2479" s="5" t="s">
        <v>36</v>
      </c>
      <c r="D2479" s="5">
        <v>12</v>
      </c>
      <c r="E2479" s="5">
        <v>3</v>
      </c>
      <c r="F2479" s="5">
        <v>14</v>
      </c>
      <c r="G2479" s="6" t="s">
        <v>36</v>
      </c>
      <c r="H2479" s="4" t="s">
        <v>36</v>
      </c>
      <c r="I2479" s="7" t="s">
        <v>36</v>
      </c>
      <c r="J2479" s="3" t="s">
        <v>36</v>
      </c>
      <c r="K2479" s="9" t="s">
        <v>36</v>
      </c>
      <c r="L2479" s="6" t="s">
        <v>36</v>
      </c>
      <c r="M2479" s="3" t="s">
        <v>36</v>
      </c>
      <c r="N2479" s="3" t="s">
        <v>36</v>
      </c>
      <c r="O2479" s="8" t="s">
        <v>36</v>
      </c>
      <c r="P2479" s="3" t="s">
        <v>36</v>
      </c>
      <c r="Q2479" s="3" t="s">
        <v>36</v>
      </c>
      <c r="R2479" s="3" t="s">
        <v>36</v>
      </c>
      <c r="S2479" s="3" t="s">
        <v>36</v>
      </c>
      <c r="T2479" s="3" t="s">
        <v>3729</v>
      </c>
      <c r="U2479" s="3" t="s">
        <v>219</v>
      </c>
      <c r="V2479" s="3" t="s">
        <v>75</v>
      </c>
      <c r="W2479" s="3" t="s">
        <v>13654</v>
      </c>
      <c r="X2479" s="10" t="s">
        <v>820</v>
      </c>
      <c r="Y2479" s="6" t="s">
        <v>42</v>
      </c>
      <c r="Z2479" s="4" t="s">
        <v>36</v>
      </c>
      <c r="AA2479" s="4" t="s">
        <v>36</v>
      </c>
      <c r="AB2479" s="3" t="s">
        <v>56</v>
      </c>
      <c r="AC2479" s="3" t="s">
        <v>13655</v>
      </c>
      <c r="AD2479" s="9">
        <v>44593</v>
      </c>
      <c r="AE2479" s="3" t="s">
        <v>1032</v>
      </c>
      <c r="AF2479" s="3" t="s">
        <v>4668</v>
      </c>
      <c r="AG2479" s="3" t="s">
        <v>13656</v>
      </c>
      <c r="AH2479" s="11">
        <f>HYPERLINK("https://my.pitchbook.com?c=204913-72T","View Company Online")</f>
      </c>
    </row>
    <row r="2480">
      <c r="A2480" s="12" t="s">
        <v>13657</v>
      </c>
      <c r="B2480" s="12" t="s">
        <v>8753</v>
      </c>
      <c r="C2480" s="19" t="s">
        <v>36</v>
      </c>
      <c r="D2480" s="19" t="s">
        <v>36</v>
      </c>
      <c r="E2480" s="19" t="s">
        <v>36</v>
      </c>
      <c r="F2480" s="19" t="s">
        <v>36</v>
      </c>
      <c r="G2480" s="15" t="s">
        <v>36</v>
      </c>
      <c r="H2480" s="14" t="s">
        <v>36</v>
      </c>
      <c r="I2480" s="18" t="s">
        <v>36</v>
      </c>
      <c r="J2480" s="12" t="s">
        <v>36</v>
      </c>
      <c r="K2480" s="13">
        <v>44546</v>
      </c>
      <c r="L2480" s="15" t="s">
        <v>122</v>
      </c>
      <c r="M2480" s="12" t="s">
        <v>36</v>
      </c>
      <c r="N2480" s="12" t="s">
        <v>122</v>
      </c>
      <c r="O2480" s="17" t="s">
        <v>36</v>
      </c>
      <c r="P2480" s="12" t="s">
        <v>36</v>
      </c>
      <c r="Q2480" s="12" t="s">
        <v>36</v>
      </c>
      <c r="R2480" s="12" t="s">
        <v>36</v>
      </c>
      <c r="S2480" s="12" t="s">
        <v>36</v>
      </c>
      <c r="T2480" s="12" t="s">
        <v>37</v>
      </c>
      <c r="U2480" s="12" t="s">
        <v>38</v>
      </c>
      <c r="V2480" s="12" t="s">
        <v>39</v>
      </c>
      <c r="W2480" s="12" t="s">
        <v>8754</v>
      </c>
      <c r="X2480" s="16" t="s">
        <v>13658</v>
      </c>
      <c r="Y2480" s="15" t="s">
        <v>108</v>
      </c>
      <c r="Z2480" s="14">
        <v>11.32</v>
      </c>
      <c r="AA2480" s="14" t="s">
        <v>36</v>
      </c>
      <c r="AB2480" s="12" t="s">
        <v>56</v>
      </c>
      <c r="AC2480" s="12" t="s">
        <v>8756</v>
      </c>
      <c r="AD2480" s="13">
        <v>44593</v>
      </c>
      <c r="AE2480" s="12" t="s">
        <v>45</v>
      </c>
      <c r="AF2480" s="12" t="s">
        <v>6861</v>
      </c>
      <c r="AG2480" s="12" t="s">
        <v>81</v>
      </c>
      <c r="AH2480" s="1">
        <f>HYPERLINK("https://my.pitchbook.com?c=187600-60T","View Company Online")</f>
      </c>
    </row>
    <row r="2481">
      <c r="A2481" s="3" t="s">
        <v>13659</v>
      </c>
      <c r="B2481" s="3" t="s">
        <v>13660</v>
      </c>
      <c r="C2481" s="5" t="s">
        <v>36</v>
      </c>
      <c r="D2481" s="5" t="s">
        <v>36</v>
      </c>
      <c r="E2481" s="5" t="s">
        <v>36</v>
      </c>
      <c r="F2481" s="5" t="s">
        <v>36</v>
      </c>
      <c r="G2481" s="6" t="s">
        <v>683</v>
      </c>
      <c r="H2481" s="4">
        <v>1.93</v>
      </c>
      <c r="I2481" s="7">
        <v>14.44</v>
      </c>
      <c r="J2481" s="3" t="s">
        <v>521</v>
      </c>
      <c r="K2481" s="9" t="s">
        <v>36</v>
      </c>
      <c r="L2481" s="6" t="s">
        <v>36</v>
      </c>
      <c r="M2481" s="3" t="s">
        <v>36</v>
      </c>
      <c r="N2481" s="3" t="s">
        <v>36</v>
      </c>
      <c r="O2481" s="8" t="s">
        <v>36</v>
      </c>
      <c r="P2481" s="3" t="s">
        <v>36</v>
      </c>
      <c r="Q2481" s="3" t="s">
        <v>36</v>
      </c>
      <c r="R2481" s="3" t="s">
        <v>36</v>
      </c>
      <c r="S2481" s="3" t="s">
        <v>36</v>
      </c>
      <c r="T2481" s="3" t="s">
        <v>13661</v>
      </c>
      <c r="U2481" s="3" t="s">
        <v>289</v>
      </c>
      <c r="V2481" s="3" t="s">
        <v>64</v>
      </c>
      <c r="W2481" s="3" t="s">
        <v>13662</v>
      </c>
      <c r="X2481" s="10" t="s">
        <v>13663</v>
      </c>
      <c r="Y2481" s="6" t="s">
        <v>55</v>
      </c>
      <c r="Z2481" s="4">
        <v>1.03</v>
      </c>
      <c r="AA2481" s="4">
        <v>7.13</v>
      </c>
      <c r="AB2481" s="3" t="s">
        <v>56</v>
      </c>
      <c r="AC2481" s="3" t="s">
        <v>13664</v>
      </c>
      <c r="AD2481" s="9">
        <v>44593</v>
      </c>
      <c r="AE2481" s="3" t="s">
        <v>13665</v>
      </c>
      <c r="AF2481" s="3" t="s">
        <v>90</v>
      </c>
      <c r="AG2481" s="3" t="s">
        <v>13666</v>
      </c>
      <c r="AH2481" s="11">
        <f>HYPERLINK("https://my.pitchbook.com?c=188639-65T","View Company Online")</f>
      </c>
    </row>
    <row r="2482">
      <c r="A2482" s="12" t="s">
        <v>13667</v>
      </c>
      <c r="B2482" s="12" t="s">
        <v>13668</v>
      </c>
      <c r="C2482" s="19" t="s">
        <v>36</v>
      </c>
      <c r="D2482" s="19" t="s">
        <v>36</v>
      </c>
      <c r="E2482" s="19" t="s">
        <v>36</v>
      </c>
      <c r="F2482" s="19" t="s">
        <v>36</v>
      </c>
      <c r="G2482" s="15" t="s">
        <v>36</v>
      </c>
      <c r="H2482" s="14" t="s">
        <v>36</v>
      </c>
      <c r="I2482" s="18" t="s">
        <v>36</v>
      </c>
      <c r="J2482" s="12" t="s">
        <v>36</v>
      </c>
      <c r="K2482" s="13" t="s">
        <v>36</v>
      </c>
      <c r="L2482" s="15" t="s">
        <v>36</v>
      </c>
      <c r="M2482" s="12" t="s">
        <v>36</v>
      </c>
      <c r="N2482" s="12" t="s">
        <v>36</v>
      </c>
      <c r="O2482" s="17" t="s">
        <v>36</v>
      </c>
      <c r="P2482" s="12" t="s">
        <v>36</v>
      </c>
      <c r="Q2482" s="12" t="s">
        <v>36</v>
      </c>
      <c r="R2482" s="12" t="s">
        <v>36</v>
      </c>
      <c r="S2482" s="12" t="s">
        <v>36</v>
      </c>
      <c r="T2482" s="12" t="s">
        <v>9159</v>
      </c>
      <c r="U2482" s="12" t="s">
        <v>74</v>
      </c>
      <c r="V2482" s="12" t="s">
        <v>75</v>
      </c>
      <c r="W2482" s="12" t="s">
        <v>13669</v>
      </c>
      <c r="X2482" s="16" t="s">
        <v>13670</v>
      </c>
      <c r="Y2482" s="15" t="s">
        <v>42</v>
      </c>
      <c r="Z2482" s="14" t="s">
        <v>36</v>
      </c>
      <c r="AA2482" s="14" t="s">
        <v>36</v>
      </c>
      <c r="AB2482" s="12" t="s">
        <v>43</v>
      </c>
      <c r="AC2482" s="12" t="s">
        <v>13671</v>
      </c>
      <c r="AD2482" s="13">
        <v>44593</v>
      </c>
      <c r="AE2482" s="12" t="s">
        <v>3144</v>
      </c>
      <c r="AF2482" s="12" t="s">
        <v>13299</v>
      </c>
      <c r="AG2482" s="12" t="s">
        <v>81</v>
      </c>
      <c r="AH2482" s="1">
        <f>HYPERLINK("https://my.pitchbook.com?c=189093-97T","View Company Online")</f>
      </c>
    </row>
    <row r="2483">
      <c r="A2483" s="3" t="s">
        <v>13672</v>
      </c>
      <c r="B2483" s="3" t="s">
        <v>13673</v>
      </c>
      <c r="C2483" s="5" t="s">
        <v>36</v>
      </c>
      <c r="D2483" s="5" t="s">
        <v>36</v>
      </c>
      <c r="E2483" s="5" t="s">
        <v>36</v>
      </c>
      <c r="F2483" s="5" t="s">
        <v>36</v>
      </c>
      <c r="G2483" s="6" t="s">
        <v>36</v>
      </c>
      <c r="H2483" s="4">
        <v>2.08</v>
      </c>
      <c r="I2483" s="7">
        <v>31.6</v>
      </c>
      <c r="J2483" s="3" t="s">
        <v>521</v>
      </c>
      <c r="K2483" s="9" t="s">
        <v>36</v>
      </c>
      <c r="L2483" s="6" t="s">
        <v>36</v>
      </c>
      <c r="M2483" s="3" t="s">
        <v>36</v>
      </c>
      <c r="N2483" s="3" t="s">
        <v>36</v>
      </c>
      <c r="O2483" s="8" t="s">
        <v>36</v>
      </c>
      <c r="P2483" s="3" t="s">
        <v>36</v>
      </c>
      <c r="Q2483" s="3" t="s">
        <v>36</v>
      </c>
      <c r="R2483" s="3" t="s">
        <v>36</v>
      </c>
      <c r="S2483" s="3" t="s">
        <v>36</v>
      </c>
      <c r="T2483" s="3" t="s">
        <v>630</v>
      </c>
      <c r="U2483" s="3" t="s">
        <v>38</v>
      </c>
      <c r="V2483" s="3" t="s">
        <v>39</v>
      </c>
      <c r="W2483" s="3" t="s">
        <v>13674</v>
      </c>
      <c r="X2483" s="10" t="s">
        <v>2178</v>
      </c>
      <c r="Y2483" s="6" t="s">
        <v>42</v>
      </c>
      <c r="Z2483" s="4">
        <v>0.52</v>
      </c>
      <c r="AA2483" s="4">
        <v>1.65</v>
      </c>
      <c r="AB2483" s="3" t="s">
        <v>56</v>
      </c>
      <c r="AC2483" s="3" t="s">
        <v>13675</v>
      </c>
      <c r="AD2483" s="9">
        <v>44593</v>
      </c>
      <c r="AE2483" s="3" t="s">
        <v>110</v>
      </c>
      <c r="AF2483" s="3" t="s">
        <v>176</v>
      </c>
      <c r="AG2483" s="3" t="s">
        <v>47</v>
      </c>
      <c r="AH2483" s="11">
        <f>HYPERLINK("https://my.pitchbook.com?c=215688-61T","View Company Online")</f>
      </c>
    </row>
    <row r="2484">
      <c r="A2484" s="12" t="s">
        <v>13676</v>
      </c>
      <c r="B2484" s="12" t="s">
        <v>13677</v>
      </c>
      <c r="C2484" s="19" t="s">
        <v>36</v>
      </c>
      <c r="D2484" s="19" t="s">
        <v>36</v>
      </c>
      <c r="E2484" s="19" t="s">
        <v>36</v>
      </c>
      <c r="F2484" s="19" t="s">
        <v>36</v>
      </c>
      <c r="G2484" s="15" t="s">
        <v>36</v>
      </c>
      <c r="H2484" s="14">
        <v>39.94</v>
      </c>
      <c r="I2484" s="18">
        <v>11.2</v>
      </c>
      <c r="J2484" s="12" t="s">
        <v>521</v>
      </c>
      <c r="K2484" s="13" t="s">
        <v>36</v>
      </c>
      <c r="L2484" s="15" t="s">
        <v>36</v>
      </c>
      <c r="M2484" s="12" t="s">
        <v>36</v>
      </c>
      <c r="N2484" s="12" t="s">
        <v>36</v>
      </c>
      <c r="O2484" s="17" t="s">
        <v>36</v>
      </c>
      <c r="P2484" s="12" t="s">
        <v>36</v>
      </c>
      <c r="Q2484" s="12" t="s">
        <v>36</v>
      </c>
      <c r="R2484" s="12" t="s">
        <v>36</v>
      </c>
      <c r="S2484" s="12" t="s">
        <v>36</v>
      </c>
      <c r="T2484" s="12" t="s">
        <v>550</v>
      </c>
      <c r="U2484" s="12" t="s">
        <v>38</v>
      </c>
      <c r="V2484" s="12" t="s">
        <v>39</v>
      </c>
      <c r="W2484" s="12" t="s">
        <v>13678</v>
      </c>
      <c r="X2484" s="16" t="s">
        <v>221</v>
      </c>
      <c r="Y2484" s="15" t="s">
        <v>42</v>
      </c>
      <c r="Z2484" s="14">
        <v>0.71</v>
      </c>
      <c r="AA2484" s="14">
        <v>6.37</v>
      </c>
      <c r="AB2484" s="12" t="s">
        <v>43</v>
      </c>
      <c r="AC2484" s="12" t="s">
        <v>13679</v>
      </c>
      <c r="AD2484" s="13">
        <v>44593</v>
      </c>
      <c r="AE2484" s="12" t="s">
        <v>554</v>
      </c>
      <c r="AF2484" s="12" t="s">
        <v>1380</v>
      </c>
      <c r="AG2484" s="12" t="s">
        <v>1905</v>
      </c>
      <c r="AH2484" s="1">
        <f>HYPERLINK("https://my.pitchbook.com?c=189079-39T","View Company Online")</f>
      </c>
    </row>
    <row r="2485">
      <c r="A2485" s="3" t="s">
        <v>13680</v>
      </c>
      <c r="B2485" s="3" t="s">
        <v>13681</v>
      </c>
      <c r="C2485" s="5" t="s">
        <v>36</v>
      </c>
      <c r="D2485" s="5">
        <v>4</v>
      </c>
      <c r="E2485" s="5">
        <v>1</v>
      </c>
      <c r="F2485" s="5">
        <v>5</v>
      </c>
      <c r="G2485" s="6" t="s">
        <v>36</v>
      </c>
      <c r="H2485" s="4" t="s">
        <v>36</v>
      </c>
      <c r="I2485" s="7" t="s">
        <v>36</v>
      </c>
      <c r="J2485" s="3" t="s">
        <v>36</v>
      </c>
      <c r="K2485" s="9" t="s">
        <v>36</v>
      </c>
      <c r="L2485" s="6" t="s">
        <v>36</v>
      </c>
      <c r="M2485" s="3" t="s">
        <v>36</v>
      </c>
      <c r="N2485" s="3" t="s">
        <v>36</v>
      </c>
      <c r="O2485" s="8" t="s">
        <v>36</v>
      </c>
      <c r="P2485" s="3" t="s">
        <v>36</v>
      </c>
      <c r="Q2485" s="3" t="s">
        <v>36</v>
      </c>
      <c r="R2485" s="3" t="s">
        <v>36</v>
      </c>
      <c r="S2485" s="3" t="s">
        <v>36</v>
      </c>
      <c r="T2485" s="3" t="s">
        <v>13682</v>
      </c>
      <c r="U2485" s="3" t="s">
        <v>956</v>
      </c>
      <c r="V2485" s="3" t="s">
        <v>405</v>
      </c>
      <c r="W2485" s="3" t="s">
        <v>13683</v>
      </c>
      <c r="X2485" s="10" t="s">
        <v>13684</v>
      </c>
      <c r="Y2485" s="6" t="s">
        <v>192</v>
      </c>
      <c r="Z2485" s="4" t="s">
        <v>36</v>
      </c>
      <c r="AA2485" s="4" t="s">
        <v>36</v>
      </c>
      <c r="AB2485" s="3" t="s">
        <v>56</v>
      </c>
      <c r="AC2485" s="3" t="s">
        <v>13685</v>
      </c>
      <c r="AD2485" s="9">
        <v>44593</v>
      </c>
      <c r="AE2485" s="3" t="s">
        <v>13686</v>
      </c>
      <c r="AF2485" s="3" t="s">
        <v>13687</v>
      </c>
      <c r="AG2485" s="3" t="s">
        <v>81</v>
      </c>
      <c r="AH2485" s="11">
        <f>HYPERLINK("https://my.pitchbook.com?c=188693-11T","View Company Online")</f>
      </c>
    </row>
    <row r="2486">
      <c r="A2486" s="12" t="s">
        <v>13688</v>
      </c>
      <c r="B2486" s="12" t="s">
        <v>13689</v>
      </c>
      <c r="C2486" s="19" t="s">
        <v>36</v>
      </c>
      <c r="D2486" s="19" t="s">
        <v>36</v>
      </c>
      <c r="E2486" s="19" t="s">
        <v>36</v>
      </c>
      <c r="F2486" s="19" t="s">
        <v>36</v>
      </c>
      <c r="G2486" s="15" t="s">
        <v>36</v>
      </c>
      <c r="H2486" s="14" t="s">
        <v>36</v>
      </c>
      <c r="I2486" s="18" t="s">
        <v>36</v>
      </c>
      <c r="J2486" s="12" t="s">
        <v>36</v>
      </c>
      <c r="K2486" s="13" t="s">
        <v>36</v>
      </c>
      <c r="L2486" s="15" t="s">
        <v>122</v>
      </c>
      <c r="M2486" s="12" t="s">
        <v>36</v>
      </c>
      <c r="N2486" s="12" t="s">
        <v>122</v>
      </c>
      <c r="O2486" s="17" t="s">
        <v>36</v>
      </c>
      <c r="P2486" s="12" t="s">
        <v>36</v>
      </c>
      <c r="Q2486" s="12" t="s">
        <v>36</v>
      </c>
      <c r="R2486" s="12" t="s">
        <v>36</v>
      </c>
      <c r="S2486" s="12" t="s">
        <v>36</v>
      </c>
      <c r="T2486" s="12" t="s">
        <v>13476</v>
      </c>
      <c r="U2486" s="12" t="s">
        <v>648</v>
      </c>
      <c r="V2486" s="12" t="s">
        <v>64</v>
      </c>
      <c r="W2486" s="12" t="s">
        <v>13690</v>
      </c>
      <c r="X2486" s="16" t="s">
        <v>13691</v>
      </c>
      <c r="Y2486" s="15" t="s">
        <v>55</v>
      </c>
      <c r="Z2486" s="14" t="s">
        <v>36</v>
      </c>
      <c r="AA2486" s="14" t="s">
        <v>36</v>
      </c>
      <c r="AB2486" s="12" t="s">
        <v>56</v>
      </c>
      <c r="AC2486" s="12" t="s">
        <v>13692</v>
      </c>
      <c r="AD2486" s="13">
        <v>44593</v>
      </c>
      <c r="AE2486" s="12" t="s">
        <v>651</v>
      </c>
      <c r="AF2486" s="12" t="s">
        <v>1077</v>
      </c>
      <c r="AG2486" s="12" t="s">
        <v>81</v>
      </c>
      <c r="AH2486" s="1">
        <f>HYPERLINK("https://my.pitchbook.com?c=188324-47T","View Company Online")</f>
      </c>
    </row>
    <row r="2487">
      <c r="A2487" s="3" t="s">
        <v>13693</v>
      </c>
      <c r="B2487" s="3" t="s">
        <v>9346</v>
      </c>
      <c r="C2487" s="5" t="s">
        <v>36</v>
      </c>
      <c r="D2487" s="5" t="s">
        <v>36</v>
      </c>
      <c r="E2487" s="5" t="s">
        <v>36</v>
      </c>
      <c r="F2487" s="5" t="s">
        <v>36</v>
      </c>
      <c r="G2487" s="6" t="s">
        <v>326</v>
      </c>
      <c r="H2487" s="4">
        <v>436.65</v>
      </c>
      <c r="I2487" s="7">
        <v>13.69</v>
      </c>
      <c r="J2487" s="3" t="s">
        <v>521</v>
      </c>
      <c r="K2487" s="9" t="s">
        <v>36</v>
      </c>
      <c r="L2487" s="6" t="s">
        <v>36</v>
      </c>
      <c r="M2487" s="3" t="s">
        <v>36</v>
      </c>
      <c r="N2487" s="3" t="s">
        <v>36</v>
      </c>
      <c r="O2487" s="8" t="s">
        <v>36</v>
      </c>
      <c r="P2487" s="3" t="s">
        <v>36</v>
      </c>
      <c r="Q2487" s="3" t="s">
        <v>36</v>
      </c>
      <c r="R2487" s="3" t="s">
        <v>36</v>
      </c>
      <c r="S2487" s="3" t="s">
        <v>36</v>
      </c>
      <c r="T2487" s="3" t="s">
        <v>1701</v>
      </c>
      <c r="U2487" s="3" t="s">
        <v>74</v>
      </c>
      <c r="V2487" s="3" t="s">
        <v>75</v>
      </c>
      <c r="W2487" s="3" t="s">
        <v>9347</v>
      </c>
      <c r="X2487" s="10" t="s">
        <v>13694</v>
      </c>
      <c r="Y2487" s="6" t="s">
        <v>192</v>
      </c>
      <c r="Z2487" s="4">
        <v>4.71</v>
      </c>
      <c r="AA2487" s="4">
        <v>34.39</v>
      </c>
      <c r="AB2487" s="3" t="s">
        <v>56</v>
      </c>
      <c r="AC2487" s="3" t="s">
        <v>9349</v>
      </c>
      <c r="AD2487" s="9">
        <v>44593</v>
      </c>
      <c r="AE2487" s="3" t="s">
        <v>79</v>
      </c>
      <c r="AF2487" s="3" t="s">
        <v>905</v>
      </c>
      <c r="AG2487" s="3" t="s">
        <v>81</v>
      </c>
      <c r="AH2487" s="11">
        <f>HYPERLINK("https://my.pitchbook.com?c=192215-53T","View Company Online")</f>
      </c>
    </row>
    <row r="2488">
      <c r="A2488" s="12" t="s">
        <v>13695</v>
      </c>
      <c r="B2488" s="12" t="s">
        <v>13696</v>
      </c>
      <c r="C2488" s="19">
        <v>9</v>
      </c>
      <c r="D2488" s="19">
        <v>22</v>
      </c>
      <c r="E2488" s="19">
        <v>4</v>
      </c>
      <c r="F2488" s="19">
        <v>32</v>
      </c>
      <c r="G2488" s="15" t="s">
        <v>326</v>
      </c>
      <c r="H2488" s="14">
        <v>3.99</v>
      </c>
      <c r="I2488" s="18">
        <v>55.47</v>
      </c>
      <c r="J2488" s="12" t="s">
        <v>521</v>
      </c>
      <c r="K2488" s="13" t="s">
        <v>36</v>
      </c>
      <c r="L2488" s="15" t="s">
        <v>36</v>
      </c>
      <c r="M2488" s="12" t="s">
        <v>36</v>
      </c>
      <c r="N2488" s="12" t="s">
        <v>36</v>
      </c>
      <c r="O2488" s="17" t="s">
        <v>36</v>
      </c>
      <c r="P2488" s="12" t="s">
        <v>36</v>
      </c>
      <c r="Q2488" s="12" t="s">
        <v>36</v>
      </c>
      <c r="R2488" s="12" t="s">
        <v>36</v>
      </c>
      <c r="S2488" s="12" t="s">
        <v>36</v>
      </c>
      <c r="T2488" s="12" t="s">
        <v>13697</v>
      </c>
      <c r="U2488" s="12" t="s">
        <v>96</v>
      </c>
      <c r="V2488" s="12" t="s">
        <v>52</v>
      </c>
      <c r="W2488" s="12" t="s">
        <v>13698</v>
      </c>
      <c r="X2488" s="16" t="s">
        <v>13699</v>
      </c>
      <c r="Y2488" s="15" t="s">
        <v>55</v>
      </c>
      <c r="Z2488" s="14">
        <v>45.27</v>
      </c>
      <c r="AA2488" s="14">
        <v>53.45</v>
      </c>
      <c r="AB2488" s="12" t="s">
        <v>56</v>
      </c>
      <c r="AC2488" s="12" t="s">
        <v>13700</v>
      </c>
      <c r="AD2488" s="13">
        <v>44593</v>
      </c>
      <c r="AE2488" s="12" t="s">
        <v>143</v>
      </c>
      <c r="AF2488" s="12" t="s">
        <v>13701</v>
      </c>
      <c r="AG2488" s="12" t="s">
        <v>81</v>
      </c>
      <c r="AH2488" s="1">
        <f>HYPERLINK("https://my.pitchbook.com?c=187637-59T","View Company Online")</f>
      </c>
    </row>
    <row r="2489">
      <c r="A2489" s="3" t="s">
        <v>13702</v>
      </c>
      <c r="B2489" s="3" t="s">
        <v>13703</v>
      </c>
      <c r="C2489" s="5" t="s">
        <v>36</v>
      </c>
      <c r="D2489" s="5" t="s">
        <v>36</v>
      </c>
      <c r="E2489" s="5" t="s">
        <v>36</v>
      </c>
      <c r="F2489" s="5" t="s">
        <v>36</v>
      </c>
      <c r="G2489" s="6" t="s">
        <v>36</v>
      </c>
      <c r="H2489" s="4">
        <v>32.75</v>
      </c>
      <c r="I2489" s="7">
        <v>25.54</v>
      </c>
      <c r="J2489" s="3" t="s">
        <v>521</v>
      </c>
      <c r="K2489" s="9" t="s">
        <v>36</v>
      </c>
      <c r="L2489" s="6" t="s">
        <v>36</v>
      </c>
      <c r="M2489" s="3" t="s">
        <v>36</v>
      </c>
      <c r="N2489" s="3" t="s">
        <v>36</v>
      </c>
      <c r="O2489" s="8" t="s">
        <v>36</v>
      </c>
      <c r="P2489" s="3" t="s">
        <v>36</v>
      </c>
      <c r="Q2489" s="3" t="s">
        <v>36</v>
      </c>
      <c r="R2489" s="3" t="s">
        <v>36</v>
      </c>
      <c r="S2489" s="3" t="s">
        <v>36</v>
      </c>
      <c r="T2489" s="3" t="s">
        <v>2241</v>
      </c>
      <c r="U2489" s="3" t="s">
        <v>318</v>
      </c>
      <c r="V2489" s="3" t="s">
        <v>39</v>
      </c>
      <c r="W2489" s="3" t="s">
        <v>13704</v>
      </c>
      <c r="X2489" s="10" t="s">
        <v>13705</v>
      </c>
      <c r="Y2489" s="6" t="s">
        <v>108</v>
      </c>
      <c r="Z2489" s="4">
        <v>2.77</v>
      </c>
      <c r="AA2489" s="4">
        <v>10.86</v>
      </c>
      <c r="AB2489" s="3" t="s">
        <v>43</v>
      </c>
      <c r="AC2489" s="3" t="s">
        <v>13706</v>
      </c>
      <c r="AD2489" s="9">
        <v>44593</v>
      </c>
      <c r="AE2489" s="3" t="s">
        <v>763</v>
      </c>
      <c r="AF2489" s="3" t="s">
        <v>13707</v>
      </c>
      <c r="AG2489" s="3" t="s">
        <v>81</v>
      </c>
      <c r="AH2489" s="11">
        <f>HYPERLINK("https://my.pitchbook.com?c=189100-09T","View Company Online")</f>
      </c>
    </row>
    <row r="2490">
      <c r="A2490" s="12" t="s">
        <v>13708</v>
      </c>
      <c r="B2490" s="12" t="s">
        <v>13709</v>
      </c>
      <c r="C2490" s="19" t="s">
        <v>36</v>
      </c>
      <c r="D2490" s="19" t="s">
        <v>36</v>
      </c>
      <c r="E2490" s="19" t="s">
        <v>36</v>
      </c>
      <c r="F2490" s="19" t="s">
        <v>36</v>
      </c>
      <c r="G2490" s="15" t="s">
        <v>36</v>
      </c>
      <c r="H2490" s="14" t="s">
        <v>36</v>
      </c>
      <c r="I2490" s="18" t="s">
        <v>36</v>
      </c>
      <c r="J2490" s="12" t="s">
        <v>36</v>
      </c>
      <c r="K2490" s="13" t="s">
        <v>36</v>
      </c>
      <c r="L2490" s="15" t="s">
        <v>36</v>
      </c>
      <c r="M2490" s="12" t="s">
        <v>36</v>
      </c>
      <c r="N2490" s="12" t="s">
        <v>36</v>
      </c>
      <c r="O2490" s="17" t="s">
        <v>36</v>
      </c>
      <c r="P2490" s="12" t="s">
        <v>36</v>
      </c>
      <c r="Q2490" s="12" t="s">
        <v>36</v>
      </c>
      <c r="R2490" s="12" t="s">
        <v>36</v>
      </c>
      <c r="S2490" s="12" t="s">
        <v>36</v>
      </c>
      <c r="T2490" s="12" t="s">
        <v>123</v>
      </c>
      <c r="U2490" s="12" t="s">
        <v>38</v>
      </c>
      <c r="V2490" s="12" t="s">
        <v>39</v>
      </c>
      <c r="W2490" s="12" t="s">
        <v>13710</v>
      </c>
      <c r="X2490" s="16" t="s">
        <v>13670</v>
      </c>
      <c r="Y2490" s="15" t="s">
        <v>42</v>
      </c>
      <c r="Z2490" s="14" t="s">
        <v>36</v>
      </c>
      <c r="AA2490" s="14" t="s">
        <v>36</v>
      </c>
      <c r="AB2490" s="12" t="s">
        <v>56</v>
      </c>
      <c r="AC2490" s="12" t="s">
        <v>13711</v>
      </c>
      <c r="AD2490" s="13">
        <v>44593</v>
      </c>
      <c r="AE2490" s="12" t="s">
        <v>110</v>
      </c>
      <c r="AF2490" s="12" t="s">
        <v>815</v>
      </c>
      <c r="AG2490" s="12" t="s">
        <v>1905</v>
      </c>
      <c r="AH2490" s="1">
        <f>HYPERLINK("https://my.pitchbook.com?c=189100-63T","View Company Online")</f>
      </c>
    </row>
    <row r="2491">
      <c r="A2491" s="3" t="s">
        <v>13712</v>
      </c>
      <c r="B2491" s="3" t="s">
        <v>13713</v>
      </c>
      <c r="C2491" s="5" t="s">
        <v>36</v>
      </c>
      <c r="D2491" s="5" t="s">
        <v>36</v>
      </c>
      <c r="E2491" s="5" t="s">
        <v>36</v>
      </c>
      <c r="F2491" s="5" t="s">
        <v>36</v>
      </c>
      <c r="G2491" s="6" t="s">
        <v>36</v>
      </c>
      <c r="H2491" s="4">
        <v>19.93</v>
      </c>
      <c r="I2491" s="7">
        <v>16.51</v>
      </c>
      <c r="J2491" s="3" t="s">
        <v>521</v>
      </c>
      <c r="K2491" s="9" t="s">
        <v>36</v>
      </c>
      <c r="L2491" s="6" t="s">
        <v>122</v>
      </c>
      <c r="M2491" s="3" t="s">
        <v>36</v>
      </c>
      <c r="N2491" s="3" t="s">
        <v>122</v>
      </c>
      <c r="O2491" s="8" t="s">
        <v>36</v>
      </c>
      <c r="P2491" s="3" t="s">
        <v>36</v>
      </c>
      <c r="Q2491" s="3" t="s">
        <v>36</v>
      </c>
      <c r="R2491" s="3" t="s">
        <v>36</v>
      </c>
      <c r="S2491" s="3" t="s">
        <v>36</v>
      </c>
      <c r="T2491" s="3" t="s">
        <v>13714</v>
      </c>
      <c r="U2491" s="3" t="s">
        <v>63</v>
      </c>
      <c r="V2491" s="3" t="s">
        <v>64</v>
      </c>
      <c r="W2491" s="3" t="s">
        <v>13715</v>
      </c>
      <c r="X2491" s="10" t="s">
        <v>13716</v>
      </c>
      <c r="Y2491" s="6" t="s">
        <v>42</v>
      </c>
      <c r="Z2491" s="4">
        <v>5.87</v>
      </c>
      <c r="AA2491" s="4">
        <v>35.54</v>
      </c>
      <c r="AB2491" s="3" t="s">
        <v>56</v>
      </c>
      <c r="AC2491" s="3" t="s">
        <v>13717</v>
      </c>
      <c r="AD2491" s="9">
        <v>44593</v>
      </c>
      <c r="AE2491" s="3" t="s">
        <v>68</v>
      </c>
      <c r="AF2491" s="3" t="s">
        <v>36</v>
      </c>
      <c r="AG2491" s="3" t="s">
        <v>81</v>
      </c>
      <c r="AH2491" s="11">
        <f>HYPERLINK("https://my.pitchbook.com?c=188694-82T","View Company Online")</f>
      </c>
    </row>
    <row r="2492">
      <c r="A2492" s="12" t="s">
        <v>13718</v>
      </c>
      <c r="B2492" s="12" t="s">
        <v>13719</v>
      </c>
      <c r="C2492" s="19" t="s">
        <v>36</v>
      </c>
      <c r="D2492" s="19" t="s">
        <v>36</v>
      </c>
      <c r="E2492" s="19" t="s">
        <v>36</v>
      </c>
      <c r="F2492" s="19" t="s">
        <v>36</v>
      </c>
      <c r="G2492" s="15" t="s">
        <v>36</v>
      </c>
      <c r="H2492" s="14" t="s">
        <v>36</v>
      </c>
      <c r="I2492" s="18" t="s">
        <v>36</v>
      </c>
      <c r="J2492" s="12" t="s">
        <v>36</v>
      </c>
      <c r="K2492" s="13" t="s">
        <v>36</v>
      </c>
      <c r="L2492" s="15" t="s">
        <v>36</v>
      </c>
      <c r="M2492" s="12" t="s">
        <v>36</v>
      </c>
      <c r="N2492" s="12" t="s">
        <v>36</v>
      </c>
      <c r="O2492" s="17" t="s">
        <v>36</v>
      </c>
      <c r="P2492" s="12" t="s">
        <v>36</v>
      </c>
      <c r="Q2492" s="12" t="s">
        <v>36</v>
      </c>
      <c r="R2492" s="12" t="s">
        <v>36</v>
      </c>
      <c r="S2492" s="12" t="s">
        <v>36</v>
      </c>
      <c r="T2492" s="12" t="s">
        <v>630</v>
      </c>
      <c r="U2492" s="12" t="s">
        <v>38</v>
      </c>
      <c r="V2492" s="12" t="s">
        <v>39</v>
      </c>
      <c r="W2492" s="12" t="s">
        <v>13720</v>
      </c>
      <c r="X2492" s="16" t="s">
        <v>13670</v>
      </c>
      <c r="Y2492" s="15" t="s">
        <v>42</v>
      </c>
      <c r="Z2492" s="14" t="s">
        <v>36</v>
      </c>
      <c r="AA2492" s="14" t="s">
        <v>36</v>
      </c>
      <c r="AB2492" s="12" t="s">
        <v>56</v>
      </c>
      <c r="AC2492" s="12" t="s">
        <v>13721</v>
      </c>
      <c r="AD2492" s="13">
        <v>44593</v>
      </c>
      <c r="AE2492" s="12" t="s">
        <v>110</v>
      </c>
      <c r="AF2492" s="12" t="s">
        <v>250</v>
      </c>
      <c r="AG2492" s="12" t="s">
        <v>2618</v>
      </c>
      <c r="AH2492" s="1">
        <f>HYPERLINK("https://my.pitchbook.com?c=189095-77T","View Company Online")</f>
      </c>
    </row>
    <row r="2493">
      <c r="A2493" s="3" t="s">
        <v>13722</v>
      </c>
      <c r="B2493" s="3" t="s">
        <v>13723</v>
      </c>
      <c r="C2493" s="5" t="s">
        <v>36</v>
      </c>
      <c r="D2493" s="5" t="s">
        <v>36</v>
      </c>
      <c r="E2493" s="5" t="s">
        <v>36</v>
      </c>
      <c r="F2493" s="5" t="s">
        <v>36</v>
      </c>
      <c r="G2493" s="6" t="s">
        <v>36</v>
      </c>
      <c r="H2493" s="4" t="s">
        <v>36</v>
      </c>
      <c r="I2493" s="7" t="s">
        <v>36</v>
      </c>
      <c r="J2493" s="3" t="s">
        <v>36</v>
      </c>
      <c r="K2493" s="9" t="s">
        <v>36</v>
      </c>
      <c r="L2493" s="6" t="s">
        <v>36</v>
      </c>
      <c r="M2493" s="3" t="s">
        <v>36</v>
      </c>
      <c r="N2493" s="3" t="s">
        <v>36</v>
      </c>
      <c r="O2493" s="8" t="s">
        <v>36</v>
      </c>
      <c r="P2493" s="3" t="s">
        <v>36</v>
      </c>
      <c r="Q2493" s="3" t="s">
        <v>36</v>
      </c>
      <c r="R2493" s="3" t="s">
        <v>36</v>
      </c>
      <c r="S2493" s="3" t="s">
        <v>36</v>
      </c>
      <c r="T2493" s="3" t="s">
        <v>1560</v>
      </c>
      <c r="U2493" s="3" t="s">
        <v>438</v>
      </c>
      <c r="V2493" s="3" t="s">
        <v>405</v>
      </c>
      <c r="W2493" s="3" t="s">
        <v>13724</v>
      </c>
      <c r="X2493" s="10" t="s">
        <v>13725</v>
      </c>
      <c r="Y2493" s="6" t="s">
        <v>55</v>
      </c>
      <c r="Z2493" s="4" t="s">
        <v>36</v>
      </c>
      <c r="AA2493" s="4" t="s">
        <v>36</v>
      </c>
      <c r="AB2493" s="3" t="s">
        <v>56</v>
      </c>
      <c r="AC2493" s="3" t="s">
        <v>13726</v>
      </c>
      <c r="AD2493" s="9">
        <v>44593</v>
      </c>
      <c r="AE2493" s="3" t="s">
        <v>438</v>
      </c>
      <c r="AF2493" s="3" t="s">
        <v>7466</v>
      </c>
      <c r="AG2493" s="3" t="s">
        <v>81</v>
      </c>
      <c r="AH2493" s="11">
        <f>HYPERLINK("https://my.pitchbook.com?c=188980-30T","View Company Online")</f>
      </c>
    </row>
    <row r="2494">
      <c r="A2494" s="12" t="s">
        <v>13727</v>
      </c>
      <c r="B2494" s="12" t="s">
        <v>13728</v>
      </c>
      <c r="C2494" s="19" t="s">
        <v>36</v>
      </c>
      <c r="D2494" s="19" t="s">
        <v>36</v>
      </c>
      <c r="E2494" s="19" t="s">
        <v>36</v>
      </c>
      <c r="F2494" s="19" t="s">
        <v>36</v>
      </c>
      <c r="G2494" s="15" t="s">
        <v>36</v>
      </c>
      <c r="H2494" s="14" t="s">
        <v>36</v>
      </c>
      <c r="I2494" s="18" t="s">
        <v>36</v>
      </c>
      <c r="J2494" s="12" t="s">
        <v>36</v>
      </c>
      <c r="K2494" s="13" t="s">
        <v>36</v>
      </c>
      <c r="L2494" s="15" t="s">
        <v>36</v>
      </c>
      <c r="M2494" s="12" t="s">
        <v>36</v>
      </c>
      <c r="N2494" s="12" t="s">
        <v>36</v>
      </c>
      <c r="O2494" s="17" t="s">
        <v>36</v>
      </c>
      <c r="P2494" s="12" t="s">
        <v>36</v>
      </c>
      <c r="Q2494" s="12" t="s">
        <v>36</v>
      </c>
      <c r="R2494" s="12" t="s">
        <v>36</v>
      </c>
      <c r="S2494" s="12" t="s">
        <v>36</v>
      </c>
      <c r="T2494" s="12" t="s">
        <v>105</v>
      </c>
      <c r="U2494" s="12" t="s">
        <v>38</v>
      </c>
      <c r="V2494" s="12" t="s">
        <v>39</v>
      </c>
      <c r="W2494" s="12" t="s">
        <v>13729</v>
      </c>
      <c r="X2494" s="16" t="s">
        <v>13730</v>
      </c>
      <c r="Y2494" s="15" t="s">
        <v>42</v>
      </c>
      <c r="Z2494" s="14" t="s">
        <v>36</v>
      </c>
      <c r="AA2494" s="14" t="s">
        <v>36</v>
      </c>
      <c r="AB2494" s="12" t="s">
        <v>43</v>
      </c>
      <c r="AC2494" s="12" t="s">
        <v>13731</v>
      </c>
      <c r="AD2494" s="13">
        <v>44593</v>
      </c>
      <c r="AE2494" s="12" t="s">
        <v>110</v>
      </c>
      <c r="AF2494" s="12" t="s">
        <v>2643</v>
      </c>
      <c r="AG2494" s="12" t="s">
        <v>1078</v>
      </c>
      <c r="AH2494" s="1">
        <f>HYPERLINK("https://my.pitchbook.com?c=189697-42T","View Company Online")</f>
      </c>
    </row>
    <row r="2495">
      <c r="A2495" s="3" t="s">
        <v>13732</v>
      </c>
      <c r="B2495" s="3" t="s">
        <v>13733</v>
      </c>
      <c r="C2495" s="5" t="s">
        <v>36</v>
      </c>
      <c r="D2495" s="5" t="s">
        <v>36</v>
      </c>
      <c r="E2495" s="5" t="s">
        <v>36</v>
      </c>
      <c r="F2495" s="5" t="s">
        <v>36</v>
      </c>
      <c r="G2495" s="6" t="s">
        <v>36</v>
      </c>
      <c r="H2495" s="4" t="s">
        <v>36</v>
      </c>
      <c r="I2495" s="7" t="s">
        <v>36</v>
      </c>
      <c r="J2495" s="3" t="s">
        <v>36</v>
      </c>
      <c r="K2495" s="9" t="s">
        <v>36</v>
      </c>
      <c r="L2495" s="6" t="s">
        <v>36</v>
      </c>
      <c r="M2495" s="3" t="s">
        <v>36</v>
      </c>
      <c r="N2495" s="3" t="s">
        <v>36</v>
      </c>
      <c r="O2495" s="8" t="s">
        <v>36</v>
      </c>
      <c r="P2495" s="3" t="s">
        <v>36</v>
      </c>
      <c r="Q2495" s="3" t="s">
        <v>36</v>
      </c>
      <c r="R2495" s="3" t="s">
        <v>36</v>
      </c>
      <c r="S2495" s="3" t="s">
        <v>36</v>
      </c>
      <c r="T2495" s="3" t="s">
        <v>1418</v>
      </c>
      <c r="U2495" s="3" t="s">
        <v>38</v>
      </c>
      <c r="V2495" s="3" t="s">
        <v>39</v>
      </c>
      <c r="W2495" s="3" t="s">
        <v>13734</v>
      </c>
      <c r="X2495" s="10" t="s">
        <v>13735</v>
      </c>
      <c r="Y2495" s="6" t="s">
        <v>42</v>
      </c>
      <c r="Z2495" s="4" t="s">
        <v>36</v>
      </c>
      <c r="AA2495" s="4" t="s">
        <v>36</v>
      </c>
      <c r="AB2495" s="3" t="s">
        <v>43</v>
      </c>
      <c r="AC2495" s="3" t="s">
        <v>13736</v>
      </c>
      <c r="AD2495" s="9">
        <v>44593</v>
      </c>
      <c r="AE2495" s="3" t="s">
        <v>1422</v>
      </c>
      <c r="AF2495" s="3" t="s">
        <v>4284</v>
      </c>
      <c r="AG2495" s="3" t="s">
        <v>1447</v>
      </c>
      <c r="AH2495" s="11">
        <f>HYPERLINK("https://my.pitchbook.com?c=189567-55T","View Company Online")</f>
      </c>
    </row>
    <row r="2496">
      <c r="A2496" s="12" t="s">
        <v>13737</v>
      </c>
      <c r="B2496" s="12" t="s">
        <v>8682</v>
      </c>
      <c r="C2496" s="19">
        <v>4</v>
      </c>
      <c r="D2496" s="19">
        <v>9</v>
      </c>
      <c r="E2496" s="19">
        <v>5</v>
      </c>
      <c r="F2496" s="19">
        <v>15</v>
      </c>
      <c r="G2496" s="15" t="s">
        <v>36</v>
      </c>
      <c r="H2496" s="14" t="s">
        <v>36</v>
      </c>
      <c r="I2496" s="18" t="s">
        <v>36</v>
      </c>
      <c r="J2496" s="12" t="s">
        <v>36</v>
      </c>
      <c r="K2496" s="13" t="s">
        <v>36</v>
      </c>
      <c r="L2496" s="15" t="s">
        <v>36</v>
      </c>
      <c r="M2496" s="12" t="s">
        <v>36</v>
      </c>
      <c r="N2496" s="12" t="s">
        <v>36</v>
      </c>
      <c r="O2496" s="17" t="s">
        <v>36</v>
      </c>
      <c r="P2496" s="12" t="s">
        <v>36</v>
      </c>
      <c r="Q2496" s="12" t="s">
        <v>36</v>
      </c>
      <c r="R2496" s="12" t="s">
        <v>36</v>
      </c>
      <c r="S2496" s="12" t="s">
        <v>36</v>
      </c>
      <c r="T2496" s="12" t="s">
        <v>2647</v>
      </c>
      <c r="U2496" s="12" t="s">
        <v>1502</v>
      </c>
      <c r="V2496" s="12" t="s">
        <v>75</v>
      </c>
      <c r="W2496" s="12" t="s">
        <v>8683</v>
      </c>
      <c r="X2496" s="16" t="s">
        <v>13738</v>
      </c>
      <c r="Y2496" s="15" t="s">
        <v>42</v>
      </c>
      <c r="Z2496" s="14">
        <v>3.4</v>
      </c>
      <c r="AA2496" s="14" t="s">
        <v>36</v>
      </c>
      <c r="AB2496" s="12" t="s">
        <v>43</v>
      </c>
      <c r="AC2496" s="12" t="s">
        <v>8685</v>
      </c>
      <c r="AD2496" s="13">
        <v>44592</v>
      </c>
      <c r="AE2496" s="12" t="s">
        <v>1822</v>
      </c>
      <c r="AF2496" s="12" t="s">
        <v>601</v>
      </c>
      <c r="AG2496" s="12" t="s">
        <v>8686</v>
      </c>
      <c r="AH2496" s="1">
        <f>HYPERLINK("https://my.pitchbook.com?c=204509-98T","View Company Online")</f>
      </c>
    </row>
    <row r="2497">
      <c r="A2497" s="3" t="s">
        <v>13739</v>
      </c>
      <c r="B2497" s="3" t="s">
        <v>13740</v>
      </c>
      <c r="C2497" s="5" t="s">
        <v>36</v>
      </c>
      <c r="D2497" s="5" t="s">
        <v>36</v>
      </c>
      <c r="E2497" s="5" t="s">
        <v>36</v>
      </c>
      <c r="F2497" s="5" t="s">
        <v>36</v>
      </c>
      <c r="G2497" s="6" t="s">
        <v>326</v>
      </c>
      <c r="H2497" s="4" t="s">
        <v>36</v>
      </c>
      <c r="I2497" s="7">
        <v>16.99</v>
      </c>
      <c r="J2497" s="3" t="s">
        <v>327</v>
      </c>
      <c r="K2497" s="9">
        <v>44559</v>
      </c>
      <c r="L2497" s="6" t="s">
        <v>94</v>
      </c>
      <c r="M2497" s="3" t="s">
        <v>36</v>
      </c>
      <c r="N2497" s="3" t="s">
        <v>94</v>
      </c>
      <c r="O2497" s="8" t="s">
        <v>36</v>
      </c>
      <c r="P2497" s="3" t="s">
        <v>36</v>
      </c>
      <c r="Q2497" s="3" t="s">
        <v>36</v>
      </c>
      <c r="R2497" s="3" t="s">
        <v>36</v>
      </c>
      <c r="S2497" s="3" t="s">
        <v>13741</v>
      </c>
      <c r="T2497" s="3" t="s">
        <v>2498</v>
      </c>
      <c r="U2497" s="3" t="s">
        <v>956</v>
      </c>
      <c r="V2497" s="3" t="s">
        <v>405</v>
      </c>
      <c r="W2497" s="3" t="s">
        <v>13742</v>
      </c>
      <c r="X2497" s="10" t="s">
        <v>13743</v>
      </c>
      <c r="Y2497" s="6" t="s">
        <v>55</v>
      </c>
      <c r="Z2497" s="4">
        <v>135.87</v>
      </c>
      <c r="AA2497" s="4">
        <v>799.74</v>
      </c>
      <c r="AB2497" s="3" t="s">
        <v>43</v>
      </c>
      <c r="AC2497" s="3" t="s">
        <v>13744</v>
      </c>
      <c r="AD2497" s="9">
        <v>44592</v>
      </c>
      <c r="AE2497" s="3" t="s">
        <v>960</v>
      </c>
      <c r="AF2497" s="3" t="s">
        <v>13745</v>
      </c>
      <c r="AG2497" s="3" t="s">
        <v>81</v>
      </c>
      <c r="AH2497" s="11">
        <f>HYPERLINK("https://my.pitchbook.com?c=186975-55T","View Company Online")</f>
      </c>
    </row>
    <row r="2498">
      <c r="A2498" s="12" t="s">
        <v>13746</v>
      </c>
      <c r="B2498" s="12" t="s">
        <v>9259</v>
      </c>
      <c r="C2498" s="19" t="s">
        <v>36</v>
      </c>
      <c r="D2498" s="19" t="s">
        <v>36</v>
      </c>
      <c r="E2498" s="19" t="s">
        <v>36</v>
      </c>
      <c r="F2498" s="19" t="s">
        <v>36</v>
      </c>
      <c r="G2498" s="15" t="s">
        <v>36</v>
      </c>
      <c r="H2498" s="14" t="s">
        <v>36</v>
      </c>
      <c r="I2498" s="18" t="s">
        <v>36</v>
      </c>
      <c r="J2498" s="12" t="s">
        <v>36</v>
      </c>
      <c r="K2498" s="13">
        <v>44385</v>
      </c>
      <c r="L2498" s="15" t="s">
        <v>36</v>
      </c>
      <c r="M2498" s="12" t="s">
        <v>36</v>
      </c>
      <c r="N2498" s="12" t="s">
        <v>36</v>
      </c>
      <c r="O2498" s="17" t="s">
        <v>36</v>
      </c>
      <c r="P2498" s="12" t="s">
        <v>36</v>
      </c>
      <c r="Q2498" s="12" t="s">
        <v>36</v>
      </c>
      <c r="R2498" s="12" t="s">
        <v>36</v>
      </c>
      <c r="S2498" s="12" t="s">
        <v>36</v>
      </c>
      <c r="T2498" s="12" t="s">
        <v>4361</v>
      </c>
      <c r="U2498" s="12" t="s">
        <v>648</v>
      </c>
      <c r="V2498" s="12" t="s">
        <v>64</v>
      </c>
      <c r="W2498" s="12" t="s">
        <v>9260</v>
      </c>
      <c r="X2498" s="16" t="s">
        <v>13747</v>
      </c>
      <c r="Y2498" s="15" t="s">
        <v>55</v>
      </c>
      <c r="Z2498" s="14" t="s">
        <v>36</v>
      </c>
      <c r="AA2498" s="14" t="s">
        <v>36</v>
      </c>
      <c r="AB2498" s="12" t="s">
        <v>43</v>
      </c>
      <c r="AC2498" s="12" t="s">
        <v>9262</v>
      </c>
      <c r="AD2498" s="13">
        <v>44592</v>
      </c>
      <c r="AE2498" s="12" t="s">
        <v>651</v>
      </c>
      <c r="AF2498" s="12" t="s">
        <v>118</v>
      </c>
      <c r="AG2498" s="12" t="s">
        <v>81</v>
      </c>
      <c r="AH2498" s="1">
        <f>HYPERLINK("https://my.pitchbook.com?c=225986-14T","View Company Online")</f>
      </c>
    </row>
    <row r="2499">
      <c r="A2499" s="3" t="s">
        <v>13748</v>
      </c>
      <c r="B2499" s="3" t="s">
        <v>4251</v>
      </c>
      <c r="C2499" s="5" t="s">
        <v>36</v>
      </c>
      <c r="D2499" s="5" t="s">
        <v>36</v>
      </c>
      <c r="E2499" s="5" t="s">
        <v>36</v>
      </c>
      <c r="F2499" s="5" t="s">
        <v>36</v>
      </c>
      <c r="G2499" s="6" t="s">
        <v>326</v>
      </c>
      <c r="H2499" s="4">
        <v>231.94</v>
      </c>
      <c r="I2499" s="7">
        <v>11.81</v>
      </c>
      <c r="J2499" s="3" t="s">
        <v>521</v>
      </c>
      <c r="K2499" s="9" t="s">
        <v>36</v>
      </c>
      <c r="L2499" s="6" t="s">
        <v>94</v>
      </c>
      <c r="M2499" s="3" t="s">
        <v>36</v>
      </c>
      <c r="N2499" s="3" t="s">
        <v>94</v>
      </c>
      <c r="O2499" s="8" t="s">
        <v>36</v>
      </c>
      <c r="P2499" s="3" t="s">
        <v>36</v>
      </c>
      <c r="Q2499" s="3" t="s">
        <v>36</v>
      </c>
      <c r="R2499" s="3" t="s">
        <v>36</v>
      </c>
      <c r="S2499" s="3" t="s">
        <v>36</v>
      </c>
      <c r="T2499" s="3" t="s">
        <v>4252</v>
      </c>
      <c r="U2499" s="3" t="s">
        <v>38</v>
      </c>
      <c r="V2499" s="3" t="s">
        <v>39</v>
      </c>
      <c r="W2499" s="3" t="s">
        <v>4253</v>
      </c>
      <c r="X2499" s="10" t="s">
        <v>13749</v>
      </c>
      <c r="Y2499" s="6" t="s">
        <v>192</v>
      </c>
      <c r="Z2499" s="4">
        <v>57.75</v>
      </c>
      <c r="AA2499" s="4">
        <v>488.81</v>
      </c>
      <c r="AB2499" s="3" t="s">
        <v>56</v>
      </c>
      <c r="AC2499" s="3" t="s">
        <v>4255</v>
      </c>
      <c r="AD2499" s="9">
        <v>44592</v>
      </c>
      <c r="AE2499" s="3" t="s">
        <v>45</v>
      </c>
      <c r="AF2499" s="3" t="s">
        <v>331</v>
      </c>
      <c r="AG2499" s="3" t="s">
        <v>4256</v>
      </c>
      <c r="AH2499" s="11">
        <f>HYPERLINK("https://my.pitchbook.com?c=187472-98T","View Company Online")</f>
      </c>
    </row>
    <row r="2500">
      <c r="A2500" s="12" t="s">
        <v>13750</v>
      </c>
      <c r="B2500" s="12" t="s">
        <v>4571</v>
      </c>
      <c r="C2500" s="19">
        <v>3</v>
      </c>
      <c r="D2500" s="19">
        <v>8</v>
      </c>
      <c r="E2500" s="19">
        <v>4</v>
      </c>
      <c r="F2500" s="19">
        <v>11</v>
      </c>
      <c r="G2500" s="15" t="s">
        <v>326</v>
      </c>
      <c r="H2500" s="14">
        <v>621.06</v>
      </c>
      <c r="I2500" s="18">
        <v>15.43</v>
      </c>
      <c r="J2500" s="12" t="s">
        <v>521</v>
      </c>
      <c r="K2500" s="13" t="s">
        <v>36</v>
      </c>
      <c r="L2500" s="15" t="s">
        <v>36</v>
      </c>
      <c r="M2500" s="12" t="s">
        <v>36</v>
      </c>
      <c r="N2500" s="12" t="s">
        <v>36</v>
      </c>
      <c r="O2500" s="17" t="s">
        <v>36</v>
      </c>
      <c r="P2500" s="12" t="s">
        <v>36</v>
      </c>
      <c r="Q2500" s="12" t="s">
        <v>36</v>
      </c>
      <c r="R2500" s="12" t="s">
        <v>36</v>
      </c>
      <c r="S2500" s="12" t="s">
        <v>36</v>
      </c>
      <c r="T2500" s="12" t="s">
        <v>4572</v>
      </c>
      <c r="U2500" s="12" t="s">
        <v>423</v>
      </c>
      <c r="V2500" s="12" t="s">
        <v>64</v>
      </c>
      <c r="W2500" s="12" t="s">
        <v>4573</v>
      </c>
      <c r="X2500" s="16" t="s">
        <v>13751</v>
      </c>
      <c r="Y2500" s="15" t="s">
        <v>108</v>
      </c>
      <c r="Z2500" s="14">
        <v>1.36</v>
      </c>
      <c r="AA2500" s="14">
        <v>5.02</v>
      </c>
      <c r="AB2500" s="12" t="s">
        <v>43</v>
      </c>
      <c r="AC2500" s="12" t="s">
        <v>4575</v>
      </c>
      <c r="AD2500" s="13">
        <v>44592</v>
      </c>
      <c r="AE2500" s="12" t="s">
        <v>2871</v>
      </c>
      <c r="AF2500" s="12" t="s">
        <v>571</v>
      </c>
      <c r="AG2500" s="12" t="s">
        <v>186</v>
      </c>
      <c r="AH2500" s="1">
        <f>HYPERLINK("https://my.pitchbook.com?c=212311-63T","View Company Online")</f>
      </c>
    </row>
    <row r="2501">
      <c r="A2501" s="3" t="s">
        <v>13752</v>
      </c>
      <c r="B2501" s="3" t="s">
        <v>2614</v>
      </c>
      <c r="C2501" s="5" t="s">
        <v>36</v>
      </c>
      <c r="D2501" s="5" t="s">
        <v>36</v>
      </c>
      <c r="E2501" s="5" t="s">
        <v>36</v>
      </c>
      <c r="F2501" s="5" t="s">
        <v>36</v>
      </c>
      <c r="G2501" s="6" t="s">
        <v>326</v>
      </c>
      <c r="H2501" s="4">
        <v>14.74</v>
      </c>
      <c r="I2501" s="7">
        <v>13.32</v>
      </c>
      <c r="J2501" s="3" t="s">
        <v>521</v>
      </c>
      <c r="K2501" s="9" t="s">
        <v>36</v>
      </c>
      <c r="L2501" s="6" t="s">
        <v>1279</v>
      </c>
      <c r="M2501" s="3" t="s">
        <v>36</v>
      </c>
      <c r="N2501" s="3" t="s">
        <v>1279</v>
      </c>
      <c r="O2501" s="8" t="s">
        <v>36</v>
      </c>
      <c r="P2501" s="3" t="s">
        <v>36</v>
      </c>
      <c r="Q2501" s="3" t="s">
        <v>36</v>
      </c>
      <c r="R2501" s="3" t="s">
        <v>36</v>
      </c>
      <c r="S2501" s="3" t="s">
        <v>36</v>
      </c>
      <c r="T2501" s="3" t="s">
        <v>1253</v>
      </c>
      <c r="U2501" s="3" t="s">
        <v>38</v>
      </c>
      <c r="V2501" s="3" t="s">
        <v>39</v>
      </c>
      <c r="W2501" s="3" t="s">
        <v>2615</v>
      </c>
      <c r="X2501" s="10" t="s">
        <v>13753</v>
      </c>
      <c r="Y2501" s="6" t="s">
        <v>166</v>
      </c>
      <c r="Z2501" s="4">
        <v>238.06</v>
      </c>
      <c r="AA2501" s="4">
        <v>595.69</v>
      </c>
      <c r="AB2501" s="3" t="s">
        <v>56</v>
      </c>
      <c r="AC2501" s="3" t="s">
        <v>2617</v>
      </c>
      <c r="AD2501" s="9">
        <v>44590</v>
      </c>
      <c r="AE2501" s="3" t="s">
        <v>45</v>
      </c>
      <c r="AF2501" s="3" t="s">
        <v>215</v>
      </c>
      <c r="AG2501" s="3" t="s">
        <v>2618</v>
      </c>
      <c r="AH2501" s="11">
        <f>HYPERLINK("https://my.pitchbook.com?c=188229-07T","View Company Online")</f>
      </c>
    </row>
    <row r="2502">
      <c r="A2502" s="12" t="s">
        <v>13754</v>
      </c>
      <c r="B2502" s="12" t="s">
        <v>13755</v>
      </c>
      <c r="C2502" s="19" t="s">
        <v>36</v>
      </c>
      <c r="D2502" s="19" t="s">
        <v>36</v>
      </c>
      <c r="E2502" s="19" t="s">
        <v>36</v>
      </c>
      <c r="F2502" s="19" t="s">
        <v>36</v>
      </c>
      <c r="G2502" s="15" t="s">
        <v>36</v>
      </c>
      <c r="H2502" s="14" t="s">
        <v>36</v>
      </c>
      <c r="I2502" s="18" t="s">
        <v>36</v>
      </c>
      <c r="J2502" s="12" t="s">
        <v>36</v>
      </c>
      <c r="K2502" s="13" t="s">
        <v>36</v>
      </c>
      <c r="L2502" s="15" t="s">
        <v>36</v>
      </c>
      <c r="M2502" s="12" t="s">
        <v>36</v>
      </c>
      <c r="N2502" s="12" t="s">
        <v>36</v>
      </c>
      <c r="O2502" s="17" t="s">
        <v>36</v>
      </c>
      <c r="P2502" s="12" t="s">
        <v>36</v>
      </c>
      <c r="Q2502" s="12" t="s">
        <v>36</v>
      </c>
      <c r="R2502" s="12" t="s">
        <v>36</v>
      </c>
      <c r="S2502" s="12" t="s">
        <v>36</v>
      </c>
      <c r="T2502" s="12" t="s">
        <v>9456</v>
      </c>
      <c r="U2502" s="12" t="s">
        <v>63</v>
      </c>
      <c r="V2502" s="12" t="s">
        <v>64</v>
      </c>
      <c r="W2502" s="12" t="s">
        <v>13756</v>
      </c>
      <c r="X2502" s="16" t="s">
        <v>13757</v>
      </c>
      <c r="Y2502" s="15" t="s">
        <v>108</v>
      </c>
      <c r="Z2502" s="14">
        <v>2.84</v>
      </c>
      <c r="AA2502" s="14" t="s">
        <v>36</v>
      </c>
      <c r="AB2502" s="12" t="s">
        <v>43</v>
      </c>
      <c r="AC2502" s="12" t="s">
        <v>13758</v>
      </c>
      <c r="AD2502" s="13">
        <v>44589</v>
      </c>
      <c r="AE2502" s="12" t="s">
        <v>4310</v>
      </c>
      <c r="AF2502" s="12" t="s">
        <v>36</v>
      </c>
      <c r="AG2502" s="12" t="s">
        <v>1705</v>
      </c>
      <c r="AH2502" s="1">
        <f>HYPERLINK("https://my.pitchbook.com?c=254778-58T","View Company Online")</f>
      </c>
    </row>
    <row r="2503">
      <c r="A2503" s="3" t="s">
        <v>13759</v>
      </c>
      <c r="B2503" s="3" t="s">
        <v>8954</v>
      </c>
      <c r="C2503" s="5" t="s">
        <v>36</v>
      </c>
      <c r="D2503" s="5" t="s">
        <v>36</v>
      </c>
      <c r="E2503" s="5" t="s">
        <v>36</v>
      </c>
      <c r="F2503" s="5" t="s">
        <v>36</v>
      </c>
      <c r="G2503" s="6" t="s">
        <v>36</v>
      </c>
      <c r="H2503" s="4">
        <v>3323.41</v>
      </c>
      <c r="I2503" s="7">
        <v>12.43</v>
      </c>
      <c r="J2503" s="3" t="s">
        <v>521</v>
      </c>
      <c r="K2503" s="9">
        <v>44404</v>
      </c>
      <c r="L2503" s="6" t="s">
        <v>36</v>
      </c>
      <c r="M2503" s="3" t="s">
        <v>36</v>
      </c>
      <c r="N2503" s="3" t="s">
        <v>36</v>
      </c>
      <c r="O2503" s="8" t="s">
        <v>36</v>
      </c>
      <c r="P2503" s="3" t="s">
        <v>36</v>
      </c>
      <c r="Q2503" s="3" t="s">
        <v>36</v>
      </c>
      <c r="R2503" s="3" t="s">
        <v>36</v>
      </c>
      <c r="S2503" s="3" t="s">
        <v>36</v>
      </c>
      <c r="T2503" s="3" t="s">
        <v>1701</v>
      </c>
      <c r="U2503" s="3" t="s">
        <v>74</v>
      </c>
      <c r="V2503" s="3" t="s">
        <v>75</v>
      </c>
      <c r="W2503" s="3" t="s">
        <v>8955</v>
      </c>
      <c r="X2503" s="10" t="s">
        <v>2433</v>
      </c>
      <c r="Y2503" s="6" t="s">
        <v>42</v>
      </c>
      <c r="Z2503" s="4">
        <v>0.52</v>
      </c>
      <c r="AA2503" s="4">
        <v>4.15</v>
      </c>
      <c r="AB2503" s="3" t="s">
        <v>43</v>
      </c>
      <c r="AC2503" s="3" t="s">
        <v>8956</v>
      </c>
      <c r="AD2503" s="9">
        <v>44589</v>
      </c>
      <c r="AE2503" s="3" t="s">
        <v>79</v>
      </c>
      <c r="AF2503" s="3" t="s">
        <v>1401</v>
      </c>
      <c r="AG2503" s="3" t="s">
        <v>81</v>
      </c>
      <c r="AH2503" s="11">
        <f>HYPERLINK("https://my.pitchbook.com?c=220140-91T","View Company Online")</f>
      </c>
    </row>
    <row r="2504">
      <c r="A2504" s="12" t="s">
        <v>13760</v>
      </c>
      <c r="B2504" s="12" t="s">
        <v>13761</v>
      </c>
      <c r="C2504" s="19" t="s">
        <v>36</v>
      </c>
      <c r="D2504" s="19" t="s">
        <v>36</v>
      </c>
      <c r="E2504" s="19" t="s">
        <v>36</v>
      </c>
      <c r="F2504" s="19" t="s">
        <v>36</v>
      </c>
      <c r="G2504" s="15" t="s">
        <v>326</v>
      </c>
      <c r="H2504" s="14">
        <v>1.94</v>
      </c>
      <c r="I2504" s="18">
        <v>17.56</v>
      </c>
      <c r="J2504" s="12" t="s">
        <v>521</v>
      </c>
      <c r="K2504" s="13" t="s">
        <v>36</v>
      </c>
      <c r="L2504" s="15" t="s">
        <v>36</v>
      </c>
      <c r="M2504" s="12" t="s">
        <v>36</v>
      </c>
      <c r="N2504" s="12" t="s">
        <v>36</v>
      </c>
      <c r="O2504" s="17" t="s">
        <v>36</v>
      </c>
      <c r="P2504" s="12" t="s">
        <v>36</v>
      </c>
      <c r="Q2504" s="12" t="s">
        <v>36</v>
      </c>
      <c r="R2504" s="12" t="s">
        <v>36</v>
      </c>
      <c r="S2504" s="12" t="s">
        <v>36</v>
      </c>
      <c r="T2504" s="12" t="s">
        <v>13762</v>
      </c>
      <c r="U2504" s="12" t="s">
        <v>38</v>
      </c>
      <c r="V2504" s="12" t="s">
        <v>39</v>
      </c>
      <c r="W2504" s="12" t="s">
        <v>13763</v>
      </c>
      <c r="X2504" s="16" t="s">
        <v>13764</v>
      </c>
      <c r="Y2504" s="15" t="s">
        <v>108</v>
      </c>
      <c r="Z2504" s="14">
        <v>1.2</v>
      </c>
      <c r="AA2504" s="14">
        <v>6.86</v>
      </c>
      <c r="AB2504" s="12" t="s">
        <v>56</v>
      </c>
      <c r="AC2504" s="12" t="s">
        <v>13765</v>
      </c>
      <c r="AD2504" s="13">
        <v>44589</v>
      </c>
      <c r="AE2504" s="12" t="s">
        <v>688</v>
      </c>
      <c r="AF2504" s="12" t="s">
        <v>176</v>
      </c>
      <c r="AG2504" s="12" t="s">
        <v>81</v>
      </c>
      <c r="AH2504" s="1">
        <f>HYPERLINK("https://my.pitchbook.com?c=186021-46T","View Company Online")</f>
      </c>
    </row>
    <row r="2505">
      <c r="A2505" s="3" t="s">
        <v>13766</v>
      </c>
      <c r="B2505" s="3" t="s">
        <v>2825</v>
      </c>
      <c r="C2505" s="5" t="s">
        <v>36</v>
      </c>
      <c r="D2505" s="5" t="s">
        <v>36</v>
      </c>
      <c r="E2505" s="5" t="s">
        <v>36</v>
      </c>
      <c r="F2505" s="5" t="s">
        <v>36</v>
      </c>
      <c r="G2505" s="6" t="s">
        <v>326</v>
      </c>
      <c r="H2505" s="4">
        <v>18.98</v>
      </c>
      <c r="I2505" s="7">
        <v>27.85</v>
      </c>
      <c r="J2505" s="3" t="s">
        <v>521</v>
      </c>
      <c r="K2505" s="9" t="s">
        <v>36</v>
      </c>
      <c r="L2505" s="6" t="s">
        <v>122</v>
      </c>
      <c r="M2505" s="3" t="s">
        <v>36</v>
      </c>
      <c r="N2505" s="3" t="s">
        <v>122</v>
      </c>
      <c r="O2505" s="8" t="s">
        <v>36</v>
      </c>
      <c r="P2505" s="3" t="s">
        <v>36</v>
      </c>
      <c r="Q2505" s="3" t="s">
        <v>36</v>
      </c>
      <c r="R2505" s="3" t="s">
        <v>36</v>
      </c>
      <c r="S2505" s="3" t="s">
        <v>1588</v>
      </c>
      <c r="T2505" s="3" t="s">
        <v>2826</v>
      </c>
      <c r="U2505" s="3" t="s">
        <v>38</v>
      </c>
      <c r="V2505" s="3" t="s">
        <v>39</v>
      </c>
      <c r="W2505" s="3" t="s">
        <v>2827</v>
      </c>
      <c r="X2505" s="10" t="s">
        <v>13767</v>
      </c>
      <c r="Y2505" s="6" t="s">
        <v>166</v>
      </c>
      <c r="Z2505" s="4">
        <v>6.81</v>
      </c>
      <c r="AA2505" s="4">
        <v>22.64</v>
      </c>
      <c r="AB2505" s="3" t="s">
        <v>56</v>
      </c>
      <c r="AC2505" s="3" t="s">
        <v>2829</v>
      </c>
      <c r="AD2505" s="9">
        <v>44588</v>
      </c>
      <c r="AE2505" s="3" t="s">
        <v>1200</v>
      </c>
      <c r="AF2505" s="3" t="s">
        <v>2830</v>
      </c>
      <c r="AG2505" s="3" t="s">
        <v>2831</v>
      </c>
      <c r="AH2505" s="11">
        <f>HYPERLINK("https://my.pitchbook.com?c=187303-96T","View Company Online")</f>
      </c>
    </row>
    <row r="2506">
      <c r="A2506" s="12" t="s">
        <v>13768</v>
      </c>
      <c r="B2506" s="12" t="s">
        <v>13769</v>
      </c>
      <c r="C2506" s="19" t="s">
        <v>36</v>
      </c>
      <c r="D2506" s="19" t="s">
        <v>36</v>
      </c>
      <c r="E2506" s="19" t="s">
        <v>36</v>
      </c>
      <c r="F2506" s="19" t="s">
        <v>36</v>
      </c>
      <c r="G2506" s="15" t="s">
        <v>326</v>
      </c>
      <c r="H2506" s="14">
        <v>104.38</v>
      </c>
      <c r="I2506" s="18">
        <v>9.24</v>
      </c>
      <c r="J2506" s="12" t="s">
        <v>521</v>
      </c>
      <c r="K2506" s="13" t="s">
        <v>36</v>
      </c>
      <c r="L2506" s="15" t="s">
        <v>36</v>
      </c>
      <c r="M2506" s="12" t="s">
        <v>36</v>
      </c>
      <c r="N2506" s="12" t="s">
        <v>36</v>
      </c>
      <c r="O2506" s="17" t="s">
        <v>36</v>
      </c>
      <c r="P2506" s="12" t="s">
        <v>36</v>
      </c>
      <c r="Q2506" s="12" t="s">
        <v>36</v>
      </c>
      <c r="R2506" s="12" t="s">
        <v>36</v>
      </c>
      <c r="S2506" s="12" t="s">
        <v>36</v>
      </c>
      <c r="T2506" s="12" t="s">
        <v>13770</v>
      </c>
      <c r="U2506" s="12" t="s">
        <v>289</v>
      </c>
      <c r="V2506" s="12" t="s">
        <v>64</v>
      </c>
      <c r="W2506" s="12" t="s">
        <v>13771</v>
      </c>
      <c r="X2506" s="16" t="s">
        <v>13772</v>
      </c>
      <c r="Y2506" s="15" t="s">
        <v>108</v>
      </c>
      <c r="Z2506" s="14">
        <v>0.18</v>
      </c>
      <c r="AA2506" s="14">
        <v>1.89</v>
      </c>
      <c r="AB2506" s="12" t="s">
        <v>56</v>
      </c>
      <c r="AC2506" s="12" t="s">
        <v>13773</v>
      </c>
      <c r="AD2506" s="13">
        <v>44588</v>
      </c>
      <c r="AE2506" s="12" t="s">
        <v>3134</v>
      </c>
      <c r="AF2506" s="12" t="s">
        <v>1061</v>
      </c>
      <c r="AG2506" s="12" t="s">
        <v>81</v>
      </c>
      <c r="AH2506" s="1">
        <f>HYPERLINK("https://my.pitchbook.com?c=186021-55T","View Company Online")</f>
      </c>
    </row>
    <row r="2507">
      <c r="A2507" s="3" t="s">
        <v>13774</v>
      </c>
      <c r="B2507" s="3" t="s">
        <v>13775</v>
      </c>
      <c r="C2507" s="5" t="s">
        <v>36</v>
      </c>
      <c r="D2507" s="5" t="s">
        <v>36</v>
      </c>
      <c r="E2507" s="5" t="s">
        <v>36</v>
      </c>
      <c r="F2507" s="5" t="s">
        <v>36</v>
      </c>
      <c r="G2507" s="6" t="s">
        <v>36</v>
      </c>
      <c r="H2507" s="4">
        <v>41.53</v>
      </c>
      <c r="I2507" s="7">
        <v>14.14</v>
      </c>
      <c r="J2507" s="3" t="s">
        <v>521</v>
      </c>
      <c r="K2507" s="9" t="s">
        <v>36</v>
      </c>
      <c r="L2507" s="6" t="s">
        <v>36</v>
      </c>
      <c r="M2507" s="3" t="s">
        <v>36</v>
      </c>
      <c r="N2507" s="3" t="s">
        <v>36</v>
      </c>
      <c r="O2507" s="8" t="s">
        <v>36</v>
      </c>
      <c r="P2507" s="3" t="s">
        <v>36</v>
      </c>
      <c r="Q2507" s="3" t="s">
        <v>36</v>
      </c>
      <c r="R2507" s="3" t="s">
        <v>36</v>
      </c>
      <c r="S2507" s="3" t="s">
        <v>36</v>
      </c>
      <c r="T2507" s="3" t="s">
        <v>115</v>
      </c>
      <c r="U2507" s="3" t="s">
        <v>63</v>
      </c>
      <c r="V2507" s="3" t="s">
        <v>64</v>
      </c>
      <c r="W2507" s="3" t="s">
        <v>13776</v>
      </c>
      <c r="X2507" s="10" t="s">
        <v>13777</v>
      </c>
      <c r="Y2507" s="6" t="s">
        <v>42</v>
      </c>
      <c r="Z2507" s="4">
        <v>0.85</v>
      </c>
      <c r="AA2507" s="4">
        <v>6</v>
      </c>
      <c r="AB2507" s="3" t="s">
        <v>43</v>
      </c>
      <c r="AC2507" s="3" t="s">
        <v>13778</v>
      </c>
      <c r="AD2507" s="9">
        <v>44588</v>
      </c>
      <c r="AE2507" s="3" t="s">
        <v>68</v>
      </c>
      <c r="AF2507" s="3" t="s">
        <v>6536</v>
      </c>
      <c r="AG2507" s="3" t="s">
        <v>81</v>
      </c>
      <c r="AH2507" s="11">
        <f>HYPERLINK("https://my.pitchbook.com?c=179896-87T","View Company Online")</f>
      </c>
    </row>
    <row r="2508">
      <c r="A2508" s="12" t="s">
        <v>13779</v>
      </c>
      <c r="B2508" s="12" t="s">
        <v>13780</v>
      </c>
      <c r="C2508" s="19" t="s">
        <v>36</v>
      </c>
      <c r="D2508" s="19" t="s">
        <v>36</v>
      </c>
      <c r="E2508" s="19" t="s">
        <v>36</v>
      </c>
      <c r="F2508" s="19" t="s">
        <v>36</v>
      </c>
      <c r="G2508" s="15" t="s">
        <v>36</v>
      </c>
      <c r="H2508" s="14">
        <v>218.38</v>
      </c>
      <c r="I2508" s="18">
        <v>21.02</v>
      </c>
      <c r="J2508" s="12" t="s">
        <v>521</v>
      </c>
      <c r="K2508" s="13" t="s">
        <v>36</v>
      </c>
      <c r="L2508" s="15" t="s">
        <v>122</v>
      </c>
      <c r="M2508" s="12" t="s">
        <v>36</v>
      </c>
      <c r="N2508" s="12" t="s">
        <v>122</v>
      </c>
      <c r="O2508" s="17" t="s">
        <v>36</v>
      </c>
      <c r="P2508" s="12" t="s">
        <v>36</v>
      </c>
      <c r="Q2508" s="12" t="s">
        <v>36</v>
      </c>
      <c r="R2508" s="12" t="s">
        <v>36</v>
      </c>
      <c r="S2508" s="12" t="s">
        <v>36</v>
      </c>
      <c r="T2508" s="12" t="s">
        <v>13781</v>
      </c>
      <c r="U2508" s="12" t="s">
        <v>956</v>
      </c>
      <c r="V2508" s="12" t="s">
        <v>405</v>
      </c>
      <c r="W2508" s="12" t="s">
        <v>13782</v>
      </c>
      <c r="X2508" s="16" t="s">
        <v>13783</v>
      </c>
      <c r="Y2508" s="15" t="s">
        <v>108</v>
      </c>
      <c r="Z2508" s="14">
        <v>9.12</v>
      </c>
      <c r="AA2508" s="14">
        <v>43.36</v>
      </c>
      <c r="AB2508" s="12" t="s">
        <v>43</v>
      </c>
      <c r="AC2508" s="12" t="s">
        <v>13784</v>
      </c>
      <c r="AD2508" s="13">
        <v>44588</v>
      </c>
      <c r="AE2508" s="12" t="s">
        <v>1851</v>
      </c>
      <c r="AF2508" s="12" t="s">
        <v>1852</v>
      </c>
      <c r="AG2508" s="12" t="s">
        <v>81</v>
      </c>
      <c r="AH2508" s="1">
        <f>HYPERLINK("https://my.pitchbook.com?c=187300-99T","View Company Online")</f>
      </c>
    </row>
    <row r="2509">
      <c r="A2509" s="3" t="s">
        <v>13785</v>
      </c>
      <c r="B2509" s="3" t="s">
        <v>13786</v>
      </c>
      <c r="C2509" s="5" t="s">
        <v>36</v>
      </c>
      <c r="D2509" s="5" t="s">
        <v>36</v>
      </c>
      <c r="E2509" s="5" t="s">
        <v>36</v>
      </c>
      <c r="F2509" s="5" t="s">
        <v>36</v>
      </c>
      <c r="G2509" s="6" t="s">
        <v>36</v>
      </c>
      <c r="H2509" s="4" t="s">
        <v>36</v>
      </c>
      <c r="I2509" s="7" t="s">
        <v>36</v>
      </c>
      <c r="J2509" s="3" t="s">
        <v>36</v>
      </c>
      <c r="K2509" s="9" t="s">
        <v>36</v>
      </c>
      <c r="L2509" s="6" t="s">
        <v>122</v>
      </c>
      <c r="M2509" s="3" t="s">
        <v>36</v>
      </c>
      <c r="N2509" s="3" t="s">
        <v>122</v>
      </c>
      <c r="O2509" s="8" t="s">
        <v>36</v>
      </c>
      <c r="P2509" s="3" t="s">
        <v>36</v>
      </c>
      <c r="Q2509" s="3" t="s">
        <v>36</v>
      </c>
      <c r="R2509" s="3" t="s">
        <v>36</v>
      </c>
      <c r="S2509" s="3" t="s">
        <v>36</v>
      </c>
      <c r="T2509" s="3" t="s">
        <v>522</v>
      </c>
      <c r="U2509" s="3" t="s">
        <v>38</v>
      </c>
      <c r="V2509" s="3" t="s">
        <v>39</v>
      </c>
      <c r="W2509" s="3" t="s">
        <v>13787</v>
      </c>
      <c r="X2509" s="10" t="s">
        <v>13788</v>
      </c>
      <c r="Y2509" s="6" t="s">
        <v>55</v>
      </c>
      <c r="Z2509" s="4">
        <v>22</v>
      </c>
      <c r="AA2509" s="4" t="s">
        <v>36</v>
      </c>
      <c r="AB2509" s="3" t="s">
        <v>43</v>
      </c>
      <c r="AC2509" s="3" t="s">
        <v>13789</v>
      </c>
      <c r="AD2509" s="9">
        <v>44588</v>
      </c>
      <c r="AE2509" s="3" t="s">
        <v>110</v>
      </c>
      <c r="AF2509" s="3" t="s">
        <v>36</v>
      </c>
      <c r="AG2509" s="3" t="s">
        <v>2088</v>
      </c>
      <c r="AH2509" s="11">
        <f>HYPERLINK("https://my.pitchbook.com?c=187306-66T","View Company Online")</f>
      </c>
    </row>
    <row r="2510">
      <c r="A2510" s="12" t="s">
        <v>13790</v>
      </c>
      <c r="B2510" s="12" t="s">
        <v>13791</v>
      </c>
      <c r="C2510" s="19" t="s">
        <v>36</v>
      </c>
      <c r="D2510" s="19" t="s">
        <v>36</v>
      </c>
      <c r="E2510" s="19" t="s">
        <v>36</v>
      </c>
      <c r="F2510" s="19" t="s">
        <v>36</v>
      </c>
      <c r="G2510" s="15" t="s">
        <v>36</v>
      </c>
      <c r="H2510" s="14">
        <v>106.56</v>
      </c>
      <c r="I2510" s="18">
        <v>26.92</v>
      </c>
      <c r="J2510" s="12" t="s">
        <v>521</v>
      </c>
      <c r="K2510" s="13" t="s">
        <v>36</v>
      </c>
      <c r="L2510" s="15" t="s">
        <v>36</v>
      </c>
      <c r="M2510" s="12" t="s">
        <v>36</v>
      </c>
      <c r="N2510" s="12" t="s">
        <v>36</v>
      </c>
      <c r="O2510" s="17" t="s">
        <v>36</v>
      </c>
      <c r="P2510" s="12" t="s">
        <v>36</v>
      </c>
      <c r="Q2510" s="12" t="s">
        <v>36</v>
      </c>
      <c r="R2510" s="12" t="s">
        <v>36</v>
      </c>
      <c r="S2510" s="12" t="s">
        <v>36</v>
      </c>
      <c r="T2510" s="12" t="s">
        <v>6557</v>
      </c>
      <c r="U2510" s="12" t="s">
        <v>648</v>
      </c>
      <c r="V2510" s="12" t="s">
        <v>64</v>
      </c>
      <c r="W2510" s="12" t="s">
        <v>13792</v>
      </c>
      <c r="X2510" s="16" t="s">
        <v>11964</v>
      </c>
      <c r="Y2510" s="15" t="s">
        <v>108</v>
      </c>
      <c r="Z2510" s="14">
        <v>5.68</v>
      </c>
      <c r="AA2510" s="14">
        <v>16.03</v>
      </c>
      <c r="AB2510" s="12" t="s">
        <v>56</v>
      </c>
      <c r="AC2510" s="12" t="s">
        <v>13793</v>
      </c>
      <c r="AD2510" s="13">
        <v>44587</v>
      </c>
      <c r="AE2510" s="12" t="s">
        <v>1897</v>
      </c>
      <c r="AF2510" s="12" t="s">
        <v>1115</v>
      </c>
      <c r="AG2510" s="12" t="s">
        <v>2618</v>
      </c>
      <c r="AH2510" s="1">
        <f>HYPERLINK("https://my.pitchbook.com?c=187384-33T","View Company Online")</f>
      </c>
    </row>
    <row r="2511">
      <c r="A2511" s="3" t="s">
        <v>13794</v>
      </c>
      <c r="B2511" s="3" t="s">
        <v>6356</v>
      </c>
      <c r="C2511" s="5" t="s">
        <v>36</v>
      </c>
      <c r="D2511" s="5" t="s">
        <v>36</v>
      </c>
      <c r="E2511" s="5" t="s">
        <v>36</v>
      </c>
      <c r="F2511" s="5" t="s">
        <v>36</v>
      </c>
      <c r="G2511" s="6" t="s">
        <v>36</v>
      </c>
      <c r="H2511" s="4" t="s">
        <v>36</v>
      </c>
      <c r="I2511" s="7" t="s">
        <v>36</v>
      </c>
      <c r="J2511" s="3" t="s">
        <v>36</v>
      </c>
      <c r="K2511" s="9" t="s">
        <v>36</v>
      </c>
      <c r="L2511" s="6" t="s">
        <v>36</v>
      </c>
      <c r="M2511" s="3" t="s">
        <v>36</v>
      </c>
      <c r="N2511" s="3" t="s">
        <v>36</v>
      </c>
      <c r="O2511" s="8" t="s">
        <v>36</v>
      </c>
      <c r="P2511" s="3" t="s">
        <v>36</v>
      </c>
      <c r="Q2511" s="3" t="s">
        <v>36</v>
      </c>
      <c r="R2511" s="3" t="s">
        <v>36</v>
      </c>
      <c r="S2511" s="3" t="s">
        <v>36</v>
      </c>
      <c r="T2511" s="3" t="s">
        <v>6357</v>
      </c>
      <c r="U2511" s="3" t="s">
        <v>85</v>
      </c>
      <c r="V2511" s="3" t="s">
        <v>64</v>
      </c>
      <c r="W2511" s="3" t="s">
        <v>6358</v>
      </c>
      <c r="X2511" s="10" t="s">
        <v>13795</v>
      </c>
      <c r="Y2511" s="6" t="s">
        <v>42</v>
      </c>
      <c r="Z2511" s="4">
        <v>1.7</v>
      </c>
      <c r="AA2511" s="4" t="s">
        <v>36</v>
      </c>
      <c r="AB2511" s="3" t="s">
        <v>43</v>
      </c>
      <c r="AC2511" s="3" t="s">
        <v>6360</v>
      </c>
      <c r="AD2511" s="9">
        <v>44586</v>
      </c>
      <c r="AE2511" s="3" t="s">
        <v>89</v>
      </c>
      <c r="AF2511" s="3" t="s">
        <v>5007</v>
      </c>
      <c r="AG2511" s="3" t="s">
        <v>2299</v>
      </c>
      <c r="AH2511" s="11">
        <f>HYPERLINK("https://my.pitchbook.com?c=188987-95T","View Company Online")</f>
      </c>
    </row>
    <row r="2512">
      <c r="A2512" s="12" t="s">
        <v>13796</v>
      </c>
      <c r="B2512" s="12" t="s">
        <v>13797</v>
      </c>
      <c r="C2512" s="19" t="s">
        <v>36</v>
      </c>
      <c r="D2512" s="19" t="s">
        <v>36</v>
      </c>
      <c r="E2512" s="19" t="s">
        <v>36</v>
      </c>
      <c r="F2512" s="19" t="s">
        <v>36</v>
      </c>
      <c r="G2512" s="15" t="s">
        <v>36</v>
      </c>
      <c r="H2512" s="14">
        <v>61.36</v>
      </c>
      <c r="I2512" s="18">
        <v>29.72</v>
      </c>
      <c r="J2512" s="12" t="s">
        <v>521</v>
      </c>
      <c r="K2512" s="13" t="s">
        <v>36</v>
      </c>
      <c r="L2512" s="15" t="s">
        <v>36</v>
      </c>
      <c r="M2512" s="12" t="s">
        <v>36</v>
      </c>
      <c r="N2512" s="12" t="s">
        <v>36</v>
      </c>
      <c r="O2512" s="17" t="s">
        <v>36</v>
      </c>
      <c r="P2512" s="12" t="s">
        <v>36</v>
      </c>
      <c r="Q2512" s="12" t="s">
        <v>36</v>
      </c>
      <c r="R2512" s="12" t="s">
        <v>36</v>
      </c>
      <c r="S2512" s="12" t="s">
        <v>2699</v>
      </c>
      <c r="T2512" s="12" t="s">
        <v>13798</v>
      </c>
      <c r="U2512" s="12" t="s">
        <v>619</v>
      </c>
      <c r="V2512" s="12" t="s">
        <v>378</v>
      </c>
      <c r="W2512" s="12" t="s">
        <v>13799</v>
      </c>
      <c r="X2512" s="16" t="s">
        <v>13800</v>
      </c>
      <c r="Y2512" s="15" t="s">
        <v>55</v>
      </c>
      <c r="Z2512" s="14">
        <v>1.92</v>
      </c>
      <c r="AA2512" s="14">
        <v>6.46</v>
      </c>
      <c r="AB2512" s="12" t="s">
        <v>56</v>
      </c>
      <c r="AC2512" s="12" t="s">
        <v>13801</v>
      </c>
      <c r="AD2512" s="13">
        <v>44586</v>
      </c>
      <c r="AE2512" s="12" t="s">
        <v>2040</v>
      </c>
      <c r="AF2512" s="12" t="s">
        <v>2369</v>
      </c>
      <c r="AG2512" s="12" t="s">
        <v>13802</v>
      </c>
      <c r="AH2512" s="1">
        <f>HYPERLINK("https://my.pitchbook.com?c=213176-26T","View Company Online")</f>
      </c>
    </row>
    <row r="2513">
      <c r="A2513" s="3" t="s">
        <v>13803</v>
      </c>
      <c r="B2513" s="3" t="s">
        <v>1527</v>
      </c>
      <c r="C2513" s="5" t="s">
        <v>36</v>
      </c>
      <c r="D2513" s="5" t="s">
        <v>36</v>
      </c>
      <c r="E2513" s="5" t="s">
        <v>36</v>
      </c>
      <c r="F2513" s="5" t="s">
        <v>36</v>
      </c>
      <c r="G2513" s="6" t="s">
        <v>326</v>
      </c>
      <c r="H2513" s="4">
        <v>7.14</v>
      </c>
      <c r="I2513" s="7">
        <v>24.87</v>
      </c>
      <c r="J2513" s="3" t="s">
        <v>521</v>
      </c>
      <c r="K2513" s="9" t="s">
        <v>36</v>
      </c>
      <c r="L2513" s="6" t="s">
        <v>94</v>
      </c>
      <c r="M2513" s="3" t="s">
        <v>36</v>
      </c>
      <c r="N2513" s="3" t="s">
        <v>94</v>
      </c>
      <c r="O2513" s="8" t="s">
        <v>36</v>
      </c>
      <c r="P2513" s="3" t="s">
        <v>36</v>
      </c>
      <c r="Q2513" s="3" t="s">
        <v>36</v>
      </c>
      <c r="R2513" s="3" t="s">
        <v>36</v>
      </c>
      <c r="S2513" s="3" t="s">
        <v>36</v>
      </c>
      <c r="T2513" s="3" t="s">
        <v>1528</v>
      </c>
      <c r="U2513" s="3" t="s">
        <v>38</v>
      </c>
      <c r="V2513" s="3" t="s">
        <v>39</v>
      </c>
      <c r="W2513" s="3" t="s">
        <v>1529</v>
      </c>
      <c r="X2513" s="10" t="s">
        <v>13804</v>
      </c>
      <c r="Y2513" s="6" t="s">
        <v>192</v>
      </c>
      <c r="Z2513" s="4">
        <v>34.06</v>
      </c>
      <c r="AA2513" s="4">
        <v>91.81</v>
      </c>
      <c r="AB2513" s="3" t="s">
        <v>56</v>
      </c>
      <c r="AC2513" s="3" t="s">
        <v>1531</v>
      </c>
      <c r="AD2513" s="9">
        <v>44586</v>
      </c>
      <c r="AE2513" s="3" t="s">
        <v>45</v>
      </c>
      <c r="AF2513" s="3" t="s">
        <v>1532</v>
      </c>
      <c r="AG2513" s="3" t="s">
        <v>81</v>
      </c>
      <c r="AH2513" s="11">
        <f>HYPERLINK("https://my.pitchbook.com?c=187206-49T","View Company Online")</f>
      </c>
    </row>
    <row r="2514">
      <c r="A2514" s="12" t="s">
        <v>13805</v>
      </c>
      <c r="B2514" s="12" t="s">
        <v>3276</v>
      </c>
      <c r="C2514" s="19" t="s">
        <v>36</v>
      </c>
      <c r="D2514" s="19" t="s">
        <v>36</v>
      </c>
      <c r="E2514" s="19" t="s">
        <v>36</v>
      </c>
      <c r="F2514" s="19" t="s">
        <v>36</v>
      </c>
      <c r="G2514" s="15" t="s">
        <v>326</v>
      </c>
      <c r="H2514" s="14">
        <v>101.69</v>
      </c>
      <c r="I2514" s="18">
        <v>24.74</v>
      </c>
      <c r="J2514" s="12" t="s">
        <v>521</v>
      </c>
      <c r="K2514" s="13" t="s">
        <v>36</v>
      </c>
      <c r="L2514" s="15" t="s">
        <v>122</v>
      </c>
      <c r="M2514" s="12" t="s">
        <v>36</v>
      </c>
      <c r="N2514" s="12" t="s">
        <v>122</v>
      </c>
      <c r="O2514" s="17" t="s">
        <v>36</v>
      </c>
      <c r="P2514" s="12" t="s">
        <v>36</v>
      </c>
      <c r="Q2514" s="12" t="s">
        <v>36</v>
      </c>
      <c r="R2514" s="12" t="s">
        <v>36</v>
      </c>
      <c r="S2514" s="12" t="s">
        <v>36</v>
      </c>
      <c r="T2514" s="12" t="s">
        <v>3277</v>
      </c>
      <c r="U2514" s="12" t="s">
        <v>1357</v>
      </c>
      <c r="V2514" s="12" t="s">
        <v>52</v>
      </c>
      <c r="W2514" s="12" t="s">
        <v>3278</v>
      </c>
      <c r="X2514" s="16" t="s">
        <v>13806</v>
      </c>
      <c r="Y2514" s="15" t="s">
        <v>108</v>
      </c>
      <c r="Z2514" s="14">
        <v>45.68</v>
      </c>
      <c r="AA2514" s="14">
        <v>184.63</v>
      </c>
      <c r="AB2514" s="12" t="s">
        <v>43</v>
      </c>
      <c r="AC2514" s="12" t="s">
        <v>3280</v>
      </c>
      <c r="AD2514" s="13">
        <v>44586</v>
      </c>
      <c r="AE2514" s="12" t="s">
        <v>3204</v>
      </c>
      <c r="AF2514" s="12" t="s">
        <v>3281</v>
      </c>
      <c r="AG2514" s="12" t="s">
        <v>81</v>
      </c>
      <c r="AH2514" s="1">
        <f>HYPERLINK("https://my.pitchbook.com?c=187177-96T","View Company Online")</f>
      </c>
    </row>
    <row r="2515">
      <c r="A2515" s="3" t="s">
        <v>13807</v>
      </c>
      <c r="B2515" s="3" t="s">
        <v>13808</v>
      </c>
      <c r="C2515" s="5" t="s">
        <v>36</v>
      </c>
      <c r="D2515" s="5" t="s">
        <v>36</v>
      </c>
      <c r="E2515" s="5" t="s">
        <v>36</v>
      </c>
      <c r="F2515" s="5" t="s">
        <v>36</v>
      </c>
      <c r="G2515" s="6" t="s">
        <v>326</v>
      </c>
      <c r="H2515" s="4">
        <v>546.79</v>
      </c>
      <c r="I2515" s="7">
        <v>42.61</v>
      </c>
      <c r="J2515" s="3" t="s">
        <v>521</v>
      </c>
      <c r="K2515" s="9">
        <v>44540</v>
      </c>
      <c r="L2515" s="6" t="s">
        <v>122</v>
      </c>
      <c r="M2515" s="3" t="s">
        <v>36</v>
      </c>
      <c r="N2515" s="3" t="s">
        <v>122</v>
      </c>
      <c r="O2515" s="8" t="s">
        <v>36</v>
      </c>
      <c r="P2515" s="3" t="s">
        <v>36</v>
      </c>
      <c r="Q2515" s="3" t="s">
        <v>36</v>
      </c>
      <c r="R2515" s="3" t="s">
        <v>36</v>
      </c>
      <c r="S2515" s="3" t="s">
        <v>36</v>
      </c>
      <c r="T2515" s="3" t="s">
        <v>2950</v>
      </c>
      <c r="U2515" s="3" t="s">
        <v>38</v>
      </c>
      <c r="V2515" s="3" t="s">
        <v>39</v>
      </c>
      <c r="W2515" s="3" t="s">
        <v>13809</v>
      </c>
      <c r="X2515" s="10" t="s">
        <v>13810</v>
      </c>
      <c r="Y2515" s="6" t="s">
        <v>55</v>
      </c>
      <c r="Z2515" s="4">
        <v>11.35</v>
      </c>
      <c r="AA2515" s="4">
        <v>18.94</v>
      </c>
      <c r="AB2515" s="3" t="s">
        <v>56</v>
      </c>
      <c r="AC2515" s="3" t="s">
        <v>13811</v>
      </c>
      <c r="AD2515" s="9">
        <v>44586</v>
      </c>
      <c r="AE2515" s="3" t="s">
        <v>134</v>
      </c>
      <c r="AF2515" s="3" t="s">
        <v>13812</v>
      </c>
      <c r="AG2515" s="3" t="s">
        <v>7647</v>
      </c>
      <c r="AH2515" s="11">
        <f>HYPERLINK("https://my.pitchbook.com?c=187178-68T","View Company Online")</f>
      </c>
    </row>
    <row r="2516">
      <c r="A2516" s="12" t="s">
        <v>13813</v>
      </c>
      <c r="B2516" s="12" t="s">
        <v>13814</v>
      </c>
      <c r="C2516" s="19" t="s">
        <v>36</v>
      </c>
      <c r="D2516" s="19" t="s">
        <v>36</v>
      </c>
      <c r="E2516" s="19" t="s">
        <v>36</v>
      </c>
      <c r="F2516" s="19" t="s">
        <v>36</v>
      </c>
      <c r="G2516" s="15" t="s">
        <v>36</v>
      </c>
      <c r="H2516" s="14" t="s">
        <v>36</v>
      </c>
      <c r="I2516" s="18" t="s">
        <v>36</v>
      </c>
      <c r="J2516" s="12" t="s">
        <v>36</v>
      </c>
      <c r="K2516" s="13" t="s">
        <v>36</v>
      </c>
      <c r="L2516" s="15" t="s">
        <v>36</v>
      </c>
      <c r="M2516" s="12" t="s">
        <v>36</v>
      </c>
      <c r="N2516" s="12" t="s">
        <v>36</v>
      </c>
      <c r="O2516" s="17" t="s">
        <v>36</v>
      </c>
      <c r="P2516" s="12" t="s">
        <v>36</v>
      </c>
      <c r="Q2516" s="12" t="s">
        <v>36</v>
      </c>
      <c r="R2516" s="12" t="s">
        <v>36</v>
      </c>
      <c r="S2516" s="12" t="s">
        <v>36</v>
      </c>
      <c r="T2516" s="12" t="s">
        <v>3843</v>
      </c>
      <c r="U2516" s="12" t="s">
        <v>180</v>
      </c>
      <c r="V2516" s="12" t="s">
        <v>52</v>
      </c>
      <c r="W2516" s="12" t="s">
        <v>13815</v>
      </c>
      <c r="X2516" s="16" t="s">
        <v>13816</v>
      </c>
      <c r="Y2516" s="15" t="s">
        <v>108</v>
      </c>
      <c r="Z2516" s="14">
        <v>5.68</v>
      </c>
      <c r="AA2516" s="14" t="s">
        <v>36</v>
      </c>
      <c r="AB2516" s="12" t="s">
        <v>43</v>
      </c>
      <c r="AC2516" s="12" t="s">
        <v>13817</v>
      </c>
      <c r="AD2516" s="13">
        <v>44585</v>
      </c>
      <c r="AE2516" s="12" t="s">
        <v>3847</v>
      </c>
      <c r="AF2516" s="12" t="s">
        <v>13818</v>
      </c>
      <c r="AG2516" s="12" t="s">
        <v>12512</v>
      </c>
      <c r="AH2516" s="1">
        <f>HYPERLINK("https://my.pitchbook.com?c=174674-44T","View Company Online")</f>
      </c>
    </row>
    <row r="2517">
      <c r="A2517" s="3" t="s">
        <v>13819</v>
      </c>
      <c r="B2517" s="3" t="s">
        <v>13820</v>
      </c>
      <c r="C2517" s="5" t="s">
        <v>36</v>
      </c>
      <c r="D2517" s="5" t="s">
        <v>36</v>
      </c>
      <c r="E2517" s="5" t="s">
        <v>36</v>
      </c>
      <c r="F2517" s="5" t="s">
        <v>36</v>
      </c>
      <c r="G2517" s="6" t="s">
        <v>36</v>
      </c>
      <c r="H2517" s="4">
        <v>81.7</v>
      </c>
      <c r="I2517" s="7">
        <v>20.73</v>
      </c>
      <c r="J2517" s="3" t="s">
        <v>521</v>
      </c>
      <c r="K2517" s="9" t="s">
        <v>36</v>
      </c>
      <c r="L2517" s="6" t="s">
        <v>36</v>
      </c>
      <c r="M2517" s="3" t="s">
        <v>36</v>
      </c>
      <c r="N2517" s="3" t="s">
        <v>36</v>
      </c>
      <c r="O2517" s="8" t="s">
        <v>36</v>
      </c>
      <c r="P2517" s="3" t="s">
        <v>36</v>
      </c>
      <c r="Q2517" s="3" t="s">
        <v>36</v>
      </c>
      <c r="R2517" s="3" t="s">
        <v>36</v>
      </c>
      <c r="S2517" s="3" t="s">
        <v>36</v>
      </c>
      <c r="T2517" s="3" t="s">
        <v>13821</v>
      </c>
      <c r="U2517" s="3" t="s">
        <v>38</v>
      </c>
      <c r="V2517" s="3" t="s">
        <v>39</v>
      </c>
      <c r="W2517" s="3" t="s">
        <v>13822</v>
      </c>
      <c r="X2517" s="10" t="s">
        <v>2178</v>
      </c>
      <c r="Y2517" s="6" t="s">
        <v>42</v>
      </c>
      <c r="Z2517" s="4">
        <v>0.7</v>
      </c>
      <c r="AA2517" s="4">
        <v>3.38</v>
      </c>
      <c r="AB2517" s="3" t="s">
        <v>43</v>
      </c>
      <c r="AC2517" s="3" t="s">
        <v>13823</v>
      </c>
      <c r="AD2517" s="9">
        <v>44585</v>
      </c>
      <c r="AE2517" s="3" t="s">
        <v>1422</v>
      </c>
      <c r="AF2517" s="3" t="s">
        <v>7239</v>
      </c>
      <c r="AG2517" s="3" t="s">
        <v>2760</v>
      </c>
      <c r="AH2517" s="11">
        <f>HYPERLINK("https://my.pitchbook.com?c=215374-42T","View Company Online")</f>
      </c>
    </row>
    <row r="2518">
      <c r="A2518" s="12" t="s">
        <v>13824</v>
      </c>
      <c r="B2518" s="12" t="s">
        <v>13825</v>
      </c>
      <c r="C2518" s="19" t="s">
        <v>36</v>
      </c>
      <c r="D2518" s="19" t="s">
        <v>36</v>
      </c>
      <c r="E2518" s="19" t="s">
        <v>36</v>
      </c>
      <c r="F2518" s="19" t="s">
        <v>36</v>
      </c>
      <c r="G2518" s="15" t="s">
        <v>683</v>
      </c>
      <c r="H2518" s="14">
        <v>1215.12</v>
      </c>
      <c r="I2518" s="18">
        <v>15.03</v>
      </c>
      <c r="J2518" s="12" t="s">
        <v>521</v>
      </c>
      <c r="K2518" s="13" t="s">
        <v>36</v>
      </c>
      <c r="L2518" s="15" t="s">
        <v>36</v>
      </c>
      <c r="M2518" s="12" t="s">
        <v>36</v>
      </c>
      <c r="N2518" s="12" t="s">
        <v>36</v>
      </c>
      <c r="O2518" s="17" t="s">
        <v>36</v>
      </c>
      <c r="P2518" s="12" t="s">
        <v>36</v>
      </c>
      <c r="Q2518" s="12" t="s">
        <v>36</v>
      </c>
      <c r="R2518" s="12" t="s">
        <v>36</v>
      </c>
      <c r="S2518" s="12" t="s">
        <v>36</v>
      </c>
      <c r="T2518" s="12" t="s">
        <v>3330</v>
      </c>
      <c r="U2518" s="12" t="s">
        <v>438</v>
      </c>
      <c r="V2518" s="12" t="s">
        <v>405</v>
      </c>
      <c r="W2518" s="12" t="s">
        <v>13826</v>
      </c>
      <c r="X2518" s="16" t="s">
        <v>13827</v>
      </c>
      <c r="Y2518" s="15" t="s">
        <v>108</v>
      </c>
      <c r="Z2518" s="14">
        <v>0.45</v>
      </c>
      <c r="AA2518" s="14">
        <v>3.02</v>
      </c>
      <c r="AB2518" s="12" t="s">
        <v>43</v>
      </c>
      <c r="AC2518" s="12" t="s">
        <v>13828</v>
      </c>
      <c r="AD2518" s="13">
        <v>44585</v>
      </c>
      <c r="AE2518" s="12" t="s">
        <v>438</v>
      </c>
      <c r="AF2518" s="12" t="s">
        <v>215</v>
      </c>
      <c r="AG2518" s="12" t="s">
        <v>81</v>
      </c>
      <c r="AH2518" s="1">
        <f>HYPERLINK("https://my.pitchbook.com?c=200694-34T","View Company Online")</f>
      </c>
    </row>
    <row r="2519">
      <c r="A2519" s="3" t="s">
        <v>13829</v>
      </c>
      <c r="B2519" s="3" t="s">
        <v>13830</v>
      </c>
      <c r="C2519" s="5">
        <v>3</v>
      </c>
      <c r="D2519" s="5">
        <v>4</v>
      </c>
      <c r="E2519" s="5">
        <v>4</v>
      </c>
      <c r="F2519" s="5">
        <v>8</v>
      </c>
      <c r="G2519" s="6" t="s">
        <v>326</v>
      </c>
      <c r="H2519" s="4">
        <v>1205.78</v>
      </c>
      <c r="I2519" s="7">
        <v>32.84</v>
      </c>
      <c r="J2519" s="3" t="s">
        <v>521</v>
      </c>
      <c r="K2519" s="9" t="s">
        <v>36</v>
      </c>
      <c r="L2519" s="6" t="s">
        <v>122</v>
      </c>
      <c r="M2519" s="3" t="s">
        <v>36</v>
      </c>
      <c r="N2519" s="3" t="s">
        <v>122</v>
      </c>
      <c r="O2519" s="8" t="s">
        <v>36</v>
      </c>
      <c r="P2519" s="3" t="s">
        <v>36</v>
      </c>
      <c r="Q2519" s="3" t="s">
        <v>36</v>
      </c>
      <c r="R2519" s="3" t="s">
        <v>36</v>
      </c>
      <c r="S2519" s="3" t="s">
        <v>36</v>
      </c>
      <c r="T2519" s="3" t="s">
        <v>189</v>
      </c>
      <c r="U2519" s="3" t="s">
        <v>180</v>
      </c>
      <c r="V2519" s="3" t="s">
        <v>52</v>
      </c>
      <c r="W2519" s="3" t="s">
        <v>13831</v>
      </c>
      <c r="X2519" s="10" t="s">
        <v>13832</v>
      </c>
      <c r="Y2519" s="6" t="s">
        <v>55</v>
      </c>
      <c r="Z2519" s="4">
        <v>22.71</v>
      </c>
      <c r="AA2519" s="4">
        <v>57.88</v>
      </c>
      <c r="AB2519" s="3" t="s">
        <v>56</v>
      </c>
      <c r="AC2519" s="3" t="s">
        <v>13833</v>
      </c>
      <c r="AD2519" s="9">
        <v>44585</v>
      </c>
      <c r="AE2519" s="3" t="s">
        <v>184</v>
      </c>
      <c r="AF2519" s="3" t="s">
        <v>885</v>
      </c>
      <c r="AG2519" s="3" t="s">
        <v>652</v>
      </c>
      <c r="AH2519" s="11">
        <f>HYPERLINK("https://my.pitchbook.com?c=187093-99T","View Company Online")</f>
      </c>
    </row>
    <row r="2520">
      <c r="A2520" s="12" t="s">
        <v>13834</v>
      </c>
      <c r="B2520" s="12" t="s">
        <v>491</v>
      </c>
      <c r="C2520" s="19">
        <v>17</v>
      </c>
      <c r="D2520" s="19">
        <v>7</v>
      </c>
      <c r="E2520" s="19">
        <v>12</v>
      </c>
      <c r="F2520" s="19">
        <v>25</v>
      </c>
      <c r="G2520" s="15" t="s">
        <v>683</v>
      </c>
      <c r="H2520" s="14">
        <v>67.23</v>
      </c>
      <c r="I2520" s="18">
        <v>24.72</v>
      </c>
      <c r="J2520" s="12" t="s">
        <v>521</v>
      </c>
      <c r="K2520" s="13" t="s">
        <v>36</v>
      </c>
      <c r="L2520" s="15" t="s">
        <v>36</v>
      </c>
      <c r="M2520" s="12" t="s">
        <v>36</v>
      </c>
      <c r="N2520" s="12" t="s">
        <v>36</v>
      </c>
      <c r="O2520" s="17" t="s">
        <v>36</v>
      </c>
      <c r="P2520" s="12" t="s">
        <v>36</v>
      </c>
      <c r="Q2520" s="12" t="s">
        <v>36</v>
      </c>
      <c r="R2520" s="12" t="s">
        <v>36</v>
      </c>
      <c r="S2520" s="12" t="s">
        <v>36</v>
      </c>
      <c r="T2520" s="12" t="s">
        <v>492</v>
      </c>
      <c r="U2520" s="12" t="s">
        <v>96</v>
      </c>
      <c r="V2520" s="12" t="s">
        <v>52</v>
      </c>
      <c r="W2520" s="12" t="s">
        <v>493</v>
      </c>
      <c r="X2520" s="16" t="s">
        <v>13835</v>
      </c>
      <c r="Y2520" s="15" t="s">
        <v>108</v>
      </c>
      <c r="Z2520" s="14">
        <v>3.26</v>
      </c>
      <c r="AA2520" s="14">
        <v>13.2</v>
      </c>
      <c r="AB2520" s="12" t="s">
        <v>56</v>
      </c>
      <c r="AC2520" s="12" t="s">
        <v>495</v>
      </c>
      <c r="AD2520" s="13">
        <v>44583</v>
      </c>
      <c r="AE2520" s="12" t="s">
        <v>496</v>
      </c>
      <c r="AF2520" s="12" t="s">
        <v>497</v>
      </c>
      <c r="AG2520" s="12" t="s">
        <v>81</v>
      </c>
      <c r="AH2520" s="1">
        <f>HYPERLINK("https://my.pitchbook.com?c=193369-51T","View Company Online")</f>
      </c>
    </row>
    <row r="2521">
      <c r="A2521" s="3" t="s">
        <v>13836</v>
      </c>
      <c r="B2521" s="3" t="s">
        <v>13837</v>
      </c>
      <c r="C2521" s="5" t="s">
        <v>36</v>
      </c>
      <c r="D2521" s="5" t="s">
        <v>36</v>
      </c>
      <c r="E2521" s="5" t="s">
        <v>36</v>
      </c>
      <c r="F2521" s="5" t="s">
        <v>36</v>
      </c>
      <c r="G2521" s="6" t="s">
        <v>36</v>
      </c>
      <c r="H2521" s="4" t="s">
        <v>36</v>
      </c>
      <c r="I2521" s="7" t="s">
        <v>36</v>
      </c>
      <c r="J2521" s="3" t="s">
        <v>36</v>
      </c>
      <c r="K2521" s="9" t="s">
        <v>36</v>
      </c>
      <c r="L2521" s="6" t="s">
        <v>36</v>
      </c>
      <c r="M2521" s="3" t="s">
        <v>36</v>
      </c>
      <c r="N2521" s="3" t="s">
        <v>36</v>
      </c>
      <c r="O2521" s="8" t="s">
        <v>36</v>
      </c>
      <c r="P2521" s="3" t="s">
        <v>36</v>
      </c>
      <c r="Q2521" s="3" t="s">
        <v>36</v>
      </c>
      <c r="R2521" s="3" t="s">
        <v>36</v>
      </c>
      <c r="S2521" s="3" t="s">
        <v>36</v>
      </c>
      <c r="T2521" s="3" t="s">
        <v>676</v>
      </c>
      <c r="U2521" s="3" t="s">
        <v>438</v>
      </c>
      <c r="V2521" s="3" t="s">
        <v>405</v>
      </c>
      <c r="W2521" s="3" t="s">
        <v>13838</v>
      </c>
      <c r="X2521" s="10" t="s">
        <v>13839</v>
      </c>
      <c r="Y2521" s="6" t="s">
        <v>42</v>
      </c>
      <c r="Z2521" s="4">
        <v>0.1</v>
      </c>
      <c r="AA2521" s="4" t="s">
        <v>36</v>
      </c>
      <c r="AB2521" s="3" t="s">
        <v>56</v>
      </c>
      <c r="AC2521" s="3" t="s">
        <v>13840</v>
      </c>
      <c r="AD2521" s="9">
        <v>44582</v>
      </c>
      <c r="AE2521" s="3" t="s">
        <v>438</v>
      </c>
      <c r="AF2521" s="3" t="s">
        <v>36</v>
      </c>
      <c r="AG2521" s="3" t="s">
        <v>3595</v>
      </c>
      <c r="AH2521" s="11">
        <f>HYPERLINK("https://my.pitchbook.com?c=252562-51T","View Company Online")</f>
      </c>
    </row>
    <row r="2522">
      <c r="A2522" s="12" t="s">
        <v>13841</v>
      </c>
      <c r="B2522" s="12" t="s">
        <v>6274</v>
      </c>
      <c r="C2522" s="19">
        <v>3</v>
      </c>
      <c r="D2522" s="19">
        <v>8</v>
      </c>
      <c r="E2522" s="19">
        <v>4</v>
      </c>
      <c r="F2522" s="19">
        <v>12</v>
      </c>
      <c r="G2522" s="15" t="s">
        <v>683</v>
      </c>
      <c r="H2522" s="14">
        <v>310.67</v>
      </c>
      <c r="I2522" s="18">
        <v>6.77</v>
      </c>
      <c r="J2522" s="12" t="s">
        <v>521</v>
      </c>
      <c r="K2522" s="13" t="s">
        <v>36</v>
      </c>
      <c r="L2522" s="15" t="s">
        <v>36</v>
      </c>
      <c r="M2522" s="12" t="s">
        <v>36</v>
      </c>
      <c r="N2522" s="12" t="s">
        <v>36</v>
      </c>
      <c r="O2522" s="17" t="s">
        <v>36</v>
      </c>
      <c r="P2522" s="12" t="s">
        <v>36</v>
      </c>
      <c r="Q2522" s="12" t="s">
        <v>36</v>
      </c>
      <c r="R2522" s="12" t="s">
        <v>36</v>
      </c>
      <c r="S2522" s="12" t="s">
        <v>36</v>
      </c>
      <c r="T2522" s="12" t="s">
        <v>2515</v>
      </c>
      <c r="U2522" s="12" t="s">
        <v>74</v>
      </c>
      <c r="V2522" s="12" t="s">
        <v>75</v>
      </c>
      <c r="W2522" s="12" t="s">
        <v>6275</v>
      </c>
      <c r="X2522" s="16" t="s">
        <v>13842</v>
      </c>
      <c r="Y2522" s="15" t="s">
        <v>55</v>
      </c>
      <c r="Z2522" s="14">
        <v>11.54</v>
      </c>
      <c r="AA2522" s="14">
        <v>170.53</v>
      </c>
      <c r="AB2522" s="12" t="s">
        <v>56</v>
      </c>
      <c r="AC2522" s="12" t="s">
        <v>6277</v>
      </c>
      <c r="AD2522" s="13">
        <v>44581</v>
      </c>
      <c r="AE2522" s="12" t="s">
        <v>570</v>
      </c>
      <c r="AF2522" s="12" t="s">
        <v>6278</v>
      </c>
      <c r="AG2522" s="12" t="s">
        <v>382</v>
      </c>
      <c r="AH2522" s="1">
        <f>HYPERLINK("https://my.pitchbook.com?c=241812-91T","View Company Online")</f>
      </c>
    </row>
    <row r="2523">
      <c r="A2523" s="3" t="s">
        <v>13843</v>
      </c>
      <c r="B2523" s="3" t="s">
        <v>13844</v>
      </c>
      <c r="C2523" s="5" t="s">
        <v>36</v>
      </c>
      <c r="D2523" s="5" t="s">
        <v>36</v>
      </c>
      <c r="E2523" s="5" t="s">
        <v>36</v>
      </c>
      <c r="F2523" s="5" t="s">
        <v>36</v>
      </c>
      <c r="G2523" s="6" t="s">
        <v>36</v>
      </c>
      <c r="H2523" s="4" t="s">
        <v>36</v>
      </c>
      <c r="I2523" s="7" t="s">
        <v>36</v>
      </c>
      <c r="J2523" s="3" t="s">
        <v>36</v>
      </c>
      <c r="K2523" s="9" t="s">
        <v>36</v>
      </c>
      <c r="L2523" s="6" t="s">
        <v>122</v>
      </c>
      <c r="M2523" s="3" t="s">
        <v>36</v>
      </c>
      <c r="N2523" s="3" t="s">
        <v>122</v>
      </c>
      <c r="O2523" s="8" t="s">
        <v>36</v>
      </c>
      <c r="P2523" s="3" t="s">
        <v>36</v>
      </c>
      <c r="Q2523" s="3" t="s">
        <v>36</v>
      </c>
      <c r="R2523" s="3" t="s">
        <v>36</v>
      </c>
      <c r="S2523" s="3" t="s">
        <v>36</v>
      </c>
      <c r="T2523" s="3" t="s">
        <v>4816</v>
      </c>
      <c r="U2523" s="3" t="s">
        <v>38</v>
      </c>
      <c r="V2523" s="3" t="s">
        <v>39</v>
      </c>
      <c r="W2523" s="3" t="s">
        <v>13845</v>
      </c>
      <c r="X2523" s="10" t="s">
        <v>13846</v>
      </c>
      <c r="Y2523" s="6" t="s">
        <v>108</v>
      </c>
      <c r="Z2523" s="4">
        <v>10</v>
      </c>
      <c r="AA2523" s="4" t="s">
        <v>36</v>
      </c>
      <c r="AB2523" s="3" t="s">
        <v>43</v>
      </c>
      <c r="AC2523" s="3" t="s">
        <v>13847</v>
      </c>
      <c r="AD2523" s="9">
        <v>44581</v>
      </c>
      <c r="AE2523" s="3" t="s">
        <v>785</v>
      </c>
      <c r="AF2523" s="3" t="s">
        <v>13848</v>
      </c>
      <c r="AG2523" s="3" t="s">
        <v>81</v>
      </c>
      <c r="AH2523" s="11">
        <f>HYPERLINK("https://my.pitchbook.com?c=186949-99T","View Company Online")</f>
      </c>
    </row>
    <row r="2524">
      <c r="A2524" s="12" t="s">
        <v>13849</v>
      </c>
      <c r="B2524" s="12" t="s">
        <v>13850</v>
      </c>
      <c r="C2524" s="19" t="s">
        <v>36</v>
      </c>
      <c r="D2524" s="19" t="s">
        <v>36</v>
      </c>
      <c r="E2524" s="19" t="s">
        <v>36</v>
      </c>
      <c r="F2524" s="19" t="s">
        <v>36</v>
      </c>
      <c r="G2524" s="15" t="s">
        <v>36</v>
      </c>
      <c r="H2524" s="14">
        <v>171.66</v>
      </c>
      <c r="I2524" s="18">
        <v>26.33</v>
      </c>
      <c r="J2524" s="12" t="s">
        <v>521</v>
      </c>
      <c r="K2524" s="13" t="s">
        <v>36</v>
      </c>
      <c r="L2524" s="15" t="s">
        <v>36</v>
      </c>
      <c r="M2524" s="12" t="s">
        <v>36</v>
      </c>
      <c r="N2524" s="12" t="s">
        <v>36</v>
      </c>
      <c r="O2524" s="17" t="s">
        <v>36</v>
      </c>
      <c r="P2524" s="12" t="s">
        <v>36</v>
      </c>
      <c r="Q2524" s="12" t="s">
        <v>36</v>
      </c>
      <c r="R2524" s="12" t="s">
        <v>36</v>
      </c>
      <c r="S2524" s="12" t="s">
        <v>36</v>
      </c>
      <c r="T2524" s="12" t="s">
        <v>1188</v>
      </c>
      <c r="U2524" s="12" t="s">
        <v>180</v>
      </c>
      <c r="V2524" s="12" t="s">
        <v>52</v>
      </c>
      <c r="W2524" s="12" t="s">
        <v>13851</v>
      </c>
      <c r="X2524" s="16" t="s">
        <v>13852</v>
      </c>
      <c r="Y2524" s="15" t="s">
        <v>42</v>
      </c>
      <c r="Z2524" s="14">
        <v>0.84</v>
      </c>
      <c r="AA2524" s="14">
        <v>3.21</v>
      </c>
      <c r="AB2524" s="12" t="s">
        <v>43</v>
      </c>
      <c r="AC2524" s="12" t="s">
        <v>13853</v>
      </c>
      <c r="AD2524" s="13">
        <v>44581</v>
      </c>
      <c r="AE2524" s="12" t="s">
        <v>1192</v>
      </c>
      <c r="AF2524" s="12" t="s">
        <v>261</v>
      </c>
      <c r="AG2524" s="12" t="s">
        <v>47</v>
      </c>
      <c r="AH2524" s="1">
        <f>HYPERLINK("https://my.pitchbook.com?c=227982-34T","View Company Online")</f>
      </c>
    </row>
    <row r="2525">
      <c r="A2525" s="3" t="s">
        <v>13854</v>
      </c>
      <c r="B2525" s="3" t="s">
        <v>13855</v>
      </c>
      <c r="C2525" s="5" t="s">
        <v>36</v>
      </c>
      <c r="D2525" s="5">
        <v>2</v>
      </c>
      <c r="E2525" s="5">
        <v>2</v>
      </c>
      <c r="F2525" s="5">
        <v>2</v>
      </c>
      <c r="G2525" s="6" t="s">
        <v>326</v>
      </c>
      <c r="H2525" s="4">
        <v>118.55</v>
      </c>
      <c r="I2525" s="7">
        <v>35.1</v>
      </c>
      <c r="J2525" s="3" t="s">
        <v>521</v>
      </c>
      <c r="K2525" s="9" t="s">
        <v>36</v>
      </c>
      <c r="L2525" s="6" t="s">
        <v>1279</v>
      </c>
      <c r="M2525" s="3" t="s">
        <v>36</v>
      </c>
      <c r="N2525" s="3" t="s">
        <v>1279</v>
      </c>
      <c r="O2525" s="8" t="s">
        <v>36</v>
      </c>
      <c r="P2525" s="3" t="s">
        <v>36</v>
      </c>
      <c r="Q2525" s="3" t="s">
        <v>36</v>
      </c>
      <c r="R2525" s="3" t="s">
        <v>36</v>
      </c>
      <c r="S2525" s="3" t="s">
        <v>36</v>
      </c>
      <c r="T2525" s="3" t="s">
        <v>2213</v>
      </c>
      <c r="U2525" s="3" t="s">
        <v>219</v>
      </c>
      <c r="V2525" s="3" t="s">
        <v>75</v>
      </c>
      <c r="W2525" s="3" t="s">
        <v>13856</v>
      </c>
      <c r="X2525" s="10" t="s">
        <v>13857</v>
      </c>
      <c r="Y2525" s="6" t="s">
        <v>166</v>
      </c>
      <c r="Z2525" s="4">
        <v>21.35</v>
      </c>
      <c r="AA2525" s="4">
        <v>60.81</v>
      </c>
      <c r="AB2525" s="3" t="s">
        <v>56</v>
      </c>
      <c r="AC2525" s="3" t="s">
        <v>13858</v>
      </c>
      <c r="AD2525" s="9">
        <v>44581</v>
      </c>
      <c r="AE2525" s="3" t="s">
        <v>1912</v>
      </c>
      <c r="AF2525" s="3" t="s">
        <v>982</v>
      </c>
      <c r="AG2525" s="3" t="s">
        <v>2246</v>
      </c>
      <c r="AH2525" s="11">
        <f>HYPERLINK("https://my.pitchbook.com?c=186923-71T","View Company Online")</f>
      </c>
    </row>
    <row r="2526">
      <c r="A2526" s="12" t="s">
        <v>13859</v>
      </c>
      <c r="B2526" s="12" t="s">
        <v>13860</v>
      </c>
      <c r="C2526" s="19" t="s">
        <v>36</v>
      </c>
      <c r="D2526" s="19" t="s">
        <v>36</v>
      </c>
      <c r="E2526" s="19" t="s">
        <v>36</v>
      </c>
      <c r="F2526" s="19" t="s">
        <v>36</v>
      </c>
      <c r="G2526" s="15" t="s">
        <v>36</v>
      </c>
      <c r="H2526" s="14">
        <v>1154.79</v>
      </c>
      <c r="I2526" s="18" t="s">
        <v>36</v>
      </c>
      <c r="J2526" s="12" t="s">
        <v>36</v>
      </c>
      <c r="K2526" s="13" t="s">
        <v>36</v>
      </c>
      <c r="L2526" s="15" t="s">
        <v>122</v>
      </c>
      <c r="M2526" s="12" t="s">
        <v>36</v>
      </c>
      <c r="N2526" s="12" t="s">
        <v>122</v>
      </c>
      <c r="O2526" s="17" t="s">
        <v>36</v>
      </c>
      <c r="P2526" s="12" t="s">
        <v>36</v>
      </c>
      <c r="Q2526" s="12" t="s">
        <v>36</v>
      </c>
      <c r="R2526" s="12" t="s">
        <v>36</v>
      </c>
      <c r="S2526" s="12" t="s">
        <v>36</v>
      </c>
      <c r="T2526" s="12" t="s">
        <v>2967</v>
      </c>
      <c r="U2526" s="12" t="s">
        <v>38</v>
      </c>
      <c r="V2526" s="12" t="s">
        <v>39</v>
      </c>
      <c r="W2526" s="12" t="s">
        <v>13861</v>
      </c>
      <c r="X2526" s="16" t="s">
        <v>13862</v>
      </c>
      <c r="Y2526" s="15" t="s">
        <v>42</v>
      </c>
      <c r="Z2526" s="14">
        <v>5.11</v>
      </c>
      <c r="AA2526" s="14" t="s">
        <v>36</v>
      </c>
      <c r="AB2526" s="12" t="s">
        <v>56</v>
      </c>
      <c r="AC2526" s="12" t="s">
        <v>13863</v>
      </c>
      <c r="AD2526" s="13">
        <v>44581</v>
      </c>
      <c r="AE2526" s="12" t="s">
        <v>110</v>
      </c>
      <c r="AF2526" s="12" t="s">
        <v>2643</v>
      </c>
      <c r="AG2526" s="12" t="s">
        <v>70</v>
      </c>
      <c r="AH2526" s="1">
        <f>HYPERLINK("https://my.pitchbook.com?c=189692-56T","View Company Online")</f>
      </c>
    </row>
    <row r="2527">
      <c r="A2527" s="3" t="s">
        <v>13864</v>
      </c>
      <c r="B2527" s="3" t="s">
        <v>13865</v>
      </c>
      <c r="C2527" s="5">
        <v>13</v>
      </c>
      <c r="D2527" s="5">
        <v>176</v>
      </c>
      <c r="E2527" s="5">
        <v>49</v>
      </c>
      <c r="F2527" s="5">
        <v>191</v>
      </c>
      <c r="G2527" s="6" t="s">
        <v>36</v>
      </c>
      <c r="H2527" s="4" t="s">
        <v>36</v>
      </c>
      <c r="I2527" s="7" t="s">
        <v>36</v>
      </c>
      <c r="J2527" s="3" t="s">
        <v>36</v>
      </c>
      <c r="K2527" s="9" t="s">
        <v>36</v>
      </c>
      <c r="L2527" s="6" t="s">
        <v>36</v>
      </c>
      <c r="M2527" s="3" t="s">
        <v>36</v>
      </c>
      <c r="N2527" s="3" t="s">
        <v>36</v>
      </c>
      <c r="O2527" s="8" t="s">
        <v>36</v>
      </c>
      <c r="P2527" s="3" t="s">
        <v>36</v>
      </c>
      <c r="Q2527" s="3" t="s">
        <v>36</v>
      </c>
      <c r="R2527" s="3" t="s">
        <v>36</v>
      </c>
      <c r="S2527" s="3" t="s">
        <v>5151</v>
      </c>
      <c r="T2527" s="3" t="s">
        <v>13866</v>
      </c>
      <c r="U2527" s="3" t="s">
        <v>38</v>
      </c>
      <c r="V2527" s="3" t="s">
        <v>39</v>
      </c>
      <c r="W2527" s="3" t="s">
        <v>13867</v>
      </c>
      <c r="X2527" s="10" t="s">
        <v>13868</v>
      </c>
      <c r="Y2527" s="6" t="s">
        <v>42</v>
      </c>
      <c r="Z2527" s="4">
        <v>22.7</v>
      </c>
      <c r="AA2527" s="4" t="s">
        <v>36</v>
      </c>
      <c r="AB2527" s="3" t="s">
        <v>56</v>
      </c>
      <c r="AC2527" s="3" t="s">
        <v>13869</v>
      </c>
      <c r="AD2527" s="9">
        <v>44581</v>
      </c>
      <c r="AE2527" s="3" t="s">
        <v>134</v>
      </c>
      <c r="AF2527" s="3" t="s">
        <v>12636</v>
      </c>
      <c r="AG2527" s="3" t="s">
        <v>1525</v>
      </c>
      <c r="AH2527" s="11">
        <f>HYPERLINK("https://my.pitchbook.com?c=186967-18T","View Company Online")</f>
      </c>
    </row>
    <row r="2528">
      <c r="A2528" s="12" t="s">
        <v>13870</v>
      </c>
      <c r="B2528" s="12" t="s">
        <v>7614</v>
      </c>
      <c r="C2528" s="19" t="s">
        <v>36</v>
      </c>
      <c r="D2528" s="19" t="s">
        <v>36</v>
      </c>
      <c r="E2528" s="19" t="s">
        <v>36</v>
      </c>
      <c r="F2528" s="19" t="s">
        <v>36</v>
      </c>
      <c r="G2528" s="15" t="s">
        <v>683</v>
      </c>
      <c r="H2528" s="14">
        <v>2564.37</v>
      </c>
      <c r="I2528" s="18">
        <v>15.58</v>
      </c>
      <c r="J2528" s="12" t="s">
        <v>521</v>
      </c>
      <c r="K2528" s="13" t="s">
        <v>36</v>
      </c>
      <c r="L2528" s="15" t="s">
        <v>36</v>
      </c>
      <c r="M2528" s="12" t="s">
        <v>36</v>
      </c>
      <c r="N2528" s="12" t="s">
        <v>36</v>
      </c>
      <c r="O2528" s="17" t="s">
        <v>36</v>
      </c>
      <c r="P2528" s="12" t="s">
        <v>36</v>
      </c>
      <c r="Q2528" s="12" t="s">
        <v>36</v>
      </c>
      <c r="R2528" s="12" t="s">
        <v>36</v>
      </c>
      <c r="S2528" s="12" t="s">
        <v>4990</v>
      </c>
      <c r="T2528" s="12" t="s">
        <v>7615</v>
      </c>
      <c r="U2528" s="12" t="s">
        <v>74</v>
      </c>
      <c r="V2528" s="12" t="s">
        <v>75</v>
      </c>
      <c r="W2528" s="12" t="s">
        <v>7616</v>
      </c>
      <c r="X2528" s="16" t="s">
        <v>2765</v>
      </c>
      <c r="Y2528" s="15" t="s">
        <v>108</v>
      </c>
      <c r="Z2528" s="14">
        <v>0.8</v>
      </c>
      <c r="AA2528" s="14">
        <v>5.11</v>
      </c>
      <c r="AB2528" s="12" t="s">
        <v>43</v>
      </c>
      <c r="AC2528" s="12" t="s">
        <v>7618</v>
      </c>
      <c r="AD2528" s="13">
        <v>44581</v>
      </c>
      <c r="AE2528" s="12" t="s">
        <v>696</v>
      </c>
      <c r="AF2528" s="12" t="s">
        <v>7619</v>
      </c>
      <c r="AG2528" s="12" t="s">
        <v>1078</v>
      </c>
      <c r="AH2528" s="1">
        <f>HYPERLINK("https://my.pitchbook.com?c=188394-40T","View Company Online")</f>
      </c>
    </row>
    <row r="2529">
      <c r="A2529" s="3" t="s">
        <v>13871</v>
      </c>
      <c r="B2529" s="3" t="s">
        <v>13872</v>
      </c>
      <c r="C2529" s="5">
        <v>17</v>
      </c>
      <c r="D2529" s="5">
        <v>68</v>
      </c>
      <c r="E2529" s="5">
        <v>22</v>
      </c>
      <c r="F2529" s="5">
        <v>88</v>
      </c>
      <c r="G2529" s="6" t="s">
        <v>36</v>
      </c>
      <c r="H2529" s="4" t="s">
        <v>36</v>
      </c>
      <c r="I2529" s="7" t="s">
        <v>36</v>
      </c>
      <c r="J2529" s="3" t="s">
        <v>36</v>
      </c>
      <c r="K2529" s="9" t="s">
        <v>36</v>
      </c>
      <c r="L2529" s="6" t="s">
        <v>1279</v>
      </c>
      <c r="M2529" s="3" t="s">
        <v>36</v>
      </c>
      <c r="N2529" s="3" t="s">
        <v>1279</v>
      </c>
      <c r="O2529" s="8" t="s">
        <v>36</v>
      </c>
      <c r="P2529" s="3" t="s">
        <v>36</v>
      </c>
      <c r="Q2529" s="3" t="s">
        <v>36</v>
      </c>
      <c r="R2529" s="3" t="s">
        <v>36</v>
      </c>
      <c r="S2529" s="3" t="s">
        <v>13873</v>
      </c>
      <c r="T2529" s="3" t="s">
        <v>13874</v>
      </c>
      <c r="U2529" s="3" t="s">
        <v>96</v>
      </c>
      <c r="V2529" s="3" t="s">
        <v>52</v>
      </c>
      <c r="W2529" s="3" t="s">
        <v>13875</v>
      </c>
      <c r="X2529" s="10" t="s">
        <v>13876</v>
      </c>
      <c r="Y2529" s="6" t="s">
        <v>192</v>
      </c>
      <c r="Z2529" s="4">
        <v>45</v>
      </c>
      <c r="AA2529" s="4" t="s">
        <v>36</v>
      </c>
      <c r="AB2529" s="3" t="s">
        <v>56</v>
      </c>
      <c r="AC2529" s="3" t="s">
        <v>13877</v>
      </c>
      <c r="AD2529" s="9">
        <v>44581</v>
      </c>
      <c r="AE2529" s="3" t="s">
        <v>143</v>
      </c>
      <c r="AF2529" s="3" t="s">
        <v>13878</v>
      </c>
      <c r="AG2529" s="3" t="s">
        <v>81</v>
      </c>
      <c r="AH2529" s="11">
        <f>HYPERLINK("https://my.pitchbook.com?c=186899-68T","View Company Online")</f>
      </c>
    </row>
    <row r="2530">
      <c r="A2530" s="12" t="s">
        <v>13879</v>
      </c>
      <c r="B2530" s="12" t="s">
        <v>13880</v>
      </c>
      <c r="C2530" s="19">
        <v>1</v>
      </c>
      <c r="D2530" s="19">
        <v>3</v>
      </c>
      <c r="E2530" s="19">
        <v>2</v>
      </c>
      <c r="F2530" s="19">
        <v>4</v>
      </c>
      <c r="G2530" s="15" t="s">
        <v>36</v>
      </c>
      <c r="H2530" s="14" t="s">
        <v>36</v>
      </c>
      <c r="I2530" s="18">
        <v>19.14</v>
      </c>
      <c r="J2530" s="12" t="s">
        <v>327</v>
      </c>
      <c r="K2530" s="13">
        <v>44105</v>
      </c>
      <c r="L2530" s="15" t="s">
        <v>36</v>
      </c>
      <c r="M2530" s="12" t="s">
        <v>36</v>
      </c>
      <c r="N2530" s="12" t="s">
        <v>36</v>
      </c>
      <c r="O2530" s="17" t="s">
        <v>36</v>
      </c>
      <c r="P2530" s="12" t="s">
        <v>36</v>
      </c>
      <c r="Q2530" s="12" t="s">
        <v>36</v>
      </c>
      <c r="R2530" s="12" t="s">
        <v>36</v>
      </c>
      <c r="S2530" s="12" t="s">
        <v>36</v>
      </c>
      <c r="T2530" s="12" t="s">
        <v>13881</v>
      </c>
      <c r="U2530" s="12" t="s">
        <v>318</v>
      </c>
      <c r="V2530" s="12" t="s">
        <v>39</v>
      </c>
      <c r="W2530" s="12" t="s">
        <v>13882</v>
      </c>
      <c r="X2530" s="16" t="s">
        <v>13883</v>
      </c>
      <c r="Y2530" s="15" t="s">
        <v>108</v>
      </c>
      <c r="Z2530" s="14">
        <v>2.27</v>
      </c>
      <c r="AA2530" s="14">
        <v>11.86</v>
      </c>
      <c r="AB2530" s="12" t="s">
        <v>43</v>
      </c>
      <c r="AC2530" s="12" t="s">
        <v>13884</v>
      </c>
      <c r="AD2530" s="13">
        <v>44581</v>
      </c>
      <c r="AE2530" s="12" t="s">
        <v>763</v>
      </c>
      <c r="AF2530" s="12" t="s">
        <v>13885</v>
      </c>
      <c r="AG2530" s="12" t="s">
        <v>689</v>
      </c>
      <c r="AH2530" s="1">
        <f>HYPERLINK("https://my.pitchbook.com?c=186920-02T","View Company Online")</f>
      </c>
    </row>
    <row r="2531">
      <c r="A2531" s="3" t="s">
        <v>13886</v>
      </c>
      <c r="B2531" s="3" t="s">
        <v>13887</v>
      </c>
      <c r="C2531" s="5" t="s">
        <v>36</v>
      </c>
      <c r="D2531" s="5" t="s">
        <v>36</v>
      </c>
      <c r="E2531" s="5" t="s">
        <v>36</v>
      </c>
      <c r="F2531" s="5" t="s">
        <v>36</v>
      </c>
      <c r="G2531" s="6" t="s">
        <v>36</v>
      </c>
      <c r="H2531" s="4">
        <v>3659.05</v>
      </c>
      <c r="I2531" s="7">
        <v>19.23</v>
      </c>
      <c r="J2531" s="3" t="s">
        <v>521</v>
      </c>
      <c r="K2531" s="9" t="s">
        <v>36</v>
      </c>
      <c r="L2531" s="6" t="s">
        <v>36</v>
      </c>
      <c r="M2531" s="3" t="s">
        <v>36</v>
      </c>
      <c r="N2531" s="3" t="s">
        <v>36</v>
      </c>
      <c r="O2531" s="8" t="s">
        <v>36</v>
      </c>
      <c r="P2531" s="3" t="s">
        <v>36</v>
      </c>
      <c r="Q2531" s="3" t="s">
        <v>36</v>
      </c>
      <c r="R2531" s="3" t="s">
        <v>36</v>
      </c>
      <c r="S2531" s="3" t="s">
        <v>36</v>
      </c>
      <c r="T2531" s="3" t="s">
        <v>522</v>
      </c>
      <c r="U2531" s="3" t="s">
        <v>38</v>
      </c>
      <c r="V2531" s="3" t="s">
        <v>39</v>
      </c>
      <c r="W2531" s="3" t="s">
        <v>13888</v>
      </c>
      <c r="X2531" s="10" t="s">
        <v>13889</v>
      </c>
      <c r="Y2531" s="6" t="s">
        <v>42</v>
      </c>
      <c r="Z2531" s="4">
        <v>0.1</v>
      </c>
      <c r="AA2531" s="4">
        <v>0.52</v>
      </c>
      <c r="AB2531" s="3" t="s">
        <v>43</v>
      </c>
      <c r="AC2531" s="3" t="s">
        <v>13890</v>
      </c>
      <c r="AD2531" s="9">
        <v>44580</v>
      </c>
      <c r="AE2531" s="3" t="s">
        <v>110</v>
      </c>
      <c r="AF2531" s="3" t="s">
        <v>176</v>
      </c>
      <c r="AG2531" s="3" t="s">
        <v>144</v>
      </c>
      <c r="AH2531" s="11">
        <f>HYPERLINK("https://my.pitchbook.com?c=254713-24T","View Company Online")</f>
      </c>
    </row>
    <row r="2532">
      <c r="A2532" s="12" t="s">
        <v>13891</v>
      </c>
      <c r="B2532" s="12" t="s">
        <v>13892</v>
      </c>
      <c r="C2532" s="19">
        <v>1</v>
      </c>
      <c r="D2532" s="19">
        <v>2</v>
      </c>
      <c r="E2532" s="19">
        <v>1</v>
      </c>
      <c r="F2532" s="19">
        <v>3</v>
      </c>
      <c r="G2532" s="15" t="s">
        <v>683</v>
      </c>
      <c r="H2532" s="14">
        <v>2.3</v>
      </c>
      <c r="I2532" s="18">
        <v>21.53</v>
      </c>
      <c r="J2532" s="12" t="s">
        <v>521</v>
      </c>
      <c r="K2532" s="13" t="s">
        <v>36</v>
      </c>
      <c r="L2532" s="15" t="s">
        <v>36</v>
      </c>
      <c r="M2532" s="12" t="s">
        <v>36</v>
      </c>
      <c r="N2532" s="12" t="s">
        <v>36</v>
      </c>
      <c r="O2532" s="17" t="s">
        <v>36</v>
      </c>
      <c r="P2532" s="12" t="s">
        <v>36</v>
      </c>
      <c r="Q2532" s="12" t="s">
        <v>36</v>
      </c>
      <c r="R2532" s="12" t="s">
        <v>36</v>
      </c>
      <c r="S2532" s="12" t="s">
        <v>36</v>
      </c>
      <c r="T2532" s="12" t="s">
        <v>2992</v>
      </c>
      <c r="U2532" s="12" t="s">
        <v>96</v>
      </c>
      <c r="V2532" s="12" t="s">
        <v>52</v>
      </c>
      <c r="W2532" s="12" t="s">
        <v>13893</v>
      </c>
      <c r="X2532" s="16" t="s">
        <v>13894</v>
      </c>
      <c r="Y2532" s="15" t="s">
        <v>108</v>
      </c>
      <c r="Z2532" s="14">
        <v>0.54</v>
      </c>
      <c r="AA2532" s="14">
        <v>2.51</v>
      </c>
      <c r="AB2532" s="12" t="s">
        <v>56</v>
      </c>
      <c r="AC2532" s="12" t="s">
        <v>13895</v>
      </c>
      <c r="AD2532" s="13">
        <v>44580</v>
      </c>
      <c r="AE2532" s="12" t="s">
        <v>100</v>
      </c>
      <c r="AF2532" s="12" t="s">
        <v>13896</v>
      </c>
      <c r="AG2532" s="12" t="s">
        <v>13897</v>
      </c>
      <c r="AH2532" s="1">
        <f>HYPERLINK("https://my.pitchbook.com?c=194609-80T","View Company Online")</f>
      </c>
    </row>
    <row r="2533">
      <c r="A2533" s="3" t="s">
        <v>13898</v>
      </c>
      <c r="B2533" s="3" t="s">
        <v>13899</v>
      </c>
      <c r="C2533" s="5" t="s">
        <v>36</v>
      </c>
      <c r="D2533" s="5" t="s">
        <v>36</v>
      </c>
      <c r="E2533" s="5" t="s">
        <v>36</v>
      </c>
      <c r="F2533" s="5" t="s">
        <v>36</v>
      </c>
      <c r="G2533" s="6" t="s">
        <v>36</v>
      </c>
      <c r="H2533" s="4">
        <v>20.45</v>
      </c>
      <c r="I2533" s="7">
        <v>29.2</v>
      </c>
      <c r="J2533" s="3" t="s">
        <v>521</v>
      </c>
      <c r="K2533" s="9" t="s">
        <v>36</v>
      </c>
      <c r="L2533" s="6" t="s">
        <v>36</v>
      </c>
      <c r="M2533" s="3" t="s">
        <v>36</v>
      </c>
      <c r="N2533" s="3" t="s">
        <v>36</v>
      </c>
      <c r="O2533" s="8" t="s">
        <v>36</v>
      </c>
      <c r="P2533" s="3" t="s">
        <v>36</v>
      </c>
      <c r="Q2533" s="3" t="s">
        <v>36</v>
      </c>
      <c r="R2533" s="3" t="s">
        <v>36</v>
      </c>
      <c r="S2533" s="3" t="s">
        <v>36</v>
      </c>
      <c r="T2533" s="3" t="s">
        <v>522</v>
      </c>
      <c r="U2533" s="3" t="s">
        <v>38</v>
      </c>
      <c r="V2533" s="3" t="s">
        <v>39</v>
      </c>
      <c r="W2533" s="3" t="s">
        <v>13900</v>
      </c>
      <c r="X2533" s="10" t="s">
        <v>13901</v>
      </c>
      <c r="Y2533" s="6" t="s">
        <v>42</v>
      </c>
      <c r="Z2533" s="4">
        <v>1.88</v>
      </c>
      <c r="AA2533" s="4">
        <v>6.43</v>
      </c>
      <c r="AB2533" s="3" t="s">
        <v>43</v>
      </c>
      <c r="AC2533" s="3" t="s">
        <v>13902</v>
      </c>
      <c r="AD2533" s="9">
        <v>44580</v>
      </c>
      <c r="AE2533" s="3" t="s">
        <v>110</v>
      </c>
      <c r="AF2533" s="3" t="s">
        <v>13903</v>
      </c>
      <c r="AG2533" s="3" t="s">
        <v>81</v>
      </c>
      <c r="AH2533" s="11">
        <f>HYPERLINK("https://my.pitchbook.com?c=186859-36T","View Company Online")</f>
      </c>
    </row>
    <row r="2534">
      <c r="A2534" s="12" t="s">
        <v>13904</v>
      </c>
      <c r="B2534" s="12" t="s">
        <v>13905</v>
      </c>
      <c r="C2534" s="19" t="s">
        <v>36</v>
      </c>
      <c r="D2534" s="19">
        <v>6</v>
      </c>
      <c r="E2534" s="19">
        <v>3</v>
      </c>
      <c r="F2534" s="19">
        <v>6</v>
      </c>
      <c r="G2534" s="15" t="s">
        <v>683</v>
      </c>
      <c r="H2534" s="14">
        <v>180.71</v>
      </c>
      <c r="I2534" s="18">
        <v>26.67</v>
      </c>
      <c r="J2534" s="12" t="s">
        <v>521</v>
      </c>
      <c r="K2534" s="13" t="s">
        <v>36</v>
      </c>
      <c r="L2534" s="15" t="s">
        <v>36</v>
      </c>
      <c r="M2534" s="12" t="s">
        <v>36</v>
      </c>
      <c r="N2534" s="12" t="s">
        <v>36</v>
      </c>
      <c r="O2534" s="17" t="s">
        <v>36</v>
      </c>
      <c r="P2534" s="12" t="s">
        <v>36</v>
      </c>
      <c r="Q2534" s="12" t="s">
        <v>36</v>
      </c>
      <c r="R2534" s="12" t="s">
        <v>36</v>
      </c>
      <c r="S2534" s="12" t="s">
        <v>36</v>
      </c>
      <c r="T2534" s="12" t="s">
        <v>13906</v>
      </c>
      <c r="U2534" s="12" t="s">
        <v>318</v>
      </c>
      <c r="V2534" s="12" t="s">
        <v>39</v>
      </c>
      <c r="W2534" s="12" t="s">
        <v>13907</v>
      </c>
      <c r="X2534" s="16" t="s">
        <v>13908</v>
      </c>
      <c r="Y2534" s="15" t="s">
        <v>55</v>
      </c>
      <c r="Z2534" s="14">
        <v>2.28</v>
      </c>
      <c r="AA2534" s="14">
        <v>8.53</v>
      </c>
      <c r="AB2534" s="12" t="s">
        <v>56</v>
      </c>
      <c r="AC2534" s="12" t="s">
        <v>13909</v>
      </c>
      <c r="AD2534" s="13">
        <v>44580</v>
      </c>
      <c r="AE2534" s="12" t="s">
        <v>417</v>
      </c>
      <c r="AF2534" s="12" t="s">
        <v>13910</v>
      </c>
      <c r="AG2534" s="12" t="s">
        <v>81</v>
      </c>
      <c r="AH2534" s="1">
        <f>HYPERLINK("https://my.pitchbook.com?c=186908-32T","View Company Online")</f>
      </c>
    </row>
    <row r="2535">
      <c r="A2535" s="3" t="s">
        <v>13911</v>
      </c>
      <c r="B2535" s="3" t="s">
        <v>13912</v>
      </c>
      <c r="C2535" s="5" t="s">
        <v>36</v>
      </c>
      <c r="D2535" s="5" t="s">
        <v>36</v>
      </c>
      <c r="E2535" s="5" t="s">
        <v>36</v>
      </c>
      <c r="F2535" s="5" t="s">
        <v>36</v>
      </c>
      <c r="G2535" s="6" t="s">
        <v>36</v>
      </c>
      <c r="H2535" s="4" t="s">
        <v>36</v>
      </c>
      <c r="I2535" s="7" t="s">
        <v>36</v>
      </c>
      <c r="J2535" s="3" t="s">
        <v>36</v>
      </c>
      <c r="K2535" s="9" t="s">
        <v>36</v>
      </c>
      <c r="L2535" s="6" t="s">
        <v>36</v>
      </c>
      <c r="M2535" s="3" t="s">
        <v>36</v>
      </c>
      <c r="N2535" s="3" t="s">
        <v>36</v>
      </c>
      <c r="O2535" s="8" t="s">
        <v>36</v>
      </c>
      <c r="P2535" s="3" t="s">
        <v>36</v>
      </c>
      <c r="Q2535" s="3" t="s">
        <v>36</v>
      </c>
      <c r="R2535" s="3" t="s">
        <v>36</v>
      </c>
      <c r="S2535" s="3" t="s">
        <v>36</v>
      </c>
      <c r="T2535" s="3" t="s">
        <v>5181</v>
      </c>
      <c r="U2535" s="3" t="s">
        <v>38</v>
      </c>
      <c r="V2535" s="3" t="s">
        <v>39</v>
      </c>
      <c r="W2535" s="3" t="s">
        <v>13913</v>
      </c>
      <c r="X2535" s="10" t="s">
        <v>13914</v>
      </c>
      <c r="Y2535" s="6" t="s">
        <v>108</v>
      </c>
      <c r="Z2535" s="4" t="s">
        <v>36</v>
      </c>
      <c r="AA2535" s="4" t="s">
        <v>36</v>
      </c>
      <c r="AB2535" s="3" t="s">
        <v>56</v>
      </c>
      <c r="AC2535" s="3" t="s">
        <v>13915</v>
      </c>
      <c r="AD2535" s="9">
        <v>44580</v>
      </c>
      <c r="AE2535" s="3" t="s">
        <v>110</v>
      </c>
      <c r="AF2535" s="3" t="s">
        <v>13916</v>
      </c>
      <c r="AG2535" s="3" t="s">
        <v>1479</v>
      </c>
      <c r="AH2535" s="11">
        <f>HYPERLINK("https://my.pitchbook.com?c=219248-29T","View Company Online")</f>
      </c>
    </row>
    <row r="2536">
      <c r="A2536" s="12" t="s">
        <v>13917</v>
      </c>
      <c r="B2536" s="12" t="s">
        <v>13918</v>
      </c>
      <c r="C2536" s="19" t="s">
        <v>36</v>
      </c>
      <c r="D2536" s="19" t="s">
        <v>36</v>
      </c>
      <c r="E2536" s="19" t="s">
        <v>36</v>
      </c>
      <c r="F2536" s="19" t="s">
        <v>36</v>
      </c>
      <c r="G2536" s="15" t="s">
        <v>36</v>
      </c>
      <c r="H2536" s="14">
        <v>142.86</v>
      </c>
      <c r="I2536" s="18">
        <v>19.84</v>
      </c>
      <c r="J2536" s="12" t="s">
        <v>521</v>
      </c>
      <c r="K2536" s="13" t="s">
        <v>36</v>
      </c>
      <c r="L2536" s="15" t="s">
        <v>36</v>
      </c>
      <c r="M2536" s="12" t="s">
        <v>36</v>
      </c>
      <c r="N2536" s="12" t="s">
        <v>36</v>
      </c>
      <c r="O2536" s="17" t="s">
        <v>36</v>
      </c>
      <c r="P2536" s="12" t="s">
        <v>36</v>
      </c>
      <c r="Q2536" s="12" t="s">
        <v>36</v>
      </c>
      <c r="R2536" s="12" t="s">
        <v>36</v>
      </c>
      <c r="S2536" s="12" t="s">
        <v>36</v>
      </c>
      <c r="T2536" s="12" t="s">
        <v>2545</v>
      </c>
      <c r="U2536" s="12" t="s">
        <v>438</v>
      </c>
      <c r="V2536" s="12" t="s">
        <v>405</v>
      </c>
      <c r="W2536" s="12" t="s">
        <v>13919</v>
      </c>
      <c r="X2536" s="16" t="s">
        <v>13920</v>
      </c>
      <c r="Y2536" s="15" t="s">
        <v>42</v>
      </c>
      <c r="Z2536" s="14">
        <v>0.59</v>
      </c>
      <c r="AA2536" s="14">
        <v>2.93</v>
      </c>
      <c r="AB2536" s="12" t="s">
        <v>43</v>
      </c>
      <c r="AC2536" s="12" t="s">
        <v>13921</v>
      </c>
      <c r="AD2536" s="13">
        <v>44580</v>
      </c>
      <c r="AE2536" s="12" t="s">
        <v>438</v>
      </c>
      <c r="AF2536" s="12" t="s">
        <v>13922</v>
      </c>
      <c r="AG2536" s="12" t="s">
        <v>924</v>
      </c>
      <c r="AH2536" s="1">
        <f>HYPERLINK("https://my.pitchbook.com?c=173976-31T","View Company Online")</f>
      </c>
    </row>
    <row r="2537">
      <c r="A2537" s="3" t="s">
        <v>13923</v>
      </c>
      <c r="B2537" s="3" t="s">
        <v>6576</v>
      </c>
      <c r="C2537" s="5">
        <v>7</v>
      </c>
      <c r="D2537" s="5" t="s">
        <v>36</v>
      </c>
      <c r="E2537" s="5">
        <v>1</v>
      </c>
      <c r="F2537" s="5">
        <v>7</v>
      </c>
      <c r="G2537" s="6" t="s">
        <v>36</v>
      </c>
      <c r="H2537" s="4">
        <v>184</v>
      </c>
      <c r="I2537" s="7">
        <v>30.04</v>
      </c>
      <c r="J2537" s="3" t="s">
        <v>521</v>
      </c>
      <c r="K2537" s="9" t="s">
        <v>36</v>
      </c>
      <c r="L2537" s="6" t="s">
        <v>122</v>
      </c>
      <c r="M2537" s="3" t="s">
        <v>36</v>
      </c>
      <c r="N2537" s="3" t="s">
        <v>122</v>
      </c>
      <c r="O2537" s="8" t="s">
        <v>36</v>
      </c>
      <c r="P2537" s="3" t="s">
        <v>36</v>
      </c>
      <c r="Q2537" s="3" t="s">
        <v>36</v>
      </c>
      <c r="R2537" s="3" t="s">
        <v>36</v>
      </c>
      <c r="S2537" s="3" t="s">
        <v>36</v>
      </c>
      <c r="T2537" s="3" t="s">
        <v>6577</v>
      </c>
      <c r="U2537" s="3" t="s">
        <v>423</v>
      </c>
      <c r="V2537" s="3" t="s">
        <v>64</v>
      </c>
      <c r="W2537" s="3" t="s">
        <v>6578</v>
      </c>
      <c r="X2537" s="10" t="s">
        <v>13924</v>
      </c>
      <c r="Y2537" s="6" t="s">
        <v>108</v>
      </c>
      <c r="Z2537" s="4">
        <v>30.07</v>
      </c>
      <c r="AA2537" s="4">
        <v>95.4</v>
      </c>
      <c r="AB2537" s="3" t="s">
        <v>43</v>
      </c>
      <c r="AC2537" s="3" t="s">
        <v>6580</v>
      </c>
      <c r="AD2537" s="9">
        <v>44580</v>
      </c>
      <c r="AE2537" s="3" t="s">
        <v>562</v>
      </c>
      <c r="AF2537" s="3" t="s">
        <v>2525</v>
      </c>
      <c r="AG2537" s="3" t="s">
        <v>81</v>
      </c>
      <c r="AH2537" s="11">
        <f>HYPERLINK("https://my.pitchbook.com?c=191664-28T","View Company Online")</f>
      </c>
    </row>
    <row r="2538">
      <c r="A2538" s="12" t="s">
        <v>13925</v>
      </c>
      <c r="B2538" s="12" t="s">
        <v>7709</v>
      </c>
      <c r="C2538" s="19" t="s">
        <v>36</v>
      </c>
      <c r="D2538" s="19" t="s">
        <v>36</v>
      </c>
      <c r="E2538" s="19" t="s">
        <v>36</v>
      </c>
      <c r="F2538" s="19" t="s">
        <v>36</v>
      </c>
      <c r="G2538" s="15" t="s">
        <v>326</v>
      </c>
      <c r="H2538" s="14">
        <v>1241.09</v>
      </c>
      <c r="I2538" s="18">
        <v>9.55</v>
      </c>
      <c r="J2538" s="12" t="s">
        <v>521</v>
      </c>
      <c r="K2538" s="13" t="s">
        <v>36</v>
      </c>
      <c r="L2538" s="15" t="s">
        <v>94</v>
      </c>
      <c r="M2538" s="12" t="s">
        <v>36</v>
      </c>
      <c r="N2538" s="12" t="s">
        <v>94</v>
      </c>
      <c r="O2538" s="17" t="s">
        <v>36</v>
      </c>
      <c r="P2538" s="12" t="s">
        <v>36</v>
      </c>
      <c r="Q2538" s="12" t="s">
        <v>36</v>
      </c>
      <c r="R2538" s="12" t="s">
        <v>36</v>
      </c>
      <c r="S2538" s="12" t="s">
        <v>36</v>
      </c>
      <c r="T2538" s="12" t="s">
        <v>1560</v>
      </c>
      <c r="U2538" s="12" t="s">
        <v>438</v>
      </c>
      <c r="V2538" s="12" t="s">
        <v>405</v>
      </c>
      <c r="W2538" s="12" t="s">
        <v>7710</v>
      </c>
      <c r="X2538" s="16" t="s">
        <v>13926</v>
      </c>
      <c r="Y2538" s="15" t="s">
        <v>192</v>
      </c>
      <c r="Z2538" s="14">
        <v>17.02</v>
      </c>
      <c r="AA2538" s="14">
        <v>124.69</v>
      </c>
      <c r="AB2538" s="12" t="s">
        <v>56</v>
      </c>
      <c r="AC2538" s="12" t="s">
        <v>7712</v>
      </c>
      <c r="AD2538" s="13">
        <v>44579</v>
      </c>
      <c r="AE2538" s="12" t="s">
        <v>438</v>
      </c>
      <c r="AF2538" s="12" t="s">
        <v>799</v>
      </c>
      <c r="AG2538" s="12" t="s">
        <v>81</v>
      </c>
      <c r="AH2538" s="1">
        <f>HYPERLINK("https://my.pitchbook.com?c=172638-01T","View Company Online")</f>
      </c>
    </row>
    <row r="2539">
      <c r="A2539" s="3" t="s">
        <v>13927</v>
      </c>
      <c r="B2539" s="3" t="s">
        <v>10458</v>
      </c>
      <c r="C2539" s="5" t="s">
        <v>36</v>
      </c>
      <c r="D2539" s="5" t="s">
        <v>36</v>
      </c>
      <c r="E2539" s="5" t="s">
        <v>36</v>
      </c>
      <c r="F2539" s="5" t="s">
        <v>36</v>
      </c>
      <c r="G2539" s="6" t="s">
        <v>36</v>
      </c>
      <c r="H2539" s="4">
        <v>20.77</v>
      </c>
      <c r="I2539" s="7">
        <v>9.09</v>
      </c>
      <c r="J2539" s="3" t="s">
        <v>521</v>
      </c>
      <c r="K2539" s="9" t="s">
        <v>36</v>
      </c>
      <c r="L2539" s="6" t="s">
        <v>36</v>
      </c>
      <c r="M2539" s="3" t="s">
        <v>36</v>
      </c>
      <c r="N2539" s="3" t="s">
        <v>36</v>
      </c>
      <c r="O2539" s="8" t="s">
        <v>36</v>
      </c>
      <c r="P2539" s="3" t="s">
        <v>36</v>
      </c>
      <c r="Q2539" s="3" t="s">
        <v>36</v>
      </c>
      <c r="R2539" s="3" t="s">
        <v>36</v>
      </c>
      <c r="S2539" s="3" t="s">
        <v>36</v>
      </c>
      <c r="T2539" s="3" t="s">
        <v>10459</v>
      </c>
      <c r="U2539" s="3" t="s">
        <v>1091</v>
      </c>
      <c r="V2539" s="3" t="s">
        <v>378</v>
      </c>
      <c r="W2539" s="3" t="s">
        <v>10460</v>
      </c>
      <c r="X2539" s="10" t="s">
        <v>11111</v>
      </c>
      <c r="Y2539" s="6" t="s">
        <v>42</v>
      </c>
      <c r="Z2539" s="4">
        <v>0.03</v>
      </c>
      <c r="AA2539" s="4">
        <v>0.37</v>
      </c>
      <c r="AB2539" s="3" t="s">
        <v>43</v>
      </c>
      <c r="AC2539" s="3" t="s">
        <v>10462</v>
      </c>
      <c r="AD2539" s="9">
        <v>44579</v>
      </c>
      <c r="AE2539" s="3" t="s">
        <v>10463</v>
      </c>
      <c r="AF2539" s="3" t="s">
        <v>571</v>
      </c>
      <c r="AG2539" s="3" t="s">
        <v>10464</v>
      </c>
      <c r="AH2539" s="11">
        <f>HYPERLINK("https://my.pitchbook.com?c=205330-42T","View Company Online")</f>
      </c>
    </row>
    <row r="2540">
      <c r="A2540" s="12" t="s">
        <v>13928</v>
      </c>
      <c r="B2540" s="12" t="s">
        <v>13929</v>
      </c>
      <c r="C2540" s="19" t="s">
        <v>36</v>
      </c>
      <c r="D2540" s="19" t="s">
        <v>36</v>
      </c>
      <c r="E2540" s="19" t="s">
        <v>36</v>
      </c>
      <c r="F2540" s="19" t="s">
        <v>36</v>
      </c>
      <c r="G2540" s="15" t="s">
        <v>326</v>
      </c>
      <c r="H2540" s="14">
        <v>21.93</v>
      </c>
      <c r="I2540" s="18" t="s">
        <v>36</v>
      </c>
      <c r="J2540" s="12" t="s">
        <v>521</v>
      </c>
      <c r="K2540" s="13">
        <v>44377</v>
      </c>
      <c r="L2540" s="15" t="s">
        <v>1279</v>
      </c>
      <c r="M2540" s="12" t="s">
        <v>36</v>
      </c>
      <c r="N2540" s="12" t="s">
        <v>1279</v>
      </c>
      <c r="O2540" s="17" t="s">
        <v>36</v>
      </c>
      <c r="P2540" s="12" t="s">
        <v>36</v>
      </c>
      <c r="Q2540" s="12" t="s">
        <v>36</v>
      </c>
      <c r="R2540" s="12" t="s">
        <v>36</v>
      </c>
      <c r="S2540" s="12" t="s">
        <v>36</v>
      </c>
      <c r="T2540" s="12" t="s">
        <v>8202</v>
      </c>
      <c r="U2540" s="12" t="s">
        <v>38</v>
      </c>
      <c r="V2540" s="12" t="s">
        <v>39</v>
      </c>
      <c r="W2540" s="12" t="s">
        <v>13930</v>
      </c>
      <c r="X2540" s="16" t="s">
        <v>13931</v>
      </c>
      <c r="Y2540" s="15" t="s">
        <v>166</v>
      </c>
      <c r="Z2540" s="14">
        <v>215.56</v>
      </c>
      <c r="AA2540" s="14">
        <v>1134.53</v>
      </c>
      <c r="AB2540" s="12" t="s">
        <v>56</v>
      </c>
      <c r="AC2540" s="12" t="s">
        <v>13932</v>
      </c>
      <c r="AD2540" s="13">
        <v>44579</v>
      </c>
      <c r="AE2540" s="12" t="s">
        <v>45</v>
      </c>
      <c r="AF2540" s="12" t="s">
        <v>615</v>
      </c>
      <c r="AG2540" s="12" t="s">
        <v>81</v>
      </c>
      <c r="AH2540" s="1">
        <f>HYPERLINK("https://my.pitchbook.com?c=176949-64T","View Company Online")</f>
      </c>
    </row>
    <row r="2541">
      <c r="A2541" s="3" t="s">
        <v>13933</v>
      </c>
      <c r="B2541" s="3" t="s">
        <v>13934</v>
      </c>
      <c r="C2541" s="5">
        <v>1</v>
      </c>
      <c r="D2541" s="5">
        <v>16</v>
      </c>
      <c r="E2541" s="5">
        <v>3</v>
      </c>
      <c r="F2541" s="5">
        <v>18</v>
      </c>
      <c r="G2541" s="6" t="s">
        <v>326</v>
      </c>
      <c r="H2541" s="4">
        <v>1866.3</v>
      </c>
      <c r="I2541" s="7">
        <v>6.16</v>
      </c>
      <c r="J2541" s="3" t="s">
        <v>521</v>
      </c>
      <c r="K2541" s="9" t="s">
        <v>36</v>
      </c>
      <c r="L2541" s="6" t="s">
        <v>36</v>
      </c>
      <c r="M2541" s="3" t="s">
        <v>36</v>
      </c>
      <c r="N2541" s="3" t="s">
        <v>36</v>
      </c>
      <c r="O2541" s="8" t="s">
        <v>36</v>
      </c>
      <c r="P2541" s="3" t="s">
        <v>36</v>
      </c>
      <c r="Q2541" s="3" t="s">
        <v>36</v>
      </c>
      <c r="R2541" s="3" t="s">
        <v>36</v>
      </c>
      <c r="S2541" s="3" t="s">
        <v>8864</v>
      </c>
      <c r="T2541" s="3" t="s">
        <v>927</v>
      </c>
      <c r="U2541" s="3" t="s">
        <v>219</v>
      </c>
      <c r="V2541" s="3" t="s">
        <v>75</v>
      </c>
      <c r="W2541" s="3" t="s">
        <v>13935</v>
      </c>
      <c r="X2541" s="10" t="s">
        <v>13936</v>
      </c>
      <c r="Y2541" s="6" t="s">
        <v>55</v>
      </c>
      <c r="Z2541" s="4">
        <v>2</v>
      </c>
      <c r="AA2541" s="4">
        <v>32.41</v>
      </c>
      <c r="AB2541" s="3" t="s">
        <v>56</v>
      </c>
      <c r="AC2541" s="3" t="s">
        <v>13937</v>
      </c>
      <c r="AD2541" s="9">
        <v>44579</v>
      </c>
      <c r="AE2541" s="3" t="s">
        <v>243</v>
      </c>
      <c r="AF2541" s="3" t="s">
        <v>3114</v>
      </c>
      <c r="AG2541" s="3" t="s">
        <v>81</v>
      </c>
      <c r="AH2541" s="11">
        <f>HYPERLINK("https://my.pitchbook.com?c=188822-08T","View Company Online")</f>
      </c>
    </row>
    <row r="2542">
      <c r="A2542" s="12" t="s">
        <v>13938</v>
      </c>
      <c r="B2542" s="12" t="s">
        <v>13939</v>
      </c>
      <c r="C2542" s="19">
        <v>36</v>
      </c>
      <c r="D2542" s="19">
        <v>36</v>
      </c>
      <c r="E2542" s="19">
        <v>31</v>
      </c>
      <c r="F2542" s="19">
        <v>78</v>
      </c>
      <c r="G2542" s="15" t="s">
        <v>326</v>
      </c>
      <c r="H2542" s="14" t="s">
        <v>36</v>
      </c>
      <c r="I2542" s="18">
        <v>16.75</v>
      </c>
      <c r="J2542" s="12" t="s">
        <v>521</v>
      </c>
      <c r="K2542" s="13" t="s">
        <v>36</v>
      </c>
      <c r="L2542" s="15" t="s">
        <v>3736</v>
      </c>
      <c r="M2542" s="12" t="s">
        <v>36</v>
      </c>
      <c r="N2542" s="12" t="s">
        <v>3736</v>
      </c>
      <c r="O2542" s="17" t="s">
        <v>36</v>
      </c>
      <c r="P2542" s="12" t="s">
        <v>36</v>
      </c>
      <c r="Q2542" s="12" t="s">
        <v>36</v>
      </c>
      <c r="R2542" s="12" t="s">
        <v>36</v>
      </c>
      <c r="S2542" s="12" t="s">
        <v>2489</v>
      </c>
      <c r="T2542" s="12" t="s">
        <v>13940</v>
      </c>
      <c r="U2542" s="12" t="s">
        <v>318</v>
      </c>
      <c r="V2542" s="12" t="s">
        <v>39</v>
      </c>
      <c r="W2542" s="12" t="s">
        <v>13941</v>
      </c>
      <c r="X2542" s="16" t="s">
        <v>13942</v>
      </c>
      <c r="Y2542" s="15" t="s">
        <v>192</v>
      </c>
      <c r="Z2542" s="14">
        <v>333.01</v>
      </c>
      <c r="AA2542" s="14">
        <v>1988.09</v>
      </c>
      <c r="AB2542" s="12" t="s">
        <v>56</v>
      </c>
      <c r="AC2542" s="12" t="s">
        <v>13943</v>
      </c>
      <c r="AD2542" s="13">
        <v>44578</v>
      </c>
      <c r="AE2542" s="12" t="s">
        <v>417</v>
      </c>
      <c r="AF2542" s="12" t="s">
        <v>13944</v>
      </c>
      <c r="AG2542" s="12" t="s">
        <v>13945</v>
      </c>
      <c r="AH2542" s="1">
        <f>HYPERLINK("https://my.pitchbook.com?c=186725-44T","View Company Online")</f>
      </c>
    </row>
    <row r="2543">
      <c r="A2543" s="3" t="s">
        <v>13946</v>
      </c>
      <c r="B2543" s="3" t="s">
        <v>13947</v>
      </c>
      <c r="C2543" s="5" t="s">
        <v>36</v>
      </c>
      <c r="D2543" s="5" t="s">
        <v>36</v>
      </c>
      <c r="E2543" s="5" t="s">
        <v>36</v>
      </c>
      <c r="F2543" s="5" t="s">
        <v>36</v>
      </c>
      <c r="G2543" s="6" t="s">
        <v>36</v>
      </c>
      <c r="H2543" s="4" t="s">
        <v>36</v>
      </c>
      <c r="I2543" s="7" t="s">
        <v>36</v>
      </c>
      <c r="J2543" s="3" t="s">
        <v>36</v>
      </c>
      <c r="K2543" s="9" t="s">
        <v>36</v>
      </c>
      <c r="L2543" s="6" t="s">
        <v>36</v>
      </c>
      <c r="M2543" s="3" t="s">
        <v>36</v>
      </c>
      <c r="N2543" s="3" t="s">
        <v>36</v>
      </c>
      <c r="O2543" s="8" t="s">
        <v>36</v>
      </c>
      <c r="P2543" s="3" t="s">
        <v>36</v>
      </c>
      <c r="Q2543" s="3" t="s">
        <v>36</v>
      </c>
      <c r="R2543" s="3" t="s">
        <v>36</v>
      </c>
      <c r="S2543" s="3" t="s">
        <v>36</v>
      </c>
      <c r="T2543" s="3" t="s">
        <v>522</v>
      </c>
      <c r="U2543" s="3" t="s">
        <v>38</v>
      </c>
      <c r="V2543" s="3" t="s">
        <v>39</v>
      </c>
      <c r="W2543" s="3" t="s">
        <v>13948</v>
      </c>
      <c r="X2543" s="10" t="s">
        <v>13949</v>
      </c>
      <c r="Y2543" s="6" t="s">
        <v>108</v>
      </c>
      <c r="Z2543" s="4">
        <v>1.7</v>
      </c>
      <c r="AA2543" s="4" t="s">
        <v>36</v>
      </c>
      <c r="AB2543" s="3" t="s">
        <v>56</v>
      </c>
      <c r="AC2543" s="3" t="s">
        <v>13950</v>
      </c>
      <c r="AD2543" s="9">
        <v>44578</v>
      </c>
      <c r="AE2543" s="3" t="s">
        <v>110</v>
      </c>
      <c r="AF2543" s="3" t="s">
        <v>4552</v>
      </c>
      <c r="AG2543" s="3" t="s">
        <v>81</v>
      </c>
      <c r="AH2543" s="11">
        <f>HYPERLINK("https://my.pitchbook.com?c=187034-77T","View Company Online")</f>
      </c>
    </row>
    <row r="2544">
      <c r="A2544" s="12" t="s">
        <v>13951</v>
      </c>
      <c r="B2544" s="12" t="s">
        <v>13952</v>
      </c>
      <c r="C2544" s="19" t="s">
        <v>36</v>
      </c>
      <c r="D2544" s="19" t="s">
        <v>36</v>
      </c>
      <c r="E2544" s="19" t="s">
        <v>36</v>
      </c>
      <c r="F2544" s="19" t="s">
        <v>36</v>
      </c>
      <c r="G2544" s="15" t="s">
        <v>36</v>
      </c>
      <c r="H2544" s="14">
        <v>1775.98</v>
      </c>
      <c r="I2544" s="18" t="s">
        <v>36</v>
      </c>
      <c r="J2544" s="12" t="s">
        <v>36</v>
      </c>
      <c r="K2544" s="13">
        <v>44467</v>
      </c>
      <c r="L2544" s="15" t="s">
        <v>36</v>
      </c>
      <c r="M2544" s="12" t="s">
        <v>36</v>
      </c>
      <c r="N2544" s="12" t="s">
        <v>36</v>
      </c>
      <c r="O2544" s="17" t="s">
        <v>36</v>
      </c>
      <c r="P2544" s="12" t="s">
        <v>36</v>
      </c>
      <c r="Q2544" s="12" t="s">
        <v>36</v>
      </c>
      <c r="R2544" s="12" t="s">
        <v>36</v>
      </c>
      <c r="S2544" s="12" t="s">
        <v>36</v>
      </c>
      <c r="T2544" s="12" t="s">
        <v>13953</v>
      </c>
      <c r="U2544" s="12" t="s">
        <v>423</v>
      </c>
      <c r="V2544" s="12" t="s">
        <v>64</v>
      </c>
      <c r="W2544" s="12" t="s">
        <v>13954</v>
      </c>
      <c r="X2544" s="16" t="s">
        <v>4544</v>
      </c>
      <c r="Y2544" s="15" t="s">
        <v>108</v>
      </c>
      <c r="Z2544" s="14">
        <v>1.8</v>
      </c>
      <c r="AA2544" s="14" t="s">
        <v>36</v>
      </c>
      <c r="AB2544" s="12" t="s">
        <v>56</v>
      </c>
      <c r="AC2544" s="12" t="s">
        <v>13955</v>
      </c>
      <c r="AD2544" s="13">
        <v>44578</v>
      </c>
      <c r="AE2544" s="12" t="s">
        <v>1051</v>
      </c>
      <c r="AF2544" s="12" t="s">
        <v>1977</v>
      </c>
      <c r="AG2544" s="12" t="s">
        <v>4291</v>
      </c>
      <c r="AH2544" s="1">
        <f>HYPERLINK("https://my.pitchbook.com?c=182821-69T","View Company Online")</f>
      </c>
    </row>
    <row r="2545">
      <c r="A2545" s="3" t="s">
        <v>13956</v>
      </c>
      <c r="B2545" s="3" t="s">
        <v>13957</v>
      </c>
      <c r="C2545" s="5" t="s">
        <v>36</v>
      </c>
      <c r="D2545" s="5" t="s">
        <v>36</v>
      </c>
      <c r="E2545" s="5" t="s">
        <v>36</v>
      </c>
      <c r="F2545" s="5" t="s">
        <v>36</v>
      </c>
      <c r="G2545" s="6" t="s">
        <v>36</v>
      </c>
      <c r="H2545" s="4" t="s">
        <v>36</v>
      </c>
      <c r="I2545" s="7" t="s">
        <v>36</v>
      </c>
      <c r="J2545" s="3" t="s">
        <v>36</v>
      </c>
      <c r="K2545" s="9" t="s">
        <v>36</v>
      </c>
      <c r="L2545" s="6" t="s">
        <v>36</v>
      </c>
      <c r="M2545" s="3" t="s">
        <v>36</v>
      </c>
      <c r="N2545" s="3" t="s">
        <v>36</v>
      </c>
      <c r="O2545" s="8" t="s">
        <v>36</v>
      </c>
      <c r="P2545" s="3" t="s">
        <v>36</v>
      </c>
      <c r="Q2545" s="3" t="s">
        <v>36</v>
      </c>
      <c r="R2545" s="3" t="s">
        <v>36</v>
      </c>
      <c r="S2545" s="3" t="s">
        <v>36</v>
      </c>
      <c r="T2545" s="3" t="s">
        <v>13958</v>
      </c>
      <c r="U2545" s="3" t="s">
        <v>180</v>
      </c>
      <c r="V2545" s="3" t="s">
        <v>52</v>
      </c>
      <c r="W2545" s="3" t="s">
        <v>13959</v>
      </c>
      <c r="X2545" s="10" t="s">
        <v>13960</v>
      </c>
      <c r="Y2545" s="6" t="s">
        <v>55</v>
      </c>
      <c r="Z2545" s="4">
        <v>11.33</v>
      </c>
      <c r="AA2545" s="4" t="s">
        <v>36</v>
      </c>
      <c r="AB2545" s="3" t="s">
        <v>56</v>
      </c>
      <c r="AC2545" s="3" t="s">
        <v>13961</v>
      </c>
      <c r="AD2545" s="9">
        <v>44575</v>
      </c>
      <c r="AE2545" s="3" t="s">
        <v>8291</v>
      </c>
      <c r="AF2545" s="3" t="s">
        <v>7086</v>
      </c>
      <c r="AG2545" s="3" t="s">
        <v>47</v>
      </c>
      <c r="AH2545" s="11">
        <f>HYPERLINK("https://my.pitchbook.com?c=186616-36T","View Company Online")</f>
      </c>
    </row>
    <row r="2546">
      <c r="A2546" s="12" t="s">
        <v>13962</v>
      </c>
      <c r="B2546" s="12" t="s">
        <v>2482</v>
      </c>
      <c r="C2546" s="19" t="s">
        <v>36</v>
      </c>
      <c r="D2546" s="19" t="s">
        <v>36</v>
      </c>
      <c r="E2546" s="19" t="s">
        <v>36</v>
      </c>
      <c r="F2546" s="19" t="s">
        <v>36</v>
      </c>
      <c r="G2546" s="15" t="s">
        <v>36</v>
      </c>
      <c r="H2546" s="14">
        <v>385.75</v>
      </c>
      <c r="I2546" s="18">
        <v>35</v>
      </c>
      <c r="J2546" s="12" t="s">
        <v>521</v>
      </c>
      <c r="K2546" s="13" t="s">
        <v>36</v>
      </c>
      <c r="L2546" s="15" t="s">
        <v>36</v>
      </c>
      <c r="M2546" s="12" t="s">
        <v>36</v>
      </c>
      <c r="N2546" s="12" t="s">
        <v>36</v>
      </c>
      <c r="O2546" s="17" t="s">
        <v>36</v>
      </c>
      <c r="P2546" s="12" t="s">
        <v>36</v>
      </c>
      <c r="Q2546" s="12" t="s">
        <v>36</v>
      </c>
      <c r="R2546" s="12" t="s">
        <v>36</v>
      </c>
      <c r="S2546" s="12" t="s">
        <v>36</v>
      </c>
      <c r="T2546" s="12" t="s">
        <v>2483</v>
      </c>
      <c r="U2546" s="12" t="s">
        <v>63</v>
      </c>
      <c r="V2546" s="12" t="s">
        <v>64</v>
      </c>
      <c r="W2546" s="12" t="s">
        <v>2484</v>
      </c>
      <c r="X2546" s="16" t="s">
        <v>560</v>
      </c>
      <c r="Y2546" s="15" t="s">
        <v>42</v>
      </c>
      <c r="Z2546" s="14">
        <v>2.26</v>
      </c>
      <c r="AA2546" s="14">
        <v>6.47</v>
      </c>
      <c r="AB2546" s="12" t="s">
        <v>43</v>
      </c>
      <c r="AC2546" s="12" t="s">
        <v>2486</v>
      </c>
      <c r="AD2546" s="13">
        <v>44574</v>
      </c>
      <c r="AE2546" s="12" t="s">
        <v>399</v>
      </c>
      <c r="AF2546" s="12" t="s">
        <v>938</v>
      </c>
      <c r="AG2546" s="12" t="s">
        <v>1078</v>
      </c>
      <c r="AH2546" s="1">
        <f>HYPERLINK("https://my.pitchbook.com?c=186510-88T","View Company Online")</f>
      </c>
    </row>
    <row r="2547">
      <c r="A2547" s="3" t="s">
        <v>13963</v>
      </c>
      <c r="B2547" s="3" t="s">
        <v>13964</v>
      </c>
      <c r="C2547" s="5" t="s">
        <v>36</v>
      </c>
      <c r="D2547" s="5" t="s">
        <v>36</v>
      </c>
      <c r="E2547" s="5" t="s">
        <v>36</v>
      </c>
      <c r="F2547" s="5" t="s">
        <v>36</v>
      </c>
      <c r="G2547" s="6" t="s">
        <v>326</v>
      </c>
      <c r="H2547" s="4">
        <v>8.63</v>
      </c>
      <c r="I2547" s="7">
        <v>21.48</v>
      </c>
      <c r="J2547" s="3" t="s">
        <v>521</v>
      </c>
      <c r="K2547" s="9" t="s">
        <v>36</v>
      </c>
      <c r="L2547" s="6" t="s">
        <v>36</v>
      </c>
      <c r="M2547" s="3" t="s">
        <v>36</v>
      </c>
      <c r="N2547" s="3" t="s">
        <v>36</v>
      </c>
      <c r="O2547" s="8" t="s">
        <v>36</v>
      </c>
      <c r="P2547" s="3" t="s">
        <v>36</v>
      </c>
      <c r="Q2547" s="3" t="s">
        <v>36</v>
      </c>
      <c r="R2547" s="3" t="s">
        <v>36</v>
      </c>
      <c r="S2547" s="3" t="s">
        <v>36</v>
      </c>
      <c r="T2547" s="3" t="s">
        <v>2044</v>
      </c>
      <c r="U2547" s="3" t="s">
        <v>74</v>
      </c>
      <c r="V2547" s="3" t="s">
        <v>75</v>
      </c>
      <c r="W2547" s="3" t="s">
        <v>13965</v>
      </c>
      <c r="X2547" s="10" t="s">
        <v>13966</v>
      </c>
      <c r="Y2547" s="6" t="s">
        <v>42</v>
      </c>
      <c r="Z2547" s="4">
        <v>1.86</v>
      </c>
      <c r="AA2547" s="4">
        <v>8.64</v>
      </c>
      <c r="AB2547" s="3" t="s">
        <v>43</v>
      </c>
      <c r="AC2547" s="3" t="s">
        <v>13967</v>
      </c>
      <c r="AD2547" s="9">
        <v>44574</v>
      </c>
      <c r="AE2547" s="3" t="s">
        <v>79</v>
      </c>
      <c r="AF2547" s="3" t="s">
        <v>13968</v>
      </c>
      <c r="AG2547" s="3" t="s">
        <v>81</v>
      </c>
      <c r="AH2547" s="11">
        <f>HYPERLINK("https://my.pitchbook.com?c=186612-31T","View Company Online")</f>
      </c>
    </row>
    <row r="2548">
      <c r="A2548" s="12" t="s">
        <v>13969</v>
      </c>
      <c r="B2548" s="12" t="s">
        <v>13970</v>
      </c>
      <c r="C2548" s="19" t="s">
        <v>36</v>
      </c>
      <c r="D2548" s="19" t="s">
        <v>36</v>
      </c>
      <c r="E2548" s="19" t="s">
        <v>36</v>
      </c>
      <c r="F2548" s="19" t="s">
        <v>36</v>
      </c>
      <c r="G2548" s="15" t="s">
        <v>36</v>
      </c>
      <c r="H2548" s="14" t="s">
        <v>36</v>
      </c>
      <c r="I2548" s="18" t="s">
        <v>36</v>
      </c>
      <c r="J2548" s="12" t="s">
        <v>36</v>
      </c>
      <c r="K2548" s="13" t="s">
        <v>36</v>
      </c>
      <c r="L2548" s="15" t="s">
        <v>122</v>
      </c>
      <c r="M2548" s="12" t="s">
        <v>36</v>
      </c>
      <c r="N2548" s="12" t="s">
        <v>122</v>
      </c>
      <c r="O2548" s="17" t="s">
        <v>36</v>
      </c>
      <c r="P2548" s="12" t="s">
        <v>36</v>
      </c>
      <c r="Q2548" s="12" t="s">
        <v>36</v>
      </c>
      <c r="R2548" s="12" t="s">
        <v>36</v>
      </c>
      <c r="S2548" s="12" t="s">
        <v>36</v>
      </c>
      <c r="T2548" s="12" t="s">
        <v>13971</v>
      </c>
      <c r="U2548" s="12" t="s">
        <v>648</v>
      </c>
      <c r="V2548" s="12" t="s">
        <v>64</v>
      </c>
      <c r="W2548" s="12" t="s">
        <v>13972</v>
      </c>
      <c r="X2548" s="16" t="s">
        <v>13973</v>
      </c>
      <c r="Y2548" s="15" t="s">
        <v>108</v>
      </c>
      <c r="Z2548" s="14">
        <v>12.95</v>
      </c>
      <c r="AA2548" s="14" t="s">
        <v>36</v>
      </c>
      <c r="AB2548" s="12" t="s">
        <v>43</v>
      </c>
      <c r="AC2548" s="12" t="s">
        <v>13974</v>
      </c>
      <c r="AD2548" s="13">
        <v>44574</v>
      </c>
      <c r="AE2548" s="12" t="s">
        <v>1897</v>
      </c>
      <c r="AF2548" s="12" t="s">
        <v>2409</v>
      </c>
      <c r="AG2548" s="12" t="s">
        <v>443</v>
      </c>
      <c r="AH2548" s="1">
        <f>HYPERLINK("https://my.pitchbook.com?c=186581-17T","View Company Online")</f>
      </c>
    </row>
    <row r="2549">
      <c r="A2549" s="3" t="s">
        <v>13975</v>
      </c>
      <c r="B2549" s="3" t="s">
        <v>6259</v>
      </c>
      <c r="C2549" s="5" t="s">
        <v>36</v>
      </c>
      <c r="D2549" s="5" t="s">
        <v>36</v>
      </c>
      <c r="E2549" s="5" t="s">
        <v>36</v>
      </c>
      <c r="F2549" s="5" t="s">
        <v>36</v>
      </c>
      <c r="G2549" s="6" t="s">
        <v>36</v>
      </c>
      <c r="H2549" s="4" t="s">
        <v>36</v>
      </c>
      <c r="I2549" s="7" t="s">
        <v>36</v>
      </c>
      <c r="J2549" s="3" t="s">
        <v>36</v>
      </c>
      <c r="K2549" s="9" t="s">
        <v>36</v>
      </c>
      <c r="L2549" s="6" t="s">
        <v>122</v>
      </c>
      <c r="M2549" s="3" t="s">
        <v>36</v>
      </c>
      <c r="N2549" s="3" t="s">
        <v>122</v>
      </c>
      <c r="O2549" s="8" t="s">
        <v>36</v>
      </c>
      <c r="P2549" s="3" t="s">
        <v>36</v>
      </c>
      <c r="Q2549" s="3" t="s">
        <v>36</v>
      </c>
      <c r="R2549" s="3" t="s">
        <v>36</v>
      </c>
      <c r="S2549" s="3" t="s">
        <v>36</v>
      </c>
      <c r="T2549" s="3" t="s">
        <v>6260</v>
      </c>
      <c r="U2549" s="3" t="s">
        <v>289</v>
      </c>
      <c r="V2549" s="3" t="s">
        <v>64</v>
      </c>
      <c r="W2549" s="3" t="s">
        <v>6261</v>
      </c>
      <c r="X2549" s="10" t="s">
        <v>13976</v>
      </c>
      <c r="Y2549" s="6" t="s">
        <v>166</v>
      </c>
      <c r="Z2549" s="4">
        <v>6.2</v>
      </c>
      <c r="AA2549" s="4" t="s">
        <v>36</v>
      </c>
      <c r="AB2549" s="3" t="s">
        <v>56</v>
      </c>
      <c r="AC2549" s="3" t="s">
        <v>6263</v>
      </c>
      <c r="AD2549" s="9">
        <v>44573</v>
      </c>
      <c r="AE2549" s="3" t="s">
        <v>3134</v>
      </c>
      <c r="AF2549" s="3" t="s">
        <v>6264</v>
      </c>
      <c r="AG2549" s="3" t="s">
        <v>81</v>
      </c>
      <c r="AH2549" s="11">
        <f>HYPERLINK("https://my.pitchbook.com?c=186337-45T","View Company Online")</f>
      </c>
    </row>
    <row r="2550">
      <c r="A2550" s="12" t="s">
        <v>13977</v>
      </c>
      <c r="B2550" s="12" t="s">
        <v>8380</v>
      </c>
      <c r="C2550" s="19" t="s">
        <v>36</v>
      </c>
      <c r="D2550" s="19" t="s">
        <v>36</v>
      </c>
      <c r="E2550" s="19" t="s">
        <v>36</v>
      </c>
      <c r="F2550" s="19" t="s">
        <v>36</v>
      </c>
      <c r="G2550" s="15" t="s">
        <v>326</v>
      </c>
      <c r="H2550" s="14">
        <v>406.08</v>
      </c>
      <c r="I2550" s="18">
        <v>8.98</v>
      </c>
      <c r="J2550" s="12" t="s">
        <v>521</v>
      </c>
      <c r="K2550" s="13" t="s">
        <v>36</v>
      </c>
      <c r="L2550" s="15" t="s">
        <v>36</v>
      </c>
      <c r="M2550" s="12" t="s">
        <v>36</v>
      </c>
      <c r="N2550" s="12" t="s">
        <v>36</v>
      </c>
      <c r="O2550" s="17" t="s">
        <v>36</v>
      </c>
      <c r="P2550" s="12" t="s">
        <v>36</v>
      </c>
      <c r="Q2550" s="12" t="s">
        <v>36</v>
      </c>
      <c r="R2550" s="12" t="s">
        <v>36</v>
      </c>
      <c r="S2550" s="12" t="s">
        <v>36</v>
      </c>
      <c r="T2550" s="12" t="s">
        <v>4155</v>
      </c>
      <c r="U2550" s="12" t="s">
        <v>1082</v>
      </c>
      <c r="V2550" s="12" t="s">
        <v>378</v>
      </c>
      <c r="W2550" s="12" t="s">
        <v>8381</v>
      </c>
      <c r="X2550" s="16" t="s">
        <v>11058</v>
      </c>
      <c r="Y2550" s="15" t="s">
        <v>55</v>
      </c>
      <c r="Z2550" s="14">
        <v>2.67</v>
      </c>
      <c r="AA2550" s="14">
        <v>29.79</v>
      </c>
      <c r="AB2550" s="12" t="s">
        <v>56</v>
      </c>
      <c r="AC2550" s="12" t="s">
        <v>8383</v>
      </c>
      <c r="AD2550" s="13">
        <v>44573</v>
      </c>
      <c r="AE2550" s="12" t="s">
        <v>1086</v>
      </c>
      <c r="AF2550" s="12" t="s">
        <v>2673</v>
      </c>
      <c r="AG2550" s="12" t="s">
        <v>8384</v>
      </c>
      <c r="AH2550" s="1">
        <f>HYPERLINK("https://my.pitchbook.com?c=186395-86T","View Company Online")</f>
      </c>
    </row>
    <row r="2551">
      <c r="A2551" s="3" t="s">
        <v>13978</v>
      </c>
      <c r="B2551" s="3" t="s">
        <v>13979</v>
      </c>
      <c r="C2551" s="5" t="s">
        <v>36</v>
      </c>
      <c r="D2551" s="5">
        <v>2</v>
      </c>
      <c r="E2551" s="5">
        <v>1</v>
      </c>
      <c r="F2551" s="5">
        <v>2</v>
      </c>
      <c r="G2551" s="6" t="s">
        <v>2497</v>
      </c>
      <c r="H2551" s="4">
        <v>199.47</v>
      </c>
      <c r="I2551" s="7">
        <v>51.49</v>
      </c>
      <c r="J2551" s="3" t="s">
        <v>521</v>
      </c>
      <c r="K2551" s="9" t="s">
        <v>36</v>
      </c>
      <c r="L2551" s="6" t="s">
        <v>36</v>
      </c>
      <c r="M2551" s="3" t="s">
        <v>36</v>
      </c>
      <c r="N2551" s="3" t="s">
        <v>36</v>
      </c>
      <c r="O2551" s="8" t="s">
        <v>36</v>
      </c>
      <c r="P2551" s="3" t="s">
        <v>36</v>
      </c>
      <c r="Q2551" s="3" t="s">
        <v>36</v>
      </c>
      <c r="R2551" s="3" t="s">
        <v>36</v>
      </c>
      <c r="S2551" s="3" t="s">
        <v>36</v>
      </c>
      <c r="T2551" s="3" t="s">
        <v>13980</v>
      </c>
      <c r="U2551" s="3" t="s">
        <v>1144</v>
      </c>
      <c r="V2551" s="3" t="s">
        <v>378</v>
      </c>
      <c r="W2551" s="3" t="s">
        <v>13981</v>
      </c>
      <c r="X2551" s="10" t="s">
        <v>13982</v>
      </c>
      <c r="Y2551" s="6" t="s">
        <v>42</v>
      </c>
      <c r="Z2551" s="4">
        <v>1.16</v>
      </c>
      <c r="AA2551" s="4">
        <v>2.25</v>
      </c>
      <c r="AB2551" s="3" t="s">
        <v>56</v>
      </c>
      <c r="AC2551" s="3" t="s">
        <v>13983</v>
      </c>
      <c r="AD2551" s="9">
        <v>44573</v>
      </c>
      <c r="AE2551" s="3" t="s">
        <v>13984</v>
      </c>
      <c r="AF2551" s="3" t="s">
        <v>1216</v>
      </c>
      <c r="AG2551" s="3" t="s">
        <v>13985</v>
      </c>
      <c r="AH2551" s="11">
        <f>HYPERLINK("https://my.pitchbook.com?c=186441-76T","View Company Online")</f>
      </c>
    </row>
    <row r="2552">
      <c r="A2552" s="12" t="s">
        <v>13986</v>
      </c>
      <c r="B2552" s="12" t="s">
        <v>13987</v>
      </c>
      <c r="C2552" s="19" t="s">
        <v>36</v>
      </c>
      <c r="D2552" s="19" t="s">
        <v>36</v>
      </c>
      <c r="E2552" s="19" t="s">
        <v>36</v>
      </c>
      <c r="F2552" s="19" t="s">
        <v>36</v>
      </c>
      <c r="G2552" s="15" t="s">
        <v>36</v>
      </c>
      <c r="H2552" s="14" t="s">
        <v>36</v>
      </c>
      <c r="I2552" s="18" t="s">
        <v>36</v>
      </c>
      <c r="J2552" s="12" t="s">
        <v>36</v>
      </c>
      <c r="K2552" s="13" t="s">
        <v>36</v>
      </c>
      <c r="L2552" s="15" t="s">
        <v>36</v>
      </c>
      <c r="M2552" s="12" t="s">
        <v>36</v>
      </c>
      <c r="N2552" s="12" t="s">
        <v>36</v>
      </c>
      <c r="O2552" s="17" t="s">
        <v>36</v>
      </c>
      <c r="P2552" s="12" t="s">
        <v>36</v>
      </c>
      <c r="Q2552" s="12" t="s">
        <v>36</v>
      </c>
      <c r="R2552" s="12" t="s">
        <v>36</v>
      </c>
      <c r="S2552" s="12" t="s">
        <v>36</v>
      </c>
      <c r="T2552" s="12" t="s">
        <v>105</v>
      </c>
      <c r="U2552" s="12" t="s">
        <v>38</v>
      </c>
      <c r="V2552" s="12" t="s">
        <v>39</v>
      </c>
      <c r="W2552" s="12" t="s">
        <v>13988</v>
      </c>
      <c r="X2552" s="16" t="s">
        <v>9039</v>
      </c>
      <c r="Y2552" s="15" t="s">
        <v>42</v>
      </c>
      <c r="Z2552" s="14" t="s">
        <v>36</v>
      </c>
      <c r="AA2552" s="14" t="s">
        <v>36</v>
      </c>
      <c r="AB2552" s="12" t="s">
        <v>43</v>
      </c>
      <c r="AC2552" s="12" t="s">
        <v>13989</v>
      </c>
      <c r="AD2552" s="13">
        <v>44573</v>
      </c>
      <c r="AE2552" s="12" t="s">
        <v>110</v>
      </c>
      <c r="AF2552" s="12" t="s">
        <v>275</v>
      </c>
      <c r="AG2552" s="12" t="s">
        <v>1890</v>
      </c>
      <c r="AH2552" s="1">
        <f>HYPERLINK("https://my.pitchbook.com?c=234884-53T","View Company Online")</f>
      </c>
    </row>
    <row r="2553">
      <c r="A2553" s="3" t="s">
        <v>13990</v>
      </c>
      <c r="B2553" s="3" t="s">
        <v>1540</v>
      </c>
      <c r="C2553" s="5" t="s">
        <v>36</v>
      </c>
      <c r="D2553" s="5" t="s">
        <v>36</v>
      </c>
      <c r="E2553" s="5" t="s">
        <v>36</v>
      </c>
      <c r="F2553" s="5" t="s">
        <v>36</v>
      </c>
      <c r="G2553" s="6" t="s">
        <v>36</v>
      </c>
      <c r="H2553" s="4">
        <v>2.36</v>
      </c>
      <c r="I2553" s="7">
        <v>23.4</v>
      </c>
      <c r="J2553" s="3" t="s">
        <v>521</v>
      </c>
      <c r="K2553" s="9" t="s">
        <v>36</v>
      </c>
      <c r="L2553" s="6" t="s">
        <v>36</v>
      </c>
      <c r="M2553" s="3" t="s">
        <v>36</v>
      </c>
      <c r="N2553" s="3" t="s">
        <v>36</v>
      </c>
      <c r="O2553" s="8" t="s">
        <v>36</v>
      </c>
      <c r="P2553" s="3" t="s">
        <v>36</v>
      </c>
      <c r="Q2553" s="3" t="s">
        <v>36</v>
      </c>
      <c r="R2553" s="3" t="s">
        <v>36</v>
      </c>
      <c r="S2553" s="3" t="s">
        <v>36</v>
      </c>
      <c r="T2553" s="3" t="s">
        <v>1541</v>
      </c>
      <c r="U2553" s="3" t="s">
        <v>38</v>
      </c>
      <c r="V2553" s="3" t="s">
        <v>39</v>
      </c>
      <c r="W2553" s="3" t="s">
        <v>1542</v>
      </c>
      <c r="X2553" s="10" t="s">
        <v>13991</v>
      </c>
      <c r="Y2553" s="6" t="s">
        <v>42</v>
      </c>
      <c r="Z2553" s="4">
        <v>4.3</v>
      </c>
      <c r="AA2553" s="4">
        <v>15.09</v>
      </c>
      <c r="AB2553" s="3" t="s">
        <v>43</v>
      </c>
      <c r="AC2553" s="3" t="s">
        <v>1544</v>
      </c>
      <c r="AD2553" s="9">
        <v>44573</v>
      </c>
      <c r="AE2553" s="3" t="s">
        <v>134</v>
      </c>
      <c r="AF2553" s="3" t="s">
        <v>1545</v>
      </c>
      <c r="AG2553" s="3" t="s">
        <v>81</v>
      </c>
      <c r="AH2553" s="11">
        <f>HYPERLINK("https://my.pitchbook.com?c=177213-61T","View Company Online")</f>
      </c>
    </row>
    <row r="2554">
      <c r="A2554" s="12" t="s">
        <v>13992</v>
      </c>
      <c r="B2554" s="12" t="s">
        <v>2113</v>
      </c>
      <c r="C2554" s="19" t="s">
        <v>36</v>
      </c>
      <c r="D2554" s="19">
        <v>2</v>
      </c>
      <c r="E2554" s="19">
        <v>1</v>
      </c>
      <c r="F2554" s="19">
        <v>2</v>
      </c>
      <c r="G2554" s="15" t="s">
        <v>326</v>
      </c>
      <c r="H2554" s="14">
        <v>1165.02</v>
      </c>
      <c r="I2554" s="18">
        <v>6</v>
      </c>
      <c r="J2554" s="12" t="s">
        <v>521</v>
      </c>
      <c r="K2554" s="13">
        <v>44540</v>
      </c>
      <c r="L2554" s="15" t="s">
        <v>12462</v>
      </c>
      <c r="M2554" s="12" t="s">
        <v>36</v>
      </c>
      <c r="N2554" s="12" t="s">
        <v>12462</v>
      </c>
      <c r="O2554" s="17" t="s">
        <v>36</v>
      </c>
      <c r="P2554" s="12" t="s">
        <v>36</v>
      </c>
      <c r="Q2554" s="12" t="s">
        <v>36</v>
      </c>
      <c r="R2554" s="12" t="s">
        <v>36</v>
      </c>
      <c r="S2554" s="12" t="s">
        <v>36</v>
      </c>
      <c r="T2554" s="12" t="s">
        <v>2114</v>
      </c>
      <c r="U2554" s="12" t="s">
        <v>289</v>
      </c>
      <c r="V2554" s="12" t="s">
        <v>64</v>
      </c>
      <c r="W2554" s="12" t="s">
        <v>2115</v>
      </c>
      <c r="X2554" s="16" t="s">
        <v>13993</v>
      </c>
      <c r="Y2554" s="15" t="s">
        <v>321</v>
      </c>
      <c r="Z2554" s="14">
        <v>541.91</v>
      </c>
      <c r="AA2554" s="14">
        <v>5656.65</v>
      </c>
      <c r="AB2554" s="12" t="s">
        <v>56</v>
      </c>
      <c r="AC2554" s="12" t="s">
        <v>2117</v>
      </c>
      <c r="AD2554" s="13">
        <v>44572</v>
      </c>
      <c r="AE2554" s="12" t="s">
        <v>292</v>
      </c>
      <c r="AF2554" s="12" t="s">
        <v>2118</v>
      </c>
      <c r="AG2554" s="12" t="s">
        <v>81</v>
      </c>
      <c r="AH2554" s="1">
        <f>HYPERLINK("https://my.pitchbook.com?c=186349-15T","View Company Online")</f>
      </c>
    </row>
    <row r="2555">
      <c r="A2555" s="3" t="s">
        <v>13994</v>
      </c>
      <c r="B2555" s="3" t="s">
        <v>13995</v>
      </c>
      <c r="C2555" s="5" t="s">
        <v>36</v>
      </c>
      <c r="D2555" s="5" t="s">
        <v>36</v>
      </c>
      <c r="E2555" s="5" t="s">
        <v>36</v>
      </c>
      <c r="F2555" s="5" t="s">
        <v>36</v>
      </c>
      <c r="G2555" s="6" t="s">
        <v>36</v>
      </c>
      <c r="H2555" s="4">
        <v>45.88</v>
      </c>
      <c r="I2555" s="7">
        <v>7.1</v>
      </c>
      <c r="J2555" s="3" t="s">
        <v>521</v>
      </c>
      <c r="K2555" s="9" t="s">
        <v>36</v>
      </c>
      <c r="L2555" s="6" t="s">
        <v>36</v>
      </c>
      <c r="M2555" s="3" t="s">
        <v>36</v>
      </c>
      <c r="N2555" s="3" t="s">
        <v>36</v>
      </c>
      <c r="O2555" s="8" t="s">
        <v>36</v>
      </c>
      <c r="P2555" s="3" t="s">
        <v>36</v>
      </c>
      <c r="Q2555" s="3" t="s">
        <v>36</v>
      </c>
      <c r="R2555" s="3" t="s">
        <v>36</v>
      </c>
      <c r="S2555" s="3" t="s">
        <v>36</v>
      </c>
      <c r="T2555" s="3" t="s">
        <v>6689</v>
      </c>
      <c r="U2555" s="3" t="s">
        <v>219</v>
      </c>
      <c r="V2555" s="3" t="s">
        <v>75</v>
      </c>
      <c r="W2555" s="3" t="s">
        <v>13996</v>
      </c>
      <c r="X2555" s="10" t="s">
        <v>4852</v>
      </c>
      <c r="Y2555" s="6" t="s">
        <v>42</v>
      </c>
      <c r="Z2555" s="4">
        <v>0.08</v>
      </c>
      <c r="AA2555" s="4">
        <v>1.11</v>
      </c>
      <c r="AB2555" s="3" t="s">
        <v>43</v>
      </c>
      <c r="AC2555" s="3" t="s">
        <v>13997</v>
      </c>
      <c r="AD2555" s="9">
        <v>44572</v>
      </c>
      <c r="AE2555" s="3" t="s">
        <v>1912</v>
      </c>
      <c r="AF2555" s="3" t="s">
        <v>571</v>
      </c>
      <c r="AG2555" s="3" t="s">
        <v>13998</v>
      </c>
      <c r="AH2555" s="11">
        <f>HYPERLINK("https://my.pitchbook.com?c=232461-28T","View Company Online")</f>
      </c>
    </row>
    <row r="2556">
      <c r="A2556" s="12" t="s">
        <v>13999</v>
      </c>
      <c r="B2556" s="12" t="s">
        <v>14000</v>
      </c>
      <c r="C2556" s="19" t="s">
        <v>36</v>
      </c>
      <c r="D2556" s="19">
        <v>1</v>
      </c>
      <c r="E2556" s="19">
        <v>1</v>
      </c>
      <c r="F2556" s="19">
        <v>2</v>
      </c>
      <c r="G2556" s="15" t="s">
        <v>326</v>
      </c>
      <c r="H2556" s="14">
        <v>143.26</v>
      </c>
      <c r="I2556" s="18" t="s">
        <v>36</v>
      </c>
      <c r="J2556" s="12" t="s">
        <v>521</v>
      </c>
      <c r="K2556" s="13">
        <v>44537</v>
      </c>
      <c r="L2556" s="15" t="s">
        <v>3736</v>
      </c>
      <c r="M2556" s="12" t="s">
        <v>36</v>
      </c>
      <c r="N2556" s="12" t="s">
        <v>3736</v>
      </c>
      <c r="O2556" s="17" t="s">
        <v>36</v>
      </c>
      <c r="P2556" s="12" t="s">
        <v>36</v>
      </c>
      <c r="Q2556" s="12" t="s">
        <v>36</v>
      </c>
      <c r="R2556" s="12" t="s">
        <v>36</v>
      </c>
      <c r="S2556" s="12" t="s">
        <v>36</v>
      </c>
      <c r="T2556" s="12" t="s">
        <v>37</v>
      </c>
      <c r="U2556" s="12" t="s">
        <v>38</v>
      </c>
      <c r="V2556" s="12" t="s">
        <v>39</v>
      </c>
      <c r="W2556" s="12" t="s">
        <v>14001</v>
      </c>
      <c r="X2556" s="16" t="s">
        <v>14002</v>
      </c>
      <c r="Y2556" s="15" t="s">
        <v>166</v>
      </c>
      <c r="Z2556" s="14">
        <v>549.83</v>
      </c>
      <c r="AA2556" s="14">
        <v>4977.85</v>
      </c>
      <c r="AB2556" s="12" t="s">
        <v>56</v>
      </c>
      <c r="AC2556" s="12" t="s">
        <v>14003</v>
      </c>
      <c r="AD2556" s="13">
        <v>44572</v>
      </c>
      <c r="AE2556" s="12" t="s">
        <v>45</v>
      </c>
      <c r="AF2556" s="12" t="s">
        <v>14004</v>
      </c>
      <c r="AG2556" s="12" t="s">
        <v>81</v>
      </c>
      <c r="AH2556" s="1">
        <f>HYPERLINK("https://my.pitchbook.com?c=182948-50T","View Company Online")</f>
      </c>
    </row>
    <row r="2557">
      <c r="A2557" s="3" t="s">
        <v>14005</v>
      </c>
      <c r="B2557" s="3" t="s">
        <v>14006</v>
      </c>
      <c r="C2557" s="5" t="s">
        <v>36</v>
      </c>
      <c r="D2557" s="5" t="s">
        <v>36</v>
      </c>
      <c r="E2557" s="5" t="s">
        <v>36</v>
      </c>
      <c r="F2557" s="5" t="s">
        <v>36</v>
      </c>
      <c r="G2557" s="6" t="s">
        <v>326</v>
      </c>
      <c r="H2557" s="4">
        <v>270.34</v>
      </c>
      <c r="I2557" s="7">
        <v>7.47</v>
      </c>
      <c r="J2557" s="3" t="s">
        <v>521</v>
      </c>
      <c r="K2557" s="9" t="s">
        <v>36</v>
      </c>
      <c r="L2557" s="6" t="s">
        <v>36</v>
      </c>
      <c r="M2557" s="3" t="s">
        <v>36</v>
      </c>
      <c r="N2557" s="3" t="s">
        <v>36</v>
      </c>
      <c r="O2557" s="8" t="s">
        <v>36</v>
      </c>
      <c r="P2557" s="3" t="s">
        <v>36</v>
      </c>
      <c r="Q2557" s="3" t="s">
        <v>36</v>
      </c>
      <c r="R2557" s="3" t="s">
        <v>36</v>
      </c>
      <c r="S2557" s="3" t="s">
        <v>36</v>
      </c>
      <c r="T2557" s="3" t="s">
        <v>522</v>
      </c>
      <c r="U2557" s="3" t="s">
        <v>38</v>
      </c>
      <c r="V2557" s="3" t="s">
        <v>39</v>
      </c>
      <c r="W2557" s="3" t="s">
        <v>14007</v>
      </c>
      <c r="X2557" s="10" t="s">
        <v>87</v>
      </c>
      <c r="Y2557" s="6" t="s">
        <v>108</v>
      </c>
      <c r="Z2557" s="4">
        <v>0.65</v>
      </c>
      <c r="AA2557" s="4">
        <v>8.69</v>
      </c>
      <c r="AB2557" s="3" t="s">
        <v>56</v>
      </c>
      <c r="AC2557" s="3" t="s">
        <v>14008</v>
      </c>
      <c r="AD2557" s="9">
        <v>44572</v>
      </c>
      <c r="AE2557" s="3" t="s">
        <v>110</v>
      </c>
      <c r="AF2557" s="3" t="s">
        <v>14009</v>
      </c>
      <c r="AG2557" s="3" t="s">
        <v>81</v>
      </c>
      <c r="AH2557" s="11">
        <f>HYPERLINK("https://my.pitchbook.com?c=188817-76T","View Company Online")</f>
      </c>
    </row>
    <row r="2558">
      <c r="A2558" s="12" t="s">
        <v>14010</v>
      </c>
      <c r="B2558" s="12" t="s">
        <v>6246</v>
      </c>
      <c r="C2558" s="19" t="s">
        <v>36</v>
      </c>
      <c r="D2558" s="19" t="s">
        <v>36</v>
      </c>
      <c r="E2558" s="19" t="s">
        <v>36</v>
      </c>
      <c r="F2558" s="19" t="s">
        <v>36</v>
      </c>
      <c r="G2558" s="15" t="s">
        <v>683</v>
      </c>
      <c r="H2558" s="14">
        <v>56.49</v>
      </c>
      <c r="I2558" s="18">
        <v>11.78</v>
      </c>
      <c r="J2558" s="12" t="s">
        <v>521</v>
      </c>
      <c r="K2558" s="13" t="s">
        <v>36</v>
      </c>
      <c r="L2558" s="15" t="s">
        <v>36</v>
      </c>
      <c r="M2558" s="12" t="s">
        <v>36</v>
      </c>
      <c r="N2558" s="12" t="s">
        <v>36</v>
      </c>
      <c r="O2558" s="17" t="s">
        <v>36</v>
      </c>
      <c r="P2558" s="12" t="s">
        <v>36</v>
      </c>
      <c r="Q2558" s="12" t="s">
        <v>36</v>
      </c>
      <c r="R2558" s="12" t="s">
        <v>36</v>
      </c>
      <c r="S2558" s="12" t="s">
        <v>36</v>
      </c>
      <c r="T2558" s="12" t="s">
        <v>6247</v>
      </c>
      <c r="U2558" s="12" t="s">
        <v>85</v>
      </c>
      <c r="V2558" s="12" t="s">
        <v>64</v>
      </c>
      <c r="W2558" s="12" t="s">
        <v>6248</v>
      </c>
      <c r="X2558" s="16" t="s">
        <v>14011</v>
      </c>
      <c r="Y2558" s="15" t="s">
        <v>108</v>
      </c>
      <c r="Z2558" s="14">
        <v>8.26</v>
      </c>
      <c r="AA2558" s="14">
        <v>70.09</v>
      </c>
      <c r="AB2558" s="12" t="s">
        <v>43</v>
      </c>
      <c r="AC2558" s="12" t="s">
        <v>6250</v>
      </c>
      <c r="AD2558" s="13">
        <v>44571</v>
      </c>
      <c r="AE2558" s="12" t="s">
        <v>89</v>
      </c>
      <c r="AF2558" s="12" t="s">
        <v>6251</v>
      </c>
      <c r="AG2558" s="12" t="s">
        <v>81</v>
      </c>
      <c r="AH2558" s="1">
        <f>HYPERLINK("https://my.pitchbook.com?c=188631-01T","View Company Online")</f>
      </c>
    </row>
    <row r="2559">
      <c r="A2559" s="3" t="s">
        <v>14012</v>
      </c>
      <c r="B2559" s="3" t="s">
        <v>10668</v>
      </c>
      <c r="C2559" s="5" t="s">
        <v>36</v>
      </c>
      <c r="D2559" s="5" t="s">
        <v>36</v>
      </c>
      <c r="E2559" s="5" t="s">
        <v>36</v>
      </c>
      <c r="F2559" s="5" t="s">
        <v>36</v>
      </c>
      <c r="G2559" s="6" t="s">
        <v>36</v>
      </c>
      <c r="H2559" s="4" t="s">
        <v>36</v>
      </c>
      <c r="I2559" s="7" t="s">
        <v>36</v>
      </c>
      <c r="J2559" s="3" t="s">
        <v>36</v>
      </c>
      <c r="K2559" s="9" t="s">
        <v>36</v>
      </c>
      <c r="L2559" s="6" t="s">
        <v>36</v>
      </c>
      <c r="M2559" s="3" t="s">
        <v>36</v>
      </c>
      <c r="N2559" s="3" t="s">
        <v>36</v>
      </c>
      <c r="O2559" s="8" t="s">
        <v>36</v>
      </c>
      <c r="P2559" s="3" t="s">
        <v>36</v>
      </c>
      <c r="Q2559" s="3" t="s">
        <v>36</v>
      </c>
      <c r="R2559" s="3" t="s">
        <v>36</v>
      </c>
      <c r="S2559" s="3" t="s">
        <v>36</v>
      </c>
      <c r="T2559" s="3" t="s">
        <v>10669</v>
      </c>
      <c r="U2559" s="3" t="s">
        <v>38</v>
      </c>
      <c r="V2559" s="3" t="s">
        <v>39</v>
      </c>
      <c r="W2559" s="3" t="s">
        <v>10670</v>
      </c>
      <c r="X2559" s="10" t="s">
        <v>14013</v>
      </c>
      <c r="Y2559" s="6" t="s">
        <v>42</v>
      </c>
      <c r="Z2559" s="4" t="s">
        <v>36</v>
      </c>
      <c r="AA2559" s="4" t="s">
        <v>36</v>
      </c>
      <c r="AB2559" s="3" t="s">
        <v>43</v>
      </c>
      <c r="AC2559" s="3" t="s">
        <v>10672</v>
      </c>
      <c r="AD2559" s="9">
        <v>44571</v>
      </c>
      <c r="AE2559" s="3" t="s">
        <v>110</v>
      </c>
      <c r="AF2559" s="3" t="s">
        <v>468</v>
      </c>
      <c r="AG2559" s="3" t="s">
        <v>741</v>
      </c>
      <c r="AH2559" s="11">
        <f>HYPERLINK("https://my.pitchbook.com?c=218458-27T","View Company Online")</f>
      </c>
    </row>
    <row r="2560">
      <c r="A2560" s="12" t="s">
        <v>14014</v>
      </c>
      <c r="B2560" s="12" t="s">
        <v>14015</v>
      </c>
      <c r="C2560" s="19" t="s">
        <v>36</v>
      </c>
      <c r="D2560" s="19" t="s">
        <v>36</v>
      </c>
      <c r="E2560" s="19" t="s">
        <v>36</v>
      </c>
      <c r="F2560" s="19" t="s">
        <v>36</v>
      </c>
      <c r="G2560" s="15" t="s">
        <v>326</v>
      </c>
      <c r="H2560" s="14">
        <v>7774.17</v>
      </c>
      <c r="I2560" s="18">
        <v>14.28</v>
      </c>
      <c r="J2560" s="12" t="s">
        <v>521</v>
      </c>
      <c r="K2560" s="13">
        <v>44553</v>
      </c>
      <c r="L2560" s="15" t="s">
        <v>1279</v>
      </c>
      <c r="M2560" s="12" t="s">
        <v>36</v>
      </c>
      <c r="N2560" s="12" t="s">
        <v>1279</v>
      </c>
      <c r="O2560" s="17" t="s">
        <v>36</v>
      </c>
      <c r="P2560" s="12" t="s">
        <v>36</v>
      </c>
      <c r="Q2560" s="12" t="s">
        <v>36</v>
      </c>
      <c r="R2560" s="12" t="s">
        <v>36</v>
      </c>
      <c r="S2560" s="12" t="s">
        <v>36</v>
      </c>
      <c r="T2560" s="12" t="s">
        <v>2044</v>
      </c>
      <c r="U2560" s="12" t="s">
        <v>74</v>
      </c>
      <c r="V2560" s="12" t="s">
        <v>75</v>
      </c>
      <c r="W2560" s="12" t="s">
        <v>14016</v>
      </c>
      <c r="X2560" s="16" t="s">
        <v>14017</v>
      </c>
      <c r="Y2560" s="15" t="s">
        <v>192</v>
      </c>
      <c r="Z2560" s="14">
        <v>282.72</v>
      </c>
      <c r="AA2560" s="14">
        <v>1979.53</v>
      </c>
      <c r="AB2560" s="12" t="s">
        <v>56</v>
      </c>
      <c r="AC2560" s="12" t="s">
        <v>14018</v>
      </c>
      <c r="AD2560" s="13">
        <v>44570</v>
      </c>
      <c r="AE2560" s="12" t="s">
        <v>79</v>
      </c>
      <c r="AF2560" s="12" t="s">
        <v>90</v>
      </c>
      <c r="AG2560" s="12" t="s">
        <v>81</v>
      </c>
      <c r="AH2560" s="1">
        <f>HYPERLINK("https://my.pitchbook.com?c=186260-32T","View Company Online")</f>
      </c>
    </row>
    <row r="2561">
      <c r="A2561" s="3" t="s">
        <v>14019</v>
      </c>
      <c r="B2561" s="3" t="s">
        <v>14020</v>
      </c>
      <c r="C2561" s="5" t="s">
        <v>36</v>
      </c>
      <c r="D2561" s="5" t="s">
        <v>36</v>
      </c>
      <c r="E2561" s="5" t="s">
        <v>36</v>
      </c>
      <c r="F2561" s="5" t="s">
        <v>36</v>
      </c>
      <c r="G2561" s="6" t="s">
        <v>326</v>
      </c>
      <c r="H2561" s="4">
        <v>1.54</v>
      </c>
      <c r="I2561" s="7">
        <v>12.95</v>
      </c>
      <c r="J2561" s="3" t="s">
        <v>521</v>
      </c>
      <c r="K2561" s="9" t="s">
        <v>36</v>
      </c>
      <c r="L2561" s="6" t="s">
        <v>36</v>
      </c>
      <c r="M2561" s="3" t="s">
        <v>36</v>
      </c>
      <c r="N2561" s="3" t="s">
        <v>36</v>
      </c>
      <c r="O2561" s="8" t="s">
        <v>36</v>
      </c>
      <c r="P2561" s="3" t="s">
        <v>36</v>
      </c>
      <c r="Q2561" s="3" t="s">
        <v>36</v>
      </c>
      <c r="R2561" s="3" t="s">
        <v>36</v>
      </c>
      <c r="S2561" s="3" t="s">
        <v>36</v>
      </c>
      <c r="T2561" s="3" t="s">
        <v>1893</v>
      </c>
      <c r="U2561" s="3" t="s">
        <v>648</v>
      </c>
      <c r="V2561" s="3" t="s">
        <v>64</v>
      </c>
      <c r="W2561" s="3" t="s">
        <v>14021</v>
      </c>
      <c r="X2561" s="10" t="s">
        <v>14022</v>
      </c>
      <c r="Y2561" s="6" t="s">
        <v>166</v>
      </c>
      <c r="Z2561" s="4">
        <v>2.03</v>
      </c>
      <c r="AA2561" s="4">
        <v>15.65</v>
      </c>
      <c r="AB2561" s="3" t="s">
        <v>56</v>
      </c>
      <c r="AC2561" s="3" t="s">
        <v>14023</v>
      </c>
      <c r="AD2561" s="9">
        <v>44570</v>
      </c>
      <c r="AE2561" s="3" t="s">
        <v>1897</v>
      </c>
      <c r="AF2561" s="3" t="s">
        <v>36</v>
      </c>
      <c r="AG2561" s="3" t="s">
        <v>47</v>
      </c>
      <c r="AH2561" s="11">
        <f>HYPERLINK("https://my.pitchbook.com?c=188713-27T","View Company Online")</f>
      </c>
    </row>
    <row r="2562">
      <c r="A2562" s="12" t="s">
        <v>14024</v>
      </c>
      <c r="B2562" s="12" t="s">
        <v>14025</v>
      </c>
      <c r="C2562" s="19" t="s">
        <v>36</v>
      </c>
      <c r="D2562" s="19" t="s">
        <v>36</v>
      </c>
      <c r="E2562" s="19" t="s">
        <v>36</v>
      </c>
      <c r="F2562" s="19" t="s">
        <v>36</v>
      </c>
      <c r="G2562" s="15" t="s">
        <v>36</v>
      </c>
      <c r="H2562" s="14" t="s">
        <v>36</v>
      </c>
      <c r="I2562" s="18" t="s">
        <v>36</v>
      </c>
      <c r="J2562" s="12" t="s">
        <v>36</v>
      </c>
      <c r="K2562" s="13" t="s">
        <v>36</v>
      </c>
      <c r="L2562" s="15" t="s">
        <v>36</v>
      </c>
      <c r="M2562" s="12" t="s">
        <v>36</v>
      </c>
      <c r="N2562" s="12" t="s">
        <v>36</v>
      </c>
      <c r="O2562" s="17" t="s">
        <v>36</v>
      </c>
      <c r="P2562" s="12" t="s">
        <v>36</v>
      </c>
      <c r="Q2562" s="12" t="s">
        <v>36</v>
      </c>
      <c r="R2562" s="12" t="s">
        <v>36</v>
      </c>
      <c r="S2562" s="12" t="s">
        <v>36</v>
      </c>
      <c r="T2562" s="12" t="s">
        <v>5159</v>
      </c>
      <c r="U2562" s="12" t="s">
        <v>74</v>
      </c>
      <c r="V2562" s="12" t="s">
        <v>75</v>
      </c>
      <c r="W2562" s="12" t="s">
        <v>14026</v>
      </c>
      <c r="X2562" s="16" t="s">
        <v>14013</v>
      </c>
      <c r="Y2562" s="15" t="s">
        <v>108</v>
      </c>
      <c r="Z2562" s="14" t="s">
        <v>36</v>
      </c>
      <c r="AA2562" s="14" t="s">
        <v>36</v>
      </c>
      <c r="AB2562" s="12" t="s">
        <v>56</v>
      </c>
      <c r="AC2562" s="12" t="s">
        <v>14027</v>
      </c>
      <c r="AD2562" s="13">
        <v>44570</v>
      </c>
      <c r="AE2562" s="12" t="s">
        <v>79</v>
      </c>
      <c r="AF2562" s="12" t="s">
        <v>80</v>
      </c>
      <c r="AG2562" s="12" t="s">
        <v>81</v>
      </c>
      <c r="AH2562" s="1">
        <f>HYPERLINK("https://my.pitchbook.com?c=218458-63T","View Company Online")</f>
      </c>
    </row>
    <row r="2563">
      <c r="A2563" s="3" t="s">
        <v>14028</v>
      </c>
      <c r="B2563" s="3" t="s">
        <v>14029</v>
      </c>
      <c r="C2563" s="5" t="s">
        <v>36</v>
      </c>
      <c r="D2563" s="5" t="s">
        <v>36</v>
      </c>
      <c r="E2563" s="5" t="s">
        <v>36</v>
      </c>
      <c r="F2563" s="5" t="s">
        <v>36</v>
      </c>
      <c r="G2563" s="6" t="s">
        <v>36</v>
      </c>
      <c r="H2563" s="4" t="s">
        <v>36</v>
      </c>
      <c r="I2563" s="7" t="s">
        <v>36</v>
      </c>
      <c r="J2563" s="3" t="s">
        <v>36</v>
      </c>
      <c r="K2563" s="9" t="s">
        <v>36</v>
      </c>
      <c r="L2563" s="6" t="s">
        <v>36</v>
      </c>
      <c r="M2563" s="3" t="s">
        <v>36</v>
      </c>
      <c r="N2563" s="3" t="s">
        <v>36</v>
      </c>
      <c r="O2563" s="8" t="s">
        <v>36</v>
      </c>
      <c r="P2563" s="3" t="s">
        <v>36</v>
      </c>
      <c r="Q2563" s="3" t="s">
        <v>36</v>
      </c>
      <c r="R2563" s="3" t="s">
        <v>36</v>
      </c>
      <c r="S2563" s="3" t="s">
        <v>36</v>
      </c>
      <c r="T2563" s="3" t="s">
        <v>14030</v>
      </c>
      <c r="U2563" s="3" t="s">
        <v>279</v>
      </c>
      <c r="V2563" s="3" t="s">
        <v>64</v>
      </c>
      <c r="W2563" s="3" t="s">
        <v>14031</v>
      </c>
      <c r="X2563" s="10" t="s">
        <v>14032</v>
      </c>
      <c r="Y2563" s="6" t="s">
        <v>42</v>
      </c>
      <c r="Z2563" s="4" t="s">
        <v>36</v>
      </c>
      <c r="AA2563" s="4" t="s">
        <v>36</v>
      </c>
      <c r="AB2563" s="3" t="s">
        <v>43</v>
      </c>
      <c r="AC2563" s="3" t="s">
        <v>14033</v>
      </c>
      <c r="AD2563" s="9">
        <v>44568</v>
      </c>
      <c r="AE2563" s="3" t="s">
        <v>283</v>
      </c>
      <c r="AF2563" s="3" t="s">
        <v>14034</v>
      </c>
      <c r="AG2563" s="3" t="s">
        <v>81</v>
      </c>
      <c r="AH2563" s="11">
        <f>HYPERLINK("https://my.pitchbook.com?c=226435-42T","View Company Online")</f>
      </c>
    </row>
    <row r="2564">
      <c r="A2564" s="12" t="s">
        <v>14035</v>
      </c>
      <c r="B2564" s="12" t="s">
        <v>14036</v>
      </c>
      <c r="C2564" s="19" t="s">
        <v>36</v>
      </c>
      <c r="D2564" s="19" t="s">
        <v>36</v>
      </c>
      <c r="E2564" s="19" t="s">
        <v>36</v>
      </c>
      <c r="F2564" s="19" t="s">
        <v>36</v>
      </c>
      <c r="G2564" s="15" t="s">
        <v>36</v>
      </c>
      <c r="H2564" s="14" t="s">
        <v>36</v>
      </c>
      <c r="I2564" s="18" t="s">
        <v>36</v>
      </c>
      <c r="J2564" s="12" t="s">
        <v>36</v>
      </c>
      <c r="K2564" s="13">
        <v>44197</v>
      </c>
      <c r="L2564" s="15" t="s">
        <v>122</v>
      </c>
      <c r="M2564" s="12" t="s">
        <v>36</v>
      </c>
      <c r="N2564" s="12" t="s">
        <v>122</v>
      </c>
      <c r="O2564" s="17" t="s">
        <v>36</v>
      </c>
      <c r="P2564" s="12" t="s">
        <v>36</v>
      </c>
      <c r="Q2564" s="12" t="s">
        <v>36</v>
      </c>
      <c r="R2564" s="12" t="s">
        <v>36</v>
      </c>
      <c r="S2564" s="12" t="s">
        <v>36</v>
      </c>
      <c r="T2564" s="12" t="s">
        <v>7815</v>
      </c>
      <c r="U2564" s="12" t="s">
        <v>219</v>
      </c>
      <c r="V2564" s="12" t="s">
        <v>75</v>
      </c>
      <c r="W2564" s="12" t="s">
        <v>14037</v>
      </c>
      <c r="X2564" s="16" t="s">
        <v>14038</v>
      </c>
      <c r="Y2564" s="15" t="s">
        <v>42</v>
      </c>
      <c r="Z2564" s="14" t="s">
        <v>36</v>
      </c>
      <c r="AA2564" s="14" t="s">
        <v>36</v>
      </c>
      <c r="AB2564" s="12" t="s">
        <v>56</v>
      </c>
      <c r="AC2564" s="12" t="s">
        <v>14039</v>
      </c>
      <c r="AD2564" s="13">
        <v>44567</v>
      </c>
      <c r="AE2564" s="12" t="s">
        <v>7093</v>
      </c>
      <c r="AF2564" s="12" t="s">
        <v>36</v>
      </c>
      <c r="AG2564" s="12" t="s">
        <v>14040</v>
      </c>
      <c r="AH2564" s="1">
        <f>HYPERLINK("https://my.pitchbook.com?c=265854-43T","View Company Online")</f>
      </c>
    </row>
    <row r="2565">
      <c r="A2565" s="3" t="s">
        <v>14041</v>
      </c>
      <c r="B2565" s="3" t="s">
        <v>14042</v>
      </c>
      <c r="C2565" s="5" t="s">
        <v>36</v>
      </c>
      <c r="D2565" s="5" t="s">
        <v>36</v>
      </c>
      <c r="E2565" s="5" t="s">
        <v>36</v>
      </c>
      <c r="F2565" s="5" t="s">
        <v>36</v>
      </c>
      <c r="G2565" s="6" t="s">
        <v>36</v>
      </c>
      <c r="H2565" s="4">
        <v>27.94</v>
      </c>
      <c r="I2565" s="7">
        <v>18.01</v>
      </c>
      <c r="J2565" s="3" t="s">
        <v>521</v>
      </c>
      <c r="K2565" s="9" t="s">
        <v>36</v>
      </c>
      <c r="L2565" s="6" t="s">
        <v>36</v>
      </c>
      <c r="M2565" s="3" t="s">
        <v>36</v>
      </c>
      <c r="N2565" s="3" t="s">
        <v>36</v>
      </c>
      <c r="O2565" s="8" t="s">
        <v>36</v>
      </c>
      <c r="P2565" s="3" t="s">
        <v>36</v>
      </c>
      <c r="Q2565" s="3" t="s">
        <v>36</v>
      </c>
      <c r="R2565" s="3" t="s">
        <v>36</v>
      </c>
      <c r="S2565" s="3" t="s">
        <v>36</v>
      </c>
      <c r="T2565" s="3" t="s">
        <v>14043</v>
      </c>
      <c r="U2565" s="3" t="s">
        <v>1357</v>
      </c>
      <c r="V2565" s="3" t="s">
        <v>52</v>
      </c>
      <c r="W2565" s="3" t="s">
        <v>14044</v>
      </c>
      <c r="X2565" s="10" t="s">
        <v>14045</v>
      </c>
      <c r="Y2565" s="6" t="s">
        <v>42</v>
      </c>
      <c r="Z2565" s="4">
        <v>73.5</v>
      </c>
      <c r="AA2565" s="4">
        <v>408.11</v>
      </c>
      <c r="AB2565" s="3" t="s">
        <v>56</v>
      </c>
      <c r="AC2565" s="3" t="s">
        <v>14046</v>
      </c>
      <c r="AD2565" s="9">
        <v>44567</v>
      </c>
      <c r="AE2565" s="3" t="s">
        <v>1361</v>
      </c>
      <c r="AF2565" s="3" t="s">
        <v>101</v>
      </c>
      <c r="AG2565" s="3" t="s">
        <v>2760</v>
      </c>
      <c r="AH2565" s="11">
        <f>HYPERLINK("https://my.pitchbook.com?c=189458-47T","View Company Online")</f>
      </c>
    </row>
    <row r="2566">
      <c r="A2566" s="12" t="s">
        <v>14047</v>
      </c>
      <c r="B2566" s="12" t="s">
        <v>11544</v>
      </c>
      <c r="C2566" s="19" t="s">
        <v>36</v>
      </c>
      <c r="D2566" s="19" t="s">
        <v>36</v>
      </c>
      <c r="E2566" s="19" t="s">
        <v>36</v>
      </c>
      <c r="F2566" s="19" t="s">
        <v>36</v>
      </c>
      <c r="G2566" s="15" t="s">
        <v>326</v>
      </c>
      <c r="H2566" s="14">
        <v>18.16</v>
      </c>
      <c r="I2566" s="18">
        <v>9.08</v>
      </c>
      <c r="J2566" s="12" t="s">
        <v>521</v>
      </c>
      <c r="K2566" s="13" t="s">
        <v>36</v>
      </c>
      <c r="L2566" s="15" t="s">
        <v>36</v>
      </c>
      <c r="M2566" s="12" t="s">
        <v>36</v>
      </c>
      <c r="N2566" s="12" t="s">
        <v>36</v>
      </c>
      <c r="O2566" s="17" t="s">
        <v>36</v>
      </c>
      <c r="P2566" s="12" t="s">
        <v>36</v>
      </c>
      <c r="Q2566" s="12" t="s">
        <v>36</v>
      </c>
      <c r="R2566" s="12" t="s">
        <v>36</v>
      </c>
      <c r="S2566" s="12" t="s">
        <v>36</v>
      </c>
      <c r="T2566" s="12" t="s">
        <v>62</v>
      </c>
      <c r="U2566" s="12" t="s">
        <v>63</v>
      </c>
      <c r="V2566" s="12" t="s">
        <v>64</v>
      </c>
      <c r="W2566" s="12" t="s">
        <v>11545</v>
      </c>
      <c r="X2566" s="16" t="s">
        <v>14048</v>
      </c>
      <c r="Y2566" s="15" t="s">
        <v>192</v>
      </c>
      <c r="Z2566" s="14">
        <v>1.66</v>
      </c>
      <c r="AA2566" s="14">
        <v>18.3</v>
      </c>
      <c r="AB2566" s="12" t="s">
        <v>56</v>
      </c>
      <c r="AC2566" s="12" t="s">
        <v>11547</v>
      </c>
      <c r="AD2566" s="13">
        <v>44567</v>
      </c>
      <c r="AE2566" s="12" t="s">
        <v>68</v>
      </c>
      <c r="AF2566" s="12" t="s">
        <v>36</v>
      </c>
      <c r="AG2566" s="12" t="s">
        <v>81</v>
      </c>
      <c r="AH2566" s="1">
        <f>HYPERLINK("https://my.pitchbook.com?c=181701-01T","View Company Online")</f>
      </c>
    </row>
    <row r="2567">
      <c r="A2567" s="3" t="s">
        <v>14049</v>
      </c>
      <c r="B2567" s="3" t="s">
        <v>1608</v>
      </c>
      <c r="C2567" s="5">
        <v>3</v>
      </c>
      <c r="D2567" s="5">
        <v>2</v>
      </c>
      <c r="E2567" s="5">
        <v>2</v>
      </c>
      <c r="F2567" s="5">
        <v>5</v>
      </c>
      <c r="G2567" s="6" t="s">
        <v>36</v>
      </c>
      <c r="H2567" s="4" t="s">
        <v>36</v>
      </c>
      <c r="I2567" s="7" t="s">
        <v>36</v>
      </c>
      <c r="J2567" s="3" t="s">
        <v>36</v>
      </c>
      <c r="K2567" s="9" t="s">
        <v>36</v>
      </c>
      <c r="L2567" s="6" t="s">
        <v>122</v>
      </c>
      <c r="M2567" s="3" t="s">
        <v>36</v>
      </c>
      <c r="N2567" s="3" t="s">
        <v>122</v>
      </c>
      <c r="O2567" s="8" t="s">
        <v>36</v>
      </c>
      <c r="P2567" s="3" t="s">
        <v>36</v>
      </c>
      <c r="Q2567" s="3" t="s">
        <v>36</v>
      </c>
      <c r="R2567" s="3" t="s">
        <v>36</v>
      </c>
      <c r="S2567" s="3" t="s">
        <v>36</v>
      </c>
      <c r="T2567" s="3" t="s">
        <v>1162</v>
      </c>
      <c r="U2567" s="3" t="s">
        <v>423</v>
      </c>
      <c r="V2567" s="3" t="s">
        <v>64</v>
      </c>
      <c r="W2567" s="3" t="s">
        <v>1609</v>
      </c>
      <c r="X2567" s="10" t="s">
        <v>14050</v>
      </c>
      <c r="Y2567" s="6" t="s">
        <v>55</v>
      </c>
      <c r="Z2567" s="4">
        <v>28.27</v>
      </c>
      <c r="AA2567" s="4" t="s">
        <v>36</v>
      </c>
      <c r="AB2567" s="3" t="s">
        <v>43</v>
      </c>
      <c r="AC2567" s="3" t="s">
        <v>1611</v>
      </c>
      <c r="AD2567" s="9">
        <v>44566</v>
      </c>
      <c r="AE2567" s="3" t="s">
        <v>562</v>
      </c>
      <c r="AF2567" s="3" t="s">
        <v>1612</v>
      </c>
      <c r="AG2567" s="3" t="s">
        <v>81</v>
      </c>
      <c r="AH2567" s="11">
        <f>HYPERLINK("https://my.pitchbook.com?c=186836-86T","View Company Online")</f>
      </c>
    </row>
    <row r="2568">
      <c r="A2568" s="12" t="s">
        <v>14051</v>
      </c>
      <c r="B2568" s="12" t="s">
        <v>14052</v>
      </c>
      <c r="C2568" s="19" t="s">
        <v>36</v>
      </c>
      <c r="D2568" s="19" t="s">
        <v>36</v>
      </c>
      <c r="E2568" s="19" t="s">
        <v>36</v>
      </c>
      <c r="F2568" s="19" t="s">
        <v>36</v>
      </c>
      <c r="G2568" s="15" t="s">
        <v>326</v>
      </c>
      <c r="H2568" s="14" t="s">
        <v>36</v>
      </c>
      <c r="I2568" s="18">
        <v>14.11</v>
      </c>
      <c r="J2568" s="12" t="s">
        <v>521</v>
      </c>
      <c r="K2568" s="13" t="s">
        <v>36</v>
      </c>
      <c r="L2568" s="15" t="s">
        <v>12462</v>
      </c>
      <c r="M2568" s="12" t="s">
        <v>36</v>
      </c>
      <c r="N2568" s="12" t="s">
        <v>12462</v>
      </c>
      <c r="O2568" s="17" t="s">
        <v>36</v>
      </c>
      <c r="P2568" s="12" t="s">
        <v>36</v>
      </c>
      <c r="Q2568" s="12" t="s">
        <v>36</v>
      </c>
      <c r="R2568" s="12" t="s">
        <v>36</v>
      </c>
      <c r="S2568" s="12" t="s">
        <v>36</v>
      </c>
      <c r="T2568" s="12" t="s">
        <v>10669</v>
      </c>
      <c r="U2568" s="12" t="s">
        <v>38</v>
      </c>
      <c r="V2568" s="12" t="s">
        <v>39</v>
      </c>
      <c r="W2568" s="12" t="s">
        <v>14053</v>
      </c>
      <c r="X2568" s="16" t="s">
        <v>14054</v>
      </c>
      <c r="Y2568" s="15" t="s">
        <v>321</v>
      </c>
      <c r="Z2568" s="14">
        <v>287.2</v>
      </c>
      <c r="AA2568" s="14">
        <v>2035.3</v>
      </c>
      <c r="AB2568" s="12" t="s">
        <v>56</v>
      </c>
      <c r="AC2568" s="12" t="s">
        <v>14055</v>
      </c>
      <c r="AD2568" s="13">
        <v>44566</v>
      </c>
      <c r="AE2568" s="12" t="s">
        <v>110</v>
      </c>
      <c r="AF2568" s="12" t="s">
        <v>14056</v>
      </c>
      <c r="AG2568" s="12" t="s">
        <v>81</v>
      </c>
      <c r="AH2568" s="1">
        <f>HYPERLINK("https://my.pitchbook.com?c=186062-14T","View Company Online")</f>
      </c>
    </row>
    <row r="2569">
      <c r="A2569" s="3" t="s">
        <v>14057</v>
      </c>
      <c r="B2569" s="3" t="s">
        <v>14058</v>
      </c>
      <c r="C2569" s="5" t="s">
        <v>36</v>
      </c>
      <c r="D2569" s="5" t="s">
        <v>36</v>
      </c>
      <c r="E2569" s="5" t="s">
        <v>36</v>
      </c>
      <c r="F2569" s="5" t="s">
        <v>36</v>
      </c>
      <c r="G2569" s="6" t="s">
        <v>36</v>
      </c>
      <c r="H2569" s="4" t="s">
        <v>36</v>
      </c>
      <c r="I2569" s="7" t="s">
        <v>36</v>
      </c>
      <c r="J2569" s="3" t="s">
        <v>36</v>
      </c>
      <c r="K2569" s="9" t="s">
        <v>36</v>
      </c>
      <c r="L2569" s="6" t="s">
        <v>36</v>
      </c>
      <c r="M2569" s="3" t="s">
        <v>36</v>
      </c>
      <c r="N2569" s="3" t="s">
        <v>36</v>
      </c>
      <c r="O2569" s="8" t="s">
        <v>36</v>
      </c>
      <c r="P2569" s="3" t="s">
        <v>36</v>
      </c>
      <c r="Q2569" s="3" t="s">
        <v>36</v>
      </c>
      <c r="R2569" s="3" t="s">
        <v>36</v>
      </c>
      <c r="S2569" s="3" t="s">
        <v>36</v>
      </c>
      <c r="T2569" s="3" t="s">
        <v>14059</v>
      </c>
      <c r="U2569" s="3" t="s">
        <v>63</v>
      </c>
      <c r="V2569" s="3" t="s">
        <v>64</v>
      </c>
      <c r="W2569" s="3" t="s">
        <v>14060</v>
      </c>
      <c r="X2569" s="10" t="s">
        <v>14061</v>
      </c>
      <c r="Y2569" s="6" t="s">
        <v>192</v>
      </c>
      <c r="Z2569" s="4">
        <v>18.09</v>
      </c>
      <c r="AA2569" s="4" t="s">
        <v>36</v>
      </c>
      <c r="AB2569" s="3" t="s">
        <v>56</v>
      </c>
      <c r="AC2569" s="3" t="s">
        <v>14062</v>
      </c>
      <c r="AD2569" s="9">
        <v>44566</v>
      </c>
      <c r="AE2569" s="3" t="s">
        <v>68</v>
      </c>
      <c r="AF2569" s="3" t="s">
        <v>5769</v>
      </c>
      <c r="AG2569" s="3" t="s">
        <v>81</v>
      </c>
      <c r="AH2569" s="11">
        <f>HYPERLINK("https://my.pitchbook.com?c=186887-80T","View Company Online")</f>
      </c>
    </row>
    <row r="2570">
      <c r="A2570" s="12" t="s">
        <v>14063</v>
      </c>
      <c r="B2570" s="12" t="s">
        <v>14064</v>
      </c>
      <c r="C2570" s="19" t="s">
        <v>36</v>
      </c>
      <c r="D2570" s="19" t="s">
        <v>36</v>
      </c>
      <c r="E2570" s="19" t="s">
        <v>36</v>
      </c>
      <c r="F2570" s="19" t="s">
        <v>36</v>
      </c>
      <c r="G2570" s="15" t="s">
        <v>683</v>
      </c>
      <c r="H2570" s="14">
        <v>104.7</v>
      </c>
      <c r="I2570" s="18">
        <v>16.37</v>
      </c>
      <c r="J2570" s="12" t="s">
        <v>521</v>
      </c>
      <c r="K2570" s="13" t="s">
        <v>36</v>
      </c>
      <c r="L2570" s="15" t="s">
        <v>36</v>
      </c>
      <c r="M2570" s="12" t="s">
        <v>36</v>
      </c>
      <c r="N2570" s="12" t="s">
        <v>36</v>
      </c>
      <c r="O2570" s="17" t="s">
        <v>36</v>
      </c>
      <c r="P2570" s="12" t="s">
        <v>36</v>
      </c>
      <c r="Q2570" s="12" t="s">
        <v>36</v>
      </c>
      <c r="R2570" s="12" t="s">
        <v>36</v>
      </c>
      <c r="S2570" s="12" t="s">
        <v>36</v>
      </c>
      <c r="T2570" s="12" t="s">
        <v>6020</v>
      </c>
      <c r="U2570" s="12" t="s">
        <v>833</v>
      </c>
      <c r="V2570" s="12" t="s">
        <v>64</v>
      </c>
      <c r="W2570" s="12" t="s">
        <v>14065</v>
      </c>
      <c r="X2570" s="16" t="s">
        <v>14066</v>
      </c>
      <c r="Y2570" s="15" t="s">
        <v>55</v>
      </c>
      <c r="Z2570" s="14">
        <v>1.13</v>
      </c>
      <c r="AA2570" s="14">
        <v>6.91</v>
      </c>
      <c r="AB2570" s="12" t="s">
        <v>43</v>
      </c>
      <c r="AC2570" s="12" t="s">
        <v>14067</v>
      </c>
      <c r="AD2570" s="13">
        <v>44565</v>
      </c>
      <c r="AE2570" s="12" t="s">
        <v>3615</v>
      </c>
      <c r="AF2570" s="12" t="s">
        <v>90</v>
      </c>
      <c r="AG2570" s="12" t="s">
        <v>14068</v>
      </c>
      <c r="AH2570" s="1">
        <f>HYPERLINK("https://my.pitchbook.com?c=215524-90T","View Company Online")</f>
      </c>
    </row>
    <row r="2571">
      <c r="A2571" s="3" t="s">
        <v>14069</v>
      </c>
      <c r="B2571" s="3" t="s">
        <v>4773</v>
      </c>
      <c r="C2571" s="5">
        <v>96</v>
      </c>
      <c r="D2571" s="5">
        <v>76</v>
      </c>
      <c r="E2571" s="5">
        <v>39</v>
      </c>
      <c r="F2571" s="5">
        <v>185</v>
      </c>
      <c r="G2571" s="6" t="s">
        <v>326</v>
      </c>
      <c r="H2571" s="4">
        <v>778.92</v>
      </c>
      <c r="I2571" s="7">
        <v>29.05</v>
      </c>
      <c r="J2571" s="3" t="s">
        <v>521</v>
      </c>
      <c r="K2571" s="9">
        <v>44441</v>
      </c>
      <c r="L2571" s="6" t="s">
        <v>1279</v>
      </c>
      <c r="M2571" s="3" t="s">
        <v>36</v>
      </c>
      <c r="N2571" s="3" t="s">
        <v>1279</v>
      </c>
      <c r="O2571" s="8" t="s">
        <v>36</v>
      </c>
      <c r="P2571" s="3" t="s">
        <v>36</v>
      </c>
      <c r="Q2571" s="3" t="s">
        <v>36</v>
      </c>
      <c r="R2571" s="3" t="s">
        <v>36</v>
      </c>
      <c r="S2571" s="3" t="s">
        <v>4774</v>
      </c>
      <c r="T2571" s="3" t="s">
        <v>4775</v>
      </c>
      <c r="U2571" s="3" t="s">
        <v>51</v>
      </c>
      <c r="V2571" s="3" t="s">
        <v>52</v>
      </c>
      <c r="W2571" s="3" t="s">
        <v>4776</v>
      </c>
      <c r="X2571" s="10" t="s">
        <v>14070</v>
      </c>
      <c r="Y2571" s="6" t="s">
        <v>192</v>
      </c>
      <c r="Z2571" s="4">
        <v>191.65</v>
      </c>
      <c r="AA2571" s="4">
        <v>659.72</v>
      </c>
      <c r="AB2571" s="3" t="s">
        <v>56</v>
      </c>
      <c r="AC2571" s="3" t="s">
        <v>4778</v>
      </c>
      <c r="AD2571" s="9">
        <v>44565</v>
      </c>
      <c r="AE2571" s="3" t="s">
        <v>158</v>
      </c>
      <c r="AF2571" s="3" t="s">
        <v>885</v>
      </c>
      <c r="AG2571" s="3" t="s">
        <v>81</v>
      </c>
      <c r="AH2571" s="11">
        <f>HYPERLINK("https://my.pitchbook.com?c=182246-32T","View Company Online")</f>
      </c>
    </row>
    <row r="2572">
      <c r="A2572" s="12" t="s">
        <v>14071</v>
      </c>
      <c r="B2572" s="12" t="s">
        <v>14072</v>
      </c>
      <c r="C2572" s="19" t="s">
        <v>36</v>
      </c>
      <c r="D2572" s="19" t="s">
        <v>36</v>
      </c>
      <c r="E2572" s="19" t="s">
        <v>36</v>
      </c>
      <c r="F2572" s="19" t="s">
        <v>36</v>
      </c>
      <c r="G2572" s="15" t="s">
        <v>36</v>
      </c>
      <c r="H2572" s="14" t="s">
        <v>36</v>
      </c>
      <c r="I2572" s="18" t="s">
        <v>36</v>
      </c>
      <c r="J2572" s="12" t="s">
        <v>36</v>
      </c>
      <c r="K2572" s="13" t="s">
        <v>36</v>
      </c>
      <c r="L2572" s="15" t="s">
        <v>36</v>
      </c>
      <c r="M2572" s="12" t="s">
        <v>36</v>
      </c>
      <c r="N2572" s="12" t="s">
        <v>36</v>
      </c>
      <c r="O2572" s="17" t="s">
        <v>36</v>
      </c>
      <c r="P2572" s="12" t="s">
        <v>36</v>
      </c>
      <c r="Q2572" s="12" t="s">
        <v>36</v>
      </c>
      <c r="R2572" s="12" t="s">
        <v>36</v>
      </c>
      <c r="S2572" s="12" t="s">
        <v>36</v>
      </c>
      <c r="T2572" s="12" t="s">
        <v>472</v>
      </c>
      <c r="U2572" s="12" t="s">
        <v>38</v>
      </c>
      <c r="V2572" s="12" t="s">
        <v>39</v>
      </c>
      <c r="W2572" s="12" t="s">
        <v>14073</v>
      </c>
      <c r="X2572" s="16" t="s">
        <v>4811</v>
      </c>
      <c r="Y2572" s="15" t="s">
        <v>42</v>
      </c>
      <c r="Z2572" s="14" t="s">
        <v>36</v>
      </c>
      <c r="AA2572" s="14" t="s">
        <v>36</v>
      </c>
      <c r="AB2572" s="12" t="s">
        <v>43</v>
      </c>
      <c r="AC2572" s="12" t="s">
        <v>14074</v>
      </c>
      <c r="AD2572" s="13">
        <v>44562</v>
      </c>
      <c r="AE2572" s="12" t="s">
        <v>110</v>
      </c>
      <c r="AF2572" s="12" t="s">
        <v>1331</v>
      </c>
      <c r="AG2572" s="12" t="s">
        <v>81</v>
      </c>
      <c r="AH2572" s="1">
        <f>HYPERLINK("https://my.pitchbook.com?c=252668-26T","View Company Online")</f>
      </c>
    </row>
    <row r="2573">
      <c r="A2573" s="3" t="s">
        <v>14075</v>
      </c>
      <c r="B2573" s="3" t="s">
        <v>14076</v>
      </c>
      <c r="C2573" s="5">
        <v>1</v>
      </c>
      <c r="D2573" s="5" t="s">
        <v>36</v>
      </c>
      <c r="E2573" s="5">
        <v>1</v>
      </c>
      <c r="F2573" s="5">
        <v>1</v>
      </c>
      <c r="G2573" s="6" t="s">
        <v>36</v>
      </c>
      <c r="H2573" s="4" t="s">
        <v>36</v>
      </c>
      <c r="I2573" s="7" t="s">
        <v>36</v>
      </c>
      <c r="J2573" s="3" t="s">
        <v>36</v>
      </c>
      <c r="K2573" s="9" t="s">
        <v>36</v>
      </c>
      <c r="L2573" s="6" t="s">
        <v>36</v>
      </c>
      <c r="M2573" s="3" t="s">
        <v>36</v>
      </c>
      <c r="N2573" s="3" t="s">
        <v>36</v>
      </c>
      <c r="O2573" s="8" t="s">
        <v>36</v>
      </c>
      <c r="P2573" s="3" t="s">
        <v>36</v>
      </c>
      <c r="Q2573" s="3" t="s">
        <v>36</v>
      </c>
      <c r="R2573" s="3" t="s">
        <v>36</v>
      </c>
      <c r="S2573" s="3" t="s">
        <v>36</v>
      </c>
      <c r="T2573" s="3" t="s">
        <v>14077</v>
      </c>
      <c r="U2573" s="3" t="s">
        <v>38</v>
      </c>
      <c r="V2573" s="3" t="s">
        <v>39</v>
      </c>
      <c r="W2573" s="3" t="s">
        <v>14078</v>
      </c>
      <c r="X2573" s="10" t="s">
        <v>8755</v>
      </c>
      <c r="Y2573" s="6" t="s">
        <v>166</v>
      </c>
      <c r="Z2573" s="4" t="s">
        <v>36</v>
      </c>
      <c r="AA2573" s="4" t="s">
        <v>36</v>
      </c>
      <c r="AB2573" s="3" t="s">
        <v>56</v>
      </c>
      <c r="AC2573" s="3" t="s">
        <v>14079</v>
      </c>
      <c r="AD2573" s="9">
        <v>44562</v>
      </c>
      <c r="AE2573" s="3" t="s">
        <v>110</v>
      </c>
      <c r="AF2573" s="3" t="s">
        <v>3172</v>
      </c>
      <c r="AG2573" s="3" t="s">
        <v>81</v>
      </c>
      <c r="AH2573" s="11">
        <f>HYPERLINK("https://my.pitchbook.com?c=225647-92T","View Company Online")</f>
      </c>
    </row>
    <row r="2574">
      <c r="A2574" s="12" t="s">
        <v>14080</v>
      </c>
      <c r="B2574" s="12" t="s">
        <v>14081</v>
      </c>
      <c r="C2574" s="19" t="s">
        <v>36</v>
      </c>
      <c r="D2574" s="19" t="s">
        <v>36</v>
      </c>
      <c r="E2574" s="19" t="s">
        <v>36</v>
      </c>
      <c r="F2574" s="19" t="s">
        <v>36</v>
      </c>
      <c r="G2574" s="15" t="s">
        <v>36</v>
      </c>
      <c r="H2574" s="14" t="s">
        <v>36</v>
      </c>
      <c r="I2574" s="18" t="s">
        <v>36</v>
      </c>
      <c r="J2574" s="12" t="s">
        <v>36</v>
      </c>
      <c r="K2574" s="13" t="s">
        <v>36</v>
      </c>
      <c r="L2574" s="15" t="s">
        <v>36</v>
      </c>
      <c r="M2574" s="12" t="s">
        <v>36</v>
      </c>
      <c r="N2574" s="12" t="s">
        <v>36</v>
      </c>
      <c r="O2574" s="17" t="s">
        <v>36</v>
      </c>
      <c r="P2574" s="12" t="s">
        <v>36</v>
      </c>
      <c r="Q2574" s="12" t="s">
        <v>36</v>
      </c>
      <c r="R2574" s="12" t="s">
        <v>36</v>
      </c>
      <c r="S2574" s="12" t="s">
        <v>2314</v>
      </c>
      <c r="T2574" s="12" t="s">
        <v>14082</v>
      </c>
      <c r="U2574" s="12" t="s">
        <v>38</v>
      </c>
      <c r="V2574" s="12" t="s">
        <v>39</v>
      </c>
      <c r="W2574" s="12" t="s">
        <v>14083</v>
      </c>
      <c r="X2574" s="16" t="s">
        <v>14084</v>
      </c>
      <c r="Y2574" s="15" t="s">
        <v>42</v>
      </c>
      <c r="Z2574" s="14" t="s">
        <v>36</v>
      </c>
      <c r="AA2574" s="14" t="s">
        <v>36</v>
      </c>
      <c r="AB2574" s="12" t="s">
        <v>43</v>
      </c>
      <c r="AC2574" s="12" t="s">
        <v>14085</v>
      </c>
      <c r="AD2574" s="13">
        <v>44562</v>
      </c>
      <c r="AE2574" s="12" t="s">
        <v>110</v>
      </c>
      <c r="AF2574" s="12" t="s">
        <v>799</v>
      </c>
      <c r="AG2574" s="12" t="s">
        <v>81</v>
      </c>
      <c r="AH2574" s="1">
        <f>HYPERLINK("https://my.pitchbook.com?c=204060-88T","View Company Online")</f>
      </c>
    </row>
    <row r="2575">
      <c r="A2575" s="3" t="s">
        <v>14086</v>
      </c>
      <c r="B2575" s="3" t="s">
        <v>14087</v>
      </c>
      <c r="C2575" s="5" t="s">
        <v>36</v>
      </c>
      <c r="D2575" s="5" t="s">
        <v>36</v>
      </c>
      <c r="E2575" s="5" t="s">
        <v>36</v>
      </c>
      <c r="F2575" s="5" t="s">
        <v>36</v>
      </c>
      <c r="G2575" s="6" t="s">
        <v>36</v>
      </c>
      <c r="H2575" s="4" t="s">
        <v>36</v>
      </c>
      <c r="I2575" s="7" t="s">
        <v>36</v>
      </c>
      <c r="J2575" s="3" t="s">
        <v>36</v>
      </c>
      <c r="K2575" s="9" t="s">
        <v>36</v>
      </c>
      <c r="L2575" s="6" t="s">
        <v>36</v>
      </c>
      <c r="M2575" s="3" t="s">
        <v>36</v>
      </c>
      <c r="N2575" s="3" t="s">
        <v>36</v>
      </c>
      <c r="O2575" s="8" t="s">
        <v>36</v>
      </c>
      <c r="P2575" s="3" t="s">
        <v>36</v>
      </c>
      <c r="Q2575" s="3" t="s">
        <v>36</v>
      </c>
      <c r="R2575" s="3" t="s">
        <v>36</v>
      </c>
      <c r="S2575" s="3" t="s">
        <v>36</v>
      </c>
      <c r="T2575" s="3" t="s">
        <v>888</v>
      </c>
      <c r="U2575" s="3" t="s">
        <v>387</v>
      </c>
      <c r="V2575" s="3" t="s">
        <v>367</v>
      </c>
      <c r="W2575" s="3" t="s">
        <v>14088</v>
      </c>
      <c r="X2575" s="10" t="s">
        <v>980</v>
      </c>
      <c r="Y2575" s="6" t="s">
        <v>108</v>
      </c>
      <c r="Z2575" s="4" t="s">
        <v>36</v>
      </c>
      <c r="AA2575" s="4" t="s">
        <v>36</v>
      </c>
      <c r="AB2575" s="3" t="s">
        <v>56</v>
      </c>
      <c r="AC2575" s="3" t="s">
        <v>14089</v>
      </c>
      <c r="AD2575" s="9">
        <v>44562</v>
      </c>
      <c r="AE2575" s="3" t="s">
        <v>391</v>
      </c>
      <c r="AF2575" s="3" t="s">
        <v>372</v>
      </c>
      <c r="AG2575" s="3" t="s">
        <v>14090</v>
      </c>
      <c r="AH2575" s="11">
        <f>HYPERLINK("https://my.pitchbook.com?c=226641-61T","View Company Online")</f>
      </c>
    </row>
    <row r="2576">
      <c r="A2576" s="12" t="s">
        <v>14091</v>
      </c>
      <c r="B2576" s="12" t="s">
        <v>14092</v>
      </c>
      <c r="C2576" s="19" t="s">
        <v>36</v>
      </c>
      <c r="D2576" s="19" t="s">
        <v>36</v>
      </c>
      <c r="E2576" s="19" t="s">
        <v>36</v>
      </c>
      <c r="F2576" s="19" t="s">
        <v>36</v>
      </c>
      <c r="G2576" s="15" t="s">
        <v>36</v>
      </c>
      <c r="H2576" s="14" t="s">
        <v>36</v>
      </c>
      <c r="I2576" s="18" t="s">
        <v>36</v>
      </c>
      <c r="J2576" s="12" t="s">
        <v>36</v>
      </c>
      <c r="K2576" s="13" t="s">
        <v>36</v>
      </c>
      <c r="L2576" s="15" t="s">
        <v>36</v>
      </c>
      <c r="M2576" s="12" t="s">
        <v>36</v>
      </c>
      <c r="N2576" s="12" t="s">
        <v>36</v>
      </c>
      <c r="O2576" s="17" t="s">
        <v>36</v>
      </c>
      <c r="P2576" s="12" t="s">
        <v>36</v>
      </c>
      <c r="Q2576" s="12" t="s">
        <v>36</v>
      </c>
      <c r="R2576" s="12" t="s">
        <v>36</v>
      </c>
      <c r="S2576" s="12" t="s">
        <v>2314</v>
      </c>
      <c r="T2576" s="12" t="s">
        <v>14093</v>
      </c>
      <c r="U2576" s="12" t="s">
        <v>38</v>
      </c>
      <c r="V2576" s="12" t="s">
        <v>39</v>
      </c>
      <c r="W2576" s="12" t="s">
        <v>14094</v>
      </c>
      <c r="X2576" s="16" t="s">
        <v>14095</v>
      </c>
      <c r="Y2576" s="15" t="s">
        <v>42</v>
      </c>
      <c r="Z2576" s="14" t="s">
        <v>36</v>
      </c>
      <c r="AA2576" s="14" t="s">
        <v>36</v>
      </c>
      <c r="AB2576" s="12" t="s">
        <v>43</v>
      </c>
      <c r="AC2576" s="12" t="s">
        <v>14096</v>
      </c>
      <c r="AD2576" s="13">
        <v>44562</v>
      </c>
      <c r="AE2576" s="12" t="s">
        <v>554</v>
      </c>
      <c r="AF2576" s="12" t="s">
        <v>14097</v>
      </c>
      <c r="AG2576" s="12" t="s">
        <v>81</v>
      </c>
      <c r="AH2576" s="1">
        <f>HYPERLINK("https://my.pitchbook.com?c=227081-53T","View Company Online")</f>
      </c>
    </row>
    <row r="2577">
      <c r="A2577" s="3" t="s">
        <v>14098</v>
      </c>
      <c r="B2577" s="3" t="s">
        <v>14099</v>
      </c>
      <c r="C2577" s="5" t="s">
        <v>36</v>
      </c>
      <c r="D2577" s="5" t="s">
        <v>36</v>
      </c>
      <c r="E2577" s="5" t="s">
        <v>36</v>
      </c>
      <c r="F2577" s="5" t="s">
        <v>36</v>
      </c>
      <c r="G2577" s="6" t="s">
        <v>36</v>
      </c>
      <c r="H2577" s="4" t="s">
        <v>36</v>
      </c>
      <c r="I2577" s="7" t="s">
        <v>36</v>
      </c>
      <c r="J2577" s="3" t="s">
        <v>36</v>
      </c>
      <c r="K2577" s="9" t="s">
        <v>36</v>
      </c>
      <c r="L2577" s="6" t="s">
        <v>36</v>
      </c>
      <c r="M2577" s="3" t="s">
        <v>36</v>
      </c>
      <c r="N2577" s="3" t="s">
        <v>36</v>
      </c>
      <c r="O2577" s="8" t="s">
        <v>36</v>
      </c>
      <c r="P2577" s="3" t="s">
        <v>36</v>
      </c>
      <c r="Q2577" s="3" t="s">
        <v>36</v>
      </c>
      <c r="R2577" s="3" t="s">
        <v>36</v>
      </c>
      <c r="S2577" s="3" t="s">
        <v>36</v>
      </c>
      <c r="T2577" s="3" t="s">
        <v>50</v>
      </c>
      <c r="U2577" s="3" t="s">
        <v>51</v>
      </c>
      <c r="V2577" s="3" t="s">
        <v>52</v>
      </c>
      <c r="W2577" s="3" t="s">
        <v>14100</v>
      </c>
      <c r="X2577" s="10" t="s">
        <v>14101</v>
      </c>
      <c r="Y2577" s="6" t="s">
        <v>192</v>
      </c>
      <c r="Z2577" s="4" t="s">
        <v>36</v>
      </c>
      <c r="AA2577" s="4" t="s">
        <v>36</v>
      </c>
      <c r="AB2577" s="3" t="s">
        <v>56</v>
      </c>
      <c r="AC2577" s="3" t="s">
        <v>14102</v>
      </c>
      <c r="AD2577" s="9">
        <v>44562</v>
      </c>
      <c r="AE2577" s="3" t="s">
        <v>58</v>
      </c>
      <c r="AF2577" s="3" t="s">
        <v>756</v>
      </c>
      <c r="AG2577" s="3" t="s">
        <v>899</v>
      </c>
      <c r="AH2577" s="11">
        <f>HYPERLINK("https://my.pitchbook.com?c=204429-52T","View Company Online")</f>
      </c>
    </row>
    <row r="2578">
      <c r="A2578" s="12" t="s">
        <v>14103</v>
      </c>
      <c r="B2578" s="12" t="s">
        <v>14104</v>
      </c>
      <c r="C2578" s="19" t="s">
        <v>36</v>
      </c>
      <c r="D2578" s="19" t="s">
        <v>36</v>
      </c>
      <c r="E2578" s="19" t="s">
        <v>36</v>
      </c>
      <c r="F2578" s="19" t="s">
        <v>36</v>
      </c>
      <c r="G2578" s="15" t="s">
        <v>36</v>
      </c>
      <c r="H2578" s="14" t="s">
        <v>36</v>
      </c>
      <c r="I2578" s="18" t="s">
        <v>36</v>
      </c>
      <c r="J2578" s="12" t="s">
        <v>36</v>
      </c>
      <c r="K2578" s="13" t="s">
        <v>36</v>
      </c>
      <c r="L2578" s="15" t="s">
        <v>36</v>
      </c>
      <c r="M2578" s="12" t="s">
        <v>36</v>
      </c>
      <c r="N2578" s="12" t="s">
        <v>36</v>
      </c>
      <c r="O2578" s="17" t="s">
        <v>36</v>
      </c>
      <c r="P2578" s="12" t="s">
        <v>36</v>
      </c>
      <c r="Q2578" s="12" t="s">
        <v>36</v>
      </c>
      <c r="R2578" s="12" t="s">
        <v>36</v>
      </c>
      <c r="S2578" s="12" t="s">
        <v>36</v>
      </c>
      <c r="T2578" s="12" t="s">
        <v>11514</v>
      </c>
      <c r="U2578" s="12" t="s">
        <v>38</v>
      </c>
      <c r="V2578" s="12" t="s">
        <v>39</v>
      </c>
      <c r="W2578" s="12" t="s">
        <v>14105</v>
      </c>
      <c r="X2578" s="16" t="s">
        <v>4770</v>
      </c>
      <c r="Y2578" s="15" t="s">
        <v>42</v>
      </c>
      <c r="Z2578" s="14" t="s">
        <v>36</v>
      </c>
      <c r="AA2578" s="14" t="s">
        <v>36</v>
      </c>
      <c r="AB2578" s="12" t="s">
        <v>43</v>
      </c>
      <c r="AC2578" s="12" t="s">
        <v>14106</v>
      </c>
      <c r="AD2578" s="13">
        <v>44562</v>
      </c>
      <c r="AE2578" s="12" t="s">
        <v>45</v>
      </c>
      <c r="AF2578" s="12" t="s">
        <v>5816</v>
      </c>
      <c r="AG2578" s="12" t="s">
        <v>347</v>
      </c>
      <c r="AH2578" s="1">
        <f>HYPERLINK("https://my.pitchbook.com?c=248403-61T","View Company Online")</f>
      </c>
    </row>
    <row r="2579">
      <c r="A2579" s="3" t="s">
        <v>14107</v>
      </c>
      <c r="B2579" s="3" t="s">
        <v>14108</v>
      </c>
      <c r="C2579" s="5" t="s">
        <v>36</v>
      </c>
      <c r="D2579" s="5" t="s">
        <v>36</v>
      </c>
      <c r="E2579" s="5" t="s">
        <v>36</v>
      </c>
      <c r="F2579" s="5" t="s">
        <v>36</v>
      </c>
      <c r="G2579" s="6" t="s">
        <v>36</v>
      </c>
      <c r="H2579" s="4" t="s">
        <v>36</v>
      </c>
      <c r="I2579" s="7">
        <v>25.36</v>
      </c>
      <c r="J2579" s="3" t="s">
        <v>521</v>
      </c>
      <c r="K2579" s="9" t="s">
        <v>36</v>
      </c>
      <c r="L2579" s="6" t="s">
        <v>36</v>
      </c>
      <c r="M2579" s="3" t="s">
        <v>36</v>
      </c>
      <c r="N2579" s="3" t="s">
        <v>36</v>
      </c>
      <c r="O2579" s="8" t="s">
        <v>36</v>
      </c>
      <c r="P2579" s="3" t="s">
        <v>36</v>
      </c>
      <c r="Q2579" s="3" t="s">
        <v>36</v>
      </c>
      <c r="R2579" s="3" t="s">
        <v>36</v>
      </c>
      <c r="S2579" s="3" t="s">
        <v>36</v>
      </c>
      <c r="T2579" s="3" t="s">
        <v>2658</v>
      </c>
      <c r="U2579" s="3" t="s">
        <v>38</v>
      </c>
      <c r="V2579" s="3" t="s">
        <v>39</v>
      </c>
      <c r="W2579" s="3" t="s">
        <v>14109</v>
      </c>
      <c r="X2579" s="10" t="s">
        <v>14110</v>
      </c>
      <c r="Y2579" s="6" t="s">
        <v>42</v>
      </c>
      <c r="Z2579" s="4">
        <v>5.65</v>
      </c>
      <c r="AA2579" s="4">
        <v>22.29</v>
      </c>
      <c r="AB2579" s="3" t="s">
        <v>43</v>
      </c>
      <c r="AC2579" s="3" t="s">
        <v>14111</v>
      </c>
      <c r="AD2579" s="9">
        <v>44562</v>
      </c>
      <c r="AE2579" s="3" t="s">
        <v>110</v>
      </c>
      <c r="AF2579" s="3" t="s">
        <v>14112</v>
      </c>
      <c r="AG2579" s="3" t="s">
        <v>81</v>
      </c>
      <c r="AH2579" s="11">
        <f>HYPERLINK("https://my.pitchbook.com?c=214112-44T","View Company Online")</f>
      </c>
    </row>
    <row r="2580">
      <c r="A2580" s="12" t="s">
        <v>14113</v>
      </c>
      <c r="B2580" s="12" t="s">
        <v>14114</v>
      </c>
      <c r="C2580" s="19" t="s">
        <v>36</v>
      </c>
      <c r="D2580" s="19" t="s">
        <v>36</v>
      </c>
      <c r="E2580" s="19" t="s">
        <v>36</v>
      </c>
      <c r="F2580" s="19" t="s">
        <v>36</v>
      </c>
      <c r="G2580" s="15" t="s">
        <v>36</v>
      </c>
      <c r="H2580" s="14" t="s">
        <v>36</v>
      </c>
      <c r="I2580" s="18" t="s">
        <v>36</v>
      </c>
      <c r="J2580" s="12" t="s">
        <v>36</v>
      </c>
      <c r="K2580" s="13" t="s">
        <v>36</v>
      </c>
      <c r="L2580" s="15" t="s">
        <v>36</v>
      </c>
      <c r="M2580" s="12" t="s">
        <v>36</v>
      </c>
      <c r="N2580" s="12" t="s">
        <v>36</v>
      </c>
      <c r="O2580" s="17" t="s">
        <v>36</v>
      </c>
      <c r="P2580" s="12" t="s">
        <v>36</v>
      </c>
      <c r="Q2580" s="12" t="s">
        <v>36</v>
      </c>
      <c r="R2580" s="12" t="s">
        <v>36</v>
      </c>
      <c r="S2580" s="12" t="s">
        <v>36</v>
      </c>
      <c r="T2580" s="12" t="s">
        <v>3253</v>
      </c>
      <c r="U2580" s="12" t="s">
        <v>38</v>
      </c>
      <c r="V2580" s="12" t="s">
        <v>39</v>
      </c>
      <c r="W2580" s="12" t="s">
        <v>14115</v>
      </c>
      <c r="X2580" s="16" t="s">
        <v>14116</v>
      </c>
      <c r="Y2580" s="15" t="s">
        <v>42</v>
      </c>
      <c r="Z2580" s="14" t="s">
        <v>36</v>
      </c>
      <c r="AA2580" s="14" t="s">
        <v>36</v>
      </c>
      <c r="AB2580" s="12" t="s">
        <v>43</v>
      </c>
      <c r="AC2580" s="12" t="s">
        <v>14117</v>
      </c>
      <c r="AD2580" s="13">
        <v>44562</v>
      </c>
      <c r="AE2580" s="12" t="s">
        <v>785</v>
      </c>
      <c r="AF2580" s="12" t="s">
        <v>176</v>
      </c>
      <c r="AG2580" s="12" t="s">
        <v>4277</v>
      </c>
      <c r="AH2580" s="1">
        <f>HYPERLINK("https://my.pitchbook.com?c=225599-05T","View Company Online")</f>
      </c>
    </row>
    <row r="2581">
      <c r="A2581" s="3" t="s">
        <v>14118</v>
      </c>
      <c r="B2581" s="3" t="s">
        <v>5352</v>
      </c>
      <c r="C2581" s="5">
        <v>1</v>
      </c>
      <c r="D2581" s="5">
        <v>2</v>
      </c>
      <c r="E2581" s="5">
        <v>2</v>
      </c>
      <c r="F2581" s="5">
        <v>3</v>
      </c>
      <c r="G2581" s="6" t="s">
        <v>36</v>
      </c>
      <c r="H2581" s="4" t="s">
        <v>36</v>
      </c>
      <c r="I2581" s="7" t="s">
        <v>36</v>
      </c>
      <c r="J2581" s="3" t="s">
        <v>36</v>
      </c>
      <c r="K2581" s="9" t="s">
        <v>36</v>
      </c>
      <c r="L2581" s="6" t="s">
        <v>36</v>
      </c>
      <c r="M2581" s="3" t="s">
        <v>36</v>
      </c>
      <c r="N2581" s="3" t="s">
        <v>36</v>
      </c>
      <c r="O2581" s="8" t="s">
        <v>36</v>
      </c>
      <c r="P2581" s="3" t="s">
        <v>36</v>
      </c>
      <c r="Q2581" s="3" t="s">
        <v>36</v>
      </c>
      <c r="R2581" s="3" t="s">
        <v>36</v>
      </c>
      <c r="S2581" s="3" t="s">
        <v>5353</v>
      </c>
      <c r="T2581" s="3" t="s">
        <v>5354</v>
      </c>
      <c r="U2581" s="3" t="s">
        <v>833</v>
      </c>
      <c r="V2581" s="3" t="s">
        <v>64</v>
      </c>
      <c r="W2581" s="3" t="s">
        <v>5355</v>
      </c>
      <c r="X2581" s="10" t="s">
        <v>1043</v>
      </c>
      <c r="Y2581" s="6" t="s">
        <v>42</v>
      </c>
      <c r="Z2581" s="4" t="s">
        <v>36</v>
      </c>
      <c r="AA2581" s="4" t="s">
        <v>36</v>
      </c>
      <c r="AB2581" s="3" t="s">
        <v>43</v>
      </c>
      <c r="AC2581" s="3" t="s">
        <v>5357</v>
      </c>
      <c r="AD2581" s="9">
        <v>44562</v>
      </c>
      <c r="AE2581" s="3" t="s">
        <v>1769</v>
      </c>
      <c r="AF2581" s="3" t="s">
        <v>2703</v>
      </c>
      <c r="AG2581" s="3" t="s">
        <v>81</v>
      </c>
      <c r="AH2581" s="11">
        <f>HYPERLINK("https://my.pitchbook.com?c=280078-21T","View Company Online")</f>
      </c>
    </row>
    <row r="2582">
      <c r="A2582" s="12" t="s">
        <v>14119</v>
      </c>
      <c r="B2582" s="12" t="s">
        <v>14120</v>
      </c>
      <c r="C2582" s="19">
        <v>1</v>
      </c>
      <c r="D2582" s="19" t="s">
        <v>36</v>
      </c>
      <c r="E2582" s="19">
        <v>1</v>
      </c>
      <c r="F2582" s="19">
        <v>1</v>
      </c>
      <c r="G2582" s="15" t="s">
        <v>36</v>
      </c>
      <c r="H2582" s="14" t="s">
        <v>36</v>
      </c>
      <c r="I2582" s="18" t="s">
        <v>36</v>
      </c>
      <c r="J2582" s="12" t="s">
        <v>36</v>
      </c>
      <c r="K2582" s="13" t="s">
        <v>36</v>
      </c>
      <c r="L2582" s="15" t="s">
        <v>36</v>
      </c>
      <c r="M2582" s="12" t="s">
        <v>36</v>
      </c>
      <c r="N2582" s="12" t="s">
        <v>36</v>
      </c>
      <c r="O2582" s="17" t="s">
        <v>36</v>
      </c>
      <c r="P2582" s="12" t="s">
        <v>36</v>
      </c>
      <c r="Q2582" s="12" t="s">
        <v>36</v>
      </c>
      <c r="R2582" s="12" t="s">
        <v>36</v>
      </c>
      <c r="S2582" s="12" t="s">
        <v>36</v>
      </c>
      <c r="T2582" s="12" t="s">
        <v>14121</v>
      </c>
      <c r="U2582" s="12" t="s">
        <v>956</v>
      </c>
      <c r="V2582" s="12" t="s">
        <v>405</v>
      </c>
      <c r="W2582" s="12" t="s">
        <v>14122</v>
      </c>
      <c r="X2582" s="16" t="s">
        <v>11070</v>
      </c>
      <c r="Y2582" s="15" t="s">
        <v>42</v>
      </c>
      <c r="Z2582" s="14" t="s">
        <v>36</v>
      </c>
      <c r="AA2582" s="14" t="s">
        <v>36</v>
      </c>
      <c r="AB2582" s="12" t="s">
        <v>56</v>
      </c>
      <c r="AC2582" s="12" t="s">
        <v>14123</v>
      </c>
      <c r="AD2582" s="13">
        <v>44562</v>
      </c>
      <c r="AE2582" s="12" t="s">
        <v>13686</v>
      </c>
      <c r="AF2582" s="12" t="s">
        <v>2054</v>
      </c>
      <c r="AG2582" s="12" t="s">
        <v>81</v>
      </c>
      <c r="AH2582" s="1">
        <f>HYPERLINK("https://my.pitchbook.com?c=207312-13T","View Company Online")</f>
      </c>
    </row>
    <row r="2583">
      <c r="A2583" s="3" t="s">
        <v>14124</v>
      </c>
      <c r="B2583" s="3" t="s">
        <v>3020</v>
      </c>
      <c r="C2583" s="5" t="s">
        <v>36</v>
      </c>
      <c r="D2583" s="5" t="s">
        <v>36</v>
      </c>
      <c r="E2583" s="5" t="s">
        <v>36</v>
      </c>
      <c r="F2583" s="5" t="s">
        <v>36</v>
      </c>
      <c r="G2583" s="6" t="s">
        <v>36</v>
      </c>
      <c r="H2583" s="4" t="s">
        <v>36</v>
      </c>
      <c r="I2583" s="7" t="s">
        <v>36</v>
      </c>
      <c r="J2583" s="3" t="s">
        <v>36</v>
      </c>
      <c r="K2583" s="9" t="s">
        <v>36</v>
      </c>
      <c r="L2583" s="6" t="s">
        <v>36</v>
      </c>
      <c r="M2583" s="3" t="s">
        <v>36</v>
      </c>
      <c r="N2583" s="3" t="s">
        <v>36</v>
      </c>
      <c r="O2583" s="8" t="s">
        <v>36</v>
      </c>
      <c r="P2583" s="3" t="s">
        <v>36</v>
      </c>
      <c r="Q2583" s="3" t="s">
        <v>36</v>
      </c>
      <c r="R2583" s="3" t="s">
        <v>36</v>
      </c>
      <c r="S2583" s="3" t="s">
        <v>36</v>
      </c>
      <c r="T2583" s="3" t="s">
        <v>189</v>
      </c>
      <c r="U2583" s="3" t="s">
        <v>180</v>
      </c>
      <c r="V2583" s="3" t="s">
        <v>52</v>
      </c>
      <c r="W2583" s="3" t="s">
        <v>3021</v>
      </c>
      <c r="X2583" s="10" t="s">
        <v>1840</v>
      </c>
      <c r="Y2583" s="6" t="s">
        <v>42</v>
      </c>
      <c r="Z2583" s="4">
        <v>2.03</v>
      </c>
      <c r="AA2583" s="4" t="s">
        <v>36</v>
      </c>
      <c r="AB2583" s="3" t="s">
        <v>43</v>
      </c>
      <c r="AC2583" s="3" t="s">
        <v>3023</v>
      </c>
      <c r="AD2583" s="9">
        <v>44562</v>
      </c>
      <c r="AE2583" s="3" t="s">
        <v>184</v>
      </c>
      <c r="AF2583" s="3" t="s">
        <v>3024</v>
      </c>
      <c r="AG2583" s="3" t="s">
        <v>81</v>
      </c>
      <c r="AH2583" s="11">
        <f>HYPERLINK("https://my.pitchbook.com?c=261252-46T","View Company Online")</f>
      </c>
    </row>
    <row r="2584">
      <c r="A2584" s="12" t="s">
        <v>14125</v>
      </c>
      <c r="B2584" s="12" t="s">
        <v>14126</v>
      </c>
      <c r="C2584" s="19" t="s">
        <v>36</v>
      </c>
      <c r="D2584" s="19" t="s">
        <v>36</v>
      </c>
      <c r="E2584" s="19" t="s">
        <v>36</v>
      </c>
      <c r="F2584" s="19" t="s">
        <v>36</v>
      </c>
      <c r="G2584" s="15" t="s">
        <v>36</v>
      </c>
      <c r="H2584" s="14" t="s">
        <v>36</v>
      </c>
      <c r="I2584" s="18" t="s">
        <v>36</v>
      </c>
      <c r="J2584" s="12" t="s">
        <v>36</v>
      </c>
      <c r="K2584" s="13" t="s">
        <v>36</v>
      </c>
      <c r="L2584" s="15" t="s">
        <v>36</v>
      </c>
      <c r="M2584" s="12" t="s">
        <v>36</v>
      </c>
      <c r="N2584" s="12" t="s">
        <v>36</v>
      </c>
      <c r="O2584" s="17" t="s">
        <v>36</v>
      </c>
      <c r="P2584" s="12" t="s">
        <v>36</v>
      </c>
      <c r="Q2584" s="12" t="s">
        <v>36</v>
      </c>
      <c r="R2584" s="12" t="s">
        <v>36</v>
      </c>
      <c r="S2584" s="12" t="s">
        <v>36</v>
      </c>
      <c r="T2584" s="12" t="s">
        <v>522</v>
      </c>
      <c r="U2584" s="12" t="s">
        <v>38</v>
      </c>
      <c r="V2584" s="12" t="s">
        <v>39</v>
      </c>
      <c r="W2584" s="12" t="s">
        <v>14127</v>
      </c>
      <c r="X2584" s="16" t="s">
        <v>14128</v>
      </c>
      <c r="Y2584" s="15" t="s">
        <v>42</v>
      </c>
      <c r="Z2584" s="14" t="s">
        <v>36</v>
      </c>
      <c r="AA2584" s="14" t="s">
        <v>36</v>
      </c>
      <c r="AB2584" s="12" t="s">
        <v>43</v>
      </c>
      <c r="AC2584" s="12" t="s">
        <v>14129</v>
      </c>
      <c r="AD2584" s="13">
        <v>44562</v>
      </c>
      <c r="AE2584" s="12" t="s">
        <v>110</v>
      </c>
      <c r="AF2584" s="12" t="s">
        <v>176</v>
      </c>
      <c r="AG2584" s="12" t="s">
        <v>434</v>
      </c>
      <c r="AH2584" s="1">
        <f>HYPERLINK("https://my.pitchbook.com?c=212032-36T","View Company Online")</f>
      </c>
    </row>
    <row r="2585">
      <c r="A2585" s="3" t="s">
        <v>14130</v>
      </c>
      <c r="B2585" s="3" t="s">
        <v>2226</v>
      </c>
      <c r="C2585" s="5" t="s">
        <v>36</v>
      </c>
      <c r="D2585" s="5" t="s">
        <v>36</v>
      </c>
      <c r="E2585" s="5" t="s">
        <v>36</v>
      </c>
      <c r="F2585" s="5" t="s">
        <v>36</v>
      </c>
      <c r="G2585" s="6" t="s">
        <v>36</v>
      </c>
      <c r="H2585" s="4" t="s">
        <v>36</v>
      </c>
      <c r="I2585" s="7" t="s">
        <v>36</v>
      </c>
      <c r="J2585" s="3" t="s">
        <v>36</v>
      </c>
      <c r="K2585" s="9" t="s">
        <v>36</v>
      </c>
      <c r="L2585" s="6" t="s">
        <v>36</v>
      </c>
      <c r="M2585" s="3" t="s">
        <v>36</v>
      </c>
      <c r="N2585" s="3" t="s">
        <v>36</v>
      </c>
      <c r="O2585" s="8" t="s">
        <v>36</v>
      </c>
      <c r="P2585" s="3" t="s">
        <v>36</v>
      </c>
      <c r="Q2585" s="3" t="s">
        <v>36</v>
      </c>
      <c r="R2585" s="3" t="s">
        <v>36</v>
      </c>
      <c r="S2585" s="3" t="s">
        <v>36</v>
      </c>
      <c r="T2585" s="3" t="s">
        <v>2227</v>
      </c>
      <c r="U2585" s="3" t="s">
        <v>38</v>
      </c>
      <c r="V2585" s="3" t="s">
        <v>39</v>
      </c>
      <c r="W2585" s="3" t="s">
        <v>2228</v>
      </c>
      <c r="X2585" s="10" t="s">
        <v>14131</v>
      </c>
      <c r="Y2585" s="6" t="s">
        <v>42</v>
      </c>
      <c r="Z2585" s="4" t="s">
        <v>36</v>
      </c>
      <c r="AA2585" s="4" t="s">
        <v>36</v>
      </c>
      <c r="AB2585" s="3" t="s">
        <v>43</v>
      </c>
      <c r="AC2585" s="3" t="s">
        <v>2230</v>
      </c>
      <c r="AD2585" s="9">
        <v>44562</v>
      </c>
      <c r="AE2585" s="3" t="s">
        <v>554</v>
      </c>
      <c r="AF2585" s="3" t="s">
        <v>1296</v>
      </c>
      <c r="AG2585" s="3" t="s">
        <v>81</v>
      </c>
      <c r="AH2585" s="11">
        <f>HYPERLINK("https://my.pitchbook.com?c=219586-69T","View Company Online")</f>
      </c>
    </row>
    <row r="2586">
      <c r="A2586" s="12" t="s">
        <v>14132</v>
      </c>
      <c r="B2586" s="12" t="s">
        <v>668</v>
      </c>
      <c r="C2586" s="19" t="s">
        <v>36</v>
      </c>
      <c r="D2586" s="19" t="s">
        <v>36</v>
      </c>
      <c r="E2586" s="19" t="s">
        <v>36</v>
      </c>
      <c r="F2586" s="19" t="s">
        <v>36</v>
      </c>
      <c r="G2586" s="15" t="s">
        <v>36</v>
      </c>
      <c r="H2586" s="14" t="s">
        <v>36</v>
      </c>
      <c r="I2586" s="18" t="s">
        <v>36</v>
      </c>
      <c r="J2586" s="12" t="s">
        <v>36</v>
      </c>
      <c r="K2586" s="13" t="s">
        <v>36</v>
      </c>
      <c r="L2586" s="15" t="s">
        <v>36</v>
      </c>
      <c r="M2586" s="12" t="s">
        <v>36</v>
      </c>
      <c r="N2586" s="12" t="s">
        <v>36</v>
      </c>
      <c r="O2586" s="17" t="s">
        <v>36</v>
      </c>
      <c r="P2586" s="12" t="s">
        <v>36</v>
      </c>
      <c r="Q2586" s="12" t="s">
        <v>36</v>
      </c>
      <c r="R2586" s="12" t="s">
        <v>36</v>
      </c>
      <c r="S2586" s="12" t="s">
        <v>36</v>
      </c>
      <c r="T2586" s="12" t="s">
        <v>669</v>
      </c>
      <c r="U2586" s="12" t="s">
        <v>38</v>
      </c>
      <c r="V2586" s="12" t="s">
        <v>39</v>
      </c>
      <c r="W2586" s="12" t="s">
        <v>670</v>
      </c>
      <c r="X2586" s="16" t="s">
        <v>14133</v>
      </c>
      <c r="Y2586" s="15" t="s">
        <v>42</v>
      </c>
      <c r="Z2586" s="14" t="s">
        <v>36</v>
      </c>
      <c r="AA2586" s="14" t="s">
        <v>36</v>
      </c>
      <c r="AB2586" s="12" t="s">
        <v>43</v>
      </c>
      <c r="AC2586" s="12" t="s">
        <v>672</v>
      </c>
      <c r="AD2586" s="13">
        <v>44562</v>
      </c>
      <c r="AE2586" s="12" t="s">
        <v>45</v>
      </c>
      <c r="AF2586" s="12" t="s">
        <v>331</v>
      </c>
      <c r="AG2586" s="12" t="s">
        <v>81</v>
      </c>
      <c r="AH2586" s="1">
        <f>HYPERLINK("https://my.pitchbook.com?c=184521-61T","View Company Online")</f>
      </c>
    </row>
    <row r="2587">
      <c r="A2587" s="3" t="s">
        <v>14134</v>
      </c>
      <c r="B2587" s="3" t="s">
        <v>14135</v>
      </c>
      <c r="C2587" s="5" t="s">
        <v>36</v>
      </c>
      <c r="D2587" s="5" t="s">
        <v>36</v>
      </c>
      <c r="E2587" s="5" t="s">
        <v>36</v>
      </c>
      <c r="F2587" s="5" t="s">
        <v>36</v>
      </c>
      <c r="G2587" s="6" t="s">
        <v>36</v>
      </c>
      <c r="H2587" s="4" t="s">
        <v>36</v>
      </c>
      <c r="I2587" s="7" t="s">
        <v>36</v>
      </c>
      <c r="J2587" s="3" t="s">
        <v>36</v>
      </c>
      <c r="K2587" s="9" t="s">
        <v>36</v>
      </c>
      <c r="L2587" s="6" t="s">
        <v>36</v>
      </c>
      <c r="M2587" s="3" t="s">
        <v>36</v>
      </c>
      <c r="N2587" s="3" t="s">
        <v>36</v>
      </c>
      <c r="O2587" s="8" t="s">
        <v>36</v>
      </c>
      <c r="P2587" s="3" t="s">
        <v>36</v>
      </c>
      <c r="Q2587" s="3" t="s">
        <v>36</v>
      </c>
      <c r="R2587" s="3" t="s">
        <v>36</v>
      </c>
      <c r="S2587" s="3" t="s">
        <v>36</v>
      </c>
      <c r="T2587" s="3" t="s">
        <v>14136</v>
      </c>
      <c r="U2587" s="3" t="s">
        <v>63</v>
      </c>
      <c r="V2587" s="3" t="s">
        <v>64</v>
      </c>
      <c r="W2587" s="3" t="s">
        <v>14137</v>
      </c>
      <c r="X2587" s="10" t="s">
        <v>2869</v>
      </c>
      <c r="Y2587" s="6" t="s">
        <v>42</v>
      </c>
      <c r="Z2587" s="4" t="s">
        <v>36</v>
      </c>
      <c r="AA2587" s="4" t="s">
        <v>36</v>
      </c>
      <c r="AB2587" s="3" t="s">
        <v>43</v>
      </c>
      <c r="AC2587" s="3" t="s">
        <v>14138</v>
      </c>
      <c r="AD2587" s="9">
        <v>44562</v>
      </c>
      <c r="AE2587" s="3" t="s">
        <v>4310</v>
      </c>
      <c r="AF2587" s="3" t="s">
        <v>1380</v>
      </c>
      <c r="AG2587" s="3" t="s">
        <v>81</v>
      </c>
      <c r="AH2587" s="11">
        <f>HYPERLINK("https://my.pitchbook.com?c=276086-44T","View Company Online")</f>
      </c>
    </row>
    <row r="2588">
      <c r="A2588" s="12" t="s">
        <v>14139</v>
      </c>
      <c r="B2588" s="12" t="s">
        <v>14140</v>
      </c>
      <c r="C2588" s="19" t="s">
        <v>36</v>
      </c>
      <c r="D2588" s="19" t="s">
        <v>36</v>
      </c>
      <c r="E2588" s="19" t="s">
        <v>36</v>
      </c>
      <c r="F2588" s="19" t="s">
        <v>36</v>
      </c>
      <c r="G2588" s="15" t="s">
        <v>36</v>
      </c>
      <c r="H2588" s="14" t="s">
        <v>36</v>
      </c>
      <c r="I2588" s="18" t="s">
        <v>36</v>
      </c>
      <c r="J2588" s="12" t="s">
        <v>36</v>
      </c>
      <c r="K2588" s="13" t="s">
        <v>36</v>
      </c>
      <c r="L2588" s="15" t="s">
        <v>94</v>
      </c>
      <c r="M2588" s="12" t="s">
        <v>36</v>
      </c>
      <c r="N2588" s="12" t="s">
        <v>94</v>
      </c>
      <c r="O2588" s="17" t="s">
        <v>36</v>
      </c>
      <c r="P2588" s="12" t="s">
        <v>36</v>
      </c>
      <c r="Q2588" s="12" t="s">
        <v>36</v>
      </c>
      <c r="R2588" s="12" t="s">
        <v>36</v>
      </c>
      <c r="S2588" s="12" t="s">
        <v>36</v>
      </c>
      <c r="T2588" s="12" t="s">
        <v>11657</v>
      </c>
      <c r="U2588" s="12" t="s">
        <v>289</v>
      </c>
      <c r="V2588" s="12" t="s">
        <v>64</v>
      </c>
      <c r="W2588" s="12" t="s">
        <v>14141</v>
      </c>
      <c r="X2588" s="16" t="s">
        <v>14142</v>
      </c>
      <c r="Y2588" s="15" t="s">
        <v>166</v>
      </c>
      <c r="Z2588" s="14">
        <v>3.39</v>
      </c>
      <c r="AA2588" s="14" t="s">
        <v>36</v>
      </c>
      <c r="AB2588" s="12" t="s">
        <v>56</v>
      </c>
      <c r="AC2588" s="12" t="s">
        <v>14143</v>
      </c>
      <c r="AD2588" s="13">
        <v>44562</v>
      </c>
      <c r="AE2588" s="12" t="s">
        <v>292</v>
      </c>
      <c r="AF2588" s="12" t="s">
        <v>90</v>
      </c>
      <c r="AG2588" s="12" t="s">
        <v>1705</v>
      </c>
      <c r="AH2588" s="1">
        <f>HYPERLINK("https://my.pitchbook.com?c=200492-11T","View Company Online")</f>
      </c>
    </row>
    <row r="2589">
      <c r="A2589" s="3" t="s">
        <v>14144</v>
      </c>
      <c r="B2589" s="3" t="s">
        <v>14145</v>
      </c>
      <c r="C2589" s="5" t="s">
        <v>36</v>
      </c>
      <c r="D2589" s="5" t="s">
        <v>36</v>
      </c>
      <c r="E2589" s="5" t="s">
        <v>36</v>
      </c>
      <c r="F2589" s="5" t="s">
        <v>36</v>
      </c>
      <c r="G2589" s="6" t="s">
        <v>36</v>
      </c>
      <c r="H2589" s="4" t="s">
        <v>36</v>
      </c>
      <c r="I2589" s="7" t="s">
        <v>36</v>
      </c>
      <c r="J2589" s="3" t="s">
        <v>36</v>
      </c>
      <c r="K2589" s="9" t="s">
        <v>36</v>
      </c>
      <c r="L2589" s="6" t="s">
        <v>36</v>
      </c>
      <c r="M2589" s="3" t="s">
        <v>36</v>
      </c>
      <c r="N2589" s="3" t="s">
        <v>36</v>
      </c>
      <c r="O2589" s="8" t="s">
        <v>36</v>
      </c>
      <c r="P2589" s="3" t="s">
        <v>36</v>
      </c>
      <c r="Q2589" s="3" t="s">
        <v>36</v>
      </c>
      <c r="R2589" s="3" t="s">
        <v>36</v>
      </c>
      <c r="S2589" s="3" t="s">
        <v>36</v>
      </c>
      <c r="T2589" s="3" t="s">
        <v>4692</v>
      </c>
      <c r="U2589" s="3" t="s">
        <v>85</v>
      </c>
      <c r="V2589" s="3" t="s">
        <v>64</v>
      </c>
      <c r="W2589" s="3" t="s">
        <v>14146</v>
      </c>
      <c r="X2589" s="10" t="s">
        <v>1043</v>
      </c>
      <c r="Y2589" s="6" t="s">
        <v>42</v>
      </c>
      <c r="Z2589" s="4" t="s">
        <v>36</v>
      </c>
      <c r="AA2589" s="4" t="s">
        <v>36</v>
      </c>
      <c r="AB2589" s="3" t="s">
        <v>56</v>
      </c>
      <c r="AC2589" s="3" t="s">
        <v>14147</v>
      </c>
      <c r="AD2589" s="9">
        <v>44562</v>
      </c>
      <c r="AE2589" s="3" t="s">
        <v>89</v>
      </c>
      <c r="AF2589" s="3" t="s">
        <v>571</v>
      </c>
      <c r="AG2589" s="3" t="s">
        <v>1705</v>
      </c>
      <c r="AH2589" s="11">
        <f>HYPERLINK("https://my.pitchbook.com?c=280076-14T","View Company Online")</f>
      </c>
    </row>
    <row r="2590">
      <c r="A2590" s="12" t="s">
        <v>14148</v>
      </c>
      <c r="B2590" s="12" t="s">
        <v>14149</v>
      </c>
      <c r="C2590" s="19" t="s">
        <v>36</v>
      </c>
      <c r="D2590" s="19" t="s">
        <v>36</v>
      </c>
      <c r="E2590" s="19" t="s">
        <v>36</v>
      </c>
      <c r="F2590" s="19" t="s">
        <v>36</v>
      </c>
      <c r="G2590" s="15" t="s">
        <v>36</v>
      </c>
      <c r="H2590" s="14" t="s">
        <v>36</v>
      </c>
      <c r="I2590" s="18">
        <v>30</v>
      </c>
      <c r="J2590" s="12" t="s">
        <v>521</v>
      </c>
      <c r="K2590" s="13" t="s">
        <v>36</v>
      </c>
      <c r="L2590" s="15" t="s">
        <v>36</v>
      </c>
      <c r="M2590" s="12" t="s">
        <v>36</v>
      </c>
      <c r="N2590" s="12" t="s">
        <v>36</v>
      </c>
      <c r="O2590" s="17" t="s">
        <v>36</v>
      </c>
      <c r="P2590" s="12" t="s">
        <v>36</v>
      </c>
      <c r="Q2590" s="12" t="s">
        <v>36</v>
      </c>
      <c r="R2590" s="12" t="s">
        <v>36</v>
      </c>
      <c r="S2590" s="12" t="s">
        <v>36</v>
      </c>
      <c r="T2590" s="12" t="s">
        <v>14150</v>
      </c>
      <c r="U2590" s="12" t="s">
        <v>728</v>
      </c>
      <c r="V2590" s="12" t="s">
        <v>64</v>
      </c>
      <c r="W2590" s="12" t="s">
        <v>14151</v>
      </c>
      <c r="X2590" s="16" t="s">
        <v>14152</v>
      </c>
      <c r="Y2590" s="15" t="s">
        <v>108</v>
      </c>
      <c r="Z2590" s="14">
        <v>0.3</v>
      </c>
      <c r="AA2590" s="14">
        <v>1</v>
      </c>
      <c r="AB2590" s="12" t="s">
        <v>56</v>
      </c>
      <c r="AC2590" s="12" t="s">
        <v>14153</v>
      </c>
      <c r="AD2590" s="13">
        <v>44562</v>
      </c>
      <c r="AE2590" s="12" t="s">
        <v>732</v>
      </c>
      <c r="AF2590" s="12" t="s">
        <v>571</v>
      </c>
      <c r="AG2590" s="12" t="s">
        <v>81</v>
      </c>
      <c r="AH2590" s="1">
        <f>HYPERLINK("https://my.pitchbook.com?c=166088-35T","View Company Online")</f>
      </c>
    </row>
    <row r="2591">
      <c r="A2591" s="3" t="s">
        <v>14154</v>
      </c>
      <c r="B2591" s="3" t="s">
        <v>14155</v>
      </c>
      <c r="C2591" s="5" t="s">
        <v>36</v>
      </c>
      <c r="D2591" s="5" t="s">
        <v>36</v>
      </c>
      <c r="E2591" s="5" t="s">
        <v>36</v>
      </c>
      <c r="F2591" s="5" t="s">
        <v>36</v>
      </c>
      <c r="G2591" s="6" t="s">
        <v>36</v>
      </c>
      <c r="H2591" s="4" t="s">
        <v>36</v>
      </c>
      <c r="I2591" s="7" t="s">
        <v>36</v>
      </c>
      <c r="J2591" s="3" t="s">
        <v>36</v>
      </c>
      <c r="K2591" s="9" t="s">
        <v>36</v>
      </c>
      <c r="L2591" s="6" t="s">
        <v>36</v>
      </c>
      <c r="M2591" s="3" t="s">
        <v>36</v>
      </c>
      <c r="N2591" s="3" t="s">
        <v>36</v>
      </c>
      <c r="O2591" s="8" t="s">
        <v>36</v>
      </c>
      <c r="P2591" s="3" t="s">
        <v>36</v>
      </c>
      <c r="Q2591" s="3" t="s">
        <v>36</v>
      </c>
      <c r="R2591" s="3" t="s">
        <v>36</v>
      </c>
      <c r="S2591" s="3" t="s">
        <v>36</v>
      </c>
      <c r="T2591" s="3" t="s">
        <v>14156</v>
      </c>
      <c r="U2591" s="3" t="s">
        <v>74</v>
      </c>
      <c r="V2591" s="3" t="s">
        <v>75</v>
      </c>
      <c r="W2591" s="3" t="s">
        <v>14157</v>
      </c>
      <c r="X2591" s="10" t="s">
        <v>14158</v>
      </c>
      <c r="Y2591" s="6" t="s">
        <v>108</v>
      </c>
      <c r="Z2591" s="4">
        <v>2.37</v>
      </c>
      <c r="AA2591" s="4" t="s">
        <v>36</v>
      </c>
      <c r="AB2591" s="3" t="s">
        <v>43</v>
      </c>
      <c r="AC2591" s="3" t="s">
        <v>14159</v>
      </c>
      <c r="AD2591" s="9">
        <v>44562</v>
      </c>
      <c r="AE2591" s="3" t="s">
        <v>79</v>
      </c>
      <c r="AF2591" s="3" t="s">
        <v>372</v>
      </c>
      <c r="AG2591" s="3" t="s">
        <v>47</v>
      </c>
      <c r="AH2591" s="11">
        <f>HYPERLINK("https://my.pitchbook.com?c=209630-71T","View Company Online")</f>
      </c>
    </row>
    <row r="2592">
      <c r="A2592" s="12" t="s">
        <v>14160</v>
      </c>
      <c r="B2592" s="12" t="s">
        <v>14161</v>
      </c>
      <c r="C2592" s="19" t="s">
        <v>36</v>
      </c>
      <c r="D2592" s="19" t="s">
        <v>36</v>
      </c>
      <c r="E2592" s="19" t="s">
        <v>36</v>
      </c>
      <c r="F2592" s="19" t="s">
        <v>36</v>
      </c>
      <c r="G2592" s="15" t="s">
        <v>36</v>
      </c>
      <c r="H2592" s="14" t="s">
        <v>36</v>
      </c>
      <c r="I2592" s="18" t="s">
        <v>36</v>
      </c>
      <c r="J2592" s="12" t="s">
        <v>36</v>
      </c>
      <c r="K2592" s="13" t="s">
        <v>36</v>
      </c>
      <c r="L2592" s="15" t="s">
        <v>36</v>
      </c>
      <c r="M2592" s="12" t="s">
        <v>36</v>
      </c>
      <c r="N2592" s="12" t="s">
        <v>36</v>
      </c>
      <c r="O2592" s="17" t="s">
        <v>36</v>
      </c>
      <c r="P2592" s="12" t="s">
        <v>36</v>
      </c>
      <c r="Q2592" s="12" t="s">
        <v>36</v>
      </c>
      <c r="R2592" s="12" t="s">
        <v>36</v>
      </c>
      <c r="S2592" s="12" t="s">
        <v>196</v>
      </c>
      <c r="T2592" s="12" t="s">
        <v>522</v>
      </c>
      <c r="U2592" s="12" t="s">
        <v>38</v>
      </c>
      <c r="V2592" s="12" t="s">
        <v>39</v>
      </c>
      <c r="W2592" s="12" t="s">
        <v>14162</v>
      </c>
      <c r="X2592" s="16" t="s">
        <v>221</v>
      </c>
      <c r="Y2592" s="15" t="s">
        <v>42</v>
      </c>
      <c r="Z2592" s="14" t="s">
        <v>36</v>
      </c>
      <c r="AA2592" s="14" t="s">
        <v>36</v>
      </c>
      <c r="AB2592" s="12" t="s">
        <v>43</v>
      </c>
      <c r="AC2592" s="12" t="s">
        <v>14163</v>
      </c>
      <c r="AD2592" s="13">
        <v>44562</v>
      </c>
      <c r="AE2592" s="12" t="s">
        <v>110</v>
      </c>
      <c r="AF2592" s="12" t="s">
        <v>111</v>
      </c>
      <c r="AG2592" s="12" t="s">
        <v>81</v>
      </c>
      <c r="AH2592" s="1">
        <f>HYPERLINK("https://my.pitchbook.com?c=204127-12T","View Company Online")</f>
      </c>
    </row>
    <row r="2593">
      <c r="A2593" s="3" t="s">
        <v>14164</v>
      </c>
      <c r="B2593" s="3" t="s">
        <v>8496</v>
      </c>
      <c r="C2593" s="5" t="s">
        <v>36</v>
      </c>
      <c r="D2593" s="5" t="s">
        <v>36</v>
      </c>
      <c r="E2593" s="5" t="s">
        <v>36</v>
      </c>
      <c r="F2593" s="5" t="s">
        <v>36</v>
      </c>
      <c r="G2593" s="6" t="s">
        <v>36</v>
      </c>
      <c r="H2593" s="4" t="s">
        <v>36</v>
      </c>
      <c r="I2593" s="7" t="s">
        <v>36</v>
      </c>
      <c r="J2593" s="3" t="s">
        <v>36</v>
      </c>
      <c r="K2593" s="9" t="s">
        <v>36</v>
      </c>
      <c r="L2593" s="6" t="s">
        <v>36</v>
      </c>
      <c r="M2593" s="3" t="s">
        <v>36</v>
      </c>
      <c r="N2593" s="3" t="s">
        <v>36</v>
      </c>
      <c r="O2593" s="8" t="s">
        <v>36</v>
      </c>
      <c r="P2593" s="3" t="s">
        <v>36</v>
      </c>
      <c r="Q2593" s="3" t="s">
        <v>36</v>
      </c>
      <c r="R2593" s="3" t="s">
        <v>36</v>
      </c>
      <c r="S2593" s="3" t="s">
        <v>36</v>
      </c>
      <c r="T2593" s="3" t="s">
        <v>8497</v>
      </c>
      <c r="U2593" s="3" t="s">
        <v>74</v>
      </c>
      <c r="V2593" s="3" t="s">
        <v>75</v>
      </c>
      <c r="W2593" s="3" t="s">
        <v>8498</v>
      </c>
      <c r="X2593" s="10" t="s">
        <v>9445</v>
      </c>
      <c r="Y2593" s="6" t="s">
        <v>55</v>
      </c>
      <c r="Z2593" s="4" t="s">
        <v>36</v>
      </c>
      <c r="AA2593" s="4" t="s">
        <v>36</v>
      </c>
      <c r="AB2593" s="3" t="s">
        <v>43</v>
      </c>
      <c r="AC2593" s="3" t="s">
        <v>8500</v>
      </c>
      <c r="AD2593" s="9">
        <v>44562</v>
      </c>
      <c r="AE2593" s="3" t="s">
        <v>79</v>
      </c>
      <c r="AF2593" s="3" t="s">
        <v>1115</v>
      </c>
      <c r="AG2593" s="3" t="s">
        <v>81</v>
      </c>
      <c r="AH2593" s="11">
        <f>HYPERLINK("https://my.pitchbook.com?c=223065-01T","View Company Online")</f>
      </c>
    </row>
    <row r="2594">
      <c r="A2594" s="12" t="s">
        <v>14165</v>
      </c>
      <c r="B2594" s="12" t="s">
        <v>14166</v>
      </c>
      <c r="C2594" s="19" t="s">
        <v>36</v>
      </c>
      <c r="D2594" s="19" t="s">
        <v>36</v>
      </c>
      <c r="E2594" s="19" t="s">
        <v>36</v>
      </c>
      <c r="F2594" s="19" t="s">
        <v>36</v>
      </c>
      <c r="G2594" s="15" t="s">
        <v>36</v>
      </c>
      <c r="H2594" s="14" t="s">
        <v>36</v>
      </c>
      <c r="I2594" s="18" t="s">
        <v>36</v>
      </c>
      <c r="J2594" s="12" t="s">
        <v>36</v>
      </c>
      <c r="K2594" s="13" t="s">
        <v>36</v>
      </c>
      <c r="L2594" s="15" t="s">
        <v>36</v>
      </c>
      <c r="M2594" s="12" t="s">
        <v>36</v>
      </c>
      <c r="N2594" s="12" t="s">
        <v>36</v>
      </c>
      <c r="O2594" s="17" t="s">
        <v>36</v>
      </c>
      <c r="P2594" s="12" t="s">
        <v>36</v>
      </c>
      <c r="Q2594" s="12" t="s">
        <v>36</v>
      </c>
      <c r="R2594" s="12" t="s">
        <v>36</v>
      </c>
      <c r="S2594" s="12" t="s">
        <v>36</v>
      </c>
      <c r="T2594" s="12" t="s">
        <v>14167</v>
      </c>
      <c r="U2594" s="12" t="s">
        <v>51</v>
      </c>
      <c r="V2594" s="12" t="s">
        <v>52</v>
      </c>
      <c r="W2594" s="12" t="s">
        <v>14168</v>
      </c>
      <c r="X2594" s="16" t="s">
        <v>1840</v>
      </c>
      <c r="Y2594" s="15" t="s">
        <v>55</v>
      </c>
      <c r="Z2594" s="14">
        <v>1.92</v>
      </c>
      <c r="AA2594" s="14" t="s">
        <v>36</v>
      </c>
      <c r="AB2594" s="12" t="s">
        <v>43</v>
      </c>
      <c r="AC2594" s="12" t="s">
        <v>14169</v>
      </c>
      <c r="AD2594" s="13">
        <v>44562</v>
      </c>
      <c r="AE2594" s="12" t="s">
        <v>158</v>
      </c>
      <c r="AF2594" s="12" t="s">
        <v>159</v>
      </c>
      <c r="AG2594" s="12" t="s">
        <v>81</v>
      </c>
      <c r="AH2594" s="1">
        <f>HYPERLINK("https://my.pitchbook.com?c=194967-46T","View Company Online")</f>
      </c>
    </row>
    <row r="2595">
      <c r="A2595" s="3" t="s">
        <v>14170</v>
      </c>
      <c r="B2595" s="3" t="s">
        <v>452</v>
      </c>
      <c r="C2595" s="5">
        <v>10</v>
      </c>
      <c r="D2595" s="5">
        <v>4</v>
      </c>
      <c r="E2595" s="5">
        <v>6</v>
      </c>
      <c r="F2595" s="5">
        <v>14</v>
      </c>
      <c r="G2595" s="6" t="s">
        <v>36</v>
      </c>
      <c r="H2595" s="4" t="s">
        <v>36</v>
      </c>
      <c r="I2595" s="7" t="s">
        <v>36</v>
      </c>
      <c r="J2595" s="3" t="s">
        <v>36</v>
      </c>
      <c r="K2595" s="9" t="s">
        <v>36</v>
      </c>
      <c r="L2595" s="6" t="s">
        <v>36</v>
      </c>
      <c r="M2595" s="3" t="s">
        <v>36</v>
      </c>
      <c r="N2595" s="3" t="s">
        <v>36</v>
      </c>
      <c r="O2595" s="8" t="s">
        <v>36</v>
      </c>
      <c r="P2595" s="3" t="s">
        <v>36</v>
      </c>
      <c r="Q2595" s="3" t="s">
        <v>36</v>
      </c>
      <c r="R2595" s="3" t="s">
        <v>36</v>
      </c>
      <c r="S2595" s="3" t="s">
        <v>453</v>
      </c>
      <c r="T2595" s="3" t="s">
        <v>454</v>
      </c>
      <c r="U2595" s="3" t="s">
        <v>455</v>
      </c>
      <c r="V2595" s="3" t="s">
        <v>367</v>
      </c>
      <c r="W2595" s="3" t="s">
        <v>456</v>
      </c>
      <c r="X2595" s="10" t="s">
        <v>980</v>
      </c>
      <c r="Y2595" s="6" t="s">
        <v>108</v>
      </c>
      <c r="Z2595" s="4" t="s">
        <v>36</v>
      </c>
      <c r="AA2595" s="4" t="s">
        <v>36</v>
      </c>
      <c r="AB2595" s="3" t="s">
        <v>43</v>
      </c>
      <c r="AC2595" s="3" t="s">
        <v>458</v>
      </c>
      <c r="AD2595" s="9">
        <v>44562</v>
      </c>
      <c r="AE2595" s="3" t="s">
        <v>459</v>
      </c>
      <c r="AF2595" s="3" t="s">
        <v>460</v>
      </c>
      <c r="AG2595" s="3" t="s">
        <v>461</v>
      </c>
      <c r="AH2595" s="11">
        <f>HYPERLINK("https://my.pitchbook.com?c=214157-98T","View Company Online")</f>
      </c>
    </row>
    <row r="2596">
      <c r="A2596" s="12" t="s">
        <v>14171</v>
      </c>
      <c r="B2596" s="12" t="s">
        <v>14172</v>
      </c>
      <c r="C2596" s="19" t="s">
        <v>36</v>
      </c>
      <c r="D2596" s="19" t="s">
        <v>36</v>
      </c>
      <c r="E2596" s="19" t="s">
        <v>36</v>
      </c>
      <c r="F2596" s="19" t="s">
        <v>36</v>
      </c>
      <c r="G2596" s="15" t="s">
        <v>36</v>
      </c>
      <c r="H2596" s="14" t="s">
        <v>36</v>
      </c>
      <c r="I2596" s="18" t="s">
        <v>36</v>
      </c>
      <c r="J2596" s="12" t="s">
        <v>36</v>
      </c>
      <c r="K2596" s="13" t="s">
        <v>36</v>
      </c>
      <c r="L2596" s="15" t="s">
        <v>36</v>
      </c>
      <c r="M2596" s="12" t="s">
        <v>36</v>
      </c>
      <c r="N2596" s="12" t="s">
        <v>36</v>
      </c>
      <c r="O2596" s="17" t="s">
        <v>36</v>
      </c>
      <c r="P2596" s="12" t="s">
        <v>36</v>
      </c>
      <c r="Q2596" s="12" t="s">
        <v>36</v>
      </c>
      <c r="R2596" s="12" t="s">
        <v>36</v>
      </c>
      <c r="S2596" s="12" t="s">
        <v>36</v>
      </c>
      <c r="T2596" s="12" t="s">
        <v>1701</v>
      </c>
      <c r="U2596" s="12" t="s">
        <v>74</v>
      </c>
      <c r="V2596" s="12" t="s">
        <v>75</v>
      </c>
      <c r="W2596" s="12" t="s">
        <v>14173</v>
      </c>
      <c r="X2596" s="16" t="s">
        <v>2329</v>
      </c>
      <c r="Y2596" s="15" t="s">
        <v>42</v>
      </c>
      <c r="Z2596" s="14" t="s">
        <v>36</v>
      </c>
      <c r="AA2596" s="14" t="s">
        <v>36</v>
      </c>
      <c r="AB2596" s="12" t="s">
        <v>56</v>
      </c>
      <c r="AC2596" s="12" t="s">
        <v>14174</v>
      </c>
      <c r="AD2596" s="13">
        <v>44562</v>
      </c>
      <c r="AE2596" s="12" t="s">
        <v>79</v>
      </c>
      <c r="AF2596" s="12" t="s">
        <v>14175</v>
      </c>
      <c r="AG2596" s="12" t="s">
        <v>81</v>
      </c>
      <c r="AH2596" s="1">
        <f>HYPERLINK("https://my.pitchbook.com?c=232854-85T","View Company Online")</f>
      </c>
    </row>
    <row r="2597">
      <c r="A2597" s="3" t="s">
        <v>14176</v>
      </c>
      <c r="B2597" s="3" t="s">
        <v>14177</v>
      </c>
      <c r="C2597" s="5" t="s">
        <v>36</v>
      </c>
      <c r="D2597" s="5" t="s">
        <v>36</v>
      </c>
      <c r="E2597" s="5" t="s">
        <v>36</v>
      </c>
      <c r="F2597" s="5" t="s">
        <v>36</v>
      </c>
      <c r="G2597" s="6" t="s">
        <v>36</v>
      </c>
      <c r="H2597" s="4">
        <v>190.06</v>
      </c>
      <c r="I2597" s="7">
        <v>62.32</v>
      </c>
      <c r="J2597" s="3" t="s">
        <v>36</v>
      </c>
      <c r="K2597" s="9" t="s">
        <v>36</v>
      </c>
      <c r="L2597" s="6" t="s">
        <v>36</v>
      </c>
      <c r="M2597" s="3" t="s">
        <v>36</v>
      </c>
      <c r="N2597" s="3" t="s">
        <v>36</v>
      </c>
      <c r="O2597" s="8" t="s">
        <v>36</v>
      </c>
      <c r="P2597" s="3" t="s">
        <v>36</v>
      </c>
      <c r="Q2597" s="3" t="s">
        <v>36</v>
      </c>
      <c r="R2597" s="3" t="s">
        <v>36</v>
      </c>
      <c r="S2597" s="3" t="s">
        <v>36</v>
      </c>
      <c r="T2597" s="3" t="s">
        <v>14178</v>
      </c>
      <c r="U2597" s="3" t="s">
        <v>1082</v>
      </c>
      <c r="V2597" s="3" t="s">
        <v>378</v>
      </c>
      <c r="W2597" s="3" t="s">
        <v>14179</v>
      </c>
      <c r="X2597" s="10" t="s">
        <v>14180</v>
      </c>
      <c r="Y2597" s="6" t="s">
        <v>55</v>
      </c>
      <c r="Z2597" s="4">
        <v>9.04</v>
      </c>
      <c r="AA2597" s="4" t="s">
        <v>36</v>
      </c>
      <c r="AB2597" s="3" t="s">
        <v>43</v>
      </c>
      <c r="AC2597" s="3" t="s">
        <v>14181</v>
      </c>
      <c r="AD2597" s="9">
        <v>44562</v>
      </c>
      <c r="AE2597" s="3" t="s">
        <v>1086</v>
      </c>
      <c r="AF2597" s="3" t="s">
        <v>159</v>
      </c>
      <c r="AG2597" s="3" t="s">
        <v>652</v>
      </c>
      <c r="AH2597" s="11">
        <f>HYPERLINK("https://my.pitchbook.com?c=210739-15T","View Company Online")</f>
      </c>
    </row>
    <row r="2598">
      <c r="A2598" s="12" t="s">
        <v>14182</v>
      </c>
      <c r="B2598" s="12" t="s">
        <v>14183</v>
      </c>
      <c r="C2598" s="19" t="s">
        <v>36</v>
      </c>
      <c r="D2598" s="19" t="s">
        <v>36</v>
      </c>
      <c r="E2598" s="19" t="s">
        <v>36</v>
      </c>
      <c r="F2598" s="19" t="s">
        <v>36</v>
      </c>
      <c r="G2598" s="15" t="s">
        <v>36</v>
      </c>
      <c r="H2598" s="14" t="s">
        <v>36</v>
      </c>
      <c r="I2598" s="18" t="s">
        <v>36</v>
      </c>
      <c r="J2598" s="12" t="s">
        <v>36</v>
      </c>
      <c r="K2598" s="13" t="s">
        <v>36</v>
      </c>
      <c r="L2598" s="15" t="s">
        <v>36</v>
      </c>
      <c r="M2598" s="12" t="s">
        <v>36</v>
      </c>
      <c r="N2598" s="12" t="s">
        <v>36</v>
      </c>
      <c r="O2598" s="17" t="s">
        <v>36</v>
      </c>
      <c r="P2598" s="12" t="s">
        <v>36</v>
      </c>
      <c r="Q2598" s="12" t="s">
        <v>36</v>
      </c>
      <c r="R2598" s="12" t="s">
        <v>36</v>
      </c>
      <c r="S2598" s="12" t="s">
        <v>36</v>
      </c>
      <c r="T2598" s="12" t="s">
        <v>14184</v>
      </c>
      <c r="U2598" s="12" t="s">
        <v>74</v>
      </c>
      <c r="V2598" s="12" t="s">
        <v>75</v>
      </c>
      <c r="W2598" s="12" t="s">
        <v>14185</v>
      </c>
      <c r="X2598" s="16" t="s">
        <v>613</v>
      </c>
      <c r="Y2598" s="15" t="s">
        <v>42</v>
      </c>
      <c r="Z2598" s="14" t="s">
        <v>36</v>
      </c>
      <c r="AA2598" s="14" t="s">
        <v>36</v>
      </c>
      <c r="AB2598" s="12" t="s">
        <v>43</v>
      </c>
      <c r="AC2598" s="12" t="s">
        <v>14186</v>
      </c>
      <c r="AD2598" s="13">
        <v>44562</v>
      </c>
      <c r="AE2598" s="12" t="s">
        <v>79</v>
      </c>
      <c r="AF2598" s="12" t="s">
        <v>8256</v>
      </c>
      <c r="AG2598" s="12" t="s">
        <v>347</v>
      </c>
      <c r="AH2598" s="1">
        <f>HYPERLINK("https://my.pitchbook.com?c=190482-49T","View Company Online")</f>
      </c>
    </row>
    <row r="2599">
      <c r="A2599" s="3" t="s">
        <v>14187</v>
      </c>
      <c r="B2599" s="3" t="s">
        <v>14188</v>
      </c>
      <c r="C2599" s="5" t="s">
        <v>36</v>
      </c>
      <c r="D2599" s="5" t="s">
        <v>36</v>
      </c>
      <c r="E2599" s="5" t="s">
        <v>36</v>
      </c>
      <c r="F2599" s="5" t="s">
        <v>36</v>
      </c>
      <c r="G2599" s="6" t="s">
        <v>36</v>
      </c>
      <c r="H2599" s="4" t="s">
        <v>36</v>
      </c>
      <c r="I2599" s="7" t="s">
        <v>36</v>
      </c>
      <c r="J2599" s="3" t="s">
        <v>36</v>
      </c>
      <c r="K2599" s="9" t="s">
        <v>36</v>
      </c>
      <c r="L2599" s="6" t="s">
        <v>36</v>
      </c>
      <c r="M2599" s="3" t="s">
        <v>36</v>
      </c>
      <c r="N2599" s="3" t="s">
        <v>36</v>
      </c>
      <c r="O2599" s="8" t="s">
        <v>36</v>
      </c>
      <c r="P2599" s="3" t="s">
        <v>36</v>
      </c>
      <c r="Q2599" s="3" t="s">
        <v>36</v>
      </c>
      <c r="R2599" s="3" t="s">
        <v>36</v>
      </c>
      <c r="S2599" s="3" t="s">
        <v>36</v>
      </c>
      <c r="T2599" s="3" t="s">
        <v>14189</v>
      </c>
      <c r="U2599" s="3" t="s">
        <v>38</v>
      </c>
      <c r="V2599" s="3" t="s">
        <v>39</v>
      </c>
      <c r="W2599" s="3" t="s">
        <v>14190</v>
      </c>
      <c r="X2599" s="10" t="s">
        <v>14191</v>
      </c>
      <c r="Y2599" s="6" t="s">
        <v>42</v>
      </c>
      <c r="Z2599" s="4" t="s">
        <v>36</v>
      </c>
      <c r="AA2599" s="4" t="s">
        <v>36</v>
      </c>
      <c r="AB2599" s="3" t="s">
        <v>43</v>
      </c>
      <c r="AC2599" s="3" t="s">
        <v>14192</v>
      </c>
      <c r="AD2599" s="9">
        <v>44562</v>
      </c>
      <c r="AE2599" s="3" t="s">
        <v>110</v>
      </c>
      <c r="AF2599" s="3" t="s">
        <v>275</v>
      </c>
      <c r="AG2599" s="3" t="s">
        <v>81</v>
      </c>
      <c r="AH2599" s="11">
        <f>HYPERLINK("https://my.pitchbook.com?c=204141-34T","View Company Online")</f>
      </c>
    </row>
    <row r="2600">
      <c r="A2600" s="12" t="s">
        <v>14193</v>
      </c>
      <c r="B2600" s="12" t="s">
        <v>14194</v>
      </c>
      <c r="C2600" s="19" t="s">
        <v>36</v>
      </c>
      <c r="D2600" s="19" t="s">
        <v>36</v>
      </c>
      <c r="E2600" s="19" t="s">
        <v>36</v>
      </c>
      <c r="F2600" s="19" t="s">
        <v>36</v>
      </c>
      <c r="G2600" s="15" t="s">
        <v>36</v>
      </c>
      <c r="H2600" s="14" t="s">
        <v>36</v>
      </c>
      <c r="I2600" s="18" t="s">
        <v>36</v>
      </c>
      <c r="J2600" s="12" t="s">
        <v>36</v>
      </c>
      <c r="K2600" s="13" t="s">
        <v>36</v>
      </c>
      <c r="L2600" s="15" t="s">
        <v>36</v>
      </c>
      <c r="M2600" s="12" t="s">
        <v>36</v>
      </c>
      <c r="N2600" s="12" t="s">
        <v>36</v>
      </c>
      <c r="O2600" s="17" t="s">
        <v>36</v>
      </c>
      <c r="P2600" s="12" t="s">
        <v>36</v>
      </c>
      <c r="Q2600" s="12" t="s">
        <v>36</v>
      </c>
      <c r="R2600" s="12" t="s">
        <v>36</v>
      </c>
      <c r="S2600" s="12" t="s">
        <v>36</v>
      </c>
      <c r="T2600" s="12" t="s">
        <v>14195</v>
      </c>
      <c r="U2600" s="12" t="s">
        <v>1357</v>
      </c>
      <c r="V2600" s="12" t="s">
        <v>52</v>
      </c>
      <c r="W2600" s="12" t="s">
        <v>14196</v>
      </c>
      <c r="X2600" s="16" t="s">
        <v>2869</v>
      </c>
      <c r="Y2600" s="15" t="s">
        <v>42</v>
      </c>
      <c r="Z2600" s="14" t="s">
        <v>36</v>
      </c>
      <c r="AA2600" s="14" t="s">
        <v>36</v>
      </c>
      <c r="AB2600" s="12" t="s">
        <v>43</v>
      </c>
      <c r="AC2600" s="12" t="s">
        <v>14197</v>
      </c>
      <c r="AD2600" s="13">
        <v>44562</v>
      </c>
      <c r="AE2600" s="12" t="s">
        <v>2808</v>
      </c>
      <c r="AF2600" s="12" t="s">
        <v>36</v>
      </c>
      <c r="AG2600" s="12" t="s">
        <v>14198</v>
      </c>
      <c r="AH2600" s="1">
        <f>HYPERLINK("https://my.pitchbook.com?c=226027-81T","View Company Online")</f>
      </c>
    </row>
    <row r="2601">
      <c r="A2601" s="3" t="s">
        <v>14199</v>
      </c>
      <c r="B2601" s="3" t="s">
        <v>14200</v>
      </c>
      <c r="C2601" s="5" t="s">
        <v>36</v>
      </c>
      <c r="D2601" s="5" t="s">
        <v>36</v>
      </c>
      <c r="E2601" s="5" t="s">
        <v>36</v>
      </c>
      <c r="F2601" s="5" t="s">
        <v>36</v>
      </c>
      <c r="G2601" s="6" t="s">
        <v>36</v>
      </c>
      <c r="H2601" s="4" t="s">
        <v>36</v>
      </c>
      <c r="I2601" s="7" t="s">
        <v>36</v>
      </c>
      <c r="J2601" s="3" t="s">
        <v>36</v>
      </c>
      <c r="K2601" s="9" t="s">
        <v>36</v>
      </c>
      <c r="L2601" s="6" t="s">
        <v>36</v>
      </c>
      <c r="M2601" s="3" t="s">
        <v>36</v>
      </c>
      <c r="N2601" s="3" t="s">
        <v>36</v>
      </c>
      <c r="O2601" s="8" t="s">
        <v>36</v>
      </c>
      <c r="P2601" s="3" t="s">
        <v>36</v>
      </c>
      <c r="Q2601" s="3" t="s">
        <v>36</v>
      </c>
      <c r="R2601" s="3" t="s">
        <v>36</v>
      </c>
      <c r="S2601" s="3" t="s">
        <v>36</v>
      </c>
      <c r="T2601" s="3" t="s">
        <v>105</v>
      </c>
      <c r="U2601" s="3" t="s">
        <v>38</v>
      </c>
      <c r="V2601" s="3" t="s">
        <v>39</v>
      </c>
      <c r="W2601" s="3" t="s">
        <v>14201</v>
      </c>
      <c r="X2601" s="10" t="s">
        <v>14202</v>
      </c>
      <c r="Y2601" s="6" t="s">
        <v>42</v>
      </c>
      <c r="Z2601" s="4" t="s">
        <v>36</v>
      </c>
      <c r="AA2601" s="4" t="s">
        <v>36</v>
      </c>
      <c r="AB2601" s="3" t="s">
        <v>43</v>
      </c>
      <c r="AC2601" s="3" t="s">
        <v>14203</v>
      </c>
      <c r="AD2601" s="9">
        <v>44562</v>
      </c>
      <c r="AE2601" s="3" t="s">
        <v>110</v>
      </c>
      <c r="AF2601" s="3" t="s">
        <v>14204</v>
      </c>
      <c r="AG2601" s="3" t="s">
        <v>8821</v>
      </c>
      <c r="AH2601" s="11">
        <f>HYPERLINK("https://my.pitchbook.com?c=193096-18T","View Company Online")</f>
      </c>
    </row>
    <row r="2602">
      <c r="A2602" s="12" t="s">
        <v>14205</v>
      </c>
      <c r="B2602" s="12" t="s">
        <v>7125</v>
      </c>
      <c r="C2602" s="19" t="s">
        <v>36</v>
      </c>
      <c r="D2602" s="19" t="s">
        <v>36</v>
      </c>
      <c r="E2602" s="19" t="s">
        <v>36</v>
      </c>
      <c r="F2602" s="19" t="s">
        <v>36</v>
      </c>
      <c r="G2602" s="15" t="s">
        <v>36</v>
      </c>
      <c r="H2602" s="14" t="s">
        <v>36</v>
      </c>
      <c r="I2602" s="18" t="s">
        <v>36</v>
      </c>
      <c r="J2602" s="12" t="s">
        <v>36</v>
      </c>
      <c r="K2602" s="13" t="s">
        <v>36</v>
      </c>
      <c r="L2602" s="15" t="s">
        <v>36</v>
      </c>
      <c r="M2602" s="12" t="s">
        <v>36</v>
      </c>
      <c r="N2602" s="12" t="s">
        <v>36</v>
      </c>
      <c r="O2602" s="17" t="s">
        <v>36</v>
      </c>
      <c r="P2602" s="12" t="s">
        <v>36</v>
      </c>
      <c r="Q2602" s="12" t="s">
        <v>36</v>
      </c>
      <c r="R2602" s="12" t="s">
        <v>36</v>
      </c>
      <c r="S2602" s="12" t="s">
        <v>36</v>
      </c>
      <c r="T2602" s="12" t="s">
        <v>7126</v>
      </c>
      <c r="U2602" s="12" t="s">
        <v>38</v>
      </c>
      <c r="V2602" s="12" t="s">
        <v>39</v>
      </c>
      <c r="W2602" s="12" t="s">
        <v>7127</v>
      </c>
      <c r="X2602" s="16" t="s">
        <v>14206</v>
      </c>
      <c r="Y2602" s="15" t="s">
        <v>42</v>
      </c>
      <c r="Z2602" s="14" t="s">
        <v>36</v>
      </c>
      <c r="AA2602" s="14" t="s">
        <v>36</v>
      </c>
      <c r="AB2602" s="12" t="s">
        <v>56</v>
      </c>
      <c r="AC2602" s="12" t="s">
        <v>7129</v>
      </c>
      <c r="AD2602" s="13">
        <v>44562</v>
      </c>
      <c r="AE2602" s="12" t="s">
        <v>110</v>
      </c>
      <c r="AF2602" s="12" t="s">
        <v>1889</v>
      </c>
      <c r="AG2602" s="12" t="s">
        <v>47</v>
      </c>
      <c r="AH2602" s="1">
        <f>HYPERLINK("https://my.pitchbook.com?c=267493-69T","View Company Online")</f>
      </c>
    </row>
    <row r="2603">
      <c r="A2603" s="3" t="s">
        <v>14207</v>
      </c>
      <c r="B2603" s="3" t="s">
        <v>2536</v>
      </c>
      <c r="C2603" s="5">
        <v>33</v>
      </c>
      <c r="D2603" s="5">
        <v>6</v>
      </c>
      <c r="E2603" s="5">
        <v>24</v>
      </c>
      <c r="F2603" s="5">
        <v>44</v>
      </c>
      <c r="G2603" s="6" t="s">
        <v>683</v>
      </c>
      <c r="H2603" s="4">
        <v>1542.16</v>
      </c>
      <c r="I2603" s="7">
        <v>9.98</v>
      </c>
      <c r="J2603" s="3" t="s">
        <v>521</v>
      </c>
      <c r="K2603" s="9" t="s">
        <v>36</v>
      </c>
      <c r="L2603" s="6" t="s">
        <v>36</v>
      </c>
      <c r="M2603" s="3" t="s">
        <v>36</v>
      </c>
      <c r="N2603" s="3" t="s">
        <v>36</v>
      </c>
      <c r="O2603" s="8" t="s">
        <v>36</v>
      </c>
      <c r="P2603" s="3" t="s">
        <v>36</v>
      </c>
      <c r="Q2603" s="3" t="s">
        <v>36</v>
      </c>
      <c r="R2603" s="3" t="s">
        <v>36</v>
      </c>
      <c r="S2603" s="3" t="s">
        <v>2537</v>
      </c>
      <c r="T2603" s="3" t="s">
        <v>2538</v>
      </c>
      <c r="U2603" s="3" t="s">
        <v>318</v>
      </c>
      <c r="V2603" s="3" t="s">
        <v>39</v>
      </c>
      <c r="W2603" s="3" t="s">
        <v>2539</v>
      </c>
      <c r="X2603" s="10" t="s">
        <v>14208</v>
      </c>
      <c r="Y2603" s="6" t="s">
        <v>166</v>
      </c>
      <c r="Z2603" s="4">
        <v>9.38</v>
      </c>
      <c r="AA2603" s="4">
        <v>94</v>
      </c>
      <c r="AB2603" s="3" t="s">
        <v>43</v>
      </c>
      <c r="AC2603" s="3" t="s">
        <v>2541</v>
      </c>
      <c r="AD2603" s="9">
        <v>44562</v>
      </c>
      <c r="AE2603" s="3" t="s">
        <v>417</v>
      </c>
      <c r="AF2603" s="3" t="s">
        <v>275</v>
      </c>
      <c r="AG2603" s="3" t="s">
        <v>2542</v>
      </c>
      <c r="AH2603" s="11">
        <f>HYPERLINK("https://my.pitchbook.com?c=213614-83T","View Company Online")</f>
      </c>
    </row>
    <row r="2604">
      <c r="A2604" s="12" t="s">
        <v>14209</v>
      </c>
      <c r="B2604" s="12" t="s">
        <v>14210</v>
      </c>
      <c r="C2604" s="19" t="s">
        <v>36</v>
      </c>
      <c r="D2604" s="19" t="s">
        <v>36</v>
      </c>
      <c r="E2604" s="19" t="s">
        <v>36</v>
      </c>
      <c r="F2604" s="19" t="s">
        <v>36</v>
      </c>
      <c r="G2604" s="15" t="s">
        <v>36</v>
      </c>
      <c r="H2604" s="14" t="s">
        <v>36</v>
      </c>
      <c r="I2604" s="18" t="s">
        <v>36</v>
      </c>
      <c r="J2604" s="12" t="s">
        <v>36</v>
      </c>
      <c r="K2604" s="13" t="s">
        <v>36</v>
      </c>
      <c r="L2604" s="15" t="s">
        <v>36</v>
      </c>
      <c r="M2604" s="12" t="s">
        <v>36</v>
      </c>
      <c r="N2604" s="12" t="s">
        <v>36</v>
      </c>
      <c r="O2604" s="17" t="s">
        <v>36</v>
      </c>
      <c r="P2604" s="12" t="s">
        <v>36</v>
      </c>
      <c r="Q2604" s="12" t="s">
        <v>36</v>
      </c>
      <c r="R2604" s="12" t="s">
        <v>36</v>
      </c>
      <c r="S2604" s="12" t="s">
        <v>36</v>
      </c>
      <c r="T2604" s="12" t="s">
        <v>1260</v>
      </c>
      <c r="U2604" s="12" t="s">
        <v>38</v>
      </c>
      <c r="V2604" s="12" t="s">
        <v>39</v>
      </c>
      <c r="W2604" s="12" t="s">
        <v>14211</v>
      </c>
      <c r="X2604" s="16" t="s">
        <v>14212</v>
      </c>
      <c r="Y2604" s="15" t="s">
        <v>42</v>
      </c>
      <c r="Z2604" s="14" t="s">
        <v>36</v>
      </c>
      <c r="AA2604" s="14" t="s">
        <v>36</v>
      </c>
      <c r="AB2604" s="12" t="s">
        <v>43</v>
      </c>
      <c r="AC2604" s="12" t="s">
        <v>14213</v>
      </c>
      <c r="AD2604" s="13">
        <v>44562</v>
      </c>
      <c r="AE2604" s="12" t="s">
        <v>110</v>
      </c>
      <c r="AF2604" s="12" t="s">
        <v>14214</v>
      </c>
      <c r="AG2604" s="12" t="s">
        <v>741</v>
      </c>
      <c r="AH2604" s="1">
        <f>HYPERLINK("https://my.pitchbook.com?c=201094-30T","View Company Online")</f>
      </c>
    </row>
    <row r="2605">
      <c r="A2605" s="3" t="s">
        <v>14215</v>
      </c>
      <c r="B2605" s="3" t="s">
        <v>14216</v>
      </c>
      <c r="C2605" s="5" t="s">
        <v>36</v>
      </c>
      <c r="D2605" s="5" t="s">
        <v>36</v>
      </c>
      <c r="E2605" s="5" t="s">
        <v>36</v>
      </c>
      <c r="F2605" s="5" t="s">
        <v>36</v>
      </c>
      <c r="G2605" s="6" t="s">
        <v>36</v>
      </c>
      <c r="H2605" s="4" t="s">
        <v>36</v>
      </c>
      <c r="I2605" s="7" t="s">
        <v>36</v>
      </c>
      <c r="J2605" s="3" t="s">
        <v>36</v>
      </c>
      <c r="K2605" s="9" t="s">
        <v>36</v>
      </c>
      <c r="L2605" s="6" t="s">
        <v>36</v>
      </c>
      <c r="M2605" s="3" t="s">
        <v>36</v>
      </c>
      <c r="N2605" s="3" t="s">
        <v>36</v>
      </c>
      <c r="O2605" s="8" t="s">
        <v>36</v>
      </c>
      <c r="P2605" s="3" t="s">
        <v>36</v>
      </c>
      <c r="Q2605" s="3" t="s">
        <v>36</v>
      </c>
      <c r="R2605" s="3" t="s">
        <v>36</v>
      </c>
      <c r="S2605" s="3" t="s">
        <v>36</v>
      </c>
      <c r="T2605" s="3" t="s">
        <v>1560</v>
      </c>
      <c r="U2605" s="3" t="s">
        <v>438</v>
      </c>
      <c r="V2605" s="3" t="s">
        <v>405</v>
      </c>
      <c r="W2605" s="3" t="s">
        <v>14217</v>
      </c>
      <c r="X2605" s="10" t="s">
        <v>14218</v>
      </c>
      <c r="Y2605" s="6" t="s">
        <v>42</v>
      </c>
      <c r="Z2605" s="4" t="s">
        <v>36</v>
      </c>
      <c r="AA2605" s="4" t="s">
        <v>36</v>
      </c>
      <c r="AB2605" s="3" t="s">
        <v>43</v>
      </c>
      <c r="AC2605" s="3" t="s">
        <v>14219</v>
      </c>
      <c r="AD2605" s="9">
        <v>44562</v>
      </c>
      <c r="AE2605" s="3" t="s">
        <v>438</v>
      </c>
      <c r="AF2605" s="3" t="s">
        <v>799</v>
      </c>
      <c r="AG2605" s="3" t="s">
        <v>81</v>
      </c>
      <c r="AH2605" s="11">
        <f>HYPERLINK("https://my.pitchbook.com?c=220159-99T","View Company Online")</f>
      </c>
    </row>
    <row r="2606">
      <c r="A2606" s="12" t="s">
        <v>14220</v>
      </c>
      <c r="B2606" s="12" t="s">
        <v>12638</v>
      </c>
      <c r="C2606" s="19" t="s">
        <v>36</v>
      </c>
      <c r="D2606" s="19" t="s">
        <v>36</v>
      </c>
      <c r="E2606" s="19" t="s">
        <v>36</v>
      </c>
      <c r="F2606" s="19" t="s">
        <v>36</v>
      </c>
      <c r="G2606" s="15" t="s">
        <v>36</v>
      </c>
      <c r="H2606" s="14" t="s">
        <v>36</v>
      </c>
      <c r="I2606" s="18" t="s">
        <v>36</v>
      </c>
      <c r="J2606" s="12" t="s">
        <v>36</v>
      </c>
      <c r="K2606" s="13">
        <v>44369</v>
      </c>
      <c r="L2606" s="15" t="s">
        <v>122</v>
      </c>
      <c r="M2606" s="12" t="s">
        <v>36</v>
      </c>
      <c r="N2606" s="12" t="s">
        <v>122</v>
      </c>
      <c r="O2606" s="17" t="s">
        <v>36</v>
      </c>
      <c r="P2606" s="12" t="s">
        <v>36</v>
      </c>
      <c r="Q2606" s="12" t="s">
        <v>36</v>
      </c>
      <c r="R2606" s="12" t="s">
        <v>36</v>
      </c>
      <c r="S2606" s="12" t="s">
        <v>36</v>
      </c>
      <c r="T2606" s="12" t="s">
        <v>6159</v>
      </c>
      <c r="U2606" s="12" t="s">
        <v>648</v>
      </c>
      <c r="V2606" s="12" t="s">
        <v>64</v>
      </c>
      <c r="W2606" s="12" t="s">
        <v>12639</v>
      </c>
      <c r="X2606" s="16" t="s">
        <v>14221</v>
      </c>
      <c r="Y2606" s="15" t="s">
        <v>108</v>
      </c>
      <c r="Z2606" s="14">
        <v>3.39</v>
      </c>
      <c r="AA2606" s="14" t="s">
        <v>36</v>
      </c>
      <c r="AB2606" s="12" t="s">
        <v>43</v>
      </c>
      <c r="AC2606" s="12" t="s">
        <v>12641</v>
      </c>
      <c r="AD2606" s="13">
        <v>44562</v>
      </c>
      <c r="AE2606" s="12" t="s">
        <v>3988</v>
      </c>
      <c r="AF2606" s="12" t="s">
        <v>4284</v>
      </c>
      <c r="AG2606" s="12" t="s">
        <v>81</v>
      </c>
      <c r="AH2606" s="1">
        <f>HYPERLINK("https://my.pitchbook.com?c=174910-24T","View Company Online")</f>
      </c>
    </row>
    <row r="2607">
      <c r="A2607" s="3" t="s">
        <v>14222</v>
      </c>
      <c r="B2607" s="3" t="s">
        <v>7835</v>
      </c>
      <c r="C2607" s="5" t="s">
        <v>36</v>
      </c>
      <c r="D2607" s="5" t="s">
        <v>36</v>
      </c>
      <c r="E2607" s="5" t="s">
        <v>36</v>
      </c>
      <c r="F2607" s="5" t="s">
        <v>36</v>
      </c>
      <c r="G2607" s="6" t="s">
        <v>36</v>
      </c>
      <c r="H2607" s="4" t="s">
        <v>36</v>
      </c>
      <c r="I2607" s="7" t="s">
        <v>36</v>
      </c>
      <c r="J2607" s="3" t="s">
        <v>36</v>
      </c>
      <c r="K2607" s="9" t="s">
        <v>36</v>
      </c>
      <c r="L2607" s="6" t="s">
        <v>36</v>
      </c>
      <c r="M2607" s="3" t="s">
        <v>36</v>
      </c>
      <c r="N2607" s="3" t="s">
        <v>36</v>
      </c>
      <c r="O2607" s="8" t="s">
        <v>36</v>
      </c>
      <c r="P2607" s="3" t="s">
        <v>36</v>
      </c>
      <c r="Q2607" s="3" t="s">
        <v>36</v>
      </c>
      <c r="R2607" s="3" t="s">
        <v>36</v>
      </c>
      <c r="S2607" s="3" t="s">
        <v>36</v>
      </c>
      <c r="T2607" s="3" t="s">
        <v>4917</v>
      </c>
      <c r="U2607" s="3" t="s">
        <v>38</v>
      </c>
      <c r="V2607" s="3" t="s">
        <v>39</v>
      </c>
      <c r="W2607" s="3" t="s">
        <v>7836</v>
      </c>
      <c r="X2607" s="10" t="s">
        <v>9513</v>
      </c>
      <c r="Y2607" s="6" t="s">
        <v>55</v>
      </c>
      <c r="Z2607" s="4" t="s">
        <v>36</v>
      </c>
      <c r="AA2607" s="4" t="s">
        <v>36</v>
      </c>
      <c r="AB2607" s="3" t="s">
        <v>56</v>
      </c>
      <c r="AC2607" s="3" t="s">
        <v>7838</v>
      </c>
      <c r="AD2607" s="9">
        <v>44562</v>
      </c>
      <c r="AE2607" s="3" t="s">
        <v>134</v>
      </c>
      <c r="AF2607" s="3" t="s">
        <v>135</v>
      </c>
      <c r="AG2607" s="3" t="s">
        <v>1078</v>
      </c>
      <c r="AH2607" s="11">
        <f>HYPERLINK("https://my.pitchbook.com?c=206805-88T","View Company Online")</f>
      </c>
    </row>
    <row r="2608">
      <c r="A2608" s="12" t="s">
        <v>14223</v>
      </c>
      <c r="B2608" s="12" t="s">
        <v>14224</v>
      </c>
      <c r="C2608" s="19">
        <v>3</v>
      </c>
      <c r="D2608" s="19">
        <v>12</v>
      </c>
      <c r="E2608" s="19">
        <v>2</v>
      </c>
      <c r="F2608" s="19">
        <v>17</v>
      </c>
      <c r="G2608" s="15" t="s">
        <v>36</v>
      </c>
      <c r="H2608" s="14" t="s">
        <v>36</v>
      </c>
      <c r="I2608" s="18" t="s">
        <v>36</v>
      </c>
      <c r="J2608" s="12" t="s">
        <v>36</v>
      </c>
      <c r="K2608" s="13" t="s">
        <v>36</v>
      </c>
      <c r="L2608" s="15" t="s">
        <v>36</v>
      </c>
      <c r="M2608" s="12" t="s">
        <v>36</v>
      </c>
      <c r="N2608" s="12" t="s">
        <v>36</v>
      </c>
      <c r="O2608" s="17" t="s">
        <v>36</v>
      </c>
      <c r="P2608" s="12" t="s">
        <v>36</v>
      </c>
      <c r="Q2608" s="12" t="s">
        <v>36</v>
      </c>
      <c r="R2608" s="12" t="s">
        <v>36</v>
      </c>
      <c r="S2608" s="12" t="s">
        <v>36</v>
      </c>
      <c r="T2608" s="12" t="s">
        <v>14225</v>
      </c>
      <c r="U2608" s="12" t="s">
        <v>96</v>
      </c>
      <c r="V2608" s="12" t="s">
        <v>52</v>
      </c>
      <c r="W2608" s="12" t="s">
        <v>14226</v>
      </c>
      <c r="X2608" s="16" t="s">
        <v>14227</v>
      </c>
      <c r="Y2608" s="15" t="s">
        <v>55</v>
      </c>
      <c r="Z2608" s="14" t="s">
        <v>36</v>
      </c>
      <c r="AA2608" s="14" t="s">
        <v>36</v>
      </c>
      <c r="AB2608" s="12" t="s">
        <v>56</v>
      </c>
      <c r="AC2608" s="12" t="s">
        <v>14228</v>
      </c>
      <c r="AD2608" s="13">
        <v>44562</v>
      </c>
      <c r="AE2608" s="12" t="s">
        <v>1414</v>
      </c>
      <c r="AF2608" s="12" t="s">
        <v>101</v>
      </c>
      <c r="AG2608" s="12" t="s">
        <v>652</v>
      </c>
      <c r="AH2608" s="1">
        <f>HYPERLINK("https://my.pitchbook.com?c=186650-38T","View Company Online")</f>
      </c>
    </row>
    <row r="2609">
      <c r="A2609" s="3" t="s">
        <v>14229</v>
      </c>
      <c r="B2609" s="3" t="s">
        <v>14230</v>
      </c>
      <c r="C2609" s="5" t="s">
        <v>36</v>
      </c>
      <c r="D2609" s="5" t="s">
        <v>36</v>
      </c>
      <c r="E2609" s="5" t="s">
        <v>36</v>
      </c>
      <c r="F2609" s="5" t="s">
        <v>36</v>
      </c>
      <c r="G2609" s="6" t="s">
        <v>36</v>
      </c>
      <c r="H2609" s="4" t="s">
        <v>36</v>
      </c>
      <c r="I2609" s="7" t="s">
        <v>36</v>
      </c>
      <c r="J2609" s="3" t="s">
        <v>36</v>
      </c>
      <c r="K2609" s="9" t="s">
        <v>36</v>
      </c>
      <c r="L2609" s="6" t="s">
        <v>36</v>
      </c>
      <c r="M2609" s="3" t="s">
        <v>36</v>
      </c>
      <c r="N2609" s="3" t="s">
        <v>36</v>
      </c>
      <c r="O2609" s="8" t="s">
        <v>36</v>
      </c>
      <c r="P2609" s="3" t="s">
        <v>36</v>
      </c>
      <c r="Q2609" s="3" t="s">
        <v>36</v>
      </c>
      <c r="R2609" s="3" t="s">
        <v>36</v>
      </c>
      <c r="S2609" s="3" t="s">
        <v>36</v>
      </c>
      <c r="T2609" s="3" t="s">
        <v>9639</v>
      </c>
      <c r="U2609" s="3" t="s">
        <v>63</v>
      </c>
      <c r="V2609" s="3" t="s">
        <v>64</v>
      </c>
      <c r="W2609" s="3" t="s">
        <v>14231</v>
      </c>
      <c r="X2609" s="10" t="s">
        <v>2869</v>
      </c>
      <c r="Y2609" s="6" t="s">
        <v>42</v>
      </c>
      <c r="Z2609" s="4" t="s">
        <v>36</v>
      </c>
      <c r="AA2609" s="4" t="s">
        <v>36</v>
      </c>
      <c r="AB2609" s="3" t="s">
        <v>56</v>
      </c>
      <c r="AC2609" s="3" t="s">
        <v>14232</v>
      </c>
      <c r="AD2609" s="9">
        <v>44562</v>
      </c>
      <c r="AE2609" s="3" t="s">
        <v>4310</v>
      </c>
      <c r="AF2609" s="3" t="s">
        <v>36</v>
      </c>
      <c r="AG2609" s="3" t="s">
        <v>14233</v>
      </c>
      <c r="AH2609" s="11">
        <f>HYPERLINK("https://my.pitchbook.com?c=226024-84T","View Company Online")</f>
      </c>
    </row>
    <row r="2610">
      <c r="A2610" s="12" t="s">
        <v>14234</v>
      </c>
      <c r="B2610" s="12" t="s">
        <v>162</v>
      </c>
      <c r="C2610" s="19" t="s">
        <v>36</v>
      </c>
      <c r="D2610" s="19" t="s">
        <v>36</v>
      </c>
      <c r="E2610" s="19" t="s">
        <v>36</v>
      </c>
      <c r="F2610" s="19" t="s">
        <v>36</v>
      </c>
      <c r="G2610" s="15" t="s">
        <v>36</v>
      </c>
      <c r="H2610" s="14" t="s">
        <v>36</v>
      </c>
      <c r="I2610" s="18" t="s">
        <v>36</v>
      </c>
      <c r="J2610" s="12" t="s">
        <v>36</v>
      </c>
      <c r="K2610" s="13" t="s">
        <v>36</v>
      </c>
      <c r="L2610" s="15" t="s">
        <v>36</v>
      </c>
      <c r="M2610" s="12" t="s">
        <v>36</v>
      </c>
      <c r="N2610" s="12" t="s">
        <v>36</v>
      </c>
      <c r="O2610" s="17" t="s">
        <v>36</v>
      </c>
      <c r="P2610" s="12" t="s">
        <v>36</v>
      </c>
      <c r="Q2610" s="12" t="s">
        <v>36</v>
      </c>
      <c r="R2610" s="12" t="s">
        <v>36</v>
      </c>
      <c r="S2610" s="12" t="s">
        <v>36</v>
      </c>
      <c r="T2610" s="12" t="s">
        <v>163</v>
      </c>
      <c r="U2610" s="12" t="s">
        <v>74</v>
      </c>
      <c r="V2610" s="12" t="s">
        <v>75</v>
      </c>
      <c r="W2610" s="12" t="s">
        <v>164</v>
      </c>
      <c r="X2610" s="16" t="s">
        <v>14235</v>
      </c>
      <c r="Y2610" s="15" t="s">
        <v>55</v>
      </c>
      <c r="Z2610" s="14" t="s">
        <v>36</v>
      </c>
      <c r="AA2610" s="14" t="s">
        <v>36</v>
      </c>
      <c r="AB2610" s="12" t="s">
        <v>56</v>
      </c>
      <c r="AC2610" s="12" t="s">
        <v>167</v>
      </c>
      <c r="AD2610" s="13">
        <v>44562</v>
      </c>
      <c r="AE2610" s="12" t="s">
        <v>79</v>
      </c>
      <c r="AF2610" s="12" t="s">
        <v>168</v>
      </c>
      <c r="AG2610" s="12" t="s">
        <v>169</v>
      </c>
      <c r="AH2610" s="1">
        <f>HYPERLINK("https://my.pitchbook.com?c=215690-32T","View Company Online")</f>
      </c>
    </row>
    <row r="2611">
      <c r="A2611" s="3" t="s">
        <v>14236</v>
      </c>
      <c r="B2611" s="3" t="s">
        <v>14237</v>
      </c>
      <c r="C2611" s="5" t="s">
        <v>36</v>
      </c>
      <c r="D2611" s="5" t="s">
        <v>36</v>
      </c>
      <c r="E2611" s="5" t="s">
        <v>36</v>
      </c>
      <c r="F2611" s="5" t="s">
        <v>36</v>
      </c>
      <c r="G2611" s="6" t="s">
        <v>36</v>
      </c>
      <c r="H2611" s="4" t="s">
        <v>36</v>
      </c>
      <c r="I2611" s="7" t="s">
        <v>36</v>
      </c>
      <c r="J2611" s="3" t="s">
        <v>36</v>
      </c>
      <c r="K2611" s="9" t="s">
        <v>36</v>
      </c>
      <c r="L2611" s="6" t="s">
        <v>36</v>
      </c>
      <c r="M2611" s="3" t="s">
        <v>36</v>
      </c>
      <c r="N2611" s="3" t="s">
        <v>36</v>
      </c>
      <c r="O2611" s="8" t="s">
        <v>36</v>
      </c>
      <c r="P2611" s="3" t="s">
        <v>36</v>
      </c>
      <c r="Q2611" s="3" t="s">
        <v>36</v>
      </c>
      <c r="R2611" s="3" t="s">
        <v>36</v>
      </c>
      <c r="S2611" s="3" t="s">
        <v>36</v>
      </c>
      <c r="T2611" s="3" t="s">
        <v>4601</v>
      </c>
      <c r="U2611" s="3" t="s">
        <v>38</v>
      </c>
      <c r="V2611" s="3" t="s">
        <v>39</v>
      </c>
      <c r="W2611" s="3" t="s">
        <v>14238</v>
      </c>
      <c r="X2611" s="10" t="s">
        <v>14239</v>
      </c>
      <c r="Y2611" s="6" t="s">
        <v>42</v>
      </c>
      <c r="Z2611" s="4" t="s">
        <v>36</v>
      </c>
      <c r="AA2611" s="4" t="s">
        <v>36</v>
      </c>
      <c r="AB2611" s="3" t="s">
        <v>56</v>
      </c>
      <c r="AC2611" s="3" t="s">
        <v>14240</v>
      </c>
      <c r="AD2611" s="9">
        <v>44562</v>
      </c>
      <c r="AE2611" s="3" t="s">
        <v>110</v>
      </c>
      <c r="AF2611" s="3" t="s">
        <v>14241</v>
      </c>
      <c r="AG2611" s="3" t="s">
        <v>81</v>
      </c>
      <c r="AH2611" s="11">
        <f>HYPERLINK("https://my.pitchbook.com?c=218654-29T","View Company Online")</f>
      </c>
    </row>
    <row r="2612">
      <c r="A2612" s="12" t="s">
        <v>14242</v>
      </c>
      <c r="B2612" s="12" t="s">
        <v>14243</v>
      </c>
      <c r="C2612" s="19" t="s">
        <v>36</v>
      </c>
      <c r="D2612" s="19" t="s">
        <v>36</v>
      </c>
      <c r="E2612" s="19" t="s">
        <v>36</v>
      </c>
      <c r="F2612" s="19" t="s">
        <v>36</v>
      </c>
      <c r="G2612" s="15" t="s">
        <v>36</v>
      </c>
      <c r="H2612" s="14" t="s">
        <v>36</v>
      </c>
      <c r="I2612" s="18" t="s">
        <v>36</v>
      </c>
      <c r="J2612" s="12" t="s">
        <v>36</v>
      </c>
      <c r="K2612" s="13" t="s">
        <v>36</v>
      </c>
      <c r="L2612" s="15" t="s">
        <v>36</v>
      </c>
      <c r="M2612" s="12" t="s">
        <v>36</v>
      </c>
      <c r="N2612" s="12" t="s">
        <v>36</v>
      </c>
      <c r="O2612" s="17" t="s">
        <v>36</v>
      </c>
      <c r="P2612" s="12" t="s">
        <v>36</v>
      </c>
      <c r="Q2612" s="12" t="s">
        <v>36</v>
      </c>
      <c r="R2612" s="12" t="s">
        <v>36</v>
      </c>
      <c r="S2612" s="12" t="s">
        <v>36</v>
      </c>
      <c r="T2612" s="12" t="s">
        <v>14244</v>
      </c>
      <c r="U2612" s="12" t="s">
        <v>38</v>
      </c>
      <c r="V2612" s="12" t="s">
        <v>39</v>
      </c>
      <c r="W2612" s="12" t="s">
        <v>14245</v>
      </c>
      <c r="X2612" s="16" t="s">
        <v>14246</v>
      </c>
      <c r="Y2612" s="15" t="s">
        <v>42</v>
      </c>
      <c r="Z2612" s="14" t="s">
        <v>36</v>
      </c>
      <c r="AA2612" s="14" t="s">
        <v>36</v>
      </c>
      <c r="AB2612" s="12" t="s">
        <v>56</v>
      </c>
      <c r="AC2612" s="12" t="s">
        <v>14247</v>
      </c>
      <c r="AD2612" s="13">
        <v>44562</v>
      </c>
      <c r="AE2612" s="12" t="s">
        <v>1200</v>
      </c>
      <c r="AF2612" s="12" t="s">
        <v>14248</v>
      </c>
      <c r="AG2612" s="12" t="s">
        <v>2760</v>
      </c>
      <c r="AH2612" s="1">
        <f>HYPERLINK("https://my.pitchbook.com?c=226622-08T","View Company Online")</f>
      </c>
    </row>
    <row r="2613">
      <c r="A2613" s="3" t="s">
        <v>14249</v>
      </c>
      <c r="B2613" s="3" t="s">
        <v>14250</v>
      </c>
      <c r="C2613" s="5" t="s">
        <v>36</v>
      </c>
      <c r="D2613" s="5" t="s">
        <v>36</v>
      </c>
      <c r="E2613" s="5" t="s">
        <v>36</v>
      </c>
      <c r="F2613" s="5" t="s">
        <v>36</v>
      </c>
      <c r="G2613" s="6" t="s">
        <v>36</v>
      </c>
      <c r="H2613" s="4" t="s">
        <v>36</v>
      </c>
      <c r="I2613" s="7" t="s">
        <v>36</v>
      </c>
      <c r="J2613" s="3" t="s">
        <v>36</v>
      </c>
      <c r="K2613" s="9" t="s">
        <v>36</v>
      </c>
      <c r="L2613" s="6" t="s">
        <v>36</v>
      </c>
      <c r="M2613" s="3" t="s">
        <v>36</v>
      </c>
      <c r="N2613" s="3" t="s">
        <v>36</v>
      </c>
      <c r="O2613" s="8" t="s">
        <v>36</v>
      </c>
      <c r="P2613" s="3" t="s">
        <v>36</v>
      </c>
      <c r="Q2613" s="3" t="s">
        <v>36</v>
      </c>
      <c r="R2613" s="3" t="s">
        <v>36</v>
      </c>
      <c r="S2613" s="3" t="s">
        <v>36</v>
      </c>
      <c r="T2613" s="3" t="s">
        <v>7351</v>
      </c>
      <c r="U2613" s="3" t="s">
        <v>728</v>
      </c>
      <c r="V2613" s="3" t="s">
        <v>64</v>
      </c>
      <c r="W2613" s="3" t="s">
        <v>14251</v>
      </c>
      <c r="X2613" s="10" t="s">
        <v>1043</v>
      </c>
      <c r="Y2613" s="6" t="s">
        <v>42</v>
      </c>
      <c r="Z2613" s="4" t="s">
        <v>36</v>
      </c>
      <c r="AA2613" s="4" t="s">
        <v>36</v>
      </c>
      <c r="AB2613" s="3" t="s">
        <v>43</v>
      </c>
      <c r="AC2613" s="3" t="s">
        <v>14252</v>
      </c>
      <c r="AD2613" s="9">
        <v>44562</v>
      </c>
      <c r="AE2613" s="3" t="s">
        <v>1600</v>
      </c>
      <c r="AF2613" s="3" t="s">
        <v>571</v>
      </c>
      <c r="AG2613" s="3" t="s">
        <v>81</v>
      </c>
      <c r="AH2613" s="11">
        <f>HYPERLINK("https://my.pitchbook.com?c=280075-78T","View Company Online")</f>
      </c>
    </row>
    <row r="2614">
      <c r="A2614" s="12" t="s">
        <v>14253</v>
      </c>
      <c r="B2614" s="12" t="s">
        <v>14254</v>
      </c>
      <c r="C2614" s="19" t="s">
        <v>36</v>
      </c>
      <c r="D2614" s="19" t="s">
        <v>36</v>
      </c>
      <c r="E2614" s="19" t="s">
        <v>36</v>
      </c>
      <c r="F2614" s="19" t="s">
        <v>36</v>
      </c>
      <c r="G2614" s="15" t="s">
        <v>36</v>
      </c>
      <c r="H2614" s="14" t="s">
        <v>36</v>
      </c>
      <c r="I2614" s="18" t="s">
        <v>36</v>
      </c>
      <c r="J2614" s="12" t="s">
        <v>36</v>
      </c>
      <c r="K2614" s="13" t="s">
        <v>36</v>
      </c>
      <c r="L2614" s="15" t="s">
        <v>36</v>
      </c>
      <c r="M2614" s="12" t="s">
        <v>36</v>
      </c>
      <c r="N2614" s="12" t="s">
        <v>36</v>
      </c>
      <c r="O2614" s="17" t="s">
        <v>36</v>
      </c>
      <c r="P2614" s="12" t="s">
        <v>36</v>
      </c>
      <c r="Q2614" s="12" t="s">
        <v>36</v>
      </c>
      <c r="R2614" s="12" t="s">
        <v>36</v>
      </c>
      <c r="S2614" s="12" t="s">
        <v>36</v>
      </c>
      <c r="T2614" s="12" t="s">
        <v>14255</v>
      </c>
      <c r="U2614" s="12" t="s">
        <v>96</v>
      </c>
      <c r="V2614" s="12" t="s">
        <v>52</v>
      </c>
      <c r="W2614" s="12" t="s">
        <v>14256</v>
      </c>
      <c r="X2614" s="16" t="s">
        <v>3656</v>
      </c>
      <c r="Y2614" s="15" t="s">
        <v>42</v>
      </c>
      <c r="Z2614" s="14" t="s">
        <v>36</v>
      </c>
      <c r="AA2614" s="14" t="s">
        <v>36</v>
      </c>
      <c r="AB2614" s="12" t="s">
        <v>56</v>
      </c>
      <c r="AC2614" s="12" t="s">
        <v>14257</v>
      </c>
      <c r="AD2614" s="13">
        <v>44562</v>
      </c>
      <c r="AE2614" s="12" t="s">
        <v>100</v>
      </c>
      <c r="AF2614" s="12" t="s">
        <v>14258</v>
      </c>
      <c r="AG2614" s="12" t="s">
        <v>2450</v>
      </c>
      <c r="AH2614" s="1">
        <f>HYPERLINK("https://my.pitchbook.com?c=215794-63T","View Company Online")</f>
      </c>
    </row>
    <row r="2615">
      <c r="A2615" s="3" t="s">
        <v>14259</v>
      </c>
      <c r="B2615" s="3" t="s">
        <v>5549</v>
      </c>
      <c r="C2615" s="5">
        <v>1</v>
      </c>
      <c r="D2615" s="5" t="s">
        <v>36</v>
      </c>
      <c r="E2615" s="5">
        <v>1</v>
      </c>
      <c r="F2615" s="5">
        <v>1</v>
      </c>
      <c r="G2615" s="6" t="s">
        <v>36</v>
      </c>
      <c r="H2615" s="4" t="s">
        <v>36</v>
      </c>
      <c r="I2615" s="7" t="s">
        <v>36</v>
      </c>
      <c r="J2615" s="3" t="s">
        <v>36</v>
      </c>
      <c r="K2615" s="9" t="s">
        <v>36</v>
      </c>
      <c r="L2615" s="6" t="s">
        <v>36</v>
      </c>
      <c r="M2615" s="3" t="s">
        <v>36</v>
      </c>
      <c r="N2615" s="3" t="s">
        <v>36</v>
      </c>
      <c r="O2615" s="8" t="s">
        <v>36</v>
      </c>
      <c r="P2615" s="3" t="s">
        <v>36</v>
      </c>
      <c r="Q2615" s="3" t="s">
        <v>36</v>
      </c>
      <c r="R2615" s="3" t="s">
        <v>36</v>
      </c>
      <c r="S2615" s="3" t="s">
        <v>565</v>
      </c>
      <c r="T2615" s="3" t="s">
        <v>5550</v>
      </c>
      <c r="U2615" s="3" t="s">
        <v>74</v>
      </c>
      <c r="V2615" s="3" t="s">
        <v>75</v>
      </c>
      <c r="W2615" s="3" t="s">
        <v>5551</v>
      </c>
      <c r="X2615" s="10" t="s">
        <v>14260</v>
      </c>
      <c r="Y2615" s="6" t="s">
        <v>108</v>
      </c>
      <c r="Z2615" s="4">
        <v>4</v>
      </c>
      <c r="AA2615" s="4" t="s">
        <v>36</v>
      </c>
      <c r="AB2615" s="3" t="s">
        <v>43</v>
      </c>
      <c r="AC2615" s="3" t="s">
        <v>5553</v>
      </c>
      <c r="AD2615" s="9">
        <v>44562</v>
      </c>
      <c r="AE2615" s="3" t="s">
        <v>975</v>
      </c>
      <c r="AF2615" s="3" t="s">
        <v>982</v>
      </c>
      <c r="AG2615" s="3" t="s">
        <v>5554</v>
      </c>
      <c r="AH2615" s="11">
        <f>HYPERLINK("https://my.pitchbook.com?c=241685-56T","View Company Online")</f>
      </c>
    </row>
    <row r="2616">
      <c r="A2616" s="12" t="s">
        <v>14261</v>
      </c>
      <c r="B2616" s="12" t="s">
        <v>14262</v>
      </c>
      <c r="C2616" s="19" t="s">
        <v>36</v>
      </c>
      <c r="D2616" s="19" t="s">
        <v>36</v>
      </c>
      <c r="E2616" s="19" t="s">
        <v>36</v>
      </c>
      <c r="F2616" s="19" t="s">
        <v>36</v>
      </c>
      <c r="G2616" s="15" t="s">
        <v>36</v>
      </c>
      <c r="H2616" s="14" t="s">
        <v>36</v>
      </c>
      <c r="I2616" s="18" t="s">
        <v>36</v>
      </c>
      <c r="J2616" s="12" t="s">
        <v>36</v>
      </c>
      <c r="K2616" s="13" t="s">
        <v>36</v>
      </c>
      <c r="L2616" s="15" t="s">
        <v>36</v>
      </c>
      <c r="M2616" s="12" t="s">
        <v>36</v>
      </c>
      <c r="N2616" s="12" t="s">
        <v>36</v>
      </c>
      <c r="O2616" s="17" t="s">
        <v>36</v>
      </c>
      <c r="P2616" s="12" t="s">
        <v>36</v>
      </c>
      <c r="Q2616" s="12" t="s">
        <v>36</v>
      </c>
      <c r="R2616" s="12" t="s">
        <v>36</v>
      </c>
      <c r="S2616" s="12" t="s">
        <v>36</v>
      </c>
      <c r="T2616" s="12" t="s">
        <v>14263</v>
      </c>
      <c r="U2616" s="12" t="s">
        <v>38</v>
      </c>
      <c r="V2616" s="12" t="s">
        <v>39</v>
      </c>
      <c r="W2616" s="12" t="s">
        <v>14264</v>
      </c>
      <c r="X2616" s="16" t="s">
        <v>14265</v>
      </c>
      <c r="Y2616" s="15" t="s">
        <v>42</v>
      </c>
      <c r="Z2616" s="14" t="s">
        <v>36</v>
      </c>
      <c r="AA2616" s="14" t="s">
        <v>36</v>
      </c>
      <c r="AB2616" s="12" t="s">
        <v>43</v>
      </c>
      <c r="AC2616" s="12" t="s">
        <v>14266</v>
      </c>
      <c r="AD2616" s="13">
        <v>44562</v>
      </c>
      <c r="AE2616" s="12" t="s">
        <v>110</v>
      </c>
      <c r="AF2616" s="12" t="s">
        <v>331</v>
      </c>
      <c r="AG2616" s="12" t="s">
        <v>14267</v>
      </c>
      <c r="AH2616" s="1">
        <f>HYPERLINK("https://my.pitchbook.com?c=203172-94T","View Company Online")</f>
      </c>
    </row>
    <row r="2617">
      <c r="A2617" s="3" t="s">
        <v>14268</v>
      </c>
      <c r="B2617" s="3" t="s">
        <v>14269</v>
      </c>
      <c r="C2617" s="5" t="s">
        <v>36</v>
      </c>
      <c r="D2617" s="5" t="s">
        <v>36</v>
      </c>
      <c r="E2617" s="5" t="s">
        <v>36</v>
      </c>
      <c r="F2617" s="5" t="s">
        <v>36</v>
      </c>
      <c r="G2617" s="6" t="s">
        <v>36</v>
      </c>
      <c r="H2617" s="4">
        <v>882.57</v>
      </c>
      <c r="I2617" s="7">
        <v>16.99</v>
      </c>
      <c r="J2617" s="3" t="s">
        <v>521</v>
      </c>
      <c r="K2617" s="9" t="s">
        <v>36</v>
      </c>
      <c r="L2617" s="6" t="s">
        <v>122</v>
      </c>
      <c r="M2617" s="3" t="s">
        <v>36</v>
      </c>
      <c r="N2617" s="3" t="s">
        <v>122</v>
      </c>
      <c r="O2617" s="8" t="s">
        <v>36</v>
      </c>
      <c r="P2617" s="3" t="s">
        <v>36</v>
      </c>
      <c r="Q2617" s="3" t="s">
        <v>36</v>
      </c>
      <c r="R2617" s="3" t="s">
        <v>36</v>
      </c>
      <c r="S2617" s="3" t="s">
        <v>36</v>
      </c>
      <c r="T2617" s="3" t="s">
        <v>14270</v>
      </c>
      <c r="U2617" s="3" t="s">
        <v>289</v>
      </c>
      <c r="V2617" s="3" t="s">
        <v>64</v>
      </c>
      <c r="W2617" s="3" t="s">
        <v>14271</v>
      </c>
      <c r="X2617" s="10" t="s">
        <v>14272</v>
      </c>
      <c r="Y2617" s="6" t="s">
        <v>42</v>
      </c>
      <c r="Z2617" s="4">
        <v>1.76</v>
      </c>
      <c r="AA2617" s="4">
        <v>10.39</v>
      </c>
      <c r="AB2617" s="3" t="s">
        <v>43</v>
      </c>
      <c r="AC2617" s="3" t="s">
        <v>14273</v>
      </c>
      <c r="AD2617" s="9">
        <v>44562</v>
      </c>
      <c r="AE2617" s="3" t="s">
        <v>292</v>
      </c>
      <c r="AF2617" s="3" t="s">
        <v>90</v>
      </c>
      <c r="AG2617" s="3" t="s">
        <v>14274</v>
      </c>
      <c r="AH2617" s="11">
        <f>HYPERLINK("https://my.pitchbook.com?c=228271-96T","View Company Online")</f>
      </c>
    </row>
    <row r="2618">
      <c r="A2618" s="12" t="s">
        <v>14275</v>
      </c>
      <c r="B2618" s="12" t="s">
        <v>14276</v>
      </c>
      <c r="C2618" s="19" t="s">
        <v>36</v>
      </c>
      <c r="D2618" s="19" t="s">
        <v>36</v>
      </c>
      <c r="E2618" s="19" t="s">
        <v>36</v>
      </c>
      <c r="F2618" s="19" t="s">
        <v>36</v>
      </c>
      <c r="G2618" s="15" t="s">
        <v>36</v>
      </c>
      <c r="H2618" s="14" t="s">
        <v>36</v>
      </c>
      <c r="I2618" s="18" t="s">
        <v>36</v>
      </c>
      <c r="J2618" s="12" t="s">
        <v>36</v>
      </c>
      <c r="K2618" s="13" t="s">
        <v>36</v>
      </c>
      <c r="L2618" s="15" t="s">
        <v>36</v>
      </c>
      <c r="M2618" s="12" t="s">
        <v>36</v>
      </c>
      <c r="N2618" s="12" t="s">
        <v>36</v>
      </c>
      <c r="O2618" s="17" t="s">
        <v>36</v>
      </c>
      <c r="P2618" s="12" t="s">
        <v>36</v>
      </c>
      <c r="Q2618" s="12" t="s">
        <v>36</v>
      </c>
      <c r="R2618" s="12" t="s">
        <v>36</v>
      </c>
      <c r="S2618" s="12" t="s">
        <v>10617</v>
      </c>
      <c r="T2618" s="12" t="s">
        <v>37</v>
      </c>
      <c r="U2618" s="12" t="s">
        <v>38</v>
      </c>
      <c r="V2618" s="12" t="s">
        <v>39</v>
      </c>
      <c r="W2618" s="12" t="s">
        <v>14277</v>
      </c>
      <c r="X2618" s="16" t="s">
        <v>4770</v>
      </c>
      <c r="Y2618" s="15" t="s">
        <v>55</v>
      </c>
      <c r="Z2618" s="14" t="s">
        <v>36</v>
      </c>
      <c r="AA2618" s="14" t="s">
        <v>36</v>
      </c>
      <c r="AB2618" s="12" t="s">
        <v>43</v>
      </c>
      <c r="AC2618" s="12" t="s">
        <v>14278</v>
      </c>
      <c r="AD2618" s="13">
        <v>44562</v>
      </c>
      <c r="AE2618" s="12" t="s">
        <v>45</v>
      </c>
      <c r="AF2618" s="12" t="s">
        <v>14279</v>
      </c>
      <c r="AG2618" s="12" t="s">
        <v>81</v>
      </c>
      <c r="AH2618" s="1">
        <f>HYPERLINK("https://my.pitchbook.com?c=280310-50T","View Company Online")</f>
      </c>
    </row>
    <row r="2619">
      <c r="A2619" s="3" t="s">
        <v>14280</v>
      </c>
      <c r="B2619" s="3" t="s">
        <v>14281</v>
      </c>
      <c r="C2619" s="5">
        <v>1</v>
      </c>
      <c r="D2619" s="5" t="s">
        <v>36</v>
      </c>
      <c r="E2619" s="5">
        <v>2</v>
      </c>
      <c r="F2619" s="5">
        <v>2</v>
      </c>
      <c r="G2619" s="6" t="s">
        <v>36</v>
      </c>
      <c r="H2619" s="4" t="s">
        <v>36</v>
      </c>
      <c r="I2619" s="7" t="s">
        <v>36</v>
      </c>
      <c r="J2619" s="3" t="s">
        <v>36</v>
      </c>
      <c r="K2619" s="9" t="s">
        <v>36</v>
      </c>
      <c r="L2619" s="6" t="s">
        <v>36</v>
      </c>
      <c r="M2619" s="3" t="s">
        <v>36</v>
      </c>
      <c r="N2619" s="3" t="s">
        <v>36</v>
      </c>
      <c r="O2619" s="8" t="s">
        <v>36</v>
      </c>
      <c r="P2619" s="3" t="s">
        <v>36</v>
      </c>
      <c r="Q2619" s="3" t="s">
        <v>36</v>
      </c>
      <c r="R2619" s="3" t="s">
        <v>36</v>
      </c>
      <c r="S2619" s="3" t="s">
        <v>36</v>
      </c>
      <c r="T2619" s="3" t="s">
        <v>1253</v>
      </c>
      <c r="U2619" s="3" t="s">
        <v>38</v>
      </c>
      <c r="V2619" s="3" t="s">
        <v>39</v>
      </c>
      <c r="W2619" s="3" t="s">
        <v>14282</v>
      </c>
      <c r="X2619" s="10" t="s">
        <v>14283</v>
      </c>
      <c r="Y2619" s="6" t="s">
        <v>108</v>
      </c>
      <c r="Z2619" s="4" t="s">
        <v>36</v>
      </c>
      <c r="AA2619" s="4" t="s">
        <v>36</v>
      </c>
      <c r="AB2619" s="3" t="s">
        <v>56</v>
      </c>
      <c r="AC2619" s="3" t="s">
        <v>14284</v>
      </c>
      <c r="AD2619" s="9">
        <v>44562</v>
      </c>
      <c r="AE2619" s="3" t="s">
        <v>45</v>
      </c>
      <c r="AF2619" s="3" t="s">
        <v>4569</v>
      </c>
      <c r="AG2619" s="3" t="s">
        <v>899</v>
      </c>
      <c r="AH2619" s="11">
        <f>HYPERLINK("https://my.pitchbook.com?c=204483-43T","View Company Online")</f>
      </c>
    </row>
    <row r="2620">
      <c r="A2620" s="12" t="s">
        <v>14285</v>
      </c>
      <c r="B2620" s="12" t="s">
        <v>14286</v>
      </c>
      <c r="C2620" s="19" t="s">
        <v>36</v>
      </c>
      <c r="D2620" s="19" t="s">
        <v>36</v>
      </c>
      <c r="E2620" s="19" t="s">
        <v>36</v>
      </c>
      <c r="F2620" s="19" t="s">
        <v>36</v>
      </c>
      <c r="G2620" s="15" t="s">
        <v>36</v>
      </c>
      <c r="H2620" s="14" t="s">
        <v>36</v>
      </c>
      <c r="I2620" s="18" t="s">
        <v>36</v>
      </c>
      <c r="J2620" s="12" t="s">
        <v>36</v>
      </c>
      <c r="K2620" s="13" t="s">
        <v>36</v>
      </c>
      <c r="L2620" s="15" t="s">
        <v>36</v>
      </c>
      <c r="M2620" s="12" t="s">
        <v>36</v>
      </c>
      <c r="N2620" s="12" t="s">
        <v>36</v>
      </c>
      <c r="O2620" s="17" t="s">
        <v>36</v>
      </c>
      <c r="P2620" s="12" t="s">
        <v>36</v>
      </c>
      <c r="Q2620" s="12" t="s">
        <v>36</v>
      </c>
      <c r="R2620" s="12" t="s">
        <v>36</v>
      </c>
      <c r="S2620" s="12" t="s">
        <v>36</v>
      </c>
      <c r="T2620" s="12" t="s">
        <v>14287</v>
      </c>
      <c r="U2620" s="12" t="s">
        <v>279</v>
      </c>
      <c r="V2620" s="12" t="s">
        <v>64</v>
      </c>
      <c r="W2620" s="12" t="s">
        <v>14288</v>
      </c>
      <c r="X2620" s="16" t="s">
        <v>14289</v>
      </c>
      <c r="Y2620" s="15" t="s">
        <v>42</v>
      </c>
      <c r="Z2620" s="14" t="s">
        <v>36</v>
      </c>
      <c r="AA2620" s="14" t="s">
        <v>36</v>
      </c>
      <c r="AB2620" s="12" t="s">
        <v>56</v>
      </c>
      <c r="AC2620" s="12" t="s">
        <v>14290</v>
      </c>
      <c r="AD2620" s="13">
        <v>44562</v>
      </c>
      <c r="AE2620" s="12" t="s">
        <v>283</v>
      </c>
      <c r="AF2620" s="12" t="s">
        <v>14291</v>
      </c>
      <c r="AG2620" s="12" t="s">
        <v>14292</v>
      </c>
      <c r="AH2620" s="1">
        <f>HYPERLINK("https://my.pitchbook.com?c=190451-62T","View Company Online")</f>
      </c>
    </row>
    <row r="2621">
      <c r="A2621" s="3" t="s">
        <v>14293</v>
      </c>
      <c r="B2621" s="3" t="s">
        <v>5782</v>
      </c>
      <c r="C2621" s="5" t="s">
        <v>36</v>
      </c>
      <c r="D2621" s="5">
        <v>2</v>
      </c>
      <c r="E2621" s="5">
        <v>1</v>
      </c>
      <c r="F2621" s="5">
        <v>3</v>
      </c>
      <c r="G2621" s="6" t="s">
        <v>36</v>
      </c>
      <c r="H2621" s="4" t="s">
        <v>36</v>
      </c>
      <c r="I2621" s="7" t="s">
        <v>36</v>
      </c>
      <c r="J2621" s="3" t="s">
        <v>36</v>
      </c>
      <c r="K2621" s="9" t="s">
        <v>36</v>
      </c>
      <c r="L2621" s="6" t="s">
        <v>36</v>
      </c>
      <c r="M2621" s="3" t="s">
        <v>36</v>
      </c>
      <c r="N2621" s="3" t="s">
        <v>36</v>
      </c>
      <c r="O2621" s="8" t="s">
        <v>36</v>
      </c>
      <c r="P2621" s="3" t="s">
        <v>36</v>
      </c>
      <c r="Q2621" s="3" t="s">
        <v>36</v>
      </c>
      <c r="R2621" s="3" t="s">
        <v>36</v>
      </c>
      <c r="S2621" s="3" t="s">
        <v>36</v>
      </c>
      <c r="T2621" s="3" t="s">
        <v>5783</v>
      </c>
      <c r="U2621" s="3" t="s">
        <v>366</v>
      </c>
      <c r="V2621" s="3" t="s">
        <v>367</v>
      </c>
      <c r="W2621" s="3" t="s">
        <v>5784</v>
      </c>
      <c r="X2621" s="10" t="s">
        <v>980</v>
      </c>
      <c r="Y2621" s="6" t="s">
        <v>108</v>
      </c>
      <c r="Z2621" s="4" t="s">
        <v>36</v>
      </c>
      <c r="AA2621" s="4" t="s">
        <v>36</v>
      </c>
      <c r="AB2621" s="3" t="s">
        <v>43</v>
      </c>
      <c r="AC2621" s="3" t="s">
        <v>5786</v>
      </c>
      <c r="AD2621" s="9">
        <v>44562</v>
      </c>
      <c r="AE2621" s="3" t="s">
        <v>600</v>
      </c>
      <c r="AF2621" s="3" t="s">
        <v>1340</v>
      </c>
      <c r="AG2621" s="3" t="s">
        <v>81</v>
      </c>
      <c r="AH2621" s="11">
        <f>HYPERLINK("https://my.pitchbook.com?c=214157-08T","View Company Online")</f>
      </c>
    </row>
    <row r="2622">
      <c r="A2622" s="12" t="s">
        <v>14294</v>
      </c>
      <c r="B2622" s="12" t="s">
        <v>14295</v>
      </c>
      <c r="C2622" s="19" t="s">
        <v>36</v>
      </c>
      <c r="D2622" s="19" t="s">
        <v>36</v>
      </c>
      <c r="E2622" s="19" t="s">
        <v>36</v>
      </c>
      <c r="F2622" s="19" t="s">
        <v>36</v>
      </c>
      <c r="G2622" s="15" t="s">
        <v>36</v>
      </c>
      <c r="H2622" s="14" t="s">
        <v>36</v>
      </c>
      <c r="I2622" s="18" t="s">
        <v>36</v>
      </c>
      <c r="J2622" s="12" t="s">
        <v>36</v>
      </c>
      <c r="K2622" s="13" t="s">
        <v>36</v>
      </c>
      <c r="L2622" s="15" t="s">
        <v>36</v>
      </c>
      <c r="M2622" s="12" t="s">
        <v>36</v>
      </c>
      <c r="N2622" s="12" t="s">
        <v>36</v>
      </c>
      <c r="O2622" s="17" t="s">
        <v>36</v>
      </c>
      <c r="P2622" s="12" t="s">
        <v>36</v>
      </c>
      <c r="Q2622" s="12" t="s">
        <v>36</v>
      </c>
      <c r="R2622" s="12" t="s">
        <v>36</v>
      </c>
      <c r="S2622" s="12" t="s">
        <v>36</v>
      </c>
      <c r="T2622" s="12" t="s">
        <v>1418</v>
      </c>
      <c r="U2622" s="12" t="s">
        <v>38</v>
      </c>
      <c r="V2622" s="12" t="s">
        <v>39</v>
      </c>
      <c r="W2622" s="12" t="s">
        <v>14296</v>
      </c>
      <c r="X2622" s="16" t="s">
        <v>2553</v>
      </c>
      <c r="Y2622" s="15" t="s">
        <v>42</v>
      </c>
      <c r="Z2622" s="14" t="s">
        <v>36</v>
      </c>
      <c r="AA2622" s="14" t="s">
        <v>36</v>
      </c>
      <c r="AB2622" s="12" t="s">
        <v>56</v>
      </c>
      <c r="AC2622" s="12" t="s">
        <v>14297</v>
      </c>
      <c r="AD2622" s="13">
        <v>44562</v>
      </c>
      <c r="AE2622" s="12" t="s">
        <v>1422</v>
      </c>
      <c r="AF2622" s="12" t="s">
        <v>4200</v>
      </c>
      <c r="AG2622" s="12" t="s">
        <v>13508</v>
      </c>
      <c r="AH2622" s="1">
        <f>HYPERLINK("https://my.pitchbook.com?c=212932-63T","View Company Online")</f>
      </c>
    </row>
    <row r="2623">
      <c r="A2623" s="3" t="s">
        <v>14298</v>
      </c>
      <c r="B2623" s="3" t="s">
        <v>14299</v>
      </c>
      <c r="C2623" s="5" t="s">
        <v>36</v>
      </c>
      <c r="D2623" s="5" t="s">
        <v>36</v>
      </c>
      <c r="E2623" s="5" t="s">
        <v>36</v>
      </c>
      <c r="F2623" s="5" t="s">
        <v>36</v>
      </c>
      <c r="G2623" s="6" t="s">
        <v>36</v>
      </c>
      <c r="H2623" s="4" t="s">
        <v>36</v>
      </c>
      <c r="I2623" s="7" t="s">
        <v>36</v>
      </c>
      <c r="J2623" s="3" t="s">
        <v>36</v>
      </c>
      <c r="K2623" s="9" t="s">
        <v>36</v>
      </c>
      <c r="L2623" s="6" t="s">
        <v>36</v>
      </c>
      <c r="M2623" s="3" t="s">
        <v>36</v>
      </c>
      <c r="N2623" s="3" t="s">
        <v>36</v>
      </c>
      <c r="O2623" s="8" t="s">
        <v>36</v>
      </c>
      <c r="P2623" s="3" t="s">
        <v>36</v>
      </c>
      <c r="Q2623" s="3" t="s">
        <v>36</v>
      </c>
      <c r="R2623" s="3" t="s">
        <v>36</v>
      </c>
      <c r="S2623" s="3" t="s">
        <v>14300</v>
      </c>
      <c r="T2623" s="3" t="s">
        <v>14301</v>
      </c>
      <c r="U2623" s="3" t="s">
        <v>38</v>
      </c>
      <c r="V2623" s="3" t="s">
        <v>39</v>
      </c>
      <c r="W2623" s="3" t="s">
        <v>14302</v>
      </c>
      <c r="X2623" s="10" t="s">
        <v>14303</v>
      </c>
      <c r="Y2623" s="6" t="s">
        <v>42</v>
      </c>
      <c r="Z2623" s="4">
        <v>2</v>
      </c>
      <c r="AA2623" s="4" t="s">
        <v>36</v>
      </c>
      <c r="AB2623" s="3" t="s">
        <v>43</v>
      </c>
      <c r="AC2623" s="3" t="s">
        <v>14304</v>
      </c>
      <c r="AD2623" s="9">
        <v>44562</v>
      </c>
      <c r="AE2623" s="3" t="s">
        <v>554</v>
      </c>
      <c r="AF2623" s="3" t="s">
        <v>14305</v>
      </c>
      <c r="AG2623" s="3" t="s">
        <v>14306</v>
      </c>
      <c r="AH2623" s="11">
        <f>HYPERLINK("https://my.pitchbook.com?c=190775-98T","View Company Online")</f>
      </c>
    </row>
    <row r="2624">
      <c r="A2624" s="12" t="s">
        <v>14307</v>
      </c>
      <c r="B2624" s="12" t="s">
        <v>14308</v>
      </c>
      <c r="C2624" s="19" t="s">
        <v>36</v>
      </c>
      <c r="D2624" s="19" t="s">
        <v>36</v>
      </c>
      <c r="E2624" s="19" t="s">
        <v>36</v>
      </c>
      <c r="F2624" s="19" t="s">
        <v>36</v>
      </c>
      <c r="G2624" s="15" t="s">
        <v>36</v>
      </c>
      <c r="H2624" s="14">
        <v>166.17</v>
      </c>
      <c r="I2624" s="18">
        <v>34.7</v>
      </c>
      <c r="J2624" s="12" t="s">
        <v>521</v>
      </c>
      <c r="K2624" s="13" t="s">
        <v>36</v>
      </c>
      <c r="L2624" s="15" t="s">
        <v>36</v>
      </c>
      <c r="M2624" s="12" t="s">
        <v>36</v>
      </c>
      <c r="N2624" s="12" t="s">
        <v>36</v>
      </c>
      <c r="O2624" s="17" t="s">
        <v>36</v>
      </c>
      <c r="P2624" s="12" t="s">
        <v>36</v>
      </c>
      <c r="Q2624" s="12" t="s">
        <v>36</v>
      </c>
      <c r="R2624" s="12" t="s">
        <v>36</v>
      </c>
      <c r="S2624" s="12" t="s">
        <v>36</v>
      </c>
      <c r="T2624" s="12" t="s">
        <v>14309</v>
      </c>
      <c r="U2624" s="12" t="s">
        <v>96</v>
      </c>
      <c r="V2624" s="12" t="s">
        <v>52</v>
      </c>
      <c r="W2624" s="12" t="s">
        <v>14310</v>
      </c>
      <c r="X2624" s="16" t="s">
        <v>14311</v>
      </c>
      <c r="Y2624" s="15" t="s">
        <v>42</v>
      </c>
      <c r="Z2624" s="14">
        <v>3.39</v>
      </c>
      <c r="AA2624" s="14">
        <v>5.54</v>
      </c>
      <c r="AB2624" s="12" t="s">
        <v>43</v>
      </c>
      <c r="AC2624" s="12" t="s">
        <v>14312</v>
      </c>
      <c r="AD2624" s="13">
        <v>44562</v>
      </c>
      <c r="AE2624" s="12" t="s">
        <v>100</v>
      </c>
      <c r="AF2624" s="12" t="s">
        <v>159</v>
      </c>
      <c r="AG2624" s="12" t="s">
        <v>14313</v>
      </c>
      <c r="AH2624" s="1">
        <f>HYPERLINK("https://my.pitchbook.com?c=188205-58T","View Company Online")</f>
      </c>
    </row>
    <row r="2625">
      <c r="A2625" s="3" t="s">
        <v>14314</v>
      </c>
      <c r="B2625" s="3" t="s">
        <v>14315</v>
      </c>
      <c r="C2625" s="5">
        <v>2</v>
      </c>
      <c r="D2625" s="5">
        <v>40</v>
      </c>
      <c r="E2625" s="5">
        <v>5</v>
      </c>
      <c r="F2625" s="5">
        <v>50</v>
      </c>
      <c r="G2625" s="6" t="s">
        <v>36</v>
      </c>
      <c r="H2625" s="4" t="s">
        <v>36</v>
      </c>
      <c r="I2625" s="7" t="s">
        <v>36</v>
      </c>
      <c r="J2625" s="3" t="s">
        <v>36</v>
      </c>
      <c r="K2625" s="9">
        <v>44200</v>
      </c>
      <c r="L2625" s="6" t="s">
        <v>36</v>
      </c>
      <c r="M2625" s="3" t="s">
        <v>36</v>
      </c>
      <c r="N2625" s="3" t="s">
        <v>36</v>
      </c>
      <c r="O2625" s="8" t="s">
        <v>36</v>
      </c>
      <c r="P2625" s="3" t="s">
        <v>36</v>
      </c>
      <c r="Q2625" s="3" t="s">
        <v>36</v>
      </c>
      <c r="R2625" s="3" t="s">
        <v>36</v>
      </c>
      <c r="S2625" s="3" t="s">
        <v>36</v>
      </c>
      <c r="T2625" s="3" t="s">
        <v>881</v>
      </c>
      <c r="U2625" s="3" t="s">
        <v>51</v>
      </c>
      <c r="V2625" s="3" t="s">
        <v>52</v>
      </c>
      <c r="W2625" s="3" t="s">
        <v>14316</v>
      </c>
      <c r="X2625" s="10" t="s">
        <v>14317</v>
      </c>
      <c r="Y2625" s="6" t="s">
        <v>55</v>
      </c>
      <c r="Z2625" s="4">
        <v>33.91</v>
      </c>
      <c r="AA2625" s="4" t="s">
        <v>36</v>
      </c>
      <c r="AB2625" s="3" t="s">
        <v>56</v>
      </c>
      <c r="AC2625" s="3" t="s">
        <v>14318</v>
      </c>
      <c r="AD2625" s="9">
        <v>44561</v>
      </c>
      <c r="AE2625" s="3" t="s">
        <v>504</v>
      </c>
      <c r="AF2625" s="3" t="s">
        <v>885</v>
      </c>
      <c r="AG2625" s="3" t="s">
        <v>186</v>
      </c>
      <c r="AH2625" s="11">
        <f>HYPERLINK("https://my.pitchbook.com?c=164379-88T","View Company Online")</f>
      </c>
    </row>
    <row r="2626">
      <c r="A2626" s="12" t="s">
        <v>14319</v>
      </c>
      <c r="B2626" s="12" t="s">
        <v>14320</v>
      </c>
      <c r="C2626" s="19" t="s">
        <v>36</v>
      </c>
      <c r="D2626" s="19" t="s">
        <v>36</v>
      </c>
      <c r="E2626" s="19" t="s">
        <v>36</v>
      </c>
      <c r="F2626" s="19" t="s">
        <v>36</v>
      </c>
      <c r="G2626" s="15" t="s">
        <v>326</v>
      </c>
      <c r="H2626" s="14">
        <v>2958.88</v>
      </c>
      <c r="I2626" s="18">
        <v>15.03</v>
      </c>
      <c r="J2626" s="12" t="s">
        <v>521</v>
      </c>
      <c r="K2626" s="13" t="s">
        <v>36</v>
      </c>
      <c r="L2626" s="15" t="s">
        <v>36</v>
      </c>
      <c r="M2626" s="12" t="s">
        <v>36</v>
      </c>
      <c r="N2626" s="12" t="s">
        <v>36</v>
      </c>
      <c r="O2626" s="17" t="s">
        <v>36</v>
      </c>
      <c r="P2626" s="12" t="s">
        <v>36</v>
      </c>
      <c r="Q2626" s="12" t="s">
        <v>36</v>
      </c>
      <c r="R2626" s="12" t="s">
        <v>36</v>
      </c>
      <c r="S2626" s="12" t="s">
        <v>36</v>
      </c>
      <c r="T2626" s="12" t="s">
        <v>3964</v>
      </c>
      <c r="U2626" s="12" t="s">
        <v>289</v>
      </c>
      <c r="V2626" s="12" t="s">
        <v>64</v>
      </c>
      <c r="W2626" s="12" t="s">
        <v>14321</v>
      </c>
      <c r="X2626" s="16" t="s">
        <v>2869</v>
      </c>
      <c r="Y2626" s="15" t="s">
        <v>42</v>
      </c>
      <c r="Z2626" s="14">
        <v>0.61</v>
      </c>
      <c r="AA2626" s="14">
        <v>4.03</v>
      </c>
      <c r="AB2626" s="12" t="s">
        <v>43</v>
      </c>
      <c r="AC2626" s="12" t="s">
        <v>14322</v>
      </c>
      <c r="AD2626" s="13">
        <v>44561</v>
      </c>
      <c r="AE2626" s="12" t="s">
        <v>3134</v>
      </c>
      <c r="AF2626" s="12" t="s">
        <v>2118</v>
      </c>
      <c r="AG2626" s="12" t="s">
        <v>81</v>
      </c>
      <c r="AH2626" s="1">
        <f>HYPERLINK("https://my.pitchbook.com?c=226110-88T","View Company Online")</f>
      </c>
    </row>
    <row r="2627">
      <c r="A2627" s="3" t="s">
        <v>14323</v>
      </c>
      <c r="B2627" s="3" t="s">
        <v>14324</v>
      </c>
      <c r="C2627" s="5" t="s">
        <v>36</v>
      </c>
      <c r="D2627" s="5" t="s">
        <v>36</v>
      </c>
      <c r="E2627" s="5" t="s">
        <v>36</v>
      </c>
      <c r="F2627" s="5" t="s">
        <v>36</v>
      </c>
      <c r="G2627" s="6" t="s">
        <v>36</v>
      </c>
      <c r="H2627" s="4">
        <v>43.28</v>
      </c>
      <c r="I2627" s="7">
        <v>13.79</v>
      </c>
      <c r="J2627" s="3" t="s">
        <v>521</v>
      </c>
      <c r="K2627" s="9" t="s">
        <v>36</v>
      </c>
      <c r="L2627" s="6" t="s">
        <v>122</v>
      </c>
      <c r="M2627" s="3" t="s">
        <v>36</v>
      </c>
      <c r="N2627" s="3" t="s">
        <v>122</v>
      </c>
      <c r="O2627" s="8" t="s">
        <v>36</v>
      </c>
      <c r="P2627" s="3" t="s">
        <v>36</v>
      </c>
      <c r="Q2627" s="3" t="s">
        <v>36</v>
      </c>
      <c r="R2627" s="3" t="s">
        <v>36</v>
      </c>
      <c r="S2627" s="3" t="s">
        <v>36</v>
      </c>
      <c r="T2627" s="3" t="s">
        <v>7351</v>
      </c>
      <c r="U2627" s="3" t="s">
        <v>728</v>
      </c>
      <c r="V2627" s="3" t="s">
        <v>64</v>
      </c>
      <c r="W2627" s="3" t="s">
        <v>14325</v>
      </c>
      <c r="X2627" s="10" t="s">
        <v>14326</v>
      </c>
      <c r="Y2627" s="6" t="s">
        <v>42</v>
      </c>
      <c r="Z2627" s="4">
        <v>0.45</v>
      </c>
      <c r="AA2627" s="4">
        <v>3.28</v>
      </c>
      <c r="AB2627" s="3" t="s">
        <v>43</v>
      </c>
      <c r="AC2627" s="3" t="s">
        <v>14327</v>
      </c>
      <c r="AD2627" s="9">
        <v>44559</v>
      </c>
      <c r="AE2627" s="3" t="s">
        <v>1600</v>
      </c>
      <c r="AF2627" s="3" t="s">
        <v>1061</v>
      </c>
      <c r="AG2627" s="3" t="s">
        <v>81</v>
      </c>
      <c r="AH2627" s="11">
        <f>HYPERLINK("https://my.pitchbook.com?c=218502-46T","View Company Online")</f>
      </c>
    </row>
    <row r="2628">
      <c r="A2628" s="12" t="s">
        <v>14328</v>
      </c>
      <c r="B2628" s="12" t="s">
        <v>14329</v>
      </c>
      <c r="C2628" s="19" t="s">
        <v>36</v>
      </c>
      <c r="D2628" s="19" t="s">
        <v>36</v>
      </c>
      <c r="E2628" s="19" t="s">
        <v>36</v>
      </c>
      <c r="F2628" s="19" t="s">
        <v>36</v>
      </c>
      <c r="G2628" s="15" t="s">
        <v>326</v>
      </c>
      <c r="H2628" s="14">
        <v>745.57</v>
      </c>
      <c r="I2628" s="18">
        <v>10.25</v>
      </c>
      <c r="J2628" s="12" t="s">
        <v>521</v>
      </c>
      <c r="K2628" s="13" t="s">
        <v>36</v>
      </c>
      <c r="L2628" s="15" t="s">
        <v>36</v>
      </c>
      <c r="M2628" s="12" t="s">
        <v>36</v>
      </c>
      <c r="N2628" s="12" t="s">
        <v>36</v>
      </c>
      <c r="O2628" s="17" t="s">
        <v>36</v>
      </c>
      <c r="P2628" s="12" t="s">
        <v>36</v>
      </c>
      <c r="Q2628" s="12" t="s">
        <v>36</v>
      </c>
      <c r="R2628" s="12" t="s">
        <v>36</v>
      </c>
      <c r="S2628" s="12" t="s">
        <v>36</v>
      </c>
      <c r="T2628" s="12" t="s">
        <v>4733</v>
      </c>
      <c r="U2628" s="12" t="s">
        <v>423</v>
      </c>
      <c r="V2628" s="12" t="s">
        <v>64</v>
      </c>
      <c r="W2628" s="12" t="s">
        <v>14330</v>
      </c>
      <c r="X2628" s="16" t="s">
        <v>14331</v>
      </c>
      <c r="Y2628" s="15" t="s">
        <v>42</v>
      </c>
      <c r="Z2628" s="14">
        <v>0.9</v>
      </c>
      <c r="AA2628" s="14">
        <v>8.81</v>
      </c>
      <c r="AB2628" s="12" t="s">
        <v>43</v>
      </c>
      <c r="AC2628" s="12" t="s">
        <v>14332</v>
      </c>
      <c r="AD2628" s="13">
        <v>44558</v>
      </c>
      <c r="AE2628" s="12" t="s">
        <v>1051</v>
      </c>
      <c r="AF2628" s="12" t="s">
        <v>1008</v>
      </c>
      <c r="AG2628" s="12" t="s">
        <v>102</v>
      </c>
      <c r="AH2628" s="1">
        <f>HYPERLINK("https://my.pitchbook.com?c=245463-04T","View Company Online")</f>
      </c>
    </row>
    <row r="2629">
      <c r="A2629" s="3" t="s">
        <v>14333</v>
      </c>
      <c r="B2629" s="3" t="s">
        <v>9070</v>
      </c>
      <c r="C2629" s="5" t="s">
        <v>36</v>
      </c>
      <c r="D2629" s="5" t="s">
        <v>36</v>
      </c>
      <c r="E2629" s="5" t="s">
        <v>36</v>
      </c>
      <c r="F2629" s="5" t="s">
        <v>36</v>
      </c>
      <c r="G2629" s="6" t="s">
        <v>36</v>
      </c>
      <c r="H2629" s="4" t="s">
        <v>36</v>
      </c>
      <c r="I2629" s="7" t="s">
        <v>36</v>
      </c>
      <c r="J2629" s="3" t="s">
        <v>36</v>
      </c>
      <c r="K2629" s="9" t="s">
        <v>36</v>
      </c>
      <c r="L2629" s="6" t="s">
        <v>36</v>
      </c>
      <c r="M2629" s="3" t="s">
        <v>36</v>
      </c>
      <c r="N2629" s="3" t="s">
        <v>36</v>
      </c>
      <c r="O2629" s="8" t="s">
        <v>36</v>
      </c>
      <c r="P2629" s="3" t="s">
        <v>36</v>
      </c>
      <c r="Q2629" s="3" t="s">
        <v>36</v>
      </c>
      <c r="R2629" s="3" t="s">
        <v>36</v>
      </c>
      <c r="S2629" s="3" t="s">
        <v>36</v>
      </c>
      <c r="T2629" s="3" t="s">
        <v>9071</v>
      </c>
      <c r="U2629" s="3" t="s">
        <v>318</v>
      </c>
      <c r="V2629" s="3" t="s">
        <v>39</v>
      </c>
      <c r="W2629" s="3" t="s">
        <v>9072</v>
      </c>
      <c r="X2629" s="10" t="s">
        <v>14334</v>
      </c>
      <c r="Y2629" s="6" t="s">
        <v>108</v>
      </c>
      <c r="Z2629" s="4">
        <v>10</v>
      </c>
      <c r="AA2629" s="4" t="s">
        <v>36</v>
      </c>
      <c r="AB2629" s="3" t="s">
        <v>43</v>
      </c>
      <c r="AC2629" s="3" t="s">
        <v>9074</v>
      </c>
      <c r="AD2629" s="9">
        <v>44554</v>
      </c>
      <c r="AE2629" s="3" t="s">
        <v>763</v>
      </c>
      <c r="AF2629" s="3" t="s">
        <v>9075</v>
      </c>
      <c r="AG2629" s="3" t="s">
        <v>9076</v>
      </c>
      <c r="AH2629" s="11">
        <f>HYPERLINK("https://my.pitchbook.com?c=209732-05T","View Company Online")</f>
      </c>
    </row>
    <row r="2630">
      <c r="A2630" s="12" t="s">
        <v>14335</v>
      </c>
      <c r="B2630" s="12" t="s">
        <v>3396</v>
      </c>
      <c r="C2630" s="19" t="s">
        <v>36</v>
      </c>
      <c r="D2630" s="19" t="s">
        <v>36</v>
      </c>
      <c r="E2630" s="19" t="s">
        <v>36</v>
      </c>
      <c r="F2630" s="19" t="s">
        <v>36</v>
      </c>
      <c r="G2630" s="15" t="s">
        <v>36</v>
      </c>
      <c r="H2630" s="14">
        <v>93.47</v>
      </c>
      <c r="I2630" s="18">
        <v>13.49</v>
      </c>
      <c r="J2630" s="12" t="s">
        <v>521</v>
      </c>
      <c r="K2630" s="13" t="s">
        <v>36</v>
      </c>
      <c r="L2630" s="15" t="s">
        <v>36</v>
      </c>
      <c r="M2630" s="12" t="s">
        <v>36</v>
      </c>
      <c r="N2630" s="12" t="s">
        <v>36</v>
      </c>
      <c r="O2630" s="17" t="s">
        <v>36</v>
      </c>
      <c r="P2630" s="12" t="s">
        <v>36</v>
      </c>
      <c r="Q2630" s="12" t="s">
        <v>36</v>
      </c>
      <c r="R2630" s="12" t="s">
        <v>36</v>
      </c>
      <c r="S2630" s="12" t="s">
        <v>36</v>
      </c>
      <c r="T2630" s="12" t="s">
        <v>3397</v>
      </c>
      <c r="U2630" s="12" t="s">
        <v>423</v>
      </c>
      <c r="V2630" s="12" t="s">
        <v>64</v>
      </c>
      <c r="W2630" s="12" t="s">
        <v>3398</v>
      </c>
      <c r="X2630" s="16" t="s">
        <v>7214</v>
      </c>
      <c r="Y2630" s="15" t="s">
        <v>42</v>
      </c>
      <c r="Z2630" s="14">
        <v>0.16</v>
      </c>
      <c r="AA2630" s="14">
        <v>1.17</v>
      </c>
      <c r="AB2630" s="12" t="s">
        <v>43</v>
      </c>
      <c r="AC2630" s="12" t="s">
        <v>3400</v>
      </c>
      <c r="AD2630" s="13">
        <v>44553</v>
      </c>
      <c r="AE2630" s="12" t="s">
        <v>562</v>
      </c>
      <c r="AF2630" s="12" t="s">
        <v>1061</v>
      </c>
      <c r="AG2630" s="12" t="s">
        <v>144</v>
      </c>
      <c r="AH2630" s="1">
        <f>HYPERLINK("https://my.pitchbook.com?c=191893-96T","View Company Online")</f>
      </c>
    </row>
    <row r="2631">
      <c r="A2631" s="3" t="s">
        <v>14336</v>
      </c>
      <c r="B2631" s="3" t="s">
        <v>14337</v>
      </c>
      <c r="C2631" s="5" t="s">
        <v>36</v>
      </c>
      <c r="D2631" s="5">
        <v>15</v>
      </c>
      <c r="E2631" s="5">
        <v>6</v>
      </c>
      <c r="F2631" s="5">
        <v>26</v>
      </c>
      <c r="G2631" s="6" t="s">
        <v>683</v>
      </c>
      <c r="H2631" s="4">
        <v>19.58</v>
      </c>
      <c r="I2631" s="7">
        <v>12.51</v>
      </c>
      <c r="J2631" s="3" t="s">
        <v>521</v>
      </c>
      <c r="K2631" s="9" t="s">
        <v>36</v>
      </c>
      <c r="L2631" s="6" t="s">
        <v>36</v>
      </c>
      <c r="M2631" s="3" t="s">
        <v>36</v>
      </c>
      <c r="N2631" s="3" t="s">
        <v>36</v>
      </c>
      <c r="O2631" s="8" t="s">
        <v>36</v>
      </c>
      <c r="P2631" s="3" t="s">
        <v>36</v>
      </c>
      <c r="Q2631" s="3" t="s">
        <v>36</v>
      </c>
      <c r="R2631" s="3" t="s">
        <v>36</v>
      </c>
      <c r="S2631" s="3" t="s">
        <v>36</v>
      </c>
      <c r="T2631" s="3" t="s">
        <v>14338</v>
      </c>
      <c r="U2631" s="3" t="s">
        <v>423</v>
      </c>
      <c r="V2631" s="3" t="s">
        <v>64</v>
      </c>
      <c r="W2631" s="3" t="s">
        <v>14339</v>
      </c>
      <c r="X2631" s="10" t="s">
        <v>14340</v>
      </c>
      <c r="Y2631" s="6" t="s">
        <v>55</v>
      </c>
      <c r="Z2631" s="4">
        <v>7.9</v>
      </c>
      <c r="AA2631" s="4">
        <v>63.16</v>
      </c>
      <c r="AB2631" s="3" t="s">
        <v>56</v>
      </c>
      <c r="AC2631" s="3" t="s">
        <v>14341</v>
      </c>
      <c r="AD2631" s="9">
        <v>44553</v>
      </c>
      <c r="AE2631" s="3" t="s">
        <v>1051</v>
      </c>
      <c r="AF2631" s="3" t="s">
        <v>14342</v>
      </c>
      <c r="AG2631" s="3" t="s">
        <v>81</v>
      </c>
      <c r="AH2631" s="11">
        <f>HYPERLINK("https://my.pitchbook.com?c=195489-10T","View Company Online")</f>
      </c>
    </row>
    <row r="2632">
      <c r="A2632" s="12" t="s">
        <v>14343</v>
      </c>
      <c r="B2632" s="12" t="s">
        <v>14344</v>
      </c>
      <c r="C2632" s="19" t="s">
        <v>36</v>
      </c>
      <c r="D2632" s="19" t="s">
        <v>36</v>
      </c>
      <c r="E2632" s="19" t="s">
        <v>36</v>
      </c>
      <c r="F2632" s="19" t="s">
        <v>36</v>
      </c>
      <c r="G2632" s="15" t="s">
        <v>36</v>
      </c>
      <c r="H2632" s="14">
        <v>57.87</v>
      </c>
      <c r="I2632" s="18">
        <v>31.01</v>
      </c>
      <c r="J2632" s="12" t="s">
        <v>521</v>
      </c>
      <c r="K2632" s="13" t="s">
        <v>36</v>
      </c>
      <c r="L2632" s="15" t="s">
        <v>36</v>
      </c>
      <c r="M2632" s="12" t="s">
        <v>36</v>
      </c>
      <c r="N2632" s="12" t="s">
        <v>36</v>
      </c>
      <c r="O2632" s="17" t="s">
        <v>36</v>
      </c>
      <c r="P2632" s="12" t="s">
        <v>36</v>
      </c>
      <c r="Q2632" s="12" t="s">
        <v>36</v>
      </c>
      <c r="R2632" s="12" t="s">
        <v>36</v>
      </c>
      <c r="S2632" s="12" t="s">
        <v>36</v>
      </c>
      <c r="T2632" s="12" t="s">
        <v>9456</v>
      </c>
      <c r="U2632" s="12" t="s">
        <v>63</v>
      </c>
      <c r="V2632" s="12" t="s">
        <v>64</v>
      </c>
      <c r="W2632" s="12" t="s">
        <v>14345</v>
      </c>
      <c r="X2632" s="16" t="s">
        <v>1740</v>
      </c>
      <c r="Y2632" s="15" t="s">
        <v>42</v>
      </c>
      <c r="Z2632" s="14">
        <v>2.94</v>
      </c>
      <c r="AA2632" s="14">
        <v>9.49</v>
      </c>
      <c r="AB2632" s="12" t="s">
        <v>43</v>
      </c>
      <c r="AC2632" s="12" t="s">
        <v>14346</v>
      </c>
      <c r="AD2632" s="13">
        <v>44553</v>
      </c>
      <c r="AE2632" s="12" t="s">
        <v>4310</v>
      </c>
      <c r="AF2632" s="12" t="s">
        <v>36</v>
      </c>
      <c r="AG2632" s="12" t="s">
        <v>6368</v>
      </c>
      <c r="AH2632" s="1">
        <f>HYPERLINK("https://my.pitchbook.com?c=204500-80T","View Company Online")</f>
      </c>
    </row>
    <row r="2633">
      <c r="A2633" s="3" t="s">
        <v>14347</v>
      </c>
      <c r="B2633" s="3" t="s">
        <v>14348</v>
      </c>
      <c r="C2633" s="5" t="s">
        <v>36</v>
      </c>
      <c r="D2633" s="5" t="s">
        <v>36</v>
      </c>
      <c r="E2633" s="5" t="s">
        <v>36</v>
      </c>
      <c r="F2633" s="5" t="s">
        <v>36</v>
      </c>
      <c r="G2633" s="6" t="s">
        <v>36</v>
      </c>
      <c r="H2633" s="4">
        <v>2000</v>
      </c>
      <c r="I2633" s="7">
        <v>18.37</v>
      </c>
      <c r="J2633" s="3" t="s">
        <v>521</v>
      </c>
      <c r="K2633" s="9" t="s">
        <v>36</v>
      </c>
      <c r="L2633" s="6" t="s">
        <v>36</v>
      </c>
      <c r="M2633" s="3" t="s">
        <v>36</v>
      </c>
      <c r="N2633" s="3" t="s">
        <v>36</v>
      </c>
      <c r="O2633" s="8" t="s">
        <v>36</v>
      </c>
      <c r="P2633" s="3" t="s">
        <v>36</v>
      </c>
      <c r="Q2633" s="3" t="s">
        <v>36</v>
      </c>
      <c r="R2633" s="3" t="s">
        <v>36</v>
      </c>
      <c r="S2633" s="3" t="s">
        <v>1883</v>
      </c>
      <c r="T2633" s="3" t="s">
        <v>14349</v>
      </c>
      <c r="U2633" s="3" t="s">
        <v>74</v>
      </c>
      <c r="V2633" s="3" t="s">
        <v>75</v>
      </c>
      <c r="W2633" s="3" t="s">
        <v>14350</v>
      </c>
      <c r="X2633" s="10" t="s">
        <v>3656</v>
      </c>
      <c r="Y2633" s="6" t="s">
        <v>42</v>
      </c>
      <c r="Z2633" s="4">
        <v>0.45</v>
      </c>
      <c r="AA2633" s="4">
        <v>2.45</v>
      </c>
      <c r="AB2633" s="3" t="s">
        <v>43</v>
      </c>
      <c r="AC2633" s="3" t="s">
        <v>14351</v>
      </c>
      <c r="AD2633" s="9">
        <v>44552</v>
      </c>
      <c r="AE2633" s="3" t="s">
        <v>1888</v>
      </c>
      <c r="AF2633" s="3" t="s">
        <v>822</v>
      </c>
      <c r="AG2633" s="3" t="s">
        <v>14352</v>
      </c>
      <c r="AH2633" s="11">
        <f>HYPERLINK("https://my.pitchbook.com?c=215776-00T","View Company Online")</f>
      </c>
    </row>
    <row r="2634">
      <c r="A2634" s="12" t="s">
        <v>14353</v>
      </c>
      <c r="B2634" s="12" t="s">
        <v>12365</v>
      </c>
      <c r="C2634" s="19" t="s">
        <v>36</v>
      </c>
      <c r="D2634" s="19" t="s">
        <v>36</v>
      </c>
      <c r="E2634" s="19" t="s">
        <v>36</v>
      </c>
      <c r="F2634" s="19" t="s">
        <v>36</v>
      </c>
      <c r="G2634" s="15" t="s">
        <v>36</v>
      </c>
      <c r="H2634" s="14">
        <v>207.71</v>
      </c>
      <c r="I2634" s="18">
        <v>19.36</v>
      </c>
      <c r="J2634" s="12" t="s">
        <v>521</v>
      </c>
      <c r="K2634" s="13" t="s">
        <v>36</v>
      </c>
      <c r="L2634" s="15" t="s">
        <v>36</v>
      </c>
      <c r="M2634" s="12" t="s">
        <v>36</v>
      </c>
      <c r="N2634" s="12" t="s">
        <v>36</v>
      </c>
      <c r="O2634" s="17" t="s">
        <v>36</v>
      </c>
      <c r="P2634" s="12" t="s">
        <v>36</v>
      </c>
      <c r="Q2634" s="12" t="s">
        <v>36</v>
      </c>
      <c r="R2634" s="12" t="s">
        <v>36</v>
      </c>
      <c r="S2634" s="12" t="s">
        <v>36</v>
      </c>
      <c r="T2634" s="12" t="s">
        <v>12366</v>
      </c>
      <c r="U2634" s="12" t="s">
        <v>1336</v>
      </c>
      <c r="V2634" s="12" t="s">
        <v>367</v>
      </c>
      <c r="W2634" s="12" t="s">
        <v>12367</v>
      </c>
      <c r="X2634" s="16" t="s">
        <v>14354</v>
      </c>
      <c r="Y2634" s="15" t="s">
        <v>42</v>
      </c>
      <c r="Z2634" s="14">
        <v>2.71</v>
      </c>
      <c r="AA2634" s="14">
        <v>14</v>
      </c>
      <c r="AB2634" s="12" t="s">
        <v>56</v>
      </c>
      <c r="AC2634" s="12" t="s">
        <v>12369</v>
      </c>
      <c r="AD2634" s="13">
        <v>44552</v>
      </c>
      <c r="AE2634" s="12" t="s">
        <v>3712</v>
      </c>
      <c r="AF2634" s="12" t="s">
        <v>7379</v>
      </c>
      <c r="AG2634" s="12" t="s">
        <v>12370</v>
      </c>
      <c r="AH2634" s="1">
        <f>HYPERLINK("https://my.pitchbook.com?c=188999-11T","View Company Online")</f>
      </c>
    </row>
    <row r="2635">
      <c r="A2635" s="3" t="s">
        <v>14355</v>
      </c>
      <c r="B2635" s="3" t="s">
        <v>14356</v>
      </c>
      <c r="C2635" s="5" t="s">
        <v>36</v>
      </c>
      <c r="D2635" s="5" t="s">
        <v>36</v>
      </c>
      <c r="E2635" s="5" t="s">
        <v>36</v>
      </c>
      <c r="F2635" s="5" t="s">
        <v>36</v>
      </c>
      <c r="G2635" s="6" t="s">
        <v>36</v>
      </c>
      <c r="H2635" s="4">
        <v>188.83</v>
      </c>
      <c r="I2635" s="7">
        <v>21.57</v>
      </c>
      <c r="J2635" s="3" t="s">
        <v>521</v>
      </c>
      <c r="K2635" s="9" t="s">
        <v>36</v>
      </c>
      <c r="L2635" s="6" t="s">
        <v>36</v>
      </c>
      <c r="M2635" s="3" t="s">
        <v>36</v>
      </c>
      <c r="N2635" s="3" t="s">
        <v>36</v>
      </c>
      <c r="O2635" s="8" t="s">
        <v>36</v>
      </c>
      <c r="P2635" s="3" t="s">
        <v>36</v>
      </c>
      <c r="Q2635" s="3" t="s">
        <v>36</v>
      </c>
      <c r="R2635" s="3" t="s">
        <v>36</v>
      </c>
      <c r="S2635" s="3" t="s">
        <v>36</v>
      </c>
      <c r="T2635" s="3" t="s">
        <v>5196</v>
      </c>
      <c r="U2635" s="3" t="s">
        <v>38</v>
      </c>
      <c r="V2635" s="3" t="s">
        <v>39</v>
      </c>
      <c r="W2635" s="3" t="s">
        <v>14357</v>
      </c>
      <c r="X2635" s="10" t="s">
        <v>14358</v>
      </c>
      <c r="Y2635" s="6" t="s">
        <v>42</v>
      </c>
      <c r="Z2635" s="4">
        <v>0.62</v>
      </c>
      <c r="AA2635" s="4">
        <v>2.88</v>
      </c>
      <c r="AB2635" s="3" t="s">
        <v>43</v>
      </c>
      <c r="AC2635" s="3" t="s">
        <v>14359</v>
      </c>
      <c r="AD2635" s="9">
        <v>44551</v>
      </c>
      <c r="AE2635" s="3" t="s">
        <v>1422</v>
      </c>
      <c r="AF2635" s="3" t="s">
        <v>4284</v>
      </c>
      <c r="AG2635" s="3" t="s">
        <v>14360</v>
      </c>
      <c r="AH2635" s="11">
        <f>HYPERLINK("https://my.pitchbook.com?c=191096-20T","View Company Online")</f>
      </c>
    </row>
    <row r="2636">
      <c r="A2636" s="12" t="s">
        <v>14361</v>
      </c>
      <c r="B2636" s="12" t="s">
        <v>10446</v>
      </c>
      <c r="C2636" s="19" t="s">
        <v>36</v>
      </c>
      <c r="D2636" s="19" t="s">
        <v>36</v>
      </c>
      <c r="E2636" s="19" t="s">
        <v>36</v>
      </c>
      <c r="F2636" s="19" t="s">
        <v>36</v>
      </c>
      <c r="G2636" s="15" t="s">
        <v>683</v>
      </c>
      <c r="H2636" s="14">
        <v>352.46</v>
      </c>
      <c r="I2636" s="18">
        <v>13.25</v>
      </c>
      <c r="J2636" s="12" t="s">
        <v>521</v>
      </c>
      <c r="K2636" s="13" t="s">
        <v>36</v>
      </c>
      <c r="L2636" s="15" t="s">
        <v>122</v>
      </c>
      <c r="M2636" s="12" t="s">
        <v>36</v>
      </c>
      <c r="N2636" s="12" t="s">
        <v>122</v>
      </c>
      <c r="O2636" s="17" t="s">
        <v>36</v>
      </c>
      <c r="P2636" s="12" t="s">
        <v>36</v>
      </c>
      <c r="Q2636" s="12" t="s">
        <v>36</v>
      </c>
      <c r="R2636" s="12" t="s">
        <v>36</v>
      </c>
      <c r="S2636" s="12" t="s">
        <v>36</v>
      </c>
      <c r="T2636" s="12" t="s">
        <v>130</v>
      </c>
      <c r="U2636" s="12" t="s">
        <v>38</v>
      </c>
      <c r="V2636" s="12" t="s">
        <v>39</v>
      </c>
      <c r="W2636" s="12" t="s">
        <v>10447</v>
      </c>
      <c r="X2636" s="16" t="s">
        <v>14362</v>
      </c>
      <c r="Y2636" s="15" t="s">
        <v>108</v>
      </c>
      <c r="Z2636" s="14">
        <v>7.1</v>
      </c>
      <c r="AA2636" s="14">
        <v>53.55</v>
      </c>
      <c r="AB2636" s="12" t="s">
        <v>56</v>
      </c>
      <c r="AC2636" s="12" t="s">
        <v>10449</v>
      </c>
      <c r="AD2636" s="13">
        <v>44551</v>
      </c>
      <c r="AE2636" s="12" t="s">
        <v>134</v>
      </c>
      <c r="AF2636" s="12" t="s">
        <v>135</v>
      </c>
      <c r="AG2636" s="12" t="s">
        <v>3406</v>
      </c>
      <c r="AH2636" s="1">
        <f>HYPERLINK("https://my.pitchbook.com?c=211991-23T","View Company Online")</f>
      </c>
    </row>
    <row r="2637">
      <c r="A2637" s="3" t="s">
        <v>14363</v>
      </c>
      <c r="B2637" s="3" t="s">
        <v>14364</v>
      </c>
      <c r="C2637" s="5" t="s">
        <v>36</v>
      </c>
      <c r="D2637" s="5" t="s">
        <v>36</v>
      </c>
      <c r="E2637" s="5" t="s">
        <v>36</v>
      </c>
      <c r="F2637" s="5" t="s">
        <v>36</v>
      </c>
      <c r="G2637" s="6" t="s">
        <v>326</v>
      </c>
      <c r="H2637" s="4">
        <v>4.33</v>
      </c>
      <c r="I2637" s="7">
        <v>33.65</v>
      </c>
      <c r="J2637" s="3" t="s">
        <v>521</v>
      </c>
      <c r="K2637" s="9" t="s">
        <v>36</v>
      </c>
      <c r="L2637" s="6" t="s">
        <v>122</v>
      </c>
      <c r="M2637" s="3" t="s">
        <v>36</v>
      </c>
      <c r="N2637" s="3" t="s">
        <v>122</v>
      </c>
      <c r="O2637" s="8" t="s">
        <v>36</v>
      </c>
      <c r="P2637" s="3" t="s">
        <v>36</v>
      </c>
      <c r="Q2637" s="3" t="s">
        <v>36</v>
      </c>
      <c r="R2637" s="3" t="s">
        <v>36</v>
      </c>
      <c r="S2637" s="3" t="s">
        <v>36</v>
      </c>
      <c r="T2637" s="3" t="s">
        <v>464</v>
      </c>
      <c r="U2637" s="3" t="s">
        <v>38</v>
      </c>
      <c r="V2637" s="3" t="s">
        <v>39</v>
      </c>
      <c r="W2637" s="3" t="s">
        <v>14365</v>
      </c>
      <c r="X2637" s="10" t="s">
        <v>14366</v>
      </c>
      <c r="Y2637" s="6" t="s">
        <v>108</v>
      </c>
      <c r="Z2637" s="4">
        <v>3.95</v>
      </c>
      <c r="AA2637" s="4">
        <v>11.74</v>
      </c>
      <c r="AB2637" s="3" t="s">
        <v>56</v>
      </c>
      <c r="AC2637" s="3" t="s">
        <v>14367</v>
      </c>
      <c r="AD2637" s="9">
        <v>44550</v>
      </c>
      <c r="AE2637" s="3" t="s">
        <v>110</v>
      </c>
      <c r="AF2637" s="3" t="s">
        <v>12337</v>
      </c>
      <c r="AG2637" s="3" t="s">
        <v>81</v>
      </c>
      <c r="AH2637" s="11">
        <f>HYPERLINK("https://my.pitchbook.com?c=189252-46T","View Company Online")</f>
      </c>
    </row>
    <row r="2638">
      <c r="A2638" s="12" t="s">
        <v>14368</v>
      </c>
      <c r="B2638" s="12" t="s">
        <v>5469</v>
      </c>
      <c r="C2638" s="19" t="s">
        <v>36</v>
      </c>
      <c r="D2638" s="19" t="s">
        <v>36</v>
      </c>
      <c r="E2638" s="19" t="s">
        <v>36</v>
      </c>
      <c r="F2638" s="19" t="s">
        <v>36</v>
      </c>
      <c r="G2638" s="15" t="s">
        <v>36</v>
      </c>
      <c r="H2638" s="14" t="s">
        <v>36</v>
      </c>
      <c r="I2638" s="18" t="s">
        <v>36</v>
      </c>
      <c r="J2638" s="12" t="s">
        <v>36</v>
      </c>
      <c r="K2638" s="13" t="s">
        <v>36</v>
      </c>
      <c r="L2638" s="15" t="s">
        <v>36</v>
      </c>
      <c r="M2638" s="12" t="s">
        <v>36</v>
      </c>
      <c r="N2638" s="12" t="s">
        <v>36</v>
      </c>
      <c r="O2638" s="17" t="s">
        <v>36</v>
      </c>
      <c r="P2638" s="12" t="s">
        <v>36</v>
      </c>
      <c r="Q2638" s="12" t="s">
        <v>36</v>
      </c>
      <c r="R2638" s="12" t="s">
        <v>36</v>
      </c>
      <c r="S2638" s="12" t="s">
        <v>36</v>
      </c>
      <c r="T2638" s="12" t="s">
        <v>5470</v>
      </c>
      <c r="U2638" s="12" t="s">
        <v>38</v>
      </c>
      <c r="V2638" s="12" t="s">
        <v>39</v>
      </c>
      <c r="W2638" s="12" t="s">
        <v>5471</v>
      </c>
      <c r="X2638" s="16" t="s">
        <v>9668</v>
      </c>
      <c r="Y2638" s="15" t="s">
        <v>42</v>
      </c>
      <c r="Z2638" s="14" t="s">
        <v>36</v>
      </c>
      <c r="AA2638" s="14" t="s">
        <v>36</v>
      </c>
      <c r="AB2638" s="12" t="s">
        <v>56</v>
      </c>
      <c r="AC2638" s="12" t="s">
        <v>5472</v>
      </c>
      <c r="AD2638" s="13">
        <v>44549</v>
      </c>
      <c r="AE2638" s="12" t="s">
        <v>1422</v>
      </c>
      <c r="AF2638" s="12" t="s">
        <v>5473</v>
      </c>
      <c r="AG2638" s="12" t="s">
        <v>5474</v>
      </c>
      <c r="AH2638" s="1">
        <f>HYPERLINK("https://my.pitchbook.com?c=206579-26T","View Company Online")</f>
      </c>
    </row>
    <row r="2639">
      <c r="A2639" s="3" t="s">
        <v>14369</v>
      </c>
      <c r="B2639" s="3" t="s">
        <v>11619</v>
      </c>
      <c r="C2639" s="5" t="s">
        <v>36</v>
      </c>
      <c r="D2639" s="5" t="s">
        <v>36</v>
      </c>
      <c r="E2639" s="5" t="s">
        <v>36</v>
      </c>
      <c r="F2639" s="5" t="s">
        <v>36</v>
      </c>
      <c r="G2639" s="6" t="s">
        <v>36</v>
      </c>
      <c r="H2639" s="4">
        <v>79.68</v>
      </c>
      <c r="I2639" s="7">
        <v>23.28</v>
      </c>
      <c r="J2639" s="3" t="s">
        <v>521</v>
      </c>
      <c r="K2639" s="9" t="s">
        <v>36</v>
      </c>
      <c r="L2639" s="6" t="s">
        <v>36</v>
      </c>
      <c r="M2639" s="3" t="s">
        <v>36</v>
      </c>
      <c r="N2639" s="3" t="s">
        <v>36</v>
      </c>
      <c r="O2639" s="8" t="s">
        <v>36</v>
      </c>
      <c r="P2639" s="3" t="s">
        <v>36</v>
      </c>
      <c r="Q2639" s="3" t="s">
        <v>36</v>
      </c>
      <c r="R2639" s="3" t="s">
        <v>36</v>
      </c>
      <c r="S2639" s="3" t="s">
        <v>36</v>
      </c>
      <c r="T2639" s="3" t="s">
        <v>11620</v>
      </c>
      <c r="U2639" s="3" t="s">
        <v>956</v>
      </c>
      <c r="V2639" s="3" t="s">
        <v>405</v>
      </c>
      <c r="W2639" s="3" t="s">
        <v>11621</v>
      </c>
      <c r="X2639" s="10" t="s">
        <v>14370</v>
      </c>
      <c r="Y2639" s="6" t="s">
        <v>42</v>
      </c>
      <c r="Z2639" s="4">
        <v>3.94</v>
      </c>
      <c r="AA2639" s="4">
        <v>16.93</v>
      </c>
      <c r="AB2639" s="3" t="s">
        <v>43</v>
      </c>
      <c r="AC2639" s="3" t="s">
        <v>11623</v>
      </c>
      <c r="AD2639" s="9">
        <v>44549</v>
      </c>
      <c r="AE2639" s="3" t="s">
        <v>960</v>
      </c>
      <c r="AF2639" s="3" t="s">
        <v>215</v>
      </c>
      <c r="AG2639" s="3" t="s">
        <v>81</v>
      </c>
      <c r="AH2639" s="11">
        <f>HYPERLINK("https://my.pitchbook.com?c=184743-82T","View Company Online")</f>
      </c>
    </row>
    <row r="2640">
      <c r="A2640" s="12" t="s">
        <v>14371</v>
      </c>
      <c r="B2640" s="12" t="s">
        <v>14372</v>
      </c>
      <c r="C2640" s="19" t="s">
        <v>36</v>
      </c>
      <c r="D2640" s="19" t="s">
        <v>36</v>
      </c>
      <c r="E2640" s="19" t="s">
        <v>36</v>
      </c>
      <c r="F2640" s="19" t="s">
        <v>36</v>
      </c>
      <c r="G2640" s="15" t="s">
        <v>36</v>
      </c>
      <c r="H2640" s="14" t="s">
        <v>36</v>
      </c>
      <c r="I2640" s="18" t="s">
        <v>36</v>
      </c>
      <c r="J2640" s="12" t="s">
        <v>36</v>
      </c>
      <c r="K2640" s="13" t="s">
        <v>36</v>
      </c>
      <c r="L2640" s="15" t="s">
        <v>36</v>
      </c>
      <c r="M2640" s="12" t="s">
        <v>36</v>
      </c>
      <c r="N2640" s="12" t="s">
        <v>36</v>
      </c>
      <c r="O2640" s="17" t="s">
        <v>36</v>
      </c>
      <c r="P2640" s="12" t="s">
        <v>36</v>
      </c>
      <c r="Q2640" s="12" t="s">
        <v>36</v>
      </c>
      <c r="R2640" s="12" t="s">
        <v>36</v>
      </c>
      <c r="S2640" s="12" t="s">
        <v>36</v>
      </c>
      <c r="T2640" s="12" t="s">
        <v>105</v>
      </c>
      <c r="U2640" s="12" t="s">
        <v>38</v>
      </c>
      <c r="V2640" s="12" t="s">
        <v>39</v>
      </c>
      <c r="W2640" s="12" t="s">
        <v>14373</v>
      </c>
      <c r="X2640" s="16" t="s">
        <v>14374</v>
      </c>
      <c r="Y2640" s="15" t="s">
        <v>42</v>
      </c>
      <c r="Z2640" s="14">
        <v>1.69</v>
      </c>
      <c r="AA2640" s="14" t="s">
        <v>36</v>
      </c>
      <c r="AB2640" s="12" t="s">
        <v>56</v>
      </c>
      <c r="AC2640" s="12" t="s">
        <v>14375</v>
      </c>
      <c r="AD2640" s="13">
        <v>44547</v>
      </c>
      <c r="AE2640" s="12" t="s">
        <v>110</v>
      </c>
      <c r="AF2640" s="12" t="s">
        <v>7294</v>
      </c>
      <c r="AG2640" s="12" t="s">
        <v>652</v>
      </c>
      <c r="AH2640" s="1">
        <f>HYPERLINK("https://my.pitchbook.com?c=185347-90T","View Company Online")</f>
      </c>
    </row>
    <row r="2641">
      <c r="A2641" s="3" t="s">
        <v>14376</v>
      </c>
      <c r="B2641" s="3" t="s">
        <v>14377</v>
      </c>
      <c r="C2641" s="5">
        <v>9</v>
      </c>
      <c r="D2641" s="5">
        <v>2</v>
      </c>
      <c r="E2641" s="5">
        <v>7</v>
      </c>
      <c r="F2641" s="5">
        <v>13</v>
      </c>
      <c r="G2641" s="6" t="s">
        <v>36</v>
      </c>
      <c r="H2641" s="4">
        <v>0.65</v>
      </c>
      <c r="I2641" s="7">
        <v>32</v>
      </c>
      <c r="J2641" s="3" t="s">
        <v>521</v>
      </c>
      <c r="K2641" s="9" t="s">
        <v>36</v>
      </c>
      <c r="L2641" s="6" t="s">
        <v>36</v>
      </c>
      <c r="M2641" s="3" t="s">
        <v>36</v>
      </c>
      <c r="N2641" s="3" t="s">
        <v>36</v>
      </c>
      <c r="O2641" s="8" t="s">
        <v>36</v>
      </c>
      <c r="P2641" s="3" t="s">
        <v>36</v>
      </c>
      <c r="Q2641" s="3" t="s">
        <v>36</v>
      </c>
      <c r="R2641" s="3" t="s">
        <v>36</v>
      </c>
      <c r="S2641" s="3" t="s">
        <v>36</v>
      </c>
      <c r="T2641" s="3" t="s">
        <v>2811</v>
      </c>
      <c r="U2641" s="3" t="s">
        <v>219</v>
      </c>
      <c r="V2641" s="3" t="s">
        <v>75</v>
      </c>
      <c r="W2641" s="3" t="s">
        <v>14378</v>
      </c>
      <c r="X2641" s="10" t="s">
        <v>6176</v>
      </c>
      <c r="Y2641" s="6" t="s">
        <v>55</v>
      </c>
      <c r="Z2641" s="4">
        <v>1.58</v>
      </c>
      <c r="AA2641" s="4">
        <v>4.94</v>
      </c>
      <c r="AB2641" s="3" t="s">
        <v>56</v>
      </c>
      <c r="AC2641" s="3" t="s">
        <v>14379</v>
      </c>
      <c r="AD2641" s="9">
        <v>44546</v>
      </c>
      <c r="AE2641" s="3" t="s">
        <v>223</v>
      </c>
      <c r="AF2641" s="3" t="s">
        <v>14380</v>
      </c>
      <c r="AG2641" s="3" t="s">
        <v>14381</v>
      </c>
      <c r="AH2641" s="11">
        <f>HYPERLINK("https://my.pitchbook.com?c=186874-03T","View Company Online")</f>
      </c>
    </row>
    <row r="2642">
      <c r="A2642" s="12" t="s">
        <v>14382</v>
      </c>
      <c r="B2642" s="12" t="s">
        <v>14383</v>
      </c>
      <c r="C2642" s="19" t="s">
        <v>36</v>
      </c>
      <c r="D2642" s="19" t="s">
        <v>36</v>
      </c>
      <c r="E2642" s="19" t="s">
        <v>36</v>
      </c>
      <c r="F2642" s="19" t="s">
        <v>36</v>
      </c>
      <c r="G2642" s="15" t="s">
        <v>326</v>
      </c>
      <c r="H2642" s="14" t="s">
        <v>36</v>
      </c>
      <c r="I2642" s="18">
        <v>24.05</v>
      </c>
      <c r="J2642" s="12" t="s">
        <v>327</v>
      </c>
      <c r="K2642" s="13" t="s">
        <v>36</v>
      </c>
      <c r="L2642" s="15" t="s">
        <v>36</v>
      </c>
      <c r="M2642" s="12" t="s">
        <v>36</v>
      </c>
      <c r="N2642" s="12" t="s">
        <v>36</v>
      </c>
      <c r="O2642" s="17" t="s">
        <v>36</v>
      </c>
      <c r="P2642" s="12" t="s">
        <v>36</v>
      </c>
      <c r="Q2642" s="12" t="s">
        <v>36</v>
      </c>
      <c r="R2642" s="12" t="s">
        <v>36</v>
      </c>
      <c r="S2642" s="12" t="s">
        <v>36</v>
      </c>
      <c r="T2642" s="12" t="s">
        <v>14384</v>
      </c>
      <c r="U2642" s="12" t="s">
        <v>63</v>
      </c>
      <c r="V2642" s="12" t="s">
        <v>64</v>
      </c>
      <c r="W2642" s="12" t="s">
        <v>14385</v>
      </c>
      <c r="X2642" s="16" t="s">
        <v>14386</v>
      </c>
      <c r="Y2642" s="15" t="s">
        <v>55</v>
      </c>
      <c r="Z2642" s="14">
        <v>2.26</v>
      </c>
      <c r="AA2642" s="14">
        <v>9.39</v>
      </c>
      <c r="AB2642" s="12" t="s">
        <v>43</v>
      </c>
      <c r="AC2642" s="12" t="s">
        <v>14387</v>
      </c>
      <c r="AD2642" s="13">
        <v>44546</v>
      </c>
      <c r="AE2642" s="12" t="s">
        <v>4310</v>
      </c>
      <c r="AF2642" s="12" t="s">
        <v>36</v>
      </c>
      <c r="AG2642" s="12" t="s">
        <v>12608</v>
      </c>
      <c r="AH2642" s="1">
        <f>HYPERLINK("https://my.pitchbook.com?c=189303-31T","View Company Online")</f>
      </c>
    </row>
    <row r="2643">
      <c r="A2643" s="3" t="s">
        <v>14388</v>
      </c>
      <c r="B2643" s="3" t="s">
        <v>14389</v>
      </c>
      <c r="C2643" s="5" t="s">
        <v>36</v>
      </c>
      <c r="D2643" s="5" t="s">
        <v>36</v>
      </c>
      <c r="E2643" s="5" t="s">
        <v>36</v>
      </c>
      <c r="F2643" s="5" t="s">
        <v>36</v>
      </c>
      <c r="G2643" s="6" t="s">
        <v>36</v>
      </c>
      <c r="H2643" s="4">
        <v>52.19</v>
      </c>
      <c r="I2643" s="7">
        <v>12.51</v>
      </c>
      <c r="J2643" s="3" t="s">
        <v>521</v>
      </c>
      <c r="K2643" s="9" t="s">
        <v>36</v>
      </c>
      <c r="L2643" s="6" t="s">
        <v>36</v>
      </c>
      <c r="M2643" s="3" t="s">
        <v>36</v>
      </c>
      <c r="N2643" s="3" t="s">
        <v>36</v>
      </c>
      <c r="O2643" s="8" t="s">
        <v>36</v>
      </c>
      <c r="P2643" s="3" t="s">
        <v>36</v>
      </c>
      <c r="Q2643" s="3" t="s">
        <v>36</v>
      </c>
      <c r="R2643" s="3" t="s">
        <v>36</v>
      </c>
      <c r="S2643" s="3" t="s">
        <v>36</v>
      </c>
      <c r="T2643" s="3" t="s">
        <v>14390</v>
      </c>
      <c r="U2643" s="3" t="s">
        <v>74</v>
      </c>
      <c r="V2643" s="3" t="s">
        <v>75</v>
      </c>
      <c r="W2643" s="3" t="s">
        <v>14391</v>
      </c>
      <c r="X2643" s="10" t="s">
        <v>14392</v>
      </c>
      <c r="Y2643" s="6" t="s">
        <v>42</v>
      </c>
      <c r="Z2643" s="4">
        <v>5.65</v>
      </c>
      <c r="AA2643" s="4">
        <v>45.14</v>
      </c>
      <c r="AB2643" s="3" t="s">
        <v>56</v>
      </c>
      <c r="AC2643" s="3" t="s">
        <v>14393</v>
      </c>
      <c r="AD2643" s="9">
        <v>44546</v>
      </c>
      <c r="AE2643" s="3" t="s">
        <v>7957</v>
      </c>
      <c r="AF2643" s="3" t="s">
        <v>215</v>
      </c>
      <c r="AG2643" s="3" t="s">
        <v>47</v>
      </c>
      <c r="AH2643" s="11">
        <f>HYPERLINK("https://my.pitchbook.com?c=185308-39T","View Company Online")</f>
      </c>
    </row>
    <row r="2644">
      <c r="A2644" s="12" t="s">
        <v>14394</v>
      </c>
      <c r="B2644" s="12" t="s">
        <v>14395</v>
      </c>
      <c r="C2644" s="19" t="s">
        <v>36</v>
      </c>
      <c r="D2644" s="19" t="s">
        <v>36</v>
      </c>
      <c r="E2644" s="19" t="s">
        <v>36</v>
      </c>
      <c r="F2644" s="19" t="s">
        <v>36</v>
      </c>
      <c r="G2644" s="15" t="s">
        <v>36</v>
      </c>
      <c r="H2644" s="14">
        <v>217.38</v>
      </c>
      <c r="I2644" s="18">
        <v>28.04</v>
      </c>
      <c r="J2644" s="12" t="s">
        <v>521</v>
      </c>
      <c r="K2644" s="13" t="s">
        <v>36</v>
      </c>
      <c r="L2644" s="15" t="s">
        <v>36</v>
      </c>
      <c r="M2644" s="12" t="s">
        <v>36</v>
      </c>
      <c r="N2644" s="12" t="s">
        <v>36</v>
      </c>
      <c r="O2644" s="17" t="s">
        <v>36</v>
      </c>
      <c r="P2644" s="12" t="s">
        <v>36</v>
      </c>
      <c r="Q2644" s="12" t="s">
        <v>36</v>
      </c>
      <c r="R2644" s="12" t="s">
        <v>36</v>
      </c>
      <c r="S2644" s="12" t="s">
        <v>36</v>
      </c>
      <c r="T2644" s="12" t="s">
        <v>692</v>
      </c>
      <c r="U2644" s="12" t="s">
        <v>74</v>
      </c>
      <c r="V2644" s="12" t="s">
        <v>75</v>
      </c>
      <c r="W2644" s="12" t="s">
        <v>14396</v>
      </c>
      <c r="X2644" s="16" t="s">
        <v>14397</v>
      </c>
      <c r="Y2644" s="15" t="s">
        <v>42</v>
      </c>
      <c r="Z2644" s="14">
        <v>0.99</v>
      </c>
      <c r="AA2644" s="14">
        <v>3.55</v>
      </c>
      <c r="AB2644" s="12" t="s">
        <v>43</v>
      </c>
      <c r="AC2644" s="12" t="s">
        <v>14398</v>
      </c>
      <c r="AD2644" s="13">
        <v>44546</v>
      </c>
      <c r="AE2644" s="12" t="s">
        <v>696</v>
      </c>
      <c r="AF2644" s="12" t="s">
        <v>4284</v>
      </c>
      <c r="AG2644" s="12" t="s">
        <v>81</v>
      </c>
      <c r="AH2644" s="1">
        <f>HYPERLINK("https://my.pitchbook.com?c=185304-34T","View Company Online")</f>
      </c>
    </row>
    <row r="2645">
      <c r="A2645" s="3" t="s">
        <v>14399</v>
      </c>
      <c r="B2645" s="3" t="s">
        <v>5364</v>
      </c>
      <c r="C2645" s="5">
        <v>20</v>
      </c>
      <c r="D2645" s="5">
        <v>106</v>
      </c>
      <c r="E2645" s="5">
        <v>18</v>
      </c>
      <c r="F2645" s="5">
        <v>132</v>
      </c>
      <c r="G2645" s="6" t="s">
        <v>326</v>
      </c>
      <c r="H2645" s="4">
        <v>168.67</v>
      </c>
      <c r="I2645" s="7">
        <v>48.03</v>
      </c>
      <c r="J2645" s="3" t="s">
        <v>521</v>
      </c>
      <c r="K2645" s="9">
        <v>44348</v>
      </c>
      <c r="L2645" s="6" t="s">
        <v>94</v>
      </c>
      <c r="M2645" s="3" t="s">
        <v>36</v>
      </c>
      <c r="N2645" s="3" t="s">
        <v>94</v>
      </c>
      <c r="O2645" s="8" t="s">
        <v>36</v>
      </c>
      <c r="P2645" s="3" t="s">
        <v>36</v>
      </c>
      <c r="Q2645" s="3" t="s">
        <v>36</v>
      </c>
      <c r="R2645" s="3" t="s">
        <v>36</v>
      </c>
      <c r="S2645" s="3" t="s">
        <v>36</v>
      </c>
      <c r="T2645" s="3" t="s">
        <v>4225</v>
      </c>
      <c r="U2645" s="3" t="s">
        <v>96</v>
      </c>
      <c r="V2645" s="3" t="s">
        <v>52</v>
      </c>
      <c r="W2645" s="3" t="s">
        <v>5365</v>
      </c>
      <c r="X2645" s="10" t="s">
        <v>14400</v>
      </c>
      <c r="Y2645" s="6" t="s">
        <v>55</v>
      </c>
      <c r="Z2645" s="4">
        <v>23.46</v>
      </c>
      <c r="AA2645" s="4">
        <v>48.84</v>
      </c>
      <c r="AB2645" s="3" t="s">
        <v>56</v>
      </c>
      <c r="AC2645" s="3" t="s">
        <v>5366</v>
      </c>
      <c r="AD2645" s="9">
        <v>44545</v>
      </c>
      <c r="AE2645" s="3" t="s">
        <v>143</v>
      </c>
      <c r="AF2645" s="3" t="s">
        <v>159</v>
      </c>
      <c r="AG2645" s="3" t="s">
        <v>3406</v>
      </c>
      <c r="AH2645" s="11">
        <f>HYPERLINK("https://my.pitchbook.com?c=173265-40T","View Company Online")</f>
      </c>
    </row>
    <row r="2646">
      <c r="A2646" s="12" t="s">
        <v>14401</v>
      </c>
      <c r="B2646" s="12" t="s">
        <v>14402</v>
      </c>
      <c r="C2646" s="19" t="s">
        <v>36</v>
      </c>
      <c r="D2646" s="19" t="s">
        <v>36</v>
      </c>
      <c r="E2646" s="19" t="s">
        <v>36</v>
      </c>
      <c r="F2646" s="19" t="s">
        <v>36</v>
      </c>
      <c r="G2646" s="15" t="s">
        <v>36</v>
      </c>
      <c r="H2646" s="14">
        <v>198.2</v>
      </c>
      <c r="I2646" s="18">
        <v>27.67</v>
      </c>
      <c r="J2646" s="12" t="s">
        <v>521</v>
      </c>
      <c r="K2646" s="13" t="s">
        <v>36</v>
      </c>
      <c r="L2646" s="15" t="s">
        <v>94</v>
      </c>
      <c r="M2646" s="12" t="s">
        <v>36</v>
      </c>
      <c r="N2646" s="12" t="s">
        <v>94</v>
      </c>
      <c r="O2646" s="17" t="s">
        <v>36</v>
      </c>
      <c r="P2646" s="12" t="s">
        <v>36</v>
      </c>
      <c r="Q2646" s="12" t="s">
        <v>36</v>
      </c>
      <c r="R2646" s="12" t="s">
        <v>36</v>
      </c>
      <c r="S2646" s="12" t="s">
        <v>36</v>
      </c>
      <c r="T2646" s="12" t="s">
        <v>3397</v>
      </c>
      <c r="U2646" s="12" t="s">
        <v>423</v>
      </c>
      <c r="V2646" s="12" t="s">
        <v>64</v>
      </c>
      <c r="W2646" s="12" t="s">
        <v>14403</v>
      </c>
      <c r="X2646" s="16" t="s">
        <v>14404</v>
      </c>
      <c r="Y2646" s="15" t="s">
        <v>55</v>
      </c>
      <c r="Z2646" s="14">
        <v>27.37</v>
      </c>
      <c r="AA2646" s="14">
        <v>98.9</v>
      </c>
      <c r="AB2646" s="12" t="s">
        <v>56</v>
      </c>
      <c r="AC2646" s="12" t="s">
        <v>14405</v>
      </c>
      <c r="AD2646" s="13">
        <v>44545</v>
      </c>
      <c r="AE2646" s="12" t="s">
        <v>562</v>
      </c>
      <c r="AF2646" s="12" t="s">
        <v>4270</v>
      </c>
      <c r="AG2646" s="12" t="s">
        <v>81</v>
      </c>
      <c r="AH2646" s="1">
        <f>HYPERLINK("https://my.pitchbook.com?c=185111-29T","View Company Online")</f>
      </c>
    </row>
    <row r="2647">
      <c r="A2647" s="3" t="s">
        <v>14406</v>
      </c>
      <c r="B2647" s="3" t="s">
        <v>14407</v>
      </c>
      <c r="C2647" s="5" t="s">
        <v>36</v>
      </c>
      <c r="D2647" s="5" t="s">
        <v>36</v>
      </c>
      <c r="E2647" s="5" t="s">
        <v>36</v>
      </c>
      <c r="F2647" s="5" t="s">
        <v>36</v>
      </c>
      <c r="G2647" s="6" t="s">
        <v>326</v>
      </c>
      <c r="H2647" s="4">
        <v>5.27</v>
      </c>
      <c r="I2647" s="7">
        <v>28.24</v>
      </c>
      <c r="J2647" s="3" t="s">
        <v>521</v>
      </c>
      <c r="K2647" s="9" t="s">
        <v>36</v>
      </c>
      <c r="L2647" s="6" t="s">
        <v>36</v>
      </c>
      <c r="M2647" s="3" t="s">
        <v>36</v>
      </c>
      <c r="N2647" s="3" t="s">
        <v>36</v>
      </c>
      <c r="O2647" s="8" t="s">
        <v>36</v>
      </c>
      <c r="P2647" s="3" t="s">
        <v>36</v>
      </c>
      <c r="Q2647" s="3" t="s">
        <v>36</v>
      </c>
      <c r="R2647" s="3" t="s">
        <v>36</v>
      </c>
      <c r="S2647" s="3" t="s">
        <v>14408</v>
      </c>
      <c r="T2647" s="3" t="s">
        <v>14409</v>
      </c>
      <c r="U2647" s="3" t="s">
        <v>38</v>
      </c>
      <c r="V2647" s="3" t="s">
        <v>39</v>
      </c>
      <c r="W2647" s="3" t="s">
        <v>14410</v>
      </c>
      <c r="X2647" s="10" t="s">
        <v>14411</v>
      </c>
      <c r="Y2647" s="6" t="s">
        <v>108</v>
      </c>
      <c r="Z2647" s="4">
        <v>2.94</v>
      </c>
      <c r="AA2647" s="4">
        <v>10.4</v>
      </c>
      <c r="AB2647" s="3" t="s">
        <v>43</v>
      </c>
      <c r="AC2647" s="3" t="s">
        <v>14412</v>
      </c>
      <c r="AD2647" s="9">
        <v>44545</v>
      </c>
      <c r="AE2647" s="3" t="s">
        <v>1422</v>
      </c>
      <c r="AF2647" s="3" t="s">
        <v>4200</v>
      </c>
      <c r="AG2647" s="3" t="s">
        <v>4520</v>
      </c>
      <c r="AH2647" s="11">
        <f>HYPERLINK("https://my.pitchbook.com?c=187307-83T","View Company Online")</f>
      </c>
    </row>
    <row r="2648">
      <c r="A2648" s="12" t="s">
        <v>14413</v>
      </c>
      <c r="B2648" s="12" t="s">
        <v>14414</v>
      </c>
      <c r="C2648" s="19" t="s">
        <v>36</v>
      </c>
      <c r="D2648" s="19" t="s">
        <v>36</v>
      </c>
      <c r="E2648" s="19" t="s">
        <v>36</v>
      </c>
      <c r="F2648" s="19" t="s">
        <v>36</v>
      </c>
      <c r="G2648" s="15" t="s">
        <v>36</v>
      </c>
      <c r="H2648" s="14" t="s">
        <v>36</v>
      </c>
      <c r="I2648" s="18" t="s">
        <v>36</v>
      </c>
      <c r="J2648" s="12" t="s">
        <v>36</v>
      </c>
      <c r="K2648" s="13" t="s">
        <v>36</v>
      </c>
      <c r="L2648" s="15" t="s">
        <v>36</v>
      </c>
      <c r="M2648" s="12" t="s">
        <v>36</v>
      </c>
      <c r="N2648" s="12" t="s">
        <v>36</v>
      </c>
      <c r="O2648" s="17" t="s">
        <v>36</v>
      </c>
      <c r="P2648" s="12" t="s">
        <v>36</v>
      </c>
      <c r="Q2648" s="12" t="s">
        <v>36</v>
      </c>
      <c r="R2648" s="12" t="s">
        <v>36</v>
      </c>
      <c r="S2648" s="12" t="s">
        <v>36</v>
      </c>
      <c r="T2648" s="12" t="s">
        <v>14415</v>
      </c>
      <c r="U2648" s="12" t="s">
        <v>74</v>
      </c>
      <c r="V2648" s="12" t="s">
        <v>75</v>
      </c>
      <c r="W2648" s="12" t="s">
        <v>14416</v>
      </c>
      <c r="X2648" s="16" t="s">
        <v>11154</v>
      </c>
      <c r="Y2648" s="15" t="s">
        <v>42</v>
      </c>
      <c r="Z2648" s="14" t="s">
        <v>36</v>
      </c>
      <c r="AA2648" s="14" t="s">
        <v>36</v>
      </c>
      <c r="AB2648" s="12" t="s">
        <v>43</v>
      </c>
      <c r="AC2648" s="12" t="s">
        <v>14417</v>
      </c>
      <c r="AD2648" s="13">
        <v>44544</v>
      </c>
      <c r="AE2648" s="12" t="s">
        <v>79</v>
      </c>
      <c r="AF2648" s="12" t="s">
        <v>14418</v>
      </c>
      <c r="AG2648" s="12" t="s">
        <v>47</v>
      </c>
      <c r="AH2648" s="1">
        <f>HYPERLINK("https://my.pitchbook.com?c=185013-91T","View Company Online")</f>
      </c>
    </row>
    <row r="2649">
      <c r="A2649" s="3" t="s">
        <v>14419</v>
      </c>
      <c r="B2649" s="3" t="s">
        <v>9135</v>
      </c>
      <c r="C2649" s="5" t="s">
        <v>36</v>
      </c>
      <c r="D2649" s="5" t="s">
        <v>36</v>
      </c>
      <c r="E2649" s="5" t="s">
        <v>36</v>
      </c>
      <c r="F2649" s="5" t="s">
        <v>36</v>
      </c>
      <c r="G2649" s="6" t="s">
        <v>36</v>
      </c>
      <c r="H2649" s="4" t="s">
        <v>36</v>
      </c>
      <c r="I2649" s="7" t="s">
        <v>36</v>
      </c>
      <c r="J2649" s="3" t="s">
        <v>36</v>
      </c>
      <c r="K2649" s="9">
        <v>44215</v>
      </c>
      <c r="L2649" s="6" t="s">
        <v>36</v>
      </c>
      <c r="M2649" s="3" t="s">
        <v>36</v>
      </c>
      <c r="N2649" s="3" t="s">
        <v>36</v>
      </c>
      <c r="O2649" s="8" t="s">
        <v>36</v>
      </c>
      <c r="P2649" s="3" t="s">
        <v>36</v>
      </c>
      <c r="Q2649" s="3" t="s">
        <v>36</v>
      </c>
      <c r="R2649" s="3" t="s">
        <v>36</v>
      </c>
      <c r="S2649" s="3" t="s">
        <v>36</v>
      </c>
      <c r="T2649" s="3" t="s">
        <v>8394</v>
      </c>
      <c r="U2649" s="3" t="s">
        <v>85</v>
      </c>
      <c r="V2649" s="3" t="s">
        <v>64</v>
      </c>
      <c r="W2649" s="3" t="s">
        <v>9136</v>
      </c>
      <c r="X2649" s="10" t="s">
        <v>14420</v>
      </c>
      <c r="Y2649" s="6" t="s">
        <v>166</v>
      </c>
      <c r="Z2649" s="4">
        <v>113.01</v>
      </c>
      <c r="AA2649" s="4" t="s">
        <v>36</v>
      </c>
      <c r="AB2649" s="3" t="s">
        <v>56</v>
      </c>
      <c r="AC2649" s="3" t="s">
        <v>9138</v>
      </c>
      <c r="AD2649" s="9">
        <v>44544</v>
      </c>
      <c r="AE2649" s="3" t="s">
        <v>89</v>
      </c>
      <c r="AF2649" s="3" t="s">
        <v>4612</v>
      </c>
      <c r="AG2649" s="3" t="s">
        <v>81</v>
      </c>
      <c r="AH2649" s="11">
        <f>HYPERLINK("https://my.pitchbook.com?c=165253-51T","View Company Online")</f>
      </c>
    </row>
    <row r="2650">
      <c r="A2650" s="12" t="s">
        <v>14421</v>
      </c>
      <c r="B2650" s="12" t="s">
        <v>14422</v>
      </c>
      <c r="C2650" s="19">
        <v>1</v>
      </c>
      <c r="D2650" s="19">
        <v>2</v>
      </c>
      <c r="E2650" s="19">
        <v>1</v>
      </c>
      <c r="F2650" s="19">
        <v>3</v>
      </c>
      <c r="G2650" s="15" t="s">
        <v>326</v>
      </c>
      <c r="H2650" s="14">
        <v>675.07</v>
      </c>
      <c r="I2650" s="18">
        <v>33.28</v>
      </c>
      <c r="J2650" s="12" t="s">
        <v>521</v>
      </c>
      <c r="K2650" s="13" t="s">
        <v>36</v>
      </c>
      <c r="L2650" s="15" t="s">
        <v>122</v>
      </c>
      <c r="M2650" s="12" t="s">
        <v>36</v>
      </c>
      <c r="N2650" s="12" t="s">
        <v>122</v>
      </c>
      <c r="O2650" s="17" t="s">
        <v>36</v>
      </c>
      <c r="P2650" s="12" t="s">
        <v>36</v>
      </c>
      <c r="Q2650" s="12" t="s">
        <v>36</v>
      </c>
      <c r="R2650" s="12" t="s">
        <v>36</v>
      </c>
      <c r="S2650" s="12" t="s">
        <v>36</v>
      </c>
      <c r="T2650" s="12" t="s">
        <v>4108</v>
      </c>
      <c r="U2650" s="12" t="s">
        <v>96</v>
      </c>
      <c r="V2650" s="12" t="s">
        <v>52</v>
      </c>
      <c r="W2650" s="12" t="s">
        <v>14423</v>
      </c>
      <c r="X2650" s="16" t="s">
        <v>14424</v>
      </c>
      <c r="Y2650" s="15" t="s">
        <v>108</v>
      </c>
      <c r="Z2650" s="14">
        <v>9.04</v>
      </c>
      <c r="AA2650" s="14">
        <v>13.96</v>
      </c>
      <c r="AB2650" s="12" t="s">
        <v>43</v>
      </c>
      <c r="AC2650" s="12" t="s">
        <v>14425</v>
      </c>
      <c r="AD2650" s="13">
        <v>44544</v>
      </c>
      <c r="AE2650" s="12" t="s">
        <v>755</v>
      </c>
      <c r="AF2650" s="12" t="s">
        <v>14426</v>
      </c>
      <c r="AG2650" s="12" t="s">
        <v>81</v>
      </c>
      <c r="AH2650" s="1">
        <f>HYPERLINK("https://my.pitchbook.com?c=185223-97T","View Company Online")</f>
      </c>
    </row>
    <row r="2651">
      <c r="A2651" s="3" t="s">
        <v>14427</v>
      </c>
      <c r="B2651" s="3" t="s">
        <v>4075</v>
      </c>
      <c r="C2651" s="5" t="s">
        <v>36</v>
      </c>
      <c r="D2651" s="5" t="s">
        <v>36</v>
      </c>
      <c r="E2651" s="5" t="s">
        <v>36</v>
      </c>
      <c r="F2651" s="5" t="s">
        <v>36</v>
      </c>
      <c r="G2651" s="6" t="s">
        <v>326</v>
      </c>
      <c r="H2651" s="4">
        <v>8.28</v>
      </c>
      <c r="I2651" s="7">
        <v>22.05</v>
      </c>
      <c r="J2651" s="3" t="s">
        <v>521</v>
      </c>
      <c r="K2651" s="9" t="s">
        <v>36</v>
      </c>
      <c r="L2651" s="6" t="s">
        <v>122</v>
      </c>
      <c r="M2651" s="3" t="s">
        <v>36</v>
      </c>
      <c r="N2651" s="3" t="s">
        <v>122</v>
      </c>
      <c r="O2651" s="8" t="s">
        <v>36</v>
      </c>
      <c r="P2651" s="3" t="s">
        <v>36</v>
      </c>
      <c r="Q2651" s="3" t="s">
        <v>36</v>
      </c>
      <c r="R2651" s="3" t="s">
        <v>36</v>
      </c>
      <c r="S2651" s="3" t="s">
        <v>36</v>
      </c>
      <c r="T2651" s="3" t="s">
        <v>2658</v>
      </c>
      <c r="U2651" s="3" t="s">
        <v>38</v>
      </c>
      <c r="V2651" s="3" t="s">
        <v>39</v>
      </c>
      <c r="W2651" s="3" t="s">
        <v>4076</v>
      </c>
      <c r="X2651" s="10" t="s">
        <v>14428</v>
      </c>
      <c r="Y2651" s="6" t="s">
        <v>108</v>
      </c>
      <c r="Z2651" s="4">
        <v>24.86</v>
      </c>
      <c r="AA2651" s="4">
        <v>96.11</v>
      </c>
      <c r="AB2651" s="3" t="s">
        <v>43</v>
      </c>
      <c r="AC2651" s="3" t="s">
        <v>4078</v>
      </c>
      <c r="AD2651" s="9">
        <v>44544</v>
      </c>
      <c r="AE2651" s="3" t="s">
        <v>110</v>
      </c>
      <c r="AF2651" s="3" t="s">
        <v>4079</v>
      </c>
      <c r="AG2651" s="3" t="s">
        <v>652</v>
      </c>
      <c r="AH2651" s="11">
        <f>HYPERLINK("https://my.pitchbook.com?c=185025-07T","View Company Online")</f>
      </c>
    </row>
    <row r="2652">
      <c r="A2652" s="12" t="s">
        <v>14429</v>
      </c>
      <c r="B2652" s="12" t="s">
        <v>14430</v>
      </c>
      <c r="C2652" s="19" t="s">
        <v>36</v>
      </c>
      <c r="D2652" s="19" t="s">
        <v>36</v>
      </c>
      <c r="E2652" s="19" t="s">
        <v>36</v>
      </c>
      <c r="F2652" s="19" t="s">
        <v>36</v>
      </c>
      <c r="G2652" s="15" t="s">
        <v>36</v>
      </c>
      <c r="H2652" s="14" t="s">
        <v>36</v>
      </c>
      <c r="I2652" s="18" t="s">
        <v>36</v>
      </c>
      <c r="J2652" s="12" t="s">
        <v>36</v>
      </c>
      <c r="K2652" s="13" t="s">
        <v>36</v>
      </c>
      <c r="L2652" s="15" t="s">
        <v>36</v>
      </c>
      <c r="M2652" s="12" t="s">
        <v>36</v>
      </c>
      <c r="N2652" s="12" t="s">
        <v>36</v>
      </c>
      <c r="O2652" s="17" t="s">
        <v>36</v>
      </c>
      <c r="P2652" s="12" t="s">
        <v>36</v>
      </c>
      <c r="Q2652" s="12" t="s">
        <v>36</v>
      </c>
      <c r="R2652" s="12" t="s">
        <v>36</v>
      </c>
      <c r="S2652" s="12" t="s">
        <v>36</v>
      </c>
      <c r="T2652" s="12" t="s">
        <v>14431</v>
      </c>
      <c r="U2652" s="12" t="s">
        <v>648</v>
      </c>
      <c r="V2652" s="12" t="s">
        <v>64</v>
      </c>
      <c r="W2652" s="12" t="s">
        <v>14432</v>
      </c>
      <c r="X2652" s="16" t="s">
        <v>1840</v>
      </c>
      <c r="Y2652" s="15" t="s">
        <v>42</v>
      </c>
      <c r="Z2652" s="14" t="s">
        <v>36</v>
      </c>
      <c r="AA2652" s="14" t="s">
        <v>36</v>
      </c>
      <c r="AB2652" s="12" t="s">
        <v>56</v>
      </c>
      <c r="AC2652" s="12" t="s">
        <v>14433</v>
      </c>
      <c r="AD2652" s="13">
        <v>44543</v>
      </c>
      <c r="AE2652" s="12" t="s">
        <v>3988</v>
      </c>
      <c r="AF2652" s="12" t="s">
        <v>4200</v>
      </c>
      <c r="AG2652" s="12" t="s">
        <v>186</v>
      </c>
      <c r="AH2652" s="1">
        <f>HYPERLINK("https://my.pitchbook.com?c=190275-04T","View Company Online")</f>
      </c>
    </row>
    <row r="2653">
      <c r="A2653" s="3" t="s">
        <v>14434</v>
      </c>
      <c r="B2653" s="3" t="s">
        <v>8688</v>
      </c>
      <c r="C2653" s="5" t="s">
        <v>36</v>
      </c>
      <c r="D2653" s="5" t="s">
        <v>36</v>
      </c>
      <c r="E2653" s="5" t="s">
        <v>36</v>
      </c>
      <c r="F2653" s="5" t="s">
        <v>36</v>
      </c>
      <c r="G2653" s="6" t="s">
        <v>36</v>
      </c>
      <c r="H2653" s="4" t="s">
        <v>36</v>
      </c>
      <c r="I2653" s="7" t="s">
        <v>36</v>
      </c>
      <c r="J2653" s="3" t="s">
        <v>36</v>
      </c>
      <c r="K2653" s="9" t="s">
        <v>36</v>
      </c>
      <c r="L2653" s="6" t="s">
        <v>36</v>
      </c>
      <c r="M2653" s="3" t="s">
        <v>36</v>
      </c>
      <c r="N2653" s="3" t="s">
        <v>36</v>
      </c>
      <c r="O2653" s="8" t="s">
        <v>36</v>
      </c>
      <c r="P2653" s="3" t="s">
        <v>36</v>
      </c>
      <c r="Q2653" s="3" t="s">
        <v>36</v>
      </c>
      <c r="R2653" s="3" t="s">
        <v>36</v>
      </c>
      <c r="S2653" s="3" t="s">
        <v>36</v>
      </c>
      <c r="T2653" s="3" t="s">
        <v>1863</v>
      </c>
      <c r="U2653" s="3" t="s">
        <v>96</v>
      </c>
      <c r="V2653" s="3" t="s">
        <v>52</v>
      </c>
      <c r="W2653" s="3" t="s">
        <v>8689</v>
      </c>
      <c r="X2653" s="10" t="s">
        <v>14435</v>
      </c>
      <c r="Y2653" s="6" t="s">
        <v>42</v>
      </c>
      <c r="Z2653" s="4">
        <v>3.4</v>
      </c>
      <c r="AA2653" s="4" t="s">
        <v>36</v>
      </c>
      <c r="AB2653" s="3" t="s">
        <v>43</v>
      </c>
      <c r="AC2653" s="3" t="s">
        <v>8691</v>
      </c>
      <c r="AD2653" s="9">
        <v>44540</v>
      </c>
      <c r="AE2653" s="3" t="s">
        <v>1414</v>
      </c>
      <c r="AF2653" s="3" t="s">
        <v>101</v>
      </c>
      <c r="AG2653" s="3" t="s">
        <v>5504</v>
      </c>
      <c r="AH2653" s="11">
        <f>HYPERLINK("https://my.pitchbook.com?c=184902-58T","View Company Online")</f>
      </c>
    </row>
    <row r="2654">
      <c r="A2654" s="12" t="s">
        <v>14436</v>
      </c>
      <c r="B2654" s="12" t="s">
        <v>9660</v>
      </c>
      <c r="C2654" s="19" t="s">
        <v>36</v>
      </c>
      <c r="D2654" s="19" t="s">
        <v>36</v>
      </c>
      <c r="E2654" s="19" t="s">
        <v>36</v>
      </c>
      <c r="F2654" s="19" t="s">
        <v>36</v>
      </c>
      <c r="G2654" s="15" t="s">
        <v>326</v>
      </c>
      <c r="H2654" s="14">
        <v>9.14</v>
      </c>
      <c r="I2654" s="18">
        <v>14.47</v>
      </c>
      <c r="J2654" s="12" t="s">
        <v>521</v>
      </c>
      <c r="K2654" s="13" t="s">
        <v>36</v>
      </c>
      <c r="L2654" s="15" t="s">
        <v>36</v>
      </c>
      <c r="M2654" s="12" t="s">
        <v>36</v>
      </c>
      <c r="N2654" s="12" t="s">
        <v>36</v>
      </c>
      <c r="O2654" s="17" t="s">
        <v>36</v>
      </c>
      <c r="P2654" s="12" t="s">
        <v>36</v>
      </c>
      <c r="Q2654" s="12" t="s">
        <v>36</v>
      </c>
      <c r="R2654" s="12" t="s">
        <v>36</v>
      </c>
      <c r="S2654" s="12" t="s">
        <v>36</v>
      </c>
      <c r="T2654" s="12" t="s">
        <v>5302</v>
      </c>
      <c r="U2654" s="12" t="s">
        <v>74</v>
      </c>
      <c r="V2654" s="12" t="s">
        <v>75</v>
      </c>
      <c r="W2654" s="12" t="s">
        <v>9661</v>
      </c>
      <c r="X2654" s="16" t="s">
        <v>14437</v>
      </c>
      <c r="Y2654" s="15" t="s">
        <v>166</v>
      </c>
      <c r="Z2654" s="14">
        <v>5.77</v>
      </c>
      <c r="AA2654" s="14">
        <v>39.91</v>
      </c>
      <c r="AB2654" s="12" t="s">
        <v>56</v>
      </c>
      <c r="AC2654" s="12" t="s">
        <v>9663</v>
      </c>
      <c r="AD2654" s="13">
        <v>44540</v>
      </c>
      <c r="AE2654" s="12" t="s">
        <v>362</v>
      </c>
      <c r="AF2654" s="12" t="s">
        <v>9664</v>
      </c>
      <c r="AG2654" s="12" t="s">
        <v>81</v>
      </c>
      <c r="AH2654" s="1">
        <f>HYPERLINK("https://my.pitchbook.com?c=186872-95T","View Company Online")</f>
      </c>
    </row>
    <row r="2655">
      <c r="A2655" s="3" t="s">
        <v>14438</v>
      </c>
      <c r="B2655" s="3" t="s">
        <v>3701</v>
      </c>
      <c r="C2655" s="5">
        <v>2</v>
      </c>
      <c r="D2655" s="5">
        <v>3</v>
      </c>
      <c r="E2655" s="5">
        <v>1</v>
      </c>
      <c r="F2655" s="5">
        <v>5</v>
      </c>
      <c r="G2655" s="6" t="s">
        <v>36</v>
      </c>
      <c r="H2655" s="4">
        <v>87.94</v>
      </c>
      <c r="I2655" s="7">
        <v>21.74</v>
      </c>
      <c r="J2655" s="3" t="s">
        <v>521</v>
      </c>
      <c r="K2655" s="9" t="s">
        <v>36</v>
      </c>
      <c r="L2655" s="6" t="s">
        <v>36</v>
      </c>
      <c r="M2655" s="3" t="s">
        <v>36</v>
      </c>
      <c r="N2655" s="3" t="s">
        <v>36</v>
      </c>
      <c r="O2655" s="8" t="s">
        <v>36</v>
      </c>
      <c r="P2655" s="3" t="s">
        <v>36</v>
      </c>
      <c r="Q2655" s="3" t="s">
        <v>36</v>
      </c>
      <c r="R2655" s="3" t="s">
        <v>36</v>
      </c>
      <c r="S2655" s="3" t="s">
        <v>36</v>
      </c>
      <c r="T2655" s="3" t="s">
        <v>2992</v>
      </c>
      <c r="U2655" s="3" t="s">
        <v>96</v>
      </c>
      <c r="V2655" s="3" t="s">
        <v>52</v>
      </c>
      <c r="W2655" s="3" t="s">
        <v>3702</v>
      </c>
      <c r="X2655" s="10" t="s">
        <v>14439</v>
      </c>
      <c r="Y2655" s="6" t="s">
        <v>42</v>
      </c>
      <c r="Z2655" s="4">
        <v>2.25</v>
      </c>
      <c r="AA2655" s="4">
        <v>8.18</v>
      </c>
      <c r="AB2655" s="3" t="s">
        <v>43</v>
      </c>
      <c r="AC2655" s="3" t="s">
        <v>3704</v>
      </c>
      <c r="AD2655" s="9">
        <v>44540</v>
      </c>
      <c r="AE2655" s="3" t="s">
        <v>100</v>
      </c>
      <c r="AF2655" s="3" t="s">
        <v>36</v>
      </c>
      <c r="AG2655" s="3" t="s">
        <v>3705</v>
      </c>
      <c r="AH2655" s="11">
        <f>HYPERLINK("https://my.pitchbook.com?c=184929-49T","View Company Online")</f>
      </c>
    </row>
    <row r="2656">
      <c r="A2656" s="12" t="s">
        <v>14440</v>
      </c>
      <c r="B2656" s="12" t="s">
        <v>11481</v>
      </c>
      <c r="C2656" s="19" t="s">
        <v>36</v>
      </c>
      <c r="D2656" s="19" t="s">
        <v>36</v>
      </c>
      <c r="E2656" s="19" t="s">
        <v>36</v>
      </c>
      <c r="F2656" s="19" t="s">
        <v>36</v>
      </c>
      <c r="G2656" s="15" t="s">
        <v>326</v>
      </c>
      <c r="H2656" s="14">
        <v>7.95</v>
      </c>
      <c r="I2656" s="18">
        <v>20.44</v>
      </c>
      <c r="J2656" s="12" t="s">
        <v>521</v>
      </c>
      <c r="K2656" s="13" t="s">
        <v>36</v>
      </c>
      <c r="L2656" s="15" t="s">
        <v>122</v>
      </c>
      <c r="M2656" s="12" t="s">
        <v>36</v>
      </c>
      <c r="N2656" s="12" t="s">
        <v>122</v>
      </c>
      <c r="O2656" s="17" t="s">
        <v>36</v>
      </c>
      <c r="P2656" s="12" t="s">
        <v>36</v>
      </c>
      <c r="Q2656" s="12" t="s">
        <v>36</v>
      </c>
      <c r="R2656" s="12" t="s">
        <v>36</v>
      </c>
      <c r="S2656" s="12" t="s">
        <v>36</v>
      </c>
      <c r="T2656" s="12" t="s">
        <v>2308</v>
      </c>
      <c r="U2656" s="12" t="s">
        <v>38</v>
      </c>
      <c r="V2656" s="12" t="s">
        <v>39</v>
      </c>
      <c r="W2656" s="12" t="s">
        <v>11482</v>
      </c>
      <c r="X2656" s="16" t="s">
        <v>14441</v>
      </c>
      <c r="Y2656" s="15" t="s">
        <v>108</v>
      </c>
      <c r="Z2656" s="14">
        <v>38.49</v>
      </c>
      <c r="AA2656" s="14">
        <v>188.31</v>
      </c>
      <c r="AB2656" s="12" t="s">
        <v>43</v>
      </c>
      <c r="AC2656" s="12" t="s">
        <v>11484</v>
      </c>
      <c r="AD2656" s="13">
        <v>44540</v>
      </c>
      <c r="AE2656" s="12" t="s">
        <v>45</v>
      </c>
      <c r="AF2656" s="12" t="s">
        <v>615</v>
      </c>
      <c r="AG2656" s="12" t="s">
        <v>81</v>
      </c>
      <c r="AH2656" s="1">
        <f>HYPERLINK("https://my.pitchbook.com?c=187682-41T","View Company Online")</f>
      </c>
    </row>
    <row r="2657">
      <c r="A2657" s="3" t="s">
        <v>14442</v>
      </c>
      <c r="B2657" s="3" t="s">
        <v>14443</v>
      </c>
      <c r="C2657" s="5" t="s">
        <v>36</v>
      </c>
      <c r="D2657" s="5" t="s">
        <v>36</v>
      </c>
      <c r="E2657" s="5" t="s">
        <v>36</v>
      </c>
      <c r="F2657" s="5" t="s">
        <v>36</v>
      </c>
      <c r="G2657" s="6" t="s">
        <v>326</v>
      </c>
      <c r="H2657" s="4">
        <v>195.81</v>
      </c>
      <c r="I2657" s="7">
        <v>17.77</v>
      </c>
      <c r="J2657" s="3" t="s">
        <v>521</v>
      </c>
      <c r="K2657" s="9" t="s">
        <v>36</v>
      </c>
      <c r="L2657" s="6" t="s">
        <v>36</v>
      </c>
      <c r="M2657" s="3" t="s">
        <v>36</v>
      </c>
      <c r="N2657" s="3" t="s">
        <v>36</v>
      </c>
      <c r="O2657" s="8" t="s">
        <v>36</v>
      </c>
      <c r="P2657" s="3" t="s">
        <v>36</v>
      </c>
      <c r="Q2657" s="3" t="s">
        <v>36</v>
      </c>
      <c r="R2657" s="3" t="s">
        <v>36</v>
      </c>
      <c r="S2657" s="3" t="s">
        <v>36</v>
      </c>
      <c r="T2657" s="3" t="s">
        <v>14444</v>
      </c>
      <c r="U2657" s="3" t="s">
        <v>728</v>
      </c>
      <c r="V2657" s="3" t="s">
        <v>64</v>
      </c>
      <c r="W2657" s="3" t="s">
        <v>14445</v>
      </c>
      <c r="X2657" s="10" t="s">
        <v>14446</v>
      </c>
      <c r="Y2657" s="6" t="s">
        <v>192</v>
      </c>
      <c r="Z2657" s="4">
        <v>0.87</v>
      </c>
      <c r="AA2657" s="4">
        <v>4.9</v>
      </c>
      <c r="AB2657" s="3" t="s">
        <v>56</v>
      </c>
      <c r="AC2657" s="3" t="s">
        <v>14447</v>
      </c>
      <c r="AD2657" s="9">
        <v>44539</v>
      </c>
      <c r="AE2657" s="3" t="s">
        <v>1600</v>
      </c>
      <c r="AF2657" s="3" t="s">
        <v>90</v>
      </c>
      <c r="AG2657" s="3" t="s">
        <v>741</v>
      </c>
      <c r="AH2657" s="11">
        <f>HYPERLINK("https://my.pitchbook.com?c=182700-73T","View Company Online")</f>
      </c>
    </row>
    <row r="2658">
      <c r="A2658" s="12" t="s">
        <v>14448</v>
      </c>
      <c r="B2658" s="12" t="s">
        <v>14449</v>
      </c>
      <c r="C2658" s="19" t="s">
        <v>36</v>
      </c>
      <c r="D2658" s="19" t="s">
        <v>36</v>
      </c>
      <c r="E2658" s="19" t="s">
        <v>36</v>
      </c>
      <c r="F2658" s="19" t="s">
        <v>36</v>
      </c>
      <c r="G2658" s="15" t="s">
        <v>326</v>
      </c>
      <c r="H2658" s="14">
        <v>851.83</v>
      </c>
      <c r="I2658" s="18">
        <v>22.25</v>
      </c>
      <c r="J2658" s="12" t="s">
        <v>521</v>
      </c>
      <c r="K2658" s="13" t="s">
        <v>36</v>
      </c>
      <c r="L2658" s="15" t="s">
        <v>36</v>
      </c>
      <c r="M2658" s="12" t="s">
        <v>36</v>
      </c>
      <c r="N2658" s="12" t="s">
        <v>36</v>
      </c>
      <c r="O2658" s="17" t="s">
        <v>36</v>
      </c>
      <c r="P2658" s="12" t="s">
        <v>36</v>
      </c>
      <c r="Q2658" s="12" t="s">
        <v>36</v>
      </c>
      <c r="R2658" s="12" t="s">
        <v>36</v>
      </c>
      <c r="S2658" s="12" t="s">
        <v>36</v>
      </c>
      <c r="T2658" s="12" t="s">
        <v>14450</v>
      </c>
      <c r="U2658" s="12" t="s">
        <v>833</v>
      </c>
      <c r="V2658" s="12" t="s">
        <v>64</v>
      </c>
      <c r="W2658" s="12" t="s">
        <v>14451</v>
      </c>
      <c r="X2658" s="16" t="s">
        <v>14452</v>
      </c>
      <c r="Y2658" s="15" t="s">
        <v>42</v>
      </c>
      <c r="Z2658" s="14">
        <v>3.4</v>
      </c>
      <c r="AA2658" s="14">
        <v>15.29</v>
      </c>
      <c r="AB2658" s="12" t="s">
        <v>43</v>
      </c>
      <c r="AC2658" s="12" t="s">
        <v>14453</v>
      </c>
      <c r="AD2658" s="13">
        <v>44538</v>
      </c>
      <c r="AE2658" s="12" t="s">
        <v>837</v>
      </c>
      <c r="AF2658" s="12" t="s">
        <v>931</v>
      </c>
      <c r="AG2658" s="12" t="s">
        <v>14454</v>
      </c>
      <c r="AH2658" s="1">
        <f>HYPERLINK("https://my.pitchbook.com?c=184757-32T","View Company Online")</f>
      </c>
    </row>
    <row r="2659">
      <c r="A2659" s="3" t="s">
        <v>14455</v>
      </c>
      <c r="B2659" s="3" t="s">
        <v>14456</v>
      </c>
      <c r="C2659" s="5" t="s">
        <v>36</v>
      </c>
      <c r="D2659" s="5" t="s">
        <v>36</v>
      </c>
      <c r="E2659" s="5" t="s">
        <v>36</v>
      </c>
      <c r="F2659" s="5" t="s">
        <v>36</v>
      </c>
      <c r="G2659" s="6" t="s">
        <v>36</v>
      </c>
      <c r="H2659" s="4" t="s">
        <v>36</v>
      </c>
      <c r="I2659" s="7" t="s">
        <v>36</v>
      </c>
      <c r="J2659" s="3" t="s">
        <v>36</v>
      </c>
      <c r="K2659" s="9" t="s">
        <v>36</v>
      </c>
      <c r="L2659" s="6" t="s">
        <v>36</v>
      </c>
      <c r="M2659" s="3" t="s">
        <v>36</v>
      </c>
      <c r="N2659" s="3" t="s">
        <v>36</v>
      </c>
      <c r="O2659" s="8" t="s">
        <v>36</v>
      </c>
      <c r="P2659" s="3" t="s">
        <v>36</v>
      </c>
      <c r="Q2659" s="3" t="s">
        <v>36</v>
      </c>
      <c r="R2659" s="3" t="s">
        <v>36</v>
      </c>
      <c r="S2659" s="3" t="s">
        <v>36</v>
      </c>
      <c r="T2659" s="3" t="s">
        <v>1162</v>
      </c>
      <c r="U2659" s="3" t="s">
        <v>423</v>
      </c>
      <c r="V2659" s="3" t="s">
        <v>64</v>
      </c>
      <c r="W2659" s="3" t="s">
        <v>14457</v>
      </c>
      <c r="X2659" s="10" t="s">
        <v>14458</v>
      </c>
      <c r="Y2659" s="6" t="s">
        <v>42</v>
      </c>
      <c r="Z2659" s="4">
        <v>1.13</v>
      </c>
      <c r="AA2659" s="4" t="s">
        <v>36</v>
      </c>
      <c r="AB2659" s="3" t="s">
        <v>43</v>
      </c>
      <c r="AC2659" s="3" t="s">
        <v>14459</v>
      </c>
      <c r="AD2659" s="9">
        <v>44538</v>
      </c>
      <c r="AE2659" s="3" t="s">
        <v>562</v>
      </c>
      <c r="AF2659" s="3" t="s">
        <v>36</v>
      </c>
      <c r="AG2659" s="3" t="s">
        <v>741</v>
      </c>
      <c r="AH2659" s="11">
        <f>HYPERLINK("https://my.pitchbook.com?c=214556-05T","View Company Online")</f>
      </c>
    </row>
    <row r="2660">
      <c r="A2660" s="12" t="s">
        <v>14460</v>
      </c>
      <c r="B2660" s="12" t="s">
        <v>14461</v>
      </c>
      <c r="C2660" s="19" t="s">
        <v>36</v>
      </c>
      <c r="D2660" s="19" t="s">
        <v>36</v>
      </c>
      <c r="E2660" s="19" t="s">
        <v>36</v>
      </c>
      <c r="F2660" s="19" t="s">
        <v>36</v>
      </c>
      <c r="G2660" s="15" t="s">
        <v>326</v>
      </c>
      <c r="H2660" s="14">
        <v>477.48</v>
      </c>
      <c r="I2660" s="18">
        <v>10.85</v>
      </c>
      <c r="J2660" s="12" t="s">
        <v>521</v>
      </c>
      <c r="K2660" s="13">
        <v>44417</v>
      </c>
      <c r="L2660" s="15" t="s">
        <v>1279</v>
      </c>
      <c r="M2660" s="12" t="s">
        <v>36</v>
      </c>
      <c r="N2660" s="12" t="s">
        <v>1279</v>
      </c>
      <c r="O2660" s="17" t="s">
        <v>36</v>
      </c>
      <c r="P2660" s="12" t="s">
        <v>36</v>
      </c>
      <c r="Q2660" s="12" t="s">
        <v>36</v>
      </c>
      <c r="R2660" s="12" t="s">
        <v>36</v>
      </c>
      <c r="S2660" s="12" t="s">
        <v>36</v>
      </c>
      <c r="T2660" s="12" t="s">
        <v>2308</v>
      </c>
      <c r="U2660" s="12" t="s">
        <v>38</v>
      </c>
      <c r="V2660" s="12" t="s">
        <v>39</v>
      </c>
      <c r="W2660" s="12" t="s">
        <v>14462</v>
      </c>
      <c r="X2660" s="16" t="s">
        <v>14463</v>
      </c>
      <c r="Y2660" s="15" t="s">
        <v>166</v>
      </c>
      <c r="Z2660" s="14">
        <v>100.92</v>
      </c>
      <c r="AA2660" s="14">
        <v>930.19</v>
      </c>
      <c r="AB2660" s="12" t="s">
        <v>56</v>
      </c>
      <c r="AC2660" s="12" t="s">
        <v>14464</v>
      </c>
      <c r="AD2660" s="13">
        <v>44538</v>
      </c>
      <c r="AE2660" s="12" t="s">
        <v>45</v>
      </c>
      <c r="AF2660" s="12" t="s">
        <v>14465</v>
      </c>
      <c r="AG2660" s="12" t="s">
        <v>81</v>
      </c>
      <c r="AH2660" s="1">
        <f>HYPERLINK("https://my.pitchbook.com?c=184727-53T","View Company Online")</f>
      </c>
    </row>
    <row r="2661">
      <c r="A2661" s="3" t="s">
        <v>14466</v>
      </c>
      <c r="B2661" s="3" t="s">
        <v>14467</v>
      </c>
      <c r="C2661" s="5" t="s">
        <v>36</v>
      </c>
      <c r="D2661" s="5" t="s">
        <v>36</v>
      </c>
      <c r="E2661" s="5" t="s">
        <v>36</v>
      </c>
      <c r="F2661" s="5" t="s">
        <v>36</v>
      </c>
      <c r="G2661" s="6" t="s">
        <v>36</v>
      </c>
      <c r="H2661" s="4" t="s">
        <v>36</v>
      </c>
      <c r="I2661" s="7" t="s">
        <v>36</v>
      </c>
      <c r="J2661" s="3" t="s">
        <v>36</v>
      </c>
      <c r="K2661" s="9" t="s">
        <v>36</v>
      </c>
      <c r="L2661" s="6" t="s">
        <v>36</v>
      </c>
      <c r="M2661" s="3" t="s">
        <v>36</v>
      </c>
      <c r="N2661" s="3" t="s">
        <v>36</v>
      </c>
      <c r="O2661" s="8" t="s">
        <v>36</v>
      </c>
      <c r="P2661" s="3" t="s">
        <v>36</v>
      </c>
      <c r="Q2661" s="3" t="s">
        <v>36</v>
      </c>
      <c r="R2661" s="3" t="s">
        <v>36</v>
      </c>
      <c r="S2661" s="3" t="s">
        <v>36</v>
      </c>
      <c r="T2661" s="3" t="s">
        <v>14468</v>
      </c>
      <c r="U2661" s="3" t="s">
        <v>74</v>
      </c>
      <c r="V2661" s="3" t="s">
        <v>75</v>
      </c>
      <c r="W2661" s="3" t="s">
        <v>14469</v>
      </c>
      <c r="X2661" s="10" t="s">
        <v>14470</v>
      </c>
      <c r="Y2661" s="6" t="s">
        <v>42</v>
      </c>
      <c r="Z2661" s="4">
        <v>3.18</v>
      </c>
      <c r="AA2661" s="4" t="s">
        <v>36</v>
      </c>
      <c r="AB2661" s="3" t="s">
        <v>56</v>
      </c>
      <c r="AC2661" s="3" t="s">
        <v>14471</v>
      </c>
      <c r="AD2661" s="9">
        <v>44537</v>
      </c>
      <c r="AE2661" s="3" t="s">
        <v>3144</v>
      </c>
      <c r="AF2661" s="3" t="s">
        <v>14472</v>
      </c>
      <c r="AG2661" s="3" t="s">
        <v>580</v>
      </c>
      <c r="AH2661" s="11">
        <f>HYPERLINK("https://my.pitchbook.com?c=184724-92T","View Company Online")</f>
      </c>
    </row>
    <row r="2662">
      <c r="A2662" s="12" t="s">
        <v>14473</v>
      </c>
      <c r="B2662" s="12" t="s">
        <v>14474</v>
      </c>
      <c r="C2662" s="19" t="s">
        <v>36</v>
      </c>
      <c r="D2662" s="19" t="s">
        <v>36</v>
      </c>
      <c r="E2662" s="19" t="s">
        <v>36</v>
      </c>
      <c r="F2662" s="19" t="s">
        <v>36</v>
      </c>
      <c r="G2662" s="15" t="s">
        <v>36</v>
      </c>
      <c r="H2662" s="14">
        <v>106.98</v>
      </c>
      <c r="I2662" s="18">
        <v>24.37</v>
      </c>
      <c r="J2662" s="12" t="s">
        <v>521</v>
      </c>
      <c r="K2662" s="13" t="s">
        <v>36</v>
      </c>
      <c r="L2662" s="15" t="s">
        <v>36</v>
      </c>
      <c r="M2662" s="12" t="s">
        <v>36</v>
      </c>
      <c r="N2662" s="12" t="s">
        <v>36</v>
      </c>
      <c r="O2662" s="17" t="s">
        <v>36</v>
      </c>
      <c r="P2662" s="12" t="s">
        <v>36</v>
      </c>
      <c r="Q2662" s="12" t="s">
        <v>36</v>
      </c>
      <c r="R2662" s="12" t="s">
        <v>36</v>
      </c>
      <c r="S2662" s="12" t="s">
        <v>36</v>
      </c>
      <c r="T2662" s="12" t="s">
        <v>464</v>
      </c>
      <c r="U2662" s="12" t="s">
        <v>38</v>
      </c>
      <c r="V2662" s="12" t="s">
        <v>39</v>
      </c>
      <c r="W2662" s="12" t="s">
        <v>14475</v>
      </c>
      <c r="X2662" s="16" t="s">
        <v>577</v>
      </c>
      <c r="Y2662" s="15" t="s">
        <v>42</v>
      </c>
      <c r="Z2662" s="14">
        <v>0.44</v>
      </c>
      <c r="AA2662" s="14">
        <v>1.81</v>
      </c>
      <c r="AB2662" s="12" t="s">
        <v>43</v>
      </c>
      <c r="AC2662" s="12" t="s">
        <v>14476</v>
      </c>
      <c r="AD2662" s="13">
        <v>44537</v>
      </c>
      <c r="AE2662" s="12" t="s">
        <v>110</v>
      </c>
      <c r="AF2662" s="12" t="s">
        <v>468</v>
      </c>
      <c r="AG2662" s="12" t="s">
        <v>1078</v>
      </c>
      <c r="AH2662" s="1">
        <f>HYPERLINK("https://my.pitchbook.com?c=226322-47T","View Company Online")</f>
      </c>
    </row>
    <row r="2663">
      <c r="A2663" s="3" t="s">
        <v>14477</v>
      </c>
      <c r="B2663" s="3" t="s">
        <v>14478</v>
      </c>
      <c r="C2663" s="5" t="s">
        <v>36</v>
      </c>
      <c r="D2663" s="5" t="s">
        <v>36</v>
      </c>
      <c r="E2663" s="5" t="s">
        <v>36</v>
      </c>
      <c r="F2663" s="5" t="s">
        <v>36</v>
      </c>
      <c r="G2663" s="6" t="s">
        <v>326</v>
      </c>
      <c r="H2663" s="4" t="s">
        <v>36</v>
      </c>
      <c r="I2663" s="7">
        <v>21.5</v>
      </c>
      <c r="J2663" s="3" t="s">
        <v>327</v>
      </c>
      <c r="K2663" s="9" t="s">
        <v>36</v>
      </c>
      <c r="L2663" s="6" t="s">
        <v>94</v>
      </c>
      <c r="M2663" s="3" t="s">
        <v>36</v>
      </c>
      <c r="N2663" s="3" t="s">
        <v>94</v>
      </c>
      <c r="O2663" s="8" t="s">
        <v>36</v>
      </c>
      <c r="P2663" s="3" t="s">
        <v>36</v>
      </c>
      <c r="Q2663" s="3" t="s">
        <v>36</v>
      </c>
      <c r="R2663" s="3" t="s">
        <v>36</v>
      </c>
      <c r="S2663" s="3" t="s">
        <v>14479</v>
      </c>
      <c r="T2663" s="3" t="s">
        <v>14480</v>
      </c>
      <c r="U2663" s="3" t="s">
        <v>38</v>
      </c>
      <c r="V2663" s="3" t="s">
        <v>39</v>
      </c>
      <c r="W2663" s="3" t="s">
        <v>14481</v>
      </c>
      <c r="X2663" s="10" t="s">
        <v>14482</v>
      </c>
      <c r="Y2663" s="6" t="s">
        <v>55</v>
      </c>
      <c r="Z2663" s="4">
        <v>44.42</v>
      </c>
      <c r="AA2663" s="4">
        <v>206.58</v>
      </c>
      <c r="AB2663" s="3" t="s">
        <v>43</v>
      </c>
      <c r="AC2663" s="3" t="s">
        <v>14483</v>
      </c>
      <c r="AD2663" s="9">
        <v>44537</v>
      </c>
      <c r="AE2663" s="3" t="s">
        <v>134</v>
      </c>
      <c r="AF2663" s="3" t="s">
        <v>7989</v>
      </c>
      <c r="AG2663" s="3" t="s">
        <v>81</v>
      </c>
      <c r="AH2663" s="11">
        <f>HYPERLINK("https://my.pitchbook.com?c=184687-39T","View Company Online")</f>
      </c>
    </row>
    <row r="2664">
      <c r="A2664" s="12" t="s">
        <v>14484</v>
      </c>
      <c r="B2664" s="12" t="s">
        <v>14485</v>
      </c>
      <c r="C2664" s="19">
        <v>6</v>
      </c>
      <c r="D2664" s="19">
        <v>5</v>
      </c>
      <c r="E2664" s="19">
        <v>7</v>
      </c>
      <c r="F2664" s="19">
        <v>11</v>
      </c>
      <c r="G2664" s="15" t="s">
        <v>326</v>
      </c>
      <c r="H2664" s="14">
        <v>6.93</v>
      </c>
      <c r="I2664" s="18">
        <v>38.14</v>
      </c>
      <c r="J2664" s="12" t="s">
        <v>521</v>
      </c>
      <c r="K2664" s="13" t="s">
        <v>36</v>
      </c>
      <c r="L2664" s="15" t="s">
        <v>122</v>
      </c>
      <c r="M2664" s="12" t="s">
        <v>36</v>
      </c>
      <c r="N2664" s="12" t="s">
        <v>122</v>
      </c>
      <c r="O2664" s="17" t="s">
        <v>36</v>
      </c>
      <c r="P2664" s="12" t="s">
        <v>36</v>
      </c>
      <c r="Q2664" s="12" t="s">
        <v>36</v>
      </c>
      <c r="R2664" s="12" t="s">
        <v>36</v>
      </c>
      <c r="S2664" s="12" t="s">
        <v>4990</v>
      </c>
      <c r="T2664" s="12" t="s">
        <v>14486</v>
      </c>
      <c r="U2664" s="12" t="s">
        <v>96</v>
      </c>
      <c r="V2664" s="12" t="s">
        <v>52</v>
      </c>
      <c r="W2664" s="12" t="s">
        <v>14487</v>
      </c>
      <c r="X2664" s="16" t="s">
        <v>14488</v>
      </c>
      <c r="Y2664" s="15" t="s">
        <v>55</v>
      </c>
      <c r="Z2664" s="14">
        <v>5.11</v>
      </c>
      <c r="AA2664" s="14">
        <v>11.93</v>
      </c>
      <c r="AB2664" s="12" t="s">
        <v>56</v>
      </c>
      <c r="AC2664" s="12" t="s">
        <v>14489</v>
      </c>
      <c r="AD2664" s="13">
        <v>44537</v>
      </c>
      <c r="AE2664" s="12" t="s">
        <v>1414</v>
      </c>
      <c r="AF2664" s="12" t="s">
        <v>14490</v>
      </c>
      <c r="AG2664" s="12" t="s">
        <v>1276</v>
      </c>
      <c r="AH2664" s="1">
        <f>HYPERLINK("https://my.pitchbook.com?c=184669-93T","View Company Online")</f>
      </c>
    </row>
    <row r="2665">
      <c r="A2665" s="3" t="s">
        <v>14491</v>
      </c>
      <c r="B2665" s="3" t="s">
        <v>14492</v>
      </c>
      <c r="C2665" s="5" t="s">
        <v>36</v>
      </c>
      <c r="D2665" s="5">
        <v>2</v>
      </c>
      <c r="E2665" s="5">
        <v>3</v>
      </c>
      <c r="F2665" s="5">
        <v>6</v>
      </c>
      <c r="G2665" s="6" t="s">
        <v>36</v>
      </c>
      <c r="H2665" s="4" t="s">
        <v>36</v>
      </c>
      <c r="I2665" s="7" t="s">
        <v>36</v>
      </c>
      <c r="J2665" s="3" t="s">
        <v>36</v>
      </c>
      <c r="K2665" s="9" t="s">
        <v>36</v>
      </c>
      <c r="L2665" s="6" t="s">
        <v>36</v>
      </c>
      <c r="M2665" s="3" t="s">
        <v>36</v>
      </c>
      <c r="N2665" s="3" t="s">
        <v>36</v>
      </c>
      <c r="O2665" s="8" t="s">
        <v>36</v>
      </c>
      <c r="P2665" s="3" t="s">
        <v>36</v>
      </c>
      <c r="Q2665" s="3" t="s">
        <v>36</v>
      </c>
      <c r="R2665" s="3" t="s">
        <v>36</v>
      </c>
      <c r="S2665" s="3" t="s">
        <v>36</v>
      </c>
      <c r="T2665" s="3" t="s">
        <v>8387</v>
      </c>
      <c r="U2665" s="3" t="s">
        <v>38</v>
      </c>
      <c r="V2665" s="3" t="s">
        <v>39</v>
      </c>
      <c r="W2665" s="3" t="s">
        <v>14493</v>
      </c>
      <c r="X2665" s="10" t="s">
        <v>14494</v>
      </c>
      <c r="Y2665" s="6" t="s">
        <v>55</v>
      </c>
      <c r="Z2665" s="4">
        <v>11.36</v>
      </c>
      <c r="AA2665" s="4" t="s">
        <v>36</v>
      </c>
      <c r="AB2665" s="3" t="s">
        <v>56</v>
      </c>
      <c r="AC2665" s="3" t="s">
        <v>14495</v>
      </c>
      <c r="AD2665" s="9">
        <v>44537</v>
      </c>
      <c r="AE2665" s="3" t="s">
        <v>110</v>
      </c>
      <c r="AF2665" s="3" t="s">
        <v>14496</v>
      </c>
      <c r="AG2665" s="3" t="s">
        <v>652</v>
      </c>
      <c r="AH2665" s="11">
        <f>HYPERLINK("https://my.pitchbook.com?c=184800-79T","View Company Online")</f>
      </c>
    </row>
    <row r="2666">
      <c r="A2666" s="12" t="s">
        <v>14497</v>
      </c>
      <c r="B2666" s="12" t="s">
        <v>14498</v>
      </c>
      <c r="C2666" s="19" t="s">
        <v>36</v>
      </c>
      <c r="D2666" s="19" t="s">
        <v>36</v>
      </c>
      <c r="E2666" s="19" t="s">
        <v>36</v>
      </c>
      <c r="F2666" s="19" t="s">
        <v>36</v>
      </c>
      <c r="G2666" s="15" t="s">
        <v>326</v>
      </c>
      <c r="H2666" s="14">
        <v>173.2</v>
      </c>
      <c r="I2666" s="18">
        <v>23.66</v>
      </c>
      <c r="J2666" s="12" t="s">
        <v>521</v>
      </c>
      <c r="K2666" s="13" t="s">
        <v>36</v>
      </c>
      <c r="L2666" s="15" t="s">
        <v>36</v>
      </c>
      <c r="M2666" s="12" t="s">
        <v>36</v>
      </c>
      <c r="N2666" s="12" t="s">
        <v>36</v>
      </c>
      <c r="O2666" s="17" t="s">
        <v>36</v>
      </c>
      <c r="P2666" s="12" t="s">
        <v>36</v>
      </c>
      <c r="Q2666" s="12" t="s">
        <v>36</v>
      </c>
      <c r="R2666" s="12" t="s">
        <v>36</v>
      </c>
      <c r="S2666" s="12" t="s">
        <v>36</v>
      </c>
      <c r="T2666" s="12" t="s">
        <v>14082</v>
      </c>
      <c r="U2666" s="12" t="s">
        <v>38</v>
      </c>
      <c r="V2666" s="12" t="s">
        <v>39</v>
      </c>
      <c r="W2666" s="12" t="s">
        <v>14499</v>
      </c>
      <c r="X2666" s="16" t="s">
        <v>14500</v>
      </c>
      <c r="Y2666" s="15" t="s">
        <v>55</v>
      </c>
      <c r="Z2666" s="14">
        <v>7.95</v>
      </c>
      <c r="AA2666" s="14">
        <v>22.75</v>
      </c>
      <c r="AB2666" s="12" t="s">
        <v>56</v>
      </c>
      <c r="AC2666" s="12" t="s">
        <v>14501</v>
      </c>
      <c r="AD2666" s="13">
        <v>44537</v>
      </c>
      <c r="AE2666" s="12" t="s">
        <v>110</v>
      </c>
      <c r="AF2666" s="12" t="s">
        <v>8506</v>
      </c>
      <c r="AG2666" s="12" t="s">
        <v>81</v>
      </c>
      <c r="AH2666" s="1">
        <f>HYPERLINK("https://my.pitchbook.com?c=184713-31T","View Company Online")</f>
      </c>
    </row>
    <row r="2667">
      <c r="A2667" s="3" t="s">
        <v>14502</v>
      </c>
      <c r="B2667" s="3" t="s">
        <v>14503</v>
      </c>
      <c r="C2667" s="5" t="s">
        <v>36</v>
      </c>
      <c r="D2667" s="5" t="s">
        <v>36</v>
      </c>
      <c r="E2667" s="5" t="s">
        <v>36</v>
      </c>
      <c r="F2667" s="5" t="s">
        <v>36</v>
      </c>
      <c r="G2667" s="6" t="s">
        <v>36</v>
      </c>
      <c r="H2667" s="4" t="s">
        <v>36</v>
      </c>
      <c r="I2667" s="7" t="s">
        <v>36</v>
      </c>
      <c r="J2667" s="3" t="s">
        <v>36</v>
      </c>
      <c r="K2667" s="9" t="s">
        <v>36</v>
      </c>
      <c r="L2667" s="6" t="s">
        <v>36</v>
      </c>
      <c r="M2667" s="3" t="s">
        <v>36</v>
      </c>
      <c r="N2667" s="3" t="s">
        <v>36</v>
      </c>
      <c r="O2667" s="8" t="s">
        <v>36</v>
      </c>
      <c r="P2667" s="3" t="s">
        <v>36</v>
      </c>
      <c r="Q2667" s="3" t="s">
        <v>36</v>
      </c>
      <c r="R2667" s="3" t="s">
        <v>36</v>
      </c>
      <c r="S2667" s="3" t="s">
        <v>36</v>
      </c>
      <c r="T2667" s="3" t="s">
        <v>14504</v>
      </c>
      <c r="U2667" s="3" t="s">
        <v>279</v>
      </c>
      <c r="V2667" s="3" t="s">
        <v>64</v>
      </c>
      <c r="W2667" s="3" t="s">
        <v>14505</v>
      </c>
      <c r="X2667" s="10" t="s">
        <v>14506</v>
      </c>
      <c r="Y2667" s="6" t="s">
        <v>42</v>
      </c>
      <c r="Z2667" s="4">
        <v>2.5</v>
      </c>
      <c r="AA2667" s="4" t="s">
        <v>36</v>
      </c>
      <c r="AB2667" s="3" t="s">
        <v>43</v>
      </c>
      <c r="AC2667" s="3" t="s">
        <v>14507</v>
      </c>
      <c r="AD2667" s="9">
        <v>44537</v>
      </c>
      <c r="AE2667" s="3" t="s">
        <v>283</v>
      </c>
      <c r="AF2667" s="3" t="s">
        <v>36</v>
      </c>
      <c r="AG2667" s="3" t="s">
        <v>81</v>
      </c>
      <c r="AH2667" s="11">
        <f>HYPERLINK("https://my.pitchbook.com?c=184648-24T","View Company Online")</f>
      </c>
    </row>
    <row r="2668">
      <c r="A2668" s="12" t="s">
        <v>14508</v>
      </c>
      <c r="B2668" s="12" t="s">
        <v>14509</v>
      </c>
      <c r="C2668" s="19" t="s">
        <v>36</v>
      </c>
      <c r="D2668" s="19" t="s">
        <v>36</v>
      </c>
      <c r="E2668" s="19" t="s">
        <v>36</v>
      </c>
      <c r="F2668" s="19" t="s">
        <v>36</v>
      </c>
      <c r="G2668" s="15" t="s">
        <v>36</v>
      </c>
      <c r="H2668" s="14" t="s">
        <v>36</v>
      </c>
      <c r="I2668" s="18" t="s">
        <v>36</v>
      </c>
      <c r="J2668" s="12" t="s">
        <v>36</v>
      </c>
      <c r="K2668" s="13" t="s">
        <v>36</v>
      </c>
      <c r="L2668" s="15" t="s">
        <v>5904</v>
      </c>
      <c r="M2668" s="12" t="s">
        <v>36</v>
      </c>
      <c r="N2668" s="12" t="s">
        <v>5904</v>
      </c>
      <c r="O2668" s="17" t="s">
        <v>36</v>
      </c>
      <c r="P2668" s="12" t="s">
        <v>36</v>
      </c>
      <c r="Q2668" s="12" t="s">
        <v>36</v>
      </c>
      <c r="R2668" s="12" t="s">
        <v>36</v>
      </c>
      <c r="S2668" s="12" t="s">
        <v>36</v>
      </c>
      <c r="T2668" s="12" t="s">
        <v>881</v>
      </c>
      <c r="U2668" s="12" t="s">
        <v>51</v>
      </c>
      <c r="V2668" s="12" t="s">
        <v>52</v>
      </c>
      <c r="W2668" s="12" t="s">
        <v>14510</v>
      </c>
      <c r="X2668" s="16" t="s">
        <v>14511</v>
      </c>
      <c r="Y2668" s="15" t="s">
        <v>55</v>
      </c>
      <c r="Z2668" s="14">
        <v>19.89</v>
      </c>
      <c r="AA2668" s="14" t="s">
        <v>36</v>
      </c>
      <c r="AB2668" s="12" t="s">
        <v>56</v>
      </c>
      <c r="AC2668" s="12" t="s">
        <v>14512</v>
      </c>
      <c r="AD2668" s="13">
        <v>44536</v>
      </c>
      <c r="AE2668" s="12" t="s">
        <v>504</v>
      </c>
      <c r="AF2668" s="12" t="s">
        <v>665</v>
      </c>
      <c r="AG2668" s="12" t="s">
        <v>7425</v>
      </c>
      <c r="AH2668" s="1">
        <f>HYPERLINK("https://my.pitchbook.com?c=184581-46T","View Company Online")</f>
      </c>
    </row>
    <row r="2669">
      <c r="A2669" s="3" t="s">
        <v>14513</v>
      </c>
      <c r="B2669" s="3" t="s">
        <v>14514</v>
      </c>
      <c r="C2669" s="5" t="s">
        <v>36</v>
      </c>
      <c r="D2669" s="5">
        <v>1</v>
      </c>
      <c r="E2669" s="5">
        <v>1</v>
      </c>
      <c r="F2669" s="5">
        <v>2</v>
      </c>
      <c r="G2669" s="6" t="s">
        <v>36</v>
      </c>
      <c r="H2669" s="4" t="s">
        <v>36</v>
      </c>
      <c r="I2669" s="7" t="s">
        <v>36</v>
      </c>
      <c r="J2669" s="3" t="s">
        <v>36</v>
      </c>
      <c r="K2669" s="9" t="s">
        <v>36</v>
      </c>
      <c r="L2669" s="6" t="s">
        <v>36</v>
      </c>
      <c r="M2669" s="3" t="s">
        <v>36</v>
      </c>
      <c r="N2669" s="3" t="s">
        <v>36</v>
      </c>
      <c r="O2669" s="8" t="s">
        <v>36</v>
      </c>
      <c r="P2669" s="3" t="s">
        <v>36</v>
      </c>
      <c r="Q2669" s="3" t="s">
        <v>36</v>
      </c>
      <c r="R2669" s="3" t="s">
        <v>36</v>
      </c>
      <c r="S2669" s="3" t="s">
        <v>36</v>
      </c>
      <c r="T2669" s="3" t="s">
        <v>596</v>
      </c>
      <c r="U2669" s="3" t="s">
        <v>366</v>
      </c>
      <c r="V2669" s="3" t="s">
        <v>367</v>
      </c>
      <c r="W2669" s="3" t="s">
        <v>14515</v>
      </c>
      <c r="X2669" s="10" t="s">
        <v>14516</v>
      </c>
      <c r="Y2669" s="6" t="s">
        <v>192</v>
      </c>
      <c r="Z2669" s="4">
        <v>5.34</v>
      </c>
      <c r="AA2669" s="4" t="s">
        <v>36</v>
      </c>
      <c r="AB2669" s="3" t="s">
        <v>56</v>
      </c>
      <c r="AC2669" s="3" t="s">
        <v>14517</v>
      </c>
      <c r="AD2669" s="9">
        <v>44536</v>
      </c>
      <c r="AE2669" s="3" t="s">
        <v>600</v>
      </c>
      <c r="AF2669" s="3" t="s">
        <v>14518</v>
      </c>
      <c r="AG2669" s="3" t="s">
        <v>14519</v>
      </c>
      <c r="AH2669" s="11">
        <f>HYPERLINK("https://my.pitchbook.com?c=184644-19T","View Company Online")</f>
      </c>
    </row>
    <row r="2670">
      <c r="A2670" s="12" t="s">
        <v>14520</v>
      </c>
      <c r="B2670" s="12" t="s">
        <v>14521</v>
      </c>
      <c r="C2670" s="19" t="s">
        <v>36</v>
      </c>
      <c r="D2670" s="19" t="s">
        <v>36</v>
      </c>
      <c r="E2670" s="19" t="s">
        <v>36</v>
      </c>
      <c r="F2670" s="19" t="s">
        <v>36</v>
      </c>
      <c r="G2670" s="15" t="s">
        <v>36</v>
      </c>
      <c r="H2670" s="14" t="s">
        <v>36</v>
      </c>
      <c r="I2670" s="18" t="s">
        <v>36</v>
      </c>
      <c r="J2670" s="12" t="s">
        <v>36</v>
      </c>
      <c r="K2670" s="13" t="s">
        <v>36</v>
      </c>
      <c r="L2670" s="15" t="s">
        <v>36</v>
      </c>
      <c r="M2670" s="12" t="s">
        <v>36</v>
      </c>
      <c r="N2670" s="12" t="s">
        <v>36</v>
      </c>
      <c r="O2670" s="17" t="s">
        <v>36</v>
      </c>
      <c r="P2670" s="12" t="s">
        <v>36</v>
      </c>
      <c r="Q2670" s="12" t="s">
        <v>36</v>
      </c>
      <c r="R2670" s="12" t="s">
        <v>36</v>
      </c>
      <c r="S2670" s="12" t="s">
        <v>36</v>
      </c>
      <c r="T2670" s="12" t="s">
        <v>14522</v>
      </c>
      <c r="U2670" s="12" t="s">
        <v>956</v>
      </c>
      <c r="V2670" s="12" t="s">
        <v>405</v>
      </c>
      <c r="W2670" s="12" t="s">
        <v>14523</v>
      </c>
      <c r="X2670" s="16" t="s">
        <v>14524</v>
      </c>
      <c r="Y2670" s="15" t="s">
        <v>108</v>
      </c>
      <c r="Z2670" s="14">
        <v>2.51</v>
      </c>
      <c r="AA2670" s="14" t="s">
        <v>36</v>
      </c>
      <c r="AB2670" s="12" t="s">
        <v>43</v>
      </c>
      <c r="AC2670" s="12" t="s">
        <v>14525</v>
      </c>
      <c r="AD2670" s="13">
        <v>44533</v>
      </c>
      <c r="AE2670" s="12" t="s">
        <v>14526</v>
      </c>
      <c r="AF2670" s="12" t="s">
        <v>1852</v>
      </c>
      <c r="AG2670" s="12" t="s">
        <v>443</v>
      </c>
      <c r="AH2670" s="1">
        <f>HYPERLINK("https://my.pitchbook.com?c=184795-84T","View Company Online")</f>
      </c>
    </row>
    <row r="2671">
      <c r="A2671" s="3" t="s">
        <v>14527</v>
      </c>
      <c r="B2671" s="3" t="s">
        <v>5884</v>
      </c>
      <c r="C2671" s="5">
        <v>2</v>
      </c>
      <c r="D2671" s="5">
        <v>10</v>
      </c>
      <c r="E2671" s="5">
        <v>3</v>
      </c>
      <c r="F2671" s="5">
        <v>13</v>
      </c>
      <c r="G2671" s="6" t="s">
        <v>326</v>
      </c>
      <c r="H2671" s="4">
        <v>65.92</v>
      </c>
      <c r="I2671" s="7">
        <v>26.35</v>
      </c>
      <c r="J2671" s="3" t="s">
        <v>521</v>
      </c>
      <c r="K2671" s="9" t="s">
        <v>36</v>
      </c>
      <c r="L2671" s="6" t="s">
        <v>36</v>
      </c>
      <c r="M2671" s="3" t="s">
        <v>36</v>
      </c>
      <c r="N2671" s="3" t="s">
        <v>36</v>
      </c>
      <c r="O2671" s="8" t="s">
        <v>36</v>
      </c>
      <c r="P2671" s="3" t="s">
        <v>36</v>
      </c>
      <c r="Q2671" s="3" t="s">
        <v>36</v>
      </c>
      <c r="R2671" s="3" t="s">
        <v>36</v>
      </c>
      <c r="S2671" s="3" t="s">
        <v>453</v>
      </c>
      <c r="T2671" s="3" t="s">
        <v>4608</v>
      </c>
      <c r="U2671" s="3" t="s">
        <v>455</v>
      </c>
      <c r="V2671" s="3" t="s">
        <v>367</v>
      </c>
      <c r="W2671" s="3" t="s">
        <v>5885</v>
      </c>
      <c r="X2671" s="10" t="s">
        <v>14528</v>
      </c>
      <c r="Y2671" s="6" t="s">
        <v>108</v>
      </c>
      <c r="Z2671" s="4">
        <v>1.14</v>
      </c>
      <c r="AA2671" s="4">
        <v>4.33</v>
      </c>
      <c r="AB2671" s="3" t="s">
        <v>43</v>
      </c>
      <c r="AC2671" s="3" t="s">
        <v>5887</v>
      </c>
      <c r="AD2671" s="9">
        <v>44533</v>
      </c>
      <c r="AE2671" s="3" t="s">
        <v>459</v>
      </c>
      <c r="AF2671" s="3" t="s">
        <v>5888</v>
      </c>
      <c r="AG2671" s="3" t="s">
        <v>392</v>
      </c>
      <c r="AH2671" s="11">
        <f>HYPERLINK("https://my.pitchbook.com?c=186907-51T","View Company Online")</f>
      </c>
    </row>
    <row r="2672">
      <c r="A2672" s="12" t="s">
        <v>14529</v>
      </c>
      <c r="B2672" s="12" t="s">
        <v>3849</v>
      </c>
      <c r="C2672" s="19">
        <v>1</v>
      </c>
      <c r="D2672" s="19" t="s">
        <v>36</v>
      </c>
      <c r="E2672" s="19">
        <v>1</v>
      </c>
      <c r="F2672" s="19">
        <v>1</v>
      </c>
      <c r="G2672" s="15" t="s">
        <v>36</v>
      </c>
      <c r="H2672" s="14" t="s">
        <v>36</v>
      </c>
      <c r="I2672" s="18">
        <v>9.07</v>
      </c>
      <c r="J2672" s="12" t="s">
        <v>521</v>
      </c>
      <c r="K2672" s="13" t="s">
        <v>36</v>
      </c>
      <c r="L2672" s="15" t="s">
        <v>36</v>
      </c>
      <c r="M2672" s="12" t="s">
        <v>36</v>
      </c>
      <c r="N2672" s="12" t="s">
        <v>36</v>
      </c>
      <c r="O2672" s="17" t="s">
        <v>36</v>
      </c>
      <c r="P2672" s="12" t="s">
        <v>36</v>
      </c>
      <c r="Q2672" s="12" t="s">
        <v>36</v>
      </c>
      <c r="R2672" s="12" t="s">
        <v>36</v>
      </c>
      <c r="S2672" s="12" t="s">
        <v>36</v>
      </c>
      <c r="T2672" s="12" t="s">
        <v>3850</v>
      </c>
      <c r="U2672" s="12" t="s">
        <v>1580</v>
      </c>
      <c r="V2672" s="12" t="s">
        <v>39</v>
      </c>
      <c r="W2672" s="12" t="s">
        <v>3851</v>
      </c>
      <c r="X2672" s="16" t="s">
        <v>14530</v>
      </c>
      <c r="Y2672" s="15" t="s">
        <v>42</v>
      </c>
      <c r="Z2672" s="14">
        <v>0.69</v>
      </c>
      <c r="AA2672" s="14">
        <v>6.84</v>
      </c>
      <c r="AB2672" s="12" t="s">
        <v>43</v>
      </c>
      <c r="AC2672" s="12" t="s">
        <v>3853</v>
      </c>
      <c r="AD2672" s="13">
        <v>44533</v>
      </c>
      <c r="AE2672" s="12" t="s">
        <v>3854</v>
      </c>
      <c r="AF2672" s="12" t="s">
        <v>36</v>
      </c>
      <c r="AG2672" s="12" t="s">
        <v>924</v>
      </c>
      <c r="AH2672" s="1">
        <f>HYPERLINK("https://my.pitchbook.com?c=226776-61T","View Company Online")</f>
      </c>
    </row>
    <row r="2673">
      <c r="A2673" s="3" t="s">
        <v>14531</v>
      </c>
      <c r="B2673" s="3" t="s">
        <v>14532</v>
      </c>
      <c r="C2673" s="5" t="s">
        <v>36</v>
      </c>
      <c r="D2673" s="5" t="s">
        <v>36</v>
      </c>
      <c r="E2673" s="5" t="s">
        <v>36</v>
      </c>
      <c r="F2673" s="5" t="s">
        <v>36</v>
      </c>
      <c r="G2673" s="6" t="s">
        <v>36</v>
      </c>
      <c r="H2673" s="4" t="s">
        <v>36</v>
      </c>
      <c r="I2673" s="7" t="s">
        <v>36</v>
      </c>
      <c r="J2673" s="3" t="s">
        <v>36</v>
      </c>
      <c r="K2673" s="9" t="s">
        <v>36</v>
      </c>
      <c r="L2673" s="6" t="s">
        <v>36</v>
      </c>
      <c r="M2673" s="3" t="s">
        <v>36</v>
      </c>
      <c r="N2673" s="3" t="s">
        <v>36</v>
      </c>
      <c r="O2673" s="8" t="s">
        <v>36</v>
      </c>
      <c r="P2673" s="3" t="s">
        <v>36</v>
      </c>
      <c r="Q2673" s="3" t="s">
        <v>36</v>
      </c>
      <c r="R2673" s="3" t="s">
        <v>36</v>
      </c>
      <c r="S2673" s="3" t="s">
        <v>36</v>
      </c>
      <c r="T2673" s="3" t="s">
        <v>2967</v>
      </c>
      <c r="U2673" s="3" t="s">
        <v>38</v>
      </c>
      <c r="V2673" s="3" t="s">
        <v>39</v>
      </c>
      <c r="W2673" s="3" t="s">
        <v>14533</v>
      </c>
      <c r="X2673" s="10" t="s">
        <v>14534</v>
      </c>
      <c r="Y2673" s="6" t="s">
        <v>42</v>
      </c>
      <c r="Z2673" s="4">
        <v>1.14</v>
      </c>
      <c r="AA2673" s="4" t="s">
        <v>36</v>
      </c>
      <c r="AB2673" s="3" t="s">
        <v>43</v>
      </c>
      <c r="AC2673" s="3" t="s">
        <v>14535</v>
      </c>
      <c r="AD2673" s="9">
        <v>44533</v>
      </c>
      <c r="AE2673" s="3" t="s">
        <v>110</v>
      </c>
      <c r="AF2673" s="3" t="s">
        <v>2409</v>
      </c>
      <c r="AG2673" s="3" t="s">
        <v>81</v>
      </c>
      <c r="AH2673" s="11">
        <f>HYPERLINK("https://my.pitchbook.com?c=184552-66T","View Company Online")</f>
      </c>
    </row>
    <row r="2674">
      <c r="A2674" s="12" t="s">
        <v>14536</v>
      </c>
      <c r="B2674" s="12" t="s">
        <v>14537</v>
      </c>
      <c r="C2674" s="19">
        <v>12</v>
      </c>
      <c r="D2674" s="19">
        <v>2</v>
      </c>
      <c r="E2674" s="19">
        <v>7</v>
      </c>
      <c r="F2674" s="19">
        <v>18</v>
      </c>
      <c r="G2674" s="15" t="s">
        <v>36</v>
      </c>
      <c r="H2674" s="14" t="s">
        <v>36</v>
      </c>
      <c r="I2674" s="18" t="s">
        <v>36</v>
      </c>
      <c r="J2674" s="12" t="s">
        <v>36</v>
      </c>
      <c r="K2674" s="13" t="s">
        <v>36</v>
      </c>
      <c r="L2674" s="15" t="s">
        <v>36</v>
      </c>
      <c r="M2674" s="12" t="s">
        <v>36</v>
      </c>
      <c r="N2674" s="12" t="s">
        <v>36</v>
      </c>
      <c r="O2674" s="17" t="s">
        <v>36</v>
      </c>
      <c r="P2674" s="12" t="s">
        <v>36</v>
      </c>
      <c r="Q2674" s="12" t="s">
        <v>36</v>
      </c>
      <c r="R2674" s="12" t="s">
        <v>36</v>
      </c>
      <c r="S2674" s="12" t="s">
        <v>36</v>
      </c>
      <c r="T2674" s="12" t="s">
        <v>661</v>
      </c>
      <c r="U2674" s="12" t="s">
        <v>51</v>
      </c>
      <c r="V2674" s="12" t="s">
        <v>52</v>
      </c>
      <c r="W2674" s="12" t="s">
        <v>14538</v>
      </c>
      <c r="X2674" s="16" t="s">
        <v>14539</v>
      </c>
      <c r="Y2674" s="15" t="s">
        <v>42</v>
      </c>
      <c r="Z2674" s="14">
        <v>3.53</v>
      </c>
      <c r="AA2674" s="14" t="s">
        <v>36</v>
      </c>
      <c r="AB2674" s="12" t="s">
        <v>43</v>
      </c>
      <c r="AC2674" s="12" t="s">
        <v>14540</v>
      </c>
      <c r="AD2674" s="13">
        <v>44533</v>
      </c>
      <c r="AE2674" s="12" t="s">
        <v>158</v>
      </c>
      <c r="AF2674" s="12" t="s">
        <v>159</v>
      </c>
      <c r="AG2674" s="12" t="s">
        <v>14541</v>
      </c>
      <c r="AH2674" s="1">
        <f>HYPERLINK("https://my.pitchbook.com?c=184554-46T","View Company Online")</f>
      </c>
    </row>
    <row r="2675">
      <c r="A2675" s="3" t="s">
        <v>14542</v>
      </c>
      <c r="B2675" s="3" t="s">
        <v>14543</v>
      </c>
      <c r="C2675" s="5">
        <v>8</v>
      </c>
      <c r="D2675" s="5">
        <v>11</v>
      </c>
      <c r="E2675" s="5">
        <v>6</v>
      </c>
      <c r="F2675" s="5">
        <v>19</v>
      </c>
      <c r="G2675" s="6" t="s">
        <v>36</v>
      </c>
      <c r="H2675" s="4">
        <v>483.57</v>
      </c>
      <c r="I2675" s="7">
        <v>10.25</v>
      </c>
      <c r="J2675" s="3" t="s">
        <v>521</v>
      </c>
      <c r="K2675" s="9" t="s">
        <v>36</v>
      </c>
      <c r="L2675" s="6" t="s">
        <v>122</v>
      </c>
      <c r="M2675" s="3" t="s">
        <v>36</v>
      </c>
      <c r="N2675" s="3" t="s">
        <v>122</v>
      </c>
      <c r="O2675" s="8" t="s">
        <v>36</v>
      </c>
      <c r="P2675" s="3" t="s">
        <v>36</v>
      </c>
      <c r="Q2675" s="3" t="s">
        <v>36</v>
      </c>
      <c r="R2675" s="3" t="s">
        <v>36</v>
      </c>
      <c r="S2675" s="3" t="s">
        <v>36</v>
      </c>
      <c r="T2675" s="3" t="s">
        <v>492</v>
      </c>
      <c r="U2675" s="3" t="s">
        <v>96</v>
      </c>
      <c r="V2675" s="3" t="s">
        <v>52</v>
      </c>
      <c r="W2675" s="3" t="s">
        <v>14544</v>
      </c>
      <c r="X2675" s="10" t="s">
        <v>14545</v>
      </c>
      <c r="Y2675" s="6" t="s">
        <v>108</v>
      </c>
      <c r="Z2675" s="4">
        <v>5.27</v>
      </c>
      <c r="AA2675" s="4">
        <v>51.38</v>
      </c>
      <c r="AB2675" s="3" t="s">
        <v>43</v>
      </c>
      <c r="AC2675" s="3" t="s">
        <v>14546</v>
      </c>
      <c r="AD2675" s="9">
        <v>44533</v>
      </c>
      <c r="AE2675" s="3" t="s">
        <v>496</v>
      </c>
      <c r="AF2675" s="3" t="s">
        <v>275</v>
      </c>
      <c r="AG2675" s="3" t="s">
        <v>3595</v>
      </c>
      <c r="AH2675" s="11">
        <f>HYPERLINK("https://my.pitchbook.com?c=186062-50T","View Company Online")</f>
      </c>
    </row>
    <row r="2676">
      <c r="A2676" s="12" t="s">
        <v>14547</v>
      </c>
      <c r="B2676" s="12" t="s">
        <v>14548</v>
      </c>
      <c r="C2676" s="19" t="s">
        <v>36</v>
      </c>
      <c r="D2676" s="19" t="s">
        <v>36</v>
      </c>
      <c r="E2676" s="19" t="s">
        <v>36</v>
      </c>
      <c r="F2676" s="19" t="s">
        <v>36</v>
      </c>
      <c r="G2676" s="15" t="s">
        <v>36</v>
      </c>
      <c r="H2676" s="14">
        <v>16.47</v>
      </c>
      <c r="I2676" s="18">
        <v>27.2</v>
      </c>
      <c r="J2676" s="12" t="s">
        <v>521</v>
      </c>
      <c r="K2676" s="13" t="s">
        <v>36</v>
      </c>
      <c r="L2676" s="15" t="s">
        <v>36</v>
      </c>
      <c r="M2676" s="12" t="s">
        <v>36</v>
      </c>
      <c r="N2676" s="12" t="s">
        <v>36</v>
      </c>
      <c r="O2676" s="17" t="s">
        <v>36</v>
      </c>
      <c r="P2676" s="12" t="s">
        <v>36</v>
      </c>
      <c r="Q2676" s="12" t="s">
        <v>36</v>
      </c>
      <c r="R2676" s="12" t="s">
        <v>36</v>
      </c>
      <c r="S2676" s="12" t="s">
        <v>36</v>
      </c>
      <c r="T2676" s="12" t="s">
        <v>14549</v>
      </c>
      <c r="U2676" s="12" t="s">
        <v>9881</v>
      </c>
      <c r="V2676" s="12" t="s">
        <v>75</v>
      </c>
      <c r="W2676" s="12" t="s">
        <v>14550</v>
      </c>
      <c r="X2676" s="16" t="s">
        <v>14551</v>
      </c>
      <c r="Y2676" s="15" t="s">
        <v>42</v>
      </c>
      <c r="Z2676" s="14">
        <v>1.62</v>
      </c>
      <c r="AA2676" s="14">
        <v>2.97</v>
      </c>
      <c r="AB2676" s="12" t="s">
        <v>43</v>
      </c>
      <c r="AC2676" s="12" t="s">
        <v>14552</v>
      </c>
      <c r="AD2676" s="13">
        <v>44533</v>
      </c>
      <c r="AE2676" s="12" t="s">
        <v>12049</v>
      </c>
      <c r="AF2676" s="12" t="s">
        <v>1115</v>
      </c>
      <c r="AG2676" s="12" t="s">
        <v>186</v>
      </c>
      <c r="AH2676" s="1">
        <f>HYPERLINK("https://my.pitchbook.com?c=184889-08T","View Company Online")</f>
      </c>
    </row>
    <row r="2677">
      <c r="A2677" s="3" t="s">
        <v>14553</v>
      </c>
      <c r="B2677" s="3" t="s">
        <v>499</v>
      </c>
      <c r="C2677" s="5">
        <v>9</v>
      </c>
      <c r="D2677" s="5">
        <v>2</v>
      </c>
      <c r="E2677" s="5">
        <v>3</v>
      </c>
      <c r="F2677" s="5">
        <v>11</v>
      </c>
      <c r="G2677" s="6" t="s">
        <v>2497</v>
      </c>
      <c r="H2677" s="4">
        <v>539.02</v>
      </c>
      <c r="I2677" s="7">
        <v>67.71</v>
      </c>
      <c r="J2677" s="3" t="s">
        <v>521</v>
      </c>
      <c r="K2677" s="9" t="s">
        <v>36</v>
      </c>
      <c r="L2677" s="6" t="s">
        <v>94</v>
      </c>
      <c r="M2677" s="3" t="s">
        <v>36</v>
      </c>
      <c r="N2677" s="3" t="s">
        <v>94</v>
      </c>
      <c r="O2677" s="8" t="s">
        <v>36</v>
      </c>
      <c r="P2677" s="3" t="s">
        <v>36</v>
      </c>
      <c r="Q2677" s="3" t="s">
        <v>36</v>
      </c>
      <c r="R2677" s="3" t="s">
        <v>36</v>
      </c>
      <c r="S2677" s="3" t="s">
        <v>36</v>
      </c>
      <c r="T2677" s="3" t="s">
        <v>500</v>
      </c>
      <c r="U2677" s="3" t="s">
        <v>51</v>
      </c>
      <c r="V2677" s="3" t="s">
        <v>52</v>
      </c>
      <c r="W2677" s="3" t="s">
        <v>501</v>
      </c>
      <c r="X2677" s="10" t="s">
        <v>14554</v>
      </c>
      <c r="Y2677" s="6" t="s">
        <v>192</v>
      </c>
      <c r="Z2677" s="4">
        <v>23.44</v>
      </c>
      <c r="AA2677" s="4">
        <v>34.61</v>
      </c>
      <c r="AB2677" s="3" t="s">
        <v>56</v>
      </c>
      <c r="AC2677" s="3" t="s">
        <v>503</v>
      </c>
      <c r="AD2677" s="9">
        <v>44532</v>
      </c>
      <c r="AE2677" s="3" t="s">
        <v>504</v>
      </c>
      <c r="AF2677" s="3" t="s">
        <v>159</v>
      </c>
      <c r="AG2677" s="3" t="s">
        <v>81</v>
      </c>
      <c r="AH2677" s="11">
        <f>HYPERLINK("https://my.pitchbook.com?c=176891-50T","View Company Online")</f>
      </c>
    </row>
    <row r="2678">
      <c r="A2678" s="12" t="s">
        <v>14555</v>
      </c>
      <c r="B2678" s="12" t="s">
        <v>14556</v>
      </c>
      <c r="C2678" s="19">
        <v>17</v>
      </c>
      <c r="D2678" s="19">
        <v>25</v>
      </c>
      <c r="E2678" s="19">
        <v>8</v>
      </c>
      <c r="F2678" s="19">
        <v>43</v>
      </c>
      <c r="G2678" s="15" t="s">
        <v>36</v>
      </c>
      <c r="H2678" s="14" t="s">
        <v>36</v>
      </c>
      <c r="I2678" s="18">
        <v>46.86</v>
      </c>
      <c r="J2678" s="12" t="s">
        <v>521</v>
      </c>
      <c r="K2678" s="13" t="s">
        <v>36</v>
      </c>
      <c r="L2678" s="15" t="s">
        <v>122</v>
      </c>
      <c r="M2678" s="12" t="s">
        <v>36</v>
      </c>
      <c r="N2678" s="12" t="s">
        <v>122</v>
      </c>
      <c r="O2678" s="17" t="s">
        <v>36</v>
      </c>
      <c r="P2678" s="12" t="s">
        <v>36</v>
      </c>
      <c r="Q2678" s="12" t="s">
        <v>36</v>
      </c>
      <c r="R2678" s="12" t="s">
        <v>36</v>
      </c>
      <c r="S2678" s="12" t="s">
        <v>36</v>
      </c>
      <c r="T2678" s="12" t="s">
        <v>14557</v>
      </c>
      <c r="U2678" s="12" t="s">
        <v>318</v>
      </c>
      <c r="V2678" s="12" t="s">
        <v>39</v>
      </c>
      <c r="W2678" s="12" t="s">
        <v>14558</v>
      </c>
      <c r="X2678" s="16" t="s">
        <v>14559</v>
      </c>
      <c r="Y2678" s="15" t="s">
        <v>108</v>
      </c>
      <c r="Z2678" s="14">
        <v>34.89</v>
      </c>
      <c r="AA2678" s="14">
        <v>74.46</v>
      </c>
      <c r="AB2678" s="12" t="s">
        <v>56</v>
      </c>
      <c r="AC2678" s="12" t="s">
        <v>14560</v>
      </c>
      <c r="AD2678" s="13">
        <v>44532</v>
      </c>
      <c r="AE2678" s="12" t="s">
        <v>763</v>
      </c>
      <c r="AF2678" s="12" t="s">
        <v>1977</v>
      </c>
      <c r="AG2678" s="12" t="s">
        <v>81</v>
      </c>
      <c r="AH2678" s="1">
        <f>HYPERLINK("https://my.pitchbook.com?c=185114-26T","View Company Online")</f>
      </c>
    </row>
    <row r="2679">
      <c r="A2679" s="3" t="s">
        <v>14561</v>
      </c>
      <c r="B2679" s="3" t="s">
        <v>14562</v>
      </c>
      <c r="C2679" s="5" t="s">
        <v>36</v>
      </c>
      <c r="D2679" s="5" t="s">
        <v>36</v>
      </c>
      <c r="E2679" s="5" t="s">
        <v>36</v>
      </c>
      <c r="F2679" s="5" t="s">
        <v>36</v>
      </c>
      <c r="G2679" s="6" t="s">
        <v>683</v>
      </c>
      <c r="H2679" s="4">
        <v>47.2</v>
      </c>
      <c r="I2679" s="7">
        <v>9.09</v>
      </c>
      <c r="J2679" s="3" t="s">
        <v>521</v>
      </c>
      <c r="K2679" s="9" t="s">
        <v>36</v>
      </c>
      <c r="L2679" s="6" t="s">
        <v>36</v>
      </c>
      <c r="M2679" s="3" t="s">
        <v>36</v>
      </c>
      <c r="N2679" s="3" t="s">
        <v>36</v>
      </c>
      <c r="O2679" s="8" t="s">
        <v>36</v>
      </c>
      <c r="P2679" s="3" t="s">
        <v>36</v>
      </c>
      <c r="Q2679" s="3" t="s">
        <v>36</v>
      </c>
      <c r="R2679" s="3" t="s">
        <v>36</v>
      </c>
      <c r="S2679" s="3" t="s">
        <v>36</v>
      </c>
      <c r="T2679" s="3" t="s">
        <v>692</v>
      </c>
      <c r="U2679" s="3" t="s">
        <v>74</v>
      </c>
      <c r="V2679" s="3" t="s">
        <v>75</v>
      </c>
      <c r="W2679" s="3" t="s">
        <v>14563</v>
      </c>
      <c r="X2679" s="10" t="s">
        <v>14564</v>
      </c>
      <c r="Y2679" s="6" t="s">
        <v>42</v>
      </c>
      <c r="Z2679" s="4">
        <v>0.23</v>
      </c>
      <c r="AA2679" s="4">
        <v>2.51</v>
      </c>
      <c r="AB2679" s="3" t="s">
        <v>56</v>
      </c>
      <c r="AC2679" s="3" t="s">
        <v>14565</v>
      </c>
      <c r="AD2679" s="9">
        <v>44532</v>
      </c>
      <c r="AE2679" s="3" t="s">
        <v>696</v>
      </c>
      <c r="AF2679" s="3" t="s">
        <v>4284</v>
      </c>
      <c r="AG2679" s="3" t="s">
        <v>81</v>
      </c>
      <c r="AH2679" s="11">
        <f>HYPERLINK("https://my.pitchbook.com?c=130121-11T","View Company Online")</f>
      </c>
    </row>
    <row r="2680">
      <c r="A2680" s="12" t="s">
        <v>14566</v>
      </c>
      <c r="B2680" s="12" t="s">
        <v>4582</v>
      </c>
      <c r="C2680" s="19">
        <v>4</v>
      </c>
      <c r="D2680" s="19">
        <v>4</v>
      </c>
      <c r="E2680" s="19">
        <v>4</v>
      </c>
      <c r="F2680" s="19">
        <v>8</v>
      </c>
      <c r="G2680" s="15" t="s">
        <v>36</v>
      </c>
      <c r="H2680" s="14" t="s">
        <v>36</v>
      </c>
      <c r="I2680" s="18" t="s">
        <v>36</v>
      </c>
      <c r="J2680" s="12" t="s">
        <v>36</v>
      </c>
      <c r="K2680" s="13" t="s">
        <v>36</v>
      </c>
      <c r="L2680" s="15" t="s">
        <v>36</v>
      </c>
      <c r="M2680" s="12" t="s">
        <v>36</v>
      </c>
      <c r="N2680" s="12" t="s">
        <v>36</v>
      </c>
      <c r="O2680" s="17" t="s">
        <v>36</v>
      </c>
      <c r="P2680" s="12" t="s">
        <v>36</v>
      </c>
      <c r="Q2680" s="12" t="s">
        <v>36</v>
      </c>
      <c r="R2680" s="12" t="s">
        <v>36</v>
      </c>
      <c r="S2680" s="12" t="s">
        <v>36</v>
      </c>
      <c r="T2680" s="12" t="s">
        <v>4583</v>
      </c>
      <c r="U2680" s="12" t="s">
        <v>96</v>
      </c>
      <c r="V2680" s="12" t="s">
        <v>52</v>
      </c>
      <c r="W2680" s="12" t="s">
        <v>4584</v>
      </c>
      <c r="X2680" s="16" t="s">
        <v>14567</v>
      </c>
      <c r="Y2680" s="15" t="s">
        <v>55</v>
      </c>
      <c r="Z2680" s="14">
        <v>6.84</v>
      </c>
      <c r="AA2680" s="14" t="s">
        <v>36</v>
      </c>
      <c r="AB2680" s="12" t="s">
        <v>43</v>
      </c>
      <c r="AC2680" s="12" t="s">
        <v>4586</v>
      </c>
      <c r="AD2680" s="13">
        <v>44532</v>
      </c>
      <c r="AE2680" s="12" t="s">
        <v>100</v>
      </c>
      <c r="AF2680" s="12" t="s">
        <v>4587</v>
      </c>
      <c r="AG2680" s="12" t="s">
        <v>652</v>
      </c>
      <c r="AH2680" s="1">
        <f>HYPERLINK("https://my.pitchbook.com?c=184440-79T","View Company Online")</f>
      </c>
    </row>
    <row r="2681">
      <c r="A2681" s="3" t="s">
        <v>14568</v>
      </c>
      <c r="B2681" s="3" t="s">
        <v>3360</v>
      </c>
      <c r="C2681" s="5">
        <v>4</v>
      </c>
      <c r="D2681" s="5">
        <v>27</v>
      </c>
      <c r="E2681" s="5">
        <v>3</v>
      </c>
      <c r="F2681" s="5">
        <v>33</v>
      </c>
      <c r="G2681" s="6" t="s">
        <v>36</v>
      </c>
      <c r="H2681" s="4">
        <v>2.65</v>
      </c>
      <c r="I2681" s="7">
        <v>55.53</v>
      </c>
      <c r="J2681" s="3" t="s">
        <v>521</v>
      </c>
      <c r="K2681" s="9" t="s">
        <v>36</v>
      </c>
      <c r="L2681" s="6" t="s">
        <v>122</v>
      </c>
      <c r="M2681" s="3" t="s">
        <v>36</v>
      </c>
      <c r="N2681" s="3" t="s">
        <v>122</v>
      </c>
      <c r="O2681" s="8" t="s">
        <v>36</v>
      </c>
      <c r="P2681" s="3" t="s">
        <v>36</v>
      </c>
      <c r="Q2681" s="3" t="s">
        <v>36</v>
      </c>
      <c r="R2681" s="3" t="s">
        <v>36</v>
      </c>
      <c r="S2681" s="3" t="s">
        <v>36</v>
      </c>
      <c r="T2681" s="3" t="s">
        <v>3361</v>
      </c>
      <c r="U2681" s="3" t="s">
        <v>96</v>
      </c>
      <c r="V2681" s="3" t="s">
        <v>52</v>
      </c>
      <c r="W2681" s="3" t="s">
        <v>3362</v>
      </c>
      <c r="X2681" s="10" t="s">
        <v>14569</v>
      </c>
      <c r="Y2681" s="6" t="s">
        <v>42</v>
      </c>
      <c r="Z2681" s="4">
        <v>11.4</v>
      </c>
      <c r="AA2681" s="4">
        <v>20.53</v>
      </c>
      <c r="AB2681" s="3" t="s">
        <v>56</v>
      </c>
      <c r="AC2681" s="3" t="s">
        <v>3364</v>
      </c>
      <c r="AD2681" s="9">
        <v>44532</v>
      </c>
      <c r="AE2681" s="3" t="s">
        <v>496</v>
      </c>
      <c r="AF2681" s="3" t="s">
        <v>3365</v>
      </c>
      <c r="AG2681" s="3" t="s">
        <v>81</v>
      </c>
      <c r="AH2681" s="11">
        <f>HYPERLINK("https://my.pitchbook.com?c=120672-01T","View Company Online")</f>
      </c>
    </row>
    <row r="2682">
      <c r="A2682" s="12" t="s">
        <v>14570</v>
      </c>
      <c r="B2682" s="12" t="s">
        <v>14571</v>
      </c>
      <c r="C2682" s="19" t="s">
        <v>36</v>
      </c>
      <c r="D2682" s="19" t="s">
        <v>36</v>
      </c>
      <c r="E2682" s="19" t="s">
        <v>36</v>
      </c>
      <c r="F2682" s="19" t="s">
        <v>36</v>
      </c>
      <c r="G2682" s="15" t="s">
        <v>36</v>
      </c>
      <c r="H2682" s="14" t="s">
        <v>36</v>
      </c>
      <c r="I2682" s="18" t="s">
        <v>36</v>
      </c>
      <c r="J2682" s="12" t="s">
        <v>36</v>
      </c>
      <c r="K2682" s="13" t="s">
        <v>36</v>
      </c>
      <c r="L2682" s="15" t="s">
        <v>36</v>
      </c>
      <c r="M2682" s="12" t="s">
        <v>36</v>
      </c>
      <c r="N2682" s="12" t="s">
        <v>36</v>
      </c>
      <c r="O2682" s="17" t="s">
        <v>36</v>
      </c>
      <c r="P2682" s="12" t="s">
        <v>36</v>
      </c>
      <c r="Q2682" s="12" t="s">
        <v>36</v>
      </c>
      <c r="R2682" s="12" t="s">
        <v>36</v>
      </c>
      <c r="S2682" s="12" t="s">
        <v>36</v>
      </c>
      <c r="T2682" s="12" t="s">
        <v>8387</v>
      </c>
      <c r="U2682" s="12" t="s">
        <v>38</v>
      </c>
      <c r="V2682" s="12" t="s">
        <v>39</v>
      </c>
      <c r="W2682" s="12" t="s">
        <v>14572</v>
      </c>
      <c r="X2682" s="16" t="s">
        <v>11154</v>
      </c>
      <c r="Y2682" s="15" t="s">
        <v>42</v>
      </c>
      <c r="Z2682" s="14" t="s">
        <v>36</v>
      </c>
      <c r="AA2682" s="14" t="s">
        <v>36</v>
      </c>
      <c r="AB2682" s="12" t="s">
        <v>56</v>
      </c>
      <c r="AC2682" s="12" t="s">
        <v>14573</v>
      </c>
      <c r="AD2682" s="13">
        <v>44531</v>
      </c>
      <c r="AE2682" s="12" t="s">
        <v>110</v>
      </c>
      <c r="AF2682" s="12" t="s">
        <v>2703</v>
      </c>
      <c r="AG2682" s="12" t="s">
        <v>14574</v>
      </c>
      <c r="AH2682" s="1">
        <f>HYPERLINK("https://my.pitchbook.com?c=185055-31T","View Company Online")</f>
      </c>
    </row>
    <row r="2683">
      <c r="A2683" s="3" t="s">
        <v>14575</v>
      </c>
      <c r="B2683" s="3" t="s">
        <v>4324</v>
      </c>
      <c r="C2683" s="5" t="s">
        <v>36</v>
      </c>
      <c r="D2683" s="5">
        <v>2</v>
      </c>
      <c r="E2683" s="5">
        <v>1</v>
      </c>
      <c r="F2683" s="5">
        <v>2</v>
      </c>
      <c r="G2683" s="6" t="s">
        <v>36</v>
      </c>
      <c r="H2683" s="4">
        <v>1024.93</v>
      </c>
      <c r="I2683" s="7">
        <v>15.68</v>
      </c>
      <c r="J2683" s="3" t="s">
        <v>521</v>
      </c>
      <c r="K2683" s="9">
        <v>43831</v>
      </c>
      <c r="L2683" s="6" t="s">
        <v>36</v>
      </c>
      <c r="M2683" s="3" t="s">
        <v>36</v>
      </c>
      <c r="N2683" s="3" t="s">
        <v>36</v>
      </c>
      <c r="O2683" s="8" t="s">
        <v>36</v>
      </c>
      <c r="P2683" s="3" t="s">
        <v>36</v>
      </c>
      <c r="Q2683" s="3" t="s">
        <v>36</v>
      </c>
      <c r="R2683" s="3" t="s">
        <v>36</v>
      </c>
      <c r="S2683" s="3" t="s">
        <v>36</v>
      </c>
      <c r="T2683" s="3" t="s">
        <v>3591</v>
      </c>
      <c r="U2683" s="3" t="s">
        <v>38</v>
      </c>
      <c r="V2683" s="3" t="s">
        <v>39</v>
      </c>
      <c r="W2683" s="3" t="s">
        <v>4325</v>
      </c>
      <c r="X2683" s="10" t="s">
        <v>14576</v>
      </c>
      <c r="Y2683" s="6" t="s">
        <v>42</v>
      </c>
      <c r="Z2683" s="4">
        <v>2.12</v>
      </c>
      <c r="AA2683" s="4">
        <v>13.53</v>
      </c>
      <c r="AB2683" s="3" t="s">
        <v>43</v>
      </c>
      <c r="AC2683" s="3" t="s">
        <v>4327</v>
      </c>
      <c r="AD2683" s="9">
        <v>44531</v>
      </c>
      <c r="AE2683" s="3" t="s">
        <v>688</v>
      </c>
      <c r="AF2683" s="3" t="s">
        <v>118</v>
      </c>
      <c r="AG2683" s="3" t="s">
        <v>4328</v>
      </c>
      <c r="AH2683" s="11">
        <f>HYPERLINK("https://my.pitchbook.com?c=166269-79T","View Company Online")</f>
      </c>
    </row>
    <row r="2684">
      <c r="A2684" s="12" t="s">
        <v>14577</v>
      </c>
      <c r="B2684" s="12" t="s">
        <v>535</v>
      </c>
      <c r="C2684" s="19" t="s">
        <v>36</v>
      </c>
      <c r="D2684" s="19" t="s">
        <v>36</v>
      </c>
      <c r="E2684" s="19" t="s">
        <v>36</v>
      </c>
      <c r="F2684" s="19" t="s">
        <v>36</v>
      </c>
      <c r="G2684" s="15" t="s">
        <v>36</v>
      </c>
      <c r="H2684" s="14" t="s">
        <v>36</v>
      </c>
      <c r="I2684" s="18" t="s">
        <v>36</v>
      </c>
      <c r="J2684" s="12" t="s">
        <v>36</v>
      </c>
      <c r="K2684" s="13" t="s">
        <v>36</v>
      </c>
      <c r="L2684" s="15" t="s">
        <v>36</v>
      </c>
      <c r="M2684" s="12" t="s">
        <v>36</v>
      </c>
      <c r="N2684" s="12" t="s">
        <v>36</v>
      </c>
      <c r="O2684" s="17" t="s">
        <v>36</v>
      </c>
      <c r="P2684" s="12" t="s">
        <v>36</v>
      </c>
      <c r="Q2684" s="12" t="s">
        <v>36</v>
      </c>
      <c r="R2684" s="12" t="s">
        <v>36</v>
      </c>
      <c r="S2684" s="12" t="s">
        <v>36</v>
      </c>
      <c r="T2684" s="12" t="s">
        <v>522</v>
      </c>
      <c r="U2684" s="12" t="s">
        <v>38</v>
      </c>
      <c r="V2684" s="12" t="s">
        <v>39</v>
      </c>
      <c r="W2684" s="12" t="s">
        <v>536</v>
      </c>
      <c r="X2684" s="16" t="s">
        <v>14578</v>
      </c>
      <c r="Y2684" s="15" t="s">
        <v>192</v>
      </c>
      <c r="Z2684" s="14">
        <v>21.97</v>
      </c>
      <c r="AA2684" s="14" t="s">
        <v>36</v>
      </c>
      <c r="AB2684" s="12" t="s">
        <v>56</v>
      </c>
      <c r="AC2684" s="12" t="s">
        <v>538</v>
      </c>
      <c r="AD2684" s="13">
        <v>44531</v>
      </c>
      <c r="AE2684" s="12" t="s">
        <v>110</v>
      </c>
      <c r="AF2684" s="12" t="s">
        <v>526</v>
      </c>
      <c r="AG2684" s="12" t="s">
        <v>539</v>
      </c>
      <c r="AH2684" s="1">
        <f>HYPERLINK("https://my.pitchbook.com?c=184797-55T","View Company Online")</f>
      </c>
    </row>
    <row r="2685">
      <c r="A2685" s="3" t="s">
        <v>14579</v>
      </c>
      <c r="B2685" s="3" t="s">
        <v>14580</v>
      </c>
      <c r="C2685" s="5" t="s">
        <v>36</v>
      </c>
      <c r="D2685" s="5" t="s">
        <v>36</v>
      </c>
      <c r="E2685" s="5" t="s">
        <v>36</v>
      </c>
      <c r="F2685" s="5" t="s">
        <v>36</v>
      </c>
      <c r="G2685" s="6" t="s">
        <v>36</v>
      </c>
      <c r="H2685" s="4" t="s">
        <v>36</v>
      </c>
      <c r="I2685" s="7" t="s">
        <v>36</v>
      </c>
      <c r="J2685" s="3" t="s">
        <v>36</v>
      </c>
      <c r="K2685" s="9">
        <v>44378</v>
      </c>
      <c r="L2685" s="6" t="s">
        <v>36</v>
      </c>
      <c r="M2685" s="3" t="s">
        <v>36</v>
      </c>
      <c r="N2685" s="3" t="s">
        <v>36</v>
      </c>
      <c r="O2685" s="8" t="s">
        <v>36</v>
      </c>
      <c r="P2685" s="3" t="s">
        <v>36</v>
      </c>
      <c r="Q2685" s="3" t="s">
        <v>36</v>
      </c>
      <c r="R2685" s="3" t="s">
        <v>36</v>
      </c>
      <c r="S2685" s="3" t="s">
        <v>36</v>
      </c>
      <c r="T2685" s="3" t="s">
        <v>14581</v>
      </c>
      <c r="U2685" s="3" t="s">
        <v>833</v>
      </c>
      <c r="V2685" s="3" t="s">
        <v>64</v>
      </c>
      <c r="W2685" s="3" t="s">
        <v>14582</v>
      </c>
      <c r="X2685" s="10" t="s">
        <v>14583</v>
      </c>
      <c r="Y2685" s="6" t="s">
        <v>42</v>
      </c>
      <c r="Z2685" s="4">
        <v>0.57</v>
      </c>
      <c r="AA2685" s="4" t="s">
        <v>36</v>
      </c>
      <c r="AB2685" s="3" t="s">
        <v>56</v>
      </c>
      <c r="AC2685" s="3" t="s">
        <v>14584</v>
      </c>
      <c r="AD2685" s="9">
        <v>44531</v>
      </c>
      <c r="AE2685" s="3" t="s">
        <v>1069</v>
      </c>
      <c r="AF2685" s="3" t="s">
        <v>14585</v>
      </c>
      <c r="AG2685" s="3" t="s">
        <v>539</v>
      </c>
      <c r="AH2685" s="11">
        <f>HYPERLINK("https://my.pitchbook.com?c=182464-66T","View Company Online")</f>
      </c>
    </row>
    <row r="2686">
      <c r="A2686" s="12" t="s">
        <v>14586</v>
      </c>
      <c r="B2686" s="12" t="s">
        <v>14587</v>
      </c>
      <c r="C2686" s="19" t="s">
        <v>36</v>
      </c>
      <c r="D2686" s="19" t="s">
        <v>36</v>
      </c>
      <c r="E2686" s="19" t="s">
        <v>36</v>
      </c>
      <c r="F2686" s="19" t="s">
        <v>36</v>
      </c>
      <c r="G2686" s="15" t="s">
        <v>36</v>
      </c>
      <c r="H2686" s="14" t="s">
        <v>36</v>
      </c>
      <c r="I2686" s="18" t="s">
        <v>36</v>
      </c>
      <c r="J2686" s="12" t="s">
        <v>36</v>
      </c>
      <c r="K2686" s="13" t="s">
        <v>36</v>
      </c>
      <c r="L2686" s="15" t="s">
        <v>36</v>
      </c>
      <c r="M2686" s="12" t="s">
        <v>36</v>
      </c>
      <c r="N2686" s="12" t="s">
        <v>36</v>
      </c>
      <c r="O2686" s="17" t="s">
        <v>36</v>
      </c>
      <c r="P2686" s="12" t="s">
        <v>36</v>
      </c>
      <c r="Q2686" s="12" t="s">
        <v>36</v>
      </c>
      <c r="R2686" s="12" t="s">
        <v>36</v>
      </c>
      <c r="S2686" s="12" t="s">
        <v>36</v>
      </c>
      <c r="T2686" s="12" t="s">
        <v>1048</v>
      </c>
      <c r="U2686" s="12" t="s">
        <v>423</v>
      </c>
      <c r="V2686" s="12" t="s">
        <v>64</v>
      </c>
      <c r="W2686" s="12" t="s">
        <v>14588</v>
      </c>
      <c r="X2686" s="16" t="s">
        <v>14589</v>
      </c>
      <c r="Y2686" s="15" t="s">
        <v>192</v>
      </c>
      <c r="Z2686" s="14" t="s">
        <v>36</v>
      </c>
      <c r="AA2686" s="14" t="s">
        <v>36</v>
      </c>
      <c r="AB2686" s="12" t="s">
        <v>56</v>
      </c>
      <c r="AC2686" s="12" t="s">
        <v>14590</v>
      </c>
      <c r="AD2686" s="13">
        <v>44531</v>
      </c>
      <c r="AE2686" s="12" t="s">
        <v>1051</v>
      </c>
      <c r="AF2686" s="12" t="s">
        <v>90</v>
      </c>
      <c r="AG2686" s="12" t="s">
        <v>81</v>
      </c>
      <c r="AH2686" s="1">
        <f>HYPERLINK("https://my.pitchbook.com?c=196612-48T","View Company Online")</f>
      </c>
    </row>
    <row r="2687">
      <c r="A2687" s="3" t="s">
        <v>14591</v>
      </c>
      <c r="B2687" s="3" t="s">
        <v>14592</v>
      </c>
      <c r="C2687" s="5" t="s">
        <v>36</v>
      </c>
      <c r="D2687" s="5" t="s">
        <v>36</v>
      </c>
      <c r="E2687" s="5" t="s">
        <v>36</v>
      </c>
      <c r="F2687" s="5" t="s">
        <v>36</v>
      </c>
      <c r="G2687" s="6" t="s">
        <v>2497</v>
      </c>
      <c r="H2687" s="4">
        <v>224.33</v>
      </c>
      <c r="I2687" s="7">
        <v>11.65</v>
      </c>
      <c r="J2687" s="3" t="s">
        <v>521</v>
      </c>
      <c r="K2687" s="9" t="s">
        <v>36</v>
      </c>
      <c r="L2687" s="6" t="s">
        <v>36</v>
      </c>
      <c r="M2687" s="3" t="s">
        <v>36</v>
      </c>
      <c r="N2687" s="3" t="s">
        <v>36</v>
      </c>
      <c r="O2687" s="8" t="s">
        <v>36</v>
      </c>
      <c r="P2687" s="3" t="s">
        <v>36</v>
      </c>
      <c r="Q2687" s="3" t="s">
        <v>36</v>
      </c>
      <c r="R2687" s="3" t="s">
        <v>36</v>
      </c>
      <c r="S2687" s="3" t="s">
        <v>36</v>
      </c>
      <c r="T2687" s="3" t="s">
        <v>14593</v>
      </c>
      <c r="U2687" s="3" t="s">
        <v>38</v>
      </c>
      <c r="V2687" s="3" t="s">
        <v>39</v>
      </c>
      <c r="W2687" s="3" t="s">
        <v>14594</v>
      </c>
      <c r="X2687" s="10" t="s">
        <v>14595</v>
      </c>
      <c r="Y2687" s="6" t="s">
        <v>192</v>
      </c>
      <c r="Z2687" s="4">
        <v>0.39</v>
      </c>
      <c r="AA2687" s="4">
        <v>3.34</v>
      </c>
      <c r="AB2687" s="3" t="s">
        <v>56</v>
      </c>
      <c r="AC2687" s="3" t="s">
        <v>14596</v>
      </c>
      <c r="AD2687" s="9">
        <v>44531</v>
      </c>
      <c r="AE2687" s="3" t="s">
        <v>110</v>
      </c>
      <c r="AF2687" s="3" t="s">
        <v>14597</v>
      </c>
      <c r="AG2687" s="3" t="s">
        <v>1078</v>
      </c>
      <c r="AH2687" s="11">
        <f>HYPERLINK("https://my.pitchbook.com?c=188996-86T","View Company Online")</f>
      </c>
    </row>
    <row r="2688">
      <c r="A2688" s="12" t="s">
        <v>14598</v>
      </c>
      <c r="B2688" s="12" t="s">
        <v>9613</v>
      </c>
      <c r="C2688" s="19">
        <v>3</v>
      </c>
      <c r="D2688" s="19" t="s">
        <v>36</v>
      </c>
      <c r="E2688" s="19">
        <v>1</v>
      </c>
      <c r="F2688" s="19">
        <v>3</v>
      </c>
      <c r="G2688" s="15" t="s">
        <v>36</v>
      </c>
      <c r="H2688" s="14" t="s">
        <v>36</v>
      </c>
      <c r="I2688" s="18" t="s">
        <v>36</v>
      </c>
      <c r="J2688" s="12" t="s">
        <v>36</v>
      </c>
      <c r="K2688" s="13" t="s">
        <v>36</v>
      </c>
      <c r="L2688" s="15" t="s">
        <v>36</v>
      </c>
      <c r="M2688" s="12" t="s">
        <v>36</v>
      </c>
      <c r="N2688" s="12" t="s">
        <v>36</v>
      </c>
      <c r="O2688" s="17" t="s">
        <v>36</v>
      </c>
      <c r="P2688" s="12" t="s">
        <v>36</v>
      </c>
      <c r="Q2688" s="12" t="s">
        <v>36</v>
      </c>
      <c r="R2688" s="12" t="s">
        <v>36</v>
      </c>
      <c r="S2688" s="12" t="s">
        <v>36</v>
      </c>
      <c r="T2688" s="12" t="s">
        <v>1227</v>
      </c>
      <c r="U2688" s="12" t="s">
        <v>74</v>
      </c>
      <c r="V2688" s="12" t="s">
        <v>75</v>
      </c>
      <c r="W2688" s="12" t="s">
        <v>9614</v>
      </c>
      <c r="X2688" s="16" t="s">
        <v>980</v>
      </c>
      <c r="Y2688" s="15" t="s">
        <v>108</v>
      </c>
      <c r="Z2688" s="14" t="s">
        <v>36</v>
      </c>
      <c r="AA2688" s="14" t="s">
        <v>36</v>
      </c>
      <c r="AB2688" s="12" t="s">
        <v>56</v>
      </c>
      <c r="AC2688" s="12" t="s">
        <v>9616</v>
      </c>
      <c r="AD2688" s="13">
        <v>44531</v>
      </c>
      <c r="AE2688" s="12" t="s">
        <v>570</v>
      </c>
      <c r="AF2688" s="12" t="s">
        <v>1340</v>
      </c>
      <c r="AG2688" s="12" t="s">
        <v>144</v>
      </c>
      <c r="AH2688" s="1">
        <f>HYPERLINK("https://my.pitchbook.com?c=188996-59T","View Company Online")</f>
      </c>
    </row>
    <row r="2689">
      <c r="A2689" s="3" t="s">
        <v>14599</v>
      </c>
      <c r="B2689" s="3" t="s">
        <v>8935</v>
      </c>
      <c r="C2689" s="5" t="s">
        <v>36</v>
      </c>
      <c r="D2689" s="5" t="s">
        <v>36</v>
      </c>
      <c r="E2689" s="5" t="s">
        <v>36</v>
      </c>
      <c r="F2689" s="5" t="s">
        <v>36</v>
      </c>
      <c r="G2689" s="6" t="s">
        <v>326</v>
      </c>
      <c r="H2689" s="4">
        <v>2.13</v>
      </c>
      <c r="I2689" s="7">
        <v>41.36</v>
      </c>
      <c r="J2689" s="3" t="s">
        <v>521</v>
      </c>
      <c r="K2689" s="9" t="s">
        <v>36</v>
      </c>
      <c r="L2689" s="6" t="s">
        <v>36</v>
      </c>
      <c r="M2689" s="3" t="s">
        <v>36</v>
      </c>
      <c r="N2689" s="3" t="s">
        <v>36</v>
      </c>
      <c r="O2689" s="8" t="s">
        <v>36</v>
      </c>
      <c r="P2689" s="3" t="s">
        <v>36</v>
      </c>
      <c r="Q2689" s="3" t="s">
        <v>36</v>
      </c>
      <c r="R2689" s="3" t="s">
        <v>36</v>
      </c>
      <c r="S2689" s="3" t="s">
        <v>36</v>
      </c>
      <c r="T2689" s="3" t="s">
        <v>105</v>
      </c>
      <c r="U2689" s="3" t="s">
        <v>38</v>
      </c>
      <c r="V2689" s="3" t="s">
        <v>39</v>
      </c>
      <c r="W2689" s="3" t="s">
        <v>8936</v>
      </c>
      <c r="X2689" s="10" t="s">
        <v>14600</v>
      </c>
      <c r="Y2689" s="6" t="s">
        <v>42</v>
      </c>
      <c r="Z2689" s="4">
        <v>1.21</v>
      </c>
      <c r="AA2689" s="4">
        <v>2.92</v>
      </c>
      <c r="AB2689" s="3" t="s">
        <v>56</v>
      </c>
      <c r="AC2689" s="3" t="s">
        <v>8938</v>
      </c>
      <c r="AD2689" s="9">
        <v>44531</v>
      </c>
      <c r="AE2689" s="3" t="s">
        <v>110</v>
      </c>
      <c r="AF2689" s="3" t="s">
        <v>952</v>
      </c>
      <c r="AG2689" s="3" t="s">
        <v>8939</v>
      </c>
      <c r="AH2689" s="11">
        <f>HYPERLINK("https://my.pitchbook.com?c=189757-81T","View Company Online")</f>
      </c>
    </row>
    <row r="2690">
      <c r="A2690" s="12" t="s">
        <v>14601</v>
      </c>
      <c r="B2690" s="12" t="s">
        <v>14602</v>
      </c>
      <c r="C2690" s="19" t="s">
        <v>36</v>
      </c>
      <c r="D2690" s="19" t="s">
        <v>36</v>
      </c>
      <c r="E2690" s="19" t="s">
        <v>36</v>
      </c>
      <c r="F2690" s="19" t="s">
        <v>36</v>
      </c>
      <c r="G2690" s="15" t="s">
        <v>36</v>
      </c>
      <c r="H2690" s="14">
        <v>23.26</v>
      </c>
      <c r="I2690" s="18">
        <v>20</v>
      </c>
      <c r="J2690" s="12" t="s">
        <v>521</v>
      </c>
      <c r="K2690" s="13" t="s">
        <v>36</v>
      </c>
      <c r="L2690" s="15" t="s">
        <v>36</v>
      </c>
      <c r="M2690" s="12" t="s">
        <v>36</v>
      </c>
      <c r="N2690" s="12" t="s">
        <v>36</v>
      </c>
      <c r="O2690" s="17" t="s">
        <v>36</v>
      </c>
      <c r="P2690" s="12" t="s">
        <v>36</v>
      </c>
      <c r="Q2690" s="12" t="s">
        <v>36</v>
      </c>
      <c r="R2690" s="12" t="s">
        <v>36</v>
      </c>
      <c r="S2690" s="12" t="s">
        <v>36</v>
      </c>
      <c r="T2690" s="12" t="s">
        <v>3545</v>
      </c>
      <c r="U2690" s="12" t="s">
        <v>38</v>
      </c>
      <c r="V2690" s="12" t="s">
        <v>39</v>
      </c>
      <c r="W2690" s="12" t="s">
        <v>14603</v>
      </c>
      <c r="X2690" s="16" t="s">
        <v>14604</v>
      </c>
      <c r="Y2690" s="15" t="s">
        <v>42</v>
      </c>
      <c r="Z2690" s="14">
        <v>0.64</v>
      </c>
      <c r="AA2690" s="14">
        <v>3.19</v>
      </c>
      <c r="AB2690" s="12" t="s">
        <v>43</v>
      </c>
      <c r="AC2690" s="12" t="s">
        <v>14605</v>
      </c>
      <c r="AD2690" s="13">
        <v>44531</v>
      </c>
      <c r="AE2690" s="12" t="s">
        <v>1945</v>
      </c>
      <c r="AF2690" s="12" t="s">
        <v>176</v>
      </c>
      <c r="AG2690" s="12" t="s">
        <v>81</v>
      </c>
      <c r="AH2690" s="1">
        <f>HYPERLINK("https://my.pitchbook.com?c=184625-02T","View Company Online")</f>
      </c>
    </row>
    <row r="2691">
      <c r="A2691" s="3" t="s">
        <v>14606</v>
      </c>
      <c r="B2691" s="3" t="s">
        <v>14607</v>
      </c>
      <c r="C2691" s="5" t="s">
        <v>36</v>
      </c>
      <c r="D2691" s="5" t="s">
        <v>36</v>
      </c>
      <c r="E2691" s="5" t="s">
        <v>36</v>
      </c>
      <c r="F2691" s="5" t="s">
        <v>36</v>
      </c>
      <c r="G2691" s="6" t="s">
        <v>36</v>
      </c>
      <c r="H2691" s="4" t="s">
        <v>36</v>
      </c>
      <c r="I2691" s="7">
        <v>11.33</v>
      </c>
      <c r="J2691" s="3" t="s">
        <v>327</v>
      </c>
      <c r="K2691" s="9" t="s">
        <v>36</v>
      </c>
      <c r="L2691" s="6" t="s">
        <v>36</v>
      </c>
      <c r="M2691" s="3" t="s">
        <v>36</v>
      </c>
      <c r="N2691" s="3" t="s">
        <v>36</v>
      </c>
      <c r="O2691" s="8" t="s">
        <v>36</v>
      </c>
      <c r="P2691" s="3" t="s">
        <v>36</v>
      </c>
      <c r="Q2691" s="3" t="s">
        <v>36</v>
      </c>
      <c r="R2691" s="3" t="s">
        <v>36</v>
      </c>
      <c r="S2691" s="3" t="s">
        <v>36</v>
      </c>
      <c r="T2691" s="3" t="s">
        <v>10642</v>
      </c>
      <c r="U2691" s="3" t="s">
        <v>833</v>
      </c>
      <c r="V2691" s="3" t="s">
        <v>64</v>
      </c>
      <c r="W2691" s="3" t="s">
        <v>14608</v>
      </c>
      <c r="X2691" s="10" t="s">
        <v>1840</v>
      </c>
      <c r="Y2691" s="6" t="s">
        <v>42</v>
      </c>
      <c r="Z2691" s="4">
        <v>0.46</v>
      </c>
      <c r="AA2691" s="4">
        <v>4.03</v>
      </c>
      <c r="AB2691" s="3" t="s">
        <v>43</v>
      </c>
      <c r="AC2691" s="3" t="s">
        <v>14609</v>
      </c>
      <c r="AD2691" s="9">
        <v>44531</v>
      </c>
      <c r="AE2691" s="3" t="s">
        <v>1687</v>
      </c>
      <c r="AF2691" s="3" t="s">
        <v>36</v>
      </c>
      <c r="AG2691" s="3" t="s">
        <v>81</v>
      </c>
      <c r="AH2691" s="11">
        <f>HYPERLINK("https://my.pitchbook.com?c=202623-67T","View Company Online")</f>
      </c>
    </row>
    <row r="2692">
      <c r="A2692" s="12" t="s">
        <v>14610</v>
      </c>
      <c r="B2692" s="12" t="s">
        <v>14611</v>
      </c>
      <c r="C2692" s="19" t="s">
        <v>36</v>
      </c>
      <c r="D2692" s="19" t="s">
        <v>36</v>
      </c>
      <c r="E2692" s="19" t="s">
        <v>36</v>
      </c>
      <c r="F2692" s="19" t="s">
        <v>36</v>
      </c>
      <c r="G2692" s="15" t="s">
        <v>36</v>
      </c>
      <c r="H2692" s="14" t="s">
        <v>36</v>
      </c>
      <c r="I2692" s="18" t="s">
        <v>36</v>
      </c>
      <c r="J2692" s="12" t="s">
        <v>36</v>
      </c>
      <c r="K2692" s="13" t="s">
        <v>36</v>
      </c>
      <c r="L2692" s="15" t="s">
        <v>36</v>
      </c>
      <c r="M2692" s="12" t="s">
        <v>36</v>
      </c>
      <c r="N2692" s="12" t="s">
        <v>36</v>
      </c>
      <c r="O2692" s="17" t="s">
        <v>36</v>
      </c>
      <c r="P2692" s="12" t="s">
        <v>36</v>
      </c>
      <c r="Q2692" s="12" t="s">
        <v>36</v>
      </c>
      <c r="R2692" s="12" t="s">
        <v>36</v>
      </c>
      <c r="S2692" s="12" t="s">
        <v>36</v>
      </c>
      <c r="T2692" s="12" t="s">
        <v>14612</v>
      </c>
      <c r="U2692" s="12" t="s">
        <v>833</v>
      </c>
      <c r="V2692" s="12" t="s">
        <v>64</v>
      </c>
      <c r="W2692" s="12" t="s">
        <v>14613</v>
      </c>
      <c r="X2692" s="16" t="s">
        <v>3177</v>
      </c>
      <c r="Y2692" s="15" t="s">
        <v>42</v>
      </c>
      <c r="Z2692" s="14" t="s">
        <v>36</v>
      </c>
      <c r="AA2692" s="14" t="s">
        <v>36</v>
      </c>
      <c r="AB2692" s="12" t="s">
        <v>56</v>
      </c>
      <c r="AC2692" s="12" t="s">
        <v>14614</v>
      </c>
      <c r="AD2692" s="13">
        <v>44531</v>
      </c>
      <c r="AE2692" s="12" t="s">
        <v>1769</v>
      </c>
      <c r="AF2692" s="12" t="s">
        <v>14615</v>
      </c>
      <c r="AG2692" s="12" t="s">
        <v>13945</v>
      </c>
      <c r="AH2692" s="1">
        <f>HYPERLINK("https://my.pitchbook.com?c=197069-77T","View Company Online")</f>
      </c>
    </row>
    <row r="2693">
      <c r="A2693" s="3" t="s">
        <v>14616</v>
      </c>
      <c r="B2693" s="3" t="s">
        <v>14617</v>
      </c>
      <c r="C2693" s="5" t="s">
        <v>36</v>
      </c>
      <c r="D2693" s="5" t="s">
        <v>36</v>
      </c>
      <c r="E2693" s="5" t="s">
        <v>36</v>
      </c>
      <c r="F2693" s="5" t="s">
        <v>36</v>
      </c>
      <c r="G2693" s="6" t="s">
        <v>36</v>
      </c>
      <c r="H2693" s="4" t="s">
        <v>36</v>
      </c>
      <c r="I2693" s="7" t="s">
        <v>36</v>
      </c>
      <c r="J2693" s="3" t="s">
        <v>36</v>
      </c>
      <c r="K2693" s="9" t="s">
        <v>36</v>
      </c>
      <c r="L2693" s="6" t="s">
        <v>122</v>
      </c>
      <c r="M2693" s="3" t="s">
        <v>36</v>
      </c>
      <c r="N2693" s="3" t="s">
        <v>122</v>
      </c>
      <c r="O2693" s="8" t="s">
        <v>36</v>
      </c>
      <c r="P2693" s="3" t="s">
        <v>36</v>
      </c>
      <c r="Q2693" s="3" t="s">
        <v>36</v>
      </c>
      <c r="R2693" s="3" t="s">
        <v>36</v>
      </c>
      <c r="S2693" s="3" t="s">
        <v>36</v>
      </c>
      <c r="T2693" s="3" t="s">
        <v>37</v>
      </c>
      <c r="U2693" s="3" t="s">
        <v>38</v>
      </c>
      <c r="V2693" s="3" t="s">
        <v>39</v>
      </c>
      <c r="W2693" s="3" t="s">
        <v>14618</v>
      </c>
      <c r="X2693" s="10" t="s">
        <v>14619</v>
      </c>
      <c r="Y2693" s="6" t="s">
        <v>42</v>
      </c>
      <c r="Z2693" s="4">
        <v>4</v>
      </c>
      <c r="AA2693" s="4" t="s">
        <v>36</v>
      </c>
      <c r="AB2693" s="3" t="s">
        <v>43</v>
      </c>
      <c r="AC2693" s="3" t="s">
        <v>14620</v>
      </c>
      <c r="AD2693" s="9">
        <v>44531</v>
      </c>
      <c r="AE2693" s="3" t="s">
        <v>45</v>
      </c>
      <c r="AF2693" s="3" t="s">
        <v>680</v>
      </c>
      <c r="AG2693" s="3" t="s">
        <v>81</v>
      </c>
      <c r="AH2693" s="11">
        <f>HYPERLINK("https://my.pitchbook.com?c=212516-92T","View Company Online")</f>
      </c>
    </row>
    <row r="2694">
      <c r="A2694" s="12" t="s">
        <v>14621</v>
      </c>
      <c r="B2694" s="12" t="s">
        <v>7785</v>
      </c>
      <c r="C2694" s="19">
        <v>1</v>
      </c>
      <c r="D2694" s="19" t="s">
        <v>36</v>
      </c>
      <c r="E2694" s="19">
        <v>1</v>
      </c>
      <c r="F2694" s="19">
        <v>1</v>
      </c>
      <c r="G2694" s="15" t="s">
        <v>36</v>
      </c>
      <c r="H2694" s="14" t="s">
        <v>36</v>
      </c>
      <c r="I2694" s="18" t="s">
        <v>36</v>
      </c>
      <c r="J2694" s="12" t="s">
        <v>36</v>
      </c>
      <c r="K2694" s="13" t="s">
        <v>36</v>
      </c>
      <c r="L2694" s="15" t="s">
        <v>36</v>
      </c>
      <c r="M2694" s="12" t="s">
        <v>36</v>
      </c>
      <c r="N2694" s="12" t="s">
        <v>36</v>
      </c>
      <c r="O2694" s="17" t="s">
        <v>36</v>
      </c>
      <c r="P2694" s="12" t="s">
        <v>36</v>
      </c>
      <c r="Q2694" s="12" t="s">
        <v>36</v>
      </c>
      <c r="R2694" s="12" t="s">
        <v>36</v>
      </c>
      <c r="S2694" s="12" t="s">
        <v>36</v>
      </c>
      <c r="T2694" s="12" t="s">
        <v>7786</v>
      </c>
      <c r="U2694" s="12" t="s">
        <v>1502</v>
      </c>
      <c r="V2694" s="12" t="s">
        <v>75</v>
      </c>
      <c r="W2694" s="12" t="s">
        <v>7787</v>
      </c>
      <c r="X2694" s="16" t="s">
        <v>14622</v>
      </c>
      <c r="Y2694" s="15" t="s">
        <v>108</v>
      </c>
      <c r="Z2694" s="14" t="s">
        <v>36</v>
      </c>
      <c r="AA2694" s="14" t="s">
        <v>36</v>
      </c>
      <c r="AB2694" s="12" t="s">
        <v>43</v>
      </c>
      <c r="AC2694" s="12" t="s">
        <v>7789</v>
      </c>
      <c r="AD2694" s="13">
        <v>44531</v>
      </c>
      <c r="AE2694" s="12" t="s">
        <v>1822</v>
      </c>
      <c r="AF2694" s="12" t="s">
        <v>7790</v>
      </c>
      <c r="AG2694" s="12" t="s">
        <v>102</v>
      </c>
      <c r="AH2694" s="1">
        <f>HYPERLINK("https://my.pitchbook.com?c=185014-54T","View Company Online")</f>
      </c>
    </row>
    <row r="2695">
      <c r="A2695" s="3" t="s">
        <v>14623</v>
      </c>
      <c r="B2695" s="3" t="s">
        <v>14624</v>
      </c>
      <c r="C2695" s="5" t="s">
        <v>36</v>
      </c>
      <c r="D2695" s="5" t="s">
        <v>36</v>
      </c>
      <c r="E2695" s="5" t="s">
        <v>36</v>
      </c>
      <c r="F2695" s="5" t="s">
        <v>36</v>
      </c>
      <c r="G2695" s="6" t="s">
        <v>36</v>
      </c>
      <c r="H2695" s="4" t="s">
        <v>36</v>
      </c>
      <c r="I2695" s="7" t="s">
        <v>36</v>
      </c>
      <c r="J2695" s="3" t="s">
        <v>36</v>
      </c>
      <c r="K2695" s="9" t="s">
        <v>36</v>
      </c>
      <c r="L2695" s="6" t="s">
        <v>36</v>
      </c>
      <c r="M2695" s="3" t="s">
        <v>36</v>
      </c>
      <c r="N2695" s="3" t="s">
        <v>36</v>
      </c>
      <c r="O2695" s="8" t="s">
        <v>36</v>
      </c>
      <c r="P2695" s="3" t="s">
        <v>36</v>
      </c>
      <c r="Q2695" s="3" t="s">
        <v>36</v>
      </c>
      <c r="R2695" s="3" t="s">
        <v>36</v>
      </c>
      <c r="S2695" s="3" t="s">
        <v>36</v>
      </c>
      <c r="T2695" s="3" t="s">
        <v>692</v>
      </c>
      <c r="U2695" s="3" t="s">
        <v>74</v>
      </c>
      <c r="V2695" s="3" t="s">
        <v>75</v>
      </c>
      <c r="W2695" s="3" t="s">
        <v>14625</v>
      </c>
      <c r="X2695" s="10" t="s">
        <v>14626</v>
      </c>
      <c r="Y2695" s="6" t="s">
        <v>55</v>
      </c>
      <c r="Z2695" s="4">
        <v>3.42</v>
      </c>
      <c r="AA2695" s="4" t="s">
        <v>36</v>
      </c>
      <c r="AB2695" s="3" t="s">
        <v>43</v>
      </c>
      <c r="AC2695" s="3" t="s">
        <v>14627</v>
      </c>
      <c r="AD2695" s="9">
        <v>44531</v>
      </c>
      <c r="AE2695" s="3" t="s">
        <v>696</v>
      </c>
      <c r="AF2695" s="3" t="s">
        <v>7239</v>
      </c>
      <c r="AG2695" s="3" t="s">
        <v>81</v>
      </c>
      <c r="AH2695" s="11">
        <f>HYPERLINK("https://my.pitchbook.com?c=179544-52T","View Company Online")</f>
      </c>
    </row>
    <row r="2696">
      <c r="A2696" s="12" t="s">
        <v>14628</v>
      </c>
      <c r="B2696" s="12" t="s">
        <v>14629</v>
      </c>
      <c r="C2696" s="19" t="s">
        <v>36</v>
      </c>
      <c r="D2696" s="19">
        <v>7</v>
      </c>
      <c r="E2696" s="19">
        <v>3</v>
      </c>
      <c r="F2696" s="19">
        <v>10</v>
      </c>
      <c r="G2696" s="15" t="s">
        <v>36</v>
      </c>
      <c r="H2696" s="14" t="s">
        <v>36</v>
      </c>
      <c r="I2696" s="18" t="s">
        <v>36</v>
      </c>
      <c r="J2696" s="12" t="s">
        <v>36</v>
      </c>
      <c r="K2696" s="13" t="s">
        <v>36</v>
      </c>
      <c r="L2696" s="15" t="s">
        <v>36</v>
      </c>
      <c r="M2696" s="12" t="s">
        <v>36</v>
      </c>
      <c r="N2696" s="12" t="s">
        <v>36</v>
      </c>
      <c r="O2696" s="17" t="s">
        <v>36</v>
      </c>
      <c r="P2696" s="12" t="s">
        <v>36</v>
      </c>
      <c r="Q2696" s="12" t="s">
        <v>36</v>
      </c>
      <c r="R2696" s="12" t="s">
        <v>36</v>
      </c>
      <c r="S2696" s="12" t="s">
        <v>36</v>
      </c>
      <c r="T2696" s="12" t="s">
        <v>14630</v>
      </c>
      <c r="U2696" s="12" t="s">
        <v>318</v>
      </c>
      <c r="V2696" s="12" t="s">
        <v>39</v>
      </c>
      <c r="W2696" s="12" t="s">
        <v>14631</v>
      </c>
      <c r="X2696" s="16" t="s">
        <v>980</v>
      </c>
      <c r="Y2696" s="15" t="s">
        <v>108</v>
      </c>
      <c r="Z2696" s="14" t="s">
        <v>36</v>
      </c>
      <c r="AA2696" s="14" t="s">
        <v>36</v>
      </c>
      <c r="AB2696" s="12" t="s">
        <v>56</v>
      </c>
      <c r="AC2696" s="12" t="s">
        <v>14632</v>
      </c>
      <c r="AD2696" s="13">
        <v>44531</v>
      </c>
      <c r="AE2696" s="12" t="s">
        <v>763</v>
      </c>
      <c r="AF2696" s="12" t="s">
        <v>14633</v>
      </c>
      <c r="AG2696" s="12" t="s">
        <v>47</v>
      </c>
      <c r="AH2696" s="1">
        <f>HYPERLINK("https://my.pitchbook.com?c=188997-31T","View Company Online")</f>
      </c>
    </row>
    <row r="2697">
      <c r="A2697" s="3" t="s">
        <v>14634</v>
      </c>
      <c r="B2697" s="3" t="s">
        <v>14635</v>
      </c>
      <c r="C2697" s="5" t="s">
        <v>36</v>
      </c>
      <c r="D2697" s="5" t="s">
        <v>36</v>
      </c>
      <c r="E2697" s="5" t="s">
        <v>36</v>
      </c>
      <c r="F2697" s="5" t="s">
        <v>36</v>
      </c>
      <c r="G2697" s="6" t="s">
        <v>36</v>
      </c>
      <c r="H2697" s="4" t="s">
        <v>36</v>
      </c>
      <c r="I2697" s="7" t="s">
        <v>36</v>
      </c>
      <c r="J2697" s="3" t="s">
        <v>36</v>
      </c>
      <c r="K2697" s="9" t="s">
        <v>36</v>
      </c>
      <c r="L2697" s="6" t="s">
        <v>36</v>
      </c>
      <c r="M2697" s="3" t="s">
        <v>36</v>
      </c>
      <c r="N2697" s="3" t="s">
        <v>36</v>
      </c>
      <c r="O2697" s="8" t="s">
        <v>36</v>
      </c>
      <c r="P2697" s="3" t="s">
        <v>36</v>
      </c>
      <c r="Q2697" s="3" t="s">
        <v>36</v>
      </c>
      <c r="R2697" s="3" t="s">
        <v>36</v>
      </c>
      <c r="S2697" s="3" t="s">
        <v>36</v>
      </c>
      <c r="T2697" s="3" t="s">
        <v>14636</v>
      </c>
      <c r="U2697" s="3" t="s">
        <v>423</v>
      </c>
      <c r="V2697" s="3" t="s">
        <v>64</v>
      </c>
      <c r="W2697" s="3" t="s">
        <v>14637</v>
      </c>
      <c r="X2697" s="10" t="s">
        <v>14638</v>
      </c>
      <c r="Y2697" s="6" t="s">
        <v>55</v>
      </c>
      <c r="Z2697" s="4" t="s">
        <v>36</v>
      </c>
      <c r="AA2697" s="4" t="s">
        <v>36</v>
      </c>
      <c r="AB2697" s="3" t="s">
        <v>43</v>
      </c>
      <c r="AC2697" s="3" t="s">
        <v>14639</v>
      </c>
      <c r="AD2697" s="9">
        <v>44531</v>
      </c>
      <c r="AE2697" s="3" t="s">
        <v>562</v>
      </c>
      <c r="AF2697" s="3" t="s">
        <v>1977</v>
      </c>
      <c r="AG2697" s="3" t="s">
        <v>5504</v>
      </c>
      <c r="AH2697" s="11">
        <f>HYPERLINK("https://my.pitchbook.com?c=205375-33T","View Company Online")</f>
      </c>
    </row>
    <row r="2698">
      <c r="A2698" s="12" t="s">
        <v>14640</v>
      </c>
      <c r="B2698" s="12" t="s">
        <v>4405</v>
      </c>
      <c r="C2698" s="19">
        <v>1</v>
      </c>
      <c r="D2698" s="19" t="s">
        <v>36</v>
      </c>
      <c r="E2698" s="19">
        <v>1</v>
      </c>
      <c r="F2698" s="19">
        <v>1</v>
      </c>
      <c r="G2698" s="15" t="s">
        <v>36</v>
      </c>
      <c r="H2698" s="14" t="s">
        <v>36</v>
      </c>
      <c r="I2698" s="18" t="s">
        <v>36</v>
      </c>
      <c r="J2698" s="12" t="s">
        <v>36</v>
      </c>
      <c r="K2698" s="13" t="s">
        <v>36</v>
      </c>
      <c r="L2698" s="15" t="s">
        <v>36</v>
      </c>
      <c r="M2698" s="12" t="s">
        <v>36</v>
      </c>
      <c r="N2698" s="12" t="s">
        <v>36</v>
      </c>
      <c r="O2698" s="17" t="s">
        <v>36</v>
      </c>
      <c r="P2698" s="12" t="s">
        <v>36</v>
      </c>
      <c r="Q2698" s="12" t="s">
        <v>36</v>
      </c>
      <c r="R2698" s="12" t="s">
        <v>36</v>
      </c>
      <c r="S2698" s="12" t="s">
        <v>36</v>
      </c>
      <c r="T2698" s="12" t="s">
        <v>4406</v>
      </c>
      <c r="U2698" s="12" t="s">
        <v>833</v>
      </c>
      <c r="V2698" s="12" t="s">
        <v>64</v>
      </c>
      <c r="W2698" s="12" t="s">
        <v>4407</v>
      </c>
      <c r="X2698" s="16" t="s">
        <v>11154</v>
      </c>
      <c r="Y2698" s="15" t="s">
        <v>42</v>
      </c>
      <c r="Z2698" s="14">
        <v>0.62</v>
      </c>
      <c r="AA2698" s="14" t="s">
        <v>36</v>
      </c>
      <c r="AB2698" s="12" t="s">
        <v>43</v>
      </c>
      <c r="AC2698" s="12" t="s">
        <v>4408</v>
      </c>
      <c r="AD2698" s="13">
        <v>44531</v>
      </c>
      <c r="AE2698" s="12" t="s">
        <v>1069</v>
      </c>
      <c r="AF2698" s="12" t="s">
        <v>36</v>
      </c>
      <c r="AG2698" s="12" t="s">
        <v>47</v>
      </c>
      <c r="AH2698" s="1">
        <f>HYPERLINK("https://my.pitchbook.com?c=185022-10T","View Company Online")</f>
      </c>
    </row>
    <row r="2699">
      <c r="A2699" s="3" t="s">
        <v>14641</v>
      </c>
      <c r="B2699" s="3" t="s">
        <v>14642</v>
      </c>
      <c r="C2699" s="5" t="s">
        <v>36</v>
      </c>
      <c r="D2699" s="5" t="s">
        <v>36</v>
      </c>
      <c r="E2699" s="5" t="s">
        <v>36</v>
      </c>
      <c r="F2699" s="5" t="s">
        <v>36</v>
      </c>
      <c r="G2699" s="6" t="s">
        <v>36</v>
      </c>
      <c r="H2699" s="4">
        <v>41.36</v>
      </c>
      <c r="I2699" s="7">
        <v>27.04</v>
      </c>
      <c r="J2699" s="3" t="s">
        <v>327</v>
      </c>
      <c r="K2699" s="9">
        <v>44530</v>
      </c>
      <c r="L2699" s="6" t="s">
        <v>36</v>
      </c>
      <c r="M2699" s="3" t="s">
        <v>36</v>
      </c>
      <c r="N2699" s="3" t="s">
        <v>36</v>
      </c>
      <c r="O2699" s="8" t="s">
        <v>36</v>
      </c>
      <c r="P2699" s="3" t="s">
        <v>36</v>
      </c>
      <c r="Q2699" s="3" t="s">
        <v>36</v>
      </c>
      <c r="R2699" s="3" t="s">
        <v>36</v>
      </c>
      <c r="S2699" s="3" t="s">
        <v>36</v>
      </c>
      <c r="T2699" s="3" t="s">
        <v>14643</v>
      </c>
      <c r="U2699" s="3" t="s">
        <v>74</v>
      </c>
      <c r="V2699" s="3" t="s">
        <v>75</v>
      </c>
      <c r="W2699" s="3" t="s">
        <v>14644</v>
      </c>
      <c r="X2699" s="10" t="s">
        <v>14645</v>
      </c>
      <c r="Y2699" s="6" t="s">
        <v>192</v>
      </c>
      <c r="Z2699" s="4">
        <v>22.82</v>
      </c>
      <c r="AA2699" s="4">
        <v>84.39</v>
      </c>
      <c r="AB2699" s="3" t="s">
        <v>56</v>
      </c>
      <c r="AC2699" s="3" t="s">
        <v>14646</v>
      </c>
      <c r="AD2699" s="9">
        <v>44531</v>
      </c>
      <c r="AE2699" s="3" t="s">
        <v>975</v>
      </c>
      <c r="AF2699" s="3" t="s">
        <v>36</v>
      </c>
      <c r="AG2699" s="3" t="s">
        <v>186</v>
      </c>
      <c r="AH2699" s="11">
        <f>HYPERLINK("https://my.pitchbook.com?c=184877-02T","View Company Online")</f>
      </c>
    </row>
    <row r="2700">
      <c r="A2700" s="12" t="s">
        <v>14647</v>
      </c>
      <c r="B2700" s="12" t="s">
        <v>14648</v>
      </c>
      <c r="C2700" s="19" t="s">
        <v>36</v>
      </c>
      <c r="D2700" s="19" t="s">
        <v>36</v>
      </c>
      <c r="E2700" s="19" t="s">
        <v>36</v>
      </c>
      <c r="F2700" s="19" t="s">
        <v>36</v>
      </c>
      <c r="G2700" s="15" t="s">
        <v>36</v>
      </c>
      <c r="H2700" s="14" t="s">
        <v>36</v>
      </c>
      <c r="I2700" s="18" t="s">
        <v>36</v>
      </c>
      <c r="J2700" s="12" t="s">
        <v>36</v>
      </c>
      <c r="K2700" s="13" t="s">
        <v>36</v>
      </c>
      <c r="L2700" s="15" t="s">
        <v>36</v>
      </c>
      <c r="M2700" s="12" t="s">
        <v>36</v>
      </c>
      <c r="N2700" s="12" t="s">
        <v>36</v>
      </c>
      <c r="O2700" s="17" t="s">
        <v>36</v>
      </c>
      <c r="P2700" s="12" t="s">
        <v>36</v>
      </c>
      <c r="Q2700" s="12" t="s">
        <v>36</v>
      </c>
      <c r="R2700" s="12" t="s">
        <v>36</v>
      </c>
      <c r="S2700" s="12" t="s">
        <v>36</v>
      </c>
      <c r="T2700" s="12" t="s">
        <v>11802</v>
      </c>
      <c r="U2700" s="12" t="s">
        <v>74</v>
      </c>
      <c r="V2700" s="12" t="s">
        <v>75</v>
      </c>
      <c r="W2700" s="12" t="s">
        <v>14649</v>
      </c>
      <c r="X2700" s="16" t="s">
        <v>820</v>
      </c>
      <c r="Y2700" s="15" t="s">
        <v>42</v>
      </c>
      <c r="Z2700" s="14" t="s">
        <v>36</v>
      </c>
      <c r="AA2700" s="14" t="s">
        <v>36</v>
      </c>
      <c r="AB2700" s="12" t="s">
        <v>56</v>
      </c>
      <c r="AC2700" s="12" t="s">
        <v>14650</v>
      </c>
      <c r="AD2700" s="13">
        <v>44531</v>
      </c>
      <c r="AE2700" s="12" t="s">
        <v>1888</v>
      </c>
      <c r="AF2700" s="12" t="s">
        <v>571</v>
      </c>
      <c r="AG2700" s="12" t="s">
        <v>14651</v>
      </c>
      <c r="AH2700" s="1">
        <f>HYPERLINK("https://my.pitchbook.com?c=246420-73T","View Company Online")</f>
      </c>
    </row>
    <row r="2701">
      <c r="A2701" s="3" t="s">
        <v>14652</v>
      </c>
      <c r="B2701" s="3" t="s">
        <v>14653</v>
      </c>
      <c r="C2701" s="5" t="s">
        <v>36</v>
      </c>
      <c r="D2701" s="5" t="s">
        <v>36</v>
      </c>
      <c r="E2701" s="5" t="s">
        <v>36</v>
      </c>
      <c r="F2701" s="5" t="s">
        <v>36</v>
      </c>
      <c r="G2701" s="6" t="s">
        <v>36</v>
      </c>
      <c r="H2701" s="4" t="s">
        <v>36</v>
      </c>
      <c r="I2701" s="7" t="s">
        <v>36</v>
      </c>
      <c r="J2701" s="3" t="s">
        <v>36</v>
      </c>
      <c r="K2701" s="9" t="s">
        <v>36</v>
      </c>
      <c r="L2701" s="6" t="s">
        <v>36</v>
      </c>
      <c r="M2701" s="3" t="s">
        <v>36</v>
      </c>
      <c r="N2701" s="3" t="s">
        <v>36</v>
      </c>
      <c r="O2701" s="8" t="s">
        <v>36</v>
      </c>
      <c r="P2701" s="3" t="s">
        <v>36</v>
      </c>
      <c r="Q2701" s="3" t="s">
        <v>36</v>
      </c>
      <c r="R2701" s="3" t="s">
        <v>36</v>
      </c>
      <c r="S2701" s="3" t="s">
        <v>36</v>
      </c>
      <c r="T2701" s="3" t="s">
        <v>14654</v>
      </c>
      <c r="U2701" s="3" t="s">
        <v>289</v>
      </c>
      <c r="V2701" s="3" t="s">
        <v>64</v>
      </c>
      <c r="W2701" s="3" t="s">
        <v>14655</v>
      </c>
      <c r="X2701" s="10" t="s">
        <v>14656</v>
      </c>
      <c r="Y2701" s="6" t="s">
        <v>42</v>
      </c>
      <c r="Z2701" s="4" t="s">
        <v>36</v>
      </c>
      <c r="AA2701" s="4" t="s">
        <v>36</v>
      </c>
      <c r="AB2701" s="3" t="s">
        <v>56</v>
      </c>
      <c r="AC2701" s="3" t="s">
        <v>14657</v>
      </c>
      <c r="AD2701" s="9">
        <v>44531</v>
      </c>
      <c r="AE2701" s="3" t="s">
        <v>292</v>
      </c>
      <c r="AF2701" s="3" t="s">
        <v>1061</v>
      </c>
      <c r="AG2701" s="3" t="s">
        <v>81</v>
      </c>
      <c r="AH2701" s="11">
        <f>HYPERLINK("https://my.pitchbook.com?c=185089-60T","View Company Online")</f>
      </c>
    </row>
    <row r="2702">
      <c r="A2702" s="12" t="s">
        <v>14658</v>
      </c>
      <c r="B2702" s="12" t="s">
        <v>14659</v>
      </c>
      <c r="C2702" s="19" t="s">
        <v>36</v>
      </c>
      <c r="D2702" s="19" t="s">
        <v>36</v>
      </c>
      <c r="E2702" s="19" t="s">
        <v>36</v>
      </c>
      <c r="F2702" s="19" t="s">
        <v>36</v>
      </c>
      <c r="G2702" s="15" t="s">
        <v>36</v>
      </c>
      <c r="H2702" s="14" t="s">
        <v>36</v>
      </c>
      <c r="I2702" s="18" t="s">
        <v>36</v>
      </c>
      <c r="J2702" s="12" t="s">
        <v>36</v>
      </c>
      <c r="K2702" s="13" t="s">
        <v>36</v>
      </c>
      <c r="L2702" s="15" t="s">
        <v>36</v>
      </c>
      <c r="M2702" s="12" t="s">
        <v>36</v>
      </c>
      <c r="N2702" s="12" t="s">
        <v>36</v>
      </c>
      <c r="O2702" s="17" t="s">
        <v>36</v>
      </c>
      <c r="P2702" s="12" t="s">
        <v>36</v>
      </c>
      <c r="Q2702" s="12" t="s">
        <v>36</v>
      </c>
      <c r="R2702" s="12" t="s">
        <v>36</v>
      </c>
      <c r="S2702" s="12" t="s">
        <v>36</v>
      </c>
      <c r="T2702" s="12" t="s">
        <v>4412</v>
      </c>
      <c r="U2702" s="12" t="s">
        <v>38</v>
      </c>
      <c r="V2702" s="12" t="s">
        <v>39</v>
      </c>
      <c r="W2702" s="12" t="s">
        <v>14660</v>
      </c>
      <c r="X2702" s="16" t="s">
        <v>14661</v>
      </c>
      <c r="Y2702" s="15" t="s">
        <v>42</v>
      </c>
      <c r="Z2702" s="14" t="s">
        <v>36</v>
      </c>
      <c r="AA2702" s="14" t="s">
        <v>36</v>
      </c>
      <c r="AB2702" s="12" t="s">
        <v>43</v>
      </c>
      <c r="AC2702" s="12" t="s">
        <v>14662</v>
      </c>
      <c r="AD2702" s="13">
        <v>44531</v>
      </c>
      <c r="AE2702" s="12" t="s">
        <v>688</v>
      </c>
      <c r="AF2702" s="12" t="s">
        <v>1380</v>
      </c>
      <c r="AG2702" s="12" t="s">
        <v>14663</v>
      </c>
      <c r="AH2702" s="1">
        <f>HYPERLINK("https://my.pitchbook.com?c=184621-15T","View Company Online")</f>
      </c>
    </row>
    <row r="2703">
      <c r="A2703" s="3" t="s">
        <v>14664</v>
      </c>
      <c r="B2703" s="3" t="s">
        <v>14665</v>
      </c>
      <c r="C2703" s="5">
        <v>9</v>
      </c>
      <c r="D2703" s="5" t="s">
        <v>36</v>
      </c>
      <c r="E2703" s="5">
        <v>2</v>
      </c>
      <c r="F2703" s="5">
        <v>9</v>
      </c>
      <c r="G2703" s="6" t="s">
        <v>36</v>
      </c>
      <c r="H2703" s="4" t="s">
        <v>36</v>
      </c>
      <c r="I2703" s="7">
        <v>17.67</v>
      </c>
      <c r="J2703" s="3" t="s">
        <v>327</v>
      </c>
      <c r="K2703" s="9" t="s">
        <v>36</v>
      </c>
      <c r="L2703" s="6" t="s">
        <v>122</v>
      </c>
      <c r="M2703" s="3" t="s">
        <v>36</v>
      </c>
      <c r="N2703" s="3" t="s">
        <v>122</v>
      </c>
      <c r="O2703" s="8" t="s">
        <v>36</v>
      </c>
      <c r="P2703" s="3" t="s">
        <v>36</v>
      </c>
      <c r="Q2703" s="3" t="s">
        <v>36</v>
      </c>
      <c r="R2703" s="3" t="s">
        <v>36</v>
      </c>
      <c r="S2703" s="3" t="s">
        <v>36</v>
      </c>
      <c r="T2703" s="3" t="s">
        <v>881</v>
      </c>
      <c r="U2703" s="3" t="s">
        <v>51</v>
      </c>
      <c r="V2703" s="3" t="s">
        <v>52</v>
      </c>
      <c r="W2703" s="3" t="s">
        <v>14666</v>
      </c>
      <c r="X2703" s="10" t="s">
        <v>14667</v>
      </c>
      <c r="Y2703" s="6" t="s">
        <v>42</v>
      </c>
      <c r="Z2703" s="4">
        <v>5.71</v>
      </c>
      <c r="AA2703" s="4">
        <v>32.31</v>
      </c>
      <c r="AB2703" s="3" t="s">
        <v>43</v>
      </c>
      <c r="AC2703" s="3" t="s">
        <v>14668</v>
      </c>
      <c r="AD2703" s="9">
        <v>44530</v>
      </c>
      <c r="AE2703" s="3" t="s">
        <v>504</v>
      </c>
      <c r="AF2703" s="3" t="s">
        <v>665</v>
      </c>
      <c r="AG2703" s="3" t="s">
        <v>4179</v>
      </c>
      <c r="AH2703" s="11">
        <f>HYPERLINK("https://my.pitchbook.com?c=184253-86T","View Company Online")</f>
      </c>
    </row>
    <row r="2704">
      <c r="A2704" s="12" t="s">
        <v>14669</v>
      </c>
      <c r="B2704" s="12" t="s">
        <v>14670</v>
      </c>
      <c r="C2704" s="19" t="s">
        <v>36</v>
      </c>
      <c r="D2704" s="19" t="s">
        <v>36</v>
      </c>
      <c r="E2704" s="19" t="s">
        <v>36</v>
      </c>
      <c r="F2704" s="19" t="s">
        <v>36</v>
      </c>
      <c r="G2704" s="15" t="s">
        <v>36</v>
      </c>
      <c r="H2704" s="14" t="s">
        <v>36</v>
      </c>
      <c r="I2704" s="18" t="s">
        <v>36</v>
      </c>
      <c r="J2704" s="12" t="s">
        <v>36</v>
      </c>
      <c r="K2704" s="13" t="s">
        <v>36</v>
      </c>
      <c r="L2704" s="15" t="s">
        <v>36</v>
      </c>
      <c r="M2704" s="12" t="s">
        <v>36</v>
      </c>
      <c r="N2704" s="12" t="s">
        <v>36</v>
      </c>
      <c r="O2704" s="17" t="s">
        <v>36</v>
      </c>
      <c r="P2704" s="12" t="s">
        <v>36</v>
      </c>
      <c r="Q2704" s="12" t="s">
        <v>36</v>
      </c>
      <c r="R2704" s="12" t="s">
        <v>36</v>
      </c>
      <c r="S2704" s="12" t="s">
        <v>36</v>
      </c>
      <c r="T2704" s="12" t="s">
        <v>14671</v>
      </c>
      <c r="U2704" s="12" t="s">
        <v>38</v>
      </c>
      <c r="V2704" s="12" t="s">
        <v>39</v>
      </c>
      <c r="W2704" s="12" t="s">
        <v>14672</v>
      </c>
      <c r="X2704" s="16" t="s">
        <v>14673</v>
      </c>
      <c r="Y2704" s="15" t="s">
        <v>42</v>
      </c>
      <c r="Z2704" s="14">
        <v>0.5</v>
      </c>
      <c r="AA2704" s="14" t="s">
        <v>36</v>
      </c>
      <c r="AB2704" s="12" t="s">
        <v>43</v>
      </c>
      <c r="AC2704" s="12" t="s">
        <v>14674</v>
      </c>
      <c r="AD2704" s="13">
        <v>44530</v>
      </c>
      <c r="AE2704" s="12" t="s">
        <v>110</v>
      </c>
      <c r="AF2704" s="12" t="s">
        <v>14675</v>
      </c>
      <c r="AG2704" s="12" t="s">
        <v>81</v>
      </c>
      <c r="AH2704" s="1">
        <f>HYPERLINK("https://my.pitchbook.com?c=190407-70T","View Company Online")</f>
      </c>
    </row>
    <row r="2705">
      <c r="A2705" s="3" t="s">
        <v>14676</v>
      </c>
      <c r="B2705" s="3" t="s">
        <v>5443</v>
      </c>
      <c r="C2705" s="5">
        <v>1</v>
      </c>
      <c r="D2705" s="5">
        <v>4</v>
      </c>
      <c r="E2705" s="5">
        <v>1</v>
      </c>
      <c r="F2705" s="5">
        <v>5</v>
      </c>
      <c r="G2705" s="6" t="s">
        <v>36</v>
      </c>
      <c r="H2705" s="4" t="s">
        <v>36</v>
      </c>
      <c r="I2705" s="7">
        <v>22.86</v>
      </c>
      <c r="J2705" s="3" t="s">
        <v>327</v>
      </c>
      <c r="K2705" s="9" t="s">
        <v>36</v>
      </c>
      <c r="L2705" s="6" t="s">
        <v>36</v>
      </c>
      <c r="M2705" s="3" t="s">
        <v>36</v>
      </c>
      <c r="N2705" s="3" t="s">
        <v>36</v>
      </c>
      <c r="O2705" s="8" t="s">
        <v>36</v>
      </c>
      <c r="P2705" s="3" t="s">
        <v>36</v>
      </c>
      <c r="Q2705" s="3" t="s">
        <v>36</v>
      </c>
      <c r="R2705" s="3" t="s">
        <v>36</v>
      </c>
      <c r="S2705" s="3" t="s">
        <v>36</v>
      </c>
      <c r="T2705" s="3" t="s">
        <v>386</v>
      </c>
      <c r="U2705" s="3" t="s">
        <v>387</v>
      </c>
      <c r="V2705" s="3" t="s">
        <v>367</v>
      </c>
      <c r="W2705" s="3" t="s">
        <v>5444</v>
      </c>
      <c r="X2705" s="10" t="s">
        <v>14677</v>
      </c>
      <c r="Y2705" s="6" t="s">
        <v>321</v>
      </c>
      <c r="Z2705" s="4">
        <v>7.99</v>
      </c>
      <c r="AA2705" s="4">
        <v>34.97</v>
      </c>
      <c r="AB2705" s="3" t="s">
        <v>56</v>
      </c>
      <c r="AC2705" s="3" t="s">
        <v>5446</v>
      </c>
      <c r="AD2705" s="9">
        <v>44530</v>
      </c>
      <c r="AE2705" s="3" t="s">
        <v>391</v>
      </c>
      <c r="AF2705" s="3" t="s">
        <v>5447</v>
      </c>
      <c r="AG2705" s="3" t="s">
        <v>102</v>
      </c>
      <c r="AH2705" s="11">
        <f>HYPERLINK("https://my.pitchbook.com?c=184252-78T","View Company Online")</f>
      </c>
    </row>
    <row r="2706">
      <c r="A2706" s="12" t="s">
        <v>14678</v>
      </c>
      <c r="B2706" s="12" t="s">
        <v>4855</v>
      </c>
      <c r="C2706" s="19" t="s">
        <v>36</v>
      </c>
      <c r="D2706" s="19">
        <v>4</v>
      </c>
      <c r="E2706" s="19">
        <v>2</v>
      </c>
      <c r="F2706" s="19">
        <v>4</v>
      </c>
      <c r="G2706" s="15" t="s">
        <v>326</v>
      </c>
      <c r="H2706" s="14">
        <v>17.77</v>
      </c>
      <c r="I2706" s="18">
        <v>22.06</v>
      </c>
      <c r="J2706" s="12" t="s">
        <v>521</v>
      </c>
      <c r="K2706" s="13" t="s">
        <v>36</v>
      </c>
      <c r="L2706" s="15" t="s">
        <v>36</v>
      </c>
      <c r="M2706" s="12" t="s">
        <v>36</v>
      </c>
      <c r="N2706" s="12" t="s">
        <v>36</v>
      </c>
      <c r="O2706" s="17" t="s">
        <v>36</v>
      </c>
      <c r="P2706" s="12" t="s">
        <v>36</v>
      </c>
      <c r="Q2706" s="12" t="s">
        <v>36</v>
      </c>
      <c r="R2706" s="12" t="s">
        <v>36</v>
      </c>
      <c r="S2706" s="12" t="s">
        <v>36</v>
      </c>
      <c r="T2706" s="12" t="s">
        <v>4856</v>
      </c>
      <c r="U2706" s="12" t="s">
        <v>219</v>
      </c>
      <c r="V2706" s="12" t="s">
        <v>75</v>
      </c>
      <c r="W2706" s="12" t="s">
        <v>4857</v>
      </c>
      <c r="X2706" s="16" t="s">
        <v>14679</v>
      </c>
      <c r="Y2706" s="15" t="s">
        <v>42</v>
      </c>
      <c r="Z2706" s="14">
        <v>3.43</v>
      </c>
      <c r="AA2706" s="14">
        <v>8.06</v>
      </c>
      <c r="AB2706" s="12" t="s">
        <v>56</v>
      </c>
      <c r="AC2706" s="12" t="s">
        <v>4859</v>
      </c>
      <c r="AD2706" s="13">
        <v>44530</v>
      </c>
      <c r="AE2706" s="12" t="s">
        <v>1912</v>
      </c>
      <c r="AF2706" s="12" t="s">
        <v>36</v>
      </c>
      <c r="AG2706" s="12" t="s">
        <v>112</v>
      </c>
      <c r="AH2706" s="1">
        <f>HYPERLINK("https://my.pitchbook.com?c=184257-82T","View Company Online")</f>
      </c>
    </row>
    <row r="2707">
      <c r="A2707" s="3" t="s">
        <v>14680</v>
      </c>
      <c r="B2707" s="3" t="s">
        <v>14681</v>
      </c>
      <c r="C2707" s="5" t="s">
        <v>36</v>
      </c>
      <c r="D2707" s="5" t="s">
        <v>36</v>
      </c>
      <c r="E2707" s="5" t="s">
        <v>36</v>
      </c>
      <c r="F2707" s="5" t="s">
        <v>36</v>
      </c>
      <c r="G2707" s="6" t="s">
        <v>326</v>
      </c>
      <c r="H2707" s="4">
        <v>36.5</v>
      </c>
      <c r="I2707" s="7">
        <v>18.07</v>
      </c>
      <c r="J2707" s="3" t="s">
        <v>521</v>
      </c>
      <c r="K2707" s="9" t="s">
        <v>36</v>
      </c>
      <c r="L2707" s="6" t="s">
        <v>36</v>
      </c>
      <c r="M2707" s="3" t="s">
        <v>36</v>
      </c>
      <c r="N2707" s="3" t="s">
        <v>36</v>
      </c>
      <c r="O2707" s="8" t="s">
        <v>36</v>
      </c>
      <c r="P2707" s="3" t="s">
        <v>36</v>
      </c>
      <c r="Q2707" s="3" t="s">
        <v>36</v>
      </c>
      <c r="R2707" s="3" t="s">
        <v>36</v>
      </c>
      <c r="S2707" s="3" t="s">
        <v>36</v>
      </c>
      <c r="T2707" s="3" t="s">
        <v>14682</v>
      </c>
      <c r="U2707" s="3" t="s">
        <v>648</v>
      </c>
      <c r="V2707" s="3" t="s">
        <v>64</v>
      </c>
      <c r="W2707" s="3" t="s">
        <v>14683</v>
      </c>
      <c r="X2707" s="10" t="s">
        <v>14684</v>
      </c>
      <c r="Y2707" s="6" t="s">
        <v>108</v>
      </c>
      <c r="Z2707" s="4">
        <v>0.86</v>
      </c>
      <c r="AA2707" s="4">
        <v>4.74</v>
      </c>
      <c r="AB2707" s="3" t="s">
        <v>43</v>
      </c>
      <c r="AC2707" s="3" t="s">
        <v>14685</v>
      </c>
      <c r="AD2707" s="9">
        <v>44530</v>
      </c>
      <c r="AE2707" s="3" t="s">
        <v>651</v>
      </c>
      <c r="AF2707" s="3" t="s">
        <v>36</v>
      </c>
      <c r="AG2707" s="3" t="s">
        <v>81</v>
      </c>
      <c r="AH2707" s="11">
        <f>HYPERLINK("https://my.pitchbook.com?c=200279-71T","View Company Online")</f>
      </c>
    </row>
    <row r="2708">
      <c r="A2708" s="12" t="s">
        <v>14686</v>
      </c>
      <c r="B2708" s="12" t="s">
        <v>14687</v>
      </c>
      <c r="C2708" s="19" t="s">
        <v>36</v>
      </c>
      <c r="D2708" s="19" t="s">
        <v>36</v>
      </c>
      <c r="E2708" s="19" t="s">
        <v>36</v>
      </c>
      <c r="F2708" s="19" t="s">
        <v>36</v>
      </c>
      <c r="G2708" s="15" t="s">
        <v>36</v>
      </c>
      <c r="H2708" s="14" t="s">
        <v>36</v>
      </c>
      <c r="I2708" s="18" t="s">
        <v>36</v>
      </c>
      <c r="J2708" s="12" t="s">
        <v>521</v>
      </c>
      <c r="K2708" s="13" t="s">
        <v>36</v>
      </c>
      <c r="L2708" s="15" t="s">
        <v>36</v>
      </c>
      <c r="M2708" s="12" t="s">
        <v>36</v>
      </c>
      <c r="N2708" s="12" t="s">
        <v>36</v>
      </c>
      <c r="O2708" s="17" t="s">
        <v>36</v>
      </c>
      <c r="P2708" s="12" t="s">
        <v>36</v>
      </c>
      <c r="Q2708" s="12" t="s">
        <v>36</v>
      </c>
      <c r="R2708" s="12" t="s">
        <v>36</v>
      </c>
      <c r="S2708" s="12" t="s">
        <v>36</v>
      </c>
      <c r="T2708" s="12" t="s">
        <v>485</v>
      </c>
      <c r="U2708" s="12" t="s">
        <v>38</v>
      </c>
      <c r="V2708" s="12" t="s">
        <v>39</v>
      </c>
      <c r="W2708" s="12" t="s">
        <v>14688</v>
      </c>
      <c r="X2708" s="16" t="s">
        <v>14689</v>
      </c>
      <c r="Y2708" s="15" t="s">
        <v>42</v>
      </c>
      <c r="Z2708" s="14">
        <v>1.01</v>
      </c>
      <c r="AA2708" s="14">
        <v>4</v>
      </c>
      <c r="AB2708" s="12" t="s">
        <v>43</v>
      </c>
      <c r="AC2708" s="12" t="s">
        <v>14690</v>
      </c>
      <c r="AD2708" s="13">
        <v>44529</v>
      </c>
      <c r="AE2708" s="12" t="s">
        <v>110</v>
      </c>
      <c r="AF2708" s="12" t="s">
        <v>1619</v>
      </c>
      <c r="AG2708" s="12" t="s">
        <v>81</v>
      </c>
      <c r="AH2708" s="1">
        <f>HYPERLINK("https://my.pitchbook.com?c=233179-39T","View Company Online")</f>
      </c>
    </row>
    <row r="2709">
      <c r="A2709" s="3" t="s">
        <v>14691</v>
      </c>
      <c r="B2709" s="3" t="s">
        <v>14692</v>
      </c>
      <c r="C2709" s="5">
        <v>3</v>
      </c>
      <c r="D2709" s="5" t="s">
        <v>36</v>
      </c>
      <c r="E2709" s="5">
        <v>1</v>
      </c>
      <c r="F2709" s="5">
        <v>3</v>
      </c>
      <c r="G2709" s="6" t="s">
        <v>36</v>
      </c>
      <c r="H2709" s="4">
        <v>48555.38</v>
      </c>
      <c r="I2709" s="7">
        <v>10.35</v>
      </c>
      <c r="J2709" s="3" t="s">
        <v>521</v>
      </c>
      <c r="K2709" s="9" t="s">
        <v>36</v>
      </c>
      <c r="L2709" s="6" t="s">
        <v>36</v>
      </c>
      <c r="M2709" s="3" t="s">
        <v>36</v>
      </c>
      <c r="N2709" s="3" t="s">
        <v>36</v>
      </c>
      <c r="O2709" s="8" t="s">
        <v>36</v>
      </c>
      <c r="P2709" s="3" t="s">
        <v>36</v>
      </c>
      <c r="Q2709" s="3" t="s">
        <v>36</v>
      </c>
      <c r="R2709" s="3" t="s">
        <v>36</v>
      </c>
      <c r="S2709" s="3" t="s">
        <v>14693</v>
      </c>
      <c r="T2709" s="3" t="s">
        <v>596</v>
      </c>
      <c r="U2709" s="3" t="s">
        <v>366</v>
      </c>
      <c r="V2709" s="3" t="s">
        <v>367</v>
      </c>
      <c r="W2709" s="3" t="s">
        <v>14694</v>
      </c>
      <c r="X2709" s="10" t="s">
        <v>14695</v>
      </c>
      <c r="Y2709" s="6" t="s">
        <v>42</v>
      </c>
      <c r="Z2709" s="4">
        <v>57.13</v>
      </c>
      <c r="AA2709" s="4">
        <v>297.92</v>
      </c>
      <c r="AB2709" s="3" t="s">
        <v>43</v>
      </c>
      <c r="AC2709" s="3" t="s">
        <v>14696</v>
      </c>
      <c r="AD2709" s="9">
        <v>44529</v>
      </c>
      <c r="AE2709" s="3" t="s">
        <v>600</v>
      </c>
      <c r="AF2709" s="3" t="s">
        <v>571</v>
      </c>
      <c r="AG2709" s="3" t="s">
        <v>4520</v>
      </c>
      <c r="AH2709" s="11">
        <f>HYPERLINK("https://my.pitchbook.com?c=211417-03T","View Company Online")</f>
      </c>
    </row>
    <row r="2710">
      <c r="A2710" s="12" t="s">
        <v>14697</v>
      </c>
      <c r="B2710" s="12" t="s">
        <v>14698</v>
      </c>
      <c r="C2710" s="19" t="s">
        <v>36</v>
      </c>
      <c r="D2710" s="19" t="s">
        <v>36</v>
      </c>
      <c r="E2710" s="19" t="s">
        <v>36</v>
      </c>
      <c r="F2710" s="19" t="s">
        <v>36</v>
      </c>
      <c r="G2710" s="15" t="s">
        <v>36</v>
      </c>
      <c r="H2710" s="14" t="s">
        <v>36</v>
      </c>
      <c r="I2710" s="18">
        <v>40.92</v>
      </c>
      <c r="J2710" s="12" t="s">
        <v>327</v>
      </c>
      <c r="K2710" s="13" t="s">
        <v>36</v>
      </c>
      <c r="L2710" s="15" t="s">
        <v>36</v>
      </c>
      <c r="M2710" s="12" t="s">
        <v>36</v>
      </c>
      <c r="N2710" s="12" t="s">
        <v>36</v>
      </c>
      <c r="O2710" s="17" t="s">
        <v>36</v>
      </c>
      <c r="P2710" s="12" t="s">
        <v>36</v>
      </c>
      <c r="Q2710" s="12" t="s">
        <v>36</v>
      </c>
      <c r="R2710" s="12" t="s">
        <v>36</v>
      </c>
      <c r="S2710" s="12" t="s">
        <v>36</v>
      </c>
      <c r="T2710" s="12" t="s">
        <v>14699</v>
      </c>
      <c r="U2710" s="12" t="s">
        <v>289</v>
      </c>
      <c r="V2710" s="12" t="s">
        <v>64</v>
      </c>
      <c r="W2710" s="12" t="s">
        <v>14700</v>
      </c>
      <c r="X2710" s="16" t="s">
        <v>14701</v>
      </c>
      <c r="Y2710" s="15" t="s">
        <v>42</v>
      </c>
      <c r="Z2710" s="14">
        <v>4.57</v>
      </c>
      <c r="AA2710" s="14">
        <v>11.17</v>
      </c>
      <c r="AB2710" s="12" t="s">
        <v>43</v>
      </c>
      <c r="AC2710" s="12" t="s">
        <v>14702</v>
      </c>
      <c r="AD2710" s="13">
        <v>44529</v>
      </c>
      <c r="AE2710" s="12" t="s">
        <v>292</v>
      </c>
      <c r="AF2710" s="12" t="s">
        <v>14703</v>
      </c>
      <c r="AG2710" s="12" t="s">
        <v>14704</v>
      </c>
      <c r="AH2710" s="1">
        <f>HYPERLINK("https://my.pitchbook.com?c=184218-85T","View Company Online")</f>
      </c>
    </row>
    <row r="2711">
      <c r="A2711" s="3" t="s">
        <v>14705</v>
      </c>
      <c r="B2711" s="3" t="s">
        <v>14706</v>
      </c>
      <c r="C2711" s="5">
        <v>2</v>
      </c>
      <c r="D2711" s="5">
        <v>2</v>
      </c>
      <c r="E2711" s="5">
        <v>1</v>
      </c>
      <c r="F2711" s="5">
        <v>4</v>
      </c>
      <c r="G2711" s="6" t="s">
        <v>36</v>
      </c>
      <c r="H2711" s="4">
        <v>2201.91</v>
      </c>
      <c r="I2711" s="7">
        <v>17.25</v>
      </c>
      <c r="J2711" s="3" t="s">
        <v>521</v>
      </c>
      <c r="K2711" s="9" t="s">
        <v>36</v>
      </c>
      <c r="L2711" s="6" t="s">
        <v>36</v>
      </c>
      <c r="M2711" s="3" t="s">
        <v>36</v>
      </c>
      <c r="N2711" s="3" t="s">
        <v>36</v>
      </c>
      <c r="O2711" s="8" t="s">
        <v>36</v>
      </c>
      <c r="P2711" s="3" t="s">
        <v>36</v>
      </c>
      <c r="Q2711" s="3" t="s">
        <v>36</v>
      </c>
      <c r="R2711" s="3" t="s">
        <v>36</v>
      </c>
      <c r="S2711" s="3" t="s">
        <v>36</v>
      </c>
      <c r="T2711" s="3" t="s">
        <v>14707</v>
      </c>
      <c r="U2711" s="3" t="s">
        <v>51</v>
      </c>
      <c r="V2711" s="3" t="s">
        <v>52</v>
      </c>
      <c r="W2711" s="3" t="s">
        <v>14708</v>
      </c>
      <c r="X2711" s="10" t="s">
        <v>14709</v>
      </c>
      <c r="Y2711" s="6" t="s">
        <v>42</v>
      </c>
      <c r="Z2711" s="4">
        <v>0.57</v>
      </c>
      <c r="AA2711" s="4">
        <v>3.32</v>
      </c>
      <c r="AB2711" s="3" t="s">
        <v>56</v>
      </c>
      <c r="AC2711" s="3" t="s">
        <v>14710</v>
      </c>
      <c r="AD2711" s="9">
        <v>44526</v>
      </c>
      <c r="AE2711" s="3" t="s">
        <v>1060</v>
      </c>
      <c r="AF2711" s="3" t="s">
        <v>36</v>
      </c>
      <c r="AG2711" s="3" t="s">
        <v>102</v>
      </c>
      <c r="AH2711" s="11">
        <f>HYPERLINK("https://my.pitchbook.com?c=208791-01T","View Company Online")</f>
      </c>
    </row>
    <row r="2712">
      <c r="A2712" s="12" t="s">
        <v>14711</v>
      </c>
      <c r="B2712" s="12" t="s">
        <v>14712</v>
      </c>
      <c r="C2712" s="19" t="s">
        <v>36</v>
      </c>
      <c r="D2712" s="19">
        <v>1</v>
      </c>
      <c r="E2712" s="19">
        <v>1</v>
      </c>
      <c r="F2712" s="19">
        <v>2</v>
      </c>
      <c r="G2712" s="15" t="s">
        <v>36</v>
      </c>
      <c r="H2712" s="14">
        <v>56.08</v>
      </c>
      <c r="I2712" s="18">
        <v>22.93</v>
      </c>
      <c r="J2712" s="12" t="s">
        <v>327</v>
      </c>
      <c r="K2712" s="13" t="s">
        <v>36</v>
      </c>
      <c r="L2712" s="15" t="s">
        <v>36</v>
      </c>
      <c r="M2712" s="12" t="s">
        <v>36</v>
      </c>
      <c r="N2712" s="12" t="s">
        <v>36</v>
      </c>
      <c r="O2712" s="17" t="s">
        <v>36</v>
      </c>
      <c r="P2712" s="12" t="s">
        <v>36</v>
      </c>
      <c r="Q2712" s="12" t="s">
        <v>36</v>
      </c>
      <c r="R2712" s="12" t="s">
        <v>36</v>
      </c>
      <c r="S2712" s="12" t="s">
        <v>36</v>
      </c>
      <c r="T2712" s="12" t="s">
        <v>3826</v>
      </c>
      <c r="U2712" s="12" t="s">
        <v>423</v>
      </c>
      <c r="V2712" s="12" t="s">
        <v>64</v>
      </c>
      <c r="W2712" s="12" t="s">
        <v>14713</v>
      </c>
      <c r="X2712" s="16" t="s">
        <v>14714</v>
      </c>
      <c r="Y2712" s="15" t="s">
        <v>42</v>
      </c>
      <c r="Z2712" s="14">
        <v>2.3</v>
      </c>
      <c r="AA2712" s="14">
        <v>10.03</v>
      </c>
      <c r="AB2712" s="12" t="s">
        <v>43</v>
      </c>
      <c r="AC2712" s="12" t="s">
        <v>14715</v>
      </c>
      <c r="AD2712" s="13">
        <v>44526</v>
      </c>
      <c r="AE2712" s="12" t="s">
        <v>1051</v>
      </c>
      <c r="AF2712" s="12" t="s">
        <v>4397</v>
      </c>
      <c r="AG2712" s="12" t="s">
        <v>14716</v>
      </c>
      <c r="AH2712" s="1">
        <f>HYPERLINK("https://my.pitchbook.com?c=185892-04T","View Company Online")</f>
      </c>
    </row>
    <row r="2713">
      <c r="A2713" s="3" t="s">
        <v>14717</v>
      </c>
      <c r="B2713" s="3" t="s">
        <v>13243</v>
      </c>
      <c r="C2713" s="5" t="s">
        <v>36</v>
      </c>
      <c r="D2713" s="5" t="s">
        <v>36</v>
      </c>
      <c r="E2713" s="5" t="s">
        <v>36</v>
      </c>
      <c r="F2713" s="5" t="s">
        <v>36</v>
      </c>
      <c r="G2713" s="6" t="s">
        <v>326</v>
      </c>
      <c r="H2713" s="4">
        <v>12.5</v>
      </c>
      <c r="I2713" s="7">
        <v>18.33</v>
      </c>
      <c r="J2713" s="3" t="s">
        <v>521</v>
      </c>
      <c r="K2713" s="9" t="s">
        <v>36</v>
      </c>
      <c r="L2713" s="6" t="s">
        <v>36</v>
      </c>
      <c r="M2713" s="3" t="s">
        <v>36</v>
      </c>
      <c r="N2713" s="3" t="s">
        <v>36</v>
      </c>
      <c r="O2713" s="8" t="s">
        <v>36</v>
      </c>
      <c r="P2713" s="3" t="s">
        <v>36</v>
      </c>
      <c r="Q2713" s="3" t="s">
        <v>36</v>
      </c>
      <c r="R2713" s="3" t="s">
        <v>36</v>
      </c>
      <c r="S2713" s="3" t="s">
        <v>36</v>
      </c>
      <c r="T2713" s="3" t="s">
        <v>522</v>
      </c>
      <c r="U2713" s="3" t="s">
        <v>38</v>
      </c>
      <c r="V2713" s="3" t="s">
        <v>39</v>
      </c>
      <c r="W2713" s="3" t="s">
        <v>13244</v>
      </c>
      <c r="X2713" s="10" t="s">
        <v>14718</v>
      </c>
      <c r="Y2713" s="6" t="s">
        <v>55</v>
      </c>
      <c r="Z2713" s="4">
        <v>6.01</v>
      </c>
      <c r="AA2713" s="4">
        <v>32.79</v>
      </c>
      <c r="AB2713" s="3" t="s">
        <v>56</v>
      </c>
      <c r="AC2713" s="3" t="s">
        <v>13246</v>
      </c>
      <c r="AD2713" s="9">
        <v>44526</v>
      </c>
      <c r="AE2713" s="3" t="s">
        <v>110</v>
      </c>
      <c r="AF2713" s="3" t="s">
        <v>6214</v>
      </c>
      <c r="AG2713" s="3" t="s">
        <v>81</v>
      </c>
      <c r="AH2713" s="11">
        <f>HYPERLINK("https://my.pitchbook.com?c=188813-80T","View Company Online")</f>
      </c>
    </row>
    <row r="2714">
      <c r="A2714" s="12" t="s">
        <v>14719</v>
      </c>
      <c r="B2714" s="12" t="s">
        <v>14720</v>
      </c>
      <c r="C2714" s="19" t="s">
        <v>36</v>
      </c>
      <c r="D2714" s="19" t="s">
        <v>36</v>
      </c>
      <c r="E2714" s="19" t="s">
        <v>36</v>
      </c>
      <c r="F2714" s="19" t="s">
        <v>36</v>
      </c>
      <c r="G2714" s="15" t="s">
        <v>36</v>
      </c>
      <c r="H2714" s="14">
        <v>69.82</v>
      </c>
      <c r="I2714" s="18">
        <v>20.03</v>
      </c>
      <c r="J2714" s="12" t="s">
        <v>521</v>
      </c>
      <c r="K2714" s="13" t="s">
        <v>36</v>
      </c>
      <c r="L2714" s="15" t="s">
        <v>36</v>
      </c>
      <c r="M2714" s="12" t="s">
        <v>36</v>
      </c>
      <c r="N2714" s="12" t="s">
        <v>36</v>
      </c>
      <c r="O2714" s="17" t="s">
        <v>36</v>
      </c>
      <c r="P2714" s="12" t="s">
        <v>36</v>
      </c>
      <c r="Q2714" s="12" t="s">
        <v>36</v>
      </c>
      <c r="R2714" s="12" t="s">
        <v>36</v>
      </c>
      <c r="S2714" s="12" t="s">
        <v>36</v>
      </c>
      <c r="T2714" s="12" t="s">
        <v>2044</v>
      </c>
      <c r="U2714" s="12" t="s">
        <v>74</v>
      </c>
      <c r="V2714" s="12" t="s">
        <v>75</v>
      </c>
      <c r="W2714" s="12" t="s">
        <v>14721</v>
      </c>
      <c r="X2714" s="16" t="s">
        <v>4735</v>
      </c>
      <c r="Y2714" s="15" t="s">
        <v>42</v>
      </c>
      <c r="Z2714" s="14">
        <v>0.34</v>
      </c>
      <c r="AA2714" s="14">
        <v>1.72</v>
      </c>
      <c r="AB2714" s="12" t="s">
        <v>56</v>
      </c>
      <c r="AC2714" s="12" t="s">
        <v>14722</v>
      </c>
      <c r="AD2714" s="13">
        <v>44526</v>
      </c>
      <c r="AE2714" s="12" t="s">
        <v>79</v>
      </c>
      <c r="AF2714" s="12" t="s">
        <v>36</v>
      </c>
      <c r="AG2714" s="12" t="s">
        <v>332</v>
      </c>
      <c r="AH2714" s="1">
        <f>HYPERLINK("https://my.pitchbook.com?c=249297-67T","View Company Online")</f>
      </c>
    </row>
    <row r="2715">
      <c r="A2715" s="3" t="s">
        <v>14723</v>
      </c>
      <c r="B2715" s="3" t="s">
        <v>14724</v>
      </c>
      <c r="C2715" s="5" t="s">
        <v>36</v>
      </c>
      <c r="D2715" s="5" t="s">
        <v>36</v>
      </c>
      <c r="E2715" s="5" t="s">
        <v>36</v>
      </c>
      <c r="F2715" s="5" t="s">
        <v>36</v>
      </c>
      <c r="G2715" s="6" t="s">
        <v>326</v>
      </c>
      <c r="H2715" s="4">
        <v>81.74</v>
      </c>
      <c r="I2715" s="7">
        <v>23.45</v>
      </c>
      <c r="J2715" s="3" t="s">
        <v>521</v>
      </c>
      <c r="K2715" s="9" t="s">
        <v>36</v>
      </c>
      <c r="L2715" s="6" t="s">
        <v>36</v>
      </c>
      <c r="M2715" s="3" t="s">
        <v>36</v>
      </c>
      <c r="N2715" s="3" t="s">
        <v>36</v>
      </c>
      <c r="O2715" s="8" t="s">
        <v>36</v>
      </c>
      <c r="P2715" s="3" t="s">
        <v>36</v>
      </c>
      <c r="Q2715" s="3" t="s">
        <v>36</v>
      </c>
      <c r="R2715" s="3" t="s">
        <v>36</v>
      </c>
      <c r="S2715" s="3" t="s">
        <v>36</v>
      </c>
      <c r="T2715" s="3" t="s">
        <v>14725</v>
      </c>
      <c r="U2715" s="3" t="s">
        <v>289</v>
      </c>
      <c r="V2715" s="3" t="s">
        <v>64</v>
      </c>
      <c r="W2715" s="3" t="s">
        <v>14726</v>
      </c>
      <c r="X2715" s="10" t="s">
        <v>14727</v>
      </c>
      <c r="Y2715" s="6" t="s">
        <v>55</v>
      </c>
      <c r="Z2715" s="4">
        <v>17.19</v>
      </c>
      <c r="AA2715" s="4">
        <v>58.7</v>
      </c>
      <c r="AB2715" s="3" t="s">
        <v>56</v>
      </c>
      <c r="AC2715" s="3" t="s">
        <v>14728</v>
      </c>
      <c r="AD2715" s="9">
        <v>44525</v>
      </c>
      <c r="AE2715" s="3" t="s">
        <v>292</v>
      </c>
      <c r="AF2715" s="3" t="s">
        <v>2118</v>
      </c>
      <c r="AG2715" s="3" t="s">
        <v>14729</v>
      </c>
      <c r="AH2715" s="11">
        <f>HYPERLINK("https://my.pitchbook.com?c=184178-53T","View Company Online")</f>
      </c>
    </row>
    <row r="2716">
      <c r="A2716" s="12" t="s">
        <v>14730</v>
      </c>
      <c r="B2716" s="12" t="s">
        <v>14731</v>
      </c>
      <c r="C2716" s="19" t="s">
        <v>36</v>
      </c>
      <c r="D2716" s="19" t="s">
        <v>36</v>
      </c>
      <c r="E2716" s="19" t="s">
        <v>36</v>
      </c>
      <c r="F2716" s="19" t="s">
        <v>36</v>
      </c>
      <c r="G2716" s="15" t="s">
        <v>36</v>
      </c>
      <c r="H2716" s="14" t="s">
        <v>36</v>
      </c>
      <c r="I2716" s="18" t="s">
        <v>36</v>
      </c>
      <c r="J2716" s="12" t="s">
        <v>36</v>
      </c>
      <c r="K2716" s="13" t="s">
        <v>36</v>
      </c>
      <c r="L2716" s="15" t="s">
        <v>36</v>
      </c>
      <c r="M2716" s="12" t="s">
        <v>36</v>
      </c>
      <c r="N2716" s="12" t="s">
        <v>36</v>
      </c>
      <c r="O2716" s="17" t="s">
        <v>36</v>
      </c>
      <c r="P2716" s="12" t="s">
        <v>36</v>
      </c>
      <c r="Q2716" s="12" t="s">
        <v>36</v>
      </c>
      <c r="R2716" s="12" t="s">
        <v>36</v>
      </c>
      <c r="S2716" s="12" t="s">
        <v>565</v>
      </c>
      <c r="T2716" s="12" t="s">
        <v>14732</v>
      </c>
      <c r="U2716" s="12" t="s">
        <v>1091</v>
      </c>
      <c r="V2716" s="12" t="s">
        <v>378</v>
      </c>
      <c r="W2716" s="12" t="s">
        <v>14733</v>
      </c>
      <c r="X2716" s="16" t="s">
        <v>14734</v>
      </c>
      <c r="Y2716" s="15" t="s">
        <v>42</v>
      </c>
      <c r="Z2716" s="14">
        <v>8.02</v>
      </c>
      <c r="AA2716" s="14" t="s">
        <v>36</v>
      </c>
      <c r="AB2716" s="12" t="s">
        <v>43</v>
      </c>
      <c r="AC2716" s="12" t="s">
        <v>14735</v>
      </c>
      <c r="AD2716" s="13">
        <v>44525</v>
      </c>
      <c r="AE2716" s="12" t="s">
        <v>2568</v>
      </c>
      <c r="AF2716" s="12" t="s">
        <v>2369</v>
      </c>
      <c r="AG2716" s="12" t="s">
        <v>81</v>
      </c>
      <c r="AH2716" s="1">
        <f>HYPERLINK("https://my.pitchbook.com?c=184036-15T","View Company Online")</f>
      </c>
    </row>
    <row r="2717">
      <c r="A2717" s="3" t="s">
        <v>14736</v>
      </c>
      <c r="B2717" s="3" t="s">
        <v>10332</v>
      </c>
      <c r="C2717" s="5" t="s">
        <v>36</v>
      </c>
      <c r="D2717" s="5" t="s">
        <v>36</v>
      </c>
      <c r="E2717" s="5" t="s">
        <v>36</v>
      </c>
      <c r="F2717" s="5" t="s">
        <v>36</v>
      </c>
      <c r="G2717" s="6" t="s">
        <v>326</v>
      </c>
      <c r="H2717" s="4">
        <v>99.08</v>
      </c>
      <c r="I2717" s="7">
        <v>28.84</v>
      </c>
      <c r="J2717" s="3" t="s">
        <v>521</v>
      </c>
      <c r="K2717" s="9" t="s">
        <v>36</v>
      </c>
      <c r="L2717" s="6" t="s">
        <v>94</v>
      </c>
      <c r="M2717" s="3" t="s">
        <v>36</v>
      </c>
      <c r="N2717" s="3" t="s">
        <v>94</v>
      </c>
      <c r="O2717" s="8" t="s">
        <v>36</v>
      </c>
      <c r="P2717" s="3" t="s">
        <v>36</v>
      </c>
      <c r="Q2717" s="3" t="s">
        <v>36</v>
      </c>
      <c r="R2717" s="3" t="s">
        <v>36</v>
      </c>
      <c r="S2717" s="3" t="s">
        <v>36</v>
      </c>
      <c r="T2717" s="3" t="s">
        <v>2121</v>
      </c>
      <c r="U2717" s="3" t="s">
        <v>387</v>
      </c>
      <c r="V2717" s="3" t="s">
        <v>367</v>
      </c>
      <c r="W2717" s="3" t="s">
        <v>10333</v>
      </c>
      <c r="X2717" s="10" t="s">
        <v>14737</v>
      </c>
      <c r="Y2717" s="6" t="s">
        <v>108</v>
      </c>
      <c r="Z2717" s="4">
        <v>45.84</v>
      </c>
      <c r="AA2717" s="4">
        <v>79.48</v>
      </c>
      <c r="AB2717" s="3" t="s">
        <v>43</v>
      </c>
      <c r="AC2717" s="3" t="s">
        <v>10335</v>
      </c>
      <c r="AD2717" s="9">
        <v>44525</v>
      </c>
      <c r="AE2717" s="3" t="s">
        <v>391</v>
      </c>
      <c r="AF2717" s="3" t="s">
        <v>871</v>
      </c>
      <c r="AG2717" s="3" t="s">
        <v>81</v>
      </c>
      <c r="AH2717" s="11">
        <f>HYPERLINK("https://my.pitchbook.com?c=184082-32T","View Company Online")</f>
      </c>
    </row>
    <row r="2718">
      <c r="A2718" s="12" t="s">
        <v>14738</v>
      </c>
      <c r="B2718" s="12" t="s">
        <v>14739</v>
      </c>
      <c r="C2718" s="19" t="s">
        <v>36</v>
      </c>
      <c r="D2718" s="19" t="s">
        <v>36</v>
      </c>
      <c r="E2718" s="19" t="s">
        <v>36</v>
      </c>
      <c r="F2718" s="19" t="s">
        <v>36</v>
      </c>
      <c r="G2718" s="15" t="s">
        <v>36</v>
      </c>
      <c r="H2718" s="14" t="s">
        <v>36</v>
      </c>
      <c r="I2718" s="18" t="s">
        <v>36</v>
      </c>
      <c r="J2718" s="12" t="s">
        <v>36</v>
      </c>
      <c r="K2718" s="13" t="s">
        <v>36</v>
      </c>
      <c r="L2718" s="15" t="s">
        <v>36</v>
      </c>
      <c r="M2718" s="12" t="s">
        <v>36</v>
      </c>
      <c r="N2718" s="12" t="s">
        <v>36</v>
      </c>
      <c r="O2718" s="17" t="s">
        <v>36</v>
      </c>
      <c r="P2718" s="12" t="s">
        <v>36</v>
      </c>
      <c r="Q2718" s="12" t="s">
        <v>36</v>
      </c>
      <c r="R2718" s="12" t="s">
        <v>36</v>
      </c>
      <c r="S2718" s="12" t="s">
        <v>36</v>
      </c>
      <c r="T2718" s="12" t="s">
        <v>14740</v>
      </c>
      <c r="U2718" s="12" t="s">
        <v>648</v>
      </c>
      <c r="V2718" s="12" t="s">
        <v>64</v>
      </c>
      <c r="W2718" s="12" t="s">
        <v>14741</v>
      </c>
      <c r="X2718" s="16" t="s">
        <v>14742</v>
      </c>
      <c r="Y2718" s="15" t="s">
        <v>42</v>
      </c>
      <c r="Z2718" s="14">
        <v>0.77</v>
      </c>
      <c r="AA2718" s="14" t="s">
        <v>36</v>
      </c>
      <c r="AB2718" s="12" t="s">
        <v>43</v>
      </c>
      <c r="AC2718" s="12" t="s">
        <v>14743</v>
      </c>
      <c r="AD2718" s="13">
        <v>44524</v>
      </c>
      <c r="AE2718" s="12" t="s">
        <v>3988</v>
      </c>
      <c r="AF2718" s="12" t="s">
        <v>4284</v>
      </c>
      <c r="AG2718" s="12" t="s">
        <v>47</v>
      </c>
      <c r="AH2718" s="1">
        <f>HYPERLINK("https://my.pitchbook.com?c=183983-86T","View Company Online")</f>
      </c>
    </row>
    <row r="2719">
      <c r="A2719" s="3" t="s">
        <v>14744</v>
      </c>
      <c r="B2719" s="3" t="s">
        <v>14745</v>
      </c>
      <c r="C2719" s="5" t="s">
        <v>36</v>
      </c>
      <c r="D2719" s="5" t="s">
        <v>36</v>
      </c>
      <c r="E2719" s="5" t="s">
        <v>36</v>
      </c>
      <c r="F2719" s="5" t="s">
        <v>36</v>
      </c>
      <c r="G2719" s="6" t="s">
        <v>683</v>
      </c>
      <c r="H2719" s="4">
        <v>11.06</v>
      </c>
      <c r="I2719" s="7">
        <v>21.06</v>
      </c>
      <c r="J2719" s="3" t="s">
        <v>521</v>
      </c>
      <c r="K2719" s="9" t="s">
        <v>36</v>
      </c>
      <c r="L2719" s="6" t="s">
        <v>36</v>
      </c>
      <c r="M2719" s="3" t="s">
        <v>36</v>
      </c>
      <c r="N2719" s="3" t="s">
        <v>36</v>
      </c>
      <c r="O2719" s="8" t="s">
        <v>36</v>
      </c>
      <c r="P2719" s="3" t="s">
        <v>36</v>
      </c>
      <c r="Q2719" s="3" t="s">
        <v>36</v>
      </c>
      <c r="R2719" s="3" t="s">
        <v>36</v>
      </c>
      <c r="S2719" s="3" t="s">
        <v>36</v>
      </c>
      <c r="T2719" s="3" t="s">
        <v>522</v>
      </c>
      <c r="U2719" s="3" t="s">
        <v>38</v>
      </c>
      <c r="V2719" s="3" t="s">
        <v>39</v>
      </c>
      <c r="W2719" s="3" t="s">
        <v>14746</v>
      </c>
      <c r="X2719" s="10" t="s">
        <v>14747</v>
      </c>
      <c r="Y2719" s="6" t="s">
        <v>192</v>
      </c>
      <c r="Z2719" s="4">
        <v>23.5</v>
      </c>
      <c r="AA2719" s="4">
        <v>111.59</v>
      </c>
      <c r="AB2719" s="3" t="s">
        <v>56</v>
      </c>
      <c r="AC2719" s="3" t="s">
        <v>14748</v>
      </c>
      <c r="AD2719" s="9">
        <v>44524</v>
      </c>
      <c r="AE2719" s="3" t="s">
        <v>110</v>
      </c>
      <c r="AF2719" s="3" t="s">
        <v>111</v>
      </c>
      <c r="AG2719" s="3" t="s">
        <v>899</v>
      </c>
      <c r="AH2719" s="11">
        <f>HYPERLINK("https://my.pitchbook.com?c=183194-92T","View Company Online")</f>
      </c>
    </row>
    <row r="2720">
      <c r="A2720" s="12" t="s">
        <v>14749</v>
      </c>
      <c r="B2720" s="12" t="s">
        <v>14750</v>
      </c>
      <c r="C2720" s="19">
        <v>6</v>
      </c>
      <c r="D2720" s="19">
        <v>11</v>
      </c>
      <c r="E2720" s="19">
        <v>5</v>
      </c>
      <c r="F2720" s="19">
        <v>18</v>
      </c>
      <c r="G2720" s="15" t="s">
        <v>2497</v>
      </c>
      <c r="H2720" s="14">
        <v>149.55</v>
      </c>
      <c r="I2720" s="18">
        <v>43.27</v>
      </c>
      <c r="J2720" s="12" t="s">
        <v>521</v>
      </c>
      <c r="K2720" s="13" t="s">
        <v>36</v>
      </c>
      <c r="L2720" s="15" t="s">
        <v>122</v>
      </c>
      <c r="M2720" s="12" t="s">
        <v>36</v>
      </c>
      <c r="N2720" s="12" t="s">
        <v>122</v>
      </c>
      <c r="O2720" s="17" t="s">
        <v>36</v>
      </c>
      <c r="P2720" s="12" t="s">
        <v>36</v>
      </c>
      <c r="Q2720" s="12" t="s">
        <v>36</v>
      </c>
      <c r="R2720" s="12" t="s">
        <v>36</v>
      </c>
      <c r="S2720" s="12" t="s">
        <v>36</v>
      </c>
      <c r="T2720" s="12" t="s">
        <v>14751</v>
      </c>
      <c r="U2720" s="12" t="s">
        <v>38</v>
      </c>
      <c r="V2720" s="12" t="s">
        <v>39</v>
      </c>
      <c r="W2720" s="12" t="s">
        <v>14752</v>
      </c>
      <c r="X2720" s="16" t="s">
        <v>14753</v>
      </c>
      <c r="Y2720" s="15" t="s">
        <v>192</v>
      </c>
      <c r="Z2720" s="14">
        <v>5.74</v>
      </c>
      <c r="AA2720" s="14">
        <v>10.79</v>
      </c>
      <c r="AB2720" s="12" t="s">
        <v>56</v>
      </c>
      <c r="AC2720" s="12" t="s">
        <v>14754</v>
      </c>
      <c r="AD2720" s="13">
        <v>44524</v>
      </c>
      <c r="AE2720" s="12" t="s">
        <v>110</v>
      </c>
      <c r="AF2720" s="12" t="s">
        <v>14755</v>
      </c>
      <c r="AG2720" s="12" t="s">
        <v>169</v>
      </c>
      <c r="AH2720" s="1">
        <f>HYPERLINK("https://my.pitchbook.com?c=190275-67T","View Company Online")</f>
      </c>
    </row>
    <row r="2721">
      <c r="A2721" s="3" t="s">
        <v>14756</v>
      </c>
      <c r="B2721" s="3" t="s">
        <v>1758</v>
      </c>
      <c r="C2721" s="5" t="s">
        <v>36</v>
      </c>
      <c r="D2721" s="5" t="s">
        <v>36</v>
      </c>
      <c r="E2721" s="5" t="s">
        <v>36</v>
      </c>
      <c r="F2721" s="5" t="s">
        <v>36</v>
      </c>
      <c r="G2721" s="6" t="s">
        <v>36</v>
      </c>
      <c r="H2721" s="4" t="s">
        <v>36</v>
      </c>
      <c r="I2721" s="7" t="s">
        <v>36</v>
      </c>
      <c r="J2721" s="3" t="s">
        <v>36</v>
      </c>
      <c r="K2721" s="9" t="s">
        <v>36</v>
      </c>
      <c r="L2721" s="6" t="s">
        <v>36</v>
      </c>
      <c r="M2721" s="3" t="s">
        <v>36</v>
      </c>
      <c r="N2721" s="3" t="s">
        <v>36</v>
      </c>
      <c r="O2721" s="8" t="s">
        <v>36</v>
      </c>
      <c r="P2721" s="3" t="s">
        <v>36</v>
      </c>
      <c r="Q2721" s="3" t="s">
        <v>36</v>
      </c>
      <c r="R2721" s="3" t="s">
        <v>36</v>
      </c>
      <c r="S2721" s="3" t="s">
        <v>36</v>
      </c>
      <c r="T2721" s="3" t="s">
        <v>1759</v>
      </c>
      <c r="U2721" s="3" t="s">
        <v>219</v>
      </c>
      <c r="V2721" s="3" t="s">
        <v>75</v>
      </c>
      <c r="W2721" s="3" t="s">
        <v>1760</v>
      </c>
      <c r="X2721" s="10" t="s">
        <v>14757</v>
      </c>
      <c r="Y2721" s="6" t="s">
        <v>108</v>
      </c>
      <c r="Z2721" s="4">
        <v>4.59</v>
      </c>
      <c r="AA2721" s="4" t="s">
        <v>36</v>
      </c>
      <c r="AB2721" s="3" t="s">
        <v>43</v>
      </c>
      <c r="AC2721" s="3" t="s">
        <v>1762</v>
      </c>
      <c r="AD2721" s="9">
        <v>44524</v>
      </c>
      <c r="AE2721" s="3" t="s">
        <v>223</v>
      </c>
      <c r="AF2721" s="3" t="s">
        <v>372</v>
      </c>
      <c r="AG2721" s="3" t="s">
        <v>1332</v>
      </c>
      <c r="AH2721" s="11">
        <f>HYPERLINK("https://my.pitchbook.com?c=183973-51T","View Company Online")</f>
      </c>
    </row>
    <row r="2722">
      <c r="A2722" s="12" t="s">
        <v>14758</v>
      </c>
      <c r="B2722" s="12" t="s">
        <v>14759</v>
      </c>
      <c r="C2722" s="19">
        <v>1</v>
      </c>
      <c r="D2722" s="19">
        <v>16</v>
      </c>
      <c r="E2722" s="19">
        <v>3</v>
      </c>
      <c r="F2722" s="19">
        <v>17</v>
      </c>
      <c r="G2722" s="15" t="s">
        <v>36</v>
      </c>
      <c r="H2722" s="14" t="s">
        <v>36</v>
      </c>
      <c r="I2722" s="18" t="s">
        <v>36</v>
      </c>
      <c r="J2722" s="12" t="s">
        <v>36</v>
      </c>
      <c r="K2722" s="13" t="s">
        <v>36</v>
      </c>
      <c r="L2722" s="15" t="s">
        <v>36</v>
      </c>
      <c r="M2722" s="12" t="s">
        <v>36</v>
      </c>
      <c r="N2722" s="12" t="s">
        <v>36</v>
      </c>
      <c r="O2722" s="17" t="s">
        <v>36</v>
      </c>
      <c r="P2722" s="12" t="s">
        <v>36</v>
      </c>
      <c r="Q2722" s="12" t="s">
        <v>36</v>
      </c>
      <c r="R2722" s="12" t="s">
        <v>36</v>
      </c>
      <c r="S2722" s="12" t="s">
        <v>453</v>
      </c>
      <c r="T2722" s="12" t="s">
        <v>1615</v>
      </c>
      <c r="U2722" s="12" t="s">
        <v>85</v>
      </c>
      <c r="V2722" s="12" t="s">
        <v>64</v>
      </c>
      <c r="W2722" s="12" t="s">
        <v>14760</v>
      </c>
      <c r="X2722" s="16" t="s">
        <v>14761</v>
      </c>
      <c r="Y2722" s="15" t="s">
        <v>42</v>
      </c>
      <c r="Z2722" s="14">
        <v>1.72</v>
      </c>
      <c r="AA2722" s="14" t="s">
        <v>36</v>
      </c>
      <c r="AB2722" s="12" t="s">
        <v>43</v>
      </c>
      <c r="AC2722" s="12" t="s">
        <v>14762</v>
      </c>
      <c r="AD2722" s="13">
        <v>44524</v>
      </c>
      <c r="AE2722" s="12" t="s">
        <v>89</v>
      </c>
      <c r="AF2722" s="12" t="s">
        <v>14763</v>
      </c>
      <c r="AG2722" s="12" t="s">
        <v>14764</v>
      </c>
      <c r="AH2722" s="1">
        <f>HYPERLINK("https://my.pitchbook.com?c=185881-51T","View Company Online")</f>
      </c>
    </row>
    <row r="2723">
      <c r="A2723" s="3" t="s">
        <v>14765</v>
      </c>
      <c r="B2723" s="3" t="s">
        <v>14766</v>
      </c>
      <c r="C2723" s="5">
        <v>1</v>
      </c>
      <c r="D2723" s="5">
        <v>5</v>
      </c>
      <c r="E2723" s="5">
        <v>2</v>
      </c>
      <c r="F2723" s="5">
        <v>7</v>
      </c>
      <c r="G2723" s="6" t="s">
        <v>36</v>
      </c>
      <c r="H2723" s="4" t="s">
        <v>36</v>
      </c>
      <c r="I2723" s="7" t="s">
        <v>36</v>
      </c>
      <c r="J2723" s="3" t="s">
        <v>36</v>
      </c>
      <c r="K2723" s="9">
        <v>44093</v>
      </c>
      <c r="L2723" s="6" t="s">
        <v>94</v>
      </c>
      <c r="M2723" s="3" t="s">
        <v>36</v>
      </c>
      <c r="N2723" s="3" t="s">
        <v>94</v>
      </c>
      <c r="O2723" s="8" t="s">
        <v>36</v>
      </c>
      <c r="P2723" s="3" t="s">
        <v>36</v>
      </c>
      <c r="Q2723" s="3" t="s">
        <v>36</v>
      </c>
      <c r="R2723" s="3" t="s">
        <v>36</v>
      </c>
      <c r="S2723" s="3" t="s">
        <v>36</v>
      </c>
      <c r="T2723" s="3" t="s">
        <v>14522</v>
      </c>
      <c r="U2723" s="3" t="s">
        <v>956</v>
      </c>
      <c r="V2723" s="3" t="s">
        <v>405</v>
      </c>
      <c r="W2723" s="3" t="s">
        <v>14767</v>
      </c>
      <c r="X2723" s="10" t="s">
        <v>14768</v>
      </c>
      <c r="Y2723" s="6" t="s">
        <v>192</v>
      </c>
      <c r="Z2723" s="4">
        <v>116</v>
      </c>
      <c r="AA2723" s="4" t="s">
        <v>36</v>
      </c>
      <c r="AB2723" s="3" t="s">
        <v>43</v>
      </c>
      <c r="AC2723" s="3" t="s">
        <v>14769</v>
      </c>
      <c r="AD2723" s="9">
        <v>44523</v>
      </c>
      <c r="AE2723" s="3" t="s">
        <v>14526</v>
      </c>
      <c r="AF2723" s="3" t="s">
        <v>14770</v>
      </c>
      <c r="AG2723" s="3" t="s">
        <v>81</v>
      </c>
      <c r="AH2723" s="11">
        <f>HYPERLINK("https://my.pitchbook.com?c=156843-19T","View Company Online")</f>
      </c>
    </row>
    <row r="2724">
      <c r="A2724" s="12" t="s">
        <v>14771</v>
      </c>
      <c r="B2724" s="12" t="s">
        <v>13429</v>
      </c>
      <c r="C2724" s="19" t="s">
        <v>36</v>
      </c>
      <c r="D2724" s="19" t="s">
        <v>36</v>
      </c>
      <c r="E2724" s="19">
        <v>2</v>
      </c>
      <c r="F2724" s="19">
        <v>3</v>
      </c>
      <c r="G2724" s="15" t="s">
        <v>326</v>
      </c>
      <c r="H2724" s="14">
        <v>6.2</v>
      </c>
      <c r="I2724" s="18">
        <v>8.68</v>
      </c>
      <c r="J2724" s="12" t="s">
        <v>521</v>
      </c>
      <c r="K2724" s="13" t="s">
        <v>36</v>
      </c>
      <c r="L2724" s="15" t="s">
        <v>36</v>
      </c>
      <c r="M2724" s="12" t="s">
        <v>36</v>
      </c>
      <c r="N2724" s="12" t="s">
        <v>36</v>
      </c>
      <c r="O2724" s="17" t="s">
        <v>36</v>
      </c>
      <c r="P2724" s="12" t="s">
        <v>36</v>
      </c>
      <c r="Q2724" s="12" t="s">
        <v>36</v>
      </c>
      <c r="R2724" s="12" t="s">
        <v>36</v>
      </c>
      <c r="S2724" s="12" t="s">
        <v>36</v>
      </c>
      <c r="T2724" s="12" t="s">
        <v>522</v>
      </c>
      <c r="U2724" s="12" t="s">
        <v>38</v>
      </c>
      <c r="V2724" s="12" t="s">
        <v>39</v>
      </c>
      <c r="W2724" s="12" t="s">
        <v>13430</v>
      </c>
      <c r="X2724" s="16" t="s">
        <v>14772</v>
      </c>
      <c r="Y2724" s="15" t="s">
        <v>55</v>
      </c>
      <c r="Z2724" s="14">
        <v>1.48</v>
      </c>
      <c r="AA2724" s="14">
        <v>17.11</v>
      </c>
      <c r="AB2724" s="12" t="s">
        <v>43</v>
      </c>
      <c r="AC2724" s="12" t="s">
        <v>13432</v>
      </c>
      <c r="AD2724" s="13">
        <v>44523</v>
      </c>
      <c r="AE2724" s="12" t="s">
        <v>110</v>
      </c>
      <c r="AF2724" s="12" t="s">
        <v>526</v>
      </c>
      <c r="AG2724" s="12" t="s">
        <v>12667</v>
      </c>
      <c r="AH2724" s="1">
        <f>HYPERLINK("https://my.pitchbook.com?c=182904-31T","View Company Online")</f>
      </c>
    </row>
    <row r="2725">
      <c r="A2725" s="3" t="s">
        <v>14773</v>
      </c>
      <c r="B2725" s="3" t="s">
        <v>4174</v>
      </c>
      <c r="C2725" s="5">
        <v>19</v>
      </c>
      <c r="D2725" s="5">
        <v>18</v>
      </c>
      <c r="E2725" s="5">
        <v>11</v>
      </c>
      <c r="F2725" s="5">
        <v>39</v>
      </c>
      <c r="G2725" s="6" t="s">
        <v>36</v>
      </c>
      <c r="H2725" s="4" t="s">
        <v>36</v>
      </c>
      <c r="I2725" s="7" t="s">
        <v>36</v>
      </c>
      <c r="J2725" s="3" t="s">
        <v>36</v>
      </c>
      <c r="K2725" s="9" t="s">
        <v>36</v>
      </c>
      <c r="L2725" s="6" t="s">
        <v>36</v>
      </c>
      <c r="M2725" s="3" t="s">
        <v>36</v>
      </c>
      <c r="N2725" s="3" t="s">
        <v>36</v>
      </c>
      <c r="O2725" s="8" t="s">
        <v>36</v>
      </c>
      <c r="P2725" s="3" t="s">
        <v>36</v>
      </c>
      <c r="Q2725" s="3" t="s">
        <v>36</v>
      </c>
      <c r="R2725" s="3" t="s">
        <v>36</v>
      </c>
      <c r="S2725" s="3" t="s">
        <v>36</v>
      </c>
      <c r="T2725" s="3" t="s">
        <v>4175</v>
      </c>
      <c r="U2725" s="3" t="s">
        <v>51</v>
      </c>
      <c r="V2725" s="3" t="s">
        <v>52</v>
      </c>
      <c r="W2725" s="3" t="s">
        <v>4176</v>
      </c>
      <c r="X2725" s="10" t="s">
        <v>14774</v>
      </c>
      <c r="Y2725" s="6" t="s">
        <v>192</v>
      </c>
      <c r="Z2725" s="4">
        <v>35.96</v>
      </c>
      <c r="AA2725" s="4" t="s">
        <v>36</v>
      </c>
      <c r="AB2725" s="3" t="s">
        <v>56</v>
      </c>
      <c r="AC2725" s="3" t="s">
        <v>4178</v>
      </c>
      <c r="AD2725" s="9">
        <v>44523</v>
      </c>
      <c r="AE2725" s="3" t="s">
        <v>58</v>
      </c>
      <c r="AF2725" s="3" t="s">
        <v>3193</v>
      </c>
      <c r="AG2725" s="3" t="s">
        <v>4179</v>
      </c>
      <c r="AH2725" s="11">
        <f>HYPERLINK("https://my.pitchbook.com?c=184256-65T","View Company Online")</f>
      </c>
    </row>
    <row r="2726">
      <c r="A2726" s="12" t="s">
        <v>14775</v>
      </c>
      <c r="B2726" s="12" t="s">
        <v>14776</v>
      </c>
      <c r="C2726" s="19" t="s">
        <v>36</v>
      </c>
      <c r="D2726" s="19" t="s">
        <v>36</v>
      </c>
      <c r="E2726" s="19" t="s">
        <v>36</v>
      </c>
      <c r="F2726" s="19" t="s">
        <v>36</v>
      </c>
      <c r="G2726" s="15" t="s">
        <v>36</v>
      </c>
      <c r="H2726" s="14">
        <v>13.28</v>
      </c>
      <c r="I2726" s="18">
        <v>32.99</v>
      </c>
      <c r="J2726" s="12" t="s">
        <v>521</v>
      </c>
      <c r="K2726" s="13" t="s">
        <v>36</v>
      </c>
      <c r="L2726" s="15" t="s">
        <v>122</v>
      </c>
      <c r="M2726" s="12" t="s">
        <v>36</v>
      </c>
      <c r="N2726" s="12" t="s">
        <v>122</v>
      </c>
      <c r="O2726" s="17" t="s">
        <v>36</v>
      </c>
      <c r="P2726" s="12" t="s">
        <v>36</v>
      </c>
      <c r="Q2726" s="12" t="s">
        <v>36</v>
      </c>
      <c r="R2726" s="12" t="s">
        <v>36</v>
      </c>
      <c r="S2726" s="12" t="s">
        <v>36</v>
      </c>
      <c r="T2726" s="12" t="s">
        <v>14777</v>
      </c>
      <c r="U2726" s="12" t="s">
        <v>648</v>
      </c>
      <c r="V2726" s="12" t="s">
        <v>64</v>
      </c>
      <c r="W2726" s="12" t="s">
        <v>14778</v>
      </c>
      <c r="X2726" s="16" t="s">
        <v>14779</v>
      </c>
      <c r="Y2726" s="15" t="s">
        <v>55</v>
      </c>
      <c r="Z2726" s="14">
        <v>3.68</v>
      </c>
      <c r="AA2726" s="14">
        <v>9.22</v>
      </c>
      <c r="AB2726" s="12" t="s">
        <v>56</v>
      </c>
      <c r="AC2726" s="12" t="s">
        <v>14780</v>
      </c>
      <c r="AD2726" s="13">
        <v>44522</v>
      </c>
      <c r="AE2726" s="12" t="s">
        <v>1897</v>
      </c>
      <c r="AF2726" s="12" t="s">
        <v>14781</v>
      </c>
      <c r="AG2726" s="12" t="s">
        <v>741</v>
      </c>
      <c r="AH2726" s="1">
        <f>HYPERLINK("https://my.pitchbook.com?c=183793-51T","View Company Online")</f>
      </c>
    </row>
    <row r="2727">
      <c r="A2727" s="3" t="s">
        <v>14782</v>
      </c>
      <c r="B2727" s="3" t="s">
        <v>14783</v>
      </c>
      <c r="C2727" s="5" t="s">
        <v>36</v>
      </c>
      <c r="D2727" s="5" t="s">
        <v>36</v>
      </c>
      <c r="E2727" s="5" t="s">
        <v>36</v>
      </c>
      <c r="F2727" s="5" t="s">
        <v>36</v>
      </c>
      <c r="G2727" s="6" t="s">
        <v>36</v>
      </c>
      <c r="H2727" s="4" t="s">
        <v>36</v>
      </c>
      <c r="I2727" s="7" t="s">
        <v>36</v>
      </c>
      <c r="J2727" s="3" t="s">
        <v>36</v>
      </c>
      <c r="K2727" s="9" t="s">
        <v>36</v>
      </c>
      <c r="L2727" s="6" t="s">
        <v>36</v>
      </c>
      <c r="M2727" s="3" t="s">
        <v>36</v>
      </c>
      <c r="N2727" s="3" t="s">
        <v>36</v>
      </c>
      <c r="O2727" s="8" t="s">
        <v>36</v>
      </c>
      <c r="P2727" s="3" t="s">
        <v>36</v>
      </c>
      <c r="Q2727" s="3" t="s">
        <v>36</v>
      </c>
      <c r="R2727" s="3" t="s">
        <v>36</v>
      </c>
      <c r="S2727" s="3" t="s">
        <v>36</v>
      </c>
      <c r="T2727" s="3" t="s">
        <v>5302</v>
      </c>
      <c r="U2727" s="3" t="s">
        <v>74</v>
      </c>
      <c r="V2727" s="3" t="s">
        <v>75</v>
      </c>
      <c r="W2727" s="3" t="s">
        <v>14784</v>
      </c>
      <c r="X2727" s="10" t="s">
        <v>13670</v>
      </c>
      <c r="Y2727" s="6" t="s">
        <v>42</v>
      </c>
      <c r="Z2727" s="4" t="s">
        <v>36</v>
      </c>
      <c r="AA2727" s="4" t="s">
        <v>36</v>
      </c>
      <c r="AB2727" s="3" t="s">
        <v>56</v>
      </c>
      <c r="AC2727" s="3" t="s">
        <v>14785</v>
      </c>
      <c r="AD2727" s="9">
        <v>44522</v>
      </c>
      <c r="AE2727" s="3" t="s">
        <v>362</v>
      </c>
      <c r="AF2727" s="3" t="s">
        <v>468</v>
      </c>
      <c r="AG2727" s="3" t="s">
        <v>1078</v>
      </c>
      <c r="AH2727" s="11">
        <f>HYPERLINK("https://my.pitchbook.com?c=184369-42T","View Company Online")</f>
      </c>
    </row>
    <row r="2728">
      <c r="A2728" s="12" t="s">
        <v>14786</v>
      </c>
      <c r="B2728" s="12" t="s">
        <v>14787</v>
      </c>
      <c r="C2728" s="19">
        <v>19</v>
      </c>
      <c r="D2728" s="19">
        <v>12</v>
      </c>
      <c r="E2728" s="19">
        <v>7</v>
      </c>
      <c r="F2728" s="19">
        <v>32</v>
      </c>
      <c r="G2728" s="15" t="s">
        <v>36</v>
      </c>
      <c r="H2728" s="14" t="s">
        <v>36</v>
      </c>
      <c r="I2728" s="18" t="s">
        <v>36</v>
      </c>
      <c r="J2728" s="12" t="s">
        <v>36</v>
      </c>
      <c r="K2728" s="13" t="s">
        <v>36</v>
      </c>
      <c r="L2728" s="15" t="s">
        <v>36</v>
      </c>
      <c r="M2728" s="12" t="s">
        <v>36</v>
      </c>
      <c r="N2728" s="12" t="s">
        <v>36</v>
      </c>
      <c r="O2728" s="17" t="s">
        <v>36</v>
      </c>
      <c r="P2728" s="12" t="s">
        <v>36</v>
      </c>
      <c r="Q2728" s="12" t="s">
        <v>36</v>
      </c>
      <c r="R2728" s="12" t="s">
        <v>36</v>
      </c>
      <c r="S2728" s="12" t="s">
        <v>36</v>
      </c>
      <c r="T2728" s="12" t="s">
        <v>588</v>
      </c>
      <c r="U2728" s="12" t="s">
        <v>318</v>
      </c>
      <c r="V2728" s="12" t="s">
        <v>39</v>
      </c>
      <c r="W2728" s="12" t="s">
        <v>14788</v>
      </c>
      <c r="X2728" s="16" t="s">
        <v>14789</v>
      </c>
      <c r="Y2728" s="15" t="s">
        <v>55</v>
      </c>
      <c r="Z2728" s="14">
        <v>8.63</v>
      </c>
      <c r="AA2728" s="14" t="s">
        <v>36</v>
      </c>
      <c r="AB2728" s="12" t="s">
        <v>43</v>
      </c>
      <c r="AC2728" s="12" t="s">
        <v>14790</v>
      </c>
      <c r="AD2728" s="13">
        <v>44522</v>
      </c>
      <c r="AE2728" s="12" t="s">
        <v>417</v>
      </c>
      <c r="AF2728" s="12" t="s">
        <v>14791</v>
      </c>
      <c r="AG2728" s="12" t="s">
        <v>11787</v>
      </c>
      <c r="AH2728" s="1">
        <f>HYPERLINK("https://my.pitchbook.com?c=183793-06T","View Company Online")</f>
      </c>
    </row>
    <row r="2729">
      <c r="A2729" s="3" t="s">
        <v>14792</v>
      </c>
      <c r="B2729" s="3" t="s">
        <v>1907</v>
      </c>
      <c r="C2729" s="5">
        <v>1</v>
      </c>
      <c r="D2729" s="5" t="s">
        <v>36</v>
      </c>
      <c r="E2729" s="5">
        <v>1</v>
      </c>
      <c r="F2729" s="5">
        <v>1</v>
      </c>
      <c r="G2729" s="6" t="s">
        <v>36</v>
      </c>
      <c r="H2729" s="4">
        <v>34.85</v>
      </c>
      <c r="I2729" s="7">
        <v>26.84</v>
      </c>
      <c r="J2729" s="3" t="s">
        <v>521</v>
      </c>
      <c r="K2729" s="9" t="s">
        <v>36</v>
      </c>
      <c r="L2729" s="6" t="s">
        <v>36</v>
      </c>
      <c r="M2729" s="3" t="s">
        <v>36</v>
      </c>
      <c r="N2729" s="3" t="s">
        <v>36</v>
      </c>
      <c r="O2729" s="8" t="s">
        <v>36</v>
      </c>
      <c r="P2729" s="3" t="s">
        <v>36</v>
      </c>
      <c r="Q2729" s="3" t="s">
        <v>36</v>
      </c>
      <c r="R2729" s="3" t="s">
        <v>36</v>
      </c>
      <c r="S2729" s="3" t="s">
        <v>36</v>
      </c>
      <c r="T2729" s="3" t="s">
        <v>1908</v>
      </c>
      <c r="U2729" s="3" t="s">
        <v>219</v>
      </c>
      <c r="V2729" s="3" t="s">
        <v>75</v>
      </c>
      <c r="W2729" s="3" t="s">
        <v>1909</v>
      </c>
      <c r="X2729" s="10" t="s">
        <v>14793</v>
      </c>
      <c r="Y2729" s="6" t="s">
        <v>42</v>
      </c>
      <c r="Z2729" s="4">
        <v>1.68</v>
      </c>
      <c r="AA2729" s="4">
        <v>6.28</v>
      </c>
      <c r="AB2729" s="3" t="s">
        <v>43</v>
      </c>
      <c r="AC2729" s="3" t="s">
        <v>1911</v>
      </c>
      <c r="AD2729" s="9">
        <v>44522</v>
      </c>
      <c r="AE2729" s="3" t="s">
        <v>1912</v>
      </c>
      <c r="AF2729" s="3" t="s">
        <v>1913</v>
      </c>
      <c r="AG2729" s="3" t="s">
        <v>81</v>
      </c>
      <c r="AH2729" s="11">
        <f>HYPERLINK("https://my.pitchbook.com?c=188925-58T","View Company Online")</f>
      </c>
    </row>
    <row r="2730">
      <c r="A2730" s="12" t="s">
        <v>14794</v>
      </c>
      <c r="B2730" s="12" t="s">
        <v>14795</v>
      </c>
      <c r="C2730" s="19" t="s">
        <v>36</v>
      </c>
      <c r="D2730" s="19" t="s">
        <v>36</v>
      </c>
      <c r="E2730" s="19" t="s">
        <v>36</v>
      </c>
      <c r="F2730" s="19" t="s">
        <v>36</v>
      </c>
      <c r="G2730" s="15" t="s">
        <v>36</v>
      </c>
      <c r="H2730" s="14" t="s">
        <v>36</v>
      </c>
      <c r="I2730" s="18" t="s">
        <v>36</v>
      </c>
      <c r="J2730" s="12" t="s">
        <v>36</v>
      </c>
      <c r="K2730" s="13" t="s">
        <v>36</v>
      </c>
      <c r="L2730" s="15" t="s">
        <v>36</v>
      </c>
      <c r="M2730" s="12" t="s">
        <v>36</v>
      </c>
      <c r="N2730" s="12" t="s">
        <v>36</v>
      </c>
      <c r="O2730" s="17" t="s">
        <v>36</v>
      </c>
      <c r="P2730" s="12" t="s">
        <v>36</v>
      </c>
      <c r="Q2730" s="12" t="s">
        <v>36</v>
      </c>
      <c r="R2730" s="12" t="s">
        <v>36</v>
      </c>
      <c r="S2730" s="12" t="s">
        <v>36</v>
      </c>
      <c r="T2730" s="12" t="s">
        <v>1893</v>
      </c>
      <c r="U2730" s="12" t="s">
        <v>648</v>
      </c>
      <c r="V2730" s="12" t="s">
        <v>64</v>
      </c>
      <c r="W2730" s="12" t="s">
        <v>14796</v>
      </c>
      <c r="X2730" s="16" t="s">
        <v>14797</v>
      </c>
      <c r="Y2730" s="15" t="s">
        <v>108</v>
      </c>
      <c r="Z2730" s="14">
        <v>34.5</v>
      </c>
      <c r="AA2730" s="14" t="s">
        <v>36</v>
      </c>
      <c r="AB2730" s="12" t="s">
        <v>43</v>
      </c>
      <c r="AC2730" s="12" t="s">
        <v>14798</v>
      </c>
      <c r="AD2730" s="13">
        <v>44522</v>
      </c>
      <c r="AE2730" s="12" t="s">
        <v>1897</v>
      </c>
      <c r="AF2730" s="12" t="s">
        <v>1115</v>
      </c>
      <c r="AG2730" s="12" t="s">
        <v>81</v>
      </c>
      <c r="AH2730" s="1">
        <f>HYPERLINK("https://my.pitchbook.com?c=242145-55T","View Company Online")</f>
      </c>
    </row>
    <row r="2731">
      <c r="A2731" s="3" t="s">
        <v>14799</v>
      </c>
      <c r="B2731" s="3" t="s">
        <v>14800</v>
      </c>
      <c r="C2731" s="5">
        <v>5</v>
      </c>
      <c r="D2731" s="5">
        <v>3</v>
      </c>
      <c r="E2731" s="5">
        <v>2</v>
      </c>
      <c r="F2731" s="5">
        <v>10</v>
      </c>
      <c r="G2731" s="6" t="s">
        <v>326</v>
      </c>
      <c r="H2731" s="4">
        <v>351.96</v>
      </c>
      <c r="I2731" s="7">
        <v>15.07</v>
      </c>
      <c r="J2731" s="3" t="s">
        <v>521</v>
      </c>
      <c r="K2731" s="9" t="s">
        <v>36</v>
      </c>
      <c r="L2731" s="6" t="s">
        <v>36</v>
      </c>
      <c r="M2731" s="3" t="s">
        <v>36</v>
      </c>
      <c r="N2731" s="3" t="s">
        <v>36</v>
      </c>
      <c r="O2731" s="8" t="s">
        <v>36</v>
      </c>
      <c r="P2731" s="3" t="s">
        <v>36</v>
      </c>
      <c r="Q2731" s="3" t="s">
        <v>36</v>
      </c>
      <c r="R2731" s="3" t="s">
        <v>36</v>
      </c>
      <c r="S2731" s="3" t="s">
        <v>36</v>
      </c>
      <c r="T2731" s="3" t="s">
        <v>14801</v>
      </c>
      <c r="U2731" s="3" t="s">
        <v>51</v>
      </c>
      <c r="V2731" s="3" t="s">
        <v>52</v>
      </c>
      <c r="W2731" s="3" t="s">
        <v>14802</v>
      </c>
      <c r="X2731" s="10" t="s">
        <v>14803</v>
      </c>
      <c r="Y2731" s="6" t="s">
        <v>42</v>
      </c>
      <c r="Z2731" s="4">
        <v>1.5</v>
      </c>
      <c r="AA2731" s="4">
        <v>9.94</v>
      </c>
      <c r="AB2731" s="3" t="s">
        <v>43</v>
      </c>
      <c r="AC2731" s="3" t="s">
        <v>14804</v>
      </c>
      <c r="AD2731" s="9">
        <v>44520</v>
      </c>
      <c r="AE2731" s="3" t="s">
        <v>504</v>
      </c>
      <c r="AF2731" s="3" t="s">
        <v>885</v>
      </c>
      <c r="AG2731" s="3" t="s">
        <v>47</v>
      </c>
      <c r="AH2731" s="11">
        <f>HYPERLINK("https://my.pitchbook.com?c=184061-35T","View Company Online")</f>
      </c>
    </row>
    <row r="2732">
      <c r="A2732" s="12" t="s">
        <v>14805</v>
      </c>
      <c r="B2732" s="12" t="s">
        <v>10946</v>
      </c>
      <c r="C2732" s="19">
        <v>7</v>
      </c>
      <c r="D2732" s="19">
        <v>22</v>
      </c>
      <c r="E2732" s="19">
        <v>5</v>
      </c>
      <c r="F2732" s="19">
        <v>35</v>
      </c>
      <c r="G2732" s="15" t="s">
        <v>683</v>
      </c>
      <c r="H2732" s="14">
        <v>70.62</v>
      </c>
      <c r="I2732" s="18">
        <v>29.57</v>
      </c>
      <c r="J2732" s="12" t="s">
        <v>521</v>
      </c>
      <c r="K2732" s="13" t="s">
        <v>36</v>
      </c>
      <c r="L2732" s="15" t="s">
        <v>36</v>
      </c>
      <c r="M2732" s="12" t="s">
        <v>36</v>
      </c>
      <c r="N2732" s="12" t="s">
        <v>36</v>
      </c>
      <c r="O2732" s="17" t="s">
        <v>36</v>
      </c>
      <c r="P2732" s="12" t="s">
        <v>36</v>
      </c>
      <c r="Q2732" s="12" t="s">
        <v>36</v>
      </c>
      <c r="R2732" s="12" t="s">
        <v>36</v>
      </c>
      <c r="S2732" s="12" t="s">
        <v>36</v>
      </c>
      <c r="T2732" s="12" t="s">
        <v>4225</v>
      </c>
      <c r="U2732" s="12" t="s">
        <v>96</v>
      </c>
      <c r="V2732" s="12" t="s">
        <v>52</v>
      </c>
      <c r="W2732" s="12" t="s">
        <v>10947</v>
      </c>
      <c r="X2732" s="16" t="s">
        <v>14806</v>
      </c>
      <c r="Y2732" s="15" t="s">
        <v>55</v>
      </c>
      <c r="Z2732" s="14">
        <v>2.88</v>
      </c>
      <c r="AA2732" s="14">
        <v>9.72</v>
      </c>
      <c r="AB2732" s="12" t="s">
        <v>56</v>
      </c>
      <c r="AC2732" s="12" t="s">
        <v>10949</v>
      </c>
      <c r="AD2732" s="13">
        <v>44519</v>
      </c>
      <c r="AE2732" s="12" t="s">
        <v>143</v>
      </c>
      <c r="AF2732" s="12" t="s">
        <v>571</v>
      </c>
      <c r="AG2732" s="12" t="s">
        <v>392</v>
      </c>
      <c r="AH2732" s="1">
        <f>HYPERLINK("https://my.pitchbook.com?c=195652-00T","View Company Online")</f>
      </c>
    </row>
    <row r="2733">
      <c r="A2733" s="3" t="s">
        <v>14807</v>
      </c>
      <c r="B2733" s="3" t="s">
        <v>8212</v>
      </c>
      <c r="C2733" s="5" t="s">
        <v>36</v>
      </c>
      <c r="D2733" s="5" t="s">
        <v>36</v>
      </c>
      <c r="E2733" s="5" t="s">
        <v>36</v>
      </c>
      <c r="F2733" s="5" t="s">
        <v>36</v>
      </c>
      <c r="G2733" s="6" t="s">
        <v>36</v>
      </c>
      <c r="H2733" s="4">
        <v>4154.27</v>
      </c>
      <c r="I2733" s="7">
        <v>20</v>
      </c>
      <c r="J2733" s="3" t="s">
        <v>521</v>
      </c>
      <c r="K2733" s="9" t="s">
        <v>36</v>
      </c>
      <c r="L2733" s="6" t="s">
        <v>122</v>
      </c>
      <c r="M2733" s="3" t="s">
        <v>36</v>
      </c>
      <c r="N2733" s="3" t="s">
        <v>122</v>
      </c>
      <c r="O2733" s="8" t="s">
        <v>36</v>
      </c>
      <c r="P2733" s="3" t="s">
        <v>36</v>
      </c>
      <c r="Q2733" s="3" t="s">
        <v>36</v>
      </c>
      <c r="R2733" s="3" t="s">
        <v>36</v>
      </c>
      <c r="S2733" s="3" t="s">
        <v>36</v>
      </c>
      <c r="T2733" s="3" t="s">
        <v>8213</v>
      </c>
      <c r="U2733" s="3" t="s">
        <v>38</v>
      </c>
      <c r="V2733" s="3" t="s">
        <v>39</v>
      </c>
      <c r="W2733" s="3" t="s">
        <v>8214</v>
      </c>
      <c r="X2733" s="10" t="s">
        <v>4126</v>
      </c>
      <c r="Y2733" s="6" t="s">
        <v>42</v>
      </c>
      <c r="Z2733" s="4">
        <v>18.46</v>
      </c>
      <c r="AA2733" s="4">
        <v>57.69</v>
      </c>
      <c r="AB2733" s="3" t="s">
        <v>56</v>
      </c>
      <c r="AC2733" s="3" t="s">
        <v>8216</v>
      </c>
      <c r="AD2733" s="9">
        <v>44519</v>
      </c>
      <c r="AE2733" s="3" t="s">
        <v>110</v>
      </c>
      <c r="AF2733" s="3" t="s">
        <v>176</v>
      </c>
      <c r="AG2733" s="3" t="s">
        <v>8217</v>
      </c>
      <c r="AH2733" s="11">
        <f>HYPERLINK("https://my.pitchbook.com?c=165613-06T","View Company Online")</f>
      </c>
    </row>
    <row r="2734">
      <c r="A2734" s="12" t="s">
        <v>14808</v>
      </c>
      <c r="B2734" s="12" t="s">
        <v>9431</v>
      </c>
      <c r="C2734" s="19" t="s">
        <v>36</v>
      </c>
      <c r="D2734" s="19" t="s">
        <v>36</v>
      </c>
      <c r="E2734" s="19" t="s">
        <v>36</v>
      </c>
      <c r="F2734" s="19" t="s">
        <v>36</v>
      </c>
      <c r="G2734" s="15" t="s">
        <v>326</v>
      </c>
      <c r="H2734" s="14">
        <v>13996.76</v>
      </c>
      <c r="I2734" s="18">
        <v>27.46</v>
      </c>
      <c r="J2734" s="12" t="s">
        <v>521</v>
      </c>
      <c r="K2734" s="13" t="s">
        <v>36</v>
      </c>
      <c r="L2734" s="15" t="s">
        <v>36</v>
      </c>
      <c r="M2734" s="12" t="s">
        <v>36</v>
      </c>
      <c r="N2734" s="12" t="s">
        <v>36</v>
      </c>
      <c r="O2734" s="17" t="s">
        <v>36</v>
      </c>
      <c r="P2734" s="12" t="s">
        <v>36</v>
      </c>
      <c r="Q2734" s="12" t="s">
        <v>36</v>
      </c>
      <c r="R2734" s="12" t="s">
        <v>36</v>
      </c>
      <c r="S2734" s="12" t="s">
        <v>36</v>
      </c>
      <c r="T2734" s="12" t="s">
        <v>4917</v>
      </c>
      <c r="U2734" s="12" t="s">
        <v>38</v>
      </c>
      <c r="V2734" s="12" t="s">
        <v>39</v>
      </c>
      <c r="W2734" s="12" t="s">
        <v>9432</v>
      </c>
      <c r="X2734" s="16" t="s">
        <v>14809</v>
      </c>
      <c r="Y2734" s="15" t="s">
        <v>108</v>
      </c>
      <c r="Z2734" s="14">
        <v>23.09</v>
      </c>
      <c r="AA2734" s="14">
        <v>63.07</v>
      </c>
      <c r="AB2734" s="12" t="s">
        <v>43</v>
      </c>
      <c r="AC2734" s="12" t="s">
        <v>9434</v>
      </c>
      <c r="AD2734" s="13">
        <v>44518</v>
      </c>
      <c r="AE2734" s="12" t="s">
        <v>134</v>
      </c>
      <c r="AF2734" s="12" t="s">
        <v>7730</v>
      </c>
      <c r="AG2734" s="12" t="s">
        <v>1369</v>
      </c>
      <c r="AH2734" s="1">
        <f>HYPERLINK("https://my.pitchbook.com?c=183691-54T","View Company Online")</f>
      </c>
    </row>
    <row r="2735">
      <c r="A2735" s="3" t="s">
        <v>14810</v>
      </c>
      <c r="B2735" s="3" t="s">
        <v>9938</v>
      </c>
      <c r="C2735" s="5" t="s">
        <v>36</v>
      </c>
      <c r="D2735" s="5" t="s">
        <v>36</v>
      </c>
      <c r="E2735" s="5" t="s">
        <v>36</v>
      </c>
      <c r="F2735" s="5" t="s">
        <v>36</v>
      </c>
      <c r="G2735" s="6" t="s">
        <v>36</v>
      </c>
      <c r="H2735" s="4">
        <v>830.85</v>
      </c>
      <c r="I2735" s="7" t="s">
        <v>36</v>
      </c>
      <c r="J2735" s="3" t="s">
        <v>36</v>
      </c>
      <c r="K2735" s="9" t="s">
        <v>36</v>
      </c>
      <c r="L2735" s="6" t="s">
        <v>36</v>
      </c>
      <c r="M2735" s="3" t="s">
        <v>36</v>
      </c>
      <c r="N2735" s="3" t="s">
        <v>36</v>
      </c>
      <c r="O2735" s="8" t="s">
        <v>36</v>
      </c>
      <c r="P2735" s="3" t="s">
        <v>36</v>
      </c>
      <c r="Q2735" s="3" t="s">
        <v>36</v>
      </c>
      <c r="R2735" s="3" t="s">
        <v>36</v>
      </c>
      <c r="S2735" s="3" t="s">
        <v>36</v>
      </c>
      <c r="T2735" s="3" t="s">
        <v>2405</v>
      </c>
      <c r="U2735" s="3" t="s">
        <v>648</v>
      </c>
      <c r="V2735" s="3" t="s">
        <v>64</v>
      </c>
      <c r="W2735" s="3" t="s">
        <v>9939</v>
      </c>
      <c r="X2735" s="10" t="s">
        <v>14811</v>
      </c>
      <c r="Y2735" s="6" t="s">
        <v>55</v>
      </c>
      <c r="Z2735" s="4">
        <v>1.15</v>
      </c>
      <c r="AA2735" s="4" t="s">
        <v>36</v>
      </c>
      <c r="AB2735" s="3" t="s">
        <v>56</v>
      </c>
      <c r="AC2735" s="3" t="s">
        <v>9941</v>
      </c>
      <c r="AD2735" s="9">
        <v>44518</v>
      </c>
      <c r="AE2735" s="3" t="s">
        <v>1897</v>
      </c>
      <c r="AF2735" s="3" t="s">
        <v>1115</v>
      </c>
      <c r="AG2735" s="3" t="s">
        <v>9942</v>
      </c>
      <c r="AH2735" s="11">
        <f>HYPERLINK("https://my.pitchbook.com?c=183634-75T","View Company Online")</f>
      </c>
    </row>
    <row r="2736">
      <c r="A2736" s="12" t="s">
        <v>14812</v>
      </c>
      <c r="B2736" s="12" t="s">
        <v>2212</v>
      </c>
      <c r="C2736" s="19">
        <v>5</v>
      </c>
      <c r="D2736" s="19">
        <v>6</v>
      </c>
      <c r="E2736" s="19">
        <v>4</v>
      </c>
      <c r="F2736" s="19">
        <v>11</v>
      </c>
      <c r="G2736" s="15" t="s">
        <v>36</v>
      </c>
      <c r="H2736" s="14" t="s">
        <v>36</v>
      </c>
      <c r="I2736" s="18" t="s">
        <v>36</v>
      </c>
      <c r="J2736" s="12" t="s">
        <v>36</v>
      </c>
      <c r="K2736" s="13" t="s">
        <v>36</v>
      </c>
      <c r="L2736" s="15" t="s">
        <v>36</v>
      </c>
      <c r="M2736" s="12" t="s">
        <v>36</v>
      </c>
      <c r="N2736" s="12" t="s">
        <v>36</v>
      </c>
      <c r="O2736" s="17" t="s">
        <v>36</v>
      </c>
      <c r="P2736" s="12" t="s">
        <v>36</v>
      </c>
      <c r="Q2736" s="12" t="s">
        <v>36</v>
      </c>
      <c r="R2736" s="12" t="s">
        <v>36</v>
      </c>
      <c r="S2736" s="12" t="s">
        <v>36</v>
      </c>
      <c r="T2736" s="12" t="s">
        <v>2213</v>
      </c>
      <c r="U2736" s="12" t="s">
        <v>219</v>
      </c>
      <c r="V2736" s="12" t="s">
        <v>75</v>
      </c>
      <c r="W2736" s="12" t="s">
        <v>2214</v>
      </c>
      <c r="X2736" s="16" t="s">
        <v>14813</v>
      </c>
      <c r="Y2736" s="15" t="s">
        <v>55</v>
      </c>
      <c r="Z2736" s="14">
        <v>1.27</v>
      </c>
      <c r="AA2736" s="14" t="s">
        <v>36</v>
      </c>
      <c r="AB2736" s="12" t="s">
        <v>43</v>
      </c>
      <c r="AC2736" s="12" t="s">
        <v>2216</v>
      </c>
      <c r="AD2736" s="13">
        <v>44518</v>
      </c>
      <c r="AE2736" s="12" t="s">
        <v>1912</v>
      </c>
      <c r="AF2736" s="12" t="s">
        <v>2217</v>
      </c>
      <c r="AG2736" s="12" t="s">
        <v>2218</v>
      </c>
      <c r="AH2736" s="1">
        <f>HYPERLINK("https://my.pitchbook.com?c=188993-44T","View Company Online")</f>
      </c>
    </row>
    <row r="2737">
      <c r="A2737" s="3" t="s">
        <v>14814</v>
      </c>
      <c r="B2737" s="3" t="s">
        <v>3576</v>
      </c>
      <c r="C2737" s="5">
        <v>1</v>
      </c>
      <c r="D2737" s="5">
        <v>2</v>
      </c>
      <c r="E2737" s="5">
        <v>1</v>
      </c>
      <c r="F2737" s="5">
        <v>3</v>
      </c>
      <c r="G2737" s="6" t="s">
        <v>36</v>
      </c>
      <c r="H2737" s="4" t="s">
        <v>36</v>
      </c>
      <c r="I2737" s="7" t="s">
        <v>36</v>
      </c>
      <c r="J2737" s="3" t="s">
        <v>36</v>
      </c>
      <c r="K2737" s="9" t="s">
        <v>36</v>
      </c>
      <c r="L2737" s="6" t="s">
        <v>36</v>
      </c>
      <c r="M2737" s="3" t="s">
        <v>36</v>
      </c>
      <c r="N2737" s="3" t="s">
        <v>36</v>
      </c>
      <c r="O2737" s="8" t="s">
        <v>36</v>
      </c>
      <c r="P2737" s="3" t="s">
        <v>36</v>
      </c>
      <c r="Q2737" s="3" t="s">
        <v>36</v>
      </c>
      <c r="R2737" s="3" t="s">
        <v>36</v>
      </c>
      <c r="S2737" s="3" t="s">
        <v>36</v>
      </c>
      <c r="T2737" s="3" t="s">
        <v>189</v>
      </c>
      <c r="U2737" s="3" t="s">
        <v>180</v>
      </c>
      <c r="V2737" s="3" t="s">
        <v>52</v>
      </c>
      <c r="W2737" s="3" t="s">
        <v>3577</v>
      </c>
      <c r="X2737" s="10" t="s">
        <v>14815</v>
      </c>
      <c r="Y2737" s="6" t="s">
        <v>108</v>
      </c>
      <c r="Z2737" s="4">
        <v>2.25</v>
      </c>
      <c r="AA2737" s="4" t="s">
        <v>36</v>
      </c>
      <c r="AB2737" s="3" t="s">
        <v>43</v>
      </c>
      <c r="AC2737" s="3" t="s">
        <v>3579</v>
      </c>
      <c r="AD2737" s="9">
        <v>44517</v>
      </c>
      <c r="AE2737" s="3" t="s">
        <v>184</v>
      </c>
      <c r="AF2737" s="3" t="s">
        <v>3580</v>
      </c>
      <c r="AG2737" s="3" t="s">
        <v>1276</v>
      </c>
      <c r="AH2737" s="11">
        <f>HYPERLINK("https://my.pitchbook.com?c=183675-34T","View Company Online")</f>
      </c>
    </row>
    <row r="2738">
      <c r="A2738" s="12" t="s">
        <v>14816</v>
      </c>
      <c r="B2738" s="12" t="s">
        <v>14817</v>
      </c>
      <c r="C2738" s="19" t="s">
        <v>36</v>
      </c>
      <c r="D2738" s="19" t="s">
        <v>36</v>
      </c>
      <c r="E2738" s="19" t="s">
        <v>36</v>
      </c>
      <c r="F2738" s="19" t="s">
        <v>36</v>
      </c>
      <c r="G2738" s="15" t="s">
        <v>36</v>
      </c>
      <c r="H2738" s="14">
        <v>5192.83</v>
      </c>
      <c r="I2738" s="18">
        <v>17.01</v>
      </c>
      <c r="J2738" s="12" t="s">
        <v>521</v>
      </c>
      <c r="K2738" s="13" t="s">
        <v>36</v>
      </c>
      <c r="L2738" s="15" t="s">
        <v>36</v>
      </c>
      <c r="M2738" s="12" t="s">
        <v>36</v>
      </c>
      <c r="N2738" s="12" t="s">
        <v>36</v>
      </c>
      <c r="O2738" s="17" t="s">
        <v>36</v>
      </c>
      <c r="P2738" s="12" t="s">
        <v>36</v>
      </c>
      <c r="Q2738" s="12" t="s">
        <v>36</v>
      </c>
      <c r="R2738" s="12" t="s">
        <v>36</v>
      </c>
      <c r="S2738" s="12" t="s">
        <v>36</v>
      </c>
      <c r="T2738" s="12" t="s">
        <v>4108</v>
      </c>
      <c r="U2738" s="12" t="s">
        <v>96</v>
      </c>
      <c r="V2738" s="12" t="s">
        <v>52</v>
      </c>
      <c r="W2738" s="12" t="s">
        <v>14818</v>
      </c>
      <c r="X2738" s="16" t="s">
        <v>14819</v>
      </c>
      <c r="Y2738" s="15" t="s">
        <v>42</v>
      </c>
      <c r="Z2738" s="14">
        <v>0.47</v>
      </c>
      <c r="AA2738" s="14">
        <v>2.79</v>
      </c>
      <c r="AB2738" s="12" t="s">
        <v>43</v>
      </c>
      <c r="AC2738" s="12" t="s">
        <v>14820</v>
      </c>
      <c r="AD2738" s="13">
        <v>44517</v>
      </c>
      <c r="AE2738" s="12" t="s">
        <v>755</v>
      </c>
      <c r="AF2738" s="12" t="s">
        <v>101</v>
      </c>
      <c r="AG2738" s="12" t="s">
        <v>81</v>
      </c>
      <c r="AH2738" s="1">
        <f>HYPERLINK("https://my.pitchbook.com?c=200949-49T","View Company Online")</f>
      </c>
    </row>
    <row r="2739">
      <c r="A2739" s="3" t="s">
        <v>14821</v>
      </c>
      <c r="B2739" s="3" t="s">
        <v>7173</v>
      </c>
      <c r="C2739" s="5" t="s">
        <v>36</v>
      </c>
      <c r="D2739" s="5" t="s">
        <v>36</v>
      </c>
      <c r="E2739" s="5" t="s">
        <v>36</v>
      </c>
      <c r="F2739" s="5" t="s">
        <v>36</v>
      </c>
      <c r="G2739" s="6" t="s">
        <v>36</v>
      </c>
      <c r="H2739" s="4" t="s">
        <v>36</v>
      </c>
      <c r="I2739" s="7">
        <v>28.32</v>
      </c>
      <c r="J2739" s="3" t="s">
        <v>327</v>
      </c>
      <c r="K2739" s="9">
        <v>44470</v>
      </c>
      <c r="L2739" s="6" t="s">
        <v>122</v>
      </c>
      <c r="M2739" s="3" t="s">
        <v>36</v>
      </c>
      <c r="N2739" s="3" t="s">
        <v>122</v>
      </c>
      <c r="O2739" s="8" t="s">
        <v>36</v>
      </c>
      <c r="P2739" s="3" t="s">
        <v>36</v>
      </c>
      <c r="Q2739" s="3" t="s">
        <v>36</v>
      </c>
      <c r="R2739" s="3" t="s">
        <v>36</v>
      </c>
      <c r="S2739" s="3" t="s">
        <v>36</v>
      </c>
      <c r="T2739" s="3" t="s">
        <v>550</v>
      </c>
      <c r="U2739" s="3" t="s">
        <v>38</v>
      </c>
      <c r="V2739" s="3" t="s">
        <v>39</v>
      </c>
      <c r="W2739" s="3" t="s">
        <v>7174</v>
      </c>
      <c r="X2739" s="10" t="s">
        <v>14822</v>
      </c>
      <c r="Y2739" s="6" t="s">
        <v>108</v>
      </c>
      <c r="Z2739" s="4">
        <v>3.06</v>
      </c>
      <c r="AA2739" s="4">
        <v>10.81</v>
      </c>
      <c r="AB2739" s="3" t="s">
        <v>43</v>
      </c>
      <c r="AC2739" s="3" t="s">
        <v>7176</v>
      </c>
      <c r="AD2739" s="9">
        <v>44516</v>
      </c>
      <c r="AE2739" s="3" t="s">
        <v>554</v>
      </c>
      <c r="AF2739" s="3" t="s">
        <v>7177</v>
      </c>
      <c r="AG2739" s="3" t="s">
        <v>47</v>
      </c>
      <c r="AH2739" s="11">
        <f>HYPERLINK("https://my.pitchbook.com?c=181325-89T","View Company Online")</f>
      </c>
    </row>
    <row r="2740">
      <c r="A2740" s="12" t="s">
        <v>14823</v>
      </c>
      <c r="B2740" s="12" t="s">
        <v>5613</v>
      </c>
      <c r="C2740" s="19">
        <v>11</v>
      </c>
      <c r="D2740" s="19">
        <v>4</v>
      </c>
      <c r="E2740" s="19">
        <v>8</v>
      </c>
      <c r="F2740" s="19">
        <v>16</v>
      </c>
      <c r="G2740" s="15" t="s">
        <v>326</v>
      </c>
      <c r="H2740" s="14">
        <v>63.28</v>
      </c>
      <c r="I2740" s="18">
        <v>27.22</v>
      </c>
      <c r="J2740" s="12" t="s">
        <v>521</v>
      </c>
      <c r="K2740" s="13" t="s">
        <v>36</v>
      </c>
      <c r="L2740" s="15" t="s">
        <v>122</v>
      </c>
      <c r="M2740" s="12" t="s">
        <v>36</v>
      </c>
      <c r="N2740" s="12" t="s">
        <v>122</v>
      </c>
      <c r="O2740" s="17" t="s">
        <v>36</v>
      </c>
      <c r="P2740" s="12" t="s">
        <v>36</v>
      </c>
      <c r="Q2740" s="12" t="s">
        <v>36</v>
      </c>
      <c r="R2740" s="12" t="s">
        <v>36</v>
      </c>
      <c r="S2740" s="12" t="s">
        <v>316</v>
      </c>
      <c r="T2740" s="12" t="s">
        <v>5614</v>
      </c>
      <c r="U2740" s="12" t="s">
        <v>318</v>
      </c>
      <c r="V2740" s="12" t="s">
        <v>39</v>
      </c>
      <c r="W2740" s="12" t="s">
        <v>5615</v>
      </c>
      <c r="X2740" s="16" t="s">
        <v>14824</v>
      </c>
      <c r="Y2740" s="15" t="s">
        <v>108</v>
      </c>
      <c r="Z2740" s="14">
        <v>17.35</v>
      </c>
      <c r="AA2740" s="14">
        <v>42.91</v>
      </c>
      <c r="AB2740" s="12" t="s">
        <v>43</v>
      </c>
      <c r="AC2740" s="12" t="s">
        <v>5617</v>
      </c>
      <c r="AD2740" s="13">
        <v>44516</v>
      </c>
      <c r="AE2740" s="12" t="s">
        <v>417</v>
      </c>
      <c r="AF2740" s="12" t="s">
        <v>5618</v>
      </c>
      <c r="AG2740" s="12" t="s">
        <v>2542</v>
      </c>
      <c r="AH2740" s="1">
        <f>HYPERLINK("https://my.pitchbook.com?c=183720-97T","View Company Online")</f>
      </c>
    </row>
    <row r="2741">
      <c r="A2741" s="3" t="s">
        <v>14825</v>
      </c>
      <c r="B2741" s="3" t="s">
        <v>14826</v>
      </c>
      <c r="C2741" s="5" t="s">
        <v>36</v>
      </c>
      <c r="D2741" s="5" t="s">
        <v>36</v>
      </c>
      <c r="E2741" s="5" t="s">
        <v>36</v>
      </c>
      <c r="F2741" s="5" t="s">
        <v>36</v>
      </c>
      <c r="G2741" s="6" t="s">
        <v>36</v>
      </c>
      <c r="H2741" s="4" t="s">
        <v>36</v>
      </c>
      <c r="I2741" s="7" t="s">
        <v>36</v>
      </c>
      <c r="J2741" s="3" t="s">
        <v>36</v>
      </c>
      <c r="K2741" s="9" t="s">
        <v>36</v>
      </c>
      <c r="L2741" s="6" t="s">
        <v>36</v>
      </c>
      <c r="M2741" s="3" t="s">
        <v>36</v>
      </c>
      <c r="N2741" s="3" t="s">
        <v>36</v>
      </c>
      <c r="O2741" s="8" t="s">
        <v>36</v>
      </c>
      <c r="P2741" s="3" t="s">
        <v>36</v>
      </c>
      <c r="Q2741" s="3" t="s">
        <v>36</v>
      </c>
      <c r="R2741" s="3" t="s">
        <v>36</v>
      </c>
      <c r="S2741" s="3" t="s">
        <v>36</v>
      </c>
      <c r="T2741" s="3" t="s">
        <v>2736</v>
      </c>
      <c r="U2741" s="3" t="s">
        <v>51</v>
      </c>
      <c r="V2741" s="3" t="s">
        <v>52</v>
      </c>
      <c r="W2741" s="3" t="s">
        <v>14827</v>
      </c>
      <c r="X2741" s="10" t="s">
        <v>730</v>
      </c>
      <c r="Y2741" s="6" t="s">
        <v>42</v>
      </c>
      <c r="Z2741" s="4">
        <v>3.01</v>
      </c>
      <c r="AA2741" s="4" t="s">
        <v>36</v>
      </c>
      <c r="AB2741" s="3" t="s">
        <v>43</v>
      </c>
      <c r="AC2741" s="3" t="s">
        <v>14828</v>
      </c>
      <c r="AD2741" s="9">
        <v>44515</v>
      </c>
      <c r="AE2741" s="3" t="s">
        <v>2740</v>
      </c>
      <c r="AF2741" s="3" t="s">
        <v>665</v>
      </c>
      <c r="AG2741" s="3" t="s">
        <v>899</v>
      </c>
      <c r="AH2741" s="11">
        <f>HYPERLINK("https://my.pitchbook.com?c=244610-92T","View Company Online")</f>
      </c>
    </row>
    <row r="2742">
      <c r="A2742" s="12" t="s">
        <v>14829</v>
      </c>
      <c r="B2742" s="12" t="s">
        <v>14830</v>
      </c>
      <c r="C2742" s="19" t="s">
        <v>36</v>
      </c>
      <c r="D2742" s="19" t="s">
        <v>36</v>
      </c>
      <c r="E2742" s="19" t="s">
        <v>36</v>
      </c>
      <c r="F2742" s="19" t="s">
        <v>36</v>
      </c>
      <c r="G2742" s="15" t="s">
        <v>36</v>
      </c>
      <c r="H2742" s="14" t="s">
        <v>36</v>
      </c>
      <c r="I2742" s="18" t="s">
        <v>36</v>
      </c>
      <c r="J2742" s="12" t="s">
        <v>36</v>
      </c>
      <c r="K2742" s="13">
        <v>44484</v>
      </c>
      <c r="L2742" s="15" t="s">
        <v>1279</v>
      </c>
      <c r="M2742" s="12" t="s">
        <v>36</v>
      </c>
      <c r="N2742" s="12" t="s">
        <v>1279</v>
      </c>
      <c r="O2742" s="17" t="s">
        <v>36</v>
      </c>
      <c r="P2742" s="12" t="s">
        <v>36</v>
      </c>
      <c r="Q2742" s="12" t="s">
        <v>36</v>
      </c>
      <c r="R2742" s="12" t="s">
        <v>36</v>
      </c>
      <c r="S2742" s="12" t="s">
        <v>36</v>
      </c>
      <c r="T2742" s="12" t="s">
        <v>5696</v>
      </c>
      <c r="U2742" s="12" t="s">
        <v>180</v>
      </c>
      <c r="V2742" s="12" t="s">
        <v>52</v>
      </c>
      <c r="W2742" s="12" t="s">
        <v>14831</v>
      </c>
      <c r="X2742" s="16" t="s">
        <v>14832</v>
      </c>
      <c r="Y2742" s="15" t="s">
        <v>192</v>
      </c>
      <c r="Z2742" s="14">
        <v>57.87</v>
      </c>
      <c r="AA2742" s="14" t="s">
        <v>36</v>
      </c>
      <c r="AB2742" s="12" t="s">
        <v>56</v>
      </c>
      <c r="AC2742" s="12" t="s">
        <v>14833</v>
      </c>
      <c r="AD2742" s="13">
        <v>44515</v>
      </c>
      <c r="AE2742" s="12" t="s">
        <v>3847</v>
      </c>
      <c r="AF2742" s="12" t="s">
        <v>101</v>
      </c>
      <c r="AG2742" s="12" t="s">
        <v>81</v>
      </c>
      <c r="AH2742" s="1">
        <f>HYPERLINK("https://my.pitchbook.com?c=183458-26T","View Company Online")</f>
      </c>
    </row>
    <row r="2743">
      <c r="A2743" s="3" t="s">
        <v>14834</v>
      </c>
      <c r="B2743" s="3" t="s">
        <v>3735</v>
      </c>
      <c r="C2743" s="5" t="s">
        <v>36</v>
      </c>
      <c r="D2743" s="5" t="s">
        <v>36</v>
      </c>
      <c r="E2743" s="5" t="s">
        <v>36</v>
      </c>
      <c r="F2743" s="5" t="s">
        <v>36</v>
      </c>
      <c r="G2743" s="6" t="s">
        <v>326</v>
      </c>
      <c r="H2743" s="4">
        <v>1.86</v>
      </c>
      <c r="I2743" s="7">
        <v>17.52</v>
      </c>
      <c r="J2743" s="3" t="s">
        <v>521</v>
      </c>
      <c r="K2743" s="9">
        <v>44377</v>
      </c>
      <c r="L2743" s="6" t="s">
        <v>94</v>
      </c>
      <c r="M2743" s="3" t="s">
        <v>36</v>
      </c>
      <c r="N2743" s="3" t="s">
        <v>94</v>
      </c>
      <c r="O2743" s="8" t="s">
        <v>36</v>
      </c>
      <c r="P2743" s="3" t="s">
        <v>36</v>
      </c>
      <c r="Q2743" s="3" t="s">
        <v>36</v>
      </c>
      <c r="R2743" s="3" t="s">
        <v>36</v>
      </c>
      <c r="S2743" s="3" t="s">
        <v>36</v>
      </c>
      <c r="T2743" s="3" t="s">
        <v>522</v>
      </c>
      <c r="U2743" s="3" t="s">
        <v>38</v>
      </c>
      <c r="V2743" s="3" t="s">
        <v>39</v>
      </c>
      <c r="W2743" s="3" t="s">
        <v>3737</v>
      </c>
      <c r="X2743" s="10" t="s">
        <v>14835</v>
      </c>
      <c r="Y2743" s="6" t="s">
        <v>55</v>
      </c>
      <c r="Z2743" s="4">
        <v>72.92</v>
      </c>
      <c r="AA2743" s="4">
        <v>416.3</v>
      </c>
      <c r="AB2743" s="3" t="s">
        <v>43</v>
      </c>
      <c r="AC2743" s="3" t="s">
        <v>3739</v>
      </c>
      <c r="AD2743" s="9">
        <v>44515</v>
      </c>
      <c r="AE2743" s="3" t="s">
        <v>110</v>
      </c>
      <c r="AF2743" s="3" t="s">
        <v>3740</v>
      </c>
      <c r="AG2743" s="3" t="s">
        <v>81</v>
      </c>
      <c r="AH2743" s="11">
        <f>HYPERLINK("https://my.pitchbook.com?c=183421-81T","View Company Online")</f>
      </c>
    </row>
    <row r="2744">
      <c r="A2744" s="12" t="s">
        <v>14836</v>
      </c>
      <c r="B2744" s="12" t="s">
        <v>14837</v>
      </c>
      <c r="C2744" s="19" t="s">
        <v>36</v>
      </c>
      <c r="D2744" s="19" t="s">
        <v>36</v>
      </c>
      <c r="E2744" s="19" t="s">
        <v>36</v>
      </c>
      <c r="F2744" s="19" t="s">
        <v>36</v>
      </c>
      <c r="G2744" s="15" t="s">
        <v>36</v>
      </c>
      <c r="H2744" s="14">
        <v>31.16</v>
      </c>
      <c r="I2744" s="18">
        <v>24.98</v>
      </c>
      <c r="J2744" s="12" t="s">
        <v>521</v>
      </c>
      <c r="K2744" s="13" t="s">
        <v>36</v>
      </c>
      <c r="L2744" s="15" t="s">
        <v>36</v>
      </c>
      <c r="M2744" s="12" t="s">
        <v>36</v>
      </c>
      <c r="N2744" s="12" t="s">
        <v>36</v>
      </c>
      <c r="O2744" s="17" t="s">
        <v>36</v>
      </c>
      <c r="P2744" s="12" t="s">
        <v>36</v>
      </c>
      <c r="Q2744" s="12" t="s">
        <v>36</v>
      </c>
      <c r="R2744" s="12" t="s">
        <v>36</v>
      </c>
      <c r="S2744" s="12" t="s">
        <v>36</v>
      </c>
      <c r="T2744" s="12" t="s">
        <v>14838</v>
      </c>
      <c r="U2744" s="12" t="s">
        <v>38</v>
      </c>
      <c r="V2744" s="12" t="s">
        <v>39</v>
      </c>
      <c r="W2744" s="12" t="s">
        <v>14839</v>
      </c>
      <c r="X2744" s="16" t="s">
        <v>14840</v>
      </c>
      <c r="Y2744" s="15" t="s">
        <v>42</v>
      </c>
      <c r="Z2744" s="14">
        <v>1.16</v>
      </c>
      <c r="AA2744" s="14">
        <v>4.63</v>
      </c>
      <c r="AB2744" s="12" t="s">
        <v>43</v>
      </c>
      <c r="AC2744" s="12" t="s">
        <v>14841</v>
      </c>
      <c r="AD2744" s="13">
        <v>44512</v>
      </c>
      <c r="AE2744" s="12" t="s">
        <v>110</v>
      </c>
      <c r="AF2744" s="12" t="s">
        <v>4200</v>
      </c>
      <c r="AG2744" s="12" t="s">
        <v>5295</v>
      </c>
      <c r="AH2744" s="1">
        <f>HYPERLINK("https://my.pitchbook.com?c=183381-85T","View Company Online")</f>
      </c>
    </row>
    <row r="2745">
      <c r="A2745" s="3" t="s">
        <v>14842</v>
      </c>
      <c r="B2745" s="3" t="s">
        <v>14843</v>
      </c>
      <c r="C2745" s="5" t="s">
        <v>36</v>
      </c>
      <c r="D2745" s="5" t="s">
        <v>36</v>
      </c>
      <c r="E2745" s="5" t="s">
        <v>36</v>
      </c>
      <c r="F2745" s="5" t="s">
        <v>36</v>
      </c>
      <c r="G2745" s="6" t="s">
        <v>326</v>
      </c>
      <c r="H2745" s="4">
        <v>54.73</v>
      </c>
      <c r="I2745" s="7">
        <v>27.62</v>
      </c>
      <c r="J2745" s="3" t="s">
        <v>521</v>
      </c>
      <c r="K2745" s="9" t="s">
        <v>36</v>
      </c>
      <c r="L2745" s="6" t="s">
        <v>94</v>
      </c>
      <c r="M2745" s="3" t="s">
        <v>36</v>
      </c>
      <c r="N2745" s="3" t="s">
        <v>94</v>
      </c>
      <c r="O2745" s="8" t="s">
        <v>36</v>
      </c>
      <c r="P2745" s="3" t="s">
        <v>36</v>
      </c>
      <c r="Q2745" s="3" t="s">
        <v>36</v>
      </c>
      <c r="R2745" s="3" t="s">
        <v>36</v>
      </c>
      <c r="S2745" s="3" t="s">
        <v>36</v>
      </c>
      <c r="T2745" s="3" t="s">
        <v>14844</v>
      </c>
      <c r="U2745" s="3" t="s">
        <v>63</v>
      </c>
      <c r="V2745" s="3" t="s">
        <v>64</v>
      </c>
      <c r="W2745" s="3" t="s">
        <v>14845</v>
      </c>
      <c r="X2745" s="10" t="s">
        <v>14846</v>
      </c>
      <c r="Y2745" s="6" t="s">
        <v>192</v>
      </c>
      <c r="Z2745" s="4">
        <v>69.54</v>
      </c>
      <c r="AA2745" s="4">
        <v>172.78</v>
      </c>
      <c r="AB2745" s="3" t="s">
        <v>43</v>
      </c>
      <c r="AC2745" s="3" t="s">
        <v>14847</v>
      </c>
      <c r="AD2745" s="9">
        <v>44512</v>
      </c>
      <c r="AE2745" s="3" t="s">
        <v>68</v>
      </c>
      <c r="AF2745" s="3" t="s">
        <v>90</v>
      </c>
      <c r="AG2745" s="3" t="s">
        <v>332</v>
      </c>
      <c r="AH2745" s="11">
        <f>HYPERLINK("https://my.pitchbook.com?c=183705-31T","View Company Online")</f>
      </c>
    </row>
    <row r="2746">
      <c r="A2746" s="12" t="s">
        <v>14848</v>
      </c>
      <c r="B2746" s="12" t="s">
        <v>14849</v>
      </c>
      <c r="C2746" s="19" t="s">
        <v>36</v>
      </c>
      <c r="D2746" s="19">
        <v>3</v>
      </c>
      <c r="E2746" s="19">
        <v>1</v>
      </c>
      <c r="F2746" s="19">
        <v>6</v>
      </c>
      <c r="G2746" s="15" t="s">
        <v>36</v>
      </c>
      <c r="H2746" s="14" t="s">
        <v>36</v>
      </c>
      <c r="I2746" s="18" t="s">
        <v>36</v>
      </c>
      <c r="J2746" s="12" t="s">
        <v>36</v>
      </c>
      <c r="K2746" s="13" t="s">
        <v>36</v>
      </c>
      <c r="L2746" s="15" t="s">
        <v>36</v>
      </c>
      <c r="M2746" s="12" t="s">
        <v>36</v>
      </c>
      <c r="N2746" s="12" t="s">
        <v>36</v>
      </c>
      <c r="O2746" s="17" t="s">
        <v>36</v>
      </c>
      <c r="P2746" s="12" t="s">
        <v>36</v>
      </c>
      <c r="Q2746" s="12" t="s">
        <v>36</v>
      </c>
      <c r="R2746" s="12" t="s">
        <v>36</v>
      </c>
      <c r="S2746" s="12" t="s">
        <v>36</v>
      </c>
      <c r="T2746" s="12" t="s">
        <v>818</v>
      </c>
      <c r="U2746" s="12" t="s">
        <v>74</v>
      </c>
      <c r="V2746" s="12" t="s">
        <v>75</v>
      </c>
      <c r="W2746" s="12" t="s">
        <v>14850</v>
      </c>
      <c r="X2746" s="16" t="s">
        <v>8667</v>
      </c>
      <c r="Y2746" s="15" t="s">
        <v>192</v>
      </c>
      <c r="Z2746" s="14">
        <v>24.35</v>
      </c>
      <c r="AA2746" s="14" t="s">
        <v>36</v>
      </c>
      <c r="AB2746" s="12" t="s">
        <v>56</v>
      </c>
      <c r="AC2746" s="12" t="s">
        <v>14851</v>
      </c>
      <c r="AD2746" s="13">
        <v>44510</v>
      </c>
      <c r="AE2746" s="12" t="s">
        <v>570</v>
      </c>
      <c r="AF2746" s="12" t="s">
        <v>14852</v>
      </c>
      <c r="AG2746" s="12" t="s">
        <v>14853</v>
      </c>
      <c r="AH2746" s="1">
        <f>HYPERLINK("https://my.pitchbook.com?c=186076-63T","View Company Online")</f>
      </c>
    </row>
    <row r="2747">
      <c r="A2747" s="3" t="s">
        <v>14854</v>
      </c>
      <c r="B2747" s="3" t="s">
        <v>8233</v>
      </c>
      <c r="C2747" s="5" t="s">
        <v>36</v>
      </c>
      <c r="D2747" s="5" t="s">
        <v>36</v>
      </c>
      <c r="E2747" s="5" t="s">
        <v>36</v>
      </c>
      <c r="F2747" s="5" t="s">
        <v>36</v>
      </c>
      <c r="G2747" s="6" t="s">
        <v>36</v>
      </c>
      <c r="H2747" s="4" t="s">
        <v>36</v>
      </c>
      <c r="I2747" s="7" t="s">
        <v>36</v>
      </c>
      <c r="J2747" s="3" t="s">
        <v>36</v>
      </c>
      <c r="K2747" s="9" t="s">
        <v>36</v>
      </c>
      <c r="L2747" s="6" t="s">
        <v>122</v>
      </c>
      <c r="M2747" s="3" t="s">
        <v>36</v>
      </c>
      <c r="N2747" s="3" t="s">
        <v>122</v>
      </c>
      <c r="O2747" s="8" t="s">
        <v>36</v>
      </c>
      <c r="P2747" s="3" t="s">
        <v>36</v>
      </c>
      <c r="Q2747" s="3" t="s">
        <v>36</v>
      </c>
      <c r="R2747" s="3" t="s">
        <v>36</v>
      </c>
      <c r="S2747" s="3" t="s">
        <v>36</v>
      </c>
      <c r="T2747" s="3" t="s">
        <v>8234</v>
      </c>
      <c r="U2747" s="3" t="s">
        <v>387</v>
      </c>
      <c r="V2747" s="3" t="s">
        <v>367</v>
      </c>
      <c r="W2747" s="3" t="s">
        <v>8235</v>
      </c>
      <c r="X2747" s="10" t="s">
        <v>14855</v>
      </c>
      <c r="Y2747" s="6" t="s">
        <v>42</v>
      </c>
      <c r="Z2747" s="4">
        <v>5.68</v>
      </c>
      <c r="AA2747" s="4" t="s">
        <v>36</v>
      </c>
      <c r="AB2747" s="3" t="s">
        <v>43</v>
      </c>
      <c r="AC2747" s="3" t="s">
        <v>8237</v>
      </c>
      <c r="AD2747" s="9">
        <v>44509</v>
      </c>
      <c r="AE2747" s="3" t="s">
        <v>8238</v>
      </c>
      <c r="AF2747" s="3" t="s">
        <v>8239</v>
      </c>
      <c r="AG2747" s="3" t="s">
        <v>4796</v>
      </c>
      <c r="AH2747" s="11">
        <f>HYPERLINK("https://my.pitchbook.com?c=183161-98T","View Company Online")</f>
      </c>
    </row>
    <row r="2748">
      <c r="A2748" s="12" t="s">
        <v>14856</v>
      </c>
      <c r="B2748" s="12" t="s">
        <v>6318</v>
      </c>
      <c r="C2748" s="19" t="s">
        <v>36</v>
      </c>
      <c r="D2748" s="19" t="s">
        <v>36</v>
      </c>
      <c r="E2748" s="19" t="s">
        <v>36</v>
      </c>
      <c r="F2748" s="19" t="s">
        <v>36</v>
      </c>
      <c r="G2748" s="15" t="s">
        <v>36</v>
      </c>
      <c r="H2748" s="14">
        <v>17.66</v>
      </c>
      <c r="I2748" s="18">
        <v>22.73</v>
      </c>
      <c r="J2748" s="12" t="s">
        <v>521</v>
      </c>
      <c r="K2748" s="13" t="s">
        <v>36</v>
      </c>
      <c r="L2748" s="15" t="s">
        <v>36</v>
      </c>
      <c r="M2748" s="12" t="s">
        <v>36</v>
      </c>
      <c r="N2748" s="12" t="s">
        <v>36</v>
      </c>
      <c r="O2748" s="17" t="s">
        <v>36</v>
      </c>
      <c r="P2748" s="12" t="s">
        <v>36</v>
      </c>
      <c r="Q2748" s="12" t="s">
        <v>36</v>
      </c>
      <c r="R2748" s="12" t="s">
        <v>36</v>
      </c>
      <c r="S2748" s="12" t="s">
        <v>36</v>
      </c>
      <c r="T2748" s="12" t="s">
        <v>6319</v>
      </c>
      <c r="U2748" s="12" t="s">
        <v>956</v>
      </c>
      <c r="V2748" s="12" t="s">
        <v>405</v>
      </c>
      <c r="W2748" s="12" t="s">
        <v>6320</v>
      </c>
      <c r="X2748" s="16" t="s">
        <v>14857</v>
      </c>
      <c r="Y2748" s="15" t="s">
        <v>42</v>
      </c>
      <c r="Z2748" s="14">
        <v>0.58</v>
      </c>
      <c r="AA2748" s="14">
        <v>2.55</v>
      </c>
      <c r="AB2748" s="12" t="s">
        <v>43</v>
      </c>
      <c r="AC2748" s="12" t="s">
        <v>6322</v>
      </c>
      <c r="AD2748" s="13">
        <v>44509</v>
      </c>
      <c r="AE2748" s="12" t="s">
        <v>6323</v>
      </c>
      <c r="AF2748" s="12" t="s">
        <v>2054</v>
      </c>
      <c r="AG2748" s="12" t="s">
        <v>47</v>
      </c>
      <c r="AH2748" s="1">
        <f>HYPERLINK("https://my.pitchbook.com?c=183346-75T","View Company Online")</f>
      </c>
    </row>
    <row r="2749">
      <c r="A2749" s="3" t="s">
        <v>14858</v>
      </c>
      <c r="B2749" s="3" t="s">
        <v>12529</v>
      </c>
      <c r="C2749" s="5" t="s">
        <v>36</v>
      </c>
      <c r="D2749" s="5" t="s">
        <v>36</v>
      </c>
      <c r="E2749" s="5" t="s">
        <v>36</v>
      </c>
      <c r="F2749" s="5" t="s">
        <v>36</v>
      </c>
      <c r="G2749" s="6" t="s">
        <v>36</v>
      </c>
      <c r="H2749" s="4" t="s">
        <v>36</v>
      </c>
      <c r="I2749" s="7" t="s">
        <v>36</v>
      </c>
      <c r="J2749" s="3" t="s">
        <v>36</v>
      </c>
      <c r="K2749" s="9" t="s">
        <v>36</v>
      </c>
      <c r="L2749" s="6" t="s">
        <v>36</v>
      </c>
      <c r="M2749" s="3" t="s">
        <v>36</v>
      </c>
      <c r="N2749" s="3" t="s">
        <v>36</v>
      </c>
      <c r="O2749" s="8" t="s">
        <v>36</v>
      </c>
      <c r="P2749" s="3" t="s">
        <v>36</v>
      </c>
      <c r="Q2749" s="3" t="s">
        <v>36</v>
      </c>
      <c r="R2749" s="3" t="s">
        <v>36</v>
      </c>
      <c r="S2749" s="3" t="s">
        <v>36</v>
      </c>
      <c r="T2749" s="3" t="s">
        <v>12530</v>
      </c>
      <c r="U2749" s="3" t="s">
        <v>63</v>
      </c>
      <c r="V2749" s="3" t="s">
        <v>64</v>
      </c>
      <c r="W2749" s="3" t="s">
        <v>12531</v>
      </c>
      <c r="X2749" s="10" t="s">
        <v>14859</v>
      </c>
      <c r="Y2749" s="6" t="s">
        <v>108</v>
      </c>
      <c r="Z2749" s="4" t="s">
        <v>36</v>
      </c>
      <c r="AA2749" s="4" t="s">
        <v>36</v>
      </c>
      <c r="AB2749" s="3" t="s">
        <v>43</v>
      </c>
      <c r="AC2749" s="3" t="s">
        <v>12533</v>
      </c>
      <c r="AD2749" s="9">
        <v>44509</v>
      </c>
      <c r="AE2749" s="3" t="s">
        <v>4310</v>
      </c>
      <c r="AF2749" s="3" t="s">
        <v>4903</v>
      </c>
      <c r="AG2749" s="3" t="s">
        <v>332</v>
      </c>
      <c r="AH2749" s="11">
        <f>HYPERLINK("https://my.pitchbook.com?c=184421-53T","View Company Online")</f>
      </c>
    </row>
    <row r="2750">
      <c r="A2750" s="12" t="s">
        <v>14860</v>
      </c>
      <c r="B2750" s="12" t="s">
        <v>8128</v>
      </c>
      <c r="C2750" s="19">
        <v>4</v>
      </c>
      <c r="D2750" s="19">
        <v>33</v>
      </c>
      <c r="E2750" s="19">
        <v>9</v>
      </c>
      <c r="F2750" s="19">
        <v>45</v>
      </c>
      <c r="G2750" s="15" t="s">
        <v>683</v>
      </c>
      <c r="H2750" s="14">
        <v>104.39</v>
      </c>
      <c r="I2750" s="18">
        <v>24.4</v>
      </c>
      <c r="J2750" s="12" t="s">
        <v>521</v>
      </c>
      <c r="K2750" s="13">
        <v>43928</v>
      </c>
      <c r="L2750" s="15" t="s">
        <v>94</v>
      </c>
      <c r="M2750" s="12" t="s">
        <v>36</v>
      </c>
      <c r="N2750" s="12" t="s">
        <v>94</v>
      </c>
      <c r="O2750" s="17" t="s">
        <v>36</v>
      </c>
      <c r="P2750" s="12" t="s">
        <v>36</v>
      </c>
      <c r="Q2750" s="12" t="s">
        <v>36</v>
      </c>
      <c r="R2750" s="12" t="s">
        <v>36</v>
      </c>
      <c r="S2750" s="12" t="s">
        <v>36</v>
      </c>
      <c r="T2750" s="12" t="s">
        <v>2176</v>
      </c>
      <c r="U2750" s="12" t="s">
        <v>51</v>
      </c>
      <c r="V2750" s="12" t="s">
        <v>52</v>
      </c>
      <c r="W2750" s="12" t="s">
        <v>8129</v>
      </c>
      <c r="X2750" s="16" t="s">
        <v>14861</v>
      </c>
      <c r="Y2750" s="15" t="s">
        <v>1067</v>
      </c>
      <c r="Z2750" s="14">
        <v>17.39</v>
      </c>
      <c r="AA2750" s="14">
        <v>54.67</v>
      </c>
      <c r="AB2750" s="12" t="s">
        <v>56</v>
      </c>
      <c r="AC2750" s="12" t="s">
        <v>8131</v>
      </c>
      <c r="AD2750" s="13">
        <v>44509</v>
      </c>
      <c r="AE2750" s="12" t="s">
        <v>158</v>
      </c>
      <c r="AF2750" s="12" t="s">
        <v>8132</v>
      </c>
      <c r="AG2750" s="12" t="s">
        <v>81</v>
      </c>
      <c r="AH2750" s="1">
        <f>HYPERLINK("https://my.pitchbook.com?c=140322-97T","View Company Online")</f>
      </c>
    </row>
    <row r="2751">
      <c r="A2751" s="3" t="s">
        <v>14862</v>
      </c>
      <c r="B2751" s="3" t="s">
        <v>14863</v>
      </c>
      <c r="C2751" s="5" t="s">
        <v>36</v>
      </c>
      <c r="D2751" s="5" t="s">
        <v>36</v>
      </c>
      <c r="E2751" s="5" t="s">
        <v>36</v>
      </c>
      <c r="F2751" s="5" t="s">
        <v>36</v>
      </c>
      <c r="G2751" s="6" t="s">
        <v>326</v>
      </c>
      <c r="H2751" s="4">
        <v>98.44</v>
      </c>
      <c r="I2751" s="7">
        <v>8.47</v>
      </c>
      <c r="J2751" s="3" t="s">
        <v>521</v>
      </c>
      <c r="K2751" s="9" t="s">
        <v>36</v>
      </c>
      <c r="L2751" s="6" t="s">
        <v>36</v>
      </c>
      <c r="M2751" s="3" t="s">
        <v>36</v>
      </c>
      <c r="N2751" s="3" t="s">
        <v>36</v>
      </c>
      <c r="O2751" s="8" t="s">
        <v>36</v>
      </c>
      <c r="P2751" s="3" t="s">
        <v>36</v>
      </c>
      <c r="Q2751" s="3" t="s">
        <v>36</v>
      </c>
      <c r="R2751" s="3" t="s">
        <v>36</v>
      </c>
      <c r="S2751" s="3" t="s">
        <v>36</v>
      </c>
      <c r="T2751" s="3" t="s">
        <v>4640</v>
      </c>
      <c r="U2751" s="3" t="s">
        <v>833</v>
      </c>
      <c r="V2751" s="3" t="s">
        <v>64</v>
      </c>
      <c r="W2751" s="3" t="s">
        <v>14864</v>
      </c>
      <c r="X2751" s="10" t="s">
        <v>9323</v>
      </c>
      <c r="Y2751" s="6" t="s">
        <v>108</v>
      </c>
      <c r="Z2751" s="4">
        <v>0.62</v>
      </c>
      <c r="AA2751" s="4">
        <v>7.29</v>
      </c>
      <c r="AB2751" s="3" t="s">
        <v>56</v>
      </c>
      <c r="AC2751" s="3" t="s">
        <v>14865</v>
      </c>
      <c r="AD2751" s="9">
        <v>44509</v>
      </c>
      <c r="AE2751" s="3" t="s">
        <v>1687</v>
      </c>
      <c r="AF2751" s="3" t="s">
        <v>36</v>
      </c>
      <c r="AG2751" s="3" t="s">
        <v>9344</v>
      </c>
      <c r="AH2751" s="11">
        <f>HYPERLINK("https://my.pitchbook.com?c=212929-84T","View Company Online")</f>
      </c>
    </row>
    <row r="2752">
      <c r="A2752" s="12" t="s">
        <v>14866</v>
      </c>
      <c r="B2752" s="12" t="s">
        <v>14867</v>
      </c>
      <c r="C2752" s="19" t="s">
        <v>36</v>
      </c>
      <c r="D2752" s="19" t="s">
        <v>36</v>
      </c>
      <c r="E2752" s="19" t="s">
        <v>36</v>
      </c>
      <c r="F2752" s="19" t="s">
        <v>36</v>
      </c>
      <c r="G2752" s="15" t="s">
        <v>36</v>
      </c>
      <c r="H2752" s="14">
        <v>3.81</v>
      </c>
      <c r="I2752" s="18">
        <v>15.67</v>
      </c>
      <c r="J2752" s="12" t="s">
        <v>521</v>
      </c>
      <c r="K2752" s="13" t="s">
        <v>36</v>
      </c>
      <c r="L2752" s="15" t="s">
        <v>36</v>
      </c>
      <c r="M2752" s="12" t="s">
        <v>36</v>
      </c>
      <c r="N2752" s="12" t="s">
        <v>36</v>
      </c>
      <c r="O2752" s="17" t="s">
        <v>36</v>
      </c>
      <c r="P2752" s="12" t="s">
        <v>36</v>
      </c>
      <c r="Q2752" s="12" t="s">
        <v>36</v>
      </c>
      <c r="R2752" s="12" t="s">
        <v>36</v>
      </c>
      <c r="S2752" s="12" t="s">
        <v>36</v>
      </c>
      <c r="T2752" s="12" t="s">
        <v>115</v>
      </c>
      <c r="U2752" s="12" t="s">
        <v>63</v>
      </c>
      <c r="V2752" s="12" t="s">
        <v>64</v>
      </c>
      <c r="W2752" s="12" t="s">
        <v>14868</v>
      </c>
      <c r="X2752" s="16" t="s">
        <v>14869</v>
      </c>
      <c r="Y2752" s="15" t="s">
        <v>55</v>
      </c>
      <c r="Z2752" s="14">
        <v>2.32</v>
      </c>
      <c r="AA2752" s="14">
        <v>8.03</v>
      </c>
      <c r="AB2752" s="12" t="s">
        <v>43</v>
      </c>
      <c r="AC2752" s="12" t="s">
        <v>14870</v>
      </c>
      <c r="AD2752" s="13">
        <v>44509</v>
      </c>
      <c r="AE2752" s="12" t="s">
        <v>68</v>
      </c>
      <c r="AF2752" s="12" t="s">
        <v>118</v>
      </c>
      <c r="AG2752" s="12" t="s">
        <v>652</v>
      </c>
      <c r="AH2752" s="1">
        <f>HYPERLINK("https://my.pitchbook.com?c=183188-71T","View Company Online")</f>
      </c>
    </row>
    <row r="2753">
      <c r="A2753" s="3" t="s">
        <v>14871</v>
      </c>
      <c r="B2753" s="3" t="s">
        <v>14872</v>
      </c>
      <c r="C2753" s="5" t="s">
        <v>36</v>
      </c>
      <c r="D2753" s="5" t="s">
        <v>36</v>
      </c>
      <c r="E2753" s="5" t="s">
        <v>36</v>
      </c>
      <c r="F2753" s="5" t="s">
        <v>36</v>
      </c>
      <c r="G2753" s="6" t="s">
        <v>326</v>
      </c>
      <c r="H2753" s="4">
        <v>2290.87</v>
      </c>
      <c r="I2753" s="7">
        <v>29.36</v>
      </c>
      <c r="J2753" s="3" t="s">
        <v>521</v>
      </c>
      <c r="K2753" s="9" t="s">
        <v>36</v>
      </c>
      <c r="L2753" s="6" t="s">
        <v>122</v>
      </c>
      <c r="M2753" s="3" t="s">
        <v>36</v>
      </c>
      <c r="N2753" s="3" t="s">
        <v>122</v>
      </c>
      <c r="O2753" s="8" t="s">
        <v>36</v>
      </c>
      <c r="P2753" s="3" t="s">
        <v>36</v>
      </c>
      <c r="Q2753" s="3" t="s">
        <v>36</v>
      </c>
      <c r="R2753" s="3" t="s">
        <v>36</v>
      </c>
      <c r="S2753" s="3" t="s">
        <v>36</v>
      </c>
      <c r="T2753" s="3" t="s">
        <v>464</v>
      </c>
      <c r="U2753" s="3" t="s">
        <v>38</v>
      </c>
      <c r="V2753" s="3" t="s">
        <v>39</v>
      </c>
      <c r="W2753" s="3" t="s">
        <v>14873</v>
      </c>
      <c r="X2753" s="10" t="s">
        <v>14874</v>
      </c>
      <c r="Y2753" s="6" t="s">
        <v>108</v>
      </c>
      <c r="Z2753" s="4">
        <v>11.59</v>
      </c>
      <c r="AA2753" s="4">
        <v>31.59</v>
      </c>
      <c r="AB2753" s="3" t="s">
        <v>56</v>
      </c>
      <c r="AC2753" s="3" t="s">
        <v>14875</v>
      </c>
      <c r="AD2753" s="9">
        <v>44508</v>
      </c>
      <c r="AE2753" s="3" t="s">
        <v>110</v>
      </c>
      <c r="AF2753" s="3" t="s">
        <v>8083</v>
      </c>
      <c r="AG2753" s="3" t="s">
        <v>47</v>
      </c>
      <c r="AH2753" s="11">
        <f>HYPERLINK("https://my.pitchbook.com?c=183906-82T","View Company Online")</f>
      </c>
    </row>
    <row r="2754">
      <c r="A2754" s="12" t="s">
        <v>14876</v>
      </c>
      <c r="B2754" s="12" t="s">
        <v>14877</v>
      </c>
      <c r="C2754" s="19" t="s">
        <v>36</v>
      </c>
      <c r="D2754" s="19" t="s">
        <v>36</v>
      </c>
      <c r="E2754" s="19" t="s">
        <v>36</v>
      </c>
      <c r="F2754" s="19" t="s">
        <v>36</v>
      </c>
      <c r="G2754" s="15" t="s">
        <v>36</v>
      </c>
      <c r="H2754" s="14" t="s">
        <v>36</v>
      </c>
      <c r="I2754" s="18" t="s">
        <v>36</v>
      </c>
      <c r="J2754" s="12" t="s">
        <v>36</v>
      </c>
      <c r="K2754" s="13" t="s">
        <v>36</v>
      </c>
      <c r="L2754" s="15" t="s">
        <v>36</v>
      </c>
      <c r="M2754" s="12" t="s">
        <v>36</v>
      </c>
      <c r="N2754" s="12" t="s">
        <v>36</v>
      </c>
      <c r="O2754" s="17" t="s">
        <v>36</v>
      </c>
      <c r="P2754" s="12" t="s">
        <v>36</v>
      </c>
      <c r="Q2754" s="12" t="s">
        <v>36</v>
      </c>
      <c r="R2754" s="12" t="s">
        <v>36</v>
      </c>
      <c r="S2754" s="12" t="s">
        <v>36</v>
      </c>
      <c r="T2754" s="12" t="s">
        <v>522</v>
      </c>
      <c r="U2754" s="12" t="s">
        <v>38</v>
      </c>
      <c r="V2754" s="12" t="s">
        <v>39</v>
      </c>
      <c r="W2754" s="12" t="s">
        <v>14878</v>
      </c>
      <c r="X2754" s="16" t="s">
        <v>2433</v>
      </c>
      <c r="Y2754" s="15" t="s">
        <v>42</v>
      </c>
      <c r="Z2754" s="14">
        <v>0.58</v>
      </c>
      <c r="AA2754" s="14" t="s">
        <v>36</v>
      </c>
      <c r="AB2754" s="12" t="s">
        <v>43</v>
      </c>
      <c r="AC2754" s="12" t="s">
        <v>14879</v>
      </c>
      <c r="AD2754" s="13">
        <v>44508</v>
      </c>
      <c r="AE2754" s="12" t="s">
        <v>110</v>
      </c>
      <c r="AF2754" s="12" t="s">
        <v>6536</v>
      </c>
      <c r="AG2754" s="12" t="s">
        <v>81</v>
      </c>
      <c r="AH2754" s="1">
        <f>HYPERLINK("https://my.pitchbook.com?c=190408-24T","View Company Online")</f>
      </c>
    </row>
    <row r="2755">
      <c r="A2755" s="3" t="s">
        <v>14880</v>
      </c>
      <c r="B2755" s="3" t="s">
        <v>14881</v>
      </c>
      <c r="C2755" s="5" t="s">
        <v>36</v>
      </c>
      <c r="D2755" s="5" t="s">
        <v>36</v>
      </c>
      <c r="E2755" s="5" t="s">
        <v>36</v>
      </c>
      <c r="F2755" s="5" t="s">
        <v>36</v>
      </c>
      <c r="G2755" s="6" t="s">
        <v>36</v>
      </c>
      <c r="H2755" s="4">
        <v>888.72</v>
      </c>
      <c r="I2755" s="7">
        <v>24.87</v>
      </c>
      <c r="J2755" s="3" t="s">
        <v>521</v>
      </c>
      <c r="K2755" s="9" t="s">
        <v>36</v>
      </c>
      <c r="L2755" s="6" t="s">
        <v>36</v>
      </c>
      <c r="M2755" s="3" t="s">
        <v>36</v>
      </c>
      <c r="N2755" s="3" t="s">
        <v>36</v>
      </c>
      <c r="O2755" s="8" t="s">
        <v>36</v>
      </c>
      <c r="P2755" s="3" t="s">
        <v>36</v>
      </c>
      <c r="Q2755" s="3" t="s">
        <v>36</v>
      </c>
      <c r="R2755" s="3" t="s">
        <v>36</v>
      </c>
      <c r="S2755" s="3" t="s">
        <v>36</v>
      </c>
      <c r="T2755" s="3" t="s">
        <v>847</v>
      </c>
      <c r="U2755" s="3" t="s">
        <v>279</v>
      </c>
      <c r="V2755" s="3" t="s">
        <v>64</v>
      </c>
      <c r="W2755" s="3" t="s">
        <v>14882</v>
      </c>
      <c r="X2755" s="10" t="s">
        <v>14883</v>
      </c>
      <c r="Y2755" s="6" t="s">
        <v>42</v>
      </c>
      <c r="Z2755" s="4">
        <v>0.46</v>
      </c>
      <c r="AA2755" s="4">
        <v>1.68</v>
      </c>
      <c r="AB2755" s="3" t="s">
        <v>43</v>
      </c>
      <c r="AC2755" s="3" t="s">
        <v>14884</v>
      </c>
      <c r="AD2755" s="9">
        <v>44508</v>
      </c>
      <c r="AE2755" s="3" t="s">
        <v>851</v>
      </c>
      <c r="AF2755" s="3" t="s">
        <v>1380</v>
      </c>
      <c r="AG2755" s="3" t="s">
        <v>1078</v>
      </c>
      <c r="AH2755" s="11">
        <f>HYPERLINK("https://my.pitchbook.com?c=253569-97T","View Company Online")</f>
      </c>
    </row>
    <row r="2756">
      <c r="A2756" s="12" t="s">
        <v>14885</v>
      </c>
      <c r="B2756" s="12" t="s">
        <v>14886</v>
      </c>
      <c r="C2756" s="19" t="s">
        <v>36</v>
      </c>
      <c r="D2756" s="19" t="s">
        <v>36</v>
      </c>
      <c r="E2756" s="19" t="s">
        <v>36</v>
      </c>
      <c r="F2756" s="19" t="s">
        <v>36</v>
      </c>
      <c r="G2756" s="15" t="s">
        <v>326</v>
      </c>
      <c r="H2756" s="14">
        <v>24.11</v>
      </c>
      <c r="I2756" s="18">
        <v>14.58</v>
      </c>
      <c r="J2756" s="12" t="s">
        <v>521</v>
      </c>
      <c r="K2756" s="13" t="s">
        <v>36</v>
      </c>
      <c r="L2756" s="15" t="s">
        <v>36</v>
      </c>
      <c r="M2756" s="12" t="s">
        <v>36</v>
      </c>
      <c r="N2756" s="12" t="s">
        <v>36</v>
      </c>
      <c r="O2756" s="17" t="s">
        <v>36</v>
      </c>
      <c r="P2756" s="12" t="s">
        <v>36</v>
      </c>
      <c r="Q2756" s="12" t="s">
        <v>36</v>
      </c>
      <c r="R2756" s="12" t="s">
        <v>36</v>
      </c>
      <c r="S2756" s="12" t="s">
        <v>36</v>
      </c>
      <c r="T2756" s="12" t="s">
        <v>6392</v>
      </c>
      <c r="U2756" s="12" t="s">
        <v>289</v>
      </c>
      <c r="V2756" s="12" t="s">
        <v>64</v>
      </c>
      <c r="W2756" s="12" t="s">
        <v>14887</v>
      </c>
      <c r="X2756" s="16" t="s">
        <v>14888</v>
      </c>
      <c r="Y2756" s="15" t="s">
        <v>108</v>
      </c>
      <c r="Z2756" s="14">
        <v>1.66</v>
      </c>
      <c r="AA2756" s="14">
        <v>5.68</v>
      </c>
      <c r="AB2756" s="12" t="s">
        <v>43</v>
      </c>
      <c r="AC2756" s="12" t="s">
        <v>14889</v>
      </c>
      <c r="AD2756" s="13">
        <v>44505</v>
      </c>
      <c r="AE2756" s="12" t="s">
        <v>292</v>
      </c>
      <c r="AF2756" s="12" t="s">
        <v>90</v>
      </c>
      <c r="AG2756" s="12" t="s">
        <v>14890</v>
      </c>
      <c r="AH2756" s="1">
        <f>HYPERLINK("https://my.pitchbook.com?c=186334-21T","View Company Online")</f>
      </c>
    </row>
    <row r="2757">
      <c r="A2757" s="3" t="s">
        <v>14891</v>
      </c>
      <c r="B2757" s="3" t="s">
        <v>14892</v>
      </c>
      <c r="C2757" s="5" t="s">
        <v>36</v>
      </c>
      <c r="D2757" s="5" t="s">
        <v>36</v>
      </c>
      <c r="E2757" s="5" t="s">
        <v>36</v>
      </c>
      <c r="F2757" s="5" t="s">
        <v>36</v>
      </c>
      <c r="G2757" s="6" t="s">
        <v>326</v>
      </c>
      <c r="H2757" s="4">
        <v>249.26</v>
      </c>
      <c r="I2757" s="7">
        <v>34.51</v>
      </c>
      <c r="J2757" s="3" t="s">
        <v>521</v>
      </c>
      <c r="K2757" s="9" t="s">
        <v>36</v>
      </c>
      <c r="L2757" s="6" t="s">
        <v>1279</v>
      </c>
      <c r="M2757" s="3" t="s">
        <v>36</v>
      </c>
      <c r="N2757" s="3" t="s">
        <v>1279</v>
      </c>
      <c r="O2757" s="8" t="s">
        <v>36</v>
      </c>
      <c r="P2757" s="3" t="s">
        <v>36</v>
      </c>
      <c r="Q2757" s="3" t="s">
        <v>36</v>
      </c>
      <c r="R2757" s="3" t="s">
        <v>36</v>
      </c>
      <c r="S2757" s="3" t="s">
        <v>36</v>
      </c>
      <c r="T2757" s="3" t="s">
        <v>2490</v>
      </c>
      <c r="U2757" s="3" t="s">
        <v>318</v>
      </c>
      <c r="V2757" s="3" t="s">
        <v>39</v>
      </c>
      <c r="W2757" s="3" t="s">
        <v>14893</v>
      </c>
      <c r="X2757" s="10" t="s">
        <v>14894</v>
      </c>
      <c r="Y2757" s="6" t="s">
        <v>321</v>
      </c>
      <c r="Z2757" s="4">
        <v>17.39</v>
      </c>
      <c r="AA2757" s="4">
        <v>41.66</v>
      </c>
      <c r="AB2757" s="3" t="s">
        <v>56</v>
      </c>
      <c r="AC2757" s="3" t="s">
        <v>14895</v>
      </c>
      <c r="AD2757" s="9">
        <v>44505</v>
      </c>
      <c r="AE2757" s="3" t="s">
        <v>417</v>
      </c>
      <c r="AF2757" s="3" t="s">
        <v>7294</v>
      </c>
      <c r="AG2757" s="3" t="s">
        <v>969</v>
      </c>
      <c r="AH2757" s="11">
        <f>HYPERLINK("https://my.pitchbook.com?c=183126-52T","View Company Online")</f>
      </c>
    </row>
    <row r="2758">
      <c r="A2758" s="12" t="s">
        <v>14896</v>
      </c>
      <c r="B2758" s="12" t="s">
        <v>4670</v>
      </c>
      <c r="C2758" s="19" t="s">
        <v>36</v>
      </c>
      <c r="D2758" s="19" t="s">
        <v>36</v>
      </c>
      <c r="E2758" s="19" t="s">
        <v>36</v>
      </c>
      <c r="F2758" s="19" t="s">
        <v>36</v>
      </c>
      <c r="G2758" s="15" t="s">
        <v>326</v>
      </c>
      <c r="H2758" s="14">
        <v>16.21</v>
      </c>
      <c r="I2758" s="18">
        <v>23.22</v>
      </c>
      <c r="J2758" s="12" t="s">
        <v>521</v>
      </c>
      <c r="K2758" s="13" t="s">
        <v>36</v>
      </c>
      <c r="L2758" s="15" t="s">
        <v>36</v>
      </c>
      <c r="M2758" s="12" t="s">
        <v>36</v>
      </c>
      <c r="N2758" s="12" t="s">
        <v>36</v>
      </c>
      <c r="O2758" s="17" t="s">
        <v>36</v>
      </c>
      <c r="P2758" s="12" t="s">
        <v>36</v>
      </c>
      <c r="Q2758" s="12" t="s">
        <v>36</v>
      </c>
      <c r="R2758" s="12" t="s">
        <v>36</v>
      </c>
      <c r="S2758" s="12" t="s">
        <v>36</v>
      </c>
      <c r="T2758" s="12" t="s">
        <v>1701</v>
      </c>
      <c r="U2758" s="12" t="s">
        <v>74</v>
      </c>
      <c r="V2758" s="12" t="s">
        <v>75</v>
      </c>
      <c r="W2758" s="12" t="s">
        <v>4671</v>
      </c>
      <c r="X2758" s="16" t="s">
        <v>14897</v>
      </c>
      <c r="Y2758" s="15" t="s">
        <v>108</v>
      </c>
      <c r="Z2758" s="14">
        <v>7.25</v>
      </c>
      <c r="AA2758" s="14">
        <v>18.98</v>
      </c>
      <c r="AB2758" s="12" t="s">
        <v>43</v>
      </c>
      <c r="AC2758" s="12" t="s">
        <v>4673</v>
      </c>
      <c r="AD2758" s="13">
        <v>44504</v>
      </c>
      <c r="AE2758" s="12" t="s">
        <v>79</v>
      </c>
      <c r="AF2758" s="12" t="s">
        <v>4674</v>
      </c>
      <c r="AG2758" s="12" t="s">
        <v>4675</v>
      </c>
      <c r="AH2758" s="1">
        <f>HYPERLINK("https://my.pitchbook.com?c=182954-35T","View Company Online")</f>
      </c>
    </row>
    <row r="2759">
      <c r="A2759" s="3" t="s">
        <v>14898</v>
      </c>
      <c r="B2759" s="3" t="s">
        <v>7195</v>
      </c>
      <c r="C2759" s="5" t="s">
        <v>36</v>
      </c>
      <c r="D2759" s="5">
        <v>2</v>
      </c>
      <c r="E2759" s="5">
        <v>1</v>
      </c>
      <c r="F2759" s="5">
        <v>2</v>
      </c>
      <c r="G2759" s="6" t="s">
        <v>326</v>
      </c>
      <c r="H2759" s="4">
        <v>23.5</v>
      </c>
      <c r="I2759" s="7">
        <v>20.14</v>
      </c>
      <c r="J2759" s="3" t="s">
        <v>521</v>
      </c>
      <c r="K2759" s="9" t="s">
        <v>36</v>
      </c>
      <c r="L2759" s="6" t="s">
        <v>36</v>
      </c>
      <c r="M2759" s="3" t="s">
        <v>36</v>
      </c>
      <c r="N2759" s="3" t="s">
        <v>36</v>
      </c>
      <c r="O2759" s="8" t="s">
        <v>36</v>
      </c>
      <c r="P2759" s="3" t="s">
        <v>36</v>
      </c>
      <c r="Q2759" s="3" t="s">
        <v>36</v>
      </c>
      <c r="R2759" s="3" t="s">
        <v>36</v>
      </c>
      <c r="S2759" s="3" t="s">
        <v>36</v>
      </c>
      <c r="T2759" s="3" t="s">
        <v>4917</v>
      </c>
      <c r="U2759" s="3" t="s">
        <v>38</v>
      </c>
      <c r="V2759" s="3" t="s">
        <v>39</v>
      </c>
      <c r="W2759" s="3" t="s">
        <v>7196</v>
      </c>
      <c r="X2759" s="10" t="s">
        <v>14899</v>
      </c>
      <c r="Y2759" s="6" t="s">
        <v>42</v>
      </c>
      <c r="Z2759" s="4">
        <v>2.32</v>
      </c>
      <c r="AA2759" s="4">
        <v>7.26</v>
      </c>
      <c r="AB2759" s="3" t="s">
        <v>43</v>
      </c>
      <c r="AC2759" s="3" t="s">
        <v>7198</v>
      </c>
      <c r="AD2759" s="9">
        <v>44503</v>
      </c>
      <c r="AE2759" s="3" t="s">
        <v>134</v>
      </c>
      <c r="AF2759" s="3" t="s">
        <v>7199</v>
      </c>
      <c r="AG2759" s="3" t="s">
        <v>81</v>
      </c>
      <c r="AH2759" s="11">
        <f>HYPERLINK("https://my.pitchbook.com?c=183247-84T","View Company Online")</f>
      </c>
    </row>
    <row r="2760">
      <c r="A2760" s="12" t="s">
        <v>14900</v>
      </c>
      <c r="B2760" s="12" t="s">
        <v>12179</v>
      </c>
      <c r="C2760" s="19">
        <v>3</v>
      </c>
      <c r="D2760" s="19">
        <v>4</v>
      </c>
      <c r="E2760" s="19">
        <v>2</v>
      </c>
      <c r="F2760" s="19">
        <v>8</v>
      </c>
      <c r="G2760" s="15" t="s">
        <v>326</v>
      </c>
      <c r="H2760" s="14" t="s">
        <v>36</v>
      </c>
      <c r="I2760" s="18" t="s">
        <v>36</v>
      </c>
      <c r="J2760" s="12" t="s">
        <v>521</v>
      </c>
      <c r="K2760" s="13" t="s">
        <v>36</v>
      </c>
      <c r="L2760" s="15" t="s">
        <v>36</v>
      </c>
      <c r="M2760" s="12" t="s">
        <v>36</v>
      </c>
      <c r="N2760" s="12" t="s">
        <v>36</v>
      </c>
      <c r="O2760" s="17" t="s">
        <v>36</v>
      </c>
      <c r="P2760" s="12" t="s">
        <v>36</v>
      </c>
      <c r="Q2760" s="12" t="s">
        <v>36</v>
      </c>
      <c r="R2760" s="12" t="s">
        <v>36</v>
      </c>
      <c r="S2760" s="12" t="s">
        <v>36</v>
      </c>
      <c r="T2760" s="12" t="s">
        <v>12180</v>
      </c>
      <c r="U2760" s="12" t="s">
        <v>833</v>
      </c>
      <c r="V2760" s="12" t="s">
        <v>64</v>
      </c>
      <c r="W2760" s="12" t="s">
        <v>12181</v>
      </c>
      <c r="X2760" s="16" t="s">
        <v>5892</v>
      </c>
      <c r="Y2760" s="15" t="s">
        <v>55</v>
      </c>
      <c r="Z2760" s="14">
        <v>1.34</v>
      </c>
      <c r="AA2760" s="14">
        <v>5.98</v>
      </c>
      <c r="AB2760" s="12" t="s">
        <v>56</v>
      </c>
      <c r="AC2760" s="12" t="s">
        <v>12183</v>
      </c>
      <c r="AD2760" s="13">
        <v>44501</v>
      </c>
      <c r="AE2760" s="12" t="s">
        <v>1069</v>
      </c>
      <c r="AF2760" s="12" t="s">
        <v>12184</v>
      </c>
      <c r="AG2760" s="12" t="s">
        <v>580</v>
      </c>
      <c r="AH2760" s="1">
        <f>HYPERLINK("https://my.pitchbook.com?c=202133-44T","View Company Online")</f>
      </c>
    </row>
    <row r="2761">
      <c r="A2761" s="3" t="s">
        <v>14901</v>
      </c>
      <c r="B2761" s="3" t="s">
        <v>14902</v>
      </c>
      <c r="C2761" s="5" t="s">
        <v>36</v>
      </c>
      <c r="D2761" s="5" t="s">
        <v>36</v>
      </c>
      <c r="E2761" s="5" t="s">
        <v>36</v>
      </c>
      <c r="F2761" s="5" t="s">
        <v>36</v>
      </c>
      <c r="G2761" s="6" t="s">
        <v>36</v>
      </c>
      <c r="H2761" s="4" t="s">
        <v>36</v>
      </c>
      <c r="I2761" s="7" t="s">
        <v>36</v>
      </c>
      <c r="J2761" s="3" t="s">
        <v>36</v>
      </c>
      <c r="K2761" s="9" t="s">
        <v>36</v>
      </c>
      <c r="L2761" s="6" t="s">
        <v>36</v>
      </c>
      <c r="M2761" s="3" t="s">
        <v>36</v>
      </c>
      <c r="N2761" s="3" t="s">
        <v>36</v>
      </c>
      <c r="O2761" s="8" t="s">
        <v>36</v>
      </c>
      <c r="P2761" s="3" t="s">
        <v>36</v>
      </c>
      <c r="Q2761" s="3" t="s">
        <v>36</v>
      </c>
      <c r="R2761" s="3" t="s">
        <v>36</v>
      </c>
      <c r="S2761" s="3" t="s">
        <v>36</v>
      </c>
      <c r="T2761" s="3" t="s">
        <v>14903</v>
      </c>
      <c r="U2761" s="3" t="s">
        <v>74</v>
      </c>
      <c r="V2761" s="3" t="s">
        <v>75</v>
      </c>
      <c r="W2761" s="3" t="s">
        <v>14904</v>
      </c>
      <c r="X2761" s="10" t="s">
        <v>10226</v>
      </c>
      <c r="Y2761" s="6" t="s">
        <v>42</v>
      </c>
      <c r="Z2761" s="4" t="s">
        <v>36</v>
      </c>
      <c r="AA2761" s="4" t="s">
        <v>36</v>
      </c>
      <c r="AB2761" s="3" t="s">
        <v>43</v>
      </c>
      <c r="AC2761" s="3" t="s">
        <v>14905</v>
      </c>
      <c r="AD2761" s="9">
        <v>44501</v>
      </c>
      <c r="AE2761" s="3" t="s">
        <v>79</v>
      </c>
      <c r="AF2761" s="3" t="s">
        <v>2759</v>
      </c>
      <c r="AG2761" s="3" t="s">
        <v>8417</v>
      </c>
      <c r="AH2761" s="11">
        <f>HYPERLINK("https://my.pitchbook.com?c=183679-03T","View Company Online")</f>
      </c>
    </row>
    <row r="2762">
      <c r="A2762" s="12" t="s">
        <v>14906</v>
      </c>
      <c r="B2762" s="12" t="s">
        <v>14907</v>
      </c>
      <c r="C2762" s="19" t="s">
        <v>36</v>
      </c>
      <c r="D2762" s="19" t="s">
        <v>36</v>
      </c>
      <c r="E2762" s="19" t="s">
        <v>36</v>
      </c>
      <c r="F2762" s="19" t="s">
        <v>36</v>
      </c>
      <c r="G2762" s="15" t="s">
        <v>36</v>
      </c>
      <c r="H2762" s="14">
        <v>1298.21</v>
      </c>
      <c r="I2762" s="18">
        <v>33.51</v>
      </c>
      <c r="J2762" s="12" t="s">
        <v>521</v>
      </c>
      <c r="K2762" s="13" t="s">
        <v>36</v>
      </c>
      <c r="L2762" s="15" t="s">
        <v>36</v>
      </c>
      <c r="M2762" s="12" t="s">
        <v>36</v>
      </c>
      <c r="N2762" s="12" t="s">
        <v>36</v>
      </c>
      <c r="O2762" s="17" t="s">
        <v>36</v>
      </c>
      <c r="P2762" s="12" t="s">
        <v>36</v>
      </c>
      <c r="Q2762" s="12" t="s">
        <v>36</v>
      </c>
      <c r="R2762" s="12" t="s">
        <v>36</v>
      </c>
      <c r="S2762" s="12" t="s">
        <v>36</v>
      </c>
      <c r="T2762" s="12" t="s">
        <v>14908</v>
      </c>
      <c r="U2762" s="12" t="s">
        <v>74</v>
      </c>
      <c r="V2762" s="12" t="s">
        <v>75</v>
      </c>
      <c r="W2762" s="12" t="s">
        <v>14909</v>
      </c>
      <c r="X2762" s="16" t="s">
        <v>14910</v>
      </c>
      <c r="Y2762" s="15" t="s">
        <v>42</v>
      </c>
      <c r="Z2762" s="14">
        <v>11.6</v>
      </c>
      <c r="AA2762" s="14">
        <v>21.8</v>
      </c>
      <c r="AB2762" s="12" t="s">
        <v>43</v>
      </c>
      <c r="AC2762" s="12" t="s">
        <v>14911</v>
      </c>
      <c r="AD2762" s="13">
        <v>44501</v>
      </c>
      <c r="AE2762" s="12" t="s">
        <v>975</v>
      </c>
      <c r="AF2762" s="12" t="s">
        <v>36</v>
      </c>
      <c r="AG2762" s="12" t="s">
        <v>635</v>
      </c>
      <c r="AH2762" s="1">
        <f>HYPERLINK("https://my.pitchbook.com?c=204833-89T","View Company Online")</f>
      </c>
    </row>
    <row r="2763">
      <c r="A2763" s="3" t="s">
        <v>14912</v>
      </c>
      <c r="B2763" s="3" t="s">
        <v>2284</v>
      </c>
      <c r="C2763" s="5" t="s">
        <v>36</v>
      </c>
      <c r="D2763" s="5" t="s">
        <v>36</v>
      </c>
      <c r="E2763" s="5" t="s">
        <v>36</v>
      </c>
      <c r="F2763" s="5" t="s">
        <v>36</v>
      </c>
      <c r="G2763" s="6" t="s">
        <v>326</v>
      </c>
      <c r="H2763" s="4">
        <v>189.61</v>
      </c>
      <c r="I2763" s="7">
        <v>15</v>
      </c>
      <c r="J2763" s="3" t="s">
        <v>521</v>
      </c>
      <c r="K2763" s="9" t="s">
        <v>36</v>
      </c>
      <c r="L2763" s="6" t="s">
        <v>36</v>
      </c>
      <c r="M2763" s="3" t="s">
        <v>36</v>
      </c>
      <c r="N2763" s="3" t="s">
        <v>36</v>
      </c>
      <c r="O2763" s="8" t="s">
        <v>36</v>
      </c>
      <c r="P2763" s="3" t="s">
        <v>36</v>
      </c>
      <c r="Q2763" s="3" t="s">
        <v>36</v>
      </c>
      <c r="R2763" s="3" t="s">
        <v>36</v>
      </c>
      <c r="S2763" s="3" t="s">
        <v>36</v>
      </c>
      <c r="T2763" s="3" t="s">
        <v>2285</v>
      </c>
      <c r="U2763" s="3" t="s">
        <v>38</v>
      </c>
      <c r="V2763" s="3" t="s">
        <v>39</v>
      </c>
      <c r="W2763" s="3" t="s">
        <v>2286</v>
      </c>
      <c r="X2763" s="10" t="s">
        <v>14913</v>
      </c>
      <c r="Y2763" s="6" t="s">
        <v>321</v>
      </c>
      <c r="Z2763" s="4">
        <v>23.19</v>
      </c>
      <c r="AA2763" s="4">
        <v>154.6</v>
      </c>
      <c r="AB2763" s="3" t="s">
        <v>56</v>
      </c>
      <c r="AC2763" s="3" t="s">
        <v>2288</v>
      </c>
      <c r="AD2763" s="9">
        <v>44501</v>
      </c>
      <c r="AE2763" s="3" t="s">
        <v>110</v>
      </c>
      <c r="AF2763" s="3" t="s">
        <v>815</v>
      </c>
      <c r="AG2763" s="3" t="s">
        <v>81</v>
      </c>
      <c r="AH2763" s="11">
        <f>HYPERLINK("https://my.pitchbook.com?c=130446-28T","View Company Online")</f>
      </c>
    </row>
    <row r="2764">
      <c r="A2764" s="12" t="s">
        <v>14914</v>
      </c>
      <c r="B2764" s="12" t="s">
        <v>14915</v>
      </c>
      <c r="C2764" s="19" t="s">
        <v>36</v>
      </c>
      <c r="D2764" s="19" t="s">
        <v>36</v>
      </c>
      <c r="E2764" s="19" t="s">
        <v>36</v>
      </c>
      <c r="F2764" s="19" t="s">
        <v>36</v>
      </c>
      <c r="G2764" s="15" t="s">
        <v>36</v>
      </c>
      <c r="H2764" s="14">
        <v>438.28</v>
      </c>
      <c r="I2764" s="18">
        <v>17.4</v>
      </c>
      <c r="J2764" s="12" t="s">
        <v>521</v>
      </c>
      <c r="K2764" s="13" t="s">
        <v>36</v>
      </c>
      <c r="L2764" s="15" t="s">
        <v>36</v>
      </c>
      <c r="M2764" s="12" t="s">
        <v>36</v>
      </c>
      <c r="N2764" s="12" t="s">
        <v>36</v>
      </c>
      <c r="O2764" s="17" t="s">
        <v>36</v>
      </c>
      <c r="P2764" s="12" t="s">
        <v>36</v>
      </c>
      <c r="Q2764" s="12" t="s">
        <v>36</v>
      </c>
      <c r="R2764" s="12" t="s">
        <v>36</v>
      </c>
      <c r="S2764" s="12" t="s">
        <v>36</v>
      </c>
      <c r="T2764" s="12" t="s">
        <v>14916</v>
      </c>
      <c r="U2764" s="12" t="s">
        <v>74</v>
      </c>
      <c r="V2764" s="12" t="s">
        <v>75</v>
      </c>
      <c r="W2764" s="12" t="s">
        <v>14917</v>
      </c>
      <c r="X2764" s="16" t="s">
        <v>14918</v>
      </c>
      <c r="Y2764" s="15" t="s">
        <v>42</v>
      </c>
      <c r="Z2764" s="14">
        <v>0.93</v>
      </c>
      <c r="AA2764" s="14">
        <v>5.33</v>
      </c>
      <c r="AB2764" s="12" t="s">
        <v>56</v>
      </c>
      <c r="AC2764" s="12" t="s">
        <v>14919</v>
      </c>
      <c r="AD2764" s="13">
        <v>44501</v>
      </c>
      <c r="AE2764" s="12" t="s">
        <v>1243</v>
      </c>
      <c r="AF2764" s="12" t="s">
        <v>36</v>
      </c>
      <c r="AG2764" s="12" t="s">
        <v>8850</v>
      </c>
      <c r="AH2764" s="1">
        <f>HYPERLINK("https://my.pitchbook.com?c=185395-51T","View Company Online")</f>
      </c>
    </row>
    <row r="2765">
      <c r="A2765" s="3" t="s">
        <v>14920</v>
      </c>
      <c r="B2765" s="3" t="s">
        <v>14921</v>
      </c>
      <c r="C2765" s="5" t="s">
        <v>36</v>
      </c>
      <c r="D2765" s="5" t="s">
        <v>36</v>
      </c>
      <c r="E2765" s="5" t="s">
        <v>36</v>
      </c>
      <c r="F2765" s="5" t="s">
        <v>36</v>
      </c>
      <c r="G2765" s="6" t="s">
        <v>36</v>
      </c>
      <c r="H2765" s="4" t="s">
        <v>36</v>
      </c>
      <c r="I2765" s="7" t="s">
        <v>36</v>
      </c>
      <c r="J2765" s="3" t="s">
        <v>36</v>
      </c>
      <c r="K2765" s="9" t="s">
        <v>36</v>
      </c>
      <c r="L2765" s="6" t="s">
        <v>36</v>
      </c>
      <c r="M2765" s="3" t="s">
        <v>36</v>
      </c>
      <c r="N2765" s="3" t="s">
        <v>36</v>
      </c>
      <c r="O2765" s="8" t="s">
        <v>36</v>
      </c>
      <c r="P2765" s="3" t="s">
        <v>36</v>
      </c>
      <c r="Q2765" s="3" t="s">
        <v>36</v>
      </c>
      <c r="R2765" s="3" t="s">
        <v>36</v>
      </c>
      <c r="S2765" s="3" t="s">
        <v>2314</v>
      </c>
      <c r="T2765" s="3" t="s">
        <v>14922</v>
      </c>
      <c r="U2765" s="3" t="s">
        <v>38</v>
      </c>
      <c r="V2765" s="3" t="s">
        <v>39</v>
      </c>
      <c r="W2765" s="3" t="s">
        <v>14923</v>
      </c>
      <c r="X2765" s="10" t="s">
        <v>14924</v>
      </c>
      <c r="Y2765" s="6" t="s">
        <v>42</v>
      </c>
      <c r="Z2765" s="4" t="s">
        <v>36</v>
      </c>
      <c r="AA2765" s="4" t="s">
        <v>36</v>
      </c>
      <c r="AB2765" s="3" t="s">
        <v>43</v>
      </c>
      <c r="AC2765" s="3" t="s">
        <v>14925</v>
      </c>
      <c r="AD2765" s="9">
        <v>44501</v>
      </c>
      <c r="AE2765" s="3" t="s">
        <v>554</v>
      </c>
      <c r="AF2765" s="3" t="s">
        <v>555</v>
      </c>
      <c r="AG2765" s="3" t="s">
        <v>81</v>
      </c>
      <c r="AH2765" s="11">
        <f>HYPERLINK("https://my.pitchbook.com?c=184226-86T","View Company Online")</f>
      </c>
    </row>
    <row r="2766">
      <c r="A2766" s="12" t="s">
        <v>14926</v>
      </c>
      <c r="B2766" s="12" t="s">
        <v>8365</v>
      </c>
      <c r="C2766" s="19" t="s">
        <v>36</v>
      </c>
      <c r="D2766" s="19" t="s">
        <v>36</v>
      </c>
      <c r="E2766" s="19" t="s">
        <v>36</v>
      </c>
      <c r="F2766" s="19" t="s">
        <v>36</v>
      </c>
      <c r="G2766" s="15" t="s">
        <v>36</v>
      </c>
      <c r="H2766" s="14" t="s">
        <v>36</v>
      </c>
      <c r="I2766" s="18" t="s">
        <v>36</v>
      </c>
      <c r="J2766" s="12" t="s">
        <v>36</v>
      </c>
      <c r="K2766" s="13" t="s">
        <v>36</v>
      </c>
      <c r="L2766" s="15" t="s">
        <v>36</v>
      </c>
      <c r="M2766" s="12" t="s">
        <v>36</v>
      </c>
      <c r="N2766" s="12" t="s">
        <v>36</v>
      </c>
      <c r="O2766" s="17" t="s">
        <v>36</v>
      </c>
      <c r="P2766" s="12" t="s">
        <v>36</v>
      </c>
      <c r="Q2766" s="12" t="s">
        <v>36</v>
      </c>
      <c r="R2766" s="12" t="s">
        <v>36</v>
      </c>
      <c r="S2766" s="12" t="s">
        <v>36</v>
      </c>
      <c r="T2766" s="12" t="s">
        <v>5377</v>
      </c>
      <c r="U2766" s="12" t="s">
        <v>38</v>
      </c>
      <c r="V2766" s="12" t="s">
        <v>39</v>
      </c>
      <c r="W2766" s="12" t="s">
        <v>8366</v>
      </c>
      <c r="X2766" s="16" t="s">
        <v>14927</v>
      </c>
      <c r="Y2766" s="15" t="s">
        <v>42</v>
      </c>
      <c r="Z2766" s="14">
        <v>24.35</v>
      </c>
      <c r="AA2766" s="14" t="s">
        <v>36</v>
      </c>
      <c r="AB2766" s="12" t="s">
        <v>43</v>
      </c>
      <c r="AC2766" s="12" t="s">
        <v>8368</v>
      </c>
      <c r="AD2766" s="13">
        <v>44501</v>
      </c>
      <c r="AE2766" s="12" t="s">
        <v>1200</v>
      </c>
      <c r="AF2766" s="12" t="s">
        <v>1331</v>
      </c>
      <c r="AG2766" s="12" t="s">
        <v>81</v>
      </c>
      <c r="AH2766" s="1">
        <f>HYPERLINK("https://my.pitchbook.com?c=188663-41T","View Company Online")</f>
      </c>
    </row>
    <row r="2767">
      <c r="A2767" s="3" t="s">
        <v>14928</v>
      </c>
      <c r="B2767" s="3" t="s">
        <v>14929</v>
      </c>
      <c r="C2767" s="5">
        <v>1</v>
      </c>
      <c r="D2767" s="5" t="s">
        <v>36</v>
      </c>
      <c r="E2767" s="5">
        <v>1</v>
      </c>
      <c r="F2767" s="5">
        <v>1</v>
      </c>
      <c r="G2767" s="6" t="s">
        <v>36</v>
      </c>
      <c r="H2767" s="4" t="s">
        <v>36</v>
      </c>
      <c r="I2767" s="7" t="s">
        <v>36</v>
      </c>
      <c r="J2767" s="3" t="s">
        <v>36</v>
      </c>
      <c r="K2767" s="9" t="s">
        <v>36</v>
      </c>
      <c r="L2767" s="6" t="s">
        <v>36</v>
      </c>
      <c r="M2767" s="3" t="s">
        <v>36</v>
      </c>
      <c r="N2767" s="3" t="s">
        <v>36</v>
      </c>
      <c r="O2767" s="8" t="s">
        <v>36</v>
      </c>
      <c r="P2767" s="3" t="s">
        <v>36</v>
      </c>
      <c r="Q2767" s="3" t="s">
        <v>36</v>
      </c>
      <c r="R2767" s="3" t="s">
        <v>36</v>
      </c>
      <c r="S2767" s="3" t="s">
        <v>36</v>
      </c>
      <c r="T2767" s="3" t="s">
        <v>1162</v>
      </c>
      <c r="U2767" s="3" t="s">
        <v>423</v>
      </c>
      <c r="V2767" s="3" t="s">
        <v>64</v>
      </c>
      <c r="W2767" s="3" t="s">
        <v>14930</v>
      </c>
      <c r="X2767" s="10" t="s">
        <v>9680</v>
      </c>
      <c r="Y2767" s="6" t="s">
        <v>42</v>
      </c>
      <c r="Z2767" s="4" t="s">
        <v>36</v>
      </c>
      <c r="AA2767" s="4" t="s">
        <v>36</v>
      </c>
      <c r="AB2767" s="3" t="s">
        <v>43</v>
      </c>
      <c r="AC2767" s="3" t="s">
        <v>14931</v>
      </c>
      <c r="AD2767" s="9">
        <v>44501</v>
      </c>
      <c r="AE2767" s="3" t="s">
        <v>562</v>
      </c>
      <c r="AF2767" s="3" t="s">
        <v>938</v>
      </c>
      <c r="AG2767" s="3" t="s">
        <v>741</v>
      </c>
      <c r="AH2767" s="11">
        <f>HYPERLINK("https://my.pitchbook.com?c=183274-57T","View Company Online")</f>
      </c>
    </row>
    <row r="2768">
      <c r="A2768" s="12" t="s">
        <v>14932</v>
      </c>
      <c r="B2768" s="12" t="s">
        <v>14933</v>
      </c>
      <c r="C2768" s="19" t="s">
        <v>36</v>
      </c>
      <c r="D2768" s="19" t="s">
        <v>36</v>
      </c>
      <c r="E2768" s="19" t="s">
        <v>36</v>
      </c>
      <c r="F2768" s="19" t="s">
        <v>36</v>
      </c>
      <c r="G2768" s="15" t="s">
        <v>36</v>
      </c>
      <c r="H2768" s="14">
        <v>88.9</v>
      </c>
      <c r="I2768" s="18">
        <v>28.41</v>
      </c>
      <c r="J2768" s="12" t="s">
        <v>521</v>
      </c>
      <c r="K2768" s="13" t="s">
        <v>36</v>
      </c>
      <c r="L2768" s="15" t="s">
        <v>36</v>
      </c>
      <c r="M2768" s="12" t="s">
        <v>36</v>
      </c>
      <c r="N2768" s="12" t="s">
        <v>36</v>
      </c>
      <c r="O2768" s="17" t="s">
        <v>36</v>
      </c>
      <c r="P2768" s="12" t="s">
        <v>36</v>
      </c>
      <c r="Q2768" s="12" t="s">
        <v>36</v>
      </c>
      <c r="R2768" s="12" t="s">
        <v>36</v>
      </c>
      <c r="S2768" s="12" t="s">
        <v>36</v>
      </c>
      <c r="T2768" s="12" t="s">
        <v>522</v>
      </c>
      <c r="U2768" s="12" t="s">
        <v>38</v>
      </c>
      <c r="V2768" s="12" t="s">
        <v>39</v>
      </c>
      <c r="W2768" s="12" t="s">
        <v>14934</v>
      </c>
      <c r="X2768" s="16" t="s">
        <v>13436</v>
      </c>
      <c r="Y2768" s="15" t="s">
        <v>42</v>
      </c>
      <c r="Z2768" s="14">
        <v>0.59</v>
      </c>
      <c r="AA2768" s="14">
        <v>2.08</v>
      </c>
      <c r="AB2768" s="12" t="s">
        <v>43</v>
      </c>
      <c r="AC2768" s="12" t="s">
        <v>14935</v>
      </c>
      <c r="AD2768" s="13">
        <v>44501</v>
      </c>
      <c r="AE2768" s="12" t="s">
        <v>110</v>
      </c>
      <c r="AF2768" s="12" t="s">
        <v>176</v>
      </c>
      <c r="AG2768" s="12" t="s">
        <v>186</v>
      </c>
      <c r="AH2768" s="1">
        <f>HYPERLINK("https://my.pitchbook.com?c=189640-27T","View Company Online")</f>
      </c>
    </row>
    <row r="2769">
      <c r="A2769" s="3" t="s">
        <v>14936</v>
      </c>
      <c r="B2769" s="3" t="s">
        <v>14937</v>
      </c>
      <c r="C2769" s="5">
        <v>1</v>
      </c>
      <c r="D2769" s="5">
        <v>2</v>
      </c>
      <c r="E2769" s="5">
        <v>2</v>
      </c>
      <c r="F2769" s="5">
        <v>6</v>
      </c>
      <c r="G2769" s="6" t="s">
        <v>326</v>
      </c>
      <c r="H2769" s="4">
        <v>51.44</v>
      </c>
      <c r="I2769" s="7">
        <v>37.67</v>
      </c>
      <c r="J2769" s="3" t="s">
        <v>521</v>
      </c>
      <c r="K2769" s="9" t="s">
        <v>36</v>
      </c>
      <c r="L2769" s="6" t="s">
        <v>36</v>
      </c>
      <c r="M2769" s="3" t="s">
        <v>36</v>
      </c>
      <c r="N2769" s="3" t="s">
        <v>36</v>
      </c>
      <c r="O2769" s="8" t="s">
        <v>36</v>
      </c>
      <c r="P2769" s="3" t="s">
        <v>36</v>
      </c>
      <c r="Q2769" s="3" t="s">
        <v>36</v>
      </c>
      <c r="R2769" s="3" t="s">
        <v>36</v>
      </c>
      <c r="S2769" s="3" t="s">
        <v>36</v>
      </c>
      <c r="T2769" s="3" t="s">
        <v>2490</v>
      </c>
      <c r="U2769" s="3" t="s">
        <v>318</v>
      </c>
      <c r="V2769" s="3" t="s">
        <v>39</v>
      </c>
      <c r="W2769" s="3" t="s">
        <v>14938</v>
      </c>
      <c r="X2769" s="10" t="s">
        <v>14939</v>
      </c>
      <c r="Y2769" s="6" t="s">
        <v>108</v>
      </c>
      <c r="Z2769" s="4">
        <v>8.12</v>
      </c>
      <c r="AA2769" s="4">
        <v>11.16</v>
      </c>
      <c r="AB2769" s="3" t="s">
        <v>56</v>
      </c>
      <c r="AC2769" s="3" t="s">
        <v>14940</v>
      </c>
      <c r="AD2769" s="9">
        <v>44501</v>
      </c>
      <c r="AE2769" s="3" t="s">
        <v>417</v>
      </c>
      <c r="AF2769" s="3" t="s">
        <v>14941</v>
      </c>
      <c r="AG2769" s="3" t="s">
        <v>373</v>
      </c>
      <c r="AH2769" s="11">
        <f>HYPERLINK("https://my.pitchbook.com?c=179215-84T","View Company Online")</f>
      </c>
    </row>
    <row r="2770">
      <c r="A2770" s="12" t="s">
        <v>14942</v>
      </c>
      <c r="B2770" s="12" t="s">
        <v>14943</v>
      </c>
      <c r="C2770" s="19" t="s">
        <v>36</v>
      </c>
      <c r="D2770" s="19" t="s">
        <v>36</v>
      </c>
      <c r="E2770" s="19" t="s">
        <v>36</v>
      </c>
      <c r="F2770" s="19" t="s">
        <v>36</v>
      </c>
      <c r="G2770" s="15" t="s">
        <v>36</v>
      </c>
      <c r="H2770" s="14" t="s">
        <v>36</v>
      </c>
      <c r="I2770" s="18">
        <v>20</v>
      </c>
      <c r="J2770" s="12" t="s">
        <v>521</v>
      </c>
      <c r="K2770" s="13" t="s">
        <v>36</v>
      </c>
      <c r="L2770" s="15" t="s">
        <v>36</v>
      </c>
      <c r="M2770" s="12" t="s">
        <v>36</v>
      </c>
      <c r="N2770" s="12" t="s">
        <v>36</v>
      </c>
      <c r="O2770" s="17" t="s">
        <v>36</v>
      </c>
      <c r="P2770" s="12" t="s">
        <v>36</v>
      </c>
      <c r="Q2770" s="12" t="s">
        <v>36</v>
      </c>
      <c r="R2770" s="12" t="s">
        <v>36</v>
      </c>
      <c r="S2770" s="12" t="s">
        <v>36</v>
      </c>
      <c r="T2770" s="12" t="s">
        <v>14944</v>
      </c>
      <c r="U2770" s="12" t="s">
        <v>38</v>
      </c>
      <c r="V2770" s="12" t="s">
        <v>39</v>
      </c>
      <c r="W2770" s="12" t="s">
        <v>14945</v>
      </c>
      <c r="X2770" s="16" t="s">
        <v>8198</v>
      </c>
      <c r="Y2770" s="15" t="s">
        <v>42</v>
      </c>
      <c r="Z2770" s="14">
        <v>28.99</v>
      </c>
      <c r="AA2770" s="14">
        <v>173.96</v>
      </c>
      <c r="AB2770" s="12" t="s">
        <v>43</v>
      </c>
      <c r="AC2770" s="12" t="s">
        <v>14946</v>
      </c>
      <c r="AD2770" s="13">
        <v>44499</v>
      </c>
      <c r="AE2770" s="12" t="s">
        <v>110</v>
      </c>
      <c r="AF2770" s="12" t="s">
        <v>176</v>
      </c>
      <c r="AG2770" s="12" t="s">
        <v>81</v>
      </c>
      <c r="AH2770" s="1">
        <f>HYPERLINK("https://my.pitchbook.com?c=182799-82T","View Company Online")</f>
      </c>
    </row>
    <row r="2771">
      <c r="A2771" s="3" t="s">
        <v>14947</v>
      </c>
      <c r="B2771" s="3" t="s">
        <v>14948</v>
      </c>
      <c r="C2771" s="5" t="s">
        <v>36</v>
      </c>
      <c r="D2771" s="5" t="s">
        <v>36</v>
      </c>
      <c r="E2771" s="5" t="s">
        <v>36</v>
      </c>
      <c r="F2771" s="5" t="s">
        <v>36</v>
      </c>
      <c r="G2771" s="6" t="s">
        <v>36</v>
      </c>
      <c r="H2771" s="4" t="s">
        <v>36</v>
      </c>
      <c r="I2771" s="7" t="s">
        <v>36</v>
      </c>
      <c r="J2771" s="3" t="s">
        <v>36</v>
      </c>
      <c r="K2771" s="9" t="s">
        <v>36</v>
      </c>
      <c r="L2771" s="6" t="s">
        <v>36</v>
      </c>
      <c r="M2771" s="3" t="s">
        <v>36</v>
      </c>
      <c r="N2771" s="3" t="s">
        <v>36</v>
      </c>
      <c r="O2771" s="8" t="s">
        <v>36</v>
      </c>
      <c r="P2771" s="3" t="s">
        <v>36</v>
      </c>
      <c r="Q2771" s="3" t="s">
        <v>36</v>
      </c>
      <c r="R2771" s="3" t="s">
        <v>36</v>
      </c>
      <c r="S2771" s="3" t="s">
        <v>36</v>
      </c>
      <c r="T2771" s="3" t="s">
        <v>14949</v>
      </c>
      <c r="U2771" s="3" t="s">
        <v>648</v>
      </c>
      <c r="V2771" s="3" t="s">
        <v>64</v>
      </c>
      <c r="W2771" s="3" t="s">
        <v>14950</v>
      </c>
      <c r="X2771" s="10" t="s">
        <v>2433</v>
      </c>
      <c r="Y2771" s="6" t="s">
        <v>42</v>
      </c>
      <c r="Z2771" s="4">
        <v>0.42</v>
      </c>
      <c r="AA2771" s="4" t="s">
        <v>36</v>
      </c>
      <c r="AB2771" s="3" t="s">
        <v>43</v>
      </c>
      <c r="AC2771" s="3" t="s">
        <v>14951</v>
      </c>
      <c r="AD2771" s="9">
        <v>44498</v>
      </c>
      <c r="AE2771" s="3" t="s">
        <v>3988</v>
      </c>
      <c r="AF2771" s="3" t="s">
        <v>36</v>
      </c>
      <c r="AG2771" s="3" t="s">
        <v>81</v>
      </c>
      <c r="AH2771" s="11">
        <f>HYPERLINK("https://my.pitchbook.com?c=190388-17T","View Company Online")</f>
      </c>
    </row>
    <row r="2772">
      <c r="A2772" s="12" t="s">
        <v>14952</v>
      </c>
      <c r="B2772" s="12" t="s">
        <v>4107</v>
      </c>
      <c r="C2772" s="19" t="s">
        <v>36</v>
      </c>
      <c r="D2772" s="19" t="s">
        <v>36</v>
      </c>
      <c r="E2772" s="19" t="s">
        <v>36</v>
      </c>
      <c r="F2772" s="19" t="s">
        <v>36</v>
      </c>
      <c r="G2772" s="15" t="s">
        <v>36</v>
      </c>
      <c r="H2772" s="14" t="s">
        <v>36</v>
      </c>
      <c r="I2772" s="18" t="s">
        <v>36</v>
      </c>
      <c r="J2772" s="12" t="s">
        <v>36</v>
      </c>
      <c r="K2772" s="13" t="s">
        <v>36</v>
      </c>
      <c r="L2772" s="15" t="s">
        <v>36</v>
      </c>
      <c r="M2772" s="12" t="s">
        <v>36</v>
      </c>
      <c r="N2772" s="12" t="s">
        <v>36</v>
      </c>
      <c r="O2772" s="17" t="s">
        <v>36</v>
      </c>
      <c r="P2772" s="12" t="s">
        <v>36</v>
      </c>
      <c r="Q2772" s="12" t="s">
        <v>36</v>
      </c>
      <c r="R2772" s="12" t="s">
        <v>36</v>
      </c>
      <c r="S2772" s="12" t="s">
        <v>36</v>
      </c>
      <c r="T2772" s="12" t="s">
        <v>4108</v>
      </c>
      <c r="U2772" s="12" t="s">
        <v>96</v>
      </c>
      <c r="V2772" s="12" t="s">
        <v>52</v>
      </c>
      <c r="W2772" s="12" t="s">
        <v>4109</v>
      </c>
      <c r="X2772" s="16" t="s">
        <v>14953</v>
      </c>
      <c r="Y2772" s="15" t="s">
        <v>42</v>
      </c>
      <c r="Z2772" s="14">
        <v>4.06</v>
      </c>
      <c r="AA2772" s="14" t="s">
        <v>36</v>
      </c>
      <c r="AB2772" s="12" t="s">
        <v>43</v>
      </c>
      <c r="AC2772" s="12" t="s">
        <v>4111</v>
      </c>
      <c r="AD2772" s="13">
        <v>44497</v>
      </c>
      <c r="AE2772" s="12" t="s">
        <v>755</v>
      </c>
      <c r="AF2772" s="12" t="s">
        <v>261</v>
      </c>
      <c r="AG2772" s="12" t="s">
        <v>81</v>
      </c>
      <c r="AH2772" s="1">
        <f>HYPERLINK("https://my.pitchbook.com?c=182658-34T","View Company Online")</f>
      </c>
    </row>
    <row r="2773">
      <c r="A2773" s="3" t="s">
        <v>14954</v>
      </c>
      <c r="B2773" s="3" t="s">
        <v>14955</v>
      </c>
      <c r="C2773" s="5">
        <v>13</v>
      </c>
      <c r="D2773" s="5">
        <v>42</v>
      </c>
      <c r="E2773" s="5">
        <v>10</v>
      </c>
      <c r="F2773" s="5">
        <v>56</v>
      </c>
      <c r="G2773" s="6" t="s">
        <v>36</v>
      </c>
      <c r="H2773" s="4" t="s">
        <v>36</v>
      </c>
      <c r="I2773" s="7" t="s">
        <v>36</v>
      </c>
      <c r="J2773" s="3" t="s">
        <v>36</v>
      </c>
      <c r="K2773" s="9" t="s">
        <v>36</v>
      </c>
      <c r="L2773" s="6" t="s">
        <v>36</v>
      </c>
      <c r="M2773" s="3" t="s">
        <v>36</v>
      </c>
      <c r="N2773" s="3" t="s">
        <v>36</v>
      </c>
      <c r="O2773" s="8" t="s">
        <v>36</v>
      </c>
      <c r="P2773" s="3" t="s">
        <v>36</v>
      </c>
      <c r="Q2773" s="3" t="s">
        <v>36</v>
      </c>
      <c r="R2773" s="3" t="s">
        <v>36</v>
      </c>
      <c r="S2773" s="3" t="s">
        <v>36</v>
      </c>
      <c r="T2773" s="3" t="s">
        <v>14956</v>
      </c>
      <c r="U2773" s="3" t="s">
        <v>318</v>
      </c>
      <c r="V2773" s="3" t="s">
        <v>39</v>
      </c>
      <c r="W2773" s="3" t="s">
        <v>14957</v>
      </c>
      <c r="X2773" s="10" t="s">
        <v>14958</v>
      </c>
      <c r="Y2773" s="6" t="s">
        <v>192</v>
      </c>
      <c r="Z2773" s="4" t="s">
        <v>36</v>
      </c>
      <c r="AA2773" s="4" t="s">
        <v>36</v>
      </c>
      <c r="AB2773" s="3" t="s">
        <v>56</v>
      </c>
      <c r="AC2773" s="3" t="s">
        <v>14959</v>
      </c>
      <c r="AD2773" s="9">
        <v>44497</v>
      </c>
      <c r="AE2773" s="3" t="s">
        <v>417</v>
      </c>
      <c r="AF2773" s="3" t="s">
        <v>592</v>
      </c>
      <c r="AG2773" s="3" t="s">
        <v>81</v>
      </c>
      <c r="AH2773" s="11">
        <f>HYPERLINK("https://my.pitchbook.com?c=208728-01T","View Company Online")</f>
      </c>
    </row>
    <row r="2774">
      <c r="A2774" s="12" t="s">
        <v>14960</v>
      </c>
      <c r="B2774" s="12" t="s">
        <v>10479</v>
      </c>
      <c r="C2774" s="19">
        <v>1</v>
      </c>
      <c r="D2774" s="19">
        <v>6</v>
      </c>
      <c r="E2774" s="19">
        <v>4</v>
      </c>
      <c r="F2774" s="19">
        <v>8</v>
      </c>
      <c r="G2774" s="15" t="s">
        <v>326</v>
      </c>
      <c r="H2774" s="14">
        <v>6.17</v>
      </c>
      <c r="I2774" s="18">
        <v>23.19</v>
      </c>
      <c r="J2774" s="12" t="s">
        <v>521</v>
      </c>
      <c r="K2774" s="13">
        <v>44326</v>
      </c>
      <c r="L2774" s="15" t="s">
        <v>122</v>
      </c>
      <c r="M2774" s="12" t="s">
        <v>36</v>
      </c>
      <c r="N2774" s="12" t="s">
        <v>122</v>
      </c>
      <c r="O2774" s="17" t="s">
        <v>36</v>
      </c>
      <c r="P2774" s="12" t="s">
        <v>36</v>
      </c>
      <c r="Q2774" s="12" t="s">
        <v>36</v>
      </c>
      <c r="R2774" s="12" t="s">
        <v>36</v>
      </c>
      <c r="S2774" s="12" t="s">
        <v>36</v>
      </c>
      <c r="T2774" s="12" t="s">
        <v>10480</v>
      </c>
      <c r="U2774" s="12" t="s">
        <v>318</v>
      </c>
      <c r="V2774" s="12" t="s">
        <v>39</v>
      </c>
      <c r="W2774" s="12" t="s">
        <v>10481</v>
      </c>
      <c r="X2774" s="16" t="s">
        <v>10482</v>
      </c>
      <c r="Y2774" s="15" t="s">
        <v>108</v>
      </c>
      <c r="Z2774" s="14">
        <v>3.85</v>
      </c>
      <c r="AA2774" s="14">
        <v>8.3</v>
      </c>
      <c r="AB2774" s="12" t="s">
        <v>56</v>
      </c>
      <c r="AC2774" s="12" t="s">
        <v>10483</v>
      </c>
      <c r="AD2774" s="13">
        <v>44497</v>
      </c>
      <c r="AE2774" s="12" t="s">
        <v>763</v>
      </c>
      <c r="AF2774" s="12" t="s">
        <v>4668</v>
      </c>
      <c r="AG2774" s="12" t="s">
        <v>652</v>
      </c>
      <c r="AH2774" s="1">
        <f>HYPERLINK("https://my.pitchbook.com?c=184229-11T","View Company Online")</f>
      </c>
    </row>
    <row r="2775">
      <c r="A2775" s="3" t="s">
        <v>14961</v>
      </c>
      <c r="B2775" s="3" t="s">
        <v>5903</v>
      </c>
      <c r="C2775" s="5">
        <v>6</v>
      </c>
      <c r="D2775" s="5">
        <v>6</v>
      </c>
      <c r="E2775" s="5">
        <v>8</v>
      </c>
      <c r="F2775" s="5">
        <v>15</v>
      </c>
      <c r="G2775" s="6" t="s">
        <v>683</v>
      </c>
      <c r="H2775" s="4">
        <v>0.66</v>
      </c>
      <c r="I2775" s="7">
        <v>37.31</v>
      </c>
      <c r="J2775" s="3" t="s">
        <v>521</v>
      </c>
      <c r="K2775" s="9" t="s">
        <v>36</v>
      </c>
      <c r="L2775" s="6" t="s">
        <v>94</v>
      </c>
      <c r="M2775" s="3" t="s">
        <v>36</v>
      </c>
      <c r="N2775" s="3" t="s">
        <v>94</v>
      </c>
      <c r="O2775" s="8" t="s">
        <v>36</v>
      </c>
      <c r="P2775" s="3" t="s">
        <v>36</v>
      </c>
      <c r="Q2775" s="3" t="s">
        <v>36</v>
      </c>
      <c r="R2775" s="3" t="s">
        <v>36</v>
      </c>
      <c r="S2775" s="3" t="s">
        <v>36</v>
      </c>
      <c r="T2775" s="3" t="s">
        <v>189</v>
      </c>
      <c r="U2775" s="3" t="s">
        <v>180</v>
      </c>
      <c r="V2775" s="3" t="s">
        <v>52</v>
      </c>
      <c r="W2775" s="3" t="s">
        <v>5905</v>
      </c>
      <c r="X2775" s="10" t="s">
        <v>14962</v>
      </c>
      <c r="Y2775" s="6" t="s">
        <v>55</v>
      </c>
      <c r="Z2775" s="4">
        <v>8.12</v>
      </c>
      <c r="AA2775" s="4">
        <v>19.22</v>
      </c>
      <c r="AB2775" s="3" t="s">
        <v>56</v>
      </c>
      <c r="AC2775" s="3" t="s">
        <v>5907</v>
      </c>
      <c r="AD2775" s="9">
        <v>44497</v>
      </c>
      <c r="AE2775" s="3" t="s">
        <v>184</v>
      </c>
      <c r="AF2775" s="3" t="s">
        <v>5908</v>
      </c>
      <c r="AG2775" s="3" t="s">
        <v>81</v>
      </c>
      <c r="AH2775" s="11">
        <f>HYPERLINK("https://my.pitchbook.com?c=163972-72T","View Company Online")</f>
      </c>
    </row>
    <row r="2776">
      <c r="A2776" s="12" t="s">
        <v>14963</v>
      </c>
      <c r="B2776" s="12" t="s">
        <v>14964</v>
      </c>
      <c r="C2776" s="19" t="s">
        <v>36</v>
      </c>
      <c r="D2776" s="19" t="s">
        <v>36</v>
      </c>
      <c r="E2776" s="19" t="s">
        <v>36</v>
      </c>
      <c r="F2776" s="19" t="s">
        <v>36</v>
      </c>
      <c r="G2776" s="15" t="s">
        <v>36</v>
      </c>
      <c r="H2776" s="14" t="s">
        <v>36</v>
      </c>
      <c r="I2776" s="18" t="s">
        <v>36</v>
      </c>
      <c r="J2776" s="12" t="s">
        <v>36</v>
      </c>
      <c r="K2776" s="13" t="s">
        <v>36</v>
      </c>
      <c r="L2776" s="15" t="s">
        <v>36</v>
      </c>
      <c r="M2776" s="12" t="s">
        <v>36</v>
      </c>
      <c r="N2776" s="12" t="s">
        <v>36</v>
      </c>
      <c r="O2776" s="17" t="s">
        <v>36</v>
      </c>
      <c r="P2776" s="12" t="s">
        <v>36</v>
      </c>
      <c r="Q2776" s="12" t="s">
        <v>36</v>
      </c>
      <c r="R2776" s="12" t="s">
        <v>36</v>
      </c>
      <c r="S2776" s="12" t="s">
        <v>36</v>
      </c>
      <c r="T2776" s="12" t="s">
        <v>12747</v>
      </c>
      <c r="U2776" s="12" t="s">
        <v>648</v>
      </c>
      <c r="V2776" s="12" t="s">
        <v>64</v>
      </c>
      <c r="W2776" s="12" t="s">
        <v>14965</v>
      </c>
      <c r="X2776" s="16" t="s">
        <v>14966</v>
      </c>
      <c r="Y2776" s="15" t="s">
        <v>166</v>
      </c>
      <c r="Z2776" s="14">
        <v>4.29</v>
      </c>
      <c r="AA2776" s="14" t="s">
        <v>36</v>
      </c>
      <c r="AB2776" s="12" t="s">
        <v>56</v>
      </c>
      <c r="AC2776" s="12" t="s">
        <v>14967</v>
      </c>
      <c r="AD2776" s="13">
        <v>44497</v>
      </c>
      <c r="AE2776" s="12" t="s">
        <v>651</v>
      </c>
      <c r="AF2776" s="12" t="s">
        <v>36</v>
      </c>
      <c r="AG2776" s="12" t="s">
        <v>924</v>
      </c>
      <c r="AH2776" s="1">
        <f>HYPERLINK("https://my.pitchbook.com?c=182416-96T","View Company Online")</f>
      </c>
    </row>
    <row r="2777">
      <c r="A2777" s="3" t="s">
        <v>14968</v>
      </c>
      <c r="B2777" s="3" t="s">
        <v>3478</v>
      </c>
      <c r="C2777" s="5" t="s">
        <v>36</v>
      </c>
      <c r="D2777" s="5" t="s">
        <v>36</v>
      </c>
      <c r="E2777" s="5" t="s">
        <v>36</v>
      </c>
      <c r="F2777" s="5" t="s">
        <v>36</v>
      </c>
      <c r="G2777" s="6" t="s">
        <v>36</v>
      </c>
      <c r="H2777" s="4" t="s">
        <v>36</v>
      </c>
      <c r="I2777" s="7" t="s">
        <v>36</v>
      </c>
      <c r="J2777" s="3" t="s">
        <v>36</v>
      </c>
      <c r="K2777" s="9" t="s">
        <v>36</v>
      </c>
      <c r="L2777" s="6" t="s">
        <v>36</v>
      </c>
      <c r="M2777" s="3" t="s">
        <v>36</v>
      </c>
      <c r="N2777" s="3" t="s">
        <v>36</v>
      </c>
      <c r="O2777" s="8" t="s">
        <v>36</v>
      </c>
      <c r="P2777" s="3" t="s">
        <v>36</v>
      </c>
      <c r="Q2777" s="3" t="s">
        <v>36</v>
      </c>
      <c r="R2777" s="3" t="s">
        <v>36</v>
      </c>
      <c r="S2777" s="3" t="s">
        <v>3479</v>
      </c>
      <c r="T2777" s="3" t="s">
        <v>37</v>
      </c>
      <c r="U2777" s="3" t="s">
        <v>38</v>
      </c>
      <c r="V2777" s="3" t="s">
        <v>39</v>
      </c>
      <c r="W2777" s="3" t="s">
        <v>3480</v>
      </c>
      <c r="X2777" s="10" t="s">
        <v>14969</v>
      </c>
      <c r="Y2777" s="6" t="s">
        <v>42</v>
      </c>
      <c r="Z2777" s="4">
        <v>1.35</v>
      </c>
      <c r="AA2777" s="4" t="s">
        <v>36</v>
      </c>
      <c r="AB2777" s="3" t="s">
        <v>43</v>
      </c>
      <c r="AC2777" s="3" t="s">
        <v>3482</v>
      </c>
      <c r="AD2777" s="9">
        <v>44496</v>
      </c>
      <c r="AE2777" s="3" t="s">
        <v>45</v>
      </c>
      <c r="AF2777" s="3" t="s">
        <v>799</v>
      </c>
      <c r="AG2777" s="3" t="s">
        <v>81</v>
      </c>
      <c r="AH2777" s="11">
        <f>HYPERLINK("https://my.pitchbook.com?c=188728-93T","View Company Online")</f>
      </c>
    </row>
    <row r="2778">
      <c r="A2778" s="12" t="s">
        <v>14970</v>
      </c>
      <c r="B2778" s="12" t="s">
        <v>14971</v>
      </c>
      <c r="C2778" s="19" t="s">
        <v>36</v>
      </c>
      <c r="D2778" s="19" t="s">
        <v>36</v>
      </c>
      <c r="E2778" s="19" t="s">
        <v>36</v>
      </c>
      <c r="F2778" s="19" t="s">
        <v>36</v>
      </c>
      <c r="G2778" s="15" t="s">
        <v>36</v>
      </c>
      <c r="H2778" s="14" t="s">
        <v>36</v>
      </c>
      <c r="I2778" s="18" t="s">
        <v>36</v>
      </c>
      <c r="J2778" s="12" t="s">
        <v>36</v>
      </c>
      <c r="K2778" s="13" t="s">
        <v>36</v>
      </c>
      <c r="L2778" s="15" t="s">
        <v>122</v>
      </c>
      <c r="M2778" s="12" t="s">
        <v>36</v>
      </c>
      <c r="N2778" s="12" t="s">
        <v>122</v>
      </c>
      <c r="O2778" s="17" t="s">
        <v>36</v>
      </c>
      <c r="P2778" s="12" t="s">
        <v>36</v>
      </c>
      <c r="Q2778" s="12" t="s">
        <v>36</v>
      </c>
      <c r="R2778" s="12" t="s">
        <v>36</v>
      </c>
      <c r="S2778" s="12" t="s">
        <v>36</v>
      </c>
      <c r="T2778" s="12" t="s">
        <v>1596</v>
      </c>
      <c r="U2778" s="12" t="s">
        <v>728</v>
      </c>
      <c r="V2778" s="12" t="s">
        <v>64</v>
      </c>
      <c r="W2778" s="12" t="s">
        <v>14972</v>
      </c>
      <c r="X2778" s="16" t="s">
        <v>14973</v>
      </c>
      <c r="Y2778" s="15" t="s">
        <v>42</v>
      </c>
      <c r="Z2778" s="14">
        <v>2.5</v>
      </c>
      <c r="AA2778" s="14" t="s">
        <v>36</v>
      </c>
      <c r="AB2778" s="12" t="s">
        <v>56</v>
      </c>
      <c r="AC2778" s="12" t="s">
        <v>14974</v>
      </c>
      <c r="AD2778" s="13">
        <v>44496</v>
      </c>
      <c r="AE2778" s="12" t="s">
        <v>1600</v>
      </c>
      <c r="AF2778" s="12" t="s">
        <v>90</v>
      </c>
      <c r="AG2778" s="12" t="s">
        <v>81</v>
      </c>
      <c r="AH2778" s="1">
        <f>HYPERLINK("https://my.pitchbook.com?c=182381-77T","View Company Online")</f>
      </c>
    </row>
    <row r="2779">
      <c r="A2779" s="3" t="s">
        <v>14975</v>
      </c>
      <c r="B2779" s="3" t="s">
        <v>3714</v>
      </c>
      <c r="C2779" s="5" t="s">
        <v>36</v>
      </c>
      <c r="D2779" s="5" t="s">
        <v>36</v>
      </c>
      <c r="E2779" s="5" t="s">
        <v>36</v>
      </c>
      <c r="F2779" s="5" t="s">
        <v>36</v>
      </c>
      <c r="G2779" s="6" t="s">
        <v>2497</v>
      </c>
      <c r="H2779" s="4" t="s">
        <v>36</v>
      </c>
      <c r="I2779" s="7">
        <v>36.42</v>
      </c>
      <c r="J2779" s="3" t="s">
        <v>327</v>
      </c>
      <c r="K2779" s="9" t="s">
        <v>36</v>
      </c>
      <c r="L2779" s="6" t="s">
        <v>36</v>
      </c>
      <c r="M2779" s="3" t="s">
        <v>36</v>
      </c>
      <c r="N2779" s="3" t="s">
        <v>36</v>
      </c>
      <c r="O2779" s="8" t="s">
        <v>36</v>
      </c>
      <c r="P2779" s="3" t="s">
        <v>36</v>
      </c>
      <c r="Q2779" s="3" t="s">
        <v>36</v>
      </c>
      <c r="R2779" s="3" t="s">
        <v>36</v>
      </c>
      <c r="S2779" s="3" t="s">
        <v>36</v>
      </c>
      <c r="T2779" s="3" t="s">
        <v>3715</v>
      </c>
      <c r="U2779" s="3" t="s">
        <v>318</v>
      </c>
      <c r="V2779" s="3" t="s">
        <v>39</v>
      </c>
      <c r="W2779" s="3" t="s">
        <v>3716</v>
      </c>
      <c r="X2779" s="10" t="s">
        <v>14976</v>
      </c>
      <c r="Y2779" s="6" t="s">
        <v>166</v>
      </c>
      <c r="Z2779" s="4">
        <v>4.64</v>
      </c>
      <c r="AA2779" s="4">
        <v>12.74</v>
      </c>
      <c r="AB2779" s="3" t="s">
        <v>56</v>
      </c>
      <c r="AC2779" s="3" t="s">
        <v>3718</v>
      </c>
      <c r="AD2779" s="9">
        <v>44496</v>
      </c>
      <c r="AE2779" s="3" t="s">
        <v>763</v>
      </c>
      <c r="AF2779" s="3" t="s">
        <v>3719</v>
      </c>
      <c r="AG2779" s="3" t="s">
        <v>186</v>
      </c>
      <c r="AH2779" s="11">
        <f>HYPERLINK("https://my.pitchbook.com?c=183410-29T","View Company Online")</f>
      </c>
    </row>
    <row r="2780">
      <c r="A2780" s="12" t="s">
        <v>14977</v>
      </c>
      <c r="B2780" s="12" t="s">
        <v>14978</v>
      </c>
      <c r="C2780" s="19">
        <v>2</v>
      </c>
      <c r="D2780" s="19">
        <v>4</v>
      </c>
      <c r="E2780" s="19">
        <v>3</v>
      </c>
      <c r="F2780" s="19">
        <v>7</v>
      </c>
      <c r="G2780" s="15" t="s">
        <v>36</v>
      </c>
      <c r="H2780" s="14">
        <v>303.89</v>
      </c>
      <c r="I2780" s="18">
        <v>23.5</v>
      </c>
      <c r="J2780" s="12" t="s">
        <v>521</v>
      </c>
      <c r="K2780" s="13" t="s">
        <v>36</v>
      </c>
      <c r="L2780" s="15" t="s">
        <v>36</v>
      </c>
      <c r="M2780" s="12" t="s">
        <v>36</v>
      </c>
      <c r="N2780" s="12" t="s">
        <v>36</v>
      </c>
      <c r="O2780" s="17" t="s">
        <v>36</v>
      </c>
      <c r="P2780" s="12" t="s">
        <v>36</v>
      </c>
      <c r="Q2780" s="12" t="s">
        <v>36</v>
      </c>
      <c r="R2780" s="12" t="s">
        <v>36</v>
      </c>
      <c r="S2780" s="12" t="s">
        <v>36</v>
      </c>
      <c r="T2780" s="12" t="s">
        <v>2961</v>
      </c>
      <c r="U2780" s="12" t="s">
        <v>74</v>
      </c>
      <c r="V2780" s="12" t="s">
        <v>75</v>
      </c>
      <c r="W2780" s="12" t="s">
        <v>14979</v>
      </c>
      <c r="X2780" s="16" t="s">
        <v>14980</v>
      </c>
      <c r="Y2780" s="15" t="s">
        <v>42</v>
      </c>
      <c r="Z2780" s="14">
        <v>1.16</v>
      </c>
      <c r="AA2780" s="14">
        <v>3.21</v>
      </c>
      <c r="AB2780" s="12" t="s">
        <v>43</v>
      </c>
      <c r="AC2780" s="12" t="s">
        <v>14981</v>
      </c>
      <c r="AD2780" s="13">
        <v>44495</v>
      </c>
      <c r="AE2780" s="12" t="s">
        <v>975</v>
      </c>
      <c r="AF2780" s="12" t="s">
        <v>36</v>
      </c>
      <c r="AG2780" s="12" t="s">
        <v>14982</v>
      </c>
      <c r="AH2780" s="1">
        <f>HYPERLINK("https://my.pitchbook.com?c=190308-34T","View Company Online")</f>
      </c>
    </row>
    <row r="2781">
      <c r="A2781" s="3" t="s">
        <v>14983</v>
      </c>
      <c r="B2781" s="3" t="s">
        <v>11694</v>
      </c>
      <c r="C2781" s="5" t="s">
        <v>36</v>
      </c>
      <c r="D2781" s="5" t="s">
        <v>36</v>
      </c>
      <c r="E2781" s="5" t="s">
        <v>36</v>
      </c>
      <c r="F2781" s="5" t="s">
        <v>36</v>
      </c>
      <c r="G2781" s="6" t="s">
        <v>36</v>
      </c>
      <c r="H2781" s="4">
        <v>104.31</v>
      </c>
      <c r="I2781" s="7">
        <v>55.45</v>
      </c>
      <c r="J2781" s="3" t="s">
        <v>521</v>
      </c>
      <c r="K2781" s="9" t="s">
        <v>36</v>
      </c>
      <c r="L2781" s="6" t="s">
        <v>122</v>
      </c>
      <c r="M2781" s="3" t="s">
        <v>36</v>
      </c>
      <c r="N2781" s="3" t="s">
        <v>122</v>
      </c>
      <c r="O2781" s="8" t="s">
        <v>36</v>
      </c>
      <c r="P2781" s="3" t="s">
        <v>36</v>
      </c>
      <c r="Q2781" s="3" t="s">
        <v>36</v>
      </c>
      <c r="R2781" s="3" t="s">
        <v>36</v>
      </c>
      <c r="S2781" s="3" t="s">
        <v>36</v>
      </c>
      <c r="T2781" s="3" t="s">
        <v>881</v>
      </c>
      <c r="U2781" s="3" t="s">
        <v>51</v>
      </c>
      <c r="V2781" s="3" t="s">
        <v>52</v>
      </c>
      <c r="W2781" s="3" t="s">
        <v>11695</v>
      </c>
      <c r="X2781" s="10" t="s">
        <v>14984</v>
      </c>
      <c r="Y2781" s="6" t="s">
        <v>108</v>
      </c>
      <c r="Z2781" s="4">
        <v>46.48</v>
      </c>
      <c r="AA2781" s="4">
        <v>26.19</v>
      </c>
      <c r="AB2781" s="3" t="s">
        <v>43</v>
      </c>
      <c r="AC2781" s="3" t="s">
        <v>11697</v>
      </c>
      <c r="AD2781" s="9">
        <v>44491</v>
      </c>
      <c r="AE2781" s="3" t="s">
        <v>504</v>
      </c>
      <c r="AF2781" s="3" t="s">
        <v>3193</v>
      </c>
      <c r="AG2781" s="3" t="s">
        <v>81</v>
      </c>
      <c r="AH2781" s="11">
        <f>HYPERLINK("https://my.pitchbook.com?c=182088-91T","View Company Online")</f>
      </c>
    </row>
    <row r="2782">
      <c r="A2782" s="12" t="s">
        <v>14985</v>
      </c>
      <c r="B2782" s="12" t="s">
        <v>8693</v>
      </c>
      <c r="C2782" s="19" t="s">
        <v>36</v>
      </c>
      <c r="D2782" s="19" t="s">
        <v>36</v>
      </c>
      <c r="E2782" s="19" t="s">
        <v>36</v>
      </c>
      <c r="F2782" s="19" t="s">
        <v>36</v>
      </c>
      <c r="G2782" s="15" t="s">
        <v>326</v>
      </c>
      <c r="H2782" s="14">
        <v>16.68</v>
      </c>
      <c r="I2782" s="18">
        <v>8.7</v>
      </c>
      <c r="J2782" s="12" t="s">
        <v>521</v>
      </c>
      <c r="K2782" s="13" t="s">
        <v>36</v>
      </c>
      <c r="L2782" s="15" t="s">
        <v>36</v>
      </c>
      <c r="M2782" s="12" t="s">
        <v>36</v>
      </c>
      <c r="N2782" s="12" t="s">
        <v>36</v>
      </c>
      <c r="O2782" s="17" t="s">
        <v>36</v>
      </c>
      <c r="P2782" s="12" t="s">
        <v>36</v>
      </c>
      <c r="Q2782" s="12" t="s">
        <v>36</v>
      </c>
      <c r="R2782" s="12" t="s">
        <v>36</v>
      </c>
      <c r="S2782" s="12" t="s">
        <v>36</v>
      </c>
      <c r="T2782" s="12" t="s">
        <v>8694</v>
      </c>
      <c r="U2782" s="12" t="s">
        <v>279</v>
      </c>
      <c r="V2782" s="12" t="s">
        <v>64</v>
      </c>
      <c r="W2782" s="12" t="s">
        <v>8695</v>
      </c>
      <c r="X2782" s="16" t="s">
        <v>14986</v>
      </c>
      <c r="Y2782" s="15" t="s">
        <v>166</v>
      </c>
      <c r="Z2782" s="14">
        <v>4.65</v>
      </c>
      <c r="AA2782" s="14">
        <v>26.71</v>
      </c>
      <c r="AB2782" s="12" t="s">
        <v>56</v>
      </c>
      <c r="AC2782" s="12" t="s">
        <v>8697</v>
      </c>
      <c r="AD2782" s="13">
        <v>44491</v>
      </c>
      <c r="AE2782" s="12" t="s">
        <v>283</v>
      </c>
      <c r="AF2782" s="12" t="s">
        <v>90</v>
      </c>
      <c r="AG2782" s="12" t="s">
        <v>102</v>
      </c>
      <c r="AH2782" s="1">
        <f>HYPERLINK("https://my.pitchbook.com?c=187881-76T","View Company Online")</f>
      </c>
    </row>
    <row r="2783">
      <c r="A2783" s="3" t="s">
        <v>14987</v>
      </c>
      <c r="B2783" s="3" t="s">
        <v>14988</v>
      </c>
      <c r="C2783" s="5">
        <v>17</v>
      </c>
      <c r="D2783" s="5">
        <v>14</v>
      </c>
      <c r="E2783" s="5">
        <v>11</v>
      </c>
      <c r="F2783" s="5">
        <v>36</v>
      </c>
      <c r="G2783" s="6" t="s">
        <v>326</v>
      </c>
      <c r="H2783" s="4">
        <v>95.39</v>
      </c>
      <c r="I2783" s="7">
        <v>13.09</v>
      </c>
      <c r="J2783" s="3" t="s">
        <v>521</v>
      </c>
      <c r="K2783" s="9" t="s">
        <v>36</v>
      </c>
      <c r="L2783" s="6" t="s">
        <v>36</v>
      </c>
      <c r="M2783" s="3" t="s">
        <v>36</v>
      </c>
      <c r="N2783" s="3" t="s">
        <v>36</v>
      </c>
      <c r="O2783" s="8" t="s">
        <v>36</v>
      </c>
      <c r="P2783" s="3" t="s">
        <v>36</v>
      </c>
      <c r="Q2783" s="3" t="s">
        <v>36</v>
      </c>
      <c r="R2783" s="3" t="s">
        <v>36</v>
      </c>
      <c r="S2783" s="3" t="s">
        <v>36</v>
      </c>
      <c r="T2783" s="3" t="s">
        <v>14989</v>
      </c>
      <c r="U2783" s="3" t="s">
        <v>51</v>
      </c>
      <c r="V2783" s="3" t="s">
        <v>52</v>
      </c>
      <c r="W2783" s="3" t="s">
        <v>14990</v>
      </c>
      <c r="X2783" s="10" t="s">
        <v>14991</v>
      </c>
      <c r="Y2783" s="6" t="s">
        <v>108</v>
      </c>
      <c r="Z2783" s="4">
        <v>3.15</v>
      </c>
      <c r="AA2783" s="4">
        <v>24.07</v>
      </c>
      <c r="AB2783" s="3" t="s">
        <v>56</v>
      </c>
      <c r="AC2783" s="3" t="s">
        <v>14992</v>
      </c>
      <c r="AD2783" s="9">
        <v>44491</v>
      </c>
      <c r="AE2783" s="3" t="s">
        <v>158</v>
      </c>
      <c r="AF2783" s="3" t="s">
        <v>159</v>
      </c>
      <c r="AG2783" s="3" t="s">
        <v>81</v>
      </c>
      <c r="AH2783" s="11">
        <f>HYPERLINK("https://my.pitchbook.com?c=186071-68T","View Company Online")</f>
      </c>
    </row>
    <row r="2784">
      <c r="A2784" s="12" t="s">
        <v>14993</v>
      </c>
      <c r="B2784" s="12" t="s">
        <v>14994</v>
      </c>
      <c r="C2784" s="19" t="s">
        <v>36</v>
      </c>
      <c r="D2784" s="19" t="s">
        <v>36</v>
      </c>
      <c r="E2784" s="19" t="s">
        <v>36</v>
      </c>
      <c r="F2784" s="19" t="s">
        <v>36</v>
      </c>
      <c r="G2784" s="15" t="s">
        <v>36</v>
      </c>
      <c r="H2784" s="14">
        <v>10.07</v>
      </c>
      <c r="I2784" s="18">
        <v>51.91</v>
      </c>
      <c r="J2784" s="12" t="s">
        <v>521</v>
      </c>
      <c r="K2784" s="13" t="s">
        <v>36</v>
      </c>
      <c r="L2784" s="15" t="s">
        <v>36</v>
      </c>
      <c r="M2784" s="12" t="s">
        <v>36</v>
      </c>
      <c r="N2784" s="12" t="s">
        <v>36</v>
      </c>
      <c r="O2784" s="17" t="s">
        <v>36</v>
      </c>
      <c r="P2784" s="12" t="s">
        <v>36</v>
      </c>
      <c r="Q2784" s="12" t="s">
        <v>36</v>
      </c>
      <c r="R2784" s="12" t="s">
        <v>36</v>
      </c>
      <c r="S2784" s="12" t="s">
        <v>36</v>
      </c>
      <c r="T2784" s="12" t="s">
        <v>14995</v>
      </c>
      <c r="U2784" s="12" t="s">
        <v>38</v>
      </c>
      <c r="V2784" s="12" t="s">
        <v>39</v>
      </c>
      <c r="W2784" s="12" t="s">
        <v>14996</v>
      </c>
      <c r="X2784" s="16" t="s">
        <v>14997</v>
      </c>
      <c r="Y2784" s="15" t="s">
        <v>108</v>
      </c>
      <c r="Z2784" s="14">
        <v>1.94</v>
      </c>
      <c r="AA2784" s="14">
        <v>3.74</v>
      </c>
      <c r="AB2784" s="12" t="s">
        <v>43</v>
      </c>
      <c r="AC2784" s="12" t="s">
        <v>14998</v>
      </c>
      <c r="AD2784" s="13">
        <v>44490</v>
      </c>
      <c r="AE2784" s="12" t="s">
        <v>110</v>
      </c>
      <c r="AF2784" s="12" t="s">
        <v>3319</v>
      </c>
      <c r="AG2784" s="12" t="s">
        <v>47</v>
      </c>
      <c r="AH2784" s="1">
        <f>HYPERLINK("https://my.pitchbook.com?c=190285-30T","View Company Online")</f>
      </c>
    </row>
    <row r="2785">
      <c r="A2785" s="3" t="s">
        <v>14999</v>
      </c>
      <c r="B2785" s="3" t="s">
        <v>5910</v>
      </c>
      <c r="C2785" s="5">
        <v>1</v>
      </c>
      <c r="D2785" s="5">
        <v>6</v>
      </c>
      <c r="E2785" s="5">
        <v>2</v>
      </c>
      <c r="F2785" s="5">
        <v>7</v>
      </c>
      <c r="G2785" s="6" t="s">
        <v>36</v>
      </c>
      <c r="H2785" s="4" t="s">
        <v>36</v>
      </c>
      <c r="I2785" s="7" t="s">
        <v>36</v>
      </c>
      <c r="J2785" s="3" t="s">
        <v>36</v>
      </c>
      <c r="K2785" s="9" t="s">
        <v>36</v>
      </c>
      <c r="L2785" s="6" t="s">
        <v>36</v>
      </c>
      <c r="M2785" s="3" t="s">
        <v>36</v>
      </c>
      <c r="N2785" s="3" t="s">
        <v>36</v>
      </c>
      <c r="O2785" s="8" t="s">
        <v>36</v>
      </c>
      <c r="P2785" s="3" t="s">
        <v>36</v>
      </c>
      <c r="Q2785" s="3" t="s">
        <v>36</v>
      </c>
      <c r="R2785" s="3" t="s">
        <v>36</v>
      </c>
      <c r="S2785" s="3" t="s">
        <v>36</v>
      </c>
      <c r="T2785" s="3" t="s">
        <v>5911</v>
      </c>
      <c r="U2785" s="3" t="s">
        <v>74</v>
      </c>
      <c r="V2785" s="3" t="s">
        <v>75</v>
      </c>
      <c r="W2785" s="3" t="s">
        <v>5912</v>
      </c>
      <c r="X2785" s="10" t="s">
        <v>3038</v>
      </c>
      <c r="Y2785" s="6" t="s">
        <v>108</v>
      </c>
      <c r="Z2785" s="4" t="s">
        <v>36</v>
      </c>
      <c r="AA2785" s="4" t="s">
        <v>36</v>
      </c>
      <c r="AB2785" s="3" t="s">
        <v>43</v>
      </c>
      <c r="AC2785" s="3" t="s">
        <v>5914</v>
      </c>
      <c r="AD2785" s="9">
        <v>44490</v>
      </c>
      <c r="AE2785" s="3" t="s">
        <v>79</v>
      </c>
      <c r="AF2785" s="3" t="s">
        <v>176</v>
      </c>
      <c r="AG2785" s="3" t="s">
        <v>81</v>
      </c>
      <c r="AH2785" s="11">
        <f>HYPERLINK("https://my.pitchbook.com?c=187227-73T","View Company Online")</f>
      </c>
    </row>
    <row r="2786">
      <c r="A2786" s="12" t="s">
        <v>15000</v>
      </c>
      <c r="B2786" s="12" t="s">
        <v>15001</v>
      </c>
      <c r="C2786" s="19">
        <v>5</v>
      </c>
      <c r="D2786" s="19">
        <v>16</v>
      </c>
      <c r="E2786" s="19">
        <v>7</v>
      </c>
      <c r="F2786" s="19">
        <v>26</v>
      </c>
      <c r="G2786" s="15" t="s">
        <v>326</v>
      </c>
      <c r="H2786" s="14" t="s">
        <v>36</v>
      </c>
      <c r="I2786" s="18">
        <v>33.06</v>
      </c>
      <c r="J2786" s="12" t="s">
        <v>327</v>
      </c>
      <c r="K2786" s="13" t="s">
        <v>36</v>
      </c>
      <c r="L2786" s="15" t="s">
        <v>36</v>
      </c>
      <c r="M2786" s="12" t="s">
        <v>36</v>
      </c>
      <c r="N2786" s="12" t="s">
        <v>36</v>
      </c>
      <c r="O2786" s="17" t="s">
        <v>36</v>
      </c>
      <c r="P2786" s="12" t="s">
        <v>36</v>
      </c>
      <c r="Q2786" s="12" t="s">
        <v>36</v>
      </c>
      <c r="R2786" s="12" t="s">
        <v>36</v>
      </c>
      <c r="S2786" s="12" t="s">
        <v>36</v>
      </c>
      <c r="T2786" s="12" t="s">
        <v>1746</v>
      </c>
      <c r="U2786" s="12" t="s">
        <v>74</v>
      </c>
      <c r="V2786" s="12" t="s">
        <v>75</v>
      </c>
      <c r="W2786" s="12" t="s">
        <v>15002</v>
      </c>
      <c r="X2786" s="16" t="s">
        <v>9533</v>
      </c>
      <c r="Y2786" s="15" t="s">
        <v>108</v>
      </c>
      <c r="Z2786" s="14">
        <v>3.14</v>
      </c>
      <c r="AA2786" s="14">
        <v>9.49</v>
      </c>
      <c r="AB2786" s="12" t="s">
        <v>56</v>
      </c>
      <c r="AC2786" s="12" t="s">
        <v>15003</v>
      </c>
      <c r="AD2786" s="13">
        <v>44490</v>
      </c>
      <c r="AE2786" s="12" t="s">
        <v>570</v>
      </c>
      <c r="AF2786" s="12" t="s">
        <v>822</v>
      </c>
      <c r="AG2786" s="12" t="s">
        <v>899</v>
      </c>
      <c r="AH2786" s="1">
        <f>HYPERLINK("https://my.pitchbook.com?c=181994-77T","View Company Online")</f>
      </c>
    </row>
    <row r="2787">
      <c r="A2787" s="3" t="s">
        <v>15004</v>
      </c>
      <c r="B2787" s="3" t="s">
        <v>15005</v>
      </c>
      <c r="C2787" s="5" t="s">
        <v>36</v>
      </c>
      <c r="D2787" s="5" t="s">
        <v>36</v>
      </c>
      <c r="E2787" s="5" t="s">
        <v>36</v>
      </c>
      <c r="F2787" s="5" t="s">
        <v>36</v>
      </c>
      <c r="G2787" s="6" t="s">
        <v>36</v>
      </c>
      <c r="H2787" s="4">
        <v>52.97</v>
      </c>
      <c r="I2787" s="7">
        <v>17.83</v>
      </c>
      <c r="J2787" s="3" t="s">
        <v>521</v>
      </c>
      <c r="K2787" s="9" t="s">
        <v>36</v>
      </c>
      <c r="L2787" s="6" t="s">
        <v>36</v>
      </c>
      <c r="M2787" s="3" t="s">
        <v>36</v>
      </c>
      <c r="N2787" s="3" t="s">
        <v>36</v>
      </c>
      <c r="O2787" s="8" t="s">
        <v>36</v>
      </c>
      <c r="P2787" s="3" t="s">
        <v>36</v>
      </c>
      <c r="Q2787" s="3" t="s">
        <v>36</v>
      </c>
      <c r="R2787" s="3" t="s">
        <v>36</v>
      </c>
      <c r="S2787" s="3" t="s">
        <v>36</v>
      </c>
      <c r="T2787" s="3" t="s">
        <v>15006</v>
      </c>
      <c r="U2787" s="3" t="s">
        <v>279</v>
      </c>
      <c r="V2787" s="3" t="s">
        <v>64</v>
      </c>
      <c r="W2787" s="3" t="s">
        <v>15007</v>
      </c>
      <c r="X2787" s="10" t="s">
        <v>15008</v>
      </c>
      <c r="Y2787" s="6" t="s">
        <v>42</v>
      </c>
      <c r="Z2787" s="4">
        <v>0.64</v>
      </c>
      <c r="AA2787" s="4">
        <v>3.61</v>
      </c>
      <c r="AB2787" s="3" t="s">
        <v>56</v>
      </c>
      <c r="AC2787" s="3" t="s">
        <v>15009</v>
      </c>
      <c r="AD2787" s="9">
        <v>44490</v>
      </c>
      <c r="AE2787" s="3" t="s">
        <v>851</v>
      </c>
      <c r="AF2787" s="3" t="s">
        <v>36</v>
      </c>
      <c r="AG2787" s="3" t="s">
        <v>1601</v>
      </c>
      <c r="AH2787" s="11">
        <f>HYPERLINK("https://my.pitchbook.com?c=192622-96T","View Company Online")</f>
      </c>
    </row>
    <row r="2788">
      <c r="A2788" s="12" t="s">
        <v>15010</v>
      </c>
      <c r="B2788" s="12" t="s">
        <v>15011</v>
      </c>
      <c r="C2788" s="19" t="s">
        <v>36</v>
      </c>
      <c r="D2788" s="19" t="s">
        <v>36</v>
      </c>
      <c r="E2788" s="19" t="s">
        <v>36</v>
      </c>
      <c r="F2788" s="19" t="s">
        <v>36</v>
      </c>
      <c r="G2788" s="15" t="s">
        <v>36</v>
      </c>
      <c r="H2788" s="14">
        <v>1068.24</v>
      </c>
      <c r="I2788" s="18">
        <v>7</v>
      </c>
      <c r="J2788" s="12" t="s">
        <v>521</v>
      </c>
      <c r="K2788" s="13" t="s">
        <v>36</v>
      </c>
      <c r="L2788" s="15" t="s">
        <v>36</v>
      </c>
      <c r="M2788" s="12" t="s">
        <v>36</v>
      </c>
      <c r="N2788" s="12" t="s">
        <v>36</v>
      </c>
      <c r="O2788" s="17" t="s">
        <v>36</v>
      </c>
      <c r="P2788" s="12" t="s">
        <v>36</v>
      </c>
      <c r="Q2788" s="12" t="s">
        <v>36</v>
      </c>
      <c r="R2788" s="12" t="s">
        <v>36</v>
      </c>
      <c r="S2788" s="12" t="s">
        <v>36</v>
      </c>
      <c r="T2788" s="12" t="s">
        <v>1162</v>
      </c>
      <c r="U2788" s="12" t="s">
        <v>423</v>
      </c>
      <c r="V2788" s="12" t="s">
        <v>64</v>
      </c>
      <c r="W2788" s="12" t="s">
        <v>15012</v>
      </c>
      <c r="X2788" s="16" t="s">
        <v>15013</v>
      </c>
      <c r="Y2788" s="15" t="s">
        <v>42</v>
      </c>
      <c r="Z2788" s="14">
        <v>0.9</v>
      </c>
      <c r="AA2788" s="14">
        <v>12.86</v>
      </c>
      <c r="AB2788" s="12" t="s">
        <v>43</v>
      </c>
      <c r="AC2788" s="12" t="s">
        <v>15014</v>
      </c>
      <c r="AD2788" s="13">
        <v>44489</v>
      </c>
      <c r="AE2788" s="12" t="s">
        <v>562</v>
      </c>
      <c r="AF2788" s="12" t="s">
        <v>938</v>
      </c>
      <c r="AG2788" s="12" t="s">
        <v>81</v>
      </c>
      <c r="AH2788" s="1">
        <f>HYPERLINK("https://my.pitchbook.com?c=250294-51T","View Company Online")</f>
      </c>
    </row>
    <row r="2789">
      <c r="A2789" s="3" t="s">
        <v>15015</v>
      </c>
      <c r="B2789" s="3" t="s">
        <v>15016</v>
      </c>
      <c r="C2789" s="5" t="s">
        <v>36</v>
      </c>
      <c r="D2789" s="5" t="s">
        <v>36</v>
      </c>
      <c r="E2789" s="5" t="s">
        <v>36</v>
      </c>
      <c r="F2789" s="5" t="s">
        <v>36</v>
      </c>
      <c r="G2789" s="6" t="s">
        <v>36</v>
      </c>
      <c r="H2789" s="4" t="s">
        <v>36</v>
      </c>
      <c r="I2789" s="7" t="s">
        <v>36</v>
      </c>
      <c r="J2789" s="3" t="s">
        <v>36</v>
      </c>
      <c r="K2789" s="9" t="s">
        <v>36</v>
      </c>
      <c r="L2789" s="6" t="s">
        <v>94</v>
      </c>
      <c r="M2789" s="3" t="s">
        <v>36</v>
      </c>
      <c r="N2789" s="3" t="s">
        <v>94</v>
      </c>
      <c r="O2789" s="8" t="s">
        <v>36</v>
      </c>
      <c r="P2789" s="3" t="s">
        <v>36</v>
      </c>
      <c r="Q2789" s="3" t="s">
        <v>36</v>
      </c>
      <c r="R2789" s="3" t="s">
        <v>36</v>
      </c>
      <c r="S2789" s="3" t="s">
        <v>36</v>
      </c>
      <c r="T2789" s="3" t="s">
        <v>1893</v>
      </c>
      <c r="U2789" s="3" t="s">
        <v>648</v>
      </c>
      <c r="V2789" s="3" t="s">
        <v>64</v>
      </c>
      <c r="W2789" s="3" t="s">
        <v>15017</v>
      </c>
      <c r="X2789" s="10" t="s">
        <v>2130</v>
      </c>
      <c r="Y2789" s="6" t="s">
        <v>108</v>
      </c>
      <c r="Z2789" s="4">
        <v>17.44</v>
      </c>
      <c r="AA2789" s="4" t="s">
        <v>36</v>
      </c>
      <c r="AB2789" s="3" t="s">
        <v>43</v>
      </c>
      <c r="AC2789" s="3" t="s">
        <v>15018</v>
      </c>
      <c r="AD2789" s="9">
        <v>44489</v>
      </c>
      <c r="AE2789" s="3" t="s">
        <v>1897</v>
      </c>
      <c r="AF2789" s="3" t="s">
        <v>1115</v>
      </c>
      <c r="AG2789" s="3" t="s">
        <v>81</v>
      </c>
      <c r="AH2789" s="11">
        <f>HYPERLINK("https://my.pitchbook.com?c=184001-95T","View Company Online")</f>
      </c>
    </row>
    <row r="2790">
      <c r="A2790" s="12" t="s">
        <v>15019</v>
      </c>
      <c r="B2790" s="12" t="s">
        <v>15020</v>
      </c>
      <c r="C2790" s="19">
        <v>6</v>
      </c>
      <c r="D2790" s="19">
        <v>11</v>
      </c>
      <c r="E2790" s="19">
        <v>7</v>
      </c>
      <c r="F2790" s="19">
        <v>17</v>
      </c>
      <c r="G2790" s="15" t="s">
        <v>326</v>
      </c>
      <c r="H2790" s="14">
        <v>217.54</v>
      </c>
      <c r="I2790" s="18">
        <v>67.98</v>
      </c>
      <c r="J2790" s="12" t="s">
        <v>521</v>
      </c>
      <c r="K2790" s="13" t="s">
        <v>36</v>
      </c>
      <c r="L2790" s="15" t="s">
        <v>36</v>
      </c>
      <c r="M2790" s="12" t="s">
        <v>36</v>
      </c>
      <c r="N2790" s="12" t="s">
        <v>36</v>
      </c>
      <c r="O2790" s="17" t="s">
        <v>36</v>
      </c>
      <c r="P2790" s="12" t="s">
        <v>36</v>
      </c>
      <c r="Q2790" s="12" t="s">
        <v>36</v>
      </c>
      <c r="R2790" s="12" t="s">
        <v>36</v>
      </c>
      <c r="S2790" s="12" t="s">
        <v>453</v>
      </c>
      <c r="T2790" s="12" t="s">
        <v>15021</v>
      </c>
      <c r="U2790" s="12" t="s">
        <v>85</v>
      </c>
      <c r="V2790" s="12" t="s">
        <v>64</v>
      </c>
      <c r="W2790" s="12" t="s">
        <v>15022</v>
      </c>
      <c r="X2790" s="16" t="s">
        <v>15023</v>
      </c>
      <c r="Y2790" s="15" t="s">
        <v>108</v>
      </c>
      <c r="Z2790" s="14">
        <v>34.28</v>
      </c>
      <c r="AA2790" s="14">
        <v>50.43</v>
      </c>
      <c r="AB2790" s="12" t="s">
        <v>43</v>
      </c>
      <c r="AC2790" s="12" t="s">
        <v>15024</v>
      </c>
      <c r="AD2790" s="13">
        <v>44489</v>
      </c>
      <c r="AE2790" s="12" t="s">
        <v>89</v>
      </c>
      <c r="AF2790" s="12" t="s">
        <v>8744</v>
      </c>
      <c r="AG2790" s="12" t="s">
        <v>15025</v>
      </c>
      <c r="AH2790" s="1">
        <f>HYPERLINK("https://my.pitchbook.com?c=186982-30T","View Company Online")</f>
      </c>
    </row>
    <row r="2791">
      <c r="A2791" s="3" t="s">
        <v>15026</v>
      </c>
      <c r="B2791" s="3" t="s">
        <v>15027</v>
      </c>
      <c r="C2791" s="5" t="s">
        <v>36</v>
      </c>
      <c r="D2791" s="5" t="s">
        <v>36</v>
      </c>
      <c r="E2791" s="5" t="s">
        <v>36</v>
      </c>
      <c r="F2791" s="5" t="s">
        <v>36</v>
      </c>
      <c r="G2791" s="6" t="s">
        <v>36</v>
      </c>
      <c r="H2791" s="4" t="s">
        <v>36</v>
      </c>
      <c r="I2791" s="7" t="s">
        <v>36</v>
      </c>
      <c r="J2791" s="3" t="s">
        <v>36</v>
      </c>
      <c r="K2791" s="9" t="s">
        <v>36</v>
      </c>
      <c r="L2791" s="6" t="s">
        <v>36</v>
      </c>
      <c r="M2791" s="3" t="s">
        <v>36</v>
      </c>
      <c r="N2791" s="3" t="s">
        <v>36</v>
      </c>
      <c r="O2791" s="8" t="s">
        <v>36</v>
      </c>
      <c r="P2791" s="3" t="s">
        <v>36</v>
      </c>
      <c r="Q2791" s="3" t="s">
        <v>36</v>
      </c>
      <c r="R2791" s="3" t="s">
        <v>36</v>
      </c>
      <c r="S2791" s="3" t="s">
        <v>1989</v>
      </c>
      <c r="T2791" s="3" t="s">
        <v>105</v>
      </c>
      <c r="U2791" s="3" t="s">
        <v>38</v>
      </c>
      <c r="V2791" s="3" t="s">
        <v>39</v>
      </c>
      <c r="W2791" s="3" t="s">
        <v>15028</v>
      </c>
      <c r="X2791" s="10" t="s">
        <v>15029</v>
      </c>
      <c r="Y2791" s="6" t="s">
        <v>55</v>
      </c>
      <c r="Z2791" s="4">
        <v>4.65</v>
      </c>
      <c r="AA2791" s="4" t="s">
        <v>36</v>
      </c>
      <c r="AB2791" s="3" t="s">
        <v>43</v>
      </c>
      <c r="AC2791" s="3" t="s">
        <v>15030</v>
      </c>
      <c r="AD2791" s="9">
        <v>44489</v>
      </c>
      <c r="AE2791" s="3" t="s">
        <v>110</v>
      </c>
      <c r="AF2791" s="3" t="s">
        <v>111</v>
      </c>
      <c r="AG2791" s="3" t="s">
        <v>81</v>
      </c>
      <c r="AH2791" s="11">
        <f>HYPERLINK("https://my.pitchbook.com?c=181916-83T","View Company Online")</f>
      </c>
    </row>
    <row r="2792">
      <c r="A2792" s="12" t="s">
        <v>15031</v>
      </c>
      <c r="B2792" s="12" t="s">
        <v>15032</v>
      </c>
      <c r="C2792" s="19" t="s">
        <v>36</v>
      </c>
      <c r="D2792" s="19" t="s">
        <v>36</v>
      </c>
      <c r="E2792" s="19" t="s">
        <v>36</v>
      </c>
      <c r="F2792" s="19" t="s">
        <v>36</v>
      </c>
      <c r="G2792" s="15" t="s">
        <v>36</v>
      </c>
      <c r="H2792" s="14" t="s">
        <v>36</v>
      </c>
      <c r="I2792" s="18" t="s">
        <v>36</v>
      </c>
      <c r="J2792" s="12" t="s">
        <v>36</v>
      </c>
      <c r="K2792" s="13" t="s">
        <v>36</v>
      </c>
      <c r="L2792" s="15" t="s">
        <v>122</v>
      </c>
      <c r="M2792" s="12" t="s">
        <v>36</v>
      </c>
      <c r="N2792" s="12" t="s">
        <v>122</v>
      </c>
      <c r="O2792" s="17" t="s">
        <v>36</v>
      </c>
      <c r="P2792" s="12" t="s">
        <v>36</v>
      </c>
      <c r="Q2792" s="12" t="s">
        <v>36</v>
      </c>
      <c r="R2792" s="12" t="s">
        <v>36</v>
      </c>
      <c r="S2792" s="12" t="s">
        <v>36</v>
      </c>
      <c r="T2792" s="12" t="s">
        <v>4529</v>
      </c>
      <c r="U2792" s="12" t="s">
        <v>38</v>
      </c>
      <c r="V2792" s="12" t="s">
        <v>39</v>
      </c>
      <c r="W2792" s="12" t="s">
        <v>15033</v>
      </c>
      <c r="X2792" s="16" t="s">
        <v>15034</v>
      </c>
      <c r="Y2792" s="15" t="s">
        <v>42</v>
      </c>
      <c r="Z2792" s="14">
        <v>4.65</v>
      </c>
      <c r="AA2792" s="14" t="s">
        <v>36</v>
      </c>
      <c r="AB2792" s="12" t="s">
        <v>56</v>
      </c>
      <c r="AC2792" s="12" t="s">
        <v>15035</v>
      </c>
      <c r="AD2792" s="13">
        <v>44488</v>
      </c>
      <c r="AE2792" s="12" t="s">
        <v>1422</v>
      </c>
      <c r="AF2792" s="12" t="s">
        <v>4200</v>
      </c>
      <c r="AG2792" s="12" t="s">
        <v>81</v>
      </c>
      <c r="AH2792" s="1">
        <f>HYPERLINK("https://my.pitchbook.com?c=181890-37T","View Company Online")</f>
      </c>
    </row>
    <row r="2793">
      <c r="A2793" s="3" t="s">
        <v>15036</v>
      </c>
      <c r="B2793" s="3" t="s">
        <v>15037</v>
      </c>
      <c r="C2793" s="5">
        <v>44</v>
      </c>
      <c r="D2793" s="5">
        <v>72</v>
      </c>
      <c r="E2793" s="5">
        <v>25</v>
      </c>
      <c r="F2793" s="5">
        <v>118</v>
      </c>
      <c r="G2793" s="6" t="s">
        <v>36</v>
      </c>
      <c r="H2793" s="4" t="s">
        <v>36</v>
      </c>
      <c r="I2793" s="7" t="s">
        <v>36</v>
      </c>
      <c r="J2793" s="3" t="s">
        <v>36</v>
      </c>
      <c r="K2793" s="9" t="s">
        <v>36</v>
      </c>
      <c r="L2793" s="6" t="s">
        <v>36</v>
      </c>
      <c r="M2793" s="3" t="s">
        <v>36</v>
      </c>
      <c r="N2793" s="3" t="s">
        <v>36</v>
      </c>
      <c r="O2793" s="8" t="s">
        <v>36</v>
      </c>
      <c r="P2793" s="3" t="s">
        <v>36</v>
      </c>
      <c r="Q2793" s="3" t="s">
        <v>36</v>
      </c>
      <c r="R2793" s="3" t="s">
        <v>36</v>
      </c>
      <c r="S2793" s="3" t="s">
        <v>36</v>
      </c>
      <c r="T2793" s="3" t="s">
        <v>492</v>
      </c>
      <c r="U2793" s="3" t="s">
        <v>96</v>
      </c>
      <c r="V2793" s="3" t="s">
        <v>52</v>
      </c>
      <c r="W2793" s="3" t="s">
        <v>15038</v>
      </c>
      <c r="X2793" s="10" t="s">
        <v>15039</v>
      </c>
      <c r="Y2793" s="6" t="s">
        <v>55</v>
      </c>
      <c r="Z2793" s="4">
        <v>46.51</v>
      </c>
      <c r="AA2793" s="4" t="s">
        <v>36</v>
      </c>
      <c r="AB2793" s="3" t="s">
        <v>56</v>
      </c>
      <c r="AC2793" s="3" t="s">
        <v>15040</v>
      </c>
      <c r="AD2793" s="9">
        <v>44488</v>
      </c>
      <c r="AE2793" s="3" t="s">
        <v>496</v>
      </c>
      <c r="AF2793" s="3" t="s">
        <v>15041</v>
      </c>
      <c r="AG2793" s="3" t="s">
        <v>652</v>
      </c>
      <c r="AH2793" s="11">
        <f>HYPERLINK("https://my.pitchbook.com?c=182336-50T","View Company Online")</f>
      </c>
    </row>
    <row r="2794">
      <c r="A2794" s="12" t="s">
        <v>15042</v>
      </c>
      <c r="B2794" s="12" t="s">
        <v>5327</v>
      </c>
      <c r="C2794" s="19" t="s">
        <v>36</v>
      </c>
      <c r="D2794" s="19" t="s">
        <v>36</v>
      </c>
      <c r="E2794" s="19" t="s">
        <v>36</v>
      </c>
      <c r="F2794" s="19" t="s">
        <v>36</v>
      </c>
      <c r="G2794" s="15" t="s">
        <v>326</v>
      </c>
      <c r="H2794" s="14">
        <v>1124.75</v>
      </c>
      <c r="I2794" s="18">
        <v>23.03</v>
      </c>
      <c r="J2794" s="12" t="s">
        <v>327</v>
      </c>
      <c r="K2794" s="13">
        <v>44355</v>
      </c>
      <c r="L2794" s="15" t="s">
        <v>122</v>
      </c>
      <c r="M2794" s="12" t="s">
        <v>36</v>
      </c>
      <c r="N2794" s="12" t="s">
        <v>122</v>
      </c>
      <c r="O2794" s="17" t="s">
        <v>36</v>
      </c>
      <c r="P2794" s="12" t="s">
        <v>36</v>
      </c>
      <c r="Q2794" s="12" t="s">
        <v>36</v>
      </c>
      <c r="R2794" s="12" t="s">
        <v>36</v>
      </c>
      <c r="S2794" s="12" t="s">
        <v>36</v>
      </c>
      <c r="T2794" s="12" t="s">
        <v>472</v>
      </c>
      <c r="U2794" s="12" t="s">
        <v>38</v>
      </c>
      <c r="V2794" s="12" t="s">
        <v>39</v>
      </c>
      <c r="W2794" s="12" t="s">
        <v>5328</v>
      </c>
      <c r="X2794" s="16" t="s">
        <v>15043</v>
      </c>
      <c r="Y2794" s="15" t="s">
        <v>55</v>
      </c>
      <c r="Z2794" s="14">
        <v>11</v>
      </c>
      <c r="AA2794" s="14">
        <v>47.74</v>
      </c>
      <c r="AB2794" s="12" t="s">
        <v>56</v>
      </c>
      <c r="AC2794" s="12" t="s">
        <v>5330</v>
      </c>
      <c r="AD2794" s="13">
        <v>44488</v>
      </c>
      <c r="AE2794" s="12" t="s">
        <v>110</v>
      </c>
      <c r="AF2794" s="12" t="s">
        <v>5331</v>
      </c>
      <c r="AG2794" s="12" t="s">
        <v>81</v>
      </c>
      <c r="AH2794" s="1">
        <f>HYPERLINK("https://my.pitchbook.com?c=181917-73T","View Company Online")</f>
      </c>
    </row>
    <row r="2795">
      <c r="A2795" s="3" t="s">
        <v>15044</v>
      </c>
      <c r="B2795" s="3" t="s">
        <v>7507</v>
      </c>
      <c r="C2795" s="5">
        <v>6</v>
      </c>
      <c r="D2795" s="5">
        <v>3</v>
      </c>
      <c r="E2795" s="5">
        <v>11</v>
      </c>
      <c r="F2795" s="5">
        <v>16</v>
      </c>
      <c r="G2795" s="6" t="s">
        <v>36</v>
      </c>
      <c r="H2795" s="4">
        <v>796.62</v>
      </c>
      <c r="I2795" s="7">
        <v>26.54</v>
      </c>
      <c r="J2795" s="3" t="s">
        <v>521</v>
      </c>
      <c r="K2795" s="9" t="s">
        <v>36</v>
      </c>
      <c r="L2795" s="6" t="s">
        <v>122</v>
      </c>
      <c r="M2795" s="3" t="s">
        <v>36</v>
      </c>
      <c r="N2795" s="3" t="s">
        <v>122</v>
      </c>
      <c r="O2795" s="8" t="s">
        <v>36</v>
      </c>
      <c r="P2795" s="3" t="s">
        <v>36</v>
      </c>
      <c r="Q2795" s="3" t="s">
        <v>36</v>
      </c>
      <c r="R2795" s="3" t="s">
        <v>36</v>
      </c>
      <c r="S2795" s="3" t="s">
        <v>36</v>
      </c>
      <c r="T2795" s="3" t="s">
        <v>596</v>
      </c>
      <c r="U2795" s="3" t="s">
        <v>366</v>
      </c>
      <c r="V2795" s="3" t="s">
        <v>367</v>
      </c>
      <c r="W2795" s="3" t="s">
        <v>7508</v>
      </c>
      <c r="X2795" s="10" t="s">
        <v>15045</v>
      </c>
      <c r="Y2795" s="6" t="s">
        <v>108</v>
      </c>
      <c r="Z2795" s="4">
        <v>8.14</v>
      </c>
      <c r="AA2795" s="4">
        <v>21.91</v>
      </c>
      <c r="AB2795" s="3" t="s">
        <v>43</v>
      </c>
      <c r="AC2795" s="3" t="s">
        <v>7510</v>
      </c>
      <c r="AD2795" s="9">
        <v>44487</v>
      </c>
      <c r="AE2795" s="3" t="s">
        <v>600</v>
      </c>
      <c r="AF2795" s="3" t="s">
        <v>1340</v>
      </c>
      <c r="AG2795" s="3" t="s">
        <v>186</v>
      </c>
      <c r="AH2795" s="11">
        <f>HYPERLINK("https://my.pitchbook.com?c=181809-01T","View Company Online")</f>
      </c>
    </row>
    <row r="2796">
      <c r="A2796" s="12" t="s">
        <v>15046</v>
      </c>
      <c r="B2796" s="12" t="s">
        <v>15047</v>
      </c>
      <c r="C2796" s="19" t="s">
        <v>36</v>
      </c>
      <c r="D2796" s="19" t="s">
        <v>36</v>
      </c>
      <c r="E2796" s="19" t="s">
        <v>36</v>
      </c>
      <c r="F2796" s="19" t="s">
        <v>36</v>
      </c>
      <c r="G2796" s="15" t="s">
        <v>36</v>
      </c>
      <c r="H2796" s="14">
        <v>30.12</v>
      </c>
      <c r="I2796" s="18">
        <v>20.81</v>
      </c>
      <c r="J2796" s="12" t="s">
        <v>521</v>
      </c>
      <c r="K2796" s="13" t="s">
        <v>36</v>
      </c>
      <c r="L2796" s="15" t="s">
        <v>94</v>
      </c>
      <c r="M2796" s="12" t="s">
        <v>36</v>
      </c>
      <c r="N2796" s="12" t="s">
        <v>94</v>
      </c>
      <c r="O2796" s="17" t="s">
        <v>36</v>
      </c>
      <c r="P2796" s="12" t="s">
        <v>36</v>
      </c>
      <c r="Q2796" s="12" t="s">
        <v>36</v>
      </c>
      <c r="R2796" s="12" t="s">
        <v>36</v>
      </c>
      <c r="S2796" s="12" t="s">
        <v>36</v>
      </c>
      <c r="T2796" s="12" t="s">
        <v>5302</v>
      </c>
      <c r="U2796" s="12" t="s">
        <v>74</v>
      </c>
      <c r="V2796" s="12" t="s">
        <v>75</v>
      </c>
      <c r="W2796" s="12" t="s">
        <v>15048</v>
      </c>
      <c r="X2796" s="16" t="s">
        <v>15049</v>
      </c>
      <c r="Y2796" s="15" t="s">
        <v>321</v>
      </c>
      <c r="Z2796" s="14">
        <v>34.9</v>
      </c>
      <c r="AA2796" s="14">
        <v>111.77</v>
      </c>
      <c r="AB2796" s="12" t="s">
        <v>56</v>
      </c>
      <c r="AC2796" s="12" t="s">
        <v>15050</v>
      </c>
      <c r="AD2796" s="13">
        <v>44487</v>
      </c>
      <c r="AE2796" s="12" t="s">
        <v>362</v>
      </c>
      <c r="AF2796" s="12" t="s">
        <v>8635</v>
      </c>
      <c r="AG2796" s="12" t="s">
        <v>81</v>
      </c>
      <c r="AH2796" s="1">
        <f>HYPERLINK("https://my.pitchbook.com?c=181876-42T","View Company Online")</f>
      </c>
    </row>
    <row r="2797">
      <c r="A2797" s="3" t="s">
        <v>15051</v>
      </c>
      <c r="B2797" s="3" t="s">
        <v>15052</v>
      </c>
      <c r="C2797" s="5">
        <v>3</v>
      </c>
      <c r="D2797" s="5">
        <v>20</v>
      </c>
      <c r="E2797" s="5">
        <v>5</v>
      </c>
      <c r="F2797" s="5">
        <v>25</v>
      </c>
      <c r="G2797" s="6" t="s">
        <v>36</v>
      </c>
      <c r="H2797" s="4">
        <v>21.61</v>
      </c>
      <c r="I2797" s="7">
        <v>42.41</v>
      </c>
      <c r="J2797" s="3" t="s">
        <v>521</v>
      </c>
      <c r="K2797" s="9" t="s">
        <v>36</v>
      </c>
      <c r="L2797" s="6" t="s">
        <v>122</v>
      </c>
      <c r="M2797" s="3" t="s">
        <v>36</v>
      </c>
      <c r="N2797" s="3" t="s">
        <v>122</v>
      </c>
      <c r="O2797" s="8" t="s">
        <v>36</v>
      </c>
      <c r="P2797" s="3" t="s">
        <v>36</v>
      </c>
      <c r="Q2797" s="3" t="s">
        <v>36</v>
      </c>
      <c r="R2797" s="3" t="s">
        <v>36</v>
      </c>
      <c r="S2797" s="3" t="s">
        <v>15053</v>
      </c>
      <c r="T2797" s="3" t="s">
        <v>15054</v>
      </c>
      <c r="U2797" s="3" t="s">
        <v>1336</v>
      </c>
      <c r="V2797" s="3" t="s">
        <v>367</v>
      </c>
      <c r="W2797" s="3" t="s">
        <v>15055</v>
      </c>
      <c r="X2797" s="10" t="s">
        <v>15056</v>
      </c>
      <c r="Y2797" s="6" t="s">
        <v>42</v>
      </c>
      <c r="Z2797" s="4">
        <v>5.82</v>
      </c>
      <c r="AA2797" s="4">
        <v>13.71</v>
      </c>
      <c r="AB2797" s="3" t="s">
        <v>56</v>
      </c>
      <c r="AC2797" s="3" t="s">
        <v>15057</v>
      </c>
      <c r="AD2797" s="9">
        <v>44487</v>
      </c>
      <c r="AE2797" s="3" t="s">
        <v>3712</v>
      </c>
      <c r="AF2797" s="3" t="s">
        <v>15058</v>
      </c>
      <c r="AG2797" s="3" t="s">
        <v>4291</v>
      </c>
      <c r="AH2797" s="11">
        <f>HYPERLINK("https://my.pitchbook.com?c=182094-94T","View Company Online")</f>
      </c>
    </row>
    <row r="2798">
      <c r="A2798" s="12" t="s">
        <v>15059</v>
      </c>
      <c r="B2798" s="12" t="s">
        <v>15060</v>
      </c>
      <c r="C2798" s="19">
        <v>2</v>
      </c>
      <c r="D2798" s="19">
        <v>24</v>
      </c>
      <c r="E2798" s="19">
        <v>7</v>
      </c>
      <c r="F2798" s="19">
        <v>32</v>
      </c>
      <c r="G2798" s="15" t="s">
        <v>683</v>
      </c>
      <c r="H2798" s="14">
        <v>191.1</v>
      </c>
      <c r="I2798" s="18">
        <v>7.85</v>
      </c>
      <c r="J2798" s="12" t="s">
        <v>521</v>
      </c>
      <c r="K2798" s="13" t="s">
        <v>36</v>
      </c>
      <c r="L2798" s="15" t="s">
        <v>36</v>
      </c>
      <c r="M2798" s="12" t="s">
        <v>36</v>
      </c>
      <c r="N2798" s="12" t="s">
        <v>36</v>
      </c>
      <c r="O2798" s="17" t="s">
        <v>36</v>
      </c>
      <c r="P2798" s="12" t="s">
        <v>36</v>
      </c>
      <c r="Q2798" s="12" t="s">
        <v>36</v>
      </c>
      <c r="R2798" s="12" t="s">
        <v>36</v>
      </c>
      <c r="S2798" s="12" t="s">
        <v>36</v>
      </c>
      <c r="T2798" s="12" t="s">
        <v>139</v>
      </c>
      <c r="U2798" s="12" t="s">
        <v>96</v>
      </c>
      <c r="V2798" s="12" t="s">
        <v>52</v>
      </c>
      <c r="W2798" s="12" t="s">
        <v>15061</v>
      </c>
      <c r="X2798" s="16" t="s">
        <v>4499</v>
      </c>
      <c r="Y2798" s="15" t="s">
        <v>321</v>
      </c>
      <c r="Z2798" s="14">
        <v>0.58</v>
      </c>
      <c r="AA2798" s="14">
        <v>7.42</v>
      </c>
      <c r="AB2798" s="12" t="s">
        <v>56</v>
      </c>
      <c r="AC2798" s="12" t="s">
        <v>15062</v>
      </c>
      <c r="AD2798" s="13">
        <v>44484</v>
      </c>
      <c r="AE2798" s="12" t="s">
        <v>143</v>
      </c>
      <c r="AF2798" s="12" t="s">
        <v>159</v>
      </c>
      <c r="AG2798" s="12" t="s">
        <v>1276</v>
      </c>
      <c r="AH2798" s="1">
        <f>HYPERLINK("https://my.pitchbook.com?c=186361-30T","View Company Online")</f>
      </c>
    </row>
    <row r="2799">
      <c r="A2799" s="3" t="s">
        <v>15063</v>
      </c>
      <c r="B2799" s="3" t="s">
        <v>5517</v>
      </c>
      <c r="C2799" s="5" t="s">
        <v>36</v>
      </c>
      <c r="D2799" s="5">
        <v>2</v>
      </c>
      <c r="E2799" s="5">
        <v>1</v>
      </c>
      <c r="F2799" s="5">
        <v>2</v>
      </c>
      <c r="G2799" s="6" t="s">
        <v>326</v>
      </c>
      <c r="H2799" s="4">
        <v>24.63</v>
      </c>
      <c r="I2799" s="7">
        <v>24.9</v>
      </c>
      <c r="J2799" s="3" t="s">
        <v>521</v>
      </c>
      <c r="K2799" s="9" t="s">
        <v>36</v>
      </c>
      <c r="L2799" s="6" t="s">
        <v>36</v>
      </c>
      <c r="M2799" s="3" t="s">
        <v>36</v>
      </c>
      <c r="N2799" s="3" t="s">
        <v>36</v>
      </c>
      <c r="O2799" s="8" t="s">
        <v>36</v>
      </c>
      <c r="P2799" s="3" t="s">
        <v>36</v>
      </c>
      <c r="Q2799" s="3" t="s">
        <v>36</v>
      </c>
      <c r="R2799" s="3" t="s">
        <v>36</v>
      </c>
      <c r="S2799" s="3" t="s">
        <v>36</v>
      </c>
      <c r="T2799" s="3" t="s">
        <v>5518</v>
      </c>
      <c r="U2799" s="3" t="s">
        <v>318</v>
      </c>
      <c r="V2799" s="3" t="s">
        <v>39</v>
      </c>
      <c r="W2799" s="3" t="s">
        <v>5519</v>
      </c>
      <c r="X2799" s="10" t="s">
        <v>15064</v>
      </c>
      <c r="Y2799" s="6" t="s">
        <v>42</v>
      </c>
      <c r="Z2799" s="4">
        <v>3.73</v>
      </c>
      <c r="AA2799" s="4">
        <v>14.99</v>
      </c>
      <c r="AB2799" s="3" t="s">
        <v>56</v>
      </c>
      <c r="AC2799" s="3" t="s">
        <v>5521</v>
      </c>
      <c r="AD2799" s="9">
        <v>44484</v>
      </c>
      <c r="AE2799" s="3" t="s">
        <v>763</v>
      </c>
      <c r="AF2799" s="3" t="s">
        <v>5522</v>
      </c>
      <c r="AG2799" s="3" t="s">
        <v>81</v>
      </c>
      <c r="AH2799" s="11">
        <f>HYPERLINK("https://my.pitchbook.com?c=248395-06T","View Company Online")</f>
      </c>
    </row>
    <row r="2800">
      <c r="A2800" s="12" t="s">
        <v>15065</v>
      </c>
      <c r="B2800" s="12" t="s">
        <v>8911</v>
      </c>
      <c r="C2800" s="19" t="s">
        <v>36</v>
      </c>
      <c r="D2800" s="19" t="s">
        <v>36</v>
      </c>
      <c r="E2800" s="19" t="s">
        <v>36</v>
      </c>
      <c r="F2800" s="19" t="s">
        <v>36</v>
      </c>
      <c r="G2800" s="15" t="s">
        <v>36</v>
      </c>
      <c r="H2800" s="14" t="s">
        <v>36</v>
      </c>
      <c r="I2800" s="18" t="s">
        <v>36</v>
      </c>
      <c r="J2800" s="12" t="s">
        <v>36</v>
      </c>
      <c r="K2800" s="13" t="s">
        <v>36</v>
      </c>
      <c r="L2800" s="15" t="s">
        <v>36</v>
      </c>
      <c r="M2800" s="12" t="s">
        <v>36</v>
      </c>
      <c r="N2800" s="12" t="s">
        <v>36</v>
      </c>
      <c r="O2800" s="17" t="s">
        <v>36</v>
      </c>
      <c r="P2800" s="12" t="s">
        <v>36</v>
      </c>
      <c r="Q2800" s="12" t="s">
        <v>36</v>
      </c>
      <c r="R2800" s="12" t="s">
        <v>36</v>
      </c>
      <c r="S2800" s="12" t="s">
        <v>36</v>
      </c>
      <c r="T2800" s="12" t="s">
        <v>4225</v>
      </c>
      <c r="U2800" s="12" t="s">
        <v>96</v>
      </c>
      <c r="V2800" s="12" t="s">
        <v>52</v>
      </c>
      <c r="W2800" s="12" t="s">
        <v>8912</v>
      </c>
      <c r="X2800" s="16" t="s">
        <v>15066</v>
      </c>
      <c r="Y2800" s="15" t="s">
        <v>42</v>
      </c>
      <c r="Z2800" s="14">
        <v>0.93</v>
      </c>
      <c r="AA2800" s="14" t="s">
        <v>36</v>
      </c>
      <c r="AB2800" s="12" t="s">
        <v>43</v>
      </c>
      <c r="AC2800" s="12" t="s">
        <v>8914</v>
      </c>
      <c r="AD2800" s="13">
        <v>44484</v>
      </c>
      <c r="AE2800" s="12" t="s">
        <v>143</v>
      </c>
      <c r="AF2800" s="12" t="s">
        <v>176</v>
      </c>
      <c r="AG2800" s="12" t="s">
        <v>81</v>
      </c>
      <c r="AH2800" s="1">
        <f>HYPERLINK("https://my.pitchbook.com?c=200273-05T","View Company Online")</f>
      </c>
    </row>
    <row r="2801">
      <c r="A2801" s="3" t="s">
        <v>15067</v>
      </c>
      <c r="B2801" s="3" t="s">
        <v>15068</v>
      </c>
      <c r="C2801" s="5">
        <v>1</v>
      </c>
      <c r="D2801" s="5">
        <v>3</v>
      </c>
      <c r="E2801" s="5">
        <v>4</v>
      </c>
      <c r="F2801" s="5">
        <v>4</v>
      </c>
      <c r="G2801" s="6" t="s">
        <v>36</v>
      </c>
      <c r="H2801" s="4" t="s">
        <v>36</v>
      </c>
      <c r="I2801" s="7" t="s">
        <v>36</v>
      </c>
      <c r="J2801" s="3" t="s">
        <v>36</v>
      </c>
      <c r="K2801" s="9" t="s">
        <v>36</v>
      </c>
      <c r="L2801" s="6" t="s">
        <v>36</v>
      </c>
      <c r="M2801" s="3" t="s">
        <v>36</v>
      </c>
      <c r="N2801" s="3" t="s">
        <v>36</v>
      </c>
      <c r="O2801" s="8" t="s">
        <v>36</v>
      </c>
      <c r="P2801" s="3" t="s">
        <v>36</v>
      </c>
      <c r="Q2801" s="3" t="s">
        <v>36</v>
      </c>
      <c r="R2801" s="3" t="s">
        <v>36</v>
      </c>
      <c r="S2801" s="3" t="s">
        <v>36</v>
      </c>
      <c r="T2801" s="3" t="s">
        <v>15069</v>
      </c>
      <c r="U2801" s="3" t="s">
        <v>38</v>
      </c>
      <c r="V2801" s="3" t="s">
        <v>39</v>
      </c>
      <c r="W2801" s="3" t="s">
        <v>15070</v>
      </c>
      <c r="X2801" s="10" t="s">
        <v>15071</v>
      </c>
      <c r="Y2801" s="6" t="s">
        <v>475</v>
      </c>
      <c r="Z2801" s="4" t="s">
        <v>36</v>
      </c>
      <c r="AA2801" s="4" t="s">
        <v>36</v>
      </c>
      <c r="AB2801" s="3" t="s">
        <v>56</v>
      </c>
      <c r="AC2801" s="3" t="s">
        <v>15072</v>
      </c>
      <c r="AD2801" s="9">
        <v>44484</v>
      </c>
      <c r="AE2801" s="3" t="s">
        <v>554</v>
      </c>
      <c r="AF2801" s="3" t="s">
        <v>15073</v>
      </c>
      <c r="AG2801" s="3" t="s">
        <v>81</v>
      </c>
      <c r="AH2801" s="11">
        <f>HYPERLINK("https://my.pitchbook.com?c=181795-15T","View Company Online")</f>
      </c>
    </row>
    <row r="2802">
      <c r="A2802" s="12" t="s">
        <v>15074</v>
      </c>
      <c r="B2802" s="12" t="s">
        <v>15075</v>
      </c>
      <c r="C2802" s="19" t="s">
        <v>36</v>
      </c>
      <c r="D2802" s="19" t="s">
        <v>36</v>
      </c>
      <c r="E2802" s="19" t="s">
        <v>36</v>
      </c>
      <c r="F2802" s="19" t="s">
        <v>36</v>
      </c>
      <c r="G2802" s="15" t="s">
        <v>36</v>
      </c>
      <c r="H2802" s="14" t="s">
        <v>36</v>
      </c>
      <c r="I2802" s="18" t="s">
        <v>36</v>
      </c>
      <c r="J2802" s="12" t="s">
        <v>36</v>
      </c>
      <c r="K2802" s="13" t="s">
        <v>36</v>
      </c>
      <c r="L2802" s="15" t="s">
        <v>36</v>
      </c>
      <c r="M2802" s="12" t="s">
        <v>36</v>
      </c>
      <c r="N2802" s="12" t="s">
        <v>36</v>
      </c>
      <c r="O2802" s="17" t="s">
        <v>36</v>
      </c>
      <c r="P2802" s="12" t="s">
        <v>36</v>
      </c>
      <c r="Q2802" s="12" t="s">
        <v>36</v>
      </c>
      <c r="R2802" s="12" t="s">
        <v>36</v>
      </c>
      <c r="S2802" s="12" t="s">
        <v>36</v>
      </c>
      <c r="T2802" s="12" t="s">
        <v>15076</v>
      </c>
      <c r="U2802" s="12" t="s">
        <v>74</v>
      </c>
      <c r="V2802" s="12" t="s">
        <v>75</v>
      </c>
      <c r="W2802" s="12" t="s">
        <v>15077</v>
      </c>
      <c r="X2802" s="16" t="s">
        <v>15078</v>
      </c>
      <c r="Y2802" s="15" t="s">
        <v>108</v>
      </c>
      <c r="Z2802" s="14">
        <v>12.82</v>
      </c>
      <c r="AA2802" s="14" t="s">
        <v>36</v>
      </c>
      <c r="AB2802" s="12" t="s">
        <v>56</v>
      </c>
      <c r="AC2802" s="12" t="s">
        <v>15079</v>
      </c>
      <c r="AD2802" s="13">
        <v>44483</v>
      </c>
      <c r="AE2802" s="12" t="s">
        <v>79</v>
      </c>
      <c r="AF2802" s="12" t="s">
        <v>6214</v>
      </c>
      <c r="AG2802" s="12" t="s">
        <v>2088</v>
      </c>
      <c r="AH2802" s="1">
        <f>HYPERLINK("https://my.pitchbook.com?c=181701-28T","View Company Online")</f>
      </c>
    </row>
    <row r="2803">
      <c r="A2803" s="3" t="s">
        <v>15080</v>
      </c>
      <c r="B2803" s="3" t="s">
        <v>10176</v>
      </c>
      <c r="C2803" s="5" t="s">
        <v>36</v>
      </c>
      <c r="D2803" s="5" t="s">
        <v>36</v>
      </c>
      <c r="E2803" s="5" t="s">
        <v>36</v>
      </c>
      <c r="F2803" s="5" t="s">
        <v>36</v>
      </c>
      <c r="G2803" s="6" t="s">
        <v>36</v>
      </c>
      <c r="H2803" s="4">
        <v>25.96</v>
      </c>
      <c r="I2803" s="7">
        <v>11.95</v>
      </c>
      <c r="J2803" s="3" t="s">
        <v>521</v>
      </c>
      <c r="K2803" s="9" t="s">
        <v>36</v>
      </c>
      <c r="L2803" s="6" t="s">
        <v>36</v>
      </c>
      <c r="M2803" s="3" t="s">
        <v>36</v>
      </c>
      <c r="N2803" s="3" t="s">
        <v>36</v>
      </c>
      <c r="O2803" s="8" t="s">
        <v>36</v>
      </c>
      <c r="P2803" s="3" t="s">
        <v>36</v>
      </c>
      <c r="Q2803" s="3" t="s">
        <v>36</v>
      </c>
      <c r="R2803" s="3" t="s">
        <v>36</v>
      </c>
      <c r="S2803" s="3" t="s">
        <v>36</v>
      </c>
      <c r="T2803" s="3" t="s">
        <v>5302</v>
      </c>
      <c r="U2803" s="3" t="s">
        <v>74</v>
      </c>
      <c r="V2803" s="3" t="s">
        <v>75</v>
      </c>
      <c r="W2803" s="3" t="s">
        <v>10177</v>
      </c>
      <c r="X2803" s="10" t="s">
        <v>15081</v>
      </c>
      <c r="Y2803" s="6" t="s">
        <v>42</v>
      </c>
      <c r="Z2803" s="4">
        <v>0.58</v>
      </c>
      <c r="AA2803" s="4">
        <v>4.63</v>
      </c>
      <c r="AB2803" s="3" t="s">
        <v>43</v>
      </c>
      <c r="AC2803" s="3" t="s">
        <v>10179</v>
      </c>
      <c r="AD2803" s="9">
        <v>44483</v>
      </c>
      <c r="AE2803" s="3" t="s">
        <v>362</v>
      </c>
      <c r="AF2803" s="3" t="s">
        <v>468</v>
      </c>
      <c r="AG2803" s="3" t="s">
        <v>899</v>
      </c>
      <c r="AH2803" s="11">
        <f>HYPERLINK("https://my.pitchbook.com?c=207783-10T","View Company Online")</f>
      </c>
    </row>
    <row r="2804">
      <c r="A2804" s="12" t="s">
        <v>15082</v>
      </c>
      <c r="B2804" s="12" t="s">
        <v>10957</v>
      </c>
      <c r="C2804" s="19">
        <v>10</v>
      </c>
      <c r="D2804" s="19">
        <v>5</v>
      </c>
      <c r="E2804" s="19">
        <v>5</v>
      </c>
      <c r="F2804" s="19">
        <v>16</v>
      </c>
      <c r="G2804" s="15" t="s">
        <v>326</v>
      </c>
      <c r="H2804" s="14">
        <v>159.81</v>
      </c>
      <c r="I2804" s="18">
        <v>11</v>
      </c>
      <c r="J2804" s="12" t="s">
        <v>521</v>
      </c>
      <c r="K2804" s="13" t="s">
        <v>36</v>
      </c>
      <c r="L2804" s="15" t="s">
        <v>36</v>
      </c>
      <c r="M2804" s="12" t="s">
        <v>36</v>
      </c>
      <c r="N2804" s="12" t="s">
        <v>36</v>
      </c>
      <c r="O2804" s="17" t="s">
        <v>36</v>
      </c>
      <c r="P2804" s="12" t="s">
        <v>36</v>
      </c>
      <c r="Q2804" s="12" t="s">
        <v>36</v>
      </c>
      <c r="R2804" s="12" t="s">
        <v>36</v>
      </c>
      <c r="S2804" s="12" t="s">
        <v>36</v>
      </c>
      <c r="T2804" s="12" t="s">
        <v>881</v>
      </c>
      <c r="U2804" s="12" t="s">
        <v>51</v>
      </c>
      <c r="V2804" s="12" t="s">
        <v>52</v>
      </c>
      <c r="W2804" s="12" t="s">
        <v>10958</v>
      </c>
      <c r="X2804" s="16" t="s">
        <v>15083</v>
      </c>
      <c r="Y2804" s="15" t="s">
        <v>55</v>
      </c>
      <c r="Z2804" s="14">
        <v>17.26</v>
      </c>
      <c r="AA2804" s="14">
        <v>135.88</v>
      </c>
      <c r="AB2804" s="12" t="s">
        <v>56</v>
      </c>
      <c r="AC2804" s="12" t="s">
        <v>10960</v>
      </c>
      <c r="AD2804" s="13">
        <v>44482</v>
      </c>
      <c r="AE2804" s="12" t="s">
        <v>504</v>
      </c>
      <c r="AF2804" s="12" t="s">
        <v>885</v>
      </c>
      <c r="AG2804" s="12" t="s">
        <v>81</v>
      </c>
      <c r="AH2804" s="1">
        <f>HYPERLINK("https://my.pitchbook.com?c=182714-68T","View Company Online")</f>
      </c>
    </row>
    <row r="2805">
      <c r="A2805" s="3" t="s">
        <v>15084</v>
      </c>
      <c r="B2805" s="3" t="s">
        <v>15085</v>
      </c>
      <c r="C2805" s="5">
        <v>2</v>
      </c>
      <c r="D2805" s="5">
        <v>6</v>
      </c>
      <c r="E2805" s="5">
        <v>4</v>
      </c>
      <c r="F2805" s="5">
        <v>8</v>
      </c>
      <c r="G2805" s="6" t="s">
        <v>36</v>
      </c>
      <c r="H2805" s="4">
        <v>15.58</v>
      </c>
      <c r="I2805" s="7">
        <v>28.75</v>
      </c>
      <c r="J2805" s="3" t="s">
        <v>521</v>
      </c>
      <c r="K2805" s="9" t="s">
        <v>36</v>
      </c>
      <c r="L2805" s="6" t="s">
        <v>36</v>
      </c>
      <c r="M2805" s="3" t="s">
        <v>36</v>
      </c>
      <c r="N2805" s="3" t="s">
        <v>36</v>
      </c>
      <c r="O2805" s="8" t="s">
        <v>36</v>
      </c>
      <c r="P2805" s="3" t="s">
        <v>36</v>
      </c>
      <c r="Q2805" s="3" t="s">
        <v>36</v>
      </c>
      <c r="R2805" s="3" t="s">
        <v>36</v>
      </c>
      <c r="S2805" s="3" t="s">
        <v>36</v>
      </c>
      <c r="T2805" s="3" t="s">
        <v>15086</v>
      </c>
      <c r="U2805" s="3" t="s">
        <v>38</v>
      </c>
      <c r="V2805" s="3" t="s">
        <v>39</v>
      </c>
      <c r="W2805" s="3" t="s">
        <v>15087</v>
      </c>
      <c r="X2805" s="10" t="s">
        <v>15088</v>
      </c>
      <c r="Y2805" s="6" t="s">
        <v>42</v>
      </c>
      <c r="Z2805" s="4">
        <v>4.2</v>
      </c>
      <c r="AA2805" s="4">
        <v>4.87</v>
      </c>
      <c r="AB2805" s="3" t="s">
        <v>56</v>
      </c>
      <c r="AC2805" s="3" t="s">
        <v>15089</v>
      </c>
      <c r="AD2805" s="9">
        <v>44481</v>
      </c>
      <c r="AE2805" s="3" t="s">
        <v>1330</v>
      </c>
      <c r="AF2805" s="3" t="s">
        <v>2350</v>
      </c>
      <c r="AG2805" s="3" t="s">
        <v>741</v>
      </c>
      <c r="AH2805" s="11">
        <f>HYPERLINK("https://my.pitchbook.com?c=181579-87T","View Company Online")</f>
      </c>
    </row>
    <row r="2806">
      <c r="A2806" s="12" t="s">
        <v>15090</v>
      </c>
      <c r="B2806" s="12" t="s">
        <v>8581</v>
      </c>
      <c r="C2806" s="19" t="s">
        <v>36</v>
      </c>
      <c r="D2806" s="19" t="s">
        <v>36</v>
      </c>
      <c r="E2806" s="19" t="s">
        <v>36</v>
      </c>
      <c r="F2806" s="19" t="s">
        <v>36</v>
      </c>
      <c r="G2806" s="15" t="s">
        <v>326</v>
      </c>
      <c r="H2806" s="14">
        <v>2463</v>
      </c>
      <c r="I2806" s="18">
        <v>33.26</v>
      </c>
      <c r="J2806" s="12" t="s">
        <v>521</v>
      </c>
      <c r="K2806" s="13" t="s">
        <v>36</v>
      </c>
      <c r="L2806" s="15" t="s">
        <v>122</v>
      </c>
      <c r="M2806" s="12" t="s">
        <v>36</v>
      </c>
      <c r="N2806" s="12" t="s">
        <v>122</v>
      </c>
      <c r="O2806" s="17" t="s">
        <v>36</v>
      </c>
      <c r="P2806" s="12" t="s">
        <v>36</v>
      </c>
      <c r="Q2806" s="12" t="s">
        <v>36</v>
      </c>
      <c r="R2806" s="12" t="s">
        <v>36</v>
      </c>
      <c r="S2806" s="12" t="s">
        <v>36</v>
      </c>
      <c r="T2806" s="12" t="s">
        <v>8582</v>
      </c>
      <c r="U2806" s="12" t="s">
        <v>648</v>
      </c>
      <c r="V2806" s="12" t="s">
        <v>64</v>
      </c>
      <c r="W2806" s="12" t="s">
        <v>8583</v>
      </c>
      <c r="X2806" s="16" t="s">
        <v>15091</v>
      </c>
      <c r="Y2806" s="15" t="s">
        <v>42</v>
      </c>
      <c r="Z2806" s="14">
        <v>2.33</v>
      </c>
      <c r="AA2806" s="14">
        <v>5.14</v>
      </c>
      <c r="AB2806" s="12" t="s">
        <v>43</v>
      </c>
      <c r="AC2806" s="12" t="s">
        <v>8585</v>
      </c>
      <c r="AD2806" s="13">
        <v>44481</v>
      </c>
      <c r="AE2806" s="12" t="s">
        <v>651</v>
      </c>
      <c r="AF2806" s="12" t="s">
        <v>36</v>
      </c>
      <c r="AG2806" s="12" t="s">
        <v>382</v>
      </c>
      <c r="AH2806" s="1">
        <f>HYPERLINK("https://my.pitchbook.com?c=181549-09T","View Company Online")</f>
      </c>
    </row>
    <row r="2807">
      <c r="A2807" s="3" t="s">
        <v>15092</v>
      </c>
      <c r="B2807" s="3" t="s">
        <v>15093</v>
      </c>
      <c r="C2807" s="5" t="s">
        <v>36</v>
      </c>
      <c r="D2807" s="5" t="s">
        <v>36</v>
      </c>
      <c r="E2807" s="5" t="s">
        <v>36</v>
      </c>
      <c r="F2807" s="5" t="s">
        <v>36</v>
      </c>
      <c r="G2807" s="6" t="s">
        <v>36</v>
      </c>
      <c r="H2807" s="4">
        <v>224.33</v>
      </c>
      <c r="I2807" s="7">
        <v>31.61</v>
      </c>
      <c r="J2807" s="3" t="s">
        <v>521</v>
      </c>
      <c r="K2807" s="9" t="s">
        <v>36</v>
      </c>
      <c r="L2807" s="6" t="s">
        <v>36</v>
      </c>
      <c r="M2807" s="3" t="s">
        <v>36</v>
      </c>
      <c r="N2807" s="3" t="s">
        <v>36</v>
      </c>
      <c r="O2807" s="8" t="s">
        <v>36</v>
      </c>
      <c r="P2807" s="3" t="s">
        <v>36</v>
      </c>
      <c r="Q2807" s="3" t="s">
        <v>36</v>
      </c>
      <c r="R2807" s="3" t="s">
        <v>36</v>
      </c>
      <c r="S2807" s="3" t="s">
        <v>36</v>
      </c>
      <c r="T2807" s="3" t="s">
        <v>15094</v>
      </c>
      <c r="U2807" s="3" t="s">
        <v>63</v>
      </c>
      <c r="V2807" s="3" t="s">
        <v>64</v>
      </c>
      <c r="W2807" s="3" t="s">
        <v>15095</v>
      </c>
      <c r="X2807" s="10" t="s">
        <v>15096</v>
      </c>
      <c r="Y2807" s="6" t="s">
        <v>42</v>
      </c>
      <c r="Z2807" s="4">
        <v>4.82</v>
      </c>
      <c r="AA2807" s="4">
        <v>15.25</v>
      </c>
      <c r="AB2807" s="3" t="s">
        <v>43</v>
      </c>
      <c r="AC2807" s="3" t="s">
        <v>15097</v>
      </c>
      <c r="AD2807" s="9">
        <v>44481</v>
      </c>
      <c r="AE2807" s="3" t="s">
        <v>4310</v>
      </c>
      <c r="AF2807" s="3" t="s">
        <v>90</v>
      </c>
      <c r="AG2807" s="3" t="s">
        <v>81</v>
      </c>
      <c r="AH2807" s="11">
        <f>HYPERLINK("https://my.pitchbook.com?c=181949-68T","View Company Online")</f>
      </c>
    </row>
    <row r="2808">
      <c r="A2808" s="12" t="s">
        <v>15098</v>
      </c>
      <c r="B2808" s="12" t="s">
        <v>15099</v>
      </c>
      <c r="C2808" s="19" t="s">
        <v>36</v>
      </c>
      <c r="D2808" s="19" t="s">
        <v>36</v>
      </c>
      <c r="E2808" s="19" t="s">
        <v>36</v>
      </c>
      <c r="F2808" s="19" t="s">
        <v>36</v>
      </c>
      <c r="G2808" s="15" t="s">
        <v>36</v>
      </c>
      <c r="H2808" s="14" t="s">
        <v>36</v>
      </c>
      <c r="I2808" s="18" t="s">
        <v>36</v>
      </c>
      <c r="J2808" s="12" t="s">
        <v>36</v>
      </c>
      <c r="K2808" s="13" t="s">
        <v>36</v>
      </c>
      <c r="L2808" s="15" t="s">
        <v>36</v>
      </c>
      <c r="M2808" s="12" t="s">
        <v>36</v>
      </c>
      <c r="N2808" s="12" t="s">
        <v>36</v>
      </c>
      <c r="O2808" s="17" t="s">
        <v>36</v>
      </c>
      <c r="P2808" s="12" t="s">
        <v>36</v>
      </c>
      <c r="Q2808" s="12" t="s">
        <v>36</v>
      </c>
      <c r="R2808" s="12" t="s">
        <v>36</v>
      </c>
      <c r="S2808" s="12" t="s">
        <v>36</v>
      </c>
      <c r="T2808" s="12" t="s">
        <v>15100</v>
      </c>
      <c r="U2808" s="12" t="s">
        <v>74</v>
      </c>
      <c r="V2808" s="12" t="s">
        <v>75</v>
      </c>
      <c r="W2808" s="12" t="s">
        <v>15101</v>
      </c>
      <c r="X2808" s="16" t="s">
        <v>15102</v>
      </c>
      <c r="Y2808" s="15" t="s">
        <v>42</v>
      </c>
      <c r="Z2808" s="14">
        <v>0.98</v>
      </c>
      <c r="AA2808" s="14" t="s">
        <v>36</v>
      </c>
      <c r="AB2808" s="12" t="s">
        <v>56</v>
      </c>
      <c r="AC2808" s="12" t="s">
        <v>15103</v>
      </c>
      <c r="AD2808" s="13">
        <v>44480</v>
      </c>
      <c r="AE2808" s="12" t="s">
        <v>1243</v>
      </c>
      <c r="AF2808" s="12" t="s">
        <v>3429</v>
      </c>
      <c r="AG2808" s="12" t="s">
        <v>1705</v>
      </c>
      <c r="AH2808" s="1">
        <f>HYPERLINK("https://my.pitchbook.com?c=182739-52T","View Company Online")</f>
      </c>
    </row>
    <row r="2809">
      <c r="A2809" s="3" t="s">
        <v>15104</v>
      </c>
      <c r="B2809" s="3" t="s">
        <v>8947</v>
      </c>
      <c r="C2809" s="5">
        <v>2</v>
      </c>
      <c r="D2809" s="5">
        <v>1</v>
      </c>
      <c r="E2809" s="5">
        <v>2</v>
      </c>
      <c r="F2809" s="5">
        <v>6</v>
      </c>
      <c r="G2809" s="6" t="s">
        <v>36</v>
      </c>
      <c r="H2809" s="4" t="s">
        <v>36</v>
      </c>
      <c r="I2809" s="7" t="s">
        <v>36</v>
      </c>
      <c r="J2809" s="3" t="s">
        <v>36</v>
      </c>
      <c r="K2809" s="9" t="s">
        <v>36</v>
      </c>
      <c r="L2809" s="6" t="s">
        <v>36</v>
      </c>
      <c r="M2809" s="3" t="s">
        <v>36</v>
      </c>
      <c r="N2809" s="3" t="s">
        <v>36</v>
      </c>
      <c r="O2809" s="8" t="s">
        <v>36</v>
      </c>
      <c r="P2809" s="3" t="s">
        <v>36</v>
      </c>
      <c r="Q2809" s="3" t="s">
        <v>36</v>
      </c>
      <c r="R2809" s="3" t="s">
        <v>36</v>
      </c>
      <c r="S2809" s="3" t="s">
        <v>36</v>
      </c>
      <c r="T2809" s="3" t="s">
        <v>8948</v>
      </c>
      <c r="U2809" s="3" t="s">
        <v>1798</v>
      </c>
      <c r="V2809" s="3" t="s">
        <v>39</v>
      </c>
      <c r="W2809" s="3" t="s">
        <v>8949</v>
      </c>
      <c r="X2809" s="10" t="s">
        <v>15105</v>
      </c>
      <c r="Y2809" s="6" t="s">
        <v>55</v>
      </c>
      <c r="Z2809" s="4" t="s">
        <v>36</v>
      </c>
      <c r="AA2809" s="4" t="s">
        <v>36</v>
      </c>
      <c r="AB2809" s="3" t="s">
        <v>56</v>
      </c>
      <c r="AC2809" s="3" t="s">
        <v>8951</v>
      </c>
      <c r="AD2809" s="9">
        <v>44480</v>
      </c>
      <c r="AE2809" s="3" t="s">
        <v>5561</v>
      </c>
      <c r="AF2809" s="3" t="s">
        <v>8952</v>
      </c>
      <c r="AG2809" s="3" t="s">
        <v>969</v>
      </c>
      <c r="AH2809" s="11">
        <f>HYPERLINK("https://my.pitchbook.com?c=186893-56T","View Company Online")</f>
      </c>
    </row>
    <row r="2810">
      <c r="A2810" s="12" t="s">
        <v>15106</v>
      </c>
      <c r="B2810" s="12" t="s">
        <v>11856</v>
      </c>
      <c r="C2810" s="19" t="s">
        <v>36</v>
      </c>
      <c r="D2810" s="19" t="s">
        <v>36</v>
      </c>
      <c r="E2810" s="19">
        <v>1</v>
      </c>
      <c r="F2810" s="19">
        <v>1</v>
      </c>
      <c r="G2810" s="15" t="s">
        <v>326</v>
      </c>
      <c r="H2810" s="14" t="s">
        <v>36</v>
      </c>
      <c r="I2810" s="18">
        <v>24.07</v>
      </c>
      <c r="J2810" s="12" t="s">
        <v>327</v>
      </c>
      <c r="K2810" s="13" t="s">
        <v>36</v>
      </c>
      <c r="L2810" s="15" t="s">
        <v>122</v>
      </c>
      <c r="M2810" s="12" t="s">
        <v>36</v>
      </c>
      <c r="N2810" s="12" t="s">
        <v>122</v>
      </c>
      <c r="O2810" s="17" t="s">
        <v>36</v>
      </c>
      <c r="P2810" s="12" t="s">
        <v>36</v>
      </c>
      <c r="Q2810" s="12" t="s">
        <v>36</v>
      </c>
      <c r="R2810" s="12" t="s">
        <v>36</v>
      </c>
      <c r="S2810" s="12" t="s">
        <v>36</v>
      </c>
      <c r="T2810" s="12" t="s">
        <v>11857</v>
      </c>
      <c r="U2810" s="12" t="s">
        <v>38</v>
      </c>
      <c r="V2810" s="12" t="s">
        <v>39</v>
      </c>
      <c r="W2810" s="12" t="s">
        <v>11858</v>
      </c>
      <c r="X2810" s="16" t="s">
        <v>15107</v>
      </c>
      <c r="Y2810" s="15" t="s">
        <v>55</v>
      </c>
      <c r="Z2810" s="14">
        <v>50.47</v>
      </c>
      <c r="AA2810" s="14">
        <v>209.66</v>
      </c>
      <c r="AB2810" s="12" t="s">
        <v>43</v>
      </c>
      <c r="AC2810" s="12" t="s">
        <v>11860</v>
      </c>
      <c r="AD2810" s="13">
        <v>44480</v>
      </c>
      <c r="AE2810" s="12" t="s">
        <v>554</v>
      </c>
      <c r="AF2810" s="12" t="s">
        <v>1380</v>
      </c>
      <c r="AG2810" s="12" t="s">
        <v>81</v>
      </c>
      <c r="AH2810" s="1">
        <f>HYPERLINK("https://my.pitchbook.com?c=181484-83T","View Company Online")</f>
      </c>
    </row>
    <row r="2811">
      <c r="A2811" s="3" t="s">
        <v>15108</v>
      </c>
      <c r="B2811" s="3" t="s">
        <v>5093</v>
      </c>
      <c r="C2811" s="5" t="s">
        <v>36</v>
      </c>
      <c r="D2811" s="5" t="s">
        <v>36</v>
      </c>
      <c r="E2811" s="5" t="s">
        <v>36</v>
      </c>
      <c r="F2811" s="5" t="s">
        <v>36</v>
      </c>
      <c r="G2811" s="6" t="s">
        <v>326</v>
      </c>
      <c r="H2811" s="4">
        <v>96.86</v>
      </c>
      <c r="I2811" s="7">
        <v>19.99</v>
      </c>
      <c r="J2811" s="3" t="s">
        <v>521</v>
      </c>
      <c r="K2811" s="9" t="s">
        <v>36</v>
      </c>
      <c r="L2811" s="6" t="s">
        <v>36</v>
      </c>
      <c r="M2811" s="3" t="s">
        <v>36</v>
      </c>
      <c r="N2811" s="3" t="s">
        <v>36</v>
      </c>
      <c r="O2811" s="8" t="s">
        <v>36</v>
      </c>
      <c r="P2811" s="3" t="s">
        <v>36</v>
      </c>
      <c r="Q2811" s="3" t="s">
        <v>36</v>
      </c>
      <c r="R2811" s="3" t="s">
        <v>36</v>
      </c>
      <c r="S2811" s="3" t="s">
        <v>36</v>
      </c>
      <c r="T2811" s="3" t="s">
        <v>3201</v>
      </c>
      <c r="U2811" s="3" t="s">
        <v>1357</v>
      </c>
      <c r="V2811" s="3" t="s">
        <v>52</v>
      </c>
      <c r="W2811" s="3" t="s">
        <v>5094</v>
      </c>
      <c r="X2811" s="10" t="s">
        <v>15109</v>
      </c>
      <c r="Y2811" s="6" t="s">
        <v>108</v>
      </c>
      <c r="Z2811" s="4">
        <v>2.34</v>
      </c>
      <c r="AA2811" s="4">
        <v>11.69</v>
      </c>
      <c r="AB2811" s="3" t="s">
        <v>43</v>
      </c>
      <c r="AC2811" s="3" t="s">
        <v>5096</v>
      </c>
      <c r="AD2811" s="9">
        <v>44480</v>
      </c>
      <c r="AE2811" s="3" t="s">
        <v>3204</v>
      </c>
      <c r="AF2811" s="3" t="s">
        <v>101</v>
      </c>
      <c r="AG2811" s="3" t="s">
        <v>47</v>
      </c>
      <c r="AH2811" s="11">
        <f>HYPERLINK("https://my.pitchbook.com?c=181520-56T","View Company Online")</f>
      </c>
    </row>
    <row r="2812">
      <c r="A2812" s="12" t="s">
        <v>15110</v>
      </c>
      <c r="B2812" s="12" t="s">
        <v>15111</v>
      </c>
      <c r="C2812" s="19" t="s">
        <v>36</v>
      </c>
      <c r="D2812" s="19" t="s">
        <v>36</v>
      </c>
      <c r="E2812" s="19" t="s">
        <v>36</v>
      </c>
      <c r="F2812" s="19" t="s">
        <v>36</v>
      </c>
      <c r="G2812" s="15" t="s">
        <v>36</v>
      </c>
      <c r="H2812" s="14" t="s">
        <v>36</v>
      </c>
      <c r="I2812" s="18" t="s">
        <v>36</v>
      </c>
      <c r="J2812" s="12" t="s">
        <v>36</v>
      </c>
      <c r="K2812" s="13" t="s">
        <v>36</v>
      </c>
      <c r="L2812" s="15" t="s">
        <v>122</v>
      </c>
      <c r="M2812" s="12" t="s">
        <v>36</v>
      </c>
      <c r="N2812" s="12" t="s">
        <v>122</v>
      </c>
      <c r="O2812" s="17" t="s">
        <v>36</v>
      </c>
      <c r="P2812" s="12" t="s">
        <v>36</v>
      </c>
      <c r="Q2812" s="12" t="s">
        <v>36</v>
      </c>
      <c r="R2812" s="12" t="s">
        <v>36</v>
      </c>
      <c r="S2812" s="12" t="s">
        <v>36</v>
      </c>
      <c r="T2812" s="12" t="s">
        <v>15112</v>
      </c>
      <c r="U2812" s="12" t="s">
        <v>180</v>
      </c>
      <c r="V2812" s="12" t="s">
        <v>52</v>
      </c>
      <c r="W2812" s="12" t="s">
        <v>15113</v>
      </c>
      <c r="X2812" s="16" t="s">
        <v>15114</v>
      </c>
      <c r="Y2812" s="15" t="s">
        <v>42</v>
      </c>
      <c r="Z2812" s="14">
        <v>5.14</v>
      </c>
      <c r="AA2812" s="14" t="s">
        <v>36</v>
      </c>
      <c r="AB2812" s="12" t="s">
        <v>43</v>
      </c>
      <c r="AC2812" s="12" t="s">
        <v>15115</v>
      </c>
      <c r="AD2812" s="13">
        <v>44480</v>
      </c>
      <c r="AE2812" s="12" t="s">
        <v>8291</v>
      </c>
      <c r="AF2812" s="12" t="s">
        <v>7833</v>
      </c>
      <c r="AG2812" s="12" t="s">
        <v>899</v>
      </c>
      <c r="AH2812" s="1">
        <f>HYPERLINK("https://my.pitchbook.com?c=181492-84T","View Company Online")</f>
      </c>
    </row>
    <row r="2813">
      <c r="A2813" s="3" t="s">
        <v>15116</v>
      </c>
      <c r="B2813" s="3" t="s">
        <v>15117</v>
      </c>
      <c r="C2813" s="5" t="s">
        <v>36</v>
      </c>
      <c r="D2813" s="5" t="s">
        <v>36</v>
      </c>
      <c r="E2813" s="5" t="s">
        <v>36</v>
      </c>
      <c r="F2813" s="5" t="s">
        <v>36</v>
      </c>
      <c r="G2813" s="6" t="s">
        <v>36</v>
      </c>
      <c r="H2813" s="4">
        <v>70.97</v>
      </c>
      <c r="I2813" s="7">
        <v>27.71</v>
      </c>
      <c r="J2813" s="3" t="s">
        <v>521</v>
      </c>
      <c r="K2813" s="9" t="s">
        <v>36</v>
      </c>
      <c r="L2813" s="6" t="s">
        <v>36</v>
      </c>
      <c r="M2813" s="3" t="s">
        <v>36</v>
      </c>
      <c r="N2813" s="3" t="s">
        <v>36</v>
      </c>
      <c r="O2813" s="8" t="s">
        <v>36</v>
      </c>
      <c r="P2813" s="3" t="s">
        <v>36</v>
      </c>
      <c r="Q2813" s="3" t="s">
        <v>36</v>
      </c>
      <c r="R2813" s="3" t="s">
        <v>36</v>
      </c>
      <c r="S2813" s="3" t="s">
        <v>36</v>
      </c>
      <c r="T2813" s="3" t="s">
        <v>5646</v>
      </c>
      <c r="U2813" s="3" t="s">
        <v>38</v>
      </c>
      <c r="V2813" s="3" t="s">
        <v>39</v>
      </c>
      <c r="W2813" s="3" t="s">
        <v>15118</v>
      </c>
      <c r="X2813" s="10" t="s">
        <v>15119</v>
      </c>
      <c r="Y2813" s="6" t="s">
        <v>42</v>
      </c>
      <c r="Z2813" s="4">
        <v>1.52</v>
      </c>
      <c r="AA2813" s="4">
        <v>3.32</v>
      </c>
      <c r="AB2813" s="3" t="s">
        <v>43</v>
      </c>
      <c r="AC2813" s="3" t="s">
        <v>15120</v>
      </c>
      <c r="AD2813" s="9">
        <v>44479</v>
      </c>
      <c r="AE2813" s="3" t="s">
        <v>110</v>
      </c>
      <c r="AF2813" s="3" t="s">
        <v>135</v>
      </c>
      <c r="AG2813" s="3" t="s">
        <v>81</v>
      </c>
      <c r="AH2813" s="11">
        <f>HYPERLINK("https://my.pitchbook.com?c=181880-56T","View Company Online")</f>
      </c>
    </row>
    <row r="2814">
      <c r="A2814" s="12" t="s">
        <v>15121</v>
      </c>
      <c r="B2814" s="12" t="s">
        <v>15122</v>
      </c>
      <c r="C2814" s="19" t="s">
        <v>36</v>
      </c>
      <c r="D2814" s="19" t="s">
        <v>36</v>
      </c>
      <c r="E2814" s="19" t="s">
        <v>36</v>
      </c>
      <c r="F2814" s="19" t="s">
        <v>36</v>
      </c>
      <c r="G2814" s="15" t="s">
        <v>36</v>
      </c>
      <c r="H2814" s="14" t="s">
        <v>36</v>
      </c>
      <c r="I2814" s="18" t="s">
        <v>36</v>
      </c>
      <c r="J2814" s="12" t="s">
        <v>36</v>
      </c>
      <c r="K2814" s="13">
        <v>44461</v>
      </c>
      <c r="L2814" s="15" t="s">
        <v>36</v>
      </c>
      <c r="M2814" s="12" t="s">
        <v>36</v>
      </c>
      <c r="N2814" s="12" t="s">
        <v>36</v>
      </c>
      <c r="O2814" s="17" t="s">
        <v>36</v>
      </c>
      <c r="P2814" s="12" t="s">
        <v>36</v>
      </c>
      <c r="Q2814" s="12" t="s">
        <v>36</v>
      </c>
      <c r="R2814" s="12" t="s">
        <v>36</v>
      </c>
      <c r="S2814" s="12" t="s">
        <v>36</v>
      </c>
      <c r="T2814" s="12" t="s">
        <v>105</v>
      </c>
      <c r="U2814" s="12" t="s">
        <v>38</v>
      </c>
      <c r="V2814" s="12" t="s">
        <v>39</v>
      </c>
      <c r="W2814" s="12" t="s">
        <v>15123</v>
      </c>
      <c r="X2814" s="16" t="s">
        <v>15124</v>
      </c>
      <c r="Y2814" s="15" t="s">
        <v>108</v>
      </c>
      <c r="Z2814" s="14" t="s">
        <v>36</v>
      </c>
      <c r="AA2814" s="14" t="s">
        <v>36</v>
      </c>
      <c r="AB2814" s="12" t="s">
        <v>43</v>
      </c>
      <c r="AC2814" s="12" t="s">
        <v>15125</v>
      </c>
      <c r="AD2814" s="13">
        <v>44478</v>
      </c>
      <c r="AE2814" s="12" t="s">
        <v>110</v>
      </c>
      <c r="AF2814" s="12" t="s">
        <v>526</v>
      </c>
      <c r="AG2814" s="12" t="s">
        <v>81</v>
      </c>
      <c r="AH2814" s="1">
        <f>HYPERLINK("https://my.pitchbook.com?c=193931-74T","View Company Online")</f>
      </c>
    </row>
    <row r="2815">
      <c r="A2815" s="3" t="s">
        <v>15126</v>
      </c>
      <c r="B2815" s="3" t="s">
        <v>9650</v>
      </c>
      <c r="C2815" s="5" t="s">
        <v>36</v>
      </c>
      <c r="D2815" s="5" t="s">
        <v>36</v>
      </c>
      <c r="E2815" s="5" t="s">
        <v>36</v>
      </c>
      <c r="F2815" s="5" t="s">
        <v>36</v>
      </c>
      <c r="G2815" s="6" t="s">
        <v>683</v>
      </c>
      <c r="H2815" s="4">
        <v>7.29</v>
      </c>
      <c r="I2815" s="7">
        <v>10.78</v>
      </c>
      <c r="J2815" s="3" t="s">
        <v>521</v>
      </c>
      <c r="K2815" s="9" t="s">
        <v>36</v>
      </c>
      <c r="L2815" s="6" t="s">
        <v>36</v>
      </c>
      <c r="M2815" s="3" t="s">
        <v>36</v>
      </c>
      <c r="N2815" s="3" t="s">
        <v>36</v>
      </c>
      <c r="O2815" s="8" t="s">
        <v>36</v>
      </c>
      <c r="P2815" s="3" t="s">
        <v>36</v>
      </c>
      <c r="Q2815" s="3" t="s">
        <v>36</v>
      </c>
      <c r="R2815" s="3" t="s">
        <v>36</v>
      </c>
      <c r="S2815" s="3" t="s">
        <v>36</v>
      </c>
      <c r="T2815" s="3" t="s">
        <v>6989</v>
      </c>
      <c r="U2815" s="3" t="s">
        <v>63</v>
      </c>
      <c r="V2815" s="3" t="s">
        <v>64</v>
      </c>
      <c r="W2815" s="3" t="s">
        <v>9651</v>
      </c>
      <c r="X2815" s="10" t="s">
        <v>15127</v>
      </c>
      <c r="Y2815" s="6" t="s">
        <v>108</v>
      </c>
      <c r="Z2815" s="4">
        <v>0.47</v>
      </c>
      <c r="AA2815" s="4">
        <v>4.34</v>
      </c>
      <c r="AB2815" s="3" t="s">
        <v>43</v>
      </c>
      <c r="AC2815" s="3" t="s">
        <v>9653</v>
      </c>
      <c r="AD2815" s="9">
        <v>44477</v>
      </c>
      <c r="AE2815" s="3" t="s">
        <v>68</v>
      </c>
      <c r="AF2815" s="3" t="s">
        <v>36</v>
      </c>
      <c r="AG2815" s="3" t="s">
        <v>1705</v>
      </c>
      <c r="AH2815" s="11">
        <f>HYPERLINK("https://my.pitchbook.com?c=182692-09T","View Company Online")</f>
      </c>
    </row>
    <row r="2816">
      <c r="A2816" s="12" t="s">
        <v>15128</v>
      </c>
      <c r="B2816" s="12" t="s">
        <v>9687</v>
      </c>
      <c r="C2816" s="19" t="s">
        <v>36</v>
      </c>
      <c r="D2816" s="19" t="s">
        <v>36</v>
      </c>
      <c r="E2816" s="19" t="s">
        <v>36</v>
      </c>
      <c r="F2816" s="19" t="s">
        <v>36</v>
      </c>
      <c r="G2816" s="15" t="s">
        <v>326</v>
      </c>
      <c r="H2816" s="14" t="s">
        <v>36</v>
      </c>
      <c r="I2816" s="18">
        <v>20</v>
      </c>
      <c r="J2816" s="12" t="s">
        <v>327</v>
      </c>
      <c r="K2816" s="13">
        <v>44383</v>
      </c>
      <c r="L2816" s="15" t="s">
        <v>3736</v>
      </c>
      <c r="M2816" s="12" t="s">
        <v>36</v>
      </c>
      <c r="N2816" s="12" t="s">
        <v>3736</v>
      </c>
      <c r="O2816" s="17" t="s">
        <v>36</v>
      </c>
      <c r="P2816" s="12" t="s">
        <v>36</v>
      </c>
      <c r="Q2816" s="12" t="s">
        <v>36</v>
      </c>
      <c r="R2816" s="12" t="s">
        <v>36</v>
      </c>
      <c r="S2816" s="12" t="s">
        <v>36</v>
      </c>
      <c r="T2816" s="12" t="s">
        <v>3330</v>
      </c>
      <c r="U2816" s="12" t="s">
        <v>438</v>
      </c>
      <c r="V2816" s="12" t="s">
        <v>405</v>
      </c>
      <c r="W2816" s="12" t="s">
        <v>9688</v>
      </c>
      <c r="X2816" s="16" t="s">
        <v>15129</v>
      </c>
      <c r="Y2816" s="15" t="s">
        <v>321</v>
      </c>
      <c r="Z2816" s="14">
        <v>200</v>
      </c>
      <c r="AA2816" s="14">
        <v>1000</v>
      </c>
      <c r="AB2816" s="12" t="s">
        <v>56</v>
      </c>
      <c r="AC2816" s="12" t="s">
        <v>9690</v>
      </c>
      <c r="AD2816" s="13">
        <v>44477</v>
      </c>
      <c r="AE2816" s="12" t="s">
        <v>438</v>
      </c>
      <c r="AF2816" s="12" t="s">
        <v>9691</v>
      </c>
      <c r="AG2816" s="12" t="s">
        <v>652</v>
      </c>
      <c r="AH2816" s="1">
        <f>HYPERLINK("https://my.pitchbook.com?c=180046-54T","View Company Online")</f>
      </c>
    </row>
    <row r="2817">
      <c r="A2817" s="3" t="s">
        <v>15130</v>
      </c>
      <c r="B2817" s="3" t="s">
        <v>7757</v>
      </c>
      <c r="C2817" s="5" t="s">
        <v>36</v>
      </c>
      <c r="D2817" s="5" t="s">
        <v>36</v>
      </c>
      <c r="E2817" s="5" t="s">
        <v>36</v>
      </c>
      <c r="F2817" s="5" t="s">
        <v>36</v>
      </c>
      <c r="G2817" s="6" t="s">
        <v>36</v>
      </c>
      <c r="H2817" s="4" t="s">
        <v>36</v>
      </c>
      <c r="I2817" s="7" t="s">
        <v>36</v>
      </c>
      <c r="J2817" s="3" t="s">
        <v>36</v>
      </c>
      <c r="K2817" s="9">
        <v>44285</v>
      </c>
      <c r="L2817" s="6" t="s">
        <v>36</v>
      </c>
      <c r="M2817" s="3" t="s">
        <v>36</v>
      </c>
      <c r="N2817" s="3" t="s">
        <v>36</v>
      </c>
      <c r="O2817" s="8" t="s">
        <v>36</v>
      </c>
      <c r="P2817" s="3" t="s">
        <v>36</v>
      </c>
      <c r="Q2817" s="3" t="s">
        <v>36</v>
      </c>
      <c r="R2817" s="3" t="s">
        <v>36</v>
      </c>
      <c r="S2817" s="3" t="s">
        <v>36</v>
      </c>
      <c r="T2817" s="3" t="s">
        <v>5518</v>
      </c>
      <c r="U2817" s="3" t="s">
        <v>318</v>
      </c>
      <c r="V2817" s="3" t="s">
        <v>39</v>
      </c>
      <c r="W2817" s="3" t="s">
        <v>7758</v>
      </c>
      <c r="X2817" s="10" t="s">
        <v>15131</v>
      </c>
      <c r="Y2817" s="6" t="s">
        <v>42</v>
      </c>
      <c r="Z2817" s="4">
        <v>11.72</v>
      </c>
      <c r="AA2817" s="4" t="s">
        <v>36</v>
      </c>
      <c r="AB2817" s="3" t="s">
        <v>43</v>
      </c>
      <c r="AC2817" s="3" t="s">
        <v>7759</v>
      </c>
      <c r="AD2817" s="9">
        <v>44476</v>
      </c>
      <c r="AE2817" s="3" t="s">
        <v>763</v>
      </c>
      <c r="AF2817" s="3" t="s">
        <v>1636</v>
      </c>
      <c r="AG2817" s="3" t="s">
        <v>81</v>
      </c>
      <c r="AH2817" s="11">
        <f>HYPERLINK("https://my.pitchbook.com?c=178584-67T","View Company Online")</f>
      </c>
    </row>
    <row r="2818">
      <c r="A2818" s="12" t="s">
        <v>15132</v>
      </c>
      <c r="B2818" s="12" t="s">
        <v>15133</v>
      </c>
      <c r="C2818" s="19" t="s">
        <v>36</v>
      </c>
      <c r="D2818" s="19" t="s">
        <v>36</v>
      </c>
      <c r="E2818" s="19" t="s">
        <v>36</v>
      </c>
      <c r="F2818" s="19" t="s">
        <v>36</v>
      </c>
      <c r="G2818" s="15" t="s">
        <v>36</v>
      </c>
      <c r="H2818" s="14" t="s">
        <v>36</v>
      </c>
      <c r="I2818" s="18" t="s">
        <v>36</v>
      </c>
      <c r="J2818" s="12" t="s">
        <v>36</v>
      </c>
      <c r="K2818" s="13" t="s">
        <v>36</v>
      </c>
      <c r="L2818" s="15" t="s">
        <v>122</v>
      </c>
      <c r="M2818" s="12" t="s">
        <v>36</v>
      </c>
      <c r="N2818" s="12" t="s">
        <v>122</v>
      </c>
      <c r="O2818" s="17" t="s">
        <v>36</v>
      </c>
      <c r="P2818" s="12" t="s">
        <v>36</v>
      </c>
      <c r="Q2818" s="12" t="s">
        <v>36</v>
      </c>
      <c r="R2818" s="12" t="s">
        <v>36</v>
      </c>
      <c r="S2818" s="12" t="s">
        <v>36</v>
      </c>
      <c r="T2818" s="12" t="s">
        <v>948</v>
      </c>
      <c r="U2818" s="12" t="s">
        <v>38</v>
      </c>
      <c r="V2818" s="12" t="s">
        <v>39</v>
      </c>
      <c r="W2818" s="12" t="s">
        <v>15134</v>
      </c>
      <c r="X2818" s="16" t="s">
        <v>15135</v>
      </c>
      <c r="Y2818" s="15" t="s">
        <v>55</v>
      </c>
      <c r="Z2818" s="14">
        <v>7.03</v>
      </c>
      <c r="AA2818" s="14" t="s">
        <v>36</v>
      </c>
      <c r="AB2818" s="12" t="s">
        <v>56</v>
      </c>
      <c r="AC2818" s="12" t="s">
        <v>15136</v>
      </c>
      <c r="AD2818" s="13">
        <v>44476</v>
      </c>
      <c r="AE2818" s="12" t="s">
        <v>110</v>
      </c>
      <c r="AF2818" s="12" t="s">
        <v>468</v>
      </c>
      <c r="AG2818" s="12" t="s">
        <v>332</v>
      </c>
      <c r="AH2818" s="1">
        <f>HYPERLINK("https://my.pitchbook.com?c=181326-70T","View Company Online")</f>
      </c>
    </row>
    <row r="2819">
      <c r="A2819" s="3" t="s">
        <v>15137</v>
      </c>
      <c r="B2819" s="3" t="s">
        <v>15138</v>
      </c>
      <c r="C2819" s="5" t="s">
        <v>36</v>
      </c>
      <c r="D2819" s="5" t="s">
        <v>36</v>
      </c>
      <c r="E2819" s="5" t="s">
        <v>36</v>
      </c>
      <c r="F2819" s="5" t="s">
        <v>36</v>
      </c>
      <c r="G2819" s="6" t="s">
        <v>36</v>
      </c>
      <c r="H2819" s="4">
        <v>41.54</v>
      </c>
      <c r="I2819" s="7">
        <v>25.21</v>
      </c>
      <c r="J2819" s="3" t="s">
        <v>521</v>
      </c>
      <c r="K2819" s="9" t="s">
        <v>36</v>
      </c>
      <c r="L2819" s="6" t="s">
        <v>36</v>
      </c>
      <c r="M2819" s="3" t="s">
        <v>36</v>
      </c>
      <c r="N2819" s="3" t="s">
        <v>36</v>
      </c>
      <c r="O2819" s="8" t="s">
        <v>36</v>
      </c>
      <c r="P2819" s="3" t="s">
        <v>36</v>
      </c>
      <c r="Q2819" s="3" t="s">
        <v>36</v>
      </c>
      <c r="R2819" s="3" t="s">
        <v>36</v>
      </c>
      <c r="S2819" s="3" t="s">
        <v>36</v>
      </c>
      <c r="T2819" s="3" t="s">
        <v>15139</v>
      </c>
      <c r="U2819" s="3" t="s">
        <v>728</v>
      </c>
      <c r="V2819" s="3" t="s">
        <v>64</v>
      </c>
      <c r="W2819" s="3" t="s">
        <v>15140</v>
      </c>
      <c r="X2819" s="10" t="s">
        <v>15141</v>
      </c>
      <c r="Y2819" s="6" t="s">
        <v>42</v>
      </c>
      <c r="Z2819" s="4">
        <v>1.41</v>
      </c>
      <c r="AA2819" s="4">
        <v>3.13</v>
      </c>
      <c r="AB2819" s="3" t="s">
        <v>43</v>
      </c>
      <c r="AC2819" s="3" t="s">
        <v>15142</v>
      </c>
      <c r="AD2819" s="9">
        <v>44476</v>
      </c>
      <c r="AE2819" s="3" t="s">
        <v>2154</v>
      </c>
      <c r="AF2819" s="3" t="s">
        <v>118</v>
      </c>
      <c r="AG2819" s="3" t="s">
        <v>1705</v>
      </c>
      <c r="AH2819" s="11">
        <f>HYPERLINK("https://my.pitchbook.com?c=187250-50T","View Company Online")</f>
      </c>
    </row>
    <row r="2820">
      <c r="A2820" s="12" t="s">
        <v>15143</v>
      </c>
      <c r="B2820" s="12" t="s">
        <v>15144</v>
      </c>
      <c r="C2820" s="19">
        <v>2</v>
      </c>
      <c r="D2820" s="19">
        <v>8</v>
      </c>
      <c r="E2820" s="19">
        <v>4</v>
      </c>
      <c r="F2820" s="19">
        <v>13</v>
      </c>
      <c r="G2820" s="15" t="s">
        <v>36</v>
      </c>
      <c r="H2820" s="14" t="s">
        <v>36</v>
      </c>
      <c r="I2820" s="18" t="s">
        <v>36</v>
      </c>
      <c r="J2820" s="12" t="s">
        <v>36</v>
      </c>
      <c r="K2820" s="13" t="s">
        <v>36</v>
      </c>
      <c r="L2820" s="15" t="s">
        <v>36</v>
      </c>
      <c r="M2820" s="12" t="s">
        <v>36</v>
      </c>
      <c r="N2820" s="12" t="s">
        <v>36</v>
      </c>
      <c r="O2820" s="17" t="s">
        <v>36</v>
      </c>
      <c r="P2820" s="12" t="s">
        <v>36</v>
      </c>
      <c r="Q2820" s="12" t="s">
        <v>36</v>
      </c>
      <c r="R2820" s="12" t="s">
        <v>36</v>
      </c>
      <c r="S2820" s="12" t="s">
        <v>36</v>
      </c>
      <c r="T2820" s="12" t="s">
        <v>15145</v>
      </c>
      <c r="U2820" s="12" t="s">
        <v>74</v>
      </c>
      <c r="V2820" s="12" t="s">
        <v>75</v>
      </c>
      <c r="W2820" s="12" t="s">
        <v>15146</v>
      </c>
      <c r="X2820" s="16" t="s">
        <v>15147</v>
      </c>
      <c r="Y2820" s="15" t="s">
        <v>55</v>
      </c>
      <c r="Z2820" s="14">
        <v>5.39</v>
      </c>
      <c r="AA2820" s="14" t="s">
        <v>36</v>
      </c>
      <c r="AB2820" s="12" t="s">
        <v>56</v>
      </c>
      <c r="AC2820" s="12" t="s">
        <v>15148</v>
      </c>
      <c r="AD2820" s="13">
        <v>44476</v>
      </c>
      <c r="AE2820" s="12" t="s">
        <v>570</v>
      </c>
      <c r="AF2820" s="12" t="s">
        <v>982</v>
      </c>
      <c r="AG2820" s="12" t="s">
        <v>15149</v>
      </c>
      <c r="AH2820" s="1">
        <f>HYPERLINK("https://my.pitchbook.com?c=181399-06T","View Company Online")</f>
      </c>
    </row>
    <row r="2821">
      <c r="A2821" s="3" t="s">
        <v>15150</v>
      </c>
      <c r="B2821" s="3" t="s">
        <v>15151</v>
      </c>
      <c r="C2821" s="5" t="s">
        <v>36</v>
      </c>
      <c r="D2821" s="5" t="s">
        <v>36</v>
      </c>
      <c r="E2821" s="5" t="s">
        <v>36</v>
      </c>
      <c r="F2821" s="5" t="s">
        <v>36</v>
      </c>
      <c r="G2821" s="6" t="s">
        <v>36</v>
      </c>
      <c r="H2821" s="4">
        <v>44.66</v>
      </c>
      <c r="I2821" s="7">
        <v>65.38</v>
      </c>
      <c r="J2821" s="3" t="s">
        <v>521</v>
      </c>
      <c r="K2821" s="9" t="s">
        <v>36</v>
      </c>
      <c r="L2821" s="6" t="s">
        <v>122</v>
      </c>
      <c r="M2821" s="3" t="s">
        <v>36</v>
      </c>
      <c r="N2821" s="3" t="s">
        <v>122</v>
      </c>
      <c r="O2821" s="8" t="s">
        <v>36</v>
      </c>
      <c r="P2821" s="3" t="s">
        <v>36</v>
      </c>
      <c r="Q2821" s="3" t="s">
        <v>36</v>
      </c>
      <c r="R2821" s="3" t="s">
        <v>36</v>
      </c>
      <c r="S2821" s="3" t="s">
        <v>36</v>
      </c>
      <c r="T2821" s="3" t="s">
        <v>522</v>
      </c>
      <c r="U2821" s="3" t="s">
        <v>38</v>
      </c>
      <c r="V2821" s="3" t="s">
        <v>39</v>
      </c>
      <c r="W2821" s="3" t="s">
        <v>15152</v>
      </c>
      <c r="X2821" s="10" t="s">
        <v>15153</v>
      </c>
      <c r="Y2821" s="6" t="s">
        <v>192</v>
      </c>
      <c r="Z2821" s="4">
        <v>7.04</v>
      </c>
      <c r="AA2821" s="4">
        <v>10.76</v>
      </c>
      <c r="AB2821" s="3" t="s">
        <v>56</v>
      </c>
      <c r="AC2821" s="3" t="s">
        <v>15154</v>
      </c>
      <c r="AD2821" s="9">
        <v>44475</v>
      </c>
      <c r="AE2821" s="3" t="s">
        <v>110</v>
      </c>
      <c r="AF2821" s="3" t="s">
        <v>2830</v>
      </c>
      <c r="AG2821" s="3" t="s">
        <v>1705</v>
      </c>
      <c r="AH2821" s="11">
        <f>HYPERLINK("https://my.pitchbook.com?c=180488-26T","View Company Online")</f>
      </c>
    </row>
    <row r="2822">
      <c r="A2822" s="12" t="s">
        <v>15155</v>
      </c>
      <c r="B2822" s="12" t="s">
        <v>15156</v>
      </c>
      <c r="C2822" s="19" t="s">
        <v>36</v>
      </c>
      <c r="D2822" s="19">
        <v>2</v>
      </c>
      <c r="E2822" s="19">
        <v>1</v>
      </c>
      <c r="F2822" s="19">
        <v>2</v>
      </c>
      <c r="G2822" s="15" t="s">
        <v>683</v>
      </c>
      <c r="H2822" s="14">
        <v>3.21</v>
      </c>
      <c r="I2822" s="18">
        <v>25.09</v>
      </c>
      <c r="J2822" s="12" t="s">
        <v>521</v>
      </c>
      <c r="K2822" s="13" t="s">
        <v>36</v>
      </c>
      <c r="L2822" s="15" t="s">
        <v>36</v>
      </c>
      <c r="M2822" s="12" t="s">
        <v>36</v>
      </c>
      <c r="N2822" s="12" t="s">
        <v>36</v>
      </c>
      <c r="O2822" s="17" t="s">
        <v>36</v>
      </c>
      <c r="P2822" s="12" t="s">
        <v>36</v>
      </c>
      <c r="Q2822" s="12" t="s">
        <v>36</v>
      </c>
      <c r="R2822" s="12" t="s">
        <v>36</v>
      </c>
      <c r="S2822" s="12" t="s">
        <v>36</v>
      </c>
      <c r="T2822" s="12" t="s">
        <v>5518</v>
      </c>
      <c r="U2822" s="12" t="s">
        <v>318</v>
      </c>
      <c r="V2822" s="12" t="s">
        <v>39</v>
      </c>
      <c r="W2822" s="12" t="s">
        <v>15157</v>
      </c>
      <c r="X2822" s="16" t="s">
        <v>15158</v>
      </c>
      <c r="Y2822" s="15" t="s">
        <v>192</v>
      </c>
      <c r="Z2822" s="14">
        <v>2.47</v>
      </c>
      <c r="AA2822" s="14">
        <v>9.86</v>
      </c>
      <c r="AB2822" s="12" t="s">
        <v>56</v>
      </c>
      <c r="AC2822" s="12" t="s">
        <v>15159</v>
      </c>
      <c r="AD2822" s="13">
        <v>44475</v>
      </c>
      <c r="AE2822" s="12" t="s">
        <v>763</v>
      </c>
      <c r="AF2822" s="12" t="s">
        <v>15160</v>
      </c>
      <c r="AG2822" s="12" t="s">
        <v>5895</v>
      </c>
      <c r="AH2822" s="1">
        <f>HYPERLINK("https://my.pitchbook.com?c=119463-22T","View Company Online")</f>
      </c>
    </row>
    <row r="2823">
      <c r="A2823" s="3" t="s">
        <v>15161</v>
      </c>
      <c r="B2823" s="3" t="s">
        <v>12005</v>
      </c>
      <c r="C2823" s="5" t="s">
        <v>36</v>
      </c>
      <c r="D2823" s="5" t="s">
        <v>36</v>
      </c>
      <c r="E2823" s="5" t="s">
        <v>36</v>
      </c>
      <c r="F2823" s="5" t="s">
        <v>36</v>
      </c>
      <c r="G2823" s="6" t="s">
        <v>36</v>
      </c>
      <c r="H2823" s="4" t="s">
        <v>36</v>
      </c>
      <c r="I2823" s="7" t="s">
        <v>36</v>
      </c>
      <c r="J2823" s="3" t="s">
        <v>36</v>
      </c>
      <c r="K2823" s="9" t="s">
        <v>36</v>
      </c>
      <c r="L2823" s="6" t="s">
        <v>36</v>
      </c>
      <c r="M2823" s="3" t="s">
        <v>36</v>
      </c>
      <c r="N2823" s="3" t="s">
        <v>36</v>
      </c>
      <c r="O2823" s="8" t="s">
        <v>36</v>
      </c>
      <c r="P2823" s="3" t="s">
        <v>36</v>
      </c>
      <c r="Q2823" s="3" t="s">
        <v>36</v>
      </c>
      <c r="R2823" s="3" t="s">
        <v>36</v>
      </c>
      <c r="S2823" s="3" t="s">
        <v>36</v>
      </c>
      <c r="T2823" s="3" t="s">
        <v>1188</v>
      </c>
      <c r="U2823" s="3" t="s">
        <v>180</v>
      </c>
      <c r="V2823" s="3" t="s">
        <v>52</v>
      </c>
      <c r="W2823" s="3" t="s">
        <v>12006</v>
      </c>
      <c r="X2823" s="10" t="s">
        <v>15162</v>
      </c>
      <c r="Y2823" s="6" t="s">
        <v>42</v>
      </c>
      <c r="Z2823" s="4" t="s">
        <v>36</v>
      </c>
      <c r="AA2823" s="4" t="s">
        <v>36</v>
      </c>
      <c r="AB2823" s="3" t="s">
        <v>43</v>
      </c>
      <c r="AC2823" s="3" t="s">
        <v>12007</v>
      </c>
      <c r="AD2823" s="9">
        <v>44475</v>
      </c>
      <c r="AE2823" s="3" t="s">
        <v>1192</v>
      </c>
      <c r="AF2823" s="3" t="s">
        <v>12008</v>
      </c>
      <c r="AG2823" s="3" t="s">
        <v>3733</v>
      </c>
      <c r="AH2823" s="11">
        <f>HYPERLINK("https://my.pitchbook.com?c=196411-24T","View Company Online")</f>
      </c>
    </row>
    <row r="2824">
      <c r="A2824" s="12" t="s">
        <v>15163</v>
      </c>
      <c r="B2824" s="12" t="s">
        <v>15164</v>
      </c>
      <c r="C2824" s="19">
        <v>1</v>
      </c>
      <c r="D2824" s="19">
        <v>4</v>
      </c>
      <c r="E2824" s="19">
        <v>2</v>
      </c>
      <c r="F2824" s="19">
        <v>5</v>
      </c>
      <c r="G2824" s="15" t="s">
        <v>36</v>
      </c>
      <c r="H2824" s="14">
        <v>22.85</v>
      </c>
      <c r="I2824" s="18">
        <v>14.11</v>
      </c>
      <c r="J2824" s="12" t="s">
        <v>521</v>
      </c>
      <c r="K2824" s="13" t="s">
        <v>36</v>
      </c>
      <c r="L2824" s="15" t="s">
        <v>36</v>
      </c>
      <c r="M2824" s="12" t="s">
        <v>36</v>
      </c>
      <c r="N2824" s="12" t="s">
        <v>36</v>
      </c>
      <c r="O2824" s="17" t="s">
        <v>36</v>
      </c>
      <c r="P2824" s="12" t="s">
        <v>36</v>
      </c>
      <c r="Q2824" s="12" t="s">
        <v>36</v>
      </c>
      <c r="R2824" s="12" t="s">
        <v>36</v>
      </c>
      <c r="S2824" s="12" t="s">
        <v>36</v>
      </c>
      <c r="T2824" s="12" t="s">
        <v>123</v>
      </c>
      <c r="U2824" s="12" t="s">
        <v>38</v>
      </c>
      <c r="V2824" s="12" t="s">
        <v>39</v>
      </c>
      <c r="W2824" s="12" t="s">
        <v>15165</v>
      </c>
      <c r="X2824" s="16" t="s">
        <v>15166</v>
      </c>
      <c r="Y2824" s="15" t="s">
        <v>42</v>
      </c>
      <c r="Z2824" s="14">
        <v>0.42</v>
      </c>
      <c r="AA2824" s="14">
        <v>3</v>
      </c>
      <c r="AB2824" s="12" t="s">
        <v>43</v>
      </c>
      <c r="AC2824" s="12" t="s">
        <v>15167</v>
      </c>
      <c r="AD2824" s="13">
        <v>44475</v>
      </c>
      <c r="AE2824" s="12" t="s">
        <v>110</v>
      </c>
      <c r="AF2824" s="12" t="s">
        <v>526</v>
      </c>
      <c r="AG2824" s="12" t="s">
        <v>81</v>
      </c>
      <c r="AH2824" s="1">
        <f>HYPERLINK("https://my.pitchbook.com?c=215369-65T","View Company Online")</f>
      </c>
    </row>
    <row r="2825">
      <c r="A2825" s="3" t="s">
        <v>15168</v>
      </c>
      <c r="B2825" s="3" t="s">
        <v>5958</v>
      </c>
      <c r="C2825" s="5" t="s">
        <v>36</v>
      </c>
      <c r="D2825" s="5" t="s">
        <v>36</v>
      </c>
      <c r="E2825" s="5" t="s">
        <v>36</v>
      </c>
      <c r="F2825" s="5" t="s">
        <v>36</v>
      </c>
      <c r="G2825" s="6" t="s">
        <v>36</v>
      </c>
      <c r="H2825" s="4" t="s">
        <v>36</v>
      </c>
      <c r="I2825" s="7" t="s">
        <v>36</v>
      </c>
      <c r="J2825" s="3" t="s">
        <v>36</v>
      </c>
      <c r="K2825" s="9" t="s">
        <v>36</v>
      </c>
      <c r="L2825" s="6" t="s">
        <v>36</v>
      </c>
      <c r="M2825" s="3" t="s">
        <v>36</v>
      </c>
      <c r="N2825" s="3" t="s">
        <v>36</v>
      </c>
      <c r="O2825" s="8" t="s">
        <v>36</v>
      </c>
      <c r="P2825" s="3" t="s">
        <v>36</v>
      </c>
      <c r="Q2825" s="3" t="s">
        <v>36</v>
      </c>
      <c r="R2825" s="3" t="s">
        <v>36</v>
      </c>
      <c r="S2825" s="3" t="s">
        <v>36</v>
      </c>
      <c r="T2825" s="3" t="s">
        <v>1227</v>
      </c>
      <c r="U2825" s="3" t="s">
        <v>74</v>
      </c>
      <c r="V2825" s="3" t="s">
        <v>75</v>
      </c>
      <c r="W2825" s="3" t="s">
        <v>5959</v>
      </c>
      <c r="X2825" s="10" t="s">
        <v>15169</v>
      </c>
      <c r="Y2825" s="6" t="s">
        <v>42</v>
      </c>
      <c r="Z2825" s="4">
        <v>2.93</v>
      </c>
      <c r="AA2825" s="4" t="s">
        <v>36</v>
      </c>
      <c r="AB2825" s="3" t="s">
        <v>43</v>
      </c>
      <c r="AC2825" s="3" t="s">
        <v>5961</v>
      </c>
      <c r="AD2825" s="9">
        <v>44474</v>
      </c>
      <c r="AE2825" s="3" t="s">
        <v>570</v>
      </c>
      <c r="AF2825" s="3" t="s">
        <v>1756</v>
      </c>
      <c r="AG2825" s="3" t="s">
        <v>5962</v>
      </c>
      <c r="AH2825" s="11">
        <f>HYPERLINK("https://my.pitchbook.com?c=180693-28T","View Company Online")</f>
      </c>
    </row>
    <row r="2826">
      <c r="A2826" s="12" t="s">
        <v>15170</v>
      </c>
      <c r="B2826" s="12" t="s">
        <v>2014</v>
      </c>
      <c r="C2826" s="19" t="s">
        <v>36</v>
      </c>
      <c r="D2826" s="19" t="s">
        <v>36</v>
      </c>
      <c r="E2826" s="19" t="s">
        <v>36</v>
      </c>
      <c r="F2826" s="19" t="s">
        <v>36</v>
      </c>
      <c r="G2826" s="15" t="s">
        <v>326</v>
      </c>
      <c r="H2826" s="14">
        <v>9.43</v>
      </c>
      <c r="I2826" s="18">
        <v>26.58</v>
      </c>
      <c r="J2826" s="12" t="s">
        <v>521</v>
      </c>
      <c r="K2826" s="13" t="s">
        <v>36</v>
      </c>
      <c r="L2826" s="15" t="s">
        <v>36</v>
      </c>
      <c r="M2826" s="12" t="s">
        <v>36</v>
      </c>
      <c r="N2826" s="12" t="s">
        <v>36</v>
      </c>
      <c r="O2826" s="17" t="s">
        <v>36</v>
      </c>
      <c r="P2826" s="12" t="s">
        <v>36</v>
      </c>
      <c r="Q2826" s="12" t="s">
        <v>36</v>
      </c>
      <c r="R2826" s="12" t="s">
        <v>36</v>
      </c>
      <c r="S2826" s="12" t="s">
        <v>36</v>
      </c>
      <c r="T2826" s="12" t="s">
        <v>2015</v>
      </c>
      <c r="U2826" s="12" t="s">
        <v>318</v>
      </c>
      <c r="V2826" s="12" t="s">
        <v>39</v>
      </c>
      <c r="W2826" s="12" t="s">
        <v>2016</v>
      </c>
      <c r="X2826" s="16" t="s">
        <v>15171</v>
      </c>
      <c r="Y2826" s="15" t="s">
        <v>108</v>
      </c>
      <c r="Z2826" s="14">
        <v>5.01</v>
      </c>
      <c r="AA2826" s="14">
        <v>18.83</v>
      </c>
      <c r="AB2826" s="12" t="s">
        <v>56</v>
      </c>
      <c r="AC2826" s="12" t="s">
        <v>2018</v>
      </c>
      <c r="AD2826" s="13">
        <v>44473</v>
      </c>
      <c r="AE2826" s="12" t="s">
        <v>763</v>
      </c>
      <c r="AF2826" s="12" t="s">
        <v>2019</v>
      </c>
      <c r="AG2826" s="12" t="s">
        <v>81</v>
      </c>
      <c r="AH2826" s="1">
        <f>HYPERLINK("https://my.pitchbook.com?c=183387-61T","View Company Online")</f>
      </c>
    </row>
    <row r="2827">
      <c r="A2827" s="3" t="s">
        <v>15172</v>
      </c>
      <c r="B2827" s="3" t="s">
        <v>15173</v>
      </c>
      <c r="C2827" s="5" t="s">
        <v>36</v>
      </c>
      <c r="D2827" s="5" t="s">
        <v>36</v>
      </c>
      <c r="E2827" s="5" t="s">
        <v>36</v>
      </c>
      <c r="F2827" s="5" t="s">
        <v>36</v>
      </c>
      <c r="G2827" s="6" t="s">
        <v>326</v>
      </c>
      <c r="H2827" s="4">
        <v>10.25</v>
      </c>
      <c r="I2827" s="7">
        <v>25.5</v>
      </c>
      <c r="J2827" s="3" t="s">
        <v>521</v>
      </c>
      <c r="K2827" s="9" t="s">
        <v>36</v>
      </c>
      <c r="L2827" s="6" t="s">
        <v>36</v>
      </c>
      <c r="M2827" s="3" t="s">
        <v>36</v>
      </c>
      <c r="N2827" s="3" t="s">
        <v>36</v>
      </c>
      <c r="O2827" s="8" t="s">
        <v>36</v>
      </c>
      <c r="P2827" s="3" t="s">
        <v>36</v>
      </c>
      <c r="Q2827" s="3" t="s">
        <v>36</v>
      </c>
      <c r="R2827" s="3" t="s">
        <v>36</v>
      </c>
      <c r="S2827" s="3" t="s">
        <v>6531</v>
      </c>
      <c r="T2827" s="3" t="s">
        <v>13584</v>
      </c>
      <c r="U2827" s="3" t="s">
        <v>63</v>
      </c>
      <c r="V2827" s="3" t="s">
        <v>64</v>
      </c>
      <c r="W2827" s="3" t="s">
        <v>15174</v>
      </c>
      <c r="X2827" s="10" t="s">
        <v>15175</v>
      </c>
      <c r="Y2827" s="6" t="s">
        <v>108</v>
      </c>
      <c r="Z2827" s="4">
        <v>5.87</v>
      </c>
      <c r="AA2827" s="4">
        <v>14.74</v>
      </c>
      <c r="AB2827" s="3" t="s">
        <v>43</v>
      </c>
      <c r="AC2827" s="3" t="s">
        <v>15176</v>
      </c>
      <c r="AD2827" s="9">
        <v>44473</v>
      </c>
      <c r="AE2827" s="3" t="s">
        <v>68</v>
      </c>
      <c r="AF2827" s="3" t="s">
        <v>938</v>
      </c>
      <c r="AG2827" s="3" t="s">
        <v>4328</v>
      </c>
      <c r="AH2827" s="11">
        <f>HYPERLINK("https://my.pitchbook.com?c=172459-54T","View Company Online")</f>
      </c>
    </row>
    <row r="2828">
      <c r="A2828" s="12" t="s">
        <v>15177</v>
      </c>
      <c r="B2828" s="12" t="s">
        <v>15178</v>
      </c>
      <c r="C2828" s="19" t="s">
        <v>36</v>
      </c>
      <c r="D2828" s="19" t="s">
        <v>36</v>
      </c>
      <c r="E2828" s="19" t="s">
        <v>36</v>
      </c>
      <c r="F2828" s="19" t="s">
        <v>36</v>
      </c>
      <c r="G2828" s="15" t="s">
        <v>326</v>
      </c>
      <c r="H2828" s="14">
        <v>44.66</v>
      </c>
      <c r="I2828" s="18">
        <v>14.37</v>
      </c>
      <c r="J2828" s="12" t="s">
        <v>521</v>
      </c>
      <c r="K2828" s="13" t="s">
        <v>36</v>
      </c>
      <c r="L2828" s="15" t="s">
        <v>36</v>
      </c>
      <c r="M2828" s="12" t="s">
        <v>36</v>
      </c>
      <c r="N2828" s="12" t="s">
        <v>36</v>
      </c>
      <c r="O2828" s="17" t="s">
        <v>36</v>
      </c>
      <c r="P2828" s="12" t="s">
        <v>36</v>
      </c>
      <c r="Q2828" s="12" t="s">
        <v>36</v>
      </c>
      <c r="R2828" s="12" t="s">
        <v>36</v>
      </c>
      <c r="S2828" s="12" t="s">
        <v>36</v>
      </c>
      <c r="T2828" s="12" t="s">
        <v>123</v>
      </c>
      <c r="U2828" s="12" t="s">
        <v>38</v>
      </c>
      <c r="V2828" s="12" t="s">
        <v>39</v>
      </c>
      <c r="W2828" s="12" t="s">
        <v>15179</v>
      </c>
      <c r="X2828" s="16" t="s">
        <v>11058</v>
      </c>
      <c r="Y2828" s="15" t="s">
        <v>108</v>
      </c>
      <c r="Z2828" s="14">
        <v>0.75</v>
      </c>
      <c r="AA2828" s="14">
        <v>5.21</v>
      </c>
      <c r="AB2828" s="12" t="s">
        <v>56</v>
      </c>
      <c r="AC2828" s="12" t="s">
        <v>15180</v>
      </c>
      <c r="AD2828" s="13">
        <v>44473</v>
      </c>
      <c r="AE2828" s="12" t="s">
        <v>110</v>
      </c>
      <c r="AF2828" s="12" t="s">
        <v>15181</v>
      </c>
      <c r="AG2828" s="12" t="s">
        <v>102</v>
      </c>
      <c r="AH2828" s="1">
        <f>HYPERLINK("https://my.pitchbook.com?c=204507-10T","View Company Online")</f>
      </c>
    </row>
    <row r="2829">
      <c r="A2829" s="3" t="s">
        <v>15182</v>
      </c>
      <c r="B2829" s="3" t="s">
        <v>4522</v>
      </c>
      <c r="C2829" s="5">
        <v>6</v>
      </c>
      <c r="D2829" s="5" t="s">
        <v>36</v>
      </c>
      <c r="E2829" s="5">
        <v>2</v>
      </c>
      <c r="F2829" s="5">
        <v>6</v>
      </c>
      <c r="G2829" s="6" t="s">
        <v>36</v>
      </c>
      <c r="H2829" s="4">
        <v>30.44</v>
      </c>
      <c r="I2829" s="7">
        <v>14.43</v>
      </c>
      <c r="J2829" s="3" t="s">
        <v>521</v>
      </c>
      <c r="K2829" s="9" t="s">
        <v>36</v>
      </c>
      <c r="L2829" s="6" t="s">
        <v>36</v>
      </c>
      <c r="M2829" s="3" t="s">
        <v>36</v>
      </c>
      <c r="N2829" s="3" t="s">
        <v>36</v>
      </c>
      <c r="O2829" s="8" t="s">
        <v>36</v>
      </c>
      <c r="P2829" s="3" t="s">
        <v>36</v>
      </c>
      <c r="Q2829" s="3" t="s">
        <v>36</v>
      </c>
      <c r="R2829" s="3" t="s">
        <v>36</v>
      </c>
      <c r="S2829" s="3" t="s">
        <v>4523</v>
      </c>
      <c r="T2829" s="3" t="s">
        <v>4237</v>
      </c>
      <c r="U2829" s="3" t="s">
        <v>219</v>
      </c>
      <c r="V2829" s="3" t="s">
        <v>75</v>
      </c>
      <c r="W2829" s="3" t="s">
        <v>4524</v>
      </c>
      <c r="X2829" s="10" t="s">
        <v>15183</v>
      </c>
      <c r="Y2829" s="6" t="s">
        <v>42</v>
      </c>
      <c r="Z2829" s="4">
        <v>1.25</v>
      </c>
      <c r="AA2829" s="4">
        <v>8.69</v>
      </c>
      <c r="AB2829" s="3" t="s">
        <v>43</v>
      </c>
      <c r="AC2829" s="3" t="s">
        <v>4526</v>
      </c>
      <c r="AD2829" s="9">
        <v>44470</v>
      </c>
      <c r="AE2829" s="3" t="s">
        <v>243</v>
      </c>
      <c r="AF2829" s="3" t="s">
        <v>3114</v>
      </c>
      <c r="AG2829" s="3" t="s">
        <v>144</v>
      </c>
      <c r="AH2829" s="11">
        <f>HYPERLINK("https://my.pitchbook.com?c=187133-86T","View Company Online")</f>
      </c>
    </row>
    <row r="2830">
      <c r="A2830" s="12" t="s">
        <v>15184</v>
      </c>
      <c r="B2830" s="12" t="s">
        <v>15185</v>
      </c>
      <c r="C2830" s="19">
        <v>1</v>
      </c>
      <c r="D2830" s="19" t="s">
        <v>36</v>
      </c>
      <c r="E2830" s="19">
        <v>1</v>
      </c>
      <c r="F2830" s="19">
        <v>1</v>
      </c>
      <c r="G2830" s="15" t="s">
        <v>36</v>
      </c>
      <c r="H2830" s="14" t="s">
        <v>36</v>
      </c>
      <c r="I2830" s="18" t="s">
        <v>36</v>
      </c>
      <c r="J2830" s="12" t="s">
        <v>36</v>
      </c>
      <c r="K2830" s="13" t="s">
        <v>36</v>
      </c>
      <c r="L2830" s="15" t="s">
        <v>36</v>
      </c>
      <c r="M2830" s="12" t="s">
        <v>36</v>
      </c>
      <c r="N2830" s="12" t="s">
        <v>36</v>
      </c>
      <c r="O2830" s="17" t="s">
        <v>36</v>
      </c>
      <c r="P2830" s="12" t="s">
        <v>36</v>
      </c>
      <c r="Q2830" s="12" t="s">
        <v>36</v>
      </c>
      <c r="R2830" s="12" t="s">
        <v>36</v>
      </c>
      <c r="S2830" s="12" t="s">
        <v>36</v>
      </c>
      <c r="T2830" s="12" t="s">
        <v>15186</v>
      </c>
      <c r="U2830" s="12" t="s">
        <v>51</v>
      </c>
      <c r="V2830" s="12" t="s">
        <v>52</v>
      </c>
      <c r="W2830" s="12" t="s">
        <v>15187</v>
      </c>
      <c r="X2830" s="16" t="s">
        <v>2442</v>
      </c>
      <c r="Y2830" s="15" t="s">
        <v>42</v>
      </c>
      <c r="Z2830" s="14">
        <v>3.06</v>
      </c>
      <c r="AA2830" s="14" t="s">
        <v>36</v>
      </c>
      <c r="AB2830" s="12" t="s">
        <v>43</v>
      </c>
      <c r="AC2830" s="12" t="s">
        <v>15188</v>
      </c>
      <c r="AD2830" s="13">
        <v>44470</v>
      </c>
      <c r="AE2830" s="12" t="s">
        <v>158</v>
      </c>
      <c r="AF2830" s="12" t="s">
        <v>2673</v>
      </c>
      <c r="AG2830" s="12" t="s">
        <v>2370</v>
      </c>
      <c r="AH2830" s="1">
        <f>HYPERLINK("https://my.pitchbook.com?c=245193-31T","View Company Online")</f>
      </c>
    </row>
    <row r="2831">
      <c r="A2831" s="3" t="s">
        <v>15189</v>
      </c>
      <c r="B2831" s="3" t="s">
        <v>15190</v>
      </c>
      <c r="C2831" s="5" t="s">
        <v>36</v>
      </c>
      <c r="D2831" s="5" t="s">
        <v>36</v>
      </c>
      <c r="E2831" s="5" t="s">
        <v>36</v>
      </c>
      <c r="F2831" s="5" t="s">
        <v>36</v>
      </c>
      <c r="G2831" s="6" t="s">
        <v>36</v>
      </c>
      <c r="H2831" s="4" t="s">
        <v>36</v>
      </c>
      <c r="I2831" s="7" t="s">
        <v>36</v>
      </c>
      <c r="J2831" s="3" t="s">
        <v>36</v>
      </c>
      <c r="K2831" s="9" t="s">
        <v>36</v>
      </c>
      <c r="L2831" s="6" t="s">
        <v>36</v>
      </c>
      <c r="M2831" s="3" t="s">
        <v>36</v>
      </c>
      <c r="N2831" s="3" t="s">
        <v>36</v>
      </c>
      <c r="O2831" s="8" t="s">
        <v>36</v>
      </c>
      <c r="P2831" s="3" t="s">
        <v>36</v>
      </c>
      <c r="Q2831" s="3" t="s">
        <v>36</v>
      </c>
      <c r="R2831" s="3" t="s">
        <v>36</v>
      </c>
      <c r="S2831" s="3" t="s">
        <v>36</v>
      </c>
      <c r="T2831" s="3" t="s">
        <v>437</v>
      </c>
      <c r="U2831" s="3" t="s">
        <v>438</v>
      </c>
      <c r="V2831" s="3" t="s">
        <v>405</v>
      </c>
      <c r="W2831" s="3" t="s">
        <v>15191</v>
      </c>
      <c r="X2831" s="10" t="s">
        <v>15192</v>
      </c>
      <c r="Y2831" s="6" t="s">
        <v>42</v>
      </c>
      <c r="Z2831" s="4">
        <v>5.18</v>
      </c>
      <c r="AA2831" s="4" t="s">
        <v>36</v>
      </c>
      <c r="AB2831" s="3" t="s">
        <v>43</v>
      </c>
      <c r="AC2831" s="3" t="s">
        <v>15193</v>
      </c>
      <c r="AD2831" s="9">
        <v>44470</v>
      </c>
      <c r="AE2831" s="3" t="s">
        <v>442</v>
      </c>
      <c r="AF2831" s="3" t="s">
        <v>799</v>
      </c>
      <c r="AG2831" s="3" t="s">
        <v>81</v>
      </c>
      <c r="AH2831" s="11">
        <f>HYPERLINK("https://my.pitchbook.com?c=182334-70T","View Company Online")</f>
      </c>
    </row>
    <row r="2832">
      <c r="A2832" s="12" t="s">
        <v>15194</v>
      </c>
      <c r="B2832" s="12" t="s">
        <v>15195</v>
      </c>
      <c r="C2832" s="19" t="s">
        <v>36</v>
      </c>
      <c r="D2832" s="19" t="s">
        <v>36</v>
      </c>
      <c r="E2832" s="19" t="s">
        <v>36</v>
      </c>
      <c r="F2832" s="19" t="s">
        <v>36</v>
      </c>
      <c r="G2832" s="15" t="s">
        <v>326</v>
      </c>
      <c r="H2832" s="14" t="s">
        <v>36</v>
      </c>
      <c r="I2832" s="18">
        <v>31.58</v>
      </c>
      <c r="J2832" s="12" t="s">
        <v>327</v>
      </c>
      <c r="K2832" s="13">
        <v>44398</v>
      </c>
      <c r="L2832" s="15" t="s">
        <v>122</v>
      </c>
      <c r="M2832" s="12" t="s">
        <v>36</v>
      </c>
      <c r="N2832" s="12" t="s">
        <v>122</v>
      </c>
      <c r="O2832" s="17" t="s">
        <v>36</v>
      </c>
      <c r="P2832" s="12" t="s">
        <v>36</v>
      </c>
      <c r="Q2832" s="12" t="s">
        <v>36</v>
      </c>
      <c r="R2832" s="12" t="s">
        <v>36</v>
      </c>
      <c r="S2832" s="12" t="s">
        <v>36</v>
      </c>
      <c r="T2832" s="12" t="s">
        <v>8394</v>
      </c>
      <c r="U2832" s="12" t="s">
        <v>85</v>
      </c>
      <c r="V2832" s="12" t="s">
        <v>64</v>
      </c>
      <c r="W2832" s="12" t="s">
        <v>15196</v>
      </c>
      <c r="X2832" s="16" t="s">
        <v>15197</v>
      </c>
      <c r="Y2832" s="15" t="s">
        <v>108</v>
      </c>
      <c r="Z2832" s="14">
        <v>3.53</v>
      </c>
      <c r="AA2832" s="14">
        <v>11.18</v>
      </c>
      <c r="AB2832" s="12" t="s">
        <v>56</v>
      </c>
      <c r="AC2832" s="12" t="s">
        <v>15198</v>
      </c>
      <c r="AD2832" s="13">
        <v>44470</v>
      </c>
      <c r="AE2832" s="12" t="s">
        <v>89</v>
      </c>
      <c r="AF2832" s="12" t="s">
        <v>36</v>
      </c>
      <c r="AG2832" s="12" t="s">
        <v>81</v>
      </c>
      <c r="AH2832" s="1">
        <f>HYPERLINK("https://my.pitchbook.com?c=214323-58T","View Company Online")</f>
      </c>
    </row>
    <row r="2833">
      <c r="A2833" s="3" t="s">
        <v>15199</v>
      </c>
      <c r="B2833" s="3" t="s">
        <v>15200</v>
      </c>
      <c r="C2833" s="5" t="s">
        <v>36</v>
      </c>
      <c r="D2833" s="5" t="s">
        <v>36</v>
      </c>
      <c r="E2833" s="5" t="s">
        <v>36</v>
      </c>
      <c r="F2833" s="5" t="s">
        <v>36</v>
      </c>
      <c r="G2833" s="6" t="s">
        <v>326</v>
      </c>
      <c r="H2833" s="4">
        <v>5.06</v>
      </c>
      <c r="I2833" s="7">
        <v>18.28</v>
      </c>
      <c r="J2833" s="3" t="s">
        <v>521</v>
      </c>
      <c r="K2833" s="9" t="s">
        <v>36</v>
      </c>
      <c r="L2833" s="6" t="s">
        <v>36</v>
      </c>
      <c r="M2833" s="3" t="s">
        <v>36</v>
      </c>
      <c r="N2833" s="3" t="s">
        <v>36</v>
      </c>
      <c r="O2833" s="8" t="s">
        <v>36</v>
      </c>
      <c r="P2833" s="3" t="s">
        <v>36</v>
      </c>
      <c r="Q2833" s="3" t="s">
        <v>36</v>
      </c>
      <c r="R2833" s="3" t="s">
        <v>36</v>
      </c>
      <c r="S2833" s="3" t="s">
        <v>36</v>
      </c>
      <c r="T2833" s="3" t="s">
        <v>4529</v>
      </c>
      <c r="U2833" s="3" t="s">
        <v>38</v>
      </c>
      <c r="V2833" s="3" t="s">
        <v>39</v>
      </c>
      <c r="W2833" s="3" t="s">
        <v>15201</v>
      </c>
      <c r="X2833" s="10" t="s">
        <v>15202</v>
      </c>
      <c r="Y2833" s="6" t="s">
        <v>108</v>
      </c>
      <c r="Z2833" s="4">
        <v>1.47</v>
      </c>
      <c r="AA2833" s="4">
        <v>5.47</v>
      </c>
      <c r="AB2833" s="3" t="s">
        <v>56</v>
      </c>
      <c r="AC2833" s="3" t="s">
        <v>15203</v>
      </c>
      <c r="AD2833" s="9">
        <v>44470</v>
      </c>
      <c r="AE2833" s="3" t="s">
        <v>1422</v>
      </c>
      <c r="AF2833" s="3" t="s">
        <v>15204</v>
      </c>
      <c r="AG2833" s="3" t="s">
        <v>6628</v>
      </c>
      <c r="AH2833" s="11">
        <f>HYPERLINK("https://my.pitchbook.com?c=185391-37T","View Company Online")</f>
      </c>
    </row>
    <row r="2834">
      <c r="A2834" s="12" t="s">
        <v>15205</v>
      </c>
      <c r="B2834" s="12" t="s">
        <v>15206</v>
      </c>
      <c r="C2834" s="19" t="s">
        <v>36</v>
      </c>
      <c r="D2834" s="19" t="s">
        <v>36</v>
      </c>
      <c r="E2834" s="19" t="s">
        <v>36</v>
      </c>
      <c r="F2834" s="19" t="s">
        <v>36</v>
      </c>
      <c r="G2834" s="15" t="s">
        <v>36</v>
      </c>
      <c r="H2834" s="14">
        <v>26.38</v>
      </c>
      <c r="I2834" s="18">
        <v>28.03</v>
      </c>
      <c r="J2834" s="12" t="s">
        <v>521</v>
      </c>
      <c r="K2834" s="13">
        <v>44369</v>
      </c>
      <c r="L2834" s="15" t="s">
        <v>36</v>
      </c>
      <c r="M2834" s="12" t="s">
        <v>36</v>
      </c>
      <c r="N2834" s="12" t="s">
        <v>36</v>
      </c>
      <c r="O2834" s="17" t="s">
        <v>36</v>
      </c>
      <c r="P2834" s="12" t="s">
        <v>36</v>
      </c>
      <c r="Q2834" s="12" t="s">
        <v>36</v>
      </c>
      <c r="R2834" s="12" t="s">
        <v>36</v>
      </c>
      <c r="S2834" s="12" t="s">
        <v>36</v>
      </c>
      <c r="T2834" s="12" t="s">
        <v>15207</v>
      </c>
      <c r="U2834" s="12" t="s">
        <v>279</v>
      </c>
      <c r="V2834" s="12" t="s">
        <v>64</v>
      </c>
      <c r="W2834" s="12" t="s">
        <v>15208</v>
      </c>
      <c r="X2834" s="16" t="s">
        <v>15209</v>
      </c>
      <c r="Y2834" s="15" t="s">
        <v>42</v>
      </c>
      <c r="Z2834" s="14">
        <v>2.71</v>
      </c>
      <c r="AA2834" s="14">
        <v>4.83</v>
      </c>
      <c r="AB2834" s="12" t="s">
        <v>43</v>
      </c>
      <c r="AC2834" s="12" t="s">
        <v>15210</v>
      </c>
      <c r="AD2834" s="13">
        <v>44470</v>
      </c>
      <c r="AE2834" s="12" t="s">
        <v>283</v>
      </c>
      <c r="AF2834" s="12" t="s">
        <v>8607</v>
      </c>
      <c r="AG2834" s="12" t="s">
        <v>81</v>
      </c>
      <c r="AH2834" s="1">
        <f>HYPERLINK("https://my.pitchbook.com?c=174792-70T","View Company Online")</f>
      </c>
    </row>
    <row r="2835">
      <c r="A2835" s="3" t="s">
        <v>15211</v>
      </c>
      <c r="B2835" s="3" t="s">
        <v>15212</v>
      </c>
      <c r="C2835" s="5" t="s">
        <v>36</v>
      </c>
      <c r="D2835" s="5" t="s">
        <v>36</v>
      </c>
      <c r="E2835" s="5" t="s">
        <v>36</v>
      </c>
      <c r="F2835" s="5" t="s">
        <v>36</v>
      </c>
      <c r="G2835" s="6" t="s">
        <v>36</v>
      </c>
      <c r="H2835" s="4" t="s">
        <v>36</v>
      </c>
      <c r="I2835" s="7" t="s">
        <v>36</v>
      </c>
      <c r="J2835" s="3" t="s">
        <v>36</v>
      </c>
      <c r="K2835" s="9" t="s">
        <v>36</v>
      </c>
      <c r="L2835" s="6" t="s">
        <v>36</v>
      </c>
      <c r="M2835" s="3" t="s">
        <v>36</v>
      </c>
      <c r="N2835" s="3" t="s">
        <v>36</v>
      </c>
      <c r="O2835" s="8" t="s">
        <v>36</v>
      </c>
      <c r="P2835" s="3" t="s">
        <v>36</v>
      </c>
      <c r="Q2835" s="3" t="s">
        <v>36</v>
      </c>
      <c r="R2835" s="3" t="s">
        <v>36</v>
      </c>
      <c r="S2835" s="3" t="s">
        <v>36</v>
      </c>
      <c r="T2835" s="3" t="s">
        <v>7415</v>
      </c>
      <c r="U2835" s="3" t="s">
        <v>38</v>
      </c>
      <c r="V2835" s="3" t="s">
        <v>39</v>
      </c>
      <c r="W2835" s="3" t="s">
        <v>15213</v>
      </c>
      <c r="X2835" s="10" t="s">
        <v>9764</v>
      </c>
      <c r="Y2835" s="6" t="s">
        <v>42</v>
      </c>
      <c r="Z2835" s="4" t="s">
        <v>36</v>
      </c>
      <c r="AA2835" s="4" t="s">
        <v>36</v>
      </c>
      <c r="AB2835" s="3" t="s">
        <v>43</v>
      </c>
      <c r="AC2835" s="3" t="s">
        <v>15214</v>
      </c>
      <c r="AD2835" s="9">
        <v>44470</v>
      </c>
      <c r="AE2835" s="3" t="s">
        <v>1422</v>
      </c>
      <c r="AF2835" s="3" t="s">
        <v>7239</v>
      </c>
      <c r="AG2835" s="3" t="s">
        <v>15215</v>
      </c>
      <c r="AH2835" s="11">
        <f>HYPERLINK("https://my.pitchbook.com?c=181496-89T","View Company Online")</f>
      </c>
    </row>
    <row r="2836">
      <c r="A2836" s="12" t="s">
        <v>15216</v>
      </c>
      <c r="B2836" s="12" t="s">
        <v>15217</v>
      </c>
      <c r="C2836" s="19" t="s">
        <v>36</v>
      </c>
      <c r="D2836" s="19">
        <v>5</v>
      </c>
      <c r="E2836" s="19">
        <v>3</v>
      </c>
      <c r="F2836" s="19">
        <v>5</v>
      </c>
      <c r="G2836" s="15" t="s">
        <v>326</v>
      </c>
      <c r="H2836" s="14" t="s">
        <v>36</v>
      </c>
      <c r="I2836" s="18">
        <v>22.96</v>
      </c>
      <c r="J2836" s="12" t="s">
        <v>327</v>
      </c>
      <c r="K2836" s="13" t="s">
        <v>36</v>
      </c>
      <c r="L2836" s="15" t="s">
        <v>122</v>
      </c>
      <c r="M2836" s="12" t="s">
        <v>36</v>
      </c>
      <c r="N2836" s="12" t="s">
        <v>122</v>
      </c>
      <c r="O2836" s="17" t="s">
        <v>36</v>
      </c>
      <c r="P2836" s="12" t="s">
        <v>36</v>
      </c>
      <c r="Q2836" s="12" t="s">
        <v>36</v>
      </c>
      <c r="R2836" s="12" t="s">
        <v>36</v>
      </c>
      <c r="S2836" s="12" t="s">
        <v>36</v>
      </c>
      <c r="T2836" s="12" t="s">
        <v>6281</v>
      </c>
      <c r="U2836" s="12" t="s">
        <v>96</v>
      </c>
      <c r="V2836" s="12" t="s">
        <v>52</v>
      </c>
      <c r="W2836" s="12" t="s">
        <v>15218</v>
      </c>
      <c r="X2836" s="16" t="s">
        <v>15219</v>
      </c>
      <c r="Y2836" s="15" t="s">
        <v>55</v>
      </c>
      <c r="Z2836" s="14">
        <v>4.71</v>
      </c>
      <c r="AA2836" s="14">
        <v>20.51</v>
      </c>
      <c r="AB2836" s="12" t="s">
        <v>56</v>
      </c>
      <c r="AC2836" s="12" t="s">
        <v>15220</v>
      </c>
      <c r="AD2836" s="13">
        <v>44470</v>
      </c>
      <c r="AE2836" s="12" t="s">
        <v>1414</v>
      </c>
      <c r="AF2836" s="12" t="s">
        <v>15221</v>
      </c>
      <c r="AG2836" s="12" t="s">
        <v>81</v>
      </c>
      <c r="AH2836" s="1">
        <f>HYPERLINK("https://my.pitchbook.com?c=185290-03T","View Company Online")</f>
      </c>
    </row>
    <row r="2837">
      <c r="A2837" s="3" t="s">
        <v>15222</v>
      </c>
      <c r="B2837" s="3" t="s">
        <v>8419</v>
      </c>
      <c r="C2837" s="5" t="s">
        <v>36</v>
      </c>
      <c r="D2837" s="5" t="s">
        <v>36</v>
      </c>
      <c r="E2837" s="5" t="s">
        <v>36</v>
      </c>
      <c r="F2837" s="5" t="s">
        <v>36</v>
      </c>
      <c r="G2837" s="6" t="s">
        <v>36</v>
      </c>
      <c r="H2837" s="4">
        <v>6.68</v>
      </c>
      <c r="I2837" s="7">
        <v>36.59</v>
      </c>
      <c r="J2837" s="3" t="s">
        <v>521</v>
      </c>
      <c r="K2837" s="9" t="s">
        <v>36</v>
      </c>
      <c r="L2837" s="6" t="s">
        <v>122</v>
      </c>
      <c r="M2837" s="3" t="s">
        <v>36</v>
      </c>
      <c r="N2837" s="3" t="s">
        <v>122</v>
      </c>
      <c r="O2837" s="8" t="s">
        <v>36</v>
      </c>
      <c r="P2837" s="3" t="s">
        <v>36</v>
      </c>
      <c r="Q2837" s="3" t="s">
        <v>36</v>
      </c>
      <c r="R2837" s="3" t="s">
        <v>36</v>
      </c>
      <c r="S2837" s="3" t="s">
        <v>5463</v>
      </c>
      <c r="T2837" s="3" t="s">
        <v>1335</v>
      </c>
      <c r="U2837" s="3" t="s">
        <v>1336</v>
      </c>
      <c r="V2837" s="3" t="s">
        <v>367</v>
      </c>
      <c r="W2837" s="3" t="s">
        <v>8420</v>
      </c>
      <c r="X2837" s="10" t="s">
        <v>15223</v>
      </c>
      <c r="Y2837" s="6" t="s">
        <v>42</v>
      </c>
      <c r="Z2837" s="4">
        <v>9.42</v>
      </c>
      <c r="AA2837" s="4">
        <v>17.9</v>
      </c>
      <c r="AB2837" s="3" t="s">
        <v>43</v>
      </c>
      <c r="AC2837" s="3" t="s">
        <v>8422</v>
      </c>
      <c r="AD2837" s="9">
        <v>44470</v>
      </c>
      <c r="AE2837" s="3" t="s">
        <v>1339</v>
      </c>
      <c r="AF2837" s="3" t="s">
        <v>982</v>
      </c>
      <c r="AG2837" s="3" t="s">
        <v>8423</v>
      </c>
      <c r="AH2837" s="11">
        <f>HYPERLINK("https://my.pitchbook.com?c=214497-64T","View Company Online")</f>
      </c>
    </row>
    <row r="2838">
      <c r="A2838" s="12" t="s">
        <v>15224</v>
      </c>
      <c r="B2838" s="12" t="s">
        <v>15225</v>
      </c>
      <c r="C2838" s="19" t="s">
        <v>36</v>
      </c>
      <c r="D2838" s="19" t="s">
        <v>36</v>
      </c>
      <c r="E2838" s="19" t="s">
        <v>36</v>
      </c>
      <c r="F2838" s="19" t="s">
        <v>36</v>
      </c>
      <c r="G2838" s="15" t="s">
        <v>36</v>
      </c>
      <c r="H2838" s="14" t="s">
        <v>36</v>
      </c>
      <c r="I2838" s="18" t="s">
        <v>36</v>
      </c>
      <c r="J2838" s="12" t="s">
        <v>36</v>
      </c>
      <c r="K2838" s="13" t="s">
        <v>36</v>
      </c>
      <c r="L2838" s="15" t="s">
        <v>36</v>
      </c>
      <c r="M2838" s="12" t="s">
        <v>36</v>
      </c>
      <c r="N2838" s="12" t="s">
        <v>36</v>
      </c>
      <c r="O2838" s="17" t="s">
        <v>36</v>
      </c>
      <c r="P2838" s="12" t="s">
        <v>36</v>
      </c>
      <c r="Q2838" s="12" t="s">
        <v>36</v>
      </c>
      <c r="R2838" s="12" t="s">
        <v>36</v>
      </c>
      <c r="S2838" s="12" t="s">
        <v>36</v>
      </c>
      <c r="T2838" s="12" t="s">
        <v>15226</v>
      </c>
      <c r="U2838" s="12" t="s">
        <v>63</v>
      </c>
      <c r="V2838" s="12" t="s">
        <v>64</v>
      </c>
      <c r="W2838" s="12" t="s">
        <v>15227</v>
      </c>
      <c r="X2838" s="16" t="s">
        <v>15228</v>
      </c>
      <c r="Y2838" s="15" t="s">
        <v>42</v>
      </c>
      <c r="Z2838" s="14" t="s">
        <v>36</v>
      </c>
      <c r="AA2838" s="14" t="s">
        <v>36</v>
      </c>
      <c r="AB2838" s="12" t="s">
        <v>56</v>
      </c>
      <c r="AC2838" s="12" t="s">
        <v>15229</v>
      </c>
      <c r="AD2838" s="13">
        <v>44470</v>
      </c>
      <c r="AE2838" s="12" t="s">
        <v>68</v>
      </c>
      <c r="AF2838" s="12" t="s">
        <v>15230</v>
      </c>
      <c r="AG2838" s="12" t="s">
        <v>81</v>
      </c>
      <c r="AH2838" s="1">
        <f>HYPERLINK("https://my.pitchbook.com?c=206465-05T","View Company Online")</f>
      </c>
    </row>
    <row r="2839">
      <c r="A2839" s="3" t="s">
        <v>15231</v>
      </c>
      <c r="B2839" s="3" t="s">
        <v>15232</v>
      </c>
      <c r="C2839" s="5" t="s">
        <v>36</v>
      </c>
      <c r="D2839" s="5" t="s">
        <v>36</v>
      </c>
      <c r="E2839" s="5" t="s">
        <v>36</v>
      </c>
      <c r="F2839" s="5" t="s">
        <v>36</v>
      </c>
      <c r="G2839" s="6" t="s">
        <v>36</v>
      </c>
      <c r="H2839" s="4" t="s">
        <v>36</v>
      </c>
      <c r="I2839" s="7" t="s">
        <v>36</v>
      </c>
      <c r="J2839" s="3" t="s">
        <v>36</v>
      </c>
      <c r="K2839" s="9" t="s">
        <v>36</v>
      </c>
      <c r="L2839" s="6" t="s">
        <v>36</v>
      </c>
      <c r="M2839" s="3" t="s">
        <v>36</v>
      </c>
      <c r="N2839" s="3" t="s">
        <v>36</v>
      </c>
      <c r="O2839" s="8" t="s">
        <v>36</v>
      </c>
      <c r="P2839" s="3" t="s">
        <v>36</v>
      </c>
      <c r="Q2839" s="3" t="s">
        <v>36</v>
      </c>
      <c r="R2839" s="3" t="s">
        <v>36</v>
      </c>
      <c r="S2839" s="3" t="s">
        <v>36</v>
      </c>
      <c r="T2839" s="3" t="s">
        <v>596</v>
      </c>
      <c r="U2839" s="3" t="s">
        <v>366</v>
      </c>
      <c r="V2839" s="3" t="s">
        <v>367</v>
      </c>
      <c r="W2839" s="3" t="s">
        <v>15233</v>
      </c>
      <c r="X2839" s="10" t="s">
        <v>15234</v>
      </c>
      <c r="Y2839" s="6" t="s">
        <v>42</v>
      </c>
      <c r="Z2839" s="4" t="s">
        <v>36</v>
      </c>
      <c r="AA2839" s="4" t="s">
        <v>36</v>
      </c>
      <c r="AB2839" s="3" t="s">
        <v>43</v>
      </c>
      <c r="AC2839" s="3" t="s">
        <v>15235</v>
      </c>
      <c r="AD2839" s="9">
        <v>44470</v>
      </c>
      <c r="AE2839" s="3" t="s">
        <v>600</v>
      </c>
      <c r="AF2839" s="3" t="s">
        <v>703</v>
      </c>
      <c r="AG2839" s="3" t="s">
        <v>15236</v>
      </c>
      <c r="AH2839" s="11">
        <f>HYPERLINK("https://my.pitchbook.com?c=246835-09T","View Company Online")</f>
      </c>
    </row>
    <row r="2840">
      <c r="A2840" s="12" t="s">
        <v>15237</v>
      </c>
      <c r="B2840" s="12" t="s">
        <v>15238</v>
      </c>
      <c r="C2840" s="19" t="s">
        <v>36</v>
      </c>
      <c r="D2840" s="19" t="s">
        <v>36</v>
      </c>
      <c r="E2840" s="19" t="s">
        <v>36</v>
      </c>
      <c r="F2840" s="19" t="s">
        <v>36</v>
      </c>
      <c r="G2840" s="15" t="s">
        <v>326</v>
      </c>
      <c r="H2840" s="14">
        <v>710.77</v>
      </c>
      <c r="I2840" s="18">
        <v>19.32</v>
      </c>
      <c r="J2840" s="12" t="s">
        <v>521</v>
      </c>
      <c r="K2840" s="13" t="s">
        <v>36</v>
      </c>
      <c r="L2840" s="15" t="s">
        <v>36</v>
      </c>
      <c r="M2840" s="12" t="s">
        <v>36</v>
      </c>
      <c r="N2840" s="12" t="s">
        <v>36</v>
      </c>
      <c r="O2840" s="17" t="s">
        <v>36</v>
      </c>
      <c r="P2840" s="12" t="s">
        <v>36</v>
      </c>
      <c r="Q2840" s="12" t="s">
        <v>36</v>
      </c>
      <c r="R2840" s="12" t="s">
        <v>36</v>
      </c>
      <c r="S2840" s="12" t="s">
        <v>36</v>
      </c>
      <c r="T2840" s="12" t="s">
        <v>15239</v>
      </c>
      <c r="U2840" s="12" t="s">
        <v>279</v>
      </c>
      <c r="V2840" s="12" t="s">
        <v>64</v>
      </c>
      <c r="W2840" s="12" t="s">
        <v>15240</v>
      </c>
      <c r="X2840" s="16" t="s">
        <v>15241</v>
      </c>
      <c r="Y2840" s="15" t="s">
        <v>108</v>
      </c>
      <c r="Z2840" s="14">
        <v>4.71</v>
      </c>
      <c r="AA2840" s="14">
        <v>13.8</v>
      </c>
      <c r="AB2840" s="12" t="s">
        <v>43</v>
      </c>
      <c r="AC2840" s="12" t="s">
        <v>15242</v>
      </c>
      <c r="AD2840" s="13">
        <v>44470</v>
      </c>
      <c r="AE2840" s="12" t="s">
        <v>283</v>
      </c>
      <c r="AF2840" s="12" t="s">
        <v>546</v>
      </c>
      <c r="AG2840" s="12" t="s">
        <v>15243</v>
      </c>
      <c r="AH2840" s="1">
        <f>HYPERLINK("https://my.pitchbook.com?c=181058-50T","View Company Online")</f>
      </c>
    </row>
    <row r="2841">
      <c r="A2841" s="3" t="s">
        <v>15244</v>
      </c>
      <c r="B2841" s="3" t="s">
        <v>15245</v>
      </c>
      <c r="C2841" s="5" t="s">
        <v>36</v>
      </c>
      <c r="D2841" s="5" t="s">
        <v>36</v>
      </c>
      <c r="E2841" s="5" t="s">
        <v>36</v>
      </c>
      <c r="F2841" s="5" t="s">
        <v>36</v>
      </c>
      <c r="G2841" s="6" t="s">
        <v>36</v>
      </c>
      <c r="H2841" s="4" t="s">
        <v>36</v>
      </c>
      <c r="I2841" s="7" t="s">
        <v>36</v>
      </c>
      <c r="J2841" s="3" t="s">
        <v>36</v>
      </c>
      <c r="K2841" s="9" t="s">
        <v>36</v>
      </c>
      <c r="L2841" s="6" t="s">
        <v>36</v>
      </c>
      <c r="M2841" s="3" t="s">
        <v>36</v>
      </c>
      <c r="N2841" s="3" t="s">
        <v>36</v>
      </c>
      <c r="O2841" s="8" t="s">
        <v>36</v>
      </c>
      <c r="P2841" s="3" t="s">
        <v>36</v>
      </c>
      <c r="Q2841" s="3" t="s">
        <v>36</v>
      </c>
      <c r="R2841" s="3" t="s">
        <v>36</v>
      </c>
      <c r="S2841" s="3" t="s">
        <v>36</v>
      </c>
      <c r="T2841" s="3" t="s">
        <v>15246</v>
      </c>
      <c r="U2841" s="3" t="s">
        <v>219</v>
      </c>
      <c r="V2841" s="3" t="s">
        <v>75</v>
      </c>
      <c r="W2841" s="3" t="s">
        <v>15247</v>
      </c>
      <c r="X2841" s="10" t="s">
        <v>15248</v>
      </c>
      <c r="Y2841" s="6" t="s">
        <v>42</v>
      </c>
      <c r="Z2841" s="4">
        <v>117.79</v>
      </c>
      <c r="AA2841" s="4" t="s">
        <v>36</v>
      </c>
      <c r="AB2841" s="3" t="s">
        <v>56</v>
      </c>
      <c r="AC2841" s="3" t="s">
        <v>15249</v>
      </c>
      <c r="AD2841" s="9">
        <v>44469</v>
      </c>
      <c r="AE2841" s="3" t="s">
        <v>223</v>
      </c>
      <c r="AF2841" s="3" t="s">
        <v>15250</v>
      </c>
      <c r="AG2841" s="3" t="s">
        <v>15251</v>
      </c>
      <c r="AH2841" s="11">
        <f>HYPERLINK("https://my.pitchbook.com?c=180969-49T","View Company Online")</f>
      </c>
    </row>
    <row r="2842">
      <c r="A2842" s="12" t="s">
        <v>15252</v>
      </c>
      <c r="B2842" s="12" t="s">
        <v>15253</v>
      </c>
      <c r="C2842" s="19" t="s">
        <v>36</v>
      </c>
      <c r="D2842" s="19" t="s">
        <v>36</v>
      </c>
      <c r="E2842" s="19" t="s">
        <v>36</v>
      </c>
      <c r="F2842" s="19" t="s">
        <v>36</v>
      </c>
      <c r="G2842" s="15" t="s">
        <v>326</v>
      </c>
      <c r="H2842" s="14">
        <v>2115.21</v>
      </c>
      <c r="I2842" s="18">
        <v>31.62</v>
      </c>
      <c r="J2842" s="12" t="s">
        <v>521</v>
      </c>
      <c r="K2842" s="13" t="s">
        <v>36</v>
      </c>
      <c r="L2842" s="15" t="s">
        <v>122</v>
      </c>
      <c r="M2842" s="12" t="s">
        <v>36</v>
      </c>
      <c r="N2842" s="12" t="s">
        <v>122</v>
      </c>
      <c r="O2842" s="17" t="s">
        <v>36</v>
      </c>
      <c r="P2842" s="12" t="s">
        <v>36</v>
      </c>
      <c r="Q2842" s="12" t="s">
        <v>36</v>
      </c>
      <c r="R2842" s="12" t="s">
        <v>36</v>
      </c>
      <c r="S2842" s="12" t="s">
        <v>36</v>
      </c>
      <c r="T2842" s="12" t="s">
        <v>15254</v>
      </c>
      <c r="U2842" s="12" t="s">
        <v>74</v>
      </c>
      <c r="V2842" s="12" t="s">
        <v>75</v>
      </c>
      <c r="W2842" s="12" t="s">
        <v>15255</v>
      </c>
      <c r="X2842" s="16" t="s">
        <v>15256</v>
      </c>
      <c r="Y2842" s="15" t="s">
        <v>42</v>
      </c>
      <c r="Z2842" s="14">
        <v>2.36</v>
      </c>
      <c r="AA2842" s="14">
        <v>6.89</v>
      </c>
      <c r="AB2842" s="12" t="s">
        <v>43</v>
      </c>
      <c r="AC2842" s="12" t="s">
        <v>15257</v>
      </c>
      <c r="AD2842" s="13">
        <v>44469</v>
      </c>
      <c r="AE2842" s="12" t="s">
        <v>79</v>
      </c>
      <c r="AF2842" s="12" t="s">
        <v>111</v>
      </c>
      <c r="AG2842" s="12" t="s">
        <v>81</v>
      </c>
      <c r="AH2842" s="1">
        <f>HYPERLINK("https://my.pitchbook.com?c=180948-07T","View Company Online")</f>
      </c>
    </row>
    <row r="2843">
      <c r="A2843" s="3" t="s">
        <v>15258</v>
      </c>
      <c r="B2843" s="3" t="s">
        <v>15259</v>
      </c>
      <c r="C2843" s="5" t="s">
        <v>36</v>
      </c>
      <c r="D2843" s="5" t="s">
        <v>36</v>
      </c>
      <c r="E2843" s="5" t="s">
        <v>36</v>
      </c>
      <c r="F2843" s="5" t="s">
        <v>36</v>
      </c>
      <c r="G2843" s="6" t="s">
        <v>36</v>
      </c>
      <c r="H2843" s="4" t="s">
        <v>36</v>
      </c>
      <c r="I2843" s="7" t="s">
        <v>36</v>
      </c>
      <c r="J2843" s="3" t="s">
        <v>36</v>
      </c>
      <c r="K2843" s="9" t="s">
        <v>36</v>
      </c>
      <c r="L2843" s="6" t="s">
        <v>36</v>
      </c>
      <c r="M2843" s="3" t="s">
        <v>36</v>
      </c>
      <c r="N2843" s="3" t="s">
        <v>36</v>
      </c>
      <c r="O2843" s="8" t="s">
        <v>36</v>
      </c>
      <c r="P2843" s="3" t="s">
        <v>36</v>
      </c>
      <c r="Q2843" s="3" t="s">
        <v>36</v>
      </c>
      <c r="R2843" s="3" t="s">
        <v>36</v>
      </c>
      <c r="S2843" s="3" t="s">
        <v>36</v>
      </c>
      <c r="T2843" s="3" t="s">
        <v>522</v>
      </c>
      <c r="U2843" s="3" t="s">
        <v>38</v>
      </c>
      <c r="V2843" s="3" t="s">
        <v>39</v>
      </c>
      <c r="W2843" s="3" t="s">
        <v>15260</v>
      </c>
      <c r="X2843" s="10" t="s">
        <v>15261</v>
      </c>
      <c r="Y2843" s="6" t="s">
        <v>55</v>
      </c>
      <c r="Z2843" s="4">
        <v>2.94</v>
      </c>
      <c r="AA2843" s="4" t="s">
        <v>36</v>
      </c>
      <c r="AB2843" s="3" t="s">
        <v>56</v>
      </c>
      <c r="AC2843" s="3" t="s">
        <v>15262</v>
      </c>
      <c r="AD2843" s="9">
        <v>44469</v>
      </c>
      <c r="AE2843" s="3" t="s">
        <v>110</v>
      </c>
      <c r="AF2843" s="3" t="s">
        <v>36</v>
      </c>
      <c r="AG2843" s="3" t="s">
        <v>741</v>
      </c>
      <c r="AH2843" s="11">
        <f>HYPERLINK("https://my.pitchbook.com?c=181359-28T","View Company Online")</f>
      </c>
    </row>
    <row r="2844">
      <c r="A2844" s="12" t="s">
        <v>15263</v>
      </c>
      <c r="B2844" s="12" t="s">
        <v>6030</v>
      </c>
      <c r="C2844" s="19" t="s">
        <v>36</v>
      </c>
      <c r="D2844" s="19" t="s">
        <v>36</v>
      </c>
      <c r="E2844" s="19" t="s">
        <v>36</v>
      </c>
      <c r="F2844" s="19" t="s">
        <v>36</v>
      </c>
      <c r="G2844" s="15" t="s">
        <v>36</v>
      </c>
      <c r="H2844" s="14">
        <v>35.31</v>
      </c>
      <c r="I2844" s="18">
        <v>25.4</v>
      </c>
      <c r="J2844" s="12" t="s">
        <v>521</v>
      </c>
      <c r="K2844" s="13">
        <v>44287</v>
      </c>
      <c r="L2844" s="15" t="s">
        <v>36</v>
      </c>
      <c r="M2844" s="12" t="s">
        <v>36</v>
      </c>
      <c r="N2844" s="12" t="s">
        <v>36</v>
      </c>
      <c r="O2844" s="17" t="s">
        <v>36</v>
      </c>
      <c r="P2844" s="12" t="s">
        <v>36</v>
      </c>
      <c r="Q2844" s="12" t="s">
        <v>36</v>
      </c>
      <c r="R2844" s="12" t="s">
        <v>36</v>
      </c>
      <c r="S2844" s="12" t="s">
        <v>6031</v>
      </c>
      <c r="T2844" s="12" t="s">
        <v>6032</v>
      </c>
      <c r="U2844" s="12" t="s">
        <v>318</v>
      </c>
      <c r="V2844" s="12" t="s">
        <v>39</v>
      </c>
      <c r="W2844" s="12" t="s">
        <v>6033</v>
      </c>
      <c r="X2844" s="16" t="s">
        <v>15264</v>
      </c>
      <c r="Y2844" s="15" t="s">
        <v>42</v>
      </c>
      <c r="Z2844" s="14">
        <v>1.36</v>
      </c>
      <c r="AA2844" s="14">
        <v>5.37</v>
      </c>
      <c r="AB2844" s="12" t="s">
        <v>43</v>
      </c>
      <c r="AC2844" s="12" t="s">
        <v>6035</v>
      </c>
      <c r="AD2844" s="13">
        <v>44469</v>
      </c>
      <c r="AE2844" s="12" t="s">
        <v>417</v>
      </c>
      <c r="AF2844" s="12" t="s">
        <v>592</v>
      </c>
      <c r="AG2844" s="12" t="s">
        <v>81</v>
      </c>
      <c r="AH2844" s="1">
        <f>HYPERLINK("https://my.pitchbook.com?c=180762-49T","View Company Online")</f>
      </c>
    </row>
    <row r="2845">
      <c r="A2845" s="3" t="s">
        <v>15265</v>
      </c>
      <c r="B2845" s="3" t="s">
        <v>11571</v>
      </c>
      <c r="C2845" s="5" t="s">
        <v>36</v>
      </c>
      <c r="D2845" s="5" t="s">
        <v>36</v>
      </c>
      <c r="E2845" s="5" t="s">
        <v>36</v>
      </c>
      <c r="F2845" s="5" t="s">
        <v>36</v>
      </c>
      <c r="G2845" s="6" t="s">
        <v>2497</v>
      </c>
      <c r="H2845" s="4">
        <v>31.92</v>
      </c>
      <c r="I2845" s="7">
        <v>29.3</v>
      </c>
      <c r="J2845" s="3" t="s">
        <v>521</v>
      </c>
      <c r="K2845" s="9" t="s">
        <v>36</v>
      </c>
      <c r="L2845" s="6" t="s">
        <v>36</v>
      </c>
      <c r="M2845" s="3" t="s">
        <v>36</v>
      </c>
      <c r="N2845" s="3" t="s">
        <v>36</v>
      </c>
      <c r="O2845" s="8" t="s">
        <v>36</v>
      </c>
      <c r="P2845" s="3" t="s">
        <v>36</v>
      </c>
      <c r="Q2845" s="3" t="s">
        <v>36</v>
      </c>
      <c r="R2845" s="3" t="s">
        <v>36</v>
      </c>
      <c r="S2845" s="3" t="s">
        <v>36</v>
      </c>
      <c r="T2845" s="3" t="s">
        <v>522</v>
      </c>
      <c r="U2845" s="3" t="s">
        <v>38</v>
      </c>
      <c r="V2845" s="3" t="s">
        <v>39</v>
      </c>
      <c r="W2845" s="3" t="s">
        <v>11572</v>
      </c>
      <c r="X2845" s="10" t="s">
        <v>15266</v>
      </c>
      <c r="Y2845" s="6" t="s">
        <v>55</v>
      </c>
      <c r="Z2845" s="4">
        <v>7.26</v>
      </c>
      <c r="AA2845" s="4">
        <v>24.78</v>
      </c>
      <c r="AB2845" s="3" t="s">
        <v>56</v>
      </c>
      <c r="AC2845" s="3" t="s">
        <v>11574</v>
      </c>
      <c r="AD2845" s="9">
        <v>44469</v>
      </c>
      <c r="AE2845" s="3" t="s">
        <v>110</v>
      </c>
      <c r="AF2845" s="3" t="s">
        <v>2409</v>
      </c>
      <c r="AG2845" s="3" t="s">
        <v>81</v>
      </c>
      <c r="AH2845" s="11">
        <f>HYPERLINK("https://my.pitchbook.com?c=186066-28T","View Company Online")</f>
      </c>
    </row>
    <row r="2846">
      <c r="A2846" s="12" t="s">
        <v>15267</v>
      </c>
      <c r="B2846" s="12" t="s">
        <v>12760</v>
      </c>
      <c r="C2846" s="19" t="s">
        <v>36</v>
      </c>
      <c r="D2846" s="19" t="s">
        <v>36</v>
      </c>
      <c r="E2846" s="19" t="s">
        <v>36</v>
      </c>
      <c r="F2846" s="19" t="s">
        <v>36</v>
      </c>
      <c r="G2846" s="15" t="s">
        <v>36</v>
      </c>
      <c r="H2846" s="14" t="s">
        <v>36</v>
      </c>
      <c r="I2846" s="18" t="s">
        <v>36</v>
      </c>
      <c r="J2846" s="12" t="s">
        <v>36</v>
      </c>
      <c r="K2846" s="13" t="s">
        <v>36</v>
      </c>
      <c r="L2846" s="15" t="s">
        <v>36</v>
      </c>
      <c r="M2846" s="12" t="s">
        <v>36</v>
      </c>
      <c r="N2846" s="12" t="s">
        <v>36</v>
      </c>
      <c r="O2846" s="17" t="s">
        <v>36</v>
      </c>
      <c r="P2846" s="12" t="s">
        <v>36</v>
      </c>
      <c r="Q2846" s="12" t="s">
        <v>36</v>
      </c>
      <c r="R2846" s="12" t="s">
        <v>36</v>
      </c>
      <c r="S2846" s="12" t="s">
        <v>36</v>
      </c>
      <c r="T2846" s="12" t="s">
        <v>386</v>
      </c>
      <c r="U2846" s="12" t="s">
        <v>387</v>
      </c>
      <c r="V2846" s="12" t="s">
        <v>367</v>
      </c>
      <c r="W2846" s="12" t="s">
        <v>12761</v>
      </c>
      <c r="X2846" s="16" t="s">
        <v>15268</v>
      </c>
      <c r="Y2846" s="15" t="s">
        <v>108</v>
      </c>
      <c r="Z2846" s="14">
        <v>58.9</v>
      </c>
      <c r="AA2846" s="14" t="s">
        <v>36</v>
      </c>
      <c r="AB2846" s="12" t="s">
        <v>43</v>
      </c>
      <c r="AC2846" s="12" t="s">
        <v>12763</v>
      </c>
      <c r="AD2846" s="13">
        <v>44469</v>
      </c>
      <c r="AE2846" s="12" t="s">
        <v>391</v>
      </c>
      <c r="AF2846" s="12" t="s">
        <v>982</v>
      </c>
      <c r="AG2846" s="12" t="s">
        <v>186</v>
      </c>
      <c r="AH2846" s="1">
        <f>HYPERLINK("https://my.pitchbook.com?c=180978-58T","View Company Online")</f>
      </c>
    </row>
    <row r="2847">
      <c r="A2847" s="3" t="s">
        <v>15269</v>
      </c>
      <c r="B2847" s="3" t="s">
        <v>15270</v>
      </c>
      <c r="C2847" s="5" t="s">
        <v>36</v>
      </c>
      <c r="D2847" s="5" t="s">
        <v>36</v>
      </c>
      <c r="E2847" s="5" t="s">
        <v>36</v>
      </c>
      <c r="F2847" s="5" t="s">
        <v>36</v>
      </c>
      <c r="G2847" s="6" t="s">
        <v>36</v>
      </c>
      <c r="H2847" s="4">
        <v>8.37</v>
      </c>
      <c r="I2847" s="7">
        <v>9.09</v>
      </c>
      <c r="J2847" s="3" t="s">
        <v>521</v>
      </c>
      <c r="K2847" s="9" t="s">
        <v>36</v>
      </c>
      <c r="L2847" s="6" t="s">
        <v>36</v>
      </c>
      <c r="M2847" s="3" t="s">
        <v>36</v>
      </c>
      <c r="N2847" s="3" t="s">
        <v>36</v>
      </c>
      <c r="O2847" s="8" t="s">
        <v>36</v>
      </c>
      <c r="P2847" s="3" t="s">
        <v>36</v>
      </c>
      <c r="Q2847" s="3" t="s">
        <v>36</v>
      </c>
      <c r="R2847" s="3" t="s">
        <v>36</v>
      </c>
      <c r="S2847" s="3" t="s">
        <v>36</v>
      </c>
      <c r="T2847" s="3" t="s">
        <v>15271</v>
      </c>
      <c r="U2847" s="3" t="s">
        <v>648</v>
      </c>
      <c r="V2847" s="3" t="s">
        <v>64</v>
      </c>
      <c r="W2847" s="3" t="s">
        <v>15272</v>
      </c>
      <c r="X2847" s="10" t="s">
        <v>3656</v>
      </c>
      <c r="Y2847" s="6" t="s">
        <v>42</v>
      </c>
      <c r="Z2847" s="4">
        <v>0.06</v>
      </c>
      <c r="AA2847" s="4">
        <v>0.65</v>
      </c>
      <c r="AB2847" s="3" t="s">
        <v>43</v>
      </c>
      <c r="AC2847" s="3" t="s">
        <v>15273</v>
      </c>
      <c r="AD2847" s="9">
        <v>44469</v>
      </c>
      <c r="AE2847" s="3" t="s">
        <v>651</v>
      </c>
      <c r="AF2847" s="3" t="s">
        <v>7833</v>
      </c>
      <c r="AG2847" s="3" t="s">
        <v>15274</v>
      </c>
      <c r="AH2847" s="11">
        <f>HYPERLINK("https://my.pitchbook.com?c=248531-68T","View Company Online")</f>
      </c>
    </row>
    <row r="2848">
      <c r="A2848" s="12" t="s">
        <v>15275</v>
      </c>
      <c r="B2848" s="12" t="s">
        <v>15276</v>
      </c>
      <c r="C2848" s="19" t="s">
        <v>36</v>
      </c>
      <c r="D2848" s="19" t="s">
        <v>36</v>
      </c>
      <c r="E2848" s="19" t="s">
        <v>36</v>
      </c>
      <c r="F2848" s="19" t="s">
        <v>36</v>
      </c>
      <c r="G2848" s="15" t="s">
        <v>326</v>
      </c>
      <c r="H2848" s="14">
        <v>32.58</v>
      </c>
      <c r="I2848" s="18">
        <v>31.06</v>
      </c>
      <c r="J2848" s="12" t="s">
        <v>521</v>
      </c>
      <c r="K2848" s="13" t="s">
        <v>36</v>
      </c>
      <c r="L2848" s="15" t="s">
        <v>36</v>
      </c>
      <c r="M2848" s="12" t="s">
        <v>36</v>
      </c>
      <c r="N2848" s="12" t="s">
        <v>36</v>
      </c>
      <c r="O2848" s="17" t="s">
        <v>36</v>
      </c>
      <c r="P2848" s="12" t="s">
        <v>36</v>
      </c>
      <c r="Q2848" s="12" t="s">
        <v>36</v>
      </c>
      <c r="R2848" s="12" t="s">
        <v>36</v>
      </c>
      <c r="S2848" s="12" t="s">
        <v>36</v>
      </c>
      <c r="T2848" s="12" t="s">
        <v>6904</v>
      </c>
      <c r="U2848" s="12" t="s">
        <v>96</v>
      </c>
      <c r="V2848" s="12" t="s">
        <v>52</v>
      </c>
      <c r="W2848" s="12" t="s">
        <v>15277</v>
      </c>
      <c r="X2848" s="16" t="s">
        <v>15278</v>
      </c>
      <c r="Y2848" s="15" t="s">
        <v>42</v>
      </c>
      <c r="Z2848" s="14">
        <v>1.86</v>
      </c>
      <c r="AA2848" s="14">
        <v>5.98</v>
      </c>
      <c r="AB2848" s="12" t="s">
        <v>43</v>
      </c>
      <c r="AC2848" s="12" t="s">
        <v>15279</v>
      </c>
      <c r="AD2848" s="13">
        <v>44468</v>
      </c>
      <c r="AE2848" s="12" t="s">
        <v>143</v>
      </c>
      <c r="AF2848" s="12" t="s">
        <v>3193</v>
      </c>
      <c r="AG2848" s="12" t="s">
        <v>102</v>
      </c>
      <c r="AH2848" s="1">
        <f>HYPERLINK("https://my.pitchbook.com?c=180864-64T","View Company Online")</f>
      </c>
    </row>
    <row r="2849">
      <c r="A2849" s="3" t="s">
        <v>15280</v>
      </c>
      <c r="B2849" s="3" t="s">
        <v>14155</v>
      </c>
      <c r="C2849" s="5" t="s">
        <v>36</v>
      </c>
      <c r="D2849" s="5" t="s">
        <v>36</v>
      </c>
      <c r="E2849" s="5" t="s">
        <v>36</v>
      </c>
      <c r="F2849" s="5" t="s">
        <v>36</v>
      </c>
      <c r="G2849" s="6" t="s">
        <v>36</v>
      </c>
      <c r="H2849" s="4">
        <v>4.15</v>
      </c>
      <c r="I2849" s="7">
        <v>8.04</v>
      </c>
      <c r="J2849" s="3" t="s">
        <v>521</v>
      </c>
      <c r="K2849" s="9" t="s">
        <v>36</v>
      </c>
      <c r="L2849" s="6" t="s">
        <v>36</v>
      </c>
      <c r="M2849" s="3" t="s">
        <v>36</v>
      </c>
      <c r="N2849" s="3" t="s">
        <v>36</v>
      </c>
      <c r="O2849" s="8" t="s">
        <v>36</v>
      </c>
      <c r="P2849" s="3" t="s">
        <v>36</v>
      </c>
      <c r="Q2849" s="3" t="s">
        <v>36</v>
      </c>
      <c r="R2849" s="3" t="s">
        <v>36</v>
      </c>
      <c r="S2849" s="3" t="s">
        <v>36</v>
      </c>
      <c r="T2849" s="3" t="s">
        <v>14156</v>
      </c>
      <c r="U2849" s="3" t="s">
        <v>74</v>
      </c>
      <c r="V2849" s="3" t="s">
        <v>75</v>
      </c>
      <c r="W2849" s="3" t="s">
        <v>14157</v>
      </c>
      <c r="X2849" s="10" t="s">
        <v>15281</v>
      </c>
      <c r="Y2849" s="6" t="s">
        <v>42</v>
      </c>
      <c r="Z2849" s="4">
        <v>0.17</v>
      </c>
      <c r="AA2849" s="4">
        <v>2.06</v>
      </c>
      <c r="AB2849" s="3" t="s">
        <v>43</v>
      </c>
      <c r="AC2849" s="3" t="s">
        <v>14159</v>
      </c>
      <c r="AD2849" s="9">
        <v>44468</v>
      </c>
      <c r="AE2849" s="3" t="s">
        <v>79</v>
      </c>
      <c r="AF2849" s="3" t="s">
        <v>372</v>
      </c>
      <c r="AG2849" s="3" t="s">
        <v>47</v>
      </c>
      <c r="AH2849" s="11">
        <f>HYPERLINK("https://my.pitchbook.com?c=209793-07T","View Company Online")</f>
      </c>
    </row>
    <row r="2850">
      <c r="A2850" s="12" t="s">
        <v>15282</v>
      </c>
      <c r="B2850" s="12" t="s">
        <v>15283</v>
      </c>
      <c r="C2850" s="19">
        <v>1</v>
      </c>
      <c r="D2850" s="19">
        <v>14</v>
      </c>
      <c r="E2850" s="19">
        <v>11</v>
      </c>
      <c r="F2850" s="19">
        <v>28</v>
      </c>
      <c r="G2850" s="15" t="s">
        <v>326</v>
      </c>
      <c r="H2850" s="14">
        <v>11.87</v>
      </c>
      <c r="I2850" s="18">
        <v>13.52</v>
      </c>
      <c r="J2850" s="12" t="s">
        <v>521</v>
      </c>
      <c r="K2850" s="13" t="s">
        <v>36</v>
      </c>
      <c r="L2850" s="15" t="s">
        <v>3736</v>
      </c>
      <c r="M2850" s="12" t="s">
        <v>36</v>
      </c>
      <c r="N2850" s="12" t="s">
        <v>3736</v>
      </c>
      <c r="O2850" s="17" t="s">
        <v>36</v>
      </c>
      <c r="P2850" s="12" t="s">
        <v>3530</v>
      </c>
      <c r="Q2850" s="12" t="s">
        <v>3530</v>
      </c>
      <c r="R2850" s="12" t="s">
        <v>3531</v>
      </c>
      <c r="S2850" s="12" t="s">
        <v>36</v>
      </c>
      <c r="T2850" s="12" t="s">
        <v>15284</v>
      </c>
      <c r="U2850" s="12" t="s">
        <v>96</v>
      </c>
      <c r="V2850" s="12" t="s">
        <v>52</v>
      </c>
      <c r="W2850" s="12" t="s">
        <v>15285</v>
      </c>
      <c r="X2850" s="16" t="s">
        <v>15286</v>
      </c>
      <c r="Y2850" s="15" t="s">
        <v>321</v>
      </c>
      <c r="Z2850" s="14">
        <v>39</v>
      </c>
      <c r="AA2850" s="14">
        <v>334</v>
      </c>
      <c r="AB2850" s="12" t="s">
        <v>56</v>
      </c>
      <c r="AC2850" s="12" t="s">
        <v>15287</v>
      </c>
      <c r="AD2850" s="13">
        <v>44467</v>
      </c>
      <c r="AE2850" s="12" t="s">
        <v>143</v>
      </c>
      <c r="AF2850" s="12" t="s">
        <v>5170</v>
      </c>
      <c r="AG2850" s="12" t="s">
        <v>81</v>
      </c>
      <c r="AH2850" s="1">
        <f>HYPERLINK("https://my.pitchbook.com?c=172952-20T","View Company Online")</f>
      </c>
    </row>
    <row r="2851">
      <c r="A2851" s="3" t="s">
        <v>15288</v>
      </c>
      <c r="B2851" s="3" t="s">
        <v>10605</v>
      </c>
      <c r="C2851" s="5">
        <v>6</v>
      </c>
      <c r="D2851" s="5">
        <v>2</v>
      </c>
      <c r="E2851" s="5">
        <v>4</v>
      </c>
      <c r="F2851" s="5">
        <v>9</v>
      </c>
      <c r="G2851" s="6" t="s">
        <v>36</v>
      </c>
      <c r="H2851" s="4" t="s">
        <v>36</v>
      </c>
      <c r="I2851" s="7">
        <v>26.35</v>
      </c>
      <c r="J2851" s="3" t="s">
        <v>327</v>
      </c>
      <c r="K2851" s="9" t="s">
        <v>36</v>
      </c>
      <c r="L2851" s="6" t="s">
        <v>36</v>
      </c>
      <c r="M2851" s="3" t="s">
        <v>36</v>
      </c>
      <c r="N2851" s="3" t="s">
        <v>36</v>
      </c>
      <c r="O2851" s="8" t="s">
        <v>36</v>
      </c>
      <c r="P2851" s="3" t="s">
        <v>36</v>
      </c>
      <c r="Q2851" s="3" t="s">
        <v>36</v>
      </c>
      <c r="R2851" s="3" t="s">
        <v>36</v>
      </c>
      <c r="S2851" s="3" t="s">
        <v>36</v>
      </c>
      <c r="T2851" s="3" t="s">
        <v>10606</v>
      </c>
      <c r="U2851" s="3" t="s">
        <v>377</v>
      </c>
      <c r="V2851" s="3" t="s">
        <v>378</v>
      </c>
      <c r="W2851" s="3" t="s">
        <v>10607</v>
      </c>
      <c r="X2851" s="10" t="s">
        <v>15289</v>
      </c>
      <c r="Y2851" s="6" t="s">
        <v>42</v>
      </c>
      <c r="Z2851" s="4">
        <v>10.14</v>
      </c>
      <c r="AA2851" s="4">
        <v>38.48</v>
      </c>
      <c r="AB2851" s="3" t="s">
        <v>43</v>
      </c>
      <c r="AC2851" s="3" t="s">
        <v>10609</v>
      </c>
      <c r="AD2851" s="9">
        <v>44467</v>
      </c>
      <c r="AE2851" s="3" t="s">
        <v>377</v>
      </c>
      <c r="AF2851" s="3" t="s">
        <v>931</v>
      </c>
      <c r="AG2851" s="3" t="s">
        <v>81</v>
      </c>
      <c r="AH2851" s="11">
        <f>HYPERLINK("https://my.pitchbook.com?c=180828-01T","View Company Online")</f>
      </c>
    </row>
    <row r="2852">
      <c r="A2852" s="12" t="s">
        <v>15290</v>
      </c>
      <c r="B2852" s="12" t="s">
        <v>15291</v>
      </c>
      <c r="C2852" s="19">
        <v>1</v>
      </c>
      <c r="D2852" s="19">
        <v>4</v>
      </c>
      <c r="E2852" s="19">
        <v>1</v>
      </c>
      <c r="F2852" s="19">
        <v>5</v>
      </c>
      <c r="G2852" s="15" t="s">
        <v>326</v>
      </c>
      <c r="H2852" s="14">
        <v>153.52</v>
      </c>
      <c r="I2852" s="18">
        <v>16.93</v>
      </c>
      <c r="J2852" s="12" t="s">
        <v>521</v>
      </c>
      <c r="K2852" s="13" t="s">
        <v>36</v>
      </c>
      <c r="L2852" s="15" t="s">
        <v>36</v>
      </c>
      <c r="M2852" s="12" t="s">
        <v>36</v>
      </c>
      <c r="N2852" s="12" t="s">
        <v>36</v>
      </c>
      <c r="O2852" s="17" t="s">
        <v>36</v>
      </c>
      <c r="P2852" s="12" t="s">
        <v>36</v>
      </c>
      <c r="Q2852" s="12" t="s">
        <v>36</v>
      </c>
      <c r="R2852" s="12" t="s">
        <v>36</v>
      </c>
      <c r="S2852" s="12" t="s">
        <v>36</v>
      </c>
      <c r="T2852" s="12" t="s">
        <v>15292</v>
      </c>
      <c r="U2852" s="12" t="s">
        <v>1357</v>
      </c>
      <c r="V2852" s="12" t="s">
        <v>52</v>
      </c>
      <c r="W2852" s="12" t="s">
        <v>15293</v>
      </c>
      <c r="X2852" s="16" t="s">
        <v>15294</v>
      </c>
      <c r="Y2852" s="15" t="s">
        <v>55</v>
      </c>
      <c r="Z2852" s="14">
        <v>2.14</v>
      </c>
      <c r="AA2852" s="14">
        <v>12.63</v>
      </c>
      <c r="AB2852" s="12" t="s">
        <v>56</v>
      </c>
      <c r="AC2852" s="12" t="s">
        <v>15295</v>
      </c>
      <c r="AD2852" s="13">
        <v>44467</v>
      </c>
      <c r="AE2852" s="12" t="s">
        <v>3204</v>
      </c>
      <c r="AF2852" s="12" t="s">
        <v>15296</v>
      </c>
      <c r="AG2852" s="12" t="s">
        <v>47</v>
      </c>
      <c r="AH2852" s="1">
        <f>HYPERLINK("https://my.pitchbook.com?c=185686-39T","View Company Online")</f>
      </c>
    </row>
    <row r="2853">
      <c r="A2853" s="3" t="s">
        <v>15297</v>
      </c>
      <c r="B2853" s="3" t="s">
        <v>10770</v>
      </c>
      <c r="C2853" s="5">
        <v>45</v>
      </c>
      <c r="D2853" s="5">
        <v>96</v>
      </c>
      <c r="E2853" s="5">
        <v>38</v>
      </c>
      <c r="F2853" s="5">
        <v>154</v>
      </c>
      <c r="G2853" s="6" t="s">
        <v>326</v>
      </c>
      <c r="H2853" s="4">
        <v>0.47</v>
      </c>
      <c r="I2853" s="7">
        <v>27.48</v>
      </c>
      <c r="J2853" s="3" t="s">
        <v>521</v>
      </c>
      <c r="K2853" s="9" t="s">
        <v>36</v>
      </c>
      <c r="L2853" s="6" t="s">
        <v>1279</v>
      </c>
      <c r="M2853" s="3" t="s">
        <v>36</v>
      </c>
      <c r="N2853" s="3" t="s">
        <v>1279</v>
      </c>
      <c r="O2853" s="8" t="s">
        <v>36</v>
      </c>
      <c r="P2853" s="3" t="s">
        <v>36</v>
      </c>
      <c r="Q2853" s="3" t="s">
        <v>36</v>
      </c>
      <c r="R2853" s="3" t="s">
        <v>36</v>
      </c>
      <c r="S2853" s="3" t="s">
        <v>36</v>
      </c>
      <c r="T2853" s="3" t="s">
        <v>10771</v>
      </c>
      <c r="U2853" s="3" t="s">
        <v>318</v>
      </c>
      <c r="V2853" s="3" t="s">
        <v>39</v>
      </c>
      <c r="W2853" s="3" t="s">
        <v>10772</v>
      </c>
      <c r="X2853" s="10" t="s">
        <v>15298</v>
      </c>
      <c r="Y2853" s="6" t="s">
        <v>321</v>
      </c>
      <c r="Z2853" s="4">
        <v>33.33</v>
      </c>
      <c r="AA2853" s="4">
        <v>121.28</v>
      </c>
      <c r="AB2853" s="3" t="s">
        <v>56</v>
      </c>
      <c r="AC2853" s="3" t="s">
        <v>10774</v>
      </c>
      <c r="AD2853" s="9">
        <v>44467</v>
      </c>
      <c r="AE2853" s="3" t="s">
        <v>763</v>
      </c>
      <c r="AF2853" s="3" t="s">
        <v>10775</v>
      </c>
      <c r="AG2853" s="3" t="s">
        <v>81</v>
      </c>
      <c r="AH2853" s="11">
        <f>HYPERLINK("https://my.pitchbook.com?c=175900-60T","View Company Online")</f>
      </c>
    </row>
    <row r="2854">
      <c r="A2854" s="12" t="s">
        <v>15299</v>
      </c>
      <c r="B2854" s="12" t="s">
        <v>325</v>
      </c>
      <c r="C2854" s="19" t="s">
        <v>36</v>
      </c>
      <c r="D2854" s="19" t="s">
        <v>36</v>
      </c>
      <c r="E2854" s="19">
        <v>7</v>
      </c>
      <c r="F2854" s="19">
        <v>7</v>
      </c>
      <c r="G2854" s="15" t="s">
        <v>326</v>
      </c>
      <c r="H2854" s="14" t="s">
        <v>36</v>
      </c>
      <c r="I2854" s="18">
        <v>26.14</v>
      </c>
      <c r="J2854" s="12" t="s">
        <v>327</v>
      </c>
      <c r="K2854" s="13" t="s">
        <v>36</v>
      </c>
      <c r="L2854" s="15" t="s">
        <v>122</v>
      </c>
      <c r="M2854" s="12" t="s">
        <v>36</v>
      </c>
      <c r="N2854" s="12" t="s">
        <v>122</v>
      </c>
      <c r="O2854" s="17" t="s">
        <v>36</v>
      </c>
      <c r="P2854" s="12" t="s">
        <v>36</v>
      </c>
      <c r="Q2854" s="12" t="s">
        <v>36</v>
      </c>
      <c r="R2854" s="12" t="s">
        <v>36</v>
      </c>
      <c r="S2854" s="12" t="s">
        <v>36</v>
      </c>
      <c r="T2854" s="12" t="s">
        <v>37</v>
      </c>
      <c r="U2854" s="12" t="s">
        <v>38</v>
      </c>
      <c r="V2854" s="12" t="s">
        <v>39</v>
      </c>
      <c r="W2854" s="12" t="s">
        <v>328</v>
      </c>
      <c r="X2854" s="16" t="s">
        <v>15300</v>
      </c>
      <c r="Y2854" s="15" t="s">
        <v>55</v>
      </c>
      <c r="Z2854" s="14">
        <v>18.86</v>
      </c>
      <c r="AA2854" s="14">
        <v>72.16</v>
      </c>
      <c r="AB2854" s="12" t="s">
        <v>43</v>
      </c>
      <c r="AC2854" s="12" t="s">
        <v>330</v>
      </c>
      <c r="AD2854" s="13">
        <v>44467</v>
      </c>
      <c r="AE2854" s="12" t="s">
        <v>45</v>
      </c>
      <c r="AF2854" s="12" t="s">
        <v>331</v>
      </c>
      <c r="AG2854" s="12" t="s">
        <v>332</v>
      </c>
      <c r="AH2854" s="1">
        <f>HYPERLINK("https://my.pitchbook.com?c=180764-47T","View Company Online")</f>
      </c>
    </row>
    <row r="2855">
      <c r="A2855" s="3" t="s">
        <v>15301</v>
      </c>
      <c r="B2855" s="3" t="s">
        <v>3976</v>
      </c>
      <c r="C2855" s="5" t="s">
        <v>36</v>
      </c>
      <c r="D2855" s="5" t="s">
        <v>36</v>
      </c>
      <c r="E2855" s="5" t="s">
        <v>36</v>
      </c>
      <c r="F2855" s="5" t="s">
        <v>36</v>
      </c>
      <c r="G2855" s="6" t="s">
        <v>36</v>
      </c>
      <c r="H2855" s="4" t="s">
        <v>36</v>
      </c>
      <c r="I2855" s="7">
        <v>18.18</v>
      </c>
      <c r="J2855" s="3" t="s">
        <v>327</v>
      </c>
      <c r="K2855" s="9" t="s">
        <v>36</v>
      </c>
      <c r="L2855" s="6" t="s">
        <v>36</v>
      </c>
      <c r="M2855" s="3" t="s">
        <v>36</v>
      </c>
      <c r="N2855" s="3" t="s">
        <v>36</v>
      </c>
      <c r="O2855" s="8" t="s">
        <v>36</v>
      </c>
      <c r="P2855" s="3" t="s">
        <v>36</v>
      </c>
      <c r="Q2855" s="3" t="s">
        <v>36</v>
      </c>
      <c r="R2855" s="3" t="s">
        <v>36</v>
      </c>
      <c r="S2855" s="3" t="s">
        <v>36</v>
      </c>
      <c r="T2855" s="3" t="s">
        <v>3977</v>
      </c>
      <c r="U2855" s="3" t="s">
        <v>648</v>
      </c>
      <c r="V2855" s="3" t="s">
        <v>64</v>
      </c>
      <c r="W2855" s="3" t="s">
        <v>3978</v>
      </c>
      <c r="X2855" s="10" t="s">
        <v>15302</v>
      </c>
      <c r="Y2855" s="6" t="s">
        <v>42</v>
      </c>
      <c r="Z2855" s="4">
        <v>1.77</v>
      </c>
      <c r="AA2855" s="4">
        <v>9.73</v>
      </c>
      <c r="AB2855" s="3" t="s">
        <v>43</v>
      </c>
      <c r="AC2855" s="3" t="s">
        <v>3980</v>
      </c>
      <c r="AD2855" s="9">
        <v>44466</v>
      </c>
      <c r="AE2855" s="3" t="s">
        <v>651</v>
      </c>
      <c r="AF2855" s="3" t="s">
        <v>3981</v>
      </c>
      <c r="AG2855" s="3" t="s">
        <v>81</v>
      </c>
      <c r="AH2855" s="11">
        <f>HYPERLINK("https://my.pitchbook.com?c=180874-54T","View Company Online")</f>
      </c>
    </row>
    <row r="2856">
      <c r="A2856" s="12" t="s">
        <v>15303</v>
      </c>
      <c r="B2856" s="12" t="s">
        <v>7772</v>
      </c>
      <c r="C2856" s="19">
        <v>3</v>
      </c>
      <c r="D2856" s="19">
        <v>6</v>
      </c>
      <c r="E2856" s="19">
        <v>4</v>
      </c>
      <c r="F2856" s="19">
        <v>9</v>
      </c>
      <c r="G2856" s="15" t="s">
        <v>683</v>
      </c>
      <c r="H2856" s="14">
        <v>690.65</v>
      </c>
      <c r="I2856" s="18">
        <v>16.24</v>
      </c>
      <c r="J2856" s="12" t="s">
        <v>521</v>
      </c>
      <c r="K2856" s="13" t="s">
        <v>36</v>
      </c>
      <c r="L2856" s="15" t="s">
        <v>122</v>
      </c>
      <c r="M2856" s="12" t="s">
        <v>36</v>
      </c>
      <c r="N2856" s="12" t="s">
        <v>122</v>
      </c>
      <c r="O2856" s="17" t="s">
        <v>36</v>
      </c>
      <c r="P2856" s="12" t="s">
        <v>36</v>
      </c>
      <c r="Q2856" s="12" t="s">
        <v>36</v>
      </c>
      <c r="R2856" s="12" t="s">
        <v>36</v>
      </c>
      <c r="S2856" s="12" t="s">
        <v>36</v>
      </c>
      <c r="T2856" s="12" t="s">
        <v>7773</v>
      </c>
      <c r="U2856" s="12" t="s">
        <v>96</v>
      </c>
      <c r="V2856" s="12" t="s">
        <v>52</v>
      </c>
      <c r="W2856" s="12" t="s">
        <v>7774</v>
      </c>
      <c r="X2856" s="16" t="s">
        <v>8727</v>
      </c>
      <c r="Y2856" s="15" t="s">
        <v>108</v>
      </c>
      <c r="Z2856" s="14">
        <v>0.61</v>
      </c>
      <c r="AA2856" s="14">
        <v>3.78</v>
      </c>
      <c r="AB2856" s="12" t="s">
        <v>43</v>
      </c>
      <c r="AC2856" s="12" t="s">
        <v>7776</v>
      </c>
      <c r="AD2856" s="13">
        <v>44466</v>
      </c>
      <c r="AE2856" s="12" t="s">
        <v>143</v>
      </c>
      <c r="AF2856" s="12" t="s">
        <v>159</v>
      </c>
      <c r="AG2856" s="12" t="s">
        <v>7777</v>
      </c>
      <c r="AH2856" s="1">
        <f>HYPERLINK("https://my.pitchbook.com?c=212623-39T","View Company Online")</f>
      </c>
    </row>
    <row r="2857">
      <c r="A2857" s="3" t="s">
        <v>15304</v>
      </c>
      <c r="B2857" s="3" t="s">
        <v>15305</v>
      </c>
      <c r="C2857" s="5" t="s">
        <v>36</v>
      </c>
      <c r="D2857" s="5" t="s">
        <v>36</v>
      </c>
      <c r="E2857" s="5" t="s">
        <v>36</v>
      </c>
      <c r="F2857" s="5" t="s">
        <v>36</v>
      </c>
      <c r="G2857" s="6" t="s">
        <v>326</v>
      </c>
      <c r="H2857" s="4">
        <v>101.83</v>
      </c>
      <c r="I2857" s="7">
        <v>27.16</v>
      </c>
      <c r="J2857" s="3" t="s">
        <v>521</v>
      </c>
      <c r="K2857" s="9" t="s">
        <v>36</v>
      </c>
      <c r="L2857" s="6" t="s">
        <v>122</v>
      </c>
      <c r="M2857" s="3" t="s">
        <v>36</v>
      </c>
      <c r="N2857" s="3" t="s">
        <v>122</v>
      </c>
      <c r="O2857" s="8" t="s">
        <v>36</v>
      </c>
      <c r="P2857" s="3" t="s">
        <v>36</v>
      </c>
      <c r="Q2857" s="3" t="s">
        <v>36</v>
      </c>
      <c r="R2857" s="3" t="s">
        <v>36</v>
      </c>
      <c r="S2857" s="3" t="s">
        <v>36</v>
      </c>
      <c r="T2857" s="3" t="s">
        <v>15306</v>
      </c>
      <c r="U2857" s="3" t="s">
        <v>38</v>
      </c>
      <c r="V2857" s="3" t="s">
        <v>39</v>
      </c>
      <c r="W2857" s="3" t="s">
        <v>15307</v>
      </c>
      <c r="X2857" s="10" t="s">
        <v>15308</v>
      </c>
      <c r="Y2857" s="6" t="s">
        <v>55</v>
      </c>
      <c r="Z2857" s="4">
        <v>9.43</v>
      </c>
      <c r="AA2857" s="4">
        <v>25.98</v>
      </c>
      <c r="AB2857" s="3" t="s">
        <v>43</v>
      </c>
      <c r="AC2857" s="3" t="s">
        <v>15309</v>
      </c>
      <c r="AD2857" s="9">
        <v>44466</v>
      </c>
      <c r="AE2857" s="3" t="s">
        <v>45</v>
      </c>
      <c r="AF2857" s="3" t="s">
        <v>46</v>
      </c>
      <c r="AG2857" s="3" t="s">
        <v>5114</v>
      </c>
      <c r="AH2857" s="11">
        <f>HYPERLINK("https://my.pitchbook.com?c=181487-89T","View Company Online")</f>
      </c>
    </row>
    <row r="2858">
      <c r="A2858" s="12" t="s">
        <v>15310</v>
      </c>
      <c r="B2858" s="12" t="s">
        <v>6971</v>
      </c>
      <c r="C2858" s="19" t="s">
        <v>36</v>
      </c>
      <c r="D2858" s="19" t="s">
        <v>36</v>
      </c>
      <c r="E2858" s="19" t="s">
        <v>36</v>
      </c>
      <c r="F2858" s="19" t="s">
        <v>36</v>
      </c>
      <c r="G2858" s="15" t="s">
        <v>36</v>
      </c>
      <c r="H2858" s="14">
        <v>23.38</v>
      </c>
      <c r="I2858" s="18">
        <v>12.9</v>
      </c>
      <c r="J2858" s="12" t="s">
        <v>521</v>
      </c>
      <c r="K2858" s="13" t="s">
        <v>36</v>
      </c>
      <c r="L2858" s="15" t="s">
        <v>36</v>
      </c>
      <c r="M2858" s="12" t="s">
        <v>36</v>
      </c>
      <c r="N2858" s="12" t="s">
        <v>36</v>
      </c>
      <c r="O2858" s="17" t="s">
        <v>36</v>
      </c>
      <c r="P2858" s="12" t="s">
        <v>36</v>
      </c>
      <c r="Q2858" s="12" t="s">
        <v>36</v>
      </c>
      <c r="R2858" s="12" t="s">
        <v>36</v>
      </c>
      <c r="S2858" s="12" t="s">
        <v>36</v>
      </c>
      <c r="T2858" s="12" t="s">
        <v>6972</v>
      </c>
      <c r="U2858" s="12" t="s">
        <v>1091</v>
      </c>
      <c r="V2858" s="12" t="s">
        <v>378</v>
      </c>
      <c r="W2858" s="12" t="s">
        <v>6973</v>
      </c>
      <c r="X2858" s="16" t="s">
        <v>15311</v>
      </c>
      <c r="Y2858" s="15" t="s">
        <v>42</v>
      </c>
      <c r="Z2858" s="14">
        <v>0.24</v>
      </c>
      <c r="AA2858" s="14">
        <v>1.83</v>
      </c>
      <c r="AB2858" s="12" t="s">
        <v>43</v>
      </c>
      <c r="AC2858" s="12" t="s">
        <v>6975</v>
      </c>
      <c r="AD2858" s="13">
        <v>44463</v>
      </c>
      <c r="AE2858" s="12" t="s">
        <v>1095</v>
      </c>
      <c r="AF2858" s="12" t="s">
        <v>1999</v>
      </c>
      <c r="AG2858" s="12" t="s">
        <v>5013</v>
      </c>
      <c r="AH2858" s="1">
        <f>HYPERLINK("https://my.pitchbook.com?c=227523-79T","View Company Online")</f>
      </c>
    </row>
    <row r="2859">
      <c r="A2859" s="3" t="s">
        <v>15312</v>
      </c>
      <c r="B2859" s="3" t="s">
        <v>15313</v>
      </c>
      <c r="C2859" s="5" t="s">
        <v>36</v>
      </c>
      <c r="D2859" s="5" t="s">
        <v>36</v>
      </c>
      <c r="E2859" s="5" t="s">
        <v>36</v>
      </c>
      <c r="F2859" s="5" t="s">
        <v>36</v>
      </c>
      <c r="G2859" s="6" t="s">
        <v>326</v>
      </c>
      <c r="H2859" s="4">
        <v>493.32</v>
      </c>
      <c r="I2859" s="7">
        <v>20.61</v>
      </c>
      <c r="J2859" s="3" t="s">
        <v>521</v>
      </c>
      <c r="K2859" s="9" t="s">
        <v>36</v>
      </c>
      <c r="L2859" s="6" t="s">
        <v>122</v>
      </c>
      <c r="M2859" s="3" t="s">
        <v>36</v>
      </c>
      <c r="N2859" s="3" t="s">
        <v>122</v>
      </c>
      <c r="O2859" s="8" t="s">
        <v>36</v>
      </c>
      <c r="P2859" s="3" t="s">
        <v>36</v>
      </c>
      <c r="Q2859" s="3" t="s">
        <v>36</v>
      </c>
      <c r="R2859" s="3" t="s">
        <v>36</v>
      </c>
      <c r="S2859" s="3" t="s">
        <v>196</v>
      </c>
      <c r="T2859" s="3" t="s">
        <v>522</v>
      </c>
      <c r="U2859" s="3" t="s">
        <v>38</v>
      </c>
      <c r="V2859" s="3" t="s">
        <v>39</v>
      </c>
      <c r="W2859" s="3" t="s">
        <v>15314</v>
      </c>
      <c r="X2859" s="10" t="s">
        <v>15315</v>
      </c>
      <c r="Y2859" s="6" t="s">
        <v>108</v>
      </c>
      <c r="Z2859" s="4">
        <v>7.08</v>
      </c>
      <c r="AA2859" s="4">
        <v>27.55</v>
      </c>
      <c r="AB2859" s="3" t="s">
        <v>43</v>
      </c>
      <c r="AC2859" s="3" t="s">
        <v>15316</v>
      </c>
      <c r="AD2859" s="9">
        <v>44462</v>
      </c>
      <c r="AE2859" s="3" t="s">
        <v>110</v>
      </c>
      <c r="AF2859" s="3" t="s">
        <v>1159</v>
      </c>
      <c r="AG2859" s="3" t="s">
        <v>81</v>
      </c>
      <c r="AH2859" s="11">
        <f>HYPERLINK("https://my.pitchbook.com?c=180568-81T","View Company Online")</f>
      </c>
    </row>
    <row r="2860">
      <c r="A2860" s="12" t="s">
        <v>15317</v>
      </c>
      <c r="B2860" s="12" t="s">
        <v>10143</v>
      </c>
      <c r="C2860" s="19" t="s">
        <v>36</v>
      </c>
      <c r="D2860" s="19" t="s">
        <v>36</v>
      </c>
      <c r="E2860" s="19" t="s">
        <v>36</v>
      </c>
      <c r="F2860" s="19" t="s">
        <v>36</v>
      </c>
      <c r="G2860" s="15" t="s">
        <v>326</v>
      </c>
      <c r="H2860" s="14">
        <v>300.38</v>
      </c>
      <c r="I2860" s="18">
        <v>17.73</v>
      </c>
      <c r="J2860" s="12" t="s">
        <v>521</v>
      </c>
      <c r="K2860" s="13" t="s">
        <v>36</v>
      </c>
      <c r="L2860" s="15" t="s">
        <v>122</v>
      </c>
      <c r="M2860" s="12" t="s">
        <v>36</v>
      </c>
      <c r="N2860" s="12" t="s">
        <v>122</v>
      </c>
      <c r="O2860" s="17" t="s">
        <v>36</v>
      </c>
      <c r="P2860" s="12" t="s">
        <v>36</v>
      </c>
      <c r="Q2860" s="12" t="s">
        <v>36</v>
      </c>
      <c r="R2860" s="12" t="s">
        <v>36</v>
      </c>
      <c r="S2860" s="12" t="s">
        <v>36</v>
      </c>
      <c r="T2860" s="12" t="s">
        <v>1701</v>
      </c>
      <c r="U2860" s="12" t="s">
        <v>74</v>
      </c>
      <c r="V2860" s="12" t="s">
        <v>75</v>
      </c>
      <c r="W2860" s="12" t="s">
        <v>10144</v>
      </c>
      <c r="X2860" s="16" t="s">
        <v>15318</v>
      </c>
      <c r="Y2860" s="15" t="s">
        <v>108</v>
      </c>
      <c r="Z2860" s="14">
        <v>11.8</v>
      </c>
      <c r="AA2860" s="14">
        <v>53.22</v>
      </c>
      <c r="AB2860" s="12" t="s">
        <v>56</v>
      </c>
      <c r="AC2860" s="12" t="s">
        <v>10146</v>
      </c>
      <c r="AD2860" s="13">
        <v>44462</v>
      </c>
      <c r="AE2860" s="12" t="s">
        <v>79</v>
      </c>
      <c r="AF2860" s="12" t="s">
        <v>10147</v>
      </c>
      <c r="AG2860" s="12" t="s">
        <v>81</v>
      </c>
      <c r="AH2860" s="1">
        <f>HYPERLINK("https://my.pitchbook.com?c=180536-77T","View Company Online")</f>
      </c>
    </row>
    <row r="2861">
      <c r="A2861" s="3" t="s">
        <v>15319</v>
      </c>
      <c r="B2861" s="3" t="s">
        <v>1515</v>
      </c>
      <c r="C2861" s="5" t="s">
        <v>36</v>
      </c>
      <c r="D2861" s="5" t="s">
        <v>36</v>
      </c>
      <c r="E2861" s="5" t="s">
        <v>36</v>
      </c>
      <c r="F2861" s="5" t="s">
        <v>36</v>
      </c>
      <c r="G2861" s="6" t="s">
        <v>36</v>
      </c>
      <c r="H2861" s="4">
        <v>319.56</v>
      </c>
      <c r="I2861" s="7">
        <v>10.86</v>
      </c>
      <c r="J2861" s="3" t="s">
        <v>521</v>
      </c>
      <c r="K2861" s="9" t="s">
        <v>36</v>
      </c>
      <c r="L2861" s="6" t="s">
        <v>36</v>
      </c>
      <c r="M2861" s="3" t="s">
        <v>36</v>
      </c>
      <c r="N2861" s="3" t="s">
        <v>36</v>
      </c>
      <c r="O2861" s="8" t="s">
        <v>36</v>
      </c>
      <c r="P2861" s="3" t="s">
        <v>36</v>
      </c>
      <c r="Q2861" s="3" t="s">
        <v>36</v>
      </c>
      <c r="R2861" s="3" t="s">
        <v>36</v>
      </c>
      <c r="S2861" s="3" t="s">
        <v>36</v>
      </c>
      <c r="T2861" s="3" t="s">
        <v>522</v>
      </c>
      <c r="U2861" s="3" t="s">
        <v>38</v>
      </c>
      <c r="V2861" s="3" t="s">
        <v>39</v>
      </c>
      <c r="W2861" s="3" t="s">
        <v>1516</v>
      </c>
      <c r="X2861" s="10" t="s">
        <v>15320</v>
      </c>
      <c r="Y2861" s="6" t="s">
        <v>42</v>
      </c>
      <c r="Z2861" s="4">
        <v>0.66</v>
      </c>
      <c r="AA2861" s="4">
        <v>6.11</v>
      </c>
      <c r="AB2861" s="3" t="s">
        <v>43</v>
      </c>
      <c r="AC2861" s="3" t="s">
        <v>1518</v>
      </c>
      <c r="AD2861" s="9">
        <v>44462</v>
      </c>
      <c r="AE2861" s="3" t="s">
        <v>110</v>
      </c>
      <c r="AF2861" s="3" t="s">
        <v>176</v>
      </c>
      <c r="AG2861" s="3" t="s">
        <v>81</v>
      </c>
      <c r="AH2861" s="11">
        <f>HYPERLINK("https://my.pitchbook.com?c=180962-47T","View Company Online")</f>
      </c>
    </row>
    <row r="2862">
      <c r="A2862" s="12" t="s">
        <v>15321</v>
      </c>
      <c r="B2862" s="12" t="s">
        <v>15322</v>
      </c>
      <c r="C2862" s="19" t="s">
        <v>36</v>
      </c>
      <c r="D2862" s="19" t="s">
        <v>36</v>
      </c>
      <c r="E2862" s="19" t="s">
        <v>36</v>
      </c>
      <c r="F2862" s="19" t="s">
        <v>36</v>
      </c>
      <c r="G2862" s="15" t="s">
        <v>36</v>
      </c>
      <c r="H2862" s="14" t="s">
        <v>36</v>
      </c>
      <c r="I2862" s="18" t="s">
        <v>36</v>
      </c>
      <c r="J2862" s="12" t="s">
        <v>36</v>
      </c>
      <c r="K2862" s="13" t="s">
        <v>36</v>
      </c>
      <c r="L2862" s="15" t="s">
        <v>36</v>
      </c>
      <c r="M2862" s="12" t="s">
        <v>36</v>
      </c>
      <c r="N2862" s="12" t="s">
        <v>36</v>
      </c>
      <c r="O2862" s="17" t="s">
        <v>36</v>
      </c>
      <c r="P2862" s="12" t="s">
        <v>36</v>
      </c>
      <c r="Q2862" s="12" t="s">
        <v>36</v>
      </c>
      <c r="R2862" s="12" t="s">
        <v>36</v>
      </c>
      <c r="S2862" s="12" t="s">
        <v>36</v>
      </c>
      <c r="T2862" s="12" t="s">
        <v>15323</v>
      </c>
      <c r="U2862" s="12" t="s">
        <v>366</v>
      </c>
      <c r="V2862" s="12" t="s">
        <v>367</v>
      </c>
      <c r="W2862" s="12" t="s">
        <v>15324</v>
      </c>
      <c r="X2862" s="16" t="s">
        <v>15325</v>
      </c>
      <c r="Y2862" s="15" t="s">
        <v>108</v>
      </c>
      <c r="Z2862" s="14">
        <v>11.8</v>
      </c>
      <c r="AA2862" s="14" t="s">
        <v>36</v>
      </c>
      <c r="AB2862" s="12" t="s">
        <v>56</v>
      </c>
      <c r="AC2862" s="12" t="s">
        <v>15326</v>
      </c>
      <c r="AD2862" s="13">
        <v>44461</v>
      </c>
      <c r="AE2862" s="12" t="s">
        <v>600</v>
      </c>
      <c r="AF2862" s="12" t="s">
        <v>982</v>
      </c>
      <c r="AG2862" s="12" t="s">
        <v>81</v>
      </c>
      <c r="AH2862" s="1">
        <f>HYPERLINK("https://my.pitchbook.com?c=180521-38T","View Company Online")</f>
      </c>
    </row>
    <row r="2863">
      <c r="A2863" s="3" t="s">
        <v>15327</v>
      </c>
      <c r="B2863" s="3" t="s">
        <v>10026</v>
      </c>
      <c r="C2863" s="5" t="s">
        <v>36</v>
      </c>
      <c r="D2863" s="5" t="s">
        <v>36</v>
      </c>
      <c r="E2863" s="5" t="s">
        <v>36</v>
      </c>
      <c r="F2863" s="5" t="s">
        <v>36</v>
      </c>
      <c r="G2863" s="6" t="s">
        <v>326</v>
      </c>
      <c r="H2863" s="4">
        <v>531.93</v>
      </c>
      <c r="I2863" s="7">
        <v>26.19</v>
      </c>
      <c r="J2863" s="3" t="s">
        <v>521</v>
      </c>
      <c r="K2863" s="9" t="s">
        <v>36</v>
      </c>
      <c r="L2863" s="6" t="s">
        <v>122</v>
      </c>
      <c r="M2863" s="3" t="s">
        <v>36</v>
      </c>
      <c r="N2863" s="3" t="s">
        <v>122</v>
      </c>
      <c r="O2863" s="8" t="s">
        <v>36</v>
      </c>
      <c r="P2863" s="3" t="s">
        <v>36</v>
      </c>
      <c r="Q2863" s="3" t="s">
        <v>36</v>
      </c>
      <c r="R2863" s="3" t="s">
        <v>36</v>
      </c>
      <c r="S2863" s="3" t="s">
        <v>36</v>
      </c>
      <c r="T2863" s="3" t="s">
        <v>10027</v>
      </c>
      <c r="U2863" s="3" t="s">
        <v>38</v>
      </c>
      <c r="V2863" s="3" t="s">
        <v>39</v>
      </c>
      <c r="W2863" s="3" t="s">
        <v>10028</v>
      </c>
      <c r="X2863" s="10" t="s">
        <v>15328</v>
      </c>
      <c r="Y2863" s="6" t="s">
        <v>55</v>
      </c>
      <c r="Z2863" s="4">
        <v>15.33</v>
      </c>
      <c r="AA2863" s="4">
        <v>49.59</v>
      </c>
      <c r="AB2863" s="3" t="s">
        <v>43</v>
      </c>
      <c r="AC2863" s="3" t="s">
        <v>10030</v>
      </c>
      <c r="AD2863" s="9">
        <v>44461</v>
      </c>
      <c r="AE2863" s="3" t="s">
        <v>110</v>
      </c>
      <c r="AF2863" s="3" t="s">
        <v>2409</v>
      </c>
      <c r="AG2863" s="3" t="s">
        <v>81</v>
      </c>
      <c r="AH2863" s="11">
        <f>HYPERLINK("https://my.pitchbook.com?c=180479-71T","View Company Online")</f>
      </c>
    </row>
    <row r="2864">
      <c r="A2864" s="12" t="s">
        <v>15329</v>
      </c>
      <c r="B2864" s="12" t="s">
        <v>2063</v>
      </c>
      <c r="C2864" s="19">
        <v>17</v>
      </c>
      <c r="D2864" s="19">
        <v>51</v>
      </c>
      <c r="E2864" s="19">
        <v>14</v>
      </c>
      <c r="F2864" s="19">
        <v>71</v>
      </c>
      <c r="G2864" s="15" t="s">
        <v>326</v>
      </c>
      <c r="H2864" s="14">
        <v>80.02</v>
      </c>
      <c r="I2864" s="18">
        <v>20.82</v>
      </c>
      <c r="J2864" s="12" t="s">
        <v>521</v>
      </c>
      <c r="K2864" s="13" t="s">
        <v>36</v>
      </c>
      <c r="L2864" s="15" t="s">
        <v>122</v>
      </c>
      <c r="M2864" s="12" t="s">
        <v>36</v>
      </c>
      <c r="N2864" s="12" t="s">
        <v>122</v>
      </c>
      <c r="O2864" s="17" t="s">
        <v>36</v>
      </c>
      <c r="P2864" s="12" t="s">
        <v>36</v>
      </c>
      <c r="Q2864" s="12" t="s">
        <v>36</v>
      </c>
      <c r="R2864" s="12" t="s">
        <v>36</v>
      </c>
      <c r="S2864" s="12" t="s">
        <v>36</v>
      </c>
      <c r="T2864" s="12" t="s">
        <v>2064</v>
      </c>
      <c r="U2864" s="12" t="s">
        <v>1082</v>
      </c>
      <c r="V2864" s="12" t="s">
        <v>378</v>
      </c>
      <c r="W2864" s="12" t="s">
        <v>2065</v>
      </c>
      <c r="X2864" s="16" t="s">
        <v>15330</v>
      </c>
      <c r="Y2864" s="15" t="s">
        <v>42</v>
      </c>
      <c r="Z2864" s="14">
        <v>17.7</v>
      </c>
      <c r="AA2864" s="14">
        <v>85.01</v>
      </c>
      <c r="AB2864" s="12" t="s">
        <v>56</v>
      </c>
      <c r="AC2864" s="12" t="s">
        <v>2067</v>
      </c>
      <c r="AD2864" s="13">
        <v>44461</v>
      </c>
      <c r="AE2864" s="12" t="s">
        <v>2068</v>
      </c>
      <c r="AF2864" s="12" t="s">
        <v>571</v>
      </c>
      <c r="AG2864" s="12" t="s">
        <v>2069</v>
      </c>
      <c r="AH2864" s="1">
        <f>HYPERLINK("https://my.pitchbook.com?c=180495-10T","View Company Online")</f>
      </c>
    </row>
    <row r="2865">
      <c r="A2865" s="3" t="s">
        <v>15331</v>
      </c>
      <c r="B2865" s="3" t="s">
        <v>15332</v>
      </c>
      <c r="C2865" s="5" t="s">
        <v>36</v>
      </c>
      <c r="D2865" s="5" t="s">
        <v>36</v>
      </c>
      <c r="E2865" s="5" t="s">
        <v>36</v>
      </c>
      <c r="F2865" s="5" t="s">
        <v>36</v>
      </c>
      <c r="G2865" s="6" t="s">
        <v>683</v>
      </c>
      <c r="H2865" s="4">
        <v>564.74</v>
      </c>
      <c r="I2865" s="7">
        <v>10.36</v>
      </c>
      <c r="J2865" s="3" t="s">
        <v>521</v>
      </c>
      <c r="K2865" s="9" t="s">
        <v>36</v>
      </c>
      <c r="L2865" s="6" t="s">
        <v>36</v>
      </c>
      <c r="M2865" s="3" t="s">
        <v>36</v>
      </c>
      <c r="N2865" s="3" t="s">
        <v>36</v>
      </c>
      <c r="O2865" s="8" t="s">
        <v>36</v>
      </c>
      <c r="P2865" s="3" t="s">
        <v>36</v>
      </c>
      <c r="Q2865" s="3" t="s">
        <v>36</v>
      </c>
      <c r="R2865" s="3" t="s">
        <v>36</v>
      </c>
      <c r="S2865" s="3" t="s">
        <v>6677</v>
      </c>
      <c r="T2865" s="3" t="s">
        <v>6288</v>
      </c>
      <c r="U2865" s="3" t="s">
        <v>85</v>
      </c>
      <c r="V2865" s="3" t="s">
        <v>64</v>
      </c>
      <c r="W2865" s="3" t="s">
        <v>15333</v>
      </c>
      <c r="X2865" s="10" t="s">
        <v>15334</v>
      </c>
      <c r="Y2865" s="6" t="s">
        <v>55</v>
      </c>
      <c r="Z2865" s="4">
        <v>1.77</v>
      </c>
      <c r="AA2865" s="4">
        <v>17.09</v>
      </c>
      <c r="AB2865" s="3" t="s">
        <v>56</v>
      </c>
      <c r="AC2865" s="3" t="s">
        <v>15335</v>
      </c>
      <c r="AD2865" s="9">
        <v>44461</v>
      </c>
      <c r="AE2865" s="3" t="s">
        <v>89</v>
      </c>
      <c r="AF2865" s="3" t="s">
        <v>15336</v>
      </c>
      <c r="AG2865" s="3" t="s">
        <v>81</v>
      </c>
      <c r="AH2865" s="11">
        <f>HYPERLINK("https://my.pitchbook.com?c=182680-57T","View Company Online")</f>
      </c>
    </row>
    <row r="2866">
      <c r="A2866" s="12" t="s">
        <v>15337</v>
      </c>
      <c r="B2866" s="12" t="s">
        <v>7103</v>
      </c>
      <c r="C2866" s="19" t="s">
        <v>36</v>
      </c>
      <c r="D2866" s="19" t="s">
        <v>36</v>
      </c>
      <c r="E2866" s="19" t="s">
        <v>36</v>
      </c>
      <c r="F2866" s="19" t="s">
        <v>36</v>
      </c>
      <c r="G2866" s="15" t="s">
        <v>326</v>
      </c>
      <c r="H2866" s="14">
        <v>56.88</v>
      </c>
      <c r="I2866" s="18">
        <v>18.69</v>
      </c>
      <c r="J2866" s="12" t="s">
        <v>521</v>
      </c>
      <c r="K2866" s="13" t="s">
        <v>36</v>
      </c>
      <c r="L2866" s="15" t="s">
        <v>36</v>
      </c>
      <c r="M2866" s="12" t="s">
        <v>36</v>
      </c>
      <c r="N2866" s="12" t="s">
        <v>36</v>
      </c>
      <c r="O2866" s="17" t="s">
        <v>36</v>
      </c>
      <c r="P2866" s="12" t="s">
        <v>36</v>
      </c>
      <c r="Q2866" s="12" t="s">
        <v>36</v>
      </c>
      <c r="R2866" s="12" t="s">
        <v>36</v>
      </c>
      <c r="S2866" s="12" t="s">
        <v>36</v>
      </c>
      <c r="T2866" s="12" t="s">
        <v>1501</v>
      </c>
      <c r="U2866" s="12" t="s">
        <v>1502</v>
      </c>
      <c r="V2866" s="12" t="s">
        <v>75</v>
      </c>
      <c r="W2866" s="12" t="s">
        <v>7104</v>
      </c>
      <c r="X2866" s="16" t="s">
        <v>10637</v>
      </c>
      <c r="Y2866" s="15" t="s">
        <v>55</v>
      </c>
      <c r="Z2866" s="14">
        <v>1.18</v>
      </c>
      <c r="AA2866" s="14">
        <v>4.37</v>
      </c>
      <c r="AB2866" s="12" t="s">
        <v>56</v>
      </c>
      <c r="AC2866" s="12" t="s">
        <v>7106</v>
      </c>
      <c r="AD2866" s="13">
        <v>44461</v>
      </c>
      <c r="AE2866" s="12" t="s">
        <v>1506</v>
      </c>
      <c r="AF2866" s="12" t="s">
        <v>7107</v>
      </c>
      <c r="AG2866" s="12" t="s">
        <v>899</v>
      </c>
      <c r="AH2866" s="1">
        <f>HYPERLINK("https://my.pitchbook.com?c=180468-28T","View Company Online")</f>
      </c>
    </row>
    <row r="2867">
      <c r="A2867" s="3" t="s">
        <v>15338</v>
      </c>
      <c r="B2867" s="3" t="s">
        <v>15339</v>
      </c>
      <c r="C2867" s="5" t="s">
        <v>36</v>
      </c>
      <c r="D2867" s="5" t="s">
        <v>36</v>
      </c>
      <c r="E2867" s="5" t="s">
        <v>36</v>
      </c>
      <c r="F2867" s="5" t="s">
        <v>36</v>
      </c>
      <c r="G2867" s="6" t="s">
        <v>36</v>
      </c>
      <c r="H2867" s="4">
        <v>101.16</v>
      </c>
      <c r="I2867" s="7">
        <v>30</v>
      </c>
      <c r="J2867" s="3" t="s">
        <v>521</v>
      </c>
      <c r="K2867" s="9" t="s">
        <v>36</v>
      </c>
      <c r="L2867" s="6" t="s">
        <v>36</v>
      </c>
      <c r="M2867" s="3" t="s">
        <v>36</v>
      </c>
      <c r="N2867" s="3" t="s">
        <v>36</v>
      </c>
      <c r="O2867" s="8" t="s">
        <v>36</v>
      </c>
      <c r="P2867" s="3" t="s">
        <v>36</v>
      </c>
      <c r="Q2867" s="3" t="s">
        <v>36</v>
      </c>
      <c r="R2867" s="3" t="s">
        <v>36</v>
      </c>
      <c r="S2867" s="3" t="s">
        <v>36</v>
      </c>
      <c r="T2867" s="3" t="s">
        <v>105</v>
      </c>
      <c r="U2867" s="3" t="s">
        <v>38</v>
      </c>
      <c r="V2867" s="3" t="s">
        <v>39</v>
      </c>
      <c r="W2867" s="3" t="s">
        <v>15340</v>
      </c>
      <c r="X2867" s="10" t="s">
        <v>15341</v>
      </c>
      <c r="Y2867" s="6" t="s">
        <v>42</v>
      </c>
      <c r="Z2867" s="4">
        <v>0.59</v>
      </c>
      <c r="AA2867" s="4">
        <v>0.98</v>
      </c>
      <c r="AB2867" s="3" t="s">
        <v>56</v>
      </c>
      <c r="AC2867" s="3" t="s">
        <v>15342</v>
      </c>
      <c r="AD2867" s="9">
        <v>44461</v>
      </c>
      <c r="AE2867" s="3" t="s">
        <v>110</v>
      </c>
      <c r="AF2867" s="3" t="s">
        <v>176</v>
      </c>
      <c r="AG2867" s="3" t="s">
        <v>10944</v>
      </c>
      <c r="AH2867" s="11">
        <f>HYPERLINK("https://my.pitchbook.com?c=192623-32T","View Company Online")</f>
      </c>
    </row>
    <row r="2868">
      <c r="A2868" s="12" t="s">
        <v>15343</v>
      </c>
      <c r="B2868" s="12" t="s">
        <v>15344</v>
      </c>
      <c r="C2868" s="19" t="s">
        <v>36</v>
      </c>
      <c r="D2868" s="19" t="s">
        <v>36</v>
      </c>
      <c r="E2868" s="19" t="s">
        <v>36</v>
      </c>
      <c r="F2868" s="19" t="s">
        <v>36</v>
      </c>
      <c r="G2868" s="15" t="s">
        <v>36</v>
      </c>
      <c r="H2868" s="14">
        <v>5.56</v>
      </c>
      <c r="I2868" s="18">
        <v>22</v>
      </c>
      <c r="J2868" s="12" t="s">
        <v>521</v>
      </c>
      <c r="K2868" s="13" t="s">
        <v>36</v>
      </c>
      <c r="L2868" s="15" t="s">
        <v>36</v>
      </c>
      <c r="M2868" s="12" t="s">
        <v>36</v>
      </c>
      <c r="N2868" s="12" t="s">
        <v>36</v>
      </c>
      <c r="O2868" s="17" t="s">
        <v>36</v>
      </c>
      <c r="P2868" s="12" t="s">
        <v>36</v>
      </c>
      <c r="Q2868" s="12" t="s">
        <v>36</v>
      </c>
      <c r="R2868" s="12" t="s">
        <v>36</v>
      </c>
      <c r="S2868" s="12" t="s">
        <v>36</v>
      </c>
      <c r="T2868" s="12" t="s">
        <v>15345</v>
      </c>
      <c r="U2868" s="12" t="s">
        <v>318</v>
      </c>
      <c r="V2868" s="12" t="s">
        <v>39</v>
      </c>
      <c r="W2868" s="12" t="s">
        <v>15346</v>
      </c>
      <c r="X2868" s="16" t="s">
        <v>15347</v>
      </c>
      <c r="Y2868" s="15" t="s">
        <v>42</v>
      </c>
      <c r="Z2868" s="14">
        <v>0.53</v>
      </c>
      <c r="AA2868" s="14">
        <v>2.43</v>
      </c>
      <c r="AB2868" s="12" t="s">
        <v>56</v>
      </c>
      <c r="AC2868" s="12" t="s">
        <v>15348</v>
      </c>
      <c r="AD2868" s="13">
        <v>44461</v>
      </c>
      <c r="AE2868" s="12" t="s">
        <v>763</v>
      </c>
      <c r="AF2868" s="12" t="s">
        <v>1969</v>
      </c>
      <c r="AG2868" s="12" t="s">
        <v>15349</v>
      </c>
      <c r="AH2868" s="1">
        <f>HYPERLINK("https://my.pitchbook.com?c=125541-37T","View Company Online")</f>
      </c>
    </row>
    <row r="2869">
      <c r="A2869" s="3" t="s">
        <v>15350</v>
      </c>
      <c r="B2869" s="3" t="s">
        <v>15351</v>
      </c>
      <c r="C2869" s="5" t="s">
        <v>36</v>
      </c>
      <c r="D2869" s="5" t="s">
        <v>36</v>
      </c>
      <c r="E2869" s="5" t="s">
        <v>36</v>
      </c>
      <c r="F2869" s="5" t="s">
        <v>36</v>
      </c>
      <c r="G2869" s="6" t="s">
        <v>326</v>
      </c>
      <c r="H2869" s="4">
        <v>302.92</v>
      </c>
      <c r="I2869" s="7">
        <v>34.9</v>
      </c>
      <c r="J2869" s="3" t="s">
        <v>521</v>
      </c>
      <c r="K2869" s="9" t="s">
        <v>36</v>
      </c>
      <c r="L2869" s="6" t="s">
        <v>36</v>
      </c>
      <c r="M2869" s="3" t="s">
        <v>36</v>
      </c>
      <c r="N2869" s="3" t="s">
        <v>36</v>
      </c>
      <c r="O2869" s="8" t="s">
        <v>36</v>
      </c>
      <c r="P2869" s="3" t="s">
        <v>36</v>
      </c>
      <c r="Q2869" s="3" t="s">
        <v>36</v>
      </c>
      <c r="R2869" s="3" t="s">
        <v>36</v>
      </c>
      <c r="S2869" s="3" t="s">
        <v>36</v>
      </c>
      <c r="T2869" s="3" t="s">
        <v>2986</v>
      </c>
      <c r="U2869" s="3" t="s">
        <v>38</v>
      </c>
      <c r="V2869" s="3" t="s">
        <v>39</v>
      </c>
      <c r="W2869" s="3" t="s">
        <v>15352</v>
      </c>
      <c r="X2869" s="10" t="s">
        <v>15353</v>
      </c>
      <c r="Y2869" s="6" t="s">
        <v>108</v>
      </c>
      <c r="Z2869" s="4">
        <v>1.77</v>
      </c>
      <c r="AA2869" s="4">
        <v>5.07</v>
      </c>
      <c r="AB2869" s="3" t="s">
        <v>43</v>
      </c>
      <c r="AC2869" s="3" t="s">
        <v>15354</v>
      </c>
      <c r="AD2869" s="9">
        <v>44460</v>
      </c>
      <c r="AE2869" s="3" t="s">
        <v>45</v>
      </c>
      <c r="AF2869" s="3" t="s">
        <v>1986</v>
      </c>
      <c r="AG2869" s="3" t="s">
        <v>5718</v>
      </c>
      <c r="AH2869" s="11">
        <f>HYPERLINK("https://my.pitchbook.com?c=244762-12T","View Company Online")</f>
      </c>
    </row>
    <row r="2870">
      <c r="A2870" s="12" t="s">
        <v>15355</v>
      </c>
      <c r="B2870" s="12" t="s">
        <v>15356</v>
      </c>
      <c r="C2870" s="19" t="s">
        <v>36</v>
      </c>
      <c r="D2870" s="19" t="s">
        <v>36</v>
      </c>
      <c r="E2870" s="19" t="s">
        <v>36</v>
      </c>
      <c r="F2870" s="19" t="s">
        <v>36</v>
      </c>
      <c r="G2870" s="15" t="s">
        <v>36</v>
      </c>
      <c r="H2870" s="14" t="s">
        <v>36</v>
      </c>
      <c r="I2870" s="18" t="s">
        <v>36</v>
      </c>
      <c r="J2870" s="12" t="s">
        <v>36</v>
      </c>
      <c r="K2870" s="13" t="s">
        <v>36</v>
      </c>
      <c r="L2870" s="15" t="s">
        <v>36</v>
      </c>
      <c r="M2870" s="12" t="s">
        <v>36</v>
      </c>
      <c r="N2870" s="12" t="s">
        <v>36</v>
      </c>
      <c r="O2870" s="17" t="s">
        <v>36</v>
      </c>
      <c r="P2870" s="12" t="s">
        <v>36</v>
      </c>
      <c r="Q2870" s="12" t="s">
        <v>36</v>
      </c>
      <c r="R2870" s="12" t="s">
        <v>36</v>
      </c>
      <c r="S2870" s="12" t="s">
        <v>36</v>
      </c>
      <c r="T2870" s="12" t="s">
        <v>15357</v>
      </c>
      <c r="U2870" s="12" t="s">
        <v>833</v>
      </c>
      <c r="V2870" s="12" t="s">
        <v>64</v>
      </c>
      <c r="W2870" s="12" t="s">
        <v>15358</v>
      </c>
      <c r="X2870" s="16" t="s">
        <v>15359</v>
      </c>
      <c r="Y2870" s="15" t="s">
        <v>42</v>
      </c>
      <c r="Z2870" s="14">
        <v>4.13</v>
      </c>
      <c r="AA2870" s="14" t="s">
        <v>36</v>
      </c>
      <c r="AB2870" s="12" t="s">
        <v>43</v>
      </c>
      <c r="AC2870" s="12" t="s">
        <v>15360</v>
      </c>
      <c r="AD2870" s="13">
        <v>44460</v>
      </c>
      <c r="AE2870" s="12" t="s">
        <v>3615</v>
      </c>
      <c r="AF2870" s="12" t="s">
        <v>36</v>
      </c>
      <c r="AG2870" s="12" t="s">
        <v>186</v>
      </c>
      <c r="AH2870" s="1">
        <f>HYPERLINK("https://my.pitchbook.com?c=180472-60T","View Company Online")</f>
      </c>
    </row>
    <row r="2871">
      <c r="A2871" s="3" t="s">
        <v>15361</v>
      </c>
      <c r="B2871" s="3" t="s">
        <v>15362</v>
      </c>
      <c r="C2871" s="5" t="s">
        <v>36</v>
      </c>
      <c r="D2871" s="5" t="s">
        <v>36</v>
      </c>
      <c r="E2871" s="5" t="s">
        <v>36</v>
      </c>
      <c r="F2871" s="5" t="s">
        <v>36</v>
      </c>
      <c r="G2871" s="6" t="s">
        <v>326</v>
      </c>
      <c r="H2871" s="4" t="s">
        <v>36</v>
      </c>
      <c r="I2871" s="7">
        <v>15.86</v>
      </c>
      <c r="J2871" s="3" t="s">
        <v>521</v>
      </c>
      <c r="K2871" s="9" t="s">
        <v>36</v>
      </c>
      <c r="L2871" s="6" t="s">
        <v>12462</v>
      </c>
      <c r="M2871" s="3" t="s">
        <v>36</v>
      </c>
      <c r="N2871" s="3" t="s">
        <v>12462</v>
      </c>
      <c r="O2871" s="8" t="s">
        <v>36</v>
      </c>
      <c r="P2871" s="3" t="s">
        <v>36</v>
      </c>
      <c r="Q2871" s="3" t="s">
        <v>36</v>
      </c>
      <c r="R2871" s="3" t="s">
        <v>36</v>
      </c>
      <c r="S2871" s="3" t="s">
        <v>36</v>
      </c>
      <c r="T2871" s="3" t="s">
        <v>522</v>
      </c>
      <c r="U2871" s="3" t="s">
        <v>38</v>
      </c>
      <c r="V2871" s="3" t="s">
        <v>39</v>
      </c>
      <c r="W2871" s="3" t="s">
        <v>15363</v>
      </c>
      <c r="X2871" s="10" t="s">
        <v>15364</v>
      </c>
      <c r="Y2871" s="6" t="s">
        <v>166</v>
      </c>
      <c r="Z2871" s="4">
        <v>555</v>
      </c>
      <c r="AA2871" s="4">
        <v>3500</v>
      </c>
      <c r="AB2871" s="3" t="s">
        <v>56</v>
      </c>
      <c r="AC2871" s="3" t="s">
        <v>15365</v>
      </c>
      <c r="AD2871" s="9">
        <v>44460</v>
      </c>
      <c r="AE2871" s="3" t="s">
        <v>110</v>
      </c>
      <c r="AF2871" s="3" t="s">
        <v>4552</v>
      </c>
      <c r="AG2871" s="3" t="s">
        <v>81</v>
      </c>
      <c r="AH2871" s="11">
        <f>HYPERLINK("https://my.pitchbook.com?c=180453-70T","View Company Online")</f>
      </c>
    </row>
    <row r="2872">
      <c r="A2872" s="12" t="s">
        <v>15366</v>
      </c>
      <c r="B2872" s="12" t="s">
        <v>15367</v>
      </c>
      <c r="C2872" s="19" t="s">
        <v>36</v>
      </c>
      <c r="D2872" s="19" t="s">
        <v>36</v>
      </c>
      <c r="E2872" s="19" t="s">
        <v>36</v>
      </c>
      <c r="F2872" s="19" t="s">
        <v>36</v>
      </c>
      <c r="G2872" s="15" t="s">
        <v>2497</v>
      </c>
      <c r="H2872" s="14">
        <v>6.28</v>
      </c>
      <c r="I2872" s="18">
        <v>10.68</v>
      </c>
      <c r="J2872" s="12" t="s">
        <v>521</v>
      </c>
      <c r="K2872" s="13" t="s">
        <v>36</v>
      </c>
      <c r="L2872" s="15" t="s">
        <v>36</v>
      </c>
      <c r="M2872" s="12" t="s">
        <v>36</v>
      </c>
      <c r="N2872" s="12" t="s">
        <v>36</v>
      </c>
      <c r="O2872" s="17" t="s">
        <v>36</v>
      </c>
      <c r="P2872" s="12" t="s">
        <v>36</v>
      </c>
      <c r="Q2872" s="12" t="s">
        <v>36</v>
      </c>
      <c r="R2872" s="12" t="s">
        <v>36</v>
      </c>
      <c r="S2872" s="12" t="s">
        <v>36</v>
      </c>
      <c r="T2872" s="12" t="s">
        <v>2044</v>
      </c>
      <c r="U2872" s="12" t="s">
        <v>74</v>
      </c>
      <c r="V2872" s="12" t="s">
        <v>75</v>
      </c>
      <c r="W2872" s="12" t="s">
        <v>15368</v>
      </c>
      <c r="X2872" s="16" t="s">
        <v>15369</v>
      </c>
      <c r="Y2872" s="15" t="s">
        <v>192</v>
      </c>
      <c r="Z2872" s="14">
        <v>0.59</v>
      </c>
      <c r="AA2872" s="14">
        <v>5.52</v>
      </c>
      <c r="AB2872" s="12" t="s">
        <v>56</v>
      </c>
      <c r="AC2872" s="12" t="s">
        <v>15370</v>
      </c>
      <c r="AD2872" s="13">
        <v>44459</v>
      </c>
      <c r="AE2872" s="12" t="s">
        <v>79</v>
      </c>
      <c r="AF2872" s="12" t="s">
        <v>80</v>
      </c>
      <c r="AG2872" s="12" t="s">
        <v>81</v>
      </c>
      <c r="AH2872" s="1">
        <f>HYPERLINK("https://my.pitchbook.com?c=186360-76T","View Company Online")</f>
      </c>
    </row>
    <row r="2873">
      <c r="A2873" s="3" t="s">
        <v>15371</v>
      </c>
      <c r="B2873" s="3" t="s">
        <v>9275</v>
      </c>
      <c r="C2873" s="5">
        <v>17</v>
      </c>
      <c r="D2873" s="5">
        <v>10</v>
      </c>
      <c r="E2873" s="5">
        <v>6</v>
      </c>
      <c r="F2873" s="5">
        <v>29</v>
      </c>
      <c r="G2873" s="6" t="s">
        <v>683</v>
      </c>
      <c r="H2873" s="4">
        <v>86.2</v>
      </c>
      <c r="I2873" s="7">
        <v>23.04</v>
      </c>
      <c r="J2873" s="3" t="s">
        <v>521</v>
      </c>
      <c r="K2873" s="9" t="s">
        <v>36</v>
      </c>
      <c r="L2873" s="6" t="s">
        <v>36</v>
      </c>
      <c r="M2873" s="3" t="s">
        <v>36</v>
      </c>
      <c r="N2873" s="3" t="s">
        <v>36</v>
      </c>
      <c r="O2873" s="8" t="s">
        <v>36</v>
      </c>
      <c r="P2873" s="3" t="s">
        <v>36</v>
      </c>
      <c r="Q2873" s="3" t="s">
        <v>36</v>
      </c>
      <c r="R2873" s="3" t="s">
        <v>36</v>
      </c>
      <c r="S2873" s="3" t="s">
        <v>36</v>
      </c>
      <c r="T2873" s="3" t="s">
        <v>881</v>
      </c>
      <c r="U2873" s="3" t="s">
        <v>51</v>
      </c>
      <c r="V2873" s="3" t="s">
        <v>52</v>
      </c>
      <c r="W2873" s="3" t="s">
        <v>9276</v>
      </c>
      <c r="X2873" s="10" t="s">
        <v>15372</v>
      </c>
      <c r="Y2873" s="6" t="s">
        <v>192</v>
      </c>
      <c r="Z2873" s="4">
        <v>20.58</v>
      </c>
      <c r="AA2873" s="4">
        <v>89.29</v>
      </c>
      <c r="AB2873" s="3" t="s">
        <v>56</v>
      </c>
      <c r="AC2873" s="3" t="s">
        <v>9278</v>
      </c>
      <c r="AD2873" s="9">
        <v>44459</v>
      </c>
      <c r="AE2873" s="3" t="s">
        <v>504</v>
      </c>
      <c r="AF2873" s="3" t="s">
        <v>159</v>
      </c>
      <c r="AG2873" s="3" t="s">
        <v>81</v>
      </c>
      <c r="AH2873" s="11">
        <f>HYPERLINK("https://my.pitchbook.com?c=182695-06T","View Company Online")</f>
      </c>
    </row>
    <row r="2874">
      <c r="A2874" s="12" t="s">
        <v>15373</v>
      </c>
      <c r="B2874" s="12" t="s">
        <v>15374</v>
      </c>
      <c r="C2874" s="19" t="s">
        <v>36</v>
      </c>
      <c r="D2874" s="19" t="s">
        <v>36</v>
      </c>
      <c r="E2874" s="19" t="s">
        <v>36</v>
      </c>
      <c r="F2874" s="19" t="s">
        <v>36</v>
      </c>
      <c r="G2874" s="15" t="s">
        <v>36</v>
      </c>
      <c r="H2874" s="14" t="s">
        <v>36</v>
      </c>
      <c r="I2874" s="18" t="s">
        <v>36</v>
      </c>
      <c r="J2874" s="12" t="s">
        <v>36</v>
      </c>
      <c r="K2874" s="13" t="s">
        <v>36</v>
      </c>
      <c r="L2874" s="15" t="s">
        <v>122</v>
      </c>
      <c r="M2874" s="12" t="s">
        <v>36</v>
      </c>
      <c r="N2874" s="12" t="s">
        <v>122</v>
      </c>
      <c r="O2874" s="17" t="s">
        <v>36</v>
      </c>
      <c r="P2874" s="12" t="s">
        <v>36</v>
      </c>
      <c r="Q2874" s="12" t="s">
        <v>36</v>
      </c>
      <c r="R2874" s="12" t="s">
        <v>36</v>
      </c>
      <c r="S2874" s="12" t="s">
        <v>36</v>
      </c>
      <c r="T2874" s="12" t="s">
        <v>630</v>
      </c>
      <c r="U2874" s="12" t="s">
        <v>38</v>
      </c>
      <c r="V2874" s="12" t="s">
        <v>39</v>
      </c>
      <c r="W2874" s="12" t="s">
        <v>15375</v>
      </c>
      <c r="X2874" s="16" t="s">
        <v>15376</v>
      </c>
      <c r="Y2874" s="15" t="s">
        <v>55</v>
      </c>
      <c r="Z2874" s="14">
        <v>10.62</v>
      </c>
      <c r="AA2874" s="14" t="s">
        <v>36</v>
      </c>
      <c r="AB2874" s="12" t="s">
        <v>43</v>
      </c>
      <c r="AC2874" s="12" t="s">
        <v>15377</v>
      </c>
      <c r="AD2874" s="13">
        <v>44459</v>
      </c>
      <c r="AE2874" s="12" t="s">
        <v>110</v>
      </c>
      <c r="AF2874" s="12" t="s">
        <v>4276</v>
      </c>
      <c r="AG2874" s="12" t="s">
        <v>81</v>
      </c>
      <c r="AH2874" s="1">
        <f>HYPERLINK("https://my.pitchbook.com?c=180380-89T","View Company Online")</f>
      </c>
    </row>
    <row r="2875">
      <c r="A2875" s="3" t="s">
        <v>15378</v>
      </c>
      <c r="B2875" s="3" t="s">
        <v>11789</v>
      </c>
      <c r="C2875" s="5" t="s">
        <v>36</v>
      </c>
      <c r="D2875" s="5" t="s">
        <v>36</v>
      </c>
      <c r="E2875" s="5" t="s">
        <v>36</v>
      </c>
      <c r="F2875" s="5" t="s">
        <v>36</v>
      </c>
      <c r="G2875" s="6" t="s">
        <v>326</v>
      </c>
      <c r="H2875" s="4" t="s">
        <v>36</v>
      </c>
      <c r="I2875" s="7">
        <v>15.81</v>
      </c>
      <c r="J2875" s="3" t="s">
        <v>521</v>
      </c>
      <c r="K2875" s="9">
        <v>44390</v>
      </c>
      <c r="L2875" s="6" t="s">
        <v>94</v>
      </c>
      <c r="M2875" s="3" t="s">
        <v>36</v>
      </c>
      <c r="N2875" s="3" t="s">
        <v>94</v>
      </c>
      <c r="O2875" s="8" t="s">
        <v>36</v>
      </c>
      <c r="P2875" s="3" t="s">
        <v>36</v>
      </c>
      <c r="Q2875" s="3" t="s">
        <v>36</v>
      </c>
      <c r="R2875" s="3" t="s">
        <v>36</v>
      </c>
      <c r="S2875" s="3" t="s">
        <v>36</v>
      </c>
      <c r="T2875" s="3" t="s">
        <v>3309</v>
      </c>
      <c r="U2875" s="3" t="s">
        <v>38</v>
      </c>
      <c r="V2875" s="3" t="s">
        <v>39</v>
      </c>
      <c r="W2875" s="3" t="s">
        <v>11790</v>
      </c>
      <c r="X2875" s="10" t="s">
        <v>15379</v>
      </c>
      <c r="Y2875" s="6" t="s">
        <v>166</v>
      </c>
      <c r="Z2875" s="4">
        <v>680</v>
      </c>
      <c r="AA2875" s="4">
        <v>4300</v>
      </c>
      <c r="AB2875" s="3" t="s">
        <v>43</v>
      </c>
      <c r="AC2875" s="3" t="s">
        <v>11792</v>
      </c>
      <c r="AD2875" s="9">
        <v>44459</v>
      </c>
      <c r="AE2875" s="3" t="s">
        <v>554</v>
      </c>
      <c r="AF2875" s="3" t="s">
        <v>555</v>
      </c>
      <c r="AG2875" s="3" t="s">
        <v>3492</v>
      </c>
      <c r="AH2875" s="11">
        <f>HYPERLINK("https://my.pitchbook.com?c=176389-75T","View Company Online")</f>
      </c>
    </row>
    <row r="2876">
      <c r="A2876" s="12" t="s">
        <v>15380</v>
      </c>
      <c r="B2876" s="12" t="s">
        <v>15381</v>
      </c>
      <c r="C2876" s="19">
        <v>2</v>
      </c>
      <c r="D2876" s="19" t="s">
        <v>36</v>
      </c>
      <c r="E2876" s="19">
        <v>1</v>
      </c>
      <c r="F2876" s="19">
        <v>2</v>
      </c>
      <c r="G2876" s="15" t="s">
        <v>326</v>
      </c>
      <c r="H2876" s="14">
        <v>58.93</v>
      </c>
      <c r="I2876" s="18">
        <v>13.06</v>
      </c>
      <c r="J2876" s="12" t="s">
        <v>521</v>
      </c>
      <c r="K2876" s="13" t="s">
        <v>36</v>
      </c>
      <c r="L2876" s="15" t="s">
        <v>36</v>
      </c>
      <c r="M2876" s="12" t="s">
        <v>36</v>
      </c>
      <c r="N2876" s="12" t="s">
        <v>36</v>
      </c>
      <c r="O2876" s="17" t="s">
        <v>36</v>
      </c>
      <c r="P2876" s="12" t="s">
        <v>36</v>
      </c>
      <c r="Q2876" s="12" t="s">
        <v>36</v>
      </c>
      <c r="R2876" s="12" t="s">
        <v>36</v>
      </c>
      <c r="S2876" s="12" t="s">
        <v>36</v>
      </c>
      <c r="T2876" s="12" t="s">
        <v>15382</v>
      </c>
      <c r="U2876" s="12" t="s">
        <v>38</v>
      </c>
      <c r="V2876" s="12" t="s">
        <v>39</v>
      </c>
      <c r="W2876" s="12" t="s">
        <v>15383</v>
      </c>
      <c r="X2876" s="16" t="s">
        <v>15384</v>
      </c>
      <c r="Y2876" s="15" t="s">
        <v>108</v>
      </c>
      <c r="Z2876" s="14">
        <v>2.01</v>
      </c>
      <c r="AA2876" s="14">
        <v>9.93</v>
      </c>
      <c r="AB2876" s="12" t="s">
        <v>56</v>
      </c>
      <c r="AC2876" s="12" t="s">
        <v>15385</v>
      </c>
      <c r="AD2876" s="13">
        <v>44459</v>
      </c>
      <c r="AE2876" s="12" t="s">
        <v>110</v>
      </c>
      <c r="AF2876" s="12" t="s">
        <v>15386</v>
      </c>
      <c r="AG2876" s="12" t="s">
        <v>3774</v>
      </c>
      <c r="AH2876" s="1">
        <f>HYPERLINK("https://my.pitchbook.com?c=181058-86T","View Company Online")</f>
      </c>
    </row>
    <row r="2877">
      <c r="A2877" s="3" t="s">
        <v>15387</v>
      </c>
      <c r="B2877" s="3" t="s">
        <v>15388</v>
      </c>
      <c r="C2877" s="5" t="s">
        <v>36</v>
      </c>
      <c r="D2877" s="5" t="s">
        <v>36</v>
      </c>
      <c r="E2877" s="5" t="s">
        <v>36</v>
      </c>
      <c r="F2877" s="5" t="s">
        <v>36</v>
      </c>
      <c r="G2877" s="6" t="s">
        <v>36</v>
      </c>
      <c r="H2877" s="4" t="s">
        <v>36</v>
      </c>
      <c r="I2877" s="7" t="s">
        <v>36</v>
      </c>
      <c r="J2877" s="3" t="s">
        <v>36</v>
      </c>
      <c r="K2877" s="9" t="s">
        <v>36</v>
      </c>
      <c r="L2877" s="6" t="s">
        <v>36</v>
      </c>
      <c r="M2877" s="3" t="s">
        <v>36</v>
      </c>
      <c r="N2877" s="3" t="s">
        <v>36</v>
      </c>
      <c r="O2877" s="8" t="s">
        <v>36</v>
      </c>
      <c r="P2877" s="3" t="s">
        <v>36</v>
      </c>
      <c r="Q2877" s="3" t="s">
        <v>36</v>
      </c>
      <c r="R2877" s="3" t="s">
        <v>36</v>
      </c>
      <c r="S2877" s="3" t="s">
        <v>36</v>
      </c>
      <c r="T2877" s="3" t="s">
        <v>342</v>
      </c>
      <c r="U2877" s="3" t="s">
        <v>38</v>
      </c>
      <c r="V2877" s="3" t="s">
        <v>39</v>
      </c>
      <c r="W2877" s="3" t="s">
        <v>15389</v>
      </c>
      <c r="X2877" s="10" t="s">
        <v>15390</v>
      </c>
      <c r="Y2877" s="6" t="s">
        <v>42</v>
      </c>
      <c r="Z2877" s="4">
        <v>2.36</v>
      </c>
      <c r="AA2877" s="4" t="s">
        <v>36</v>
      </c>
      <c r="AB2877" s="3" t="s">
        <v>43</v>
      </c>
      <c r="AC2877" s="3" t="s">
        <v>15391</v>
      </c>
      <c r="AD2877" s="9">
        <v>44456</v>
      </c>
      <c r="AE2877" s="3" t="s">
        <v>110</v>
      </c>
      <c r="AF2877" s="3" t="s">
        <v>176</v>
      </c>
      <c r="AG2877" s="3" t="s">
        <v>81</v>
      </c>
      <c r="AH2877" s="11">
        <f>HYPERLINK("https://my.pitchbook.com?c=180696-52T","View Company Online")</f>
      </c>
    </row>
    <row r="2878">
      <c r="A2878" s="12" t="s">
        <v>15392</v>
      </c>
      <c r="B2878" s="12" t="s">
        <v>15393</v>
      </c>
      <c r="C2878" s="19" t="s">
        <v>36</v>
      </c>
      <c r="D2878" s="19" t="s">
        <v>36</v>
      </c>
      <c r="E2878" s="19" t="s">
        <v>36</v>
      </c>
      <c r="F2878" s="19" t="s">
        <v>36</v>
      </c>
      <c r="G2878" s="15" t="s">
        <v>36</v>
      </c>
      <c r="H2878" s="14" t="s">
        <v>36</v>
      </c>
      <c r="I2878" s="18" t="s">
        <v>36</v>
      </c>
      <c r="J2878" s="12" t="s">
        <v>36</v>
      </c>
      <c r="K2878" s="13" t="s">
        <v>36</v>
      </c>
      <c r="L2878" s="15" t="s">
        <v>36</v>
      </c>
      <c r="M2878" s="12" t="s">
        <v>36</v>
      </c>
      <c r="N2878" s="12" t="s">
        <v>36</v>
      </c>
      <c r="O2878" s="17" t="s">
        <v>36</v>
      </c>
      <c r="P2878" s="12" t="s">
        <v>36</v>
      </c>
      <c r="Q2878" s="12" t="s">
        <v>36</v>
      </c>
      <c r="R2878" s="12" t="s">
        <v>36</v>
      </c>
      <c r="S2878" s="12" t="s">
        <v>2314</v>
      </c>
      <c r="T2878" s="12" t="s">
        <v>1560</v>
      </c>
      <c r="U2878" s="12" t="s">
        <v>438</v>
      </c>
      <c r="V2878" s="12" t="s">
        <v>405</v>
      </c>
      <c r="W2878" s="12" t="s">
        <v>15394</v>
      </c>
      <c r="X2878" s="16" t="s">
        <v>10294</v>
      </c>
      <c r="Y2878" s="15" t="s">
        <v>42</v>
      </c>
      <c r="Z2878" s="14" t="s">
        <v>36</v>
      </c>
      <c r="AA2878" s="14" t="s">
        <v>36</v>
      </c>
      <c r="AB2878" s="12" t="s">
        <v>43</v>
      </c>
      <c r="AC2878" s="12" t="s">
        <v>15395</v>
      </c>
      <c r="AD2878" s="13">
        <v>44455</v>
      </c>
      <c r="AE2878" s="12" t="s">
        <v>438</v>
      </c>
      <c r="AF2878" s="12" t="s">
        <v>799</v>
      </c>
      <c r="AG2878" s="12" t="s">
        <v>47</v>
      </c>
      <c r="AH2878" s="1">
        <f>HYPERLINK("https://my.pitchbook.com?c=251204-23T","View Company Online")</f>
      </c>
    </row>
    <row r="2879">
      <c r="A2879" s="3" t="s">
        <v>15396</v>
      </c>
      <c r="B2879" s="3" t="s">
        <v>9287</v>
      </c>
      <c r="C2879" s="5">
        <v>5</v>
      </c>
      <c r="D2879" s="5">
        <v>5</v>
      </c>
      <c r="E2879" s="5">
        <v>3</v>
      </c>
      <c r="F2879" s="5">
        <v>17</v>
      </c>
      <c r="G2879" s="6" t="s">
        <v>326</v>
      </c>
      <c r="H2879" s="4">
        <v>1.93</v>
      </c>
      <c r="I2879" s="7">
        <v>45.31</v>
      </c>
      <c r="J2879" s="3" t="s">
        <v>521</v>
      </c>
      <c r="K2879" s="9" t="s">
        <v>36</v>
      </c>
      <c r="L2879" s="6" t="s">
        <v>94</v>
      </c>
      <c r="M2879" s="3" t="s">
        <v>36</v>
      </c>
      <c r="N2879" s="3" t="s">
        <v>94</v>
      </c>
      <c r="O2879" s="8" t="s">
        <v>36</v>
      </c>
      <c r="P2879" s="3" t="s">
        <v>36</v>
      </c>
      <c r="Q2879" s="3" t="s">
        <v>36</v>
      </c>
      <c r="R2879" s="3" t="s">
        <v>36</v>
      </c>
      <c r="S2879" s="3" t="s">
        <v>36</v>
      </c>
      <c r="T2879" s="3" t="s">
        <v>9288</v>
      </c>
      <c r="U2879" s="3" t="s">
        <v>51</v>
      </c>
      <c r="V2879" s="3" t="s">
        <v>52</v>
      </c>
      <c r="W2879" s="3" t="s">
        <v>9289</v>
      </c>
      <c r="X2879" s="10" t="s">
        <v>15397</v>
      </c>
      <c r="Y2879" s="6" t="s">
        <v>192</v>
      </c>
      <c r="Z2879" s="4">
        <v>79.5</v>
      </c>
      <c r="AA2879" s="4">
        <v>116.55</v>
      </c>
      <c r="AB2879" s="3" t="s">
        <v>56</v>
      </c>
      <c r="AC2879" s="3" t="s">
        <v>9291</v>
      </c>
      <c r="AD2879" s="9">
        <v>44455</v>
      </c>
      <c r="AE2879" s="3" t="s">
        <v>504</v>
      </c>
      <c r="AF2879" s="3" t="s">
        <v>3193</v>
      </c>
      <c r="AG2879" s="3" t="s">
        <v>47</v>
      </c>
      <c r="AH2879" s="11">
        <f>HYPERLINK("https://my.pitchbook.com?c=180196-48T","View Company Online")</f>
      </c>
    </row>
    <row r="2880">
      <c r="A2880" s="12" t="s">
        <v>15398</v>
      </c>
      <c r="B2880" s="12" t="s">
        <v>15399</v>
      </c>
      <c r="C2880" s="19" t="s">
        <v>36</v>
      </c>
      <c r="D2880" s="19" t="s">
        <v>36</v>
      </c>
      <c r="E2880" s="19" t="s">
        <v>36</v>
      </c>
      <c r="F2880" s="19" t="s">
        <v>36</v>
      </c>
      <c r="G2880" s="15" t="s">
        <v>326</v>
      </c>
      <c r="H2880" s="14">
        <v>2007.57</v>
      </c>
      <c r="I2880" s="18">
        <v>27.37</v>
      </c>
      <c r="J2880" s="12" t="s">
        <v>521</v>
      </c>
      <c r="K2880" s="13" t="s">
        <v>36</v>
      </c>
      <c r="L2880" s="15" t="s">
        <v>36</v>
      </c>
      <c r="M2880" s="12" t="s">
        <v>36</v>
      </c>
      <c r="N2880" s="12" t="s">
        <v>36</v>
      </c>
      <c r="O2880" s="17" t="s">
        <v>36</v>
      </c>
      <c r="P2880" s="12" t="s">
        <v>36</v>
      </c>
      <c r="Q2880" s="12" t="s">
        <v>36</v>
      </c>
      <c r="R2880" s="12" t="s">
        <v>36</v>
      </c>
      <c r="S2880" s="12" t="s">
        <v>36</v>
      </c>
      <c r="T2880" s="12" t="s">
        <v>15400</v>
      </c>
      <c r="U2880" s="12" t="s">
        <v>833</v>
      </c>
      <c r="V2880" s="12" t="s">
        <v>64</v>
      </c>
      <c r="W2880" s="12" t="s">
        <v>15401</v>
      </c>
      <c r="X2880" s="16" t="s">
        <v>15402</v>
      </c>
      <c r="Y2880" s="15" t="s">
        <v>42</v>
      </c>
      <c r="Z2880" s="14">
        <v>4.13</v>
      </c>
      <c r="AA2880" s="14">
        <v>10.26</v>
      </c>
      <c r="AB2880" s="12" t="s">
        <v>43</v>
      </c>
      <c r="AC2880" s="12" t="s">
        <v>15403</v>
      </c>
      <c r="AD2880" s="13">
        <v>44455</v>
      </c>
      <c r="AE2880" s="12" t="s">
        <v>1687</v>
      </c>
      <c r="AF2880" s="12" t="s">
        <v>12003</v>
      </c>
      <c r="AG2880" s="12" t="s">
        <v>15404</v>
      </c>
      <c r="AH2880" s="1">
        <f>HYPERLINK("https://my.pitchbook.com?c=183088-09T","View Company Online")</f>
      </c>
    </row>
    <row r="2881">
      <c r="A2881" s="3" t="s">
        <v>15405</v>
      </c>
      <c r="B2881" s="3" t="s">
        <v>15406</v>
      </c>
      <c r="C2881" s="5" t="s">
        <v>36</v>
      </c>
      <c r="D2881" s="5" t="s">
        <v>36</v>
      </c>
      <c r="E2881" s="5" t="s">
        <v>36</v>
      </c>
      <c r="F2881" s="5" t="s">
        <v>36</v>
      </c>
      <c r="G2881" s="6" t="s">
        <v>326</v>
      </c>
      <c r="H2881" s="4">
        <v>15.1</v>
      </c>
      <c r="I2881" s="7">
        <v>45.93</v>
      </c>
      <c r="J2881" s="3" t="s">
        <v>521</v>
      </c>
      <c r="K2881" s="9">
        <v>43560</v>
      </c>
      <c r="L2881" s="6" t="s">
        <v>122</v>
      </c>
      <c r="M2881" s="3" t="s">
        <v>36</v>
      </c>
      <c r="N2881" s="3" t="s">
        <v>122</v>
      </c>
      <c r="O2881" s="8" t="s">
        <v>36</v>
      </c>
      <c r="P2881" s="3" t="s">
        <v>36</v>
      </c>
      <c r="Q2881" s="3" t="s">
        <v>36</v>
      </c>
      <c r="R2881" s="3" t="s">
        <v>36</v>
      </c>
      <c r="S2881" s="3" t="s">
        <v>36</v>
      </c>
      <c r="T2881" s="3" t="s">
        <v>522</v>
      </c>
      <c r="U2881" s="3" t="s">
        <v>38</v>
      </c>
      <c r="V2881" s="3" t="s">
        <v>39</v>
      </c>
      <c r="W2881" s="3" t="s">
        <v>15407</v>
      </c>
      <c r="X2881" s="10" t="s">
        <v>15408</v>
      </c>
      <c r="Y2881" s="6" t="s">
        <v>55</v>
      </c>
      <c r="Z2881" s="4">
        <v>10.49</v>
      </c>
      <c r="AA2881" s="4">
        <v>19.63</v>
      </c>
      <c r="AB2881" s="3" t="s">
        <v>56</v>
      </c>
      <c r="AC2881" s="3" t="s">
        <v>15409</v>
      </c>
      <c r="AD2881" s="9">
        <v>44455</v>
      </c>
      <c r="AE2881" s="3" t="s">
        <v>110</v>
      </c>
      <c r="AF2881" s="3" t="s">
        <v>1401</v>
      </c>
      <c r="AG2881" s="3" t="s">
        <v>81</v>
      </c>
      <c r="AH2881" s="11">
        <f>HYPERLINK("https://my.pitchbook.com?c=118099-81T","View Company Online")</f>
      </c>
    </row>
    <row r="2882">
      <c r="A2882" s="12" t="s">
        <v>15410</v>
      </c>
      <c r="B2882" s="12" t="s">
        <v>15411</v>
      </c>
      <c r="C2882" s="19" t="s">
        <v>36</v>
      </c>
      <c r="D2882" s="19" t="s">
        <v>36</v>
      </c>
      <c r="E2882" s="19" t="s">
        <v>36</v>
      </c>
      <c r="F2882" s="19" t="s">
        <v>36</v>
      </c>
      <c r="G2882" s="15" t="s">
        <v>326</v>
      </c>
      <c r="H2882" s="14">
        <v>379.08</v>
      </c>
      <c r="I2882" s="18">
        <v>40.3</v>
      </c>
      <c r="J2882" s="12" t="s">
        <v>521</v>
      </c>
      <c r="K2882" s="13" t="s">
        <v>36</v>
      </c>
      <c r="L2882" s="15" t="s">
        <v>36</v>
      </c>
      <c r="M2882" s="12" t="s">
        <v>36</v>
      </c>
      <c r="N2882" s="12" t="s">
        <v>36</v>
      </c>
      <c r="O2882" s="17" t="s">
        <v>36</v>
      </c>
      <c r="P2882" s="12" t="s">
        <v>36</v>
      </c>
      <c r="Q2882" s="12" t="s">
        <v>36</v>
      </c>
      <c r="R2882" s="12" t="s">
        <v>36</v>
      </c>
      <c r="S2882" s="12" t="s">
        <v>36</v>
      </c>
      <c r="T2882" s="12" t="s">
        <v>15412</v>
      </c>
      <c r="U2882" s="12" t="s">
        <v>38</v>
      </c>
      <c r="V2882" s="12" t="s">
        <v>39</v>
      </c>
      <c r="W2882" s="12" t="s">
        <v>15413</v>
      </c>
      <c r="X2882" s="16" t="s">
        <v>15414</v>
      </c>
      <c r="Y2882" s="15" t="s">
        <v>42</v>
      </c>
      <c r="Z2882" s="14">
        <v>8.78</v>
      </c>
      <c r="AA2882" s="14">
        <v>21.8</v>
      </c>
      <c r="AB2882" s="12" t="s">
        <v>56</v>
      </c>
      <c r="AC2882" s="12" t="s">
        <v>15415</v>
      </c>
      <c r="AD2882" s="13">
        <v>44454</v>
      </c>
      <c r="AE2882" s="12" t="s">
        <v>110</v>
      </c>
      <c r="AF2882" s="12" t="s">
        <v>4200</v>
      </c>
      <c r="AG2882" s="12" t="s">
        <v>15416</v>
      </c>
      <c r="AH2882" s="1">
        <f>HYPERLINK("https://my.pitchbook.com?c=180099-55T","View Company Online")</f>
      </c>
    </row>
    <row r="2883">
      <c r="A2883" s="3" t="s">
        <v>15417</v>
      </c>
      <c r="B2883" s="3" t="s">
        <v>3640</v>
      </c>
      <c r="C2883" s="5">
        <v>11</v>
      </c>
      <c r="D2883" s="5">
        <v>12</v>
      </c>
      <c r="E2883" s="5">
        <v>8</v>
      </c>
      <c r="F2883" s="5">
        <v>23</v>
      </c>
      <c r="G2883" s="6" t="s">
        <v>36</v>
      </c>
      <c r="H2883" s="4" t="s">
        <v>36</v>
      </c>
      <c r="I2883" s="7" t="s">
        <v>36</v>
      </c>
      <c r="J2883" s="3" t="s">
        <v>36</v>
      </c>
      <c r="K2883" s="9" t="s">
        <v>36</v>
      </c>
      <c r="L2883" s="6" t="s">
        <v>36</v>
      </c>
      <c r="M2883" s="3" t="s">
        <v>36</v>
      </c>
      <c r="N2883" s="3" t="s">
        <v>36</v>
      </c>
      <c r="O2883" s="8" t="s">
        <v>36</v>
      </c>
      <c r="P2883" s="3" t="s">
        <v>36</v>
      </c>
      <c r="Q2883" s="3" t="s">
        <v>36</v>
      </c>
      <c r="R2883" s="3" t="s">
        <v>36</v>
      </c>
      <c r="S2883" s="3" t="s">
        <v>36</v>
      </c>
      <c r="T2883" s="3" t="s">
        <v>3641</v>
      </c>
      <c r="U2883" s="3" t="s">
        <v>1502</v>
      </c>
      <c r="V2883" s="3" t="s">
        <v>75</v>
      </c>
      <c r="W2883" s="3" t="s">
        <v>3642</v>
      </c>
      <c r="X2883" s="10" t="s">
        <v>15418</v>
      </c>
      <c r="Y2883" s="6" t="s">
        <v>108</v>
      </c>
      <c r="Z2883" s="4">
        <v>11.79</v>
      </c>
      <c r="AA2883" s="4" t="s">
        <v>36</v>
      </c>
      <c r="AB2883" s="3" t="s">
        <v>43</v>
      </c>
      <c r="AC2883" s="3" t="s">
        <v>3644</v>
      </c>
      <c r="AD2883" s="9">
        <v>44454</v>
      </c>
      <c r="AE2883" s="3" t="s">
        <v>3645</v>
      </c>
      <c r="AF2883" s="3" t="s">
        <v>3646</v>
      </c>
      <c r="AG2883" s="3" t="s">
        <v>144</v>
      </c>
      <c r="AH2883" s="11">
        <f>HYPERLINK("https://my.pitchbook.com?c=180117-82T","View Company Online")</f>
      </c>
    </row>
    <row r="2884">
      <c r="A2884" s="12" t="s">
        <v>15419</v>
      </c>
      <c r="B2884" s="12" t="s">
        <v>15420</v>
      </c>
      <c r="C2884" s="19" t="s">
        <v>36</v>
      </c>
      <c r="D2884" s="19" t="s">
        <v>36</v>
      </c>
      <c r="E2884" s="19" t="s">
        <v>36</v>
      </c>
      <c r="F2884" s="19" t="s">
        <v>36</v>
      </c>
      <c r="G2884" s="15" t="s">
        <v>36</v>
      </c>
      <c r="H2884" s="14" t="s">
        <v>36</v>
      </c>
      <c r="I2884" s="18" t="s">
        <v>36</v>
      </c>
      <c r="J2884" s="12" t="s">
        <v>36</v>
      </c>
      <c r="K2884" s="13" t="s">
        <v>36</v>
      </c>
      <c r="L2884" s="15" t="s">
        <v>36</v>
      </c>
      <c r="M2884" s="12" t="s">
        <v>36</v>
      </c>
      <c r="N2884" s="12" t="s">
        <v>36</v>
      </c>
      <c r="O2884" s="17" t="s">
        <v>36</v>
      </c>
      <c r="P2884" s="12" t="s">
        <v>36</v>
      </c>
      <c r="Q2884" s="12" t="s">
        <v>36</v>
      </c>
      <c r="R2884" s="12" t="s">
        <v>36</v>
      </c>
      <c r="S2884" s="12" t="s">
        <v>36</v>
      </c>
      <c r="T2884" s="12" t="s">
        <v>676</v>
      </c>
      <c r="U2884" s="12" t="s">
        <v>438</v>
      </c>
      <c r="V2884" s="12" t="s">
        <v>405</v>
      </c>
      <c r="W2884" s="12" t="s">
        <v>15421</v>
      </c>
      <c r="X2884" s="16" t="s">
        <v>15422</v>
      </c>
      <c r="Y2884" s="15" t="s">
        <v>42</v>
      </c>
      <c r="Z2884" s="14" t="s">
        <v>36</v>
      </c>
      <c r="AA2884" s="14" t="s">
        <v>36</v>
      </c>
      <c r="AB2884" s="12" t="s">
        <v>56</v>
      </c>
      <c r="AC2884" s="12" t="s">
        <v>15423</v>
      </c>
      <c r="AD2884" s="13">
        <v>44454</v>
      </c>
      <c r="AE2884" s="12" t="s">
        <v>438</v>
      </c>
      <c r="AF2884" s="12" t="s">
        <v>36</v>
      </c>
      <c r="AG2884" s="12" t="s">
        <v>81</v>
      </c>
      <c r="AH2884" s="1">
        <f>HYPERLINK("https://my.pitchbook.com?c=189702-28T","View Company Online")</f>
      </c>
    </row>
    <row r="2885">
      <c r="A2885" s="3" t="s">
        <v>15424</v>
      </c>
      <c r="B2885" s="3" t="s">
        <v>15425</v>
      </c>
      <c r="C2885" s="5">
        <v>1</v>
      </c>
      <c r="D2885" s="5">
        <v>4</v>
      </c>
      <c r="E2885" s="5">
        <v>2</v>
      </c>
      <c r="F2885" s="5">
        <v>5</v>
      </c>
      <c r="G2885" s="6" t="s">
        <v>326</v>
      </c>
      <c r="H2885" s="4">
        <v>22.43</v>
      </c>
      <c r="I2885" s="7">
        <v>34.53</v>
      </c>
      <c r="J2885" s="3" t="s">
        <v>521</v>
      </c>
      <c r="K2885" s="9" t="s">
        <v>36</v>
      </c>
      <c r="L2885" s="6" t="s">
        <v>94</v>
      </c>
      <c r="M2885" s="3" t="s">
        <v>36</v>
      </c>
      <c r="N2885" s="3" t="s">
        <v>94</v>
      </c>
      <c r="O2885" s="8" t="s">
        <v>36</v>
      </c>
      <c r="P2885" s="3" t="s">
        <v>36</v>
      </c>
      <c r="Q2885" s="3" t="s">
        <v>36</v>
      </c>
      <c r="R2885" s="3" t="s">
        <v>36</v>
      </c>
      <c r="S2885" s="3" t="s">
        <v>36</v>
      </c>
      <c r="T2885" s="3" t="s">
        <v>5789</v>
      </c>
      <c r="U2885" s="3" t="s">
        <v>648</v>
      </c>
      <c r="V2885" s="3" t="s">
        <v>64</v>
      </c>
      <c r="W2885" s="3" t="s">
        <v>15426</v>
      </c>
      <c r="X2885" s="10" t="s">
        <v>15427</v>
      </c>
      <c r="Y2885" s="6" t="s">
        <v>192</v>
      </c>
      <c r="Z2885" s="4">
        <v>36.55</v>
      </c>
      <c r="AA2885" s="4">
        <v>90.36</v>
      </c>
      <c r="AB2885" s="3" t="s">
        <v>56</v>
      </c>
      <c r="AC2885" s="3" t="s">
        <v>15428</v>
      </c>
      <c r="AD2885" s="9">
        <v>44454</v>
      </c>
      <c r="AE2885" s="3" t="s">
        <v>651</v>
      </c>
      <c r="AF2885" s="3" t="s">
        <v>15429</v>
      </c>
      <c r="AG2885" s="3" t="s">
        <v>347</v>
      </c>
      <c r="AH2885" s="11">
        <f>HYPERLINK("https://my.pitchbook.com?c=180322-57T","View Company Online")</f>
      </c>
    </row>
    <row r="2886">
      <c r="A2886" s="12" t="s">
        <v>15430</v>
      </c>
      <c r="B2886" s="12" t="s">
        <v>15431</v>
      </c>
      <c r="C2886" s="19">
        <v>9</v>
      </c>
      <c r="D2886" s="19">
        <v>7</v>
      </c>
      <c r="E2886" s="19">
        <v>3</v>
      </c>
      <c r="F2886" s="19">
        <v>19</v>
      </c>
      <c r="G2886" s="15" t="s">
        <v>36</v>
      </c>
      <c r="H2886" s="14">
        <v>11.29</v>
      </c>
      <c r="I2886" s="18">
        <v>24.79</v>
      </c>
      <c r="J2886" s="12" t="s">
        <v>521</v>
      </c>
      <c r="K2886" s="13" t="s">
        <v>36</v>
      </c>
      <c r="L2886" s="15" t="s">
        <v>36</v>
      </c>
      <c r="M2886" s="12" t="s">
        <v>36</v>
      </c>
      <c r="N2886" s="12" t="s">
        <v>36</v>
      </c>
      <c r="O2886" s="17" t="s">
        <v>36</v>
      </c>
      <c r="P2886" s="12" t="s">
        <v>36</v>
      </c>
      <c r="Q2886" s="12" t="s">
        <v>36</v>
      </c>
      <c r="R2886" s="12" t="s">
        <v>36</v>
      </c>
      <c r="S2886" s="12" t="s">
        <v>15432</v>
      </c>
      <c r="T2886" s="12" t="s">
        <v>522</v>
      </c>
      <c r="U2886" s="12" t="s">
        <v>38</v>
      </c>
      <c r="V2886" s="12" t="s">
        <v>39</v>
      </c>
      <c r="W2886" s="12" t="s">
        <v>15433</v>
      </c>
      <c r="X2886" s="16" t="s">
        <v>15434</v>
      </c>
      <c r="Y2886" s="15" t="s">
        <v>42</v>
      </c>
      <c r="Z2886" s="14">
        <v>1.77</v>
      </c>
      <c r="AA2886" s="14">
        <v>3.92</v>
      </c>
      <c r="AB2886" s="12" t="s">
        <v>43</v>
      </c>
      <c r="AC2886" s="12" t="s">
        <v>15435</v>
      </c>
      <c r="AD2886" s="13">
        <v>44454</v>
      </c>
      <c r="AE2886" s="12" t="s">
        <v>110</v>
      </c>
      <c r="AF2886" s="12" t="s">
        <v>526</v>
      </c>
      <c r="AG2886" s="12" t="s">
        <v>186</v>
      </c>
      <c r="AH2886" s="1">
        <f>HYPERLINK("https://my.pitchbook.com?c=180273-07T","View Company Online")</f>
      </c>
    </row>
    <row r="2887">
      <c r="A2887" s="3" t="s">
        <v>15436</v>
      </c>
      <c r="B2887" s="3" t="s">
        <v>15437</v>
      </c>
      <c r="C2887" s="5">
        <v>1</v>
      </c>
      <c r="D2887" s="5">
        <v>2</v>
      </c>
      <c r="E2887" s="5">
        <v>1</v>
      </c>
      <c r="F2887" s="5">
        <v>4</v>
      </c>
      <c r="G2887" s="6" t="s">
        <v>683</v>
      </c>
      <c r="H2887" s="4">
        <v>152.67</v>
      </c>
      <c r="I2887" s="7">
        <v>9.58</v>
      </c>
      <c r="J2887" s="3" t="s">
        <v>521</v>
      </c>
      <c r="K2887" s="9" t="s">
        <v>36</v>
      </c>
      <c r="L2887" s="6" t="s">
        <v>36</v>
      </c>
      <c r="M2887" s="3" t="s">
        <v>36</v>
      </c>
      <c r="N2887" s="3" t="s">
        <v>36</v>
      </c>
      <c r="O2887" s="8" t="s">
        <v>36</v>
      </c>
      <c r="P2887" s="3" t="s">
        <v>36</v>
      </c>
      <c r="Q2887" s="3" t="s">
        <v>36</v>
      </c>
      <c r="R2887" s="3" t="s">
        <v>36</v>
      </c>
      <c r="S2887" s="3" t="s">
        <v>36</v>
      </c>
      <c r="T2887" s="3" t="s">
        <v>15438</v>
      </c>
      <c r="U2887" s="3" t="s">
        <v>1144</v>
      </c>
      <c r="V2887" s="3" t="s">
        <v>378</v>
      </c>
      <c r="W2887" s="3" t="s">
        <v>15439</v>
      </c>
      <c r="X2887" s="10" t="s">
        <v>15440</v>
      </c>
      <c r="Y2887" s="6" t="s">
        <v>55</v>
      </c>
      <c r="Z2887" s="4">
        <v>0.3</v>
      </c>
      <c r="AA2887" s="4">
        <v>3.14</v>
      </c>
      <c r="AB2887" s="3" t="s">
        <v>56</v>
      </c>
      <c r="AC2887" s="3" t="s">
        <v>15441</v>
      </c>
      <c r="AD2887" s="9">
        <v>44454</v>
      </c>
      <c r="AE2887" s="3" t="s">
        <v>7667</v>
      </c>
      <c r="AF2887" s="3" t="s">
        <v>571</v>
      </c>
      <c r="AG2887" s="3" t="s">
        <v>15442</v>
      </c>
      <c r="AH2887" s="11">
        <f>HYPERLINK("https://my.pitchbook.com?c=186085-36T","View Company Online")</f>
      </c>
    </row>
    <row r="2888">
      <c r="A2888" s="12" t="s">
        <v>15443</v>
      </c>
      <c r="B2888" s="12" t="s">
        <v>7751</v>
      </c>
      <c r="C2888" s="19" t="s">
        <v>36</v>
      </c>
      <c r="D2888" s="19" t="s">
        <v>36</v>
      </c>
      <c r="E2888" s="19" t="s">
        <v>36</v>
      </c>
      <c r="F2888" s="19" t="s">
        <v>36</v>
      </c>
      <c r="G2888" s="15" t="s">
        <v>326</v>
      </c>
      <c r="H2888" s="14" t="s">
        <v>36</v>
      </c>
      <c r="I2888" s="18">
        <v>20.04</v>
      </c>
      <c r="J2888" s="12" t="s">
        <v>327</v>
      </c>
      <c r="K2888" s="13" t="s">
        <v>36</v>
      </c>
      <c r="L2888" s="15" t="s">
        <v>94</v>
      </c>
      <c r="M2888" s="12" t="s">
        <v>36</v>
      </c>
      <c r="N2888" s="12" t="s">
        <v>94</v>
      </c>
      <c r="O2888" s="17" t="s">
        <v>36</v>
      </c>
      <c r="P2888" s="12" t="s">
        <v>36</v>
      </c>
      <c r="Q2888" s="12" t="s">
        <v>36</v>
      </c>
      <c r="R2888" s="12" t="s">
        <v>36</v>
      </c>
      <c r="S2888" s="12" t="s">
        <v>36</v>
      </c>
      <c r="T2888" s="12" t="s">
        <v>7752</v>
      </c>
      <c r="U2888" s="12" t="s">
        <v>38</v>
      </c>
      <c r="V2888" s="12" t="s">
        <v>39</v>
      </c>
      <c r="W2888" s="12" t="s">
        <v>7753</v>
      </c>
      <c r="X2888" s="16" t="s">
        <v>15444</v>
      </c>
      <c r="Y2888" s="15" t="s">
        <v>55</v>
      </c>
      <c r="Z2888" s="14">
        <v>47.16</v>
      </c>
      <c r="AA2888" s="14">
        <v>235.38</v>
      </c>
      <c r="AB2888" s="12" t="s">
        <v>56</v>
      </c>
      <c r="AC2888" s="12" t="s">
        <v>7754</v>
      </c>
      <c r="AD2888" s="13">
        <v>44454</v>
      </c>
      <c r="AE2888" s="12" t="s">
        <v>110</v>
      </c>
      <c r="AF2888" s="12" t="s">
        <v>952</v>
      </c>
      <c r="AG2888" s="12" t="s">
        <v>81</v>
      </c>
      <c r="AH2888" s="1">
        <f>HYPERLINK("https://my.pitchbook.com?c=180160-84T","View Company Online")</f>
      </c>
    </row>
    <row r="2889">
      <c r="A2889" s="3" t="s">
        <v>15445</v>
      </c>
      <c r="B2889" s="3" t="s">
        <v>15446</v>
      </c>
      <c r="C2889" s="5" t="s">
        <v>36</v>
      </c>
      <c r="D2889" s="5" t="s">
        <v>36</v>
      </c>
      <c r="E2889" s="5" t="s">
        <v>36</v>
      </c>
      <c r="F2889" s="5" t="s">
        <v>36</v>
      </c>
      <c r="G2889" s="6" t="s">
        <v>36</v>
      </c>
      <c r="H2889" s="4" t="s">
        <v>36</v>
      </c>
      <c r="I2889" s="7" t="s">
        <v>36</v>
      </c>
      <c r="J2889" s="3" t="s">
        <v>521</v>
      </c>
      <c r="K2889" s="9" t="s">
        <v>36</v>
      </c>
      <c r="L2889" s="6" t="s">
        <v>36</v>
      </c>
      <c r="M2889" s="3" t="s">
        <v>36</v>
      </c>
      <c r="N2889" s="3" t="s">
        <v>36</v>
      </c>
      <c r="O2889" s="8" t="s">
        <v>36</v>
      </c>
      <c r="P2889" s="3" t="s">
        <v>36</v>
      </c>
      <c r="Q2889" s="3" t="s">
        <v>36</v>
      </c>
      <c r="R2889" s="3" t="s">
        <v>36</v>
      </c>
      <c r="S2889" s="3" t="s">
        <v>36</v>
      </c>
      <c r="T2889" s="3" t="s">
        <v>522</v>
      </c>
      <c r="U2889" s="3" t="s">
        <v>38</v>
      </c>
      <c r="V2889" s="3" t="s">
        <v>39</v>
      </c>
      <c r="W2889" s="3" t="s">
        <v>15447</v>
      </c>
      <c r="X2889" s="10" t="s">
        <v>15448</v>
      </c>
      <c r="Y2889" s="6" t="s">
        <v>108</v>
      </c>
      <c r="Z2889" s="4" t="s">
        <v>36</v>
      </c>
      <c r="AA2889" s="4">
        <v>5.68</v>
      </c>
      <c r="AB2889" s="3" t="s">
        <v>56</v>
      </c>
      <c r="AC2889" s="3" t="s">
        <v>15449</v>
      </c>
      <c r="AD2889" s="9">
        <v>44453</v>
      </c>
      <c r="AE2889" s="3" t="s">
        <v>110</v>
      </c>
      <c r="AF2889" s="3" t="s">
        <v>176</v>
      </c>
      <c r="AG2889" s="3" t="s">
        <v>2636</v>
      </c>
      <c r="AH2889" s="11">
        <f>HYPERLINK("https://my.pitchbook.com?c=137979-55T","View Company Online")</f>
      </c>
    </row>
    <row r="2890">
      <c r="A2890" s="12" t="s">
        <v>15450</v>
      </c>
      <c r="B2890" s="12" t="s">
        <v>15451</v>
      </c>
      <c r="C2890" s="19" t="s">
        <v>36</v>
      </c>
      <c r="D2890" s="19" t="s">
        <v>36</v>
      </c>
      <c r="E2890" s="19" t="s">
        <v>36</v>
      </c>
      <c r="F2890" s="19" t="s">
        <v>36</v>
      </c>
      <c r="G2890" s="15" t="s">
        <v>36</v>
      </c>
      <c r="H2890" s="14">
        <v>112.61</v>
      </c>
      <c r="I2890" s="18">
        <v>25.2</v>
      </c>
      <c r="J2890" s="12" t="s">
        <v>521</v>
      </c>
      <c r="K2890" s="13" t="s">
        <v>36</v>
      </c>
      <c r="L2890" s="15" t="s">
        <v>36</v>
      </c>
      <c r="M2890" s="12" t="s">
        <v>36</v>
      </c>
      <c r="N2890" s="12" t="s">
        <v>36</v>
      </c>
      <c r="O2890" s="17" t="s">
        <v>36</v>
      </c>
      <c r="P2890" s="12" t="s">
        <v>36</v>
      </c>
      <c r="Q2890" s="12" t="s">
        <v>36</v>
      </c>
      <c r="R2890" s="12" t="s">
        <v>36</v>
      </c>
      <c r="S2890" s="12" t="s">
        <v>36</v>
      </c>
      <c r="T2890" s="12" t="s">
        <v>15452</v>
      </c>
      <c r="U2890" s="12" t="s">
        <v>180</v>
      </c>
      <c r="V2890" s="12" t="s">
        <v>52</v>
      </c>
      <c r="W2890" s="12" t="s">
        <v>15453</v>
      </c>
      <c r="X2890" s="16" t="s">
        <v>15454</v>
      </c>
      <c r="Y2890" s="15" t="s">
        <v>42</v>
      </c>
      <c r="Z2890" s="14">
        <v>11.79</v>
      </c>
      <c r="AA2890" s="14">
        <v>16.6</v>
      </c>
      <c r="AB2890" s="12" t="s">
        <v>43</v>
      </c>
      <c r="AC2890" s="12" t="s">
        <v>15455</v>
      </c>
      <c r="AD2890" s="13">
        <v>44453</v>
      </c>
      <c r="AE2890" s="12" t="s">
        <v>184</v>
      </c>
      <c r="AF2890" s="12" t="s">
        <v>101</v>
      </c>
      <c r="AG2890" s="12" t="s">
        <v>652</v>
      </c>
      <c r="AH2890" s="1">
        <f>HYPERLINK("https://my.pitchbook.com?c=180102-16T","View Company Online")</f>
      </c>
    </row>
    <row r="2891">
      <c r="A2891" s="3" t="s">
        <v>15456</v>
      </c>
      <c r="B2891" s="3" t="s">
        <v>8852</v>
      </c>
      <c r="C2891" s="5" t="s">
        <v>36</v>
      </c>
      <c r="D2891" s="5" t="s">
        <v>36</v>
      </c>
      <c r="E2891" s="5" t="s">
        <v>36</v>
      </c>
      <c r="F2891" s="5" t="s">
        <v>36</v>
      </c>
      <c r="G2891" s="6" t="s">
        <v>326</v>
      </c>
      <c r="H2891" s="4">
        <v>311.8</v>
      </c>
      <c r="I2891" s="7">
        <v>25.24</v>
      </c>
      <c r="J2891" s="3" t="s">
        <v>521</v>
      </c>
      <c r="K2891" s="9" t="s">
        <v>36</v>
      </c>
      <c r="L2891" s="6" t="s">
        <v>122</v>
      </c>
      <c r="M2891" s="3" t="s">
        <v>36</v>
      </c>
      <c r="N2891" s="3" t="s">
        <v>122</v>
      </c>
      <c r="O2891" s="8" t="s">
        <v>36</v>
      </c>
      <c r="P2891" s="3" t="s">
        <v>36</v>
      </c>
      <c r="Q2891" s="3" t="s">
        <v>36</v>
      </c>
      <c r="R2891" s="3" t="s">
        <v>36</v>
      </c>
      <c r="S2891" s="3" t="s">
        <v>36</v>
      </c>
      <c r="T2891" s="3" t="s">
        <v>342</v>
      </c>
      <c r="U2891" s="3" t="s">
        <v>38</v>
      </c>
      <c r="V2891" s="3" t="s">
        <v>39</v>
      </c>
      <c r="W2891" s="3" t="s">
        <v>8853</v>
      </c>
      <c r="X2891" s="10" t="s">
        <v>613</v>
      </c>
      <c r="Y2891" s="6" t="s">
        <v>192</v>
      </c>
      <c r="Z2891" s="4">
        <v>3.54</v>
      </c>
      <c r="AA2891" s="4">
        <v>8.36</v>
      </c>
      <c r="AB2891" s="3" t="s">
        <v>56</v>
      </c>
      <c r="AC2891" s="3" t="s">
        <v>8855</v>
      </c>
      <c r="AD2891" s="9">
        <v>44452</v>
      </c>
      <c r="AE2891" s="3" t="s">
        <v>110</v>
      </c>
      <c r="AF2891" s="3" t="s">
        <v>4552</v>
      </c>
      <c r="AG2891" s="3" t="s">
        <v>47</v>
      </c>
      <c r="AH2891" s="11">
        <f>HYPERLINK("https://my.pitchbook.com?c=179945-65T","View Company Online")</f>
      </c>
    </row>
    <row r="2892">
      <c r="A2892" s="12" t="s">
        <v>15457</v>
      </c>
      <c r="B2892" s="12" t="s">
        <v>12387</v>
      </c>
      <c r="C2892" s="19">
        <v>3</v>
      </c>
      <c r="D2892" s="19">
        <v>15</v>
      </c>
      <c r="E2892" s="19">
        <v>6</v>
      </c>
      <c r="F2892" s="19">
        <v>27</v>
      </c>
      <c r="G2892" s="15" t="s">
        <v>36</v>
      </c>
      <c r="H2892" s="14" t="s">
        <v>36</v>
      </c>
      <c r="I2892" s="18" t="s">
        <v>36</v>
      </c>
      <c r="J2892" s="12" t="s">
        <v>36</v>
      </c>
      <c r="K2892" s="13" t="s">
        <v>36</v>
      </c>
      <c r="L2892" s="15" t="s">
        <v>36</v>
      </c>
      <c r="M2892" s="12" t="s">
        <v>36</v>
      </c>
      <c r="N2892" s="12" t="s">
        <v>36</v>
      </c>
      <c r="O2892" s="17" t="s">
        <v>36</v>
      </c>
      <c r="P2892" s="12" t="s">
        <v>36</v>
      </c>
      <c r="Q2892" s="12" t="s">
        <v>36</v>
      </c>
      <c r="R2892" s="12" t="s">
        <v>36</v>
      </c>
      <c r="S2892" s="12" t="s">
        <v>36</v>
      </c>
      <c r="T2892" s="12" t="s">
        <v>12388</v>
      </c>
      <c r="U2892" s="12" t="s">
        <v>96</v>
      </c>
      <c r="V2892" s="12" t="s">
        <v>52</v>
      </c>
      <c r="W2892" s="12" t="s">
        <v>12389</v>
      </c>
      <c r="X2892" s="16" t="s">
        <v>15458</v>
      </c>
      <c r="Y2892" s="15" t="s">
        <v>192</v>
      </c>
      <c r="Z2892" s="14">
        <v>1.77</v>
      </c>
      <c r="AA2892" s="14" t="s">
        <v>36</v>
      </c>
      <c r="AB2892" s="12" t="s">
        <v>56</v>
      </c>
      <c r="AC2892" s="12" t="s">
        <v>12391</v>
      </c>
      <c r="AD2892" s="13">
        <v>44452</v>
      </c>
      <c r="AE2892" s="12" t="s">
        <v>12392</v>
      </c>
      <c r="AF2892" s="12" t="s">
        <v>36</v>
      </c>
      <c r="AG2892" s="12" t="s">
        <v>47</v>
      </c>
      <c r="AH2892" s="1">
        <f>HYPERLINK("https://my.pitchbook.com?c=177625-90T","View Company Online")</f>
      </c>
    </row>
    <row r="2893">
      <c r="A2893" s="3" t="s">
        <v>15459</v>
      </c>
      <c r="B2893" s="3" t="s">
        <v>15460</v>
      </c>
      <c r="C2893" s="5">
        <v>1</v>
      </c>
      <c r="D2893" s="5">
        <v>14</v>
      </c>
      <c r="E2893" s="5">
        <v>6</v>
      </c>
      <c r="F2893" s="5">
        <v>20</v>
      </c>
      <c r="G2893" s="6" t="s">
        <v>683</v>
      </c>
      <c r="H2893" s="4">
        <v>48.68</v>
      </c>
      <c r="I2893" s="7">
        <v>11.03</v>
      </c>
      <c r="J2893" s="3" t="s">
        <v>521</v>
      </c>
      <c r="K2893" s="9" t="s">
        <v>36</v>
      </c>
      <c r="L2893" s="6" t="s">
        <v>36</v>
      </c>
      <c r="M2893" s="3" t="s">
        <v>36</v>
      </c>
      <c r="N2893" s="3" t="s">
        <v>36</v>
      </c>
      <c r="O2893" s="8" t="s">
        <v>36</v>
      </c>
      <c r="P2893" s="3" t="s">
        <v>36</v>
      </c>
      <c r="Q2893" s="3" t="s">
        <v>36</v>
      </c>
      <c r="R2893" s="3" t="s">
        <v>36</v>
      </c>
      <c r="S2893" s="3" t="s">
        <v>36</v>
      </c>
      <c r="T2893" s="3" t="s">
        <v>2321</v>
      </c>
      <c r="U2893" s="3" t="s">
        <v>51</v>
      </c>
      <c r="V2893" s="3" t="s">
        <v>52</v>
      </c>
      <c r="W2893" s="3" t="s">
        <v>15461</v>
      </c>
      <c r="X2893" s="10" t="s">
        <v>15462</v>
      </c>
      <c r="Y2893" s="6" t="s">
        <v>321</v>
      </c>
      <c r="Z2893" s="4">
        <v>2.08</v>
      </c>
      <c r="AA2893" s="4">
        <v>18.89</v>
      </c>
      <c r="AB2893" s="3" t="s">
        <v>43</v>
      </c>
      <c r="AC2893" s="3" t="s">
        <v>15463</v>
      </c>
      <c r="AD2893" s="9">
        <v>44452</v>
      </c>
      <c r="AE2893" s="3" t="s">
        <v>504</v>
      </c>
      <c r="AF2893" s="3" t="s">
        <v>665</v>
      </c>
      <c r="AG2893" s="3" t="s">
        <v>144</v>
      </c>
      <c r="AH2893" s="11">
        <f>HYPERLINK("https://my.pitchbook.com?c=194731-48T","View Company Online")</f>
      </c>
    </row>
    <row r="2894">
      <c r="A2894" s="12" t="s">
        <v>15464</v>
      </c>
      <c r="B2894" s="12" t="s">
        <v>15465</v>
      </c>
      <c r="C2894" s="19">
        <v>2</v>
      </c>
      <c r="D2894" s="19">
        <v>1</v>
      </c>
      <c r="E2894" s="19">
        <v>2</v>
      </c>
      <c r="F2894" s="19">
        <v>5</v>
      </c>
      <c r="G2894" s="15" t="s">
        <v>36</v>
      </c>
      <c r="H2894" s="14">
        <v>34.74</v>
      </c>
      <c r="I2894" s="18">
        <v>22.7</v>
      </c>
      <c r="J2894" s="12" t="s">
        <v>521</v>
      </c>
      <c r="K2894" s="13" t="s">
        <v>36</v>
      </c>
      <c r="L2894" s="15" t="s">
        <v>122</v>
      </c>
      <c r="M2894" s="12" t="s">
        <v>36</v>
      </c>
      <c r="N2894" s="12" t="s">
        <v>122</v>
      </c>
      <c r="O2894" s="17" t="s">
        <v>36</v>
      </c>
      <c r="P2894" s="12" t="s">
        <v>36</v>
      </c>
      <c r="Q2894" s="12" t="s">
        <v>36</v>
      </c>
      <c r="R2894" s="12" t="s">
        <v>36</v>
      </c>
      <c r="S2894" s="12" t="s">
        <v>36</v>
      </c>
      <c r="T2894" s="12" t="s">
        <v>15466</v>
      </c>
      <c r="U2894" s="12" t="s">
        <v>74</v>
      </c>
      <c r="V2894" s="12" t="s">
        <v>75</v>
      </c>
      <c r="W2894" s="12" t="s">
        <v>15467</v>
      </c>
      <c r="X2894" s="16" t="s">
        <v>15468</v>
      </c>
      <c r="Y2894" s="15" t="s">
        <v>42</v>
      </c>
      <c r="Z2894" s="14">
        <v>25.94</v>
      </c>
      <c r="AA2894" s="14">
        <v>77.89</v>
      </c>
      <c r="AB2894" s="12" t="s">
        <v>56</v>
      </c>
      <c r="AC2894" s="12" t="s">
        <v>15469</v>
      </c>
      <c r="AD2894" s="13">
        <v>44452</v>
      </c>
      <c r="AE2894" s="12" t="s">
        <v>362</v>
      </c>
      <c r="AF2894" s="12" t="s">
        <v>15470</v>
      </c>
      <c r="AG2894" s="12" t="s">
        <v>332</v>
      </c>
      <c r="AH2894" s="1">
        <f>HYPERLINK("https://my.pitchbook.com?c=179613-55T","View Company Online")</f>
      </c>
    </row>
    <row r="2895">
      <c r="A2895" s="3" t="s">
        <v>15471</v>
      </c>
      <c r="B2895" s="3" t="s">
        <v>6138</v>
      </c>
      <c r="C2895" s="5">
        <v>15</v>
      </c>
      <c r="D2895" s="5">
        <v>11</v>
      </c>
      <c r="E2895" s="5">
        <v>6</v>
      </c>
      <c r="F2895" s="5">
        <v>26</v>
      </c>
      <c r="G2895" s="6" t="s">
        <v>326</v>
      </c>
      <c r="H2895" s="4">
        <v>93.47</v>
      </c>
      <c r="I2895" s="7">
        <v>38.91</v>
      </c>
      <c r="J2895" s="3" t="s">
        <v>521</v>
      </c>
      <c r="K2895" s="9" t="s">
        <v>36</v>
      </c>
      <c r="L2895" s="6" t="s">
        <v>122</v>
      </c>
      <c r="M2895" s="3" t="s">
        <v>36</v>
      </c>
      <c r="N2895" s="3" t="s">
        <v>122</v>
      </c>
      <c r="O2895" s="8" t="s">
        <v>36</v>
      </c>
      <c r="P2895" s="3" t="s">
        <v>36</v>
      </c>
      <c r="Q2895" s="3" t="s">
        <v>36</v>
      </c>
      <c r="R2895" s="3" t="s">
        <v>36</v>
      </c>
      <c r="S2895" s="3" t="s">
        <v>36</v>
      </c>
      <c r="T2895" s="3" t="s">
        <v>6139</v>
      </c>
      <c r="U2895" s="3" t="s">
        <v>1502</v>
      </c>
      <c r="V2895" s="3" t="s">
        <v>75</v>
      </c>
      <c r="W2895" s="3" t="s">
        <v>6140</v>
      </c>
      <c r="X2895" s="10" t="s">
        <v>15472</v>
      </c>
      <c r="Y2895" s="6" t="s">
        <v>108</v>
      </c>
      <c r="Z2895" s="4">
        <v>12.43</v>
      </c>
      <c r="AA2895" s="4">
        <v>31.95</v>
      </c>
      <c r="AB2895" s="3" t="s">
        <v>43</v>
      </c>
      <c r="AC2895" s="3" t="s">
        <v>6142</v>
      </c>
      <c r="AD2895" s="9">
        <v>44452</v>
      </c>
      <c r="AE2895" s="3" t="s">
        <v>1822</v>
      </c>
      <c r="AF2895" s="3" t="s">
        <v>982</v>
      </c>
      <c r="AG2895" s="3" t="s">
        <v>81</v>
      </c>
      <c r="AH2895" s="11">
        <f>HYPERLINK("https://my.pitchbook.com?c=179972-56T","View Company Online")</f>
      </c>
    </row>
    <row r="2896">
      <c r="A2896" s="12" t="s">
        <v>15473</v>
      </c>
      <c r="B2896" s="12" t="s">
        <v>15474</v>
      </c>
      <c r="C2896" s="19" t="s">
        <v>36</v>
      </c>
      <c r="D2896" s="19" t="s">
        <v>36</v>
      </c>
      <c r="E2896" s="19" t="s">
        <v>36</v>
      </c>
      <c r="F2896" s="19" t="s">
        <v>36</v>
      </c>
      <c r="G2896" s="15" t="s">
        <v>36</v>
      </c>
      <c r="H2896" s="14" t="s">
        <v>36</v>
      </c>
      <c r="I2896" s="18" t="s">
        <v>36</v>
      </c>
      <c r="J2896" s="12" t="s">
        <v>36</v>
      </c>
      <c r="K2896" s="13" t="s">
        <v>36</v>
      </c>
      <c r="L2896" s="15" t="s">
        <v>122</v>
      </c>
      <c r="M2896" s="12" t="s">
        <v>36</v>
      </c>
      <c r="N2896" s="12" t="s">
        <v>122</v>
      </c>
      <c r="O2896" s="17" t="s">
        <v>36</v>
      </c>
      <c r="P2896" s="12" t="s">
        <v>36</v>
      </c>
      <c r="Q2896" s="12" t="s">
        <v>36</v>
      </c>
      <c r="R2896" s="12" t="s">
        <v>36</v>
      </c>
      <c r="S2896" s="12" t="s">
        <v>36</v>
      </c>
      <c r="T2896" s="12" t="s">
        <v>15475</v>
      </c>
      <c r="U2896" s="12" t="s">
        <v>279</v>
      </c>
      <c r="V2896" s="12" t="s">
        <v>64</v>
      </c>
      <c r="W2896" s="12" t="s">
        <v>15476</v>
      </c>
      <c r="X2896" s="16" t="s">
        <v>15477</v>
      </c>
      <c r="Y2896" s="15" t="s">
        <v>108</v>
      </c>
      <c r="Z2896" s="14">
        <v>5.9</v>
      </c>
      <c r="AA2896" s="14" t="s">
        <v>36</v>
      </c>
      <c r="AB2896" s="12" t="s">
        <v>43</v>
      </c>
      <c r="AC2896" s="12" t="s">
        <v>15478</v>
      </c>
      <c r="AD2896" s="13">
        <v>44452</v>
      </c>
      <c r="AE2896" s="12" t="s">
        <v>740</v>
      </c>
      <c r="AF2896" s="12" t="s">
        <v>1636</v>
      </c>
      <c r="AG2896" s="12" t="s">
        <v>81</v>
      </c>
      <c r="AH2896" s="1">
        <f>HYPERLINK("https://my.pitchbook.com?c=179968-51T","View Company Online")</f>
      </c>
    </row>
    <row r="2897">
      <c r="A2897" s="3" t="s">
        <v>15479</v>
      </c>
      <c r="B2897" s="3" t="s">
        <v>15480</v>
      </c>
      <c r="C2897" s="5" t="s">
        <v>36</v>
      </c>
      <c r="D2897" s="5" t="s">
        <v>36</v>
      </c>
      <c r="E2897" s="5" t="s">
        <v>36</v>
      </c>
      <c r="F2897" s="5" t="s">
        <v>36</v>
      </c>
      <c r="G2897" s="6" t="s">
        <v>36</v>
      </c>
      <c r="H2897" s="4" t="s">
        <v>36</v>
      </c>
      <c r="I2897" s="7" t="s">
        <v>36</v>
      </c>
      <c r="J2897" s="3" t="s">
        <v>36</v>
      </c>
      <c r="K2897" s="9">
        <v>44378</v>
      </c>
      <c r="L2897" s="6" t="s">
        <v>36</v>
      </c>
      <c r="M2897" s="3" t="s">
        <v>36</v>
      </c>
      <c r="N2897" s="3" t="s">
        <v>36</v>
      </c>
      <c r="O2897" s="8" t="s">
        <v>36</v>
      </c>
      <c r="P2897" s="3" t="s">
        <v>36</v>
      </c>
      <c r="Q2897" s="3" t="s">
        <v>36</v>
      </c>
      <c r="R2897" s="3" t="s">
        <v>36</v>
      </c>
      <c r="S2897" s="3" t="s">
        <v>36</v>
      </c>
      <c r="T2897" s="3" t="s">
        <v>15481</v>
      </c>
      <c r="U2897" s="3" t="s">
        <v>63</v>
      </c>
      <c r="V2897" s="3" t="s">
        <v>64</v>
      </c>
      <c r="W2897" s="3" t="s">
        <v>15482</v>
      </c>
      <c r="X2897" s="10" t="s">
        <v>15483</v>
      </c>
      <c r="Y2897" s="6" t="s">
        <v>42</v>
      </c>
      <c r="Z2897" s="4">
        <v>3.07</v>
      </c>
      <c r="AA2897" s="4" t="s">
        <v>36</v>
      </c>
      <c r="AB2897" s="3" t="s">
        <v>43</v>
      </c>
      <c r="AC2897" s="3" t="s">
        <v>15484</v>
      </c>
      <c r="AD2897" s="9">
        <v>44452</v>
      </c>
      <c r="AE2897" s="3" t="s">
        <v>399</v>
      </c>
      <c r="AF2897" s="3" t="s">
        <v>15485</v>
      </c>
      <c r="AG2897" s="3" t="s">
        <v>13639</v>
      </c>
      <c r="AH2897" s="11">
        <f>HYPERLINK("https://my.pitchbook.com?c=181459-54T","View Company Online")</f>
      </c>
    </row>
    <row r="2898">
      <c r="A2898" s="12" t="s">
        <v>15486</v>
      </c>
      <c r="B2898" s="12" t="s">
        <v>9351</v>
      </c>
      <c r="C2898" s="19">
        <v>57</v>
      </c>
      <c r="D2898" s="19">
        <v>4</v>
      </c>
      <c r="E2898" s="19">
        <v>22</v>
      </c>
      <c r="F2898" s="19">
        <v>65</v>
      </c>
      <c r="G2898" s="15" t="s">
        <v>36</v>
      </c>
      <c r="H2898" s="14" t="s">
        <v>36</v>
      </c>
      <c r="I2898" s="18" t="s">
        <v>36</v>
      </c>
      <c r="J2898" s="12" t="s">
        <v>36</v>
      </c>
      <c r="K2898" s="13" t="s">
        <v>36</v>
      </c>
      <c r="L2898" s="15" t="s">
        <v>94</v>
      </c>
      <c r="M2898" s="12" t="s">
        <v>36</v>
      </c>
      <c r="N2898" s="12" t="s">
        <v>94</v>
      </c>
      <c r="O2898" s="17" t="s">
        <v>36</v>
      </c>
      <c r="P2898" s="12" t="s">
        <v>36</v>
      </c>
      <c r="Q2898" s="12" t="s">
        <v>36</v>
      </c>
      <c r="R2898" s="12" t="s">
        <v>36</v>
      </c>
      <c r="S2898" s="12" t="s">
        <v>36</v>
      </c>
      <c r="T2898" s="12" t="s">
        <v>881</v>
      </c>
      <c r="U2898" s="12" t="s">
        <v>51</v>
      </c>
      <c r="V2898" s="12" t="s">
        <v>52</v>
      </c>
      <c r="W2898" s="12" t="s">
        <v>9352</v>
      </c>
      <c r="X2898" s="16" t="s">
        <v>15487</v>
      </c>
      <c r="Y2898" s="15" t="s">
        <v>55</v>
      </c>
      <c r="Z2898" s="14">
        <v>75.45</v>
      </c>
      <c r="AA2898" s="14" t="s">
        <v>36</v>
      </c>
      <c r="AB2898" s="12" t="s">
        <v>43</v>
      </c>
      <c r="AC2898" s="12" t="s">
        <v>9354</v>
      </c>
      <c r="AD2898" s="13">
        <v>44452</v>
      </c>
      <c r="AE2898" s="12" t="s">
        <v>504</v>
      </c>
      <c r="AF2898" s="12" t="s">
        <v>6820</v>
      </c>
      <c r="AG2898" s="12" t="s">
        <v>3406</v>
      </c>
      <c r="AH2898" s="1">
        <f>HYPERLINK("https://my.pitchbook.com?c=179925-22T","View Company Online")</f>
      </c>
    </row>
    <row r="2899">
      <c r="A2899" s="3" t="s">
        <v>15488</v>
      </c>
      <c r="B2899" s="3" t="s">
        <v>15489</v>
      </c>
      <c r="C2899" s="5" t="s">
        <v>36</v>
      </c>
      <c r="D2899" s="5" t="s">
        <v>36</v>
      </c>
      <c r="E2899" s="5" t="s">
        <v>36</v>
      </c>
      <c r="F2899" s="5" t="s">
        <v>36</v>
      </c>
      <c r="G2899" s="6" t="s">
        <v>36</v>
      </c>
      <c r="H2899" s="4" t="s">
        <v>36</v>
      </c>
      <c r="I2899" s="7">
        <v>5.23</v>
      </c>
      <c r="J2899" s="3" t="s">
        <v>327</v>
      </c>
      <c r="K2899" s="9" t="s">
        <v>36</v>
      </c>
      <c r="L2899" s="6" t="s">
        <v>36</v>
      </c>
      <c r="M2899" s="3" t="s">
        <v>36</v>
      </c>
      <c r="N2899" s="3" t="s">
        <v>36</v>
      </c>
      <c r="O2899" s="8" t="s">
        <v>36</v>
      </c>
      <c r="P2899" s="3" t="s">
        <v>36</v>
      </c>
      <c r="Q2899" s="3" t="s">
        <v>36</v>
      </c>
      <c r="R2899" s="3" t="s">
        <v>36</v>
      </c>
      <c r="S2899" s="3" t="s">
        <v>36</v>
      </c>
      <c r="T2899" s="3" t="s">
        <v>684</v>
      </c>
      <c r="U2899" s="3" t="s">
        <v>38</v>
      </c>
      <c r="V2899" s="3" t="s">
        <v>39</v>
      </c>
      <c r="W2899" s="3" t="s">
        <v>15490</v>
      </c>
      <c r="X2899" s="10" t="s">
        <v>15491</v>
      </c>
      <c r="Y2899" s="6" t="s">
        <v>108</v>
      </c>
      <c r="Z2899" s="4">
        <v>2.83</v>
      </c>
      <c r="AA2899" s="4">
        <v>54.12</v>
      </c>
      <c r="AB2899" s="3" t="s">
        <v>56</v>
      </c>
      <c r="AC2899" s="3" t="s">
        <v>15492</v>
      </c>
      <c r="AD2899" s="9">
        <v>44452</v>
      </c>
      <c r="AE2899" s="3" t="s">
        <v>688</v>
      </c>
      <c r="AF2899" s="3" t="s">
        <v>15493</v>
      </c>
      <c r="AG2899" s="3" t="s">
        <v>81</v>
      </c>
      <c r="AH2899" s="11">
        <f>HYPERLINK("https://my.pitchbook.com?c=136146-34T","View Company Online")</f>
      </c>
    </row>
    <row r="2900">
      <c r="A2900" s="12" t="s">
        <v>15494</v>
      </c>
      <c r="B2900" s="12" t="s">
        <v>15495</v>
      </c>
      <c r="C2900" s="19" t="s">
        <v>36</v>
      </c>
      <c r="D2900" s="19" t="s">
        <v>36</v>
      </c>
      <c r="E2900" s="19" t="s">
        <v>36</v>
      </c>
      <c r="F2900" s="19" t="s">
        <v>36</v>
      </c>
      <c r="G2900" s="15" t="s">
        <v>36</v>
      </c>
      <c r="H2900" s="14" t="s">
        <v>36</v>
      </c>
      <c r="I2900" s="18" t="s">
        <v>36</v>
      </c>
      <c r="J2900" s="12" t="s">
        <v>36</v>
      </c>
      <c r="K2900" s="13" t="s">
        <v>36</v>
      </c>
      <c r="L2900" s="15" t="s">
        <v>36</v>
      </c>
      <c r="M2900" s="12" t="s">
        <v>36</v>
      </c>
      <c r="N2900" s="12" t="s">
        <v>36</v>
      </c>
      <c r="O2900" s="17" t="s">
        <v>36</v>
      </c>
      <c r="P2900" s="12" t="s">
        <v>36</v>
      </c>
      <c r="Q2900" s="12" t="s">
        <v>36</v>
      </c>
      <c r="R2900" s="12" t="s">
        <v>36</v>
      </c>
      <c r="S2900" s="12" t="s">
        <v>36</v>
      </c>
      <c r="T2900" s="12" t="s">
        <v>550</v>
      </c>
      <c r="U2900" s="12" t="s">
        <v>38</v>
      </c>
      <c r="V2900" s="12" t="s">
        <v>39</v>
      </c>
      <c r="W2900" s="12" t="s">
        <v>15496</v>
      </c>
      <c r="X2900" s="16" t="s">
        <v>15497</v>
      </c>
      <c r="Y2900" s="15" t="s">
        <v>42</v>
      </c>
      <c r="Z2900" s="14">
        <v>2.95</v>
      </c>
      <c r="AA2900" s="14" t="s">
        <v>36</v>
      </c>
      <c r="AB2900" s="12" t="s">
        <v>43</v>
      </c>
      <c r="AC2900" s="12" t="s">
        <v>15498</v>
      </c>
      <c r="AD2900" s="13">
        <v>44449</v>
      </c>
      <c r="AE2900" s="12" t="s">
        <v>554</v>
      </c>
      <c r="AF2900" s="12" t="s">
        <v>1296</v>
      </c>
      <c r="AG2900" s="12" t="s">
        <v>47</v>
      </c>
      <c r="AH2900" s="1">
        <f>HYPERLINK("https://my.pitchbook.com?c=193263-67T","View Company Online")</f>
      </c>
    </row>
    <row r="2901">
      <c r="A2901" s="3" t="s">
        <v>15499</v>
      </c>
      <c r="B2901" s="3" t="s">
        <v>15500</v>
      </c>
      <c r="C2901" s="5" t="s">
        <v>36</v>
      </c>
      <c r="D2901" s="5">
        <v>1</v>
      </c>
      <c r="E2901" s="5">
        <v>1</v>
      </c>
      <c r="F2901" s="5">
        <v>2</v>
      </c>
      <c r="G2901" s="6" t="s">
        <v>36</v>
      </c>
      <c r="H2901" s="4">
        <v>12.26</v>
      </c>
      <c r="I2901" s="7">
        <v>14.29</v>
      </c>
      <c r="J2901" s="3" t="s">
        <v>521</v>
      </c>
      <c r="K2901" s="9" t="s">
        <v>36</v>
      </c>
      <c r="L2901" s="6" t="s">
        <v>36</v>
      </c>
      <c r="M2901" s="3" t="s">
        <v>36</v>
      </c>
      <c r="N2901" s="3" t="s">
        <v>36</v>
      </c>
      <c r="O2901" s="8" t="s">
        <v>36</v>
      </c>
      <c r="P2901" s="3" t="s">
        <v>36</v>
      </c>
      <c r="Q2901" s="3" t="s">
        <v>36</v>
      </c>
      <c r="R2901" s="3" t="s">
        <v>36</v>
      </c>
      <c r="S2901" s="3" t="s">
        <v>15501</v>
      </c>
      <c r="T2901" s="3" t="s">
        <v>588</v>
      </c>
      <c r="U2901" s="3" t="s">
        <v>318</v>
      </c>
      <c r="V2901" s="3" t="s">
        <v>39</v>
      </c>
      <c r="W2901" s="3" t="s">
        <v>15502</v>
      </c>
      <c r="X2901" s="10" t="s">
        <v>15503</v>
      </c>
      <c r="Y2901" s="6" t="s">
        <v>55</v>
      </c>
      <c r="Z2901" s="4">
        <v>1.88</v>
      </c>
      <c r="AA2901" s="4">
        <v>8.24</v>
      </c>
      <c r="AB2901" s="3" t="s">
        <v>56</v>
      </c>
      <c r="AC2901" s="3" t="s">
        <v>15504</v>
      </c>
      <c r="AD2901" s="9">
        <v>44448</v>
      </c>
      <c r="AE2901" s="3" t="s">
        <v>417</v>
      </c>
      <c r="AF2901" s="3" t="s">
        <v>2494</v>
      </c>
      <c r="AG2901" s="3" t="s">
        <v>144</v>
      </c>
      <c r="AH2901" s="11">
        <f>HYPERLINK("https://my.pitchbook.com?c=179811-73T","View Company Online")</f>
      </c>
    </row>
    <row r="2902">
      <c r="A2902" s="12" t="s">
        <v>15505</v>
      </c>
      <c r="B2902" s="12" t="s">
        <v>15506</v>
      </c>
      <c r="C2902" s="19" t="s">
        <v>36</v>
      </c>
      <c r="D2902" s="19">
        <v>1</v>
      </c>
      <c r="E2902" s="19">
        <v>1</v>
      </c>
      <c r="F2902" s="19">
        <v>3</v>
      </c>
      <c r="G2902" s="15" t="s">
        <v>2497</v>
      </c>
      <c r="H2902" s="14">
        <v>3.65</v>
      </c>
      <c r="I2902" s="18">
        <v>28.62</v>
      </c>
      <c r="J2902" s="12" t="s">
        <v>521</v>
      </c>
      <c r="K2902" s="13" t="s">
        <v>36</v>
      </c>
      <c r="L2902" s="15" t="s">
        <v>36</v>
      </c>
      <c r="M2902" s="12" t="s">
        <v>36</v>
      </c>
      <c r="N2902" s="12" t="s">
        <v>36</v>
      </c>
      <c r="O2902" s="17" t="s">
        <v>36</v>
      </c>
      <c r="P2902" s="12" t="s">
        <v>36</v>
      </c>
      <c r="Q2902" s="12" t="s">
        <v>36</v>
      </c>
      <c r="R2902" s="12" t="s">
        <v>36</v>
      </c>
      <c r="S2902" s="12" t="s">
        <v>36</v>
      </c>
      <c r="T2902" s="12" t="s">
        <v>727</v>
      </c>
      <c r="U2902" s="12" t="s">
        <v>728</v>
      </c>
      <c r="V2902" s="12" t="s">
        <v>64</v>
      </c>
      <c r="W2902" s="12" t="s">
        <v>15507</v>
      </c>
      <c r="X2902" s="16" t="s">
        <v>15508</v>
      </c>
      <c r="Y2902" s="15" t="s">
        <v>55</v>
      </c>
      <c r="Z2902" s="14">
        <v>0.47</v>
      </c>
      <c r="AA2902" s="14">
        <v>1.65</v>
      </c>
      <c r="AB2902" s="12" t="s">
        <v>56</v>
      </c>
      <c r="AC2902" s="12" t="s">
        <v>15509</v>
      </c>
      <c r="AD2902" s="13">
        <v>44447</v>
      </c>
      <c r="AE2902" s="12" t="s">
        <v>732</v>
      </c>
      <c r="AF2902" s="12" t="s">
        <v>36</v>
      </c>
      <c r="AG2902" s="12" t="s">
        <v>81</v>
      </c>
      <c r="AH2902" s="1">
        <f>HYPERLINK("https://my.pitchbook.com?c=186907-06T","View Company Online")</f>
      </c>
    </row>
    <row r="2903">
      <c r="A2903" s="3" t="s">
        <v>15510</v>
      </c>
      <c r="B2903" s="3" t="s">
        <v>15511</v>
      </c>
      <c r="C2903" s="5" t="s">
        <v>36</v>
      </c>
      <c r="D2903" s="5">
        <v>2</v>
      </c>
      <c r="E2903" s="5">
        <v>1</v>
      </c>
      <c r="F2903" s="5">
        <v>2</v>
      </c>
      <c r="G2903" s="6" t="s">
        <v>683</v>
      </c>
      <c r="H2903" s="4">
        <v>24.28</v>
      </c>
      <c r="I2903" s="7">
        <v>18.89</v>
      </c>
      <c r="J2903" s="3" t="s">
        <v>521</v>
      </c>
      <c r="K2903" s="9" t="s">
        <v>36</v>
      </c>
      <c r="L2903" s="6" t="s">
        <v>36</v>
      </c>
      <c r="M2903" s="3" t="s">
        <v>36</v>
      </c>
      <c r="N2903" s="3" t="s">
        <v>36</v>
      </c>
      <c r="O2903" s="8" t="s">
        <v>36</v>
      </c>
      <c r="P2903" s="3" t="s">
        <v>36</v>
      </c>
      <c r="Q2903" s="3" t="s">
        <v>36</v>
      </c>
      <c r="R2903" s="3" t="s">
        <v>36</v>
      </c>
      <c r="S2903" s="3" t="s">
        <v>36</v>
      </c>
      <c r="T2903" s="3" t="s">
        <v>4225</v>
      </c>
      <c r="U2903" s="3" t="s">
        <v>96</v>
      </c>
      <c r="V2903" s="3" t="s">
        <v>52</v>
      </c>
      <c r="W2903" s="3" t="s">
        <v>15512</v>
      </c>
      <c r="X2903" s="10" t="s">
        <v>590</v>
      </c>
      <c r="Y2903" s="6" t="s">
        <v>55</v>
      </c>
      <c r="Z2903" s="4">
        <v>1.02</v>
      </c>
      <c r="AA2903" s="4">
        <v>5.42</v>
      </c>
      <c r="AB2903" s="3" t="s">
        <v>56</v>
      </c>
      <c r="AC2903" s="3" t="s">
        <v>15513</v>
      </c>
      <c r="AD2903" s="9">
        <v>44447</v>
      </c>
      <c r="AE2903" s="3" t="s">
        <v>143</v>
      </c>
      <c r="AF2903" s="3" t="s">
        <v>36</v>
      </c>
      <c r="AG2903" s="3" t="s">
        <v>2218</v>
      </c>
      <c r="AH2903" s="11">
        <f>HYPERLINK("https://my.pitchbook.com?c=186086-26T","View Company Online")</f>
      </c>
    </row>
    <row r="2904">
      <c r="A2904" s="12" t="s">
        <v>15514</v>
      </c>
      <c r="B2904" s="12" t="s">
        <v>15515</v>
      </c>
      <c r="C2904" s="19">
        <v>6</v>
      </c>
      <c r="D2904" s="19">
        <v>15</v>
      </c>
      <c r="E2904" s="19">
        <v>3</v>
      </c>
      <c r="F2904" s="19">
        <v>23</v>
      </c>
      <c r="G2904" s="15" t="s">
        <v>683</v>
      </c>
      <c r="H2904" s="14">
        <v>114.24</v>
      </c>
      <c r="I2904" s="18">
        <v>10.86</v>
      </c>
      <c r="J2904" s="12" t="s">
        <v>521</v>
      </c>
      <c r="K2904" s="13" t="s">
        <v>36</v>
      </c>
      <c r="L2904" s="15" t="s">
        <v>36</v>
      </c>
      <c r="M2904" s="12" t="s">
        <v>36</v>
      </c>
      <c r="N2904" s="12" t="s">
        <v>36</v>
      </c>
      <c r="O2904" s="17" t="s">
        <v>36</v>
      </c>
      <c r="P2904" s="12" t="s">
        <v>36</v>
      </c>
      <c r="Q2904" s="12" t="s">
        <v>36</v>
      </c>
      <c r="R2904" s="12" t="s">
        <v>36</v>
      </c>
      <c r="S2904" s="12" t="s">
        <v>36</v>
      </c>
      <c r="T2904" s="12" t="s">
        <v>661</v>
      </c>
      <c r="U2904" s="12" t="s">
        <v>51</v>
      </c>
      <c r="V2904" s="12" t="s">
        <v>52</v>
      </c>
      <c r="W2904" s="12" t="s">
        <v>15516</v>
      </c>
      <c r="X2904" s="16" t="s">
        <v>14101</v>
      </c>
      <c r="Y2904" s="15" t="s">
        <v>166</v>
      </c>
      <c r="Z2904" s="14">
        <v>5.89</v>
      </c>
      <c r="AA2904" s="14">
        <v>54.19</v>
      </c>
      <c r="AB2904" s="12" t="s">
        <v>56</v>
      </c>
      <c r="AC2904" s="12" t="s">
        <v>15517</v>
      </c>
      <c r="AD2904" s="13">
        <v>44446</v>
      </c>
      <c r="AE2904" s="12" t="s">
        <v>158</v>
      </c>
      <c r="AF2904" s="12" t="s">
        <v>159</v>
      </c>
      <c r="AG2904" s="12" t="s">
        <v>81</v>
      </c>
      <c r="AH2904" s="1">
        <f>HYPERLINK("https://my.pitchbook.com?c=179811-28T","View Company Online")</f>
      </c>
    </row>
    <row r="2905">
      <c r="A2905" s="3" t="s">
        <v>15518</v>
      </c>
      <c r="B2905" s="3" t="s">
        <v>15519</v>
      </c>
      <c r="C2905" s="5" t="s">
        <v>36</v>
      </c>
      <c r="D2905" s="5" t="s">
        <v>36</v>
      </c>
      <c r="E2905" s="5" t="s">
        <v>36</v>
      </c>
      <c r="F2905" s="5" t="s">
        <v>36</v>
      </c>
      <c r="G2905" s="6" t="s">
        <v>326</v>
      </c>
      <c r="H2905" s="4">
        <v>44.76</v>
      </c>
      <c r="I2905" s="7">
        <v>29.68</v>
      </c>
      <c r="J2905" s="3" t="s">
        <v>521</v>
      </c>
      <c r="K2905" s="9" t="s">
        <v>36</v>
      </c>
      <c r="L2905" s="6" t="s">
        <v>36</v>
      </c>
      <c r="M2905" s="3" t="s">
        <v>36</v>
      </c>
      <c r="N2905" s="3" t="s">
        <v>36</v>
      </c>
      <c r="O2905" s="8" t="s">
        <v>36</v>
      </c>
      <c r="P2905" s="3" t="s">
        <v>36</v>
      </c>
      <c r="Q2905" s="3" t="s">
        <v>36</v>
      </c>
      <c r="R2905" s="3" t="s">
        <v>36</v>
      </c>
      <c r="S2905" s="3" t="s">
        <v>36</v>
      </c>
      <c r="T2905" s="3" t="s">
        <v>4827</v>
      </c>
      <c r="U2905" s="3" t="s">
        <v>648</v>
      </c>
      <c r="V2905" s="3" t="s">
        <v>64</v>
      </c>
      <c r="W2905" s="3" t="s">
        <v>15520</v>
      </c>
      <c r="X2905" s="10" t="s">
        <v>15521</v>
      </c>
      <c r="Y2905" s="6" t="s">
        <v>42</v>
      </c>
      <c r="Z2905" s="4">
        <v>3.53</v>
      </c>
      <c r="AA2905" s="4">
        <v>8.37</v>
      </c>
      <c r="AB2905" s="3" t="s">
        <v>43</v>
      </c>
      <c r="AC2905" s="3" t="s">
        <v>15522</v>
      </c>
      <c r="AD2905" s="9">
        <v>44446</v>
      </c>
      <c r="AE2905" s="3" t="s">
        <v>3988</v>
      </c>
      <c r="AF2905" s="3" t="s">
        <v>4284</v>
      </c>
      <c r="AG2905" s="3" t="s">
        <v>81</v>
      </c>
      <c r="AH2905" s="11">
        <f>HYPERLINK("https://my.pitchbook.com?c=179705-89T","View Company Online")</f>
      </c>
    </row>
    <row r="2906">
      <c r="A2906" s="12" t="s">
        <v>15523</v>
      </c>
      <c r="B2906" s="12" t="s">
        <v>15524</v>
      </c>
      <c r="C2906" s="19" t="s">
        <v>36</v>
      </c>
      <c r="D2906" s="19" t="s">
        <v>36</v>
      </c>
      <c r="E2906" s="19" t="s">
        <v>36</v>
      </c>
      <c r="F2906" s="19" t="s">
        <v>36</v>
      </c>
      <c r="G2906" s="15" t="s">
        <v>36</v>
      </c>
      <c r="H2906" s="14">
        <v>808</v>
      </c>
      <c r="I2906" s="18">
        <v>13.68</v>
      </c>
      <c r="J2906" s="12" t="s">
        <v>521</v>
      </c>
      <c r="K2906" s="13" t="s">
        <v>36</v>
      </c>
      <c r="L2906" s="15" t="s">
        <v>36</v>
      </c>
      <c r="M2906" s="12" t="s">
        <v>36</v>
      </c>
      <c r="N2906" s="12" t="s">
        <v>36</v>
      </c>
      <c r="O2906" s="17" t="s">
        <v>36</v>
      </c>
      <c r="P2906" s="12" t="s">
        <v>36</v>
      </c>
      <c r="Q2906" s="12" t="s">
        <v>36</v>
      </c>
      <c r="R2906" s="12" t="s">
        <v>36</v>
      </c>
      <c r="S2906" s="12" t="s">
        <v>36</v>
      </c>
      <c r="T2906" s="12" t="s">
        <v>1725</v>
      </c>
      <c r="U2906" s="12" t="s">
        <v>318</v>
      </c>
      <c r="V2906" s="12" t="s">
        <v>39</v>
      </c>
      <c r="W2906" s="12" t="s">
        <v>15525</v>
      </c>
      <c r="X2906" s="16" t="s">
        <v>15526</v>
      </c>
      <c r="Y2906" s="15" t="s">
        <v>108</v>
      </c>
      <c r="Z2906" s="14">
        <v>1.18</v>
      </c>
      <c r="AA2906" s="14">
        <v>6.88</v>
      </c>
      <c r="AB2906" s="12" t="s">
        <v>43</v>
      </c>
      <c r="AC2906" s="12" t="s">
        <v>15527</v>
      </c>
      <c r="AD2906" s="13">
        <v>44446</v>
      </c>
      <c r="AE2906" s="12" t="s">
        <v>763</v>
      </c>
      <c r="AF2906" s="12" t="s">
        <v>15528</v>
      </c>
      <c r="AG2906" s="12" t="s">
        <v>7333</v>
      </c>
      <c r="AH2906" s="1">
        <f>HYPERLINK("https://my.pitchbook.com?c=179678-71T","View Company Online")</f>
      </c>
    </row>
    <row r="2907">
      <c r="A2907" s="3" t="s">
        <v>15529</v>
      </c>
      <c r="B2907" s="3" t="s">
        <v>15530</v>
      </c>
      <c r="C2907" s="5" t="s">
        <v>36</v>
      </c>
      <c r="D2907" s="5">
        <v>4</v>
      </c>
      <c r="E2907" s="5">
        <v>3</v>
      </c>
      <c r="F2907" s="5">
        <v>5</v>
      </c>
      <c r="G2907" s="6" t="s">
        <v>36</v>
      </c>
      <c r="H2907" s="4">
        <v>76.47</v>
      </c>
      <c r="I2907" s="7">
        <v>23.08</v>
      </c>
      <c r="J2907" s="3" t="s">
        <v>521</v>
      </c>
      <c r="K2907" s="9" t="s">
        <v>36</v>
      </c>
      <c r="L2907" s="6" t="s">
        <v>36</v>
      </c>
      <c r="M2907" s="3" t="s">
        <v>36</v>
      </c>
      <c r="N2907" s="3" t="s">
        <v>36</v>
      </c>
      <c r="O2907" s="8" t="s">
        <v>36</v>
      </c>
      <c r="P2907" s="3" t="s">
        <v>36</v>
      </c>
      <c r="Q2907" s="3" t="s">
        <v>36</v>
      </c>
      <c r="R2907" s="3" t="s">
        <v>36</v>
      </c>
      <c r="S2907" s="3" t="s">
        <v>36</v>
      </c>
      <c r="T2907" s="3" t="s">
        <v>5518</v>
      </c>
      <c r="U2907" s="3" t="s">
        <v>318</v>
      </c>
      <c r="V2907" s="3" t="s">
        <v>39</v>
      </c>
      <c r="W2907" s="3" t="s">
        <v>15531</v>
      </c>
      <c r="X2907" s="10" t="s">
        <v>15532</v>
      </c>
      <c r="Y2907" s="6" t="s">
        <v>42</v>
      </c>
      <c r="Z2907" s="4">
        <v>2.82</v>
      </c>
      <c r="AA2907" s="4">
        <v>6.12</v>
      </c>
      <c r="AB2907" s="3" t="s">
        <v>56</v>
      </c>
      <c r="AC2907" s="3" t="s">
        <v>15533</v>
      </c>
      <c r="AD2907" s="9">
        <v>44445</v>
      </c>
      <c r="AE2907" s="3" t="s">
        <v>763</v>
      </c>
      <c r="AF2907" s="3" t="s">
        <v>15534</v>
      </c>
      <c r="AG2907" s="3" t="s">
        <v>652</v>
      </c>
      <c r="AH2907" s="11">
        <f>HYPERLINK("https://my.pitchbook.com?c=179599-69T","View Company Online")</f>
      </c>
    </row>
    <row r="2908">
      <c r="A2908" s="12" t="s">
        <v>15535</v>
      </c>
      <c r="B2908" s="12" t="s">
        <v>7884</v>
      </c>
      <c r="C2908" s="19" t="s">
        <v>36</v>
      </c>
      <c r="D2908" s="19" t="s">
        <v>36</v>
      </c>
      <c r="E2908" s="19" t="s">
        <v>36</v>
      </c>
      <c r="F2908" s="19" t="s">
        <v>36</v>
      </c>
      <c r="G2908" s="15" t="s">
        <v>326</v>
      </c>
      <c r="H2908" s="14">
        <v>31.19</v>
      </c>
      <c r="I2908" s="18">
        <v>32.84</v>
      </c>
      <c r="J2908" s="12" t="s">
        <v>521</v>
      </c>
      <c r="K2908" s="13" t="s">
        <v>36</v>
      </c>
      <c r="L2908" s="15" t="s">
        <v>36</v>
      </c>
      <c r="M2908" s="12" t="s">
        <v>36</v>
      </c>
      <c r="N2908" s="12" t="s">
        <v>36</v>
      </c>
      <c r="O2908" s="17" t="s">
        <v>36</v>
      </c>
      <c r="P2908" s="12" t="s">
        <v>36</v>
      </c>
      <c r="Q2908" s="12" t="s">
        <v>36</v>
      </c>
      <c r="R2908" s="12" t="s">
        <v>36</v>
      </c>
      <c r="S2908" s="12" t="s">
        <v>36</v>
      </c>
      <c r="T2908" s="12" t="s">
        <v>37</v>
      </c>
      <c r="U2908" s="12" t="s">
        <v>38</v>
      </c>
      <c r="V2908" s="12" t="s">
        <v>39</v>
      </c>
      <c r="W2908" s="12" t="s">
        <v>7885</v>
      </c>
      <c r="X2908" s="16" t="s">
        <v>15536</v>
      </c>
      <c r="Y2908" s="15" t="s">
        <v>192</v>
      </c>
      <c r="Z2908" s="14">
        <v>23.76</v>
      </c>
      <c r="AA2908" s="14">
        <v>72.34</v>
      </c>
      <c r="AB2908" s="12" t="s">
        <v>56</v>
      </c>
      <c r="AC2908" s="12" t="s">
        <v>7887</v>
      </c>
      <c r="AD2908" s="13">
        <v>44442</v>
      </c>
      <c r="AE2908" s="12" t="s">
        <v>45</v>
      </c>
      <c r="AF2908" s="12" t="s">
        <v>331</v>
      </c>
      <c r="AG2908" s="12" t="s">
        <v>81</v>
      </c>
      <c r="AH2908" s="1">
        <f>HYPERLINK("https://my.pitchbook.com?c=179496-19T","View Company Online")</f>
      </c>
    </row>
    <row r="2909">
      <c r="A2909" s="3" t="s">
        <v>15537</v>
      </c>
      <c r="B2909" s="3" t="s">
        <v>15538</v>
      </c>
      <c r="C2909" s="5" t="s">
        <v>36</v>
      </c>
      <c r="D2909" s="5" t="s">
        <v>36</v>
      </c>
      <c r="E2909" s="5" t="s">
        <v>36</v>
      </c>
      <c r="F2909" s="5" t="s">
        <v>36</v>
      </c>
      <c r="G2909" s="6" t="s">
        <v>326</v>
      </c>
      <c r="H2909" s="4" t="s">
        <v>36</v>
      </c>
      <c r="I2909" s="7">
        <v>16.71</v>
      </c>
      <c r="J2909" s="3" t="s">
        <v>327</v>
      </c>
      <c r="K2909" s="9" t="s">
        <v>36</v>
      </c>
      <c r="L2909" s="6" t="s">
        <v>1279</v>
      </c>
      <c r="M2909" s="3" t="s">
        <v>36</v>
      </c>
      <c r="N2909" s="3" t="s">
        <v>1279</v>
      </c>
      <c r="O2909" s="8" t="s">
        <v>36</v>
      </c>
      <c r="P2909" s="3" t="s">
        <v>36</v>
      </c>
      <c r="Q2909" s="3" t="s">
        <v>36</v>
      </c>
      <c r="R2909" s="3" t="s">
        <v>36</v>
      </c>
      <c r="S2909" s="3" t="s">
        <v>36</v>
      </c>
      <c r="T2909" s="3" t="s">
        <v>522</v>
      </c>
      <c r="U2909" s="3" t="s">
        <v>38</v>
      </c>
      <c r="V2909" s="3" t="s">
        <v>39</v>
      </c>
      <c r="W2909" s="3" t="s">
        <v>15539</v>
      </c>
      <c r="X2909" s="10" t="s">
        <v>15540</v>
      </c>
      <c r="Y2909" s="6" t="s">
        <v>55</v>
      </c>
      <c r="Z2909" s="4">
        <v>54.56</v>
      </c>
      <c r="AA2909" s="4">
        <v>326.56</v>
      </c>
      <c r="AB2909" s="3" t="s">
        <v>56</v>
      </c>
      <c r="AC2909" s="3" t="s">
        <v>15541</v>
      </c>
      <c r="AD2909" s="9">
        <v>44441</v>
      </c>
      <c r="AE2909" s="3" t="s">
        <v>110</v>
      </c>
      <c r="AF2909" s="3" t="s">
        <v>176</v>
      </c>
      <c r="AG2909" s="3" t="s">
        <v>81</v>
      </c>
      <c r="AH2909" s="11">
        <f>HYPERLINK("https://my.pitchbook.com?c=179466-04T","View Company Online")</f>
      </c>
    </row>
    <row r="2910">
      <c r="A2910" s="12" t="s">
        <v>15542</v>
      </c>
      <c r="B2910" s="12" t="s">
        <v>15543</v>
      </c>
      <c r="C2910" s="19" t="s">
        <v>36</v>
      </c>
      <c r="D2910" s="19" t="s">
        <v>36</v>
      </c>
      <c r="E2910" s="19" t="s">
        <v>36</v>
      </c>
      <c r="F2910" s="19" t="s">
        <v>36</v>
      </c>
      <c r="G2910" s="15" t="s">
        <v>36</v>
      </c>
      <c r="H2910" s="14" t="s">
        <v>36</v>
      </c>
      <c r="I2910" s="18" t="s">
        <v>36</v>
      </c>
      <c r="J2910" s="12" t="s">
        <v>36</v>
      </c>
      <c r="K2910" s="13">
        <v>44405</v>
      </c>
      <c r="L2910" s="15" t="s">
        <v>122</v>
      </c>
      <c r="M2910" s="12" t="s">
        <v>36</v>
      </c>
      <c r="N2910" s="12" t="s">
        <v>122</v>
      </c>
      <c r="O2910" s="17" t="s">
        <v>36</v>
      </c>
      <c r="P2910" s="12" t="s">
        <v>36</v>
      </c>
      <c r="Q2910" s="12" t="s">
        <v>36</v>
      </c>
      <c r="R2910" s="12" t="s">
        <v>36</v>
      </c>
      <c r="S2910" s="12" t="s">
        <v>36</v>
      </c>
      <c r="T2910" s="12" t="s">
        <v>15544</v>
      </c>
      <c r="U2910" s="12" t="s">
        <v>289</v>
      </c>
      <c r="V2910" s="12" t="s">
        <v>64</v>
      </c>
      <c r="W2910" s="12" t="s">
        <v>15545</v>
      </c>
      <c r="X2910" s="16" t="s">
        <v>15546</v>
      </c>
      <c r="Y2910" s="15" t="s">
        <v>108</v>
      </c>
      <c r="Z2910" s="14">
        <v>40</v>
      </c>
      <c r="AA2910" s="14" t="s">
        <v>36</v>
      </c>
      <c r="AB2910" s="12" t="s">
        <v>43</v>
      </c>
      <c r="AC2910" s="12" t="s">
        <v>15547</v>
      </c>
      <c r="AD2910" s="13">
        <v>44441</v>
      </c>
      <c r="AE2910" s="12" t="s">
        <v>292</v>
      </c>
      <c r="AF2910" s="12" t="s">
        <v>15548</v>
      </c>
      <c r="AG2910" s="12" t="s">
        <v>81</v>
      </c>
      <c r="AH2910" s="1">
        <f>HYPERLINK("https://my.pitchbook.com?c=177627-61T","View Company Online")</f>
      </c>
    </row>
    <row r="2911">
      <c r="A2911" s="3" t="s">
        <v>15549</v>
      </c>
      <c r="B2911" s="3" t="s">
        <v>15550</v>
      </c>
      <c r="C2911" s="5" t="s">
        <v>36</v>
      </c>
      <c r="D2911" s="5" t="s">
        <v>36</v>
      </c>
      <c r="E2911" s="5" t="s">
        <v>36</v>
      </c>
      <c r="F2911" s="5" t="s">
        <v>36</v>
      </c>
      <c r="G2911" s="6" t="s">
        <v>326</v>
      </c>
      <c r="H2911" s="4">
        <v>4.67</v>
      </c>
      <c r="I2911" s="7">
        <v>25.54</v>
      </c>
      <c r="J2911" s="3" t="s">
        <v>521</v>
      </c>
      <c r="K2911" s="9" t="s">
        <v>36</v>
      </c>
      <c r="L2911" s="6" t="s">
        <v>122</v>
      </c>
      <c r="M2911" s="3" t="s">
        <v>36</v>
      </c>
      <c r="N2911" s="3" t="s">
        <v>122</v>
      </c>
      <c r="O2911" s="8" t="s">
        <v>36</v>
      </c>
      <c r="P2911" s="3" t="s">
        <v>36</v>
      </c>
      <c r="Q2911" s="3" t="s">
        <v>36</v>
      </c>
      <c r="R2911" s="3" t="s">
        <v>36</v>
      </c>
      <c r="S2911" s="3" t="s">
        <v>36</v>
      </c>
      <c r="T2911" s="3" t="s">
        <v>105</v>
      </c>
      <c r="U2911" s="3" t="s">
        <v>38</v>
      </c>
      <c r="V2911" s="3" t="s">
        <v>39</v>
      </c>
      <c r="W2911" s="3" t="s">
        <v>15551</v>
      </c>
      <c r="X2911" s="10" t="s">
        <v>15552</v>
      </c>
      <c r="Y2911" s="6" t="s">
        <v>108</v>
      </c>
      <c r="Z2911" s="4">
        <v>2.82</v>
      </c>
      <c r="AA2911" s="4">
        <v>11.06</v>
      </c>
      <c r="AB2911" s="3" t="s">
        <v>56</v>
      </c>
      <c r="AC2911" s="3" t="s">
        <v>15553</v>
      </c>
      <c r="AD2911" s="9">
        <v>44441</v>
      </c>
      <c r="AE2911" s="3" t="s">
        <v>110</v>
      </c>
      <c r="AF2911" s="3" t="s">
        <v>15554</v>
      </c>
      <c r="AG2911" s="3" t="s">
        <v>5268</v>
      </c>
      <c r="AH2911" s="11">
        <f>HYPERLINK("https://my.pitchbook.com?c=179416-63T","View Company Online")</f>
      </c>
    </row>
    <row r="2912">
      <c r="A2912" s="12" t="s">
        <v>15555</v>
      </c>
      <c r="B2912" s="12" t="s">
        <v>15556</v>
      </c>
      <c r="C2912" s="19" t="s">
        <v>36</v>
      </c>
      <c r="D2912" s="19">
        <v>13</v>
      </c>
      <c r="E2912" s="19">
        <v>4</v>
      </c>
      <c r="F2912" s="19">
        <v>13</v>
      </c>
      <c r="G2912" s="15" t="s">
        <v>326</v>
      </c>
      <c r="H2912" s="14">
        <v>243.69</v>
      </c>
      <c r="I2912" s="18">
        <v>39.4</v>
      </c>
      <c r="J2912" s="12" t="s">
        <v>521</v>
      </c>
      <c r="K2912" s="13" t="s">
        <v>36</v>
      </c>
      <c r="L2912" s="15" t="s">
        <v>36</v>
      </c>
      <c r="M2912" s="12" t="s">
        <v>36</v>
      </c>
      <c r="N2912" s="12" t="s">
        <v>36</v>
      </c>
      <c r="O2912" s="17" t="s">
        <v>36</v>
      </c>
      <c r="P2912" s="12" t="s">
        <v>36</v>
      </c>
      <c r="Q2912" s="12" t="s">
        <v>36</v>
      </c>
      <c r="R2912" s="12" t="s">
        <v>36</v>
      </c>
      <c r="S2912" s="12" t="s">
        <v>36</v>
      </c>
      <c r="T2912" s="12" t="s">
        <v>15557</v>
      </c>
      <c r="U2912" s="12" t="s">
        <v>366</v>
      </c>
      <c r="V2912" s="12" t="s">
        <v>367</v>
      </c>
      <c r="W2912" s="12" t="s">
        <v>15558</v>
      </c>
      <c r="X2912" s="16" t="s">
        <v>15559</v>
      </c>
      <c r="Y2912" s="15" t="s">
        <v>108</v>
      </c>
      <c r="Z2912" s="14">
        <v>11.76</v>
      </c>
      <c r="AA2912" s="14">
        <v>19.14</v>
      </c>
      <c r="AB2912" s="12" t="s">
        <v>56</v>
      </c>
      <c r="AC2912" s="12" t="s">
        <v>15560</v>
      </c>
      <c r="AD2912" s="13">
        <v>44441</v>
      </c>
      <c r="AE2912" s="12" t="s">
        <v>600</v>
      </c>
      <c r="AF2912" s="12" t="s">
        <v>15561</v>
      </c>
      <c r="AG2912" s="12" t="s">
        <v>392</v>
      </c>
      <c r="AH2912" s="1">
        <f>HYPERLINK("https://my.pitchbook.com?c=180854-29T","View Company Online")</f>
      </c>
    </row>
    <row r="2913">
      <c r="A2913" s="3" t="s">
        <v>15562</v>
      </c>
      <c r="B2913" s="3" t="s">
        <v>6530</v>
      </c>
      <c r="C2913" s="5" t="s">
        <v>36</v>
      </c>
      <c r="D2913" s="5" t="s">
        <v>36</v>
      </c>
      <c r="E2913" s="5" t="s">
        <v>36</v>
      </c>
      <c r="F2913" s="5" t="s">
        <v>36</v>
      </c>
      <c r="G2913" s="6" t="s">
        <v>36</v>
      </c>
      <c r="H2913" s="4">
        <v>10323.35</v>
      </c>
      <c r="I2913" s="7">
        <v>27.48</v>
      </c>
      <c r="J2913" s="3" t="s">
        <v>521</v>
      </c>
      <c r="K2913" s="9">
        <v>44211</v>
      </c>
      <c r="L2913" s="6" t="s">
        <v>122</v>
      </c>
      <c r="M2913" s="3" t="s">
        <v>36</v>
      </c>
      <c r="N2913" s="3" t="s">
        <v>122</v>
      </c>
      <c r="O2913" s="8" t="s">
        <v>36</v>
      </c>
      <c r="P2913" s="3" t="s">
        <v>36</v>
      </c>
      <c r="Q2913" s="3" t="s">
        <v>36</v>
      </c>
      <c r="R2913" s="3" t="s">
        <v>36</v>
      </c>
      <c r="S2913" s="3" t="s">
        <v>6531</v>
      </c>
      <c r="T2913" s="3" t="s">
        <v>6532</v>
      </c>
      <c r="U2913" s="3" t="s">
        <v>63</v>
      </c>
      <c r="V2913" s="3" t="s">
        <v>64</v>
      </c>
      <c r="W2913" s="3" t="s">
        <v>6533</v>
      </c>
      <c r="X2913" s="10" t="s">
        <v>15563</v>
      </c>
      <c r="Y2913" s="6" t="s">
        <v>42</v>
      </c>
      <c r="Z2913" s="4">
        <v>23.53</v>
      </c>
      <c r="AA2913" s="4">
        <v>61.66</v>
      </c>
      <c r="AB2913" s="3" t="s">
        <v>56</v>
      </c>
      <c r="AC2913" s="3" t="s">
        <v>6535</v>
      </c>
      <c r="AD2913" s="9">
        <v>44440</v>
      </c>
      <c r="AE2913" s="3" t="s">
        <v>68</v>
      </c>
      <c r="AF2913" s="3" t="s">
        <v>6536</v>
      </c>
      <c r="AG2913" s="3" t="s">
        <v>81</v>
      </c>
      <c r="AH2913" s="11">
        <f>HYPERLINK("https://my.pitchbook.com?c=166272-67T","View Company Online")</f>
      </c>
    </row>
    <row r="2914">
      <c r="A2914" s="12" t="s">
        <v>15564</v>
      </c>
      <c r="B2914" s="12" t="s">
        <v>3747</v>
      </c>
      <c r="C2914" s="19" t="s">
        <v>36</v>
      </c>
      <c r="D2914" s="19" t="s">
        <v>36</v>
      </c>
      <c r="E2914" s="19" t="s">
        <v>36</v>
      </c>
      <c r="F2914" s="19" t="s">
        <v>36</v>
      </c>
      <c r="G2914" s="15" t="s">
        <v>326</v>
      </c>
      <c r="H2914" s="14">
        <v>1079.8</v>
      </c>
      <c r="I2914" s="18">
        <v>34.16</v>
      </c>
      <c r="J2914" s="12" t="s">
        <v>521</v>
      </c>
      <c r="K2914" s="13" t="s">
        <v>36</v>
      </c>
      <c r="L2914" s="15" t="s">
        <v>122</v>
      </c>
      <c r="M2914" s="12" t="s">
        <v>36</v>
      </c>
      <c r="N2914" s="12" t="s">
        <v>122</v>
      </c>
      <c r="O2914" s="17" t="s">
        <v>36</v>
      </c>
      <c r="P2914" s="12" t="s">
        <v>36</v>
      </c>
      <c r="Q2914" s="12" t="s">
        <v>36</v>
      </c>
      <c r="R2914" s="12" t="s">
        <v>36</v>
      </c>
      <c r="S2914" s="12" t="s">
        <v>36</v>
      </c>
      <c r="T2914" s="12" t="s">
        <v>3748</v>
      </c>
      <c r="U2914" s="12" t="s">
        <v>74</v>
      </c>
      <c r="V2914" s="12" t="s">
        <v>75</v>
      </c>
      <c r="W2914" s="12" t="s">
        <v>3749</v>
      </c>
      <c r="X2914" s="16" t="s">
        <v>15565</v>
      </c>
      <c r="Y2914" s="15" t="s">
        <v>108</v>
      </c>
      <c r="Z2914" s="14">
        <v>5.88</v>
      </c>
      <c r="AA2914" s="14">
        <v>15.48</v>
      </c>
      <c r="AB2914" s="12" t="s">
        <v>43</v>
      </c>
      <c r="AC2914" s="12" t="s">
        <v>3751</v>
      </c>
      <c r="AD2914" s="13">
        <v>44440</v>
      </c>
      <c r="AE2914" s="12" t="s">
        <v>570</v>
      </c>
      <c r="AF2914" s="12" t="s">
        <v>1257</v>
      </c>
      <c r="AG2914" s="12" t="s">
        <v>81</v>
      </c>
      <c r="AH2914" s="1">
        <f>HYPERLINK("https://my.pitchbook.com?c=186143-77T","View Company Online")</f>
      </c>
    </row>
    <row r="2915">
      <c r="A2915" s="3" t="s">
        <v>15566</v>
      </c>
      <c r="B2915" s="3" t="s">
        <v>9219</v>
      </c>
      <c r="C2915" s="5" t="s">
        <v>36</v>
      </c>
      <c r="D2915" s="5" t="s">
        <v>36</v>
      </c>
      <c r="E2915" s="5" t="s">
        <v>36</v>
      </c>
      <c r="F2915" s="5" t="s">
        <v>36</v>
      </c>
      <c r="G2915" s="6" t="s">
        <v>683</v>
      </c>
      <c r="H2915" s="4">
        <v>20.94</v>
      </c>
      <c r="I2915" s="7">
        <v>16.65</v>
      </c>
      <c r="J2915" s="3" t="s">
        <v>521</v>
      </c>
      <c r="K2915" s="9" t="s">
        <v>36</v>
      </c>
      <c r="L2915" s="6" t="s">
        <v>36</v>
      </c>
      <c r="M2915" s="3" t="s">
        <v>36</v>
      </c>
      <c r="N2915" s="3" t="s">
        <v>36</v>
      </c>
      <c r="O2915" s="8" t="s">
        <v>36</v>
      </c>
      <c r="P2915" s="3" t="s">
        <v>36</v>
      </c>
      <c r="Q2915" s="3" t="s">
        <v>36</v>
      </c>
      <c r="R2915" s="3" t="s">
        <v>36</v>
      </c>
      <c r="S2915" s="3" t="s">
        <v>36</v>
      </c>
      <c r="T2915" s="3" t="s">
        <v>5302</v>
      </c>
      <c r="U2915" s="3" t="s">
        <v>74</v>
      </c>
      <c r="V2915" s="3" t="s">
        <v>75</v>
      </c>
      <c r="W2915" s="3" t="s">
        <v>9220</v>
      </c>
      <c r="X2915" s="10" t="s">
        <v>9221</v>
      </c>
      <c r="Y2915" s="6" t="s">
        <v>475</v>
      </c>
      <c r="Z2915" s="4">
        <v>1.41</v>
      </c>
      <c r="AA2915" s="4">
        <v>8.47</v>
      </c>
      <c r="AB2915" s="3" t="s">
        <v>56</v>
      </c>
      <c r="AC2915" s="3" t="s">
        <v>9222</v>
      </c>
      <c r="AD2915" s="9">
        <v>44440</v>
      </c>
      <c r="AE2915" s="3" t="s">
        <v>362</v>
      </c>
      <c r="AF2915" s="3" t="s">
        <v>9223</v>
      </c>
      <c r="AG2915" s="3" t="s">
        <v>9224</v>
      </c>
      <c r="AH2915" s="11">
        <f>HYPERLINK("https://my.pitchbook.com?c=215719-48T","View Company Online")</f>
      </c>
    </row>
    <row r="2916">
      <c r="A2916" s="12" t="s">
        <v>15567</v>
      </c>
      <c r="B2916" s="12" t="s">
        <v>15568</v>
      </c>
      <c r="C2916" s="19" t="s">
        <v>36</v>
      </c>
      <c r="D2916" s="19" t="s">
        <v>36</v>
      </c>
      <c r="E2916" s="19" t="s">
        <v>36</v>
      </c>
      <c r="F2916" s="19" t="s">
        <v>36</v>
      </c>
      <c r="G2916" s="15" t="s">
        <v>36</v>
      </c>
      <c r="H2916" s="14" t="s">
        <v>36</v>
      </c>
      <c r="I2916" s="18" t="s">
        <v>36</v>
      </c>
      <c r="J2916" s="12" t="s">
        <v>36</v>
      </c>
      <c r="K2916" s="13" t="s">
        <v>36</v>
      </c>
      <c r="L2916" s="15" t="s">
        <v>36</v>
      </c>
      <c r="M2916" s="12" t="s">
        <v>36</v>
      </c>
      <c r="N2916" s="12" t="s">
        <v>36</v>
      </c>
      <c r="O2916" s="17" t="s">
        <v>36</v>
      </c>
      <c r="P2916" s="12" t="s">
        <v>36</v>
      </c>
      <c r="Q2916" s="12" t="s">
        <v>36</v>
      </c>
      <c r="R2916" s="12" t="s">
        <v>36</v>
      </c>
      <c r="S2916" s="12" t="s">
        <v>36</v>
      </c>
      <c r="T2916" s="12" t="s">
        <v>9390</v>
      </c>
      <c r="U2916" s="12" t="s">
        <v>63</v>
      </c>
      <c r="V2916" s="12" t="s">
        <v>64</v>
      </c>
      <c r="W2916" s="12" t="s">
        <v>15569</v>
      </c>
      <c r="X2916" s="16" t="s">
        <v>13319</v>
      </c>
      <c r="Y2916" s="15" t="s">
        <v>42</v>
      </c>
      <c r="Z2916" s="14" t="s">
        <v>36</v>
      </c>
      <c r="AA2916" s="14" t="s">
        <v>36</v>
      </c>
      <c r="AB2916" s="12" t="s">
        <v>43</v>
      </c>
      <c r="AC2916" s="12" t="s">
        <v>15570</v>
      </c>
      <c r="AD2916" s="13">
        <v>44440</v>
      </c>
      <c r="AE2916" s="12" t="s">
        <v>399</v>
      </c>
      <c r="AF2916" s="12" t="s">
        <v>36</v>
      </c>
      <c r="AG2916" s="12" t="s">
        <v>400</v>
      </c>
      <c r="AH2916" s="1">
        <f>HYPERLINK("https://my.pitchbook.com?c=179897-05T","View Company Online")</f>
      </c>
    </row>
    <row r="2917">
      <c r="A2917" s="3" t="s">
        <v>15571</v>
      </c>
      <c r="B2917" s="3" t="s">
        <v>15572</v>
      </c>
      <c r="C2917" s="5" t="s">
        <v>36</v>
      </c>
      <c r="D2917" s="5" t="s">
        <v>36</v>
      </c>
      <c r="E2917" s="5" t="s">
        <v>36</v>
      </c>
      <c r="F2917" s="5" t="s">
        <v>36</v>
      </c>
      <c r="G2917" s="6" t="s">
        <v>2497</v>
      </c>
      <c r="H2917" s="4">
        <v>8.83</v>
      </c>
      <c r="I2917" s="7">
        <v>29.37</v>
      </c>
      <c r="J2917" s="3" t="s">
        <v>521</v>
      </c>
      <c r="K2917" s="9" t="s">
        <v>36</v>
      </c>
      <c r="L2917" s="6" t="s">
        <v>36</v>
      </c>
      <c r="M2917" s="3" t="s">
        <v>36</v>
      </c>
      <c r="N2917" s="3" t="s">
        <v>36</v>
      </c>
      <c r="O2917" s="8" t="s">
        <v>36</v>
      </c>
      <c r="P2917" s="3" t="s">
        <v>36</v>
      </c>
      <c r="Q2917" s="3" t="s">
        <v>36</v>
      </c>
      <c r="R2917" s="3" t="s">
        <v>36</v>
      </c>
      <c r="S2917" s="3" t="s">
        <v>36</v>
      </c>
      <c r="T2917" s="3" t="s">
        <v>105</v>
      </c>
      <c r="U2917" s="3" t="s">
        <v>38</v>
      </c>
      <c r="V2917" s="3" t="s">
        <v>39</v>
      </c>
      <c r="W2917" s="3" t="s">
        <v>15573</v>
      </c>
      <c r="X2917" s="10" t="s">
        <v>15574</v>
      </c>
      <c r="Y2917" s="6" t="s">
        <v>42</v>
      </c>
      <c r="Z2917" s="4">
        <v>0.69</v>
      </c>
      <c r="AA2917" s="4">
        <v>2.35</v>
      </c>
      <c r="AB2917" s="3" t="s">
        <v>56</v>
      </c>
      <c r="AC2917" s="3" t="s">
        <v>15575</v>
      </c>
      <c r="AD2917" s="9">
        <v>44440</v>
      </c>
      <c r="AE2917" s="3" t="s">
        <v>110</v>
      </c>
      <c r="AF2917" s="3" t="s">
        <v>15576</v>
      </c>
      <c r="AG2917" s="3" t="s">
        <v>4172</v>
      </c>
      <c r="AH2917" s="11">
        <f>HYPERLINK("https://my.pitchbook.com?c=179565-40T","View Company Online")</f>
      </c>
    </row>
    <row r="2918">
      <c r="A2918" s="12" t="s">
        <v>15577</v>
      </c>
      <c r="B2918" s="12" t="s">
        <v>15578</v>
      </c>
      <c r="C2918" s="19" t="s">
        <v>36</v>
      </c>
      <c r="D2918" s="19" t="s">
        <v>36</v>
      </c>
      <c r="E2918" s="19" t="s">
        <v>36</v>
      </c>
      <c r="F2918" s="19" t="s">
        <v>36</v>
      </c>
      <c r="G2918" s="15" t="s">
        <v>36</v>
      </c>
      <c r="H2918" s="14" t="s">
        <v>36</v>
      </c>
      <c r="I2918" s="18" t="s">
        <v>36</v>
      </c>
      <c r="J2918" s="12" t="s">
        <v>36</v>
      </c>
      <c r="K2918" s="13" t="s">
        <v>36</v>
      </c>
      <c r="L2918" s="15" t="s">
        <v>36</v>
      </c>
      <c r="M2918" s="12" t="s">
        <v>36</v>
      </c>
      <c r="N2918" s="12" t="s">
        <v>36</v>
      </c>
      <c r="O2918" s="17" t="s">
        <v>36</v>
      </c>
      <c r="P2918" s="12" t="s">
        <v>36</v>
      </c>
      <c r="Q2918" s="12" t="s">
        <v>36</v>
      </c>
      <c r="R2918" s="12" t="s">
        <v>36</v>
      </c>
      <c r="S2918" s="12" t="s">
        <v>36</v>
      </c>
      <c r="T2918" s="12" t="s">
        <v>203</v>
      </c>
      <c r="U2918" s="12" t="s">
        <v>38</v>
      </c>
      <c r="V2918" s="12" t="s">
        <v>39</v>
      </c>
      <c r="W2918" s="12" t="s">
        <v>15579</v>
      </c>
      <c r="X2918" s="16" t="s">
        <v>15580</v>
      </c>
      <c r="Y2918" s="15" t="s">
        <v>108</v>
      </c>
      <c r="Z2918" s="14" t="s">
        <v>36</v>
      </c>
      <c r="AA2918" s="14" t="s">
        <v>36</v>
      </c>
      <c r="AB2918" s="12" t="s">
        <v>56</v>
      </c>
      <c r="AC2918" s="12" t="s">
        <v>15581</v>
      </c>
      <c r="AD2918" s="13">
        <v>44440</v>
      </c>
      <c r="AE2918" s="12" t="s">
        <v>110</v>
      </c>
      <c r="AF2918" s="12" t="s">
        <v>3719</v>
      </c>
      <c r="AG2918" s="12" t="s">
        <v>4637</v>
      </c>
      <c r="AH2918" s="1">
        <f>HYPERLINK("https://my.pitchbook.com?c=180693-73T","View Company Online")</f>
      </c>
    </row>
    <row r="2919">
      <c r="A2919" s="3" t="s">
        <v>15582</v>
      </c>
      <c r="B2919" s="3" t="s">
        <v>15583</v>
      </c>
      <c r="C2919" s="5" t="s">
        <v>36</v>
      </c>
      <c r="D2919" s="5" t="s">
        <v>36</v>
      </c>
      <c r="E2919" s="5" t="s">
        <v>36</v>
      </c>
      <c r="F2919" s="5" t="s">
        <v>36</v>
      </c>
      <c r="G2919" s="6" t="s">
        <v>36</v>
      </c>
      <c r="H2919" s="4" t="s">
        <v>36</v>
      </c>
      <c r="I2919" s="7">
        <v>28.6</v>
      </c>
      <c r="J2919" s="3" t="s">
        <v>327</v>
      </c>
      <c r="K2919" s="9" t="s">
        <v>36</v>
      </c>
      <c r="L2919" s="6" t="s">
        <v>36</v>
      </c>
      <c r="M2919" s="3" t="s">
        <v>36</v>
      </c>
      <c r="N2919" s="3" t="s">
        <v>36</v>
      </c>
      <c r="O2919" s="8" t="s">
        <v>36</v>
      </c>
      <c r="P2919" s="3" t="s">
        <v>36</v>
      </c>
      <c r="Q2919" s="3" t="s">
        <v>36</v>
      </c>
      <c r="R2919" s="3" t="s">
        <v>36</v>
      </c>
      <c r="S2919" s="3" t="s">
        <v>36</v>
      </c>
      <c r="T2919" s="3" t="s">
        <v>15584</v>
      </c>
      <c r="U2919" s="3" t="s">
        <v>648</v>
      </c>
      <c r="V2919" s="3" t="s">
        <v>64</v>
      </c>
      <c r="W2919" s="3" t="s">
        <v>15585</v>
      </c>
      <c r="X2919" s="10" t="s">
        <v>9445</v>
      </c>
      <c r="Y2919" s="6" t="s">
        <v>108</v>
      </c>
      <c r="Z2919" s="4">
        <v>2.35</v>
      </c>
      <c r="AA2919" s="4">
        <v>8.23</v>
      </c>
      <c r="AB2919" s="3" t="s">
        <v>56</v>
      </c>
      <c r="AC2919" s="3" t="s">
        <v>15586</v>
      </c>
      <c r="AD2919" s="9">
        <v>44440</v>
      </c>
      <c r="AE2919" s="3" t="s">
        <v>1897</v>
      </c>
      <c r="AF2919" s="3" t="s">
        <v>1115</v>
      </c>
      <c r="AG2919" s="3" t="s">
        <v>443</v>
      </c>
      <c r="AH2919" s="11">
        <f>HYPERLINK("https://my.pitchbook.com?c=180024-31T","View Company Online")</f>
      </c>
    </row>
    <row r="2920">
      <c r="A2920" s="12" t="s">
        <v>15587</v>
      </c>
      <c r="B2920" s="12" t="s">
        <v>15588</v>
      </c>
      <c r="C2920" s="19" t="s">
        <v>36</v>
      </c>
      <c r="D2920" s="19">
        <v>2</v>
      </c>
      <c r="E2920" s="19">
        <v>1</v>
      </c>
      <c r="F2920" s="19">
        <v>2</v>
      </c>
      <c r="G2920" s="15" t="s">
        <v>326</v>
      </c>
      <c r="H2920" s="14">
        <v>29.47</v>
      </c>
      <c r="I2920" s="18">
        <v>25.5</v>
      </c>
      <c r="J2920" s="12" t="s">
        <v>521</v>
      </c>
      <c r="K2920" s="13" t="s">
        <v>36</v>
      </c>
      <c r="L2920" s="15" t="s">
        <v>36</v>
      </c>
      <c r="M2920" s="12" t="s">
        <v>36</v>
      </c>
      <c r="N2920" s="12" t="s">
        <v>36</v>
      </c>
      <c r="O2920" s="17" t="s">
        <v>36</v>
      </c>
      <c r="P2920" s="12" t="s">
        <v>36</v>
      </c>
      <c r="Q2920" s="12" t="s">
        <v>36</v>
      </c>
      <c r="R2920" s="12" t="s">
        <v>36</v>
      </c>
      <c r="S2920" s="12" t="s">
        <v>36</v>
      </c>
      <c r="T2920" s="12" t="s">
        <v>522</v>
      </c>
      <c r="U2920" s="12" t="s">
        <v>38</v>
      </c>
      <c r="V2920" s="12" t="s">
        <v>39</v>
      </c>
      <c r="W2920" s="12" t="s">
        <v>15589</v>
      </c>
      <c r="X2920" s="16" t="s">
        <v>15590</v>
      </c>
      <c r="Y2920" s="15" t="s">
        <v>108</v>
      </c>
      <c r="Z2920" s="14">
        <v>23.53</v>
      </c>
      <c r="AA2920" s="14">
        <v>56.01</v>
      </c>
      <c r="AB2920" s="12" t="s">
        <v>56</v>
      </c>
      <c r="AC2920" s="12" t="s">
        <v>15591</v>
      </c>
      <c r="AD2920" s="13">
        <v>44439</v>
      </c>
      <c r="AE2920" s="12" t="s">
        <v>110</v>
      </c>
      <c r="AF2920" s="12" t="s">
        <v>748</v>
      </c>
      <c r="AG2920" s="12" t="s">
        <v>81</v>
      </c>
      <c r="AH2920" s="1">
        <f>HYPERLINK("https://my.pitchbook.com?c=181990-27T","View Company Online")</f>
      </c>
    </row>
    <row r="2921">
      <c r="A2921" s="3" t="s">
        <v>15592</v>
      </c>
      <c r="B2921" s="3" t="s">
        <v>3963</v>
      </c>
      <c r="C2921" s="5" t="s">
        <v>36</v>
      </c>
      <c r="D2921" s="5" t="s">
        <v>36</v>
      </c>
      <c r="E2921" s="5" t="s">
        <v>36</v>
      </c>
      <c r="F2921" s="5" t="s">
        <v>36</v>
      </c>
      <c r="G2921" s="6" t="s">
        <v>326</v>
      </c>
      <c r="H2921" s="4">
        <v>1196.37</v>
      </c>
      <c r="I2921" s="7">
        <v>26.85</v>
      </c>
      <c r="J2921" s="3" t="s">
        <v>521</v>
      </c>
      <c r="K2921" s="9" t="s">
        <v>36</v>
      </c>
      <c r="L2921" s="6" t="s">
        <v>94</v>
      </c>
      <c r="M2921" s="3" t="s">
        <v>36</v>
      </c>
      <c r="N2921" s="3" t="s">
        <v>94</v>
      </c>
      <c r="O2921" s="8" t="s">
        <v>36</v>
      </c>
      <c r="P2921" s="3" t="s">
        <v>36</v>
      </c>
      <c r="Q2921" s="3" t="s">
        <v>36</v>
      </c>
      <c r="R2921" s="3" t="s">
        <v>36</v>
      </c>
      <c r="S2921" s="3" t="s">
        <v>36</v>
      </c>
      <c r="T2921" s="3" t="s">
        <v>3964</v>
      </c>
      <c r="U2921" s="3" t="s">
        <v>289</v>
      </c>
      <c r="V2921" s="3" t="s">
        <v>64</v>
      </c>
      <c r="W2921" s="3" t="s">
        <v>3965</v>
      </c>
      <c r="X2921" s="10" t="s">
        <v>15593</v>
      </c>
      <c r="Y2921" s="6" t="s">
        <v>55</v>
      </c>
      <c r="Z2921" s="4">
        <v>27.94</v>
      </c>
      <c r="AA2921" s="4">
        <v>107.95</v>
      </c>
      <c r="AB2921" s="3" t="s">
        <v>43</v>
      </c>
      <c r="AC2921" s="3" t="s">
        <v>3967</v>
      </c>
      <c r="AD2921" s="9">
        <v>44439</v>
      </c>
      <c r="AE2921" s="3" t="s">
        <v>3134</v>
      </c>
      <c r="AF2921" s="3" t="s">
        <v>2363</v>
      </c>
      <c r="AG2921" s="3" t="s">
        <v>3968</v>
      </c>
      <c r="AH2921" s="11">
        <f>HYPERLINK("https://my.pitchbook.com?c=248058-73T","View Company Online")</f>
      </c>
    </row>
    <row r="2922">
      <c r="A2922" s="12" t="s">
        <v>15594</v>
      </c>
      <c r="B2922" s="12" t="s">
        <v>6431</v>
      </c>
      <c r="C2922" s="19" t="s">
        <v>36</v>
      </c>
      <c r="D2922" s="19" t="s">
        <v>36</v>
      </c>
      <c r="E2922" s="19" t="s">
        <v>36</v>
      </c>
      <c r="F2922" s="19" t="s">
        <v>36</v>
      </c>
      <c r="G2922" s="15" t="s">
        <v>326</v>
      </c>
      <c r="H2922" s="14" t="s">
        <v>36</v>
      </c>
      <c r="I2922" s="18">
        <v>14.57</v>
      </c>
      <c r="J2922" s="12" t="s">
        <v>327</v>
      </c>
      <c r="K2922" s="13" t="s">
        <v>36</v>
      </c>
      <c r="L2922" s="15" t="s">
        <v>122</v>
      </c>
      <c r="M2922" s="12" t="s">
        <v>36</v>
      </c>
      <c r="N2922" s="12" t="s">
        <v>122</v>
      </c>
      <c r="O2922" s="17" t="s">
        <v>36</v>
      </c>
      <c r="P2922" s="12" t="s">
        <v>36</v>
      </c>
      <c r="Q2922" s="12" t="s">
        <v>36</v>
      </c>
      <c r="R2922" s="12" t="s">
        <v>36</v>
      </c>
      <c r="S2922" s="12" t="s">
        <v>36</v>
      </c>
      <c r="T2922" s="12" t="s">
        <v>522</v>
      </c>
      <c r="U2922" s="12" t="s">
        <v>38</v>
      </c>
      <c r="V2922" s="12" t="s">
        <v>39</v>
      </c>
      <c r="W2922" s="12" t="s">
        <v>6432</v>
      </c>
      <c r="X2922" s="16" t="s">
        <v>15595</v>
      </c>
      <c r="Y2922" s="15" t="s">
        <v>108</v>
      </c>
      <c r="Z2922" s="14">
        <v>8.24</v>
      </c>
      <c r="AA2922" s="14">
        <v>56.54</v>
      </c>
      <c r="AB2922" s="12" t="s">
        <v>43</v>
      </c>
      <c r="AC2922" s="12" t="s">
        <v>6434</v>
      </c>
      <c r="AD2922" s="13">
        <v>44439</v>
      </c>
      <c r="AE2922" s="12" t="s">
        <v>110</v>
      </c>
      <c r="AF2922" s="12" t="s">
        <v>256</v>
      </c>
      <c r="AG2922" s="12" t="s">
        <v>81</v>
      </c>
      <c r="AH2922" s="1">
        <f>HYPERLINK("https://my.pitchbook.com?c=179400-16T","View Company Online")</f>
      </c>
    </row>
    <row r="2923">
      <c r="A2923" s="3" t="s">
        <v>15596</v>
      </c>
      <c r="B2923" s="3" t="s">
        <v>13703</v>
      </c>
      <c r="C2923" s="5" t="s">
        <v>36</v>
      </c>
      <c r="D2923" s="5" t="s">
        <v>36</v>
      </c>
      <c r="E2923" s="5" t="s">
        <v>36</v>
      </c>
      <c r="F2923" s="5" t="s">
        <v>36</v>
      </c>
      <c r="G2923" s="6" t="s">
        <v>36</v>
      </c>
      <c r="H2923" s="4" t="s">
        <v>36</v>
      </c>
      <c r="I2923" s="7" t="s">
        <v>36</v>
      </c>
      <c r="J2923" s="3" t="s">
        <v>36</v>
      </c>
      <c r="K2923" s="9" t="s">
        <v>36</v>
      </c>
      <c r="L2923" s="6" t="s">
        <v>36</v>
      </c>
      <c r="M2923" s="3" t="s">
        <v>36</v>
      </c>
      <c r="N2923" s="3" t="s">
        <v>36</v>
      </c>
      <c r="O2923" s="8" t="s">
        <v>36</v>
      </c>
      <c r="P2923" s="3" t="s">
        <v>36</v>
      </c>
      <c r="Q2923" s="3" t="s">
        <v>36</v>
      </c>
      <c r="R2923" s="3" t="s">
        <v>36</v>
      </c>
      <c r="S2923" s="3" t="s">
        <v>36</v>
      </c>
      <c r="T2923" s="3" t="s">
        <v>2241</v>
      </c>
      <c r="U2923" s="3" t="s">
        <v>318</v>
      </c>
      <c r="V2923" s="3" t="s">
        <v>39</v>
      </c>
      <c r="W2923" s="3" t="s">
        <v>13704</v>
      </c>
      <c r="X2923" s="10" t="s">
        <v>15597</v>
      </c>
      <c r="Y2923" s="6" t="s">
        <v>42</v>
      </c>
      <c r="Z2923" s="4" t="s">
        <v>36</v>
      </c>
      <c r="AA2923" s="4" t="s">
        <v>36</v>
      </c>
      <c r="AB2923" s="3" t="s">
        <v>43</v>
      </c>
      <c r="AC2923" s="3" t="s">
        <v>13706</v>
      </c>
      <c r="AD2923" s="9">
        <v>44439</v>
      </c>
      <c r="AE2923" s="3" t="s">
        <v>763</v>
      </c>
      <c r="AF2923" s="3" t="s">
        <v>13707</v>
      </c>
      <c r="AG2923" s="3" t="s">
        <v>81</v>
      </c>
      <c r="AH2923" s="11">
        <f>HYPERLINK("https://my.pitchbook.com?c=179436-97T","View Company Online")</f>
      </c>
    </row>
    <row r="2924">
      <c r="A2924" s="12" t="s">
        <v>15598</v>
      </c>
      <c r="B2924" s="12" t="s">
        <v>7627</v>
      </c>
      <c r="C2924" s="19">
        <v>2</v>
      </c>
      <c r="D2924" s="19" t="s">
        <v>36</v>
      </c>
      <c r="E2924" s="19">
        <v>1</v>
      </c>
      <c r="F2924" s="19">
        <v>2</v>
      </c>
      <c r="G2924" s="15" t="s">
        <v>36</v>
      </c>
      <c r="H2924" s="14">
        <v>19.47</v>
      </c>
      <c r="I2924" s="18">
        <v>23.11</v>
      </c>
      <c r="J2924" s="12" t="s">
        <v>521</v>
      </c>
      <c r="K2924" s="13" t="s">
        <v>36</v>
      </c>
      <c r="L2924" s="15" t="s">
        <v>36</v>
      </c>
      <c r="M2924" s="12" t="s">
        <v>36</v>
      </c>
      <c r="N2924" s="12" t="s">
        <v>36</v>
      </c>
      <c r="O2924" s="17" t="s">
        <v>36</v>
      </c>
      <c r="P2924" s="12" t="s">
        <v>36</v>
      </c>
      <c r="Q2924" s="12" t="s">
        <v>36</v>
      </c>
      <c r="R2924" s="12" t="s">
        <v>36</v>
      </c>
      <c r="S2924" s="12" t="s">
        <v>36</v>
      </c>
      <c r="T2924" s="12" t="s">
        <v>7628</v>
      </c>
      <c r="U2924" s="12" t="s">
        <v>74</v>
      </c>
      <c r="V2924" s="12" t="s">
        <v>75</v>
      </c>
      <c r="W2924" s="12" t="s">
        <v>7629</v>
      </c>
      <c r="X2924" s="16" t="s">
        <v>560</v>
      </c>
      <c r="Y2924" s="15" t="s">
        <v>42</v>
      </c>
      <c r="Z2924" s="14">
        <v>1.69</v>
      </c>
      <c r="AA2924" s="14">
        <v>7.32</v>
      </c>
      <c r="AB2924" s="12" t="s">
        <v>56</v>
      </c>
      <c r="AC2924" s="12" t="s">
        <v>7631</v>
      </c>
      <c r="AD2924" s="13">
        <v>44439</v>
      </c>
      <c r="AE2924" s="12" t="s">
        <v>1888</v>
      </c>
      <c r="AF2924" s="12" t="s">
        <v>7632</v>
      </c>
      <c r="AG2924" s="12" t="s">
        <v>7633</v>
      </c>
      <c r="AH2924" s="1">
        <f>HYPERLINK("https://my.pitchbook.com?c=180712-00T","View Company Online")</f>
      </c>
    </row>
    <row r="2925">
      <c r="A2925" s="3" t="s">
        <v>15599</v>
      </c>
      <c r="B2925" s="3" t="s">
        <v>7498</v>
      </c>
      <c r="C2925" s="5">
        <v>39</v>
      </c>
      <c r="D2925" s="5">
        <v>26</v>
      </c>
      <c r="E2925" s="5">
        <v>15</v>
      </c>
      <c r="F2925" s="5">
        <v>72</v>
      </c>
      <c r="G2925" s="6" t="s">
        <v>326</v>
      </c>
      <c r="H2925" s="4">
        <v>10.39</v>
      </c>
      <c r="I2925" s="7">
        <v>26.28</v>
      </c>
      <c r="J2925" s="3" t="s">
        <v>521</v>
      </c>
      <c r="K2925" s="9" t="s">
        <v>36</v>
      </c>
      <c r="L2925" s="6" t="s">
        <v>1279</v>
      </c>
      <c r="M2925" s="3" t="s">
        <v>36</v>
      </c>
      <c r="N2925" s="3" t="s">
        <v>1279</v>
      </c>
      <c r="O2925" s="8" t="s">
        <v>36</v>
      </c>
      <c r="P2925" s="3" t="s">
        <v>36</v>
      </c>
      <c r="Q2925" s="3" t="s">
        <v>36</v>
      </c>
      <c r="R2925" s="3" t="s">
        <v>36</v>
      </c>
      <c r="S2925" s="3" t="s">
        <v>36</v>
      </c>
      <c r="T2925" s="3" t="s">
        <v>1863</v>
      </c>
      <c r="U2925" s="3" t="s">
        <v>96</v>
      </c>
      <c r="V2925" s="3" t="s">
        <v>52</v>
      </c>
      <c r="W2925" s="3" t="s">
        <v>7499</v>
      </c>
      <c r="X2925" s="10" t="s">
        <v>15600</v>
      </c>
      <c r="Y2925" s="6" t="s">
        <v>192</v>
      </c>
      <c r="Z2925" s="4">
        <v>58.83</v>
      </c>
      <c r="AA2925" s="4">
        <v>223.83</v>
      </c>
      <c r="AB2925" s="3" t="s">
        <v>56</v>
      </c>
      <c r="AC2925" s="3" t="s">
        <v>7501</v>
      </c>
      <c r="AD2925" s="9">
        <v>44439</v>
      </c>
      <c r="AE2925" s="3" t="s">
        <v>1414</v>
      </c>
      <c r="AF2925" s="3" t="s">
        <v>159</v>
      </c>
      <c r="AG2925" s="3" t="s">
        <v>81</v>
      </c>
      <c r="AH2925" s="11">
        <f>HYPERLINK("https://my.pitchbook.com?c=179216-38T","View Company Online")</f>
      </c>
    </row>
    <row r="2926">
      <c r="A2926" s="12" t="s">
        <v>15601</v>
      </c>
      <c r="B2926" s="12" t="s">
        <v>4113</v>
      </c>
      <c r="C2926" s="19" t="s">
        <v>36</v>
      </c>
      <c r="D2926" s="19" t="s">
        <v>36</v>
      </c>
      <c r="E2926" s="19" t="s">
        <v>36</v>
      </c>
      <c r="F2926" s="19" t="s">
        <v>36</v>
      </c>
      <c r="G2926" s="15" t="s">
        <v>36</v>
      </c>
      <c r="H2926" s="14">
        <v>796.26</v>
      </c>
      <c r="I2926" s="18">
        <v>9.31</v>
      </c>
      <c r="J2926" s="12" t="s">
        <v>521</v>
      </c>
      <c r="K2926" s="13" t="s">
        <v>36</v>
      </c>
      <c r="L2926" s="15" t="s">
        <v>36</v>
      </c>
      <c r="M2926" s="12" t="s">
        <v>36</v>
      </c>
      <c r="N2926" s="12" t="s">
        <v>36</v>
      </c>
      <c r="O2926" s="17" t="s">
        <v>36</v>
      </c>
      <c r="P2926" s="12" t="s">
        <v>36</v>
      </c>
      <c r="Q2926" s="12" t="s">
        <v>36</v>
      </c>
      <c r="R2926" s="12" t="s">
        <v>36</v>
      </c>
      <c r="S2926" s="12" t="s">
        <v>36</v>
      </c>
      <c r="T2926" s="12" t="s">
        <v>1990</v>
      </c>
      <c r="U2926" s="12" t="s">
        <v>38</v>
      </c>
      <c r="V2926" s="12" t="s">
        <v>39</v>
      </c>
      <c r="W2926" s="12" t="s">
        <v>4114</v>
      </c>
      <c r="X2926" s="16" t="s">
        <v>15602</v>
      </c>
      <c r="Y2926" s="15" t="s">
        <v>166</v>
      </c>
      <c r="Z2926" s="14">
        <v>2.32</v>
      </c>
      <c r="AA2926" s="14">
        <v>24.86</v>
      </c>
      <c r="AB2926" s="12" t="s">
        <v>56</v>
      </c>
      <c r="AC2926" s="12" t="s">
        <v>4116</v>
      </c>
      <c r="AD2926" s="13">
        <v>44438</v>
      </c>
      <c r="AE2926" s="12" t="s">
        <v>110</v>
      </c>
      <c r="AF2926" s="12" t="s">
        <v>4117</v>
      </c>
      <c r="AG2926" s="12" t="s">
        <v>81</v>
      </c>
      <c r="AH2926" s="1">
        <f>HYPERLINK("https://my.pitchbook.com?c=179432-56T","View Company Online")</f>
      </c>
    </row>
    <row r="2927">
      <c r="A2927" s="3" t="s">
        <v>15603</v>
      </c>
      <c r="B2927" s="3" t="s">
        <v>15604</v>
      </c>
      <c r="C2927" s="5" t="s">
        <v>36</v>
      </c>
      <c r="D2927" s="5" t="s">
        <v>36</v>
      </c>
      <c r="E2927" s="5" t="s">
        <v>36</v>
      </c>
      <c r="F2927" s="5" t="s">
        <v>36</v>
      </c>
      <c r="G2927" s="6" t="s">
        <v>683</v>
      </c>
      <c r="H2927" s="4">
        <v>150.72</v>
      </c>
      <c r="I2927" s="7">
        <v>32.2</v>
      </c>
      <c r="J2927" s="3" t="s">
        <v>521</v>
      </c>
      <c r="K2927" s="9" t="s">
        <v>36</v>
      </c>
      <c r="L2927" s="6" t="s">
        <v>36</v>
      </c>
      <c r="M2927" s="3" t="s">
        <v>36</v>
      </c>
      <c r="N2927" s="3" t="s">
        <v>36</v>
      </c>
      <c r="O2927" s="8" t="s">
        <v>36</v>
      </c>
      <c r="P2927" s="3" t="s">
        <v>36</v>
      </c>
      <c r="Q2927" s="3" t="s">
        <v>36</v>
      </c>
      <c r="R2927" s="3" t="s">
        <v>36</v>
      </c>
      <c r="S2927" s="3" t="s">
        <v>3895</v>
      </c>
      <c r="T2927" s="3" t="s">
        <v>550</v>
      </c>
      <c r="U2927" s="3" t="s">
        <v>38</v>
      </c>
      <c r="V2927" s="3" t="s">
        <v>39</v>
      </c>
      <c r="W2927" s="3" t="s">
        <v>15605</v>
      </c>
      <c r="X2927" s="10" t="s">
        <v>8174</v>
      </c>
      <c r="Y2927" s="6" t="s">
        <v>108</v>
      </c>
      <c r="Z2927" s="4">
        <v>2.27</v>
      </c>
      <c r="AA2927" s="4">
        <v>7.06</v>
      </c>
      <c r="AB2927" s="3" t="s">
        <v>56</v>
      </c>
      <c r="AC2927" s="3" t="s">
        <v>15606</v>
      </c>
      <c r="AD2927" s="9">
        <v>44433</v>
      </c>
      <c r="AE2927" s="3" t="s">
        <v>554</v>
      </c>
      <c r="AF2927" s="3" t="s">
        <v>15607</v>
      </c>
      <c r="AG2927" s="3" t="s">
        <v>81</v>
      </c>
      <c r="AH2927" s="11">
        <f>HYPERLINK("https://my.pitchbook.com?c=189432-55T","View Company Online")</f>
      </c>
    </row>
    <row r="2928">
      <c r="A2928" s="12" t="s">
        <v>15608</v>
      </c>
      <c r="B2928" s="12" t="s">
        <v>15609</v>
      </c>
      <c r="C2928" s="19" t="s">
        <v>36</v>
      </c>
      <c r="D2928" s="19" t="s">
        <v>36</v>
      </c>
      <c r="E2928" s="19" t="s">
        <v>36</v>
      </c>
      <c r="F2928" s="19" t="s">
        <v>36</v>
      </c>
      <c r="G2928" s="15" t="s">
        <v>326</v>
      </c>
      <c r="H2928" s="14" t="s">
        <v>36</v>
      </c>
      <c r="I2928" s="18">
        <v>18.96</v>
      </c>
      <c r="J2928" s="12" t="s">
        <v>521</v>
      </c>
      <c r="K2928" s="13" t="s">
        <v>36</v>
      </c>
      <c r="L2928" s="15" t="s">
        <v>36</v>
      </c>
      <c r="M2928" s="12" t="s">
        <v>36</v>
      </c>
      <c r="N2928" s="12" t="s">
        <v>36</v>
      </c>
      <c r="O2928" s="17" t="s">
        <v>36</v>
      </c>
      <c r="P2928" s="12" t="s">
        <v>36</v>
      </c>
      <c r="Q2928" s="12" t="s">
        <v>36</v>
      </c>
      <c r="R2928" s="12" t="s">
        <v>36</v>
      </c>
      <c r="S2928" s="12" t="s">
        <v>36</v>
      </c>
      <c r="T2928" s="12" t="s">
        <v>522</v>
      </c>
      <c r="U2928" s="12" t="s">
        <v>38</v>
      </c>
      <c r="V2928" s="12" t="s">
        <v>39</v>
      </c>
      <c r="W2928" s="12" t="s">
        <v>15610</v>
      </c>
      <c r="X2928" s="16" t="s">
        <v>15611</v>
      </c>
      <c r="Y2928" s="15" t="s">
        <v>55</v>
      </c>
      <c r="Z2928" s="14">
        <v>4.51</v>
      </c>
      <c r="AA2928" s="14">
        <v>23.79</v>
      </c>
      <c r="AB2928" s="12" t="s">
        <v>56</v>
      </c>
      <c r="AC2928" s="12" t="s">
        <v>15612</v>
      </c>
      <c r="AD2928" s="13">
        <v>44433</v>
      </c>
      <c r="AE2928" s="12" t="s">
        <v>110</v>
      </c>
      <c r="AF2928" s="12" t="s">
        <v>3904</v>
      </c>
      <c r="AG2928" s="12" t="s">
        <v>81</v>
      </c>
      <c r="AH2928" s="1">
        <f>HYPERLINK("https://my.pitchbook.com?c=183793-78T","View Company Online")</f>
      </c>
    </row>
    <row r="2929">
      <c r="A2929" s="3" t="s">
        <v>15613</v>
      </c>
      <c r="B2929" s="3" t="s">
        <v>880</v>
      </c>
      <c r="C2929" s="5" t="s">
        <v>36</v>
      </c>
      <c r="D2929" s="5" t="s">
        <v>36</v>
      </c>
      <c r="E2929" s="5" t="s">
        <v>36</v>
      </c>
      <c r="F2929" s="5" t="s">
        <v>36</v>
      </c>
      <c r="G2929" s="6" t="s">
        <v>326</v>
      </c>
      <c r="H2929" s="4">
        <v>259.64</v>
      </c>
      <c r="I2929" s="7">
        <v>22.38</v>
      </c>
      <c r="J2929" s="3" t="s">
        <v>521</v>
      </c>
      <c r="K2929" s="9" t="s">
        <v>36</v>
      </c>
      <c r="L2929" s="6" t="s">
        <v>36</v>
      </c>
      <c r="M2929" s="3" t="s">
        <v>36</v>
      </c>
      <c r="N2929" s="3" t="s">
        <v>36</v>
      </c>
      <c r="O2929" s="8" t="s">
        <v>36</v>
      </c>
      <c r="P2929" s="3" t="s">
        <v>36</v>
      </c>
      <c r="Q2929" s="3" t="s">
        <v>36</v>
      </c>
      <c r="R2929" s="3" t="s">
        <v>36</v>
      </c>
      <c r="S2929" s="3" t="s">
        <v>36</v>
      </c>
      <c r="T2929" s="3" t="s">
        <v>881</v>
      </c>
      <c r="U2929" s="3" t="s">
        <v>51</v>
      </c>
      <c r="V2929" s="3" t="s">
        <v>52</v>
      </c>
      <c r="W2929" s="3" t="s">
        <v>882</v>
      </c>
      <c r="X2929" s="10" t="s">
        <v>15614</v>
      </c>
      <c r="Y2929" s="6" t="s">
        <v>108</v>
      </c>
      <c r="Z2929" s="4">
        <v>2.04</v>
      </c>
      <c r="AA2929" s="4">
        <v>9.11</v>
      </c>
      <c r="AB2929" s="3" t="s">
        <v>56</v>
      </c>
      <c r="AC2929" s="3" t="s">
        <v>884</v>
      </c>
      <c r="AD2929" s="9">
        <v>44432</v>
      </c>
      <c r="AE2929" s="3" t="s">
        <v>504</v>
      </c>
      <c r="AF2929" s="3" t="s">
        <v>885</v>
      </c>
      <c r="AG2929" s="3" t="s">
        <v>652</v>
      </c>
      <c r="AH2929" s="11">
        <f>HYPERLINK("https://my.pitchbook.com?c=181366-21T","View Company Online")</f>
      </c>
    </row>
    <row r="2930">
      <c r="A2930" s="12" t="s">
        <v>15615</v>
      </c>
      <c r="B2930" s="12" t="s">
        <v>867</v>
      </c>
      <c r="C2930" s="19" t="s">
        <v>36</v>
      </c>
      <c r="D2930" s="19" t="s">
        <v>36</v>
      </c>
      <c r="E2930" s="19" t="s">
        <v>36</v>
      </c>
      <c r="F2930" s="19" t="s">
        <v>36</v>
      </c>
      <c r="G2930" s="15" t="s">
        <v>36</v>
      </c>
      <c r="H2930" s="14">
        <v>2.42</v>
      </c>
      <c r="I2930" s="18">
        <v>48.76</v>
      </c>
      <c r="J2930" s="12" t="s">
        <v>521</v>
      </c>
      <c r="K2930" s="13" t="s">
        <v>36</v>
      </c>
      <c r="L2930" s="15" t="s">
        <v>36</v>
      </c>
      <c r="M2930" s="12" t="s">
        <v>36</v>
      </c>
      <c r="N2930" s="12" t="s">
        <v>36</v>
      </c>
      <c r="O2930" s="17" t="s">
        <v>36</v>
      </c>
      <c r="P2930" s="12" t="s">
        <v>36</v>
      </c>
      <c r="Q2930" s="12" t="s">
        <v>36</v>
      </c>
      <c r="R2930" s="12" t="s">
        <v>36</v>
      </c>
      <c r="S2930" s="12" t="s">
        <v>36</v>
      </c>
      <c r="T2930" s="12" t="s">
        <v>386</v>
      </c>
      <c r="U2930" s="12" t="s">
        <v>387</v>
      </c>
      <c r="V2930" s="12" t="s">
        <v>367</v>
      </c>
      <c r="W2930" s="12" t="s">
        <v>868</v>
      </c>
      <c r="X2930" s="16" t="s">
        <v>15616</v>
      </c>
      <c r="Y2930" s="15" t="s">
        <v>42</v>
      </c>
      <c r="Z2930" s="14">
        <v>3.93</v>
      </c>
      <c r="AA2930" s="14">
        <v>8.06</v>
      </c>
      <c r="AB2930" s="12" t="s">
        <v>43</v>
      </c>
      <c r="AC2930" s="12" t="s">
        <v>870</v>
      </c>
      <c r="AD2930" s="13">
        <v>44426</v>
      </c>
      <c r="AE2930" s="12" t="s">
        <v>391</v>
      </c>
      <c r="AF2930" s="12" t="s">
        <v>871</v>
      </c>
      <c r="AG2930" s="12" t="s">
        <v>47</v>
      </c>
      <c r="AH2930" s="1">
        <f>HYPERLINK("https://my.pitchbook.com?c=257205-34T","View Company Online")</f>
      </c>
    </row>
    <row r="2931">
      <c r="A2931" s="3" t="s">
        <v>15617</v>
      </c>
      <c r="B2931" s="3" t="s">
        <v>6544</v>
      </c>
      <c r="C2931" s="5" t="s">
        <v>36</v>
      </c>
      <c r="D2931" s="5" t="s">
        <v>36</v>
      </c>
      <c r="E2931" s="5" t="s">
        <v>36</v>
      </c>
      <c r="F2931" s="5" t="s">
        <v>36</v>
      </c>
      <c r="G2931" s="6" t="s">
        <v>36</v>
      </c>
      <c r="H2931" s="4" t="s">
        <v>36</v>
      </c>
      <c r="I2931" s="7">
        <v>11.04</v>
      </c>
      <c r="J2931" s="3" t="s">
        <v>327</v>
      </c>
      <c r="K2931" s="9" t="s">
        <v>36</v>
      </c>
      <c r="L2931" s="6" t="s">
        <v>36</v>
      </c>
      <c r="M2931" s="3" t="s">
        <v>36</v>
      </c>
      <c r="N2931" s="3" t="s">
        <v>36</v>
      </c>
      <c r="O2931" s="8" t="s">
        <v>36</v>
      </c>
      <c r="P2931" s="3" t="s">
        <v>36</v>
      </c>
      <c r="Q2931" s="3" t="s">
        <v>36</v>
      </c>
      <c r="R2931" s="3" t="s">
        <v>36</v>
      </c>
      <c r="S2931" s="3" t="s">
        <v>36</v>
      </c>
      <c r="T2931" s="3" t="s">
        <v>37</v>
      </c>
      <c r="U2931" s="3" t="s">
        <v>38</v>
      </c>
      <c r="V2931" s="3" t="s">
        <v>39</v>
      </c>
      <c r="W2931" s="3" t="s">
        <v>6545</v>
      </c>
      <c r="X2931" s="10" t="s">
        <v>15618</v>
      </c>
      <c r="Y2931" s="6" t="s">
        <v>108</v>
      </c>
      <c r="Z2931" s="4">
        <v>2</v>
      </c>
      <c r="AA2931" s="4">
        <v>18.12</v>
      </c>
      <c r="AB2931" s="3" t="s">
        <v>43</v>
      </c>
      <c r="AC2931" s="3" t="s">
        <v>6547</v>
      </c>
      <c r="AD2931" s="9">
        <v>44426</v>
      </c>
      <c r="AE2931" s="3" t="s">
        <v>45</v>
      </c>
      <c r="AF2931" s="3" t="s">
        <v>215</v>
      </c>
      <c r="AG2931" s="3" t="s">
        <v>81</v>
      </c>
      <c r="AH2931" s="11">
        <f>HYPERLINK("https://my.pitchbook.com?c=177267-79T","View Company Online")</f>
      </c>
    </row>
    <row r="2932">
      <c r="A2932" s="12" t="s">
        <v>15619</v>
      </c>
      <c r="B2932" s="12" t="s">
        <v>15620</v>
      </c>
      <c r="C2932" s="19" t="s">
        <v>36</v>
      </c>
      <c r="D2932" s="19" t="s">
        <v>36</v>
      </c>
      <c r="E2932" s="19" t="s">
        <v>36</v>
      </c>
      <c r="F2932" s="19" t="s">
        <v>36</v>
      </c>
      <c r="G2932" s="15" t="s">
        <v>326</v>
      </c>
      <c r="H2932" s="14">
        <v>18.51</v>
      </c>
      <c r="I2932" s="18">
        <v>25.97</v>
      </c>
      <c r="J2932" s="12" t="s">
        <v>521</v>
      </c>
      <c r="K2932" s="13" t="s">
        <v>36</v>
      </c>
      <c r="L2932" s="15" t="s">
        <v>36</v>
      </c>
      <c r="M2932" s="12" t="s">
        <v>36</v>
      </c>
      <c r="N2932" s="12" t="s">
        <v>36</v>
      </c>
      <c r="O2932" s="17" t="s">
        <v>36</v>
      </c>
      <c r="P2932" s="12" t="s">
        <v>36</v>
      </c>
      <c r="Q2932" s="12" t="s">
        <v>36</v>
      </c>
      <c r="R2932" s="12" t="s">
        <v>36</v>
      </c>
      <c r="S2932" s="12" t="s">
        <v>36</v>
      </c>
      <c r="T2932" s="12" t="s">
        <v>6989</v>
      </c>
      <c r="U2932" s="12" t="s">
        <v>63</v>
      </c>
      <c r="V2932" s="12" t="s">
        <v>64</v>
      </c>
      <c r="W2932" s="12" t="s">
        <v>15621</v>
      </c>
      <c r="X2932" s="16" t="s">
        <v>15622</v>
      </c>
      <c r="Y2932" s="15" t="s">
        <v>42</v>
      </c>
      <c r="Z2932" s="14">
        <v>2.36</v>
      </c>
      <c r="AA2932" s="14">
        <v>9.09</v>
      </c>
      <c r="AB2932" s="12" t="s">
        <v>56</v>
      </c>
      <c r="AC2932" s="12" t="s">
        <v>15623</v>
      </c>
      <c r="AD2932" s="13">
        <v>44424</v>
      </c>
      <c r="AE2932" s="12" t="s">
        <v>68</v>
      </c>
      <c r="AF2932" s="12" t="s">
        <v>15624</v>
      </c>
      <c r="AG2932" s="12" t="s">
        <v>15625</v>
      </c>
      <c r="AH2932" s="1">
        <f>HYPERLINK("https://my.pitchbook.com?c=190897-39T","View Company Online")</f>
      </c>
    </row>
    <row r="2933">
      <c r="A2933" s="3" t="s">
        <v>15626</v>
      </c>
      <c r="B2933" s="3" t="s">
        <v>15627</v>
      </c>
      <c r="C2933" s="5" t="s">
        <v>36</v>
      </c>
      <c r="D2933" s="5" t="s">
        <v>36</v>
      </c>
      <c r="E2933" s="5" t="s">
        <v>36</v>
      </c>
      <c r="F2933" s="5" t="s">
        <v>36</v>
      </c>
      <c r="G2933" s="6" t="s">
        <v>36</v>
      </c>
      <c r="H2933" s="4" t="s">
        <v>36</v>
      </c>
      <c r="I2933" s="7" t="s">
        <v>36</v>
      </c>
      <c r="J2933" s="3" t="s">
        <v>36</v>
      </c>
      <c r="K2933" s="9" t="s">
        <v>36</v>
      </c>
      <c r="L2933" s="6" t="s">
        <v>36</v>
      </c>
      <c r="M2933" s="3" t="s">
        <v>36</v>
      </c>
      <c r="N2933" s="3" t="s">
        <v>36</v>
      </c>
      <c r="O2933" s="8" t="s">
        <v>36</v>
      </c>
      <c r="P2933" s="3" t="s">
        <v>36</v>
      </c>
      <c r="Q2933" s="3" t="s">
        <v>36</v>
      </c>
      <c r="R2933" s="3" t="s">
        <v>36</v>
      </c>
      <c r="S2933" s="3" t="s">
        <v>36</v>
      </c>
      <c r="T2933" s="3" t="s">
        <v>2483</v>
      </c>
      <c r="U2933" s="3" t="s">
        <v>63</v>
      </c>
      <c r="V2933" s="3" t="s">
        <v>64</v>
      </c>
      <c r="W2933" s="3" t="s">
        <v>15628</v>
      </c>
      <c r="X2933" s="10" t="s">
        <v>15629</v>
      </c>
      <c r="Y2933" s="6" t="s">
        <v>42</v>
      </c>
      <c r="Z2933" s="4" t="s">
        <v>36</v>
      </c>
      <c r="AA2933" s="4" t="s">
        <v>36</v>
      </c>
      <c r="AB2933" s="3" t="s">
        <v>56</v>
      </c>
      <c r="AC2933" s="3" t="s">
        <v>15630</v>
      </c>
      <c r="AD2933" s="9">
        <v>44424</v>
      </c>
      <c r="AE2933" s="3" t="s">
        <v>399</v>
      </c>
      <c r="AF2933" s="3" t="s">
        <v>36</v>
      </c>
      <c r="AG2933" s="3" t="s">
        <v>81</v>
      </c>
      <c r="AH2933" s="11">
        <f>HYPERLINK("https://my.pitchbook.com?c=179878-87T","View Company Online")</f>
      </c>
    </row>
    <row r="2934">
      <c r="A2934" s="12" t="s">
        <v>15631</v>
      </c>
      <c r="B2934" s="12" t="s">
        <v>15632</v>
      </c>
      <c r="C2934" s="19" t="s">
        <v>36</v>
      </c>
      <c r="D2934" s="19" t="s">
        <v>36</v>
      </c>
      <c r="E2934" s="19" t="s">
        <v>36</v>
      </c>
      <c r="F2934" s="19" t="s">
        <v>36</v>
      </c>
      <c r="G2934" s="15" t="s">
        <v>36</v>
      </c>
      <c r="H2934" s="14" t="s">
        <v>36</v>
      </c>
      <c r="I2934" s="18" t="s">
        <v>36</v>
      </c>
      <c r="J2934" s="12" t="s">
        <v>36</v>
      </c>
      <c r="K2934" s="13">
        <v>44351</v>
      </c>
      <c r="L2934" s="15" t="s">
        <v>36</v>
      </c>
      <c r="M2934" s="12" t="s">
        <v>36</v>
      </c>
      <c r="N2934" s="12" t="s">
        <v>36</v>
      </c>
      <c r="O2934" s="17" t="s">
        <v>36</v>
      </c>
      <c r="P2934" s="12" t="s">
        <v>36</v>
      </c>
      <c r="Q2934" s="12" t="s">
        <v>36</v>
      </c>
      <c r="R2934" s="12" t="s">
        <v>36</v>
      </c>
      <c r="S2934" s="12" t="s">
        <v>36</v>
      </c>
      <c r="T2934" s="12" t="s">
        <v>15633</v>
      </c>
      <c r="U2934" s="12" t="s">
        <v>38</v>
      </c>
      <c r="V2934" s="12" t="s">
        <v>39</v>
      </c>
      <c r="W2934" s="12" t="s">
        <v>15634</v>
      </c>
      <c r="X2934" s="16" t="s">
        <v>15635</v>
      </c>
      <c r="Y2934" s="15" t="s">
        <v>42</v>
      </c>
      <c r="Z2934" s="14">
        <v>0.74</v>
      </c>
      <c r="AA2934" s="14" t="s">
        <v>36</v>
      </c>
      <c r="AB2934" s="12" t="s">
        <v>56</v>
      </c>
      <c r="AC2934" s="12" t="s">
        <v>15636</v>
      </c>
      <c r="AD2934" s="13">
        <v>44421</v>
      </c>
      <c r="AE2934" s="12" t="s">
        <v>110</v>
      </c>
      <c r="AF2934" s="12" t="s">
        <v>118</v>
      </c>
      <c r="AG2934" s="12" t="s">
        <v>81</v>
      </c>
      <c r="AH2934" s="1">
        <f>HYPERLINK("https://my.pitchbook.com?c=190439-47T","View Company Online")</f>
      </c>
    </row>
    <row r="2935">
      <c r="A2935" s="3" t="s">
        <v>15637</v>
      </c>
      <c r="B2935" s="3" t="s">
        <v>15638</v>
      </c>
      <c r="C2935" s="5">
        <v>1</v>
      </c>
      <c r="D2935" s="5" t="s">
        <v>36</v>
      </c>
      <c r="E2935" s="5">
        <v>1</v>
      </c>
      <c r="F2935" s="5">
        <v>1</v>
      </c>
      <c r="G2935" s="6" t="s">
        <v>36</v>
      </c>
      <c r="H2935" s="4" t="s">
        <v>36</v>
      </c>
      <c r="I2935" s="7" t="s">
        <v>36</v>
      </c>
      <c r="J2935" s="3" t="s">
        <v>36</v>
      </c>
      <c r="K2935" s="9" t="s">
        <v>36</v>
      </c>
      <c r="L2935" s="6" t="s">
        <v>122</v>
      </c>
      <c r="M2935" s="3" t="s">
        <v>36</v>
      </c>
      <c r="N2935" s="3" t="s">
        <v>122</v>
      </c>
      <c r="O2935" s="8" t="s">
        <v>36</v>
      </c>
      <c r="P2935" s="3" t="s">
        <v>36</v>
      </c>
      <c r="Q2935" s="3" t="s">
        <v>36</v>
      </c>
      <c r="R2935" s="3" t="s">
        <v>36</v>
      </c>
      <c r="S2935" s="3" t="s">
        <v>36</v>
      </c>
      <c r="T2935" s="3" t="s">
        <v>2255</v>
      </c>
      <c r="U2935" s="3" t="s">
        <v>833</v>
      </c>
      <c r="V2935" s="3" t="s">
        <v>64</v>
      </c>
      <c r="W2935" s="3" t="s">
        <v>15639</v>
      </c>
      <c r="X2935" s="10" t="s">
        <v>15640</v>
      </c>
      <c r="Y2935" s="6" t="s">
        <v>108</v>
      </c>
      <c r="Z2935" s="4">
        <v>16.3</v>
      </c>
      <c r="AA2935" s="4" t="s">
        <v>36</v>
      </c>
      <c r="AB2935" s="3" t="s">
        <v>43</v>
      </c>
      <c r="AC2935" s="3" t="s">
        <v>15641</v>
      </c>
      <c r="AD2935" s="9">
        <v>44418</v>
      </c>
      <c r="AE2935" s="3" t="s">
        <v>1769</v>
      </c>
      <c r="AF2935" s="3" t="s">
        <v>15642</v>
      </c>
      <c r="AG2935" s="3" t="s">
        <v>81</v>
      </c>
      <c r="AH2935" s="11">
        <f>HYPERLINK("https://my.pitchbook.com?c=207073-90T","View Company Online")</f>
      </c>
    </row>
    <row r="2936">
      <c r="A2936" s="12" t="s">
        <v>15643</v>
      </c>
      <c r="B2936" s="12" t="s">
        <v>7254</v>
      </c>
      <c r="C2936" s="19" t="s">
        <v>36</v>
      </c>
      <c r="D2936" s="19" t="s">
        <v>36</v>
      </c>
      <c r="E2936" s="19" t="s">
        <v>36</v>
      </c>
      <c r="F2936" s="19" t="s">
        <v>36</v>
      </c>
      <c r="G2936" s="15" t="s">
        <v>36</v>
      </c>
      <c r="H2936" s="14" t="s">
        <v>36</v>
      </c>
      <c r="I2936" s="18" t="s">
        <v>36</v>
      </c>
      <c r="J2936" s="12" t="s">
        <v>36</v>
      </c>
      <c r="K2936" s="13" t="s">
        <v>36</v>
      </c>
      <c r="L2936" s="15" t="s">
        <v>15644</v>
      </c>
      <c r="M2936" s="12" t="s">
        <v>36</v>
      </c>
      <c r="N2936" s="12" t="s">
        <v>15644</v>
      </c>
      <c r="O2936" s="17" t="s">
        <v>36</v>
      </c>
      <c r="P2936" s="12" t="s">
        <v>36</v>
      </c>
      <c r="Q2936" s="12" t="s">
        <v>36</v>
      </c>
      <c r="R2936" s="12" t="s">
        <v>36</v>
      </c>
      <c r="S2936" s="12" t="s">
        <v>36</v>
      </c>
      <c r="T2936" s="12" t="s">
        <v>7256</v>
      </c>
      <c r="U2936" s="12" t="s">
        <v>74</v>
      </c>
      <c r="V2936" s="12" t="s">
        <v>75</v>
      </c>
      <c r="W2936" s="12" t="s">
        <v>7257</v>
      </c>
      <c r="X2936" s="16" t="s">
        <v>15645</v>
      </c>
      <c r="Y2936" s="15" t="s">
        <v>166</v>
      </c>
      <c r="Z2936" s="14" t="s">
        <v>36</v>
      </c>
      <c r="AA2936" s="14" t="s">
        <v>36</v>
      </c>
      <c r="AB2936" s="12" t="s">
        <v>56</v>
      </c>
      <c r="AC2936" s="12" t="s">
        <v>7259</v>
      </c>
      <c r="AD2936" s="13">
        <v>44417</v>
      </c>
      <c r="AE2936" s="12" t="s">
        <v>79</v>
      </c>
      <c r="AF2936" s="12" t="s">
        <v>7260</v>
      </c>
      <c r="AG2936" s="12" t="s">
        <v>1078</v>
      </c>
      <c r="AH2936" s="1">
        <f>HYPERLINK("https://my.pitchbook.com?c=203833-54T","View Company Online")</f>
      </c>
    </row>
    <row r="2937">
      <c r="A2937" s="3" t="s">
        <v>15646</v>
      </c>
      <c r="B2937" s="3" t="s">
        <v>4113</v>
      </c>
      <c r="C2937" s="5" t="s">
        <v>36</v>
      </c>
      <c r="D2937" s="5" t="s">
        <v>36</v>
      </c>
      <c r="E2937" s="5" t="s">
        <v>36</v>
      </c>
      <c r="F2937" s="5" t="s">
        <v>36</v>
      </c>
      <c r="G2937" s="6" t="s">
        <v>36</v>
      </c>
      <c r="H2937" s="4" t="s">
        <v>36</v>
      </c>
      <c r="I2937" s="7" t="s">
        <v>36</v>
      </c>
      <c r="J2937" s="3" t="s">
        <v>36</v>
      </c>
      <c r="K2937" s="9" t="s">
        <v>36</v>
      </c>
      <c r="L2937" s="6" t="s">
        <v>471</v>
      </c>
      <c r="M2937" s="3" t="s">
        <v>36</v>
      </c>
      <c r="N2937" s="3" t="s">
        <v>471</v>
      </c>
      <c r="O2937" s="8" t="s">
        <v>36</v>
      </c>
      <c r="P2937" s="3" t="s">
        <v>36</v>
      </c>
      <c r="Q2937" s="3" t="s">
        <v>36</v>
      </c>
      <c r="R2937" s="3" t="s">
        <v>36</v>
      </c>
      <c r="S2937" s="3" t="s">
        <v>36</v>
      </c>
      <c r="T2937" s="3" t="s">
        <v>1990</v>
      </c>
      <c r="U2937" s="3" t="s">
        <v>38</v>
      </c>
      <c r="V2937" s="3" t="s">
        <v>39</v>
      </c>
      <c r="W2937" s="3" t="s">
        <v>4114</v>
      </c>
      <c r="X2937" s="10" t="s">
        <v>15647</v>
      </c>
      <c r="Y2937" s="6" t="s">
        <v>192</v>
      </c>
      <c r="Z2937" s="4" t="s">
        <v>36</v>
      </c>
      <c r="AA2937" s="4" t="s">
        <v>36</v>
      </c>
      <c r="AB2937" s="3" t="s">
        <v>56</v>
      </c>
      <c r="AC2937" s="3" t="s">
        <v>4116</v>
      </c>
      <c r="AD2937" s="9">
        <v>44417</v>
      </c>
      <c r="AE2937" s="3" t="s">
        <v>110</v>
      </c>
      <c r="AF2937" s="3" t="s">
        <v>4117</v>
      </c>
      <c r="AG2937" s="3" t="s">
        <v>81</v>
      </c>
      <c r="AH2937" s="11">
        <f>HYPERLINK("https://my.pitchbook.com?c=192756-52T","View Company Online")</f>
      </c>
    </row>
    <row r="2938">
      <c r="A2938" s="12" t="s">
        <v>15648</v>
      </c>
      <c r="B2938" s="12" t="s">
        <v>2232</v>
      </c>
      <c r="C2938" s="19" t="s">
        <v>36</v>
      </c>
      <c r="D2938" s="19" t="s">
        <v>36</v>
      </c>
      <c r="E2938" s="19" t="s">
        <v>36</v>
      </c>
      <c r="F2938" s="19" t="s">
        <v>36</v>
      </c>
      <c r="G2938" s="15" t="s">
        <v>326</v>
      </c>
      <c r="H2938" s="14">
        <v>326.87</v>
      </c>
      <c r="I2938" s="18">
        <v>30.88</v>
      </c>
      <c r="J2938" s="12" t="s">
        <v>521</v>
      </c>
      <c r="K2938" s="13">
        <v>44406</v>
      </c>
      <c r="L2938" s="15" t="s">
        <v>122</v>
      </c>
      <c r="M2938" s="12" t="s">
        <v>36</v>
      </c>
      <c r="N2938" s="12" t="s">
        <v>122</v>
      </c>
      <c r="O2938" s="17" t="s">
        <v>36</v>
      </c>
      <c r="P2938" s="12" t="s">
        <v>36</v>
      </c>
      <c r="Q2938" s="12" t="s">
        <v>36</v>
      </c>
      <c r="R2938" s="12" t="s">
        <v>36</v>
      </c>
      <c r="S2938" s="12" t="s">
        <v>36</v>
      </c>
      <c r="T2938" s="12" t="s">
        <v>2233</v>
      </c>
      <c r="U2938" s="12" t="s">
        <v>74</v>
      </c>
      <c r="V2938" s="12" t="s">
        <v>75</v>
      </c>
      <c r="W2938" s="12" t="s">
        <v>2234</v>
      </c>
      <c r="X2938" s="16" t="s">
        <v>15649</v>
      </c>
      <c r="Y2938" s="15" t="s">
        <v>108</v>
      </c>
      <c r="Z2938" s="14">
        <v>10.05</v>
      </c>
      <c r="AA2938" s="14">
        <v>23.22</v>
      </c>
      <c r="AB2938" s="12" t="s">
        <v>43</v>
      </c>
      <c r="AC2938" s="12" t="s">
        <v>2236</v>
      </c>
      <c r="AD2938" s="13">
        <v>44413</v>
      </c>
      <c r="AE2938" s="12" t="s">
        <v>2237</v>
      </c>
      <c r="AF2938" s="12" t="s">
        <v>2238</v>
      </c>
      <c r="AG2938" s="12" t="s">
        <v>81</v>
      </c>
      <c r="AH2938" s="1">
        <f>HYPERLINK("https://my.pitchbook.com?c=180408-34T","View Company Online")</f>
      </c>
    </row>
    <row r="2939">
      <c r="A2939" s="3" t="s">
        <v>15650</v>
      </c>
      <c r="B2939" s="3" t="s">
        <v>15651</v>
      </c>
      <c r="C2939" s="5" t="s">
        <v>36</v>
      </c>
      <c r="D2939" s="5" t="s">
        <v>36</v>
      </c>
      <c r="E2939" s="5" t="s">
        <v>36</v>
      </c>
      <c r="F2939" s="5" t="s">
        <v>36</v>
      </c>
      <c r="G2939" s="6" t="s">
        <v>326</v>
      </c>
      <c r="H2939" s="4">
        <v>11.94</v>
      </c>
      <c r="I2939" s="7">
        <v>24.5</v>
      </c>
      <c r="J2939" s="3" t="s">
        <v>521</v>
      </c>
      <c r="K2939" s="9" t="s">
        <v>36</v>
      </c>
      <c r="L2939" s="6" t="s">
        <v>3736</v>
      </c>
      <c r="M2939" s="3" t="s">
        <v>36</v>
      </c>
      <c r="N2939" s="3" t="s">
        <v>3736</v>
      </c>
      <c r="O2939" s="8" t="s">
        <v>36</v>
      </c>
      <c r="P2939" s="3" t="s">
        <v>36</v>
      </c>
      <c r="Q2939" s="3" t="s">
        <v>36</v>
      </c>
      <c r="R2939" s="3" t="s">
        <v>36</v>
      </c>
      <c r="S2939" s="3" t="s">
        <v>36</v>
      </c>
      <c r="T2939" s="3" t="s">
        <v>692</v>
      </c>
      <c r="U2939" s="3" t="s">
        <v>74</v>
      </c>
      <c r="V2939" s="3" t="s">
        <v>75</v>
      </c>
      <c r="W2939" s="3" t="s">
        <v>15652</v>
      </c>
      <c r="X2939" s="10" t="s">
        <v>15653</v>
      </c>
      <c r="Y2939" s="6" t="s">
        <v>108</v>
      </c>
      <c r="Z2939" s="4">
        <v>10.25</v>
      </c>
      <c r="AA2939" s="4">
        <v>24.21</v>
      </c>
      <c r="AB2939" s="3" t="s">
        <v>56</v>
      </c>
      <c r="AC2939" s="3" t="s">
        <v>15654</v>
      </c>
      <c r="AD2939" s="9">
        <v>44413</v>
      </c>
      <c r="AE2939" s="3" t="s">
        <v>696</v>
      </c>
      <c r="AF2939" s="3" t="s">
        <v>15655</v>
      </c>
      <c r="AG2939" s="3" t="s">
        <v>2618</v>
      </c>
      <c r="AH2939" s="11">
        <f>HYPERLINK("https://my.pitchbook.com?c=181617-49T","View Company Online")</f>
      </c>
    </row>
    <row r="2940">
      <c r="A2940" s="12" t="s">
        <v>15656</v>
      </c>
      <c r="B2940" s="12" t="s">
        <v>4119</v>
      </c>
      <c r="C2940" s="19">
        <v>10</v>
      </c>
      <c r="D2940" s="19">
        <v>14</v>
      </c>
      <c r="E2940" s="19">
        <v>5</v>
      </c>
      <c r="F2940" s="19">
        <v>27</v>
      </c>
      <c r="G2940" s="15" t="s">
        <v>326</v>
      </c>
      <c r="H2940" s="14">
        <v>20.77</v>
      </c>
      <c r="I2940" s="18">
        <v>41.54</v>
      </c>
      <c r="J2940" s="12" t="s">
        <v>521</v>
      </c>
      <c r="K2940" s="13" t="s">
        <v>36</v>
      </c>
      <c r="L2940" s="15" t="s">
        <v>94</v>
      </c>
      <c r="M2940" s="12" t="s">
        <v>36</v>
      </c>
      <c r="N2940" s="12" t="s">
        <v>94</v>
      </c>
      <c r="O2940" s="17" t="s">
        <v>36</v>
      </c>
      <c r="P2940" s="12" t="s">
        <v>36</v>
      </c>
      <c r="Q2940" s="12" t="s">
        <v>36</v>
      </c>
      <c r="R2940" s="12" t="s">
        <v>36</v>
      </c>
      <c r="S2940" s="12" t="s">
        <v>36</v>
      </c>
      <c r="T2940" s="12" t="s">
        <v>881</v>
      </c>
      <c r="U2940" s="12" t="s">
        <v>51</v>
      </c>
      <c r="V2940" s="12" t="s">
        <v>52</v>
      </c>
      <c r="W2940" s="12" t="s">
        <v>4120</v>
      </c>
      <c r="X2940" s="16" t="s">
        <v>15657</v>
      </c>
      <c r="Y2940" s="15" t="s">
        <v>192</v>
      </c>
      <c r="Z2940" s="14">
        <v>26.78</v>
      </c>
      <c r="AA2940" s="14">
        <v>64.45</v>
      </c>
      <c r="AB2940" s="12" t="s">
        <v>56</v>
      </c>
      <c r="AC2940" s="12" t="s">
        <v>4122</v>
      </c>
      <c r="AD2940" s="13">
        <v>44412</v>
      </c>
      <c r="AE2940" s="12" t="s">
        <v>504</v>
      </c>
      <c r="AF2940" s="12" t="s">
        <v>159</v>
      </c>
      <c r="AG2940" s="12" t="s">
        <v>81</v>
      </c>
      <c r="AH2940" s="1">
        <f>HYPERLINK("https://my.pitchbook.com?c=177753-52T","View Company Online")</f>
      </c>
    </row>
    <row r="2941">
      <c r="A2941" s="3" t="s">
        <v>15658</v>
      </c>
      <c r="B2941" s="3" t="s">
        <v>15659</v>
      </c>
      <c r="C2941" s="5" t="s">
        <v>36</v>
      </c>
      <c r="D2941" s="5" t="s">
        <v>36</v>
      </c>
      <c r="E2941" s="5" t="s">
        <v>36</v>
      </c>
      <c r="F2941" s="5" t="s">
        <v>36</v>
      </c>
      <c r="G2941" s="6" t="s">
        <v>36</v>
      </c>
      <c r="H2941" s="4" t="s">
        <v>36</v>
      </c>
      <c r="I2941" s="7" t="s">
        <v>36</v>
      </c>
      <c r="J2941" s="3" t="s">
        <v>36</v>
      </c>
      <c r="K2941" s="9" t="s">
        <v>36</v>
      </c>
      <c r="L2941" s="6" t="s">
        <v>36</v>
      </c>
      <c r="M2941" s="3" t="s">
        <v>36</v>
      </c>
      <c r="N2941" s="3" t="s">
        <v>36</v>
      </c>
      <c r="O2941" s="8" t="s">
        <v>36</v>
      </c>
      <c r="P2941" s="3" t="s">
        <v>36</v>
      </c>
      <c r="Q2941" s="3" t="s">
        <v>36</v>
      </c>
      <c r="R2941" s="3" t="s">
        <v>36</v>
      </c>
      <c r="S2941" s="3" t="s">
        <v>36</v>
      </c>
      <c r="T2941" s="3" t="s">
        <v>15660</v>
      </c>
      <c r="U2941" s="3" t="s">
        <v>38</v>
      </c>
      <c r="V2941" s="3" t="s">
        <v>39</v>
      </c>
      <c r="W2941" s="3" t="s">
        <v>15661</v>
      </c>
      <c r="X2941" s="10" t="s">
        <v>15662</v>
      </c>
      <c r="Y2941" s="6" t="s">
        <v>42</v>
      </c>
      <c r="Z2941" s="4">
        <v>0.88</v>
      </c>
      <c r="AA2941" s="4" t="s">
        <v>36</v>
      </c>
      <c r="AB2941" s="3" t="s">
        <v>43</v>
      </c>
      <c r="AC2941" s="3" t="s">
        <v>15663</v>
      </c>
      <c r="AD2941" s="9">
        <v>44411</v>
      </c>
      <c r="AE2941" s="3" t="s">
        <v>110</v>
      </c>
      <c r="AF2941" s="3" t="s">
        <v>1159</v>
      </c>
      <c r="AG2941" s="3" t="s">
        <v>4520</v>
      </c>
      <c r="AH2941" s="11">
        <f>HYPERLINK("https://my.pitchbook.com?c=190355-05T","View Company Online")</f>
      </c>
    </row>
    <row r="2942">
      <c r="A2942" s="12" t="s">
        <v>15664</v>
      </c>
      <c r="B2942" s="12" t="s">
        <v>15665</v>
      </c>
      <c r="C2942" s="19" t="s">
        <v>36</v>
      </c>
      <c r="D2942" s="19" t="s">
        <v>36</v>
      </c>
      <c r="E2942" s="19" t="s">
        <v>36</v>
      </c>
      <c r="F2942" s="19" t="s">
        <v>36</v>
      </c>
      <c r="G2942" s="15" t="s">
        <v>36</v>
      </c>
      <c r="H2942" s="14">
        <v>2.08</v>
      </c>
      <c r="I2942" s="18">
        <v>23.77</v>
      </c>
      <c r="J2942" s="12" t="s">
        <v>521</v>
      </c>
      <c r="K2942" s="13" t="s">
        <v>36</v>
      </c>
      <c r="L2942" s="15" t="s">
        <v>36</v>
      </c>
      <c r="M2942" s="12" t="s">
        <v>36</v>
      </c>
      <c r="N2942" s="12" t="s">
        <v>36</v>
      </c>
      <c r="O2942" s="17" t="s">
        <v>36</v>
      </c>
      <c r="P2942" s="12" t="s">
        <v>36</v>
      </c>
      <c r="Q2942" s="12" t="s">
        <v>36</v>
      </c>
      <c r="R2942" s="12" t="s">
        <v>36</v>
      </c>
      <c r="S2942" s="12" t="s">
        <v>5151</v>
      </c>
      <c r="T2942" s="12" t="s">
        <v>130</v>
      </c>
      <c r="U2942" s="12" t="s">
        <v>38</v>
      </c>
      <c r="V2942" s="12" t="s">
        <v>39</v>
      </c>
      <c r="W2942" s="12" t="s">
        <v>15666</v>
      </c>
      <c r="X2942" s="16" t="s">
        <v>6572</v>
      </c>
      <c r="Y2942" s="15" t="s">
        <v>108</v>
      </c>
      <c r="Z2942" s="14">
        <v>0.37</v>
      </c>
      <c r="AA2942" s="14">
        <v>1.57</v>
      </c>
      <c r="AB2942" s="12" t="s">
        <v>43</v>
      </c>
      <c r="AC2942" s="12" t="s">
        <v>15667</v>
      </c>
      <c r="AD2942" s="13">
        <v>44410</v>
      </c>
      <c r="AE2942" s="12" t="s">
        <v>134</v>
      </c>
      <c r="AF2942" s="12" t="s">
        <v>135</v>
      </c>
      <c r="AG2942" s="12" t="s">
        <v>741</v>
      </c>
      <c r="AH2942" s="1">
        <f>HYPERLINK("https://my.pitchbook.com?c=182986-48T","View Company Online")</f>
      </c>
    </row>
    <row r="2943">
      <c r="A2943" s="3" t="s">
        <v>15668</v>
      </c>
      <c r="B2943" s="3" t="s">
        <v>15669</v>
      </c>
      <c r="C2943" s="5" t="s">
        <v>36</v>
      </c>
      <c r="D2943" s="5" t="s">
        <v>36</v>
      </c>
      <c r="E2943" s="5" t="s">
        <v>36</v>
      </c>
      <c r="F2943" s="5" t="s">
        <v>36</v>
      </c>
      <c r="G2943" s="6" t="s">
        <v>326</v>
      </c>
      <c r="H2943" s="4">
        <v>172.61</v>
      </c>
      <c r="I2943" s="7">
        <v>25</v>
      </c>
      <c r="J2943" s="3" t="s">
        <v>521</v>
      </c>
      <c r="K2943" s="9" t="s">
        <v>36</v>
      </c>
      <c r="L2943" s="6" t="s">
        <v>36</v>
      </c>
      <c r="M2943" s="3" t="s">
        <v>36</v>
      </c>
      <c r="N2943" s="3" t="s">
        <v>36</v>
      </c>
      <c r="O2943" s="8" t="s">
        <v>36</v>
      </c>
      <c r="P2943" s="3" t="s">
        <v>36</v>
      </c>
      <c r="Q2943" s="3" t="s">
        <v>36</v>
      </c>
      <c r="R2943" s="3" t="s">
        <v>36</v>
      </c>
      <c r="S2943" s="3" t="s">
        <v>36</v>
      </c>
      <c r="T2943" s="3" t="s">
        <v>1935</v>
      </c>
      <c r="U2943" s="3" t="s">
        <v>38</v>
      </c>
      <c r="V2943" s="3" t="s">
        <v>39</v>
      </c>
      <c r="W2943" s="3" t="s">
        <v>15670</v>
      </c>
      <c r="X2943" s="10" t="s">
        <v>15671</v>
      </c>
      <c r="Y2943" s="6" t="s">
        <v>42</v>
      </c>
      <c r="Z2943" s="4">
        <v>1.18</v>
      </c>
      <c r="AA2943" s="4">
        <v>4.73</v>
      </c>
      <c r="AB2943" s="3" t="s">
        <v>56</v>
      </c>
      <c r="AC2943" s="3" t="s">
        <v>15672</v>
      </c>
      <c r="AD2943" s="9">
        <v>44410</v>
      </c>
      <c r="AE2943" s="3" t="s">
        <v>45</v>
      </c>
      <c r="AF2943" s="3" t="s">
        <v>14056</v>
      </c>
      <c r="AG2943" s="3" t="s">
        <v>186</v>
      </c>
      <c r="AH2943" s="11">
        <f>HYPERLINK("https://my.pitchbook.com?c=226949-68T","View Company Online")</f>
      </c>
    </row>
    <row r="2944">
      <c r="A2944" s="12" t="s">
        <v>15673</v>
      </c>
      <c r="B2944" s="12" t="s">
        <v>15674</v>
      </c>
      <c r="C2944" s="19" t="s">
        <v>36</v>
      </c>
      <c r="D2944" s="19" t="s">
        <v>36</v>
      </c>
      <c r="E2944" s="19" t="s">
        <v>36</v>
      </c>
      <c r="F2944" s="19" t="s">
        <v>36</v>
      </c>
      <c r="G2944" s="15" t="s">
        <v>326</v>
      </c>
      <c r="H2944" s="14">
        <v>1.66</v>
      </c>
      <c r="I2944" s="18">
        <v>9.52</v>
      </c>
      <c r="J2944" s="12" t="s">
        <v>521</v>
      </c>
      <c r="K2944" s="13" t="s">
        <v>36</v>
      </c>
      <c r="L2944" s="15" t="s">
        <v>36</v>
      </c>
      <c r="M2944" s="12" t="s">
        <v>36</v>
      </c>
      <c r="N2944" s="12" t="s">
        <v>36</v>
      </c>
      <c r="O2944" s="17" t="s">
        <v>36</v>
      </c>
      <c r="P2944" s="12" t="s">
        <v>36</v>
      </c>
      <c r="Q2944" s="12" t="s">
        <v>36</v>
      </c>
      <c r="R2944" s="12" t="s">
        <v>36</v>
      </c>
      <c r="S2944" s="12" t="s">
        <v>36</v>
      </c>
      <c r="T2944" s="12" t="s">
        <v>1560</v>
      </c>
      <c r="U2944" s="12" t="s">
        <v>438</v>
      </c>
      <c r="V2944" s="12" t="s">
        <v>405</v>
      </c>
      <c r="W2944" s="12" t="s">
        <v>15675</v>
      </c>
      <c r="X2944" s="16" t="s">
        <v>15676</v>
      </c>
      <c r="Y2944" s="15" t="s">
        <v>42</v>
      </c>
      <c r="Z2944" s="14">
        <v>2.37</v>
      </c>
      <c r="AA2944" s="14">
        <v>24.86</v>
      </c>
      <c r="AB2944" s="12" t="s">
        <v>56</v>
      </c>
      <c r="AC2944" s="12" t="s">
        <v>15677</v>
      </c>
      <c r="AD2944" s="13">
        <v>44410</v>
      </c>
      <c r="AE2944" s="12" t="s">
        <v>438</v>
      </c>
      <c r="AF2944" s="12" t="s">
        <v>215</v>
      </c>
      <c r="AG2944" s="12" t="s">
        <v>15678</v>
      </c>
      <c r="AH2944" s="1">
        <f>HYPERLINK("https://my.pitchbook.com?c=177102-37T","View Company Online")</f>
      </c>
    </row>
    <row r="2945">
      <c r="A2945" s="3" t="s">
        <v>15679</v>
      </c>
      <c r="B2945" s="3" t="s">
        <v>15680</v>
      </c>
      <c r="C2945" s="5" t="s">
        <v>36</v>
      </c>
      <c r="D2945" s="5" t="s">
        <v>36</v>
      </c>
      <c r="E2945" s="5" t="s">
        <v>36</v>
      </c>
      <c r="F2945" s="5" t="s">
        <v>36</v>
      </c>
      <c r="G2945" s="6" t="s">
        <v>36</v>
      </c>
      <c r="H2945" s="4" t="s">
        <v>36</v>
      </c>
      <c r="I2945" s="7" t="s">
        <v>36</v>
      </c>
      <c r="J2945" s="3" t="s">
        <v>36</v>
      </c>
      <c r="K2945" s="9" t="s">
        <v>36</v>
      </c>
      <c r="L2945" s="6" t="s">
        <v>36</v>
      </c>
      <c r="M2945" s="3" t="s">
        <v>36</v>
      </c>
      <c r="N2945" s="3" t="s">
        <v>36</v>
      </c>
      <c r="O2945" s="8" t="s">
        <v>36</v>
      </c>
      <c r="P2945" s="3" t="s">
        <v>36</v>
      </c>
      <c r="Q2945" s="3" t="s">
        <v>36</v>
      </c>
      <c r="R2945" s="3" t="s">
        <v>36</v>
      </c>
      <c r="S2945" s="3" t="s">
        <v>36</v>
      </c>
      <c r="T2945" s="3" t="s">
        <v>15681</v>
      </c>
      <c r="U2945" s="3" t="s">
        <v>38</v>
      </c>
      <c r="V2945" s="3" t="s">
        <v>39</v>
      </c>
      <c r="W2945" s="3" t="s">
        <v>15682</v>
      </c>
      <c r="X2945" s="10" t="s">
        <v>12817</v>
      </c>
      <c r="Y2945" s="6" t="s">
        <v>42</v>
      </c>
      <c r="Z2945" s="4" t="s">
        <v>36</v>
      </c>
      <c r="AA2945" s="4" t="s">
        <v>36</v>
      </c>
      <c r="AB2945" s="3" t="s">
        <v>56</v>
      </c>
      <c r="AC2945" s="3" t="s">
        <v>15683</v>
      </c>
      <c r="AD2945" s="9">
        <v>44409</v>
      </c>
      <c r="AE2945" s="3" t="s">
        <v>554</v>
      </c>
      <c r="AF2945" s="3" t="s">
        <v>1380</v>
      </c>
      <c r="AG2945" s="3" t="s">
        <v>1078</v>
      </c>
      <c r="AH2945" s="11">
        <f>HYPERLINK("https://my.pitchbook.com?c=178194-16T","View Company Online")</f>
      </c>
    </row>
    <row r="2946">
      <c r="A2946" s="12" t="s">
        <v>15684</v>
      </c>
      <c r="B2946" s="12" t="s">
        <v>15685</v>
      </c>
      <c r="C2946" s="19">
        <v>2</v>
      </c>
      <c r="D2946" s="19" t="s">
        <v>36</v>
      </c>
      <c r="E2946" s="19">
        <v>1</v>
      </c>
      <c r="F2946" s="19">
        <v>2</v>
      </c>
      <c r="G2946" s="15" t="s">
        <v>36</v>
      </c>
      <c r="H2946" s="14" t="s">
        <v>36</v>
      </c>
      <c r="I2946" s="18" t="s">
        <v>36</v>
      </c>
      <c r="J2946" s="12" t="s">
        <v>36</v>
      </c>
      <c r="K2946" s="13" t="s">
        <v>36</v>
      </c>
      <c r="L2946" s="15" t="s">
        <v>36</v>
      </c>
      <c r="M2946" s="12" t="s">
        <v>36</v>
      </c>
      <c r="N2946" s="12" t="s">
        <v>36</v>
      </c>
      <c r="O2946" s="17" t="s">
        <v>36</v>
      </c>
      <c r="P2946" s="12" t="s">
        <v>36</v>
      </c>
      <c r="Q2946" s="12" t="s">
        <v>36</v>
      </c>
      <c r="R2946" s="12" t="s">
        <v>36</v>
      </c>
      <c r="S2946" s="12" t="s">
        <v>36</v>
      </c>
      <c r="T2946" s="12" t="s">
        <v>2961</v>
      </c>
      <c r="U2946" s="12" t="s">
        <v>74</v>
      </c>
      <c r="V2946" s="12" t="s">
        <v>75</v>
      </c>
      <c r="W2946" s="12" t="s">
        <v>15686</v>
      </c>
      <c r="X2946" s="16" t="s">
        <v>15687</v>
      </c>
      <c r="Y2946" s="15" t="s">
        <v>108</v>
      </c>
      <c r="Z2946" s="14" t="s">
        <v>36</v>
      </c>
      <c r="AA2946" s="14" t="s">
        <v>36</v>
      </c>
      <c r="AB2946" s="12" t="s">
        <v>43</v>
      </c>
      <c r="AC2946" s="12" t="s">
        <v>15688</v>
      </c>
      <c r="AD2946" s="13">
        <v>44409</v>
      </c>
      <c r="AE2946" s="12" t="s">
        <v>975</v>
      </c>
      <c r="AF2946" s="12" t="s">
        <v>275</v>
      </c>
      <c r="AG2946" s="12" t="s">
        <v>144</v>
      </c>
      <c r="AH2946" s="1">
        <f>HYPERLINK("https://my.pitchbook.com?c=210631-06T","View Company Online")</f>
      </c>
    </row>
    <row r="2947">
      <c r="A2947" s="3" t="s">
        <v>15689</v>
      </c>
      <c r="B2947" s="3" t="s">
        <v>985</v>
      </c>
      <c r="C2947" s="5" t="s">
        <v>36</v>
      </c>
      <c r="D2947" s="5">
        <v>8</v>
      </c>
      <c r="E2947" s="5">
        <v>1</v>
      </c>
      <c r="F2947" s="5">
        <v>9</v>
      </c>
      <c r="G2947" s="6" t="s">
        <v>36</v>
      </c>
      <c r="H2947" s="4">
        <v>237.75</v>
      </c>
      <c r="I2947" s="7">
        <v>44.55</v>
      </c>
      <c r="J2947" s="3" t="s">
        <v>521</v>
      </c>
      <c r="K2947" s="9" t="s">
        <v>36</v>
      </c>
      <c r="L2947" s="6" t="s">
        <v>36</v>
      </c>
      <c r="M2947" s="3" t="s">
        <v>36</v>
      </c>
      <c r="N2947" s="3" t="s">
        <v>36</v>
      </c>
      <c r="O2947" s="8" t="s">
        <v>36</v>
      </c>
      <c r="P2947" s="3" t="s">
        <v>36</v>
      </c>
      <c r="Q2947" s="3" t="s">
        <v>36</v>
      </c>
      <c r="R2947" s="3" t="s">
        <v>36</v>
      </c>
      <c r="S2947" s="3" t="s">
        <v>36</v>
      </c>
      <c r="T2947" s="3" t="s">
        <v>986</v>
      </c>
      <c r="U2947" s="3" t="s">
        <v>96</v>
      </c>
      <c r="V2947" s="3" t="s">
        <v>52</v>
      </c>
      <c r="W2947" s="3" t="s">
        <v>987</v>
      </c>
      <c r="X2947" s="10" t="s">
        <v>15690</v>
      </c>
      <c r="Y2947" s="6" t="s">
        <v>108</v>
      </c>
      <c r="Z2947" s="4">
        <v>3.48</v>
      </c>
      <c r="AA2947" s="4">
        <v>7.81</v>
      </c>
      <c r="AB2947" s="3" t="s">
        <v>56</v>
      </c>
      <c r="AC2947" s="3" t="s">
        <v>989</v>
      </c>
      <c r="AD2947" s="9">
        <v>44409</v>
      </c>
      <c r="AE2947" s="3" t="s">
        <v>143</v>
      </c>
      <c r="AF2947" s="3" t="s">
        <v>990</v>
      </c>
      <c r="AG2947" s="3" t="s">
        <v>991</v>
      </c>
      <c r="AH2947" s="11">
        <f>HYPERLINK("https://my.pitchbook.com?c=178338-70T","View Company Online")</f>
      </c>
    </row>
    <row r="2948">
      <c r="A2948" s="12" t="s">
        <v>15691</v>
      </c>
      <c r="B2948" s="12" t="s">
        <v>15692</v>
      </c>
      <c r="C2948" s="19" t="s">
        <v>36</v>
      </c>
      <c r="D2948" s="19">
        <v>2</v>
      </c>
      <c r="E2948" s="19">
        <v>4</v>
      </c>
      <c r="F2948" s="19">
        <v>10</v>
      </c>
      <c r="G2948" s="15" t="s">
        <v>36</v>
      </c>
      <c r="H2948" s="14" t="s">
        <v>36</v>
      </c>
      <c r="I2948" s="18" t="s">
        <v>36</v>
      </c>
      <c r="J2948" s="12" t="s">
        <v>36</v>
      </c>
      <c r="K2948" s="13" t="s">
        <v>36</v>
      </c>
      <c r="L2948" s="15" t="s">
        <v>36</v>
      </c>
      <c r="M2948" s="12" t="s">
        <v>36</v>
      </c>
      <c r="N2948" s="12" t="s">
        <v>36</v>
      </c>
      <c r="O2948" s="17" t="s">
        <v>36</v>
      </c>
      <c r="P2948" s="12" t="s">
        <v>36</v>
      </c>
      <c r="Q2948" s="12" t="s">
        <v>36</v>
      </c>
      <c r="R2948" s="12" t="s">
        <v>36</v>
      </c>
      <c r="S2948" s="12" t="s">
        <v>36</v>
      </c>
      <c r="T2948" s="12" t="s">
        <v>1106</v>
      </c>
      <c r="U2948" s="12" t="s">
        <v>38</v>
      </c>
      <c r="V2948" s="12" t="s">
        <v>39</v>
      </c>
      <c r="W2948" s="12" t="s">
        <v>15693</v>
      </c>
      <c r="X2948" s="16" t="s">
        <v>12817</v>
      </c>
      <c r="Y2948" s="15" t="s">
        <v>42</v>
      </c>
      <c r="Z2948" s="14" t="s">
        <v>36</v>
      </c>
      <c r="AA2948" s="14" t="s">
        <v>36</v>
      </c>
      <c r="AB2948" s="12" t="s">
        <v>56</v>
      </c>
      <c r="AC2948" s="12" t="s">
        <v>15694</v>
      </c>
      <c r="AD2948" s="13">
        <v>44409</v>
      </c>
      <c r="AE2948" s="12" t="s">
        <v>110</v>
      </c>
      <c r="AF2948" s="12" t="s">
        <v>176</v>
      </c>
      <c r="AG2948" s="12" t="s">
        <v>1525</v>
      </c>
      <c r="AH2948" s="1">
        <f>HYPERLINK("https://my.pitchbook.com?c=178185-16T","View Company Online")</f>
      </c>
    </row>
    <row r="2949">
      <c r="A2949" s="3" t="s">
        <v>15695</v>
      </c>
      <c r="B2949" s="3" t="s">
        <v>15696</v>
      </c>
      <c r="C2949" s="5" t="s">
        <v>36</v>
      </c>
      <c r="D2949" s="5" t="s">
        <v>36</v>
      </c>
      <c r="E2949" s="5" t="s">
        <v>36</v>
      </c>
      <c r="F2949" s="5" t="s">
        <v>36</v>
      </c>
      <c r="G2949" s="6" t="s">
        <v>36</v>
      </c>
      <c r="H2949" s="4" t="s">
        <v>36</v>
      </c>
      <c r="I2949" s="7" t="s">
        <v>36</v>
      </c>
      <c r="J2949" s="3" t="s">
        <v>36</v>
      </c>
      <c r="K2949" s="9" t="s">
        <v>36</v>
      </c>
      <c r="L2949" s="6" t="s">
        <v>36</v>
      </c>
      <c r="M2949" s="3" t="s">
        <v>36</v>
      </c>
      <c r="N2949" s="3" t="s">
        <v>36</v>
      </c>
      <c r="O2949" s="8" t="s">
        <v>36</v>
      </c>
      <c r="P2949" s="3" t="s">
        <v>36</v>
      </c>
      <c r="Q2949" s="3" t="s">
        <v>36</v>
      </c>
      <c r="R2949" s="3" t="s">
        <v>36</v>
      </c>
      <c r="S2949" s="3" t="s">
        <v>36</v>
      </c>
      <c r="T2949" s="3" t="s">
        <v>1418</v>
      </c>
      <c r="U2949" s="3" t="s">
        <v>38</v>
      </c>
      <c r="V2949" s="3" t="s">
        <v>39</v>
      </c>
      <c r="W2949" s="3" t="s">
        <v>15697</v>
      </c>
      <c r="X2949" s="10" t="s">
        <v>12817</v>
      </c>
      <c r="Y2949" s="6" t="s">
        <v>42</v>
      </c>
      <c r="Z2949" s="4" t="s">
        <v>36</v>
      </c>
      <c r="AA2949" s="4" t="s">
        <v>36</v>
      </c>
      <c r="AB2949" s="3" t="s">
        <v>56</v>
      </c>
      <c r="AC2949" s="3" t="s">
        <v>15698</v>
      </c>
      <c r="AD2949" s="9">
        <v>44409</v>
      </c>
      <c r="AE2949" s="3" t="s">
        <v>1422</v>
      </c>
      <c r="AF2949" s="3" t="s">
        <v>4200</v>
      </c>
      <c r="AG2949" s="3" t="s">
        <v>1078</v>
      </c>
      <c r="AH2949" s="11">
        <f>HYPERLINK("https://my.pitchbook.com?c=178719-22T","View Company Online")</f>
      </c>
    </row>
    <row r="2950">
      <c r="A2950" s="12" t="s">
        <v>15699</v>
      </c>
      <c r="B2950" s="12" t="s">
        <v>15700</v>
      </c>
      <c r="C2950" s="19" t="s">
        <v>36</v>
      </c>
      <c r="D2950" s="19" t="s">
        <v>36</v>
      </c>
      <c r="E2950" s="19" t="s">
        <v>36</v>
      </c>
      <c r="F2950" s="19" t="s">
        <v>36</v>
      </c>
      <c r="G2950" s="15" t="s">
        <v>326</v>
      </c>
      <c r="H2950" s="14">
        <v>647.03</v>
      </c>
      <c r="I2950" s="18">
        <v>22.25</v>
      </c>
      <c r="J2950" s="12" t="s">
        <v>521</v>
      </c>
      <c r="K2950" s="13" t="s">
        <v>36</v>
      </c>
      <c r="L2950" s="15" t="s">
        <v>36</v>
      </c>
      <c r="M2950" s="12" t="s">
        <v>36</v>
      </c>
      <c r="N2950" s="12" t="s">
        <v>36</v>
      </c>
      <c r="O2950" s="17" t="s">
        <v>36</v>
      </c>
      <c r="P2950" s="12" t="s">
        <v>36</v>
      </c>
      <c r="Q2950" s="12" t="s">
        <v>36</v>
      </c>
      <c r="R2950" s="12" t="s">
        <v>36</v>
      </c>
      <c r="S2950" s="12" t="s">
        <v>36</v>
      </c>
      <c r="T2950" s="12" t="s">
        <v>179</v>
      </c>
      <c r="U2950" s="12" t="s">
        <v>180</v>
      </c>
      <c r="V2950" s="12" t="s">
        <v>52</v>
      </c>
      <c r="W2950" s="12" t="s">
        <v>15701</v>
      </c>
      <c r="X2950" s="16" t="s">
        <v>15702</v>
      </c>
      <c r="Y2950" s="15" t="s">
        <v>108</v>
      </c>
      <c r="Z2950" s="14">
        <v>3.28</v>
      </c>
      <c r="AA2950" s="14">
        <v>14.72</v>
      </c>
      <c r="AB2950" s="12" t="s">
        <v>43</v>
      </c>
      <c r="AC2950" s="12" t="s">
        <v>15703</v>
      </c>
      <c r="AD2950" s="13">
        <v>44409</v>
      </c>
      <c r="AE2950" s="12" t="s">
        <v>184</v>
      </c>
      <c r="AF2950" s="12" t="s">
        <v>15704</v>
      </c>
      <c r="AG2950" s="12" t="s">
        <v>102</v>
      </c>
      <c r="AH2950" s="1">
        <f>HYPERLINK("https://my.pitchbook.com?c=192971-44T","View Company Online")</f>
      </c>
    </row>
    <row r="2951">
      <c r="A2951" s="3" t="s">
        <v>15705</v>
      </c>
      <c r="B2951" s="3" t="s">
        <v>15706</v>
      </c>
      <c r="C2951" s="5" t="s">
        <v>36</v>
      </c>
      <c r="D2951" s="5" t="s">
        <v>36</v>
      </c>
      <c r="E2951" s="5" t="s">
        <v>36</v>
      </c>
      <c r="F2951" s="5" t="s">
        <v>36</v>
      </c>
      <c r="G2951" s="6" t="s">
        <v>36</v>
      </c>
      <c r="H2951" s="4">
        <v>62.68</v>
      </c>
      <c r="I2951" s="7">
        <v>21.97</v>
      </c>
      <c r="J2951" s="3" t="s">
        <v>521</v>
      </c>
      <c r="K2951" s="9" t="s">
        <v>36</v>
      </c>
      <c r="L2951" s="6" t="s">
        <v>36</v>
      </c>
      <c r="M2951" s="3" t="s">
        <v>36</v>
      </c>
      <c r="N2951" s="3" t="s">
        <v>36</v>
      </c>
      <c r="O2951" s="8" t="s">
        <v>36</v>
      </c>
      <c r="P2951" s="3" t="s">
        <v>36</v>
      </c>
      <c r="Q2951" s="3" t="s">
        <v>36</v>
      </c>
      <c r="R2951" s="3" t="s">
        <v>36</v>
      </c>
      <c r="S2951" s="3" t="s">
        <v>36</v>
      </c>
      <c r="T2951" s="3" t="s">
        <v>2558</v>
      </c>
      <c r="U2951" s="3" t="s">
        <v>38</v>
      </c>
      <c r="V2951" s="3" t="s">
        <v>39</v>
      </c>
      <c r="W2951" s="3" t="s">
        <v>15707</v>
      </c>
      <c r="X2951" s="10" t="s">
        <v>15708</v>
      </c>
      <c r="Y2951" s="6" t="s">
        <v>42</v>
      </c>
      <c r="Z2951" s="4">
        <v>1.81</v>
      </c>
      <c r="AA2951" s="4">
        <v>8.23</v>
      </c>
      <c r="AB2951" s="3" t="s">
        <v>43</v>
      </c>
      <c r="AC2951" s="3" t="s">
        <v>15709</v>
      </c>
      <c r="AD2951" s="9">
        <v>44409</v>
      </c>
      <c r="AE2951" s="3" t="s">
        <v>110</v>
      </c>
      <c r="AF2951" s="3" t="s">
        <v>80</v>
      </c>
      <c r="AG2951" s="3" t="s">
        <v>81</v>
      </c>
      <c r="AH2951" s="11">
        <f>HYPERLINK("https://my.pitchbook.com?c=177998-32T","View Company Online")</f>
      </c>
    </row>
    <row r="2952">
      <c r="A2952" s="12" t="s">
        <v>15710</v>
      </c>
      <c r="B2952" s="12" t="s">
        <v>15711</v>
      </c>
      <c r="C2952" s="19" t="s">
        <v>36</v>
      </c>
      <c r="D2952" s="19" t="s">
        <v>36</v>
      </c>
      <c r="E2952" s="19" t="s">
        <v>36</v>
      </c>
      <c r="F2952" s="19" t="s">
        <v>36</v>
      </c>
      <c r="G2952" s="15" t="s">
        <v>36</v>
      </c>
      <c r="H2952" s="14" t="s">
        <v>36</v>
      </c>
      <c r="I2952" s="18" t="s">
        <v>36</v>
      </c>
      <c r="J2952" s="12" t="s">
        <v>36</v>
      </c>
      <c r="K2952" s="13" t="s">
        <v>36</v>
      </c>
      <c r="L2952" s="15" t="s">
        <v>36</v>
      </c>
      <c r="M2952" s="12" t="s">
        <v>36</v>
      </c>
      <c r="N2952" s="12" t="s">
        <v>36</v>
      </c>
      <c r="O2952" s="17" t="s">
        <v>36</v>
      </c>
      <c r="P2952" s="12" t="s">
        <v>36</v>
      </c>
      <c r="Q2952" s="12" t="s">
        <v>36</v>
      </c>
      <c r="R2952" s="12" t="s">
        <v>36</v>
      </c>
      <c r="S2952" s="12" t="s">
        <v>565</v>
      </c>
      <c r="T2952" s="12" t="s">
        <v>3175</v>
      </c>
      <c r="U2952" s="12" t="s">
        <v>74</v>
      </c>
      <c r="V2952" s="12" t="s">
        <v>75</v>
      </c>
      <c r="W2952" s="12" t="s">
        <v>15712</v>
      </c>
      <c r="X2952" s="16" t="s">
        <v>15713</v>
      </c>
      <c r="Y2952" s="15" t="s">
        <v>42</v>
      </c>
      <c r="Z2952" s="14">
        <v>2.37</v>
      </c>
      <c r="AA2952" s="14" t="s">
        <v>36</v>
      </c>
      <c r="AB2952" s="12" t="s">
        <v>56</v>
      </c>
      <c r="AC2952" s="12" t="s">
        <v>15714</v>
      </c>
      <c r="AD2952" s="13">
        <v>44408</v>
      </c>
      <c r="AE2952" s="12" t="s">
        <v>975</v>
      </c>
      <c r="AF2952" s="12" t="s">
        <v>372</v>
      </c>
      <c r="AG2952" s="12" t="s">
        <v>15715</v>
      </c>
      <c r="AH2952" s="1">
        <f>HYPERLINK("https://my.pitchbook.com?c=188814-97T","View Company Online")</f>
      </c>
    </row>
    <row r="2953">
      <c r="A2953" s="3" t="s">
        <v>15716</v>
      </c>
      <c r="B2953" s="3" t="s">
        <v>15717</v>
      </c>
      <c r="C2953" s="5" t="s">
        <v>36</v>
      </c>
      <c r="D2953" s="5" t="s">
        <v>36</v>
      </c>
      <c r="E2953" s="5" t="s">
        <v>36</v>
      </c>
      <c r="F2953" s="5" t="s">
        <v>36</v>
      </c>
      <c r="G2953" s="6" t="s">
        <v>36</v>
      </c>
      <c r="H2953" s="4" t="s">
        <v>36</v>
      </c>
      <c r="I2953" s="7" t="s">
        <v>36</v>
      </c>
      <c r="J2953" s="3" t="s">
        <v>36</v>
      </c>
      <c r="K2953" s="9" t="s">
        <v>36</v>
      </c>
      <c r="L2953" s="6" t="s">
        <v>36</v>
      </c>
      <c r="M2953" s="3" t="s">
        <v>36</v>
      </c>
      <c r="N2953" s="3" t="s">
        <v>36</v>
      </c>
      <c r="O2953" s="8" t="s">
        <v>36</v>
      </c>
      <c r="P2953" s="3" t="s">
        <v>36</v>
      </c>
      <c r="Q2953" s="3" t="s">
        <v>36</v>
      </c>
      <c r="R2953" s="3" t="s">
        <v>36</v>
      </c>
      <c r="S2953" s="3" t="s">
        <v>36</v>
      </c>
      <c r="T2953" s="3" t="s">
        <v>522</v>
      </c>
      <c r="U2953" s="3" t="s">
        <v>38</v>
      </c>
      <c r="V2953" s="3" t="s">
        <v>39</v>
      </c>
      <c r="W2953" s="3" t="s">
        <v>15718</v>
      </c>
      <c r="X2953" s="10" t="s">
        <v>15719</v>
      </c>
      <c r="Y2953" s="6" t="s">
        <v>42</v>
      </c>
      <c r="Z2953" s="4" t="s">
        <v>36</v>
      </c>
      <c r="AA2953" s="4" t="s">
        <v>36</v>
      </c>
      <c r="AB2953" s="3" t="s">
        <v>43</v>
      </c>
      <c r="AC2953" s="3" t="s">
        <v>15720</v>
      </c>
      <c r="AD2953" s="9">
        <v>44408</v>
      </c>
      <c r="AE2953" s="3" t="s">
        <v>110</v>
      </c>
      <c r="AF2953" s="3" t="s">
        <v>1636</v>
      </c>
      <c r="AG2953" s="3" t="s">
        <v>81</v>
      </c>
      <c r="AH2953" s="11">
        <f>HYPERLINK("https://my.pitchbook.com?c=181022-50T","View Company Online")</f>
      </c>
    </row>
    <row r="2954">
      <c r="A2954" s="12" t="s">
        <v>15721</v>
      </c>
      <c r="B2954" s="12" t="s">
        <v>11020</v>
      </c>
      <c r="C2954" s="19" t="s">
        <v>36</v>
      </c>
      <c r="D2954" s="19" t="s">
        <v>36</v>
      </c>
      <c r="E2954" s="19">
        <v>1</v>
      </c>
      <c r="F2954" s="19">
        <v>1</v>
      </c>
      <c r="G2954" s="15" t="s">
        <v>36</v>
      </c>
      <c r="H2954" s="14" t="s">
        <v>36</v>
      </c>
      <c r="I2954" s="18" t="s">
        <v>36</v>
      </c>
      <c r="J2954" s="12" t="s">
        <v>36</v>
      </c>
      <c r="K2954" s="13" t="s">
        <v>36</v>
      </c>
      <c r="L2954" s="15" t="s">
        <v>36</v>
      </c>
      <c r="M2954" s="12" t="s">
        <v>36</v>
      </c>
      <c r="N2954" s="12" t="s">
        <v>36</v>
      </c>
      <c r="O2954" s="17" t="s">
        <v>36</v>
      </c>
      <c r="P2954" s="12" t="s">
        <v>36</v>
      </c>
      <c r="Q2954" s="12" t="s">
        <v>36</v>
      </c>
      <c r="R2954" s="12" t="s">
        <v>36</v>
      </c>
      <c r="S2954" s="12" t="s">
        <v>36</v>
      </c>
      <c r="T2954" s="12" t="s">
        <v>1188</v>
      </c>
      <c r="U2954" s="12" t="s">
        <v>180</v>
      </c>
      <c r="V2954" s="12" t="s">
        <v>52</v>
      </c>
      <c r="W2954" s="12" t="s">
        <v>11021</v>
      </c>
      <c r="X2954" s="16" t="s">
        <v>8450</v>
      </c>
      <c r="Y2954" s="15" t="s">
        <v>42</v>
      </c>
      <c r="Z2954" s="14" t="s">
        <v>36</v>
      </c>
      <c r="AA2954" s="14" t="s">
        <v>36</v>
      </c>
      <c r="AB2954" s="12" t="s">
        <v>43</v>
      </c>
      <c r="AC2954" s="12" t="s">
        <v>11023</v>
      </c>
      <c r="AD2954" s="13">
        <v>44407</v>
      </c>
      <c r="AE2954" s="12" t="s">
        <v>1192</v>
      </c>
      <c r="AF2954" s="12" t="s">
        <v>111</v>
      </c>
      <c r="AG2954" s="12" t="s">
        <v>81</v>
      </c>
      <c r="AH2954" s="1">
        <f>HYPERLINK("https://my.pitchbook.com?c=225983-80T","View Company Online")</f>
      </c>
    </row>
    <row r="2955">
      <c r="A2955" s="3" t="s">
        <v>15722</v>
      </c>
      <c r="B2955" s="3" t="s">
        <v>15723</v>
      </c>
      <c r="C2955" s="5" t="s">
        <v>36</v>
      </c>
      <c r="D2955" s="5" t="s">
        <v>36</v>
      </c>
      <c r="E2955" s="5" t="s">
        <v>36</v>
      </c>
      <c r="F2955" s="5" t="s">
        <v>36</v>
      </c>
      <c r="G2955" s="6" t="s">
        <v>36</v>
      </c>
      <c r="H2955" s="4">
        <v>8.54</v>
      </c>
      <c r="I2955" s="7">
        <v>48.87</v>
      </c>
      <c r="J2955" s="3" t="s">
        <v>521</v>
      </c>
      <c r="K2955" s="9" t="s">
        <v>36</v>
      </c>
      <c r="L2955" s="6" t="s">
        <v>36</v>
      </c>
      <c r="M2955" s="3" t="s">
        <v>36</v>
      </c>
      <c r="N2955" s="3" t="s">
        <v>36</v>
      </c>
      <c r="O2955" s="8" t="s">
        <v>36</v>
      </c>
      <c r="P2955" s="3" t="s">
        <v>36</v>
      </c>
      <c r="Q2955" s="3" t="s">
        <v>36</v>
      </c>
      <c r="R2955" s="3" t="s">
        <v>36</v>
      </c>
      <c r="S2955" s="3" t="s">
        <v>36</v>
      </c>
      <c r="T2955" s="3" t="s">
        <v>15724</v>
      </c>
      <c r="U2955" s="3" t="s">
        <v>51</v>
      </c>
      <c r="V2955" s="3" t="s">
        <v>52</v>
      </c>
      <c r="W2955" s="3" t="s">
        <v>15725</v>
      </c>
      <c r="X2955" s="10" t="s">
        <v>15726</v>
      </c>
      <c r="Y2955" s="6" t="s">
        <v>108</v>
      </c>
      <c r="Z2955" s="4">
        <v>1.49</v>
      </c>
      <c r="AA2955" s="4">
        <v>3.04</v>
      </c>
      <c r="AB2955" s="3" t="s">
        <v>43</v>
      </c>
      <c r="AC2955" s="3" t="s">
        <v>15727</v>
      </c>
      <c r="AD2955" s="9">
        <v>44407</v>
      </c>
      <c r="AE2955" s="3" t="s">
        <v>6868</v>
      </c>
      <c r="AF2955" s="3" t="s">
        <v>36</v>
      </c>
      <c r="AG2955" s="3" t="s">
        <v>15728</v>
      </c>
      <c r="AH2955" s="11">
        <f>HYPERLINK("https://my.pitchbook.com?c=188459-92T","View Company Online")</f>
      </c>
    </row>
    <row r="2956">
      <c r="A2956" s="12" t="s">
        <v>15729</v>
      </c>
      <c r="B2956" s="12" t="s">
        <v>8324</v>
      </c>
      <c r="C2956" s="19" t="s">
        <v>36</v>
      </c>
      <c r="D2956" s="19">
        <v>9</v>
      </c>
      <c r="E2956" s="19">
        <v>5</v>
      </c>
      <c r="F2956" s="19">
        <v>9</v>
      </c>
      <c r="G2956" s="15" t="s">
        <v>326</v>
      </c>
      <c r="H2956" s="14" t="s">
        <v>36</v>
      </c>
      <c r="I2956" s="18" t="s">
        <v>36</v>
      </c>
      <c r="J2956" s="12" t="s">
        <v>521</v>
      </c>
      <c r="K2956" s="13" t="s">
        <v>36</v>
      </c>
      <c r="L2956" s="15" t="s">
        <v>36</v>
      </c>
      <c r="M2956" s="12" t="s">
        <v>36</v>
      </c>
      <c r="N2956" s="12" t="s">
        <v>36</v>
      </c>
      <c r="O2956" s="17" t="s">
        <v>36</v>
      </c>
      <c r="P2956" s="12" t="s">
        <v>36</v>
      </c>
      <c r="Q2956" s="12" t="s">
        <v>36</v>
      </c>
      <c r="R2956" s="12" t="s">
        <v>36</v>
      </c>
      <c r="S2956" s="12" t="s">
        <v>36</v>
      </c>
      <c r="T2956" s="12" t="s">
        <v>550</v>
      </c>
      <c r="U2956" s="12" t="s">
        <v>38</v>
      </c>
      <c r="V2956" s="12" t="s">
        <v>39</v>
      </c>
      <c r="W2956" s="12" t="s">
        <v>8325</v>
      </c>
      <c r="X2956" s="16" t="s">
        <v>15730</v>
      </c>
      <c r="Y2956" s="15" t="s">
        <v>166</v>
      </c>
      <c r="Z2956" s="14">
        <v>314.54</v>
      </c>
      <c r="AA2956" s="14">
        <v>2010.19</v>
      </c>
      <c r="AB2956" s="12" t="s">
        <v>56</v>
      </c>
      <c r="AC2956" s="12" t="s">
        <v>8327</v>
      </c>
      <c r="AD2956" s="13">
        <v>44407</v>
      </c>
      <c r="AE2956" s="12" t="s">
        <v>554</v>
      </c>
      <c r="AF2956" s="12" t="s">
        <v>4438</v>
      </c>
      <c r="AG2956" s="12" t="s">
        <v>81</v>
      </c>
      <c r="AH2956" s="1">
        <f>HYPERLINK("https://my.pitchbook.com?c=177513-13T","View Company Online")</f>
      </c>
    </row>
    <row r="2957">
      <c r="A2957" s="3" t="s">
        <v>15731</v>
      </c>
      <c r="B2957" s="3" t="s">
        <v>15732</v>
      </c>
      <c r="C2957" s="5" t="s">
        <v>36</v>
      </c>
      <c r="D2957" s="5" t="s">
        <v>36</v>
      </c>
      <c r="E2957" s="5" t="s">
        <v>36</v>
      </c>
      <c r="F2957" s="5" t="s">
        <v>36</v>
      </c>
      <c r="G2957" s="6" t="s">
        <v>36</v>
      </c>
      <c r="H2957" s="4" t="s">
        <v>36</v>
      </c>
      <c r="I2957" s="7" t="s">
        <v>36</v>
      </c>
      <c r="J2957" s="3" t="s">
        <v>36</v>
      </c>
      <c r="K2957" s="9" t="s">
        <v>36</v>
      </c>
      <c r="L2957" s="6" t="s">
        <v>122</v>
      </c>
      <c r="M2957" s="3" t="s">
        <v>36</v>
      </c>
      <c r="N2957" s="3" t="s">
        <v>122</v>
      </c>
      <c r="O2957" s="8" t="s">
        <v>36</v>
      </c>
      <c r="P2957" s="3" t="s">
        <v>36</v>
      </c>
      <c r="Q2957" s="3" t="s">
        <v>36</v>
      </c>
      <c r="R2957" s="3" t="s">
        <v>36</v>
      </c>
      <c r="S2957" s="3" t="s">
        <v>36</v>
      </c>
      <c r="T2957" s="3" t="s">
        <v>123</v>
      </c>
      <c r="U2957" s="3" t="s">
        <v>38</v>
      </c>
      <c r="V2957" s="3" t="s">
        <v>39</v>
      </c>
      <c r="W2957" s="3" t="s">
        <v>15733</v>
      </c>
      <c r="X2957" s="10" t="s">
        <v>15734</v>
      </c>
      <c r="Y2957" s="6" t="s">
        <v>108</v>
      </c>
      <c r="Z2957" s="4">
        <v>14</v>
      </c>
      <c r="AA2957" s="4" t="s">
        <v>36</v>
      </c>
      <c r="AB2957" s="3" t="s">
        <v>43</v>
      </c>
      <c r="AC2957" s="3" t="s">
        <v>15735</v>
      </c>
      <c r="AD2957" s="9">
        <v>44406</v>
      </c>
      <c r="AE2957" s="3" t="s">
        <v>110</v>
      </c>
      <c r="AF2957" s="3" t="s">
        <v>11479</v>
      </c>
      <c r="AG2957" s="3" t="s">
        <v>81</v>
      </c>
      <c r="AH2957" s="11">
        <f>HYPERLINK("https://my.pitchbook.com?c=171035-02T","View Company Online")</f>
      </c>
    </row>
    <row r="2958">
      <c r="A2958" s="12" t="s">
        <v>15736</v>
      </c>
      <c r="B2958" s="12" t="s">
        <v>6816</v>
      </c>
      <c r="C2958" s="19">
        <v>13</v>
      </c>
      <c r="D2958" s="19">
        <v>27</v>
      </c>
      <c r="E2958" s="19">
        <v>7</v>
      </c>
      <c r="F2958" s="19">
        <v>41</v>
      </c>
      <c r="G2958" s="15" t="s">
        <v>36</v>
      </c>
      <c r="H2958" s="14" t="s">
        <v>36</v>
      </c>
      <c r="I2958" s="18" t="s">
        <v>36</v>
      </c>
      <c r="J2958" s="12" t="s">
        <v>36</v>
      </c>
      <c r="K2958" s="13">
        <v>44020</v>
      </c>
      <c r="L2958" s="15" t="s">
        <v>94</v>
      </c>
      <c r="M2958" s="12" t="s">
        <v>36</v>
      </c>
      <c r="N2958" s="12" t="s">
        <v>94</v>
      </c>
      <c r="O2958" s="17" t="s">
        <v>36</v>
      </c>
      <c r="P2958" s="12" t="s">
        <v>36</v>
      </c>
      <c r="Q2958" s="12" t="s">
        <v>36</v>
      </c>
      <c r="R2958" s="12" t="s">
        <v>36</v>
      </c>
      <c r="S2958" s="12" t="s">
        <v>36</v>
      </c>
      <c r="T2958" s="12" t="s">
        <v>881</v>
      </c>
      <c r="U2958" s="12" t="s">
        <v>51</v>
      </c>
      <c r="V2958" s="12" t="s">
        <v>52</v>
      </c>
      <c r="W2958" s="12" t="s">
        <v>6817</v>
      </c>
      <c r="X2958" s="16" t="s">
        <v>15737</v>
      </c>
      <c r="Y2958" s="15" t="s">
        <v>192</v>
      </c>
      <c r="Z2958" s="14">
        <v>17.86</v>
      </c>
      <c r="AA2958" s="14" t="s">
        <v>36</v>
      </c>
      <c r="AB2958" s="12" t="s">
        <v>43</v>
      </c>
      <c r="AC2958" s="12" t="s">
        <v>6819</v>
      </c>
      <c r="AD2958" s="13">
        <v>44406</v>
      </c>
      <c r="AE2958" s="12" t="s">
        <v>504</v>
      </c>
      <c r="AF2958" s="12" t="s">
        <v>6820</v>
      </c>
      <c r="AG2958" s="12" t="s">
        <v>47</v>
      </c>
      <c r="AH2958" s="1">
        <f>HYPERLINK("https://my.pitchbook.com?c=139804-39T","View Company Online")</f>
      </c>
    </row>
    <row r="2959">
      <c r="A2959" s="3" t="s">
        <v>15738</v>
      </c>
      <c r="B2959" s="3" t="s">
        <v>15739</v>
      </c>
      <c r="C2959" s="5" t="s">
        <v>36</v>
      </c>
      <c r="D2959" s="5">
        <v>8</v>
      </c>
      <c r="E2959" s="5">
        <v>2</v>
      </c>
      <c r="F2959" s="5">
        <v>9</v>
      </c>
      <c r="G2959" s="6" t="s">
        <v>36</v>
      </c>
      <c r="H2959" s="4">
        <v>6.02</v>
      </c>
      <c r="I2959" s="7">
        <v>19.12</v>
      </c>
      <c r="J2959" s="3" t="s">
        <v>521</v>
      </c>
      <c r="K2959" s="9" t="s">
        <v>36</v>
      </c>
      <c r="L2959" s="6" t="s">
        <v>36</v>
      </c>
      <c r="M2959" s="3" t="s">
        <v>36</v>
      </c>
      <c r="N2959" s="3" t="s">
        <v>36</v>
      </c>
      <c r="O2959" s="8" t="s">
        <v>36</v>
      </c>
      <c r="P2959" s="3" t="s">
        <v>36</v>
      </c>
      <c r="Q2959" s="3" t="s">
        <v>36</v>
      </c>
      <c r="R2959" s="3" t="s">
        <v>36</v>
      </c>
      <c r="S2959" s="3" t="s">
        <v>36</v>
      </c>
      <c r="T2959" s="3" t="s">
        <v>1227</v>
      </c>
      <c r="U2959" s="3" t="s">
        <v>74</v>
      </c>
      <c r="V2959" s="3" t="s">
        <v>75</v>
      </c>
      <c r="W2959" s="3" t="s">
        <v>15740</v>
      </c>
      <c r="X2959" s="10" t="s">
        <v>5220</v>
      </c>
      <c r="Y2959" s="6" t="s">
        <v>42</v>
      </c>
      <c r="Z2959" s="4">
        <v>0.34</v>
      </c>
      <c r="AA2959" s="4">
        <v>1.76</v>
      </c>
      <c r="AB2959" s="3" t="s">
        <v>43</v>
      </c>
      <c r="AC2959" s="3" t="s">
        <v>15741</v>
      </c>
      <c r="AD2959" s="9">
        <v>44406</v>
      </c>
      <c r="AE2959" s="3" t="s">
        <v>570</v>
      </c>
      <c r="AF2959" s="3" t="s">
        <v>1999</v>
      </c>
      <c r="AG2959" s="3" t="s">
        <v>15742</v>
      </c>
      <c r="AH2959" s="11">
        <f>HYPERLINK("https://my.pitchbook.com?c=273200-32T","View Company Online")</f>
      </c>
    </row>
    <row r="2960">
      <c r="A2960" s="12" t="s">
        <v>15743</v>
      </c>
      <c r="B2960" s="12" t="s">
        <v>4102</v>
      </c>
      <c r="C2960" s="19">
        <v>7</v>
      </c>
      <c r="D2960" s="19">
        <v>2</v>
      </c>
      <c r="E2960" s="19">
        <v>4</v>
      </c>
      <c r="F2960" s="19">
        <v>9</v>
      </c>
      <c r="G2960" s="15" t="s">
        <v>36</v>
      </c>
      <c r="H2960" s="14">
        <v>122.03</v>
      </c>
      <c r="I2960" s="18">
        <v>36.49</v>
      </c>
      <c r="J2960" s="12" t="s">
        <v>521</v>
      </c>
      <c r="K2960" s="13" t="s">
        <v>36</v>
      </c>
      <c r="L2960" s="15" t="s">
        <v>36</v>
      </c>
      <c r="M2960" s="12" t="s">
        <v>36</v>
      </c>
      <c r="N2960" s="12" t="s">
        <v>36</v>
      </c>
      <c r="O2960" s="17" t="s">
        <v>36</v>
      </c>
      <c r="P2960" s="12" t="s">
        <v>36</v>
      </c>
      <c r="Q2960" s="12" t="s">
        <v>36</v>
      </c>
      <c r="R2960" s="12" t="s">
        <v>36</v>
      </c>
      <c r="S2960" s="12" t="s">
        <v>36</v>
      </c>
      <c r="T2960" s="12" t="s">
        <v>3208</v>
      </c>
      <c r="U2960" s="12" t="s">
        <v>1798</v>
      </c>
      <c r="V2960" s="12" t="s">
        <v>39</v>
      </c>
      <c r="W2960" s="12" t="s">
        <v>4103</v>
      </c>
      <c r="X2960" s="16" t="s">
        <v>15744</v>
      </c>
      <c r="Y2960" s="15" t="s">
        <v>108</v>
      </c>
      <c r="Z2960" s="14">
        <v>3.19</v>
      </c>
      <c r="AA2960" s="14">
        <v>8.75</v>
      </c>
      <c r="AB2960" s="12" t="s">
        <v>43</v>
      </c>
      <c r="AC2960" s="12" t="s">
        <v>4105</v>
      </c>
      <c r="AD2960" s="13">
        <v>44406</v>
      </c>
      <c r="AE2960" s="12" t="s">
        <v>1802</v>
      </c>
      <c r="AF2960" s="12" t="s">
        <v>372</v>
      </c>
      <c r="AG2960" s="12" t="s">
        <v>1835</v>
      </c>
      <c r="AH2960" s="1">
        <f>HYPERLINK("https://my.pitchbook.com?c=180733-87T","View Company Online")</f>
      </c>
    </row>
    <row r="2961">
      <c r="A2961" s="3" t="s">
        <v>15745</v>
      </c>
      <c r="B2961" s="3" t="s">
        <v>15746</v>
      </c>
      <c r="C2961" s="5" t="s">
        <v>36</v>
      </c>
      <c r="D2961" s="5" t="s">
        <v>36</v>
      </c>
      <c r="E2961" s="5" t="s">
        <v>36</v>
      </c>
      <c r="F2961" s="5" t="s">
        <v>36</v>
      </c>
      <c r="G2961" s="6" t="s">
        <v>36</v>
      </c>
      <c r="H2961" s="4" t="s">
        <v>36</v>
      </c>
      <c r="I2961" s="7" t="s">
        <v>36</v>
      </c>
      <c r="J2961" s="3" t="s">
        <v>36</v>
      </c>
      <c r="K2961" s="9" t="s">
        <v>36</v>
      </c>
      <c r="L2961" s="6" t="s">
        <v>36</v>
      </c>
      <c r="M2961" s="3" t="s">
        <v>36</v>
      </c>
      <c r="N2961" s="3" t="s">
        <v>36</v>
      </c>
      <c r="O2961" s="8" t="s">
        <v>36</v>
      </c>
      <c r="P2961" s="3" t="s">
        <v>36</v>
      </c>
      <c r="Q2961" s="3" t="s">
        <v>36</v>
      </c>
      <c r="R2961" s="3" t="s">
        <v>36</v>
      </c>
      <c r="S2961" s="3" t="s">
        <v>36</v>
      </c>
      <c r="T2961" s="3" t="s">
        <v>11829</v>
      </c>
      <c r="U2961" s="3" t="s">
        <v>38</v>
      </c>
      <c r="V2961" s="3" t="s">
        <v>39</v>
      </c>
      <c r="W2961" s="3" t="s">
        <v>15747</v>
      </c>
      <c r="X2961" s="10" t="s">
        <v>15748</v>
      </c>
      <c r="Y2961" s="6" t="s">
        <v>42</v>
      </c>
      <c r="Z2961" s="4">
        <v>1.42</v>
      </c>
      <c r="AA2961" s="4" t="s">
        <v>36</v>
      </c>
      <c r="AB2961" s="3" t="s">
        <v>43</v>
      </c>
      <c r="AC2961" s="3" t="s">
        <v>15749</v>
      </c>
      <c r="AD2961" s="9">
        <v>44405</v>
      </c>
      <c r="AE2961" s="3" t="s">
        <v>110</v>
      </c>
      <c r="AF2961" s="3" t="s">
        <v>15750</v>
      </c>
      <c r="AG2961" s="3" t="s">
        <v>102</v>
      </c>
      <c r="AH2961" s="11">
        <f>HYPERLINK("https://my.pitchbook.com?c=179728-12T","View Company Online")</f>
      </c>
    </row>
    <row r="2962">
      <c r="A2962" s="12" t="s">
        <v>15751</v>
      </c>
      <c r="B2962" s="12" t="s">
        <v>8300</v>
      </c>
      <c r="C2962" s="19" t="s">
        <v>36</v>
      </c>
      <c r="D2962" s="19" t="s">
        <v>36</v>
      </c>
      <c r="E2962" s="19" t="s">
        <v>36</v>
      </c>
      <c r="F2962" s="19" t="s">
        <v>36</v>
      </c>
      <c r="G2962" s="15" t="s">
        <v>36</v>
      </c>
      <c r="H2962" s="14">
        <v>0.98</v>
      </c>
      <c r="I2962" s="18">
        <v>29.47</v>
      </c>
      <c r="J2962" s="12" t="s">
        <v>521</v>
      </c>
      <c r="K2962" s="13">
        <v>44316</v>
      </c>
      <c r="L2962" s="15" t="s">
        <v>122</v>
      </c>
      <c r="M2962" s="12" t="s">
        <v>36</v>
      </c>
      <c r="N2962" s="12" t="s">
        <v>122</v>
      </c>
      <c r="O2962" s="17" t="s">
        <v>36</v>
      </c>
      <c r="P2962" s="12" t="s">
        <v>36</v>
      </c>
      <c r="Q2962" s="12" t="s">
        <v>36</v>
      </c>
      <c r="R2962" s="12" t="s">
        <v>36</v>
      </c>
      <c r="S2962" s="12" t="s">
        <v>36</v>
      </c>
      <c r="T2962" s="12" t="s">
        <v>8301</v>
      </c>
      <c r="U2962" s="12" t="s">
        <v>423</v>
      </c>
      <c r="V2962" s="12" t="s">
        <v>64</v>
      </c>
      <c r="W2962" s="12" t="s">
        <v>8302</v>
      </c>
      <c r="X2962" s="16" t="s">
        <v>15752</v>
      </c>
      <c r="Y2962" s="15" t="s">
        <v>55</v>
      </c>
      <c r="Z2962" s="14">
        <v>11.83</v>
      </c>
      <c r="AA2962" s="14">
        <v>34.81</v>
      </c>
      <c r="AB2962" s="12" t="s">
        <v>56</v>
      </c>
      <c r="AC2962" s="12" t="s">
        <v>8304</v>
      </c>
      <c r="AD2962" s="13">
        <v>44405</v>
      </c>
      <c r="AE2962" s="12" t="s">
        <v>562</v>
      </c>
      <c r="AF2962" s="12" t="s">
        <v>2369</v>
      </c>
      <c r="AG2962" s="12" t="s">
        <v>81</v>
      </c>
      <c r="AH2962" s="1">
        <f>HYPERLINK("https://my.pitchbook.com?c=175928-14T","View Company Online")</f>
      </c>
    </row>
    <row r="2963">
      <c r="A2963" s="3" t="s">
        <v>15753</v>
      </c>
      <c r="B2963" s="3" t="s">
        <v>15754</v>
      </c>
      <c r="C2963" s="5" t="s">
        <v>36</v>
      </c>
      <c r="D2963" s="5" t="s">
        <v>36</v>
      </c>
      <c r="E2963" s="5" t="s">
        <v>36</v>
      </c>
      <c r="F2963" s="5" t="s">
        <v>36</v>
      </c>
      <c r="G2963" s="6" t="s">
        <v>326</v>
      </c>
      <c r="H2963" s="4">
        <v>251.67</v>
      </c>
      <c r="I2963" s="7">
        <v>13.24</v>
      </c>
      <c r="J2963" s="3" t="s">
        <v>521</v>
      </c>
      <c r="K2963" s="9" t="s">
        <v>36</v>
      </c>
      <c r="L2963" s="6" t="s">
        <v>36</v>
      </c>
      <c r="M2963" s="3" t="s">
        <v>36</v>
      </c>
      <c r="N2963" s="3" t="s">
        <v>36</v>
      </c>
      <c r="O2963" s="8" t="s">
        <v>36</v>
      </c>
      <c r="P2963" s="3" t="s">
        <v>36</v>
      </c>
      <c r="Q2963" s="3" t="s">
        <v>36</v>
      </c>
      <c r="R2963" s="3" t="s">
        <v>36</v>
      </c>
      <c r="S2963" s="3" t="s">
        <v>36</v>
      </c>
      <c r="T2963" s="3" t="s">
        <v>15755</v>
      </c>
      <c r="U2963" s="3" t="s">
        <v>318</v>
      </c>
      <c r="V2963" s="3" t="s">
        <v>39</v>
      </c>
      <c r="W2963" s="3" t="s">
        <v>15756</v>
      </c>
      <c r="X2963" s="10" t="s">
        <v>15757</v>
      </c>
      <c r="Y2963" s="6" t="s">
        <v>55</v>
      </c>
      <c r="Z2963" s="4">
        <v>1.71</v>
      </c>
      <c r="AA2963" s="4">
        <v>12.95</v>
      </c>
      <c r="AB2963" s="3" t="s">
        <v>56</v>
      </c>
      <c r="AC2963" s="3" t="s">
        <v>15758</v>
      </c>
      <c r="AD2963" s="9">
        <v>44405</v>
      </c>
      <c r="AE2963" s="3" t="s">
        <v>763</v>
      </c>
      <c r="AF2963" s="3" t="s">
        <v>6536</v>
      </c>
      <c r="AG2963" s="3" t="s">
        <v>81</v>
      </c>
      <c r="AH2963" s="11">
        <f>HYPERLINK("https://my.pitchbook.com?c=202146-04T","View Company Online")</f>
      </c>
    </row>
    <row r="2964">
      <c r="A2964" s="12" t="s">
        <v>15759</v>
      </c>
      <c r="B2964" s="12" t="s">
        <v>15760</v>
      </c>
      <c r="C2964" s="19" t="s">
        <v>36</v>
      </c>
      <c r="D2964" s="19" t="s">
        <v>36</v>
      </c>
      <c r="E2964" s="19" t="s">
        <v>36</v>
      </c>
      <c r="F2964" s="19" t="s">
        <v>36</v>
      </c>
      <c r="G2964" s="15" t="s">
        <v>36</v>
      </c>
      <c r="H2964" s="14" t="s">
        <v>36</v>
      </c>
      <c r="I2964" s="18" t="s">
        <v>36</v>
      </c>
      <c r="J2964" s="12" t="s">
        <v>36</v>
      </c>
      <c r="K2964" s="13" t="s">
        <v>36</v>
      </c>
      <c r="L2964" s="15" t="s">
        <v>36</v>
      </c>
      <c r="M2964" s="12" t="s">
        <v>36</v>
      </c>
      <c r="N2964" s="12" t="s">
        <v>36</v>
      </c>
      <c r="O2964" s="17" t="s">
        <v>36</v>
      </c>
      <c r="P2964" s="12" t="s">
        <v>36</v>
      </c>
      <c r="Q2964" s="12" t="s">
        <v>36</v>
      </c>
      <c r="R2964" s="12" t="s">
        <v>36</v>
      </c>
      <c r="S2964" s="12" t="s">
        <v>36</v>
      </c>
      <c r="T2964" s="12" t="s">
        <v>1125</v>
      </c>
      <c r="U2964" s="12" t="s">
        <v>74</v>
      </c>
      <c r="V2964" s="12" t="s">
        <v>75</v>
      </c>
      <c r="W2964" s="12" t="s">
        <v>15761</v>
      </c>
      <c r="X2964" s="16" t="s">
        <v>2229</v>
      </c>
      <c r="Y2964" s="15" t="s">
        <v>108</v>
      </c>
      <c r="Z2964" s="14" t="s">
        <v>36</v>
      </c>
      <c r="AA2964" s="14" t="s">
        <v>36</v>
      </c>
      <c r="AB2964" s="12" t="s">
        <v>56</v>
      </c>
      <c r="AC2964" s="12" t="s">
        <v>15762</v>
      </c>
      <c r="AD2964" s="13">
        <v>44404</v>
      </c>
      <c r="AE2964" s="12" t="s">
        <v>975</v>
      </c>
      <c r="AF2964" s="12" t="s">
        <v>36</v>
      </c>
      <c r="AG2964" s="12" t="s">
        <v>12751</v>
      </c>
      <c r="AH2964" s="1">
        <f>HYPERLINK("https://my.pitchbook.com?c=203831-47T","View Company Online")</f>
      </c>
    </row>
    <row r="2965">
      <c r="A2965" s="3" t="s">
        <v>15763</v>
      </c>
      <c r="B2965" s="3" t="s">
        <v>15764</v>
      </c>
      <c r="C2965" s="5" t="s">
        <v>36</v>
      </c>
      <c r="D2965" s="5">
        <v>5</v>
      </c>
      <c r="E2965" s="5">
        <v>3</v>
      </c>
      <c r="F2965" s="5">
        <v>7</v>
      </c>
      <c r="G2965" s="6" t="s">
        <v>36</v>
      </c>
      <c r="H2965" s="4" t="s">
        <v>36</v>
      </c>
      <c r="I2965" s="7" t="s">
        <v>36</v>
      </c>
      <c r="J2965" s="3" t="s">
        <v>36</v>
      </c>
      <c r="K2965" s="9" t="s">
        <v>36</v>
      </c>
      <c r="L2965" s="6" t="s">
        <v>36</v>
      </c>
      <c r="M2965" s="3" t="s">
        <v>36</v>
      </c>
      <c r="N2965" s="3" t="s">
        <v>36</v>
      </c>
      <c r="O2965" s="8" t="s">
        <v>36</v>
      </c>
      <c r="P2965" s="3" t="s">
        <v>36</v>
      </c>
      <c r="Q2965" s="3" t="s">
        <v>36</v>
      </c>
      <c r="R2965" s="3" t="s">
        <v>36</v>
      </c>
      <c r="S2965" s="3" t="s">
        <v>36</v>
      </c>
      <c r="T2965" s="3" t="s">
        <v>15765</v>
      </c>
      <c r="U2965" s="3" t="s">
        <v>1798</v>
      </c>
      <c r="V2965" s="3" t="s">
        <v>39</v>
      </c>
      <c r="W2965" s="3" t="s">
        <v>15766</v>
      </c>
      <c r="X2965" s="10" t="s">
        <v>2442</v>
      </c>
      <c r="Y2965" s="6" t="s">
        <v>108</v>
      </c>
      <c r="Z2965" s="4">
        <v>1.04</v>
      </c>
      <c r="AA2965" s="4" t="s">
        <v>36</v>
      </c>
      <c r="AB2965" s="3" t="s">
        <v>56</v>
      </c>
      <c r="AC2965" s="3" t="s">
        <v>15767</v>
      </c>
      <c r="AD2965" s="9">
        <v>44404</v>
      </c>
      <c r="AE2965" s="3" t="s">
        <v>4247</v>
      </c>
      <c r="AF2965" s="3" t="s">
        <v>982</v>
      </c>
      <c r="AG2965" s="3" t="s">
        <v>8790</v>
      </c>
      <c r="AH2965" s="11">
        <f>HYPERLINK("https://my.pitchbook.com?c=255373-84T","View Company Online")</f>
      </c>
    </row>
    <row r="2966">
      <c r="A2966" s="12" t="s">
        <v>15768</v>
      </c>
      <c r="B2966" s="12" t="s">
        <v>10412</v>
      </c>
      <c r="C2966" s="19" t="s">
        <v>36</v>
      </c>
      <c r="D2966" s="19" t="s">
        <v>36</v>
      </c>
      <c r="E2966" s="19" t="s">
        <v>36</v>
      </c>
      <c r="F2966" s="19" t="s">
        <v>36</v>
      </c>
      <c r="G2966" s="15" t="s">
        <v>326</v>
      </c>
      <c r="H2966" s="14" t="s">
        <v>36</v>
      </c>
      <c r="I2966" s="18">
        <v>12</v>
      </c>
      <c r="J2966" s="12" t="s">
        <v>327</v>
      </c>
      <c r="K2966" s="13" t="s">
        <v>36</v>
      </c>
      <c r="L2966" s="15" t="s">
        <v>1279</v>
      </c>
      <c r="M2966" s="12" t="s">
        <v>36</v>
      </c>
      <c r="N2966" s="12" t="s">
        <v>1279</v>
      </c>
      <c r="O2966" s="17" t="s">
        <v>36</v>
      </c>
      <c r="P2966" s="12" t="s">
        <v>36</v>
      </c>
      <c r="Q2966" s="12" t="s">
        <v>36</v>
      </c>
      <c r="R2966" s="12" t="s">
        <v>36</v>
      </c>
      <c r="S2966" s="12" t="s">
        <v>36</v>
      </c>
      <c r="T2966" s="12" t="s">
        <v>4225</v>
      </c>
      <c r="U2966" s="12" t="s">
        <v>96</v>
      </c>
      <c r="V2966" s="12" t="s">
        <v>52</v>
      </c>
      <c r="W2966" s="12" t="s">
        <v>10413</v>
      </c>
      <c r="X2966" s="16" t="s">
        <v>15769</v>
      </c>
      <c r="Y2966" s="15" t="s">
        <v>55</v>
      </c>
      <c r="Z2966" s="14">
        <v>150</v>
      </c>
      <c r="AA2966" s="14">
        <v>1250</v>
      </c>
      <c r="AB2966" s="12" t="s">
        <v>56</v>
      </c>
      <c r="AC2966" s="12" t="s">
        <v>10415</v>
      </c>
      <c r="AD2966" s="13">
        <v>44404</v>
      </c>
      <c r="AE2966" s="12" t="s">
        <v>143</v>
      </c>
      <c r="AF2966" s="12" t="s">
        <v>101</v>
      </c>
      <c r="AG2966" s="12" t="s">
        <v>8596</v>
      </c>
      <c r="AH2966" s="1">
        <f>HYPERLINK("https://my.pitchbook.com?c=177200-74T","View Company Online")</f>
      </c>
    </row>
    <row r="2967">
      <c r="A2967" s="3" t="s">
        <v>15770</v>
      </c>
      <c r="B2967" s="3" t="s">
        <v>4664</v>
      </c>
      <c r="C2967" s="5" t="s">
        <v>36</v>
      </c>
      <c r="D2967" s="5" t="s">
        <v>36</v>
      </c>
      <c r="E2967" s="5" t="s">
        <v>36</v>
      </c>
      <c r="F2967" s="5" t="s">
        <v>36</v>
      </c>
      <c r="G2967" s="6" t="s">
        <v>326</v>
      </c>
      <c r="H2967" s="4">
        <v>2214.31</v>
      </c>
      <c r="I2967" s="7">
        <v>29.53</v>
      </c>
      <c r="J2967" s="3" t="s">
        <v>521</v>
      </c>
      <c r="K2967" s="9" t="s">
        <v>36</v>
      </c>
      <c r="L2967" s="6" t="s">
        <v>94</v>
      </c>
      <c r="M2967" s="3" t="s">
        <v>36</v>
      </c>
      <c r="N2967" s="3" t="s">
        <v>94</v>
      </c>
      <c r="O2967" s="8" t="s">
        <v>36</v>
      </c>
      <c r="P2967" s="3" t="s">
        <v>36</v>
      </c>
      <c r="Q2967" s="3" t="s">
        <v>36</v>
      </c>
      <c r="R2967" s="3" t="s">
        <v>36</v>
      </c>
      <c r="S2967" s="3" t="s">
        <v>36</v>
      </c>
      <c r="T2967" s="3" t="s">
        <v>855</v>
      </c>
      <c r="U2967" s="3" t="s">
        <v>648</v>
      </c>
      <c r="V2967" s="3" t="s">
        <v>64</v>
      </c>
      <c r="W2967" s="3" t="s">
        <v>4665</v>
      </c>
      <c r="X2967" s="10" t="s">
        <v>15771</v>
      </c>
      <c r="Y2967" s="6" t="s">
        <v>166</v>
      </c>
      <c r="Z2967" s="4">
        <v>35.07</v>
      </c>
      <c r="AA2967" s="4">
        <v>118.77</v>
      </c>
      <c r="AB2967" s="3" t="s">
        <v>56</v>
      </c>
      <c r="AC2967" s="3" t="s">
        <v>4667</v>
      </c>
      <c r="AD2967" s="9">
        <v>44404</v>
      </c>
      <c r="AE2967" s="3" t="s">
        <v>651</v>
      </c>
      <c r="AF2967" s="3" t="s">
        <v>4668</v>
      </c>
      <c r="AG2967" s="3" t="s">
        <v>81</v>
      </c>
      <c r="AH2967" s="11">
        <f>HYPERLINK("https://my.pitchbook.com?c=177194-08T","View Company Online")</f>
      </c>
    </row>
    <row r="2968">
      <c r="A2968" s="12" t="s">
        <v>15772</v>
      </c>
      <c r="B2968" s="12" t="s">
        <v>15773</v>
      </c>
      <c r="C2968" s="19" t="s">
        <v>36</v>
      </c>
      <c r="D2968" s="19" t="s">
        <v>36</v>
      </c>
      <c r="E2968" s="19" t="s">
        <v>36</v>
      </c>
      <c r="F2968" s="19" t="s">
        <v>36</v>
      </c>
      <c r="G2968" s="15" t="s">
        <v>36</v>
      </c>
      <c r="H2968" s="14" t="s">
        <v>36</v>
      </c>
      <c r="I2968" s="18" t="s">
        <v>36</v>
      </c>
      <c r="J2968" s="12" t="s">
        <v>36</v>
      </c>
      <c r="K2968" s="13" t="s">
        <v>36</v>
      </c>
      <c r="L2968" s="15" t="s">
        <v>36</v>
      </c>
      <c r="M2968" s="12" t="s">
        <v>36</v>
      </c>
      <c r="N2968" s="12" t="s">
        <v>36</v>
      </c>
      <c r="O2968" s="17" t="s">
        <v>36</v>
      </c>
      <c r="P2968" s="12" t="s">
        <v>36</v>
      </c>
      <c r="Q2968" s="12" t="s">
        <v>36</v>
      </c>
      <c r="R2968" s="12" t="s">
        <v>36</v>
      </c>
      <c r="S2968" s="12" t="s">
        <v>36</v>
      </c>
      <c r="T2968" s="12" t="s">
        <v>1560</v>
      </c>
      <c r="U2968" s="12" t="s">
        <v>438</v>
      </c>
      <c r="V2968" s="12" t="s">
        <v>405</v>
      </c>
      <c r="W2968" s="12" t="s">
        <v>15774</v>
      </c>
      <c r="X2968" s="16" t="s">
        <v>15775</v>
      </c>
      <c r="Y2968" s="15" t="s">
        <v>55</v>
      </c>
      <c r="Z2968" s="14" t="s">
        <v>36</v>
      </c>
      <c r="AA2968" s="14" t="s">
        <v>36</v>
      </c>
      <c r="AB2968" s="12" t="s">
        <v>43</v>
      </c>
      <c r="AC2968" s="12" t="s">
        <v>15776</v>
      </c>
      <c r="AD2968" s="13">
        <v>44403</v>
      </c>
      <c r="AE2968" s="12" t="s">
        <v>438</v>
      </c>
      <c r="AF2968" s="12" t="s">
        <v>799</v>
      </c>
      <c r="AG2968" s="12" t="s">
        <v>765</v>
      </c>
      <c r="AH2968" s="1">
        <f>HYPERLINK("https://my.pitchbook.com?c=177203-71T","View Company Online")</f>
      </c>
    </row>
    <row r="2969">
      <c r="A2969" s="3" t="s">
        <v>15777</v>
      </c>
      <c r="B2969" s="3" t="s">
        <v>6822</v>
      </c>
      <c r="C2969" s="5">
        <v>2</v>
      </c>
      <c r="D2969" s="5">
        <v>4</v>
      </c>
      <c r="E2969" s="5">
        <v>3</v>
      </c>
      <c r="F2969" s="5">
        <v>6</v>
      </c>
      <c r="G2969" s="6" t="s">
        <v>326</v>
      </c>
      <c r="H2969" s="4">
        <v>36.67</v>
      </c>
      <c r="I2969" s="7">
        <v>25.01</v>
      </c>
      <c r="J2969" s="3" t="s">
        <v>521</v>
      </c>
      <c r="K2969" s="9" t="s">
        <v>36</v>
      </c>
      <c r="L2969" s="6" t="s">
        <v>36</v>
      </c>
      <c r="M2969" s="3" t="s">
        <v>36</v>
      </c>
      <c r="N2969" s="3" t="s">
        <v>36</v>
      </c>
      <c r="O2969" s="8" t="s">
        <v>36</v>
      </c>
      <c r="P2969" s="3" t="s">
        <v>36</v>
      </c>
      <c r="Q2969" s="3" t="s">
        <v>36</v>
      </c>
      <c r="R2969" s="3" t="s">
        <v>36</v>
      </c>
      <c r="S2969" s="3" t="s">
        <v>36</v>
      </c>
      <c r="T2969" s="3" t="s">
        <v>5666</v>
      </c>
      <c r="U2969" s="3" t="s">
        <v>219</v>
      </c>
      <c r="V2969" s="3" t="s">
        <v>75</v>
      </c>
      <c r="W2969" s="3" t="s">
        <v>6823</v>
      </c>
      <c r="X2969" s="10" t="s">
        <v>15778</v>
      </c>
      <c r="Y2969" s="6" t="s">
        <v>108</v>
      </c>
      <c r="Z2969" s="4">
        <v>7.1</v>
      </c>
      <c r="AA2969" s="4">
        <v>14.2</v>
      </c>
      <c r="AB2969" s="3" t="s">
        <v>43</v>
      </c>
      <c r="AC2969" s="3" t="s">
        <v>6825</v>
      </c>
      <c r="AD2969" s="9">
        <v>44403</v>
      </c>
      <c r="AE2969" s="3" t="s">
        <v>223</v>
      </c>
      <c r="AF2969" s="3" t="s">
        <v>6826</v>
      </c>
      <c r="AG2969" s="3" t="s">
        <v>5504</v>
      </c>
      <c r="AH2969" s="11">
        <f>HYPERLINK("https://my.pitchbook.com?c=177130-72T","View Company Online")</f>
      </c>
    </row>
    <row r="2970">
      <c r="A2970" s="12" t="s">
        <v>15779</v>
      </c>
      <c r="B2970" s="12" t="s">
        <v>15780</v>
      </c>
      <c r="C2970" s="19" t="s">
        <v>36</v>
      </c>
      <c r="D2970" s="19" t="s">
        <v>36</v>
      </c>
      <c r="E2970" s="19" t="s">
        <v>36</v>
      </c>
      <c r="F2970" s="19" t="s">
        <v>36</v>
      </c>
      <c r="G2970" s="15" t="s">
        <v>36</v>
      </c>
      <c r="H2970" s="14" t="s">
        <v>36</v>
      </c>
      <c r="I2970" s="18" t="s">
        <v>36</v>
      </c>
      <c r="J2970" s="12" t="s">
        <v>36</v>
      </c>
      <c r="K2970" s="13" t="s">
        <v>36</v>
      </c>
      <c r="L2970" s="15" t="s">
        <v>36</v>
      </c>
      <c r="M2970" s="12" t="s">
        <v>36</v>
      </c>
      <c r="N2970" s="12" t="s">
        <v>36</v>
      </c>
      <c r="O2970" s="17" t="s">
        <v>36</v>
      </c>
      <c r="P2970" s="12" t="s">
        <v>36</v>
      </c>
      <c r="Q2970" s="12" t="s">
        <v>36</v>
      </c>
      <c r="R2970" s="12" t="s">
        <v>36</v>
      </c>
      <c r="S2970" s="12" t="s">
        <v>36</v>
      </c>
      <c r="T2970" s="12" t="s">
        <v>2658</v>
      </c>
      <c r="U2970" s="12" t="s">
        <v>38</v>
      </c>
      <c r="V2970" s="12" t="s">
        <v>39</v>
      </c>
      <c r="W2970" s="12" t="s">
        <v>15781</v>
      </c>
      <c r="X2970" s="16" t="s">
        <v>15782</v>
      </c>
      <c r="Y2970" s="15" t="s">
        <v>108</v>
      </c>
      <c r="Z2970" s="14">
        <v>5.92</v>
      </c>
      <c r="AA2970" s="14" t="s">
        <v>36</v>
      </c>
      <c r="AB2970" s="12" t="s">
        <v>43</v>
      </c>
      <c r="AC2970" s="12" t="s">
        <v>15783</v>
      </c>
      <c r="AD2970" s="13">
        <v>44402</v>
      </c>
      <c r="AE2970" s="12" t="s">
        <v>110</v>
      </c>
      <c r="AF2970" s="12" t="s">
        <v>1999</v>
      </c>
      <c r="AG2970" s="12" t="s">
        <v>4520</v>
      </c>
      <c r="AH2970" s="1">
        <f>HYPERLINK("https://my.pitchbook.com?c=200958-67T","View Company Online")</f>
      </c>
    </row>
    <row r="2971">
      <c r="A2971" s="3" t="s">
        <v>15784</v>
      </c>
      <c r="B2971" s="3" t="s">
        <v>15785</v>
      </c>
      <c r="C2971" s="5" t="s">
        <v>36</v>
      </c>
      <c r="D2971" s="5" t="s">
        <v>36</v>
      </c>
      <c r="E2971" s="5" t="s">
        <v>36</v>
      </c>
      <c r="F2971" s="5" t="s">
        <v>36</v>
      </c>
      <c r="G2971" s="6" t="s">
        <v>36</v>
      </c>
      <c r="H2971" s="4">
        <v>1.37</v>
      </c>
      <c r="I2971" s="7">
        <v>18.76</v>
      </c>
      <c r="J2971" s="3" t="s">
        <v>521</v>
      </c>
      <c r="K2971" s="9" t="s">
        <v>36</v>
      </c>
      <c r="L2971" s="6" t="s">
        <v>36</v>
      </c>
      <c r="M2971" s="3" t="s">
        <v>36</v>
      </c>
      <c r="N2971" s="3" t="s">
        <v>36</v>
      </c>
      <c r="O2971" s="8" t="s">
        <v>36</v>
      </c>
      <c r="P2971" s="3" t="s">
        <v>36</v>
      </c>
      <c r="Q2971" s="3" t="s">
        <v>36</v>
      </c>
      <c r="R2971" s="3" t="s">
        <v>36</v>
      </c>
      <c r="S2971" s="3" t="s">
        <v>36</v>
      </c>
      <c r="T2971" s="3" t="s">
        <v>1701</v>
      </c>
      <c r="U2971" s="3" t="s">
        <v>74</v>
      </c>
      <c r="V2971" s="3" t="s">
        <v>75</v>
      </c>
      <c r="W2971" s="3" t="s">
        <v>15786</v>
      </c>
      <c r="X2971" s="10" t="s">
        <v>2869</v>
      </c>
      <c r="Y2971" s="6" t="s">
        <v>42</v>
      </c>
      <c r="Z2971" s="4">
        <v>2.62</v>
      </c>
      <c r="AA2971" s="4">
        <v>13.96</v>
      </c>
      <c r="AB2971" s="3" t="s">
        <v>43</v>
      </c>
      <c r="AC2971" s="3" t="s">
        <v>15787</v>
      </c>
      <c r="AD2971" s="9">
        <v>44400</v>
      </c>
      <c r="AE2971" s="3" t="s">
        <v>79</v>
      </c>
      <c r="AF2971" s="3" t="s">
        <v>2759</v>
      </c>
      <c r="AG2971" s="3" t="s">
        <v>81</v>
      </c>
      <c r="AH2971" s="11">
        <f>HYPERLINK("https://my.pitchbook.com?c=226127-08T","View Company Online")</f>
      </c>
    </row>
    <row r="2972">
      <c r="A2972" s="12" t="s">
        <v>15788</v>
      </c>
      <c r="B2972" s="12" t="s">
        <v>15789</v>
      </c>
      <c r="C2972" s="19" t="s">
        <v>36</v>
      </c>
      <c r="D2972" s="19" t="s">
        <v>36</v>
      </c>
      <c r="E2972" s="19" t="s">
        <v>36</v>
      </c>
      <c r="F2972" s="19" t="s">
        <v>36</v>
      </c>
      <c r="G2972" s="15" t="s">
        <v>326</v>
      </c>
      <c r="H2972" s="14">
        <v>234.34</v>
      </c>
      <c r="I2972" s="18">
        <v>27.11</v>
      </c>
      <c r="J2972" s="12" t="s">
        <v>521</v>
      </c>
      <c r="K2972" s="13" t="s">
        <v>36</v>
      </c>
      <c r="L2972" s="15" t="s">
        <v>36</v>
      </c>
      <c r="M2972" s="12" t="s">
        <v>36</v>
      </c>
      <c r="N2972" s="12" t="s">
        <v>36</v>
      </c>
      <c r="O2972" s="17" t="s">
        <v>36</v>
      </c>
      <c r="P2972" s="12" t="s">
        <v>36</v>
      </c>
      <c r="Q2972" s="12" t="s">
        <v>36</v>
      </c>
      <c r="R2972" s="12" t="s">
        <v>36</v>
      </c>
      <c r="S2972" s="12" t="s">
        <v>36</v>
      </c>
      <c r="T2972" s="12" t="s">
        <v>15790</v>
      </c>
      <c r="U2972" s="12" t="s">
        <v>728</v>
      </c>
      <c r="V2972" s="12" t="s">
        <v>64</v>
      </c>
      <c r="W2972" s="12" t="s">
        <v>15791</v>
      </c>
      <c r="X2972" s="16" t="s">
        <v>15792</v>
      </c>
      <c r="Y2972" s="15" t="s">
        <v>108</v>
      </c>
      <c r="Z2972" s="14">
        <v>2.53</v>
      </c>
      <c r="AA2972" s="14">
        <v>9.35</v>
      </c>
      <c r="AB2972" s="12" t="s">
        <v>43</v>
      </c>
      <c r="AC2972" s="12" t="s">
        <v>15793</v>
      </c>
      <c r="AD2972" s="13">
        <v>44400</v>
      </c>
      <c r="AE2972" s="12" t="s">
        <v>1600</v>
      </c>
      <c r="AF2972" s="12" t="s">
        <v>15794</v>
      </c>
      <c r="AG2972" s="12" t="s">
        <v>81</v>
      </c>
      <c r="AH2972" s="1">
        <f>HYPERLINK("https://my.pitchbook.com?c=182687-32T","View Company Online")</f>
      </c>
    </row>
    <row r="2973">
      <c r="A2973" s="3" t="s">
        <v>15795</v>
      </c>
      <c r="B2973" s="3" t="s">
        <v>810</v>
      </c>
      <c r="C2973" s="5" t="s">
        <v>36</v>
      </c>
      <c r="D2973" s="5" t="s">
        <v>36</v>
      </c>
      <c r="E2973" s="5" t="s">
        <v>36</v>
      </c>
      <c r="F2973" s="5" t="s">
        <v>36</v>
      </c>
      <c r="G2973" s="6" t="s">
        <v>326</v>
      </c>
      <c r="H2973" s="4">
        <v>70.83</v>
      </c>
      <c r="I2973" s="7">
        <v>22.81</v>
      </c>
      <c r="J2973" s="3" t="s">
        <v>521</v>
      </c>
      <c r="K2973" s="9" t="s">
        <v>36</v>
      </c>
      <c r="L2973" s="6" t="s">
        <v>36</v>
      </c>
      <c r="M2973" s="3" t="s">
        <v>36</v>
      </c>
      <c r="N2973" s="3" t="s">
        <v>36</v>
      </c>
      <c r="O2973" s="8" t="s">
        <v>36</v>
      </c>
      <c r="P2973" s="3" t="s">
        <v>36</v>
      </c>
      <c r="Q2973" s="3" t="s">
        <v>36</v>
      </c>
      <c r="R2973" s="3" t="s">
        <v>36</v>
      </c>
      <c r="S2973" s="3" t="s">
        <v>36</v>
      </c>
      <c r="T2973" s="3" t="s">
        <v>811</v>
      </c>
      <c r="U2973" s="3" t="s">
        <v>38</v>
      </c>
      <c r="V2973" s="3" t="s">
        <v>39</v>
      </c>
      <c r="W2973" s="3" t="s">
        <v>812</v>
      </c>
      <c r="X2973" s="10" t="s">
        <v>9033</v>
      </c>
      <c r="Y2973" s="6" t="s">
        <v>55</v>
      </c>
      <c r="Z2973" s="4">
        <v>3.02</v>
      </c>
      <c r="AA2973" s="4">
        <v>13.26</v>
      </c>
      <c r="AB2973" s="3" t="s">
        <v>43</v>
      </c>
      <c r="AC2973" s="3" t="s">
        <v>814</v>
      </c>
      <c r="AD2973" s="9">
        <v>44400</v>
      </c>
      <c r="AE2973" s="3" t="s">
        <v>339</v>
      </c>
      <c r="AF2973" s="3" t="s">
        <v>815</v>
      </c>
      <c r="AG2973" s="3" t="s">
        <v>81</v>
      </c>
      <c r="AH2973" s="11">
        <f>HYPERLINK("https://my.pitchbook.com?c=182698-03T","View Company Online")</f>
      </c>
    </row>
    <row r="2974">
      <c r="A2974" s="12" t="s">
        <v>15796</v>
      </c>
      <c r="B2974" s="12" t="s">
        <v>15797</v>
      </c>
      <c r="C2974" s="19" t="s">
        <v>36</v>
      </c>
      <c r="D2974" s="19" t="s">
        <v>36</v>
      </c>
      <c r="E2974" s="19" t="s">
        <v>36</v>
      </c>
      <c r="F2974" s="19" t="s">
        <v>36</v>
      </c>
      <c r="G2974" s="15" t="s">
        <v>36</v>
      </c>
      <c r="H2974" s="14" t="s">
        <v>36</v>
      </c>
      <c r="I2974" s="18" t="s">
        <v>36</v>
      </c>
      <c r="J2974" s="12" t="s">
        <v>36</v>
      </c>
      <c r="K2974" s="13" t="s">
        <v>36</v>
      </c>
      <c r="L2974" s="15" t="s">
        <v>36</v>
      </c>
      <c r="M2974" s="12" t="s">
        <v>36</v>
      </c>
      <c r="N2974" s="12" t="s">
        <v>36</v>
      </c>
      <c r="O2974" s="17" t="s">
        <v>36</v>
      </c>
      <c r="P2974" s="12" t="s">
        <v>36</v>
      </c>
      <c r="Q2974" s="12" t="s">
        <v>36</v>
      </c>
      <c r="R2974" s="12" t="s">
        <v>36</v>
      </c>
      <c r="S2974" s="12" t="s">
        <v>36</v>
      </c>
      <c r="T2974" s="12" t="s">
        <v>11657</v>
      </c>
      <c r="U2974" s="12" t="s">
        <v>289</v>
      </c>
      <c r="V2974" s="12" t="s">
        <v>64</v>
      </c>
      <c r="W2974" s="12" t="s">
        <v>15798</v>
      </c>
      <c r="X2974" s="16" t="s">
        <v>15799</v>
      </c>
      <c r="Y2974" s="15" t="s">
        <v>42</v>
      </c>
      <c r="Z2974" s="14" t="s">
        <v>36</v>
      </c>
      <c r="AA2974" s="14" t="s">
        <v>36</v>
      </c>
      <c r="AB2974" s="12" t="s">
        <v>43</v>
      </c>
      <c r="AC2974" s="12" t="s">
        <v>15800</v>
      </c>
      <c r="AD2974" s="13">
        <v>44400</v>
      </c>
      <c r="AE2974" s="12" t="s">
        <v>292</v>
      </c>
      <c r="AF2974" s="12" t="s">
        <v>2767</v>
      </c>
      <c r="AG2974" s="12" t="s">
        <v>81</v>
      </c>
      <c r="AH2974" s="1">
        <f>HYPERLINK("https://my.pitchbook.com?c=185816-62T","View Company Online")</f>
      </c>
    </row>
    <row r="2975">
      <c r="A2975" s="3" t="s">
        <v>15801</v>
      </c>
      <c r="B2975" s="3" t="s">
        <v>15802</v>
      </c>
      <c r="C2975" s="5" t="s">
        <v>36</v>
      </c>
      <c r="D2975" s="5" t="s">
        <v>36</v>
      </c>
      <c r="E2975" s="5" t="s">
        <v>36</v>
      </c>
      <c r="F2975" s="5" t="s">
        <v>36</v>
      </c>
      <c r="G2975" s="6" t="s">
        <v>36</v>
      </c>
      <c r="H2975" s="4" t="s">
        <v>36</v>
      </c>
      <c r="I2975" s="7" t="s">
        <v>36</v>
      </c>
      <c r="J2975" s="3" t="s">
        <v>36</v>
      </c>
      <c r="K2975" s="9" t="s">
        <v>36</v>
      </c>
      <c r="L2975" s="6" t="s">
        <v>122</v>
      </c>
      <c r="M2975" s="3" t="s">
        <v>36</v>
      </c>
      <c r="N2975" s="3" t="s">
        <v>122</v>
      </c>
      <c r="O2975" s="8" t="s">
        <v>36</v>
      </c>
      <c r="P2975" s="3" t="s">
        <v>36</v>
      </c>
      <c r="Q2975" s="3" t="s">
        <v>36</v>
      </c>
      <c r="R2975" s="3" t="s">
        <v>36</v>
      </c>
      <c r="S2975" s="3" t="s">
        <v>36</v>
      </c>
      <c r="T2975" s="3" t="s">
        <v>596</v>
      </c>
      <c r="U2975" s="3" t="s">
        <v>366</v>
      </c>
      <c r="V2975" s="3" t="s">
        <v>367</v>
      </c>
      <c r="W2975" s="3" t="s">
        <v>15803</v>
      </c>
      <c r="X2975" s="10" t="s">
        <v>15804</v>
      </c>
      <c r="Y2975" s="6" t="s">
        <v>42</v>
      </c>
      <c r="Z2975" s="4">
        <v>3.56</v>
      </c>
      <c r="AA2975" s="4" t="s">
        <v>36</v>
      </c>
      <c r="AB2975" s="3" t="s">
        <v>56</v>
      </c>
      <c r="AC2975" s="3" t="s">
        <v>15805</v>
      </c>
      <c r="AD2975" s="9">
        <v>44400</v>
      </c>
      <c r="AE2975" s="3" t="s">
        <v>600</v>
      </c>
      <c r="AF2975" s="3" t="s">
        <v>10859</v>
      </c>
      <c r="AG2975" s="3" t="s">
        <v>81</v>
      </c>
      <c r="AH2975" s="11">
        <f>HYPERLINK("https://my.pitchbook.com?c=177062-23T","View Company Online")</f>
      </c>
    </row>
    <row r="2976">
      <c r="A2976" s="12" t="s">
        <v>15806</v>
      </c>
      <c r="B2976" s="12" t="s">
        <v>15807</v>
      </c>
      <c r="C2976" s="19" t="s">
        <v>36</v>
      </c>
      <c r="D2976" s="19" t="s">
        <v>36</v>
      </c>
      <c r="E2976" s="19" t="s">
        <v>36</v>
      </c>
      <c r="F2976" s="19" t="s">
        <v>36</v>
      </c>
      <c r="G2976" s="15" t="s">
        <v>36</v>
      </c>
      <c r="H2976" s="14">
        <v>34.28</v>
      </c>
      <c r="I2976" s="18">
        <v>37.73</v>
      </c>
      <c r="J2976" s="12" t="s">
        <v>521</v>
      </c>
      <c r="K2976" s="13" t="s">
        <v>36</v>
      </c>
      <c r="L2976" s="15" t="s">
        <v>36</v>
      </c>
      <c r="M2976" s="12" t="s">
        <v>36</v>
      </c>
      <c r="N2976" s="12" t="s">
        <v>36</v>
      </c>
      <c r="O2976" s="17" t="s">
        <v>36</v>
      </c>
      <c r="P2976" s="12" t="s">
        <v>36</v>
      </c>
      <c r="Q2976" s="12" t="s">
        <v>36</v>
      </c>
      <c r="R2976" s="12" t="s">
        <v>36</v>
      </c>
      <c r="S2976" s="12" t="s">
        <v>36</v>
      </c>
      <c r="T2976" s="12" t="s">
        <v>847</v>
      </c>
      <c r="U2976" s="12" t="s">
        <v>279</v>
      </c>
      <c r="V2976" s="12" t="s">
        <v>64</v>
      </c>
      <c r="W2976" s="12" t="s">
        <v>15808</v>
      </c>
      <c r="X2976" s="16" t="s">
        <v>15809</v>
      </c>
      <c r="Y2976" s="15" t="s">
        <v>42</v>
      </c>
      <c r="Z2976" s="14">
        <v>0.24</v>
      </c>
      <c r="AA2976" s="14">
        <v>0.63</v>
      </c>
      <c r="AB2976" s="12" t="s">
        <v>43</v>
      </c>
      <c r="AC2976" s="12" t="s">
        <v>15810</v>
      </c>
      <c r="AD2976" s="13">
        <v>44399</v>
      </c>
      <c r="AE2976" s="12" t="s">
        <v>851</v>
      </c>
      <c r="AF2976" s="12" t="s">
        <v>36</v>
      </c>
      <c r="AG2976" s="12" t="s">
        <v>15678</v>
      </c>
      <c r="AH2976" s="1">
        <f>HYPERLINK("https://my.pitchbook.com?c=259398-19T","View Company Online")</f>
      </c>
    </row>
    <row r="2977">
      <c r="A2977" s="3" t="s">
        <v>15811</v>
      </c>
      <c r="B2977" s="3" t="s">
        <v>2949</v>
      </c>
      <c r="C2977" s="5" t="s">
        <v>36</v>
      </c>
      <c r="D2977" s="5" t="s">
        <v>36</v>
      </c>
      <c r="E2977" s="5" t="s">
        <v>36</v>
      </c>
      <c r="F2977" s="5" t="s">
        <v>36</v>
      </c>
      <c r="G2977" s="6" t="s">
        <v>326</v>
      </c>
      <c r="H2977" s="4" t="s">
        <v>36</v>
      </c>
      <c r="I2977" s="7">
        <v>30.55</v>
      </c>
      <c r="J2977" s="3" t="s">
        <v>327</v>
      </c>
      <c r="K2977" s="9" t="s">
        <v>36</v>
      </c>
      <c r="L2977" s="6" t="s">
        <v>94</v>
      </c>
      <c r="M2977" s="3" t="s">
        <v>36</v>
      </c>
      <c r="N2977" s="3" t="s">
        <v>94</v>
      </c>
      <c r="O2977" s="8" t="s">
        <v>36</v>
      </c>
      <c r="P2977" s="3" t="s">
        <v>36</v>
      </c>
      <c r="Q2977" s="3" t="s">
        <v>36</v>
      </c>
      <c r="R2977" s="3" t="s">
        <v>36</v>
      </c>
      <c r="S2977" s="3" t="s">
        <v>36</v>
      </c>
      <c r="T2977" s="3" t="s">
        <v>2950</v>
      </c>
      <c r="U2977" s="3" t="s">
        <v>38</v>
      </c>
      <c r="V2977" s="3" t="s">
        <v>39</v>
      </c>
      <c r="W2977" s="3" t="s">
        <v>2951</v>
      </c>
      <c r="X2977" s="10" t="s">
        <v>15812</v>
      </c>
      <c r="Y2977" s="6" t="s">
        <v>55</v>
      </c>
      <c r="Z2977" s="4">
        <v>18.97</v>
      </c>
      <c r="AA2977" s="4">
        <v>62.11</v>
      </c>
      <c r="AB2977" s="3" t="s">
        <v>56</v>
      </c>
      <c r="AC2977" s="3" t="s">
        <v>2953</v>
      </c>
      <c r="AD2977" s="9">
        <v>44399</v>
      </c>
      <c r="AE2977" s="3" t="s">
        <v>134</v>
      </c>
      <c r="AF2977" s="3" t="s">
        <v>135</v>
      </c>
      <c r="AG2977" s="3" t="s">
        <v>81</v>
      </c>
      <c r="AH2977" s="11">
        <f>HYPERLINK("https://my.pitchbook.com?c=176988-43T","View Company Online")</f>
      </c>
    </row>
    <row r="2978">
      <c r="A2978" s="12" t="s">
        <v>15813</v>
      </c>
      <c r="B2978" s="12" t="s">
        <v>15814</v>
      </c>
      <c r="C2978" s="19" t="s">
        <v>36</v>
      </c>
      <c r="D2978" s="19" t="s">
        <v>36</v>
      </c>
      <c r="E2978" s="19" t="s">
        <v>36</v>
      </c>
      <c r="F2978" s="19" t="s">
        <v>36</v>
      </c>
      <c r="G2978" s="15" t="s">
        <v>36</v>
      </c>
      <c r="H2978" s="14" t="s">
        <v>36</v>
      </c>
      <c r="I2978" s="18" t="s">
        <v>36</v>
      </c>
      <c r="J2978" s="12" t="s">
        <v>36</v>
      </c>
      <c r="K2978" s="13" t="s">
        <v>36</v>
      </c>
      <c r="L2978" s="15" t="s">
        <v>36</v>
      </c>
      <c r="M2978" s="12" t="s">
        <v>36</v>
      </c>
      <c r="N2978" s="12" t="s">
        <v>36</v>
      </c>
      <c r="O2978" s="17" t="s">
        <v>36</v>
      </c>
      <c r="P2978" s="12" t="s">
        <v>36</v>
      </c>
      <c r="Q2978" s="12" t="s">
        <v>36</v>
      </c>
      <c r="R2978" s="12" t="s">
        <v>36</v>
      </c>
      <c r="S2978" s="12" t="s">
        <v>36</v>
      </c>
      <c r="T2978" s="12" t="s">
        <v>6904</v>
      </c>
      <c r="U2978" s="12" t="s">
        <v>96</v>
      </c>
      <c r="V2978" s="12" t="s">
        <v>52</v>
      </c>
      <c r="W2978" s="12" t="s">
        <v>15815</v>
      </c>
      <c r="X2978" s="16" t="s">
        <v>1840</v>
      </c>
      <c r="Y2978" s="15" t="s">
        <v>42</v>
      </c>
      <c r="Z2978" s="14">
        <v>0.53</v>
      </c>
      <c r="AA2978" s="14" t="s">
        <v>36</v>
      </c>
      <c r="AB2978" s="12" t="s">
        <v>43</v>
      </c>
      <c r="AC2978" s="12" t="s">
        <v>15816</v>
      </c>
      <c r="AD2978" s="13">
        <v>44398</v>
      </c>
      <c r="AE2978" s="12" t="s">
        <v>143</v>
      </c>
      <c r="AF2978" s="12" t="s">
        <v>15817</v>
      </c>
      <c r="AG2978" s="12" t="s">
        <v>144</v>
      </c>
      <c r="AH2978" s="1">
        <f>HYPERLINK("https://my.pitchbook.com?c=176928-85T","View Company Online")</f>
      </c>
    </row>
    <row r="2979">
      <c r="A2979" s="3" t="s">
        <v>15818</v>
      </c>
      <c r="B2979" s="3" t="s">
        <v>15819</v>
      </c>
      <c r="C2979" s="5">
        <v>17</v>
      </c>
      <c r="D2979" s="5">
        <v>15</v>
      </c>
      <c r="E2979" s="5">
        <v>8</v>
      </c>
      <c r="F2979" s="5">
        <v>32</v>
      </c>
      <c r="G2979" s="6" t="s">
        <v>36</v>
      </c>
      <c r="H2979" s="4" t="s">
        <v>36</v>
      </c>
      <c r="I2979" s="7" t="s">
        <v>36</v>
      </c>
      <c r="J2979" s="3" t="s">
        <v>36</v>
      </c>
      <c r="K2979" s="9" t="s">
        <v>36</v>
      </c>
      <c r="L2979" s="6" t="s">
        <v>122</v>
      </c>
      <c r="M2979" s="3" t="s">
        <v>36</v>
      </c>
      <c r="N2979" s="3" t="s">
        <v>122</v>
      </c>
      <c r="O2979" s="8" t="s">
        <v>36</v>
      </c>
      <c r="P2979" s="3" t="s">
        <v>36</v>
      </c>
      <c r="Q2979" s="3" t="s">
        <v>36</v>
      </c>
      <c r="R2979" s="3" t="s">
        <v>36</v>
      </c>
      <c r="S2979" s="3" t="s">
        <v>1651</v>
      </c>
      <c r="T2979" s="3" t="s">
        <v>2736</v>
      </c>
      <c r="U2979" s="3" t="s">
        <v>51</v>
      </c>
      <c r="V2979" s="3" t="s">
        <v>52</v>
      </c>
      <c r="W2979" s="3" t="s">
        <v>15820</v>
      </c>
      <c r="X2979" s="10" t="s">
        <v>15821</v>
      </c>
      <c r="Y2979" s="6" t="s">
        <v>108</v>
      </c>
      <c r="Z2979" s="4">
        <v>3.56</v>
      </c>
      <c r="AA2979" s="4" t="s">
        <v>36</v>
      </c>
      <c r="AB2979" s="3" t="s">
        <v>43</v>
      </c>
      <c r="AC2979" s="3" t="s">
        <v>15822</v>
      </c>
      <c r="AD2979" s="9">
        <v>44398</v>
      </c>
      <c r="AE2979" s="3" t="s">
        <v>2740</v>
      </c>
      <c r="AF2979" s="3" t="s">
        <v>15823</v>
      </c>
      <c r="AG2979" s="3" t="s">
        <v>15824</v>
      </c>
      <c r="AH2979" s="11">
        <f>HYPERLINK("https://my.pitchbook.com?c=176959-72T","View Company Online")</f>
      </c>
    </row>
    <row r="2980">
      <c r="A2980" s="12" t="s">
        <v>15825</v>
      </c>
      <c r="B2980" s="12" t="s">
        <v>15826</v>
      </c>
      <c r="C2980" s="19" t="s">
        <v>36</v>
      </c>
      <c r="D2980" s="19" t="s">
        <v>36</v>
      </c>
      <c r="E2980" s="19" t="s">
        <v>36</v>
      </c>
      <c r="F2980" s="19" t="s">
        <v>36</v>
      </c>
      <c r="G2980" s="15" t="s">
        <v>36</v>
      </c>
      <c r="H2980" s="14" t="s">
        <v>36</v>
      </c>
      <c r="I2980" s="18" t="s">
        <v>36</v>
      </c>
      <c r="J2980" s="12" t="s">
        <v>36</v>
      </c>
      <c r="K2980" s="13">
        <v>44215</v>
      </c>
      <c r="L2980" s="15" t="s">
        <v>122</v>
      </c>
      <c r="M2980" s="12" t="s">
        <v>36</v>
      </c>
      <c r="N2980" s="12" t="s">
        <v>122</v>
      </c>
      <c r="O2980" s="17" t="s">
        <v>36</v>
      </c>
      <c r="P2980" s="12" t="s">
        <v>36</v>
      </c>
      <c r="Q2980" s="12" t="s">
        <v>36</v>
      </c>
      <c r="R2980" s="12" t="s">
        <v>36</v>
      </c>
      <c r="S2980" s="12" t="s">
        <v>36</v>
      </c>
      <c r="T2980" s="12" t="s">
        <v>15827</v>
      </c>
      <c r="U2980" s="12" t="s">
        <v>956</v>
      </c>
      <c r="V2980" s="12" t="s">
        <v>405</v>
      </c>
      <c r="W2980" s="12" t="s">
        <v>15828</v>
      </c>
      <c r="X2980" s="16" t="s">
        <v>15829</v>
      </c>
      <c r="Y2980" s="15" t="s">
        <v>55</v>
      </c>
      <c r="Z2980" s="14">
        <v>20.17</v>
      </c>
      <c r="AA2980" s="14" t="s">
        <v>36</v>
      </c>
      <c r="AB2980" s="12" t="s">
        <v>43</v>
      </c>
      <c r="AC2980" s="12" t="s">
        <v>15830</v>
      </c>
      <c r="AD2980" s="13">
        <v>44397</v>
      </c>
      <c r="AE2980" s="12" t="s">
        <v>960</v>
      </c>
      <c r="AF2980" s="12" t="s">
        <v>15831</v>
      </c>
      <c r="AG2980" s="12" t="s">
        <v>2299</v>
      </c>
      <c r="AH2980" s="1">
        <f>HYPERLINK("https://my.pitchbook.com?c=165135-70T","View Company Online")</f>
      </c>
    </row>
    <row r="2981">
      <c r="A2981" s="3" t="s">
        <v>15832</v>
      </c>
      <c r="B2981" s="3" t="s">
        <v>4861</v>
      </c>
      <c r="C2981" s="5" t="s">
        <v>36</v>
      </c>
      <c r="D2981" s="5">
        <v>4</v>
      </c>
      <c r="E2981" s="5">
        <v>1</v>
      </c>
      <c r="F2981" s="5">
        <v>5</v>
      </c>
      <c r="G2981" s="6" t="s">
        <v>36</v>
      </c>
      <c r="H2981" s="4" t="s">
        <v>36</v>
      </c>
      <c r="I2981" s="7" t="s">
        <v>36</v>
      </c>
      <c r="J2981" s="3" t="s">
        <v>36</v>
      </c>
      <c r="K2981" s="9" t="s">
        <v>36</v>
      </c>
      <c r="L2981" s="6" t="s">
        <v>122</v>
      </c>
      <c r="M2981" s="3" t="s">
        <v>36</v>
      </c>
      <c r="N2981" s="3" t="s">
        <v>122</v>
      </c>
      <c r="O2981" s="8" t="s">
        <v>36</v>
      </c>
      <c r="P2981" s="3" t="s">
        <v>36</v>
      </c>
      <c r="Q2981" s="3" t="s">
        <v>36</v>
      </c>
      <c r="R2981" s="3" t="s">
        <v>36</v>
      </c>
      <c r="S2981" s="3" t="s">
        <v>36</v>
      </c>
      <c r="T2981" s="3" t="s">
        <v>881</v>
      </c>
      <c r="U2981" s="3" t="s">
        <v>51</v>
      </c>
      <c r="V2981" s="3" t="s">
        <v>52</v>
      </c>
      <c r="W2981" s="3" t="s">
        <v>4862</v>
      </c>
      <c r="X2981" s="10" t="s">
        <v>15833</v>
      </c>
      <c r="Y2981" s="6" t="s">
        <v>166</v>
      </c>
      <c r="Z2981" s="4">
        <v>6.41</v>
      </c>
      <c r="AA2981" s="4" t="s">
        <v>36</v>
      </c>
      <c r="AB2981" s="3" t="s">
        <v>56</v>
      </c>
      <c r="AC2981" s="3" t="s">
        <v>4864</v>
      </c>
      <c r="AD2981" s="9">
        <v>44396</v>
      </c>
      <c r="AE2981" s="3" t="s">
        <v>504</v>
      </c>
      <c r="AF2981" s="3" t="s">
        <v>4865</v>
      </c>
      <c r="AG2981" s="3" t="s">
        <v>4866</v>
      </c>
      <c r="AH2981" s="11">
        <f>HYPERLINK("https://my.pitchbook.com?c=170856-64T","View Company Online")</f>
      </c>
    </row>
    <row r="2982">
      <c r="A2982" s="12" t="s">
        <v>15834</v>
      </c>
      <c r="B2982" s="12" t="s">
        <v>15835</v>
      </c>
      <c r="C2982" s="19" t="s">
        <v>36</v>
      </c>
      <c r="D2982" s="19" t="s">
        <v>36</v>
      </c>
      <c r="E2982" s="19" t="s">
        <v>36</v>
      </c>
      <c r="F2982" s="19" t="s">
        <v>36</v>
      </c>
      <c r="G2982" s="15" t="s">
        <v>36</v>
      </c>
      <c r="H2982" s="14">
        <v>1.92</v>
      </c>
      <c r="I2982" s="18">
        <v>19.02</v>
      </c>
      <c r="J2982" s="12" t="s">
        <v>521</v>
      </c>
      <c r="K2982" s="13" t="s">
        <v>36</v>
      </c>
      <c r="L2982" s="15" t="s">
        <v>36</v>
      </c>
      <c r="M2982" s="12" t="s">
        <v>36</v>
      </c>
      <c r="N2982" s="12" t="s">
        <v>36</v>
      </c>
      <c r="O2982" s="17" t="s">
        <v>36</v>
      </c>
      <c r="P2982" s="12" t="s">
        <v>36</v>
      </c>
      <c r="Q2982" s="12" t="s">
        <v>36</v>
      </c>
      <c r="R2982" s="12" t="s">
        <v>36</v>
      </c>
      <c r="S2982" s="12" t="s">
        <v>36</v>
      </c>
      <c r="T2982" s="12" t="s">
        <v>105</v>
      </c>
      <c r="U2982" s="12" t="s">
        <v>38</v>
      </c>
      <c r="V2982" s="12" t="s">
        <v>39</v>
      </c>
      <c r="W2982" s="12" t="s">
        <v>15836</v>
      </c>
      <c r="X2982" s="16" t="s">
        <v>15837</v>
      </c>
      <c r="Y2982" s="15" t="s">
        <v>108</v>
      </c>
      <c r="Z2982" s="14">
        <v>1.78</v>
      </c>
      <c r="AA2982" s="14">
        <v>6.29</v>
      </c>
      <c r="AB2982" s="12" t="s">
        <v>43</v>
      </c>
      <c r="AC2982" s="12" t="s">
        <v>15838</v>
      </c>
      <c r="AD2982" s="13">
        <v>44393</v>
      </c>
      <c r="AE2982" s="12" t="s">
        <v>110</v>
      </c>
      <c r="AF2982" s="12" t="s">
        <v>8083</v>
      </c>
      <c r="AG2982" s="12" t="s">
        <v>144</v>
      </c>
      <c r="AH2982" s="1">
        <f>HYPERLINK("https://my.pitchbook.com?c=176643-28T","View Company Online")</f>
      </c>
    </row>
    <row r="2983">
      <c r="A2983" s="3" t="s">
        <v>15839</v>
      </c>
      <c r="B2983" s="3" t="s">
        <v>1117</v>
      </c>
      <c r="C2983" s="5" t="s">
        <v>36</v>
      </c>
      <c r="D2983" s="5" t="s">
        <v>36</v>
      </c>
      <c r="E2983" s="5" t="s">
        <v>36</v>
      </c>
      <c r="F2983" s="5" t="s">
        <v>36</v>
      </c>
      <c r="G2983" s="6" t="s">
        <v>36</v>
      </c>
      <c r="H2983" s="4" t="s">
        <v>36</v>
      </c>
      <c r="I2983" s="7">
        <v>29.36</v>
      </c>
      <c r="J2983" s="3" t="s">
        <v>327</v>
      </c>
      <c r="K2983" s="9">
        <v>44136</v>
      </c>
      <c r="L2983" s="6" t="s">
        <v>94</v>
      </c>
      <c r="M2983" s="3" t="s">
        <v>36</v>
      </c>
      <c r="N2983" s="3" t="s">
        <v>94</v>
      </c>
      <c r="O2983" s="8" t="s">
        <v>36</v>
      </c>
      <c r="P2983" s="3" t="s">
        <v>36</v>
      </c>
      <c r="Q2983" s="3" t="s">
        <v>36</v>
      </c>
      <c r="R2983" s="3" t="s">
        <v>36</v>
      </c>
      <c r="S2983" s="3" t="s">
        <v>36</v>
      </c>
      <c r="T2983" s="3" t="s">
        <v>522</v>
      </c>
      <c r="U2983" s="3" t="s">
        <v>38</v>
      </c>
      <c r="V2983" s="3" t="s">
        <v>39</v>
      </c>
      <c r="W2983" s="3" t="s">
        <v>1118</v>
      </c>
      <c r="X2983" s="10" t="s">
        <v>15840</v>
      </c>
      <c r="Y2983" s="6" t="s">
        <v>321</v>
      </c>
      <c r="Z2983" s="4">
        <v>21.38</v>
      </c>
      <c r="AA2983" s="4">
        <v>72.81</v>
      </c>
      <c r="AB2983" s="3" t="s">
        <v>56</v>
      </c>
      <c r="AC2983" s="3" t="s">
        <v>1121</v>
      </c>
      <c r="AD2983" s="9">
        <v>44393</v>
      </c>
      <c r="AE2983" s="3" t="s">
        <v>110</v>
      </c>
      <c r="AF2983" s="3" t="s">
        <v>1122</v>
      </c>
      <c r="AG2983" s="3" t="s">
        <v>81</v>
      </c>
      <c r="AH2983" s="11">
        <f>HYPERLINK("https://my.pitchbook.com?c=167184-28T","View Company Online")</f>
      </c>
    </row>
    <row r="2984">
      <c r="A2984" s="12" t="s">
        <v>15841</v>
      </c>
      <c r="B2984" s="12" t="s">
        <v>15842</v>
      </c>
      <c r="C2984" s="19">
        <v>6</v>
      </c>
      <c r="D2984" s="19">
        <v>8</v>
      </c>
      <c r="E2984" s="19">
        <v>2</v>
      </c>
      <c r="F2984" s="19">
        <v>14</v>
      </c>
      <c r="G2984" s="15" t="s">
        <v>683</v>
      </c>
      <c r="H2984" s="14">
        <v>1.04</v>
      </c>
      <c r="I2984" s="18">
        <v>22.23</v>
      </c>
      <c r="J2984" s="12" t="s">
        <v>521</v>
      </c>
      <c r="K2984" s="13" t="s">
        <v>36</v>
      </c>
      <c r="L2984" s="15" t="s">
        <v>36</v>
      </c>
      <c r="M2984" s="12" t="s">
        <v>36</v>
      </c>
      <c r="N2984" s="12" t="s">
        <v>36</v>
      </c>
      <c r="O2984" s="17" t="s">
        <v>36</v>
      </c>
      <c r="P2984" s="12" t="s">
        <v>36</v>
      </c>
      <c r="Q2984" s="12" t="s">
        <v>36</v>
      </c>
      <c r="R2984" s="12" t="s">
        <v>36</v>
      </c>
      <c r="S2984" s="12" t="s">
        <v>36</v>
      </c>
      <c r="T2984" s="12" t="s">
        <v>15843</v>
      </c>
      <c r="U2984" s="12" t="s">
        <v>96</v>
      </c>
      <c r="V2984" s="12" t="s">
        <v>52</v>
      </c>
      <c r="W2984" s="12" t="s">
        <v>15844</v>
      </c>
      <c r="X2984" s="16" t="s">
        <v>15845</v>
      </c>
      <c r="Y2984" s="15" t="s">
        <v>55</v>
      </c>
      <c r="Z2984" s="14">
        <v>2.38</v>
      </c>
      <c r="AA2984" s="14">
        <v>10.72</v>
      </c>
      <c r="AB2984" s="12" t="s">
        <v>43</v>
      </c>
      <c r="AC2984" s="12" t="s">
        <v>15846</v>
      </c>
      <c r="AD2984" s="13">
        <v>44393</v>
      </c>
      <c r="AE2984" s="12" t="s">
        <v>496</v>
      </c>
      <c r="AF2984" s="12" t="s">
        <v>101</v>
      </c>
      <c r="AG2984" s="12" t="s">
        <v>81</v>
      </c>
      <c r="AH2984" s="1">
        <f>HYPERLINK("https://my.pitchbook.com?c=221406-22T","View Company Online")</f>
      </c>
    </row>
    <row r="2985">
      <c r="A2985" s="3" t="s">
        <v>15847</v>
      </c>
      <c r="B2985" s="3" t="s">
        <v>15848</v>
      </c>
      <c r="C2985" s="5" t="s">
        <v>36</v>
      </c>
      <c r="D2985" s="5" t="s">
        <v>36</v>
      </c>
      <c r="E2985" s="5" t="s">
        <v>36</v>
      </c>
      <c r="F2985" s="5" t="s">
        <v>36</v>
      </c>
      <c r="G2985" s="6" t="s">
        <v>326</v>
      </c>
      <c r="H2985" s="4">
        <v>1.25</v>
      </c>
      <c r="I2985" s="7">
        <v>13.09</v>
      </c>
      <c r="J2985" s="3" t="s">
        <v>521</v>
      </c>
      <c r="K2985" s="9" t="s">
        <v>36</v>
      </c>
      <c r="L2985" s="6" t="s">
        <v>36</v>
      </c>
      <c r="M2985" s="3" t="s">
        <v>36</v>
      </c>
      <c r="N2985" s="3" t="s">
        <v>36</v>
      </c>
      <c r="O2985" s="8" t="s">
        <v>36</v>
      </c>
      <c r="P2985" s="3" t="s">
        <v>36</v>
      </c>
      <c r="Q2985" s="3" t="s">
        <v>36</v>
      </c>
      <c r="R2985" s="3" t="s">
        <v>36</v>
      </c>
      <c r="S2985" s="3" t="s">
        <v>36</v>
      </c>
      <c r="T2985" s="3" t="s">
        <v>4640</v>
      </c>
      <c r="U2985" s="3" t="s">
        <v>833</v>
      </c>
      <c r="V2985" s="3" t="s">
        <v>64</v>
      </c>
      <c r="W2985" s="3" t="s">
        <v>15849</v>
      </c>
      <c r="X2985" s="10" t="s">
        <v>15850</v>
      </c>
      <c r="Y2985" s="6" t="s">
        <v>42</v>
      </c>
      <c r="Z2985" s="4">
        <v>0.62</v>
      </c>
      <c r="AA2985" s="4">
        <v>2.33</v>
      </c>
      <c r="AB2985" s="3" t="s">
        <v>43</v>
      </c>
      <c r="AC2985" s="3" t="s">
        <v>15851</v>
      </c>
      <c r="AD2985" s="9">
        <v>44392</v>
      </c>
      <c r="AE2985" s="3" t="s">
        <v>1687</v>
      </c>
      <c r="AF2985" s="3" t="s">
        <v>36</v>
      </c>
      <c r="AG2985" s="3" t="s">
        <v>15852</v>
      </c>
      <c r="AH2985" s="11">
        <f>HYPERLINK("https://my.pitchbook.com?c=195223-06T","View Company Online")</f>
      </c>
    </row>
    <row r="2986">
      <c r="A2986" s="12" t="s">
        <v>15853</v>
      </c>
      <c r="B2986" s="12" t="s">
        <v>1500</v>
      </c>
      <c r="C2986" s="19" t="s">
        <v>36</v>
      </c>
      <c r="D2986" s="19" t="s">
        <v>36</v>
      </c>
      <c r="E2986" s="19" t="s">
        <v>36</v>
      </c>
      <c r="F2986" s="19" t="s">
        <v>36</v>
      </c>
      <c r="G2986" s="15" t="s">
        <v>326</v>
      </c>
      <c r="H2986" s="14">
        <v>105.35</v>
      </c>
      <c r="I2986" s="18">
        <v>32.31</v>
      </c>
      <c r="J2986" s="12" t="s">
        <v>521</v>
      </c>
      <c r="K2986" s="13" t="s">
        <v>36</v>
      </c>
      <c r="L2986" s="15" t="s">
        <v>122</v>
      </c>
      <c r="M2986" s="12" t="s">
        <v>36</v>
      </c>
      <c r="N2986" s="12" t="s">
        <v>122</v>
      </c>
      <c r="O2986" s="17" t="s">
        <v>36</v>
      </c>
      <c r="P2986" s="12" t="s">
        <v>36</v>
      </c>
      <c r="Q2986" s="12" t="s">
        <v>36</v>
      </c>
      <c r="R2986" s="12" t="s">
        <v>36</v>
      </c>
      <c r="S2986" s="12" t="s">
        <v>36</v>
      </c>
      <c r="T2986" s="12" t="s">
        <v>1501</v>
      </c>
      <c r="U2986" s="12" t="s">
        <v>1502</v>
      </c>
      <c r="V2986" s="12" t="s">
        <v>75</v>
      </c>
      <c r="W2986" s="12" t="s">
        <v>1503</v>
      </c>
      <c r="X2986" s="16" t="s">
        <v>15854</v>
      </c>
      <c r="Y2986" s="15" t="s">
        <v>55</v>
      </c>
      <c r="Z2986" s="14">
        <v>7.13</v>
      </c>
      <c r="AA2986" s="14">
        <v>15.56</v>
      </c>
      <c r="AB2986" s="12" t="s">
        <v>56</v>
      </c>
      <c r="AC2986" s="12" t="s">
        <v>1505</v>
      </c>
      <c r="AD2986" s="13">
        <v>44392</v>
      </c>
      <c r="AE2986" s="12" t="s">
        <v>1506</v>
      </c>
      <c r="AF2986" s="12" t="s">
        <v>1507</v>
      </c>
      <c r="AG2986" s="12" t="s">
        <v>81</v>
      </c>
      <c r="AH2986" s="1">
        <f>HYPERLINK("https://my.pitchbook.com?c=175946-32T","View Company Online")</f>
      </c>
    </row>
    <row r="2987">
      <c r="A2987" s="3" t="s">
        <v>15855</v>
      </c>
      <c r="B2987" s="3" t="s">
        <v>15856</v>
      </c>
      <c r="C2987" s="5" t="s">
        <v>36</v>
      </c>
      <c r="D2987" s="5" t="s">
        <v>36</v>
      </c>
      <c r="E2987" s="5" t="s">
        <v>36</v>
      </c>
      <c r="F2987" s="5" t="s">
        <v>36</v>
      </c>
      <c r="G2987" s="6" t="s">
        <v>326</v>
      </c>
      <c r="H2987" s="4">
        <v>115.28</v>
      </c>
      <c r="I2987" s="7">
        <v>15.28</v>
      </c>
      <c r="J2987" s="3" t="s">
        <v>521</v>
      </c>
      <c r="K2987" s="9" t="s">
        <v>36</v>
      </c>
      <c r="L2987" s="6" t="s">
        <v>36</v>
      </c>
      <c r="M2987" s="3" t="s">
        <v>36</v>
      </c>
      <c r="N2987" s="3" t="s">
        <v>36</v>
      </c>
      <c r="O2987" s="8" t="s">
        <v>36</v>
      </c>
      <c r="P2987" s="3" t="s">
        <v>36</v>
      </c>
      <c r="Q2987" s="3" t="s">
        <v>36</v>
      </c>
      <c r="R2987" s="3" t="s">
        <v>36</v>
      </c>
      <c r="S2987" s="3" t="s">
        <v>36</v>
      </c>
      <c r="T2987" s="3" t="s">
        <v>522</v>
      </c>
      <c r="U2987" s="3" t="s">
        <v>38</v>
      </c>
      <c r="V2987" s="3" t="s">
        <v>39</v>
      </c>
      <c r="W2987" s="3" t="s">
        <v>15857</v>
      </c>
      <c r="X2987" s="10" t="s">
        <v>15858</v>
      </c>
      <c r="Y2987" s="6" t="s">
        <v>55</v>
      </c>
      <c r="Z2987" s="4">
        <v>1.07</v>
      </c>
      <c r="AA2987" s="4">
        <v>7.02</v>
      </c>
      <c r="AB2987" s="3" t="s">
        <v>56</v>
      </c>
      <c r="AC2987" s="3" t="s">
        <v>15859</v>
      </c>
      <c r="AD2987" s="9">
        <v>44392</v>
      </c>
      <c r="AE2987" s="3" t="s">
        <v>110</v>
      </c>
      <c r="AF2987" s="3" t="s">
        <v>2562</v>
      </c>
      <c r="AG2987" s="3" t="s">
        <v>81</v>
      </c>
      <c r="AH2987" s="11">
        <f>HYPERLINK("https://my.pitchbook.com?c=194116-15T","View Company Online")</f>
      </c>
    </row>
    <row r="2988">
      <c r="A2988" s="12" t="s">
        <v>15860</v>
      </c>
      <c r="B2988" s="12" t="s">
        <v>8329</v>
      </c>
      <c r="C2988" s="19">
        <v>10</v>
      </c>
      <c r="D2988" s="19" t="s">
        <v>36</v>
      </c>
      <c r="E2988" s="19">
        <v>3</v>
      </c>
      <c r="F2988" s="19">
        <v>11</v>
      </c>
      <c r="G2988" s="15" t="s">
        <v>326</v>
      </c>
      <c r="H2988" s="14">
        <v>16.79</v>
      </c>
      <c r="I2988" s="18">
        <v>19.89</v>
      </c>
      <c r="J2988" s="12" t="s">
        <v>521</v>
      </c>
      <c r="K2988" s="13" t="s">
        <v>36</v>
      </c>
      <c r="L2988" s="15" t="s">
        <v>36</v>
      </c>
      <c r="M2988" s="12" t="s">
        <v>36</v>
      </c>
      <c r="N2988" s="12" t="s">
        <v>36</v>
      </c>
      <c r="O2988" s="17" t="s">
        <v>36</v>
      </c>
      <c r="P2988" s="12" t="s">
        <v>36</v>
      </c>
      <c r="Q2988" s="12" t="s">
        <v>36</v>
      </c>
      <c r="R2988" s="12" t="s">
        <v>36</v>
      </c>
      <c r="S2988" s="12" t="s">
        <v>36</v>
      </c>
      <c r="T2988" s="12" t="s">
        <v>1725</v>
      </c>
      <c r="U2988" s="12" t="s">
        <v>318</v>
      </c>
      <c r="V2988" s="12" t="s">
        <v>39</v>
      </c>
      <c r="W2988" s="12" t="s">
        <v>8330</v>
      </c>
      <c r="X2988" s="16" t="s">
        <v>2442</v>
      </c>
      <c r="Y2988" s="15" t="s">
        <v>108</v>
      </c>
      <c r="Z2988" s="14">
        <v>1.43</v>
      </c>
      <c r="AA2988" s="14">
        <v>7.18</v>
      </c>
      <c r="AB2988" s="12" t="s">
        <v>56</v>
      </c>
      <c r="AC2988" s="12" t="s">
        <v>8332</v>
      </c>
      <c r="AD2988" s="13">
        <v>44390</v>
      </c>
      <c r="AE2988" s="12" t="s">
        <v>763</v>
      </c>
      <c r="AF2988" s="12" t="s">
        <v>36</v>
      </c>
      <c r="AG2988" s="12" t="s">
        <v>3064</v>
      </c>
      <c r="AH2988" s="1">
        <f>HYPERLINK("https://my.pitchbook.com?c=190672-75T","View Company Online")</f>
      </c>
    </row>
    <row r="2989">
      <c r="A2989" s="3" t="s">
        <v>15861</v>
      </c>
      <c r="B2989" s="3" t="s">
        <v>15862</v>
      </c>
      <c r="C2989" s="5" t="s">
        <v>36</v>
      </c>
      <c r="D2989" s="5" t="s">
        <v>36</v>
      </c>
      <c r="E2989" s="5" t="s">
        <v>36</v>
      </c>
      <c r="F2989" s="5" t="s">
        <v>36</v>
      </c>
      <c r="G2989" s="6" t="s">
        <v>36</v>
      </c>
      <c r="H2989" s="4" t="s">
        <v>36</v>
      </c>
      <c r="I2989" s="7" t="s">
        <v>36</v>
      </c>
      <c r="J2989" s="3" t="s">
        <v>36</v>
      </c>
      <c r="K2989" s="9" t="s">
        <v>36</v>
      </c>
      <c r="L2989" s="6" t="s">
        <v>122</v>
      </c>
      <c r="M2989" s="3" t="s">
        <v>36</v>
      </c>
      <c r="N2989" s="3" t="s">
        <v>122</v>
      </c>
      <c r="O2989" s="8" t="s">
        <v>36</v>
      </c>
      <c r="P2989" s="3" t="s">
        <v>36</v>
      </c>
      <c r="Q2989" s="3" t="s">
        <v>36</v>
      </c>
      <c r="R2989" s="3" t="s">
        <v>36</v>
      </c>
      <c r="S2989" s="3" t="s">
        <v>36</v>
      </c>
      <c r="T2989" s="3" t="s">
        <v>9522</v>
      </c>
      <c r="U2989" s="3" t="s">
        <v>423</v>
      </c>
      <c r="V2989" s="3" t="s">
        <v>64</v>
      </c>
      <c r="W2989" s="3" t="s">
        <v>15863</v>
      </c>
      <c r="X2989" s="10" t="s">
        <v>15864</v>
      </c>
      <c r="Y2989" s="6" t="s">
        <v>108</v>
      </c>
      <c r="Z2989" s="4">
        <v>6.55</v>
      </c>
      <c r="AA2989" s="4" t="s">
        <v>36</v>
      </c>
      <c r="AB2989" s="3" t="s">
        <v>43</v>
      </c>
      <c r="AC2989" s="3" t="s">
        <v>15865</v>
      </c>
      <c r="AD2989" s="9">
        <v>44390</v>
      </c>
      <c r="AE2989" s="3" t="s">
        <v>2871</v>
      </c>
      <c r="AF2989" s="3" t="s">
        <v>90</v>
      </c>
      <c r="AG2989" s="3" t="s">
        <v>81</v>
      </c>
      <c r="AH2989" s="11">
        <f>HYPERLINK("https://my.pitchbook.com?c=176400-19T","View Company Online")</f>
      </c>
    </row>
    <row r="2990">
      <c r="A2990" s="12" t="s">
        <v>15866</v>
      </c>
      <c r="B2990" s="12" t="s">
        <v>15867</v>
      </c>
      <c r="C2990" s="19" t="s">
        <v>36</v>
      </c>
      <c r="D2990" s="19" t="s">
        <v>36</v>
      </c>
      <c r="E2990" s="19" t="s">
        <v>36</v>
      </c>
      <c r="F2990" s="19" t="s">
        <v>36</v>
      </c>
      <c r="G2990" s="15" t="s">
        <v>36</v>
      </c>
      <c r="H2990" s="14" t="s">
        <v>36</v>
      </c>
      <c r="I2990" s="18" t="s">
        <v>36</v>
      </c>
      <c r="J2990" s="12" t="s">
        <v>36</v>
      </c>
      <c r="K2990" s="13" t="s">
        <v>36</v>
      </c>
      <c r="L2990" s="15" t="s">
        <v>122</v>
      </c>
      <c r="M2990" s="12" t="s">
        <v>36</v>
      </c>
      <c r="N2990" s="12" t="s">
        <v>122</v>
      </c>
      <c r="O2990" s="17" t="s">
        <v>36</v>
      </c>
      <c r="P2990" s="12" t="s">
        <v>36</v>
      </c>
      <c r="Q2990" s="12" t="s">
        <v>36</v>
      </c>
      <c r="R2990" s="12" t="s">
        <v>36</v>
      </c>
      <c r="S2990" s="12" t="s">
        <v>36</v>
      </c>
      <c r="T2990" s="12" t="s">
        <v>5377</v>
      </c>
      <c r="U2990" s="12" t="s">
        <v>38</v>
      </c>
      <c r="V2990" s="12" t="s">
        <v>39</v>
      </c>
      <c r="W2990" s="12" t="s">
        <v>15868</v>
      </c>
      <c r="X2990" s="16" t="s">
        <v>15869</v>
      </c>
      <c r="Y2990" s="15" t="s">
        <v>108</v>
      </c>
      <c r="Z2990" s="14">
        <v>25</v>
      </c>
      <c r="AA2990" s="14" t="s">
        <v>36</v>
      </c>
      <c r="AB2990" s="12" t="s">
        <v>43</v>
      </c>
      <c r="AC2990" s="12" t="s">
        <v>15870</v>
      </c>
      <c r="AD2990" s="13">
        <v>44390</v>
      </c>
      <c r="AE2990" s="12" t="s">
        <v>1200</v>
      </c>
      <c r="AF2990" s="12" t="s">
        <v>275</v>
      </c>
      <c r="AG2990" s="12" t="s">
        <v>81</v>
      </c>
      <c r="AH2990" s="1">
        <f>HYPERLINK("https://my.pitchbook.com?c=177194-44T","View Company Online")</f>
      </c>
    </row>
    <row r="2991">
      <c r="A2991" s="3" t="s">
        <v>15871</v>
      </c>
      <c r="B2991" s="3" t="s">
        <v>13730</v>
      </c>
      <c r="C2991" s="5" t="s">
        <v>36</v>
      </c>
      <c r="D2991" s="5" t="s">
        <v>36</v>
      </c>
      <c r="E2991" s="5" t="s">
        <v>36</v>
      </c>
      <c r="F2991" s="5" t="s">
        <v>36</v>
      </c>
      <c r="G2991" s="6" t="s">
        <v>36</v>
      </c>
      <c r="H2991" s="4">
        <v>7.01</v>
      </c>
      <c r="I2991" s="7">
        <v>46.6</v>
      </c>
      <c r="J2991" s="3" t="s">
        <v>521</v>
      </c>
      <c r="K2991" s="9">
        <v>44204</v>
      </c>
      <c r="L2991" s="6" t="s">
        <v>36</v>
      </c>
      <c r="M2991" s="3" t="s">
        <v>36</v>
      </c>
      <c r="N2991" s="3" t="s">
        <v>36</v>
      </c>
      <c r="O2991" s="8" t="s">
        <v>36</v>
      </c>
      <c r="P2991" s="3" t="s">
        <v>36</v>
      </c>
      <c r="Q2991" s="3" t="s">
        <v>36</v>
      </c>
      <c r="R2991" s="3" t="s">
        <v>36</v>
      </c>
      <c r="S2991" s="3" t="s">
        <v>36</v>
      </c>
      <c r="T2991" s="3" t="s">
        <v>15872</v>
      </c>
      <c r="U2991" s="3" t="s">
        <v>404</v>
      </c>
      <c r="V2991" s="3" t="s">
        <v>405</v>
      </c>
      <c r="W2991" s="3" t="s">
        <v>15873</v>
      </c>
      <c r="X2991" s="10" t="s">
        <v>15874</v>
      </c>
      <c r="Y2991" s="6" t="s">
        <v>42</v>
      </c>
      <c r="Z2991" s="4">
        <v>10.73</v>
      </c>
      <c r="AA2991" s="4">
        <v>22.33</v>
      </c>
      <c r="AB2991" s="3" t="s">
        <v>56</v>
      </c>
      <c r="AC2991" s="3" t="s">
        <v>15875</v>
      </c>
      <c r="AD2991" s="9">
        <v>44389</v>
      </c>
      <c r="AE2991" s="3" t="s">
        <v>9685</v>
      </c>
      <c r="AF2991" s="3" t="s">
        <v>4284</v>
      </c>
      <c r="AG2991" s="3" t="s">
        <v>47</v>
      </c>
      <c r="AH2991" s="11">
        <f>HYPERLINK("https://my.pitchbook.com?c=165003-49T","View Company Online")</f>
      </c>
    </row>
    <row r="2992">
      <c r="A2992" s="12" t="s">
        <v>15876</v>
      </c>
      <c r="B2992" s="12" t="s">
        <v>15877</v>
      </c>
      <c r="C2992" s="19" t="s">
        <v>36</v>
      </c>
      <c r="D2992" s="19" t="s">
        <v>36</v>
      </c>
      <c r="E2992" s="19" t="s">
        <v>36</v>
      </c>
      <c r="F2992" s="19" t="s">
        <v>36</v>
      </c>
      <c r="G2992" s="15" t="s">
        <v>36</v>
      </c>
      <c r="H2992" s="14">
        <v>8.72</v>
      </c>
      <c r="I2992" s="18">
        <v>36.87</v>
      </c>
      <c r="J2992" s="12" t="s">
        <v>521</v>
      </c>
      <c r="K2992" s="13" t="s">
        <v>36</v>
      </c>
      <c r="L2992" s="15" t="s">
        <v>36</v>
      </c>
      <c r="M2992" s="12" t="s">
        <v>36</v>
      </c>
      <c r="N2992" s="12" t="s">
        <v>36</v>
      </c>
      <c r="O2992" s="17" t="s">
        <v>36</v>
      </c>
      <c r="P2992" s="12" t="s">
        <v>36</v>
      </c>
      <c r="Q2992" s="12" t="s">
        <v>36</v>
      </c>
      <c r="R2992" s="12" t="s">
        <v>36</v>
      </c>
      <c r="S2992" s="12" t="s">
        <v>36</v>
      </c>
      <c r="T2992" s="12" t="s">
        <v>15878</v>
      </c>
      <c r="U2992" s="12" t="s">
        <v>289</v>
      </c>
      <c r="V2992" s="12" t="s">
        <v>64</v>
      </c>
      <c r="W2992" s="12" t="s">
        <v>15879</v>
      </c>
      <c r="X2992" s="16" t="s">
        <v>15880</v>
      </c>
      <c r="Y2992" s="15" t="s">
        <v>55</v>
      </c>
      <c r="Z2992" s="14">
        <v>11.92</v>
      </c>
      <c r="AA2992" s="14">
        <v>21.73</v>
      </c>
      <c r="AB2992" s="12" t="s">
        <v>43</v>
      </c>
      <c r="AC2992" s="12" t="s">
        <v>15881</v>
      </c>
      <c r="AD2992" s="13">
        <v>44389</v>
      </c>
      <c r="AE2992" s="12" t="s">
        <v>292</v>
      </c>
      <c r="AF2992" s="12" t="s">
        <v>15882</v>
      </c>
      <c r="AG2992" s="12" t="s">
        <v>81</v>
      </c>
      <c r="AH2992" s="1">
        <f>HYPERLINK("https://my.pitchbook.com?c=176245-12T","View Company Online")</f>
      </c>
    </row>
    <row r="2993">
      <c r="A2993" s="3" t="s">
        <v>15883</v>
      </c>
      <c r="B2993" s="3" t="s">
        <v>15884</v>
      </c>
      <c r="C2993" s="5" t="s">
        <v>36</v>
      </c>
      <c r="D2993" s="5" t="s">
        <v>36</v>
      </c>
      <c r="E2993" s="5" t="s">
        <v>36</v>
      </c>
      <c r="F2993" s="5" t="s">
        <v>36</v>
      </c>
      <c r="G2993" s="6" t="s">
        <v>36</v>
      </c>
      <c r="H2993" s="4" t="s">
        <v>36</v>
      </c>
      <c r="I2993" s="7" t="s">
        <v>36</v>
      </c>
      <c r="J2993" s="3" t="s">
        <v>36</v>
      </c>
      <c r="K2993" s="9" t="s">
        <v>36</v>
      </c>
      <c r="L2993" s="6" t="s">
        <v>36</v>
      </c>
      <c r="M2993" s="3" t="s">
        <v>36</v>
      </c>
      <c r="N2993" s="3" t="s">
        <v>36</v>
      </c>
      <c r="O2993" s="8" t="s">
        <v>36</v>
      </c>
      <c r="P2993" s="3" t="s">
        <v>36</v>
      </c>
      <c r="Q2993" s="3" t="s">
        <v>36</v>
      </c>
      <c r="R2993" s="3" t="s">
        <v>36</v>
      </c>
      <c r="S2993" s="3" t="s">
        <v>36</v>
      </c>
      <c r="T2993" s="3" t="s">
        <v>15885</v>
      </c>
      <c r="U2993" s="3" t="s">
        <v>96</v>
      </c>
      <c r="V2993" s="3" t="s">
        <v>52</v>
      </c>
      <c r="W2993" s="3" t="s">
        <v>15886</v>
      </c>
      <c r="X2993" s="10" t="s">
        <v>15887</v>
      </c>
      <c r="Y2993" s="6" t="s">
        <v>42</v>
      </c>
      <c r="Z2993" s="4" t="s">
        <v>36</v>
      </c>
      <c r="AA2993" s="4" t="s">
        <v>36</v>
      </c>
      <c r="AB2993" s="3" t="s">
        <v>43</v>
      </c>
      <c r="AC2993" s="3" t="s">
        <v>15888</v>
      </c>
      <c r="AD2993" s="9">
        <v>44387</v>
      </c>
      <c r="AE2993" s="3" t="s">
        <v>100</v>
      </c>
      <c r="AF2993" s="3" t="s">
        <v>15889</v>
      </c>
      <c r="AG2993" s="3" t="s">
        <v>81</v>
      </c>
      <c r="AH2993" s="11">
        <f>HYPERLINK("https://my.pitchbook.com?c=195269-50T","View Company Online")</f>
      </c>
    </row>
    <row r="2994">
      <c r="A2994" s="12" t="s">
        <v>15890</v>
      </c>
      <c r="B2994" s="12" t="s">
        <v>6246</v>
      </c>
      <c r="C2994" s="19" t="s">
        <v>36</v>
      </c>
      <c r="D2994" s="19" t="s">
        <v>36</v>
      </c>
      <c r="E2994" s="19" t="s">
        <v>36</v>
      </c>
      <c r="F2994" s="19" t="s">
        <v>36</v>
      </c>
      <c r="G2994" s="15" t="s">
        <v>36</v>
      </c>
      <c r="H2994" s="14">
        <v>56.49</v>
      </c>
      <c r="I2994" s="18">
        <v>24.09</v>
      </c>
      <c r="J2994" s="12" t="s">
        <v>521</v>
      </c>
      <c r="K2994" s="13">
        <v>44225</v>
      </c>
      <c r="L2994" s="15" t="s">
        <v>122</v>
      </c>
      <c r="M2994" s="12" t="s">
        <v>36</v>
      </c>
      <c r="N2994" s="12" t="s">
        <v>122</v>
      </c>
      <c r="O2994" s="17" t="s">
        <v>36</v>
      </c>
      <c r="P2994" s="12" t="s">
        <v>36</v>
      </c>
      <c r="Q2994" s="12" t="s">
        <v>36</v>
      </c>
      <c r="R2994" s="12" t="s">
        <v>36</v>
      </c>
      <c r="S2994" s="12" t="s">
        <v>36</v>
      </c>
      <c r="T2994" s="12" t="s">
        <v>6247</v>
      </c>
      <c r="U2994" s="12" t="s">
        <v>85</v>
      </c>
      <c r="V2994" s="12" t="s">
        <v>64</v>
      </c>
      <c r="W2994" s="12" t="s">
        <v>6248</v>
      </c>
      <c r="X2994" s="16" t="s">
        <v>15891</v>
      </c>
      <c r="Y2994" s="15" t="s">
        <v>42</v>
      </c>
      <c r="Z2994" s="14">
        <v>14.33</v>
      </c>
      <c r="AA2994" s="14">
        <v>50.07</v>
      </c>
      <c r="AB2994" s="12" t="s">
        <v>43</v>
      </c>
      <c r="AC2994" s="12" t="s">
        <v>6250</v>
      </c>
      <c r="AD2994" s="13">
        <v>44386</v>
      </c>
      <c r="AE2994" s="12" t="s">
        <v>89</v>
      </c>
      <c r="AF2994" s="12" t="s">
        <v>6251</v>
      </c>
      <c r="AG2994" s="12" t="s">
        <v>81</v>
      </c>
      <c r="AH2994" s="1">
        <f>HYPERLINK("https://my.pitchbook.com?c=158431-33T","View Company Online")</f>
      </c>
    </row>
    <row r="2995">
      <c r="A2995" s="3" t="s">
        <v>15892</v>
      </c>
      <c r="B2995" s="3" t="s">
        <v>15893</v>
      </c>
      <c r="C2995" s="5" t="s">
        <v>36</v>
      </c>
      <c r="D2995" s="5" t="s">
        <v>36</v>
      </c>
      <c r="E2995" s="5" t="s">
        <v>36</v>
      </c>
      <c r="F2995" s="5" t="s">
        <v>36</v>
      </c>
      <c r="G2995" s="6" t="s">
        <v>36</v>
      </c>
      <c r="H2995" s="4">
        <v>1505.69</v>
      </c>
      <c r="I2995" s="7">
        <v>45.2</v>
      </c>
      <c r="J2995" s="3" t="s">
        <v>521</v>
      </c>
      <c r="K2995" s="9" t="s">
        <v>36</v>
      </c>
      <c r="L2995" s="6" t="s">
        <v>36</v>
      </c>
      <c r="M2995" s="3" t="s">
        <v>36</v>
      </c>
      <c r="N2995" s="3" t="s">
        <v>36</v>
      </c>
      <c r="O2995" s="8" t="s">
        <v>36</v>
      </c>
      <c r="P2995" s="3" t="s">
        <v>36</v>
      </c>
      <c r="Q2995" s="3" t="s">
        <v>36</v>
      </c>
      <c r="R2995" s="3" t="s">
        <v>36</v>
      </c>
      <c r="S2995" s="3" t="s">
        <v>36</v>
      </c>
      <c r="T2995" s="3" t="s">
        <v>1701</v>
      </c>
      <c r="U2995" s="3" t="s">
        <v>74</v>
      </c>
      <c r="V2995" s="3" t="s">
        <v>75</v>
      </c>
      <c r="W2995" s="3" t="s">
        <v>15894</v>
      </c>
      <c r="X2995" s="10" t="s">
        <v>15895</v>
      </c>
      <c r="Y2995" s="6" t="s">
        <v>55</v>
      </c>
      <c r="Z2995" s="4">
        <v>1.8</v>
      </c>
      <c r="AA2995" s="4">
        <v>3.97</v>
      </c>
      <c r="AB2995" s="3" t="s">
        <v>43</v>
      </c>
      <c r="AC2995" s="3" t="s">
        <v>15896</v>
      </c>
      <c r="AD2995" s="9">
        <v>44386</v>
      </c>
      <c r="AE2995" s="3" t="s">
        <v>79</v>
      </c>
      <c r="AF2995" s="3" t="s">
        <v>80</v>
      </c>
      <c r="AG2995" s="3" t="s">
        <v>47</v>
      </c>
      <c r="AH2995" s="11">
        <f>HYPERLINK("https://my.pitchbook.com?c=203105-80T","View Company Online")</f>
      </c>
    </row>
    <row r="2996">
      <c r="A2996" s="12" t="s">
        <v>15897</v>
      </c>
      <c r="B2996" s="12" t="s">
        <v>15898</v>
      </c>
      <c r="C2996" s="19" t="s">
        <v>36</v>
      </c>
      <c r="D2996" s="19" t="s">
        <v>36</v>
      </c>
      <c r="E2996" s="19" t="s">
        <v>36</v>
      </c>
      <c r="F2996" s="19" t="s">
        <v>36</v>
      </c>
      <c r="G2996" s="15" t="s">
        <v>326</v>
      </c>
      <c r="H2996" s="14">
        <v>2692.36</v>
      </c>
      <c r="I2996" s="18">
        <v>24.96</v>
      </c>
      <c r="J2996" s="12" t="s">
        <v>521</v>
      </c>
      <c r="K2996" s="13">
        <v>44369</v>
      </c>
      <c r="L2996" s="15" t="s">
        <v>94</v>
      </c>
      <c r="M2996" s="12" t="s">
        <v>36</v>
      </c>
      <c r="N2996" s="12" t="s">
        <v>94</v>
      </c>
      <c r="O2996" s="17" t="s">
        <v>36</v>
      </c>
      <c r="P2996" s="12" t="s">
        <v>36</v>
      </c>
      <c r="Q2996" s="12" t="s">
        <v>36</v>
      </c>
      <c r="R2996" s="12" t="s">
        <v>36</v>
      </c>
      <c r="S2996" s="12" t="s">
        <v>36</v>
      </c>
      <c r="T2996" s="12" t="s">
        <v>522</v>
      </c>
      <c r="U2996" s="12" t="s">
        <v>38</v>
      </c>
      <c r="V2996" s="12" t="s">
        <v>39</v>
      </c>
      <c r="W2996" s="12" t="s">
        <v>15899</v>
      </c>
      <c r="X2996" s="16" t="s">
        <v>15900</v>
      </c>
      <c r="Y2996" s="15" t="s">
        <v>108</v>
      </c>
      <c r="Z2996" s="14">
        <v>40.29</v>
      </c>
      <c r="AA2996" s="14">
        <v>128.98</v>
      </c>
      <c r="AB2996" s="12" t="s">
        <v>43</v>
      </c>
      <c r="AC2996" s="12" t="s">
        <v>15901</v>
      </c>
      <c r="AD2996" s="13">
        <v>44386</v>
      </c>
      <c r="AE2996" s="12" t="s">
        <v>110</v>
      </c>
      <c r="AF2996" s="12" t="s">
        <v>176</v>
      </c>
      <c r="AG2996" s="12" t="s">
        <v>81</v>
      </c>
      <c r="AH2996" s="1">
        <f>HYPERLINK("https://my.pitchbook.com?c=176114-98T","View Company Online")</f>
      </c>
    </row>
    <row r="2997">
      <c r="A2997" s="3" t="s">
        <v>15902</v>
      </c>
      <c r="B2997" s="3" t="s">
        <v>15903</v>
      </c>
      <c r="C2997" s="5">
        <v>6</v>
      </c>
      <c r="D2997" s="5">
        <v>34</v>
      </c>
      <c r="E2997" s="5">
        <v>11</v>
      </c>
      <c r="F2997" s="5">
        <v>44</v>
      </c>
      <c r="G2997" s="6" t="s">
        <v>36</v>
      </c>
      <c r="H2997" s="4">
        <v>21.37</v>
      </c>
      <c r="I2997" s="7">
        <v>18.17</v>
      </c>
      <c r="J2997" s="3" t="s">
        <v>521</v>
      </c>
      <c r="K2997" s="9" t="s">
        <v>36</v>
      </c>
      <c r="L2997" s="6" t="s">
        <v>36</v>
      </c>
      <c r="M2997" s="3" t="s">
        <v>36</v>
      </c>
      <c r="N2997" s="3" t="s">
        <v>36</v>
      </c>
      <c r="O2997" s="8" t="s">
        <v>36</v>
      </c>
      <c r="P2997" s="3" t="s">
        <v>36</v>
      </c>
      <c r="Q2997" s="3" t="s">
        <v>36</v>
      </c>
      <c r="R2997" s="3" t="s">
        <v>36</v>
      </c>
      <c r="S2997" s="3" t="s">
        <v>15904</v>
      </c>
      <c r="T2997" s="3" t="s">
        <v>3729</v>
      </c>
      <c r="U2997" s="3" t="s">
        <v>219</v>
      </c>
      <c r="V2997" s="3" t="s">
        <v>75</v>
      </c>
      <c r="W2997" s="3" t="s">
        <v>15905</v>
      </c>
      <c r="X2997" s="10" t="s">
        <v>14038</v>
      </c>
      <c r="Y2997" s="6" t="s">
        <v>192</v>
      </c>
      <c r="Z2997" s="4">
        <v>2.25</v>
      </c>
      <c r="AA2997" s="4">
        <v>12.38</v>
      </c>
      <c r="AB2997" s="3" t="s">
        <v>56</v>
      </c>
      <c r="AC2997" s="3" t="s">
        <v>15906</v>
      </c>
      <c r="AD2997" s="9">
        <v>44386</v>
      </c>
      <c r="AE2997" s="3" t="s">
        <v>1032</v>
      </c>
      <c r="AF2997" s="3" t="s">
        <v>15907</v>
      </c>
      <c r="AG2997" s="3" t="s">
        <v>4514</v>
      </c>
      <c r="AH2997" s="11">
        <f>HYPERLINK("https://my.pitchbook.com?c=194423-41T","View Company Online")</f>
      </c>
    </row>
    <row r="2998">
      <c r="A2998" s="12" t="s">
        <v>15908</v>
      </c>
      <c r="B2998" s="12" t="s">
        <v>15909</v>
      </c>
      <c r="C2998" s="19" t="s">
        <v>36</v>
      </c>
      <c r="D2998" s="19" t="s">
        <v>36</v>
      </c>
      <c r="E2998" s="19" t="s">
        <v>36</v>
      </c>
      <c r="F2998" s="19" t="s">
        <v>36</v>
      </c>
      <c r="G2998" s="15" t="s">
        <v>326</v>
      </c>
      <c r="H2998" s="14">
        <v>1784.05</v>
      </c>
      <c r="I2998" s="18">
        <v>28.06</v>
      </c>
      <c r="J2998" s="12" t="s">
        <v>521</v>
      </c>
      <c r="K2998" s="13" t="s">
        <v>36</v>
      </c>
      <c r="L2998" s="15" t="s">
        <v>122</v>
      </c>
      <c r="M2998" s="12" t="s">
        <v>36</v>
      </c>
      <c r="N2998" s="12" t="s">
        <v>122</v>
      </c>
      <c r="O2998" s="17" t="s">
        <v>36</v>
      </c>
      <c r="P2998" s="12" t="s">
        <v>36</v>
      </c>
      <c r="Q2998" s="12" t="s">
        <v>36</v>
      </c>
      <c r="R2998" s="12" t="s">
        <v>36</v>
      </c>
      <c r="S2998" s="12" t="s">
        <v>36</v>
      </c>
      <c r="T2998" s="12" t="s">
        <v>11657</v>
      </c>
      <c r="U2998" s="12" t="s">
        <v>289</v>
      </c>
      <c r="V2998" s="12" t="s">
        <v>64</v>
      </c>
      <c r="W2998" s="12" t="s">
        <v>15910</v>
      </c>
      <c r="X2998" s="16" t="s">
        <v>15911</v>
      </c>
      <c r="Y2998" s="15" t="s">
        <v>192</v>
      </c>
      <c r="Z2998" s="14">
        <v>9.56</v>
      </c>
      <c r="AA2998" s="14">
        <v>34.08</v>
      </c>
      <c r="AB2998" s="12" t="s">
        <v>43</v>
      </c>
      <c r="AC2998" s="12" t="s">
        <v>15912</v>
      </c>
      <c r="AD2998" s="13">
        <v>44385</v>
      </c>
      <c r="AE2998" s="12" t="s">
        <v>292</v>
      </c>
      <c r="AF2998" s="12" t="s">
        <v>90</v>
      </c>
      <c r="AG2998" s="12" t="s">
        <v>1369</v>
      </c>
      <c r="AH2998" s="1">
        <f>HYPERLINK("https://my.pitchbook.com?c=180156-43T","View Company Online")</f>
      </c>
    </row>
    <row r="2999">
      <c r="A2999" s="3" t="s">
        <v>15913</v>
      </c>
      <c r="B2999" s="3" t="s">
        <v>15914</v>
      </c>
      <c r="C2999" s="5" t="s">
        <v>36</v>
      </c>
      <c r="D2999" s="5" t="s">
        <v>36</v>
      </c>
      <c r="E2999" s="5" t="s">
        <v>36</v>
      </c>
      <c r="F2999" s="5" t="s">
        <v>36</v>
      </c>
      <c r="G2999" s="6" t="s">
        <v>36</v>
      </c>
      <c r="H2999" s="4">
        <v>64.7</v>
      </c>
      <c r="I2999" s="7">
        <v>27.81</v>
      </c>
      <c r="J2999" s="3" t="s">
        <v>521</v>
      </c>
      <c r="K2999" s="9" t="s">
        <v>36</v>
      </c>
      <c r="L2999" s="6" t="s">
        <v>36</v>
      </c>
      <c r="M2999" s="3" t="s">
        <v>36</v>
      </c>
      <c r="N2999" s="3" t="s">
        <v>36</v>
      </c>
      <c r="O2999" s="8" t="s">
        <v>36</v>
      </c>
      <c r="P2999" s="3" t="s">
        <v>36</v>
      </c>
      <c r="Q2999" s="3" t="s">
        <v>36</v>
      </c>
      <c r="R2999" s="3" t="s">
        <v>36</v>
      </c>
      <c r="S2999" s="3" t="s">
        <v>36</v>
      </c>
      <c r="T2999" s="3" t="s">
        <v>15915</v>
      </c>
      <c r="U2999" s="3" t="s">
        <v>38</v>
      </c>
      <c r="V2999" s="3" t="s">
        <v>39</v>
      </c>
      <c r="W2999" s="3" t="s">
        <v>15916</v>
      </c>
      <c r="X2999" s="10" t="s">
        <v>15917</v>
      </c>
      <c r="Y2999" s="6" t="s">
        <v>42</v>
      </c>
      <c r="Z2999" s="4">
        <v>1.43</v>
      </c>
      <c r="AA2999" s="4">
        <v>5.16</v>
      </c>
      <c r="AB2999" s="3" t="s">
        <v>56</v>
      </c>
      <c r="AC2999" s="3" t="s">
        <v>15918</v>
      </c>
      <c r="AD2999" s="9">
        <v>44385</v>
      </c>
      <c r="AE2999" s="3" t="s">
        <v>110</v>
      </c>
      <c r="AF2999" s="3" t="s">
        <v>6861</v>
      </c>
      <c r="AG2999" s="3" t="s">
        <v>81</v>
      </c>
      <c r="AH2999" s="11">
        <f>HYPERLINK("https://my.pitchbook.com?c=123711-22T","View Company Online")</f>
      </c>
    </row>
    <row r="3000">
      <c r="A3000" s="12" t="s">
        <v>15919</v>
      </c>
      <c r="B3000" s="12" t="s">
        <v>1777</v>
      </c>
      <c r="C3000" s="19">
        <v>1</v>
      </c>
      <c r="D3000" s="19" t="s">
        <v>36</v>
      </c>
      <c r="E3000" s="19">
        <v>1</v>
      </c>
      <c r="F3000" s="19">
        <v>1</v>
      </c>
      <c r="G3000" s="15" t="s">
        <v>326</v>
      </c>
      <c r="H3000" s="14">
        <v>28.9</v>
      </c>
      <c r="I3000" s="18">
        <v>42.24</v>
      </c>
      <c r="J3000" s="12" t="s">
        <v>521</v>
      </c>
      <c r="K3000" s="13" t="s">
        <v>36</v>
      </c>
      <c r="L3000" s="15" t="s">
        <v>122</v>
      </c>
      <c r="M3000" s="12" t="s">
        <v>36</v>
      </c>
      <c r="N3000" s="12" t="s">
        <v>122</v>
      </c>
      <c r="O3000" s="17" t="s">
        <v>36</v>
      </c>
      <c r="P3000" s="12" t="s">
        <v>36</v>
      </c>
      <c r="Q3000" s="12" t="s">
        <v>36</v>
      </c>
      <c r="R3000" s="12" t="s">
        <v>36</v>
      </c>
      <c r="S3000" s="12" t="s">
        <v>36</v>
      </c>
      <c r="T3000" s="12" t="s">
        <v>1081</v>
      </c>
      <c r="U3000" s="12" t="s">
        <v>1082</v>
      </c>
      <c r="V3000" s="12" t="s">
        <v>378</v>
      </c>
      <c r="W3000" s="12" t="s">
        <v>1778</v>
      </c>
      <c r="X3000" s="16" t="s">
        <v>15920</v>
      </c>
      <c r="Y3000" s="15" t="s">
        <v>108</v>
      </c>
      <c r="Z3000" s="14">
        <v>10.16</v>
      </c>
      <c r="AA3000" s="14">
        <v>24.06</v>
      </c>
      <c r="AB3000" s="12" t="s">
        <v>56</v>
      </c>
      <c r="AC3000" s="12" t="s">
        <v>1780</v>
      </c>
      <c r="AD3000" s="13">
        <v>44385</v>
      </c>
      <c r="AE3000" s="12" t="s">
        <v>1086</v>
      </c>
      <c r="AF3000" s="12" t="s">
        <v>1781</v>
      </c>
      <c r="AG3000" s="12" t="s">
        <v>1782</v>
      </c>
      <c r="AH3000" s="1">
        <f>HYPERLINK("https://my.pitchbook.com?c=176025-34T","View Company Online")</f>
      </c>
    </row>
    <row r="3001">
      <c r="A3001" s="3" t="s">
        <v>15921</v>
      </c>
      <c r="B3001" s="3" t="s">
        <v>8778</v>
      </c>
      <c r="C3001" s="5">
        <v>8</v>
      </c>
      <c r="D3001" s="5">
        <v>54</v>
      </c>
      <c r="E3001" s="5">
        <v>24</v>
      </c>
      <c r="F3001" s="5">
        <v>62</v>
      </c>
      <c r="G3001" s="6" t="s">
        <v>683</v>
      </c>
      <c r="H3001" s="4">
        <v>2.92</v>
      </c>
      <c r="I3001" s="7">
        <v>19.84</v>
      </c>
      <c r="J3001" s="3" t="s">
        <v>521</v>
      </c>
      <c r="K3001" s="9" t="s">
        <v>36</v>
      </c>
      <c r="L3001" s="6" t="s">
        <v>36</v>
      </c>
      <c r="M3001" s="3" t="s">
        <v>36</v>
      </c>
      <c r="N3001" s="3" t="s">
        <v>36</v>
      </c>
      <c r="O3001" s="8" t="s">
        <v>36</v>
      </c>
      <c r="P3001" s="3" t="s">
        <v>36</v>
      </c>
      <c r="Q3001" s="3" t="s">
        <v>36</v>
      </c>
      <c r="R3001" s="3" t="s">
        <v>36</v>
      </c>
      <c r="S3001" s="3" t="s">
        <v>36</v>
      </c>
      <c r="T3001" s="3" t="s">
        <v>3208</v>
      </c>
      <c r="U3001" s="3" t="s">
        <v>1798</v>
      </c>
      <c r="V3001" s="3" t="s">
        <v>39</v>
      </c>
      <c r="W3001" s="3" t="s">
        <v>8779</v>
      </c>
      <c r="X3001" s="10" t="s">
        <v>15922</v>
      </c>
      <c r="Y3001" s="6" t="s">
        <v>166</v>
      </c>
      <c r="Z3001" s="4">
        <v>7.97</v>
      </c>
      <c r="AA3001" s="4">
        <v>40.19</v>
      </c>
      <c r="AB3001" s="3" t="s">
        <v>56</v>
      </c>
      <c r="AC3001" s="3" t="s">
        <v>8781</v>
      </c>
      <c r="AD3001" s="9">
        <v>44385</v>
      </c>
      <c r="AE3001" s="3" t="s">
        <v>1802</v>
      </c>
      <c r="AF3001" s="3" t="s">
        <v>8782</v>
      </c>
      <c r="AG3001" s="3" t="s">
        <v>765</v>
      </c>
      <c r="AH3001" s="11">
        <f>HYPERLINK("https://my.pitchbook.com?c=181697-23T","View Company Online")</f>
      </c>
    </row>
    <row r="3002">
      <c r="A3002" s="12" t="s">
        <v>15923</v>
      </c>
      <c r="B3002" s="12" t="s">
        <v>854</v>
      </c>
      <c r="C3002" s="19" t="s">
        <v>36</v>
      </c>
      <c r="D3002" s="19" t="s">
        <v>36</v>
      </c>
      <c r="E3002" s="19" t="s">
        <v>36</v>
      </c>
      <c r="F3002" s="19" t="s">
        <v>36</v>
      </c>
      <c r="G3002" s="15" t="s">
        <v>326</v>
      </c>
      <c r="H3002" s="14">
        <v>257.64</v>
      </c>
      <c r="I3002" s="18">
        <v>20.3</v>
      </c>
      <c r="J3002" s="12" t="s">
        <v>521</v>
      </c>
      <c r="K3002" s="13" t="s">
        <v>36</v>
      </c>
      <c r="L3002" s="15" t="s">
        <v>36</v>
      </c>
      <c r="M3002" s="12" t="s">
        <v>36</v>
      </c>
      <c r="N3002" s="12" t="s">
        <v>36</v>
      </c>
      <c r="O3002" s="17" t="s">
        <v>36</v>
      </c>
      <c r="P3002" s="12" t="s">
        <v>36</v>
      </c>
      <c r="Q3002" s="12" t="s">
        <v>36</v>
      </c>
      <c r="R3002" s="12" t="s">
        <v>36</v>
      </c>
      <c r="S3002" s="12" t="s">
        <v>36</v>
      </c>
      <c r="T3002" s="12" t="s">
        <v>855</v>
      </c>
      <c r="U3002" s="12" t="s">
        <v>648</v>
      </c>
      <c r="V3002" s="12" t="s">
        <v>64</v>
      </c>
      <c r="W3002" s="12" t="s">
        <v>856</v>
      </c>
      <c r="X3002" s="16" t="s">
        <v>15924</v>
      </c>
      <c r="Y3002" s="15" t="s">
        <v>55</v>
      </c>
      <c r="Z3002" s="14">
        <v>17.93</v>
      </c>
      <c r="AA3002" s="14">
        <v>72.67</v>
      </c>
      <c r="AB3002" s="12" t="s">
        <v>56</v>
      </c>
      <c r="AC3002" s="12" t="s">
        <v>858</v>
      </c>
      <c r="AD3002" s="13">
        <v>44385</v>
      </c>
      <c r="AE3002" s="12" t="s">
        <v>651</v>
      </c>
      <c r="AF3002" s="12" t="s">
        <v>90</v>
      </c>
      <c r="AG3002" s="12" t="s">
        <v>81</v>
      </c>
      <c r="AH3002" s="1">
        <f>HYPERLINK("https://my.pitchbook.com?c=176410-81T","View Company Online")</f>
      </c>
    </row>
    <row r="3003">
      <c r="A3003" s="3" t="s">
        <v>15925</v>
      </c>
      <c r="B3003" s="3" t="s">
        <v>15926</v>
      </c>
      <c r="C3003" s="5" t="s">
        <v>36</v>
      </c>
      <c r="D3003" s="5" t="s">
        <v>36</v>
      </c>
      <c r="E3003" s="5" t="s">
        <v>36</v>
      </c>
      <c r="F3003" s="5" t="s">
        <v>36</v>
      </c>
      <c r="G3003" s="6" t="s">
        <v>36</v>
      </c>
      <c r="H3003" s="4" t="s">
        <v>36</v>
      </c>
      <c r="I3003" s="7" t="s">
        <v>36</v>
      </c>
      <c r="J3003" s="3" t="s">
        <v>36</v>
      </c>
      <c r="K3003" s="9" t="s">
        <v>36</v>
      </c>
      <c r="L3003" s="6" t="s">
        <v>36</v>
      </c>
      <c r="M3003" s="3" t="s">
        <v>36</v>
      </c>
      <c r="N3003" s="3" t="s">
        <v>36</v>
      </c>
      <c r="O3003" s="8" t="s">
        <v>36</v>
      </c>
      <c r="P3003" s="3" t="s">
        <v>36</v>
      </c>
      <c r="Q3003" s="3" t="s">
        <v>36</v>
      </c>
      <c r="R3003" s="3" t="s">
        <v>36</v>
      </c>
      <c r="S3003" s="3" t="s">
        <v>36</v>
      </c>
      <c r="T3003" s="3" t="s">
        <v>7256</v>
      </c>
      <c r="U3003" s="3" t="s">
        <v>74</v>
      </c>
      <c r="V3003" s="3" t="s">
        <v>75</v>
      </c>
      <c r="W3003" s="3" t="s">
        <v>15927</v>
      </c>
      <c r="X3003" s="10" t="s">
        <v>15928</v>
      </c>
      <c r="Y3003" s="6" t="s">
        <v>108</v>
      </c>
      <c r="Z3003" s="4">
        <v>25.11</v>
      </c>
      <c r="AA3003" s="4" t="s">
        <v>36</v>
      </c>
      <c r="AB3003" s="3" t="s">
        <v>56</v>
      </c>
      <c r="AC3003" s="3" t="s">
        <v>15929</v>
      </c>
      <c r="AD3003" s="9">
        <v>44385</v>
      </c>
      <c r="AE3003" s="3" t="s">
        <v>79</v>
      </c>
      <c r="AF3003" s="3" t="s">
        <v>15930</v>
      </c>
      <c r="AG3003" s="3" t="s">
        <v>15931</v>
      </c>
      <c r="AH3003" s="11">
        <f>HYPERLINK("https://my.pitchbook.com?c=176107-60T","View Company Online")</f>
      </c>
    </row>
    <row r="3004">
      <c r="A3004" s="12" t="s">
        <v>15932</v>
      </c>
      <c r="B3004" s="12" t="s">
        <v>15933</v>
      </c>
      <c r="C3004" s="19">
        <v>2</v>
      </c>
      <c r="D3004" s="19">
        <v>5</v>
      </c>
      <c r="E3004" s="19">
        <v>2</v>
      </c>
      <c r="F3004" s="19">
        <v>8</v>
      </c>
      <c r="G3004" s="15" t="s">
        <v>326</v>
      </c>
      <c r="H3004" s="14">
        <v>11.87</v>
      </c>
      <c r="I3004" s="18">
        <v>13.64</v>
      </c>
      <c r="J3004" s="12" t="s">
        <v>521</v>
      </c>
      <c r="K3004" s="13" t="s">
        <v>36</v>
      </c>
      <c r="L3004" s="15" t="s">
        <v>36</v>
      </c>
      <c r="M3004" s="12" t="s">
        <v>36</v>
      </c>
      <c r="N3004" s="12" t="s">
        <v>36</v>
      </c>
      <c r="O3004" s="17" t="s">
        <v>36</v>
      </c>
      <c r="P3004" s="12" t="s">
        <v>36</v>
      </c>
      <c r="Q3004" s="12" t="s">
        <v>36</v>
      </c>
      <c r="R3004" s="12" t="s">
        <v>36</v>
      </c>
      <c r="S3004" s="12" t="s">
        <v>36</v>
      </c>
      <c r="T3004" s="12" t="s">
        <v>15934</v>
      </c>
      <c r="U3004" s="12" t="s">
        <v>833</v>
      </c>
      <c r="V3004" s="12" t="s">
        <v>64</v>
      </c>
      <c r="W3004" s="12" t="s">
        <v>15935</v>
      </c>
      <c r="X3004" s="16" t="s">
        <v>15936</v>
      </c>
      <c r="Y3004" s="15" t="s">
        <v>108</v>
      </c>
      <c r="Z3004" s="14">
        <v>0.21</v>
      </c>
      <c r="AA3004" s="14">
        <v>1.54</v>
      </c>
      <c r="AB3004" s="12" t="s">
        <v>56</v>
      </c>
      <c r="AC3004" s="12" t="s">
        <v>15937</v>
      </c>
      <c r="AD3004" s="13">
        <v>44384</v>
      </c>
      <c r="AE3004" s="12" t="s">
        <v>1769</v>
      </c>
      <c r="AF3004" s="12" t="s">
        <v>36</v>
      </c>
      <c r="AG3004" s="12" t="s">
        <v>6814</v>
      </c>
      <c r="AH3004" s="1">
        <f>HYPERLINK("https://my.pitchbook.com?c=182134-00T","View Company Online")</f>
      </c>
    </row>
    <row r="3005">
      <c r="A3005" s="3" t="s">
        <v>15938</v>
      </c>
      <c r="B3005" s="3" t="s">
        <v>15939</v>
      </c>
      <c r="C3005" s="5" t="s">
        <v>36</v>
      </c>
      <c r="D3005" s="5" t="s">
        <v>36</v>
      </c>
      <c r="E3005" s="5" t="s">
        <v>36</v>
      </c>
      <c r="F3005" s="5" t="s">
        <v>36</v>
      </c>
      <c r="G3005" s="6" t="s">
        <v>326</v>
      </c>
      <c r="H3005" s="4" t="s">
        <v>36</v>
      </c>
      <c r="I3005" s="7">
        <v>61.6</v>
      </c>
      <c r="J3005" s="3" t="s">
        <v>521</v>
      </c>
      <c r="K3005" s="9" t="s">
        <v>36</v>
      </c>
      <c r="L3005" s="6" t="s">
        <v>36</v>
      </c>
      <c r="M3005" s="3" t="s">
        <v>36</v>
      </c>
      <c r="N3005" s="3" t="s">
        <v>36</v>
      </c>
      <c r="O3005" s="8" t="s">
        <v>36</v>
      </c>
      <c r="P3005" s="3" t="s">
        <v>36</v>
      </c>
      <c r="Q3005" s="3" t="s">
        <v>36</v>
      </c>
      <c r="R3005" s="3" t="s">
        <v>36</v>
      </c>
      <c r="S3005" s="3" t="s">
        <v>36</v>
      </c>
      <c r="T3005" s="3" t="s">
        <v>15940</v>
      </c>
      <c r="U3005" s="3" t="s">
        <v>279</v>
      </c>
      <c r="V3005" s="3" t="s">
        <v>64</v>
      </c>
      <c r="W3005" s="3" t="s">
        <v>15941</v>
      </c>
      <c r="X3005" s="10" t="s">
        <v>457</v>
      </c>
      <c r="Y3005" s="6" t="s">
        <v>55</v>
      </c>
      <c r="Z3005" s="4">
        <v>15.4</v>
      </c>
      <c r="AA3005" s="4">
        <v>25</v>
      </c>
      <c r="AB3005" s="3" t="s">
        <v>56</v>
      </c>
      <c r="AC3005" s="3" t="s">
        <v>15942</v>
      </c>
      <c r="AD3005" s="9">
        <v>44384</v>
      </c>
      <c r="AE3005" s="3" t="s">
        <v>851</v>
      </c>
      <c r="AF3005" s="3" t="s">
        <v>36</v>
      </c>
      <c r="AG3005" s="3" t="s">
        <v>7046</v>
      </c>
      <c r="AH3005" s="11">
        <f>HYPERLINK("https://my.pitchbook.com?c=186580-99T","View Company Online")</f>
      </c>
    </row>
    <row r="3006">
      <c r="A3006" s="12" t="s">
        <v>15943</v>
      </c>
      <c r="B3006" s="12" t="s">
        <v>15944</v>
      </c>
      <c r="C3006" s="19" t="s">
        <v>36</v>
      </c>
      <c r="D3006" s="19">
        <v>1</v>
      </c>
      <c r="E3006" s="19">
        <v>1</v>
      </c>
      <c r="F3006" s="19">
        <v>2</v>
      </c>
      <c r="G3006" s="15" t="s">
        <v>36</v>
      </c>
      <c r="H3006" s="14">
        <v>10385.66</v>
      </c>
      <c r="I3006" s="18">
        <v>24.94</v>
      </c>
      <c r="J3006" s="12" t="s">
        <v>521</v>
      </c>
      <c r="K3006" s="13" t="s">
        <v>36</v>
      </c>
      <c r="L3006" s="15" t="s">
        <v>122</v>
      </c>
      <c r="M3006" s="12" t="s">
        <v>36</v>
      </c>
      <c r="N3006" s="12" t="s">
        <v>122</v>
      </c>
      <c r="O3006" s="17" t="s">
        <v>36</v>
      </c>
      <c r="P3006" s="12" t="s">
        <v>36</v>
      </c>
      <c r="Q3006" s="12" t="s">
        <v>36</v>
      </c>
      <c r="R3006" s="12" t="s">
        <v>36</v>
      </c>
      <c r="S3006" s="12" t="s">
        <v>36</v>
      </c>
      <c r="T3006" s="12" t="s">
        <v>464</v>
      </c>
      <c r="U3006" s="12" t="s">
        <v>38</v>
      </c>
      <c r="V3006" s="12" t="s">
        <v>39</v>
      </c>
      <c r="W3006" s="12" t="s">
        <v>15945</v>
      </c>
      <c r="X3006" s="16" t="s">
        <v>13518</v>
      </c>
      <c r="Y3006" s="15" t="s">
        <v>42</v>
      </c>
      <c r="Z3006" s="14">
        <v>2.4</v>
      </c>
      <c r="AA3006" s="14">
        <v>9.61</v>
      </c>
      <c r="AB3006" s="12" t="s">
        <v>56</v>
      </c>
      <c r="AC3006" s="12" t="s">
        <v>15946</v>
      </c>
      <c r="AD3006" s="13">
        <v>44383</v>
      </c>
      <c r="AE3006" s="12" t="s">
        <v>110</v>
      </c>
      <c r="AF3006" s="12" t="s">
        <v>468</v>
      </c>
      <c r="AG3006" s="12" t="s">
        <v>81</v>
      </c>
      <c r="AH3006" s="1">
        <f>HYPERLINK("https://my.pitchbook.com?c=182259-10T","View Company Online")</f>
      </c>
    </row>
    <row r="3007">
      <c r="A3007" s="3" t="s">
        <v>15947</v>
      </c>
      <c r="B3007" s="3" t="s">
        <v>6306</v>
      </c>
      <c r="C3007" s="5">
        <v>19</v>
      </c>
      <c r="D3007" s="5">
        <v>14</v>
      </c>
      <c r="E3007" s="5">
        <v>21</v>
      </c>
      <c r="F3007" s="5">
        <v>38</v>
      </c>
      <c r="G3007" s="6" t="s">
        <v>36</v>
      </c>
      <c r="H3007" s="4" t="s">
        <v>36</v>
      </c>
      <c r="I3007" s="7" t="s">
        <v>36</v>
      </c>
      <c r="J3007" s="3" t="s">
        <v>36</v>
      </c>
      <c r="K3007" s="9">
        <v>44375</v>
      </c>
      <c r="L3007" s="6" t="s">
        <v>94</v>
      </c>
      <c r="M3007" s="3" t="s">
        <v>36</v>
      </c>
      <c r="N3007" s="3" t="s">
        <v>94</v>
      </c>
      <c r="O3007" s="8" t="s">
        <v>36</v>
      </c>
      <c r="P3007" s="3" t="s">
        <v>36</v>
      </c>
      <c r="Q3007" s="3" t="s">
        <v>36</v>
      </c>
      <c r="R3007" s="3" t="s">
        <v>36</v>
      </c>
      <c r="S3007" s="3" t="s">
        <v>36</v>
      </c>
      <c r="T3007" s="3" t="s">
        <v>2213</v>
      </c>
      <c r="U3007" s="3" t="s">
        <v>219</v>
      </c>
      <c r="V3007" s="3" t="s">
        <v>75</v>
      </c>
      <c r="W3007" s="3" t="s">
        <v>6307</v>
      </c>
      <c r="X3007" s="10" t="s">
        <v>15948</v>
      </c>
      <c r="Y3007" s="6" t="s">
        <v>108</v>
      </c>
      <c r="Z3007" s="4">
        <v>119.8</v>
      </c>
      <c r="AA3007" s="4" t="s">
        <v>36</v>
      </c>
      <c r="AB3007" s="3" t="s">
        <v>43</v>
      </c>
      <c r="AC3007" s="3" t="s">
        <v>6309</v>
      </c>
      <c r="AD3007" s="9">
        <v>44383</v>
      </c>
      <c r="AE3007" s="3" t="s">
        <v>1912</v>
      </c>
      <c r="AF3007" s="3" t="s">
        <v>982</v>
      </c>
      <c r="AG3007" s="3" t="s">
        <v>969</v>
      </c>
      <c r="AH3007" s="11">
        <f>HYPERLINK("https://my.pitchbook.com?c=175723-21T","View Company Online")</f>
      </c>
    </row>
    <row r="3008">
      <c r="A3008" s="12" t="s">
        <v>15949</v>
      </c>
      <c r="B3008" s="12" t="s">
        <v>1245</v>
      </c>
      <c r="C3008" s="19">
        <v>1</v>
      </c>
      <c r="D3008" s="19">
        <v>2</v>
      </c>
      <c r="E3008" s="19">
        <v>2</v>
      </c>
      <c r="F3008" s="19">
        <v>3</v>
      </c>
      <c r="G3008" s="15" t="s">
        <v>36</v>
      </c>
      <c r="H3008" s="14">
        <v>270.03</v>
      </c>
      <c r="I3008" s="18">
        <v>27.76</v>
      </c>
      <c r="J3008" s="12" t="s">
        <v>521</v>
      </c>
      <c r="K3008" s="13" t="s">
        <v>36</v>
      </c>
      <c r="L3008" s="15" t="s">
        <v>36</v>
      </c>
      <c r="M3008" s="12" t="s">
        <v>36</v>
      </c>
      <c r="N3008" s="12" t="s">
        <v>36</v>
      </c>
      <c r="O3008" s="17" t="s">
        <v>36</v>
      </c>
      <c r="P3008" s="12" t="s">
        <v>36</v>
      </c>
      <c r="Q3008" s="12" t="s">
        <v>36</v>
      </c>
      <c r="R3008" s="12" t="s">
        <v>36</v>
      </c>
      <c r="S3008" s="12" t="s">
        <v>36</v>
      </c>
      <c r="T3008" s="12" t="s">
        <v>1246</v>
      </c>
      <c r="U3008" s="12" t="s">
        <v>318</v>
      </c>
      <c r="V3008" s="12" t="s">
        <v>39</v>
      </c>
      <c r="W3008" s="12" t="s">
        <v>1247</v>
      </c>
      <c r="X3008" s="16" t="s">
        <v>10637</v>
      </c>
      <c r="Y3008" s="15" t="s">
        <v>42</v>
      </c>
      <c r="Z3008" s="14">
        <v>1.68</v>
      </c>
      <c r="AA3008" s="14">
        <v>4.32</v>
      </c>
      <c r="AB3008" s="12" t="s">
        <v>56</v>
      </c>
      <c r="AC3008" s="12" t="s">
        <v>1249</v>
      </c>
      <c r="AD3008" s="13">
        <v>44382</v>
      </c>
      <c r="AE3008" s="12" t="s">
        <v>417</v>
      </c>
      <c r="AF3008" s="12" t="s">
        <v>724</v>
      </c>
      <c r="AG3008" s="12" t="s">
        <v>1250</v>
      </c>
      <c r="AH3008" s="1">
        <f>HYPERLINK("https://my.pitchbook.com?c=190931-95T","View Company Online")</f>
      </c>
    </row>
    <row r="3009">
      <c r="A3009" s="3" t="s">
        <v>15950</v>
      </c>
      <c r="B3009" s="3" t="s">
        <v>12815</v>
      </c>
      <c r="C3009" s="5">
        <v>2</v>
      </c>
      <c r="D3009" s="5" t="s">
        <v>36</v>
      </c>
      <c r="E3009" s="5">
        <v>1</v>
      </c>
      <c r="F3009" s="5">
        <v>2</v>
      </c>
      <c r="G3009" s="6" t="s">
        <v>326</v>
      </c>
      <c r="H3009" s="4">
        <v>24.49</v>
      </c>
      <c r="I3009" s="7">
        <v>27.66</v>
      </c>
      <c r="J3009" s="3" t="s">
        <v>521</v>
      </c>
      <c r="K3009" s="9" t="s">
        <v>36</v>
      </c>
      <c r="L3009" s="6" t="s">
        <v>122</v>
      </c>
      <c r="M3009" s="3" t="s">
        <v>36</v>
      </c>
      <c r="N3009" s="3" t="s">
        <v>122</v>
      </c>
      <c r="O3009" s="8" t="s">
        <v>36</v>
      </c>
      <c r="P3009" s="3" t="s">
        <v>36</v>
      </c>
      <c r="Q3009" s="3" t="s">
        <v>36</v>
      </c>
      <c r="R3009" s="3" t="s">
        <v>36</v>
      </c>
      <c r="S3009" s="3" t="s">
        <v>36</v>
      </c>
      <c r="T3009" s="3" t="s">
        <v>7971</v>
      </c>
      <c r="U3009" s="3" t="s">
        <v>1082</v>
      </c>
      <c r="V3009" s="3" t="s">
        <v>378</v>
      </c>
      <c r="W3009" s="3" t="s">
        <v>12816</v>
      </c>
      <c r="X3009" s="10" t="s">
        <v>15951</v>
      </c>
      <c r="Y3009" s="6" t="s">
        <v>42</v>
      </c>
      <c r="Z3009" s="4">
        <v>14.85</v>
      </c>
      <c r="AA3009" s="4">
        <v>27.66</v>
      </c>
      <c r="AB3009" s="3" t="s">
        <v>56</v>
      </c>
      <c r="AC3009" s="3" t="s">
        <v>12818</v>
      </c>
      <c r="AD3009" s="9">
        <v>44382</v>
      </c>
      <c r="AE3009" s="3" t="s">
        <v>1086</v>
      </c>
      <c r="AF3009" s="3" t="s">
        <v>5435</v>
      </c>
      <c r="AG3009" s="3" t="s">
        <v>419</v>
      </c>
      <c r="AH3009" s="11">
        <f>HYPERLINK("https://my.pitchbook.com?c=175752-10T","View Company Online")</f>
      </c>
    </row>
    <row r="3010">
      <c r="A3010" s="12" t="s">
        <v>15952</v>
      </c>
      <c r="B3010" s="12" t="s">
        <v>15953</v>
      </c>
      <c r="C3010" s="19" t="s">
        <v>36</v>
      </c>
      <c r="D3010" s="19" t="s">
        <v>36</v>
      </c>
      <c r="E3010" s="19" t="s">
        <v>36</v>
      </c>
      <c r="F3010" s="19" t="s">
        <v>36</v>
      </c>
      <c r="G3010" s="15" t="s">
        <v>326</v>
      </c>
      <c r="H3010" s="14">
        <v>74.97</v>
      </c>
      <c r="I3010" s="18">
        <v>10.6</v>
      </c>
      <c r="J3010" s="12" t="s">
        <v>521</v>
      </c>
      <c r="K3010" s="13" t="s">
        <v>36</v>
      </c>
      <c r="L3010" s="15" t="s">
        <v>1846</v>
      </c>
      <c r="M3010" s="12" t="s">
        <v>36</v>
      </c>
      <c r="N3010" s="12" t="s">
        <v>1846</v>
      </c>
      <c r="O3010" s="17" t="s">
        <v>36</v>
      </c>
      <c r="P3010" s="12" t="s">
        <v>36</v>
      </c>
      <c r="Q3010" s="12" t="s">
        <v>36</v>
      </c>
      <c r="R3010" s="12" t="s">
        <v>36</v>
      </c>
      <c r="S3010" s="12" t="s">
        <v>36</v>
      </c>
      <c r="T3010" s="12" t="s">
        <v>3168</v>
      </c>
      <c r="U3010" s="12" t="s">
        <v>289</v>
      </c>
      <c r="V3010" s="12" t="s">
        <v>64</v>
      </c>
      <c r="W3010" s="12" t="s">
        <v>15954</v>
      </c>
      <c r="X3010" s="16" t="s">
        <v>15955</v>
      </c>
      <c r="Y3010" s="15" t="s">
        <v>321</v>
      </c>
      <c r="Z3010" s="14">
        <v>379.59</v>
      </c>
      <c r="AA3010" s="14">
        <v>2168.03</v>
      </c>
      <c r="AB3010" s="12" t="s">
        <v>56</v>
      </c>
      <c r="AC3010" s="12" t="s">
        <v>15956</v>
      </c>
      <c r="AD3010" s="13">
        <v>44382</v>
      </c>
      <c r="AE3010" s="12" t="s">
        <v>3134</v>
      </c>
      <c r="AF3010" s="12" t="s">
        <v>90</v>
      </c>
      <c r="AG3010" s="12" t="s">
        <v>81</v>
      </c>
      <c r="AH3010" s="1">
        <f>HYPERLINK("https://my.pitchbook.com?c=175810-51T","View Company Online")</f>
      </c>
    </row>
    <row r="3011">
      <c r="A3011" s="3" t="s">
        <v>15957</v>
      </c>
      <c r="B3011" s="3" t="s">
        <v>15958</v>
      </c>
      <c r="C3011" s="5">
        <v>4</v>
      </c>
      <c r="D3011" s="5">
        <v>7</v>
      </c>
      <c r="E3011" s="5">
        <v>2</v>
      </c>
      <c r="F3011" s="5">
        <v>11</v>
      </c>
      <c r="G3011" s="6" t="s">
        <v>36</v>
      </c>
      <c r="H3011" s="4">
        <v>70.3</v>
      </c>
      <c r="I3011" s="7">
        <v>20.48</v>
      </c>
      <c r="J3011" s="3" t="s">
        <v>521</v>
      </c>
      <c r="K3011" s="9" t="s">
        <v>36</v>
      </c>
      <c r="L3011" s="6" t="s">
        <v>36</v>
      </c>
      <c r="M3011" s="3" t="s">
        <v>36</v>
      </c>
      <c r="N3011" s="3" t="s">
        <v>36</v>
      </c>
      <c r="O3011" s="8" t="s">
        <v>36</v>
      </c>
      <c r="P3011" s="3" t="s">
        <v>36</v>
      </c>
      <c r="Q3011" s="3" t="s">
        <v>36</v>
      </c>
      <c r="R3011" s="3" t="s">
        <v>36</v>
      </c>
      <c r="S3011" s="3" t="s">
        <v>13741</v>
      </c>
      <c r="T3011" s="3" t="s">
        <v>15959</v>
      </c>
      <c r="U3011" s="3" t="s">
        <v>1336</v>
      </c>
      <c r="V3011" s="3" t="s">
        <v>367</v>
      </c>
      <c r="W3011" s="3" t="s">
        <v>15960</v>
      </c>
      <c r="X3011" s="10" t="s">
        <v>15961</v>
      </c>
      <c r="Y3011" s="6" t="s">
        <v>42</v>
      </c>
      <c r="Z3011" s="4">
        <v>2.4</v>
      </c>
      <c r="AA3011" s="4">
        <v>6.05</v>
      </c>
      <c r="AB3011" s="3" t="s">
        <v>43</v>
      </c>
      <c r="AC3011" s="3" t="s">
        <v>15962</v>
      </c>
      <c r="AD3011" s="9">
        <v>44379</v>
      </c>
      <c r="AE3011" s="3" t="s">
        <v>15963</v>
      </c>
      <c r="AF3011" s="3" t="s">
        <v>931</v>
      </c>
      <c r="AG3011" s="3" t="s">
        <v>186</v>
      </c>
      <c r="AH3011" s="11">
        <f>HYPERLINK("https://my.pitchbook.com?c=183301-21T","View Company Online")</f>
      </c>
    </row>
    <row r="3012">
      <c r="A3012" s="12" t="s">
        <v>15964</v>
      </c>
      <c r="B3012" s="12" t="s">
        <v>12109</v>
      </c>
      <c r="C3012" s="19" t="s">
        <v>36</v>
      </c>
      <c r="D3012" s="19" t="s">
        <v>36</v>
      </c>
      <c r="E3012" s="19" t="s">
        <v>36</v>
      </c>
      <c r="F3012" s="19" t="s">
        <v>36</v>
      </c>
      <c r="G3012" s="15" t="s">
        <v>326</v>
      </c>
      <c r="H3012" s="14">
        <v>6.67</v>
      </c>
      <c r="I3012" s="18">
        <v>14.48</v>
      </c>
      <c r="J3012" s="12" t="s">
        <v>521</v>
      </c>
      <c r="K3012" s="13" t="s">
        <v>36</v>
      </c>
      <c r="L3012" s="15" t="s">
        <v>36</v>
      </c>
      <c r="M3012" s="12" t="s">
        <v>36</v>
      </c>
      <c r="N3012" s="12" t="s">
        <v>36</v>
      </c>
      <c r="O3012" s="17" t="s">
        <v>36</v>
      </c>
      <c r="P3012" s="12" t="s">
        <v>36</v>
      </c>
      <c r="Q3012" s="12" t="s">
        <v>36</v>
      </c>
      <c r="R3012" s="12" t="s">
        <v>36</v>
      </c>
      <c r="S3012" s="12" t="s">
        <v>36</v>
      </c>
      <c r="T3012" s="12" t="s">
        <v>9281</v>
      </c>
      <c r="U3012" s="12" t="s">
        <v>38</v>
      </c>
      <c r="V3012" s="12" t="s">
        <v>39</v>
      </c>
      <c r="W3012" s="12" t="s">
        <v>12110</v>
      </c>
      <c r="X3012" s="16" t="s">
        <v>13191</v>
      </c>
      <c r="Y3012" s="15" t="s">
        <v>192</v>
      </c>
      <c r="Z3012" s="14">
        <v>3.84</v>
      </c>
      <c r="AA3012" s="14">
        <v>26.55</v>
      </c>
      <c r="AB3012" s="12" t="s">
        <v>56</v>
      </c>
      <c r="AC3012" s="12" t="s">
        <v>12112</v>
      </c>
      <c r="AD3012" s="13">
        <v>44379</v>
      </c>
      <c r="AE3012" s="12" t="s">
        <v>1945</v>
      </c>
      <c r="AF3012" s="12" t="s">
        <v>1401</v>
      </c>
      <c r="AG3012" s="12" t="s">
        <v>102</v>
      </c>
      <c r="AH3012" s="1">
        <f>HYPERLINK("https://my.pitchbook.com?c=175120-84T","View Company Online")</f>
      </c>
    </row>
    <row r="3013">
      <c r="A3013" s="3" t="s">
        <v>15965</v>
      </c>
      <c r="B3013" s="3" t="s">
        <v>15966</v>
      </c>
      <c r="C3013" s="5" t="s">
        <v>36</v>
      </c>
      <c r="D3013" s="5" t="s">
        <v>36</v>
      </c>
      <c r="E3013" s="5" t="s">
        <v>36</v>
      </c>
      <c r="F3013" s="5" t="s">
        <v>36</v>
      </c>
      <c r="G3013" s="6" t="s">
        <v>326</v>
      </c>
      <c r="H3013" s="4">
        <v>17.24</v>
      </c>
      <c r="I3013" s="7">
        <v>31.09</v>
      </c>
      <c r="J3013" s="3" t="s">
        <v>521</v>
      </c>
      <c r="K3013" s="9" t="s">
        <v>36</v>
      </c>
      <c r="L3013" s="6" t="s">
        <v>36</v>
      </c>
      <c r="M3013" s="3" t="s">
        <v>36</v>
      </c>
      <c r="N3013" s="3" t="s">
        <v>36</v>
      </c>
      <c r="O3013" s="8" t="s">
        <v>36</v>
      </c>
      <c r="P3013" s="3" t="s">
        <v>36</v>
      </c>
      <c r="Q3013" s="3" t="s">
        <v>36</v>
      </c>
      <c r="R3013" s="3" t="s">
        <v>36</v>
      </c>
      <c r="S3013" s="3" t="s">
        <v>36</v>
      </c>
      <c r="T3013" s="3" t="s">
        <v>7415</v>
      </c>
      <c r="U3013" s="3" t="s">
        <v>38</v>
      </c>
      <c r="V3013" s="3" t="s">
        <v>39</v>
      </c>
      <c r="W3013" s="3" t="s">
        <v>15967</v>
      </c>
      <c r="X3013" s="10" t="s">
        <v>15968</v>
      </c>
      <c r="Y3013" s="6" t="s">
        <v>55</v>
      </c>
      <c r="Z3013" s="4">
        <v>8.28</v>
      </c>
      <c r="AA3013" s="4">
        <v>26.63</v>
      </c>
      <c r="AB3013" s="3" t="s">
        <v>43</v>
      </c>
      <c r="AC3013" s="3" t="s">
        <v>15969</v>
      </c>
      <c r="AD3013" s="9">
        <v>44379</v>
      </c>
      <c r="AE3013" s="3" t="s">
        <v>1422</v>
      </c>
      <c r="AF3013" s="3" t="s">
        <v>4200</v>
      </c>
      <c r="AG3013" s="3" t="s">
        <v>332</v>
      </c>
      <c r="AH3013" s="11">
        <f>HYPERLINK("https://my.pitchbook.com?c=176091-22T","View Company Online")</f>
      </c>
    </row>
    <row r="3014">
      <c r="A3014" s="12" t="s">
        <v>15970</v>
      </c>
      <c r="B3014" s="12" t="s">
        <v>15971</v>
      </c>
      <c r="C3014" s="19" t="s">
        <v>36</v>
      </c>
      <c r="D3014" s="19" t="s">
        <v>36</v>
      </c>
      <c r="E3014" s="19" t="s">
        <v>36</v>
      </c>
      <c r="F3014" s="19" t="s">
        <v>36</v>
      </c>
      <c r="G3014" s="15" t="s">
        <v>36</v>
      </c>
      <c r="H3014" s="14" t="s">
        <v>36</v>
      </c>
      <c r="I3014" s="18" t="s">
        <v>36</v>
      </c>
      <c r="J3014" s="12" t="s">
        <v>36</v>
      </c>
      <c r="K3014" s="13" t="s">
        <v>36</v>
      </c>
      <c r="L3014" s="15" t="s">
        <v>36</v>
      </c>
      <c r="M3014" s="12" t="s">
        <v>36</v>
      </c>
      <c r="N3014" s="12" t="s">
        <v>36</v>
      </c>
      <c r="O3014" s="17" t="s">
        <v>36</v>
      </c>
      <c r="P3014" s="12" t="s">
        <v>36</v>
      </c>
      <c r="Q3014" s="12" t="s">
        <v>36</v>
      </c>
      <c r="R3014" s="12" t="s">
        <v>36</v>
      </c>
      <c r="S3014" s="12" t="s">
        <v>36</v>
      </c>
      <c r="T3014" s="12" t="s">
        <v>15972</v>
      </c>
      <c r="U3014" s="12" t="s">
        <v>51</v>
      </c>
      <c r="V3014" s="12" t="s">
        <v>52</v>
      </c>
      <c r="W3014" s="12" t="s">
        <v>15973</v>
      </c>
      <c r="X3014" s="16" t="s">
        <v>15974</v>
      </c>
      <c r="Y3014" s="15" t="s">
        <v>42</v>
      </c>
      <c r="Z3014" s="14">
        <v>2.4</v>
      </c>
      <c r="AA3014" s="14" t="s">
        <v>36</v>
      </c>
      <c r="AB3014" s="12" t="s">
        <v>43</v>
      </c>
      <c r="AC3014" s="12" t="s">
        <v>15975</v>
      </c>
      <c r="AD3014" s="13">
        <v>44379</v>
      </c>
      <c r="AE3014" s="12" t="s">
        <v>1060</v>
      </c>
      <c r="AF3014" s="12" t="s">
        <v>15976</v>
      </c>
      <c r="AG3014" s="12" t="s">
        <v>81</v>
      </c>
      <c r="AH3014" s="1">
        <f>HYPERLINK("https://my.pitchbook.com?c=175682-80T","View Company Online")</f>
      </c>
    </row>
    <row r="3015">
      <c r="A3015" s="3" t="s">
        <v>15977</v>
      </c>
      <c r="B3015" s="3" t="s">
        <v>15978</v>
      </c>
      <c r="C3015" s="5" t="s">
        <v>36</v>
      </c>
      <c r="D3015" s="5" t="s">
        <v>36</v>
      </c>
      <c r="E3015" s="5" t="s">
        <v>36</v>
      </c>
      <c r="F3015" s="5" t="s">
        <v>36</v>
      </c>
      <c r="G3015" s="6" t="s">
        <v>36</v>
      </c>
      <c r="H3015" s="4">
        <v>58.86</v>
      </c>
      <c r="I3015" s="7">
        <v>15</v>
      </c>
      <c r="J3015" s="3" t="s">
        <v>521</v>
      </c>
      <c r="K3015" s="9" t="s">
        <v>36</v>
      </c>
      <c r="L3015" s="6" t="s">
        <v>36</v>
      </c>
      <c r="M3015" s="3" t="s">
        <v>36</v>
      </c>
      <c r="N3015" s="3" t="s">
        <v>36</v>
      </c>
      <c r="O3015" s="8" t="s">
        <v>36</v>
      </c>
      <c r="P3015" s="3" t="s">
        <v>36</v>
      </c>
      <c r="Q3015" s="3" t="s">
        <v>36</v>
      </c>
      <c r="R3015" s="3" t="s">
        <v>36</v>
      </c>
      <c r="S3015" s="3" t="s">
        <v>36</v>
      </c>
      <c r="T3015" s="3" t="s">
        <v>522</v>
      </c>
      <c r="U3015" s="3" t="s">
        <v>38</v>
      </c>
      <c r="V3015" s="3" t="s">
        <v>39</v>
      </c>
      <c r="W3015" s="3" t="s">
        <v>15979</v>
      </c>
      <c r="X3015" s="10" t="s">
        <v>2846</v>
      </c>
      <c r="Y3015" s="6" t="s">
        <v>42</v>
      </c>
      <c r="Z3015" s="4">
        <v>0.12</v>
      </c>
      <c r="AA3015" s="4">
        <v>0.8</v>
      </c>
      <c r="AB3015" s="3" t="s">
        <v>43</v>
      </c>
      <c r="AC3015" s="3" t="s">
        <v>15980</v>
      </c>
      <c r="AD3015" s="9">
        <v>44379</v>
      </c>
      <c r="AE3015" s="3" t="s">
        <v>110</v>
      </c>
      <c r="AF3015" s="3" t="s">
        <v>176</v>
      </c>
      <c r="AG3015" s="3" t="s">
        <v>81</v>
      </c>
      <c r="AH3015" s="11">
        <f>HYPERLINK("https://my.pitchbook.com?c=203172-67T","View Company Online")</f>
      </c>
    </row>
    <row r="3016">
      <c r="A3016" s="12" t="s">
        <v>15981</v>
      </c>
      <c r="B3016" s="12" t="s">
        <v>15982</v>
      </c>
      <c r="C3016" s="19" t="s">
        <v>36</v>
      </c>
      <c r="D3016" s="19" t="s">
        <v>36</v>
      </c>
      <c r="E3016" s="19" t="s">
        <v>36</v>
      </c>
      <c r="F3016" s="19" t="s">
        <v>36</v>
      </c>
      <c r="G3016" s="15" t="s">
        <v>36</v>
      </c>
      <c r="H3016" s="14" t="s">
        <v>36</v>
      </c>
      <c r="I3016" s="18" t="s">
        <v>36</v>
      </c>
      <c r="J3016" s="12" t="s">
        <v>36</v>
      </c>
      <c r="K3016" s="13" t="s">
        <v>36</v>
      </c>
      <c r="L3016" s="15" t="s">
        <v>36</v>
      </c>
      <c r="M3016" s="12" t="s">
        <v>36</v>
      </c>
      <c r="N3016" s="12" t="s">
        <v>36</v>
      </c>
      <c r="O3016" s="17" t="s">
        <v>36</v>
      </c>
      <c r="P3016" s="12" t="s">
        <v>36</v>
      </c>
      <c r="Q3016" s="12" t="s">
        <v>36</v>
      </c>
      <c r="R3016" s="12" t="s">
        <v>36</v>
      </c>
      <c r="S3016" s="12" t="s">
        <v>36</v>
      </c>
      <c r="T3016" s="12" t="s">
        <v>15983</v>
      </c>
      <c r="U3016" s="12" t="s">
        <v>423</v>
      </c>
      <c r="V3016" s="12" t="s">
        <v>64</v>
      </c>
      <c r="W3016" s="12" t="s">
        <v>15984</v>
      </c>
      <c r="X3016" s="16" t="s">
        <v>15985</v>
      </c>
      <c r="Y3016" s="15" t="s">
        <v>108</v>
      </c>
      <c r="Z3016" s="14">
        <v>2.8</v>
      </c>
      <c r="AA3016" s="14" t="s">
        <v>36</v>
      </c>
      <c r="AB3016" s="12" t="s">
        <v>43</v>
      </c>
      <c r="AC3016" s="12" t="s">
        <v>15986</v>
      </c>
      <c r="AD3016" s="13">
        <v>44378</v>
      </c>
      <c r="AE3016" s="12" t="s">
        <v>1051</v>
      </c>
      <c r="AF3016" s="12" t="s">
        <v>6718</v>
      </c>
      <c r="AG3016" s="12" t="s">
        <v>81</v>
      </c>
      <c r="AH3016" s="1">
        <f>HYPERLINK("https://my.pitchbook.com?c=282200-05T","View Company Online")</f>
      </c>
    </row>
    <row r="3017">
      <c r="A3017" s="3" t="s">
        <v>15987</v>
      </c>
      <c r="B3017" s="3" t="s">
        <v>15988</v>
      </c>
      <c r="C3017" s="5">
        <v>5</v>
      </c>
      <c r="D3017" s="5">
        <v>18</v>
      </c>
      <c r="E3017" s="5">
        <v>3</v>
      </c>
      <c r="F3017" s="5">
        <v>26</v>
      </c>
      <c r="G3017" s="6" t="s">
        <v>36</v>
      </c>
      <c r="H3017" s="4" t="s">
        <v>36</v>
      </c>
      <c r="I3017" s="7" t="s">
        <v>36</v>
      </c>
      <c r="J3017" s="3" t="s">
        <v>36</v>
      </c>
      <c r="K3017" s="9" t="s">
        <v>36</v>
      </c>
      <c r="L3017" s="6" t="s">
        <v>36</v>
      </c>
      <c r="M3017" s="3" t="s">
        <v>36</v>
      </c>
      <c r="N3017" s="3" t="s">
        <v>36</v>
      </c>
      <c r="O3017" s="8" t="s">
        <v>36</v>
      </c>
      <c r="P3017" s="3" t="s">
        <v>36</v>
      </c>
      <c r="Q3017" s="3" t="s">
        <v>36</v>
      </c>
      <c r="R3017" s="3" t="s">
        <v>36</v>
      </c>
      <c r="S3017" s="3" t="s">
        <v>36</v>
      </c>
      <c r="T3017" s="3" t="s">
        <v>1048</v>
      </c>
      <c r="U3017" s="3" t="s">
        <v>423</v>
      </c>
      <c r="V3017" s="3" t="s">
        <v>64</v>
      </c>
      <c r="W3017" s="3" t="s">
        <v>15989</v>
      </c>
      <c r="X3017" s="10" t="s">
        <v>1598</v>
      </c>
      <c r="Y3017" s="6" t="s">
        <v>108</v>
      </c>
      <c r="Z3017" s="4" t="s">
        <v>36</v>
      </c>
      <c r="AA3017" s="4" t="s">
        <v>36</v>
      </c>
      <c r="AB3017" s="3" t="s">
        <v>56</v>
      </c>
      <c r="AC3017" s="3" t="s">
        <v>15990</v>
      </c>
      <c r="AD3017" s="9">
        <v>44378</v>
      </c>
      <c r="AE3017" s="3" t="s">
        <v>1051</v>
      </c>
      <c r="AF3017" s="3" t="s">
        <v>15794</v>
      </c>
      <c r="AG3017" s="3" t="s">
        <v>15991</v>
      </c>
      <c r="AH3017" s="11">
        <f>HYPERLINK("https://my.pitchbook.com?c=181002-07T","View Company Online")</f>
      </c>
    </row>
    <row r="3018">
      <c r="A3018" s="12" t="s">
        <v>15992</v>
      </c>
      <c r="B3018" s="12" t="s">
        <v>15993</v>
      </c>
      <c r="C3018" s="19" t="s">
        <v>36</v>
      </c>
      <c r="D3018" s="19" t="s">
        <v>36</v>
      </c>
      <c r="E3018" s="19" t="s">
        <v>36</v>
      </c>
      <c r="F3018" s="19" t="s">
        <v>36</v>
      </c>
      <c r="G3018" s="15" t="s">
        <v>36</v>
      </c>
      <c r="H3018" s="14">
        <v>221.88</v>
      </c>
      <c r="I3018" s="18">
        <v>17.55</v>
      </c>
      <c r="J3018" s="12" t="s">
        <v>521</v>
      </c>
      <c r="K3018" s="13" t="s">
        <v>36</v>
      </c>
      <c r="L3018" s="15" t="s">
        <v>36</v>
      </c>
      <c r="M3018" s="12" t="s">
        <v>36</v>
      </c>
      <c r="N3018" s="12" t="s">
        <v>36</v>
      </c>
      <c r="O3018" s="17" t="s">
        <v>36</v>
      </c>
      <c r="P3018" s="12" t="s">
        <v>36</v>
      </c>
      <c r="Q3018" s="12" t="s">
        <v>36</v>
      </c>
      <c r="R3018" s="12" t="s">
        <v>36</v>
      </c>
      <c r="S3018" s="12" t="s">
        <v>36</v>
      </c>
      <c r="T3018" s="12" t="s">
        <v>3697</v>
      </c>
      <c r="U3018" s="12" t="s">
        <v>74</v>
      </c>
      <c r="V3018" s="12" t="s">
        <v>75</v>
      </c>
      <c r="W3018" s="12" t="s">
        <v>15994</v>
      </c>
      <c r="X3018" s="16" t="s">
        <v>1399</v>
      </c>
      <c r="Y3018" s="15" t="s">
        <v>42</v>
      </c>
      <c r="Z3018" s="14">
        <v>0.3</v>
      </c>
      <c r="AA3018" s="14">
        <v>1.71</v>
      </c>
      <c r="AB3018" s="12" t="s">
        <v>56</v>
      </c>
      <c r="AC3018" s="12" t="s">
        <v>15995</v>
      </c>
      <c r="AD3018" s="13">
        <v>44378</v>
      </c>
      <c r="AE3018" s="12" t="s">
        <v>696</v>
      </c>
      <c r="AF3018" s="12" t="s">
        <v>36</v>
      </c>
      <c r="AG3018" s="12" t="s">
        <v>5794</v>
      </c>
      <c r="AH3018" s="1">
        <f>HYPERLINK("https://my.pitchbook.com?c=218391-49T","View Company Online")</f>
      </c>
    </row>
    <row r="3019">
      <c r="A3019" s="3" t="s">
        <v>15996</v>
      </c>
      <c r="B3019" s="3" t="s">
        <v>15997</v>
      </c>
      <c r="C3019" s="5" t="s">
        <v>36</v>
      </c>
      <c r="D3019" s="5" t="s">
        <v>36</v>
      </c>
      <c r="E3019" s="5" t="s">
        <v>36</v>
      </c>
      <c r="F3019" s="5" t="s">
        <v>36</v>
      </c>
      <c r="G3019" s="6" t="s">
        <v>326</v>
      </c>
      <c r="H3019" s="4">
        <v>75.96</v>
      </c>
      <c r="I3019" s="7">
        <v>20.6</v>
      </c>
      <c r="J3019" s="3" t="s">
        <v>521</v>
      </c>
      <c r="K3019" s="9">
        <v>44197</v>
      </c>
      <c r="L3019" s="6" t="s">
        <v>94</v>
      </c>
      <c r="M3019" s="3" t="s">
        <v>36</v>
      </c>
      <c r="N3019" s="3" t="s">
        <v>94</v>
      </c>
      <c r="O3019" s="8" t="s">
        <v>36</v>
      </c>
      <c r="P3019" s="3" t="s">
        <v>36</v>
      </c>
      <c r="Q3019" s="3" t="s">
        <v>36</v>
      </c>
      <c r="R3019" s="3" t="s">
        <v>36</v>
      </c>
      <c r="S3019" s="3" t="s">
        <v>36</v>
      </c>
      <c r="T3019" s="3" t="s">
        <v>4529</v>
      </c>
      <c r="U3019" s="3" t="s">
        <v>38</v>
      </c>
      <c r="V3019" s="3" t="s">
        <v>39</v>
      </c>
      <c r="W3019" s="3" t="s">
        <v>15998</v>
      </c>
      <c r="X3019" s="10" t="s">
        <v>15999</v>
      </c>
      <c r="Y3019" s="6" t="s">
        <v>192</v>
      </c>
      <c r="Z3019" s="4">
        <v>13.24</v>
      </c>
      <c r="AA3019" s="4">
        <v>38.27</v>
      </c>
      <c r="AB3019" s="3" t="s">
        <v>56</v>
      </c>
      <c r="AC3019" s="3" t="s">
        <v>16000</v>
      </c>
      <c r="AD3019" s="9">
        <v>44378</v>
      </c>
      <c r="AE3019" s="3" t="s">
        <v>1422</v>
      </c>
      <c r="AF3019" s="3" t="s">
        <v>4842</v>
      </c>
      <c r="AG3019" s="3" t="s">
        <v>81</v>
      </c>
      <c r="AH3019" s="11">
        <f>HYPERLINK("https://my.pitchbook.com?c=181181-17T","View Company Online")</f>
      </c>
    </row>
    <row r="3020">
      <c r="A3020" s="12" t="s">
        <v>16001</v>
      </c>
      <c r="B3020" s="12" t="s">
        <v>5166</v>
      </c>
      <c r="C3020" s="19" t="s">
        <v>36</v>
      </c>
      <c r="D3020" s="19" t="s">
        <v>36</v>
      </c>
      <c r="E3020" s="19" t="s">
        <v>36</v>
      </c>
      <c r="F3020" s="19" t="s">
        <v>36</v>
      </c>
      <c r="G3020" s="15" t="s">
        <v>36</v>
      </c>
      <c r="H3020" s="14" t="s">
        <v>36</v>
      </c>
      <c r="I3020" s="18" t="s">
        <v>36</v>
      </c>
      <c r="J3020" s="12" t="s">
        <v>36</v>
      </c>
      <c r="K3020" s="13" t="s">
        <v>36</v>
      </c>
      <c r="L3020" s="15" t="s">
        <v>36</v>
      </c>
      <c r="M3020" s="12" t="s">
        <v>36</v>
      </c>
      <c r="N3020" s="12" t="s">
        <v>36</v>
      </c>
      <c r="O3020" s="17" t="s">
        <v>36</v>
      </c>
      <c r="P3020" s="12" t="s">
        <v>36</v>
      </c>
      <c r="Q3020" s="12" t="s">
        <v>36</v>
      </c>
      <c r="R3020" s="12" t="s">
        <v>36</v>
      </c>
      <c r="S3020" s="12" t="s">
        <v>36</v>
      </c>
      <c r="T3020" s="12" t="s">
        <v>189</v>
      </c>
      <c r="U3020" s="12" t="s">
        <v>180</v>
      </c>
      <c r="V3020" s="12" t="s">
        <v>52</v>
      </c>
      <c r="W3020" s="12" t="s">
        <v>5167</v>
      </c>
      <c r="X3020" s="16" t="s">
        <v>8450</v>
      </c>
      <c r="Y3020" s="15" t="s">
        <v>42</v>
      </c>
      <c r="Z3020" s="14" t="s">
        <v>36</v>
      </c>
      <c r="AA3020" s="14" t="s">
        <v>36</v>
      </c>
      <c r="AB3020" s="12" t="s">
        <v>43</v>
      </c>
      <c r="AC3020" s="12" t="s">
        <v>5169</v>
      </c>
      <c r="AD3020" s="13">
        <v>44378</v>
      </c>
      <c r="AE3020" s="12" t="s">
        <v>184</v>
      </c>
      <c r="AF3020" s="12" t="s">
        <v>5170</v>
      </c>
      <c r="AG3020" s="12" t="s">
        <v>81</v>
      </c>
      <c r="AH3020" s="1">
        <f>HYPERLINK("https://my.pitchbook.com?c=225987-13T","View Company Online")</f>
      </c>
    </row>
    <row r="3021">
      <c r="A3021" s="3" t="s">
        <v>16002</v>
      </c>
      <c r="B3021" s="3" t="s">
        <v>16003</v>
      </c>
      <c r="C3021" s="5" t="s">
        <v>36</v>
      </c>
      <c r="D3021" s="5" t="s">
        <v>36</v>
      </c>
      <c r="E3021" s="5" t="s">
        <v>36</v>
      </c>
      <c r="F3021" s="5" t="s">
        <v>36</v>
      </c>
      <c r="G3021" s="6" t="s">
        <v>326</v>
      </c>
      <c r="H3021" s="4">
        <v>98.81</v>
      </c>
      <c r="I3021" s="7">
        <v>34.58</v>
      </c>
      <c r="J3021" s="3" t="s">
        <v>521</v>
      </c>
      <c r="K3021" s="9" t="s">
        <v>36</v>
      </c>
      <c r="L3021" s="6" t="s">
        <v>36</v>
      </c>
      <c r="M3021" s="3" t="s">
        <v>36</v>
      </c>
      <c r="N3021" s="3" t="s">
        <v>36</v>
      </c>
      <c r="O3021" s="8" t="s">
        <v>36</v>
      </c>
      <c r="P3021" s="3" t="s">
        <v>36</v>
      </c>
      <c r="Q3021" s="3" t="s">
        <v>36</v>
      </c>
      <c r="R3021" s="3" t="s">
        <v>36</v>
      </c>
      <c r="S3021" s="3" t="s">
        <v>36</v>
      </c>
      <c r="T3021" s="3" t="s">
        <v>37</v>
      </c>
      <c r="U3021" s="3" t="s">
        <v>38</v>
      </c>
      <c r="V3021" s="3" t="s">
        <v>39</v>
      </c>
      <c r="W3021" s="3" t="s">
        <v>16004</v>
      </c>
      <c r="X3021" s="10" t="s">
        <v>16005</v>
      </c>
      <c r="Y3021" s="6" t="s">
        <v>108</v>
      </c>
      <c r="Z3021" s="4">
        <v>12.03</v>
      </c>
      <c r="AA3021" s="4">
        <v>32.18</v>
      </c>
      <c r="AB3021" s="3" t="s">
        <v>43</v>
      </c>
      <c r="AC3021" s="3" t="s">
        <v>16006</v>
      </c>
      <c r="AD3021" s="9">
        <v>44378</v>
      </c>
      <c r="AE3021" s="3" t="s">
        <v>45</v>
      </c>
      <c r="AF3021" s="3" t="s">
        <v>5816</v>
      </c>
      <c r="AG3021" s="3" t="s">
        <v>81</v>
      </c>
      <c r="AH3021" s="11">
        <f>HYPERLINK("https://my.pitchbook.com?c=175657-06T","View Company Online")</f>
      </c>
    </row>
    <row r="3022">
      <c r="A3022" s="12" t="s">
        <v>16007</v>
      </c>
      <c r="B3022" s="12" t="s">
        <v>16008</v>
      </c>
      <c r="C3022" s="19" t="s">
        <v>36</v>
      </c>
      <c r="D3022" s="19" t="s">
        <v>36</v>
      </c>
      <c r="E3022" s="19" t="s">
        <v>36</v>
      </c>
      <c r="F3022" s="19" t="s">
        <v>36</v>
      </c>
      <c r="G3022" s="15" t="s">
        <v>36</v>
      </c>
      <c r="H3022" s="14">
        <v>728.47</v>
      </c>
      <c r="I3022" s="18">
        <v>26.87</v>
      </c>
      <c r="J3022" s="12" t="s">
        <v>521</v>
      </c>
      <c r="K3022" s="13" t="s">
        <v>36</v>
      </c>
      <c r="L3022" s="15" t="s">
        <v>36</v>
      </c>
      <c r="M3022" s="12" t="s">
        <v>36</v>
      </c>
      <c r="N3022" s="12" t="s">
        <v>36</v>
      </c>
      <c r="O3022" s="17" t="s">
        <v>36</v>
      </c>
      <c r="P3022" s="12" t="s">
        <v>36</v>
      </c>
      <c r="Q3022" s="12" t="s">
        <v>36</v>
      </c>
      <c r="R3022" s="12" t="s">
        <v>36</v>
      </c>
      <c r="S3022" s="12" t="s">
        <v>36</v>
      </c>
      <c r="T3022" s="12" t="s">
        <v>422</v>
      </c>
      <c r="U3022" s="12" t="s">
        <v>423</v>
      </c>
      <c r="V3022" s="12" t="s">
        <v>64</v>
      </c>
      <c r="W3022" s="12" t="s">
        <v>16009</v>
      </c>
      <c r="X3022" s="16" t="s">
        <v>16010</v>
      </c>
      <c r="Y3022" s="15" t="s">
        <v>42</v>
      </c>
      <c r="Z3022" s="14">
        <v>0.62</v>
      </c>
      <c r="AA3022" s="14">
        <v>2.31</v>
      </c>
      <c r="AB3022" s="12" t="s">
        <v>43</v>
      </c>
      <c r="AC3022" s="12" t="s">
        <v>16011</v>
      </c>
      <c r="AD3022" s="13">
        <v>44378</v>
      </c>
      <c r="AE3022" s="12" t="s">
        <v>427</v>
      </c>
      <c r="AF3022" s="12" t="s">
        <v>90</v>
      </c>
      <c r="AG3022" s="12" t="s">
        <v>16012</v>
      </c>
      <c r="AH3022" s="1">
        <f>HYPERLINK("https://my.pitchbook.com?c=204758-11T","View Company Online")</f>
      </c>
    </row>
    <row r="3023">
      <c r="A3023" s="3" t="s">
        <v>16013</v>
      </c>
      <c r="B3023" s="3" t="s">
        <v>16014</v>
      </c>
      <c r="C3023" s="5">
        <v>1</v>
      </c>
      <c r="D3023" s="5">
        <v>3</v>
      </c>
      <c r="E3023" s="5">
        <v>2</v>
      </c>
      <c r="F3023" s="5">
        <v>7</v>
      </c>
      <c r="G3023" s="6" t="s">
        <v>36</v>
      </c>
      <c r="H3023" s="4" t="s">
        <v>36</v>
      </c>
      <c r="I3023" s="7" t="s">
        <v>36</v>
      </c>
      <c r="J3023" s="3" t="s">
        <v>36</v>
      </c>
      <c r="K3023" s="9" t="s">
        <v>36</v>
      </c>
      <c r="L3023" s="6" t="s">
        <v>36</v>
      </c>
      <c r="M3023" s="3" t="s">
        <v>36</v>
      </c>
      <c r="N3023" s="3" t="s">
        <v>36</v>
      </c>
      <c r="O3023" s="8" t="s">
        <v>36</v>
      </c>
      <c r="P3023" s="3" t="s">
        <v>36</v>
      </c>
      <c r="Q3023" s="3" t="s">
        <v>36</v>
      </c>
      <c r="R3023" s="3" t="s">
        <v>36</v>
      </c>
      <c r="S3023" s="3" t="s">
        <v>36</v>
      </c>
      <c r="T3023" s="3" t="s">
        <v>6904</v>
      </c>
      <c r="U3023" s="3" t="s">
        <v>96</v>
      </c>
      <c r="V3023" s="3" t="s">
        <v>52</v>
      </c>
      <c r="W3023" s="3" t="s">
        <v>16015</v>
      </c>
      <c r="X3023" s="10" t="s">
        <v>590</v>
      </c>
      <c r="Y3023" s="6" t="s">
        <v>42</v>
      </c>
      <c r="Z3023" s="4" t="s">
        <v>36</v>
      </c>
      <c r="AA3023" s="4" t="s">
        <v>36</v>
      </c>
      <c r="AB3023" s="3" t="s">
        <v>56</v>
      </c>
      <c r="AC3023" s="3" t="s">
        <v>16016</v>
      </c>
      <c r="AD3023" s="9">
        <v>44378</v>
      </c>
      <c r="AE3023" s="3" t="s">
        <v>143</v>
      </c>
      <c r="AF3023" s="3" t="s">
        <v>16017</v>
      </c>
      <c r="AG3023" s="3" t="s">
        <v>382</v>
      </c>
      <c r="AH3023" s="11">
        <f>HYPERLINK("https://my.pitchbook.com?c=218585-17T","View Company Online")</f>
      </c>
    </row>
    <row r="3024">
      <c r="A3024" s="12" t="s">
        <v>16018</v>
      </c>
      <c r="B3024" s="12" t="s">
        <v>16019</v>
      </c>
      <c r="C3024" s="19" t="s">
        <v>36</v>
      </c>
      <c r="D3024" s="19" t="s">
        <v>36</v>
      </c>
      <c r="E3024" s="19" t="s">
        <v>36</v>
      </c>
      <c r="F3024" s="19" t="s">
        <v>36</v>
      </c>
      <c r="G3024" s="15" t="s">
        <v>36</v>
      </c>
      <c r="H3024" s="14">
        <v>12.62</v>
      </c>
      <c r="I3024" s="18">
        <v>13.63</v>
      </c>
      <c r="J3024" s="12" t="s">
        <v>521</v>
      </c>
      <c r="K3024" s="13" t="s">
        <v>36</v>
      </c>
      <c r="L3024" s="15" t="s">
        <v>36</v>
      </c>
      <c r="M3024" s="12" t="s">
        <v>36</v>
      </c>
      <c r="N3024" s="12" t="s">
        <v>36</v>
      </c>
      <c r="O3024" s="17" t="s">
        <v>36</v>
      </c>
      <c r="P3024" s="12" t="s">
        <v>36</v>
      </c>
      <c r="Q3024" s="12" t="s">
        <v>36</v>
      </c>
      <c r="R3024" s="12" t="s">
        <v>36</v>
      </c>
      <c r="S3024" s="12" t="s">
        <v>36</v>
      </c>
      <c r="T3024" s="12" t="s">
        <v>1162</v>
      </c>
      <c r="U3024" s="12" t="s">
        <v>423</v>
      </c>
      <c r="V3024" s="12" t="s">
        <v>64</v>
      </c>
      <c r="W3024" s="12" t="s">
        <v>16020</v>
      </c>
      <c r="X3024" s="16" t="s">
        <v>16021</v>
      </c>
      <c r="Y3024" s="15" t="s">
        <v>42</v>
      </c>
      <c r="Z3024" s="14">
        <v>0.05</v>
      </c>
      <c r="AA3024" s="14">
        <v>0.27</v>
      </c>
      <c r="AB3024" s="12" t="s">
        <v>43</v>
      </c>
      <c r="AC3024" s="12" t="s">
        <v>16022</v>
      </c>
      <c r="AD3024" s="13">
        <v>44378</v>
      </c>
      <c r="AE3024" s="12" t="s">
        <v>562</v>
      </c>
      <c r="AF3024" s="12" t="s">
        <v>36</v>
      </c>
      <c r="AG3024" s="12" t="s">
        <v>144</v>
      </c>
      <c r="AH3024" s="1">
        <f>HYPERLINK("https://my.pitchbook.com?c=213762-70T","View Company Online")</f>
      </c>
    </row>
    <row r="3025">
      <c r="A3025" s="3" t="s">
        <v>16023</v>
      </c>
      <c r="B3025" s="3" t="s">
        <v>16024</v>
      </c>
      <c r="C3025" s="5" t="s">
        <v>36</v>
      </c>
      <c r="D3025" s="5" t="s">
        <v>36</v>
      </c>
      <c r="E3025" s="5" t="s">
        <v>36</v>
      </c>
      <c r="F3025" s="5" t="s">
        <v>36</v>
      </c>
      <c r="G3025" s="6" t="s">
        <v>36</v>
      </c>
      <c r="H3025" s="4" t="s">
        <v>36</v>
      </c>
      <c r="I3025" s="7">
        <v>15.54</v>
      </c>
      <c r="J3025" s="3" t="s">
        <v>521</v>
      </c>
      <c r="K3025" s="9" t="s">
        <v>36</v>
      </c>
      <c r="L3025" s="6" t="s">
        <v>36</v>
      </c>
      <c r="M3025" s="3" t="s">
        <v>36</v>
      </c>
      <c r="N3025" s="3" t="s">
        <v>36</v>
      </c>
      <c r="O3025" s="8" t="s">
        <v>36</v>
      </c>
      <c r="P3025" s="3" t="s">
        <v>36</v>
      </c>
      <c r="Q3025" s="3" t="s">
        <v>36</v>
      </c>
      <c r="R3025" s="3" t="s">
        <v>36</v>
      </c>
      <c r="S3025" s="3" t="s">
        <v>36</v>
      </c>
      <c r="T3025" s="3" t="s">
        <v>16025</v>
      </c>
      <c r="U3025" s="3" t="s">
        <v>74</v>
      </c>
      <c r="V3025" s="3" t="s">
        <v>75</v>
      </c>
      <c r="W3025" s="3" t="s">
        <v>16026</v>
      </c>
      <c r="X3025" s="10" t="s">
        <v>16027</v>
      </c>
      <c r="Y3025" s="6" t="s">
        <v>42</v>
      </c>
      <c r="Z3025" s="4">
        <v>0.84</v>
      </c>
      <c r="AA3025" s="4">
        <v>2.83</v>
      </c>
      <c r="AB3025" s="3" t="s">
        <v>43</v>
      </c>
      <c r="AC3025" s="3" t="s">
        <v>16028</v>
      </c>
      <c r="AD3025" s="9">
        <v>44378</v>
      </c>
      <c r="AE3025" s="3" t="s">
        <v>362</v>
      </c>
      <c r="AF3025" s="3" t="s">
        <v>12337</v>
      </c>
      <c r="AG3025" s="3" t="s">
        <v>1705</v>
      </c>
      <c r="AH3025" s="11">
        <f>HYPERLINK("https://my.pitchbook.com?c=191853-01T","View Company Online")</f>
      </c>
    </row>
    <row r="3026">
      <c r="A3026" s="12" t="s">
        <v>16029</v>
      </c>
      <c r="B3026" s="12" t="s">
        <v>16030</v>
      </c>
      <c r="C3026" s="19" t="s">
        <v>36</v>
      </c>
      <c r="D3026" s="19" t="s">
        <v>36</v>
      </c>
      <c r="E3026" s="19" t="s">
        <v>36</v>
      </c>
      <c r="F3026" s="19" t="s">
        <v>36</v>
      </c>
      <c r="G3026" s="15" t="s">
        <v>36</v>
      </c>
      <c r="H3026" s="14" t="s">
        <v>36</v>
      </c>
      <c r="I3026" s="18" t="s">
        <v>36</v>
      </c>
      <c r="J3026" s="12" t="s">
        <v>36</v>
      </c>
      <c r="K3026" s="13" t="s">
        <v>36</v>
      </c>
      <c r="L3026" s="15" t="s">
        <v>36</v>
      </c>
      <c r="M3026" s="12" t="s">
        <v>36</v>
      </c>
      <c r="N3026" s="12" t="s">
        <v>36</v>
      </c>
      <c r="O3026" s="17" t="s">
        <v>36</v>
      </c>
      <c r="P3026" s="12" t="s">
        <v>36</v>
      </c>
      <c r="Q3026" s="12" t="s">
        <v>36</v>
      </c>
      <c r="R3026" s="12" t="s">
        <v>36</v>
      </c>
      <c r="S3026" s="12" t="s">
        <v>36</v>
      </c>
      <c r="T3026" s="12" t="s">
        <v>16031</v>
      </c>
      <c r="U3026" s="12" t="s">
        <v>219</v>
      </c>
      <c r="V3026" s="12" t="s">
        <v>75</v>
      </c>
      <c r="W3026" s="12" t="s">
        <v>16032</v>
      </c>
      <c r="X3026" s="16" t="s">
        <v>820</v>
      </c>
      <c r="Y3026" s="15" t="s">
        <v>42</v>
      </c>
      <c r="Z3026" s="14" t="s">
        <v>36</v>
      </c>
      <c r="AA3026" s="14" t="s">
        <v>36</v>
      </c>
      <c r="AB3026" s="12" t="s">
        <v>56</v>
      </c>
      <c r="AC3026" s="12" t="s">
        <v>16033</v>
      </c>
      <c r="AD3026" s="13">
        <v>44378</v>
      </c>
      <c r="AE3026" s="12" t="s">
        <v>1007</v>
      </c>
      <c r="AF3026" s="12" t="s">
        <v>546</v>
      </c>
      <c r="AG3026" s="12" t="s">
        <v>1843</v>
      </c>
      <c r="AH3026" s="1">
        <f>HYPERLINK("https://my.pitchbook.com?c=241363-36T","View Company Online")</f>
      </c>
    </row>
    <row r="3027">
      <c r="A3027" s="3" t="s">
        <v>16034</v>
      </c>
      <c r="B3027" s="3" t="s">
        <v>6590</v>
      </c>
      <c r="C3027" s="5" t="s">
        <v>36</v>
      </c>
      <c r="D3027" s="5" t="s">
        <v>36</v>
      </c>
      <c r="E3027" s="5" t="s">
        <v>36</v>
      </c>
      <c r="F3027" s="5" t="s">
        <v>36</v>
      </c>
      <c r="G3027" s="6" t="s">
        <v>36</v>
      </c>
      <c r="H3027" s="4" t="s">
        <v>36</v>
      </c>
      <c r="I3027" s="7" t="s">
        <v>36</v>
      </c>
      <c r="J3027" s="3" t="s">
        <v>36</v>
      </c>
      <c r="K3027" s="9" t="s">
        <v>36</v>
      </c>
      <c r="L3027" s="6" t="s">
        <v>36</v>
      </c>
      <c r="M3027" s="3" t="s">
        <v>36</v>
      </c>
      <c r="N3027" s="3" t="s">
        <v>36</v>
      </c>
      <c r="O3027" s="8" t="s">
        <v>36</v>
      </c>
      <c r="P3027" s="3" t="s">
        <v>36</v>
      </c>
      <c r="Q3027" s="3" t="s">
        <v>36</v>
      </c>
      <c r="R3027" s="3" t="s">
        <v>36</v>
      </c>
      <c r="S3027" s="3" t="s">
        <v>36</v>
      </c>
      <c r="T3027" s="3" t="s">
        <v>5240</v>
      </c>
      <c r="U3027" s="3" t="s">
        <v>423</v>
      </c>
      <c r="V3027" s="3" t="s">
        <v>64</v>
      </c>
      <c r="W3027" s="3" t="s">
        <v>6591</v>
      </c>
      <c r="X3027" s="10" t="s">
        <v>16035</v>
      </c>
      <c r="Y3027" s="6" t="s">
        <v>42</v>
      </c>
      <c r="Z3027" s="4">
        <v>4.82</v>
      </c>
      <c r="AA3027" s="4" t="s">
        <v>36</v>
      </c>
      <c r="AB3027" s="3" t="s">
        <v>43</v>
      </c>
      <c r="AC3027" s="3" t="s">
        <v>6593</v>
      </c>
      <c r="AD3027" s="9">
        <v>44377</v>
      </c>
      <c r="AE3027" s="3" t="s">
        <v>427</v>
      </c>
      <c r="AF3027" s="3" t="s">
        <v>571</v>
      </c>
      <c r="AG3027" s="3" t="s">
        <v>741</v>
      </c>
      <c r="AH3027" s="11">
        <f>HYPERLINK("https://my.pitchbook.com?c=181519-39T","View Company Online")</f>
      </c>
    </row>
    <row r="3028">
      <c r="A3028" s="12" t="s">
        <v>16036</v>
      </c>
      <c r="B3028" s="12" t="s">
        <v>16037</v>
      </c>
      <c r="C3028" s="19" t="s">
        <v>36</v>
      </c>
      <c r="D3028" s="19" t="s">
        <v>36</v>
      </c>
      <c r="E3028" s="19" t="s">
        <v>36</v>
      </c>
      <c r="F3028" s="19" t="s">
        <v>36</v>
      </c>
      <c r="G3028" s="15" t="s">
        <v>2497</v>
      </c>
      <c r="H3028" s="14">
        <v>3.27</v>
      </c>
      <c r="I3028" s="18">
        <v>24.51</v>
      </c>
      <c r="J3028" s="12" t="s">
        <v>521</v>
      </c>
      <c r="K3028" s="13" t="s">
        <v>36</v>
      </c>
      <c r="L3028" s="15" t="s">
        <v>36</v>
      </c>
      <c r="M3028" s="12" t="s">
        <v>36</v>
      </c>
      <c r="N3028" s="12" t="s">
        <v>36</v>
      </c>
      <c r="O3028" s="17" t="s">
        <v>36</v>
      </c>
      <c r="P3028" s="12" t="s">
        <v>36</v>
      </c>
      <c r="Q3028" s="12" t="s">
        <v>36</v>
      </c>
      <c r="R3028" s="12" t="s">
        <v>36</v>
      </c>
      <c r="S3028" s="12" t="s">
        <v>36</v>
      </c>
      <c r="T3028" s="12" t="s">
        <v>16038</v>
      </c>
      <c r="U3028" s="12" t="s">
        <v>219</v>
      </c>
      <c r="V3028" s="12" t="s">
        <v>75</v>
      </c>
      <c r="W3028" s="12" t="s">
        <v>16039</v>
      </c>
      <c r="X3028" s="16" t="s">
        <v>590</v>
      </c>
      <c r="Y3028" s="15" t="s">
        <v>108</v>
      </c>
      <c r="Z3028" s="14">
        <v>0.51</v>
      </c>
      <c r="AA3028" s="14">
        <v>2.09</v>
      </c>
      <c r="AB3028" s="12" t="s">
        <v>56</v>
      </c>
      <c r="AC3028" s="12" t="s">
        <v>16040</v>
      </c>
      <c r="AD3028" s="13">
        <v>44377</v>
      </c>
      <c r="AE3028" s="12" t="s">
        <v>1032</v>
      </c>
      <c r="AF3028" s="12" t="s">
        <v>10212</v>
      </c>
      <c r="AG3028" s="12" t="s">
        <v>373</v>
      </c>
      <c r="AH3028" s="1">
        <f>HYPERLINK("https://my.pitchbook.com?c=186927-67T","View Company Online")</f>
      </c>
    </row>
    <row r="3029">
      <c r="A3029" s="3" t="s">
        <v>16041</v>
      </c>
      <c r="B3029" s="3" t="s">
        <v>4659</v>
      </c>
      <c r="C3029" s="5">
        <v>5</v>
      </c>
      <c r="D3029" s="5">
        <v>2</v>
      </c>
      <c r="E3029" s="5">
        <v>2</v>
      </c>
      <c r="F3029" s="5">
        <v>9</v>
      </c>
      <c r="G3029" s="6" t="s">
        <v>326</v>
      </c>
      <c r="H3029" s="4">
        <v>404</v>
      </c>
      <c r="I3029" s="7">
        <v>20.39</v>
      </c>
      <c r="J3029" s="3" t="s">
        <v>521</v>
      </c>
      <c r="K3029" s="9" t="s">
        <v>36</v>
      </c>
      <c r="L3029" s="6" t="s">
        <v>36</v>
      </c>
      <c r="M3029" s="3" t="s">
        <v>36</v>
      </c>
      <c r="N3029" s="3" t="s">
        <v>36</v>
      </c>
      <c r="O3029" s="8" t="s">
        <v>36</v>
      </c>
      <c r="P3029" s="3" t="s">
        <v>36</v>
      </c>
      <c r="Q3029" s="3" t="s">
        <v>36</v>
      </c>
      <c r="R3029" s="3" t="s">
        <v>36</v>
      </c>
      <c r="S3029" s="3" t="s">
        <v>36</v>
      </c>
      <c r="T3029" s="3" t="s">
        <v>1227</v>
      </c>
      <c r="U3029" s="3" t="s">
        <v>74</v>
      </c>
      <c r="V3029" s="3" t="s">
        <v>75</v>
      </c>
      <c r="W3029" s="3" t="s">
        <v>4660</v>
      </c>
      <c r="X3029" s="10" t="s">
        <v>16042</v>
      </c>
      <c r="Y3029" s="6" t="s">
        <v>42</v>
      </c>
      <c r="Z3029" s="4">
        <v>1.45</v>
      </c>
      <c r="AA3029" s="4">
        <v>7.09</v>
      </c>
      <c r="AB3029" s="3" t="s">
        <v>56</v>
      </c>
      <c r="AC3029" s="3" t="s">
        <v>4662</v>
      </c>
      <c r="AD3029" s="9">
        <v>44377</v>
      </c>
      <c r="AE3029" s="3" t="s">
        <v>570</v>
      </c>
      <c r="AF3029" s="3" t="s">
        <v>36</v>
      </c>
      <c r="AG3029" s="3" t="s">
        <v>1193</v>
      </c>
      <c r="AH3029" s="11">
        <f>HYPERLINK("https://my.pitchbook.com?c=201787-84T","View Company Online")</f>
      </c>
    </row>
    <row r="3030">
      <c r="A3030" s="12" t="s">
        <v>16043</v>
      </c>
      <c r="B3030" s="12" t="s">
        <v>16044</v>
      </c>
      <c r="C3030" s="19" t="s">
        <v>36</v>
      </c>
      <c r="D3030" s="19" t="s">
        <v>36</v>
      </c>
      <c r="E3030" s="19" t="s">
        <v>36</v>
      </c>
      <c r="F3030" s="19" t="s">
        <v>36</v>
      </c>
      <c r="G3030" s="15" t="s">
        <v>36</v>
      </c>
      <c r="H3030" s="14" t="s">
        <v>36</v>
      </c>
      <c r="I3030" s="18" t="s">
        <v>36</v>
      </c>
      <c r="J3030" s="12" t="s">
        <v>36</v>
      </c>
      <c r="K3030" s="13" t="s">
        <v>36</v>
      </c>
      <c r="L3030" s="15" t="s">
        <v>36</v>
      </c>
      <c r="M3030" s="12" t="s">
        <v>36</v>
      </c>
      <c r="N3030" s="12" t="s">
        <v>36</v>
      </c>
      <c r="O3030" s="17" t="s">
        <v>36</v>
      </c>
      <c r="P3030" s="12" t="s">
        <v>36</v>
      </c>
      <c r="Q3030" s="12" t="s">
        <v>36</v>
      </c>
      <c r="R3030" s="12" t="s">
        <v>36</v>
      </c>
      <c r="S3030" s="12" t="s">
        <v>36</v>
      </c>
      <c r="T3030" s="12" t="s">
        <v>1893</v>
      </c>
      <c r="U3030" s="12" t="s">
        <v>648</v>
      </c>
      <c r="V3030" s="12" t="s">
        <v>64</v>
      </c>
      <c r="W3030" s="12" t="s">
        <v>16045</v>
      </c>
      <c r="X3030" s="16" t="s">
        <v>16046</v>
      </c>
      <c r="Y3030" s="15" t="s">
        <v>42</v>
      </c>
      <c r="Z3030" s="14">
        <v>4.22</v>
      </c>
      <c r="AA3030" s="14" t="s">
        <v>36</v>
      </c>
      <c r="AB3030" s="12" t="s">
        <v>43</v>
      </c>
      <c r="AC3030" s="12" t="s">
        <v>16047</v>
      </c>
      <c r="AD3030" s="13">
        <v>44377</v>
      </c>
      <c r="AE3030" s="12" t="s">
        <v>1897</v>
      </c>
      <c r="AF3030" s="12" t="s">
        <v>1115</v>
      </c>
      <c r="AG3030" s="12" t="s">
        <v>81</v>
      </c>
      <c r="AH3030" s="1">
        <f>HYPERLINK("https://my.pitchbook.com?c=220842-28T","View Company Online")</f>
      </c>
    </row>
    <row r="3031">
      <c r="A3031" s="3" t="s">
        <v>16048</v>
      </c>
      <c r="B3031" s="3" t="s">
        <v>16049</v>
      </c>
      <c r="C3031" s="5">
        <v>70</v>
      </c>
      <c r="D3031" s="5">
        <v>254</v>
      </c>
      <c r="E3031" s="5">
        <v>95</v>
      </c>
      <c r="F3031" s="5">
        <v>406</v>
      </c>
      <c r="G3031" s="6" t="s">
        <v>326</v>
      </c>
      <c r="H3031" s="4">
        <v>128.46</v>
      </c>
      <c r="I3031" s="7">
        <v>15.8</v>
      </c>
      <c r="J3031" s="3" t="s">
        <v>521</v>
      </c>
      <c r="K3031" s="9" t="s">
        <v>36</v>
      </c>
      <c r="L3031" s="6" t="s">
        <v>1279</v>
      </c>
      <c r="M3031" s="3" t="s">
        <v>36</v>
      </c>
      <c r="N3031" s="3" t="s">
        <v>1279</v>
      </c>
      <c r="O3031" s="8" t="s">
        <v>36</v>
      </c>
      <c r="P3031" s="3" t="s">
        <v>36</v>
      </c>
      <c r="Q3031" s="3" t="s">
        <v>36</v>
      </c>
      <c r="R3031" s="3" t="s">
        <v>36</v>
      </c>
      <c r="S3031" s="3" t="s">
        <v>36</v>
      </c>
      <c r="T3031" s="3" t="s">
        <v>16050</v>
      </c>
      <c r="U3031" s="3" t="s">
        <v>318</v>
      </c>
      <c r="V3031" s="3" t="s">
        <v>39</v>
      </c>
      <c r="W3031" s="3" t="s">
        <v>16051</v>
      </c>
      <c r="X3031" s="10" t="s">
        <v>16052</v>
      </c>
      <c r="Y3031" s="6" t="s">
        <v>192</v>
      </c>
      <c r="Z3031" s="4">
        <v>19.21</v>
      </c>
      <c r="AA3031" s="4">
        <v>121.59</v>
      </c>
      <c r="AB3031" s="3" t="s">
        <v>56</v>
      </c>
      <c r="AC3031" s="3" t="s">
        <v>16053</v>
      </c>
      <c r="AD3031" s="9">
        <v>44377</v>
      </c>
      <c r="AE3031" s="3" t="s">
        <v>763</v>
      </c>
      <c r="AF3031" s="3" t="s">
        <v>16054</v>
      </c>
      <c r="AG3031" s="3" t="s">
        <v>512</v>
      </c>
      <c r="AH3031" s="11">
        <f>HYPERLINK("https://my.pitchbook.com?c=175525-12T","View Company Online")</f>
      </c>
    </row>
    <row r="3032">
      <c r="A3032" s="12" t="s">
        <v>16055</v>
      </c>
      <c r="B3032" s="12" t="s">
        <v>13957</v>
      </c>
      <c r="C3032" s="19" t="s">
        <v>36</v>
      </c>
      <c r="D3032" s="19" t="s">
        <v>36</v>
      </c>
      <c r="E3032" s="19" t="s">
        <v>36</v>
      </c>
      <c r="F3032" s="19" t="s">
        <v>36</v>
      </c>
      <c r="G3032" s="15" t="s">
        <v>326</v>
      </c>
      <c r="H3032" s="14">
        <v>493.15</v>
      </c>
      <c r="I3032" s="18">
        <v>7.86</v>
      </c>
      <c r="J3032" s="12" t="s">
        <v>521</v>
      </c>
      <c r="K3032" s="13" t="s">
        <v>36</v>
      </c>
      <c r="L3032" s="15" t="s">
        <v>36</v>
      </c>
      <c r="M3032" s="12" t="s">
        <v>36</v>
      </c>
      <c r="N3032" s="12" t="s">
        <v>36</v>
      </c>
      <c r="O3032" s="17" t="s">
        <v>36</v>
      </c>
      <c r="P3032" s="12" t="s">
        <v>36</v>
      </c>
      <c r="Q3032" s="12" t="s">
        <v>36</v>
      </c>
      <c r="R3032" s="12" t="s">
        <v>36</v>
      </c>
      <c r="S3032" s="12" t="s">
        <v>36</v>
      </c>
      <c r="T3032" s="12" t="s">
        <v>13958</v>
      </c>
      <c r="U3032" s="12" t="s">
        <v>180</v>
      </c>
      <c r="V3032" s="12" t="s">
        <v>52</v>
      </c>
      <c r="W3032" s="12" t="s">
        <v>13959</v>
      </c>
      <c r="X3032" s="16" t="s">
        <v>16056</v>
      </c>
      <c r="Y3032" s="15" t="s">
        <v>108</v>
      </c>
      <c r="Z3032" s="14">
        <v>3.08</v>
      </c>
      <c r="AA3032" s="14">
        <v>39.22</v>
      </c>
      <c r="AB3032" s="12" t="s">
        <v>56</v>
      </c>
      <c r="AC3032" s="12" t="s">
        <v>13961</v>
      </c>
      <c r="AD3032" s="13">
        <v>44377</v>
      </c>
      <c r="AE3032" s="12" t="s">
        <v>8291</v>
      </c>
      <c r="AF3032" s="12" t="s">
        <v>7086</v>
      </c>
      <c r="AG3032" s="12" t="s">
        <v>47</v>
      </c>
      <c r="AH3032" s="1">
        <f>HYPERLINK("https://my.pitchbook.com?c=182092-69T","View Company Online")</f>
      </c>
    </row>
    <row r="3033">
      <c r="A3033" s="3" t="s">
        <v>16057</v>
      </c>
      <c r="B3033" s="3" t="s">
        <v>16058</v>
      </c>
      <c r="C3033" s="5" t="s">
        <v>36</v>
      </c>
      <c r="D3033" s="5" t="s">
        <v>36</v>
      </c>
      <c r="E3033" s="5" t="s">
        <v>36</v>
      </c>
      <c r="F3033" s="5" t="s">
        <v>36</v>
      </c>
      <c r="G3033" s="6" t="s">
        <v>36</v>
      </c>
      <c r="H3033" s="4" t="s">
        <v>36</v>
      </c>
      <c r="I3033" s="7" t="s">
        <v>36</v>
      </c>
      <c r="J3033" s="3" t="s">
        <v>36</v>
      </c>
      <c r="K3033" s="9">
        <v>44277</v>
      </c>
      <c r="L3033" s="6" t="s">
        <v>36</v>
      </c>
      <c r="M3033" s="3" t="s">
        <v>36</v>
      </c>
      <c r="N3033" s="3" t="s">
        <v>36</v>
      </c>
      <c r="O3033" s="8" t="s">
        <v>36</v>
      </c>
      <c r="P3033" s="3" t="s">
        <v>36</v>
      </c>
      <c r="Q3033" s="3" t="s">
        <v>36</v>
      </c>
      <c r="R3033" s="3" t="s">
        <v>36</v>
      </c>
      <c r="S3033" s="3" t="s">
        <v>36</v>
      </c>
      <c r="T3033" s="3" t="s">
        <v>1350</v>
      </c>
      <c r="U3033" s="3" t="s">
        <v>38</v>
      </c>
      <c r="V3033" s="3" t="s">
        <v>39</v>
      </c>
      <c r="W3033" s="3" t="s">
        <v>16059</v>
      </c>
      <c r="X3033" s="10" t="s">
        <v>16060</v>
      </c>
      <c r="Y3033" s="6" t="s">
        <v>108</v>
      </c>
      <c r="Z3033" s="4">
        <v>2</v>
      </c>
      <c r="AA3033" s="4" t="s">
        <v>36</v>
      </c>
      <c r="AB3033" s="3" t="s">
        <v>43</v>
      </c>
      <c r="AC3033" s="3" t="s">
        <v>16061</v>
      </c>
      <c r="AD3033" s="9">
        <v>44377</v>
      </c>
      <c r="AE3033" s="3" t="s">
        <v>785</v>
      </c>
      <c r="AF3033" s="3" t="s">
        <v>176</v>
      </c>
      <c r="AG3033" s="3" t="s">
        <v>81</v>
      </c>
      <c r="AH3033" s="11">
        <f>HYPERLINK("https://my.pitchbook.com?c=177677-20T","View Company Online")</f>
      </c>
    </row>
    <row r="3034">
      <c r="A3034" s="12" t="s">
        <v>16062</v>
      </c>
      <c r="B3034" s="12" t="s">
        <v>16063</v>
      </c>
      <c r="C3034" s="19" t="s">
        <v>36</v>
      </c>
      <c r="D3034" s="19" t="s">
        <v>36</v>
      </c>
      <c r="E3034" s="19" t="s">
        <v>36</v>
      </c>
      <c r="F3034" s="19" t="s">
        <v>36</v>
      </c>
      <c r="G3034" s="15" t="s">
        <v>326</v>
      </c>
      <c r="H3034" s="14">
        <v>365.64</v>
      </c>
      <c r="I3034" s="18">
        <v>6.98</v>
      </c>
      <c r="J3034" s="12" t="s">
        <v>521</v>
      </c>
      <c r="K3034" s="13" t="s">
        <v>36</v>
      </c>
      <c r="L3034" s="15" t="s">
        <v>36</v>
      </c>
      <c r="M3034" s="12" t="s">
        <v>36</v>
      </c>
      <c r="N3034" s="12" t="s">
        <v>36</v>
      </c>
      <c r="O3034" s="17" t="s">
        <v>36</v>
      </c>
      <c r="P3034" s="12" t="s">
        <v>36</v>
      </c>
      <c r="Q3034" s="12" t="s">
        <v>36</v>
      </c>
      <c r="R3034" s="12" t="s">
        <v>36</v>
      </c>
      <c r="S3034" s="12" t="s">
        <v>36</v>
      </c>
      <c r="T3034" s="12" t="s">
        <v>522</v>
      </c>
      <c r="U3034" s="12" t="s">
        <v>38</v>
      </c>
      <c r="V3034" s="12" t="s">
        <v>39</v>
      </c>
      <c r="W3034" s="12" t="s">
        <v>16064</v>
      </c>
      <c r="X3034" s="16" t="s">
        <v>16065</v>
      </c>
      <c r="Y3034" s="15" t="s">
        <v>166</v>
      </c>
      <c r="Z3034" s="14">
        <v>2.92</v>
      </c>
      <c r="AA3034" s="14">
        <v>41.88</v>
      </c>
      <c r="AB3034" s="12" t="s">
        <v>56</v>
      </c>
      <c r="AC3034" s="12" t="s">
        <v>16066</v>
      </c>
      <c r="AD3034" s="13">
        <v>44377</v>
      </c>
      <c r="AE3034" s="12" t="s">
        <v>110</v>
      </c>
      <c r="AF3034" s="12" t="s">
        <v>16067</v>
      </c>
      <c r="AG3034" s="12" t="s">
        <v>81</v>
      </c>
      <c r="AH3034" s="1">
        <f>HYPERLINK("https://my.pitchbook.com?c=182125-45T","View Company Online")</f>
      </c>
    </row>
    <row r="3035">
      <c r="A3035" s="3" t="s">
        <v>16068</v>
      </c>
      <c r="B3035" s="3" t="s">
        <v>6131</v>
      </c>
      <c r="C3035" s="5">
        <v>180</v>
      </c>
      <c r="D3035" s="5">
        <v>606</v>
      </c>
      <c r="E3035" s="5">
        <v>197</v>
      </c>
      <c r="F3035" s="5">
        <v>860</v>
      </c>
      <c r="G3035" s="6" t="s">
        <v>36</v>
      </c>
      <c r="H3035" s="4">
        <v>123.81</v>
      </c>
      <c r="I3035" s="7">
        <v>5.52</v>
      </c>
      <c r="J3035" s="3" t="s">
        <v>521</v>
      </c>
      <c r="K3035" s="9">
        <v>44351</v>
      </c>
      <c r="L3035" s="6" t="s">
        <v>36</v>
      </c>
      <c r="M3035" s="3" t="s">
        <v>36</v>
      </c>
      <c r="N3035" s="3" t="s">
        <v>36</v>
      </c>
      <c r="O3035" s="8" t="s">
        <v>36</v>
      </c>
      <c r="P3035" s="3" t="s">
        <v>36</v>
      </c>
      <c r="Q3035" s="3" t="s">
        <v>36</v>
      </c>
      <c r="R3035" s="3" t="s">
        <v>36</v>
      </c>
      <c r="S3035" s="3" t="s">
        <v>36</v>
      </c>
      <c r="T3035" s="3" t="s">
        <v>317</v>
      </c>
      <c r="U3035" s="3" t="s">
        <v>318</v>
      </c>
      <c r="V3035" s="3" t="s">
        <v>39</v>
      </c>
      <c r="W3035" s="3" t="s">
        <v>6132</v>
      </c>
      <c r="X3035" s="10" t="s">
        <v>16069</v>
      </c>
      <c r="Y3035" s="6" t="s">
        <v>321</v>
      </c>
      <c r="Z3035" s="4">
        <v>24.11</v>
      </c>
      <c r="AA3035" s="4">
        <v>414.57</v>
      </c>
      <c r="AB3035" s="3" t="s">
        <v>56</v>
      </c>
      <c r="AC3035" s="3" t="s">
        <v>6134</v>
      </c>
      <c r="AD3035" s="9">
        <v>44376</v>
      </c>
      <c r="AE3035" s="3" t="s">
        <v>323</v>
      </c>
      <c r="AF3035" s="3" t="s">
        <v>6135</v>
      </c>
      <c r="AG3035" s="3" t="s">
        <v>6136</v>
      </c>
      <c r="AH3035" s="11">
        <f>HYPERLINK("https://my.pitchbook.com?c=188591-95T","View Company Online")</f>
      </c>
    </row>
    <row r="3036">
      <c r="A3036" s="12" t="s">
        <v>16070</v>
      </c>
      <c r="B3036" s="12" t="s">
        <v>9148</v>
      </c>
      <c r="C3036" s="19" t="s">
        <v>36</v>
      </c>
      <c r="D3036" s="19" t="s">
        <v>36</v>
      </c>
      <c r="E3036" s="19" t="s">
        <v>36</v>
      </c>
      <c r="F3036" s="19" t="s">
        <v>36</v>
      </c>
      <c r="G3036" s="15" t="s">
        <v>36</v>
      </c>
      <c r="H3036" s="14" t="s">
        <v>36</v>
      </c>
      <c r="I3036" s="18" t="s">
        <v>36</v>
      </c>
      <c r="J3036" s="12" t="s">
        <v>36</v>
      </c>
      <c r="K3036" s="13" t="s">
        <v>36</v>
      </c>
      <c r="L3036" s="15" t="s">
        <v>36</v>
      </c>
      <c r="M3036" s="12" t="s">
        <v>36</v>
      </c>
      <c r="N3036" s="12" t="s">
        <v>36</v>
      </c>
      <c r="O3036" s="17" t="s">
        <v>36</v>
      </c>
      <c r="P3036" s="12" t="s">
        <v>36</v>
      </c>
      <c r="Q3036" s="12" t="s">
        <v>36</v>
      </c>
      <c r="R3036" s="12" t="s">
        <v>36</v>
      </c>
      <c r="S3036" s="12" t="s">
        <v>36</v>
      </c>
      <c r="T3036" s="12" t="s">
        <v>522</v>
      </c>
      <c r="U3036" s="12" t="s">
        <v>38</v>
      </c>
      <c r="V3036" s="12" t="s">
        <v>39</v>
      </c>
      <c r="W3036" s="12" t="s">
        <v>9149</v>
      </c>
      <c r="X3036" s="16" t="s">
        <v>2433</v>
      </c>
      <c r="Y3036" s="15" t="s">
        <v>108</v>
      </c>
      <c r="Z3036" s="14">
        <v>0.04</v>
      </c>
      <c r="AA3036" s="14" t="s">
        <v>36</v>
      </c>
      <c r="AB3036" s="12" t="s">
        <v>43</v>
      </c>
      <c r="AC3036" s="12" t="s">
        <v>9151</v>
      </c>
      <c r="AD3036" s="13">
        <v>44376</v>
      </c>
      <c r="AE3036" s="12" t="s">
        <v>110</v>
      </c>
      <c r="AF3036" s="12" t="s">
        <v>2210</v>
      </c>
      <c r="AG3036" s="12" t="s">
        <v>741</v>
      </c>
      <c r="AH3036" s="1">
        <f>HYPERLINK("https://my.pitchbook.com?c=232386-94T","View Company Online")</f>
      </c>
    </row>
    <row r="3037">
      <c r="A3037" s="3" t="s">
        <v>16071</v>
      </c>
      <c r="B3037" s="3" t="s">
        <v>8040</v>
      </c>
      <c r="C3037" s="5" t="s">
        <v>36</v>
      </c>
      <c r="D3037" s="5" t="s">
        <v>36</v>
      </c>
      <c r="E3037" s="5" t="s">
        <v>36</v>
      </c>
      <c r="F3037" s="5" t="s">
        <v>36</v>
      </c>
      <c r="G3037" s="6" t="s">
        <v>326</v>
      </c>
      <c r="H3037" s="4">
        <v>811.6</v>
      </c>
      <c r="I3037" s="7">
        <v>34.5</v>
      </c>
      <c r="J3037" s="3" t="s">
        <v>521</v>
      </c>
      <c r="K3037" s="9" t="s">
        <v>36</v>
      </c>
      <c r="L3037" s="6" t="s">
        <v>1279</v>
      </c>
      <c r="M3037" s="3" t="s">
        <v>36</v>
      </c>
      <c r="N3037" s="3" t="s">
        <v>1279</v>
      </c>
      <c r="O3037" s="8" t="s">
        <v>36</v>
      </c>
      <c r="P3037" s="3" t="s">
        <v>36</v>
      </c>
      <c r="Q3037" s="3" t="s">
        <v>36</v>
      </c>
      <c r="R3037" s="3" t="s">
        <v>36</v>
      </c>
      <c r="S3037" s="3" t="s">
        <v>36</v>
      </c>
      <c r="T3037" s="3" t="s">
        <v>8041</v>
      </c>
      <c r="U3037" s="3" t="s">
        <v>279</v>
      </c>
      <c r="V3037" s="3" t="s">
        <v>64</v>
      </c>
      <c r="W3037" s="3" t="s">
        <v>8042</v>
      </c>
      <c r="X3037" s="10" t="s">
        <v>16072</v>
      </c>
      <c r="Y3037" s="6" t="s">
        <v>55</v>
      </c>
      <c r="Z3037" s="4">
        <v>77.31</v>
      </c>
      <c r="AA3037" s="4">
        <v>224.11</v>
      </c>
      <c r="AB3037" s="3" t="s">
        <v>56</v>
      </c>
      <c r="AC3037" s="3" t="s">
        <v>8044</v>
      </c>
      <c r="AD3037" s="9">
        <v>44376</v>
      </c>
      <c r="AE3037" s="3" t="s">
        <v>851</v>
      </c>
      <c r="AF3037" s="3" t="s">
        <v>815</v>
      </c>
      <c r="AG3037" s="3" t="s">
        <v>81</v>
      </c>
      <c r="AH3037" s="11">
        <f>HYPERLINK("https://my.pitchbook.com?c=175422-43T","View Company Online")</f>
      </c>
    </row>
    <row r="3038">
      <c r="A3038" s="12" t="s">
        <v>16073</v>
      </c>
      <c r="B3038" s="12" t="s">
        <v>16074</v>
      </c>
      <c r="C3038" s="19" t="s">
        <v>36</v>
      </c>
      <c r="D3038" s="19" t="s">
        <v>36</v>
      </c>
      <c r="E3038" s="19" t="s">
        <v>36</v>
      </c>
      <c r="F3038" s="19" t="s">
        <v>36</v>
      </c>
      <c r="G3038" s="15" t="s">
        <v>36</v>
      </c>
      <c r="H3038" s="14">
        <v>15.36</v>
      </c>
      <c r="I3038" s="18">
        <v>6.25</v>
      </c>
      <c r="J3038" s="12" t="s">
        <v>521</v>
      </c>
      <c r="K3038" s="13" t="s">
        <v>36</v>
      </c>
      <c r="L3038" s="15" t="s">
        <v>36</v>
      </c>
      <c r="M3038" s="12" t="s">
        <v>36</v>
      </c>
      <c r="N3038" s="12" t="s">
        <v>36</v>
      </c>
      <c r="O3038" s="17" t="s">
        <v>36</v>
      </c>
      <c r="P3038" s="12" t="s">
        <v>36</v>
      </c>
      <c r="Q3038" s="12" t="s">
        <v>36</v>
      </c>
      <c r="R3038" s="12" t="s">
        <v>36</v>
      </c>
      <c r="S3038" s="12" t="s">
        <v>36</v>
      </c>
      <c r="T3038" s="12" t="s">
        <v>16075</v>
      </c>
      <c r="U3038" s="12" t="s">
        <v>833</v>
      </c>
      <c r="V3038" s="12" t="s">
        <v>64</v>
      </c>
      <c r="W3038" s="12" t="s">
        <v>16076</v>
      </c>
      <c r="X3038" s="16" t="s">
        <v>16077</v>
      </c>
      <c r="Y3038" s="15" t="s">
        <v>42</v>
      </c>
      <c r="Z3038" s="14">
        <v>3.62</v>
      </c>
      <c r="AA3038" s="14">
        <v>38.58</v>
      </c>
      <c r="AB3038" s="12" t="s">
        <v>56</v>
      </c>
      <c r="AC3038" s="12" t="s">
        <v>16078</v>
      </c>
      <c r="AD3038" s="13">
        <v>44376</v>
      </c>
      <c r="AE3038" s="12" t="s">
        <v>13403</v>
      </c>
      <c r="AF3038" s="12" t="s">
        <v>36</v>
      </c>
      <c r="AG3038" s="12" t="s">
        <v>16079</v>
      </c>
      <c r="AH3038" s="1">
        <f>HYPERLINK("https://my.pitchbook.com?c=175424-95T","View Company Online")</f>
      </c>
    </row>
    <row r="3039">
      <c r="A3039" s="3" t="s">
        <v>16080</v>
      </c>
      <c r="B3039" s="3" t="s">
        <v>16081</v>
      </c>
      <c r="C3039" s="5">
        <v>15</v>
      </c>
      <c r="D3039" s="5">
        <v>78</v>
      </c>
      <c r="E3039" s="5">
        <v>23</v>
      </c>
      <c r="F3039" s="5">
        <v>120</v>
      </c>
      <c r="G3039" s="6" t="s">
        <v>2497</v>
      </c>
      <c r="H3039" s="4">
        <v>259.64</v>
      </c>
      <c r="I3039" s="7">
        <v>12.04</v>
      </c>
      <c r="J3039" s="3" t="s">
        <v>521</v>
      </c>
      <c r="K3039" s="9" t="s">
        <v>36</v>
      </c>
      <c r="L3039" s="6" t="s">
        <v>36</v>
      </c>
      <c r="M3039" s="3" t="s">
        <v>36</v>
      </c>
      <c r="N3039" s="3" t="s">
        <v>36</v>
      </c>
      <c r="O3039" s="8" t="s">
        <v>36</v>
      </c>
      <c r="P3039" s="3" t="s">
        <v>36</v>
      </c>
      <c r="Q3039" s="3" t="s">
        <v>36</v>
      </c>
      <c r="R3039" s="3" t="s">
        <v>36</v>
      </c>
      <c r="S3039" s="3" t="s">
        <v>36</v>
      </c>
      <c r="T3039" s="3" t="s">
        <v>16082</v>
      </c>
      <c r="U3039" s="3" t="s">
        <v>96</v>
      </c>
      <c r="V3039" s="3" t="s">
        <v>52</v>
      </c>
      <c r="W3039" s="3" t="s">
        <v>16083</v>
      </c>
      <c r="X3039" s="10" t="s">
        <v>16084</v>
      </c>
      <c r="Y3039" s="6" t="s">
        <v>166</v>
      </c>
      <c r="Z3039" s="4">
        <v>2.26</v>
      </c>
      <c r="AA3039" s="4">
        <v>18.77</v>
      </c>
      <c r="AB3039" s="3" t="s">
        <v>56</v>
      </c>
      <c r="AC3039" s="3" t="s">
        <v>16085</v>
      </c>
      <c r="AD3039" s="9">
        <v>44376</v>
      </c>
      <c r="AE3039" s="3" t="s">
        <v>1414</v>
      </c>
      <c r="AF3039" s="3" t="s">
        <v>159</v>
      </c>
      <c r="AG3039" s="3" t="s">
        <v>10841</v>
      </c>
      <c r="AH3039" s="11">
        <f>HYPERLINK("https://my.pitchbook.com?c=181465-75T","View Company Online")</f>
      </c>
    </row>
    <row r="3040">
      <c r="A3040" s="12" t="s">
        <v>16086</v>
      </c>
      <c r="B3040" s="12" t="s">
        <v>5588</v>
      </c>
      <c r="C3040" s="19" t="s">
        <v>36</v>
      </c>
      <c r="D3040" s="19" t="s">
        <v>36</v>
      </c>
      <c r="E3040" s="19" t="s">
        <v>36</v>
      </c>
      <c r="F3040" s="19" t="s">
        <v>36</v>
      </c>
      <c r="G3040" s="15" t="s">
        <v>326</v>
      </c>
      <c r="H3040" s="14">
        <v>15.06</v>
      </c>
      <c r="I3040" s="18">
        <v>20.18</v>
      </c>
      <c r="J3040" s="12" t="s">
        <v>521</v>
      </c>
      <c r="K3040" s="13" t="s">
        <v>36</v>
      </c>
      <c r="L3040" s="15" t="s">
        <v>36</v>
      </c>
      <c r="M3040" s="12" t="s">
        <v>36</v>
      </c>
      <c r="N3040" s="12" t="s">
        <v>36</v>
      </c>
      <c r="O3040" s="17" t="s">
        <v>36</v>
      </c>
      <c r="P3040" s="12" t="s">
        <v>36</v>
      </c>
      <c r="Q3040" s="12" t="s">
        <v>36</v>
      </c>
      <c r="R3040" s="12" t="s">
        <v>36</v>
      </c>
      <c r="S3040" s="12" t="s">
        <v>36</v>
      </c>
      <c r="T3040" s="12" t="s">
        <v>5589</v>
      </c>
      <c r="U3040" s="12" t="s">
        <v>38</v>
      </c>
      <c r="V3040" s="12" t="s">
        <v>39</v>
      </c>
      <c r="W3040" s="12" t="s">
        <v>5590</v>
      </c>
      <c r="X3040" s="16" t="s">
        <v>16087</v>
      </c>
      <c r="Y3040" s="15" t="s">
        <v>108</v>
      </c>
      <c r="Z3040" s="14">
        <v>3.62</v>
      </c>
      <c r="AA3040" s="14">
        <v>11.67</v>
      </c>
      <c r="AB3040" s="12" t="s">
        <v>56</v>
      </c>
      <c r="AC3040" s="12" t="s">
        <v>5592</v>
      </c>
      <c r="AD3040" s="13">
        <v>44376</v>
      </c>
      <c r="AE3040" s="12" t="s">
        <v>110</v>
      </c>
      <c r="AF3040" s="12" t="s">
        <v>2409</v>
      </c>
      <c r="AG3040" s="12" t="s">
        <v>81</v>
      </c>
      <c r="AH3040" s="1">
        <f>HYPERLINK("https://my.pitchbook.com?c=182004-31T","View Company Online")</f>
      </c>
    </row>
    <row r="3041">
      <c r="A3041" s="3" t="s">
        <v>16088</v>
      </c>
      <c r="B3041" s="3" t="s">
        <v>16089</v>
      </c>
      <c r="C3041" s="5">
        <v>10</v>
      </c>
      <c r="D3041" s="5">
        <v>6</v>
      </c>
      <c r="E3041" s="5">
        <v>4</v>
      </c>
      <c r="F3041" s="5">
        <v>17</v>
      </c>
      <c r="G3041" s="6" t="s">
        <v>326</v>
      </c>
      <c r="H3041" s="4">
        <v>541.51</v>
      </c>
      <c r="I3041" s="7">
        <v>20.27</v>
      </c>
      <c r="J3041" s="3" t="s">
        <v>521</v>
      </c>
      <c r="K3041" s="9" t="s">
        <v>36</v>
      </c>
      <c r="L3041" s="6" t="s">
        <v>36</v>
      </c>
      <c r="M3041" s="3" t="s">
        <v>36</v>
      </c>
      <c r="N3041" s="3" t="s">
        <v>36</v>
      </c>
      <c r="O3041" s="8" t="s">
        <v>36</v>
      </c>
      <c r="P3041" s="3" t="s">
        <v>36</v>
      </c>
      <c r="Q3041" s="3" t="s">
        <v>36</v>
      </c>
      <c r="R3041" s="3" t="s">
        <v>36</v>
      </c>
      <c r="S3041" s="3" t="s">
        <v>36</v>
      </c>
      <c r="T3041" s="3" t="s">
        <v>881</v>
      </c>
      <c r="U3041" s="3" t="s">
        <v>51</v>
      </c>
      <c r="V3041" s="3" t="s">
        <v>52</v>
      </c>
      <c r="W3041" s="3" t="s">
        <v>16090</v>
      </c>
      <c r="X3041" s="10" t="s">
        <v>16091</v>
      </c>
      <c r="Y3041" s="6" t="s">
        <v>321</v>
      </c>
      <c r="Z3041" s="4">
        <v>26.05</v>
      </c>
      <c r="AA3041" s="4">
        <v>128.51</v>
      </c>
      <c r="AB3041" s="3" t="s">
        <v>56</v>
      </c>
      <c r="AC3041" s="3" t="s">
        <v>16092</v>
      </c>
      <c r="AD3041" s="9">
        <v>44376</v>
      </c>
      <c r="AE3041" s="3" t="s">
        <v>504</v>
      </c>
      <c r="AF3041" s="3" t="s">
        <v>665</v>
      </c>
      <c r="AG3041" s="3" t="s">
        <v>186</v>
      </c>
      <c r="AH3041" s="11">
        <f>HYPERLINK("https://my.pitchbook.com?c=174190-33T","View Company Online")</f>
      </c>
    </row>
    <row r="3042">
      <c r="A3042" s="12" t="s">
        <v>16093</v>
      </c>
      <c r="B3042" s="12" t="s">
        <v>1644</v>
      </c>
      <c r="C3042" s="19" t="s">
        <v>36</v>
      </c>
      <c r="D3042" s="19" t="s">
        <v>36</v>
      </c>
      <c r="E3042" s="19" t="s">
        <v>36</v>
      </c>
      <c r="F3042" s="19" t="s">
        <v>36</v>
      </c>
      <c r="G3042" s="15" t="s">
        <v>326</v>
      </c>
      <c r="H3042" s="14" t="s">
        <v>36</v>
      </c>
      <c r="I3042" s="18">
        <v>33.31</v>
      </c>
      <c r="J3042" s="12" t="s">
        <v>327</v>
      </c>
      <c r="K3042" s="13" t="s">
        <v>36</v>
      </c>
      <c r="L3042" s="15" t="s">
        <v>36</v>
      </c>
      <c r="M3042" s="12" t="s">
        <v>36</v>
      </c>
      <c r="N3042" s="12" t="s">
        <v>36</v>
      </c>
      <c r="O3042" s="17" t="s">
        <v>36</v>
      </c>
      <c r="P3042" s="12" t="s">
        <v>36</v>
      </c>
      <c r="Q3042" s="12" t="s">
        <v>36</v>
      </c>
      <c r="R3042" s="12" t="s">
        <v>36</v>
      </c>
      <c r="S3042" s="12" t="s">
        <v>36</v>
      </c>
      <c r="T3042" s="12" t="s">
        <v>1645</v>
      </c>
      <c r="U3042" s="12" t="s">
        <v>38</v>
      </c>
      <c r="V3042" s="12" t="s">
        <v>39</v>
      </c>
      <c r="W3042" s="12" t="s">
        <v>1646</v>
      </c>
      <c r="X3042" s="16" t="s">
        <v>16094</v>
      </c>
      <c r="Y3042" s="15" t="s">
        <v>55</v>
      </c>
      <c r="Z3042" s="14">
        <v>0.97</v>
      </c>
      <c r="AA3042" s="14">
        <v>2.9</v>
      </c>
      <c r="AB3042" s="12" t="s">
        <v>56</v>
      </c>
      <c r="AC3042" s="12" t="s">
        <v>1648</v>
      </c>
      <c r="AD3042" s="13">
        <v>44375</v>
      </c>
      <c r="AE3042" s="12" t="s">
        <v>110</v>
      </c>
      <c r="AF3042" s="12" t="s">
        <v>275</v>
      </c>
      <c r="AG3042" s="12" t="s">
        <v>186</v>
      </c>
      <c r="AH3042" s="1">
        <f>HYPERLINK("https://my.pitchbook.com?c=175269-43T","View Company Online")</f>
      </c>
    </row>
    <row r="3043">
      <c r="A3043" s="3" t="s">
        <v>16095</v>
      </c>
      <c r="B3043" s="3" t="s">
        <v>16096</v>
      </c>
      <c r="C3043" s="5" t="s">
        <v>36</v>
      </c>
      <c r="D3043" s="5" t="s">
        <v>36</v>
      </c>
      <c r="E3043" s="5">
        <v>1</v>
      </c>
      <c r="F3043" s="5">
        <v>1</v>
      </c>
      <c r="G3043" s="6" t="s">
        <v>36</v>
      </c>
      <c r="H3043" s="4" t="s">
        <v>36</v>
      </c>
      <c r="I3043" s="7" t="s">
        <v>36</v>
      </c>
      <c r="J3043" s="3" t="s">
        <v>36</v>
      </c>
      <c r="K3043" s="9">
        <v>44372</v>
      </c>
      <c r="L3043" s="6" t="s">
        <v>4010</v>
      </c>
      <c r="M3043" s="3" t="s">
        <v>36</v>
      </c>
      <c r="N3043" s="3" t="s">
        <v>4010</v>
      </c>
      <c r="O3043" s="8" t="s">
        <v>36</v>
      </c>
      <c r="P3043" s="3" t="s">
        <v>36</v>
      </c>
      <c r="Q3043" s="3" t="s">
        <v>36</v>
      </c>
      <c r="R3043" s="3" t="s">
        <v>36</v>
      </c>
      <c r="S3043" s="3" t="s">
        <v>36</v>
      </c>
      <c r="T3043" s="3" t="s">
        <v>105</v>
      </c>
      <c r="U3043" s="3" t="s">
        <v>38</v>
      </c>
      <c r="V3043" s="3" t="s">
        <v>39</v>
      </c>
      <c r="W3043" s="3" t="s">
        <v>16097</v>
      </c>
      <c r="X3043" s="10" t="s">
        <v>16098</v>
      </c>
      <c r="Y3043" s="6" t="s">
        <v>42</v>
      </c>
      <c r="Z3043" s="4">
        <v>3.02</v>
      </c>
      <c r="AA3043" s="4" t="s">
        <v>36</v>
      </c>
      <c r="AB3043" s="3" t="s">
        <v>43</v>
      </c>
      <c r="AC3043" s="3" t="s">
        <v>16099</v>
      </c>
      <c r="AD3043" s="9">
        <v>44375</v>
      </c>
      <c r="AE3043" s="3" t="s">
        <v>110</v>
      </c>
      <c r="AF3043" s="3" t="s">
        <v>111</v>
      </c>
      <c r="AG3043" s="3" t="s">
        <v>81</v>
      </c>
      <c r="AH3043" s="11">
        <f>HYPERLINK("https://my.pitchbook.com?c=175108-69T","View Company Online")</f>
      </c>
    </row>
    <row r="3044">
      <c r="A3044" s="12" t="s">
        <v>16100</v>
      </c>
      <c r="B3044" s="12" t="s">
        <v>16101</v>
      </c>
      <c r="C3044" s="19" t="s">
        <v>36</v>
      </c>
      <c r="D3044" s="19" t="s">
        <v>36</v>
      </c>
      <c r="E3044" s="19" t="s">
        <v>36</v>
      </c>
      <c r="F3044" s="19" t="s">
        <v>36</v>
      </c>
      <c r="G3044" s="15" t="s">
        <v>36</v>
      </c>
      <c r="H3044" s="14">
        <v>3.98</v>
      </c>
      <c r="I3044" s="18">
        <v>20.74</v>
      </c>
      <c r="J3044" s="12" t="s">
        <v>521</v>
      </c>
      <c r="K3044" s="13" t="s">
        <v>36</v>
      </c>
      <c r="L3044" s="15" t="s">
        <v>36</v>
      </c>
      <c r="M3044" s="12" t="s">
        <v>36</v>
      </c>
      <c r="N3044" s="12" t="s">
        <v>36</v>
      </c>
      <c r="O3044" s="17" t="s">
        <v>36</v>
      </c>
      <c r="P3044" s="12" t="s">
        <v>36</v>
      </c>
      <c r="Q3044" s="12" t="s">
        <v>36</v>
      </c>
      <c r="R3044" s="12" t="s">
        <v>36</v>
      </c>
      <c r="S3044" s="12" t="s">
        <v>36</v>
      </c>
      <c r="T3044" s="12" t="s">
        <v>811</v>
      </c>
      <c r="U3044" s="12" t="s">
        <v>38</v>
      </c>
      <c r="V3044" s="12" t="s">
        <v>39</v>
      </c>
      <c r="W3044" s="12" t="s">
        <v>16102</v>
      </c>
      <c r="X3044" s="16" t="s">
        <v>16103</v>
      </c>
      <c r="Y3044" s="15" t="s">
        <v>55</v>
      </c>
      <c r="Z3044" s="14">
        <v>0.32</v>
      </c>
      <c r="AA3044" s="14">
        <v>1.52</v>
      </c>
      <c r="AB3044" s="12" t="s">
        <v>56</v>
      </c>
      <c r="AC3044" s="12" t="s">
        <v>16104</v>
      </c>
      <c r="AD3044" s="13">
        <v>44375</v>
      </c>
      <c r="AE3044" s="12" t="s">
        <v>339</v>
      </c>
      <c r="AF3044" s="12" t="s">
        <v>815</v>
      </c>
      <c r="AG3044" s="12" t="s">
        <v>81</v>
      </c>
      <c r="AH3044" s="1">
        <f>HYPERLINK("https://my.pitchbook.com?c=195579-82T","View Company Online")</f>
      </c>
    </row>
    <row r="3045">
      <c r="A3045" s="3" t="s">
        <v>16105</v>
      </c>
      <c r="B3045" s="3" t="s">
        <v>16106</v>
      </c>
      <c r="C3045" s="5" t="s">
        <v>36</v>
      </c>
      <c r="D3045" s="5" t="s">
        <v>36</v>
      </c>
      <c r="E3045" s="5" t="s">
        <v>36</v>
      </c>
      <c r="F3045" s="5" t="s">
        <v>36</v>
      </c>
      <c r="G3045" s="6" t="s">
        <v>326</v>
      </c>
      <c r="H3045" s="4">
        <v>1176.66</v>
      </c>
      <c r="I3045" s="7">
        <v>27.46</v>
      </c>
      <c r="J3045" s="3" t="s">
        <v>521</v>
      </c>
      <c r="K3045" s="9" t="s">
        <v>36</v>
      </c>
      <c r="L3045" s="6" t="s">
        <v>122</v>
      </c>
      <c r="M3045" s="3" t="s">
        <v>36</v>
      </c>
      <c r="N3045" s="3" t="s">
        <v>122</v>
      </c>
      <c r="O3045" s="8" t="s">
        <v>36</v>
      </c>
      <c r="P3045" s="3" t="s">
        <v>36</v>
      </c>
      <c r="Q3045" s="3" t="s">
        <v>36</v>
      </c>
      <c r="R3045" s="3" t="s">
        <v>36</v>
      </c>
      <c r="S3045" s="3" t="s">
        <v>36</v>
      </c>
      <c r="T3045" s="3" t="s">
        <v>16107</v>
      </c>
      <c r="U3045" s="3" t="s">
        <v>279</v>
      </c>
      <c r="V3045" s="3" t="s">
        <v>64</v>
      </c>
      <c r="W3045" s="3" t="s">
        <v>16108</v>
      </c>
      <c r="X3045" s="10" t="s">
        <v>16109</v>
      </c>
      <c r="Y3045" s="6" t="s">
        <v>42</v>
      </c>
      <c r="Z3045" s="4">
        <v>1.81</v>
      </c>
      <c r="AA3045" s="4">
        <v>5.05</v>
      </c>
      <c r="AB3045" s="3" t="s">
        <v>43</v>
      </c>
      <c r="AC3045" s="3" t="s">
        <v>16110</v>
      </c>
      <c r="AD3045" s="9">
        <v>44372</v>
      </c>
      <c r="AE3045" s="3" t="s">
        <v>283</v>
      </c>
      <c r="AF3045" s="3" t="s">
        <v>36</v>
      </c>
      <c r="AG3045" s="3" t="s">
        <v>81</v>
      </c>
      <c r="AH3045" s="11">
        <f>HYPERLINK("https://my.pitchbook.com?c=180621-55T","View Company Online")</f>
      </c>
    </row>
    <row r="3046">
      <c r="A3046" s="12" t="s">
        <v>16111</v>
      </c>
      <c r="B3046" s="12" t="s">
        <v>11630</v>
      </c>
      <c r="C3046" s="19" t="s">
        <v>36</v>
      </c>
      <c r="D3046" s="19" t="s">
        <v>36</v>
      </c>
      <c r="E3046" s="19" t="s">
        <v>36</v>
      </c>
      <c r="F3046" s="19" t="s">
        <v>36</v>
      </c>
      <c r="G3046" s="15" t="s">
        <v>36</v>
      </c>
      <c r="H3046" s="14">
        <v>57.12</v>
      </c>
      <c r="I3046" s="18">
        <v>17.5</v>
      </c>
      <c r="J3046" s="12" t="s">
        <v>521</v>
      </c>
      <c r="K3046" s="13">
        <v>44370</v>
      </c>
      <c r="L3046" s="15" t="s">
        <v>36</v>
      </c>
      <c r="M3046" s="12" t="s">
        <v>36</v>
      </c>
      <c r="N3046" s="12" t="s">
        <v>36</v>
      </c>
      <c r="O3046" s="17" t="s">
        <v>36</v>
      </c>
      <c r="P3046" s="12" t="s">
        <v>36</v>
      </c>
      <c r="Q3046" s="12" t="s">
        <v>36</v>
      </c>
      <c r="R3046" s="12" t="s">
        <v>36</v>
      </c>
      <c r="S3046" s="12" t="s">
        <v>36</v>
      </c>
      <c r="T3046" s="12" t="s">
        <v>522</v>
      </c>
      <c r="U3046" s="12" t="s">
        <v>38</v>
      </c>
      <c r="V3046" s="12" t="s">
        <v>39</v>
      </c>
      <c r="W3046" s="12" t="s">
        <v>11631</v>
      </c>
      <c r="X3046" s="16" t="s">
        <v>2433</v>
      </c>
      <c r="Y3046" s="15" t="s">
        <v>42</v>
      </c>
      <c r="Z3046" s="14">
        <v>0.42</v>
      </c>
      <c r="AA3046" s="14">
        <v>2.42</v>
      </c>
      <c r="AB3046" s="12" t="s">
        <v>43</v>
      </c>
      <c r="AC3046" s="12" t="s">
        <v>11632</v>
      </c>
      <c r="AD3046" s="13">
        <v>44372</v>
      </c>
      <c r="AE3046" s="12" t="s">
        <v>110</v>
      </c>
      <c r="AF3046" s="12" t="s">
        <v>1401</v>
      </c>
      <c r="AG3046" s="12" t="s">
        <v>81</v>
      </c>
      <c r="AH3046" s="1">
        <f>HYPERLINK("https://my.pitchbook.com?c=190454-23T","View Company Online")</f>
      </c>
    </row>
    <row r="3047">
      <c r="A3047" s="3" t="s">
        <v>16112</v>
      </c>
      <c r="B3047" s="3" t="s">
        <v>16113</v>
      </c>
      <c r="C3047" s="5" t="s">
        <v>36</v>
      </c>
      <c r="D3047" s="5" t="s">
        <v>36</v>
      </c>
      <c r="E3047" s="5" t="s">
        <v>36</v>
      </c>
      <c r="F3047" s="5" t="s">
        <v>36</v>
      </c>
      <c r="G3047" s="6" t="s">
        <v>36</v>
      </c>
      <c r="H3047" s="4" t="s">
        <v>36</v>
      </c>
      <c r="I3047" s="7" t="s">
        <v>36</v>
      </c>
      <c r="J3047" s="3" t="s">
        <v>36</v>
      </c>
      <c r="K3047" s="9" t="s">
        <v>36</v>
      </c>
      <c r="L3047" s="6" t="s">
        <v>36</v>
      </c>
      <c r="M3047" s="3" t="s">
        <v>36</v>
      </c>
      <c r="N3047" s="3" t="s">
        <v>36</v>
      </c>
      <c r="O3047" s="8" t="s">
        <v>36</v>
      </c>
      <c r="P3047" s="3" t="s">
        <v>36</v>
      </c>
      <c r="Q3047" s="3" t="s">
        <v>36</v>
      </c>
      <c r="R3047" s="3" t="s">
        <v>36</v>
      </c>
      <c r="S3047" s="3" t="s">
        <v>36</v>
      </c>
      <c r="T3047" s="3" t="s">
        <v>1663</v>
      </c>
      <c r="U3047" s="3" t="s">
        <v>38</v>
      </c>
      <c r="V3047" s="3" t="s">
        <v>39</v>
      </c>
      <c r="W3047" s="3" t="s">
        <v>16114</v>
      </c>
      <c r="X3047" s="10" t="s">
        <v>16115</v>
      </c>
      <c r="Y3047" s="6" t="s">
        <v>42</v>
      </c>
      <c r="Z3047" s="4">
        <v>1.81</v>
      </c>
      <c r="AA3047" s="4" t="s">
        <v>36</v>
      </c>
      <c r="AB3047" s="3" t="s">
        <v>43</v>
      </c>
      <c r="AC3047" s="3" t="s">
        <v>16116</v>
      </c>
      <c r="AD3047" s="9">
        <v>44371</v>
      </c>
      <c r="AE3047" s="3" t="s">
        <v>785</v>
      </c>
      <c r="AF3047" s="3" t="s">
        <v>3762</v>
      </c>
      <c r="AG3047" s="3" t="s">
        <v>16117</v>
      </c>
      <c r="AH3047" s="11">
        <f>HYPERLINK("https://my.pitchbook.com?c=175277-89T","View Company Online")</f>
      </c>
    </row>
    <row r="3048">
      <c r="A3048" s="12" t="s">
        <v>16118</v>
      </c>
      <c r="B3048" s="12" t="s">
        <v>16119</v>
      </c>
      <c r="C3048" s="19" t="s">
        <v>36</v>
      </c>
      <c r="D3048" s="19" t="s">
        <v>36</v>
      </c>
      <c r="E3048" s="19" t="s">
        <v>36</v>
      </c>
      <c r="F3048" s="19" t="s">
        <v>36</v>
      </c>
      <c r="G3048" s="15" t="s">
        <v>326</v>
      </c>
      <c r="H3048" s="14">
        <v>0.44</v>
      </c>
      <c r="I3048" s="18">
        <v>40.15</v>
      </c>
      <c r="J3048" s="12" t="s">
        <v>521</v>
      </c>
      <c r="K3048" s="13" t="s">
        <v>36</v>
      </c>
      <c r="L3048" s="15" t="s">
        <v>122</v>
      </c>
      <c r="M3048" s="12" t="s">
        <v>36</v>
      </c>
      <c r="N3048" s="12" t="s">
        <v>122</v>
      </c>
      <c r="O3048" s="17" t="s">
        <v>36</v>
      </c>
      <c r="P3048" s="12" t="s">
        <v>36</v>
      </c>
      <c r="Q3048" s="12" t="s">
        <v>36</v>
      </c>
      <c r="R3048" s="12" t="s">
        <v>36</v>
      </c>
      <c r="S3048" s="12" t="s">
        <v>36</v>
      </c>
      <c r="T3048" s="12" t="s">
        <v>37</v>
      </c>
      <c r="U3048" s="12" t="s">
        <v>38</v>
      </c>
      <c r="V3048" s="12" t="s">
        <v>39</v>
      </c>
      <c r="W3048" s="12" t="s">
        <v>16120</v>
      </c>
      <c r="X3048" s="16" t="s">
        <v>16121</v>
      </c>
      <c r="Y3048" s="15" t="s">
        <v>55</v>
      </c>
      <c r="Z3048" s="14">
        <v>15.57</v>
      </c>
      <c r="AA3048" s="14">
        <v>38.79</v>
      </c>
      <c r="AB3048" s="12" t="s">
        <v>43</v>
      </c>
      <c r="AC3048" s="12" t="s">
        <v>16122</v>
      </c>
      <c r="AD3048" s="13">
        <v>44371</v>
      </c>
      <c r="AE3048" s="12" t="s">
        <v>45</v>
      </c>
      <c r="AF3048" s="12" t="s">
        <v>331</v>
      </c>
      <c r="AG3048" s="12" t="s">
        <v>81</v>
      </c>
      <c r="AH3048" s="1">
        <f>HYPERLINK("https://my.pitchbook.com?c=174941-92T","View Company Online")</f>
      </c>
    </row>
    <row r="3049">
      <c r="A3049" s="3" t="s">
        <v>16123</v>
      </c>
      <c r="B3049" s="3" t="s">
        <v>16124</v>
      </c>
      <c r="C3049" s="5">
        <v>1</v>
      </c>
      <c r="D3049" s="5">
        <v>6</v>
      </c>
      <c r="E3049" s="5">
        <v>1</v>
      </c>
      <c r="F3049" s="5">
        <v>7</v>
      </c>
      <c r="G3049" s="6" t="s">
        <v>36</v>
      </c>
      <c r="H3049" s="4">
        <v>23.75</v>
      </c>
      <c r="I3049" s="7">
        <v>37.57</v>
      </c>
      <c r="J3049" s="3" t="s">
        <v>521</v>
      </c>
      <c r="K3049" s="9" t="s">
        <v>36</v>
      </c>
      <c r="L3049" s="6" t="s">
        <v>36</v>
      </c>
      <c r="M3049" s="3" t="s">
        <v>36</v>
      </c>
      <c r="N3049" s="3" t="s">
        <v>36</v>
      </c>
      <c r="O3049" s="8" t="s">
        <v>36</v>
      </c>
      <c r="P3049" s="3" t="s">
        <v>36</v>
      </c>
      <c r="Q3049" s="3" t="s">
        <v>36</v>
      </c>
      <c r="R3049" s="3" t="s">
        <v>36</v>
      </c>
      <c r="S3049" s="3" t="s">
        <v>36</v>
      </c>
      <c r="T3049" s="3" t="s">
        <v>1548</v>
      </c>
      <c r="U3049" s="3" t="s">
        <v>38</v>
      </c>
      <c r="V3049" s="3" t="s">
        <v>39</v>
      </c>
      <c r="W3049" s="3" t="s">
        <v>16125</v>
      </c>
      <c r="X3049" s="10" t="s">
        <v>16126</v>
      </c>
      <c r="Y3049" s="6" t="s">
        <v>55</v>
      </c>
      <c r="Z3049" s="4">
        <v>5.88</v>
      </c>
      <c r="AA3049" s="4">
        <v>12.95</v>
      </c>
      <c r="AB3049" s="3" t="s">
        <v>56</v>
      </c>
      <c r="AC3049" s="3" t="s">
        <v>16127</v>
      </c>
      <c r="AD3049" s="9">
        <v>44371</v>
      </c>
      <c r="AE3049" s="3" t="s">
        <v>134</v>
      </c>
      <c r="AF3049" s="3" t="s">
        <v>9319</v>
      </c>
      <c r="AG3049" s="3" t="s">
        <v>81</v>
      </c>
      <c r="AH3049" s="11">
        <f>HYPERLINK("https://my.pitchbook.com?c=172094-77T","View Company Online")</f>
      </c>
    </row>
    <row r="3050">
      <c r="A3050" s="12" t="s">
        <v>16128</v>
      </c>
      <c r="B3050" s="12" t="s">
        <v>7722</v>
      </c>
      <c r="C3050" s="19" t="s">
        <v>36</v>
      </c>
      <c r="D3050" s="19" t="s">
        <v>36</v>
      </c>
      <c r="E3050" s="19" t="s">
        <v>36</v>
      </c>
      <c r="F3050" s="19" t="s">
        <v>36</v>
      </c>
      <c r="G3050" s="15" t="s">
        <v>36</v>
      </c>
      <c r="H3050" s="14" t="s">
        <v>36</v>
      </c>
      <c r="I3050" s="18">
        <v>18.16</v>
      </c>
      <c r="J3050" s="12" t="s">
        <v>521</v>
      </c>
      <c r="K3050" s="13" t="s">
        <v>36</v>
      </c>
      <c r="L3050" s="15" t="s">
        <v>122</v>
      </c>
      <c r="M3050" s="12" t="s">
        <v>36</v>
      </c>
      <c r="N3050" s="12" t="s">
        <v>122</v>
      </c>
      <c r="O3050" s="17" t="s">
        <v>36</v>
      </c>
      <c r="P3050" s="12" t="s">
        <v>36</v>
      </c>
      <c r="Q3050" s="12" t="s">
        <v>36</v>
      </c>
      <c r="R3050" s="12" t="s">
        <v>36</v>
      </c>
      <c r="S3050" s="12" t="s">
        <v>36</v>
      </c>
      <c r="T3050" s="12" t="s">
        <v>1418</v>
      </c>
      <c r="U3050" s="12" t="s">
        <v>38</v>
      </c>
      <c r="V3050" s="12" t="s">
        <v>39</v>
      </c>
      <c r="W3050" s="12" t="s">
        <v>7723</v>
      </c>
      <c r="X3050" s="16" t="s">
        <v>16129</v>
      </c>
      <c r="Y3050" s="15" t="s">
        <v>42</v>
      </c>
      <c r="Z3050" s="14">
        <v>7.26</v>
      </c>
      <c r="AA3050" s="14">
        <v>39.93</v>
      </c>
      <c r="AB3050" s="12" t="s">
        <v>56</v>
      </c>
      <c r="AC3050" s="12" t="s">
        <v>7725</v>
      </c>
      <c r="AD3050" s="13">
        <v>44371</v>
      </c>
      <c r="AE3050" s="12" t="s">
        <v>1422</v>
      </c>
      <c r="AF3050" s="12" t="s">
        <v>4200</v>
      </c>
      <c r="AG3050" s="12" t="s">
        <v>81</v>
      </c>
      <c r="AH3050" s="1">
        <f>HYPERLINK("https://my.pitchbook.com?c=175091-59T","View Company Online")</f>
      </c>
    </row>
    <row r="3051">
      <c r="A3051" s="3" t="s">
        <v>16130</v>
      </c>
      <c r="B3051" s="3" t="s">
        <v>6070</v>
      </c>
      <c r="C3051" s="5" t="s">
        <v>36</v>
      </c>
      <c r="D3051" s="5">
        <v>10</v>
      </c>
      <c r="E3051" s="5">
        <v>1</v>
      </c>
      <c r="F3051" s="5">
        <v>10</v>
      </c>
      <c r="G3051" s="6" t="s">
        <v>683</v>
      </c>
      <c r="H3051" s="4">
        <v>521.36</v>
      </c>
      <c r="I3051" s="7">
        <v>38.95</v>
      </c>
      <c r="J3051" s="3" t="s">
        <v>521</v>
      </c>
      <c r="K3051" s="9" t="s">
        <v>36</v>
      </c>
      <c r="L3051" s="6" t="s">
        <v>36</v>
      </c>
      <c r="M3051" s="3" t="s">
        <v>36</v>
      </c>
      <c r="N3051" s="3" t="s">
        <v>36</v>
      </c>
      <c r="O3051" s="8" t="s">
        <v>36</v>
      </c>
      <c r="P3051" s="3" t="s">
        <v>36</v>
      </c>
      <c r="Q3051" s="3" t="s">
        <v>36</v>
      </c>
      <c r="R3051" s="3" t="s">
        <v>36</v>
      </c>
      <c r="S3051" s="3" t="s">
        <v>36</v>
      </c>
      <c r="T3051" s="3" t="s">
        <v>6071</v>
      </c>
      <c r="U3051" s="3" t="s">
        <v>51</v>
      </c>
      <c r="V3051" s="3" t="s">
        <v>52</v>
      </c>
      <c r="W3051" s="3" t="s">
        <v>6072</v>
      </c>
      <c r="X3051" s="10" t="s">
        <v>16131</v>
      </c>
      <c r="Y3051" s="6" t="s">
        <v>55</v>
      </c>
      <c r="Z3051" s="4">
        <v>5.32</v>
      </c>
      <c r="AA3051" s="4">
        <v>13.67</v>
      </c>
      <c r="AB3051" s="3" t="s">
        <v>43</v>
      </c>
      <c r="AC3051" s="3" t="s">
        <v>6074</v>
      </c>
      <c r="AD3051" s="9">
        <v>44371</v>
      </c>
      <c r="AE3051" s="3" t="s">
        <v>504</v>
      </c>
      <c r="AF3051" s="3" t="s">
        <v>159</v>
      </c>
      <c r="AG3051" s="3" t="s">
        <v>6075</v>
      </c>
      <c r="AH3051" s="11">
        <f>HYPERLINK("https://my.pitchbook.com?c=186081-22T","View Company Online")</f>
      </c>
    </row>
    <row r="3052">
      <c r="A3052" s="12" t="s">
        <v>16132</v>
      </c>
      <c r="B3052" s="12" t="s">
        <v>16133</v>
      </c>
      <c r="C3052" s="19" t="s">
        <v>36</v>
      </c>
      <c r="D3052" s="19" t="s">
        <v>36</v>
      </c>
      <c r="E3052" s="19" t="s">
        <v>36</v>
      </c>
      <c r="F3052" s="19" t="s">
        <v>36</v>
      </c>
      <c r="G3052" s="15" t="s">
        <v>36</v>
      </c>
      <c r="H3052" s="14" t="s">
        <v>36</v>
      </c>
      <c r="I3052" s="18" t="s">
        <v>36</v>
      </c>
      <c r="J3052" s="12" t="s">
        <v>36</v>
      </c>
      <c r="K3052" s="13" t="s">
        <v>36</v>
      </c>
      <c r="L3052" s="15" t="s">
        <v>36</v>
      </c>
      <c r="M3052" s="12" t="s">
        <v>36</v>
      </c>
      <c r="N3052" s="12" t="s">
        <v>36</v>
      </c>
      <c r="O3052" s="17" t="s">
        <v>36</v>
      </c>
      <c r="P3052" s="12" t="s">
        <v>36</v>
      </c>
      <c r="Q3052" s="12" t="s">
        <v>36</v>
      </c>
      <c r="R3052" s="12" t="s">
        <v>36</v>
      </c>
      <c r="S3052" s="12" t="s">
        <v>6531</v>
      </c>
      <c r="T3052" s="12" t="s">
        <v>16134</v>
      </c>
      <c r="U3052" s="12" t="s">
        <v>9881</v>
      </c>
      <c r="V3052" s="12" t="s">
        <v>75</v>
      </c>
      <c r="W3052" s="12" t="s">
        <v>16135</v>
      </c>
      <c r="X3052" s="16" t="s">
        <v>13518</v>
      </c>
      <c r="Y3052" s="15" t="s">
        <v>42</v>
      </c>
      <c r="Z3052" s="14">
        <v>8.47</v>
      </c>
      <c r="AA3052" s="14" t="s">
        <v>36</v>
      </c>
      <c r="AB3052" s="12" t="s">
        <v>56</v>
      </c>
      <c r="AC3052" s="12" t="s">
        <v>16136</v>
      </c>
      <c r="AD3052" s="13">
        <v>44371</v>
      </c>
      <c r="AE3052" s="12" t="s">
        <v>12049</v>
      </c>
      <c r="AF3052" s="12" t="s">
        <v>16137</v>
      </c>
      <c r="AG3052" s="12" t="s">
        <v>12751</v>
      </c>
      <c r="AH3052" s="1">
        <f>HYPERLINK("https://my.pitchbook.com?c=175834-99T","View Company Online")</f>
      </c>
    </row>
    <row r="3053">
      <c r="A3053" s="3" t="s">
        <v>16138</v>
      </c>
      <c r="B3053" s="3" t="s">
        <v>16139</v>
      </c>
      <c r="C3053" s="5" t="s">
        <v>36</v>
      </c>
      <c r="D3053" s="5" t="s">
        <v>36</v>
      </c>
      <c r="E3053" s="5" t="s">
        <v>36</v>
      </c>
      <c r="F3053" s="5" t="s">
        <v>36</v>
      </c>
      <c r="G3053" s="6" t="s">
        <v>36</v>
      </c>
      <c r="H3053" s="4" t="s">
        <v>36</v>
      </c>
      <c r="I3053" s="7" t="s">
        <v>36</v>
      </c>
      <c r="J3053" s="3" t="s">
        <v>521</v>
      </c>
      <c r="K3053" s="9" t="s">
        <v>36</v>
      </c>
      <c r="L3053" s="6" t="s">
        <v>36</v>
      </c>
      <c r="M3053" s="3" t="s">
        <v>36</v>
      </c>
      <c r="N3053" s="3" t="s">
        <v>36</v>
      </c>
      <c r="O3053" s="8" t="s">
        <v>36</v>
      </c>
      <c r="P3053" s="3" t="s">
        <v>36</v>
      </c>
      <c r="Q3053" s="3" t="s">
        <v>36</v>
      </c>
      <c r="R3053" s="3" t="s">
        <v>36</v>
      </c>
      <c r="S3053" s="3" t="s">
        <v>36</v>
      </c>
      <c r="T3053" s="3" t="s">
        <v>16140</v>
      </c>
      <c r="U3053" s="3" t="s">
        <v>74</v>
      </c>
      <c r="V3053" s="3" t="s">
        <v>75</v>
      </c>
      <c r="W3053" s="3" t="s">
        <v>16141</v>
      </c>
      <c r="X3053" s="10" t="s">
        <v>9033</v>
      </c>
      <c r="Y3053" s="6" t="s">
        <v>42</v>
      </c>
      <c r="Z3053" s="4" t="s">
        <v>36</v>
      </c>
      <c r="AA3053" s="4">
        <v>4.84</v>
      </c>
      <c r="AB3053" s="3" t="s">
        <v>43</v>
      </c>
      <c r="AC3053" s="3" t="s">
        <v>16142</v>
      </c>
      <c r="AD3053" s="9">
        <v>44370</v>
      </c>
      <c r="AE3053" s="3" t="s">
        <v>79</v>
      </c>
      <c r="AF3053" s="3" t="s">
        <v>16143</v>
      </c>
      <c r="AG3053" s="3" t="s">
        <v>81</v>
      </c>
      <c r="AH3053" s="11">
        <f>HYPERLINK("https://my.pitchbook.com?c=177819-40T","View Company Online")</f>
      </c>
    </row>
    <row r="3054">
      <c r="A3054" s="12" t="s">
        <v>16144</v>
      </c>
      <c r="B3054" s="12" t="s">
        <v>12540</v>
      </c>
      <c r="C3054" s="19">
        <v>1</v>
      </c>
      <c r="D3054" s="19">
        <v>2</v>
      </c>
      <c r="E3054" s="19">
        <v>1</v>
      </c>
      <c r="F3054" s="19">
        <v>3</v>
      </c>
      <c r="G3054" s="15" t="s">
        <v>36</v>
      </c>
      <c r="H3054" s="14" t="s">
        <v>36</v>
      </c>
      <c r="I3054" s="18">
        <v>28.02</v>
      </c>
      <c r="J3054" s="12" t="s">
        <v>327</v>
      </c>
      <c r="K3054" s="13" t="s">
        <v>36</v>
      </c>
      <c r="L3054" s="15" t="s">
        <v>122</v>
      </c>
      <c r="M3054" s="12" t="s">
        <v>36</v>
      </c>
      <c r="N3054" s="12" t="s">
        <v>122</v>
      </c>
      <c r="O3054" s="17" t="s">
        <v>36</v>
      </c>
      <c r="P3054" s="12" t="s">
        <v>36</v>
      </c>
      <c r="Q3054" s="12" t="s">
        <v>36</v>
      </c>
      <c r="R3054" s="12" t="s">
        <v>36</v>
      </c>
      <c r="S3054" s="12" t="s">
        <v>36</v>
      </c>
      <c r="T3054" s="12" t="s">
        <v>12541</v>
      </c>
      <c r="U3054" s="12" t="s">
        <v>38</v>
      </c>
      <c r="V3054" s="12" t="s">
        <v>39</v>
      </c>
      <c r="W3054" s="12" t="s">
        <v>12542</v>
      </c>
      <c r="X3054" s="16" t="s">
        <v>16145</v>
      </c>
      <c r="Y3054" s="15" t="s">
        <v>55</v>
      </c>
      <c r="Z3054" s="14">
        <v>26.07</v>
      </c>
      <c r="AA3054" s="14">
        <v>93.05</v>
      </c>
      <c r="AB3054" s="12" t="s">
        <v>56</v>
      </c>
      <c r="AC3054" s="12" t="s">
        <v>12544</v>
      </c>
      <c r="AD3054" s="13">
        <v>44370</v>
      </c>
      <c r="AE3054" s="12" t="s">
        <v>45</v>
      </c>
      <c r="AF3054" s="12" t="s">
        <v>12545</v>
      </c>
      <c r="AG3054" s="12" t="s">
        <v>81</v>
      </c>
      <c r="AH3054" s="1">
        <f>HYPERLINK("https://my.pitchbook.com?c=174901-96T","View Company Online")</f>
      </c>
    </row>
    <row r="3055">
      <c r="A3055" s="3" t="s">
        <v>16146</v>
      </c>
      <c r="B3055" s="3" t="s">
        <v>11120</v>
      </c>
      <c r="C3055" s="5" t="s">
        <v>36</v>
      </c>
      <c r="D3055" s="5" t="s">
        <v>36</v>
      </c>
      <c r="E3055" s="5" t="s">
        <v>36</v>
      </c>
      <c r="F3055" s="5" t="s">
        <v>36</v>
      </c>
      <c r="G3055" s="6" t="s">
        <v>326</v>
      </c>
      <c r="H3055" s="4">
        <v>149.01</v>
      </c>
      <c r="I3055" s="7">
        <v>14.95</v>
      </c>
      <c r="J3055" s="3" t="s">
        <v>521</v>
      </c>
      <c r="K3055" s="9" t="s">
        <v>36</v>
      </c>
      <c r="L3055" s="6" t="s">
        <v>36</v>
      </c>
      <c r="M3055" s="3" t="s">
        <v>36</v>
      </c>
      <c r="N3055" s="3" t="s">
        <v>36</v>
      </c>
      <c r="O3055" s="8" t="s">
        <v>36</v>
      </c>
      <c r="P3055" s="3" t="s">
        <v>36</v>
      </c>
      <c r="Q3055" s="3" t="s">
        <v>36</v>
      </c>
      <c r="R3055" s="3" t="s">
        <v>36</v>
      </c>
      <c r="S3055" s="3" t="s">
        <v>36</v>
      </c>
      <c r="T3055" s="3" t="s">
        <v>11121</v>
      </c>
      <c r="U3055" s="3" t="s">
        <v>423</v>
      </c>
      <c r="V3055" s="3" t="s">
        <v>64</v>
      </c>
      <c r="W3055" s="3" t="s">
        <v>11122</v>
      </c>
      <c r="X3055" s="10" t="s">
        <v>16147</v>
      </c>
      <c r="Y3055" s="6" t="s">
        <v>108</v>
      </c>
      <c r="Z3055" s="4">
        <v>2.34</v>
      </c>
      <c r="AA3055" s="4">
        <v>15.66</v>
      </c>
      <c r="AB3055" s="3" t="s">
        <v>56</v>
      </c>
      <c r="AC3055" s="3" t="s">
        <v>11123</v>
      </c>
      <c r="AD3055" s="9">
        <v>44370</v>
      </c>
      <c r="AE3055" s="3" t="s">
        <v>562</v>
      </c>
      <c r="AF3055" s="3" t="s">
        <v>4270</v>
      </c>
      <c r="AG3055" s="3" t="s">
        <v>81</v>
      </c>
      <c r="AH3055" s="11">
        <f>HYPERLINK("https://my.pitchbook.com?c=181575-10T","View Company Online")</f>
      </c>
    </row>
    <row r="3056">
      <c r="A3056" s="12" t="s">
        <v>16148</v>
      </c>
      <c r="B3056" s="12" t="s">
        <v>16149</v>
      </c>
      <c r="C3056" s="19" t="s">
        <v>36</v>
      </c>
      <c r="D3056" s="19" t="s">
        <v>36</v>
      </c>
      <c r="E3056" s="19" t="s">
        <v>36</v>
      </c>
      <c r="F3056" s="19" t="s">
        <v>36</v>
      </c>
      <c r="G3056" s="15" t="s">
        <v>326</v>
      </c>
      <c r="H3056" s="14">
        <v>19.21</v>
      </c>
      <c r="I3056" s="18">
        <v>25.96</v>
      </c>
      <c r="J3056" s="12" t="s">
        <v>521</v>
      </c>
      <c r="K3056" s="13" t="s">
        <v>36</v>
      </c>
      <c r="L3056" s="15" t="s">
        <v>122</v>
      </c>
      <c r="M3056" s="12" t="s">
        <v>36</v>
      </c>
      <c r="N3056" s="12" t="s">
        <v>122</v>
      </c>
      <c r="O3056" s="17" t="s">
        <v>36</v>
      </c>
      <c r="P3056" s="12" t="s">
        <v>36</v>
      </c>
      <c r="Q3056" s="12" t="s">
        <v>36</v>
      </c>
      <c r="R3056" s="12" t="s">
        <v>36</v>
      </c>
      <c r="S3056" s="12" t="s">
        <v>36</v>
      </c>
      <c r="T3056" s="12" t="s">
        <v>16150</v>
      </c>
      <c r="U3056" s="12" t="s">
        <v>956</v>
      </c>
      <c r="V3056" s="12" t="s">
        <v>405</v>
      </c>
      <c r="W3056" s="12" t="s">
        <v>16151</v>
      </c>
      <c r="X3056" s="16" t="s">
        <v>16152</v>
      </c>
      <c r="Y3056" s="15" t="s">
        <v>108</v>
      </c>
      <c r="Z3056" s="14">
        <v>12.36</v>
      </c>
      <c r="AA3056" s="14">
        <v>47.6</v>
      </c>
      <c r="AB3056" s="12" t="s">
        <v>43</v>
      </c>
      <c r="AC3056" s="12" t="s">
        <v>16153</v>
      </c>
      <c r="AD3056" s="13">
        <v>44370</v>
      </c>
      <c r="AE3056" s="12" t="s">
        <v>14526</v>
      </c>
      <c r="AF3056" s="12" t="s">
        <v>16154</v>
      </c>
      <c r="AG3056" s="12" t="s">
        <v>81</v>
      </c>
      <c r="AH3056" s="1">
        <f>HYPERLINK("https://my.pitchbook.com?c=174953-26T","View Company Online")</f>
      </c>
    </row>
    <row r="3057">
      <c r="A3057" s="3" t="s">
        <v>16155</v>
      </c>
      <c r="B3057" s="3" t="s">
        <v>16156</v>
      </c>
      <c r="C3057" s="5" t="s">
        <v>36</v>
      </c>
      <c r="D3057" s="5" t="s">
        <v>36</v>
      </c>
      <c r="E3057" s="5" t="s">
        <v>36</v>
      </c>
      <c r="F3057" s="5" t="s">
        <v>36</v>
      </c>
      <c r="G3057" s="6" t="s">
        <v>326</v>
      </c>
      <c r="H3057" s="4">
        <v>8.82</v>
      </c>
      <c r="I3057" s="7">
        <v>23.52</v>
      </c>
      <c r="J3057" s="3" t="s">
        <v>521</v>
      </c>
      <c r="K3057" s="9" t="s">
        <v>36</v>
      </c>
      <c r="L3057" s="6" t="s">
        <v>36</v>
      </c>
      <c r="M3057" s="3" t="s">
        <v>36</v>
      </c>
      <c r="N3057" s="3" t="s">
        <v>36</v>
      </c>
      <c r="O3057" s="8" t="s">
        <v>36</v>
      </c>
      <c r="P3057" s="3" t="s">
        <v>36</v>
      </c>
      <c r="Q3057" s="3" t="s">
        <v>36</v>
      </c>
      <c r="R3057" s="3" t="s">
        <v>36</v>
      </c>
      <c r="S3057" s="3" t="s">
        <v>36</v>
      </c>
      <c r="T3057" s="3" t="s">
        <v>744</v>
      </c>
      <c r="U3057" s="3" t="s">
        <v>38</v>
      </c>
      <c r="V3057" s="3" t="s">
        <v>39</v>
      </c>
      <c r="W3057" s="3" t="s">
        <v>16157</v>
      </c>
      <c r="X3057" s="10" t="s">
        <v>16158</v>
      </c>
      <c r="Y3057" s="6" t="s">
        <v>108</v>
      </c>
      <c r="Z3057" s="4">
        <v>4.24</v>
      </c>
      <c r="AA3057" s="4">
        <v>18.04</v>
      </c>
      <c r="AB3057" s="3" t="s">
        <v>43</v>
      </c>
      <c r="AC3057" s="3" t="s">
        <v>16159</v>
      </c>
      <c r="AD3057" s="9">
        <v>44370</v>
      </c>
      <c r="AE3057" s="3" t="s">
        <v>110</v>
      </c>
      <c r="AF3057" s="3" t="s">
        <v>118</v>
      </c>
      <c r="AG3057" s="3" t="s">
        <v>81</v>
      </c>
      <c r="AH3057" s="11">
        <f>HYPERLINK("https://my.pitchbook.com?c=188279-20T","View Company Online")</f>
      </c>
    </row>
    <row r="3058">
      <c r="A3058" s="12" t="s">
        <v>16160</v>
      </c>
      <c r="B3058" s="12" t="s">
        <v>16161</v>
      </c>
      <c r="C3058" s="19" t="s">
        <v>36</v>
      </c>
      <c r="D3058" s="19" t="s">
        <v>36</v>
      </c>
      <c r="E3058" s="19" t="s">
        <v>36</v>
      </c>
      <c r="F3058" s="19" t="s">
        <v>36</v>
      </c>
      <c r="G3058" s="15" t="s">
        <v>326</v>
      </c>
      <c r="H3058" s="14" t="s">
        <v>36</v>
      </c>
      <c r="I3058" s="18">
        <v>12.75</v>
      </c>
      <c r="J3058" s="12" t="s">
        <v>327</v>
      </c>
      <c r="K3058" s="13" t="s">
        <v>36</v>
      </c>
      <c r="L3058" s="15" t="s">
        <v>36</v>
      </c>
      <c r="M3058" s="12" t="s">
        <v>36</v>
      </c>
      <c r="N3058" s="12" t="s">
        <v>36</v>
      </c>
      <c r="O3058" s="17" t="s">
        <v>36</v>
      </c>
      <c r="P3058" s="12" t="s">
        <v>36</v>
      </c>
      <c r="Q3058" s="12" t="s">
        <v>36</v>
      </c>
      <c r="R3058" s="12" t="s">
        <v>36</v>
      </c>
      <c r="S3058" s="12" t="s">
        <v>36</v>
      </c>
      <c r="T3058" s="12" t="s">
        <v>8858</v>
      </c>
      <c r="U3058" s="12" t="s">
        <v>619</v>
      </c>
      <c r="V3058" s="12" t="s">
        <v>378</v>
      </c>
      <c r="W3058" s="12" t="s">
        <v>16162</v>
      </c>
      <c r="X3058" s="16" t="s">
        <v>4336</v>
      </c>
      <c r="Y3058" s="15" t="s">
        <v>108</v>
      </c>
      <c r="Z3058" s="14">
        <v>1.03</v>
      </c>
      <c r="AA3058" s="14">
        <v>8.08</v>
      </c>
      <c r="AB3058" s="12" t="s">
        <v>56</v>
      </c>
      <c r="AC3058" s="12" t="s">
        <v>16163</v>
      </c>
      <c r="AD3058" s="13">
        <v>44369</v>
      </c>
      <c r="AE3058" s="12" t="s">
        <v>2040</v>
      </c>
      <c r="AF3058" s="12" t="s">
        <v>8828</v>
      </c>
      <c r="AG3058" s="12" t="s">
        <v>81</v>
      </c>
      <c r="AH3058" s="1">
        <f>HYPERLINK("https://my.pitchbook.com?c=203024-62T","View Company Online")</f>
      </c>
    </row>
    <row r="3059">
      <c r="A3059" s="3" t="s">
        <v>16164</v>
      </c>
      <c r="B3059" s="3" t="s">
        <v>16165</v>
      </c>
      <c r="C3059" s="5" t="s">
        <v>36</v>
      </c>
      <c r="D3059" s="5" t="s">
        <v>36</v>
      </c>
      <c r="E3059" s="5" t="s">
        <v>36</v>
      </c>
      <c r="F3059" s="5" t="s">
        <v>36</v>
      </c>
      <c r="G3059" s="6" t="s">
        <v>326</v>
      </c>
      <c r="H3059" s="4">
        <v>25.96</v>
      </c>
      <c r="I3059" s="7">
        <v>6.23</v>
      </c>
      <c r="J3059" s="3" t="s">
        <v>521</v>
      </c>
      <c r="K3059" s="9" t="s">
        <v>36</v>
      </c>
      <c r="L3059" s="6" t="s">
        <v>36</v>
      </c>
      <c r="M3059" s="3" t="s">
        <v>36</v>
      </c>
      <c r="N3059" s="3" t="s">
        <v>36</v>
      </c>
      <c r="O3059" s="8" t="s">
        <v>36</v>
      </c>
      <c r="P3059" s="3" t="s">
        <v>36</v>
      </c>
      <c r="Q3059" s="3" t="s">
        <v>36</v>
      </c>
      <c r="R3059" s="3" t="s">
        <v>36</v>
      </c>
      <c r="S3059" s="3" t="s">
        <v>36</v>
      </c>
      <c r="T3059" s="3" t="s">
        <v>1260</v>
      </c>
      <c r="U3059" s="3" t="s">
        <v>38</v>
      </c>
      <c r="V3059" s="3" t="s">
        <v>39</v>
      </c>
      <c r="W3059" s="3" t="s">
        <v>16166</v>
      </c>
      <c r="X3059" s="10" t="s">
        <v>16167</v>
      </c>
      <c r="Y3059" s="6" t="s">
        <v>192</v>
      </c>
      <c r="Z3059" s="4">
        <v>0.75</v>
      </c>
      <c r="AA3059" s="4">
        <v>12.01</v>
      </c>
      <c r="AB3059" s="3" t="s">
        <v>56</v>
      </c>
      <c r="AC3059" s="3" t="s">
        <v>16168</v>
      </c>
      <c r="AD3059" s="9">
        <v>44369</v>
      </c>
      <c r="AE3059" s="3" t="s">
        <v>110</v>
      </c>
      <c r="AF3059" s="3" t="s">
        <v>1401</v>
      </c>
      <c r="AG3059" s="3" t="s">
        <v>81</v>
      </c>
      <c r="AH3059" s="11">
        <f>HYPERLINK("https://my.pitchbook.com?c=181663-03T","View Company Online")</f>
      </c>
    </row>
    <row r="3060">
      <c r="A3060" s="12" t="s">
        <v>16169</v>
      </c>
      <c r="B3060" s="12" t="s">
        <v>16170</v>
      </c>
      <c r="C3060" s="19">
        <v>9</v>
      </c>
      <c r="D3060" s="19">
        <v>31</v>
      </c>
      <c r="E3060" s="19">
        <v>10</v>
      </c>
      <c r="F3060" s="19">
        <v>41</v>
      </c>
      <c r="G3060" s="15" t="s">
        <v>326</v>
      </c>
      <c r="H3060" s="14">
        <v>523.47</v>
      </c>
      <c r="I3060" s="18">
        <v>10.84</v>
      </c>
      <c r="J3060" s="12" t="s">
        <v>521</v>
      </c>
      <c r="K3060" s="13" t="s">
        <v>36</v>
      </c>
      <c r="L3060" s="15" t="s">
        <v>122</v>
      </c>
      <c r="M3060" s="12" t="s">
        <v>36</v>
      </c>
      <c r="N3060" s="12" t="s">
        <v>122</v>
      </c>
      <c r="O3060" s="17" t="s">
        <v>36</v>
      </c>
      <c r="P3060" s="12" t="s">
        <v>36</v>
      </c>
      <c r="Q3060" s="12" t="s">
        <v>36</v>
      </c>
      <c r="R3060" s="12" t="s">
        <v>36</v>
      </c>
      <c r="S3060" s="12" t="s">
        <v>36</v>
      </c>
      <c r="T3060" s="12" t="s">
        <v>16171</v>
      </c>
      <c r="U3060" s="12" t="s">
        <v>318</v>
      </c>
      <c r="V3060" s="12" t="s">
        <v>39</v>
      </c>
      <c r="W3060" s="12" t="s">
        <v>16172</v>
      </c>
      <c r="X3060" s="16" t="s">
        <v>16173</v>
      </c>
      <c r="Y3060" s="15" t="s">
        <v>55</v>
      </c>
      <c r="Z3060" s="14">
        <v>1.39</v>
      </c>
      <c r="AA3060" s="14">
        <v>12.8</v>
      </c>
      <c r="AB3060" s="12" t="s">
        <v>56</v>
      </c>
      <c r="AC3060" s="12" t="s">
        <v>16174</v>
      </c>
      <c r="AD3060" s="13">
        <v>44368</v>
      </c>
      <c r="AE3060" s="12" t="s">
        <v>763</v>
      </c>
      <c r="AF3060" s="12" t="s">
        <v>16175</v>
      </c>
      <c r="AG3060" s="12" t="s">
        <v>81</v>
      </c>
      <c r="AH3060" s="1">
        <f>HYPERLINK("https://my.pitchbook.com?c=177927-76T","View Company Online")</f>
      </c>
    </row>
    <row r="3061">
      <c r="A3061" s="3" t="s">
        <v>16176</v>
      </c>
      <c r="B3061" s="3" t="s">
        <v>10337</v>
      </c>
      <c r="C3061" s="5" t="s">
        <v>36</v>
      </c>
      <c r="D3061" s="5" t="s">
        <v>36</v>
      </c>
      <c r="E3061" s="5" t="s">
        <v>36</v>
      </c>
      <c r="F3061" s="5" t="s">
        <v>36</v>
      </c>
      <c r="G3061" s="6" t="s">
        <v>36</v>
      </c>
      <c r="H3061" s="4">
        <v>4.35</v>
      </c>
      <c r="I3061" s="7">
        <v>25.41</v>
      </c>
      <c r="J3061" s="3" t="s">
        <v>521</v>
      </c>
      <c r="K3061" s="9" t="s">
        <v>36</v>
      </c>
      <c r="L3061" s="6" t="s">
        <v>36</v>
      </c>
      <c r="M3061" s="3" t="s">
        <v>36</v>
      </c>
      <c r="N3061" s="3" t="s">
        <v>36</v>
      </c>
      <c r="O3061" s="8" t="s">
        <v>36</v>
      </c>
      <c r="P3061" s="3" t="s">
        <v>36</v>
      </c>
      <c r="Q3061" s="3" t="s">
        <v>36</v>
      </c>
      <c r="R3061" s="3" t="s">
        <v>36</v>
      </c>
      <c r="S3061" s="3" t="s">
        <v>36</v>
      </c>
      <c r="T3061" s="3" t="s">
        <v>10338</v>
      </c>
      <c r="U3061" s="3" t="s">
        <v>648</v>
      </c>
      <c r="V3061" s="3" t="s">
        <v>64</v>
      </c>
      <c r="W3061" s="3" t="s">
        <v>10339</v>
      </c>
      <c r="X3061" s="10" t="s">
        <v>16177</v>
      </c>
      <c r="Y3061" s="6" t="s">
        <v>108</v>
      </c>
      <c r="Z3061" s="4">
        <v>2.58</v>
      </c>
      <c r="AA3061" s="4">
        <v>10.14</v>
      </c>
      <c r="AB3061" s="3" t="s">
        <v>43</v>
      </c>
      <c r="AC3061" s="3" t="s">
        <v>10341</v>
      </c>
      <c r="AD3061" s="9">
        <v>44368</v>
      </c>
      <c r="AE3061" s="3" t="s">
        <v>651</v>
      </c>
      <c r="AF3061" s="3" t="s">
        <v>2363</v>
      </c>
      <c r="AG3061" s="3" t="s">
        <v>10342</v>
      </c>
      <c r="AH3061" s="11">
        <f>HYPERLINK("https://my.pitchbook.com?c=174685-51T","View Company Online")</f>
      </c>
    </row>
    <row r="3062">
      <c r="A3062" s="12" t="s">
        <v>16178</v>
      </c>
      <c r="B3062" s="12" t="s">
        <v>2002</v>
      </c>
      <c r="C3062" s="19">
        <v>4</v>
      </c>
      <c r="D3062" s="19" t="s">
        <v>36</v>
      </c>
      <c r="E3062" s="19">
        <v>3</v>
      </c>
      <c r="F3062" s="19">
        <v>6</v>
      </c>
      <c r="G3062" s="15" t="s">
        <v>36</v>
      </c>
      <c r="H3062" s="14">
        <v>342.93</v>
      </c>
      <c r="I3062" s="18">
        <v>26.67</v>
      </c>
      <c r="J3062" s="12" t="s">
        <v>521</v>
      </c>
      <c r="K3062" s="13" t="s">
        <v>36</v>
      </c>
      <c r="L3062" s="15" t="s">
        <v>36</v>
      </c>
      <c r="M3062" s="12" t="s">
        <v>36</v>
      </c>
      <c r="N3062" s="12" t="s">
        <v>36</v>
      </c>
      <c r="O3062" s="17" t="s">
        <v>36</v>
      </c>
      <c r="P3062" s="12" t="s">
        <v>36</v>
      </c>
      <c r="Q3062" s="12" t="s">
        <v>36</v>
      </c>
      <c r="R3062" s="12" t="s">
        <v>36</v>
      </c>
      <c r="S3062" s="12" t="s">
        <v>36</v>
      </c>
      <c r="T3062" s="12" t="s">
        <v>2003</v>
      </c>
      <c r="U3062" s="12" t="s">
        <v>96</v>
      </c>
      <c r="V3062" s="12" t="s">
        <v>52</v>
      </c>
      <c r="W3062" s="12" t="s">
        <v>2004</v>
      </c>
      <c r="X3062" s="16" t="s">
        <v>16179</v>
      </c>
      <c r="Y3062" s="15" t="s">
        <v>42</v>
      </c>
      <c r="Z3062" s="14">
        <v>2.43</v>
      </c>
      <c r="AA3062" s="14">
        <v>9.1</v>
      </c>
      <c r="AB3062" s="12" t="s">
        <v>43</v>
      </c>
      <c r="AC3062" s="12" t="s">
        <v>2006</v>
      </c>
      <c r="AD3062" s="13">
        <v>44368</v>
      </c>
      <c r="AE3062" s="12" t="s">
        <v>143</v>
      </c>
      <c r="AF3062" s="12" t="s">
        <v>885</v>
      </c>
      <c r="AG3062" s="12" t="s">
        <v>1362</v>
      </c>
      <c r="AH3062" s="1">
        <f>HYPERLINK("https://my.pitchbook.com?c=175979-44T","View Company Online")</f>
      </c>
    </row>
    <row r="3063">
      <c r="A3063" s="3" t="s">
        <v>16180</v>
      </c>
      <c r="B3063" s="3" t="s">
        <v>16181</v>
      </c>
      <c r="C3063" s="5" t="s">
        <v>36</v>
      </c>
      <c r="D3063" s="5" t="s">
        <v>36</v>
      </c>
      <c r="E3063" s="5" t="s">
        <v>36</v>
      </c>
      <c r="F3063" s="5" t="s">
        <v>36</v>
      </c>
      <c r="G3063" s="6" t="s">
        <v>36</v>
      </c>
      <c r="H3063" s="4">
        <v>1.03</v>
      </c>
      <c r="I3063" s="7">
        <v>17.95</v>
      </c>
      <c r="J3063" s="3" t="s">
        <v>521</v>
      </c>
      <c r="K3063" s="9" t="s">
        <v>36</v>
      </c>
      <c r="L3063" s="6" t="s">
        <v>36</v>
      </c>
      <c r="M3063" s="3" t="s">
        <v>36</v>
      </c>
      <c r="N3063" s="3" t="s">
        <v>36</v>
      </c>
      <c r="O3063" s="8" t="s">
        <v>36</v>
      </c>
      <c r="P3063" s="3" t="s">
        <v>36</v>
      </c>
      <c r="Q3063" s="3" t="s">
        <v>36</v>
      </c>
      <c r="R3063" s="3" t="s">
        <v>36</v>
      </c>
      <c r="S3063" s="3" t="s">
        <v>36</v>
      </c>
      <c r="T3063" s="3" t="s">
        <v>522</v>
      </c>
      <c r="U3063" s="3" t="s">
        <v>38</v>
      </c>
      <c r="V3063" s="3" t="s">
        <v>39</v>
      </c>
      <c r="W3063" s="3" t="s">
        <v>16182</v>
      </c>
      <c r="X3063" s="10" t="s">
        <v>11115</v>
      </c>
      <c r="Y3063" s="6" t="s">
        <v>55</v>
      </c>
      <c r="Z3063" s="4">
        <v>0.54</v>
      </c>
      <c r="AA3063" s="4">
        <v>2.98</v>
      </c>
      <c r="AB3063" s="3" t="s">
        <v>43</v>
      </c>
      <c r="AC3063" s="3" t="s">
        <v>16183</v>
      </c>
      <c r="AD3063" s="9">
        <v>44368</v>
      </c>
      <c r="AE3063" s="3" t="s">
        <v>110</v>
      </c>
      <c r="AF3063" s="3" t="s">
        <v>7533</v>
      </c>
      <c r="AG3063" s="3" t="s">
        <v>81</v>
      </c>
      <c r="AH3063" s="11">
        <f>HYPERLINK("https://my.pitchbook.com?c=193900-24T","View Company Online")</f>
      </c>
    </row>
    <row r="3064">
      <c r="A3064" s="12" t="s">
        <v>16184</v>
      </c>
      <c r="B3064" s="12" t="s">
        <v>16185</v>
      </c>
      <c r="C3064" s="19" t="s">
        <v>36</v>
      </c>
      <c r="D3064" s="19" t="s">
        <v>36</v>
      </c>
      <c r="E3064" s="19" t="s">
        <v>36</v>
      </c>
      <c r="F3064" s="19" t="s">
        <v>36</v>
      </c>
      <c r="G3064" s="15" t="s">
        <v>326</v>
      </c>
      <c r="H3064" s="14">
        <v>90.06</v>
      </c>
      <c r="I3064" s="18">
        <v>41.45</v>
      </c>
      <c r="J3064" s="12" t="s">
        <v>521</v>
      </c>
      <c r="K3064" s="13" t="s">
        <v>36</v>
      </c>
      <c r="L3064" s="15" t="s">
        <v>122</v>
      </c>
      <c r="M3064" s="12" t="s">
        <v>36</v>
      </c>
      <c r="N3064" s="12" t="s">
        <v>122</v>
      </c>
      <c r="O3064" s="17" t="s">
        <v>36</v>
      </c>
      <c r="P3064" s="12" t="s">
        <v>36</v>
      </c>
      <c r="Q3064" s="12" t="s">
        <v>36</v>
      </c>
      <c r="R3064" s="12" t="s">
        <v>36</v>
      </c>
      <c r="S3064" s="12" t="s">
        <v>36</v>
      </c>
      <c r="T3064" s="12" t="s">
        <v>16186</v>
      </c>
      <c r="U3064" s="12" t="s">
        <v>38</v>
      </c>
      <c r="V3064" s="12" t="s">
        <v>39</v>
      </c>
      <c r="W3064" s="12" t="s">
        <v>16187</v>
      </c>
      <c r="X3064" s="16" t="s">
        <v>16188</v>
      </c>
      <c r="Y3064" s="15" t="s">
        <v>42</v>
      </c>
      <c r="Z3064" s="14">
        <v>6.06</v>
      </c>
      <c r="AA3064" s="14">
        <v>12.52</v>
      </c>
      <c r="AB3064" s="12" t="s">
        <v>56</v>
      </c>
      <c r="AC3064" s="12" t="s">
        <v>16189</v>
      </c>
      <c r="AD3064" s="13">
        <v>44368</v>
      </c>
      <c r="AE3064" s="12" t="s">
        <v>1330</v>
      </c>
      <c r="AF3064" s="12" t="s">
        <v>16190</v>
      </c>
      <c r="AG3064" s="12" t="s">
        <v>81</v>
      </c>
      <c r="AH3064" s="1">
        <f>HYPERLINK("https://my.pitchbook.com?c=174689-56T","View Company Online")</f>
      </c>
    </row>
    <row r="3065">
      <c r="A3065" s="3" t="s">
        <v>16191</v>
      </c>
      <c r="B3065" s="3" t="s">
        <v>16192</v>
      </c>
      <c r="C3065" s="5" t="s">
        <v>36</v>
      </c>
      <c r="D3065" s="5" t="s">
        <v>36</v>
      </c>
      <c r="E3065" s="5" t="s">
        <v>36</v>
      </c>
      <c r="F3065" s="5" t="s">
        <v>36</v>
      </c>
      <c r="G3065" s="6" t="s">
        <v>36</v>
      </c>
      <c r="H3065" s="4" t="s">
        <v>36</v>
      </c>
      <c r="I3065" s="7" t="s">
        <v>36</v>
      </c>
      <c r="J3065" s="3" t="s">
        <v>36</v>
      </c>
      <c r="K3065" s="9" t="s">
        <v>36</v>
      </c>
      <c r="L3065" s="6" t="s">
        <v>36</v>
      </c>
      <c r="M3065" s="3" t="s">
        <v>36</v>
      </c>
      <c r="N3065" s="3" t="s">
        <v>36</v>
      </c>
      <c r="O3065" s="8" t="s">
        <v>36</v>
      </c>
      <c r="P3065" s="3" t="s">
        <v>36</v>
      </c>
      <c r="Q3065" s="3" t="s">
        <v>36</v>
      </c>
      <c r="R3065" s="3" t="s">
        <v>36</v>
      </c>
      <c r="S3065" s="3" t="s">
        <v>36</v>
      </c>
      <c r="T3065" s="3" t="s">
        <v>994</v>
      </c>
      <c r="U3065" s="3" t="s">
        <v>74</v>
      </c>
      <c r="V3065" s="3" t="s">
        <v>75</v>
      </c>
      <c r="W3065" s="3" t="s">
        <v>16193</v>
      </c>
      <c r="X3065" s="10" t="s">
        <v>16194</v>
      </c>
      <c r="Y3065" s="6" t="s">
        <v>42</v>
      </c>
      <c r="Z3065" s="4" t="s">
        <v>36</v>
      </c>
      <c r="AA3065" s="4" t="s">
        <v>36</v>
      </c>
      <c r="AB3065" s="3" t="s">
        <v>56</v>
      </c>
      <c r="AC3065" s="3" t="s">
        <v>16195</v>
      </c>
      <c r="AD3065" s="9">
        <v>44368</v>
      </c>
      <c r="AE3065" s="3" t="s">
        <v>362</v>
      </c>
      <c r="AF3065" s="3" t="s">
        <v>250</v>
      </c>
      <c r="AG3065" s="3" t="s">
        <v>16196</v>
      </c>
      <c r="AH3065" s="11">
        <f>HYPERLINK("https://my.pitchbook.com?c=123001-75T","View Company Online")</f>
      </c>
    </row>
    <row r="3066">
      <c r="A3066" s="12" t="s">
        <v>16197</v>
      </c>
      <c r="B3066" s="12" t="s">
        <v>3825</v>
      </c>
      <c r="C3066" s="19" t="s">
        <v>36</v>
      </c>
      <c r="D3066" s="19" t="s">
        <v>36</v>
      </c>
      <c r="E3066" s="19" t="s">
        <v>36</v>
      </c>
      <c r="F3066" s="19" t="s">
        <v>36</v>
      </c>
      <c r="G3066" s="15" t="s">
        <v>36</v>
      </c>
      <c r="H3066" s="14">
        <v>8.24</v>
      </c>
      <c r="I3066" s="18">
        <v>27.41</v>
      </c>
      <c r="J3066" s="12" t="s">
        <v>521</v>
      </c>
      <c r="K3066" s="13" t="s">
        <v>36</v>
      </c>
      <c r="L3066" s="15" t="s">
        <v>122</v>
      </c>
      <c r="M3066" s="12" t="s">
        <v>36</v>
      </c>
      <c r="N3066" s="12" t="s">
        <v>122</v>
      </c>
      <c r="O3066" s="17" t="s">
        <v>36</v>
      </c>
      <c r="P3066" s="12" t="s">
        <v>36</v>
      </c>
      <c r="Q3066" s="12" t="s">
        <v>36</v>
      </c>
      <c r="R3066" s="12" t="s">
        <v>36</v>
      </c>
      <c r="S3066" s="12" t="s">
        <v>36</v>
      </c>
      <c r="T3066" s="12" t="s">
        <v>3826</v>
      </c>
      <c r="U3066" s="12" t="s">
        <v>423</v>
      </c>
      <c r="V3066" s="12" t="s">
        <v>64</v>
      </c>
      <c r="W3066" s="12" t="s">
        <v>3827</v>
      </c>
      <c r="X3066" s="16" t="s">
        <v>16198</v>
      </c>
      <c r="Y3066" s="15" t="s">
        <v>108</v>
      </c>
      <c r="Z3066" s="14">
        <v>12.16</v>
      </c>
      <c r="AA3066" s="14">
        <v>26.62</v>
      </c>
      <c r="AB3066" s="12" t="s">
        <v>43</v>
      </c>
      <c r="AC3066" s="12" t="s">
        <v>3829</v>
      </c>
      <c r="AD3066" s="13">
        <v>44365</v>
      </c>
      <c r="AE3066" s="12" t="s">
        <v>1051</v>
      </c>
      <c r="AF3066" s="12" t="s">
        <v>1061</v>
      </c>
      <c r="AG3066" s="12" t="s">
        <v>81</v>
      </c>
      <c r="AH3066" s="1">
        <f>HYPERLINK("https://my.pitchbook.com?c=170173-18T","View Company Online")</f>
      </c>
    </row>
    <row r="3067">
      <c r="A3067" s="3" t="s">
        <v>16199</v>
      </c>
      <c r="B3067" s="3" t="s">
        <v>1957</v>
      </c>
      <c r="C3067" s="5">
        <v>3</v>
      </c>
      <c r="D3067" s="5" t="s">
        <v>36</v>
      </c>
      <c r="E3067" s="5">
        <v>1</v>
      </c>
      <c r="F3067" s="5">
        <v>4</v>
      </c>
      <c r="G3067" s="6" t="s">
        <v>326</v>
      </c>
      <c r="H3067" s="4" t="s">
        <v>36</v>
      </c>
      <c r="I3067" s="7">
        <v>22.87</v>
      </c>
      <c r="J3067" s="3" t="s">
        <v>327</v>
      </c>
      <c r="K3067" s="9" t="s">
        <v>36</v>
      </c>
      <c r="L3067" s="6" t="s">
        <v>94</v>
      </c>
      <c r="M3067" s="3" t="s">
        <v>36</v>
      </c>
      <c r="N3067" s="3" t="s">
        <v>94</v>
      </c>
      <c r="O3067" s="8" t="s">
        <v>36</v>
      </c>
      <c r="P3067" s="3" t="s">
        <v>36</v>
      </c>
      <c r="Q3067" s="3" t="s">
        <v>36</v>
      </c>
      <c r="R3067" s="3" t="s">
        <v>36</v>
      </c>
      <c r="S3067" s="3" t="s">
        <v>36</v>
      </c>
      <c r="T3067" s="3" t="s">
        <v>1958</v>
      </c>
      <c r="U3067" s="3" t="s">
        <v>38</v>
      </c>
      <c r="V3067" s="3" t="s">
        <v>39</v>
      </c>
      <c r="W3067" s="3" t="s">
        <v>1959</v>
      </c>
      <c r="X3067" s="10" t="s">
        <v>16200</v>
      </c>
      <c r="Y3067" s="6" t="s">
        <v>55</v>
      </c>
      <c r="Z3067" s="4">
        <v>36.51</v>
      </c>
      <c r="AA3067" s="4">
        <v>159.68</v>
      </c>
      <c r="AB3067" s="3" t="s">
        <v>43</v>
      </c>
      <c r="AC3067" s="3" t="s">
        <v>1961</v>
      </c>
      <c r="AD3067" s="9">
        <v>44364</v>
      </c>
      <c r="AE3067" s="3" t="s">
        <v>45</v>
      </c>
      <c r="AF3067" s="3" t="s">
        <v>1962</v>
      </c>
      <c r="AG3067" s="3" t="s">
        <v>81</v>
      </c>
      <c r="AH3067" s="11">
        <f>HYPERLINK("https://my.pitchbook.com?c=159726-25T","View Company Online")</f>
      </c>
    </row>
    <row r="3068">
      <c r="A3068" s="12" t="s">
        <v>16201</v>
      </c>
      <c r="B3068" s="12" t="s">
        <v>6064</v>
      </c>
      <c r="C3068" s="19" t="s">
        <v>36</v>
      </c>
      <c r="D3068" s="19" t="s">
        <v>36</v>
      </c>
      <c r="E3068" s="19" t="s">
        <v>36</v>
      </c>
      <c r="F3068" s="19" t="s">
        <v>36</v>
      </c>
      <c r="G3068" s="15" t="s">
        <v>36</v>
      </c>
      <c r="H3068" s="14">
        <v>4.99</v>
      </c>
      <c r="I3068" s="18">
        <v>23.08</v>
      </c>
      <c r="J3068" s="12" t="s">
        <v>521</v>
      </c>
      <c r="K3068" s="13" t="s">
        <v>36</v>
      </c>
      <c r="L3068" s="15" t="s">
        <v>36</v>
      </c>
      <c r="M3068" s="12" t="s">
        <v>36</v>
      </c>
      <c r="N3068" s="12" t="s">
        <v>36</v>
      </c>
      <c r="O3068" s="17" t="s">
        <v>36</v>
      </c>
      <c r="P3068" s="12" t="s">
        <v>36</v>
      </c>
      <c r="Q3068" s="12" t="s">
        <v>36</v>
      </c>
      <c r="R3068" s="12" t="s">
        <v>36</v>
      </c>
      <c r="S3068" s="12" t="s">
        <v>36</v>
      </c>
      <c r="T3068" s="12" t="s">
        <v>2925</v>
      </c>
      <c r="U3068" s="12" t="s">
        <v>38</v>
      </c>
      <c r="V3068" s="12" t="s">
        <v>39</v>
      </c>
      <c r="W3068" s="12" t="s">
        <v>6065</v>
      </c>
      <c r="X3068" s="16" t="s">
        <v>16202</v>
      </c>
      <c r="Y3068" s="15" t="s">
        <v>42</v>
      </c>
      <c r="Z3068" s="14">
        <v>3.65</v>
      </c>
      <c r="AA3068" s="14">
        <v>7.91</v>
      </c>
      <c r="AB3068" s="12" t="s">
        <v>43</v>
      </c>
      <c r="AC3068" s="12" t="s">
        <v>6067</v>
      </c>
      <c r="AD3068" s="13">
        <v>44364</v>
      </c>
      <c r="AE3068" s="12" t="s">
        <v>110</v>
      </c>
      <c r="AF3068" s="12" t="s">
        <v>2087</v>
      </c>
      <c r="AG3068" s="12" t="s">
        <v>6068</v>
      </c>
      <c r="AH3068" s="1">
        <f>HYPERLINK("https://my.pitchbook.com?c=175482-10T","View Company Online")</f>
      </c>
    </row>
    <row r="3069">
      <c r="A3069" s="3" t="s">
        <v>16203</v>
      </c>
      <c r="B3069" s="3" t="s">
        <v>16204</v>
      </c>
      <c r="C3069" s="5" t="s">
        <v>36</v>
      </c>
      <c r="D3069" s="5" t="s">
        <v>36</v>
      </c>
      <c r="E3069" s="5" t="s">
        <v>36</v>
      </c>
      <c r="F3069" s="5" t="s">
        <v>36</v>
      </c>
      <c r="G3069" s="6" t="s">
        <v>36</v>
      </c>
      <c r="H3069" s="4">
        <v>30.9</v>
      </c>
      <c r="I3069" s="7">
        <v>19.27</v>
      </c>
      <c r="J3069" s="3" t="s">
        <v>521</v>
      </c>
      <c r="K3069" s="9" t="s">
        <v>36</v>
      </c>
      <c r="L3069" s="6" t="s">
        <v>36</v>
      </c>
      <c r="M3069" s="3" t="s">
        <v>36</v>
      </c>
      <c r="N3069" s="3" t="s">
        <v>36</v>
      </c>
      <c r="O3069" s="8" t="s">
        <v>36</v>
      </c>
      <c r="P3069" s="3" t="s">
        <v>36</v>
      </c>
      <c r="Q3069" s="3" t="s">
        <v>36</v>
      </c>
      <c r="R3069" s="3" t="s">
        <v>36</v>
      </c>
      <c r="S3069" s="3" t="s">
        <v>36</v>
      </c>
      <c r="T3069" s="3" t="s">
        <v>16205</v>
      </c>
      <c r="U3069" s="3" t="s">
        <v>38</v>
      </c>
      <c r="V3069" s="3" t="s">
        <v>39</v>
      </c>
      <c r="W3069" s="3" t="s">
        <v>16206</v>
      </c>
      <c r="X3069" s="10" t="s">
        <v>5892</v>
      </c>
      <c r="Y3069" s="6" t="s">
        <v>42</v>
      </c>
      <c r="Z3069" s="4">
        <v>0.86</v>
      </c>
      <c r="AA3069" s="4">
        <v>4.49</v>
      </c>
      <c r="AB3069" s="3" t="s">
        <v>43</v>
      </c>
      <c r="AC3069" s="3" t="s">
        <v>16207</v>
      </c>
      <c r="AD3069" s="9">
        <v>44364</v>
      </c>
      <c r="AE3069" s="3" t="s">
        <v>110</v>
      </c>
      <c r="AF3069" s="3" t="s">
        <v>3762</v>
      </c>
      <c r="AG3069" s="3" t="s">
        <v>81</v>
      </c>
      <c r="AH3069" s="11">
        <f>HYPERLINK("https://my.pitchbook.com?c=174526-57T","View Company Online")</f>
      </c>
    </row>
    <row r="3070">
      <c r="A3070" s="12" t="s">
        <v>16208</v>
      </c>
      <c r="B3070" s="12" t="s">
        <v>16209</v>
      </c>
      <c r="C3070" s="19" t="s">
        <v>36</v>
      </c>
      <c r="D3070" s="19" t="s">
        <v>36</v>
      </c>
      <c r="E3070" s="19" t="s">
        <v>36</v>
      </c>
      <c r="F3070" s="19" t="s">
        <v>36</v>
      </c>
      <c r="G3070" s="15" t="s">
        <v>36</v>
      </c>
      <c r="H3070" s="14" t="s">
        <v>36</v>
      </c>
      <c r="I3070" s="18" t="s">
        <v>36</v>
      </c>
      <c r="J3070" s="12" t="s">
        <v>36</v>
      </c>
      <c r="K3070" s="13" t="s">
        <v>36</v>
      </c>
      <c r="L3070" s="15" t="s">
        <v>36</v>
      </c>
      <c r="M3070" s="12" t="s">
        <v>36</v>
      </c>
      <c r="N3070" s="12" t="s">
        <v>36</v>
      </c>
      <c r="O3070" s="17" t="s">
        <v>36</v>
      </c>
      <c r="P3070" s="12" t="s">
        <v>36</v>
      </c>
      <c r="Q3070" s="12" t="s">
        <v>36</v>
      </c>
      <c r="R3070" s="12" t="s">
        <v>36</v>
      </c>
      <c r="S3070" s="12" t="s">
        <v>36</v>
      </c>
      <c r="T3070" s="12" t="s">
        <v>464</v>
      </c>
      <c r="U3070" s="12" t="s">
        <v>38</v>
      </c>
      <c r="V3070" s="12" t="s">
        <v>39</v>
      </c>
      <c r="W3070" s="12" t="s">
        <v>16210</v>
      </c>
      <c r="X3070" s="16" t="s">
        <v>16211</v>
      </c>
      <c r="Y3070" s="15" t="s">
        <v>42</v>
      </c>
      <c r="Z3070" s="14">
        <v>3.65</v>
      </c>
      <c r="AA3070" s="14" t="s">
        <v>36</v>
      </c>
      <c r="AB3070" s="12" t="s">
        <v>43</v>
      </c>
      <c r="AC3070" s="12" t="s">
        <v>16212</v>
      </c>
      <c r="AD3070" s="13">
        <v>44363</v>
      </c>
      <c r="AE3070" s="12" t="s">
        <v>110</v>
      </c>
      <c r="AF3070" s="12" t="s">
        <v>526</v>
      </c>
      <c r="AG3070" s="12" t="s">
        <v>11049</v>
      </c>
      <c r="AH3070" s="1">
        <f>HYPERLINK("https://my.pitchbook.com?c=174663-64T","View Company Online")</f>
      </c>
    </row>
    <row r="3071">
      <c r="A3071" s="3" t="s">
        <v>16213</v>
      </c>
      <c r="B3071" s="3" t="s">
        <v>16214</v>
      </c>
      <c r="C3071" s="5" t="s">
        <v>36</v>
      </c>
      <c r="D3071" s="5" t="s">
        <v>36</v>
      </c>
      <c r="E3071" s="5" t="s">
        <v>36</v>
      </c>
      <c r="F3071" s="5" t="s">
        <v>36</v>
      </c>
      <c r="G3071" s="6" t="s">
        <v>36</v>
      </c>
      <c r="H3071" s="4">
        <v>209.38</v>
      </c>
      <c r="I3071" s="7">
        <v>54.21</v>
      </c>
      <c r="J3071" s="3" t="s">
        <v>521</v>
      </c>
      <c r="K3071" s="9">
        <v>44344</v>
      </c>
      <c r="L3071" s="6" t="s">
        <v>36</v>
      </c>
      <c r="M3071" s="3" t="s">
        <v>36</v>
      </c>
      <c r="N3071" s="3" t="s">
        <v>36</v>
      </c>
      <c r="O3071" s="8" t="s">
        <v>36</v>
      </c>
      <c r="P3071" s="3" t="s">
        <v>36</v>
      </c>
      <c r="Q3071" s="3" t="s">
        <v>36</v>
      </c>
      <c r="R3071" s="3" t="s">
        <v>36</v>
      </c>
      <c r="S3071" s="3" t="s">
        <v>36</v>
      </c>
      <c r="T3071" s="3" t="s">
        <v>1701</v>
      </c>
      <c r="U3071" s="3" t="s">
        <v>74</v>
      </c>
      <c r="V3071" s="3" t="s">
        <v>75</v>
      </c>
      <c r="W3071" s="3" t="s">
        <v>16215</v>
      </c>
      <c r="X3071" s="10" t="s">
        <v>16216</v>
      </c>
      <c r="Y3071" s="6" t="s">
        <v>42</v>
      </c>
      <c r="Z3071" s="4">
        <v>2.56</v>
      </c>
      <c r="AA3071" s="4">
        <v>4.72</v>
      </c>
      <c r="AB3071" s="3" t="s">
        <v>43</v>
      </c>
      <c r="AC3071" s="3" t="s">
        <v>16217</v>
      </c>
      <c r="AD3071" s="9">
        <v>44363</v>
      </c>
      <c r="AE3071" s="3" t="s">
        <v>79</v>
      </c>
      <c r="AF3071" s="3" t="s">
        <v>1401</v>
      </c>
      <c r="AG3071" s="3" t="s">
        <v>16218</v>
      </c>
      <c r="AH3071" s="11">
        <f>HYPERLINK("https://my.pitchbook.com?c=173277-46T","View Company Online")</f>
      </c>
    </row>
    <row r="3072">
      <c r="A3072" s="12" t="s">
        <v>16219</v>
      </c>
      <c r="B3072" s="12" t="s">
        <v>16220</v>
      </c>
      <c r="C3072" s="19" t="s">
        <v>36</v>
      </c>
      <c r="D3072" s="19" t="s">
        <v>36</v>
      </c>
      <c r="E3072" s="19" t="s">
        <v>36</v>
      </c>
      <c r="F3072" s="19" t="s">
        <v>36</v>
      </c>
      <c r="G3072" s="15" t="s">
        <v>36</v>
      </c>
      <c r="H3072" s="14" t="s">
        <v>36</v>
      </c>
      <c r="I3072" s="18" t="s">
        <v>36</v>
      </c>
      <c r="J3072" s="12" t="s">
        <v>36</v>
      </c>
      <c r="K3072" s="13" t="s">
        <v>36</v>
      </c>
      <c r="L3072" s="15" t="s">
        <v>36</v>
      </c>
      <c r="M3072" s="12" t="s">
        <v>36</v>
      </c>
      <c r="N3072" s="12" t="s">
        <v>36</v>
      </c>
      <c r="O3072" s="17" t="s">
        <v>36</v>
      </c>
      <c r="P3072" s="12" t="s">
        <v>36</v>
      </c>
      <c r="Q3072" s="12" t="s">
        <v>36</v>
      </c>
      <c r="R3072" s="12" t="s">
        <v>36</v>
      </c>
      <c r="S3072" s="12" t="s">
        <v>36</v>
      </c>
      <c r="T3072" s="12" t="s">
        <v>16221</v>
      </c>
      <c r="U3072" s="12" t="s">
        <v>38</v>
      </c>
      <c r="V3072" s="12" t="s">
        <v>39</v>
      </c>
      <c r="W3072" s="12" t="s">
        <v>16222</v>
      </c>
      <c r="X3072" s="16" t="s">
        <v>2433</v>
      </c>
      <c r="Y3072" s="15" t="s">
        <v>42</v>
      </c>
      <c r="Z3072" s="14">
        <v>0.49</v>
      </c>
      <c r="AA3072" s="14" t="s">
        <v>36</v>
      </c>
      <c r="AB3072" s="12" t="s">
        <v>43</v>
      </c>
      <c r="AC3072" s="12" t="s">
        <v>16223</v>
      </c>
      <c r="AD3072" s="13">
        <v>44363</v>
      </c>
      <c r="AE3072" s="12" t="s">
        <v>110</v>
      </c>
      <c r="AF3072" s="12" t="s">
        <v>3172</v>
      </c>
      <c r="AG3072" s="12" t="s">
        <v>81</v>
      </c>
      <c r="AH3072" s="1">
        <f>HYPERLINK("https://my.pitchbook.com?c=179722-00T","View Company Online")</f>
      </c>
    </row>
    <row r="3073">
      <c r="A3073" s="3" t="s">
        <v>16224</v>
      </c>
      <c r="B3073" s="3" t="s">
        <v>16225</v>
      </c>
      <c r="C3073" s="5">
        <v>25</v>
      </c>
      <c r="D3073" s="5">
        <v>2</v>
      </c>
      <c r="E3073" s="5">
        <v>8</v>
      </c>
      <c r="F3073" s="5">
        <v>27</v>
      </c>
      <c r="G3073" s="6" t="s">
        <v>36</v>
      </c>
      <c r="H3073" s="4">
        <v>39.58</v>
      </c>
      <c r="I3073" s="7">
        <v>79.34</v>
      </c>
      <c r="J3073" s="3" t="s">
        <v>521</v>
      </c>
      <c r="K3073" s="9" t="s">
        <v>36</v>
      </c>
      <c r="L3073" s="6" t="s">
        <v>122</v>
      </c>
      <c r="M3073" s="3" t="s">
        <v>36</v>
      </c>
      <c r="N3073" s="3" t="s">
        <v>122</v>
      </c>
      <c r="O3073" s="8" t="s">
        <v>36</v>
      </c>
      <c r="P3073" s="3" t="s">
        <v>36</v>
      </c>
      <c r="Q3073" s="3" t="s">
        <v>36</v>
      </c>
      <c r="R3073" s="3" t="s">
        <v>36</v>
      </c>
      <c r="S3073" s="3" t="s">
        <v>36</v>
      </c>
      <c r="T3073" s="3" t="s">
        <v>881</v>
      </c>
      <c r="U3073" s="3" t="s">
        <v>51</v>
      </c>
      <c r="V3073" s="3" t="s">
        <v>52</v>
      </c>
      <c r="W3073" s="3" t="s">
        <v>16226</v>
      </c>
      <c r="X3073" s="10" t="s">
        <v>16227</v>
      </c>
      <c r="Y3073" s="6" t="s">
        <v>55</v>
      </c>
      <c r="Z3073" s="4">
        <v>91.32</v>
      </c>
      <c r="AA3073" s="4">
        <v>102.26</v>
      </c>
      <c r="AB3073" s="3" t="s">
        <v>43</v>
      </c>
      <c r="AC3073" s="3" t="s">
        <v>16228</v>
      </c>
      <c r="AD3073" s="9">
        <v>44363</v>
      </c>
      <c r="AE3073" s="3" t="s">
        <v>504</v>
      </c>
      <c r="AF3073" s="3" t="s">
        <v>665</v>
      </c>
      <c r="AG3073" s="3" t="s">
        <v>81</v>
      </c>
      <c r="AH3073" s="11">
        <f>HYPERLINK("https://my.pitchbook.com?c=174432-61T","View Company Online")</f>
      </c>
    </row>
    <row r="3074">
      <c r="A3074" s="12" t="s">
        <v>16229</v>
      </c>
      <c r="B3074" s="12" t="s">
        <v>16230</v>
      </c>
      <c r="C3074" s="19" t="s">
        <v>36</v>
      </c>
      <c r="D3074" s="19" t="s">
        <v>36</v>
      </c>
      <c r="E3074" s="19" t="s">
        <v>36</v>
      </c>
      <c r="F3074" s="19" t="s">
        <v>36</v>
      </c>
      <c r="G3074" s="15" t="s">
        <v>36</v>
      </c>
      <c r="H3074" s="14">
        <v>17.86</v>
      </c>
      <c r="I3074" s="18">
        <v>14.05</v>
      </c>
      <c r="J3074" s="12" t="s">
        <v>521</v>
      </c>
      <c r="K3074" s="13" t="s">
        <v>36</v>
      </c>
      <c r="L3074" s="15" t="s">
        <v>36</v>
      </c>
      <c r="M3074" s="12" t="s">
        <v>36</v>
      </c>
      <c r="N3074" s="12" t="s">
        <v>36</v>
      </c>
      <c r="O3074" s="17" t="s">
        <v>36</v>
      </c>
      <c r="P3074" s="12" t="s">
        <v>36</v>
      </c>
      <c r="Q3074" s="12" t="s">
        <v>36</v>
      </c>
      <c r="R3074" s="12" t="s">
        <v>36</v>
      </c>
      <c r="S3074" s="12" t="s">
        <v>36</v>
      </c>
      <c r="T3074" s="12" t="s">
        <v>16231</v>
      </c>
      <c r="U3074" s="12" t="s">
        <v>16232</v>
      </c>
      <c r="V3074" s="12" t="s">
        <v>405</v>
      </c>
      <c r="W3074" s="12" t="s">
        <v>16233</v>
      </c>
      <c r="X3074" s="16" t="s">
        <v>16234</v>
      </c>
      <c r="Y3074" s="15" t="s">
        <v>192</v>
      </c>
      <c r="Z3074" s="14">
        <v>15.74</v>
      </c>
      <c r="AA3074" s="14">
        <v>112.04</v>
      </c>
      <c r="AB3074" s="12" t="s">
        <v>43</v>
      </c>
      <c r="AC3074" s="12" t="s">
        <v>16235</v>
      </c>
      <c r="AD3074" s="13">
        <v>44362</v>
      </c>
      <c r="AE3074" s="12" t="s">
        <v>16236</v>
      </c>
      <c r="AF3074" s="12" t="s">
        <v>215</v>
      </c>
      <c r="AG3074" s="12" t="s">
        <v>81</v>
      </c>
      <c r="AH3074" s="1">
        <f>HYPERLINK("https://my.pitchbook.com?c=174365-20T","View Company Online")</f>
      </c>
    </row>
    <row r="3075">
      <c r="A3075" s="3" t="s">
        <v>16237</v>
      </c>
      <c r="B3075" s="3" t="s">
        <v>16238</v>
      </c>
      <c r="C3075" s="5" t="s">
        <v>36</v>
      </c>
      <c r="D3075" s="5">
        <v>2</v>
      </c>
      <c r="E3075" s="5">
        <v>1</v>
      </c>
      <c r="F3075" s="5">
        <v>2</v>
      </c>
      <c r="G3075" s="6" t="s">
        <v>326</v>
      </c>
      <c r="H3075" s="4">
        <v>54.21</v>
      </c>
      <c r="I3075" s="7">
        <v>12.76</v>
      </c>
      <c r="J3075" s="3" t="s">
        <v>521</v>
      </c>
      <c r="K3075" s="9" t="s">
        <v>36</v>
      </c>
      <c r="L3075" s="6" t="s">
        <v>36</v>
      </c>
      <c r="M3075" s="3" t="s">
        <v>36</v>
      </c>
      <c r="N3075" s="3" t="s">
        <v>36</v>
      </c>
      <c r="O3075" s="8" t="s">
        <v>36</v>
      </c>
      <c r="P3075" s="3" t="s">
        <v>36</v>
      </c>
      <c r="Q3075" s="3" t="s">
        <v>36</v>
      </c>
      <c r="R3075" s="3" t="s">
        <v>36</v>
      </c>
      <c r="S3075" s="3" t="s">
        <v>36</v>
      </c>
      <c r="T3075" s="3" t="s">
        <v>647</v>
      </c>
      <c r="U3075" s="3" t="s">
        <v>648</v>
      </c>
      <c r="V3075" s="3" t="s">
        <v>64</v>
      </c>
      <c r="W3075" s="3" t="s">
        <v>16239</v>
      </c>
      <c r="X3075" s="10" t="s">
        <v>16240</v>
      </c>
      <c r="Y3075" s="6" t="s">
        <v>108</v>
      </c>
      <c r="Z3075" s="4">
        <v>1.22</v>
      </c>
      <c r="AA3075" s="4">
        <v>5.25</v>
      </c>
      <c r="AB3075" s="3" t="s">
        <v>56</v>
      </c>
      <c r="AC3075" s="3" t="s">
        <v>16241</v>
      </c>
      <c r="AD3075" s="9">
        <v>44362</v>
      </c>
      <c r="AE3075" s="3" t="s">
        <v>651</v>
      </c>
      <c r="AF3075" s="3" t="s">
        <v>36</v>
      </c>
      <c r="AG3075" s="3" t="s">
        <v>765</v>
      </c>
      <c r="AH3075" s="11">
        <f>HYPERLINK("https://my.pitchbook.com?c=213571-09T","View Company Online")</f>
      </c>
    </row>
    <row r="3076">
      <c r="A3076" s="12" t="s">
        <v>16242</v>
      </c>
      <c r="B3076" s="12" t="s">
        <v>12918</v>
      </c>
      <c r="C3076" s="19" t="s">
        <v>36</v>
      </c>
      <c r="D3076" s="19" t="s">
        <v>36</v>
      </c>
      <c r="E3076" s="19" t="s">
        <v>36</v>
      </c>
      <c r="F3076" s="19" t="s">
        <v>36</v>
      </c>
      <c r="G3076" s="15" t="s">
        <v>326</v>
      </c>
      <c r="H3076" s="14">
        <v>6.19</v>
      </c>
      <c r="I3076" s="18">
        <v>24.09</v>
      </c>
      <c r="J3076" s="12" t="s">
        <v>521</v>
      </c>
      <c r="K3076" s="13" t="s">
        <v>36</v>
      </c>
      <c r="L3076" s="15" t="s">
        <v>36</v>
      </c>
      <c r="M3076" s="12" t="s">
        <v>36</v>
      </c>
      <c r="N3076" s="12" t="s">
        <v>36</v>
      </c>
      <c r="O3076" s="17" t="s">
        <v>36</v>
      </c>
      <c r="P3076" s="12" t="s">
        <v>36</v>
      </c>
      <c r="Q3076" s="12" t="s">
        <v>36</v>
      </c>
      <c r="R3076" s="12" t="s">
        <v>36</v>
      </c>
      <c r="S3076" s="12" t="s">
        <v>36</v>
      </c>
      <c r="T3076" s="12" t="s">
        <v>12919</v>
      </c>
      <c r="U3076" s="12" t="s">
        <v>74</v>
      </c>
      <c r="V3076" s="12" t="s">
        <v>75</v>
      </c>
      <c r="W3076" s="12" t="s">
        <v>12920</v>
      </c>
      <c r="X3076" s="16" t="s">
        <v>12921</v>
      </c>
      <c r="Y3076" s="15" t="s">
        <v>108</v>
      </c>
      <c r="Z3076" s="14">
        <v>1.26</v>
      </c>
      <c r="AA3076" s="14">
        <v>5.23</v>
      </c>
      <c r="AB3076" s="12" t="s">
        <v>43</v>
      </c>
      <c r="AC3076" s="12" t="s">
        <v>12922</v>
      </c>
      <c r="AD3076" s="13">
        <v>44362</v>
      </c>
      <c r="AE3076" s="12" t="s">
        <v>79</v>
      </c>
      <c r="AF3076" s="12" t="s">
        <v>111</v>
      </c>
      <c r="AG3076" s="12" t="s">
        <v>1078</v>
      </c>
      <c r="AH3076" s="1">
        <f>HYPERLINK("https://my.pitchbook.com?c=208032-31T","View Company Online")</f>
      </c>
    </row>
    <row r="3077">
      <c r="A3077" s="3" t="s">
        <v>16243</v>
      </c>
      <c r="B3077" s="3" t="s">
        <v>3618</v>
      </c>
      <c r="C3077" s="5" t="s">
        <v>36</v>
      </c>
      <c r="D3077" s="5" t="s">
        <v>36</v>
      </c>
      <c r="E3077" s="5" t="s">
        <v>36</v>
      </c>
      <c r="F3077" s="5" t="s">
        <v>36</v>
      </c>
      <c r="G3077" s="6" t="s">
        <v>36</v>
      </c>
      <c r="H3077" s="4" t="s">
        <v>36</v>
      </c>
      <c r="I3077" s="7" t="s">
        <v>36</v>
      </c>
      <c r="J3077" s="3" t="s">
        <v>36</v>
      </c>
      <c r="K3077" s="9" t="s">
        <v>36</v>
      </c>
      <c r="L3077" s="6" t="s">
        <v>36</v>
      </c>
      <c r="M3077" s="3" t="s">
        <v>36</v>
      </c>
      <c r="N3077" s="3" t="s">
        <v>36</v>
      </c>
      <c r="O3077" s="8" t="s">
        <v>36</v>
      </c>
      <c r="P3077" s="3" t="s">
        <v>36</v>
      </c>
      <c r="Q3077" s="3" t="s">
        <v>36</v>
      </c>
      <c r="R3077" s="3" t="s">
        <v>36</v>
      </c>
      <c r="S3077" s="3" t="s">
        <v>36</v>
      </c>
      <c r="T3077" s="3" t="s">
        <v>942</v>
      </c>
      <c r="U3077" s="3" t="s">
        <v>38</v>
      </c>
      <c r="V3077" s="3" t="s">
        <v>39</v>
      </c>
      <c r="W3077" s="3" t="s">
        <v>3619</v>
      </c>
      <c r="X3077" s="10" t="s">
        <v>16244</v>
      </c>
      <c r="Y3077" s="6" t="s">
        <v>108</v>
      </c>
      <c r="Z3077" s="4" t="s">
        <v>36</v>
      </c>
      <c r="AA3077" s="4" t="s">
        <v>36</v>
      </c>
      <c r="AB3077" s="3" t="s">
        <v>43</v>
      </c>
      <c r="AC3077" s="3" t="s">
        <v>3621</v>
      </c>
      <c r="AD3077" s="9">
        <v>44362</v>
      </c>
      <c r="AE3077" s="3" t="s">
        <v>45</v>
      </c>
      <c r="AF3077" s="3" t="s">
        <v>450</v>
      </c>
      <c r="AG3077" s="3" t="s">
        <v>81</v>
      </c>
      <c r="AH3077" s="11">
        <f>HYPERLINK("https://my.pitchbook.com?c=283346-65T","View Company Online")</f>
      </c>
    </row>
    <row r="3078">
      <c r="A3078" s="12" t="s">
        <v>16245</v>
      </c>
      <c r="B3078" s="12" t="s">
        <v>16246</v>
      </c>
      <c r="C3078" s="19" t="s">
        <v>36</v>
      </c>
      <c r="D3078" s="19" t="s">
        <v>36</v>
      </c>
      <c r="E3078" s="19" t="s">
        <v>36</v>
      </c>
      <c r="F3078" s="19" t="s">
        <v>36</v>
      </c>
      <c r="G3078" s="15" t="s">
        <v>36</v>
      </c>
      <c r="H3078" s="14" t="s">
        <v>36</v>
      </c>
      <c r="I3078" s="18" t="s">
        <v>36</v>
      </c>
      <c r="J3078" s="12" t="s">
        <v>36</v>
      </c>
      <c r="K3078" s="13" t="s">
        <v>36</v>
      </c>
      <c r="L3078" s="15" t="s">
        <v>36</v>
      </c>
      <c r="M3078" s="12" t="s">
        <v>36</v>
      </c>
      <c r="N3078" s="12" t="s">
        <v>36</v>
      </c>
      <c r="O3078" s="17" t="s">
        <v>36</v>
      </c>
      <c r="P3078" s="12" t="s">
        <v>36</v>
      </c>
      <c r="Q3078" s="12" t="s">
        <v>36</v>
      </c>
      <c r="R3078" s="12" t="s">
        <v>36</v>
      </c>
      <c r="S3078" s="12" t="s">
        <v>36</v>
      </c>
      <c r="T3078" s="12" t="s">
        <v>16247</v>
      </c>
      <c r="U3078" s="12" t="s">
        <v>1357</v>
      </c>
      <c r="V3078" s="12" t="s">
        <v>52</v>
      </c>
      <c r="W3078" s="12" t="s">
        <v>16248</v>
      </c>
      <c r="X3078" s="16" t="s">
        <v>16249</v>
      </c>
      <c r="Y3078" s="15" t="s">
        <v>42</v>
      </c>
      <c r="Z3078" s="14">
        <v>2.07</v>
      </c>
      <c r="AA3078" s="14" t="s">
        <v>36</v>
      </c>
      <c r="AB3078" s="12" t="s">
        <v>43</v>
      </c>
      <c r="AC3078" s="12" t="s">
        <v>16250</v>
      </c>
      <c r="AD3078" s="13">
        <v>44361</v>
      </c>
      <c r="AE3078" s="12" t="s">
        <v>3204</v>
      </c>
      <c r="AF3078" s="12" t="s">
        <v>917</v>
      </c>
      <c r="AG3078" s="12" t="s">
        <v>81</v>
      </c>
      <c r="AH3078" s="1">
        <f>HYPERLINK("https://my.pitchbook.com?c=174275-29T","View Company Online")</f>
      </c>
    </row>
    <row r="3079">
      <c r="A3079" s="3" t="s">
        <v>16251</v>
      </c>
      <c r="B3079" s="3" t="s">
        <v>16252</v>
      </c>
      <c r="C3079" s="5" t="s">
        <v>36</v>
      </c>
      <c r="D3079" s="5" t="s">
        <v>36</v>
      </c>
      <c r="E3079" s="5" t="s">
        <v>36</v>
      </c>
      <c r="F3079" s="5" t="s">
        <v>36</v>
      </c>
      <c r="G3079" s="6" t="s">
        <v>36</v>
      </c>
      <c r="H3079" s="4" t="s">
        <v>36</v>
      </c>
      <c r="I3079" s="7" t="s">
        <v>36</v>
      </c>
      <c r="J3079" s="3" t="s">
        <v>36</v>
      </c>
      <c r="K3079" s="9" t="s">
        <v>36</v>
      </c>
      <c r="L3079" s="6" t="s">
        <v>36</v>
      </c>
      <c r="M3079" s="3" t="s">
        <v>36</v>
      </c>
      <c r="N3079" s="3" t="s">
        <v>36</v>
      </c>
      <c r="O3079" s="8" t="s">
        <v>36</v>
      </c>
      <c r="P3079" s="3" t="s">
        <v>36</v>
      </c>
      <c r="Q3079" s="3" t="s">
        <v>36</v>
      </c>
      <c r="R3079" s="3" t="s">
        <v>36</v>
      </c>
      <c r="S3079" s="3" t="s">
        <v>36</v>
      </c>
      <c r="T3079" s="3" t="s">
        <v>16253</v>
      </c>
      <c r="U3079" s="3" t="s">
        <v>38</v>
      </c>
      <c r="V3079" s="3" t="s">
        <v>39</v>
      </c>
      <c r="W3079" s="3" t="s">
        <v>16254</v>
      </c>
      <c r="X3079" s="10" t="s">
        <v>16255</v>
      </c>
      <c r="Y3079" s="6" t="s">
        <v>42</v>
      </c>
      <c r="Z3079" s="4">
        <v>1.34</v>
      </c>
      <c r="AA3079" s="4" t="s">
        <v>36</v>
      </c>
      <c r="AB3079" s="3" t="s">
        <v>43</v>
      </c>
      <c r="AC3079" s="3" t="s">
        <v>16256</v>
      </c>
      <c r="AD3079" s="9">
        <v>44359</v>
      </c>
      <c r="AE3079" s="3" t="s">
        <v>110</v>
      </c>
      <c r="AF3079" s="3" t="s">
        <v>16257</v>
      </c>
      <c r="AG3079" s="3" t="s">
        <v>81</v>
      </c>
      <c r="AH3079" s="11">
        <f>HYPERLINK("https://my.pitchbook.com?c=175315-42T","View Company Online")</f>
      </c>
    </row>
    <row r="3080">
      <c r="A3080" s="12" t="s">
        <v>16258</v>
      </c>
      <c r="B3080" s="12" t="s">
        <v>912</v>
      </c>
      <c r="C3080" s="19" t="s">
        <v>36</v>
      </c>
      <c r="D3080" s="19" t="s">
        <v>36</v>
      </c>
      <c r="E3080" s="19" t="s">
        <v>36</v>
      </c>
      <c r="F3080" s="19" t="s">
        <v>36</v>
      </c>
      <c r="G3080" s="15" t="s">
        <v>36</v>
      </c>
      <c r="H3080" s="14">
        <v>43.73</v>
      </c>
      <c r="I3080" s="18">
        <v>27.52</v>
      </c>
      <c r="J3080" s="12" t="s">
        <v>521</v>
      </c>
      <c r="K3080" s="13" t="s">
        <v>36</v>
      </c>
      <c r="L3080" s="15" t="s">
        <v>36</v>
      </c>
      <c r="M3080" s="12" t="s">
        <v>36</v>
      </c>
      <c r="N3080" s="12" t="s">
        <v>36</v>
      </c>
      <c r="O3080" s="17" t="s">
        <v>36</v>
      </c>
      <c r="P3080" s="12" t="s">
        <v>36</v>
      </c>
      <c r="Q3080" s="12" t="s">
        <v>36</v>
      </c>
      <c r="R3080" s="12" t="s">
        <v>36</v>
      </c>
      <c r="S3080" s="12" t="s">
        <v>36</v>
      </c>
      <c r="T3080" s="12" t="s">
        <v>913</v>
      </c>
      <c r="U3080" s="12" t="s">
        <v>180</v>
      </c>
      <c r="V3080" s="12" t="s">
        <v>52</v>
      </c>
      <c r="W3080" s="12" t="s">
        <v>914</v>
      </c>
      <c r="X3080" s="16" t="s">
        <v>16259</v>
      </c>
      <c r="Y3080" s="15" t="s">
        <v>108</v>
      </c>
      <c r="Z3080" s="14">
        <v>3.65</v>
      </c>
      <c r="AA3080" s="14">
        <v>7.52</v>
      </c>
      <c r="AB3080" s="12" t="s">
        <v>43</v>
      </c>
      <c r="AC3080" s="12" t="s">
        <v>916</v>
      </c>
      <c r="AD3080" s="13">
        <v>44358</v>
      </c>
      <c r="AE3080" s="12" t="s">
        <v>184</v>
      </c>
      <c r="AF3080" s="12" t="s">
        <v>917</v>
      </c>
      <c r="AG3080" s="12" t="s">
        <v>81</v>
      </c>
      <c r="AH3080" s="1">
        <f>HYPERLINK("https://my.pitchbook.com?c=175289-14T","View Company Online")</f>
      </c>
    </row>
    <row r="3081">
      <c r="A3081" s="3" t="s">
        <v>16260</v>
      </c>
      <c r="B3081" s="3" t="s">
        <v>5638</v>
      </c>
      <c r="C3081" s="5">
        <v>1</v>
      </c>
      <c r="D3081" s="5">
        <v>2</v>
      </c>
      <c r="E3081" s="5">
        <v>1</v>
      </c>
      <c r="F3081" s="5">
        <v>4</v>
      </c>
      <c r="G3081" s="6" t="s">
        <v>326</v>
      </c>
      <c r="H3081" s="4">
        <v>30.77</v>
      </c>
      <c r="I3081" s="7" t="s">
        <v>36</v>
      </c>
      <c r="J3081" s="3" t="s">
        <v>327</v>
      </c>
      <c r="K3081" s="9" t="s">
        <v>36</v>
      </c>
      <c r="L3081" s="6" t="s">
        <v>94</v>
      </c>
      <c r="M3081" s="3" t="s">
        <v>36</v>
      </c>
      <c r="N3081" s="3" t="s">
        <v>94</v>
      </c>
      <c r="O3081" s="8" t="s">
        <v>36</v>
      </c>
      <c r="P3081" s="3" t="s">
        <v>36</v>
      </c>
      <c r="Q3081" s="3" t="s">
        <v>36</v>
      </c>
      <c r="R3081" s="3" t="s">
        <v>36</v>
      </c>
      <c r="S3081" s="3" t="s">
        <v>36</v>
      </c>
      <c r="T3081" s="3" t="s">
        <v>1125</v>
      </c>
      <c r="U3081" s="3" t="s">
        <v>74</v>
      </c>
      <c r="V3081" s="3" t="s">
        <v>75</v>
      </c>
      <c r="W3081" s="3" t="s">
        <v>5640</v>
      </c>
      <c r="X3081" s="10" t="s">
        <v>16261</v>
      </c>
      <c r="Y3081" s="6" t="s">
        <v>55</v>
      </c>
      <c r="Z3081" s="4">
        <v>36.53</v>
      </c>
      <c r="AA3081" s="4">
        <v>121.76</v>
      </c>
      <c r="AB3081" s="3" t="s">
        <v>43</v>
      </c>
      <c r="AC3081" s="3" t="s">
        <v>5642</v>
      </c>
      <c r="AD3081" s="9">
        <v>44357</v>
      </c>
      <c r="AE3081" s="3" t="s">
        <v>975</v>
      </c>
      <c r="AF3081" s="3" t="s">
        <v>36</v>
      </c>
      <c r="AG3081" s="3" t="s">
        <v>81</v>
      </c>
      <c r="AH3081" s="11">
        <f>HYPERLINK("https://my.pitchbook.com?c=175344-85T","View Company Online")</f>
      </c>
    </row>
    <row r="3082">
      <c r="A3082" s="12" t="s">
        <v>16262</v>
      </c>
      <c r="B3082" s="12" t="s">
        <v>1837</v>
      </c>
      <c r="C3082" s="19" t="s">
        <v>36</v>
      </c>
      <c r="D3082" s="19" t="s">
        <v>36</v>
      </c>
      <c r="E3082" s="19" t="s">
        <v>36</v>
      </c>
      <c r="F3082" s="19" t="s">
        <v>36</v>
      </c>
      <c r="G3082" s="15" t="s">
        <v>326</v>
      </c>
      <c r="H3082" s="14">
        <v>1.33</v>
      </c>
      <c r="I3082" s="18">
        <v>23.56</v>
      </c>
      <c r="J3082" s="12" t="s">
        <v>521</v>
      </c>
      <c r="K3082" s="13" t="s">
        <v>36</v>
      </c>
      <c r="L3082" s="15" t="s">
        <v>122</v>
      </c>
      <c r="M3082" s="12" t="s">
        <v>36</v>
      </c>
      <c r="N3082" s="12" t="s">
        <v>122</v>
      </c>
      <c r="O3082" s="17" t="s">
        <v>36</v>
      </c>
      <c r="P3082" s="12" t="s">
        <v>36</v>
      </c>
      <c r="Q3082" s="12" t="s">
        <v>36</v>
      </c>
      <c r="R3082" s="12" t="s">
        <v>36</v>
      </c>
      <c r="S3082" s="12" t="s">
        <v>36</v>
      </c>
      <c r="T3082" s="12" t="s">
        <v>1838</v>
      </c>
      <c r="U3082" s="12" t="s">
        <v>38</v>
      </c>
      <c r="V3082" s="12" t="s">
        <v>39</v>
      </c>
      <c r="W3082" s="12" t="s">
        <v>1839</v>
      </c>
      <c r="X3082" s="16" t="s">
        <v>16263</v>
      </c>
      <c r="Y3082" s="15" t="s">
        <v>192</v>
      </c>
      <c r="Z3082" s="14">
        <v>36.53</v>
      </c>
      <c r="AA3082" s="14">
        <v>155.07</v>
      </c>
      <c r="AB3082" s="12" t="s">
        <v>56</v>
      </c>
      <c r="AC3082" s="12" t="s">
        <v>1841</v>
      </c>
      <c r="AD3082" s="13">
        <v>44357</v>
      </c>
      <c r="AE3082" s="12" t="s">
        <v>110</v>
      </c>
      <c r="AF3082" s="12" t="s">
        <v>1842</v>
      </c>
      <c r="AG3082" s="12" t="s">
        <v>1843</v>
      </c>
      <c r="AH3082" s="1">
        <f>HYPERLINK("https://my.pitchbook.com?c=174087-64T","View Company Online")</f>
      </c>
    </row>
    <row r="3083">
      <c r="A3083" s="3" t="s">
        <v>16264</v>
      </c>
      <c r="B3083" s="3" t="s">
        <v>16265</v>
      </c>
      <c r="C3083" s="5" t="s">
        <v>36</v>
      </c>
      <c r="D3083" s="5" t="s">
        <v>36</v>
      </c>
      <c r="E3083" s="5" t="s">
        <v>36</v>
      </c>
      <c r="F3083" s="5" t="s">
        <v>36</v>
      </c>
      <c r="G3083" s="6" t="s">
        <v>683</v>
      </c>
      <c r="H3083" s="4">
        <v>103.86</v>
      </c>
      <c r="I3083" s="7">
        <v>8.85</v>
      </c>
      <c r="J3083" s="3" t="s">
        <v>521</v>
      </c>
      <c r="K3083" s="9" t="s">
        <v>36</v>
      </c>
      <c r="L3083" s="6" t="s">
        <v>36</v>
      </c>
      <c r="M3083" s="3" t="s">
        <v>36</v>
      </c>
      <c r="N3083" s="3" t="s">
        <v>36</v>
      </c>
      <c r="O3083" s="8" t="s">
        <v>36</v>
      </c>
      <c r="P3083" s="3" t="s">
        <v>36</v>
      </c>
      <c r="Q3083" s="3" t="s">
        <v>36</v>
      </c>
      <c r="R3083" s="3" t="s">
        <v>36</v>
      </c>
      <c r="S3083" s="3" t="s">
        <v>36</v>
      </c>
      <c r="T3083" s="3" t="s">
        <v>16266</v>
      </c>
      <c r="U3083" s="3" t="s">
        <v>423</v>
      </c>
      <c r="V3083" s="3" t="s">
        <v>64</v>
      </c>
      <c r="W3083" s="3" t="s">
        <v>16267</v>
      </c>
      <c r="X3083" s="10" t="s">
        <v>16268</v>
      </c>
      <c r="Y3083" s="6" t="s">
        <v>55</v>
      </c>
      <c r="Z3083" s="4">
        <v>0.57</v>
      </c>
      <c r="AA3083" s="4">
        <v>6.39</v>
      </c>
      <c r="AB3083" s="3" t="s">
        <v>56</v>
      </c>
      <c r="AC3083" s="3" t="s">
        <v>16269</v>
      </c>
      <c r="AD3083" s="9">
        <v>44356</v>
      </c>
      <c r="AE3083" s="3" t="s">
        <v>562</v>
      </c>
      <c r="AF3083" s="3" t="s">
        <v>16270</v>
      </c>
      <c r="AG3083" s="3" t="s">
        <v>16271</v>
      </c>
      <c r="AH3083" s="11">
        <f>HYPERLINK("https://my.pitchbook.com?c=181899-82T","View Company Online")</f>
      </c>
    </row>
    <row r="3084">
      <c r="A3084" s="12" t="s">
        <v>16272</v>
      </c>
      <c r="B3084" s="12" t="s">
        <v>16273</v>
      </c>
      <c r="C3084" s="19" t="s">
        <v>36</v>
      </c>
      <c r="D3084" s="19">
        <v>2</v>
      </c>
      <c r="E3084" s="19">
        <v>1</v>
      </c>
      <c r="F3084" s="19">
        <v>2</v>
      </c>
      <c r="G3084" s="15" t="s">
        <v>2497</v>
      </c>
      <c r="H3084" s="14">
        <v>3.46</v>
      </c>
      <c r="I3084" s="18">
        <v>31.58</v>
      </c>
      <c r="J3084" s="12" t="s">
        <v>521</v>
      </c>
      <c r="K3084" s="13" t="s">
        <v>36</v>
      </c>
      <c r="L3084" s="15" t="s">
        <v>36</v>
      </c>
      <c r="M3084" s="12" t="s">
        <v>36</v>
      </c>
      <c r="N3084" s="12" t="s">
        <v>36</v>
      </c>
      <c r="O3084" s="17" t="s">
        <v>36</v>
      </c>
      <c r="P3084" s="12" t="s">
        <v>36</v>
      </c>
      <c r="Q3084" s="12" t="s">
        <v>36</v>
      </c>
      <c r="R3084" s="12" t="s">
        <v>36</v>
      </c>
      <c r="S3084" s="12" t="s">
        <v>36</v>
      </c>
      <c r="T3084" s="12" t="s">
        <v>5377</v>
      </c>
      <c r="U3084" s="12" t="s">
        <v>38</v>
      </c>
      <c r="V3084" s="12" t="s">
        <v>39</v>
      </c>
      <c r="W3084" s="12" t="s">
        <v>16274</v>
      </c>
      <c r="X3084" s="16" t="s">
        <v>16275</v>
      </c>
      <c r="Y3084" s="15" t="s">
        <v>108</v>
      </c>
      <c r="Z3084" s="14">
        <v>1.82</v>
      </c>
      <c r="AA3084" s="14">
        <v>5.78</v>
      </c>
      <c r="AB3084" s="12" t="s">
        <v>56</v>
      </c>
      <c r="AC3084" s="12" t="s">
        <v>16276</v>
      </c>
      <c r="AD3084" s="13">
        <v>44355</v>
      </c>
      <c r="AE3084" s="12" t="s">
        <v>1200</v>
      </c>
      <c r="AF3084" s="12" t="s">
        <v>1201</v>
      </c>
      <c r="AG3084" s="12" t="s">
        <v>10841</v>
      </c>
      <c r="AH3084" s="1">
        <f>HYPERLINK("https://my.pitchbook.com?c=174264-49T","View Company Online")</f>
      </c>
    </row>
    <row r="3085">
      <c r="A3085" s="3" t="s">
        <v>16277</v>
      </c>
      <c r="B3085" s="3" t="s">
        <v>4129</v>
      </c>
      <c r="C3085" s="5">
        <v>6</v>
      </c>
      <c r="D3085" s="5" t="s">
        <v>36</v>
      </c>
      <c r="E3085" s="5">
        <v>4</v>
      </c>
      <c r="F3085" s="5">
        <v>6</v>
      </c>
      <c r="G3085" s="6" t="s">
        <v>36</v>
      </c>
      <c r="H3085" s="4" t="s">
        <v>36</v>
      </c>
      <c r="I3085" s="7">
        <v>39.66</v>
      </c>
      <c r="J3085" s="3" t="s">
        <v>327</v>
      </c>
      <c r="K3085" s="9" t="s">
        <v>36</v>
      </c>
      <c r="L3085" s="6" t="s">
        <v>36</v>
      </c>
      <c r="M3085" s="3" t="s">
        <v>36</v>
      </c>
      <c r="N3085" s="3" t="s">
        <v>36</v>
      </c>
      <c r="O3085" s="8" t="s">
        <v>36</v>
      </c>
      <c r="P3085" s="3" t="s">
        <v>36</v>
      </c>
      <c r="Q3085" s="3" t="s">
        <v>36</v>
      </c>
      <c r="R3085" s="3" t="s">
        <v>36</v>
      </c>
      <c r="S3085" s="3" t="s">
        <v>316</v>
      </c>
      <c r="T3085" s="3" t="s">
        <v>4130</v>
      </c>
      <c r="U3085" s="3" t="s">
        <v>318</v>
      </c>
      <c r="V3085" s="3" t="s">
        <v>39</v>
      </c>
      <c r="W3085" s="3" t="s">
        <v>4131</v>
      </c>
      <c r="X3085" s="10" t="s">
        <v>16278</v>
      </c>
      <c r="Y3085" s="6" t="s">
        <v>42</v>
      </c>
      <c r="Z3085" s="4">
        <v>12.17</v>
      </c>
      <c r="AA3085" s="4">
        <v>24.42</v>
      </c>
      <c r="AB3085" s="3" t="s">
        <v>43</v>
      </c>
      <c r="AC3085" s="3" t="s">
        <v>4133</v>
      </c>
      <c r="AD3085" s="9">
        <v>44355</v>
      </c>
      <c r="AE3085" s="3" t="s">
        <v>323</v>
      </c>
      <c r="AF3085" s="3" t="s">
        <v>275</v>
      </c>
      <c r="AG3085" s="3" t="s">
        <v>81</v>
      </c>
      <c r="AH3085" s="11">
        <f>HYPERLINK("https://my.pitchbook.com?c=160282-72T","View Company Online")</f>
      </c>
    </row>
    <row r="3086">
      <c r="A3086" s="12" t="s">
        <v>16279</v>
      </c>
      <c r="B3086" s="12" t="s">
        <v>16280</v>
      </c>
      <c r="C3086" s="19" t="s">
        <v>36</v>
      </c>
      <c r="D3086" s="19" t="s">
        <v>36</v>
      </c>
      <c r="E3086" s="19" t="s">
        <v>36</v>
      </c>
      <c r="F3086" s="19" t="s">
        <v>36</v>
      </c>
      <c r="G3086" s="15" t="s">
        <v>2497</v>
      </c>
      <c r="H3086" s="14">
        <v>336.5</v>
      </c>
      <c r="I3086" s="18">
        <v>29.82</v>
      </c>
      <c r="J3086" s="12" t="s">
        <v>521</v>
      </c>
      <c r="K3086" s="13">
        <v>44281</v>
      </c>
      <c r="L3086" s="15" t="s">
        <v>36</v>
      </c>
      <c r="M3086" s="12" t="s">
        <v>36</v>
      </c>
      <c r="N3086" s="12" t="s">
        <v>36</v>
      </c>
      <c r="O3086" s="17" t="s">
        <v>36</v>
      </c>
      <c r="P3086" s="12" t="s">
        <v>36</v>
      </c>
      <c r="Q3086" s="12" t="s">
        <v>36</v>
      </c>
      <c r="R3086" s="12" t="s">
        <v>36</v>
      </c>
      <c r="S3086" s="12" t="s">
        <v>36</v>
      </c>
      <c r="T3086" s="12" t="s">
        <v>16281</v>
      </c>
      <c r="U3086" s="12" t="s">
        <v>74</v>
      </c>
      <c r="V3086" s="12" t="s">
        <v>75</v>
      </c>
      <c r="W3086" s="12" t="s">
        <v>16282</v>
      </c>
      <c r="X3086" s="16" t="s">
        <v>16283</v>
      </c>
      <c r="Y3086" s="15" t="s">
        <v>108</v>
      </c>
      <c r="Z3086" s="14">
        <v>4.11</v>
      </c>
      <c r="AA3086" s="14">
        <v>6.9</v>
      </c>
      <c r="AB3086" s="12" t="s">
        <v>43</v>
      </c>
      <c r="AC3086" s="12" t="s">
        <v>16284</v>
      </c>
      <c r="AD3086" s="13">
        <v>44355</v>
      </c>
      <c r="AE3086" s="12" t="s">
        <v>696</v>
      </c>
      <c r="AF3086" s="12" t="s">
        <v>36</v>
      </c>
      <c r="AG3086" s="12" t="s">
        <v>81</v>
      </c>
      <c r="AH3086" s="1">
        <f>HYPERLINK("https://my.pitchbook.com?c=173980-45T","View Company Online")</f>
      </c>
    </row>
    <row r="3087">
      <c r="A3087" s="3" t="s">
        <v>16285</v>
      </c>
      <c r="B3087" s="3" t="s">
        <v>16286</v>
      </c>
      <c r="C3087" s="5">
        <v>3</v>
      </c>
      <c r="D3087" s="5">
        <v>5</v>
      </c>
      <c r="E3087" s="5">
        <v>1</v>
      </c>
      <c r="F3087" s="5">
        <v>8</v>
      </c>
      <c r="G3087" s="6" t="s">
        <v>36</v>
      </c>
      <c r="H3087" s="4" t="s">
        <v>36</v>
      </c>
      <c r="I3087" s="7" t="s">
        <v>36</v>
      </c>
      <c r="J3087" s="3" t="s">
        <v>36</v>
      </c>
      <c r="K3087" s="9" t="s">
        <v>36</v>
      </c>
      <c r="L3087" s="6" t="s">
        <v>36</v>
      </c>
      <c r="M3087" s="3" t="s">
        <v>36</v>
      </c>
      <c r="N3087" s="3" t="s">
        <v>36</v>
      </c>
      <c r="O3087" s="8" t="s">
        <v>36</v>
      </c>
      <c r="P3087" s="3" t="s">
        <v>36</v>
      </c>
      <c r="Q3087" s="3" t="s">
        <v>36</v>
      </c>
      <c r="R3087" s="3" t="s">
        <v>36</v>
      </c>
      <c r="S3087" s="3" t="s">
        <v>36</v>
      </c>
      <c r="T3087" s="3" t="s">
        <v>16287</v>
      </c>
      <c r="U3087" s="3" t="s">
        <v>38</v>
      </c>
      <c r="V3087" s="3" t="s">
        <v>39</v>
      </c>
      <c r="W3087" s="3" t="s">
        <v>16288</v>
      </c>
      <c r="X3087" s="10" t="s">
        <v>16289</v>
      </c>
      <c r="Y3087" s="6" t="s">
        <v>42</v>
      </c>
      <c r="Z3087" s="4">
        <v>3.41</v>
      </c>
      <c r="AA3087" s="4" t="s">
        <v>36</v>
      </c>
      <c r="AB3087" s="3" t="s">
        <v>56</v>
      </c>
      <c r="AC3087" s="3" t="s">
        <v>16290</v>
      </c>
      <c r="AD3087" s="9">
        <v>44355</v>
      </c>
      <c r="AE3087" s="3" t="s">
        <v>110</v>
      </c>
      <c r="AF3087" s="3" t="s">
        <v>2661</v>
      </c>
      <c r="AG3087" s="3" t="s">
        <v>102</v>
      </c>
      <c r="AH3087" s="11">
        <f>HYPERLINK("https://my.pitchbook.com?c=173977-93T","View Company Online")</f>
      </c>
    </row>
    <row r="3088">
      <c r="A3088" s="12" t="s">
        <v>16291</v>
      </c>
      <c r="B3088" s="12" t="s">
        <v>7977</v>
      </c>
      <c r="C3088" s="19" t="s">
        <v>36</v>
      </c>
      <c r="D3088" s="19" t="s">
        <v>36</v>
      </c>
      <c r="E3088" s="19" t="s">
        <v>36</v>
      </c>
      <c r="F3088" s="19" t="s">
        <v>36</v>
      </c>
      <c r="G3088" s="15" t="s">
        <v>36</v>
      </c>
      <c r="H3088" s="14">
        <v>623.14</v>
      </c>
      <c r="I3088" s="18">
        <v>20</v>
      </c>
      <c r="J3088" s="12" t="s">
        <v>521</v>
      </c>
      <c r="K3088" s="13">
        <v>44287</v>
      </c>
      <c r="L3088" s="15" t="s">
        <v>36</v>
      </c>
      <c r="M3088" s="12" t="s">
        <v>36</v>
      </c>
      <c r="N3088" s="12" t="s">
        <v>36</v>
      </c>
      <c r="O3088" s="17" t="s">
        <v>36</v>
      </c>
      <c r="P3088" s="12" t="s">
        <v>36</v>
      </c>
      <c r="Q3088" s="12" t="s">
        <v>36</v>
      </c>
      <c r="R3088" s="12" t="s">
        <v>36</v>
      </c>
      <c r="S3088" s="12" t="s">
        <v>36</v>
      </c>
      <c r="T3088" s="12" t="s">
        <v>7978</v>
      </c>
      <c r="U3088" s="12" t="s">
        <v>74</v>
      </c>
      <c r="V3088" s="12" t="s">
        <v>75</v>
      </c>
      <c r="W3088" s="12" t="s">
        <v>7979</v>
      </c>
      <c r="X3088" s="16" t="s">
        <v>16292</v>
      </c>
      <c r="Y3088" s="15" t="s">
        <v>42</v>
      </c>
      <c r="Z3088" s="14">
        <v>2.07</v>
      </c>
      <c r="AA3088" s="14">
        <v>5.48</v>
      </c>
      <c r="AB3088" s="12" t="s">
        <v>43</v>
      </c>
      <c r="AC3088" s="12" t="s">
        <v>7981</v>
      </c>
      <c r="AD3088" s="13">
        <v>44355</v>
      </c>
      <c r="AE3088" s="12" t="s">
        <v>362</v>
      </c>
      <c r="AF3088" s="12" t="s">
        <v>7982</v>
      </c>
      <c r="AG3088" s="12" t="s">
        <v>81</v>
      </c>
      <c r="AH3088" s="1">
        <f>HYPERLINK("https://my.pitchbook.com?c=174783-52T","View Company Online")</f>
      </c>
    </row>
    <row r="3089">
      <c r="A3089" s="3" t="s">
        <v>16293</v>
      </c>
      <c r="B3089" s="3" t="s">
        <v>4251</v>
      </c>
      <c r="C3089" s="5" t="s">
        <v>36</v>
      </c>
      <c r="D3089" s="5" t="s">
        <v>36</v>
      </c>
      <c r="E3089" s="5" t="s">
        <v>36</v>
      </c>
      <c r="F3089" s="5" t="s">
        <v>36</v>
      </c>
      <c r="G3089" s="6" t="s">
        <v>326</v>
      </c>
      <c r="H3089" s="4">
        <v>81.25</v>
      </c>
      <c r="I3089" s="7">
        <v>11.62</v>
      </c>
      <c r="J3089" s="3" t="s">
        <v>521</v>
      </c>
      <c r="K3089" s="9" t="s">
        <v>36</v>
      </c>
      <c r="L3089" s="6" t="s">
        <v>94</v>
      </c>
      <c r="M3089" s="3" t="s">
        <v>36</v>
      </c>
      <c r="N3089" s="3" t="s">
        <v>94</v>
      </c>
      <c r="O3089" s="8" t="s">
        <v>36</v>
      </c>
      <c r="P3089" s="3" t="s">
        <v>36</v>
      </c>
      <c r="Q3089" s="3" t="s">
        <v>36</v>
      </c>
      <c r="R3089" s="3" t="s">
        <v>36</v>
      </c>
      <c r="S3089" s="3" t="s">
        <v>36</v>
      </c>
      <c r="T3089" s="3" t="s">
        <v>4252</v>
      </c>
      <c r="U3089" s="3" t="s">
        <v>38</v>
      </c>
      <c r="V3089" s="3" t="s">
        <v>39</v>
      </c>
      <c r="W3089" s="3" t="s">
        <v>4253</v>
      </c>
      <c r="X3089" s="10" t="s">
        <v>16294</v>
      </c>
      <c r="Y3089" s="6" t="s">
        <v>55</v>
      </c>
      <c r="Z3089" s="4">
        <v>18.87</v>
      </c>
      <c r="AA3089" s="4">
        <v>162.33</v>
      </c>
      <c r="AB3089" s="3" t="s">
        <v>56</v>
      </c>
      <c r="AC3089" s="3" t="s">
        <v>4255</v>
      </c>
      <c r="AD3089" s="9">
        <v>44355</v>
      </c>
      <c r="AE3089" s="3" t="s">
        <v>45</v>
      </c>
      <c r="AF3089" s="3" t="s">
        <v>331</v>
      </c>
      <c r="AG3089" s="3" t="s">
        <v>4256</v>
      </c>
      <c r="AH3089" s="11">
        <f>HYPERLINK("https://my.pitchbook.com?c=173909-17T","View Company Online")</f>
      </c>
    </row>
    <row r="3090">
      <c r="A3090" s="12" t="s">
        <v>16295</v>
      </c>
      <c r="B3090" s="12" t="s">
        <v>10314</v>
      </c>
      <c r="C3090" s="19" t="s">
        <v>36</v>
      </c>
      <c r="D3090" s="19" t="s">
        <v>36</v>
      </c>
      <c r="E3090" s="19" t="s">
        <v>36</v>
      </c>
      <c r="F3090" s="19" t="s">
        <v>36</v>
      </c>
      <c r="G3090" s="15" t="s">
        <v>326</v>
      </c>
      <c r="H3090" s="14">
        <v>7.58</v>
      </c>
      <c r="I3090" s="18">
        <v>23.07</v>
      </c>
      <c r="J3090" s="12" t="s">
        <v>521</v>
      </c>
      <c r="K3090" s="13" t="s">
        <v>36</v>
      </c>
      <c r="L3090" s="15" t="s">
        <v>122</v>
      </c>
      <c r="M3090" s="12" t="s">
        <v>36</v>
      </c>
      <c r="N3090" s="12" t="s">
        <v>122</v>
      </c>
      <c r="O3090" s="17" t="s">
        <v>36</v>
      </c>
      <c r="P3090" s="12" t="s">
        <v>36</v>
      </c>
      <c r="Q3090" s="12" t="s">
        <v>36</v>
      </c>
      <c r="R3090" s="12" t="s">
        <v>36</v>
      </c>
      <c r="S3090" s="12" t="s">
        <v>36</v>
      </c>
      <c r="T3090" s="12" t="s">
        <v>3591</v>
      </c>
      <c r="U3090" s="12" t="s">
        <v>38</v>
      </c>
      <c r="V3090" s="12" t="s">
        <v>39</v>
      </c>
      <c r="W3090" s="12" t="s">
        <v>10315</v>
      </c>
      <c r="X3090" s="16" t="s">
        <v>16296</v>
      </c>
      <c r="Y3090" s="15" t="s">
        <v>108</v>
      </c>
      <c r="Z3090" s="14">
        <v>28.53</v>
      </c>
      <c r="AA3090" s="14">
        <v>123.65</v>
      </c>
      <c r="AB3090" s="12" t="s">
        <v>43</v>
      </c>
      <c r="AC3090" s="12" t="s">
        <v>10317</v>
      </c>
      <c r="AD3090" s="13">
        <v>44354</v>
      </c>
      <c r="AE3090" s="12" t="s">
        <v>688</v>
      </c>
      <c r="AF3090" s="12" t="s">
        <v>10318</v>
      </c>
      <c r="AG3090" s="12" t="s">
        <v>81</v>
      </c>
      <c r="AH3090" s="1">
        <f>HYPERLINK("https://my.pitchbook.com?c=173852-11T","View Company Online")</f>
      </c>
    </row>
    <row r="3091">
      <c r="A3091" s="3" t="s">
        <v>16297</v>
      </c>
      <c r="B3091" s="3" t="s">
        <v>16298</v>
      </c>
      <c r="C3091" s="5" t="s">
        <v>36</v>
      </c>
      <c r="D3091" s="5" t="s">
        <v>36</v>
      </c>
      <c r="E3091" s="5" t="s">
        <v>36</v>
      </c>
      <c r="F3091" s="5" t="s">
        <v>36</v>
      </c>
      <c r="G3091" s="6" t="s">
        <v>326</v>
      </c>
      <c r="H3091" s="4">
        <v>10.84</v>
      </c>
      <c r="I3091" s="7">
        <v>30.32</v>
      </c>
      <c r="J3091" s="3" t="s">
        <v>521</v>
      </c>
      <c r="K3091" s="9" t="s">
        <v>36</v>
      </c>
      <c r="L3091" s="6" t="s">
        <v>4010</v>
      </c>
      <c r="M3091" s="3" t="s">
        <v>36</v>
      </c>
      <c r="N3091" s="3" t="s">
        <v>4010</v>
      </c>
      <c r="O3091" s="8" t="s">
        <v>36</v>
      </c>
      <c r="P3091" s="3" t="s">
        <v>36</v>
      </c>
      <c r="Q3091" s="3" t="s">
        <v>36</v>
      </c>
      <c r="R3091" s="3" t="s">
        <v>36</v>
      </c>
      <c r="S3091" s="3" t="s">
        <v>36</v>
      </c>
      <c r="T3091" s="3" t="s">
        <v>16299</v>
      </c>
      <c r="U3091" s="3" t="s">
        <v>648</v>
      </c>
      <c r="V3091" s="3" t="s">
        <v>64</v>
      </c>
      <c r="W3091" s="3" t="s">
        <v>16300</v>
      </c>
      <c r="X3091" s="10" t="s">
        <v>16301</v>
      </c>
      <c r="Y3091" s="6" t="s">
        <v>42</v>
      </c>
      <c r="Z3091" s="4">
        <v>1.7</v>
      </c>
      <c r="AA3091" s="4">
        <v>5.62</v>
      </c>
      <c r="AB3091" s="3" t="s">
        <v>43</v>
      </c>
      <c r="AC3091" s="3" t="s">
        <v>16302</v>
      </c>
      <c r="AD3091" s="9">
        <v>44354</v>
      </c>
      <c r="AE3091" s="3" t="s">
        <v>1897</v>
      </c>
      <c r="AF3091" s="3" t="s">
        <v>346</v>
      </c>
      <c r="AG3091" s="3" t="s">
        <v>16303</v>
      </c>
      <c r="AH3091" s="11">
        <f>HYPERLINK("https://my.pitchbook.com?c=174581-92T","View Company Online")</f>
      </c>
    </row>
    <row r="3092">
      <c r="A3092" s="12" t="s">
        <v>16304</v>
      </c>
      <c r="B3092" s="12" t="s">
        <v>16305</v>
      </c>
      <c r="C3092" s="19" t="s">
        <v>36</v>
      </c>
      <c r="D3092" s="19">
        <v>2</v>
      </c>
      <c r="E3092" s="19">
        <v>1</v>
      </c>
      <c r="F3092" s="19">
        <v>2</v>
      </c>
      <c r="G3092" s="15" t="s">
        <v>36</v>
      </c>
      <c r="H3092" s="14" t="s">
        <v>36</v>
      </c>
      <c r="I3092" s="18" t="s">
        <v>36</v>
      </c>
      <c r="J3092" s="12" t="s">
        <v>36</v>
      </c>
      <c r="K3092" s="13" t="s">
        <v>36</v>
      </c>
      <c r="L3092" s="15" t="s">
        <v>36</v>
      </c>
      <c r="M3092" s="12" t="s">
        <v>36</v>
      </c>
      <c r="N3092" s="12" t="s">
        <v>36</v>
      </c>
      <c r="O3092" s="17" t="s">
        <v>36</v>
      </c>
      <c r="P3092" s="12" t="s">
        <v>36</v>
      </c>
      <c r="Q3092" s="12" t="s">
        <v>36</v>
      </c>
      <c r="R3092" s="12" t="s">
        <v>36</v>
      </c>
      <c r="S3092" s="12" t="s">
        <v>36</v>
      </c>
      <c r="T3092" s="12" t="s">
        <v>5377</v>
      </c>
      <c r="U3092" s="12" t="s">
        <v>38</v>
      </c>
      <c r="V3092" s="12" t="s">
        <v>39</v>
      </c>
      <c r="W3092" s="12" t="s">
        <v>16306</v>
      </c>
      <c r="X3092" s="16" t="s">
        <v>16307</v>
      </c>
      <c r="Y3092" s="15" t="s">
        <v>55</v>
      </c>
      <c r="Z3092" s="14" t="s">
        <v>36</v>
      </c>
      <c r="AA3092" s="14" t="s">
        <v>36</v>
      </c>
      <c r="AB3092" s="12" t="s">
        <v>56</v>
      </c>
      <c r="AC3092" s="12" t="s">
        <v>16308</v>
      </c>
      <c r="AD3092" s="13">
        <v>44354</v>
      </c>
      <c r="AE3092" s="12" t="s">
        <v>1200</v>
      </c>
      <c r="AF3092" s="12" t="s">
        <v>12992</v>
      </c>
      <c r="AG3092" s="12" t="s">
        <v>81</v>
      </c>
      <c r="AH3092" s="1">
        <f>HYPERLINK("https://my.pitchbook.com?c=183669-58T","View Company Online")</f>
      </c>
    </row>
    <row r="3093">
      <c r="A3093" s="3" t="s">
        <v>16309</v>
      </c>
      <c r="B3093" s="3" t="s">
        <v>6131</v>
      </c>
      <c r="C3093" s="5">
        <v>180</v>
      </c>
      <c r="D3093" s="5">
        <v>606</v>
      </c>
      <c r="E3093" s="5">
        <v>197</v>
      </c>
      <c r="F3093" s="5">
        <v>860</v>
      </c>
      <c r="G3093" s="6" t="s">
        <v>36</v>
      </c>
      <c r="H3093" s="4" t="s">
        <v>36</v>
      </c>
      <c r="I3093" s="7" t="s">
        <v>36</v>
      </c>
      <c r="J3093" s="3" t="s">
        <v>36</v>
      </c>
      <c r="K3093" s="9">
        <v>43831</v>
      </c>
      <c r="L3093" s="6" t="s">
        <v>36</v>
      </c>
      <c r="M3093" s="3" t="s">
        <v>36</v>
      </c>
      <c r="N3093" s="3" t="s">
        <v>36</v>
      </c>
      <c r="O3093" s="8" t="s">
        <v>36</v>
      </c>
      <c r="P3093" s="3" t="s">
        <v>36</v>
      </c>
      <c r="Q3093" s="3" t="s">
        <v>36</v>
      </c>
      <c r="R3093" s="3" t="s">
        <v>36</v>
      </c>
      <c r="S3093" s="3" t="s">
        <v>36</v>
      </c>
      <c r="T3093" s="3" t="s">
        <v>317</v>
      </c>
      <c r="U3093" s="3" t="s">
        <v>318</v>
      </c>
      <c r="V3093" s="3" t="s">
        <v>39</v>
      </c>
      <c r="W3093" s="3" t="s">
        <v>6132</v>
      </c>
      <c r="X3093" s="10" t="s">
        <v>2442</v>
      </c>
      <c r="Y3093" s="6" t="s">
        <v>166</v>
      </c>
      <c r="Z3093" s="4">
        <v>18.25</v>
      </c>
      <c r="AA3093" s="4" t="s">
        <v>36</v>
      </c>
      <c r="AB3093" s="3" t="s">
        <v>56</v>
      </c>
      <c r="AC3093" s="3" t="s">
        <v>6134</v>
      </c>
      <c r="AD3093" s="9">
        <v>44351</v>
      </c>
      <c r="AE3093" s="3" t="s">
        <v>323</v>
      </c>
      <c r="AF3093" s="3" t="s">
        <v>6135</v>
      </c>
      <c r="AG3093" s="3" t="s">
        <v>6136</v>
      </c>
      <c r="AH3093" s="11">
        <f>HYPERLINK("https://my.pitchbook.com?c=245300-68T","View Company Online")</f>
      </c>
    </row>
    <row r="3094">
      <c r="A3094" s="12" t="s">
        <v>16310</v>
      </c>
      <c r="B3094" s="12" t="s">
        <v>16311</v>
      </c>
      <c r="C3094" s="19">
        <v>3</v>
      </c>
      <c r="D3094" s="19">
        <v>4</v>
      </c>
      <c r="E3094" s="19">
        <v>3</v>
      </c>
      <c r="F3094" s="19">
        <v>12</v>
      </c>
      <c r="G3094" s="15" t="s">
        <v>36</v>
      </c>
      <c r="H3094" s="14">
        <v>1.15</v>
      </c>
      <c r="I3094" s="18">
        <v>15.01</v>
      </c>
      <c r="J3094" s="12" t="s">
        <v>521</v>
      </c>
      <c r="K3094" s="13" t="s">
        <v>36</v>
      </c>
      <c r="L3094" s="15" t="s">
        <v>36</v>
      </c>
      <c r="M3094" s="12" t="s">
        <v>36</v>
      </c>
      <c r="N3094" s="12" t="s">
        <v>36</v>
      </c>
      <c r="O3094" s="17" t="s">
        <v>36</v>
      </c>
      <c r="P3094" s="12" t="s">
        <v>36</v>
      </c>
      <c r="Q3094" s="12" t="s">
        <v>36</v>
      </c>
      <c r="R3094" s="12" t="s">
        <v>36</v>
      </c>
      <c r="S3094" s="12" t="s">
        <v>36</v>
      </c>
      <c r="T3094" s="12" t="s">
        <v>16312</v>
      </c>
      <c r="U3094" s="12" t="s">
        <v>38</v>
      </c>
      <c r="V3094" s="12" t="s">
        <v>39</v>
      </c>
      <c r="W3094" s="12" t="s">
        <v>16313</v>
      </c>
      <c r="X3094" s="16" t="s">
        <v>16314</v>
      </c>
      <c r="Y3094" s="15" t="s">
        <v>108</v>
      </c>
      <c r="Z3094" s="14">
        <v>4.28</v>
      </c>
      <c r="AA3094" s="14">
        <v>28.5</v>
      </c>
      <c r="AB3094" s="12" t="s">
        <v>56</v>
      </c>
      <c r="AC3094" s="12" t="s">
        <v>16315</v>
      </c>
      <c r="AD3094" s="13">
        <v>44350</v>
      </c>
      <c r="AE3094" s="12" t="s">
        <v>554</v>
      </c>
      <c r="AF3094" s="12" t="s">
        <v>16316</v>
      </c>
      <c r="AG3094" s="12" t="s">
        <v>81</v>
      </c>
      <c r="AH3094" s="1">
        <f>HYPERLINK("https://my.pitchbook.com?c=180881-65T","View Company Online")</f>
      </c>
    </row>
    <row r="3095">
      <c r="A3095" s="3" t="s">
        <v>16317</v>
      </c>
      <c r="B3095" s="3" t="s">
        <v>2873</v>
      </c>
      <c r="C3095" s="5" t="s">
        <v>36</v>
      </c>
      <c r="D3095" s="5" t="s">
        <v>36</v>
      </c>
      <c r="E3095" s="5" t="s">
        <v>36</v>
      </c>
      <c r="F3095" s="5" t="s">
        <v>36</v>
      </c>
      <c r="G3095" s="6" t="s">
        <v>36</v>
      </c>
      <c r="H3095" s="4" t="s">
        <v>36</v>
      </c>
      <c r="I3095" s="7" t="s">
        <v>36</v>
      </c>
      <c r="J3095" s="3" t="s">
        <v>36</v>
      </c>
      <c r="K3095" s="9" t="s">
        <v>36</v>
      </c>
      <c r="L3095" s="6" t="s">
        <v>36</v>
      </c>
      <c r="M3095" s="3" t="s">
        <v>36</v>
      </c>
      <c r="N3095" s="3" t="s">
        <v>36</v>
      </c>
      <c r="O3095" s="8" t="s">
        <v>36</v>
      </c>
      <c r="P3095" s="3" t="s">
        <v>36</v>
      </c>
      <c r="Q3095" s="3" t="s">
        <v>36</v>
      </c>
      <c r="R3095" s="3" t="s">
        <v>36</v>
      </c>
      <c r="S3095" s="3" t="s">
        <v>36</v>
      </c>
      <c r="T3095" s="3" t="s">
        <v>1701</v>
      </c>
      <c r="U3095" s="3" t="s">
        <v>74</v>
      </c>
      <c r="V3095" s="3" t="s">
        <v>75</v>
      </c>
      <c r="W3095" s="3" t="s">
        <v>2874</v>
      </c>
      <c r="X3095" s="10" t="s">
        <v>16318</v>
      </c>
      <c r="Y3095" s="6" t="s">
        <v>108</v>
      </c>
      <c r="Z3095" s="4">
        <v>3.04</v>
      </c>
      <c r="AA3095" s="4" t="s">
        <v>36</v>
      </c>
      <c r="AB3095" s="3" t="s">
        <v>56</v>
      </c>
      <c r="AC3095" s="3" t="s">
        <v>2876</v>
      </c>
      <c r="AD3095" s="9">
        <v>44350</v>
      </c>
      <c r="AE3095" s="3" t="s">
        <v>79</v>
      </c>
      <c r="AF3095" s="3" t="s">
        <v>36</v>
      </c>
      <c r="AG3095" s="3" t="s">
        <v>2088</v>
      </c>
      <c r="AH3095" s="11">
        <f>HYPERLINK("https://my.pitchbook.com?c=173453-50T","View Company Online")</f>
      </c>
    </row>
    <row r="3096">
      <c r="A3096" s="12" t="s">
        <v>16319</v>
      </c>
      <c r="B3096" s="12" t="s">
        <v>5319</v>
      </c>
      <c r="C3096" s="19">
        <v>7</v>
      </c>
      <c r="D3096" s="19">
        <v>33</v>
      </c>
      <c r="E3096" s="19">
        <v>6</v>
      </c>
      <c r="F3096" s="19">
        <v>41</v>
      </c>
      <c r="G3096" s="15" t="s">
        <v>36</v>
      </c>
      <c r="H3096" s="14">
        <v>125.48</v>
      </c>
      <c r="I3096" s="18">
        <v>28.18</v>
      </c>
      <c r="J3096" s="12" t="s">
        <v>521</v>
      </c>
      <c r="K3096" s="13" t="s">
        <v>36</v>
      </c>
      <c r="L3096" s="15" t="s">
        <v>122</v>
      </c>
      <c r="M3096" s="12" t="s">
        <v>36</v>
      </c>
      <c r="N3096" s="12" t="s">
        <v>122</v>
      </c>
      <c r="O3096" s="17" t="s">
        <v>36</v>
      </c>
      <c r="P3096" s="12" t="s">
        <v>36</v>
      </c>
      <c r="Q3096" s="12" t="s">
        <v>36</v>
      </c>
      <c r="R3096" s="12" t="s">
        <v>36</v>
      </c>
      <c r="S3096" s="12" t="s">
        <v>5320</v>
      </c>
      <c r="T3096" s="12" t="s">
        <v>5321</v>
      </c>
      <c r="U3096" s="12" t="s">
        <v>74</v>
      </c>
      <c r="V3096" s="12" t="s">
        <v>75</v>
      </c>
      <c r="W3096" s="12" t="s">
        <v>5322</v>
      </c>
      <c r="X3096" s="16" t="s">
        <v>16320</v>
      </c>
      <c r="Y3096" s="15" t="s">
        <v>108</v>
      </c>
      <c r="Z3096" s="14">
        <v>8.51</v>
      </c>
      <c r="AA3096" s="14">
        <v>26.06</v>
      </c>
      <c r="AB3096" s="12" t="s">
        <v>56</v>
      </c>
      <c r="AC3096" s="12" t="s">
        <v>5324</v>
      </c>
      <c r="AD3096" s="13">
        <v>44349</v>
      </c>
      <c r="AE3096" s="12" t="s">
        <v>570</v>
      </c>
      <c r="AF3096" s="12" t="s">
        <v>5325</v>
      </c>
      <c r="AG3096" s="12" t="s">
        <v>81</v>
      </c>
      <c r="AH3096" s="1">
        <f>HYPERLINK("https://my.pitchbook.com?c=173370-25T","View Company Online")</f>
      </c>
    </row>
    <row r="3097">
      <c r="A3097" s="3" t="s">
        <v>16321</v>
      </c>
      <c r="B3097" s="3" t="s">
        <v>16322</v>
      </c>
      <c r="C3097" s="5" t="s">
        <v>36</v>
      </c>
      <c r="D3097" s="5" t="s">
        <v>36</v>
      </c>
      <c r="E3097" s="5" t="s">
        <v>36</v>
      </c>
      <c r="F3097" s="5" t="s">
        <v>36</v>
      </c>
      <c r="G3097" s="6" t="s">
        <v>36</v>
      </c>
      <c r="H3097" s="4">
        <v>5.05</v>
      </c>
      <c r="I3097" s="7">
        <v>24.29</v>
      </c>
      <c r="J3097" s="3" t="s">
        <v>521</v>
      </c>
      <c r="K3097" s="9" t="s">
        <v>36</v>
      </c>
      <c r="L3097" s="6" t="s">
        <v>36</v>
      </c>
      <c r="M3097" s="3" t="s">
        <v>36</v>
      </c>
      <c r="N3097" s="3" t="s">
        <v>36</v>
      </c>
      <c r="O3097" s="8" t="s">
        <v>36</v>
      </c>
      <c r="P3097" s="3" t="s">
        <v>36</v>
      </c>
      <c r="Q3097" s="3" t="s">
        <v>36</v>
      </c>
      <c r="R3097" s="3" t="s">
        <v>36</v>
      </c>
      <c r="S3097" s="3" t="s">
        <v>36</v>
      </c>
      <c r="T3097" s="3" t="s">
        <v>522</v>
      </c>
      <c r="U3097" s="3" t="s">
        <v>38</v>
      </c>
      <c r="V3097" s="3" t="s">
        <v>39</v>
      </c>
      <c r="W3097" s="3" t="s">
        <v>16323</v>
      </c>
      <c r="X3097" s="10" t="s">
        <v>16324</v>
      </c>
      <c r="Y3097" s="6" t="s">
        <v>108</v>
      </c>
      <c r="Z3097" s="4">
        <v>0.27</v>
      </c>
      <c r="AA3097" s="4">
        <v>1.13</v>
      </c>
      <c r="AB3097" s="3" t="s">
        <v>43</v>
      </c>
      <c r="AC3097" s="3" t="s">
        <v>16325</v>
      </c>
      <c r="AD3097" s="9">
        <v>44349</v>
      </c>
      <c r="AE3097" s="3" t="s">
        <v>110</v>
      </c>
      <c r="AF3097" s="3" t="s">
        <v>6214</v>
      </c>
      <c r="AG3097" s="3" t="s">
        <v>741</v>
      </c>
      <c r="AH3097" s="11">
        <f>HYPERLINK("https://my.pitchbook.com?c=219360-16T","View Company Online")</f>
      </c>
    </row>
    <row r="3098">
      <c r="A3098" s="12" t="s">
        <v>16326</v>
      </c>
      <c r="B3098" s="12" t="s">
        <v>16327</v>
      </c>
      <c r="C3098" s="19" t="s">
        <v>36</v>
      </c>
      <c r="D3098" s="19" t="s">
        <v>36</v>
      </c>
      <c r="E3098" s="19" t="s">
        <v>36</v>
      </c>
      <c r="F3098" s="19" t="s">
        <v>36</v>
      </c>
      <c r="G3098" s="15" t="s">
        <v>326</v>
      </c>
      <c r="H3098" s="14">
        <v>3171.64</v>
      </c>
      <c r="I3098" s="18">
        <v>23.59</v>
      </c>
      <c r="J3098" s="12" t="s">
        <v>521</v>
      </c>
      <c r="K3098" s="13" t="s">
        <v>36</v>
      </c>
      <c r="L3098" s="15" t="s">
        <v>122</v>
      </c>
      <c r="M3098" s="12" t="s">
        <v>36</v>
      </c>
      <c r="N3098" s="12" t="s">
        <v>122</v>
      </c>
      <c r="O3098" s="17" t="s">
        <v>36</v>
      </c>
      <c r="P3098" s="12" t="s">
        <v>36</v>
      </c>
      <c r="Q3098" s="12" t="s">
        <v>36</v>
      </c>
      <c r="R3098" s="12" t="s">
        <v>36</v>
      </c>
      <c r="S3098" s="12" t="s">
        <v>36</v>
      </c>
      <c r="T3098" s="12" t="s">
        <v>16328</v>
      </c>
      <c r="U3098" s="12" t="s">
        <v>404</v>
      </c>
      <c r="V3098" s="12" t="s">
        <v>405</v>
      </c>
      <c r="W3098" s="12" t="s">
        <v>16329</v>
      </c>
      <c r="X3098" s="16" t="s">
        <v>16330</v>
      </c>
      <c r="Y3098" s="15" t="s">
        <v>108</v>
      </c>
      <c r="Z3098" s="14">
        <v>10.22</v>
      </c>
      <c r="AA3098" s="14">
        <v>38.88</v>
      </c>
      <c r="AB3098" s="12" t="s">
        <v>43</v>
      </c>
      <c r="AC3098" s="12" t="s">
        <v>16331</v>
      </c>
      <c r="AD3098" s="13">
        <v>44348</v>
      </c>
      <c r="AE3098" s="12" t="s">
        <v>16332</v>
      </c>
      <c r="AF3098" s="12" t="s">
        <v>3334</v>
      </c>
      <c r="AG3098" s="12" t="s">
        <v>81</v>
      </c>
      <c r="AH3098" s="1">
        <f>HYPERLINK("https://my.pitchbook.com?c=181594-72T","View Company Online")</f>
      </c>
    </row>
    <row r="3099">
      <c r="A3099" s="3" t="s">
        <v>16333</v>
      </c>
      <c r="B3099" s="3" t="s">
        <v>16334</v>
      </c>
      <c r="C3099" s="5" t="s">
        <v>36</v>
      </c>
      <c r="D3099" s="5" t="s">
        <v>36</v>
      </c>
      <c r="E3099" s="5" t="s">
        <v>36</v>
      </c>
      <c r="F3099" s="5" t="s">
        <v>36</v>
      </c>
      <c r="G3099" s="6" t="s">
        <v>36</v>
      </c>
      <c r="H3099" s="4" t="s">
        <v>36</v>
      </c>
      <c r="I3099" s="7" t="s">
        <v>36</v>
      </c>
      <c r="J3099" s="3" t="s">
        <v>36</v>
      </c>
      <c r="K3099" s="9" t="s">
        <v>36</v>
      </c>
      <c r="L3099" s="6" t="s">
        <v>36</v>
      </c>
      <c r="M3099" s="3" t="s">
        <v>36</v>
      </c>
      <c r="N3099" s="3" t="s">
        <v>36</v>
      </c>
      <c r="O3099" s="8" t="s">
        <v>36</v>
      </c>
      <c r="P3099" s="3" t="s">
        <v>36</v>
      </c>
      <c r="Q3099" s="3" t="s">
        <v>36</v>
      </c>
      <c r="R3099" s="3" t="s">
        <v>36</v>
      </c>
      <c r="S3099" s="3" t="s">
        <v>36</v>
      </c>
      <c r="T3099" s="3" t="s">
        <v>16335</v>
      </c>
      <c r="U3099" s="3" t="s">
        <v>74</v>
      </c>
      <c r="V3099" s="3" t="s">
        <v>75</v>
      </c>
      <c r="W3099" s="3" t="s">
        <v>16336</v>
      </c>
      <c r="X3099" s="10" t="s">
        <v>16337</v>
      </c>
      <c r="Y3099" s="6" t="s">
        <v>42</v>
      </c>
      <c r="Z3099" s="4" t="s">
        <v>36</v>
      </c>
      <c r="AA3099" s="4" t="s">
        <v>36</v>
      </c>
      <c r="AB3099" s="3" t="s">
        <v>56</v>
      </c>
      <c r="AC3099" s="3" t="s">
        <v>16338</v>
      </c>
      <c r="AD3099" s="9">
        <v>44348</v>
      </c>
      <c r="AE3099" s="3" t="s">
        <v>79</v>
      </c>
      <c r="AF3099" s="3" t="s">
        <v>36</v>
      </c>
      <c r="AG3099" s="3" t="s">
        <v>81</v>
      </c>
      <c r="AH3099" s="11">
        <f>HYPERLINK("https://my.pitchbook.com?c=249822-46T","View Company Online")</f>
      </c>
    </row>
    <row r="3100">
      <c r="A3100" s="12" t="s">
        <v>16339</v>
      </c>
      <c r="B3100" s="12" t="s">
        <v>16340</v>
      </c>
      <c r="C3100" s="19" t="s">
        <v>36</v>
      </c>
      <c r="D3100" s="19" t="s">
        <v>36</v>
      </c>
      <c r="E3100" s="19" t="s">
        <v>36</v>
      </c>
      <c r="F3100" s="19" t="s">
        <v>36</v>
      </c>
      <c r="G3100" s="15" t="s">
        <v>36</v>
      </c>
      <c r="H3100" s="14" t="s">
        <v>36</v>
      </c>
      <c r="I3100" s="18" t="s">
        <v>36</v>
      </c>
      <c r="J3100" s="12" t="s">
        <v>36</v>
      </c>
      <c r="K3100" s="13" t="s">
        <v>36</v>
      </c>
      <c r="L3100" s="15" t="s">
        <v>36</v>
      </c>
      <c r="M3100" s="12" t="s">
        <v>36</v>
      </c>
      <c r="N3100" s="12" t="s">
        <v>36</v>
      </c>
      <c r="O3100" s="17" t="s">
        <v>36</v>
      </c>
      <c r="P3100" s="12" t="s">
        <v>36</v>
      </c>
      <c r="Q3100" s="12" t="s">
        <v>36</v>
      </c>
      <c r="R3100" s="12" t="s">
        <v>36</v>
      </c>
      <c r="S3100" s="12" t="s">
        <v>36</v>
      </c>
      <c r="T3100" s="12" t="s">
        <v>2453</v>
      </c>
      <c r="U3100" s="12" t="s">
        <v>219</v>
      </c>
      <c r="V3100" s="12" t="s">
        <v>75</v>
      </c>
      <c r="W3100" s="12" t="s">
        <v>16341</v>
      </c>
      <c r="X3100" s="16" t="s">
        <v>16342</v>
      </c>
      <c r="Y3100" s="15" t="s">
        <v>42</v>
      </c>
      <c r="Z3100" s="14" t="s">
        <v>36</v>
      </c>
      <c r="AA3100" s="14" t="s">
        <v>36</v>
      </c>
      <c r="AB3100" s="12" t="s">
        <v>56</v>
      </c>
      <c r="AC3100" s="12" t="s">
        <v>16343</v>
      </c>
      <c r="AD3100" s="13">
        <v>44348</v>
      </c>
      <c r="AE3100" s="12" t="s">
        <v>1007</v>
      </c>
      <c r="AF3100" s="12" t="s">
        <v>36</v>
      </c>
      <c r="AG3100" s="12" t="s">
        <v>2180</v>
      </c>
      <c r="AH3100" s="1">
        <f>HYPERLINK("https://my.pitchbook.com?c=180192-34T","View Company Online")</f>
      </c>
    </row>
    <row r="3101">
      <c r="A3101" s="3" t="s">
        <v>16344</v>
      </c>
      <c r="B3101" s="3" t="s">
        <v>4647</v>
      </c>
      <c r="C3101" s="5" t="s">
        <v>36</v>
      </c>
      <c r="D3101" s="5" t="s">
        <v>36</v>
      </c>
      <c r="E3101" s="5" t="s">
        <v>36</v>
      </c>
      <c r="F3101" s="5" t="s">
        <v>36</v>
      </c>
      <c r="G3101" s="6" t="s">
        <v>326</v>
      </c>
      <c r="H3101" s="4">
        <v>78.65</v>
      </c>
      <c r="I3101" s="7">
        <v>24.36</v>
      </c>
      <c r="J3101" s="3" t="s">
        <v>521</v>
      </c>
      <c r="K3101" s="9" t="s">
        <v>36</v>
      </c>
      <c r="L3101" s="6" t="s">
        <v>36</v>
      </c>
      <c r="M3101" s="3" t="s">
        <v>36</v>
      </c>
      <c r="N3101" s="3" t="s">
        <v>36</v>
      </c>
      <c r="O3101" s="8" t="s">
        <v>36</v>
      </c>
      <c r="P3101" s="3" t="s">
        <v>36</v>
      </c>
      <c r="Q3101" s="3" t="s">
        <v>36</v>
      </c>
      <c r="R3101" s="3" t="s">
        <v>36</v>
      </c>
      <c r="S3101" s="3" t="s">
        <v>36</v>
      </c>
      <c r="T3101" s="3" t="s">
        <v>4648</v>
      </c>
      <c r="U3101" s="3" t="s">
        <v>74</v>
      </c>
      <c r="V3101" s="3" t="s">
        <v>75</v>
      </c>
      <c r="W3101" s="3" t="s">
        <v>4649</v>
      </c>
      <c r="X3101" s="10" t="s">
        <v>16345</v>
      </c>
      <c r="Y3101" s="6" t="s">
        <v>166</v>
      </c>
      <c r="Z3101" s="4">
        <v>97.2</v>
      </c>
      <c r="AA3101" s="4">
        <v>354.75</v>
      </c>
      <c r="AB3101" s="3" t="s">
        <v>56</v>
      </c>
      <c r="AC3101" s="3" t="s">
        <v>4650</v>
      </c>
      <c r="AD3101" s="9">
        <v>44348</v>
      </c>
      <c r="AE3101" s="3" t="s">
        <v>362</v>
      </c>
      <c r="AF3101" s="3" t="s">
        <v>4651</v>
      </c>
      <c r="AG3101" s="3" t="s">
        <v>81</v>
      </c>
      <c r="AH3101" s="11">
        <f>HYPERLINK("https://my.pitchbook.com?c=173238-13T","View Company Online")</f>
      </c>
    </row>
    <row r="3102">
      <c r="A3102" s="12" t="s">
        <v>16346</v>
      </c>
      <c r="B3102" s="12" t="s">
        <v>16347</v>
      </c>
      <c r="C3102" s="19" t="s">
        <v>36</v>
      </c>
      <c r="D3102" s="19" t="s">
        <v>36</v>
      </c>
      <c r="E3102" s="19" t="s">
        <v>36</v>
      </c>
      <c r="F3102" s="19" t="s">
        <v>36</v>
      </c>
      <c r="G3102" s="15" t="s">
        <v>36</v>
      </c>
      <c r="H3102" s="14" t="s">
        <v>36</v>
      </c>
      <c r="I3102" s="18" t="s">
        <v>36</v>
      </c>
      <c r="J3102" s="12" t="s">
        <v>36</v>
      </c>
      <c r="K3102" s="13" t="s">
        <v>36</v>
      </c>
      <c r="L3102" s="15" t="s">
        <v>36</v>
      </c>
      <c r="M3102" s="12" t="s">
        <v>36</v>
      </c>
      <c r="N3102" s="12" t="s">
        <v>36</v>
      </c>
      <c r="O3102" s="17" t="s">
        <v>36</v>
      </c>
      <c r="P3102" s="12" t="s">
        <v>36</v>
      </c>
      <c r="Q3102" s="12" t="s">
        <v>36</v>
      </c>
      <c r="R3102" s="12" t="s">
        <v>36</v>
      </c>
      <c r="S3102" s="12" t="s">
        <v>36</v>
      </c>
      <c r="T3102" s="12" t="s">
        <v>16348</v>
      </c>
      <c r="U3102" s="12" t="s">
        <v>74</v>
      </c>
      <c r="V3102" s="12" t="s">
        <v>75</v>
      </c>
      <c r="W3102" s="12" t="s">
        <v>16349</v>
      </c>
      <c r="X3102" s="16" t="s">
        <v>16350</v>
      </c>
      <c r="Y3102" s="15" t="s">
        <v>55</v>
      </c>
      <c r="Z3102" s="14">
        <v>18.22</v>
      </c>
      <c r="AA3102" s="14" t="s">
        <v>36</v>
      </c>
      <c r="AB3102" s="12" t="s">
        <v>43</v>
      </c>
      <c r="AC3102" s="12" t="s">
        <v>16351</v>
      </c>
      <c r="AD3102" s="13">
        <v>44348</v>
      </c>
      <c r="AE3102" s="12" t="s">
        <v>79</v>
      </c>
      <c r="AF3102" s="12" t="s">
        <v>7641</v>
      </c>
      <c r="AG3102" s="12" t="s">
        <v>1978</v>
      </c>
      <c r="AH3102" s="1">
        <f>HYPERLINK("https://my.pitchbook.com?c=187142-95T","View Company Online")</f>
      </c>
    </row>
    <row r="3103">
      <c r="A3103" s="3" t="s">
        <v>16352</v>
      </c>
      <c r="B3103" s="3" t="s">
        <v>16353</v>
      </c>
      <c r="C3103" s="5" t="s">
        <v>36</v>
      </c>
      <c r="D3103" s="5" t="s">
        <v>36</v>
      </c>
      <c r="E3103" s="5" t="s">
        <v>36</v>
      </c>
      <c r="F3103" s="5" t="s">
        <v>36</v>
      </c>
      <c r="G3103" s="6" t="s">
        <v>36</v>
      </c>
      <c r="H3103" s="4" t="s">
        <v>36</v>
      </c>
      <c r="I3103" s="7" t="s">
        <v>36</v>
      </c>
      <c r="J3103" s="3" t="s">
        <v>36</v>
      </c>
      <c r="K3103" s="9" t="s">
        <v>36</v>
      </c>
      <c r="L3103" s="6" t="s">
        <v>36</v>
      </c>
      <c r="M3103" s="3" t="s">
        <v>36</v>
      </c>
      <c r="N3103" s="3" t="s">
        <v>36</v>
      </c>
      <c r="O3103" s="8" t="s">
        <v>36</v>
      </c>
      <c r="P3103" s="3" t="s">
        <v>36</v>
      </c>
      <c r="Q3103" s="3" t="s">
        <v>36</v>
      </c>
      <c r="R3103" s="3" t="s">
        <v>36</v>
      </c>
      <c r="S3103" s="3" t="s">
        <v>36</v>
      </c>
      <c r="T3103" s="3" t="s">
        <v>3790</v>
      </c>
      <c r="U3103" s="3" t="s">
        <v>318</v>
      </c>
      <c r="V3103" s="3" t="s">
        <v>39</v>
      </c>
      <c r="W3103" s="3" t="s">
        <v>16354</v>
      </c>
      <c r="X3103" s="10" t="s">
        <v>10196</v>
      </c>
      <c r="Y3103" s="6" t="s">
        <v>42</v>
      </c>
      <c r="Z3103" s="4" t="s">
        <v>36</v>
      </c>
      <c r="AA3103" s="4" t="s">
        <v>36</v>
      </c>
      <c r="AB3103" s="3" t="s">
        <v>43</v>
      </c>
      <c r="AC3103" s="3" t="s">
        <v>16355</v>
      </c>
      <c r="AD3103" s="9">
        <v>44348</v>
      </c>
      <c r="AE3103" s="3" t="s">
        <v>763</v>
      </c>
      <c r="AF3103" s="3" t="s">
        <v>4668</v>
      </c>
      <c r="AG3103" s="3" t="s">
        <v>16356</v>
      </c>
      <c r="AH3103" s="11">
        <f>HYPERLINK("https://my.pitchbook.com?c=196330-78T","View Company Online")</f>
      </c>
    </row>
    <row r="3104">
      <c r="A3104" s="12" t="s">
        <v>16357</v>
      </c>
      <c r="B3104" s="12" t="s">
        <v>1784</v>
      </c>
      <c r="C3104" s="19">
        <v>5</v>
      </c>
      <c r="D3104" s="19">
        <v>8</v>
      </c>
      <c r="E3104" s="19">
        <v>5</v>
      </c>
      <c r="F3104" s="19">
        <v>13</v>
      </c>
      <c r="G3104" s="15" t="s">
        <v>36</v>
      </c>
      <c r="H3104" s="14" t="s">
        <v>36</v>
      </c>
      <c r="I3104" s="18" t="s">
        <v>36</v>
      </c>
      <c r="J3104" s="12" t="s">
        <v>36</v>
      </c>
      <c r="K3104" s="13" t="s">
        <v>36</v>
      </c>
      <c r="L3104" s="15" t="s">
        <v>36</v>
      </c>
      <c r="M3104" s="12" t="s">
        <v>36</v>
      </c>
      <c r="N3104" s="12" t="s">
        <v>36</v>
      </c>
      <c r="O3104" s="17" t="s">
        <v>36</v>
      </c>
      <c r="P3104" s="12" t="s">
        <v>36</v>
      </c>
      <c r="Q3104" s="12" t="s">
        <v>36</v>
      </c>
      <c r="R3104" s="12" t="s">
        <v>36</v>
      </c>
      <c r="S3104" s="12" t="s">
        <v>36</v>
      </c>
      <c r="T3104" s="12" t="s">
        <v>189</v>
      </c>
      <c r="U3104" s="12" t="s">
        <v>180</v>
      </c>
      <c r="V3104" s="12" t="s">
        <v>52</v>
      </c>
      <c r="W3104" s="12" t="s">
        <v>1785</v>
      </c>
      <c r="X3104" s="16" t="s">
        <v>12486</v>
      </c>
      <c r="Y3104" s="15" t="s">
        <v>108</v>
      </c>
      <c r="Z3104" s="14">
        <v>0.61</v>
      </c>
      <c r="AA3104" s="14" t="s">
        <v>36</v>
      </c>
      <c r="AB3104" s="12" t="s">
        <v>43</v>
      </c>
      <c r="AC3104" s="12" t="s">
        <v>1787</v>
      </c>
      <c r="AD3104" s="13">
        <v>44348</v>
      </c>
      <c r="AE3104" s="12" t="s">
        <v>184</v>
      </c>
      <c r="AF3104" s="12" t="s">
        <v>1788</v>
      </c>
      <c r="AG3104" s="12" t="s">
        <v>373</v>
      </c>
      <c r="AH3104" s="1">
        <f>HYPERLINK("https://my.pitchbook.com?c=174698-56T","View Company Online")</f>
      </c>
    </row>
    <row r="3105">
      <c r="A3105" s="3" t="s">
        <v>16358</v>
      </c>
      <c r="B3105" s="3" t="s">
        <v>412</v>
      </c>
      <c r="C3105" s="5">
        <v>1</v>
      </c>
      <c r="D3105" s="5">
        <v>2</v>
      </c>
      <c r="E3105" s="5">
        <v>2</v>
      </c>
      <c r="F3105" s="5">
        <v>3</v>
      </c>
      <c r="G3105" s="6" t="s">
        <v>36</v>
      </c>
      <c r="H3105" s="4">
        <v>85.06</v>
      </c>
      <c r="I3105" s="7">
        <v>45</v>
      </c>
      <c r="J3105" s="3" t="s">
        <v>521</v>
      </c>
      <c r="K3105" s="9" t="s">
        <v>36</v>
      </c>
      <c r="L3105" s="6" t="s">
        <v>4010</v>
      </c>
      <c r="M3105" s="3" t="s">
        <v>36</v>
      </c>
      <c r="N3105" s="3" t="s">
        <v>4010</v>
      </c>
      <c r="O3105" s="8" t="s">
        <v>36</v>
      </c>
      <c r="P3105" s="3" t="s">
        <v>36</v>
      </c>
      <c r="Q3105" s="3" t="s">
        <v>36</v>
      </c>
      <c r="R3105" s="3" t="s">
        <v>36</v>
      </c>
      <c r="S3105" s="3" t="s">
        <v>36</v>
      </c>
      <c r="T3105" s="3" t="s">
        <v>413</v>
      </c>
      <c r="U3105" s="3" t="s">
        <v>318</v>
      </c>
      <c r="V3105" s="3" t="s">
        <v>39</v>
      </c>
      <c r="W3105" s="3" t="s">
        <v>414</v>
      </c>
      <c r="X3105" s="10" t="s">
        <v>16359</v>
      </c>
      <c r="Y3105" s="6" t="s">
        <v>42</v>
      </c>
      <c r="Z3105" s="4">
        <v>5.59</v>
      </c>
      <c r="AA3105" s="4">
        <v>7.23</v>
      </c>
      <c r="AB3105" s="3" t="s">
        <v>43</v>
      </c>
      <c r="AC3105" s="3" t="s">
        <v>416</v>
      </c>
      <c r="AD3105" s="9">
        <v>44347</v>
      </c>
      <c r="AE3105" s="3" t="s">
        <v>417</v>
      </c>
      <c r="AF3105" s="3" t="s">
        <v>418</v>
      </c>
      <c r="AG3105" s="3" t="s">
        <v>419</v>
      </c>
      <c r="AH3105" s="11">
        <f>HYPERLINK("https://my.pitchbook.com?c=176329-27T","View Company Online")</f>
      </c>
    </row>
    <row r="3106">
      <c r="A3106" s="12" t="s">
        <v>16360</v>
      </c>
      <c r="B3106" s="12" t="s">
        <v>16361</v>
      </c>
      <c r="C3106" s="19" t="s">
        <v>36</v>
      </c>
      <c r="D3106" s="19" t="s">
        <v>36</v>
      </c>
      <c r="E3106" s="19" t="s">
        <v>36</v>
      </c>
      <c r="F3106" s="19" t="s">
        <v>36</v>
      </c>
      <c r="G3106" s="15" t="s">
        <v>326</v>
      </c>
      <c r="H3106" s="14">
        <v>2745.95</v>
      </c>
      <c r="I3106" s="18">
        <v>20.84</v>
      </c>
      <c r="J3106" s="12" t="s">
        <v>521</v>
      </c>
      <c r="K3106" s="13" t="s">
        <v>36</v>
      </c>
      <c r="L3106" s="15" t="s">
        <v>36</v>
      </c>
      <c r="M3106" s="12" t="s">
        <v>36</v>
      </c>
      <c r="N3106" s="12" t="s">
        <v>36</v>
      </c>
      <c r="O3106" s="17" t="s">
        <v>36</v>
      </c>
      <c r="P3106" s="12" t="s">
        <v>36</v>
      </c>
      <c r="Q3106" s="12" t="s">
        <v>36</v>
      </c>
      <c r="R3106" s="12" t="s">
        <v>36</v>
      </c>
      <c r="S3106" s="12" t="s">
        <v>36</v>
      </c>
      <c r="T3106" s="12" t="s">
        <v>6224</v>
      </c>
      <c r="U3106" s="12" t="s">
        <v>38</v>
      </c>
      <c r="V3106" s="12" t="s">
        <v>39</v>
      </c>
      <c r="W3106" s="12" t="s">
        <v>16362</v>
      </c>
      <c r="X3106" s="16" t="s">
        <v>16363</v>
      </c>
      <c r="Y3106" s="15" t="s">
        <v>108</v>
      </c>
      <c r="Z3106" s="14">
        <v>3.03</v>
      </c>
      <c r="AA3106" s="14">
        <v>14.54</v>
      </c>
      <c r="AB3106" s="12" t="s">
        <v>43</v>
      </c>
      <c r="AC3106" s="12" t="s">
        <v>16364</v>
      </c>
      <c r="AD3106" s="13">
        <v>44347</v>
      </c>
      <c r="AE3106" s="12" t="s">
        <v>45</v>
      </c>
      <c r="AF3106" s="12" t="s">
        <v>16365</v>
      </c>
      <c r="AG3106" s="12" t="s">
        <v>81</v>
      </c>
      <c r="AH3106" s="1">
        <f>HYPERLINK("https://my.pitchbook.com?c=173472-04T","View Company Online")</f>
      </c>
    </row>
    <row r="3107">
      <c r="A3107" s="3" t="s">
        <v>16366</v>
      </c>
      <c r="B3107" s="3" t="s">
        <v>16367</v>
      </c>
      <c r="C3107" s="5">
        <v>1</v>
      </c>
      <c r="D3107" s="5" t="s">
        <v>36</v>
      </c>
      <c r="E3107" s="5">
        <v>1</v>
      </c>
      <c r="F3107" s="5">
        <v>1</v>
      </c>
      <c r="G3107" s="6" t="s">
        <v>326</v>
      </c>
      <c r="H3107" s="4">
        <v>114.23</v>
      </c>
      <c r="I3107" s="7">
        <v>15.51</v>
      </c>
      <c r="J3107" s="3" t="s">
        <v>521</v>
      </c>
      <c r="K3107" s="9" t="s">
        <v>36</v>
      </c>
      <c r="L3107" s="6" t="s">
        <v>122</v>
      </c>
      <c r="M3107" s="3" t="s">
        <v>36</v>
      </c>
      <c r="N3107" s="3" t="s">
        <v>122</v>
      </c>
      <c r="O3107" s="8" t="s">
        <v>36</v>
      </c>
      <c r="P3107" s="3" t="s">
        <v>36</v>
      </c>
      <c r="Q3107" s="3" t="s">
        <v>36</v>
      </c>
      <c r="R3107" s="3" t="s">
        <v>36</v>
      </c>
      <c r="S3107" s="3" t="s">
        <v>36</v>
      </c>
      <c r="T3107" s="3" t="s">
        <v>12057</v>
      </c>
      <c r="U3107" s="3" t="s">
        <v>233</v>
      </c>
      <c r="V3107" s="3" t="s">
        <v>39</v>
      </c>
      <c r="W3107" s="3" t="s">
        <v>16368</v>
      </c>
      <c r="X3107" s="10" t="s">
        <v>16369</v>
      </c>
      <c r="Y3107" s="6" t="s">
        <v>108</v>
      </c>
      <c r="Z3107" s="4">
        <v>2.57</v>
      </c>
      <c r="AA3107" s="4">
        <v>16.55</v>
      </c>
      <c r="AB3107" s="3" t="s">
        <v>56</v>
      </c>
      <c r="AC3107" s="3" t="s">
        <v>16370</v>
      </c>
      <c r="AD3107" s="9">
        <v>44347</v>
      </c>
      <c r="AE3107" s="3" t="s">
        <v>12061</v>
      </c>
      <c r="AF3107" s="3" t="s">
        <v>5001</v>
      </c>
      <c r="AG3107" s="3" t="s">
        <v>47</v>
      </c>
      <c r="AH3107" s="11">
        <f>HYPERLINK("https://my.pitchbook.com?c=172928-08T","View Company Online")</f>
      </c>
    </row>
    <row r="3108">
      <c r="A3108" s="12" t="s">
        <v>16371</v>
      </c>
      <c r="B3108" s="12" t="s">
        <v>16372</v>
      </c>
      <c r="C3108" s="19" t="s">
        <v>36</v>
      </c>
      <c r="D3108" s="19" t="s">
        <v>36</v>
      </c>
      <c r="E3108" s="19" t="s">
        <v>36</v>
      </c>
      <c r="F3108" s="19" t="s">
        <v>36</v>
      </c>
      <c r="G3108" s="15" t="s">
        <v>36</v>
      </c>
      <c r="H3108" s="14" t="s">
        <v>36</v>
      </c>
      <c r="I3108" s="18" t="s">
        <v>36</v>
      </c>
      <c r="J3108" s="12" t="s">
        <v>36</v>
      </c>
      <c r="K3108" s="13" t="s">
        <v>36</v>
      </c>
      <c r="L3108" s="15" t="s">
        <v>36</v>
      </c>
      <c r="M3108" s="12" t="s">
        <v>36</v>
      </c>
      <c r="N3108" s="12" t="s">
        <v>36</v>
      </c>
      <c r="O3108" s="17" t="s">
        <v>36</v>
      </c>
      <c r="P3108" s="12" t="s">
        <v>36</v>
      </c>
      <c r="Q3108" s="12" t="s">
        <v>36</v>
      </c>
      <c r="R3108" s="12" t="s">
        <v>36</v>
      </c>
      <c r="S3108" s="12" t="s">
        <v>36</v>
      </c>
      <c r="T3108" s="12" t="s">
        <v>16373</v>
      </c>
      <c r="U3108" s="12" t="s">
        <v>833</v>
      </c>
      <c r="V3108" s="12" t="s">
        <v>64</v>
      </c>
      <c r="W3108" s="12" t="s">
        <v>16374</v>
      </c>
      <c r="X3108" s="16" t="s">
        <v>1840</v>
      </c>
      <c r="Y3108" s="15" t="s">
        <v>108</v>
      </c>
      <c r="Z3108" s="14" t="s">
        <v>36</v>
      </c>
      <c r="AA3108" s="14" t="s">
        <v>36</v>
      </c>
      <c r="AB3108" s="12" t="s">
        <v>56</v>
      </c>
      <c r="AC3108" s="12" t="s">
        <v>16375</v>
      </c>
      <c r="AD3108" s="13">
        <v>44346</v>
      </c>
      <c r="AE3108" s="12" t="s">
        <v>1687</v>
      </c>
      <c r="AF3108" s="12" t="s">
        <v>90</v>
      </c>
      <c r="AG3108" s="12" t="s">
        <v>81</v>
      </c>
      <c r="AH3108" s="1">
        <f>HYPERLINK("https://my.pitchbook.com?c=253656-19T","View Company Online")</f>
      </c>
    </row>
    <row r="3109">
      <c r="A3109" s="3" t="s">
        <v>16376</v>
      </c>
      <c r="B3109" s="3" t="s">
        <v>6274</v>
      </c>
      <c r="C3109" s="5">
        <v>3</v>
      </c>
      <c r="D3109" s="5">
        <v>8</v>
      </c>
      <c r="E3109" s="5">
        <v>4</v>
      </c>
      <c r="F3109" s="5">
        <v>12</v>
      </c>
      <c r="G3109" s="6" t="s">
        <v>326</v>
      </c>
      <c r="H3109" s="4">
        <v>296.54</v>
      </c>
      <c r="I3109" s="7">
        <v>8.38</v>
      </c>
      <c r="J3109" s="3" t="s">
        <v>521</v>
      </c>
      <c r="K3109" s="9" t="s">
        <v>36</v>
      </c>
      <c r="L3109" s="6" t="s">
        <v>36</v>
      </c>
      <c r="M3109" s="3" t="s">
        <v>36</v>
      </c>
      <c r="N3109" s="3" t="s">
        <v>36</v>
      </c>
      <c r="O3109" s="8" t="s">
        <v>36</v>
      </c>
      <c r="P3109" s="3" t="s">
        <v>36</v>
      </c>
      <c r="Q3109" s="3" t="s">
        <v>36</v>
      </c>
      <c r="R3109" s="3" t="s">
        <v>36</v>
      </c>
      <c r="S3109" s="3" t="s">
        <v>36</v>
      </c>
      <c r="T3109" s="3" t="s">
        <v>2515</v>
      </c>
      <c r="U3109" s="3" t="s">
        <v>74</v>
      </c>
      <c r="V3109" s="3" t="s">
        <v>75</v>
      </c>
      <c r="W3109" s="3" t="s">
        <v>6275</v>
      </c>
      <c r="X3109" s="10" t="s">
        <v>16377</v>
      </c>
      <c r="Y3109" s="6" t="s">
        <v>108</v>
      </c>
      <c r="Z3109" s="4">
        <v>13.59</v>
      </c>
      <c r="AA3109" s="4">
        <v>162.21</v>
      </c>
      <c r="AB3109" s="3" t="s">
        <v>56</v>
      </c>
      <c r="AC3109" s="3" t="s">
        <v>6277</v>
      </c>
      <c r="AD3109" s="9">
        <v>44344</v>
      </c>
      <c r="AE3109" s="3" t="s">
        <v>570</v>
      </c>
      <c r="AF3109" s="3" t="s">
        <v>6278</v>
      </c>
      <c r="AG3109" s="3" t="s">
        <v>382</v>
      </c>
      <c r="AH3109" s="11">
        <f>HYPERLINK("https://my.pitchbook.com?c=179806-87T","View Company Online")</f>
      </c>
    </row>
    <row r="3110">
      <c r="A3110" s="12" t="s">
        <v>16378</v>
      </c>
      <c r="B3110" s="12" t="s">
        <v>16379</v>
      </c>
      <c r="C3110" s="19" t="s">
        <v>36</v>
      </c>
      <c r="D3110" s="19">
        <v>3</v>
      </c>
      <c r="E3110" s="19">
        <v>1</v>
      </c>
      <c r="F3110" s="19">
        <v>3</v>
      </c>
      <c r="G3110" s="15" t="s">
        <v>36</v>
      </c>
      <c r="H3110" s="14">
        <v>4154.27</v>
      </c>
      <c r="I3110" s="18">
        <v>42.92</v>
      </c>
      <c r="J3110" s="12" t="s">
        <v>521</v>
      </c>
      <c r="K3110" s="13" t="s">
        <v>36</v>
      </c>
      <c r="L3110" s="15" t="s">
        <v>36</v>
      </c>
      <c r="M3110" s="12" t="s">
        <v>36</v>
      </c>
      <c r="N3110" s="12" t="s">
        <v>36</v>
      </c>
      <c r="O3110" s="17" t="s">
        <v>36</v>
      </c>
      <c r="P3110" s="12" t="s">
        <v>36</v>
      </c>
      <c r="Q3110" s="12" t="s">
        <v>36</v>
      </c>
      <c r="R3110" s="12" t="s">
        <v>36</v>
      </c>
      <c r="S3110" s="12" t="s">
        <v>36</v>
      </c>
      <c r="T3110" s="12" t="s">
        <v>3790</v>
      </c>
      <c r="U3110" s="12" t="s">
        <v>318</v>
      </c>
      <c r="V3110" s="12" t="s">
        <v>39</v>
      </c>
      <c r="W3110" s="12" t="s">
        <v>16380</v>
      </c>
      <c r="X3110" s="16" t="s">
        <v>16381</v>
      </c>
      <c r="Y3110" s="15" t="s">
        <v>42</v>
      </c>
      <c r="Z3110" s="14">
        <v>3.65</v>
      </c>
      <c r="AA3110" s="14">
        <v>8.5</v>
      </c>
      <c r="AB3110" s="12" t="s">
        <v>56</v>
      </c>
      <c r="AC3110" s="12" t="s">
        <v>16382</v>
      </c>
      <c r="AD3110" s="13">
        <v>44344</v>
      </c>
      <c r="AE3110" s="12" t="s">
        <v>763</v>
      </c>
      <c r="AF3110" s="12" t="s">
        <v>571</v>
      </c>
      <c r="AG3110" s="12" t="s">
        <v>16383</v>
      </c>
      <c r="AH3110" s="1">
        <f>HYPERLINK("https://my.pitchbook.com?c=204524-92T","View Company Online")</f>
      </c>
    </row>
    <row r="3111">
      <c r="A3111" s="3" t="s">
        <v>16384</v>
      </c>
      <c r="B3111" s="3" t="s">
        <v>1278</v>
      </c>
      <c r="C3111" s="5" t="s">
        <v>36</v>
      </c>
      <c r="D3111" s="5" t="s">
        <v>36</v>
      </c>
      <c r="E3111" s="5" t="s">
        <v>36</v>
      </c>
      <c r="F3111" s="5" t="s">
        <v>36</v>
      </c>
      <c r="G3111" s="6" t="s">
        <v>326</v>
      </c>
      <c r="H3111" s="4" t="s">
        <v>36</v>
      </c>
      <c r="I3111" s="7">
        <v>15.66</v>
      </c>
      <c r="J3111" s="3" t="s">
        <v>327</v>
      </c>
      <c r="K3111" s="9" t="s">
        <v>36</v>
      </c>
      <c r="L3111" s="6" t="s">
        <v>94</v>
      </c>
      <c r="M3111" s="3" t="s">
        <v>36</v>
      </c>
      <c r="N3111" s="3" t="s">
        <v>94</v>
      </c>
      <c r="O3111" s="8" t="s">
        <v>36</v>
      </c>
      <c r="P3111" s="3" t="s">
        <v>36</v>
      </c>
      <c r="Q3111" s="3" t="s">
        <v>36</v>
      </c>
      <c r="R3111" s="3" t="s">
        <v>36</v>
      </c>
      <c r="S3111" s="3" t="s">
        <v>36</v>
      </c>
      <c r="T3111" s="3" t="s">
        <v>1280</v>
      </c>
      <c r="U3111" s="3" t="s">
        <v>38</v>
      </c>
      <c r="V3111" s="3" t="s">
        <v>39</v>
      </c>
      <c r="W3111" s="3" t="s">
        <v>1281</v>
      </c>
      <c r="X3111" s="10" t="s">
        <v>16385</v>
      </c>
      <c r="Y3111" s="6" t="s">
        <v>55</v>
      </c>
      <c r="Z3111" s="4">
        <v>99.46</v>
      </c>
      <c r="AA3111" s="4">
        <v>503.36</v>
      </c>
      <c r="AB3111" s="3" t="s">
        <v>56</v>
      </c>
      <c r="AC3111" s="3" t="s">
        <v>1283</v>
      </c>
      <c r="AD3111" s="9">
        <v>44343</v>
      </c>
      <c r="AE3111" s="3" t="s">
        <v>45</v>
      </c>
      <c r="AF3111" s="3" t="s">
        <v>615</v>
      </c>
      <c r="AG3111" s="3" t="s">
        <v>47</v>
      </c>
      <c r="AH3111" s="11">
        <f>HYPERLINK("https://my.pitchbook.com?c=172900-54T","View Company Online")</f>
      </c>
    </row>
    <row r="3112">
      <c r="A3112" s="12" t="s">
        <v>16386</v>
      </c>
      <c r="B3112" s="12" t="s">
        <v>4305</v>
      </c>
      <c r="C3112" s="19" t="s">
        <v>36</v>
      </c>
      <c r="D3112" s="19" t="s">
        <v>36</v>
      </c>
      <c r="E3112" s="19" t="s">
        <v>36</v>
      </c>
      <c r="F3112" s="19" t="s">
        <v>36</v>
      </c>
      <c r="G3112" s="15" t="s">
        <v>36</v>
      </c>
      <c r="H3112" s="14">
        <v>8.93</v>
      </c>
      <c r="I3112" s="18">
        <v>38.47</v>
      </c>
      <c r="J3112" s="12" t="s">
        <v>521</v>
      </c>
      <c r="K3112" s="13" t="s">
        <v>36</v>
      </c>
      <c r="L3112" s="15" t="s">
        <v>36</v>
      </c>
      <c r="M3112" s="12" t="s">
        <v>36</v>
      </c>
      <c r="N3112" s="12" t="s">
        <v>36</v>
      </c>
      <c r="O3112" s="17" t="s">
        <v>36</v>
      </c>
      <c r="P3112" s="12" t="s">
        <v>36</v>
      </c>
      <c r="Q3112" s="12" t="s">
        <v>36</v>
      </c>
      <c r="R3112" s="12" t="s">
        <v>36</v>
      </c>
      <c r="S3112" s="12" t="s">
        <v>36</v>
      </c>
      <c r="T3112" s="12" t="s">
        <v>4306</v>
      </c>
      <c r="U3112" s="12" t="s">
        <v>63</v>
      </c>
      <c r="V3112" s="12" t="s">
        <v>64</v>
      </c>
      <c r="W3112" s="12" t="s">
        <v>4307</v>
      </c>
      <c r="X3112" s="16" t="s">
        <v>16387</v>
      </c>
      <c r="Y3112" s="15" t="s">
        <v>42</v>
      </c>
      <c r="Z3112" s="14">
        <v>6.06</v>
      </c>
      <c r="AA3112" s="14">
        <v>3.94</v>
      </c>
      <c r="AB3112" s="12" t="s">
        <v>43</v>
      </c>
      <c r="AC3112" s="12" t="s">
        <v>4309</v>
      </c>
      <c r="AD3112" s="13">
        <v>44343</v>
      </c>
      <c r="AE3112" s="12" t="s">
        <v>4310</v>
      </c>
      <c r="AF3112" s="12" t="s">
        <v>4311</v>
      </c>
      <c r="AG3112" s="12" t="s">
        <v>81</v>
      </c>
      <c r="AH3112" s="1">
        <f>HYPERLINK("https://my.pitchbook.com?c=172930-78T","View Company Online")</f>
      </c>
    </row>
    <row r="3113">
      <c r="A3113" s="3" t="s">
        <v>16388</v>
      </c>
      <c r="B3113" s="3" t="s">
        <v>8246</v>
      </c>
      <c r="C3113" s="5" t="s">
        <v>36</v>
      </c>
      <c r="D3113" s="5" t="s">
        <v>36</v>
      </c>
      <c r="E3113" s="5" t="s">
        <v>36</v>
      </c>
      <c r="F3113" s="5" t="s">
        <v>36</v>
      </c>
      <c r="G3113" s="6" t="s">
        <v>36</v>
      </c>
      <c r="H3113" s="4" t="s">
        <v>36</v>
      </c>
      <c r="I3113" s="7" t="s">
        <v>36</v>
      </c>
      <c r="J3113" s="3" t="s">
        <v>36</v>
      </c>
      <c r="K3113" s="9" t="s">
        <v>36</v>
      </c>
      <c r="L3113" s="6" t="s">
        <v>94</v>
      </c>
      <c r="M3113" s="3" t="s">
        <v>36</v>
      </c>
      <c r="N3113" s="3" t="s">
        <v>94</v>
      </c>
      <c r="O3113" s="8" t="s">
        <v>36</v>
      </c>
      <c r="P3113" s="3" t="s">
        <v>36</v>
      </c>
      <c r="Q3113" s="3" t="s">
        <v>36</v>
      </c>
      <c r="R3113" s="3" t="s">
        <v>36</v>
      </c>
      <c r="S3113" s="3" t="s">
        <v>36</v>
      </c>
      <c r="T3113" s="3" t="s">
        <v>529</v>
      </c>
      <c r="U3113" s="3" t="s">
        <v>38</v>
      </c>
      <c r="V3113" s="3" t="s">
        <v>39</v>
      </c>
      <c r="W3113" s="3" t="s">
        <v>8247</v>
      </c>
      <c r="X3113" s="10" t="s">
        <v>16389</v>
      </c>
      <c r="Y3113" s="6" t="s">
        <v>108</v>
      </c>
      <c r="Z3113" s="4">
        <v>35</v>
      </c>
      <c r="AA3113" s="4" t="s">
        <v>36</v>
      </c>
      <c r="AB3113" s="3" t="s">
        <v>56</v>
      </c>
      <c r="AC3113" s="3" t="s">
        <v>8249</v>
      </c>
      <c r="AD3113" s="9">
        <v>44342</v>
      </c>
      <c r="AE3113" s="3" t="s">
        <v>134</v>
      </c>
      <c r="AF3113" s="3" t="s">
        <v>8250</v>
      </c>
      <c r="AG3113" s="3" t="s">
        <v>81</v>
      </c>
      <c r="AH3113" s="11">
        <f>HYPERLINK("https://my.pitchbook.com?c=172849-96T","View Company Online")</f>
      </c>
    </row>
    <row r="3114">
      <c r="A3114" s="12" t="s">
        <v>16390</v>
      </c>
      <c r="B3114" s="12" t="s">
        <v>16391</v>
      </c>
      <c r="C3114" s="19" t="s">
        <v>36</v>
      </c>
      <c r="D3114" s="19" t="s">
        <v>36</v>
      </c>
      <c r="E3114" s="19" t="s">
        <v>36</v>
      </c>
      <c r="F3114" s="19" t="s">
        <v>36</v>
      </c>
      <c r="G3114" s="15" t="s">
        <v>36</v>
      </c>
      <c r="H3114" s="14" t="s">
        <v>36</v>
      </c>
      <c r="I3114" s="18" t="s">
        <v>36</v>
      </c>
      <c r="J3114" s="12" t="s">
        <v>36</v>
      </c>
      <c r="K3114" s="13" t="s">
        <v>36</v>
      </c>
      <c r="L3114" s="15" t="s">
        <v>122</v>
      </c>
      <c r="M3114" s="12" t="s">
        <v>36</v>
      </c>
      <c r="N3114" s="12" t="s">
        <v>122</v>
      </c>
      <c r="O3114" s="17" t="s">
        <v>36</v>
      </c>
      <c r="P3114" s="12" t="s">
        <v>36</v>
      </c>
      <c r="Q3114" s="12" t="s">
        <v>36</v>
      </c>
      <c r="R3114" s="12" t="s">
        <v>36</v>
      </c>
      <c r="S3114" s="12" t="s">
        <v>36</v>
      </c>
      <c r="T3114" s="12" t="s">
        <v>16392</v>
      </c>
      <c r="U3114" s="12" t="s">
        <v>38</v>
      </c>
      <c r="V3114" s="12" t="s">
        <v>39</v>
      </c>
      <c r="W3114" s="12" t="s">
        <v>16393</v>
      </c>
      <c r="X3114" s="16" t="s">
        <v>16394</v>
      </c>
      <c r="Y3114" s="15" t="s">
        <v>42</v>
      </c>
      <c r="Z3114" s="14">
        <v>19.4</v>
      </c>
      <c r="AA3114" s="14" t="s">
        <v>36</v>
      </c>
      <c r="AB3114" s="12" t="s">
        <v>56</v>
      </c>
      <c r="AC3114" s="12" t="s">
        <v>16395</v>
      </c>
      <c r="AD3114" s="13">
        <v>44342</v>
      </c>
      <c r="AE3114" s="12" t="s">
        <v>110</v>
      </c>
      <c r="AF3114" s="12" t="s">
        <v>176</v>
      </c>
      <c r="AG3114" s="12" t="s">
        <v>81</v>
      </c>
      <c r="AH3114" s="1">
        <f>HYPERLINK("https://my.pitchbook.com?c=172826-74T","View Company Online")</f>
      </c>
    </row>
    <row r="3115">
      <c r="A3115" s="3" t="s">
        <v>16396</v>
      </c>
      <c r="B3115" s="3" t="s">
        <v>4763</v>
      </c>
      <c r="C3115" s="5">
        <v>20</v>
      </c>
      <c r="D3115" s="5">
        <v>97</v>
      </c>
      <c r="E3115" s="5">
        <v>70</v>
      </c>
      <c r="F3115" s="5">
        <v>130</v>
      </c>
      <c r="G3115" s="6" t="s">
        <v>326</v>
      </c>
      <c r="H3115" s="4">
        <v>4.98</v>
      </c>
      <c r="I3115" s="7">
        <v>17</v>
      </c>
      <c r="J3115" s="3" t="s">
        <v>521</v>
      </c>
      <c r="K3115" s="9" t="s">
        <v>36</v>
      </c>
      <c r="L3115" s="6" t="s">
        <v>12462</v>
      </c>
      <c r="M3115" s="3" t="s">
        <v>36</v>
      </c>
      <c r="N3115" s="3" t="s">
        <v>12462</v>
      </c>
      <c r="O3115" s="8" t="s">
        <v>36</v>
      </c>
      <c r="P3115" s="3" t="s">
        <v>36</v>
      </c>
      <c r="Q3115" s="3" t="s">
        <v>36</v>
      </c>
      <c r="R3115" s="3" t="s">
        <v>36</v>
      </c>
      <c r="S3115" s="3" t="s">
        <v>196</v>
      </c>
      <c r="T3115" s="3" t="s">
        <v>522</v>
      </c>
      <c r="U3115" s="3" t="s">
        <v>38</v>
      </c>
      <c r="V3115" s="3" t="s">
        <v>39</v>
      </c>
      <c r="W3115" s="3" t="s">
        <v>4764</v>
      </c>
      <c r="X3115" s="10" t="s">
        <v>16397</v>
      </c>
      <c r="Y3115" s="6" t="s">
        <v>321</v>
      </c>
      <c r="Z3115" s="4">
        <v>499.15</v>
      </c>
      <c r="AA3115" s="4">
        <v>2781.57</v>
      </c>
      <c r="AB3115" s="3" t="s">
        <v>56</v>
      </c>
      <c r="AC3115" s="3" t="s">
        <v>4766</v>
      </c>
      <c r="AD3115" s="9">
        <v>44341</v>
      </c>
      <c r="AE3115" s="3" t="s">
        <v>110</v>
      </c>
      <c r="AF3115" s="3" t="s">
        <v>111</v>
      </c>
      <c r="AG3115" s="3" t="s">
        <v>81</v>
      </c>
      <c r="AH3115" s="11">
        <f>HYPERLINK("https://my.pitchbook.com?c=172804-69T","View Company Online")</f>
      </c>
    </row>
    <row r="3116">
      <c r="A3116" s="12" t="s">
        <v>16398</v>
      </c>
      <c r="B3116" s="12" t="s">
        <v>16399</v>
      </c>
      <c r="C3116" s="19" t="s">
        <v>36</v>
      </c>
      <c r="D3116" s="19" t="s">
        <v>36</v>
      </c>
      <c r="E3116" s="19" t="s">
        <v>36</v>
      </c>
      <c r="F3116" s="19" t="s">
        <v>36</v>
      </c>
      <c r="G3116" s="15" t="s">
        <v>326</v>
      </c>
      <c r="H3116" s="14">
        <v>284.05</v>
      </c>
      <c r="I3116" s="18">
        <v>28.44</v>
      </c>
      <c r="J3116" s="12" t="s">
        <v>521</v>
      </c>
      <c r="K3116" s="13" t="s">
        <v>36</v>
      </c>
      <c r="L3116" s="15" t="s">
        <v>94</v>
      </c>
      <c r="M3116" s="12" t="s">
        <v>36</v>
      </c>
      <c r="N3116" s="12" t="s">
        <v>94</v>
      </c>
      <c r="O3116" s="17" t="s">
        <v>36</v>
      </c>
      <c r="P3116" s="12" t="s">
        <v>36</v>
      </c>
      <c r="Q3116" s="12" t="s">
        <v>36</v>
      </c>
      <c r="R3116" s="12" t="s">
        <v>36</v>
      </c>
      <c r="S3116" s="12" t="s">
        <v>36</v>
      </c>
      <c r="T3116" s="12" t="s">
        <v>1560</v>
      </c>
      <c r="U3116" s="12" t="s">
        <v>438</v>
      </c>
      <c r="V3116" s="12" t="s">
        <v>405</v>
      </c>
      <c r="W3116" s="12" t="s">
        <v>16400</v>
      </c>
      <c r="X3116" s="16" t="s">
        <v>16401</v>
      </c>
      <c r="Y3116" s="15" t="s">
        <v>55</v>
      </c>
      <c r="Z3116" s="14">
        <v>24.24</v>
      </c>
      <c r="AA3116" s="14">
        <v>85.24</v>
      </c>
      <c r="AB3116" s="12" t="s">
        <v>43</v>
      </c>
      <c r="AC3116" s="12" t="s">
        <v>16402</v>
      </c>
      <c r="AD3116" s="13">
        <v>44341</v>
      </c>
      <c r="AE3116" s="12" t="s">
        <v>438</v>
      </c>
      <c r="AF3116" s="12" t="s">
        <v>215</v>
      </c>
      <c r="AG3116" s="12" t="s">
        <v>81</v>
      </c>
      <c r="AH3116" s="1">
        <f>HYPERLINK("https://my.pitchbook.com?c=172704-88T","View Company Online")</f>
      </c>
    </row>
    <row r="3117">
      <c r="A3117" s="3" t="s">
        <v>16403</v>
      </c>
      <c r="B3117" s="3" t="s">
        <v>16404</v>
      </c>
      <c r="C3117" s="5" t="s">
        <v>36</v>
      </c>
      <c r="D3117" s="5" t="s">
        <v>36</v>
      </c>
      <c r="E3117" s="5" t="s">
        <v>36</v>
      </c>
      <c r="F3117" s="5" t="s">
        <v>36</v>
      </c>
      <c r="G3117" s="6" t="s">
        <v>36</v>
      </c>
      <c r="H3117" s="4" t="s">
        <v>36</v>
      </c>
      <c r="I3117" s="7">
        <v>53.3</v>
      </c>
      <c r="J3117" s="3" t="s">
        <v>521</v>
      </c>
      <c r="K3117" s="9">
        <v>44327</v>
      </c>
      <c r="L3117" s="6" t="s">
        <v>122</v>
      </c>
      <c r="M3117" s="3" t="s">
        <v>36</v>
      </c>
      <c r="N3117" s="3" t="s">
        <v>122</v>
      </c>
      <c r="O3117" s="8" t="s">
        <v>36</v>
      </c>
      <c r="P3117" s="3" t="s">
        <v>36</v>
      </c>
      <c r="Q3117" s="3" t="s">
        <v>36</v>
      </c>
      <c r="R3117" s="3" t="s">
        <v>36</v>
      </c>
      <c r="S3117" s="3" t="s">
        <v>36</v>
      </c>
      <c r="T3117" s="3" t="s">
        <v>16405</v>
      </c>
      <c r="U3117" s="3" t="s">
        <v>180</v>
      </c>
      <c r="V3117" s="3" t="s">
        <v>52</v>
      </c>
      <c r="W3117" s="3" t="s">
        <v>16406</v>
      </c>
      <c r="X3117" s="10" t="s">
        <v>16407</v>
      </c>
      <c r="Y3117" s="6" t="s">
        <v>42</v>
      </c>
      <c r="Z3117" s="4">
        <v>48.48</v>
      </c>
      <c r="AA3117" s="4">
        <v>90.9</v>
      </c>
      <c r="AB3117" s="3" t="s">
        <v>56</v>
      </c>
      <c r="AC3117" s="3" t="s">
        <v>16408</v>
      </c>
      <c r="AD3117" s="9">
        <v>44341</v>
      </c>
      <c r="AE3117" s="3" t="s">
        <v>1192</v>
      </c>
      <c r="AF3117" s="3" t="s">
        <v>16409</v>
      </c>
      <c r="AG3117" s="3" t="s">
        <v>4637</v>
      </c>
      <c r="AH3117" s="11">
        <f>HYPERLINK("https://my.pitchbook.com?c=172062-01T","View Company Online")</f>
      </c>
    </row>
    <row r="3118">
      <c r="A3118" s="12" t="s">
        <v>16410</v>
      </c>
      <c r="B3118" s="12" t="s">
        <v>16411</v>
      </c>
      <c r="C3118" s="19" t="s">
        <v>36</v>
      </c>
      <c r="D3118" s="19" t="s">
        <v>36</v>
      </c>
      <c r="E3118" s="19" t="s">
        <v>36</v>
      </c>
      <c r="F3118" s="19" t="s">
        <v>36</v>
      </c>
      <c r="G3118" s="15" t="s">
        <v>36</v>
      </c>
      <c r="H3118" s="14" t="s">
        <v>36</v>
      </c>
      <c r="I3118" s="18" t="s">
        <v>36</v>
      </c>
      <c r="J3118" s="12" t="s">
        <v>36</v>
      </c>
      <c r="K3118" s="13" t="s">
        <v>36</v>
      </c>
      <c r="L3118" s="15" t="s">
        <v>36</v>
      </c>
      <c r="M3118" s="12" t="s">
        <v>36</v>
      </c>
      <c r="N3118" s="12" t="s">
        <v>36</v>
      </c>
      <c r="O3118" s="17" t="s">
        <v>36</v>
      </c>
      <c r="P3118" s="12" t="s">
        <v>36</v>
      </c>
      <c r="Q3118" s="12" t="s">
        <v>36</v>
      </c>
      <c r="R3118" s="12" t="s">
        <v>36</v>
      </c>
      <c r="S3118" s="12" t="s">
        <v>36</v>
      </c>
      <c r="T3118" s="12" t="s">
        <v>342</v>
      </c>
      <c r="U3118" s="12" t="s">
        <v>38</v>
      </c>
      <c r="V3118" s="12" t="s">
        <v>39</v>
      </c>
      <c r="W3118" s="12" t="s">
        <v>16412</v>
      </c>
      <c r="X3118" s="16" t="s">
        <v>2433</v>
      </c>
      <c r="Y3118" s="15" t="s">
        <v>108</v>
      </c>
      <c r="Z3118" s="14">
        <v>1.21</v>
      </c>
      <c r="AA3118" s="14" t="s">
        <v>36</v>
      </c>
      <c r="AB3118" s="12" t="s">
        <v>43</v>
      </c>
      <c r="AC3118" s="12" t="s">
        <v>16413</v>
      </c>
      <c r="AD3118" s="13">
        <v>44341</v>
      </c>
      <c r="AE3118" s="12" t="s">
        <v>110</v>
      </c>
      <c r="AF3118" s="12" t="s">
        <v>16414</v>
      </c>
      <c r="AG3118" s="12" t="s">
        <v>81</v>
      </c>
      <c r="AH3118" s="1">
        <f>HYPERLINK("https://my.pitchbook.com?c=190377-10T","View Company Online")</f>
      </c>
    </row>
    <row r="3119">
      <c r="A3119" s="3" t="s">
        <v>16415</v>
      </c>
      <c r="B3119" s="3" t="s">
        <v>16416</v>
      </c>
      <c r="C3119" s="5" t="s">
        <v>36</v>
      </c>
      <c r="D3119" s="5" t="s">
        <v>36</v>
      </c>
      <c r="E3119" s="5" t="s">
        <v>36</v>
      </c>
      <c r="F3119" s="5" t="s">
        <v>36</v>
      </c>
      <c r="G3119" s="6" t="s">
        <v>326</v>
      </c>
      <c r="H3119" s="4">
        <v>27.91</v>
      </c>
      <c r="I3119" s="7">
        <v>13.21</v>
      </c>
      <c r="J3119" s="3" t="s">
        <v>521</v>
      </c>
      <c r="K3119" s="9" t="s">
        <v>36</v>
      </c>
      <c r="L3119" s="6" t="s">
        <v>36</v>
      </c>
      <c r="M3119" s="3" t="s">
        <v>36</v>
      </c>
      <c r="N3119" s="3" t="s">
        <v>36</v>
      </c>
      <c r="O3119" s="8" t="s">
        <v>36</v>
      </c>
      <c r="P3119" s="3" t="s">
        <v>36</v>
      </c>
      <c r="Q3119" s="3" t="s">
        <v>36</v>
      </c>
      <c r="R3119" s="3" t="s">
        <v>36</v>
      </c>
      <c r="S3119" s="3" t="s">
        <v>36</v>
      </c>
      <c r="T3119" s="3" t="s">
        <v>8394</v>
      </c>
      <c r="U3119" s="3" t="s">
        <v>85</v>
      </c>
      <c r="V3119" s="3" t="s">
        <v>64</v>
      </c>
      <c r="W3119" s="3" t="s">
        <v>16417</v>
      </c>
      <c r="X3119" s="10" t="s">
        <v>16418</v>
      </c>
      <c r="Y3119" s="6" t="s">
        <v>42</v>
      </c>
      <c r="Z3119" s="4">
        <v>0.62</v>
      </c>
      <c r="AA3119" s="4">
        <v>4.66</v>
      </c>
      <c r="AB3119" s="3" t="s">
        <v>56</v>
      </c>
      <c r="AC3119" s="3" t="s">
        <v>16419</v>
      </c>
      <c r="AD3119" s="9">
        <v>44338</v>
      </c>
      <c r="AE3119" s="3" t="s">
        <v>89</v>
      </c>
      <c r="AF3119" s="3" t="s">
        <v>16420</v>
      </c>
      <c r="AG3119" s="3" t="s">
        <v>81</v>
      </c>
      <c r="AH3119" s="11">
        <f>HYPERLINK("https://my.pitchbook.com?c=189608-77T","View Company Online")</f>
      </c>
    </row>
    <row r="3120">
      <c r="A3120" s="12" t="s">
        <v>16421</v>
      </c>
      <c r="B3120" s="12" t="s">
        <v>16422</v>
      </c>
      <c r="C3120" s="19" t="s">
        <v>36</v>
      </c>
      <c r="D3120" s="19" t="s">
        <v>36</v>
      </c>
      <c r="E3120" s="19" t="s">
        <v>36</v>
      </c>
      <c r="F3120" s="19" t="s">
        <v>36</v>
      </c>
      <c r="G3120" s="15" t="s">
        <v>36</v>
      </c>
      <c r="H3120" s="14" t="s">
        <v>36</v>
      </c>
      <c r="I3120" s="18" t="s">
        <v>36</v>
      </c>
      <c r="J3120" s="12" t="s">
        <v>36</v>
      </c>
      <c r="K3120" s="13" t="s">
        <v>36</v>
      </c>
      <c r="L3120" s="15" t="s">
        <v>36</v>
      </c>
      <c r="M3120" s="12" t="s">
        <v>36</v>
      </c>
      <c r="N3120" s="12" t="s">
        <v>36</v>
      </c>
      <c r="O3120" s="17" t="s">
        <v>36</v>
      </c>
      <c r="P3120" s="12" t="s">
        <v>36</v>
      </c>
      <c r="Q3120" s="12" t="s">
        <v>36</v>
      </c>
      <c r="R3120" s="12" t="s">
        <v>36</v>
      </c>
      <c r="S3120" s="12" t="s">
        <v>36</v>
      </c>
      <c r="T3120" s="12" t="s">
        <v>13576</v>
      </c>
      <c r="U3120" s="12" t="s">
        <v>438</v>
      </c>
      <c r="V3120" s="12" t="s">
        <v>405</v>
      </c>
      <c r="W3120" s="12" t="s">
        <v>16423</v>
      </c>
      <c r="X3120" s="16" t="s">
        <v>14131</v>
      </c>
      <c r="Y3120" s="15" t="s">
        <v>108</v>
      </c>
      <c r="Z3120" s="14">
        <v>12.1</v>
      </c>
      <c r="AA3120" s="14" t="s">
        <v>36</v>
      </c>
      <c r="AB3120" s="12" t="s">
        <v>43</v>
      </c>
      <c r="AC3120" s="12" t="s">
        <v>16424</v>
      </c>
      <c r="AD3120" s="13">
        <v>44337</v>
      </c>
      <c r="AE3120" s="12" t="s">
        <v>442</v>
      </c>
      <c r="AF3120" s="12" t="s">
        <v>215</v>
      </c>
      <c r="AG3120" s="12" t="s">
        <v>81</v>
      </c>
      <c r="AH3120" s="1">
        <f>HYPERLINK("https://my.pitchbook.com?c=187959-16T","View Company Online")</f>
      </c>
    </row>
    <row r="3121">
      <c r="A3121" s="3" t="s">
        <v>16425</v>
      </c>
      <c r="B3121" s="3" t="s">
        <v>16426</v>
      </c>
      <c r="C3121" s="5" t="s">
        <v>36</v>
      </c>
      <c r="D3121" s="5" t="s">
        <v>36</v>
      </c>
      <c r="E3121" s="5" t="s">
        <v>36</v>
      </c>
      <c r="F3121" s="5" t="s">
        <v>36</v>
      </c>
      <c r="G3121" s="6" t="s">
        <v>36</v>
      </c>
      <c r="H3121" s="4">
        <v>1871.29</v>
      </c>
      <c r="I3121" s="7">
        <v>8.29</v>
      </c>
      <c r="J3121" s="3" t="s">
        <v>521</v>
      </c>
      <c r="K3121" s="9" t="s">
        <v>36</v>
      </c>
      <c r="L3121" s="6" t="s">
        <v>36</v>
      </c>
      <c r="M3121" s="3" t="s">
        <v>36</v>
      </c>
      <c r="N3121" s="3" t="s">
        <v>36</v>
      </c>
      <c r="O3121" s="8" t="s">
        <v>36</v>
      </c>
      <c r="P3121" s="3" t="s">
        <v>36</v>
      </c>
      <c r="Q3121" s="3" t="s">
        <v>36</v>
      </c>
      <c r="R3121" s="3" t="s">
        <v>36</v>
      </c>
      <c r="S3121" s="3" t="s">
        <v>36</v>
      </c>
      <c r="T3121" s="3" t="s">
        <v>16427</v>
      </c>
      <c r="U3121" s="3" t="s">
        <v>648</v>
      </c>
      <c r="V3121" s="3" t="s">
        <v>64</v>
      </c>
      <c r="W3121" s="3" t="s">
        <v>16428</v>
      </c>
      <c r="X3121" s="10" t="s">
        <v>15119</v>
      </c>
      <c r="Y3121" s="6" t="s">
        <v>42</v>
      </c>
      <c r="Z3121" s="4">
        <v>0.24</v>
      </c>
      <c r="AA3121" s="4">
        <v>2.92</v>
      </c>
      <c r="AB3121" s="3" t="s">
        <v>43</v>
      </c>
      <c r="AC3121" s="3" t="s">
        <v>16429</v>
      </c>
      <c r="AD3121" s="9">
        <v>44337</v>
      </c>
      <c r="AE3121" s="3" t="s">
        <v>651</v>
      </c>
      <c r="AF3121" s="3" t="s">
        <v>36</v>
      </c>
      <c r="AG3121" s="3" t="s">
        <v>81</v>
      </c>
      <c r="AH3121" s="11">
        <f>HYPERLINK("https://my.pitchbook.com?c=191244-61T","View Company Online")</f>
      </c>
    </row>
    <row r="3122">
      <c r="A3122" s="12" t="s">
        <v>16430</v>
      </c>
      <c r="B3122" s="12" t="s">
        <v>16431</v>
      </c>
      <c r="C3122" s="19" t="s">
        <v>36</v>
      </c>
      <c r="D3122" s="19">
        <v>20</v>
      </c>
      <c r="E3122" s="19">
        <v>5</v>
      </c>
      <c r="F3122" s="19">
        <v>24</v>
      </c>
      <c r="G3122" s="15" t="s">
        <v>326</v>
      </c>
      <c r="H3122" s="14">
        <v>316.45</v>
      </c>
      <c r="I3122" s="18">
        <v>25.67</v>
      </c>
      <c r="J3122" s="12" t="s">
        <v>521</v>
      </c>
      <c r="K3122" s="13" t="s">
        <v>36</v>
      </c>
      <c r="L3122" s="15" t="s">
        <v>94</v>
      </c>
      <c r="M3122" s="12" t="s">
        <v>36</v>
      </c>
      <c r="N3122" s="12" t="s">
        <v>94</v>
      </c>
      <c r="O3122" s="17" t="s">
        <v>36</v>
      </c>
      <c r="P3122" s="12" t="s">
        <v>36</v>
      </c>
      <c r="Q3122" s="12" t="s">
        <v>36</v>
      </c>
      <c r="R3122" s="12" t="s">
        <v>36</v>
      </c>
      <c r="S3122" s="12" t="s">
        <v>36</v>
      </c>
      <c r="T3122" s="12" t="s">
        <v>9198</v>
      </c>
      <c r="U3122" s="12" t="s">
        <v>318</v>
      </c>
      <c r="V3122" s="12" t="s">
        <v>39</v>
      </c>
      <c r="W3122" s="12" t="s">
        <v>16432</v>
      </c>
      <c r="X3122" s="16" t="s">
        <v>16433</v>
      </c>
      <c r="Y3122" s="15" t="s">
        <v>55</v>
      </c>
      <c r="Z3122" s="14">
        <v>8.47</v>
      </c>
      <c r="AA3122" s="14">
        <v>23.11</v>
      </c>
      <c r="AB3122" s="12" t="s">
        <v>56</v>
      </c>
      <c r="AC3122" s="12" t="s">
        <v>16434</v>
      </c>
      <c r="AD3122" s="13">
        <v>44337</v>
      </c>
      <c r="AE3122" s="12" t="s">
        <v>417</v>
      </c>
      <c r="AF3122" s="12" t="s">
        <v>12607</v>
      </c>
      <c r="AG3122" s="12" t="s">
        <v>11767</v>
      </c>
      <c r="AH3122" s="1">
        <f>HYPERLINK("https://my.pitchbook.com?c=169532-38T","View Company Online")</f>
      </c>
    </row>
    <row r="3123">
      <c r="A3123" s="3" t="s">
        <v>16435</v>
      </c>
      <c r="B3123" s="3" t="s">
        <v>16436</v>
      </c>
      <c r="C3123" s="5" t="s">
        <v>36</v>
      </c>
      <c r="D3123" s="5" t="s">
        <v>36</v>
      </c>
      <c r="E3123" s="5" t="s">
        <v>36</v>
      </c>
      <c r="F3123" s="5" t="s">
        <v>36</v>
      </c>
      <c r="G3123" s="6" t="s">
        <v>36</v>
      </c>
      <c r="H3123" s="4">
        <v>79.31</v>
      </c>
      <c r="I3123" s="7">
        <v>27.42</v>
      </c>
      <c r="J3123" s="3" t="s">
        <v>521</v>
      </c>
      <c r="K3123" s="9" t="s">
        <v>36</v>
      </c>
      <c r="L3123" s="6" t="s">
        <v>36</v>
      </c>
      <c r="M3123" s="3" t="s">
        <v>36</v>
      </c>
      <c r="N3123" s="3" t="s">
        <v>36</v>
      </c>
      <c r="O3123" s="8" t="s">
        <v>36</v>
      </c>
      <c r="P3123" s="3" t="s">
        <v>36</v>
      </c>
      <c r="Q3123" s="3" t="s">
        <v>36</v>
      </c>
      <c r="R3123" s="3" t="s">
        <v>36</v>
      </c>
      <c r="S3123" s="3" t="s">
        <v>36</v>
      </c>
      <c r="T3123" s="3" t="s">
        <v>550</v>
      </c>
      <c r="U3123" s="3" t="s">
        <v>38</v>
      </c>
      <c r="V3123" s="3" t="s">
        <v>39</v>
      </c>
      <c r="W3123" s="3" t="s">
        <v>16437</v>
      </c>
      <c r="X3123" s="10" t="s">
        <v>16438</v>
      </c>
      <c r="Y3123" s="6" t="s">
        <v>42</v>
      </c>
      <c r="Z3123" s="4">
        <v>1.4</v>
      </c>
      <c r="AA3123" s="4">
        <v>5.09</v>
      </c>
      <c r="AB3123" s="3" t="s">
        <v>43</v>
      </c>
      <c r="AC3123" s="3" t="s">
        <v>16439</v>
      </c>
      <c r="AD3123" s="9">
        <v>44337</v>
      </c>
      <c r="AE3123" s="3" t="s">
        <v>554</v>
      </c>
      <c r="AF3123" s="3" t="s">
        <v>16440</v>
      </c>
      <c r="AG3123" s="3" t="s">
        <v>81</v>
      </c>
      <c r="AH3123" s="11">
        <f>HYPERLINK("https://my.pitchbook.com?c=200391-67T","View Company Online")</f>
      </c>
    </row>
    <row r="3124">
      <c r="A3124" s="12" t="s">
        <v>16441</v>
      </c>
      <c r="B3124" s="12" t="s">
        <v>7808</v>
      </c>
      <c r="C3124" s="19" t="s">
        <v>36</v>
      </c>
      <c r="D3124" s="19" t="s">
        <v>36</v>
      </c>
      <c r="E3124" s="19" t="s">
        <v>36</v>
      </c>
      <c r="F3124" s="19" t="s">
        <v>36</v>
      </c>
      <c r="G3124" s="15" t="s">
        <v>326</v>
      </c>
      <c r="H3124" s="14" t="s">
        <v>36</v>
      </c>
      <c r="I3124" s="18">
        <v>26.51</v>
      </c>
      <c r="J3124" s="12" t="s">
        <v>327</v>
      </c>
      <c r="K3124" s="13" t="s">
        <v>36</v>
      </c>
      <c r="L3124" s="15" t="s">
        <v>122</v>
      </c>
      <c r="M3124" s="12" t="s">
        <v>36</v>
      </c>
      <c r="N3124" s="12" t="s">
        <v>122</v>
      </c>
      <c r="O3124" s="17" t="s">
        <v>36</v>
      </c>
      <c r="P3124" s="12" t="s">
        <v>36</v>
      </c>
      <c r="Q3124" s="12" t="s">
        <v>36</v>
      </c>
      <c r="R3124" s="12" t="s">
        <v>36</v>
      </c>
      <c r="S3124" s="12" t="s">
        <v>36</v>
      </c>
      <c r="T3124" s="12" t="s">
        <v>7809</v>
      </c>
      <c r="U3124" s="12" t="s">
        <v>648</v>
      </c>
      <c r="V3124" s="12" t="s">
        <v>64</v>
      </c>
      <c r="W3124" s="12" t="s">
        <v>7810</v>
      </c>
      <c r="X3124" s="16" t="s">
        <v>16442</v>
      </c>
      <c r="Y3124" s="15" t="s">
        <v>42</v>
      </c>
      <c r="Z3124" s="14">
        <v>7.26</v>
      </c>
      <c r="AA3124" s="14">
        <v>27.38</v>
      </c>
      <c r="AB3124" s="12" t="s">
        <v>43</v>
      </c>
      <c r="AC3124" s="12" t="s">
        <v>7812</v>
      </c>
      <c r="AD3124" s="13">
        <v>44336</v>
      </c>
      <c r="AE3124" s="12" t="s">
        <v>1897</v>
      </c>
      <c r="AF3124" s="12" t="s">
        <v>1115</v>
      </c>
      <c r="AG3124" s="12" t="s">
        <v>81</v>
      </c>
      <c r="AH3124" s="1">
        <f>HYPERLINK("https://my.pitchbook.com?c=173187-46T","View Company Online")</f>
      </c>
    </row>
    <row r="3125">
      <c r="A3125" s="3" t="s">
        <v>16443</v>
      </c>
      <c r="B3125" s="3" t="s">
        <v>16444</v>
      </c>
      <c r="C3125" s="5">
        <v>1</v>
      </c>
      <c r="D3125" s="5">
        <v>6</v>
      </c>
      <c r="E3125" s="5">
        <v>2</v>
      </c>
      <c r="F3125" s="5">
        <v>7</v>
      </c>
      <c r="G3125" s="6" t="s">
        <v>36</v>
      </c>
      <c r="H3125" s="4">
        <v>1038.57</v>
      </c>
      <c r="I3125" s="7">
        <v>43.18</v>
      </c>
      <c r="J3125" s="3" t="s">
        <v>521</v>
      </c>
      <c r="K3125" s="9" t="s">
        <v>36</v>
      </c>
      <c r="L3125" s="6" t="s">
        <v>36</v>
      </c>
      <c r="M3125" s="3" t="s">
        <v>36</v>
      </c>
      <c r="N3125" s="3" t="s">
        <v>36</v>
      </c>
      <c r="O3125" s="8" t="s">
        <v>36</v>
      </c>
      <c r="P3125" s="3" t="s">
        <v>36</v>
      </c>
      <c r="Q3125" s="3" t="s">
        <v>36</v>
      </c>
      <c r="R3125" s="3" t="s">
        <v>36</v>
      </c>
      <c r="S3125" s="3" t="s">
        <v>36</v>
      </c>
      <c r="T3125" s="3" t="s">
        <v>16445</v>
      </c>
      <c r="U3125" s="3" t="s">
        <v>279</v>
      </c>
      <c r="V3125" s="3" t="s">
        <v>64</v>
      </c>
      <c r="W3125" s="3" t="s">
        <v>16446</v>
      </c>
      <c r="X3125" s="10" t="s">
        <v>16447</v>
      </c>
      <c r="Y3125" s="6" t="s">
        <v>108</v>
      </c>
      <c r="Z3125" s="4">
        <v>2.42</v>
      </c>
      <c r="AA3125" s="4">
        <v>5.6</v>
      </c>
      <c r="AB3125" s="3" t="s">
        <v>56</v>
      </c>
      <c r="AC3125" s="3" t="s">
        <v>16448</v>
      </c>
      <c r="AD3125" s="9">
        <v>44336</v>
      </c>
      <c r="AE3125" s="3" t="s">
        <v>283</v>
      </c>
      <c r="AF3125" s="3" t="s">
        <v>36</v>
      </c>
      <c r="AG3125" s="3" t="s">
        <v>186</v>
      </c>
      <c r="AH3125" s="11">
        <f>HYPERLINK("https://my.pitchbook.com?c=214662-07T","View Company Online")</f>
      </c>
    </row>
    <row r="3126">
      <c r="A3126" s="12" t="s">
        <v>16449</v>
      </c>
      <c r="B3126" s="12" t="s">
        <v>7929</v>
      </c>
      <c r="C3126" s="19" t="s">
        <v>36</v>
      </c>
      <c r="D3126" s="19" t="s">
        <v>36</v>
      </c>
      <c r="E3126" s="19" t="s">
        <v>36</v>
      </c>
      <c r="F3126" s="19" t="s">
        <v>36</v>
      </c>
      <c r="G3126" s="15" t="s">
        <v>36</v>
      </c>
      <c r="H3126" s="14" t="s">
        <v>36</v>
      </c>
      <c r="I3126" s="18" t="s">
        <v>36</v>
      </c>
      <c r="J3126" s="12" t="s">
        <v>36</v>
      </c>
      <c r="K3126" s="13" t="s">
        <v>36</v>
      </c>
      <c r="L3126" s="15" t="s">
        <v>36</v>
      </c>
      <c r="M3126" s="12" t="s">
        <v>36</v>
      </c>
      <c r="N3126" s="12" t="s">
        <v>36</v>
      </c>
      <c r="O3126" s="17" t="s">
        <v>36</v>
      </c>
      <c r="P3126" s="12" t="s">
        <v>36</v>
      </c>
      <c r="Q3126" s="12" t="s">
        <v>36</v>
      </c>
      <c r="R3126" s="12" t="s">
        <v>36</v>
      </c>
      <c r="S3126" s="12" t="s">
        <v>36</v>
      </c>
      <c r="T3126" s="12" t="s">
        <v>7930</v>
      </c>
      <c r="U3126" s="12" t="s">
        <v>455</v>
      </c>
      <c r="V3126" s="12" t="s">
        <v>367</v>
      </c>
      <c r="W3126" s="12" t="s">
        <v>7931</v>
      </c>
      <c r="X3126" s="16" t="s">
        <v>6456</v>
      </c>
      <c r="Y3126" s="15" t="s">
        <v>42</v>
      </c>
      <c r="Z3126" s="14">
        <v>3.02</v>
      </c>
      <c r="AA3126" s="14" t="s">
        <v>36</v>
      </c>
      <c r="AB3126" s="12" t="s">
        <v>43</v>
      </c>
      <c r="AC3126" s="12" t="s">
        <v>7933</v>
      </c>
      <c r="AD3126" s="13">
        <v>44336</v>
      </c>
      <c r="AE3126" s="12" t="s">
        <v>7934</v>
      </c>
      <c r="AF3126" s="12" t="s">
        <v>36</v>
      </c>
      <c r="AG3126" s="12" t="s">
        <v>81</v>
      </c>
      <c r="AH3126" s="1">
        <f>HYPERLINK("https://my.pitchbook.com?c=172472-41T","View Company Online")</f>
      </c>
    </row>
    <row r="3127">
      <c r="A3127" s="3" t="s">
        <v>16450</v>
      </c>
      <c r="B3127" s="3" t="s">
        <v>16451</v>
      </c>
      <c r="C3127" s="5" t="s">
        <v>36</v>
      </c>
      <c r="D3127" s="5" t="s">
        <v>36</v>
      </c>
      <c r="E3127" s="5" t="s">
        <v>36</v>
      </c>
      <c r="F3127" s="5" t="s">
        <v>36</v>
      </c>
      <c r="G3127" s="6" t="s">
        <v>326</v>
      </c>
      <c r="H3127" s="4" t="s">
        <v>36</v>
      </c>
      <c r="I3127" s="7">
        <v>30.3</v>
      </c>
      <c r="J3127" s="3" t="s">
        <v>521</v>
      </c>
      <c r="K3127" s="9" t="s">
        <v>36</v>
      </c>
      <c r="L3127" s="6" t="s">
        <v>1279</v>
      </c>
      <c r="M3127" s="3" t="s">
        <v>36</v>
      </c>
      <c r="N3127" s="3" t="s">
        <v>1279</v>
      </c>
      <c r="O3127" s="8" t="s">
        <v>36</v>
      </c>
      <c r="P3127" s="3" t="s">
        <v>36</v>
      </c>
      <c r="Q3127" s="3" t="s">
        <v>36</v>
      </c>
      <c r="R3127" s="3" t="s">
        <v>36</v>
      </c>
      <c r="S3127" s="3" t="s">
        <v>6677</v>
      </c>
      <c r="T3127" s="3" t="s">
        <v>6288</v>
      </c>
      <c r="U3127" s="3" t="s">
        <v>85</v>
      </c>
      <c r="V3127" s="3" t="s">
        <v>64</v>
      </c>
      <c r="W3127" s="3" t="s">
        <v>16452</v>
      </c>
      <c r="X3127" s="10" t="s">
        <v>16453</v>
      </c>
      <c r="Y3127" s="6" t="s">
        <v>192</v>
      </c>
      <c r="Z3127" s="4">
        <v>96.78</v>
      </c>
      <c r="AA3127" s="4">
        <v>199.6</v>
      </c>
      <c r="AB3127" s="3" t="s">
        <v>56</v>
      </c>
      <c r="AC3127" s="3" t="s">
        <v>16454</v>
      </c>
      <c r="AD3127" s="9">
        <v>44336</v>
      </c>
      <c r="AE3127" s="3" t="s">
        <v>89</v>
      </c>
      <c r="AF3127" s="3" t="s">
        <v>16455</v>
      </c>
      <c r="AG3127" s="3" t="s">
        <v>81</v>
      </c>
      <c r="AH3127" s="11">
        <f>HYPERLINK("https://my.pitchbook.com?c=172434-25T","View Company Online")</f>
      </c>
    </row>
    <row r="3128">
      <c r="A3128" s="12" t="s">
        <v>16456</v>
      </c>
      <c r="B3128" s="12" t="s">
        <v>4960</v>
      </c>
      <c r="C3128" s="19">
        <v>11</v>
      </c>
      <c r="D3128" s="19">
        <v>12</v>
      </c>
      <c r="E3128" s="19">
        <v>5</v>
      </c>
      <c r="F3128" s="19">
        <v>24</v>
      </c>
      <c r="G3128" s="15" t="s">
        <v>326</v>
      </c>
      <c r="H3128" s="14">
        <v>121.35</v>
      </c>
      <c r="I3128" s="18">
        <v>7.91</v>
      </c>
      <c r="J3128" s="12" t="s">
        <v>521</v>
      </c>
      <c r="K3128" s="13" t="s">
        <v>36</v>
      </c>
      <c r="L3128" s="15" t="s">
        <v>36</v>
      </c>
      <c r="M3128" s="12" t="s">
        <v>36</v>
      </c>
      <c r="N3128" s="12" t="s">
        <v>36</v>
      </c>
      <c r="O3128" s="17" t="s">
        <v>36</v>
      </c>
      <c r="P3128" s="12" t="s">
        <v>36</v>
      </c>
      <c r="Q3128" s="12" t="s">
        <v>36</v>
      </c>
      <c r="R3128" s="12" t="s">
        <v>36</v>
      </c>
      <c r="S3128" s="12" t="s">
        <v>36</v>
      </c>
      <c r="T3128" s="12" t="s">
        <v>3264</v>
      </c>
      <c r="U3128" s="12" t="s">
        <v>96</v>
      </c>
      <c r="V3128" s="12" t="s">
        <v>52</v>
      </c>
      <c r="W3128" s="12" t="s">
        <v>4961</v>
      </c>
      <c r="X3128" s="16" t="s">
        <v>16457</v>
      </c>
      <c r="Y3128" s="15" t="s">
        <v>108</v>
      </c>
      <c r="Z3128" s="14">
        <v>0.95</v>
      </c>
      <c r="AA3128" s="14">
        <v>12.06</v>
      </c>
      <c r="AB3128" s="12" t="s">
        <v>56</v>
      </c>
      <c r="AC3128" s="12" t="s">
        <v>4963</v>
      </c>
      <c r="AD3128" s="13">
        <v>44335</v>
      </c>
      <c r="AE3128" s="12" t="s">
        <v>496</v>
      </c>
      <c r="AF3128" s="12" t="s">
        <v>4964</v>
      </c>
      <c r="AG3128" s="12" t="s">
        <v>4637</v>
      </c>
      <c r="AH3128" s="1">
        <f>HYPERLINK("https://my.pitchbook.com?c=228669-40T","View Company Online")</f>
      </c>
    </row>
    <row r="3129">
      <c r="A3129" s="3" t="s">
        <v>16458</v>
      </c>
      <c r="B3129" s="3" t="s">
        <v>9930</v>
      </c>
      <c r="C3129" s="5" t="s">
        <v>36</v>
      </c>
      <c r="D3129" s="5" t="s">
        <v>36</v>
      </c>
      <c r="E3129" s="5" t="s">
        <v>36</v>
      </c>
      <c r="F3129" s="5" t="s">
        <v>36</v>
      </c>
      <c r="G3129" s="6" t="s">
        <v>683</v>
      </c>
      <c r="H3129" s="4">
        <v>9.72</v>
      </c>
      <c r="I3129" s="7">
        <v>12.23</v>
      </c>
      <c r="J3129" s="3" t="s">
        <v>521</v>
      </c>
      <c r="K3129" s="9" t="s">
        <v>36</v>
      </c>
      <c r="L3129" s="6" t="s">
        <v>36</v>
      </c>
      <c r="M3129" s="3" t="s">
        <v>36</v>
      </c>
      <c r="N3129" s="3" t="s">
        <v>36</v>
      </c>
      <c r="O3129" s="8" t="s">
        <v>36</v>
      </c>
      <c r="P3129" s="3" t="s">
        <v>36</v>
      </c>
      <c r="Q3129" s="3" t="s">
        <v>36</v>
      </c>
      <c r="R3129" s="3" t="s">
        <v>36</v>
      </c>
      <c r="S3129" s="3" t="s">
        <v>36</v>
      </c>
      <c r="T3129" s="3" t="s">
        <v>9931</v>
      </c>
      <c r="U3129" s="3" t="s">
        <v>38</v>
      </c>
      <c r="V3129" s="3" t="s">
        <v>39</v>
      </c>
      <c r="W3129" s="3" t="s">
        <v>9932</v>
      </c>
      <c r="X3129" s="10" t="s">
        <v>16459</v>
      </c>
      <c r="Y3129" s="6" t="s">
        <v>55</v>
      </c>
      <c r="Z3129" s="4">
        <v>0.24</v>
      </c>
      <c r="AA3129" s="4">
        <v>1.93</v>
      </c>
      <c r="AB3129" s="3" t="s">
        <v>56</v>
      </c>
      <c r="AC3129" s="3" t="s">
        <v>9934</v>
      </c>
      <c r="AD3129" s="9">
        <v>44335</v>
      </c>
      <c r="AE3129" s="3" t="s">
        <v>110</v>
      </c>
      <c r="AF3129" s="3" t="s">
        <v>9935</v>
      </c>
      <c r="AG3129" s="3" t="s">
        <v>9936</v>
      </c>
      <c r="AH3129" s="11">
        <f>HYPERLINK("https://my.pitchbook.com?c=202067-92T","View Company Online")</f>
      </c>
    </row>
    <row r="3130">
      <c r="A3130" s="12" t="s">
        <v>16460</v>
      </c>
      <c r="B3130" s="12" t="s">
        <v>16461</v>
      </c>
      <c r="C3130" s="19" t="s">
        <v>36</v>
      </c>
      <c r="D3130" s="19" t="s">
        <v>36</v>
      </c>
      <c r="E3130" s="19" t="s">
        <v>36</v>
      </c>
      <c r="F3130" s="19" t="s">
        <v>36</v>
      </c>
      <c r="G3130" s="15" t="s">
        <v>36</v>
      </c>
      <c r="H3130" s="14">
        <v>3</v>
      </c>
      <c r="I3130" s="18">
        <v>16.78</v>
      </c>
      <c r="J3130" s="12" t="s">
        <v>521</v>
      </c>
      <c r="K3130" s="13" t="s">
        <v>36</v>
      </c>
      <c r="L3130" s="15" t="s">
        <v>36</v>
      </c>
      <c r="M3130" s="12" t="s">
        <v>36</v>
      </c>
      <c r="N3130" s="12" t="s">
        <v>36</v>
      </c>
      <c r="O3130" s="17" t="s">
        <v>36</v>
      </c>
      <c r="P3130" s="12" t="s">
        <v>36</v>
      </c>
      <c r="Q3130" s="12" t="s">
        <v>36</v>
      </c>
      <c r="R3130" s="12" t="s">
        <v>36</v>
      </c>
      <c r="S3130" s="12" t="s">
        <v>16462</v>
      </c>
      <c r="T3130" s="12" t="s">
        <v>4974</v>
      </c>
      <c r="U3130" s="12" t="s">
        <v>38</v>
      </c>
      <c r="V3130" s="12" t="s">
        <v>39</v>
      </c>
      <c r="W3130" s="12" t="s">
        <v>16463</v>
      </c>
      <c r="X3130" s="16" t="s">
        <v>2688</v>
      </c>
      <c r="Y3130" s="15" t="s">
        <v>42</v>
      </c>
      <c r="Z3130" s="14">
        <v>0.61</v>
      </c>
      <c r="AA3130" s="14">
        <v>3.61</v>
      </c>
      <c r="AB3130" s="12" t="s">
        <v>43</v>
      </c>
      <c r="AC3130" s="12" t="s">
        <v>16464</v>
      </c>
      <c r="AD3130" s="13">
        <v>44335</v>
      </c>
      <c r="AE3130" s="12" t="s">
        <v>134</v>
      </c>
      <c r="AF3130" s="12" t="s">
        <v>7199</v>
      </c>
      <c r="AG3130" s="12" t="s">
        <v>10521</v>
      </c>
      <c r="AH3130" s="1">
        <f>HYPERLINK("https://my.pitchbook.com?c=227086-57T","View Company Online")</f>
      </c>
    </row>
    <row r="3131">
      <c r="A3131" s="3" t="s">
        <v>16465</v>
      </c>
      <c r="B3131" s="3" t="s">
        <v>11878</v>
      </c>
      <c r="C3131" s="5" t="s">
        <v>36</v>
      </c>
      <c r="D3131" s="5" t="s">
        <v>36</v>
      </c>
      <c r="E3131" s="5" t="s">
        <v>36</v>
      </c>
      <c r="F3131" s="5" t="s">
        <v>36</v>
      </c>
      <c r="G3131" s="6" t="s">
        <v>326</v>
      </c>
      <c r="H3131" s="4" t="s">
        <v>36</v>
      </c>
      <c r="I3131" s="7">
        <v>31.84</v>
      </c>
      <c r="J3131" s="3" t="s">
        <v>327</v>
      </c>
      <c r="K3131" s="9" t="s">
        <v>36</v>
      </c>
      <c r="L3131" s="6" t="s">
        <v>122</v>
      </c>
      <c r="M3131" s="3" t="s">
        <v>36</v>
      </c>
      <c r="N3131" s="3" t="s">
        <v>122</v>
      </c>
      <c r="O3131" s="8" t="s">
        <v>36</v>
      </c>
      <c r="P3131" s="3" t="s">
        <v>36</v>
      </c>
      <c r="Q3131" s="3" t="s">
        <v>36</v>
      </c>
      <c r="R3131" s="3" t="s">
        <v>36</v>
      </c>
      <c r="S3131" s="3" t="s">
        <v>36</v>
      </c>
      <c r="T3131" s="3" t="s">
        <v>11879</v>
      </c>
      <c r="U3131" s="3" t="s">
        <v>648</v>
      </c>
      <c r="V3131" s="3" t="s">
        <v>64</v>
      </c>
      <c r="W3131" s="3" t="s">
        <v>11880</v>
      </c>
      <c r="X3131" s="10" t="s">
        <v>16466</v>
      </c>
      <c r="Y3131" s="6" t="s">
        <v>192</v>
      </c>
      <c r="Z3131" s="4">
        <v>8.46</v>
      </c>
      <c r="AA3131" s="4">
        <v>26.58</v>
      </c>
      <c r="AB3131" s="3" t="s">
        <v>56</v>
      </c>
      <c r="AC3131" s="3" t="s">
        <v>11882</v>
      </c>
      <c r="AD3131" s="9">
        <v>44335</v>
      </c>
      <c r="AE3131" s="3" t="s">
        <v>651</v>
      </c>
      <c r="AF3131" s="3" t="s">
        <v>2118</v>
      </c>
      <c r="AG3131" s="3" t="s">
        <v>11883</v>
      </c>
      <c r="AH3131" s="11">
        <f>HYPERLINK("https://my.pitchbook.com?c=172346-05T","View Company Online")</f>
      </c>
    </row>
    <row r="3132">
      <c r="A3132" s="12" t="s">
        <v>16467</v>
      </c>
      <c r="B3132" s="12" t="s">
        <v>2113</v>
      </c>
      <c r="C3132" s="19" t="s">
        <v>36</v>
      </c>
      <c r="D3132" s="19">
        <v>2</v>
      </c>
      <c r="E3132" s="19">
        <v>1</v>
      </c>
      <c r="F3132" s="19">
        <v>2</v>
      </c>
      <c r="G3132" s="15" t="s">
        <v>326</v>
      </c>
      <c r="H3132" s="14" t="s">
        <v>36</v>
      </c>
      <c r="I3132" s="18">
        <v>6.27</v>
      </c>
      <c r="J3132" s="12" t="s">
        <v>521</v>
      </c>
      <c r="K3132" s="13" t="s">
        <v>36</v>
      </c>
      <c r="L3132" s="15" t="s">
        <v>3736</v>
      </c>
      <c r="M3132" s="12" t="s">
        <v>36</v>
      </c>
      <c r="N3132" s="12" t="s">
        <v>3736</v>
      </c>
      <c r="O3132" s="17" t="s">
        <v>36</v>
      </c>
      <c r="P3132" s="12" t="s">
        <v>36</v>
      </c>
      <c r="Q3132" s="12" t="s">
        <v>36</v>
      </c>
      <c r="R3132" s="12" t="s">
        <v>36</v>
      </c>
      <c r="S3132" s="12" t="s">
        <v>36</v>
      </c>
      <c r="T3132" s="12" t="s">
        <v>2114</v>
      </c>
      <c r="U3132" s="12" t="s">
        <v>289</v>
      </c>
      <c r="V3132" s="12" t="s">
        <v>64</v>
      </c>
      <c r="W3132" s="12" t="s">
        <v>2115</v>
      </c>
      <c r="X3132" s="16" t="s">
        <v>16468</v>
      </c>
      <c r="Y3132" s="15" t="s">
        <v>166</v>
      </c>
      <c r="Z3132" s="14">
        <v>333.52</v>
      </c>
      <c r="AA3132" s="14">
        <v>3081.97</v>
      </c>
      <c r="AB3132" s="12" t="s">
        <v>56</v>
      </c>
      <c r="AC3132" s="12" t="s">
        <v>2117</v>
      </c>
      <c r="AD3132" s="13">
        <v>44334</v>
      </c>
      <c r="AE3132" s="12" t="s">
        <v>292</v>
      </c>
      <c r="AF3132" s="12" t="s">
        <v>2118</v>
      </c>
      <c r="AG3132" s="12" t="s">
        <v>81</v>
      </c>
      <c r="AH3132" s="1">
        <f>HYPERLINK("https://my.pitchbook.com?c=172264-06T","View Company Online")</f>
      </c>
    </row>
    <row r="3133">
      <c r="A3133" s="3" t="s">
        <v>16469</v>
      </c>
      <c r="B3133" s="3" t="s">
        <v>2399</v>
      </c>
      <c r="C3133" s="5" t="s">
        <v>36</v>
      </c>
      <c r="D3133" s="5" t="s">
        <v>36</v>
      </c>
      <c r="E3133" s="5" t="s">
        <v>36</v>
      </c>
      <c r="F3133" s="5" t="s">
        <v>36</v>
      </c>
      <c r="G3133" s="6" t="s">
        <v>326</v>
      </c>
      <c r="H3133" s="4">
        <v>117.6</v>
      </c>
      <c r="I3133" s="7">
        <v>27.31</v>
      </c>
      <c r="J3133" s="3" t="s">
        <v>521</v>
      </c>
      <c r="K3133" s="9" t="s">
        <v>36</v>
      </c>
      <c r="L3133" s="6" t="s">
        <v>36</v>
      </c>
      <c r="M3133" s="3" t="s">
        <v>36</v>
      </c>
      <c r="N3133" s="3" t="s">
        <v>36</v>
      </c>
      <c r="O3133" s="8" t="s">
        <v>36</v>
      </c>
      <c r="P3133" s="3" t="s">
        <v>36</v>
      </c>
      <c r="Q3133" s="3" t="s">
        <v>36</v>
      </c>
      <c r="R3133" s="3" t="s">
        <v>36</v>
      </c>
      <c r="S3133" s="3" t="s">
        <v>36</v>
      </c>
      <c r="T3133" s="3" t="s">
        <v>37</v>
      </c>
      <c r="U3133" s="3" t="s">
        <v>38</v>
      </c>
      <c r="V3133" s="3" t="s">
        <v>39</v>
      </c>
      <c r="W3133" s="3" t="s">
        <v>2400</v>
      </c>
      <c r="X3133" s="10" t="s">
        <v>16470</v>
      </c>
      <c r="Y3133" s="6" t="s">
        <v>55</v>
      </c>
      <c r="Z3133" s="4">
        <v>3.75</v>
      </c>
      <c r="AA3133" s="4">
        <v>13.71</v>
      </c>
      <c r="AB3133" s="3" t="s">
        <v>43</v>
      </c>
      <c r="AC3133" s="3" t="s">
        <v>2402</v>
      </c>
      <c r="AD3133" s="9">
        <v>44334</v>
      </c>
      <c r="AE3133" s="3" t="s">
        <v>45</v>
      </c>
      <c r="AF3133" s="3" t="s">
        <v>799</v>
      </c>
      <c r="AG3133" s="3" t="s">
        <v>81</v>
      </c>
      <c r="AH3133" s="11">
        <f>HYPERLINK("https://my.pitchbook.com?c=172283-05T","View Company Online")</f>
      </c>
    </row>
    <row r="3134">
      <c r="A3134" s="12" t="s">
        <v>16471</v>
      </c>
      <c r="B3134" s="12" t="s">
        <v>16472</v>
      </c>
      <c r="C3134" s="19" t="s">
        <v>36</v>
      </c>
      <c r="D3134" s="19" t="s">
        <v>36</v>
      </c>
      <c r="E3134" s="19" t="s">
        <v>36</v>
      </c>
      <c r="F3134" s="19" t="s">
        <v>36</v>
      </c>
      <c r="G3134" s="15" t="s">
        <v>36</v>
      </c>
      <c r="H3134" s="14">
        <v>10385.66</v>
      </c>
      <c r="I3134" s="18">
        <v>10.71</v>
      </c>
      <c r="J3134" s="12" t="s">
        <v>521</v>
      </c>
      <c r="K3134" s="13" t="s">
        <v>36</v>
      </c>
      <c r="L3134" s="15" t="s">
        <v>122</v>
      </c>
      <c r="M3134" s="12" t="s">
        <v>36</v>
      </c>
      <c r="N3134" s="12" t="s">
        <v>122</v>
      </c>
      <c r="O3134" s="17" t="s">
        <v>36</v>
      </c>
      <c r="P3134" s="12" t="s">
        <v>36</v>
      </c>
      <c r="Q3134" s="12" t="s">
        <v>36</v>
      </c>
      <c r="R3134" s="12" t="s">
        <v>36</v>
      </c>
      <c r="S3134" s="12" t="s">
        <v>36</v>
      </c>
      <c r="T3134" s="12" t="s">
        <v>16473</v>
      </c>
      <c r="U3134" s="12" t="s">
        <v>51</v>
      </c>
      <c r="V3134" s="12" t="s">
        <v>52</v>
      </c>
      <c r="W3134" s="12" t="s">
        <v>16474</v>
      </c>
      <c r="X3134" s="16" t="s">
        <v>16475</v>
      </c>
      <c r="Y3134" s="15" t="s">
        <v>42</v>
      </c>
      <c r="Z3134" s="14">
        <v>1.45</v>
      </c>
      <c r="AA3134" s="14">
        <v>13.53</v>
      </c>
      <c r="AB3134" s="12" t="s">
        <v>43</v>
      </c>
      <c r="AC3134" s="12" t="s">
        <v>16476</v>
      </c>
      <c r="AD3134" s="13">
        <v>44334</v>
      </c>
      <c r="AE3134" s="12" t="s">
        <v>504</v>
      </c>
      <c r="AF3134" s="12" t="s">
        <v>13896</v>
      </c>
      <c r="AG3134" s="12" t="s">
        <v>16477</v>
      </c>
      <c r="AH3134" s="1">
        <f>HYPERLINK("https://my.pitchbook.com?c=175294-63T","View Company Online")</f>
      </c>
    </row>
    <row r="3135">
      <c r="A3135" s="3" t="s">
        <v>16478</v>
      </c>
      <c r="B3135" s="3" t="s">
        <v>16479</v>
      </c>
      <c r="C3135" s="5" t="s">
        <v>36</v>
      </c>
      <c r="D3135" s="5" t="s">
        <v>36</v>
      </c>
      <c r="E3135" s="5" t="s">
        <v>36</v>
      </c>
      <c r="F3135" s="5" t="s">
        <v>36</v>
      </c>
      <c r="G3135" s="6" t="s">
        <v>36</v>
      </c>
      <c r="H3135" s="4" t="s">
        <v>36</v>
      </c>
      <c r="I3135" s="7" t="s">
        <v>36</v>
      </c>
      <c r="J3135" s="3" t="s">
        <v>36</v>
      </c>
      <c r="K3135" s="9" t="s">
        <v>36</v>
      </c>
      <c r="L3135" s="6" t="s">
        <v>36</v>
      </c>
      <c r="M3135" s="3" t="s">
        <v>36</v>
      </c>
      <c r="N3135" s="3" t="s">
        <v>36</v>
      </c>
      <c r="O3135" s="8" t="s">
        <v>36</v>
      </c>
      <c r="P3135" s="3" t="s">
        <v>36</v>
      </c>
      <c r="Q3135" s="3" t="s">
        <v>36</v>
      </c>
      <c r="R3135" s="3" t="s">
        <v>36</v>
      </c>
      <c r="S3135" s="3" t="s">
        <v>36</v>
      </c>
      <c r="T3135" s="3" t="s">
        <v>8394</v>
      </c>
      <c r="U3135" s="3" t="s">
        <v>85</v>
      </c>
      <c r="V3135" s="3" t="s">
        <v>64</v>
      </c>
      <c r="W3135" s="3" t="s">
        <v>16480</v>
      </c>
      <c r="X3135" s="10" t="s">
        <v>16481</v>
      </c>
      <c r="Y3135" s="6" t="s">
        <v>42</v>
      </c>
      <c r="Z3135" s="4">
        <v>3.63</v>
      </c>
      <c r="AA3135" s="4" t="s">
        <v>36</v>
      </c>
      <c r="AB3135" s="3" t="s">
        <v>43</v>
      </c>
      <c r="AC3135" s="3" t="s">
        <v>16482</v>
      </c>
      <c r="AD3135" s="9">
        <v>44334</v>
      </c>
      <c r="AE3135" s="3" t="s">
        <v>89</v>
      </c>
      <c r="AF3135" s="3" t="s">
        <v>16483</v>
      </c>
      <c r="AG3135" s="3" t="s">
        <v>47</v>
      </c>
      <c r="AH3135" s="11">
        <f>HYPERLINK("https://my.pitchbook.com?c=172278-64T","View Company Online")</f>
      </c>
    </row>
    <row r="3136">
      <c r="A3136" s="12" t="s">
        <v>16484</v>
      </c>
      <c r="B3136" s="12" t="s">
        <v>14015</v>
      </c>
      <c r="C3136" s="19" t="s">
        <v>36</v>
      </c>
      <c r="D3136" s="19" t="s">
        <v>36</v>
      </c>
      <c r="E3136" s="19" t="s">
        <v>36</v>
      </c>
      <c r="F3136" s="19" t="s">
        <v>36</v>
      </c>
      <c r="G3136" s="15" t="s">
        <v>326</v>
      </c>
      <c r="H3136" s="14">
        <v>3038.95</v>
      </c>
      <c r="I3136" s="18">
        <v>14.17</v>
      </c>
      <c r="J3136" s="12" t="s">
        <v>521</v>
      </c>
      <c r="K3136" s="13" t="s">
        <v>36</v>
      </c>
      <c r="L3136" s="15" t="s">
        <v>94</v>
      </c>
      <c r="M3136" s="12" t="s">
        <v>36</v>
      </c>
      <c r="N3136" s="12" t="s">
        <v>94</v>
      </c>
      <c r="O3136" s="17" t="s">
        <v>36</v>
      </c>
      <c r="P3136" s="12" t="s">
        <v>36</v>
      </c>
      <c r="Q3136" s="12" t="s">
        <v>36</v>
      </c>
      <c r="R3136" s="12" t="s">
        <v>36</v>
      </c>
      <c r="S3136" s="12" t="s">
        <v>36</v>
      </c>
      <c r="T3136" s="12" t="s">
        <v>2044</v>
      </c>
      <c r="U3136" s="12" t="s">
        <v>74</v>
      </c>
      <c r="V3136" s="12" t="s">
        <v>75</v>
      </c>
      <c r="W3136" s="12" t="s">
        <v>14016</v>
      </c>
      <c r="X3136" s="16" t="s">
        <v>16485</v>
      </c>
      <c r="Y3136" s="15" t="s">
        <v>55</v>
      </c>
      <c r="Z3136" s="14">
        <v>101.46</v>
      </c>
      <c r="AA3136" s="14">
        <v>650.2</v>
      </c>
      <c r="AB3136" s="12" t="s">
        <v>43</v>
      </c>
      <c r="AC3136" s="12" t="s">
        <v>14018</v>
      </c>
      <c r="AD3136" s="13">
        <v>44333</v>
      </c>
      <c r="AE3136" s="12" t="s">
        <v>79</v>
      </c>
      <c r="AF3136" s="12" t="s">
        <v>90</v>
      </c>
      <c r="AG3136" s="12" t="s">
        <v>81</v>
      </c>
      <c r="AH3136" s="1">
        <f>HYPERLINK("https://my.pitchbook.com?c=170359-57T","View Company Online")</f>
      </c>
    </row>
    <row r="3137">
      <c r="A3137" s="3" t="s">
        <v>16486</v>
      </c>
      <c r="B3137" s="3" t="s">
        <v>12583</v>
      </c>
      <c r="C3137" s="5" t="s">
        <v>36</v>
      </c>
      <c r="D3137" s="5" t="s">
        <v>36</v>
      </c>
      <c r="E3137" s="5" t="s">
        <v>36</v>
      </c>
      <c r="F3137" s="5" t="s">
        <v>36</v>
      </c>
      <c r="G3137" s="6" t="s">
        <v>326</v>
      </c>
      <c r="H3137" s="4">
        <v>9.28</v>
      </c>
      <c r="I3137" s="7">
        <v>25.3</v>
      </c>
      <c r="J3137" s="3" t="s">
        <v>521</v>
      </c>
      <c r="K3137" s="9" t="s">
        <v>36</v>
      </c>
      <c r="L3137" s="6" t="s">
        <v>36</v>
      </c>
      <c r="M3137" s="3" t="s">
        <v>36</v>
      </c>
      <c r="N3137" s="3" t="s">
        <v>36</v>
      </c>
      <c r="O3137" s="8" t="s">
        <v>36</v>
      </c>
      <c r="P3137" s="3" t="s">
        <v>36</v>
      </c>
      <c r="Q3137" s="3" t="s">
        <v>36</v>
      </c>
      <c r="R3137" s="3" t="s">
        <v>36</v>
      </c>
      <c r="S3137" s="3" t="s">
        <v>36</v>
      </c>
      <c r="T3137" s="3" t="s">
        <v>12584</v>
      </c>
      <c r="U3137" s="3" t="s">
        <v>279</v>
      </c>
      <c r="V3137" s="3" t="s">
        <v>64</v>
      </c>
      <c r="W3137" s="3" t="s">
        <v>12585</v>
      </c>
      <c r="X3137" s="10" t="s">
        <v>16487</v>
      </c>
      <c r="Y3137" s="6" t="s">
        <v>108</v>
      </c>
      <c r="Z3137" s="4">
        <v>1.63</v>
      </c>
      <c r="AA3137" s="4">
        <v>6.44</v>
      </c>
      <c r="AB3137" s="3" t="s">
        <v>56</v>
      </c>
      <c r="AC3137" s="3" t="s">
        <v>12587</v>
      </c>
      <c r="AD3137" s="9">
        <v>44333</v>
      </c>
      <c r="AE3137" s="3" t="s">
        <v>851</v>
      </c>
      <c r="AF3137" s="3" t="s">
        <v>176</v>
      </c>
      <c r="AG3137" s="3" t="s">
        <v>81</v>
      </c>
      <c r="AH3137" s="11">
        <f>HYPERLINK("https://my.pitchbook.com?c=172455-31T","View Company Online")</f>
      </c>
    </row>
    <row r="3138">
      <c r="A3138" s="12" t="s">
        <v>16488</v>
      </c>
      <c r="B3138" s="12" t="s">
        <v>16489</v>
      </c>
      <c r="C3138" s="19" t="s">
        <v>36</v>
      </c>
      <c r="D3138" s="19" t="s">
        <v>36</v>
      </c>
      <c r="E3138" s="19" t="s">
        <v>36</v>
      </c>
      <c r="F3138" s="19" t="s">
        <v>36</v>
      </c>
      <c r="G3138" s="15" t="s">
        <v>36</v>
      </c>
      <c r="H3138" s="14">
        <v>113.2</v>
      </c>
      <c r="I3138" s="18">
        <v>14.98</v>
      </c>
      <c r="J3138" s="12" t="s">
        <v>521</v>
      </c>
      <c r="K3138" s="13" t="s">
        <v>36</v>
      </c>
      <c r="L3138" s="15" t="s">
        <v>36</v>
      </c>
      <c r="M3138" s="12" t="s">
        <v>36</v>
      </c>
      <c r="N3138" s="12" t="s">
        <v>36</v>
      </c>
      <c r="O3138" s="17" t="s">
        <v>36</v>
      </c>
      <c r="P3138" s="12" t="s">
        <v>36</v>
      </c>
      <c r="Q3138" s="12" t="s">
        <v>36</v>
      </c>
      <c r="R3138" s="12" t="s">
        <v>36</v>
      </c>
      <c r="S3138" s="12" t="s">
        <v>36</v>
      </c>
      <c r="T3138" s="12" t="s">
        <v>464</v>
      </c>
      <c r="U3138" s="12" t="s">
        <v>38</v>
      </c>
      <c r="V3138" s="12" t="s">
        <v>39</v>
      </c>
      <c r="W3138" s="12" t="s">
        <v>16490</v>
      </c>
      <c r="X3138" s="16" t="s">
        <v>16491</v>
      </c>
      <c r="Y3138" s="15" t="s">
        <v>42</v>
      </c>
      <c r="Z3138" s="14">
        <v>2.41</v>
      </c>
      <c r="AA3138" s="14">
        <v>9.67</v>
      </c>
      <c r="AB3138" s="12" t="s">
        <v>56</v>
      </c>
      <c r="AC3138" s="12" t="s">
        <v>16492</v>
      </c>
      <c r="AD3138" s="13">
        <v>44332</v>
      </c>
      <c r="AE3138" s="12" t="s">
        <v>110</v>
      </c>
      <c r="AF3138" s="12" t="s">
        <v>952</v>
      </c>
      <c r="AG3138" s="12" t="s">
        <v>6068</v>
      </c>
      <c r="AH3138" s="1">
        <f>HYPERLINK("https://my.pitchbook.com?c=172897-84T","View Company Online")</f>
      </c>
    </row>
    <row r="3139">
      <c r="A3139" s="3" t="s">
        <v>16493</v>
      </c>
      <c r="B3139" s="3" t="s">
        <v>16494</v>
      </c>
      <c r="C3139" s="5" t="s">
        <v>36</v>
      </c>
      <c r="D3139" s="5" t="s">
        <v>36</v>
      </c>
      <c r="E3139" s="5" t="s">
        <v>36</v>
      </c>
      <c r="F3139" s="5" t="s">
        <v>36</v>
      </c>
      <c r="G3139" s="6" t="s">
        <v>683</v>
      </c>
      <c r="H3139" s="4">
        <v>3.52</v>
      </c>
      <c r="I3139" s="7">
        <v>16.06</v>
      </c>
      <c r="J3139" s="3" t="s">
        <v>521</v>
      </c>
      <c r="K3139" s="9" t="s">
        <v>36</v>
      </c>
      <c r="L3139" s="6" t="s">
        <v>36</v>
      </c>
      <c r="M3139" s="3" t="s">
        <v>36</v>
      </c>
      <c r="N3139" s="3" t="s">
        <v>36</v>
      </c>
      <c r="O3139" s="8" t="s">
        <v>36</v>
      </c>
      <c r="P3139" s="3" t="s">
        <v>36</v>
      </c>
      <c r="Q3139" s="3" t="s">
        <v>36</v>
      </c>
      <c r="R3139" s="3" t="s">
        <v>36</v>
      </c>
      <c r="S3139" s="3" t="s">
        <v>36</v>
      </c>
      <c r="T3139" s="3" t="s">
        <v>1893</v>
      </c>
      <c r="U3139" s="3" t="s">
        <v>648</v>
      </c>
      <c r="V3139" s="3" t="s">
        <v>64</v>
      </c>
      <c r="W3139" s="3" t="s">
        <v>16495</v>
      </c>
      <c r="X3139" s="10" t="s">
        <v>16496</v>
      </c>
      <c r="Y3139" s="6" t="s">
        <v>108</v>
      </c>
      <c r="Z3139" s="4">
        <v>0.35</v>
      </c>
      <c r="AA3139" s="4">
        <v>2.16</v>
      </c>
      <c r="AB3139" s="3" t="s">
        <v>43</v>
      </c>
      <c r="AC3139" s="3" t="s">
        <v>16497</v>
      </c>
      <c r="AD3139" s="9">
        <v>44330</v>
      </c>
      <c r="AE3139" s="3" t="s">
        <v>1897</v>
      </c>
      <c r="AF3139" s="3" t="s">
        <v>1115</v>
      </c>
      <c r="AG3139" s="3" t="s">
        <v>102</v>
      </c>
      <c r="AH3139" s="11">
        <f>HYPERLINK("https://my.pitchbook.com?c=191314-99T","View Company Online")</f>
      </c>
    </row>
    <row r="3140">
      <c r="A3140" s="12" t="s">
        <v>16498</v>
      </c>
      <c r="B3140" s="12" t="s">
        <v>2536</v>
      </c>
      <c r="C3140" s="19">
        <v>33</v>
      </c>
      <c r="D3140" s="19">
        <v>6</v>
      </c>
      <c r="E3140" s="19">
        <v>24</v>
      </c>
      <c r="F3140" s="19">
        <v>44</v>
      </c>
      <c r="G3140" s="15" t="s">
        <v>36</v>
      </c>
      <c r="H3140" s="14">
        <v>1542.16</v>
      </c>
      <c r="I3140" s="18">
        <v>33.4</v>
      </c>
      <c r="J3140" s="12" t="s">
        <v>521</v>
      </c>
      <c r="K3140" s="13">
        <v>44256</v>
      </c>
      <c r="L3140" s="15" t="s">
        <v>122</v>
      </c>
      <c r="M3140" s="12" t="s">
        <v>36</v>
      </c>
      <c r="N3140" s="12" t="s">
        <v>122</v>
      </c>
      <c r="O3140" s="17" t="s">
        <v>36</v>
      </c>
      <c r="P3140" s="12" t="s">
        <v>36</v>
      </c>
      <c r="Q3140" s="12" t="s">
        <v>36</v>
      </c>
      <c r="R3140" s="12" t="s">
        <v>36</v>
      </c>
      <c r="S3140" s="12" t="s">
        <v>2537</v>
      </c>
      <c r="T3140" s="12" t="s">
        <v>2538</v>
      </c>
      <c r="U3140" s="12" t="s">
        <v>318</v>
      </c>
      <c r="V3140" s="12" t="s">
        <v>39</v>
      </c>
      <c r="W3140" s="12" t="s">
        <v>2539</v>
      </c>
      <c r="X3140" s="16" t="s">
        <v>16499</v>
      </c>
      <c r="Y3140" s="15" t="s">
        <v>192</v>
      </c>
      <c r="Z3140" s="14">
        <v>30.13</v>
      </c>
      <c r="AA3140" s="14">
        <v>90.22</v>
      </c>
      <c r="AB3140" s="12" t="s">
        <v>43</v>
      </c>
      <c r="AC3140" s="12" t="s">
        <v>2541</v>
      </c>
      <c r="AD3140" s="13">
        <v>44328</v>
      </c>
      <c r="AE3140" s="12" t="s">
        <v>417</v>
      </c>
      <c r="AF3140" s="12" t="s">
        <v>275</v>
      </c>
      <c r="AG3140" s="12" t="s">
        <v>2542</v>
      </c>
      <c r="AH3140" s="1">
        <f>HYPERLINK("https://my.pitchbook.com?c=173926-36T","View Company Online")</f>
      </c>
    </row>
    <row r="3141">
      <c r="A3141" s="3" t="s">
        <v>16500</v>
      </c>
      <c r="B3141" s="3" t="s">
        <v>16501</v>
      </c>
      <c r="C3141" s="5" t="s">
        <v>36</v>
      </c>
      <c r="D3141" s="5" t="s">
        <v>36</v>
      </c>
      <c r="E3141" s="5" t="s">
        <v>36</v>
      </c>
      <c r="F3141" s="5" t="s">
        <v>36</v>
      </c>
      <c r="G3141" s="6" t="s">
        <v>36</v>
      </c>
      <c r="H3141" s="4" t="s">
        <v>36</v>
      </c>
      <c r="I3141" s="7" t="s">
        <v>36</v>
      </c>
      <c r="J3141" s="3" t="s">
        <v>36</v>
      </c>
      <c r="K3141" s="9" t="s">
        <v>36</v>
      </c>
      <c r="L3141" s="6" t="s">
        <v>36</v>
      </c>
      <c r="M3141" s="3" t="s">
        <v>36</v>
      </c>
      <c r="N3141" s="3" t="s">
        <v>36</v>
      </c>
      <c r="O3141" s="8" t="s">
        <v>36</v>
      </c>
      <c r="P3141" s="3" t="s">
        <v>36</v>
      </c>
      <c r="Q3141" s="3" t="s">
        <v>36</v>
      </c>
      <c r="R3141" s="3" t="s">
        <v>36</v>
      </c>
      <c r="S3141" s="3" t="s">
        <v>36</v>
      </c>
      <c r="T3141" s="3" t="s">
        <v>16502</v>
      </c>
      <c r="U3141" s="3" t="s">
        <v>38</v>
      </c>
      <c r="V3141" s="3" t="s">
        <v>39</v>
      </c>
      <c r="W3141" s="3" t="s">
        <v>16503</v>
      </c>
      <c r="X3141" s="10" t="s">
        <v>16504</v>
      </c>
      <c r="Y3141" s="6" t="s">
        <v>108</v>
      </c>
      <c r="Z3141" s="4">
        <v>9.99</v>
      </c>
      <c r="AA3141" s="4" t="s">
        <v>36</v>
      </c>
      <c r="AB3141" s="3" t="s">
        <v>56</v>
      </c>
      <c r="AC3141" s="3" t="s">
        <v>16505</v>
      </c>
      <c r="AD3141" s="9">
        <v>44326</v>
      </c>
      <c r="AE3141" s="3" t="s">
        <v>45</v>
      </c>
      <c r="AF3141" s="3" t="s">
        <v>799</v>
      </c>
      <c r="AG3141" s="3" t="s">
        <v>81</v>
      </c>
      <c r="AH3141" s="11">
        <f>HYPERLINK("https://my.pitchbook.com?c=171975-16T","View Company Online")</f>
      </c>
    </row>
    <row r="3142">
      <c r="A3142" s="12" t="s">
        <v>16506</v>
      </c>
      <c r="B3142" s="12" t="s">
        <v>16507</v>
      </c>
      <c r="C3142" s="19" t="s">
        <v>36</v>
      </c>
      <c r="D3142" s="19" t="s">
        <v>36</v>
      </c>
      <c r="E3142" s="19" t="s">
        <v>36</v>
      </c>
      <c r="F3142" s="19" t="s">
        <v>36</v>
      </c>
      <c r="G3142" s="15" t="s">
        <v>36</v>
      </c>
      <c r="H3142" s="14">
        <v>207.71</v>
      </c>
      <c r="I3142" s="18">
        <v>23.08</v>
      </c>
      <c r="J3142" s="12" t="s">
        <v>521</v>
      </c>
      <c r="K3142" s="13" t="s">
        <v>36</v>
      </c>
      <c r="L3142" s="15" t="s">
        <v>36</v>
      </c>
      <c r="M3142" s="12" t="s">
        <v>36</v>
      </c>
      <c r="N3142" s="12" t="s">
        <v>36</v>
      </c>
      <c r="O3142" s="17" t="s">
        <v>36</v>
      </c>
      <c r="P3142" s="12" t="s">
        <v>36</v>
      </c>
      <c r="Q3142" s="12" t="s">
        <v>36</v>
      </c>
      <c r="R3142" s="12" t="s">
        <v>36</v>
      </c>
      <c r="S3142" s="12" t="s">
        <v>36</v>
      </c>
      <c r="T3142" s="12" t="s">
        <v>1260</v>
      </c>
      <c r="U3142" s="12" t="s">
        <v>38</v>
      </c>
      <c r="V3142" s="12" t="s">
        <v>39</v>
      </c>
      <c r="W3142" s="12" t="s">
        <v>16508</v>
      </c>
      <c r="X3142" s="16" t="s">
        <v>16509</v>
      </c>
      <c r="Y3142" s="15" t="s">
        <v>42</v>
      </c>
      <c r="Z3142" s="14">
        <v>0.72</v>
      </c>
      <c r="AA3142" s="14">
        <v>3.12</v>
      </c>
      <c r="AB3142" s="12" t="s">
        <v>43</v>
      </c>
      <c r="AC3142" s="12" t="s">
        <v>16510</v>
      </c>
      <c r="AD3142" s="13">
        <v>44323</v>
      </c>
      <c r="AE3142" s="12" t="s">
        <v>110</v>
      </c>
      <c r="AF3142" s="12" t="s">
        <v>16511</v>
      </c>
      <c r="AG3142" s="12" t="s">
        <v>81</v>
      </c>
      <c r="AH3142" s="1">
        <f>HYPERLINK("https://my.pitchbook.com?c=175718-17T","View Company Online")</f>
      </c>
    </row>
    <row r="3143">
      <c r="A3143" s="3" t="s">
        <v>16512</v>
      </c>
      <c r="B3143" s="3" t="s">
        <v>16513</v>
      </c>
      <c r="C3143" s="5" t="s">
        <v>36</v>
      </c>
      <c r="D3143" s="5" t="s">
        <v>36</v>
      </c>
      <c r="E3143" s="5" t="s">
        <v>36</v>
      </c>
      <c r="F3143" s="5" t="s">
        <v>36</v>
      </c>
      <c r="G3143" s="6" t="s">
        <v>683</v>
      </c>
      <c r="H3143" s="4">
        <v>1186.04</v>
      </c>
      <c r="I3143" s="7">
        <v>6.57</v>
      </c>
      <c r="J3143" s="3" t="s">
        <v>521</v>
      </c>
      <c r="K3143" s="9" t="s">
        <v>36</v>
      </c>
      <c r="L3143" s="6" t="s">
        <v>36</v>
      </c>
      <c r="M3143" s="3" t="s">
        <v>36</v>
      </c>
      <c r="N3143" s="3" t="s">
        <v>36</v>
      </c>
      <c r="O3143" s="8" t="s">
        <v>36</v>
      </c>
      <c r="P3143" s="3" t="s">
        <v>36</v>
      </c>
      <c r="Q3143" s="3" t="s">
        <v>36</v>
      </c>
      <c r="R3143" s="3" t="s">
        <v>36</v>
      </c>
      <c r="S3143" s="3" t="s">
        <v>36</v>
      </c>
      <c r="T3143" s="3" t="s">
        <v>464</v>
      </c>
      <c r="U3143" s="3" t="s">
        <v>38</v>
      </c>
      <c r="V3143" s="3" t="s">
        <v>39</v>
      </c>
      <c r="W3143" s="3" t="s">
        <v>16514</v>
      </c>
      <c r="X3143" s="10" t="s">
        <v>16515</v>
      </c>
      <c r="Y3143" s="6" t="s">
        <v>55</v>
      </c>
      <c r="Z3143" s="4">
        <v>0.63</v>
      </c>
      <c r="AA3143" s="4">
        <v>9.64</v>
      </c>
      <c r="AB3143" s="3" t="s">
        <v>43</v>
      </c>
      <c r="AC3143" s="3" t="s">
        <v>16516</v>
      </c>
      <c r="AD3143" s="9">
        <v>44323</v>
      </c>
      <c r="AE3143" s="3" t="s">
        <v>110</v>
      </c>
      <c r="AF3143" s="3" t="s">
        <v>16517</v>
      </c>
      <c r="AG3143" s="3" t="s">
        <v>81</v>
      </c>
      <c r="AH3143" s="11">
        <f>HYPERLINK("https://my.pitchbook.com?c=181404-55T","View Company Online")</f>
      </c>
    </row>
    <row r="3144">
      <c r="A3144" s="12" t="s">
        <v>16518</v>
      </c>
      <c r="B3144" s="12" t="s">
        <v>16519</v>
      </c>
      <c r="C3144" s="19">
        <v>3</v>
      </c>
      <c r="D3144" s="19">
        <v>14</v>
      </c>
      <c r="E3144" s="19">
        <v>5</v>
      </c>
      <c r="F3144" s="19">
        <v>20</v>
      </c>
      <c r="G3144" s="15" t="s">
        <v>36</v>
      </c>
      <c r="H3144" s="14">
        <v>1038.57</v>
      </c>
      <c r="I3144" s="18">
        <v>5.77</v>
      </c>
      <c r="J3144" s="12" t="s">
        <v>521</v>
      </c>
      <c r="K3144" s="13" t="s">
        <v>36</v>
      </c>
      <c r="L3144" s="15" t="s">
        <v>122</v>
      </c>
      <c r="M3144" s="12" t="s">
        <v>36</v>
      </c>
      <c r="N3144" s="12" t="s">
        <v>122</v>
      </c>
      <c r="O3144" s="17" t="s">
        <v>36</v>
      </c>
      <c r="P3144" s="12" t="s">
        <v>36</v>
      </c>
      <c r="Q3144" s="12" t="s">
        <v>36</v>
      </c>
      <c r="R3144" s="12" t="s">
        <v>36</v>
      </c>
      <c r="S3144" s="12" t="s">
        <v>36</v>
      </c>
      <c r="T3144" s="12" t="s">
        <v>16520</v>
      </c>
      <c r="U3144" s="12" t="s">
        <v>219</v>
      </c>
      <c r="V3144" s="12" t="s">
        <v>75</v>
      </c>
      <c r="W3144" s="12" t="s">
        <v>16521</v>
      </c>
      <c r="X3144" s="16" t="s">
        <v>16522</v>
      </c>
      <c r="Y3144" s="15" t="s">
        <v>108</v>
      </c>
      <c r="Z3144" s="14">
        <v>2.16</v>
      </c>
      <c r="AA3144" s="14">
        <v>37.47</v>
      </c>
      <c r="AB3144" s="12" t="s">
        <v>56</v>
      </c>
      <c r="AC3144" s="12" t="s">
        <v>16523</v>
      </c>
      <c r="AD3144" s="13">
        <v>44323</v>
      </c>
      <c r="AE3144" s="12" t="s">
        <v>2914</v>
      </c>
      <c r="AF3144" s="12" t="s">
        <v>1969</v>
      </c>
      <c r="AG3144" s="12" t="s">
        <v>539</v>
      </c>
      <c r="AH3144" s="1">
        <f>HYPERLINK("https://my.pitchbook.com?c=245127-88T","View Company Online")</f>
      </c>
    </row>
    <row r="3145">
      <c r="A3145" s="3" t="s">
        <v>16524</v>
      </c>
      <c r="B3145" s="3" t="s">
        <v>16525</v>
      </c>
      <c r="C3145" s="5" t="s">
        <v>36</v>
      </c>
      <c r="D3145" s="5" t="s">
        <v>36</v>
      </c>
      <c r="E3145" s="5" t="s">
        <v>36</v>
      </c>
      <c r="F3145" s="5" t="s">
        <v>36</v>
      </c>
      <c r="G3145" s="6" t="s">
        <v>326</v>
      </c>
      <c r="H3145" s="4">
        <v>19.64</v>
      </c>
      <c r="I3145" s="7">
        <v>16.74</v>
      </c>
      <c r="J3145" s="3" t="s">
        <v>521</v>
      </c>
      <c r="K3145" s="9">
        <v>44316</v>
      </c>
      <c r="L3145" s="6" t="s">
        <v>3736</v>
      </c>
      <c r="M3145" s="3" t="s">
        <v>36</v>
      </c>
      <c r="N3145" s="3" t="s">
        <v>3736</v>
      </c>
      <c r="O3145" s="8" t="s">
        <v>36</v>
      </c>
      <c r="P3145" s="3" t="s">
        <v>36</v>
      </c>
      <c r="Q3145" s="3" t="s">
        <v>36</v>
      </c>
      <c r="R3145" s="3" t="s">
        <v>36</v>
      </c>
      <c r="S3145" s="3" t="s">
        <v>36</v>
      </c>
      <c r="T3145" s="3" t="s">
        <v>1253</v>
      </c>
      <c r="U3145" s="3" t="s">
        <v>38</v>
      </c>
      <c r="V3145" s="3" t="s">
        <v>39</v>
      </c>
      <c r="W3145" s="3" t="s">
        <v>16526</v>
      </c>
      <c r="X3145" s="10" t="s">
        <v>16527</v>
      </c>
      <c r="Y3145" s="6" t="s">
        <v>166</v>
      </c>
      <c r="Z3145" s="4">
        <v>219.11</v>
      </c>
      <c r="AA3145" s="4">
        <v>915.2</v>
      </c>
      <c r="AB3145" s="3" t="s">
        <v>56</v>
      </c>
      <c r="AC3145" s="3" t="s">
        <v>16528</v>
      </c>
      <c r="AD3145" s="9">
        <v>44322</v>
      </c>
      <c r="AE3145" s="3" t="s">
        <v>45</v>
      </c>
      <c r="AF3145" s="3" t="s">
        <v>16529</v>
      </c>
      <c r="AG3145" s="3" t="s">
        <v>81</v>
      </c>
      <c r="AH3145" s="11">
        <f>HYPERLINK("https://my.pitchbook.com?c=171684-10T","View Company Online")</f>
      </c>
    </row>
    <row r="3146">
      <c r="A3146" s="12" t="s">
        <v>16530</v>
      </c>
      <c r="B3146" s="12" t="s">
        <v>5601</v>
      </c>
      <c r="C3146" s="19" t="s">
        <v>36</v>
      </c>
      <c r="D3146" s="19" t="s">
        <v>36</v>
      </c>
      <c r="E3146" s="19" t="s">
        <v>36</v>
      </c>
      <c r="F3146" s="19" t="s">
        <v>36</v>
      </c>
      <c r="G3146" s="15" t="s">
        <v>36</v>
      </c>
      <c r="H3146" s="14">
        <v>65.43</v>
      </c>
      <c r="I3146" s="18">
        <v>27.07</v>
      </c>
      <c r="J3146" s="12" t="s">
        <v>521</v>
      </c>
      <c r="K3146" s="13" t="s">
        <v>36</v>
      </c>
      <c r="L3146" s="15" t="s">
        <v>36</v>
      </c>
      <c r="M3146" s="12" t="s">
        <v>36</v>
      </c>
      <c r="N3146" s="12" t="s">
        <v>36</v>
      </c>
      <c r="O3146" s="17" t="s">
        <v>36</v>
      </c>
      <c r="P3146" s="12" t="s">
        <v>36</v>
      </c>
      <c r="Q3146" s="12" t="s">
        <v>36</v>
      </c>
      <c r="R3146" s="12" t="s">
        <v>36</v>
      </c>
      <c r="S3146" s="12" t="s">
        <v>36</v>
      </c>
      <c r="T3146" s="12" t="s">
        <v>5602</v>
      </c>
      <c r="U3146" s="12" t="s">
        <v>318</v>
      </c>
      <c r="V3146" s="12" t="s">
        <v>39</v>
      </c>
      <c r="W3146" s="12" t="s">
        <v>5603</v>
      </c>
      <c r="X3146" s="16" t="s">
        <v>16531</v>
      </c>
      <c r="Y3146" s="15" t="s">
        <v>55</v>
      </c>
      <c r="Z3146" s="14">
        <v>4.56</v>
      </c>
      <c r="AA3146" s="14">
        <v>13.3</v>
      </c>
      <c r="AB3146" s="12" t="s">
        <v>43</v>
      </c>
      <c r="AC3146" s="12" t="s">
        <v>5605</v>
      </c>
      <c r="AD3146" s="13">
        <v>44322</v>
      </c>
      <c r="AE3146" s="12" t="s">
        <v>763</v>
      </c>
      <c r="AF3146" s="12" t="s">
        <v>5606</v>
      </c>
      <c r="AG3146" s="12" t="s">
        <v>332</v>
      </c>
      <c r="AH3146" s="1">
        <f>HYPERLINK("https://my.pitchbook.com?c=172215-64T","View Company Online")</f>
      </c>
    </row>
    <row r="3147">
      <c r="A3147" s="3" t="s">
        <v>16532</v>
      </c>
      <c r="B3147" s="3" t="s">
        <v>16533</v>
      </c>
      <c r="C3147" s="5" t="s">
        <v>36</v>
      </c>
      <c r="D3147" s="5" t="s">
        <v>36</v>
      </c>
      <c r="E3147" s="5" t="s">
        <v>36</v>
      </c>
      <c r="F3147" s="5" t="s">
        <v>36</v>
      </c>
      <c r="G3147" s="6" t="s">
        <v>326</v>
      </c>
      <c r="H3147" s="4">
        <v>0.26</v>
      </c>
      <c r="I3147" s="7">
        <v>11.83</v>
      </c>
      <c r="J3147" s="3" t="s">
        <v>521</v>
      </c>
      <c r="K3147" s="9" t="s">
        <v>36</v>
      </c>
      <c r="L3147" s="6" t="s">
        <v>36</v>
      </c>
      <c r="M3147" s="3" t="s">
        <v>36</v>
      </c>
      <c r="N3147" s="3" t="s">
        <v>36</v>
      </c>
      <c r="O3147" s="8" t="s">
        <v>36</v>
      </c>
      <c r="P3147" s="3" t="s">
        <v>36</v>
      </c>
      <c r="Q3147" s="3" t="s">
        <v>36</v>
      </c>
      <c r="R3147" s="3" t="s">
        <v>36</v>
      </c>
      <c r="S3147" s="3" t="s">
        <v>36</v>
      </c>
      <c r="T3147" s="3" t="s">
        <v>16534</v>
      </c>
      <c r="U3147" s="3" t="s">
        <v>74</v>
      </c>
      <c r="V3147" s="3" t="s">
        <v>75</v>
      </c>
      <c r="W3147" s="3" t="s">
        <v>16535</v>
      </c>
      <c r="X3147" s="10" t="s">
        <v>16536</v>
      </c>
      <c r="Y3147" s="6" t="s">
        <v>192</v>
      </c>
      <c r="Z3147" s="4">
        <v>1.24</v>
      </c>
      <c r="AA3147" s="4">
        <v>10.52</v>
      </c>
      <c r="AB3147" s="3" t="s">
        <v>56</v>
      </c>
      <c r="AC3147" s="3" t="s">
        <v>16537</v>
      </c>
      <c r="AD3147" s="9">
        <v>44321</v>
      </c>
      <c r="AE3147" s="3" t="s">
        <v>79</v>
      </c>
      <c r="AF3147" s="3" t="s">
        <v>7466</v>
      </c>
      <c r="AG3147" s="3" t="s">
        <v>81</v>
      </c>
      <c r="AH3147" s="11">
        <f>HYPERLINK("https://my.pitchbook.com?c=180974-35T","View Company Online")</f>
      </c>
    </row>
    <row r="3148">
      <c r="A3148" s="12" t="s">
        <v>16538</v>
      </c>
      <c r="B3148" s="12" t="s">
        <v>16539</v>
      </c>
      <c r="C3148" s="19">
        <v>20</v>
      </c>
      <c r="D3148" s="19">
        <v>6</v>
      </c>
      <c r="E3148" s="19">
        <v>9</v>
      </c>
      <c r="F3148" s="19">
        <v>29</v>
      </c>
      <c r="G3148" s="15" t="s">
        <v>36</v>
      </c>
      <c r="H3148" s="14">
        <v>58.42</v>
      </c>
      <c r="I3148" s="18">
        <v>63.05</v>
      </c>
      <c r="J3148" s="12" t="s">
        <v>521</v>
      </c>
      <c r="K3148" s="13">
        <v>44111</v>
      </c>
      <c r="L3148" s="15" t="s">
        <v>122</v>
      </c>
      <c r="M3148" s="12" t="s">
        <v>36</v>
      </c>
      <c r="N3148" s="12" t="s">
        <v>122</v>
      </c>
      <c r="O3148" s="17" t="s">
        <v>36</v>
      </c>
      <c r="P3148" s="12" t="s">
        <v>36</v>
      </c>
      <c r="Q3148" s="12" t="s">
        <v>36</v>
      </c>
      <c r="R3148" s="12" t="s">
        <v>36</v>
      </c>
      <c r="S3148" s="12" t="s">
        <v>36</v>
      </c>
      <c r="T3148" s="12" t="s">
        <v>16540</v>
      </c>
      <c r="U3148" s="12" t="s">
        <v>96</v>
      </c>
      <c r="V3148" s="12" t="s">
        <v>52</v>
      </c>
      <c r="W3148" s="12" t="s">
        <v>16541</v>
      </c>
      <c r="X3148" s="16" t="s">
        <v>16542</v>
      </c>
      <c r="Y3148" s="15" t="s">
        <v>55</v>
      </c>
      <c r="Z3148" s="14">
        <v>6.53</v>
      </c>
      <c r="AA3148" s="14">
        <v>10.36</v>
      </c>
      <c r="AB3148" s="12" t="s">
        <v>43</v>
      </c>
      <c r="AC3148" s="12" t="s">
        <v>16543</v>
      </c>
      <c r="AD3148" s="13">
        <v>44321</v>
      </c>
      <c r="AE3148" s="12" t="s">
        <v>1414</v>
      </c>
      <c r="AF3148" s="12" t="s">
        <v>16544</v>
      </c>
      <c r="AG3148" s="12" t="s">
        <v>1353</v>
      </c>
      <c r="AH3148" s="1">
        <f>HYPERLINK("https://my.pitchbook.com?c=157376-35T","View Company Online")</f>
      </c>
    </row>
    <row r="3149">
      <c r="A3149" s="3" t="s">
        <v>16545</v>
      </c>
      <c r="B3149" s="3" t="s">
        <v>16546</v>
      </c>
      <c r="C3149" s="5" t="s">
        <v>36</v>
      </c>
      <c r="D3149" s="5" t="s">
        <v>36</v>
      </c>
      <c r="E3149" s="5" t="s">
        <v>36</v>
      </c>
      <c r="F3149" s="5" t="s">
        <v>36</v>
      </c>
      <c r="G3149" s="6" t="s">
        <v>36</v>
      </c>
      <c r="H3149" s="4" t="s">
        <v>36</v>
      </c>
      <c r="I3149" s="7" t="s">
        <v>36</v>
      </c>
      <c r="J3149" s="3" t="s">
        <v>36</v>
      </c>
      <c r="K3149" s="9" t="s">
        <v>36</v>
      </c>
      <c r="L3149" s="6" t="s">
        <v>122</v>
      </c>
      <c r="M3149" s="3" t="s">
        <v>36</v>
      </c>
      <c r="N3149" s="3" t="s">
        <v>122</v>
      </c>
      <c r="O3149" s="8" t="s">
        <v>36</v>
      </c>
      <c r="P3149" s="3" t="s">
        <v>36</v>
      </c>
      <c r="Q3149" s="3" t="s">
        <v>36</v>
      </c>
      <c r="R3149" s="3" t="s">
        <v>36</v>
      </c>
      <c r="S3149" s="3" t="s">
        <v>36</v>
      </c>
      <c r="T3149" s="3" t="s">
        <v>16547</v>
      </c>
      <c r="U3149" s="3" t="s">
        <v>366</v>
      </c>
      <c r="V3149" s="3" t="s">
        <v>367</v>
      </c>
      <c r="W3149" s="3" t="s">
        <v>16548</v>
      </c>
      <c r="X3149" s="10" t="s">
        <v>16549</v>
      </c>
      <c r="Y3149" s="6" t="s">
        <v>42</v>
      </c>
      <c r="Z3149" s="4" t="s">
        <v>36</v>
      </c>
      <c r="AA3149" s="4" t="s">
        <v>36</v>
      </c>
      <c r="AB3149" s="3" t="s">
        <v>43</v>
      </c>
      <c r="AC3149" s="3" t="s">
        <v>16550</v>
      </c>
      <c r="AD3149" s="9">
        <v>44321</v>
      </c>
      <c r="AE3149" s="3" t="s">
        <v>371</v>
      </c>
      <c r="AF3149" s="3" t="s">
        <v>1619</v>
      </c>
      <c r="AG3149" s="3" t="s">
        <v>765</v>
      </c>
      <c r="AH3149" s="11">
        <f>HYPERLINK("https://my.pitchbook.com?c=208459-18T","View Company Online")</f>
      </c>
    </row>
    <row r="3150">
      <c r="A3150" s="12" t="s">
        <v>16551</v>
      </c>
      <c r="B3150" s="12" t="s">
        <v>16552</v>
      </c>
      <c r="C3150" s="19" t="s">
        <v>36</v>
      </c>
      <c r="D3150" s="19" t="s">
        <v>36</v>
      </c>
      <c r="E3150" s="19" t="s">
        <v>36</v>
      </c>
      <c r="F3150" s="19" t="s">
        <v>36</v>
      </c>
      <c r="G3150" s="15" t="s">
        <v>36</v>
      </c>
      <c r="H3150" s="14" t="s">
        <v>36</v>
      </c>
      <c r="I3150" s="18" t="s">
        <v>36</v>
      </c>
      <c r="J3150" s="12" t="s">
        <v>36</v>
      </c>
      <c r="K3150" s="13" t="s">
        <v>36</v>
      </c>
      <c r="L3150" s="15" t="s">
        <v>36</v>
      </c>
      <c r="M3150" s="12" t="s">
        <v>36</v>
      </c>
      <c r="N3150" s="12" t="s">
        <v>36</v>
      </c>
      <c r="O3150" s="17" t="s">
        <v>36</v>
      </c>
      <c r="P3150" s="12" t="s">
        <v>36</v>
      </c>
      <c r="Q3150" s="12" t="s">
        <v>36</v>
      </c>
      <c r="R3150" s="12" t="s">
        <v>36</v>
      </c>
      <c r="S3150" s="12" t="s">
        <v>36</v>
      </c>
      <c r="T3150" s="12" t="s">
        <v>16553</v>
      </c>
      <c r="U3150" s="12" t="s">
        <v>38</v>
      </c>
      <c r="V3150" s="12" t="s">
        <v>39</v>
      </c>
      <c r="W3150" s="12" t="s">
        <v>16554</v>
      </c>
      <c r="X3150" s="16" t="s">
        <v>16555</v>
      </c>
      <c r="Y3150" s="15" t="s">
        <v>108</v>
      </c>
      <c r="Z3150" s="14">
        <v>0.6</v>
      </c>
      <c r="AA3150" s="14" t="s">
        <v>36</v>
      </c>
      <c r="AB3150" s="12" t="s">
        <v>56</v>
      </c>
      <c r="AC3150" s="12" t="s">
        <v>16556</v>
      </c>
      <c r="AD3150" s="13">
        <v>44321</v>
      </c>
      <c r="AE3150" s="12" t="s">
        <v>1945</v>
      </c>
      <c r="AF3150" s="12" t="s">
        <v>2759</v>
      </c>
      <c r="AG3150" s="12" t="s">
        <v>47</v>
      </c>
      <c r="AH3150" s="1">
        <f>HYPERLINK("https://my.pitchbook.com?c=171794-89T","View Company Online")</f>
      </c>
    </row>
    <row r="3151">
      <c r="A3151" s="3" t="s">
        <v>16557</v>
      </c>
      <c r="B3151" s="3" t="s">
        <v>16558</v>
      </c>
      <c r="C3151" s="5">
        <v>6</v>
      </c>
      <c r="D3151" s="5">
        <v>6</v>
      </c>
      <c r="E3151" s="5">
        <v>1</v>
      </c>
      <c r="F3151" s="5">
        <v>12</v>
      </c>
      <c r="G3151" s="6" t="s">
        <v>326</v>
      </c>
      <c r="H3151" s="4">
        <v>2208.98</v>
      </c>
      <c r="I3151" s="7">
        <v>32.08</v>
      </c>
      <c r="J3151" s="3" t="s">
        <v>521</v>
      </c>
      <c r="K3151" s="9">
        <v>44050</v>
      </c>
      <c r="L3151" s="6" t="s">
        <v>122</v>
      </c>
      <c r="M3151" s="3" t="s">
        <v>36</v>
      </c>
      <c r="N3151" s="3" t="s">
        <v>122</v>
      </c>
      <c r="O3151" s="8" t="s">
        <v>36</v>
      </c>
      <c r="P3151" s="3" t="s">
        <v>36</v>
      </c>
      <c r="Q3151" s="3" t="s">
        <v>36</v>
      </c>
      <c r="R3151" s="3" t="s">
        <v>36</v>
      </c>
      <c r="S3151" s="3" t="s">
        <v>36</v>
      </c>
      <c r="T3151" s="3" t="s">
        <v>1081</v>
      </c>
      <c r="U3151" s="3" t="s">
        <v>1082</v>
      </c>
      <c r="V3151" s="3" t="s">
        <v>378</v>
      </c>
      <c r="W3151" s="3" t="s">
        <v>16559</v>
      </c>
      <c r="X3151" s="10" t="s">
        <v>16560</v>
      </c>
      <c r="Y3151" s="6" t="s">
        <v>42</v>
      </c>
      <c r="Z3151" s="4">
        <v>7.55</v>
      </c>
      <c r="AA3151" s="4">
        <v>23.55</v>
      </c>
      <c r="AB3151" s="3" t="s">
        <v>56</v>
      </c>
      <c r="AC3151" s="3" t="s">
        <v>16561</v>
      </c>
      <c r="AD3151" s="9">
        <v>44320</v>
      </c>
      <c r="AE3151" s="3" t="s">
        <v>1086</v>
      </c>
      <c r="AF3151" s="3" t="s">
        <v>3719</v>
      </c>
      <c r="AG3151" s="3" t="s">
        <v>16562</v>
      </c>
      <c r="AH3151" s="11">
        <f>HYPERLINK("https://my.pitchbook.com?c=173471-77T","View Company Online")</f>
      </c>
    </row>
    <row r="3152">
      <c r="A3152" s="12" t="s">
        <v>16563</v>
      </c>
      <c r="B3152" s="12" t="s">
        <v>16564</v>
      </c>
      <c r="C3152" s="19" t="s">
        <v>36</v>
      </c>
      <c r="D3152" s="19" t="s">
        <v>36</v>
      </c>
      <c r="E3152" s="19" t="s">
        <v>36</v>
      </c>
      <c r="F3152" s="19" t="s">
        <v>36</v>
      </c>
      <c r="G3152" s="15" t="s">
        <v>36</v>
      </c>
      <c r="H3152" s="14" t="s">
        <v>36</v>
      </c>
      <c r="I3152" s="18" t="s">
        <v>36</v>
      </c>
      <c r="J3152" s="12" t="s">
        <v>36</v>
      </c>
      <c r="K3152" s="13" t="s">
        <v>36</v>
      </c>
      <c r="L3152" s="15" t="s">
        <v>36</v>
      </c>
      <c r="M3152" s="12" t="s">
        <v>36</v>
      </c>
      <c r="N3152" s="12" t="s">
        <v>36</v>
      </c>
      <c r="O3152" s="17" t="s">
        <v>36</v>
      </c>
      <c r="P3152" s="12" t="s">
        <v>36</v>
      </c>
      <c r="Q3152" s="12" t="s">
        <v>36</v>
      </c>
      <c r="R3152" s="12" t="s">
        <v>36</v>
      </c>
      <c r="S3152" s="12" t="s">
        <v>36</v>
      </c>
      <c r="T3152" s="12" t="s">
        <v>2558</v>
      </c>
      <c r="U3152" s="12" t="s">
        <v>38</v>
      </c>
      <c r="V3152" s="12" t="s">
        <v>39</v>
      </c>
      <c r="W3152" s="12" t="s">
        <v>16565</v>
      </c>
      <c r="X3152" s="16" t="s">
        <v>16566</v>
      </c>
      <c r="Y3152" s="15" t="s">
        <v>42</v>
      </c>
      <c r="Z3152" s="14" t="s">
        <v>36</v>
      </c>
      <c r="AA3152" s="14" t="s">
        <v>36</v>
      </c>
      <c r="AB3152" s="12" t="s">
        <v>43</v>
      </c>
      <c r="AC3152" s="12" t="s">
        <v>16567</v>
      </c>
      <c r="AD3152" s="13">
        <v>44320</v>
      </c>
      <c r="AE3152" s="12" t="s">
        <v>110</v>
      </c>
      <c r="AF3152" s="12" t="s">
        <v>176</v>
      </c>
      <c r="AG3152" s="12" t="s">
        <v>81</v>
      </c>
      <c r="AH3152" s="1">
        <f>HYPERLINK("https://my.pitchbook.com?c=194210-02T","View Company Online")</f>
      </c>
    </row>
    <row r="3153">
      <c r="A3153" s="3" t="s">
        <v>16568</v>
      </c>
      <c r="B3153" s="3" t="s">
        <v>16569</v>
      </c>
      <c r="C3153" s="5">
        <v>3</v>
      </c>
      <c r="D3153" s="5">
        <v>6</v>
      </c>
      <c r="E3153" s="5">
        <v>2</v>
      </c>
      <c r="F3153" s="5">
        <v>9</v>
      </c>
      <c r="G3153" s="6" t="s">
        <v>36</v>
      </c>
      <c r="H3153" s="4" t="s">
        <v>36</v>
      </c>
      <c r="I3153" s="7" t="s">
        <v>36</v>
      </c>
      <c r="J3153" s="3" t="s">
        <v>36</v>
      </c>
      <c r="K3153" s="9" t="s">
        <v>36</v>
      </c>
      <c r="L3153" s="6" t="s">
        <v>36</v>
      </c>
      <c r="M3153" s="3" t="s">
        <v>36</v>
      </c>
      <c r="N3153" s="3" t="s">
        <v>36</v>
      </c>
      <c r="O3153" s="8" t="s">
        <v>36</v>
      </c>
      <c r="P3153" s="3" t="s">
        <v>36</v>
      </c>
      <c r="Q3153" s="3" t="s">
        <v>36</v>
      </c>
      <c r="R3153" s="3" t="s">
        <v>36</v>
      </c>
      <c r="S3153" s="3" t="s">
        <v>36</v>
      </c>
      <c r="T3153" s="3" t="s">
        <v>16570</v>
      </c>
      <c r="U3153" s="3" t="s">
        <v>423</v>
      </c>
      <c r="V3153" s="3" t="s">
        <v>64</v>
      </c>
      <c r="W3153" s="3" t="s">
        <v>16571</v>
      </c>
      <c r="X3153" s="10" t="s">
        <v>16572</v>
      </c>
      <c r="Y3153" s="6" t="s">
        <v>108</v>
      </c>
      <c r="Z3153" s="4">
        <v>3.11</v>
      </c>
      <c r="AA3153" s="4" t="s">
        <v>36</v>
      </c>
      <c r="AB3153" s="3" t="s">
        <v>56</v>
      </c>
      <c r="AC3153" s="3" t="s">
        <v>16573</v>
      </c>
      <c r="AD3153" s="9">
        <v>44319</v>
      </c>
      <c r="AE3153" s="3" t="s">
        <v>2871</v>
      </c>
      <c r="AF3153" s="3" t="s">
        <v>16574</v>
      </c>
      <c r="AG3153" s="3" t="s">
        <v>16575</v>
      </c>
      <c r="AH3153" s="11">
        <f>HYPERLINK("https://my.pitchbook.com?c=171453-61T","View Company Online")</f>
      </c>
    </row>
    <row r="3154">
      <c r="A3154" s="12" t="s">
        <v>16576</v>
      </c>
      <c r="B3154" s="12" t="s">
        <v>16577</v>
      </c>
      <c r="C3154" s="19" t="s">
        <v>36</v>
      </c>
      <c r="D3154" s="19" t="s">
        <v>36</v>
      </c>
      <c r="E3154" s="19" t="s">
        <v>36</v>
      </c>
      <c r="F3154" s="19" t="s">
        <v>36</v>
      </c>
      <c r="G3154" s="15" t="s">
        <v>36</v>
      </c>
      <c r="H3154" s="14">
        <v>1639.73</v>
      </c>
      <c r="I3154" s="18">
        <v>27.8</v>
      </c>
      <c r="J3154" s="12" t="s">
        <v>521</v>
      </c>
      <c r="K3154" s="13" t="s">
        <v>36</v>
      </c>
      <c r="L3154" s="15" t="s">
        <v>36</v>
      </c>
      <c r="M3154" s="12" t="s">
        <v>36</v>
      </c>
      <c r="N3154" s="12" t="s">
        <v>36</v>
      </c>
      <c r="O3154" s="17" t="s">
        <v>36</v>
      </c>
      <c r="P3154" s="12" t="s">
        <v>36</v>
      </c>
      <c r="Q3154" s="12" t="s">
        <v>36</v>
      </c>
      <c r="R3154" s="12" t="s">
        <v>36</v>
      </c>
      <c r="S3154" s="12" t="s">
        <v>36</v>
      </c>
      <c r="T3154" s="12" t="s">
        <v>179</v>
      </c>
      <c r="U3154" s="12" t="s">
        <v>180</v>
      </c>
      <c r="V3154" s="12" t="s">
        <v>52</v>
      </c>
      <c r="W3154" s="12" t="s">
        <v>16578</v>
      </c>
      <c r="X3154" s="16" t="s">
        <v>16579</v>
      </c>
      <c r="Y3154" s="15" t="s">
        <v>42</v>
      </c>
      <c r="Z3154" s="14">
        <v>1.56</v>
      </c>
      <c r="AA3154" s="14">
        <v>2.89</v>
      </c>
      <c r="AB3154" s="12" t="s">
        <v>43</v>
      </c>
      <c r="AC3154" s="12" t="s">
        <v>16580</v>
      </c>
      <c r="AD3154" s="13">
        <v>44319</v>
      </c>
      <c r="AE3154" s="12" t="s">
        <v>184</v>
      </c>
      <c r="AF3154" s="12" t="s">
        <v>16581</v>
      </c>
      <c r="AG3154" s="12" t="s">
        <v>8662</v>
      </c>
      <c r="AH3154" s="1">
        <f>HYPERLINK("https://my.pitchbook.com?c=172013-68T","View Company Online")</f>
      </c>
    </row>
    <row r="3155">
      <c r="A3155" s="3" t="s">
        <v>16582</v>
      </c>
      <c r="B3155" s="3" t="s">
        <v>16583</v>
      </c>
      <c r="C3155" s="5" t="s">
        <v>36</v>
      </c>
      <c r="D3155" s="5" t="s">
        <v>36</v>
      </c>
      <c r="E3155" s="5" t="s">
        <v>36</v>
      </c>
      <c r="F3155" s="5" t="s">
        <v>36</v>
      </c>
      <c r="G3155" s="6" t="s">
        <v>36</v>
      </c>
      <c r="H3155" s="4">
        <v>44.66</v>
      </c>
      <c r="I3155" s="7">
        <v>4.75</v>
      </c>
      <c r="J3155" s="3" t="s">
        <v>521</v>
      </c>
      <c r="K3155" s="9" t="s">
        <v>36</v>
      </c>
      <c r="L3155" s="6" t="s">
        <v>36</v>
      </c>
      <c r="M3155" s="3" t="s">
        <v>36</v>
      </c>
      <c r="N3155" s="3" t="s">
        <v>36</v>
      </c>
      <c r="O3155" s="8" t="s">
        <v>36</v>
      </c>
      <c r="P3155" s="3" t="s">
        <v>36</v>
      </c>
      <c r="Q3155" s="3" t="s">
        <v>36</v>
      </c>
      <c r="R3155" s="3" t="s">
        <v>36</v>
      </c>
      <c r="S3155" s="3" t="s">
        <v>36</v>
      </c>
      <c r="T3155" s="3" t="s">
        <v>16584</v>
      </c>
      <c r="U3155" s="3" t="s">
        <v>1336</v>
      </c>
      <c r="V3155" s="3" t="s">
        <v>367</v>
      </c>
      <c r="W3155" s="3" t="s">
        <v>16585</v>
      </c>
      <c r="X3155" s="10" t="s">
        <v>16586</v>
      </c>
      <c r="Y3155" s="6" t="s">
        <v>42</v>
      </c>
      <c r="Z3155" s="4">
        <v>3.59</v>
      </c>
      <c r="AA3155" s="4">
        <v>75.7</v>
      </c>
      <c r="AB3155" s="3" t="s">
        <v>43</v>
      </c>
      <c r="AC3155" s="3" t="s">
        <v>16587</v>
      </c>
      <c r="AD3155" s="9">
        <v>44319</v>
      </c>
      <c r="AE3155" s="3" t="s">
        <v>1339</v>
      </c>
      <c r="AF3155" s="3" t="s">
        <v>1619</v>
      </c>
      <c r="AG3155" s="3" t="s">
        <v>81</v>
      </c>
      <c r="AH3155" s="11">
        <f>HYPERLINK("https://my.pitchbook.com?c=223164-46T","View Company Online")</f>
      </c>
    </row>
    <row r="3156">
      <c r="A3156" s="12" t="s">
        <v>16588</v>
      </c>
      <c r="B3156" s="12" t="s">
        <v>16589</v>
      </c>
      <c r="C3156" s="19" t="s">
        <v>36</v>
      </c>
      <c r="D3156" s="19" t="s">
        <v>36</v>
      </c>
      <c r="E3156" s="19" t="s">
        <v>36</v>
      </c>
      <c r="F3156" s="19" t="s">
        <v>36</v>
      </c>
      <c r="G3156" s="15" t="s">
        <v>36</v>
      </c>
      <c r="H3156" s="14">
        <v>638.72</v>
      </c>
      <c r="I3156" s="18">
        <v>34.47</v>
      </c>
      <c r="J3156" s="12" t="s">
        <v>521</v>
      </c>
      <c r="K3156" s="13" t="s">
        <v>36</v>
      </c>
      <c r="L3156" s="15" t="s">
        <v>36</v>
      </c>
      <c r="M3156" s="12" t="s">
        <v>36</v>
      </c>
      <c r="N3156" s="12" t="s">
        <v>36</v>
      </c>
      <c r="O3156" s="17" t="s">
        <v>36</v>
      </c>
      <c r="P3156" s="12" t="s">
        <v>36</v>
      </c>
      <c r="Q3156" s="12" t="s">
        <v>36</v>
      </c>
      <c r="R3156" s="12" t="s">
        <v>36</v>
      </c>
      <c r="S3156" s="12" t="s">
        <v>36</v>
      </c>
      <c r="T3156" s="12" t="s">
        <v>16590</v>
      </c>
      <c r="U3156" s="12" t="s">
        <v>1357</v>
      </c>
      <c r="V3156" s="12" t="s">
        <v>52</v>
      </c>
      <c r="W3156" s="12" t="s">
        <v>16591</v>
      </c>
      <c r="X3156" s="16" t="s">
        <v>16592</v>
      </c>
      <c r="Y3156" s="15" t="s">
        <v>42</v>
      </c>
      <c r="Z3156" s="14">
        <v>1.2</v>
      </c>
      <c r="AA3156" s="14">
        <v>3.47</v>
      </c>
      <c r="AB3156" s="12" t="s">
        <v>56</v>
      </c>
      <c r="AC3156" s="12" t="s">
        <v>16593</v>
      </c>
      <c r="AD3156" s="13">
        <v>44319</v>
      </c>
      <c r="AE3156" s="12" t="s">
        <v>2377</v>
      </c>
      <c r="AF3156" s="12" t="s">
        <v>16594</v>
      </c>
      <c r="AG3156" s="12" t="s">
        <v>81</v>
      </c>
      <c r="AH3156" s="1">
        <f>HYPERLINK("https://my.pitchbook.com?c=171474-58T","View Company Online")</f>
      </c>
    </row>
    <row r="3157">
      <c r="A3157" s="3" t="s">
        <v>16595</v>
      </c>
      <c r="B3157" s="3" t="s">
        <v>824</v>
      </c>
      <c r="C3157" s="5" t="s">
        <v>36</v>
      </c>
      <c r="D3157" s="5" t="s">
        <v>36</v>
      </c>
      <c r="E3157" s="5" t="s">
        <v>36</v>
      </c>
      <c r="F3157" s="5" t="s">
        <v>36</v>
      </c>
      <c r="G3157" s="6" t="s">
        <v>36</v>
      </c>
      <c r="H3157" s="4" t="s">
        <v>36</v>
      </c>
      <c r="I3157" s="7" t="s">
        <v>36</v>
      </c>
      <c r="J3157" s="3" t="s">
        <v>36</v>
      </c>
      <c r="K3157" s="9" t="s">
        <v>36</v>
      </c>
      <c r="L3157" s="6" t="s">
        <v>1981</v>
      </c>
      <c r="M3157" s="3" t="s">
        <v>36</v>
      </c>
      <c r="N3157" s="3" t="s">
        <v>1981</v>
      </c>
      <c r="O3157" s="8" t="s">
        <v>36</v>
      </c>
      <c r="P3157" s="3" t="s">
        <v>36</v>
      </c>
      <c r="Q3157" s="3" t="s">
        <v>36</v>
      </c>
      <c r="R3157" s="3" t="s">
        <v>36</v>
      </c>
      <c r="S3157" s="3" t="s">
        <v>825</v>
      </c>
      <c r="T3157" s="3" t="s">
        <v>507</v>
      </c>
      <c r="U3157" s="3" t="s">
        <v>51</v>
      </c>
      <c r="V3157" s="3" t="s">
        <v>52</v>
      </c>
      <c r="W3157" s="3" t="s">
        <v>826</v>
      </c>
      <c r="X3157" s="10" t="s">
        <v>16596</v>
      </c>
      <c r="Y3157" s="6" t="s">
        <v>55</v>
      </c>
      <c r="Z3157" s="4">
        <v>10.77</v>
      </c>
      <c r="AA3157" s="4" t="s">
        <v>36</v>
      </c>
      <c r="AB3157" s="3" t="s">
        <v>43</v>
      </c>
      <c r="AC3157" s="3" t="s">
        <v>828</v>
      </c>
      <c r="AD3157" s="9">
        <v>44318</v>
      </c>
      <c r="AE3157" s="3" t="s">
        <v>504</v>
      </c>
      <c r="AF3157" s="3" t="s">
        <v>829</v>
      </c>
      <c r="AG3157" s="3" t="s">
        <v>81</v>
      </c>
      <c r="AH3157" s="11">
        <f>HYPERLINK("https://my.pitchbook.com?c=203970-97T","View Company Online")</f>
      </c>
    </row>
    <row r="3158">
      <c r="A3158" s="12" t="s">
        <v>16597</v>
      </c>
      <c r="B3158" s="12" t="s">
        <v>954</v>
      </c>
      <c r="C3158" s="19" t="s">
        <v>36</v>
      </c>
      <c r="D3158" s="19" t="s">
        <v>36</v>
      </c>
      <c r="E3158" s="19" t="s">
        <v>36</v>
      </c>
      <c r="F3158" s="19" t="s">
        <v>36</v>
      </c>
      <c r="G3158" s="15" t="s">
        <v>36</v>
      </c>
      <c r="H3158" s="14" t="s">
        <v>36</v>
      </c>
      <c r="I3158" s="18" t="s">
        <v>36</v>
      </c>
      <c r="J3158" s="12" t="s">
        <v>36</v>
      </c>
      <c r="K3158" s="13" t="s">
        <v>36</v>
      </c>
      <c r="L3158" s="15" t="s">
        <v>36</v>
      </c>
      <c r="M3158" s="12" t="s">
        <v>36</v>
      </c>
      <c r="N3158" s="12" t="s">
        <v>36</v>
      </c>
      <c r="O3158" s="17" t="s">
        <v>36</v>
      </c>
      <c r="P3158" s="12" t="s">
        <v>36</v>
      </c>
      <c r="Q3158" s="12" t="s">
        <v>36</v>
      </c>
      <c r="R3158" s="12" t="s">
        <v>36</v>
      </c>
      <c r="S3158" s="12" t="s">
        <v>36</v>
      </c>
      <c r="T3158" s="12" t="s">
        <v>955</v>
      </c>
      <c r="U3158" s="12" t="s">
        <v>956</v>
      </c>
      <c r="V3158" s="12" t="s">
        <v>405</v>
      </c>
      <c r="W3158" s="12" t="s">
        <v>957</v>
      </c>
      <c r="X3158" s="16" t="s">
        <v>16598</v>
      </c>
      <c r="Y3158" s="15" t="s">
        <v>42</v>
      </c>
      <c r="Z3158" s="14">
        <v>2.39</v>
      </c>
      <c r="AA3158" s="14" t="s">
        <v>36</v>
      </c>
      <c r="AB3158" s="12" t="s">
        <v>43</v>
      </c>
      <c r="AC3158" s="12" t="s">
        <v>959</v>
      </c>
      <c r="AD3158" s="13">
        <v>44317</v>
      </c>
      <c r="AE3158" s="12" t="s">
        <v>960</v>
      </c>
      <c r="AF3158" s="12" t="s">
        <v>961</v>
      </c>
      <c r="AG3158" s="12" t="s">
        <v>962</v>
      </c>
      <c r="AH3158" s="1">
        <f>HYPERLINK("https://my.pitchbook.com?c=171468-10T","View Company Online")</f>
      </c>
    </row>
    <row r="3159">
      <c r="A3159" s="3" t="s">
        <v>16599</v>
      </c>
      <c r="B3159" s="3" t="s">
        <v>16600</v>
      </c>
      <c r="C3159" s="5" t="s">
        <v>36</v>
      </c>
      <c r="D3159" s="5" t="s">
        <v>36</v>
      </c>
      <c r="E3159" s="5" t="s">
        <v>36</v>
      </c>
      <c r="F3159" s="5" t="s">
        <v>36</v>
      </c>
      <c r="G3159" s="6" t="s">
        <v>36</v>
      </c>
      <c r="H3159" s="4" t="s">
        <v>36</v>
      </c>
      <c r="I3159" s="7" t="s">
        <v>36</v>
      </c>
      <c r="J3159" s="3" t="s">
        <v>36</v>
      </c>
      <c r="K3159" s="9" t="s">
        <v>36</v>
      </c>
      <c r="L3159" s="6" t="s">
        <v>36</v>
      </c>
      <c r="M3159" s="3" t="s">
        <v>36</v>
      </c>
      <c r="N3159" s="3" t="s">
        <v>36</v>
      </c>
      <c r="O3159" s="8" t="s">
        <v>36</v>
      </c>
      <c r="P3159" s="3" t="s">
        <v>36</v>
      </c>
      <c r="Q3159" s="3" t="s">
        <v>36</v>
      </c>
      <c r="R3159" s="3" t="s">
        <v>36</v>
      </c>
      <c r="S3159" s="3" t="s">
        <v>36</v>
      </c>
      <c r="T3159" s="3" t="s">
        <v>522</v>
      </c>
      <c r="U3159" s="3" t="s">
        <v>38</v>
      </c>
      <c r="V3159" s="3" t="s">
        <v>39</v>
      </c>
      <c r="W3159" s="3" t="s">
        <v>16601</v>
      </c>
      <c r="X3159" s="10" t="s">
        <v>590</v>
      </c>
      <c r="Y3159" s="6" t="s">
        <v>42</v>
      </c>
      <c r="Z3159" s="4" t="s">
        <v>36</v>
      </c>
      <c r="AA3159" s="4" t="s">
        <v>36</v>
      </c>
      <c r="AB3159" s="3" t="s">
        <v>43</v>
      </c>
      <c r="AC3159" s="3" t="s">
        <v>16602</v>
      </c>
      <c r="AD3159" s="9">
        <v>44317</v>
      </c>
      <c r="AE3159" s="3" t="s">
        <v>110</v>
      </c>
      <c r="AF3159" s="3" t="s">
        <v>1735</v>
      </c>
      <c r="AG3159" s="3" t="s">
        <v>81</v>
      </c>
      <c r="AH3159" s="11">
        <f>HYPERLINK("https://my.pitchbook.com?c=218601-10T","View Company Online")</f>
      </c>
    </row>
    <row r="3160">
      <c r="A3160" s="12" t="s">
        <v>16603</v>
      </c>
      <c r="B3160" s="12" t="s">
        <v>16604</v>
      </c>
      <c r="C3160" s="19" t="s">
        <v>36</v>
      </c>
      <c r="D3160" s="19">
        <v>5</v>
      </c>
      <c r="E3160" s="19">
        <v>1</v>
      </c>
      <c r="F3160" s="19">
        <v>6</v>
      </c>
      <c r="G3160" s="15" t="s">
        <v>36</v>
      </c>
      <c r="H3160" s="14">
        <v>1.71</v>
      </c>
      <c r="I3160" s="18">
        <v>20.34</v>
      </c>
      <c r="J3160" s="12" t="s">
        <v>521</v>
      </c>
      <c r="K3160" s="13" t="s">
        <v>36</v>
      </c>
      <c r="L3160" s="15" t="s">
        <v>36</v>
      </c>
      <c r="M3160" s="12" t="s">
        <v>36</v>
      </c>
      <c r="N3160" s="12" t="s">
        <v>36</v>
      </c>
      <c r="O3160" s="17" t="s">
        <v>36</v>
      </c>
      <c r="P3160" s="12" t="s">
        <v>36</v>
      </c>
      <c r="Q3160" s="12" t="s">
        <v>36</v>
      </c>
      <c r="R3160" s="12" t="s">
        <v>36</v>
      </c>
      <c r="S3160" s="12" t="s">
        <v>36</v>
      </c>
      <c r="T3160" s="12" t="s">
        <v>16605</v>
      </c>
      <c r="U3160" s="12" t="s">
        <v>728</v>
      </c>
      <c r="V3160" s="12" t="s">
        <v>64</v>
      </c>
      <c r="W3160" s="12" t="s">
        <v>16606</v>
      </c>
      <c r="X3160" s="16" t="s">
        <v>16607</v>
      </c>
      <c r="Y3160" s="15" t="s">
        <v>42</v>
      </c>
      <c r="Z3160" s="14">
        <v>3.59</v>
      </c>
      <c r="AA3160" s="14">
        <v>17.64</v>
      </c>
      <c r="AB3160" s="12" t="s">
        <v>56</v>
      </c>
      <c r="AC3160" s="12" t="s">
        <v>16608</v>
      </c>
      <c r="AD3160" s="13">
        <v>44317</v>
      </c>
      <c r="AE3160" s="12" t="s">
        <v>2154</v>
      </c>
      <c r="AF3160" s="12" t="s">
        <v>1216</v>
      </c>
      <c r="AG3160" s="12" t="s">
        <v>16609</v>
      </c>
      <c r="AH3160" s="1">
        <f>HYPERLINK("https://my.pitchbook.com?c=180196-57T","View Company Online")</f>
      </c>
    </row>
    <row r="3161">
      <c r="A3161" s="3" t="s">
        <v>16610</v>
      </c>
      <c r="B3161" s="3" t="s">
        <v>16611</v>
      </c>
      <c r="C3161" s="5" t="s">
        <v>36</v>
      </c>
      <c r="D3161" s="5" t="s">
        <v>36</v>
      </c>
      <c r="E3161" s="5" t="s">
        <v>36</v>
      </c>
      <c r="F3161" s="5" t="s">
        <v>36</v>
      </c>
      <c r="G3161" s="6" t="s">
        <v>36</v>
      </c>
      <c r="H3161" s="4" t="s">
        <v>36</v>
      </c>
      <c r="I3161" s="7" t="s">
        <v>36</v>
      </c>
      <c r="J3161" s="3" t="s">
        <v>36</v>
      </c>
      <c r="K3161" s="9" t="s">
        <v>36</v>
      </c>
      <c r="L3161" s="6" t="s">
        <v>36</v>
      </c>
      <c r="M3161" s="3" t="s">
        <v>36</v>
      </c>
      <c r="N3161" s="3" t="s">
        <v>36</v>
      </c>
      <c r="O3161" s="8" t="s">
        <v>36</v>
      </c>
      <c r="P3161" s="3" t="s">
        <v>36</v>
      </c>
      <c r="Q3161" s="3" t="s">
        <v>36</v>
      </c>
      <c r="R3161" s="3" t="s">
        <v>36</v>
      </c>
      <c r="S3161" s="3" t="s">
        <v>36</v>
      </c>
      <c r="T3161" s="3" t="s">
        <v>2483</v>
      </c>
      <c r="U3161" s="3" t="s">
        <v>63</v>
      </c>
      <c r="V3161" s="3" t="s">
        <v>64</v>
      </c>
      <c r="W3161" s="3" t="s">
        <v>16612</v>
      </c>
      <c r="X3161" s="10" t="s">
        <v>16613</v>
      </c>
      <c r="Y3161" s="6" t="s">
        <v>42</v>
      </c>
      <c r="Z3161" s="4">
        <v>4.78</v>
      </c>
      <c r="AA3161" s="4" t="s">
        <v>36</v>
      </c>
      <c r="AB3161" s="3" t="s">
        <v>43</v>
      </c>
      <c r="AC3161" s="3" t="s">
        <v>16614</v>
      </c>
      <c r="AD3161" s="9">
        <v>44317</v>
      </c>
      <c r="AE3161" s="3" t="s">
        <v>399</v>
      </c>
      <c r="AF3161" s="3" t="s">
        <v>938</v>
      </c>
      <c r="AG3161" s="3" t="s">
        <v>741</v>
      </c>
      <c r="AH3161" s="11">
        <f>HYPERLINK("https://my.pitchbook.com?c=253890-55T","View Company Online")</f>
      </c>
    </row>
    <row r="3162">
      <c r="A3162" s="12" t="s">
        <v>16615</v>
      </c>
      <c r="B3162" s="12" t="s">
        <v>16616</v>
      </c>
      <c r="C3162" s="19" t="s">
        <v>36</v>
      </c>
      <c r="D3162" s="19" t="s">
        <v>36</v>
      </c>
      <c r="E3162" s="19" t="s">
        <v>36</v>
      </c>
      <c r="F3162" s="19" t="s">
        <v>36</v>
      </c>
      <c r="G3162" s="15" t="s">
        <v>36</v>
      </c>
      <c r="H3162" s="14" t="s">
        <v>36</v>
      </c>
      <c r="I3162" s="18" t="s">
        <v>36</v>
      </c>
      <c r="J3162" s="12" t="s">
        <v>36</v>
      </c>
      <c r="K3162" s="13" t="s">
        <v>36</v>
      </c>
      <c r="L3162" s="15" t="s">
        <v>36</v>
      </c>
      <c r="M3162" s="12" t="s">
        <v>36</v>
      </c>
      <c r="N3162" s="12" t="s">
        <v>36</v>
      </c>
      <c r="O3162" s="17" t="s">
        <v>36</v>
      </c>
      <c r="P3162" s="12" t="s">
        <v>36</v>
      </c>
      <c r="Q3162" s="12" t="s">
        <v>36</v>
      </c>
      <c r="R3162" s="12" t="s">
        <v>36</v>
      </c>
      <c r="S3162" s="12" t="s">
        <v>36</v>
      </c>
      <c r="T3162" s="12" t="s">
        <v>2490</v>
      </c>
      <c r="U3162" s="12" t="s">
        <v>318</v>
      </c>
      <c r="V3162" s="12" t="s">
        <v>39</v>
      </c>
      <c r="W3162" s="12" t="s">
        <v>16617</v>
      </c>
      <c r="X3162" s="16" t="s">
        <v>16618</v>
      </c>
      <c r="Y3162" s="15" t="s">
        <v>42</v>
      </c>
      <c r="Z3162" s="14" t="s">
        <v>36</v>
      </c>
      <c r="AA3162" s="14" t="s">
        <v>36</v>
      </c>
      <c r="AB3162" s="12" t="s">
        <v>43</v>
      </c>
      <c r="AC3162" s="12" t="s">
        <v>16619</v>
      </c>
      <c r="AD3162" s="13">
        <v>44317</v>
      </c>
      <c r="AE3162" s="12" t="s">
        <v>417</v>
      </c>
      <c r="AF3162" s="12" t="s">
        <v>546</v>
      </c>
      <c r="AG3162" s="12" t="s">
        <v>1193</v>
      </c>
      <c r="AH3162" s="1">
        <f>HYPERLINK("https://my.pitchbook.com?c=207754-57T","View Company Online")</f>
      </c>
    </row>
    <row r="3163">
      <c r="A3163" s="3" t="s">
        <v>16620</v>
      </c>
      <c r="B3163" s="3" t="s">
        <v>16621</v>
      </c>
      <c r="C3163" s="5" t="s">
        <v>36</v>
      </c>
      <c r="D3163" s="5" t="s">
        <v>36</v>
      </c>
      <c r="E3163" s="5" t="s">
        <v>36</v>
      </c>
      <c r="F3163" s="5" t="s">
        <v>36</v>
      </c>
      <c r="G3163" s="6" t="s">
        <v>36</v>
      </c>
      <c r="H3163" s="4" t="s">
        <v>36</v>
      </c>
      <c r="I3163" s="7" t="s">
        <v>36</v>
      </c>
      <c r="J3163" s="3" t="s">
        <v>36</v>
      </c>
      <c r="K3163" s="9" t="s">
        <v>36</v>
      </c>
      <c r="L3163" s="6" t="s">
        <v>36</v>
      </c>
      <c r="M3163" s="3" t="s">
        <v>36</v>
      </c>
      <c r="N3163" s="3" t="s">
        <v>36</v>
      </c>
      <c r="O3163" s="8" t="s">
        <v>36</v>
      </c>
      <c r="P3163" s="3" t="s">
        <v>36</v>
      </c>
      <c r="Q3163" s="3" t="s">
        <v>36</v>
      </c>
      <c r="R3163" s="3" t="s">
        <v>36</v>
      </c>
      <c r="S3163" s="3" t="s">
        <v>36</v>
      </c>
      <c r="T3163" s="3" t="s">
        <v>16622</v>
      </c>
      <c r="U3163" s="3" t="s">
        <v>648</v>
      </c>
      <c r="V3163" s="3" t="s">
        <v>64</v>
      </c>
      <c r="W3163" s="3" t="s">
        <v>16623</v>
      </c>
      <c r="X3163" s="10" t="s">
        <v>16624</v>
      </c>
      <c r="Y3163" s="6" t="s">
        <v>42</v>
      </c>
      <c r="Z3163" s="4">
        <v>7.18</v>
      </c>
      <c r="AA3163" s="4" t="s">
        <v>36</v>
      </c>
      <c r="AB3163" s="3" t="s">
        <v>56</v>
      </c>
      <c r="AC3163" s="3" t="s">
        <v>16625</v>
      </c>
      <c r="AD3163" s="9">
        <v>44317</v>
      </c>
      <c r="AE3163" s="3" t="s">
        <v>1897</v>
      </c>
      <c r="AF3163" s="3" t="s">
        <v>1115</v>
      </c>
      <c r="AG3163" s="3" t="s">
        <v>81</v>
      </c>
      <c r="AH3163" s="11">
        <f>HYPERLINK("https://my.pitchbook.com?c=179199-37T","View Company Online")</f>
      </c>
    </row>
    <row r="3164">
      <c r="A3164" s="12" t="s">
        <v>16626</v>
      </c>
      <c r="B3164" s="12" t="s">
        <v>16627</v>
      </c>
      <c r="C3164" s="19" t="s">
        <v>36</v>
      </c>
      <c r="D3164" s="19" t="s">
        <v>36</v>
      </c>
      <c r="E3164" s="19" t="s">
        <v>36</v>
      </c>
      <c r="F3164" s="19" t="s">
        <v>36</v>
      </c>
      <c r="G3164" s="15" t="s">
        <v>683</v>
      </c>
      <c r="H3164" s="14">
        <v>33.45</v>
      </c>
      <c r="I3164" s="18">
        <v>26.17</v>
      </c>
      <c r="J3164" s="12" t="s">
        <v>521</v>
      </c>
      <c r="K3164" s="13" t="s">
        <v>36</v>
      </c>
      <c r="L3164" s="15" t="s">
        <v>36</v>
      </c>
      <c r="M3164" s="12" t="s">
        <v>36</v>
      </c>
      <c r="N3164" s="12" t="s">
        <v>36</v>
      </c>
      <c r="O3164" s="17" t="s">
        <v>36</v>
      </c>
      <c r="P3164" s="12" t="s">
        <v>36</v>
      </c>
      <c r="Q3164" s="12" t="s">
        <v>36</v>
      </c>
      <c r="R3164" s="12" t="s">
        <v>36</v>
      </c>
      <c r="S3164" s="12" t="s">
        <v>36</v>
      </c>
      <c r="T3164" s="12" t="s">
        <v>11952</v>
      </c>
      <c r="U3164" s="12" t="s">
        <v>38</v>
      </c>
      <c r="V3164" s="12" t="s">
        <v>39</v>
      </c>
      <c r="W3164" s="12" t="s">
        <v>16628</v>
      </c>
      <c r="X3164" s="16" t="s">
        <v>1740</v>
      </c>
      <c r="Y3164" s="15" t="s">
        <v>42</v>
      </c>
      <c r="Z3164" s="14">
        <v>2.39</v>
      </c>
      <c r="AA3164" s="14">
        <v>5.54</v>
      </c>
      <c r="AB3164" s="12" t="s">
        <v>56</v>
      </c>
      <c r="AC3164" s="12" t="s">
        <v>16629</v>
      </c>
      <c r="AD3164" s="13">
        <v>44317</v>
      </c>
      <c r="AE3164" s="12" t="s">
        <v>110</v>
      </c>
      <c r="AF3164" s="12" t="s">
        <v>2752</v>
      </c>
      <c r="AG3164" s="12" t="s">
        <v>1202</v>
      </c>
      <c r="AH3164" s="1">
        <f>HYPERLINK("https://my.pitchbook.com?c=172965-52T","View Company Online")</f>
      </c>
    </row>
    <row r="3165">
      <c r="A3165" s="3" t="s">
        <v>16630</v>
      </c>
      <c r="B3165" s="3" t="s">
        <v>7970</v>
      </c>
      <c r="C3165" s="5">
        <v>59</v>
      </c>
      <c r="D3165" s="5">
        <v>148</v>
      </c>
      <c r="E3165" s="5">
        <v>35</v>
      </c>
      <c r="F3165" s="5">
        <v>232</v>
      </c>
      <c r="G3165" s="6" t="s">
        <v>36</v>
      </c>
      <c r="H3165" s="4" t="s">
        <v>36</v>
      </c>
      <c r="I3165" s="7" t="s">
        <v>36</v>
      </c>
      <c r="J3165" s="3" t="s">
        <v>521</v>
      </c>
      <c r="K3165" s="9" t="s">
        <v>36</v>
      </c>
      <c r="L3165" s="6" t="s">
        <v>36</v>
      </c>
      <c r="M3165" s="3" t="s">
        <v>36</v>
      </c>
      <c r="N3165" s="3" t="s">
        <v>36</v>
      </c>
      <c r="O3165" s="8" t="s">
        <v>36</v>
      </c>
      <c r="P3165" s="3" t="s">
        <v>36</v>
      </c>
      <c r="Q3165" s="3" t="s">
        <v>36</v>
      </c>
      <c r="R3165" s="3" t="s">
        <v>36</v>
      </c>
      <c r="S3165" s="3" t="s">
        <v>2699</v>
      </c>
      <c r="T3165" s="3" t="s">
        <v>7971</v>
      </c>
      <c r="U3165" s="3" t="s">
        <v>1082</v>
      </c>
      <c r="V3165" s="3" t="s">
        <v>378</v>
      </c>
      <c r="W3165" s="3" t="s">
        <v>7972</v>
      </c>
      <c r="X3165" s="10" t="s">
        <v>16631</v>
      </c>
      <c r="Y3165" s="6" t="s">
        <v>321</v>
      </c>
      <c r="Z3165" s="4">
        <v>11.96</v>
      </c>
      <c r="AA3165" s="4">
        <v>747.52</v>
      </c>
      <c r="AB3165" s="3" t="s">
        <v>56</v>
      </c>
      <c r="AC3165" s="3" t="s">
        <v>7974</v>
      </c>
      <c r="AD3165" s="9">
        <v>44317</v>
      </c>
      <c r="AE3165" s="3" t="s">
        <v>1086</v>
      </c>
      <c r="AF3165" s="3" t="s">
        <v>7975</v>
      </c>
      <c r="AG3165" s="3" t="s">
        <v>2370</v>
      </c>
      <c r="AH3165" s="11">
        <f>HYPERLINK("https://my.pitchbook.com?c=180379-18T","View Company Online")</f>
      </c>
    </row>
    <row r="3166">
      <c r="A3166" s="12" t="s">
        <v>16632</v>
      </c>
      <c r="B3166" s="12" t="s">
        <v>10732</v>
      </c>
      <c r="C3166" s="19" t="s">
        <v>36</v>
      </c>
      <c r="D3166" s="19" t="s">
        <v>36</v>
      </c>
      <c r="E3166" s="19" t="s">
        <v>36</v>
      </c>
      <c r="F3166" s="19" t="s">
        <v>36</v>
      </c>
      <c r="G3166" s="15" t="s">
        <v>326</v>
      </c>
      <c r="H3166" s="14" t="s">
        <v>36</v>
      </c>
      <c r="I3166" s="18" t="s">
        <v>36</v>
      </c>
      <c r="J3166" s="12" t="s">
        <v>521</v>
      </c>
      <c r="K3166" s="13">
        <v>44179</v>
      </c>
      <c r="L3166" s="15" t="s">
        <v>36</v>
      </c>
      <c r="M3166" s="12" t="s">
        <v>36</v>
      </c>
      <c r="N3166" s="12" t="s">
        <v>36</v>
      </c>
      <c r="O3166" s="17" t="s">
        <v>36</v>
      </c>
      <c r="P3166" s="12" t="s">
        <v>36</v>
      </c>
      <c r="Q3166" s="12" t="s">
        <v>36</v>
      </c>
      <c r="R3166" s="12" t="s">
        <v>36</v>
      </c>
      <c r="S3166" s="12" t="s">
        <v>36</v>
      </c>
      <c r="T3166" s="12" t="s">
        <v>10733</v>
      </c>
      <c r="U3166" s="12" t="s">
        <v>648</v>
      </c>
      <c r="V3166" s="12" t="s">
        <v>64</v>
      </c>
      <c r="W3166" s="12" t="s">
        <v>10734</v>
      </c>
      <c r="X3166" s="16" t="s">
        <v>16633</v>
      </c>
      <c r="Y3166" s="15" t="s">
        <v>108</v>
      </c>
      <c r="Z3166" s="14">
        <v>11.96</v>
      </c>
      <c r="AA3166" s="14">
        <v>20.03</v>
      </c>
      <c r="AB3166" s="12" t="s">
        <v>56</v>
      </c>
      <c r="AC3166" s="12" t="s">
        <v>10736</v>
      </c>
      <c r="AD3166" s="13">
        <v>44317</v>
      </c>
      <c r="AE3166" s="12" t="s">
        <v>3988</v>
      </c>
      <c r="AF3166" s="12" t="s">
        <v>4284</v>
      </c>
      <c r="AG3166" s="12" t="s">
        <v>81</v>
      </c>
      <c r="AH3166" s="1">
        <f>HYPERLINK("https://my.pitchbook.com?c=186429-07T","View Company Online")</f>
      </c>
    </row>
    <row r="3167">
      <c r="A3167" s="3" t="s">
        <v>16634</v>
      </c>
      <c r="B3167" s="3" t="s">
        <v>16635</v>
      </c>
      <c r="C3167" s="5">
        <v>32</v>
      </c>
      <c r="D3167" s="5">
        <v>18</v>
      </c>
      <c r="E3167" s="5">
        <v>12</v>
      </c>
      <c r="F3167" s="5">
        <v>54</v>
      </c>
      <c r="G3167" s="6" t="s">
        <v>36</v>
      </c>
      <c r="H3167" s="4">
        <v>119.44</v>
      </c>
      <c r="I3167" s="7">
        <v>43.79</v>
      </c>
      <c r="J3167" s="3" t="s">
        <v>521</v>
      </c>
      <c r="K3167" s="9">
        <v>43518</v>
      </c>
      <c r="L3167" s="6" t="s">
        <v>122</v>
      </c>
      <c r="M3167" s="3" t="s">
        <v>36</v>
      </c>
      <c r="N3167" s="3" t="s">
        <v>122</v>
      </c>
      <c r="O3167" s="8" t="s">
        <v>36</v>
      </c>
      <c r="P3167" s="3" t="s">
        <v>36</v>
      </c>
      <c r="Q3167" s="3" t="s">
        <v>36</v>
      </c>
      <c r="R3167" s="3" t="s">
        <v>36</v>
      </c>
      <c r="S3167" s="3" t="s">
        <v>16636</v>
      </c>
      <c r="T3167" s="3" t="s">
        <v>15724</v>
      </c>
      <c r="U3167" s="3" t="s">
        <v>51</v>
      </c>
      <c r="V3167" s="3" t="s">
        <v>52</v>
      </c>
      <c r="W3167" s="3" t="s">
        <v>16637</v>
      </c>
      <c r="X3167" s="10" t="s">
        <v>16638</v>
      </c>
      <c r="Y3167" s="6" t="s">
        <v>55</v>
      </c>
      <c r="Z3167" s="4">
        <v>15.54</v>
      </c>
      <c r="AA3167" s="4">
        <v>33.54</v>
      </c>
      <c r="AB3167" s="3" t="s">
        <v>43</v>
      </c>
      <c r="AC3167" s="3" t="s">
        <v>16639</v>
      </c>
      <c r="AD3167" s="9">
        <v>44316</v>
      </c>
      <c r="AE3167" s="3" t="s">
        <v>6868</v>
      </c>
      <c r="AF3167" s="3" t="s">
        <v>16640</v>
      </c>
      <c r="AG3167" s="3" t="s">
        <v>1353</v>
      </c>
      <c r="AH3167" s="11">
        <f>HYPERLINK("https://my.pitchbook.com?c=118130-95T","View Company Online")</f>
      </c>
    </row>
    <row r="3168">
      <c r="A3168" s="12" t="s">
        <v>16641</v>
      </c>
      <c r="B3168" s="12" t="s">
        <v>16642</v>
      </c>
      <c r="C3168" s="19">
        <v>9</v>
      </c>
      <c r="D3168" s="19">
        <v>12</v>
      </c>
      <c r="E3168" s="19">
        <v>10</v>
      </c>
      <c r="F3168" s="19">
        <v>23</v>
      </c>
      <c r="G3168" s="15" t="s">
        <v>326</v>
      </c>
      <c r="H3168" s="14">
        <v>462.23</v>
      </c>
      <c r="I3168" s="18">
        <v>18</v>
      </c>
      <c r="J3168" s="12" t="s">
        <v>521</v>
      </c>
      <c r="K3168" s="13" t="s">
        <v>36</v>
      </c>
      <c r="L3168" s="15" t="s">
        <v>36</v>
      </c>
      <c r="M3168" s="12" t="s">
        <v>36</v>
      </c>
      <c r="N3168" s="12" t="s">
        <v>36</v>
      </c>
      <c r="O3168" s="17" t="s">
        <v>36</v>
      </c>
      <c r="P3168" s="12" t="s">
        <v>36</v>
      </c>
      <c r="Q3168" s="12" t="s">
        <v>36</v>
      </c>
      <c r="R3168" s="12" t="s">
        <v>36</v>
      </c>
      <c r="S3168" s="12" t="s">
        <v>36</v>
      </c>
      <c r="T3168" s="12" t="s">
        <v>16643</v>
      </c>
      <c r="U3168" s="12" t="s">
        <v>387</v>
      </c>
      <c r="V3168" s="12" t="s">
        <v>367</v>
      </c>
      <c r="W3168" s="12" t="s">
        <v>16644</v>
      </c>
      <c r="X3168" s="16" t="s">
        <v>16645</v>
      </c>
      <c r="Y3168" s="15" t="s">
        <v>108</v>
      </c>
      <c r="Z3168" s="14">
        <v>19.62</v>
      </c>
      <c r="AA3168" s="14">
        <v>134.63</v>
      </c>
      <c r="AB3168" s="12" t="s">
        <v>56</v>
      </c>
      <c r="AC3168" s="12" t="s">
        <v>16646</v>
      </c>
      <c r="AD3168" s="13">
        <v>44316</v>
      </c>
      <c r="AE3168" s="12" t="s">
        <v>391</v>
      </c>
      <c r="AF3168" s="12" t="s">
        <v>16647</v>
      </c>
      <c r="AG3168" s="12" t="s">
        <v>16648</v>
      </c>
      <c r="AH3168" s="1">
        <f>HYPERLINK("https://my.pitchbook.com?c=181670-32T","View Company Online")</f>
      </c>
    </row>
    <row r="3169">
      <c r="A3169" s="3" t="s">
        <v>16649</v>
      </c>
      <c r="B3169" s="3" t="s">
        <v>16650</v>
      </c>
      <c r="C3169" s="5" t="s">
        <v>36</v>
      </c>
      <c r="D3169" s="5" t="s">
        <v>36</v>
      </c>
      <c r="E3169" s="5">
        <v>4</v>
      </c>
      <c r="F3169" s="5">
        <v>4</v>
      </c>
      <c r="G3169" s="6" t="s">
        <v>326</v>
      </c>
      <c r="H3169" s="4">
        <v>5.51</v>
      </c>
      <c r="I3169" s="7">
        <v>28.69</v>
      </c>
      <c r="J3169" s="3" t="s">
        <v>521</v>
      </c>
      <c r="K3169" s="9" t="s">
        <v>36</v>
      </c>
      <c r="L3169" s="6" t="s">
        <v>122</v>
      </c>
      <c r="M3169" s="3" t="s">
        <v>36</v>
      </c>
      <c r="N3169" s="3" t="s">
        <v>122</v>
      </c>
      <c r="O3169" s="8" t="s">
        <v>36</v>
      </c>
      <c r="P3169" s="3" t="s">
        <v>36</v>
      </c>
      <c r="Q3169" s="3" t="s">
        <v>36</v>
      </c>
      <c r="R3169" s="3" t="s">
        <v>36</v>
      </c>
      <c r="S3169" s="3" t="s">
        <v>36</v>
      </c>
      <c r="T3169" s="3" t="s">
        <v>522</v>
      </c>
      <c r="U3169" s="3" t="s">
        <v>38</v>
      </c>
      <c r="V3169" s="3" t="s">
        <v>39</v>
      </c>
      <c r="W3169" s="3" t="s">
        <v>16651</v>
      </c>
      <c r="X3169" s="10" t="s">
        <v>16652</v>
      </c>
      <c r="Y3169" s="6" t="s">
        <v>108</v>
      </c>
      <c r="Z3169" s="4">
        <v>5.22</v>
      </c>
      <c r="AA3169" s="4">
        <v>18.18</v>
      </c>
      <c r="AB3169" s="3" t="s">
        <v>43</v>
      </c>
      <c r="AC3169" s="3" t="s">
        <v>16653</v>
      </c>
      <c r="AD3169" s="9">
        <v>44316</v>
      </c>
      <c r="AE3169" s="3" t="s">
        <v>110</v>
      </c>
      <c r="AF3169" s="3" t="s">
        <v>905</v>
      </c>
      <c r="AG3169" s="3" t="s">
        <v>81</v>
      </c>
      <c r="AH3169" s="11">
        <f>HYPERLINK("https://my.pitchbook.com?c=157670-56T","View Company Online")</f>
      </c>
    </row>
    <row r="3170">
      <c r="A3170" s="12" t="s">
        <v>16654</v>
      </c>
      <c r="B3170" s="12" t="s">
        <v>334</v>
      </c>
      <c r="C3170" s="19" t="s">
        <v>36</v>
      </c>
      <c r="D3170" s="19" t="s">
        <v>36</v>
      </c>
      <c r="E3170" s="19" t="s">
        <v>36</v>
      </c>
      <c r="F3170" s="19" t="s">
        <v>36</v>
      </c>
      <c r="G3170" s="15" t="s">
        <v>326</v>
      </c>
      <c r="H3170" s="14">
        <v>1244.78</v>
      </c>
      <c r="I3170" s="18">
        <v>24.41</v>
      </c>
      <c r="J3170" s="12" t="s">
        <v>521</v>
      </c>
      <c r="K3170" s="13" t="s">
        <v>36</v>
      </c>
      <c r="L3170" s="15" t="s">
        <v>122</v>
      </c>
      <c r="M3170" s="12" t="s">
        <v>36</v>
      </c>
      <c r="N3170" s="12" t="s">
        <v>122</v>
      </c>
      <c r="O3170" s="17" t="s">
        <v>36</v>
      </c>
      <c r="P3170" s="12" t="s">
        <v>36</v>
      </c>
      <c r="Q3170" s="12" t="s">
        <v>36</v>
      </c>
      <c r="R3170" s="12" t="s">
        <v>36</v>
      </c>
      <c r="S3170" s="12" t="s">
        <v>36</v>
      </c>
      <c r="T3170" s="12" t="s">
        <v>335</v>
      </c>
      <c r="U3170" s="12" t="s">
        <v>38</v>
      </c>
      <c r="V3170" s="12" t="s">
        <v>39</v>
      </c>
      <c r="W3170" s="12" t="s">
        <v>336</v>
      </c>
      <c r="X3170" s="16" t="s">
        <v>16655</v>
      </c>
      <c r="Y3170" s="15" t="s">
        <v>42</v>
      </c>
      <c r="Z3170" s="14">
        <v>10.76</v>
      </c>
      <c r="AA3170" s="14">
        <v>32.2</v>
      </c>
      <c r="AB3170" s="12" t="s">
        <v>43</v>
      </c>
      <c r="AC3170" s="12" t="s">
        <v>338</v>
      </c>
      <c r="AD3170" s="13">
        <v>44316</v>
      </c>
      <c r="AE3170" s="12" t="s">
        <v>339</v>
      </c>
      <c r="AF3170" s="12" t="s">
        <v>256</v>
      </c>
      <c r="AG3170" s="12" t="s">
        <v>81</v>
      </c>
      <c r="AH3170" s="1">
        <f>HYPERLINK("https://my.pitchbook.com?c=172826-29T","View Company Online")</f>
      </c>
    </row>
    <row r="3171">
      <c r="A3171" s="3" t="s">
        <v>16656</v>
      </c>
      <c r="B3171" s="3" t="s">
        <v>16657</v>
      </c>
      <c r="C3171" s="5" t="s">
        <v>36</v>
      </c>
      <c r="D3171" s="5" t="s">
        <v>36</v>
      </c>
      <c r="E3171" s="5" t="s">
        <v>36</v>
      </c>
      <c r="F3171" s="5" t="s">
        <v>36</v>
      </c>
      <c r="G3171" s="6" t="s">
        <v>326</v>
      </c>
      <c r="H3171" s="4" t="s">
        <v>36</v>
      </c>
      <c r="I3171" s="7">
        <v>23.68</v>
      </c>
      <c r="J3171" s="3" t="s">
        <v>521</v>
      </c>
      <c r="K3171" s="9" t="s">
        <v>36</v>
      </c>
      <c r="L3171" s="6" t="s">
        <v>94</v>
      </c>
      <c r="M3171" s="3" t="s">
        <v>36</v>
      </c>
      <c r="N3171" s="3" t="s">
        <v>94</v>
      </c>
      <c r="O3171" s="8" t="s">
        <v>36</v>
      </c>
      <c r="P3171" s="3" t="s">
        <v>36</v>
      </c>
      <c r="Q3171" s="3" t="s">
        <v>36</v>
      </c>
      <c r="R3171" s="3" t="s">
        <v>36</v>
      </c>
      <c r="S3171" s="3" t="s">
        <v>36</v>
      </c>
      <c r="T3171" s="3" t="s">
        <v>1935</v>
      </c>
      <c r="U3171" s="3" t="s">
        <v>38</v>
      </c>
      <c r="V3171" s="3" t="s">
        <v>39</v>
      </c>
      <c r="W3171" s="3" t="s">
        <v>16658</v>
      </c>
      <c r="X3171" s="10" t="s">
        <v>16659</v>
      </c>
      <c r="Y3171" s="6" t="s">
        <v>192</v>
      </c>
      <c r="Z3171" s="4">
        <v>19.72</v>
      </c>
      <c r="AA3171" s="4">
        <v>83.25</v>
      </c>
      <c r="AB3171" s="3" t="s">
        <v>56</v>
      </c>
      <c r="AC3171" s="3" t="s">
        <v>16660</v>
      </c>
      <c r="AD3171" s="9">
        <v>44315</v>
      </c>
      <c r="AE3171" s="3" t="s">
        <v>45</v>
      </c>
      <c r="AF3171" s="3" t="s">
        <v>331</v>
      </c>
      <c r="AG3171" s="3" t="s">
        <v>81</v>
      </c>
      <c r="AH3171" s="11">
        <f>HYPERLINK("https://my.pitchbook.com?c=171302-59T","View Company Online")</f>
      </c>
    </row>
    <row r="3172">
      <c r="A3172" s="12" t="s">
        <v>16661</v>
      </c>
      <c r="B3172" s="12" t="s">
        <v>7821</v>
      </c>
      <c r="C3172" s="19" t="s">
        <v>36</v>
      </c>
      <c r="D3172" s="19" t="s">
        <v>36</v>
      </c>
      <c r="E3172" s="19" t="s">
        <v>36</v>
      </c>
      <c r="F3172" s="19" t="s">
        <v>36</v>
      </c>
      <c r="G3172" s="15" t="s">
        <v>36</v>
      </c>
      <c r="H3172" s="14">
        <v>28.56</v>
      </c>
      <c r="I3172" s="18">
        <v>23.62</v>
      </c>
      <c r="J3172" s="12" t="s">
        <v>521</v>
      </c>
      <c r="K3172" s="13" t="s">
        <v>36</v>
      </c>
      <c r="L3172" s="15" t="s">
        <v>36</v>
      </c>
      <c r="M3172" s="12" t="s">
        <v>36</v>
      </c>
      <c r="N3172" s="12" t="s">
        <v>36</v>
      </c>
      <c r="O3172" s="17" t="s">
        <v>36</v>
      </c>
      <c r="P3172" s="12" t="s">
        <v>36</v>
      </c>
      <c r="Q3172" s="12" t="s">
        <v>36</v>
      </c>
      <c r="R3172" s="12" t="s">
        <v>36</v>
      </c>
      <c r="S3172" s="12" t="s">
        <v>36</v>
      </c>
      <c r="T3172" s="12" t="s">
        <v>1299</v>
      </c>
      <c r="U3172" s="12" t="s">
        <v>38</v>
      </c>
      <c r="V3172" s="12" t="s">
        <v>39</v>
      </c>
      <c r="W3172" s="12" t="s">
        <v>7822</v>
      </c>
      <c r="X3172" s="16" t="s">
        <v>16662</v>
      </c>
      <c r="Y3172" s="15" t="s">
        <v>42</v>
      </c>
      <c r="Z3172" s="14">
        <v>1.22</v>
      </c>
      <c r="AA3172" s="14">
        <v>4.3</v>
      </c>
      <c r="AB3172" s="12" t="s">
        <v>43</v>
      </c>
      <c r="AC3172" s="12" t="s">
        <v>7824</v>
      </c>
      <c r="AD3172" s="13">
        <v>44315</v>
      </c>
      <c r="AE3172" s="12" t="s">
        <v>110</v>
      </c>
      <c r="AF3172" s="12" t="s">
        <v>1842</v>
      </c>
      <c r="AG3172" s="12" t="s">
        <v>400</v>
      </c>
      <c r="AH3172" s="1">
        <f>HYPERLINK("https://my.pitchbook.com?c=170520-04T","View Company Online")</f>
      </c>
    </row>
    <row r="3173">
      <c r="A3173" s="3" t="s">
        <v>16663</v>
      </c>
      <c r="B3173" s="3" t="s">
        <v>16664</v>
      </c>
      <c r="C3173" s="5" t="s">
        <v>36</v>
      </c>
      <c r="D3173" s="5" t="s">
        <v>36</v>
      </c>
      <c r="E3173" s="5" t="s">
        <v>36</v>
      </c>
      <c r="F3173" s="5" t="s">
        <v>36</v>
      </c>
      <c r="G3173" s="6" t="s">
        <v>36</v>
      </c>
      <c r="H3173" s="4">
        <v>1471.31</v>
      </c>
      <c r="I3173" s="7">
        <v>28.4</v>
      </c>
      <c r="J3173" s="3" t="s">
        <v>521</v>
      </c>
      <c r="K3173" s="9" t="s">
        <v>36</v>
      </c>
      <c r="L3173" s="6" t="s">
        <v>36</v>
      </c>
      <c r="M3173" s="3" t="s">
        <v>36</v>
      </c>
      <c r="N3173" s="3" t="s">
        <v>36</v>
      </c>
      <c r="O3173" s="8" t="s">
        <v>36</v>
      </c>
      <c r="P3173" s="3" t="s">
        <v>36</v>
      </c>
      <c r="Q3173" s="3" t="s">
        <v>36</v>
      </c>
      <c r="R3173" s="3" t="s">
        <v>36</v>
      </c>
      <c r="S3173" s="3" t="s">
        <v>36</v>
      </c>
      <c r="T3173" s="3" t="s">
        <v>16665</v>
      </c>
      <c r="U3173" s="3" t="s">
        <v>648</v>
      </c>
      <c r="V3173" s="3" t="s">
        <v>64</v>
      </c>
      <c r="W3173" s="3" t="s">
        <v>16666</v>
      </c>
      <c r="X3173" s="10" t="s">
        <v>16667</v>
      </c>
      <c r="Y3173" s="6" t="s">
        <v>42</v>
      </c>
      <c r="Z3173" s="4">
        <v>0.8</v>
      </c>
      <c r="AA3173" s="4">
        <v>2.83</v>
      </c>
      <c r="AB3173" s="3" t="s">
        <v>56</v>
      </c>
      <c r="AC3173" s="3" t="s">
        <v>16668</v>
      </c>
      <c r="AD3173" s="9">
        <v>44315</v>
      </c>
      <c r="AE3173" s="3" t="s">
        <v>3988</v>
      </c>
      <c r="AF3173" s="3" t="s">
        <v>16669</v>
      </c>
      <c r="AG3173" s="3" t="s">
        <v>81</v>
      </c>
      <c r="AH3173" s="11">
        <f>HYPERLINK("https://my.pitchbook.com?c=192242-35T","View Company Online")</f>
      </c>
    </row>
    <row r="3174">
      <c r="A3174" s="12" t="s">
        <v>16670</v>
      </c>
      <c r="B3174" s="12" t="s">
        <v>11612</v>
      </c>
      <c r="C3174" s="19">
        <v>1</v>
      </c>
      <c r="D3174" s="19">
        <v>7</v>
      </c>
      <c r="E3174" s="19">
        <v>7</v>
      </c>
      <c r="F3174" s="19">
        <v>15</v>
      </c>
      <c r="G3174" s="15" t="s">
        <v>326</v>
      </c>
      <c r="H3174" s="14">
        <v>1.09</v>
      </c>
      <c r="I3174" s="18">
        <v>15.52</v>
      </c>
      <c r="J3174" s="12" t="s">
        <v>521</v>
      </c>
      <c r="K3174" s="13" t="s">
        <v>36</v>
      </c>
      <c r="L3174" s="15" t="s">
        <v>36</v>
      </c>
      <c r="M3174" s="12" t="s">
        <v>36</v>
      </c>
      <c r="N3174" s="12" t="s">
        <v>36</v>
      </c>
      <c r="O3174" s="17" t="s">
        <v>36</v>
      </c>
      <c r="P3174" s="12" t="s">
        <v>36</v>
      </c>
      <c r="Q3174" s="12" t="s">
        <v>36</v>
      </c>
      <c r="R3174" s="12" t="s">
        <v>36</v>
      </c>
      <c r="S3174" s="12" t="s">
        <v>36</v>
      </c>
      <c r="T3174" s="12" t="s">
        <v>11613</v>
      </c>
      <c r="U3174" s="12" t="s">
        <v>423</v>
      </c>
      <c r="V3174" s="12" t="s">
        <v>64</v>
      </c>
      <c r="W3174" s="12" t="s">
        <v>11614</v>
      </c>
      <c r="X3174" s="16" t="s">
        <v>11615</v>
      </c>
      <c r="Y3174" s="15" t="s">
        <v>108</v>
      </c>
      <c r="Z3174" s="14">
        <v>1.23</v>
      </c>
      <c r="AA3174" s="14">
        <v>7.92</v>
      </c>
      <c r="AB3174" s="12" t="s">
        <v>56</v>
      </c>
      <c r="AC3174" s="12" t="s">
        <v>11616</v>
      </c>
      <c r="AD3174" s="13">
        <v>44315</v>
      </c>
      <c r="AE3174" s="12" t="s">
        <v>562</v>
      </c>
      <c r="AF3174" s="12" t="s">
        <v>11617</v>
      </c>
      <c r="AG3174" s="12" t="s">
        <v>102</v>
      </c>
      <c r="AH3174" s="1">
        <f>HYPERLINK("https://my.pitchbook.com?c=195648-22T","View Company Online")</f>
      </c>
    </row>
    <row r="3175">
      <c r="A3175" s="3" t="s">
        <v>16671</v>
      </c>
      <c r="B3175" s="3" t="s">
        <v>7420</v>
      </c>
      <c r="C3175" s="5" t="s">
        <v>36</v>
      </c>
      <c r="D3175" s="5" t="s">
        <v>36</v>
      </c>
      <c r="E3175" s="5" t="s">
        <v>36</v>
      </c>
      <c r="F3175" s="5" t="s">
        <v>36</v>
      </c>
      <c r="G3175" s="6" t="s">
        <v>326</v>
      </c>
      <c r="H3175" s="4">
        <v>8.13</v>
      </c>
      <c r="I3175" s="7">
        <v>24.53</v>
      </c>
      <c r="J3175" s="3" t="s">
        <v>521</v>
      </c>
      <c r="K3175" s="9" t="s">
        <v>36</v>
      </c>
      <c r="L3175" s="6" t="s">
        <v>36</v>
      </c>
      <c r="M3175" s="3" t="s">
        <v>36</v>
      </c>
      <c r="N3175" s="3" t="s">
        <v>36</v>
      </c>
      <c r="O3175" s="8" t="s">
        <v>36</v>
      </c>
      <c r="P3175" s="3" t="s">
        <v>36</v>
      </c>
      <c r="Q3175" s="3" t="s">
        <v>36</v>
      </c>
      <c r="R3175" s="3" t="s">
        <v>36</v>
      </c>
      <c r="S3175" s="3" t="s">
        <v>36</v>
      </c>
      <c r="T3175" s="3" t="s">
        <v>1188</v>
      </c>
      <c r="U3175" s="3" t="s">
        <v>180</v>
      </c>
      <c r="V3175" s="3" t="s">
        <v>52</v>
      </c>
      <c r="W3175" s="3" t="s">
        <v>7421</v>
      </c>
      <c r="X3175" s="10" t="s">
        <v>16672</v>
      </c>
      <c r="Y3175" s="6" t="s">
        <v>55</v>
      </c>
      <c r="Z3175" s="4">
        <v>1.46</v>
      </c>
      <c r="AA3175" s="4">
        <v>5.96</v>
      </c>
      <c r="AB3175" s="3" t="s">
        <v>56</v>
      </c>
      <c r="AC3175" s="3" t="s">
        <v>7423</v>
      </c>
      <c r="AD3175" s="9">
        <v>44315</v>
      </c>
      <c r="AE3175" s="3" t="s">
        <v>1192</v>
      </c>
      <c r="AF3175" s="3" t="s">
        <v>7424</v>
      </c>
      <c r="AG3175" s="3" t="s">
        <v>7425</v>
      </c>
      <c r="AH3175" s="11">
        <f>HYPERLINK("https://my.pitchbook.com?c=171302-86T","View Company Online")</f>
      </c>
    </row>
    <row r="3176">
      <c r="A3176" s="12" t="s">
        <v>16673</v>
      </c>
      <c r="B3176" s="12" t="s">
        <v>16674</v>
      </c>
      <c r="C3176" s="19" t="s">
        <v>36</v>
      </c>
      <c r="D3176" s="19" t="s">
        <v>36</v>
      </c>
      <c r="E3176" s="19" t="s">
        <v>36</v>
      </c>
      <c r="F3176" s="19" t="s">
        <v>36</v>
      </c>
      <c r="G3176" s="15" t="s">
        <v>36</v>
      </c>
      <c r="H3176" s="14">
        <v>16.62</v>
      </c>
      <c r="I3176" s="18">
        <v>27.27</v>
      </c>
      <c r="J3176" s="12" t="s">
        <v>521</v>
      </c>
      <c r="K3176" s="13" t="s">
        <v>36</v>
      </c>
      <c r="L3176" s="15" t="s">
        <v>36</v>
      </c>
      <c r="M3176" s="12" t="s">
        <v>36</v>
      </c>
      <c r="N3176" s="12" t="s">
        <v>36</v>
      </c>
      <c r="O3176" s="17" t="s">
        <v>36</v>
      </c>
      <c r="P3176" s="12" t="s">
        <v>36</v>
      </c>
      <c r="Q3176" s="12" t="s">
        <v>36</v>
      </c>
      <c r="R3176" s="12" t="s">
        <v>36</v>
      </c>
      <c r="S3176" s="12" t="s">
        <v>2699</v>
      </c>
      <c r="T3176" s="12" t="s">
        <v>16675</v>
      </c>
      <c r="U3176" s="12" t="s">
        <v>619</v>
      </c>
      <c r="V3176" s="12" t="s">
        <v>378</v>
      </c>
      <c r="W3176" s="12" t="s">
        <v>16676</v>
      </c>
      <c r="X3176" s="16" t="s">
        <v>16677</v>
      </c>
      <c r="Y3176" s="15" t="s">
        <v>42</v>
      </c>
      <c r="Z3176" s="14">
        <v>0.18</v>
      </c>
      <c r="AA3176" s="14">
        <v>0.66</v>
      </c>
      <c r="AB3176" s="12" t="s">
        <v>43</v>
      </c>
      <c r="AC3176" s="12" t="s">
        <v>16678</v>
      </c>
      <c r="AD3176" s="13">
        <v>44314</v>
      </c>
      <c r="AE3176" s="12" t="s">
        <v>3891</v>
      </c>
      <c r="AF3176" s="12" t="s">
        <v>8828</v>
      </c>
      <c r="AG3176" s="12" t="s">
        <v>47</v>
      </c>
      <c r="AH3176" s="1">
        <f>HYPERLINK("https://my.pitchbook.com?c=199987-03T","View Company Online")</f>
      </c>
    </row>
    <row r="3177">
      <c r="A3177" s="3" t="s">
        <v>16679</v>
      </c>
      <c r="B3177" s="3" t="s">
        <v>16680</v>
      </c>
      <c r="C3177" s="5" t="s">
        <v>36</v>
      </c>
      <c r="D3177" s="5" t="s">
        <v>36</v>
      </c>
      <c r="E3177" s="5" t="s">
        <v>36</v>
      </c>
      <c r="F3177" s="5" t="s">
        <v>36</v>
      </c>
      <c r="G3177" s="6" t="s">
        <v>36</v>
      </c>
      <c r="H3177" s="4">
        <v>377</v>
      </c>
      <c r="I3177" s="7">
        <v>8.01</v>
      </c>
      <c r="J3177" s="3" t="s">
        <v>521</v>
      </c>
      <c r="K3177" s="9" t="s">
        <v>36</v>
      </c>
      <c r="L3177" s="6" t="s">
        <v>36</v>
      </c>
      <c r="M3177" s="3" t="s">
        <v>36</v>
      </c>
      <c r="N3177" s="3" t="s">
        <v>36</v>
      </c>
      <c r="O3177" s="8" t="s">
        <v>36</v>
      </c>
      <c r="P3177" s="3" t="s">
        <v>36</v>
      </c>
      <c r="Q3177" s="3" t="s">
        <v>36</v>
      </c>
      <c r="R3177" s="3" t="s">
        <v>36</v>
      </c>
      <c r="S3177" s="3" t="s">
        <v>36</v>
      </c>
      <c r="T3177" s="3" t="s">
        <v>3958</v>
      </c>
      <c r="U3177" s="3" t="s">
        <v>38</v>
      </c>
      <c r="V3177" s="3" t="s">
        <v>39</v>
      </c>
      <c r="W3177" s="3" t="s">
        <v>16681</v>
      </c>
      <c r="X3177" s="10" t="s">
        <v>16682</v>
      </c>
      <c r="Y3177" s="6" t="s">
        <v>42</v>
      </c>
      <c r="Z3177" s="4">
        <v>1.04</v>
      </c>
      <c r="AA3177" s="4">
        <v>12.97</v>
      </c>
      <c r="AB3177" s="3" t="s">
        <v>56</v>
      </c>
      <c r="AC3177" s="3" t="s">
        <v>16683</v>
      </c>
      <c r="AD3177" s="9">
        <v>44314</v>
      </c>
      <c r="AE3177" s="3" t="s">
        <v>110</v>
      </c>
      <c r="AF3177" s="3" t="s">
        <v>4552</v>
      </c>
      <c r="AG3177" s="3" t="s">
        <v>983</v>
      </c>
      <c r="AH3177" s="11">
        <f>HYPERLINK("https://my.pitchbook.com?c=215447-59T","View Company Online")</f>
      </c>
    </row>
    <row r="3178">
      <c r="A3178" s="12" t="s">
        <v>16684</v>
      </c>
      <c r="B3178" s="12" t="s">
        <v>16685</v>
      </c>
      <c r="C3178" s="19" t="s">
        <v>36</v>
      </c>
      <c r="D3178" s="19" t="s">
        <v>36</v>
      </c>
      <c r="E3178" s="19" t="s">
        <v>36</v>
      </c>
      <c r="F3178" s="19" t="s">
        <v>36</v>
      </c>
      <c r="G3178" s="15" t="s">
        <v>326</v>
      </c>
      <c r="H3178" s="14">
        <v>84</v>
      </c>
      <c r="I3178" s="18">
        <v>26.05</v>
      </c>
      <c r="J3178" s="12" t="s">
        <v>521</v>
      </c>
      <c r="K3178" s="13" t="s">
        <v>36</v>
      </c>
      <c r="L3178" s="15" t="s">
        <v>122</v>
      </c>
      <c r="M3178" s="12" t="s">
        <v>36</v>
      </c>
      <c r="N3178" s="12" t="s">
        <v>122</v>
      </c>
      <c r="O3178" s="17" t="s">
        <v>36</v>
      </c>
      <c r="P3178" s="12" t="s">
        <v>36</v>
      </c>
      <c r="Q3178" s="12" t="s">
        <v>36</v>
      </c>
      <c r="R3178" s="12" t="s">
        <v>36</v>
      </c>
      <c r="S3178" s="12" t="s">
        <v>36</v>
      </c>
      <c r="T3178" s="12" t="s">
        <v>11657</v>
      </c>
      <c r="U3178" s="12" t="s">
        <v>289</v>
      </c>
      <c r="V3178" s="12" t="s">
        <v>64</v>
      </c>
      <c r="W3178" s="12" t="s">
        <v>16686</v>
      </c>
      <c r="X3178" s="16" t="s">
        <v>16687</v>
      </c>
      <c r="Y3178" s="15" t="s">
        <v>55</v>
      </c>
      <c r="Z3178" s="14">
        <v>11.92</v>
      </c>
      <c r="AA3178" s="14">
        <v>31.58</v>
      </c>
      <c r="AB3178" s="12" t="s">
        <v>56</v>
      </c>
      <c r="AC3178" s="12" t="s">
        <v>16688</v>
      </c>
      <c r="AD3178" s="13">
        <v>44314</v>
      </c>
      <c r="AE3178" s="12" t="s">
        <v>292</v>
      </c>
      <c r="AF3178" s="12" t="s">
        <v>90</v>
      </c>
      <c r="AG3178" s="12" t="s">
        <v>16689</v>
      </c>
      <c r="AH3178" s="1">
        <f>HYPERLINK("https://my.pitchbook.com?c=171230-68T","View Company Online")</f>
      </c>
    </row>
    <row r="3179">
      <c r="A3179" s="3" t="s">
        <v>16690</v>
      </c>
      <c r="B3179" s="3" t="s">
        <v>16691</v>
      </c>
      <c r="C3179" s="5">
        <v>3</v>
      </c>
      <c r="D3179" s="5">
        <v>13</v>
      </c>
      <c r="E3179" s="5">
        <v>6</v>
      </c>
      <c r="F3179" s="5">
        <v>17</v>
      </c>
      <c r="G3179" s="6" t="s">
        <v>683</v>
      </c>
      <c r="H3179" s="4">
        <v>34.34</v>
      </c>
      <c r="I3179" s="7">
        <v>23.68</v>
      </c>
      <c r="J3179" s="3" t="s">
        <v>521</v>
      </c>
      <c r="K3179" s="9">
        <v>44285</v>
      </c>
      <c r="L3179" s="6" t="s">
        <v>94</v>
      </c>
      <c r="M3179" s="3" t="s">
        <v>36</v>
      </c>
      <c r="N3179" s="3" t="s">
        <v>94</v>
      </c>
      <c r="O3179" s="8" t="s">
        <v>36</v>
      </c>
      <c r="P3179" s="3" t="s">
        <v>36</v>
      </c>
      <c r="Q3179" s="3" t="s">
        <v>36</v>
      </c>
      <c r="R3179" s="3" t="s">
        <v>36</v>
      </c>
      <c r="S3179" s="3" t="s">
        <v>36</v>
      </c>
      <c r="T3179" s="3" t="s">
        <v>11036</v>
      </c>
      <c r="U3179" s="3" t="s">
        <v>38</v>
      </c>
      <c r="V3179" s="3" t="s">
        <v>39</v>
      </c>
      <c r="W3179" s="3" t="s">
        <v>16692</v>
      </c>
      <c r="X3179" s="10" t="s">
        <v>16693</v>
      </c>
      <c r="Y3179" s="6" t="s">
        <v>108</v>
      </c>
      <c r="Z3179" s="4">
        <v>65.53</v>
      </c>
      <c r="AA3179" s="4">
        <v>171.96</v>
      </c>
      <c r="AB3179" s="3" t="s">
        <v>56</v>
      </c>
      <c r="AC3179" s="3" t="s">
        <v>16694</v>
      </c>
      <c r="AD3179" s="9">
        <v>44313</v>
      </c>
      <c r="AE3179" s="3" t="s">
        <v>110</v>
      </c>
      <c r="AF3179" s="3" t="s">
        <v>16695</v>
      </c>
      <c r="AG3179" s="3" t="s">
        <v>144</v>
      </c>
      <c r="AH3179" s="11">
        <f>HYPERLINK("https://my.pitchbook.com?c=171228-88T","View Company Online")</f>
      </c>
    </row>
    <row r="3180">
      <c r="A3180" s="12" t="s">
        <v>16696</v>
      </c>
      <c r="B3180" s="12" t="s">
        <v>16697</v>
      </c>
      <c r="C3180" s="19" t="s">
        <v>36</v>
      </c>
      <c r="D3180" s="19" t="s">
        <v>36</v>
      </c>
      <c r="E3180" s="19" t="s">
        <v>36</v>
      </c>
      <c r="F3180" s="19" t="s">
        <v>36</v>
      </c>
      <c r="G3180" s="15" t="s">
        <v>326</v>
      </c>
      <c r="H3180" s="14">
        <v>199.11</v>
      </c>
      <c r="I3180" s="18">
        <v>10</v>
      </c>
      <c r="J3180" s="12" t="s">
        <v>521</v>
      </c>
      <c r="K3180" s="13" t="s">
        <v>36</v>
      </c>
      <c r="L3180" s="15" t="s">
        <v>1279</v>
      </c>
      <c r="M3180" s="12" t="s">
        <v>36</v>
      </c>
      <c r="N3180" s="12" t="s">
        <v>1279</v>
      </c>
      <c r="O3180" s="17" t="s">
        <v>36</v>
      </c>
      <c r="P3180" s="12" t="s">
        <v>36</v>
      </c>
      <c r="Q3180" s="12" t="s">
        <v>36</v>
      </c>
      <c r="R3180" s="12" t="s">
        <v>36</v>
      </c>
      <c r="S3180" s="12" t="s">
        <v>36</v>
      </c>
      <c r="T3180" s="12" t="s">
        <v>7415</v>
      </c>
      <c r="U3180" s="12" t="s">
        <v>38</v>
      </c>
      <c r="V3180" s="12" t="s">
        <v>39</v>
      </c>
      <c r="W3180" s="12" t="s">
        <v>16698</v>
      </c>
      <c r="X3180" s="16" t="s">
        <v>16699</v>
      </c>
      <c r="Y3180" s="15" t="s">
        <v>166</v>
      </c>
      <c r="Z3180" s="14">
        <v>95.32</v>
      </c>
      <c r="AA3180" s="14">
        <v>476.59</v>
      </c>
      <c r="AB3180" s="12" t="s">
        <v>56</v>
      </c>
      <c r="AC3180" s="12" t="s">
        <v>16700</v>
      </c>
      <c r="AD3180" s="13">
        <v>44313</v>
      </c>
      <c r="AE3180" s="12" t="s">
        <v>1422</v>
      </c>
      <c r="AF3180" s="12" t="s">
        <v>4842</v>
      </c>
      <c r="AG3180" s="12" t="s">
        <v>81</v>
      </c>
      <c r="AH3180" s="1">
        <f>HYPERLINK("https://my.pitchbook.com?c=171190-27T","View Company Online")</f>
      </c>
    </row>
    <row r="3181">
      <c r="A3181" s="3" t="s">
        <v>16701</v>
      </c>
      <c r="B3181" s="3" t="s">
        <v>16702</v>
      </c>
      <c r="C3181" s="5" t="s">
        <v>36</v>
      </c>
      <c r="D3181" s="5" t="s">
        <v>36</v>
      </c>
      <c r="E3181" s="5" t="s">
        <v>36</v>
      </c>
      <c r="F3181" s="5" t="s">
        <v>36</v>
      </c>
      <c r="G3181" s="6" t="s">
        <v>36</v>
      </c>
      <c r="H3181" s="4" t="s">
        <v>36</v>
      </c>
      <c r="I3181" s="7" t="s">
        <v>36</v>
      </c>
      <c r="J3181" s="3" t="s">
        <v>36</v>
      </c>
      <c r="K3181" s="9" t="s">
        <v>36</v>
      </c>
      <c r="L3181" s="6" t="s">
        <v>36</v>
      </c>
      <c r="M3181" s="3" t="s">
        <v>36</v>
      </c>
      <c r="N3181" s="3" t="s">
        <v>36</v>
      </c>
      <c r="O3181" s="8" t="s">
        <v>36</v>
      </c>
      <c r="P3181" s="3" t="s">
        <v>36</v>
      </c>
      <c r="Q3181" s="3" t="s">
        <v>36</v>
      </c>
      <c r="R3181" s="3" t="s">
        <v>36</v>
      </c>
      <c r="S3181" s="3" t="s">
        <v>36</v>
      </c>
      <c r="T3181" s="3" t="s">
        <v>630</v>
      </c>
      <c r="U3181" s="3" t="s">
        <v>38</v>
      </c>
      <c r="V3181" s="3" t="s">
        <v>39</v>
      </c>
      <c r="W3181" s="3" t="s">
        <v>16703</v>
      </c>
      <c r="X3181" s="10" t="s">
        <v>1840</v>
      </c>
      <c r="Y3181" s="6" t="s">
        <v>42</v>
      </c>
      <c r="Z3181" s="4" t="s">
        <v>36</v>
      </c>
      <c r="AA3181" s="4" t="s">
        <v>36</v>
      </c>
      <c r="AB3181" s="3" t="s">
        <v>56</v>
      </c>
      <c r="AC3181" s="3" t="s">
        <v>16704</v>
      </c>
      <c r="AD3181" s="9">
        <v>44313</v>
      </c>
      <c r="AE3181" s="3" t="s">
        <v>110</v>
      </c>
      <c r="AF3181" s="3" t="s">
        <v>2830</v>
      </c>
      <c r="AG3181" s="3" t="s">
        <v>81</v>
      </c>
      <c r="AH3181" s="11">
        <f>HYPERLINK("https://my.pitchbook.com?c=279136-54T","View Company Online")</f>
      </c>
    </row>
    <row r="3182">
      <c r="A3182" s="12" t="s">
        <v>16705</v>
      </c>
      <c r="B3182" s="12" t="s">
        <v>4235</v>
      </c>
      <c r="C3182" s="19">
        <v>4</v>
      </c>
      <c r="D3182" s="19" t="s">
        <v>36</v>
      </c>
      <c r="E3182" s="19">
        <v>3</v>
      </c>
      <c r="F3182" s="19">
        <v>4</v>
      </c>
      <c r="G3182" s="15" t="s">
        <v>36</v>
      </c>
      <c r="H3182" s="14">
        <v>126.34</v>
      </c>
      <c r="I3182" s="18">
        <v>45.77</v>
      </c>
      <c r="J3182" s="12" t="s">
        <v>521</v>
      </c>
      <c r="K3182" s="13" t="s">
        <v>36</v>
      </c>
      <c r="L3182" s="15" t="s">
        <v>94</v>
      </c>
      <c r="M3182" s="12" t="s">
        <v>36</v>
      </c>
      <c r="N3182" s="12" t="s">
        <v>94</v>
      </c>
      <c r="O3182" s="17" t="s">
        <v>36</v>
      </c>
      <c r="P3182" s="12" t="s">
        <v>36</v>
      </c>
      <c r="Q3182" s="12" t="s">
        <v>36</v>
      </c>
      <c r="R3182" s="12" t="s">
        <v>36</v>
      </c>
      <c r="S3182" s="12" t="s">
        <v>4236</v>
      </c>
      <c r="T3182" s="12" t="s">
        <v>4237</v>
      </c>
      <c r="U3182" s="12" t="s">
        <v>219</v>
      </c>
      <c r="V3182" s="12" t="s">
        <v>75</v>
      </c>
      <c r="W3182" s="12" t="s">
        <v>4238</v>
      </c>
      <c r="X3182" s="16" t="s">
        <v>16706</v>
      </c>
      <c r="Y3182" s="15" t="s">
        <v>108</v>
      </c>
      <c r="Z3182" s="14">
        <v>23.83</v>
      </c>
      <c r="AA3182" s="14">
        <v>26.5</v>
      </c>
      <c r="AB3182" s="12" t="s">
        <v>56</v>
      </c>
      <c r="AC3182" s="12" t="s">
        <v>4240</v>
      </c>
      <c r="AD3182" s="13">
        <v>44313</v>
      </c>
      <c r="AE3182" s="12" t="s">
        <v>243</v>
      </c>
      <c r="AF3182" s="12" t="s">
        <v>4241</v>
      </c>
      <c r="AG3182" s="12" t="s">
        <v>1078</v>
      </c>
      <c r="AH3182" s="1">
        <f>HYPERLINK("https://my.pitchbook.com?c=171127-00T","View Company Online")</f>
      </c>
    </row>
    <row r="3183">
      <c r="A3183" s="3" t="s">
        <v>16707</v>
      </c>
      <c r="B3183" s="3" t="s">
        <v>6268</v>
      </c>
      <c r="C3183" s="5" t="s">
        <v>36</v>
      </c>
      <c r="D3183" s="5" t="s">
        <v>36</v>
      </c>
      <c r="E3183" s="5" t="s">
        <v>36</v>
      </c>
      <c r="F3183" s="5" t="s">
        <v>36</v>
      </c>
      <c r="G3183" s="6" t="s">
        <v>36</v>
      </c>
      <c r="H3183" s="4">
        <v>294.26</v>
      </c>
      <c r="I3183" s="7">
        <v>15</v>
      </c>
      <c r="J3183" s="3" t="s">
        <v>521</v>
      </c>
      <c r="K3183" s="9" t="s">
        <v>36</v>
      </c>
      <c r="L3183" s="6" t="s">
        <v>36</v>
      </c>
      <c r="M3183" s="3" t="s">
        <v>36</v>
      </c>
      <c r="N3183" s="3" t="s">
        <v>36</v>
      </c>
      <c r="O3183" s="8" t="s">
        <v>36</v>
      </c>
      <c r="P3183" s="3" t="s">
        <v>36</v>
      </c>
      <c r="Q3183" s="3" t="s">
        <v>36</v>
      </c>
      <c r="R3183" s="3" t="s">
        <v>36</v>
      </c>
      <c r="S3183" s="3" t="s">
        <v>36</v>
      </c>
      <c r="T3183" s="3" t="s">
        <v>6269</v>
      </c>
      <c r="U3183" s="3" t="s">
        <v>1357</v>
      </c>
      <c r="V3183" s="3" t="s">
        <v>52</v>
      </c>
      <c r="W3183" s="3" t="s">
        <v>6270</v>
      </c>
      <c r="X3183" s="10" t="s">
        <v>2433</v>
      </c>
      <c r="Y3183" s="6" t="s">
        <v>42</v>
      </c>
      <c r="Z3183" s="4">
        <v>0.71</v>
      </c>
      <c r="AA3183" s="4">
        <v>4.77</v>
      </c>
      <c r="AB3183" s="3" t="s">
        <v>43</v>
      </c>
      <c r="AC3183" s="3" t="s">
        <v>6272</v>
      </c>
      <c r="AD3183" s="9">
        <v>44313</v>
      </c>
      <c r="AE3183" s="3" t="s">
        <v>2808</v>
      </c>
      <c r="AF3183" s="3" t="s">
        <v>36</v>
      </c>
      <c r="AG3183" s="3" t="s">
        <v>1479</v>
      </c>
      <c r="AH3183" s="11">
        <f>HYPERLINK("https://my.pitchbook.com?c=190442-71T","View Company Online")</f>
      </c>
    </row>
    <row r="3184">
      <c r="A3184" s="12" t="s">
        <v>16708</v>
      </c>
      <c r="B3184" s="12" t="s">
        <v>10600</v>
      </c>
      <c r="C3184" s="19">
        <v>3</v>
      </c>
      <c r="D3184" s="19" t="s">
        <v>36</v>
      </c>
      <c r="E3184" s="19">
        <v>1</v>
      </c>
      <c r="F3184" s="19">
        <v>3</v>
      </c>
      <c r="G3184" s="15" t="s">
        <v>326</v>
      </c>
      <c r="H3184" s="14">
        <v>851.62</v>
      </c>
      <c r="I3184" s="18">
        <v>10.72</v>
      </c>
      <c r="J3184" s="12" t="s">
        <v>521</v>
      </c>
      <c r="K3184" s="13" t="s">
        <v>36</v>
      </c>
      <c r="L3184" s="15" t="s">
        <v>36</v>
      </c>
      <c r="M3184" s="12" t="s">
        <v>36</v>
      </c>
      <c r="N3184" s="12" t="s">
        <v>36</v>
      </c>
      <c r="O3184" s="17" t="s">
        <v>36</v>
      </c>
      <c r="P3184" s="12" t="s">
        <v>36</v>
      </c>
      <c r="Q3184" s="12" t="s">
        <v>36</v>
      </c>
      <c r="R3184" s="12" t="s">
        <v>36</v>
      </c>
      <c r="S3184" s="12" t="s">
        <v>36</v>
      </c>
      <c r="T3184" s="12" t="s">
        <v>1260</v>
      </c>
      <c r="U3184" s="12" t="s">
        <v>38</v>
      </c>
      <c r="V3184" s="12" t="s">
        <v>39</v>
      </c>
      <c r="W3184" s="12" t="s">
        <v>10601</v>
      </c>
      <c r="X3184" s="16" t="s">
        <v>16709</v>
      </c>
      <c r="Y3184" s="15" t="s">
        <v>192</v>
      </c>
      <c r="Z3184" s="14">
        <v>2.74</v>
      </c>
      <c r="AA3184" s="14">
        <v>22.21</v>
      </c>
      <c r="AB3184" s="12" t="s">
        <v>56</v>
      </c>
      <c r="AC3184" s="12" t="s">
        <v>10603</v>
      </c>
      <c r="AD3184" s="13">
        <v>44312</v>
      </c>
      <c r="AE3184" s="12" t="s">
        <v>110</v>
      </c>
      <c r="AF3184" s="12" t="s">
        <v>526</v>
      </c>
      <c r="AG3184" s="12" t="s">
        <v>81</v>
      </c>
      <c r="AH3184" s="1">
        <f>HYPERLINK("https://my.pitchbook.com?c=171037-27T","View Company Online")</f>
      </c>
    </row>
    <row r="3185">
      <c r="A3185" s="3" t="s">
        <v>16710</v>
      </c>
      <c r="B3185" s="3" t="s">
        <v>5476</v>
      </c>
      <c r="C3185" s="5" t="s">
        <v>36</v>
      </c>
      <c r="D3185" s="5" t="s">
        <v>36</v>
      </c>
      <c r="E3185" s="5">
        <v>2</v>
      </c>
      <c r="F3185" s="5">
        <v>3</v>
      </c>
      <c r="G3185" s="6" t="s">
        <v>36</v>
      </c>
      <c r="H3185" s="4">
        <v>10385.66</v>
      </c>
      <c r="I3185" s="7">
        <v>41.18</v>
      </c>
      <c r="J3185" s="3" t="s">
        <v>521</v>
      </c>
      <c r="K3185" s="9">
        <v>44082</v>
      </c>
      <c r="L3185" s="6" t="s">
        <v>94</v>
      </c>
      <c r="M3185" s="3" t="s">
        <v>36</v>
      </c>
      <c r="N3185" s="3" t="s">
        <v>94</v>
      </c>
      <c r="O3185" s="8" t="s">
        <v>36</v>
      </c>
      <c r="P3185" s="3" t="s">
        <v>36</v>
      </c>
      <c r="Q3185" s="3" t="s">
        <v>36</v>
      </c>
      <c r="R3185" s="3" t="s">
        <v>36</v>
      </c>
      <c r="S3185" s="3" t="s">
        <v>595</v>
      </c>
      <c r="T3185" s="3" t="s">
        <v>596</v>
      </c>
      <c r="U3185" s="3" t="s">
        <v>366</v>
      </c>
      <c r="V3185" s="3" t="s">
        <v>367</v>
      </c>
      <c r="W3185" s="3" t="s">
        <v>5477</v>
      </c>
      <c r="X3185" s="10" t="s">
        <v>16711</v>
      </c>
      <c r="Y3185" s="6" t="s">
        <v>108</v>
      </c>
      <c r="Z3185" s="4">
        <v>25</v>
      </c>
      <c r="AA3185" s="4">
        <v>60.72</v>
      </c>
      <c r="AB3185" s="3" t="s">
        <v>43</v>
      </c>
      <c r="AC3185" s="3" t="s">
        <v>5479</v>
      </c>
      <c r="AD3185" s="9">
        <v>44312</v>
      </c>
      <c r="AE3185" s="3" t="s">
        <v>600</v>
      </c>
      <c r="AF3185" s="3" t="s">
        <v>982</v>
      </c>
      <c r="AG3185" s="3" t="s">
        <v>419</v>
      </c>
      <c r="AH3185" s="11">
        <f>HYPERLINK("https://my.pitchbook.com?c=155799-28T","View Company Online")</f>
      </c>
    </row>
    <row r="3186">
      <c r="A3186" s="12" t="s">
        <v>16712</v>
      </c>
      <c r="B3186" s="12" t="s">
        <v>16713</v>
      </c>
      <c r="C3186" s="19" t="s">
        <v>36</v>
      </c>
      <c r="D3186" s="19" t="s">
        <v>36</v>
      </c>
      <c r="E3186" s="19" t="s">
        <v>36</v>
      </c>
      <c r="F3186" s="19" t="s">
        <v>36</v>
      </c>
      <c r="G3186" s="15" t="s">
        <v>36</v>
      </c>
      <c r="H3186" s="14" t="s">
        <v>36</v>
      </c>
      <c r="I3186" s="18" t="s">
        <v>36</v>
      </c>
      <c r="J3186" s="12" t="s">
        <v>36</v>
      </c>
      <c r="K3186" s="13" t="s">
        <v>36</v>
      </c>
      <c r="L3186" s="15" t="s">
        <v>36</v>
      </c>
      <c r="M3186" s="12" t="s">
        <v>36</v>
      </c>
      <c r="N3186" s="12" t="s">
        <v>36</v>
      </c>
      <c r="O3186" s="17" t="s">
        <v>36</v>
      </c>
      <c r="P3186" s="12" t="s">
        <v>36</v>
      </c>
      <c r="Q3186" s="12" t="s">
        <v>36</v>
      </c>
      <c r="R3186" s="12" t="s">
        <v>36</v>
      </c>
      <c r="S3186" s="12" t="s">
        <v>36</v>
      </c>
      <c r="T3186" s="12" t="s">
        <v>16714</v>
      </c>
      <c r="U3186" s="12" t="s">
        <v>387</v>
      </c>
      <c r="V3186" s="12" t="s">
        <v>367</v>
      </c>
      <c r="W3186" s="12" t="s">
        <v>16715</v>
      </c>
      <c r="X3186" s="16" t="s">
        <v>16716</v>
      </c>
      <c r="Y3186" s="15" t="s">
        <v>42</v>
      </c>
      <c r="Z3186" s="14" t="s">
        <v>36</v>
      </c>
      <c r="AA3186" s="14" t="s">
        <v>36</v>
      </c>
      <c r="AB3186" s="12" t="s">
        <v>56</v>
      </c>
      <c r="AC3186" s="12" t="s">
        <v>16717</v>
      </c>
      <c r="AD3186" s="13">
        <v>44312</v>
      </c>
      <c r="AE3186" s="12" t="s">
        <v>391</v>
      </c>
      <c r="AF3186" s="12" t="s">
        <v>1619</v>
      </c>
      <c r="AG3186" s="12" t="s">
        <v>16718</v>
      </c>
      <c r="AH3186" s="1">
        <f>HYPERLINK("https://my.pitchbook.com?c=209547-01T","View Company Online")</f>
      </c>
    </row>
    <row r="3187">
      <c r="A3187" s="3" t="s">
        <v>16719</v>
      </c>
      <c r="B3187" s="3" t="s">
        <v>14681</v>
      </c>
      <c r="C3187" s="5" t="s">
        <v>36</v>
      </c>
      <c r="D3187" s="5" t="s">
        <v>36</v>
      </c>
      <c r="E3187" s="5" t="s">
        <v>36</v>
      </c>
      <c r="F3187" s="5" t="s">
        <v>36</v>
      </c>
      <c r="G3187" s="6" t="s">
        <v>36</v>
      </c>
      <c r="H3187" s="4">
        <v>40.39</v>
      </c>
      <c r="I3187" s="7">
        <v>7</v>
      </c>
      <c r="J3187" s="3" t="s">
        <v>521</v>
      </c>
      <c r="K3187" s="9" t="s">
        <v>36</v>
      </c>
      <c r="L3187" s="6" t="s">
        <v>36</v>
      </c>
      <c r="M3187" s="3" t="s">
        <v>36</v>
      </c>
      <c r="N3187" s="3" t="s">
        <v>36</v>
      </c>
      <c r="O3187" s="8" t="s">
        <v>36</v>
      </c>
      <c r="P3187" s="3" t="s">
        <v>36</v>
      </c>
      <c r="Q3187" s="3" t="s">
        <v>36</v>
      </c>
      <c r="R3187" s="3" t="s">
        <v>36</v>
      </c>
      <c r="S3187" s="3" t="s">
        <v>36</v>
      </c>
      <c r="T3187" s="3" t="s">
        <v>14682</v>
      </c>
      <c r="U3187" s="3" t="s">
        <v>648</v>
      </c>
      <c r="V3187" s="3" t="s">
        <v>64</v>
      </c>
      <c r="W3187" s="3" t="s">
        <v>14683</v>
      </c>
      <c r="X3187" s="10" t="s">
        <v>12094</v>
      </c>
      <c r="Y3187" s="6" t="s">
        <v>42</v>
      </c>
      <c r="Z3187" s="4">
        <v>0.03</v>
      </c>
      <c r="AA3187" s="4">
        <v>0.45</v>
      </c>
      <c r="AB3187" s="3" t="s">
        <v>43</v>
      </c>
      <c r="AC3187" s="3" t="s">
        <v>14685</v>
      </c>
      <c r="AD3187" s="9">
        <v>44312</v>
      </c>
      <c r="AE3187" s="3" t="s">
        <v>651</v>
      </c>
      <c r="AF3187" s="3" t="s">
        <v>36</v>
      </c>
      <c r="AG3187" s="3" t="s">
        <v>81</v>
      </c>
      <c r="AH3187" s="11">
        <f>HYPERLINK("https://my.pitchbook.com?c=200716-12T","View Company Online")</f>
      </c>
    </row>
    <row r="3188">
      <c r="A3188" s="12" t="s">
        <v>16720</v>
      </c>
      <c r="B3188" s="12" t="s">
        <v>16721</v>
      </c>
      <c r="C3188" s="19" t="s">
        <v>36</v>
      </c>
      <c r="D3188" s="19" t="s">
        <v>36</v>
      </c>
      <c r="E3188" s="19" t="s">
        <v>36</v>
      </c>
      <c r="F3188" s="19" t="s">
        <v>36</v>
      </c>
      <c r="G3188" s="15" t="s">
        <v>36</v>
      </c>
      <c r="H3188" s="14">
        <v>2335.74</v>
      </c>
      <c r="I3188" s="18">
        <v>24.97</v>
      </c>
      <c r="J3188" s="12" t="s">
        <v>521</v>
      </c>
      <c r="K3188" s="13" t="s">
        <v>36</v>
      </c>
      <c r="L3188" s="15" t="s">
        <v>36</v>
      </c>
      <c r="M3188" s="12" t="s">
        <v>36</v>
      </c>
      <c r="N3188" s="12" t="s">
        <v>36</v>
      </c>
      <c r="O3188" s="17" t="s">
        <v>36</v>
      </c>
      <c r="P3188" s="12" t="s">
        <v>36</v>
      </c>
      <c r="Q3188" s="12" t="s">
        <v>36</v>
      </c>
      <c r="R3188" s="12" t="s">
        <v>36</v>
      </c>
      <c r="S3188" s="12" t="s">
        <v>36</v>
      </c>
      <c r="T3188" s="12" t="s">
        <v>7415</v>
      </c>
      <c r="U3188" s="12" t="s">
        <v>38</v>
      </c>
      <c r="V3188" s="12" t="s">
        <v>39</v>
      </c>
      <c r="W3188" s="12" t="s">
        <v>16722</v>
      </c>
      <c r="X3188" s="16" t="s">
        <v>16723</v>
      </c>
      <c r="Y3188" s="15" t="s">
        <v>42</v>
      </c>
      <c r="Z3188" s="14">
        <v>1.19</v>
      </c>
      <c r="AA3188" s="14">
        <v>4.76</v>
      </c>
      <c r="AB3188" s="12" t="s">
        <v>43</v>
      </c>
      <c r="AC3188" s="12" t="s">
        <v>16724</v>
      </c>
      <c r="AD3188" s="13">
        <v>44312</v>
      </c>
      <c r="AE3188" s="12" t="s">
        <v>1422</v>
      </c>
      <c r="AF3188" s="12" t="s">
        <v>4284</v>
      </c>
      <c r="AG3188" s="12" t="s">
        <v>16725</v>
      </c>
      <c r="AH3188" s="1">
        <f>HYPERLINK("https://my.pitchbook.com?c=171042-22T","View Company Online")</f>
      </c>
    </row>
    <row r="3189">
      <c r="A3189" s="3" t="s">
        <v>16726</v>
      </c>
      <c r="B3189" s="3" t="s">
        <v>16727</v>
      </c>
      <c r="C3189" s="5" t="s">
        <v>36</v>
      </c>
      <c r="D3189" s="5" t="s">
        <v>36</v>
      </c>
      <c r="E3189" s="5" t="s">
        <v>36</v>
      </c>
      <c r="F3189" s="5" t="s">
        <v>36</v>
      </c>
      <c r="G3189" s="6" t="s">
        <v>36</v>
      </c>
      <c r="H3189" s="4">
        <v>3.25</v>
      </c>
      <c r="I3189" s="7">
        <v>29.48</v>
      </c>
      <c r="J3189" s="3" t="s">
        <v>521</v>
      </c>
      <c r="K3189" s="9" t="s">
        <v>36</v>
      </c>
      <c r="L3189" s="6" t="s">
        <v>36</v>
      </c>
      <c r="M3189" s="3" t="s">
        <v>36</v>
      </c>
      <c r="N3189" s="3" t="s">
        <v>36</v>
      </c>
      <c r="O3189" s="8" t="s">
        <v>36</v>
      </c>
      <c r="P3189" s="3" t="s">
        <v>36</v>
      </c>
      <c r="Q3189" s="3" t="s">
        <v>36</v>
      </c>
      <c r="R3189" s="3" t="s">
        <v>36</v>
      </c>
      <c r="S3189" s="3" t="s">
        <v>36</v>
      </c>
      <c r="T3189" s="3" t="s">
        <v>16728</v>
      </c>
      <c r="U3189" s="3" t="s">
        <v>728</v>
      </c>
      <c r="V3189" s="3" t="s">
        <v>64</v>
      </c>
      <c r="W3189" s="3" t="s">
        <v>16729</v>
      </c>
      <c r="X3189" s="10" t="s">
        <v>13138</v>
      </c>
      <c r="Y3189" s="6" t="s">
        <v>42</v>
      </c>
      <c r="Z3189" s="4">
        <v>4.66</v>
      </c>
      <c r="AA3189" s="4">
        <v>15.82</v>
      </c>
      <c r="AB3189" s="3" t="s">
        <v>56</v>
      </c>
      <c r="AC3189" s="3" t="s">
        <v>16730</v>
      </c>
      <c r="AD3189" s="9">
        <v>44309</v>
      </c>
      <c r="AE3189" s="3" t="s">
        <v>732</v>
      </c>
      <c r="AF3189" s="3" t="s">
        <v>571</v>
      </c>
      <c r="AG3189" s="3" t="s">
        <v>16731</v>
      </c>
      <c r="AH3189" s="11">
        <f>HYPERLINK("https://my.pitchbook.com?c=88050-34T","View Company Online")</f>
      </c>
    </row>
    <row r="3190">
      <c r="A3190" s="12" t="s">
        <v>16732</v>
      </c>
      <c r="B3190" s="12" t="s">
        <v>16733</v>
      </c>
      <c r="C3190" s="19" t="s">
        <v>36</v>
      </c>
      <c r="D3190" s="19" t="s">
        <v>36</v>
      </c>
      <c r="E3190" s="19" t="s">
        <v>36</v>
      </c>
      <c r="F3190" s="19" t="s">
        <v>36</v>
      </c>
      <c r="G3190" s="15" t="s">
        <v>36</v>
      </c>
      <c r="H3190" s="14">
        <v>3.22</v>
      </c>
      <c r="I3190" s="18">
        <v>18.92</v>
      </c>
      <c r="J3190" s="12" t="s">
        <v>521</v>
      </c>
      <c r="K3190" s="13" t="s">
        <v>36</v>
      </c>
      <c r="L3190" s="15" t="s">
        <v>36</v>
      </c>
      <c r="M3190" s="12" t="s">
        <v>36</v>
      </c>
      <c r="N3190" s="12" t="s">
        <v>36</v>
      </c>
      <c r="O3190" s="17" t="s">
        <v>36</v>
      </c>
      <c r="P3190" s="12" t="s">
        <v>36</v>
      </c>
      <c r="Q3190" s="12" t="s">
        <v>36</v>
      </c>
      <c r="R3190" s="12" t="s">
        <v>36</v>
      </c>
      <c r="S3190" s="12" t="s">
        <v>36</v>
      </c>
      <c r="T3190" s="12" t="s">
        <v>16734</v>
      </c>
      <c r="U3190" s="12" t="s">
        <v>63</v>
      </c>
      <c r="V3190" s="12" t="s">
        <v>64</v>
      </c>
      <c r="W3190" s="12" t="s">
        <v>16735</v>
      </c>
      <c r="X3190" s="16" t="s">
        <v>10226</v>
      </c>
      <c r="Y3190" s="15" t="s">
        <v>42</v>
      </c>
      <c r="Z3190" s="14">
        <v>0.99</v>
      </c>
      <c r="AA3190" s="14">
        <v>5.24</v>
      </c>
      <c r="AB3190" s="12" t="s">
        <v>43</v>
      </c>
      <c r="AC3190" s="12" t="s">
        <v>16736</v>
      </c>
      <c r="AD3190" s="13">
        <v>44309</v>
      </c>
      <c r="AE3190" s="12" t="s">
        <v>68</v>
      </c>
      <c r="AF3190" s="12" t="s">
        <v>36</v>
      </c>
      <c r="AG3190" s="12" t="s">
        <v>8417</v>
      </c>
      <c r="AH3190" s="1">
        <f>HYPERLINK("https://my.pitchbook.com?c=139345-75T","View Company Online")</f>
      </c>
    </row>
    <row r="3191">
      <c r="A3191" s="3" t="s">
        <v>16737</v>
      </c>
      <c r="B3191" s="3" t="s">
        <v>16738</v>
      </c>
      <c r="C3191" s="5" t="s">
        <v>36</v>
      </c>
      <c r="D3191" s="5" t="s">
        <v>36</v>
      </c>
      <c r="E3191" s="5" t="s">
        <v>36</v>
      </c>
      <c r="F3191" s="5" t="s">
        <v>36</v>
      </c>
      <c r="G3191" s="6" t="s">
        <v>683</v>
      </c>
      <c r="H3191" s="4">
        <v>16.53</v>
      </c>
      <c r="I3191" s="7">
        <v>35</v>
      </c>
      <c r="J3191" s="3" t="s">
        <v>521</v>
      </c>
      <c r="K3191" s="9" t="s">
        <v>36</v>
      </c>
      <c r="L3191" s="6" t="s">
        <v>36</v>
      </c>
      <c r="M3191" s="3" t="s">
        <v>36</v>
      </c>
      <c r="N3191" s="3" t="s">
        <v>36</v>
      </c>
      <c r="O3191" s="8" t="s">
        <v>36</v>
      </c>
      <c r="P3191" s="3" t="s">
        <v>36</v>
      </c>
      <c r="Q3191" s="3" t="s">
        <v>36</v>
      </c>
      <c r="R3191" s="3" t="s">
        <v>36</v>
      </c>
      <c r="S3191" s="3" t="s">
        <v>36</v>
      </c>
      <c r="T3191" s="3" t="s">
        <v>647</v>
      </c>
      <c r="U3191" s="3" t="s">
        <v>648</v>
      </c>
      <c r="V3191" s="3" t="s">
        <v>64</v>
      </c>
      <c r="W3191" s="3" t="s">
        <v>16739</v>
      </c>
      <c r="X3191" s="10" t="s">
        <v>16740</v>
      </c>
      <c r="Y3191" s="6" t="s">
        <v>108</v>
      </c>
      <c r="Z3191" s="4">
        <v>2.24</v>
      </c>
      <c r="AA3191" s="4">
        <v>6.39</v>
      </c>
      <c r="AB3191" s="3" t="s">
        <v>56</v>
      </c>
      <c r="AC3191" s="3" t="s">
        <v>16741</v>
      </c>
      <c r="AD3191" s="9">
        <v>44308</v>
      </c>
      <c r="AE3191" s="3" t="s">
        <v>651</v>
      </c>
      <c r="AF3191" s="3" t="s">
        <v>4284</v>
      </c>
      <c r="AG3191" s="3" t="s">
        <v>16742</v>
      </c>
      <c r="AH3191" s="11">
        <f>HYPERLINK("https://my.pitchbook.com?c=177013-09T","View Company Online")</f>
      </c>
    </row>
    <row r="3192">
      <c r="A3192" s="12" t="s">
        <v>16743</v>
      </c>
      <c r="B3192" s="12" t="s">
        <v>16744</v>
      </c>
      <c r="C3192" s="19" t="s">
        <v>36</v>
      </c>
      <c r="D3192" s="19" t="s">
        <v>36</v>
      </c>
      <c r="E3192" s="19" t="s">
        <v>36</v>
      </c>
      <c r="F3192" s="19" t="s">
        <v>36</v>
      </c>
      <c r="G3192" s="15" t="s">
        <v>36</v>
      </c>
      <c r="H3192" s="14" t="s">
        <v>36</v>
      </c>
      <c r="I3192" s="18" t="s">
        <v>36</v>
      </c>
      <c r="J3192" s="12" t="s">
        <v>36</v>
      </c>
      <c r="K3192" s="13">
        <v>44301</v>
      </c>
      <c r="L3192" s="15" t="s">
        <v>36</v>
      </c>
      <c r="M3192" s="12" t="s">
        <v>36</v>
      </c>
      <c r="N3192" s="12" t="s">
        <v>36</v>
      </c>
      <c r="O3192" s="17" t="s">
        <v>36</v>
      </c>
      <c r="P3192" s="12" t="s">
        <v>36</v>
      </c>
      <c r="Q3192" s="12" t="s">
        <v>36</v>
      </c>
      <c r="R3192" s="12" t="s">
        <v>36</v>
      </c>
      <c r="S3192" s="12" t="s">
        <v>2314</v>
      </c>
      <c r="T3192" s="12" t="s">
        <v>37</v>
      </c>
      <c r="U3192" s="12" t="s">
        <v>38</v>
      </c>
      <c r="V3192" s="12" t="s">
        <v>39</v>
      </c>
      <c r="W3192" s="12" t="s">
        <v>16745</v>
      </c>
      <c r="X3192" s="16" t="s">
        <v>16746</v>
      </c>
      <c r="Y3192" s="15" t="s">
        <v>42</v>
      </c>
      <c r="Z3192" s="14">
        <v>0.7</v>
      </c>
      <c r="AA3192" s="14" t="s">
        <v>36</v>
      </c>
      <c r="AB3192" s="12" t="s">
        <v>43</v>
      </c>
      <c r="AC3192" s="12" t="s">
        <v>16747</v>
      </c>
      <c r="AD3192" s="13">
        <v>44308</v>
      </c>
      <c r="AE3192" s="12" t="s">
        <v>45</v>
      </c>
      <c r="AF3192" s="12" t="s">
        <v>215</v>
      </c>
      <c r="AG3192" s="12" t="s">
        <v>16748</v>
      </c>
      <c r="AH3192" s="1">
        <f>HYPERLINK("https://my.pitchbook.com?c=171305-11T","View Company Online")</f>
      </c>
    </row>
    <row r="3193">
      <c r="A3193" s="3" t="s">
        <v>16749</v>
      </c>
      <c r="B3193" s="3" t="s">
        <v>16750</v>
      </c>
      <c r="C3193" s="5" t="s">
        <v>36</v>
      </c>
      <c r="D3193" s="5" t="s">
        <v>36</v>
      </c>
      <c r="E3193" s="5" t="s">
        <v>36</v>
      </c>
      <c r="F3193" s="5" t="s">
        <v>36</v>
      </c>
      <c r="G3193" s="6" t="s">
        <v>326</v>
      </c>
      <c r="H3193" s="4">
        <v>47.47</v>
      </c>
      <c r="I3193" s="7">
        <v>45.02</v>
      </c>
      <c r="J3193" s="3" t="s">
        <v>521</v>
      </c>
      <c r="K3193" s="9" t="s">
        <v>36</v>
      </c>
      <c r="L3193" s="6" t="s">
        <v>122</v>
      </c>
      <c r="M3193" s="3" t="s">
        <v>36</v>
      </c>
      <c r="N3193" s="3" t="s">
        <v>122</v>
      </c>
      <c r="O3193" s="8" t="s">
        <v>36</v>
      </c>
      <c r="P3193" s="3" t="s">
        <v>36</v>
      </c>
      <c r="Q3193" s="3" t="s">
        <v>36</v>
      </c>
      <c r="R3193" s="3" t="s">
        <v>36</v>
      </c>
      <c r="S3193" s="3" t="s">
        <v>36</v>
      </c>
      <c r="T3193" s="3" t="s">
        <v>1260</v>
      </c>
      <c r="U3193" s="3" t="s">
        <v>38</v>
      </c>
      <c r="V3193" s="3" t="s">
        <v>39</v>
      </c>
      <c r="W3193" s="3" t="s">
        <v>16751</v>
      </c>
      <c r="X3193" s="10" t="s">
        <v>16752</v>
      </c>
      <c r="Y3193" s="6" t="s">
        <v>192</v>
      </c>
      <c r="Z3193" s="4">
        <v>24.09</v>
      </c>
      <c r="AA3193" s="4">
        <v>53.51</v>
      </c>
      <c r="AB3193" s="3" t="s">
        <v>56</v>
      </c>
      <c r="AC3193" s="3" t="s">
        <v>16753</v>
      </c>
      <c r="AD3193" s="9">
        <v>44308</v>
      </c>
      <c r="AE3193" s="3" t="s">
        <v>110</v>
      </c>
      <c r="AF3193" s="3" t="s">
        <v>275</v>
      </c>
      <c r="AG3193" s="3" t="s">
        <v>81</v>
      </c>
      <c r="AH3193" s="11">
        <f>HYPERLINK("https://my.pitchbook.com?c=170855-92T","View Company Online")</f>
      </c>
    </row>
    <row r="3194">
      <c r="A3194" s="12" t="s">
        <v>16754</v>
      </c>
      <c r="B3194" s="12" t="s">
        <v>6397</v>
      </c>
      <c r="C3194" s="19" t="s">
        <v>36</v>
      </c>
      <c r="D3194" s="19" t="s">
        <v>36</v>
      </c>
      <c r="E3194" s="19" t="s">
        <v>36</v>
      </c>
      <c r="F3194" s="19" t="s">
        <v>36</v>
      </c>
      <c r="G3194" s="15" t="s">
        <v>36</v>
      </c>
      <c r="H3194" s="14">
        <v>18.22</v>
      </c>
      <c r="I3194" s="18">
        <v>42.98</v>
      </c>
      <c r="J3194" s="12" t="s">
        <v>521</v>
      </c>
      <c r="K3194" s="13" t="s">
        <v>36</v>
      </c>
      <c r="L3194" s="15" t="s">
        <v>36</v>
      </c>
      <c r="M3194" s="12" t="s">
        <v>36</v>
      </c>
      <c r="N3194" s="12" t="s">
        <v>36</v>
      </c>
      <c r="O3194" s="17" t="s">
        <v>36</v>
      </c>
      <c r="P3194" s="12" t="s">
        <v>36</v>
      </c>
      <c r="Q3194" s="12" t="s">
        <v>36</v>
      </c>
      <c r="R3194" s="12" t="s">
        <v>36</v>
      </c>
      <c r="S3194" s="12" t="s">
        <v>36</v>
      </c>
      <c r="T3194" s="12" t="s">
        <v>464</v>
      </c>
      <c r="U3194" s="12" t="s">
        <v>38</v>
      </c>
      <c r="V3194" s="12" t="s">
        <v>39</v>
      </c>
      <c r="W3194" s="12" t="s">
        <v>6398</v>
      </c>
      <c r="X3194" s="16" t="s">
        <v>16755</v>
      </c>
      <c r="Y3194" s="15" t="s">
        <v>108</v>
      </c>
      <c r="Z3194" s="14">
        <v>10.25</v>
      </c>
      <c r="AA3194" s="14">
        <v>23.85</v>
      </c>
      <c r="AB3194" s="12" t="s">
        <v>56</v>
      </c>
      <c r="AC3194" s="12" t="s">
        <v>6400</v>
      </c>
      <c r="AD3194" s="13">
        <v>44308</v>
      </c>
      <c r="AE3194" s="12" t="s">
        <v>110</v>
      </c>
      <c r="AF3194" s="12" t="s">
        <v>468</v>
      </c>
      <c r="AG3194" s="12" t="s">
        <v>652</v>
      </c>
      <c r="AH3194" s="1">
        <f>HYPERLINK("https://my.pitchbook.com?c=170851-87T","View Company Online")</f>
      </c>
    </row>
    <row r="3195">
      <c r="A3195" s="3" t="s">
        <v>16756</v>
      </c>
      <c r="B3195" s="3" t="s">
        <v>1690</v>
      </c>
      <c r="C3195" s="5">
        <v>2</v>
      </c>
      <c r="D3195" s="5">
        <v>2</v>
      </c>
      <c r="E3195" s="5">
        <v>3</v>
      </c>
      <c r="F3195" s="5">
        <v>4</v>
      </c>
      <c r="G3195" s="6" t="s">
        <v>36</v>
      </c>
      <c r="H3195" s="4">
        <v>12.12</v>
      </c>
      <c r="I3195" s="7">
        <v>20</v>
      </c>
      <c r="J3195" s="3" t="s">
        <v>521</v>
      </c>
      <c r="K3195" s="9" t="s">
        <v>36</v>
      </c>
      <c r="L3195" s="6" t="s">
        <v>122</v>
      </c>
      <c r="M3195" s="3" t="s">
        <v>36</v>
      </c>
      <c r="N3195" s="3" t="s">
        <v>122</v>
      </c>
      <c r="O3195" s="8" t="s">
        <v>36</v>
      </c>
      <c r="P3195" s="3" t="s">
        <v>36</v>
      </c>
      <c r="Q3195" s="3" t="s">
        <v>36</v>
      </c>
      <c r="R3195" s="3" t="s">
        <v>36</v>
      </c>
      <c r="S3195" s="3" t="s">
        <v>36</v>
      </c>
      <c r="T3195" s="3" t="s">
        <v>123</v>
      </c>
      <c r="U3195" s="3" t="s">
        <v>38</v>
      </c>
      <c r="V3195" s="3" t="s">
        <v>39</v>
      </c>
      <c r="W3195" s="3" t="s">
        <v>1691</v>
      </c>
      <c r="X3195" s="10" t="s">
        <v>16757</v>
      </c>
      <c r="Y3195" s="6" t="s">
        <v>42</v>
      </c>
      <c r="Z3195" s="4">
        <v>7.12</v>
      </c>
      <c r="AA3195" s="4">
        <v>5.94</v>
      </c>
      <c r="AB3195" s="3" t="s">
        <v>43</v>
      </c>
      <c r="AC3195" s="3" t="s">
        <v>1693</v>
      </c>
      <c r="AD3195" s="9">
        <v>44307</v>
      </c>
      <c r="AE3195" s="3" t="s">
        <v>110</v>
      </c>
      <c r="AF3195" s="3" t="s">
        <v>111</v>
      </c>
      <c r="AG3195" s="3" t="s">
        <v>81</v>
      </c>
      <c r="AH3195" s="11">
        <f>HYPERLINK("https://my.pitchbook.com?c=171990-19T","View Company Online")</f>
      </c>
    </row>
    <row r="3196">
      <c r="A3196" s="12" t="s">
        <v>16758</v>
      </c>
      <c r="B3196" s="12" t="s">
        <v>16759</v>
      </c>
      <c r="C3196" s="19" t="s">
        <v>36</v>
      </c>
      <c r="D3196" s="19" t="s">
        <v>36</v>
      </c>
      <c r="E3196" s="19" t="s">
        <v>36</v>
      </c>
      <c r="F3196" s="19" t="s">
        <v>36</v>
      </c>
      <c r="G3196" s="15" t="s">
        <v>326</v>
      </c>
      <c r="H3196" s="14">
        <v>2836.31</v>
      </c>
      <c r="I3196" s="18">
        <v>15.65</v>
      </c>
      <c r="J3196" s="12" t="s">
        <v>521</v>
      </c>
      <c r="K3196" s="13">
        <v>44166</v>
      </c>
      <c r="L3196" s="15" t="s">
        <v>1279</v>
      </c>
      <c r="M3196" s="12" t="s">
        <v>36</v>
      </c>
      <c r="N3196" s="12" t="s">
        <v>1279</v>
      </c>
      <c r="O3196" s="17" t="s">
        <v>36</v>
      </c>
      <c r="P3196" s="12" t="s">
        <v>36</v>
      </c>
      <c r="Q3196" s="12" t="s">
        <v>36</v>
      </c>
      <c r="R3196" s="12" t="s">
        <v>36</v>
      </c>
      <c r="S3196" s="12" t="s">
        <v>36</v>
      </c>
      <c r="T3196" s="12" t="s">
        <v>16760</v>
      </c>
      <c r="U3196" s="12" t="s">
        <v>648</v>
      </c>
      <c r="V3196" s="12" t="s">
        <v>64</v>
      </c>
      <c r="W3196" s="12" t="s">
        <v>16761</v>
      </c>
      <c r="X3196" s="16" t="s">
        <v>16762</v>
      </c>
      <c r="Y3196" s="15" t="s">
        <v>192</v>
      </c>
      <c r="Z3196" s="14">
        <v>118.36</v>
      </c>
      <c r="AA3196" s="14">
        <v>756.34</v>
      </c>
      <c r="AB3196" s="12" t="s">
        <v>56</v>
      </c>
      <c r="AC3196" s="12" t="s">
        <v>16763</v>
      </c>
      <c r="AD3196" s="13">
        <v>44307</v>
      </c>
      <c r="AE3196" s="12" t="s">
        <v>3988</v>
      </c>
      <c r="AF3196" s="12" t="s">
        <v>16764</v>
      </c>
      <c r="AG3196" s="12" t="s">
        <v>81</v>
      </c>
      <c r="AH3196" s="1">
        <f>HYPERLINK("https://my.pitchbook.com?c=170849-80T","View Company Online")</f>
      </c>
    </row>
    <row r="3197">
      <c r="A3197" s="3" t="s">
        <v>16765</v>
      </c>
      <c r="B3197" s="3" t="s">
        <v>12151</v>
      </c>
      <c r="C3197" s="5" t="s">
        <v>36</v>
      </c>
      <c r="D3197" s="5">
        <v>4</v>
      </c>
      <c r="E3197" s="5">
        <v>2</v>
      </c>
      <c r="F3197" s="5">
        <v>4</v>
      </c>
      <c r="G3197" s="6" t="s">
        <v>36</v>
      </c>
      <c r="H3197" s="4" t="s">
        <v>36</v>
      </c>
      <c r="I3197" s="7" t="s">
        <v>36</v>
      </c>
      <c r="J3197" s="3" t="s">
        <v>36</v>
      </c>
      <c r="K3197" s="9" t="s">
        <v>36</v>
      </c>
      <c r="L3197" s="6" t="s">
        <v>12462</v>
      </c>
      <c r="M3197" s="3" t="s">
        <v>36</v>
      </c>
      <c r="N3197" s="3" t="s">
        <v>12462</v>
      </c>
      <c r="O3197" s="8" t="s">
        <v>36</v>
      </c>
      <c r="P3197" s="3" t="s">
        <v>36</v>
      </c>
      <c r="Q3197" s="3" t="s">
        <v>36</v>
      </c>
      <c r="R3197" s="3" t="s">
        <v>36</v>
      </c>
      <c r="S3197" s="3" t="s">
        <v>36</v>
      </c>
      <c r="T3197" s="3" t="s">
        <v>4692</v>
      </c>
      <c r="U3197" s="3" t="s">
        <v>85</v>
      </c>
      <c r="V3197" s="3" t="s">
        <v>64</v>
      </c>
      <c r="W3197" s="3" t="s">
        <v>12152</v>
      </c>
      <c r="X3197" s="10" t="s">
        <v>16766</v>
      </c>
      <c r="Y3197" s="6" t="s">
        <v>1120</v>
      </c>
      <c r="Z3197" s="4">
        <v>115</v>
      </c>
      <c r="AA3197" s="4" t="s">
        <v>36</v>
      </c>
      <c r="AB3197" s="3" t="s">
        <v>56</v>
      </c>
      <c r="AC3197" s="3" t="s">
        <v>12155</v>
      </c>
      <c r="AD3197" s="9">
        <v>44306</v>
      </c>
      <c r="AE3197" s="3" t="s">
        <v>89</v>
      </c>
      <c r="AF3197" s="3" t="s">
        <v>12156</v>
      </c>
      <c r="AG3197" s="3" t="s">
        <v>81</v>
      </c>
      <c r="AH3197" s="11">
        <f>HYPERLINK("https://my.pitchbook.com?c=170814-25T","View Company Online")</f>
      </c>
    </row>
    <row r="3198">
      <c r="A3198" s="12" t="s">
        <v>16767</v>
      </c>
      <c r="B3198" s="12" t="s">
        <v>16768</v>
      </c>
      <c r="C3198" s="19" t="s">
        <v>36</v>
      </c>
      <c r="D3198" s="19" t="s">
        <v>36</v>
      </c>
      <c r="E3198" s="19" t="s">
        <v>36</v>
      </c>
      <c r="F3198" s="19" t="s">
        <v>36</v>
      </c>
      <c r="G3198" s="15" t="s">
        <v>326</v>
      </c>
      <c r="H3198" s="14" t="s">
        <v>36</v>
      </c>
      <c r="I3198" s="18">
        <v>6.25</v>
      </c>
      <c r="J3198" s="12" t="s">
        <v>327</v>
      </c>
      <c r="K3198" s="13" t="s">
        <v>36</v>
      </c>
      <c r="L3198" s="15" t="s">
        <v>36</v>
      </c>
      <c r="M3198" s="12" t="s">
        <v>36</v>
      </c>
      <c r="N3198" s="12" t="s">
        <v>36</v>
      </c>
      <c r="O3198" s="17" t="s">
        <v>36</v>
      </c>
      <c r="P3198" s="12" t="s">
        <v>36</v>
      </c>
      <c r="Q3198" s="12" t="s">
        <v>36</v>
      </c>
      <c r="R3198" s="12" t="s">
        <v>36</v>
      </c>
      <c r="S3198" s="12" t="s">
        <v>6677</v>
      </c>
      <c r="T3198" s="12" t="s">
        <v>8394</v>
      </c>
      <c r="U3198" s="12" t="s">
        <v>85</v>
      </c>
      <c r="V3198" s="12" t="s">
        <v>64</v>
      </c>
      <c r="W3198" s="12" t="s">
        <v>16769</v>
      </c>
      <c r="X3198" s="16" t="s">
        <v>1840</v>
      </c>
      <c r="Y3198" s="15" t="s">
        <v>42</v>
      </c>
      <c r="Z3198" s="14">
        <v>1.19</v>
      </c>
      <c r="AA3198" s="14">
        <v>18.97</v>
      </c>
      <c r="AB3198" s="12" t="s">
        <v>43</v>
      </c>
      <c r="AC3198" s="12" t="s">
        <v>16770</v>
      </c>
      <c r="AD3198" s="13">
        <v>44306</v>
      </c>
      <c r="AE3198" s="12" t="s">
        <v>89</v>
      </c>
      <c r="AF3198" s="12" t="s">
        <v>16771</v>
      </c>
      <c r="AG3198" s="12" t="s">
        <v>924</v>
      </c>
      <c r="AH3198" s="1">
        <f>HYPERLINK("https://my.pitchbook.com?c=170719-66T","View Company Online")</f>
      </c>
    </row>
    <row r="3199">
      <c r="A3199" s="3" t="s">
        <v>16772</v>
      </c>
      <c r="B3199" s="3" t="s">
        <v>1845</v>
      </c>
      <c r="C3199" s="5" t="s">
        <v>36</v>
      </c>
      <c r="D3199" s="5" t="s">
        <v>36</v>
      </c>
      <c r="E3199" s="5" t="s">
        <v>36</v>
      </c>
      <c r="F3199" s="5" t="s">
        <v>36</v>
      </c>
      <c r="G3199" s="6" t="s">
        <v>326</v>
      </c>
      <c r="H3199" s="4">
        <v>60.29</v>
      </c>
      <c r="I3199" s="7">
        <v>13.2</v>
      </c>
      <c r="J3199" s="3" t="s">
        <v>521</v>
      </c>
      <c r="K3199" s="9" t="s">
        <v>36</v>
      </c>
      <c r="L3199" s="6" t="s">
        <v>3736</v>
      </c>
      <c r="M3199" s="3" t="s">
        <v>36</v>
      </c>
      <c r="N3199" s="3" t="s">
        <v>3736</v>
      </c>
      <c r="O3199" s="8" t="s">
        <v>36</v>
      </c>
      <c r="P3199" s="3" t="s">
        <v>36</v>
      </c>
      <c r="Q3199" s="3" t="s">
        <v>36</v>
      </c>
      <c r="R3199" s="3" t="s">
        <v>36</v>
      </c>
      <c r="S3199" s="3" t="s">
        <v>36</v>
      </c>
      <c r="T3199" s="3" t="s">
        <v>1847</v>
      </c>
      <c r="U3199" s="3" t="s">
        <v>956</v>
      </c>
      <c r="V3199" s="3" t="s">
        <v>405</v>
      </c>
      <c r="W3199" s="3" t="s">
        <v>1848</v>
      </c>
      <c r="X3199" s="10" t="s">
        <v>16773</v>
      </c>
      <c r="Y3199" s="6" t="s">
        <v>166</v>
      </c>
      <c r="Z3199" s="4">
        <v>219.42</v>
      </c>
      <c r="AA3199" s="4">
        <v>1660.45</v>
      </c>
      <c r="AB3199" s="3" t="s">
        <v>56</v>
      </c>
      <c r="AC3199" s="3" t="s">
        <v>1850</v>
      </c>
      <c r="AD3199" s="9">
        <v>44305</v>
      </c>
      <c r="AE3199" s="3" t="s">
        <v>1851</v>
      </c>
      <c r="AF3199" s="3" t="s">
        <v>1852</v>
      </c>
      <c r="AG3199" s="3" t="s">
        <v>81</v>
      </c>
      <c r="AH3199" s="11">
        <f>HYPERLINK("https://my.pitchbook.com?c=170629-84T","View Company Online")</f>
      </c>
    </row>
    <row r="3200">
      <c r="A3200" s="12" t="s">
        <v>16774</v>
      </c>
      <c r="B3200" s="12" t="s">
        <v>16775</v>
      </c>
      <c r="C3200" s="19">
        <v>4</v>
      </c>
      <c r="D3200" s="19">
        <v>2</v>
      </c>
      <c r="E3200" s="19">
        <v>3</v>
      </c>
      <c r="F3200" s="19">
        <v>6</v>
      </c>
      <c r="G3200" s="15" t="s">
        <v>36</v>
      </c>
      <c r="H3200" s="14">
        <v>103.86</v>
      </c>
      <c r="I3200" s="18" t="s">
        <v>36</v>
      </c>
      <c r="J3200" s="12" t="s">
        <v>36</v>
      </c>
      <c r="K3200" s="13" t="s">
        <v>36</v>
      </c>
      <c r="L3200" s="15" t="s">
        <v>36</v>
      </c>
      <c r="M3200" s="12" t="s">
        <v>36</v>
      </c>
      <c r="N3200" s="12" t="s">
        <v>36</v>
      </c>
      <c r="O3200" s="17" t="s">
        <v>36</v>
      </c>
      <c r="P3200" s="12" t="s">
        <v>36</v>
      </c>
      <c r="Q3200" s="12" t="s">
        <v>36</v>
      </c>
      <c r="R3200" s="12" t="s">
        <v>36</v>
      </c>
      <c r="S3200" s="12" t="s">
        <v>36</v>
      </c>
      <c r="T3200" s="12" t="s">
        <v>2910</v>
      </c>
      <c r="U3200" s="12" t="s">
        <v>219</v>
      </c>
      <c r="V3200" s="12" t="s">
        <v>75</v>
      </c>
      <c r="W3200" s="12" t="s">
        <v>16776</v>
      </c>
      <c r="X3200" s="16" t="s">
        <v>16777</v>
      </c>
      <c r="Y3200" s="15" t="s">
        <v>42</v>
      </c>
      <c r="Z3200" s="14">
        <v>2.02</v>
      </c>
      <c r="AA3200" s="14" t="s">
        <v>36</v>
      </c>
      <c r="AB3200" s="12" t="s">
        <v>43</v>
      </c>
      <c r="AC3200" s="12" t="s">
        <v>16778</v>
      </c>
      <c r="AD3200" s="13">
        <v>44305</v>
      </c>
      <c r="AE3200" s="12" t="s">
        <v>2914</v>
      </c>
      <c r="AF3200" s="12" t="s">
        <v>36</v>
      </c>
      <c r="AG3200" s="12" t="s">
        <v>144</v>
      </c>
      <c r="AH3200" s="1">
        <f>HYPERLINK("https://my.pitchbook.com?c=164554-21T","View Company Online")</f>
      </c>
    </row>
    <row r="3201">
      <c r="A3201" s="3" t="s">
        <v>16779</v>
      </c>
      <c r="B3201" s="3" t="s">
        <v>16780</v>
      </c>
      <c r="C3201" s="5" t="s">
        <v>36</v>
      </c>
      <c r="D3201" s="5" t="s">
        <v>36</v>
      </c>
      <c r="E3201" s="5" t="s">
        <v>36</v>
      </c>
      <c r="F3201" s="5" t="s">
        <v>36</v>
      </c>
      <c r="G3201" s="6" t="s">
        <v>36</v>
      </c>
      <c r="H3201" s="4" t="s">
        <v>36</v>
      </c>
      <c r="I3201" s="7" t="s">
        <v>36</v>
      </c>
      <c r="J3201" s="3" t="s">
        <v>36</v>
      </c>
      <c r="K3201" s="9" t="s">
        <v>36</v>
      </c>
      <c r="L3201" s="6" t="s">
        <v>36</v>
      </c>
      <c r="M3201" s="3" t="s">
        <v>36</v>
      </c>
      <c r="N3201" s="3" t="s">
        <v>36</v>
      </c>
      <c r="O3201" s="8" t="s">
        <v>36</v>
      </c>
      <c r="P3201" s="3" t="s">
        <v>36</v>
      </c>
      <c r="Q3201" s="3" t="s">
        <v>36</v>
      </c>
      <c r="R3201" s="3" t="s">
        <v>36</v>
      </c>
      <c r="S3201" s="3" t="s">
        <v>36</v>
      </c>
      <c r="T3201" s="3" t="s">
        <v>522</v>
      </c>
      <c r="U3201" s="3" t="s">
        <v>38</v>
      </c>
      <c r="V3201" s="3" t="s">
        <v>39</v>
      </c>
      <c r="W3201" s="3" t="s">
        <v>16781</v>
      </c>
      <c r="X3201" s="10" t="s">
        <v>16782</v>
      </c>
      <c r="Y3201" s="6" t="s">
        <v>42</v>
      </c>
      <c r="Z3201" s="4">
        <v>1.54</v>
      </c>
      <c r="AA3201" s="4" t="s">
        <v>36</v>
      </c>
      <c r="AB3201" s="3" t="s">
        <v>43</v>
      </c>
      <c r="AC3201" s="3" t="s">
        <v>16783</v>
      </c>
      <c r="AD3201" s="9">
        <v>44305</v>
      </c>
      <c r="AE3201" s="3" t="s">
        <v>110</v>
      </c>
      <c r="AF3201" s="3" t="s">
        <v>111</v>
      </c>
      <c r="AG3201" s="3" t="s">
        <v>16784</v>
      </c>
      <c r="AH3201" s="11">
        <f>HYPERLINK("https://my.pitchbook.com?c=170569-00T","View Company Online")</f>
      </c>
    </row>
    <row r="3202">
      <c r="A3202" s="12" t="s">
        <v>16785</v>
      </c>
      <c r="B3202" s="12" t="s">
        <v>9568</v>
      </c>
      <c r="C3202" s="19" t="s">
        <v>36</v>
      </c>
      <c r="D3202" s="19" t="s">
        <v>36</v>
      </c>
      <c r="E3202" s="19" t="s">
        <v>36</v>
      </c>
      <c r="F3202" s="19" t="s">
        <v>36</v>
      </c>
      <c r="G3202" s="15" t="s">
        <v>36</v>
      </c>
      <c r="H3202" s="14">
        <v>192.13</v>
      </c>
      <c r="I3202" s="18">
        <v>7.5</v>
      </c>
      <c r="J3202" s="12" t="s">
        <v>521</v>
      </c>
      <c r="K3202" s="13" t="s">
        <v>36</v>
      </c>
      <c r="L3202" s="15" t="s">
        <v>36</v>
      </c>
      <c r="M3202" s="12" t="s">
        <v>36</v>
      </c>
      <c r="N3202" s="12" t="s">
        <v>36</v>
      </c>
      <c r="O3202" s="17" t="s">
        <v>36</v>
      </c>
      <c r="P3202" s="12" t="s">
        <v>36</v>
      </c>
      <c r="Q3202" s="12" t="s">
        <v>36</v>
      </c>
      <c r="R3202" s="12" t="s">
        <v>36</v>
      </c>
      <c r="S3202" s="12" t="s">
        <v>6531</v>
      </c>
      <c r="T3202" s="12" t="s">
        <v>4911</v>
      </c>
      <c r="U3202" s="12" t="s">
        <v>63</v>
      </c>
      <c r="V3202" s="12" t="s">
        <v>64</v>
      </c>
      <c r="W3202" s="12" t="s">
        <v>9569</v>
      </c>
      <c r="X3202" s="16" t="s">
        <v>221</v>
      </c>
      <c r="Y3202" s="15" t="s">
        <v>42</v>
      </c>
      <c r="Z3202" s="14">
        <v>0.18</v>
      </c>
      <c r="AA3202" s="14">
        <v>2.37</v>
      </c>
      <c r="AB3202" s="12" t="s">
        <v>43</v>
      </c>
      <c r="AC3202" s="12" t="s">
        <v>9571</v>
      </c>
      <c r="AD3202" s="13">
        <v>44303</v>
      </c>
      <c r="AE3202" s="12" t="s">
        <v>399</v>
      </c>
      <c r="AF3202" s="12" t="s">
        <v>36</v>
      </c>
      <c r="AG3202" s="12" t="s">
        <v>81</v>
      </c>
      <c r="AH3202" s="1">
        <f>HYPERLINK("https://my.pitchbook.com?c=175891-60T","View Company Online")</f>
      </c>
    </row>
    <row r="3203">
      <c r="A3203" s="3" t="s">
        <v>16786</v>
      </c>
      <c r="B3203" s="3" t="s">
        <v>8075</v>
      </c>
      <c r="C3203" s="5" t="s">
        <v>36</v>
      </c>
      <c r="D3203" s="5" t="s">
        <v>36</v>
      </c>
      <c r="E3203" s="5" t="s">
        <v>36</v>
      </c>
      <c r="F3203" s="5" t="s">
        <v>36</v>
      </c>
      <c r="G3203" s="6" t="s">
        <v>36</v>
      </c>
      <c r="H3203" s="4" t="s">
        <v>36</v>
      </c>
      <c r="I3203" s="7" t="s">
        <v>36</v>
      </c>
      <c r="J3203" s="3" t="s">
        <v>36</v>
      </c>
      <c r="K3203" s="9" t="s">
        <v>36</v>
      </c>
      <c r="L3203" s="6" t="s">
        <v>36</v>
      </c>
      <c r="M3203" s="3" t="s">
        <v>36</v>
      </c>
      <c r="N3203" s="3" t="s">
        <v>36</v>
      </c>
      <c r="O3203" s="8" t="s">
        <v>36</v>
      </c>
      <c r="P3203" s="3" t="s">
        <v>36</v>
      </c>
      <c r="Q3203" s="3" t="s">
        <v>36</v>
      </c>
      <c r="R3203" s="3" t="s">
        <v>36</v>
      </c>
      <c r="S3203" s="3" t="s">
        <v>36</v>
      </c>
      <c r="T3203" s="3" t="s">
        <v>37</v>
      </c>
      <c r="U3203" s="3" t="s">
        <v>38</v>
      </c>
      <c r="V3203" s="3" t="s">
        <v>39</v>
      </c>
      <c r="W3203" s="3" t="s">
        <v>8076</v>
      </c>
      <c r="X3203" s="10" t="s">
        <v>5284</v>
      </c>
      <c r="Y3203" s="6" t="s">
        <v>42</v>
      </c>
      <c r="Z3203" s="4">
        <v>1.19</v>
      </c>
      <c r="AA3203" s="4" t="s">
        <v>36</v>
      </c>
      <c r="AB3203" s="3" t="s">
        <v>43</v>
      </c>
      <c r="AC3203" s="3" t="s">
        <v>8077</v>
      </c>
      <c r="AD3203" s="9">
        <v>44303</v>
      </c>
      <c r="AE3203" s="3" t="s">
        <v>45</v>
      </c>
      <c r="AF3203" s="3" t="s">
        <v>215</v>
      </c>
      <c r="AG3203" s="3" t="s">
        <v>8078</v>
      </c>
      <c r="AH3203" s="11">
        <f>HYPERLINK("https://my.pitchbook.com?c=166977-28T","View Company Online")</f>
      </c>
    </row>
    <row r="3204">
      <c r="A3204" s="12" t="s">
        <v>16787</v>
      </c>
      <c r="B3204" s="12" t="s">
        <v>7986</v>
      </c>
      <c r="C3204" s="19" t="s">
        <v>36</v>
      </c>
      <c r="D3204" s="19" t="s">
        <v>36</v>
      </c>
      <c r="E3204" s="19" t="s">
        <v>36</v>
      </c>
      <c r="F3204" s="19" t="s">
        <v>36</v>
      </c>
      <c r="G3204" s="15" t="s">
        <v>36</v>
      </c>
      <c r="H3204" s="14" t="s">
        <v>36</v>
      </c>
      <c r="I3204" s="18" t="s">
        <v>36</v>
      </c>
      <c r="J3204" s="12" t="s">
        <v>36</v>
      </c>
      <c r="K3204" s="13">
        <v>44299</v>
      </c>
      <c r="L3204" s="15" t="s">
        <v>4010</v>
      </c>
      <c r="M3204" s="12" t="s">
        <v>36</v>
      </c>
      <c r="N3204" s="12" t="s">
        <v>4010</v>
      </c>
      <c r="O3204" s="17" t="s">
        <v>36</v>
      </c>
      <c r="P3204" s="12" t="s">
        <v>36</v>
      </c>
      <c r="Q3204" s="12" t="s">
        <v>36</v>
      </c>
      <c r="R3204" s="12" t="s">
        <v>36</v>
      </c>
      <c r="S3204" s="12" t="s">
        <v>5151</v>
      </c>
      <c r="T3204" s="12" t="s">
        <v>4974</v>
      </c>
      <c r="U3204" s="12" t="s">
        <v>38</v>
      </c>
      <c r="V3204" s="12" t="s">
        <v>39</v>
      </c>
      <c r="W3204" s="12" t="s">
        <v>7987</v>
      </c>
      <c r="X3204" s="16" t="s">
        <v>16788</v>
      </c>
      <c r="Y3204" s="15" t="s">
        <v>108</v>
      </c>
      <c r="Z3204" s="14">
        <v>7.11</v>
      </c>
      <c r="AA3204" s="14" t="s">
        <v>36</v>
      </c>
      <c r="AB3204" s="12" t="s">
        <v>43</v>
      </c>
      <c r="AC3204" s="12" t="s">
        <v>7988</v>
      </c>
      <c r="AD3204" s="13">
        <v>44301</v>
      </c>
      <c r="AE3204" s="12" t="s">
        <v>134</v>
      </c>
      <c r="AF3204" s="12" t="s">
        <v>7989</v>
      </c>
      <c r="AG3204" s="12" t="s">
        <v>1078</v>
      </c>
      <c r="AH3204" s="1">
        <f>HYPERLINK("https://my.pitchbook.com?c=170240-23T","View Company Online")</f>
      </c>
    </row>
    <row r="3205">
      <c r="A3205" s="3" t="s">
        <v>16789</v>
      </c>
      <c r="B3205" s="3" t="s">
        <v>16790</v>
      </c>
      <c r="C3205" s="5" t="s">
        <v>36</v>
      </c>
      <c r="D3205" s="5" t="s">
        <v>36</v>
      </c>
      <c r="E3205" s="5" t="s">
        <v>36</v>
      </c>
      <c r="F3205" s="5" t="s">
        <v>36</v>
      </c>
      <c r="G3205" s="6" t="s">
        <v>36</v>
      </c>
      <c r="H3205" s="4">
        <v>155.78</v>
      </c>
      <c r="I3205" s="7">
        <v>28.49</v>
      </c>
      <c r="J3205" s="3" t="s">
        <v>521</v>
      </c>
      <c r="K3205" s="9" t="s">
        <v>36</v>
      </c>
      <c r="L3205" s="6" t="s">
        <v>36</v>
      </c>
      <c r="M3205" s="3" t="s">
        <v>36</v>
      </c>
      <c r="N3205" s="3" t="s">
        <v>36</v>
      </c>
      <c r="O3205" s="8" t="s">
        <v>36</v>
      </c>
      <c r="P3205" s="3" t="s">
        <v>36</v>
      </c>
      <c r="Q3205" s="3" t="s">
        <v>36</v>
      </c>
      <c r="R3205" s="3" t="s">
        <v>36</v>
      </c>
      <c r="S3205" s="3" t="s">
        <v>36</v>
      </c>
      <c r="T3205" s="3" t="s">
        <v>1701</v>
      </c>
      <c r="U3205" s="3" t="s">
        <v>74</v>
      </c>
      <c r="V3205" s="3" t="s">
        <v>75</v>
      </c>
      <c r="W3205" s="3" t="s">
        <v>16791</v>
      </c>
      <c r="X3205" s="10" t="s">
        <v>7099</v>
      </c>
      <c r="Y3205" s="6" t="s">
        <v>42</v>
      </c>
      <c r="Z3205" s="4">
        <v>0.24</v>
      </c>
      <c r="AA3205" s="4">
        <v>0.83</v>
      </c>
      <c r="AB3205" s="3" t="s">
        <v>56</v>
      </c>
      <c r="AC3205" s="3" t="s">
        <v>16792</v>
      </c>
      <c r="AD3205" s="9">
        <v>44301</v>
      </c>
      <c r="AE3205" s="3" t="s">
        <v>79</v>
      </c>
      <c r="AF3205" s="3" t="s">
        <v>80</v>
      </c>
      <c r="AG3205" s="3" t="s">
        <v>969</v>
      </c>
      <c r="AH3205" s="11">
        <f>HYPERLINK("https://my.pitchbook.com?c=204460-57T","View Company Online")</f>
      </c>
    </row>
    <row r="3206">
      <c r="A3206" s="12" t="s">
        <v>16793</v>
      </c>
      <c r="B3206" s="12" t="s">
        <v>16794</v>
      </c>
      <c r="C3206" s="19" t="s">
        <v>36</v>
      </c>
      <c r="D3206" s="19" t="s">
        <v>36</v>
      </c>
      <c r="E3206" s="19" t="s">
        <v>36</v>
      </c>
      <c r="F3206" s="19" t="s">
        <v>36</v>
      </c>
      <c r="G3206" s="15" t="s">
        <v>36</v>
      </c>
      <c r="H3206" s="14" t="s">
        <v>36</v>
      </c>
      <c r="I3206" s="18" t="s">
        <v>36</v>
      </c>
      <c r="J3206" s="12" t="s">
        <v>36</v>
      </c>
      <c r="K3206" s="13" t="s">
        <v>36</v>
      </c>
      <c r="L3206" s="15" t="s">
        <v>36</v>
      </c>
      <c r="M3206" s="12" t="s">
        <v>36</v>
      </c>
      <c r="N3206" s="12" t="s">
        <v>36</v>
      </c>
      <c r="O3206" s="17" t="s">
        <v>36</v>
      </c>
      <c r="P3206" s="12" t="s">
        <v>36</v>
      </c>
      <c r="Q3206" s="12" t="s">
        <v>36</v>
      </c>
      <c r="R3206" s="12" t="s">
        <v>36</v>
      </c>
      <c r="S3206" s="12" t="s">
        <v>6531</v>
      </c>
      <c r="T3206" s="12" t="s">
        <v>16795</v>
      </c>
      <c r="U3206" s="12" t="s">
        <v>63</v>
      </c>
      <c r="V3206" s="12" t="s">
        <v>64</v>
      </c>
      <c r="W3206" s="12" t="s">
        <v>16796</v>
      </c>
      <c r="X3206" s="16" t="s">
        <v>16797</v>
      </c>
      <c r="Y3206" s="15" t="s">
        <v>42</v>
      </c>
      <c r="Z3206" s="14">
        <v>11.86</v>
      </c>
      <c r="AA3206" s="14" t="s">
        <v>36</v>
      </c>
      <c r="AB3206" s="12" t="s">
        <v>43</v>
      </c>
      <c r="AC3206" s="12" t="s">
        <v>16798</v>
      </c>
      <c r="AD3206" s="13">
        <v>44301</v>
      </c>
      <c r="AE3206" s="12" t="s">
        <v>68</v>
      </c>
      <c r="AF3206" s="12" t="s">
        <v>938</v>
      </c>
      <c r="AG3206" s="12" t="s">
        <v>81</v>
      </c>
      <c r="AH3206" s="1">
        <f>HYPERLINK("https://my.pitchbook.com?c=170865-28T","View Company Online")</f>
      </c>
    </row>
    <row r="3207">
      <c r="A3207" s="3" t="s">
        <v>16799</v>
      </c>
      <c r="B3207" s="3" t="s">
        <v>8070</v>
      </c>
      <c r="C3207" s="5" t="s">
        <v>36</v>
      </c>
      <c r="D3207" s="5" t="s">
        <v>36</v>
      </c>
      <c r="E3207" s="5" t="s">
        <v>36</v>
      </c>
      <c r="F3207" s="5" t="s">
        <v>36</v>
      </c>
      <c r="G3207" s="6" t="s">
        <v>326</v>
      </c>
      <c r="H3207" s="4">
        <v>87.01</v>
      </c>
      <c r="I3207" s="7">
        <v>18.62</v>
      </c>
      <c r="J3207" s="3" t="s">
        <v>521</v>
      </c>
      <c r="K3207" s="9" t="s">
        <v>36</v>
      </c>
      <c r="L3207" s="6" t="s">
        <v>11769</v>
      </c>
      <c r="M3207" s="3" t="s">
        <v>36</v>
      </c>
      <c r="N3207" s="3" t="s">
        <v>11769</v>
      </c>
      <c r="O3207" s="8" t="s">
        <v>36</v>
      </c>
      <c r="P3207" s="3" t="s">
        <v>36</v>
      </c>
      <c r="Q3207" s="3" t="s">
        <v>36</v>
      </c>
      <c r="R3207" s="3" t="s">
        <v>36</v>
      </c>
      <c r="S3207" s="3" t="s">
        <v>36</v>
      </c>
      <c r="T3207" s="3" t="s">
        <v>2558</v>
      </c>
      <c r="U3207" s="3" t="s">
        <v>38</v>
      </c>
      <c r="V3207" s="3" t="s">
        <v>39</v>
      </c>
      <c r="W3207" s="3" t="s">
        <v>8071</v>
      </c>
      <c r="X3207" s="10" t="s">
        <v>16800</v>
      </c>
      <c r="Y3207" s="6" t="s">
        <v>42</v>
      </c>
      <c r="Z3207" s="4">
        <v>1.18</v>
      </c>
      <c r="AA3207" s="4">
        <v>6.35</v>
      </c>
      <c r="AB3207" s="3" t="s">
        <v>43</v>
      </c>
      <c r="AC3207" s="3" t="s">
        <v>8073</v>
      </c>
      <c r="AD3207" s="9">
        <v>44300</v>
      </c>
      <c r="AE3207" s="3" t="s">
        <v>110</v>
      </c>
      <c r="AF3207" s="3" t="s">
        <v>2759</v>
      </c>
      <c r="AG3207" s="3" t="s">
        <v>6068</v>
      </c>
      <c r="AH3207" s="11">
        <f>HYPERLINK("https://my.pitchbook.com?c=172004-41T","View Company Online")</f>
      </c>
    </row>
    <row r="3208">
      <c r="A3208" s="12" t="s">
        <v>16801</v>
      </c>
      <c r="B3208" s="12" t="s">
        <v>16802</v>
      </c>
      <c r="C3208" s="19" t="s">
        <v>36</v>
      </c>
      <c r="D3208" s="19">
        <v>3</v>
      </c>
      <c r="E3208" s="19">
        <v>1</v>
      </c>
      <c r="F3208" s="19">
        <v>4</v>
      </c>
      <c r="G3208" s="15" t="s">
        <v>36</v>
      </c>
      <c r="H3208" s="14" t="s">
        <v>36</v>
      </c>
      <c r="I3208" s="18" t="s">
        <v>36</v>
      </c>
      <c r="J3208" s="12" t="s">
        <v>36</v>
      </c>
      <c r="K3208" s="13" t="s">
        <v>36</v>
      </c>
      <c r="L3208" s="15" t="s">
        <v>36</v>
      </c>
      <c r="M3208" s="12" t="s">
        <v>36</v>
      </c>
      <c r="N3208" s="12" t="s">
        <v>36</v>
      </c>
      <c r="O3208" s="17" t="s">
        <v>36</v>
      </c>
      <c r="P3208" s="12" t="s">
        <v>36</v>
      </c>
      <c r="Q3208" s="12" t="s">
        <v>36</v>
      </c>
      <c r="R3208" s="12" t="s">
        <v>36</v>
      </c>
      <c r="S3208" s="12" t="s">
        <v>36</v>
      </c>
      <c r="T3208" s="12" t="s">
        <v>16803</v>
      </c>
      <c r="U3208" s="12" t="s">
        <v>1580</v>
      </c>
      <c r="V3208" s="12" t="s">
        <v>39</v>
      </c>
      <c r="W3208" s="12" t="s">
        <v>16804</v>
      </c>
      <c r="X3208" s="16" t="s">
        <v>16805</v>
      </c>
      <c r="Y3208" s="15" t="s">
        <v>55</v>
      </c>
      <c r="Z3208" s="14">
        <v>2.84</v>
      </c>
      <c r="AA3208" s="14" t="s">
        <v>36</v>
      </c>
      <c r="AB3208" s="12" t="s">
        <v>56</v>
      </c>
      <c r="AC3208" s="12" t="s">
        <v>16806</v>
      </c>
      <c r="AD3208" s="13">
        <v>44300</v>
      </c>
      <c r="AE3208" s="12" t="s">
        <v>4086</v>
      </c>
      <c r="AF3208" s="12" t="s">
        <v>7294</v>
      </c>
      <c r="AG3208" s="12" t="s">
        <v>81</v>
      </c>
      <c r="AH3208" s="1">
        <f>HYPERLINK("https://my.pitchbook.com?c=170320-78T","View Company Online")</f>
      </c>
    </row>
    <row r="3209">
      <c r="A3209" s="3" t="s">
        <v>16807</v>
      </c>
      <c r="B3209" s="3" t="s">
        <v>5110</v>
      </c>
      <c r="C3209" s="5">
        <v>11</v>
      </c>
      <c r="D3209" s="5">
        <v>21</v>
      </c>
      <c r="E3209" s="5">
        <v>7</v>
      </c>
      <c r="F3209" s="5">
        <v>32</v>
      </c>
      <c r="G3209" s="6" t="s">
        <v>326</v>
      </c>
      <c r="H3209" s="4">
        <v>493.32</v>
      </c>
      <c r="I3209" s="7">
        <v>26.76</v>
      </c>
      <c r="J3209" s="3" t="s">
        <v>521</v>
      </c>
      <c r="K3209" s="9" t="s">
        <v>36</v>
      </c>
      <c r="L3209" s="6" t="s">
        <v>36</v>
      </c>
      <c r="M3209" s="3" t="s">
        <v>36</v>
      </c>
      <c r="N3209" s="3" t="s">
        <v>36</v>
      </c>
      <c r="O3209" s="8" t="s">
        <v>36</v>
      </c>
      <c r="P3209" s="3" t="s">
        <v>36</v>
      </c>
      <c r="Q3209" s="3" t="s">
        <v>36</v>
      </c>
      <c r="R3209" s="3" t="s">
        <v>36</v>
      </c>
      <c r="S3209" s="3" t="s">
        <v>36</v>
      </c>
      <c r="T3209" s="3" t="s">
        <v>2121</v>
      </c>
      <c r="U3209" s="3" t="s">
        <v>387</v>
      </c>
      <c r="V3209" s="3" t="s">
        <v>367</v>
      </c>
      <c r="W3209" s="3" t="s">
        <v>5111</v>
      </c>
      <c r="X3209" s="10" t="s">
        <v>16808</v>
      </c>
      <c r="Y3209" s="6" t="s">
        <v>108</v>
      </c>
      <c r="Z3209" s="4">
        <v>6.16</v>
      </c>
      <c r="AA3209" s="4">
        <v>13.29</v>
      </c>
      <c r="AB3209" s="3" t="s">
        <v>56</v>
      </c>
      <c r="AC3209" s="3" t="s">
        <v>5113</v>
      </c>
      <c r="AD3209" s="9">
        <v>44300</v>
      </c>
      <c r="AE3209" s="3" t="s">
        <v>391</v>
      </c>
      <c r="AF3209" s="3" t="s">
        <v>871</v>
      </c>
      <c r="AG3209" s="3" t="s">
        <v>5114</v>
      </c>
      <c r="AH3209" s="11">
        <f>HYPERLINK("https://my.pitchbook.com?c=170361-82T","View Company Online")</f>
      </c>
    </row>
    <row r="3210">
      <c r="A3210" s="12" t="s">
        <v>16809</v>
      </c>
      <c r="B3210" s="12" t="s">
        <v>3635</v>
      </c>
      <c r="C3210" s="19" t="s">
        <v>36</v>
      </c>
      <c r="D3210" s="19" t="s">
        <v>36</v>
      </c>
      <c r="E3210" s="19" t="s">
        <v>36</v>
      </c>
      <c r="F3210" s="19" t="s">
        <v>36</v>
      </c>
      <c r="G3210" s="15" t="s">
        <v>36</v>
      </c>
      <c r="H3210" s="14" t="s">
        <v>36</v>
      </c>
      <c r="I3210" s="18" t="s">
        <v>36</v>
      </c>
      <c r="J3210" s="12" t="s">
        <v>36</v>
      </c>
      <c r="K3210" s="13">
        <v>44176</v>
      </c>
      <c r="L3210" s="15" t="s">
        <v>36</v>
      </c>
      <c r="M3210" s="12" t="s">
        <v>36</v>
      </c>
      <c r="N3210" s="12" t="s">
        <v>36</v>
      </c>
      <c r="O3210" s="17" t="s">
        <v>36</v>
      </c>
      <c r="P3210" s="12" t="s">
        <v>36</v>
      </c>
      <c r="Q3210" s="12" t="s">
        <v>36</v>
      </c>
      <c r="R3210" s="12" t="s">
        <v>36</v>
      </c>
      <c r="S3210" s="12" t="s">
        <v>36</v>
      </c>
      <c r="T3210" s="12" t="s">
        <v>1893</v>
      </c>
      <c r="U3210" s="12" t="s">
        <v>648</v>
      </c>
      <c r="V3210" s="12" t="s">
        <v>64</v>
      </c>
      <c r="W3210" s="12" t="s">
        <v>3636</v>
      </c>
      <c r="X3210" s="16" t="s">
        <v>16810</v>
      </c>
      <c r="Y3210" s="15" t="s">
        <v>108</v>
      </c>
      <c r="Z3210" s="14">
        <v>4.74</v>
      </c>
      <c r="AA3210" s="14" t="s">
        <v>36</v>
      </c>
      <c r="AB3210" s="12" t="s">
        <v>43</v>
      </c>
      <c r="AC3210" s="12" t="s">
        <v>3638</v>
      </c>
      <c r="AD3210" s="13">
        <v>44300</v>
      </c>
      <c r="AE3210" s="12" t="s">
        <v>1897</v>
      </c>
      <c r="AF3210" s="12" t="s">
        <v>1115</v>
      </c>
      <c r="AG3210" s="12" t="s">
        <v>3492</v>
      </c>
      <c r="AH3210" s="1">
        <f>HYPERLINK("https://my.pitchbook.com?c=134035-57T","View Company Online")</f>
      </c>
    </row>
    <row r="3211">
      <c r="A3211" s="3" t="s">
        <v>16811</v>
      </c>
      <c r="B3211" s="3" t="s">
        <v>16812</v>
      </c>
      <c r="C3211" s="5" t="s">
        <v>36</v>
      </c>
      <c r="D3211" s="5" t="s">
        <v>36</v>
      </c>
      <c r="E3211" s="5" t="s">
        <v>36</v>
      </c>
      <c r="F3211" s="5" t="s">
        <v>36</v>
      </c>
      <c r="G3211" s="6" t="s">
        <v>36</v>
      </c>
      <c r="H3211" s="4">
        <v>145.4</v>
      </c>
      <c r="I3211" s="7">
        <v>26.32</v>
      </c>
      <c r="J3211" s="3" t="s">
        <v>521</v>
      </c>
      <c r="K3211" s="9" t="s">
        <v>36</v>
      </c>
      <c r="L3211" s="6" t="s">
        <v>36</v>
      </c>
      <c r="M3211" s="3" t="s">
        <v>36</v>
      </c>
      <c r="N3211" s="3" t="s">
        <v>36</v>
      </c>
      <c r="O3211" s="8" t="s">
        <v>36</v>
      </c>
      <c r="P3211" s="3" t="s">
        <v>36</v>
      </c>
      <c r="Q3211" s="3" t="s">
        <v>36</v>
      </c>
      <c r="R3211" s="3" t="s">
        <v>36</v>
      </c>
      <c r="S3211" s="3" t="s">
        <v>2699</v>
      </c>
      <c r="T3211" s="3" t="s">
        <v>16813</v>
      </c>
      <c r="U3211" s="3" t="s">
        <v>619</v>
      </c>
      <c r="V3211" s="3" t="s">
        <v>378</v>
      </c>
      <c r="W3211" s="3" t="s">
        <v>16814</v>
      </c>
      <c r="X3211" s="10" t="s">
        <v>16815</v>
      </c>
      <c r="Y3211" s="6" t="s">
        <v>42</v>
      </c>
      <c r="Z3211" s="4">
        <v>2.37</v>
      </c>
      <c r="AA3211" s="4">
        <v>4.5</v>
      </c>
      <c r="AB3211" s="3" t="s">
        <v>43</v>
      </c>
      <c r="AC3211" s="3" t="s">
        <v>16816</v>
      </c>
      <c r="AD3211" s="9">
        <v>44299</v>
      </c>
      <c r="AE3211" s="3" t="s">
        <v>2040</v>
      </c>
      <c r="AF3211" s="3" t="s">
        <v>7975</v>
      </c>
      <c r="AG3211" s="3" t="s">
        <v>102</v>
      </c>
      <c r="AH3211" s="11">
        <f>HYPERLINK("https://my.pitchbook.com?c=170332-57T","View Company Online")</f>
      </c>
    </row>
    <row r="3212">
      <c r="A3212" s="12" t="s">
        <v>16817</v>
      </c>
      <c r="B3212" s="12" t="s">
        <v>16818</v>
      </c>
      <c r="C3212" s="19" t="s">
        <v>36</v>
      </c>
      <c r="D3212" s="19" t="s">
        <v>36</v>
      </c>
      <c r="E3212" s="19" t="s">
        <v>36</v>
      </c>
      <c r="F3212" s="19" t="s">
        <v>36</v>
      </c>
      <c r="G3212" s="15" t="s">
        <v>36</v>
      </c>
      <c r="H3212" s="14" t="s">
        <v>36</v>
      </c>
      <c r="I3212" s="18" t="s">
        <v>36</v>
      </c>
      <c r="J3212" s="12" t="s">
        <v>36</v>
      </c>
      <c r="K3212" s="13" t="s">
        <v>36</v>
      </c>
      <c r="L3212" s="15" t="s">
        <v>36</v>
      </c>
      <c r="M3212" s="12" t="s">
        <v>36</v>
      </c>
      <c r="N3212" s="12" t="s">
        <v>36</v>
      </c>
      <c r="O3212" s="17" t="s">
        <v>36</v>
      </c>
      <c r="P3212" s="12" t="s">
        <v>36</v>
      </c>
      <c r="Q3212" s="12" t="s">
        <v>36</v>
      </c>
      <c r="R3212" s="12" t="s">
        <v>36</v>
      </c>
      <c r="S3212" s="12" t="s">
        <v>36</v>
      </c>
      <c r="T3212" s="12" t="s">
        <v>16819</v>
      </c>
      <c r="U3212" s="12" t="s">
        <v>233</v>
      </c>
      <c r="V3212" s="12" t="s">
        <v>39</v>
      </c>
      <c r="W3212" s="12" t="s">
        <v>16820</v>
      </c>
      <c r="X3212" s="16" t="s">
        <v>16821</v>
      </c>
      <c r="Y3212" s="15" t="s">
        <v>42</v>
      </c>
      <c r="Z3212" s="14">
        <v>1.78</v>
      </c>
      <c r="AA3212" s="14" t="s">
        <v>36</v>
      </c>
      <c r="AB3212" s="12" t="s">
        <v>56</v>
      </c>
      <c r="AC3212" s="12" t="s">
        <v>16822</v>
      </c>
      <c r="AD3212" s="13">
        <v>44298</v>
      </c>
      <c r="AE3212" s="12" t="s">
        <v>236</v>
      </c>
      <c r="AF3212" s="12" t="s">
        <v>9319</v>
      </c>
      <c r="AG3212" s="12" t="s">
        <v>16823</v>
      </c>
      <c r="AH3212" s="1">
        <f>HYPERLINK("https://my.pitchbook.com?c=170543-89T","View Company Online")</f>
      </c>
    </row>
    <row r="3213">
      <c r="A3213" s="3" t="s">
        <v>16824</v>
      </c>
      <c r="B3213" s="3" t="s">
        <v>349</v>
      </c>
      <c r="C3213" s="5" t="s">
        <v>36</v>
      </c>
      <c r="D3213" s="5" t="s">
        <v>36</v>
      </c>
      <c r="E3213" s="5" t="s">
        <v>36</v>
      </c>
      <c r="F3213" s="5" t="s">
        <v>36</v>
      </c>
      <c r="G3213" s="6" t="s">
        <v>36</v>
      </c>
      <c r="H3213" s="4">
        <v>841.11</v>
      </c>
      <c r="I3213" s="7">
        <v>24.66</v>
      </c>
      <c r="J3213" s="3" t="s">
        <v>521</v>
      </c>
      <c r="K3213" s="9" t="s">
        <v>36</v>
      </c>
      <c r="L3213" s="6" t="s">
        <v>36</v>
      </c>
      <c r="M3213" s="3" t="s">
        <v>36</v>
      </c>
      <c r="N3213" s="3" t="s">
        <v>36</v>
      </c>
      <c r="O3213" s="8" t="s">
        <v>36</v>
      </c>
      <c r="P3213" s="3" t="s">
        <v>36</v>
      </c>
      <c r="Q3213" s="3" t="s">
        <v>36</v>
      </c>
      <c r="R3213" s="3" t="s">
        <v>36</v>
      </c>
      <c r="S3213" s="3" t="s">
        <v>36</v>
      </c>
      <c r="T3213" s="3" t="s">
        <v>350</v>
      </c>
      <c r="U3213" s="3" t="s">
        <v>38</v>
      </c>
      <c r="V3213" s="3" t="s">
        <v>39</v>
      </c>
      <c r="W3213" s="3" t="s">
        <v>351</v>
      </c>
      <c r="X3213" s="10" t="s">
        <v>16825</v>
      </c>
      <c r="Y3213" s="6" t="s">
        <v>42</v>
      </c>
      <c r="Z3213" s="4">
        <v>0.94</v>
      </c>
      <c r="AA3213" s="4">
        <v>3.82</v>
      </c>
      <c r="AB3213" s="3" t="s">
        <v>43</v>
      </c>
      <c r="AC3213" s="3" t="s">
        <v>353</v>
      </c>
      <c r="AD3213" s="9">
        <v>44298</v>
      </c>
      <c r="AE3213" s="3" t="s">
        <v>110</v>
      </c>
      <c r="AF3213" s="3" t="s">
        <v>354</v>
      </c>
      <c r="AG3213" s="3" t="s">
        <v>355</v>
      </c>
      <c r="AH3213" s="11">
        <f>HYPERLINK("https://my.pitchbook.com?c=174300-13T","View Company Online")</f>
      </c>
    </row>
    <row r="3214">
      <c r="A3214" s="12" t="s">
        <v>16826</v>
      </c>
      <c r="B3214" s="12" t="s">
        <v>15322</v>
      </c>
      <c r="C3214" s="19" t="s">
        <v>36</v>
      </c>
      <c r="D3214" s="19" t="s">
        <v>36</v>
      </c>
      <c r="E3214" s="19" t="s">
        <v>36</v>
      </c>
      <c r="F3214" s="19" t="s">
        <v>36</v>
      </c>
      <c r="G3214" s="15" t="s">
        <v>36</v>
      </c>
      <c r="H3214" s="14" t="s">
        <v>36</v>
      </c>
      <c r="I3214" s="18" t="s">
        <v>36</v>
      </c>
      <c r="J3214" s="12" t="s">
        <v>36</v>
      </c>
      <c r="K3214" s="13" t="s">
        <v>36</v>
      </c>
      <c r="L3214" s="15" t="s">
        <v>36</v>
      </c>
      <c r="M3214" s="12" t="s">
        <v>36</v>
      </c>
      <c r="N3214" s="12" t="s">
        <v>36</v>
      </c>
      <c r="O3214" s="17" t="s">
        <v>36</v>
      </c>
      <c r="P3214" s="12" t="s">
        <v>36</v>
      </c>
      <c r="Q3214" s="12" t="s">
        <v>36</v>
      </c>
      <c r="R3214" s="12" t="s">
        <v>36</v>
      </c>
      <c r="S3214" s="12" t="s">
        <v>36</v>
      </c>
      <c r="T3214" s="12" t="s">
        <v>15323</v>
      </c>
      <c r="U3214" s="12" t="s">
        <v>366</v>
      </c>
      <c r="V3214" s="12" t="s">
        <v>367</v>
      </c>
      <c r="W3214" s="12" t="s">
        <v>15324</v>
      </c>
      <c r="X3214" s="16" t="s">
        <v>16827</v>
      </c>
      <c r="Y3214" s="15" t="s">
        <v>42</v>
      </c>
      <c r="Z3214" s="14">
        <v>4.74</v>
      </c>
      <c r="AA3214" s="14" t="s">
        <v>36</v>
      </c>
      <c r="AB3214" s="12" t="s">
        <v>56</v>
      </c>
      <c r="AC3214" s="12" t="s">
        <v>15326</v>
      </c>
      <c r="AD3214" s="13">
        <v>44294</v>
      </c>
      <c r="AE3214" s="12" t="s">
        <v>600</v>
      </c>
      <c r="AF3214" s="12" t="s">
        <v>982</v>
      </c>
      <c r="AG3214" s="12" t="s">
        <v>81</v>
      </c>
      <c r="AH3214" s="1">
        <f>HYPERLINK("https://my.pitchbook.com?c=170100-73T","View Company Online")</f>
      </c>
    </row>
    <row r="3215">
      <c r="A3215" s="3" t="s">
        <v>16828</v>
      </c>
      <c r="B3215" s="3" t="s">
        <v>16829</v>
      </c>
      <c r="C3215" s="5" t="s">
        <v>36</v>
      </c>
      <c r="D3215" s="5" t="s">
        <v>36</v>
      </c>
      <c r="E3215" s="5" t="s">
        <v>36</v>
      </c>
      <c r="F3215" s="5" t="s">
        <v>36</v>
      </c>
      <c r="G3215" s="6" t="s">
        <v>36</v>
      </c>
      <c r="H3215" s="4" t="s">
        <v>36</v>
      </c>
      <c r="I3215" s="7">
        <v>39.38</v>
      </c>
      <c r="J3215" s="3" t="s">
        <v>521</v>
      </c>
      <c r="K3215" s="9" t="s">
        <v>36</v>
      </c>
      <c r="L3215" s="6" t="s">
        <v>11769</v>
      </c>
      <c r="M3215" s="3" t="s">
        <v>36</v>
      </c>
      <c r="N3215" s="3" t="s">
        <v>11769</v>
      </c>
      <c r="O3215" s="8" t="s">
        <v>36</v>
      </c>
      <c r="P3215" s="3" t="s">
        <v>36</v>
      </c>
      <c r="Q3215" s="3" t="s">
        <v>36</v>
      </c>
      <c r="R3215" s="3" t="s">
        <v>36</v>
      </c>
      <c r="S3215" s="3" t="s">
        <v>36</v>
      </c>
      <c r="T3215" s="3" t="s">
        <v>8569</v>
      </c>
      <c r="U3215" s="3" t="s">
        <v>1357</v>
      </c>
      <c r="V3215" s="3" t="s">
        <v>52</v>
      </c>
      <c r="W3215" s="3" t="s">
        <v>16830</v>
      </c>
      <c r="X3215" s="10" t="s">
        <v>16831</v>
      </c>
      <c r="Y3215" s="6" t="s">
        <v>108</v>
      </c>
      <c r="Z3215" s="4">
        <v>1.66</v>
      </c>
      <c r="AA3215" s="4">
        <v>13.91</v>
      </c>
      <c r="AB3215" s="3" t="s">
        <v>43</v>
      </c>
      <c r="AC3215" s="3" t="s">
        <v>16832</v>
      </c>
      <c r="AD3215" s="9">
        <v>44294</v>
      </c>
      <c r="AE3215" s="3" t="s">
        <v>3204</v>
      </c>
      <c r="AF3215" s="3" t="s">
        <v>7086</v>
      </c>
      <c r="AG3215" s="3" t="s">
        <v>81</v>
      </c>
      <c r="AH3215" s="11">
        <f>HYPERLINK("https://my.pitchbook.com?c=170259-67T","View Company Online")</f>
      </c>
    </row>
    <row r="3216">
      <c r="A3216" s="12" t="s">
        <v>16833</v>
      </c>
      <c r="B3216" s="12" t="s">
        <v>16834</v>
      </c>
      <c r="C3216" s="19" t="s">
        <v>36</v>
      </c>
      <c r="D3216" s="19">
        <v>33</v>
      </c>
      <c r="E3216" s="19">
        <v>14</v>
      </c>
      <c r="F3216" s="19">
        <v>34</v>
      </c>
      <c r="G3216" s="15" t="s">
        <v>2497</v>
      </c>
      <c r="H3216" s="14">
        <v>10.03</v>
      </c>
      <c r="I3216" s="18">
        <v>10.42</v>
      </c>
      <c r="J3216" s="12" t="s">
        <v>521</v>
      </c>
      <c r="K3216" s="13" t="s">
        <v>36</v>
      </c>
      <c r="L3216" s="15" t="s">
        <v>36</v>
      </c>
      <c r="M3216" s="12" t="s">
        <v>36</v>
      </c>
      <c r="N3216" s="12" t="s">
        <v>36</v>
      </c>
      <c r="O3216" s="17" t="s">
        <v>36</v>
      </c>
      <c r="P3216" s="12" t="s">
        <v>36</v>
      </c>
      <c r="Q3216" s="12" t="s">
        <v>36</v>
      </c>
      <c r="R3216" s="12" t="s">
        <v>36</v>
      </c>
      <c r="S3216" s="12" t="s">
        <v>36</v>
      </c>
      <c r="T3216" s="12" t="s">
        <v>596</v>
      </c>
      <c r="U3216" s="12" t="s">
        <v>366</v>
      </c>
      <c r="V3216" s="12" t="s">
        <v>367</v>
      </c>
      <c r="W3216" s="12" t="s">
        <v>16835</v>
      </c>
      <c r="X3216" s="16" t="s">
        <v>16836</v>
      </c>
      <c r="Y3216" s="15" t="s">
        <v>166</v>
      </c>
      <c r="Z3216" s="14">
        <v>2.4</v>
      </c>
      <c r="AA3216" s="14">
        <v>23.01</v>
      </c>
      <c r="AB3216" s="12" t="s">
        <v>56</v>
      </c>
      <c r="AC3216" s="12" t="s">
        <v>16837</v>
      </c>
      <c r="AD3216" s="13">
        <v>44294</v>
      </c>
      <c r="AE3216" s="12" t="s">
        <v>600</v>
      </c>
      <c r="AF3216" s="12" t="s">
        <v>7379</v>
      </c>
      <c r="AG3216" s="12" t="s">
        <v>16838</v>
      </c>
      <c r="AH3216" s="1">
        <f>HYPERLINK("https://my.pitchbook.com?c=177669-10T","View Company Online")</f>
      </c>
    </row>
    <row r="3217">
      <c r="A3217" s="3" t="s">
        <v>16839</v>
      </c>
      <c r="B3217" s="3" t="s">
        <v>16840</v>
      </c>
      <c r="C3217" s="5" t="s">
        <v>36</v>
      </c>
      <c r="D3217" s="5" t="s">
        <v>36</v>
      </c>
      <c r="E3217" s="5" t="s">
        <v>36</v>
      </c>
      <c r="F3217" s="5" t="s">
        <v>36</v>
      </c>
      <c r="G3217" s="6" t="s">
        <v>36</v>
      </c>
      <c r="H3217" s="4">
        <v>3.75</v>
      </c>
      <c r="I3217" s="7">
        <v>44.02</v>
      </c>
      <c r="J3217" s="3" t="s">
        <v>521</v>
      </c>
      <c r="K3217" s="9" t="s">
        <v>36</v>
      </c>
      <c r="L3217" s="6" t="s">
        <v>122</v>
      </c>
      <c r="M3217" s="3" t="s">
        <v>36</v>
      </c>
      <c r="N3217" s="3" t="s">
        <v>122</v>
      </c>
      <c r="O3217" s="8" t="s">
        <v>36</v>
      </c>
      <c r="P3217" s="3" t="s">
        <v>36</v>
      </c>
      <c r="Q3217" s="3" t="s">
        <v>36</v>
      </c>
      <c r="R3217" s="3" t="s">
        <v>36</v>
      </c>
      <c r="S3217" s="3" t="s">
        <v>36</v>
      </c>
      <c r="T3217" s="3" t="s">
        <v>115</v>
      </c>
      <c r="U3217" s="3" t="s">
        <v>63</v>
      </c>
      <c r="V3217" s="3" t="s">
        <v>64</v>
      </c>
      <c r="W3217" s="3" t="s">
        <v>16841</v>
      </c>
      <c r="X3217" s="10" t="s">
        <v>16842</v>
      </c>
      <c r="Y3217" s="6" t="s">
        <v>42</v>
      </c>
      <c r="Z3217" s="4">
        <v>2.02</v>
      </c>
      <c r="AA3217" s="4">
        <v>4.59</v>
      </c>
      <c r="AB3217" s="3" t="s">
        <v>43</v>
      </c>
      <c r="AC3217" s="3" t="s">
        <v>16843</v>
      </c>
      <c r="AD3217" s="9">
        <v>44293</v>
      </c>
      <c r="AE3217" s="3" t="s">
        <v>68</v>
      </c>
      <c r="AF3217" s="3" t="s">
        <v>36</v>
      </c>
      <c r="AG3217" s="3" t="s">
        <v>81</v>
      </c>
      <c r="AH3217" s="11">
        <f>HYPERLINK("https://my.pitchbook.com?c=170963-65T","View Company Online")</f>
      </c>
    </row>
    <row r="3218">
      <c r="A3218" s="12" t="s">
        <v>16844</v>
      </c>
      <c r="B3218" s="12" t="s">
        <v>6057</v>
      </c>
      <c r="C3218" s="19" t="s">
        <v>36</v>
      </c>
      <c r="D3218" s="19" t="s">
        <v>36</v>
      </c>
      <c r="E3218" s="19" t="s">
        <v>36</v>
      </c>
      <c r="F3218" s="19" t="s">
        <v>36</v>
      </c>
      <c r="G3218" s="15" t="s">
        <v>683</v>
      </c>
      <c r="H3218" s="14">
        <v>10.71</v>
      </c>
      <c r="I3218" s="18">
        <v>21.03</v>
      </c>
      <c r="J3218" s="12" t="s">
        <v>521</v>
      </c>
      <c r="K3218" s="13" t="s">
        <v>36</v>
      </c>
      <c r="L3218" s="15" t="s">
        <v>36</v>
      </c>
      <c r="M3218" s="12" t="s">
        <v>36</v>
      </c>
      <c r="N3218" s="12" t="s">
        <v>36</v>
      </c>
      <c r="O3218" s="17" t="s">
        <v>36</v>
      </c>
      <c r="P3218" s="12" t="s">
        <v>36</v>
      </c>
      <c r="Q3218" s="12" t="s">
        <v>36</v>
      </c>
      <c r="R3218" s="12" t="s">
        <v>36</v>
      </c>
      <c r="S3218" s="12" t="s">
        <v>36</v>
      </c>
      <c r="T3218" s="12" t="s">
        <v>6058</v>
      </c>
      <c r="U3218" s="12" t="s">
        <v>38</v>
      </c>
      <c r="V3218" s="12" t="s">
        <v>39</v>
      </c>
      <c r="W3218" s="12" t="s">
        <v>6059</v>
      </c>
      <c r="X3218" s="16" t="s">
        <v>16845</v>
      </c>
      <c r="Y3218" s="15" t="s">
        <v>108</v>
      </c>
      <c r="Z3218" s="14">
        <v>1.67</v>
      </c>
      <c r="AA3218" s="14">
        <v>7.92</v>
      </c>
      <c r="AB3218" s="12" t="s">
        <v>56</v>
      </c>
      <c r="AC3218" s="12" t="s">
        <v>6061</v>
      </c>
      <c r="AD3218" s="13">
        <v>44293</v>
      </c>
      <c r="AE3218" s="12" t="s">
        <v>688</v>
      </c>
      <c r="AF3218" s="12" t="s">
        <v>6062</v>
      </c>
      <c r="AG3218" s="12" t="s">
        <v>102</v>
      </c>
      <c r="AH3218" s="1">
        <f>HYPERLINK("https://my.pitchbook.com?c=180024-94T","View Company Online")</f>
      </c>
    </row>
    <row r="3219">
      <c r="A3219" s="3" t="s">
        <v>16846</v>
      </c>
      <c r="B3219" s="3" t="s">
        <v>4837</v>
      </c>
      <c r="C3219" s="5" t="s">
        <v>36</v>
      </c>
      <c r="D3219" s="5" t="s">
        <v>36</v>
      </c>
      <c r="E3219" s="5" t="s">
        <v>36</v>
      </c>
      <c r="F3219" s="5" t="s">
        <v>36</v>
      </c>
      <c r="G3219" s="6" t="s">
        <v>36</v>
      </c>
      <c r="H3219" s="4">
        <v>23.72</v>
      </c>
      <c r="I3219" s="7">
        <v>21.39</v>
      </c>
      <c r="J3219" s="3" t="s">
        <v>521</v>
      </c>
      <c r="K3219" s="9" t="s">
        <v>36</v>
      </c>
      <c r="L3219" s="6" t="s">
        <v>36</v>
      </c>
      <c r="M3219" s="3" t="s">
        <v>36</v>
      </c>
      <c r="N3219" s="3" t="s">
        <v>36</v>
      </c>
      <c r="O3219" s="8" t="s">
        <v>36</v>
      </c>
      <c r="P3219" s="3" t="s">
        <v>36</v>
      </c>
      <c r="Q3219" s="3" t="s">
        <v>36</v>
      </c>
      <c r="R3219" s="3" t="s">
        <v>36</v>
      </c>
      <c r="S3219" s="3" t="s">
        <v>36</v>
      </c>
      <c r="T3219" s="3" t="s">
        <v>4838</v>
      </c>
      <c r="U3219" s="3" t="s">
        <v>423</v>
      </c>
      <c r="V3219" s="3" t="s">
        <v>64</v>
      </c>
      <c r="W3219" s="3" t="s">
        <v>4839</v>
      </c>
      <c r="X3219" s="10" t="s">
        <v>16847</v>
      </c>
      <c r="Y3219" s="6" t="s">
        <v>42</v>
      </c>
      <c r="Z3219" s="4">
        <v>3.32</v>
      </c>
      <c r="AA3219" s="4">
        <v>12.12</v>
      </c>
      <c r="AB3219" s="3" t="s">
        <v>56</v>
      </c>
      <c r="AC3219" s="3" t="s">
        <v>4841</v>
      </c>
      <c r="AD3219" s="9">
        <v>44293</v>
      </c>
      <c r="AE3219" s="3" t="s">
        <v>562</v>
      </c>
      <c r="AF3219" s="3" t="s">
        <v>4842</v>
      </c>
      <c r="AG3219" s="3" t="s">
        <v>81</v>
      </c>
      <c r="AH3219" s="11">
        <f>HYPERLINK("https://my.pitchbook.com?c=180286-57T","View Company Online")</f>
      </c>
    </row>
    <row r="3220">
      <c r="A3220" s="12" t="s">
        <v>16848</v>
      </c>
      <c r="B3220" s="12" t="s">
        <v>7889</v>
      </c>
      <c r="C3220" s="19" t="s">
        <v>36</v>
      </c>
      <c r="D3220" s="19" t="s">
        <v>36</v>
      </c>
      <c r="E3220" s="19" t="s">
        <v>36</v>
      </c>
      <c r="F3220" s="19" t="s">
        <v>36</v>
      </c>
      <c r="G3220" s="15" t="s">
        <v>36</v>
      </c>
      <c r="H3220" s="14">
        <v>24.33</v>
      </c>
      <c r="I3220" s="18">
        <v>31.95</v>
      </c>
      <c r="J3220" s="12" t="s">
        <v>521</v>
      </c>
      <c r="K3220" s="13" t="s">
        <v>36</v>
      </c>
      <c r="L3220" s="15" t="s">
        <v>36</v>
      </c>
      <c r="M3220" s="12" t="s">
        <v>36</v>
      </c>
      <c r="N3220" s="12" t="s">
        <v>36</v>
      </c>
      <c r="O3220" s="17" t="s">
        <v>36</v>
      </c>
      <c r="P3220" s="12" t="s">
        <v>36</v>
      </c>
      <c r="Q3220" s="12" t="s">
        <v>36</v>
      </c>
      <c r="R3220" s="12" t="s">
        <v>36</v>
      </c>
      <c r="S3220" s="12" t="s">
        <v>36</v>
      </c>
      <c r="T3220" s="12" t="s">
        <v>7890</v>
      </c>
      <c r="U3220" s="12" t="s">
        <v>38</v>
      </c>
      <c r="V3220" s="12" t="s">
        <v>39</v>
      </c>
      <c r="W3220" s="12" t="s">
        <v>7891</v>
      </c>
      <c r="X3220" s="16" t="s">
        <v>16849</v>
      </c>
      <c r="Y3220" s="15" t="s">
        <v>108</v>
      </c>
      <c r="Z3220" s="14">
        <v>1.3</v>
      </c>
      <c r="AA3220" s="14">
        <v>4.08</v>
      </c>
      <c r="AB3220" s="12" t="s">
        <v>43</v>
      </c>
      <c r="AC3220" s="12" t="s">
        <v>7892</v>
      </c>
      <c r="AD3220" s="13">
        <v>44293</v>
      </c>
      <c r="AE3220" s="12" t="s">
        <v>45</v>
      </c>
      <c r="AF3220" s="12" t="s">
        <v>7893</v>
      </c>
      <c r="AG3220" s="12" t="s">
        <v>899</v>
      </c>
      <c r="AH3220" s="1">
        <f>HYPERLINK("https://my.pitchbook.com?c=171995-32T","View Company Online")</f>
      </c>
    </row>
    <row r="3221">
      <c r="A3221" s="3" t="s">
        <v>16850</v>
      </c>
      <c r="B3221" s="3" t="s">
        <v>16851</v>
      </c>
      <c r="C3221" s="5" t="s">
        <v>36</v>
      </c>
      <c r="D3221" s="5" t="s">
        <v>36</v>
      </c>
      <c r="E3221" s="5" t="s">
        <v>36</v>
      </c>
      <c r="F3221" s="5" t="s">
        <v>36</v>
      </c>
      <c r="G3221" s="6" t="s">
        <v>36</v>
      </c>
      <c r="H3221" s="4">
        <v>1831.22</v>
      </c>
      <c r="I3221" s="7">
        <v>37.9</v>
      </c>
      <c r="J3221" s="3" t="s">
        <v>521</v>
      </c>
      <c r="K3221" s="9" t="s">
        <v>36</v>
      </c>
      <c r="L3221" s="6" t="s">
        <v>36</v>
      </c>
      <c r="M3221" s="3" t="s">
        <v>36</v>
      </c>
      <c r="N3221" s="3" t="s">
        <v>36</v>
      </c>
      <c r="O3221" s="8" t="s">
        <v>36</v>
      </c>
      <c r="P3221" s="3" t="s">
        <v>36</v>
      </c>
      <c r="Q3221" s="3" t="s">
        <v>36</v>
      </c>
      <c r="R3221" s="3" t="s">
        <v>36</v>
      </c>
      <c r="S3221" s="3" t="s">
        <v>36</v>
      </c>
      <c r="T3221" s="3" t="s">
        <v>16852</v>
      </c>
      <c r="U3221" s="3" t="s">
        <v>38</v>
      </c>
      <c r="V3221" s="3" t="s">
        <v>39</v>
      </c>
      <c r="W3221" s="3" t="s">
        <v>16853</v>
      </c>
      <c r="X3221" s="10" t="s">
        <v>16854</v>
      </c>
      <c r="Y3221" s="6" t="s">
        <v>42</v>
      </c>
      <c r="Z3221" s="4">
        <v>11.86</v>
      </c>
      <c r="AA3221" s="4">
        <v>26.6</v>
      </c>
      <c r="AB3221" s="3" t="s">
        <v>56</v>
      </c>
      <c r="AC3221" s="3" t="s">
        <v>16855</v>
      </c>
      <c r="AD3221" s="9">
        <v>44293</v>
      </c>
      <c r="AE3221" s="3" t="s">
        <v>110</v>
      </c>
      <c r="AF3221" s="3" t="s">
        <v>16856</v>
      </c>
      <c r="AG3221" s="3" t="s">
        <v>757</v>
      </c>
      <c r="AH3221" s="11">
        <f>HYPERLINK("https://my.pitchbook.com?c=169923-16T","View Company Online")</f>
      </c>
    </row>
    <row r="3222">
      <c r="A3222" s="12" t="s">
        <v>16857</v>
      </c>
      <c r="B3222" s="12" t="s">
        <v>16858</v>
      </c>
      <c r="C3222" s="19" t="s">
        <v>36</v>
      </c>
      <c r="D3222" s="19" t="s">
        <v>36</v>
      </c>
      <c r="E3222" s="19" t="s">
        <v>36</v>
      </c>
      <c r="F3222" s="19" t="s">
        <v>36</v>
      </c>
      <c r="G3222" s="15" t="s">
        <v>36</v>
      </c>
      <c r="H3222" s="14">
        <v>124.63</v>
      </c>
      <c r="I3222" s="18">
        <v>34.78</v>
      </c>
      <c r="J3222" s="12" t="s">
        <v>521</v>
      </c>
      <c r="K3222" s="13" t="s">
        <v>36</v>
      </c>
      <c r="L3222" s="15" t="s">
        <v>36</v>
      </c>
      <c r="M3222" s="12" t="s">
        <v>36</v>
      </c>
      <c r="N3222" s="12" t="s">
        <v>36</v>
      </c>
      <c r="O3222" s="17" t="s">
        <v>36</v>
      </c>
      <c r="P3222" s="12" t="s">
        <v>36</v>
      </c>
      <c r="Q3222" s="12" t="s">
        <v>36</v>
      </c>
      <c r="R3222" s="12" t="s">
        <v>36</v>
      </c>
      <c r="S3222" s="12" t="s">
        <v>36</v>
      </c>
      <c r="T3222" s="12" t="s">
        <v>16553</v>
      </c>
      <c r="U3222" s="12" t="s">
        <v>38</v>
      </c>
      <c r="V3222" s="12" t="s">
        <v>39</v>
      </c>
      <c r="W3222" s="12" t="s">
        <v>16859</v>
      </c>
      <c r="X3222" s="16" t="s">
        <v>5840</v>
      </c>
      <c r="Y3222" s="15" t="s">
        <v>42</v>
      </c>
      <c r="Z3222" s="14">
        <v>0.38</v>
      </c>
      <c r="AA3222" s="14">
        <v>1.09</v>
      </c>
      <c r="AB3222" s="12" t="s">
        <v>43</v>
      </c>
      <c r="AC3222" s="12" t="s">
        <v>16860</v>
      </c>
      <c r="AD3222" s="13">
        <v>44293</v>
      </c>
      <c r="AE3222" s="12" t="s">
        <v>1945</v>
      </c>
      <c r="AF3222" s="12" t="s">
        <v>16861</v>
      </c>
      <c r="AG3222" s="12" t="s">
        <v>2450</v>
      </c>
      <c r="AH3222" s="1">
        <f>HYPERLINK("https://my.pitchbook.com?c=282581-02T","View Company Online")</f>
      </c>
    </row>
    <row r="3223">
      <c r="A3223" s="3" t="s">
        <v>16862</v>
      </c>
      <c r="B3223" s="3" t="s">
        <v>16863</v>
      </c>
      <c r="C3223" s="5" t="s">
        <v>36</v>
      </c>
      <c r="D3223" s="5" t="s">
        <v>36</v>
      </c>
      <c r="E3223" s="5" t="s">
        <v>36</v>
      </c>
      <c r="F3223" s="5" t="s">
        <v>36</v>
      </c>
      <c r="G3223" s="6" t="s">
        <v>326</v>
      </c>
      <c r="H3223" s="4">
        <v>82.99</v>
      </c>
      <c r="I3223" s="7">
        <v>15.5</v>
      </c>
      <c r="J3223" s="3" t="s">
        <v>521</v>
      </c>
      <c r="K3223" s="9" t="s">
        <v>36</v>
      </c>
      <c r="L3223" s="6" t="s">
        <v>36</v>
      </c>
      <c r="M3223" s="3" t="s">
        <v>36</v>
      </c>
      <c r="N3223" s="3" t="s">
        <v>36</v>
      </c>
      <c r="O3223" s="8" t="s">
        <v>36</v>
      </c>
      <c r="P3223" s="3" t="s">
        <v>36</v>
      </c>
      <c r="Q3223" s="3" t="s">
        <v>36</v>
      </c>
      <c r="R3223" s="3" t="s">
        <v>36</v>
      </c>
      <c r="S3223" s="3" t="s">
        <v>36</v>
      </c>
      <c r="T3223" s="3" t="s">
        <v>522</v>
      </c>
      <c r="U3223" s="3" t="s">
        <v>38</v>
      </c>
      <c r="V3223" s="3" t="s">
        <v>39</v>
      </c>
      <c r="W3223" s="3" t="s">
        <v>16864</v>
      </c>
      <c r="X3223" s="10" t="s">
        <v>16865</v>
      </c>
      <c r="Y3223" s="6" t="s">
        <v>55</v>
      </c>
      <c r="Z3223" s="4">
        <v>2.37</v>
      </c>
      <c r="AA3223" s="4">
        <v>15.3</v>
      </c>
      <c r="AB3223" s="3" t="s">
        <v>43</v>
      </c>
      <c r="AC3223" s="3" t="s">
        <v>16866</v>
      </c>
      <c r="AD3223" s="9">
        <v>44292</v>
      </c>
      <c r="AE3223" s="3" t="s">
        <v>110</v>
      </c>
      <c r="AF3223" s="3" t="s">
        <v>3319</v>
      </c>
      <c r="AG3223" s="3" t="s">
        <v>81</v>
      </c>
      <c r="AH3223" s="11">
        <f>HYPERLINK("https://my.pitchbook.com?c=170015-86T","View Company Online")</f>
      </c>
    </row>
    <row r="3224">
      <c r="A3224" s="12" t="s">
        <v>16867</v>
      </c>
      <c r="B3224" s="12" t="s">
        <v>8443</v>
      </c>
      <c r="C3224" s="19" t="s">
        <v>36</v>
      </c>
      <c r="D3224" s="19" t="s">
        <v>36</v>
      </c>
      <c r="E3224" s="19" t="s">
        <v>36</v>
      </c>
      <c r="F3224" s="19" t="s">
        <v>36</v>
      </c>
      <c r="G3224" s="15" t="s">
        <v>36</v>
      </c>
      <c r="H3224" s="14" t="s">
        <v>36</v>
      </c>
      <c r="I3224" s="18">
        <v>26.69</v>
      </c>
      <c r="J3224" s="12" t="s">
        <v>327</v>
      </c>
      <c r="K3224" s="13">
        <v>44077</v>
      </c>
      <c r="L3224" s="15" t="s">
        <v>4010</v>
      </c>
      <c r="M3224" s="12" t="s">
        <v>36</v>
      </c>
      <c r="N3224" s="12" t="s">
        <v>4010</v>
      </c>
      <c r="O3224" s="17" t="s">
        <v>36</v>
      </c>
      <c r="P3224" s="12" t="s">
        <v>36</v>
      </c>
      <c r="Q3224" s="12" t="s">
        <v>36</v>
      </c>
      <c r="R3224" s="12" t="s">
        <v>36</v>
      </c>
      <c r="S3224" s="12" t="s">
        <v>36</v>
      </c>
      <c r="T3224" s="12" t="s">
        <v>4827</v>
      </c>
      <c r="U3224" s="12" t="s">
        <v>648</v>
      </c>
      <c r="V3224" s="12" t="s">
        <v>64</v>
      </c>
      <c r="W3224" s="12" t="s">
        <v>8444</v>
      </c>
      <c r="X3224" s="16" t="s">
        <v>16868</v>
      </c>
      <c r="Y3224" s="15" t="s">
        <v>55</v>
      </c>
      <c r="Z3224" s="14">
        <v>4.5</v>
      </c>
      <c r="AA3224" s="14">
        <v>16.86</v>
      </c>
      <c r="AB3224" s="12" t="s">
        <v>43</v>
      </c>
      <c r="AC3224" s="12" t="s">
        <v>8446</v>
      </c>
      <c r="AD3224" s="13">
        <v>44292</v>
      </c>
      <c r="AE3224" s="12" t="s">
        <v>3988</v>
      </c>
      <c r="AF3224" s="12" t="s">
        <v>4284</v>
      </c>
      <c r="AG3224" s="12" t="s">
        <v>81</v>
      </c>
      <c r="AH3224" s="1">
        <f>HYPERLINK("https://my.pitchbook.com?c=167823-91T","View Company Online")</f>
      </c>
    </row>
    <row r="3225">
      <c r="A3225" s="3" t="s">
        <v>16869</v>
      </c>
      <c r="B3225" s="3" t="s">
        <v>3283</v>
      </c>
      <c r="C3225" s="5">
        <v>25</v>
      </c>
      <c r="D3225" s="5">
        <v>125</v>
      </c>
      <c r="E3225" s="5">
        <v>18</v>
      </c>
      <c r="F3225" s="5">
        <v>151</v>
      </c>
      <c r="G3225" s="6" t="s">
        <v>326</v>
      </c>
      <c r="H3225" s="4" t="s">
        <v>36</v>
      </c>
      <c r="I3225" s="7">
        <v>38.22</v>
      </c>
      <c r="J3225" s="3" t="s">
        <v>327</v>
      </c>
      <c r="K3225" s="9" t="s">
        <v>36</v>
      </c>
      <c r="L3225" s="6" t="s">
        <v>94</v>
      </c>
      <c r="M3225" s="3" t="s">
        <v>36</v>
      </c>
      <c r="N3225" s="3" t="s">
        <v>94</v>
      </c>
      <c r="O3225" s="8" t="s">
        <v>36</v>
      </c>
      <c r="P3225" s="3" t="s">
        <v>36</v>
      </c>
      <c r="Q3225" s="3" t="s">
        <v>36</v>
      </c>
      <c r="R3225" s="3" t="s">
        <v>36</v>
      </c>
      <c r="S3225" s="3" t="s">
        <v>36</v>
      </c>
      <c r="T3225" s="3" t="s">
        <v>3284</v>
      </c>
      <c r="U3225" s="3" t="s">
        <v>96</v>
      </c>
      <c r="V3225" s="3" t="s">
        <v>52</v>
      </c>
      <c r="W3225" s="3" t="s">
        <v>3285</v>
      </c>
      <c r="X3225" s="10" t="s">
        <v>16870</v>
      </c>
      <c r="Y3225" s="6" t="s">
        <v>108</v>
      </c>
      <c r="Z3225" s="4">
        <v>27.28</v>
      </c>
      <c r="AA3225" s="4">
        <v>71.38</v>
      </c>
      <c r="AB3225" s="3" t="s">
        <v>56</v>
      </c>
      <c r="AC3225" s="3" t="s">
        <v>3287</v>
      </c>
      <c r="AD3225" s="9">
        <v>44292</v>
      </c>
      <c r="AE3225" s="3" t="s">
        <v>143</v>
      </c>
      <c r="AF3225" s="3" t="s">
        <v>885</v>
      </c>
      <c r="AG3225" s="3" t="s">
        <v>3288</v>
      </c>
      <c r="AH3225" s="11">
        <f>HYPERLINK("https://my.pitchbook.com?c=136796-68T","View Company Online")</f>
      </c>
    </row>
    <row r="3226">
      <c r="A3226" s="12" t="s">
        <v>16871</v>
      </c>
      <c r="B3226" s="12" t="s">
        <v>16872</v>
      </c>
      <c r="C3226" s="19" t="s">
        <v>36</v>
      </c>
      <c r="D3226" s="19" t="s">
        <v>36</v>
      </c>
      <c r="E3226" s="19" t="s">
        <v>36</v>
      </c>
      <c r="F3226" s="19" t="s">
        <v>36</v>
      </c>
      <c r="G3226" s="15" t="s">
        <v>36</v>
      </c>
      <c r="H3226" s="14" t="s">
        <v>36</v>
      </c>
      <c r="I3226" s="18" t="s">
        <v>36</v>
      </c>
      <c r="J3226" s="12" t="s">
        <v>36</v>
      </c>
      <c r="K3226" s="13" t="s">
        <v>36</v>
      </c>
      <c r="L3226" s="15" t="s">
        <v>36</v>
      </c>
      <c r="M3226" s="12" t="s">
        <v>36</v>
      </c>
      <c r="N3226" s="12" t="s">
        <v>36</v>
      </c>
      <c r="O3226" s="17" t="s">
        <v>36</v>
      </c>
      <c r="P3226" s="12" t="s">
        <v>36</v>
      </c>
      <c r="Q3226" s="12" t="s">
        <v>36</v>
      </c>
      <c r="R3226" s="12" t="s">
        <v>36</v>
      </c>
      <c r="S3226" s="12" t="s">
        <v>36</v>
      </c>
      <c r="T3226" s="12" t="s">
        <v>37</v>
      </c>
      <c r="U3226" s="12" t="s">
        <v>38</v>
      </c>
      <c r="V3226" s="12" t="s">
        <v>39</v>
      </c>
      <c r="W3226" s="12" t="s">
        <v>16873</v>
      </c>
      <c r="X3226" s="16" t="s">
        <v>16874</v>
      </c>
      <c r="Y3226" s="15" t="s">
        <v>42</v>
      </c>
      <c r="Z3226" s="14">
        <v>178.27</v>
      </c>
      <c r="AA3226" s="14" t="s">
        <v>36</v>
      </c>
      <c r="AB3226" s="12" t="s">
        <v>43</v>
      </c>
      <c r="AC3226" s="12" t="s">
        <v>16875</v>
      </c>
      <c r="AD3226" s="13">
        <v>44288</v>
      </c>
      <c r="AE3226" s="12" t="s">
        <v>45</v>
      </c>
      <c r="AF3226" s="12" t="s">
        <v>3334</v>
      </c>
      <c r="AG3226" s="12" t="s">
        <v>434</v>
      </c>
      <c r="AH3226" s="1">
        <f>HYPERLINK("https://my.pitchbook.com?c=172087-39T","View Company Online")</f>
      </c>
    </row>
    <row r="3227">
      <c r="A3227" s="3" t="s">
        <v>16876</v>
      </c>
      <c r="B3227" s="3" t="s">
        <v>2295</v>
      </c>
      <c r="C3227" s="5" t="s">
        <v>36</v>
      </c>
      <c r="D3227" s="5" t="s">
        <v>36</v>
      </c>
      <c r="E3227" s="5" t="s">
        <v>36</v>
      </c>
      <c r="F3227" s="5" t="s">
        <v>36</v>
      </c>
      <c r="G3227" s="6" t="s">
        <v>326</v>
      </c>
      <c r="H3227" s="4">
        <v>2179.95</v>
      </c>
      <c r="I3227" s="7">
        <v>25.69</v>
      </c>
      <c r="J3227" s="3" t="s">
        <v>521</v>
      </c>
      <c r="K3227" s="9" t="s">
        <v>36</v>
      </c>
      <c r="L3227" s="6" t="s">
        <v>36</v>
      </c>
      <c r="M3227" s="3" t="s">
        <v>36</v>
      </c>
      <c r="N3227" s="3" t="s">
        <v>36</v>
      </c>
      <c r="O3227" s="8" t="s">
        <v>36</v>
      </c>
      <c r="P3227" s="3" t="s">
        <v>36</v>
      </c>
      <c r="Q3227" s="3" t="s">
        <v>36</v>
      </c>
      <c r="R3227" s="3" t="s">
        <v>36</v>
      </c>
      <c r="S3227" s="3" t="s">
        <v>36</v>
      </c>
      <c r="T3227" s="3" t="s">
        <v>37</v>
      </c>
      <c r="U3227" s="3" t="s">
        <v>38</v>
      </c>
      <c r="V3227" s="3" t="s">
        <v>39</v>
      </c>
      <c r="W3227" s="3" t="s">
        <v>2296</v>
      </c>
      <c r="X3227" s="10" t="s">
        <v>16877</v>
      </c>
      <c r="Y3227" s="6" t="s">
        <v>108</v>
      </c>
      <c r="Z3227" s="4">
        <v>1.9</v>
      </c>
      <c r="AA3227" s="4">
        <v>4.4</v>
      </c>
      <c r="AB3227" s="3" t="s">
        <v>43</v>
      </c>
      <c r="AC3227" s="3" t="s">
        <v>2298</v>
      </c>
      <c r="AD3227" s="9">
        <v>44288</v>
      </c>
      <c r="AE3227" s="3" t="s">
        <v>45</v>
      </c>
      <c r="AF3227" s="3" t="s">
        <v>215</v>
      </c>
      <c r="AG3227" s="3" t="s">
        <v>2299</v>
      </c>
      <c r="AH3227" s="11">
        <f>HYPERLINK("https://my.pitchbook.com?c=170005-60T","View Company Online")</f>
      </c>
    </row>
    <row r="3228">
      <c r="A3228" s="12" t="s">
        <v>16878</v>
      </c>
      <c r="B3228" s="12" t="s">
        <v>16879</v>
      </c>
      <c r="C3228" s="19" t="s">
        <v>36</v>
      </c>
      <c r="D3228" s="19" t="s">
        <v>36</v>
      </c>
      <c r="E3228" s="19" t="s">
        <v>36</v>
      </c>
      <c r="F3228" s="19" t="s">
        <v>36</v>
      </c>
      <c r="G3228" s="15" t="s">
        <v>36</v>
      </c>
      <c r="H3228" s="14" t="s">
        <v>36</v>
      </c>
      <c r="I3228" s="18" t="s">
        <v>36</v>
      </c>
      <c r="J3228" s="12" t="s">
        <v>36</v>
      </c>
      <c r="K3228" s="13" t="s">
        <v>36</v>
      </c>
      <c r="L3228" s="15" t="s">
        <v>36</v>
      </c>
      <c r="M3228" s="12" t="s">
        <v>36</v>
      </c>
      <c r="N3228" s="12" t="s">
        <v>36</v>
      </c>
      <c r="O3228" s="17" t="s">
        <v>36</v>
      </c>
      <c r="P3228" s="12" t="s">
        <v>36</v>
      </c>
      <c r="Q3228" s="12" t="s">
        <v>36</v>
      </c>
      <c r="R3228" s="12" t="s">
        <v>36</v>
      </c>
      <c r="S3228" s="12" t="s">
        <v>36</v>
      </c>
      <c r="T3228" s="12" t="s">
        <v>522</v>
      </c>
      <c r="U3228" s="12" t="s">
        <v>38</v>
      </c>
      <c r="V3228" s="12" t="s">
        <v>39</v>
      </c>
      <c r="W3228" s="12" t="s">
        <v>16880</v>
      </c>
      <c r="X3228" s="16" t="s">
        <v>16881</v>
      </c>
      <c r="Y3228" s="15" t="s">
        <v>108</v>
      </c>
      <c r="Z3228" s="14" t="s">
        <v>36</v>
      </c>
      <c r="AA3228" s="14" t="s">
        <v>36</v>
      </c>
      <c r="AB3228" s="12" t="s">
        <v>56</v>
      </c>
      <c r="AC3228" s="12" t="s">
        <v>16882</v>
      </c>
      <c r="AD3228" s="13">
        <v>44288</v>
      </c>
      <c r="AE3228" s="12" t="s">
        <v>110</v>
      </c>
      <c r="AF3228" s="12" t="s">
        <v>36</v>
      </c>
      <c r="AG3228" s="12" t="s">
        <v>144</v>
      </c>
      <c r="AH3228" s="1">
        <f>HYPERLINK("https://my.pitchbook.com?c=170000-92T","View Company Online")</f>
      </c>
    </row>
    <row r="3229">
      <c r="A3229" s="3" t="s">
        <v>16883</v>
      </c>
      <c r="B3229" s="3" t="s">
        <v>16884</v>
      </c>
      <c r="C3229" s="5" t="s">
        <v>36</v>
      </c>
      <c r="D3229" s="5" t="s">
        <v>36</v>
      </c>
      <c r="E3229" s="5" t="s">
        <v>36</v>
      </c>
      <c r="F3229" s="5" t="s">
        <v>36</v>
      </c>
      <c r="G3229" s="6" t="s">
        <v>36</v>
      </c>
      <c r="H3229" s="4">
        <v>37.39</v>
      </c>
      <c r="I3229" s="7">
        <v>14.31</v>
      </c>
      <c r="J3229" s="3" t="s">
        <v>521</v>
      </c>
      <c r="K3229" s="9" t="s">
        <v>36</v>
      </c>
      <c r="L3229" s="6" t="s">
        <v>36</v>
      </c>
      <c r="M3229" s="3" t="s">
        <v>36</v>
      </c>
      <c r="N3229" s="3" t="s">
        <v>36</v>
      </c>
      <c r="O3229" s="8" t="s">
        <v>36</v>
      </c>
      <c r="P3229" s="3" t="s">
        <v>36</v>
      </c>
      <c r="Q3229" s="3" t="s">
        <v>36</v>
      </c>
      <c r="R3229" s="3" t="s">
        <v>36</v>
      </c>
      <c r="S3229" s="3" t="s">
        <v>36</v>
      </c>
      <c r="T3229" s="3" t="s">
        <v>16885</v>
      </c>
      <c r="U3229" s="3" t="s">
        <v>74</v>
      </c>
      <c r="V3229" s="3" t="s">
        <v>75</v>
      </c>
      <c r="W3229" s="3" t="s">
        <v>16886</v>
      </c>
      <c r="X3229" s="10" t="s">
        <v>16887</v>
      </c>
      <c r="Y3229" s="6" t="s">
        <v>42</v>
      </c>
      <c r="Z3229" s="4">
        <v>0.71</v>
      </c>
      <c r="AA3229" s="4">
        <v>4.99</v>
      </c>
      <c r="AB3229" s="3" t="s">
        <v>43</v>
      </c>
      <c r="AC3229" s="3" t="s">
        <v>16888</v>
      </c>
      <c r="AD3229" s="9">
        <v>44288</v>
      </c>
      <c r="AE3229" s="3" t="s">
        <v>975</v>
      </c>
      <c r="AF3229" s="3" t="s">
        <v>118</v>
      </c>
      <c r="AG3229" s="3" t="s">
        <v>81</v>
      </c>
      <c r="AH3229" s="11">
        <f>HYPERLINK("https://my.pitchbook.com?c=171826-03T","View Company Online")</f>
      </c>
    </row>
    <row r="3230">
      <c r="A3230" s="12" t="s">
        <v>16889</v>
      </c>
      <c r="B3230" s="12" t="s">
        <v>16890</v>
      </c>
      <c r="C3230" s="19">
        <v>7</v>
      </c>
      <c r="D3230" s="19" t="s">
        <v>36</v>
      </c>
      <c r="E3230" s="19">
        <v>3</v>
      </c>
      <c r="F3230" s="19">
        <v>7</v>
      </c>
      <c r="G3230" s="15" t="s">
        <v>36</v>
      </c>
      <c r="H3230" s="14" t="s">
        <v>36</v>
      </c>
      <c r="I3230" s="18" t="s">
        <v>36</v>
      </c>
      <c r="J3230" s="12" t="s">
        <v>36</v>
      </c>
      <c r="K3230" s="13">
        <v>44278</v>
      </c>
      <c r="L3230" s="15" t="s">
        <v>122</v>
      </c>
      <c r="M3230" s="12" t="s">
        <v>36</v>
      </c>
      <c r="N3230" s="12" t="s">
        <v>122</v>
      </c>
      <c r="O3230" s="17" t="s">
        <v>36</v>
      </c>
      <c r="P3230" s="12" t="s">
        <v>36</v>
      </c>
      <c r="Q3230" s="12" t="s">
        <v>36</v>
      </c>
      <c r="R3230" s="12" t="s">
        <v>36</v>
      </c>
      <c r="S3230" s="12" t="s">
        <v>36</v>
      </c>
      <c r="T3230" s="12" t="s">
        <v>16891</v>
      </c>
      <c r="U3230" s="12" t="s">
        <v>318</v>
      </c>
      <c r="V3230" s="12" t="s">
        <v>39</v>
      </c>
      <c r="W3230" s="12" t="s">
        <v>16892</v>
      </c>
      <c r="X3230" s="16" t="s">
        <v>16893</v>
      </c>
      <c r="Y3230" s="15" t="s">
        <v>55</v>
      </c>
      <c r="Z3230" s="14">
        <v>6.72</v>
      </c>
      <c r="AA3230" s="14" t="s">
        <v>36</v>
      </c>
      <c r="AB3230" s="12" t="s">
        <v>56</v>
      </c>
      <c r="AC3230" s="12" t="s">
        <v>16894</v>
      </c>
      <c r="AD3230" s="13">
        <v>44287</v>
      </c>
      <c r="AE3230" s="12" t="s">
        <v>763</v>
      </c>
      <c r="AF3230" s="12" t="s">
        <v>3719</v>
      </c>
      <c r="AG3230" s="12" t="s">
        <v>81</v>
      </c>
      <c r="AH3230" s="1">
        <f>HYPERLINK("https://my.pitchbook.com?c=169021-36T","View Company Online")</f>
      </c>
    </row>
    <row r="3231">
      <c r="A3231" s="3" t="s">
        <v>16895</v>
      </c>
      <c r="B3231" s="3" t="s">
        <v>16896</v>
      </c>
      <c r="C3231" s="5" t="s">
        <v>36</v>
      </c>
      <c r="D3231" s="5" t="s">
        <v>36</v>
      </c>
      <c r="E3231" s="5" t="s">
        <v>36</v>
      </c>
      <c r="F3231" s="5" t="s">
        <v>36</v>
      </c>
      <c r="G3231" s="6" t="s">
        <v>36</v>
      </c>
      <c r="H3231" s="4">
        <v>116.31</v>
      </c>
      <c r="I3231" s="7">
        <v>27.83</v>
      </c>
      <c r="J3231" s="3" t="s">
        <v>521</v>
      </c>
      <c r="K3231" s="9" t="s">
        <v>36</v>
      </c>
      <c r="L3231" s="6" t="s">
        <v>36</v>
      </c>
      <c r="M3231" s="3" t="s">
        <v>36</v>
      </c>
      <c r="N3231" s="3" t="s">
        <v>36</v>
      </c>
      <c r="O3231" s="8" t="s">
        <v>36</v>
      </c>
      <c r="P3231" s="3" t="s">
        <v>36</v>
      </c>
      <c r="Q3231" s="3" t="s">
        <v>36</v>
      </c>
      <c r="R3231" s="3" t="s">
        <v>36</v>
      </c>
      <c r="S3231" s="3" t="s">
        <v>36</v>
      </c>
      <c r="T3231" s="3" t="s">
        <v>3826</v>
      </c>
      <c r="U3231" s="3" t="s">
        <v>423</v>
      </c>
      <c r="V3231" s="3" t="s">
        <v>64</v>
      </c>
      <c r="W3231" s="3" t="s">
        <v>16897</v>
      </c>
      <c r="X3231" s="10" t="s">
        <v>16898</v>
      </c>
      <c r="Y3231" s="6" t="s">
        <v>42</v>
      </c>
      <c r="Z3231" s="4">
        <v>3.21</v>
      </c>
      <c r="AA3231" s="4">
        <v>11.54</v>
      </c>
      <c r="AB3231" s="3" t="s">
        <v>43</v>
      </c>
      <c r="AC3231" s="3" t="s">
        <v>16899</v>
      </c>
      <c r="AD3231" s="9">
        <v>44287</v>
      </c>
      <c r="AE3231" s="3" t="s">
        <v>1051</v>
      </c>
      <c r="AF3231" s="3" t="s">
        <v>4397</v>
      </c>
      <c r="AG3231" s="3" t="s">
        <v>81</v>
      </c>
      <c r="AH3231" s="11">
        <f>HYPERLINK("https://my.pitchbook.com?c=171403-57T","View Company Online")</f>
      </c>
    </row>
    <row r="3232">
      <c r="A3232" s="12" t="s">
        <v>16900</v>
      </c>
      <c r="B3232" s="12" t="s">
        <v>16901</v>
      </c>
      <c r="C3232" s="19" t="s">
        <v>36</v>
      </c>
      <c r="D3232" s="19" t="s">
        <v>36</v>
      </c>
      <c r="E3232" s="19" t="s">
        <v>36</v>
      </c>
      <c r="F3232" s="19" t="s">
        <v>36</v>
      </c>
      <c r="G3232" s="15" t="s">
        <v>36</v>
      </c>
      <c r="H3232" s="14" t="s">
        <v>36</v>
      </c>
      <c r="I3232" s="18" t="s">
        <v>36</v>
      </c>
      <c r="J3232" s="12" t="s">
        <v>36</v>
      </c>
      <c r="K3232" s="13" t="s">
        <v>36</v>
      </c>
      <c r="L3232" s="15" t="s">
        <v>36</v>
      </c>
      <c r="M3232" s="12" t="s">
        <v>36</v>
      </c>
      <c r="N3232" s="12" t="s">
        <v>36</v>
      </c>
      <c r="O3232" s="17" t="s">
        <v>36</v>
      </c>
      <c r="P3232" s="12" t="s">
        <v>36</v>
      </c>
      <c r="Q3232" s="12" t="s">
        <v>36</v>
      </c>
      <c r="R3232" s="12" t="s">
        <v>36</v>
      </c>
      <c r="S3232" s="12" t="s">
        <v>36</v>
      </c>
      <c r="T3232" s="12" t="s">
        <v>522</v>
      </c>
      <c r="U3232" s="12" t="s">
        <v>38</v>
      </c>
      <c r="V3232" s="12" t="s">
        <v>39</v>
      </c>
      <c r="W3232" s="12" t="s">
        <v>16902</v>
      </c>
      <c r="X3232" s="16" t="s">
        <v>16903</v>
      </c>
      <c r="Y3232" s="15" t="s">
        <v>108</v>
      </c>
      <c r="Z3232" s="14" t="s">
        <v>36</v>
      </c>
      <c r="AA3232" s="14" t="s">
        <v>36</v>
      </c>
      <c r="AB3232" s="12" t="s">
        <v>56</v>
      </c>
      <c r="AC3232" s="12" t="s">
        <v>16904</v>
      </c>
      <c r="AD3232" s="13">
        <v>44287</v>
      </c>
      <c r="AE3232" s="12" t="s">
        <v>110</v>
      </c>
      <c r="AF3232" s="12" t="s">
        <v>6214</v>
      </c>
      <c r="AG3232" s="12" t="s">
        <v>969</v>
      </c>
      <c r="AH3232" s="1">
        <f>HYPERLINK("https://my.pitchbook.com?c=176944-51T","View Company Online")</f>
      </c>
    </row>
    <row r="3233">
      <c r="A3233" s="3" t="s">
        <v>16905</v>
      </c>
      <c r="B3233" s="3" t="s">
        <v>16906</v>
      </c>
      <c r="C3233" s="5" t="s">
        <v>36</v>
      </c>
      <c r="D3233" s="5" t="s">
        <v>36</v>
      </c>
      <c r="E3233" s="5" t="s">
        <v>36</v>
      </c>
      <c r="F3233" s="5" t="s">
        <v>36</v>
      </c>
      <c r="G3233" s="6" t="s">
        <v>36</v>
      </c>
      <c r="H3233" s="4" t="s">
        <v>36</v>
      </c>
      <c r="I3233" s="7">
        <v>14.55</v>
      </c>
      <c r="J3233" s="3" t="s">
        <v>521</v>
      </c>
      <c r="K3233" s="9" t="s">
        <v>36</v>
      </c>
      <c r="L3233" s="6" t="s">
        <v>36</v>
      </c>
      <c r="M3233" s="3" t="s">
        <v>36</v>
      </c>
      <c r="N3233" s="3" t="s">
        <v>36</v>
      </c>
      <c r="O3233" s="8" t="s">
        <v>36</v>
      </c>
      <c r="P3233" s="3" t="s">
        <v>36</v>
      </c>
      <c r="Q3233" s="3" t="s">
        <v>36</v>
      </c>
      <c r="R3233" s="3" t="s">
        <v>36</v>
      </c>
      <c r="S3233" s="3" t="s">
        <v>36</v>
      </c>
      <c r="T3233" s="3" t="s">
        <v>2811</v>
      </c>
      <c r="U3233" s="3" t="s">
        <v>219</v>
      </c>
      <c r="V3233" s="3" t="s">
        <v>75</v>
      </c>
      <c r="W3233" s="3" t="s">
        <v>16907</v>
      </c>
      <c r="X3233" s="10" t="s">
        <v>13319</v>
      </c>
      <c r="Y3233" s="6" t="s">
        <v>42</v>
      </c>
      <c r="Z3233" s="4">
        <v>0.48</v>
      </c>
      <c r="AA3233" s="4">
        <v>3.27</v>
      </c>
      <c r="AB3233" s="3" t="s">
        <v>43</v>
      </c>
      <c r="AC3233" s="3" t="s">
        <v>16908</v>
      </c>
      <c r="AD3233" s="9">
        <v>44287</v>
      </c>
      <c r="AE3233" s="3" t="s">
        <v>223</v>
      </c>
      <c r="AF3233" s="3" t="s">
        <v>571</v>
      </c>
      <c r="AG3233" s="3" t="s">
        <v>16909</v>
      </c>
      <c r="AH3233" s="11">
        <f>HYPERLINK("https://my.pitchbook.com?c=171404-29T","View Company Online")</f>
      </c>
    </row>
    <row r="3234">
      <c r="A3234" s="12" t="s">
        <v>16910</v>
      </c>
      <c r="B3234" s="12" t="s">
        <v>16911</v>
      </c>
      <c r="C3234" s="19" t="s">
        <v>36</v>
      </c>
      <c r="D3234" s="19" t="s">
        <v>36</v>
      </c>
      <c r="E3234" s="19" t="s">
        <v>36</v>
      </c>
      <c r="F3234" s="19" t="s">
        <v>36</v>
      </c>
      <c r="G3234" s="15" t="s">
        <v>36</v>
      </c>
      <c r="H3234" s="14">
        <v>8.74</v>
      </c>
      <c r="I3234" s="18">
        <v>23.09</v>
      </c>
      <c r="J3234" s="12" t="s">
        <v>521</v>
      </c>
      <c r="K3234" s="13" t="s">
        <v>36</v>
      </c>
      <c r="L3234" s="15" t="s">
        <v>36</v>
      </c>
      <c r="M3234" s="12" t="s">
        <v>36</v>
      </c>
      <c r="N3234" s="12" t="s">
        <v>36</v>
      </c>
      <c r="O3234" s="17" t="s">
        <v>36</v>
      </c>
      <c r="P3234" s="12" t="s">
        <v>36</v>
      </c>
      <c r="Q3234" s="12" t="s">
        <v>36</v>
      </c>
      <c r="R3234" s="12" t="s">
        <v>36</v>
      </c>
      <c r="S3234" s="12" t="s">
        <v>36</v>
      </c>
      <c r="T3234" s="12" t="s">
        <v>154</v>
      </c>
      <c r="U3234" s="12" t="s">
        <v>51</v>
      </c>
      <c r="V3234" s="12" t="s">
        <v>52</v>
      </c>
      <c r="W3234" s="12" t="s">
        <v>16912</v>
      </c>
      <c r="X3234" s="16" t="s">
        <v>16913</v>
      </c>
      <c r="Y3234" s="15" t="s">
        <v>42</v>
      </c>
      <c r="Z3234" s="14">
        <v>0.6</v>
      </c>
      <c r="AA3234" s="14">
        <v>2.6</v>
      </c>
      <c r="AB3234" s="12" t="s">
        <v>43</v>
      </c>
      <c r="AC3234" s="12" t="s">
        <v>16914</v>
      </c>
      <c r="AD3234" s="13">
        <v>44287</v>
      </c>
      <c r="AE3234" s="12" t="s">
        <v>158</v>
      </c>
      <c r="AF3234" s="12" t="s">
        <v>8724</v>
      </c>
      <c r="AG3234" s="12" t="s">
        <v>1276</v>
      </c>
      <c r="AH3234" s="1">
        <f>HYPERLINK("https://my.pitchbook.com?c=203220-01T","View Company Online")</f>
      </c>
    </row>
    <row r="3235">
      <c r="A3235" s="3" t="s">
        <v>16915</v>
      </c>
      <c r="B3235" s="3" t="s">
        <v>16916</v>
      </c>
      <c r="C3235" s="5">
        <v>1</v>
      </c>
      <c r="D3235" s="5" t="s">
        <v>36</v>
      </c>
      <c r="E3235" s="5">
        <v>1</v>
      </c>
      <c r="F3235" s="5">
        <v>1</v>
      </c>
      <c r="G3235" s="6" t="s">
        <v>36</v>
      </c>
      <c r="H3235" s="4" t="s">
        <v>36</v>
      </c>
      <c r="I3235" s="7" t="s">
        <v>36</v>
      </c>
      <c r="J3235" s="3" t="s">
        <v>36</v>
      </c>
      <c r="K3235" s="9" t="s">
        <v>36</v>
      </c>
      <c r="L3235" s="6" t="s">
        <v>36</v>
      </c>
      <c r="M3235" s="3" t="s">
        <v>36</v>
      </c>
      <c r="N3235" s="3" t="s">
        <v>36</v>
      </c>
      <c r="O3235" s="8" t="s">
        <v>36</v>
      </c>
      <c r="P3235" s="3" t="s">
        <v>36</v>
      </c>
      <c r="Q3235" s="3" t="s">
        <v>36</v>
      </c>
      <c r="R3235" s="3" t="s">
        <v>36</v>
      </c>
      <c r="S3235" s="3" t="s">
        <v>36</v>
      </c>
      <c r="T3235" s="3" t="s">
        <v>588</v>
      </c>
      <c r="U3235" s="3" t="s">
        <v>318</v>
      </c>
      <c r="V3235" s="3" t="s">
        <v>39</v>
      </c>
      <c r="W3235" s="3" t="s">
        <v>16917</v>
      </c>
      <c r="X3235" s="10" t="s">
        <v>16918</v>
      </c>
      <c r="Y3235" s="6" t="s">
        <v>42</v>
      </c>
      <c r="Z3235" s="4" t="s">
        <v>36</v>
      </c>
      <c r="AA3235" s="4" t="s">
        <v>36</v>
      </c>
      <c r="AB3235" s="3" t="s">
        <v>43</v>
      </c>
      <c r="AC3235" s="3" t="s">
        <v>16919</v>
      </c>
      <c r="AD3235" s="9">
        <v>44287</v>
      </c>
      <c r="AE3235" s="3" t="s">
        <v>417</v>
      </c>
      <c r="AF3235" s="3" t="s">
        <v>16920</v>
      </c>
      <c r="AG3235" s="3" t="s">
        <v>81</v>
      </c>
      <c r="AH3235" s="11">
        <f>HYPERLINK("https://my.pitchbook.com?c=192188-35T","View Company Online")</f>
      </c>
    </row>
    <row r="3236">
      <c r="A3236" s="12" t="s">
        <v>16921</v>
      </c>
      <c r="B3236" s="12" t="s">
        <v>16922</v>
      </c>
      <c r="C3236" s="19" t="s">
        <v>36</v>
      </c>
      <c r="D3236" s="19" t="s">
        <v>36</v>
      </c>
      <c r="E3236" s="19" t="s">
        <v>36</v>
      </c>
      <c r="F3236" s="19" t="s">
        <v>36</v>
      </c>
      <c r="G3236" s="15" t="s">
        <v>36</v>
      </c>
      <c r="H3236" s="14">
        <v>4562.88</v>
      </c>
      <c r="I3236" s="18">
        <v>14.22</v>
      </c>
      <c r="J3236" s="12" t="s">
        <v>521</v>
      </c>
      <c r="K3236" s="13" t="s">
        <v>36</v>
      </c>
      <c r="L3236" s="15" t="s">
        <v>36</v>
      </c>
      <c r="M3236" s="12" t="s">
        <v>36</v>
      </c>
      <c r="N3236" s="12" t="s">
        <v>36</v>
      </c>
      <c r="O3236" s="17" t="s">
        <v>36</v>
      </c>
      <c r="P3236" s="12" t="s">
        <v>36</v>
      </c>
      <c r="Q3236" s="12" t="s">
        <v>36</v>
      </c>
      <c r="R3236" s="12" t="s">
        <v>36</v>
      </c>
      <c r="S3236" s="12" t="s">
        <v>36</v>
      </c>
      <c r="T3236" s="12" t="s">
        <v>550</v>
      </c>
      <c r="U3236" s="12" t="s">
        <v>38</v>
      </c>
      <c r="V3236" s="12" t="s">
        <v>39</v>
      </c>
      <c r="W3236" s="12" t="s">
        <v>16923</v>
      </c>
      <c r="X3236" s="16" t="s">
        <v>16924</v>
      </c>
      <c r="Y3236" s="15" t="s">
        <v>42</v>
      </c>
      <c r="Z3236" s="14">
        <v>1.04</v>
      </c>
      <c r="AA3236" s="14">
        <v>7.31</v>
      </c>
      <c r="AB3236" s="12" t="s">
        <v>43</v>
      </c>
      <c r="AC3236" s="12" t="s">
        <v>16925</v>
      </c>
      <c r="AD3236" s="13">
        <v>44287</v>
      </c>
      <c r="AE3236" s="12" t="s">
        <v>554</v>
      </c>
      <c r="AF3236" s="12" t="s">
        <v>1380</v>
      </c>
      <c r="AG3236" s="12" t="s">
        <v>81</v>
      </c>
      <c r="AH3236" s="1">
        <f>HYPERLINK("https://my.pitchbook.com?c=181639-54T","View Company Online")</f>
      </c>
    </row>
    <row r="3237">
      <c r="A3237" s="3" t="s">
        <v>16926</v>
      </c>
      <c r="B3237" s="3" t="s">
        <v>16927</v>
      </c>
      <c r="C3237" s="5" t="s">
        <v>36</v>
      </c>
      <c r="D3237" s="5" t="s">
        <v>36</v>
      </c>
      <c r="E3237" s="5" t="s">
        <v>36</v>
      </c>
      <c r="F3237" s="5" t="s">
        <v>36</v>
      </c>
      <c r="G3237" s="6" t="s">
        <v>326</v>
      </c>
      <c r="H3237" s="4">
        <v>84.1</v>
      </c>
      <c r="I3237" s="7">
        <v>6.16</v>
      </c>
      <c r="J3237" s="3" t="s">
        <v>521</v>
      </c>
      <c r="K3237" s="9" t="s">
        <v>36</v>
      </c>
      <c r="L3237" s="6" t="s">
        <v>36</v>
      </c>
      <c r="M3237" s="3" t="s">
        <v>36</v>
      </c>
      <c r="N3237" s="3" t="s">
        <v>36</v>
      </c>
      <c r="O3237" s="8" t="s">
        <v>36</v>
      </c>
      <c r="P3237" s="3" t="s">
        <v>36</v>
      </c>
      <c r="Q3237" s="3" t="s">
        <v>36</v>
      </c>
      <c r="R3237" s="3" t="s">
        <v>36</v>
      </c>
      <c r="S3237" s="3" t="s">
        <v>36</v>
      </c>
      <c r="T3237" s="3" t="s">
        <v>16928</v>
      </c>
      <c r="U3237" s="3" t="s">
        <v>648</v>
      </c>
      <c r="V3237" s="3" t="s">
        <v>64</v>
      </c>
      <c r="W3237" s="3" t="s">
        <v>16929</v>
      </c>
      <c r="X3237" s="10" t="s">
        <v>16930</v>
      </c>
      <c r="Y3237" s="6" t="s">
        <v>108</v>
      </c>
      <c r="Z3237" s="4">
        <v>0.23</v>
      </c>
      <c r="AA3237" s="4">
        <v>3.8</v>
      </c>
      <c r="AB3237" s="3" t="s">
        <v>56</v>
      </c>
      <c r="AC3237" s="3" t="s">
        <v>16931</v>
      </c>
      <c r="AD3237" s="9">
        <v>44287</v>
      </c>
      <c r="AE3237" s="3" t="s">
        <v>651</v>
      </c>
      <c r="AF3237" s="3" t="s">
        <v>2118</v>
      </c>
      <c r="AG3237" s="3" t="s">
        <v>102</v>
      </c>
      <c r="AH3237" s="11">
        <f>HYPERLINK("https://my.pitchbook.com?c=182696-23T","View Company Online")</f>
      </c>
    </row>
    <row r="3238">
      <c r="A3238" s="12" t="s">
        <v>16932</v>
      </c>
      <c r="B3238" s="12" t="s">
        <v>16933</v>
      </c>
      <c r="C3238" s="19" t="s">
        <v>36</v>
      </c>
      <c r="D3238" s="19" t="s">
        <v>36</v>
      </c>
      <c r="E3238" s="19" t="s">
        <v>36</v>
      </c>
      <c r="F3238" s="19" t="s">
        <v>36</v>
      </c>
      <c r="G3238" s="15" t="s">
        <v>36</v>
      </c>
      <c r="H3238" s="14" t="s">
        <v>36</v>
      </c>
      <c r="I3238" s="18" t="s">
        <v>36</v>
      </c>
      <c r="J3238" s="12" t="s">
        <v>36</v>
      </c>
      <c r="K3238" s="13" t="s">
        <v>36</v>
      </c>
      <c r="L3238" s="15" t="s">
        <v>36</v>
      </c>
      <c r="M3238" s="12" t="s">
        <v>36</v>
      </c>
      <c r="N3238" s="12" t="s">
        <v>36</v>
      </c>
      <c r="O3238" s="17" t="s">
        <v>36</v>
      </c>
      <c r="P3238" s="12" t="s">
        <v>36</v>
      </c>
      <c r="Q3238" s="12" t="s">
        <v>36</v>
      </c>
      <c r="R3238" s="12" t="s">
        <v>36</v>
      </c>
      <c r="S3238" s="12" t="s">
        <v>3563</v>
      </c>
      <c r="T3238" s="12" t="s">
        <v>4601</v>
      </c>
      <c r="U3238" s="12" t="s">
        <v>38</v>
      </c>
      <c r="V3238" s="12" t="s">
        <v>39</v>
      </c>
      <c r="W3238" s="12" t="s">
        <v>16934</v>
      </c>
      <c r="X3238" s="16" t="s">
        <v>6572</v>
      </c>
      <c r="Y3238" s="15" t="s">
        <v>108</v>
      </c>
      <c r="Z3238" s="14" t="s">
        <v>36</v>
      </c>
      <c r="AA3238" s="14" t="s">
        <v>36</v>
      </c>
      <c r="AB3238" s="12" t="s">
        <v>43</v>
      </c>
      <c r="AC3238" s="12" t="s">
        <v>16935</v>
      </c>
      <c r="AD3238" s="13">
        <v>44287</v>
      </c>
      <c r="AE3238" s="12" t="s">
        <v>110</v>
      </c>
      <c r="AF3238" s="12" t="s">
        <v>5001</v>
      </c>
      <c r="AG3238" s="12" t="s">
        <v>741</v>
      </c>
      <c r="AH3238" s="1">
        <f>HYPERLINK("https://my.pitchbook.com?c=189184-51T","View Company Online")</f>
      </c>
    </row>
    <row r="3239">
      <c r="A3239" s="3" t="s">
        <v>16936</v>
      </c>
      <c r="B3239" s="3" t="s">
        <v>16937</v>
      </c>
      <c r="C3239" s="5" t="s">
        <v>36</v>
      </c>
      <c r="D3239" s="5" t="s">
        <v>36</v>
      </c>
      <c r="E3239" s="5" t="s">
        <v>36</v>
      </c>
      <c r="F3239" s="5" t="s">
        <v>36</v>
      </c>
      <c r="G3239" s="6" t="s">
        <v>36</v>
      </c>
      <c r="H3239" s="4" t="s">
        <v>36</v>
      </c>
      <c r="I3239" s="7" t="s">
        <v>36</v>
      </c>
      <c r="J3239" s="3" t="s">
        <v>36</v>
      </c>
      <c r="K3239" s="9" t="s">
        <v>36</v>
      </c>
      <c r="L3239" s="6" t="s">
        <v>36</v>
      </c>
      <c r="M3239" s="3" t="s">
        <v>36</v>
      </c>
      <c r="N3239" s="3" t="s">
        <v>36</v>
      </c>
      <c r="O3239" s="8" t="s">
        <v>36</v>
      </c>
      <c r="P3239" s="3" t="s">
        <v>36</v>
      </c>
      <c r="Q3239" s="3" t="s">
        <v>36</v>
      </c>
      <c r="R3239" s="3" t="s">
        <v>36</v>
      </c>
      <c r="S3239" s="3" t="s">
        <v>36</v>
      </c>
      <c r="T3239" s="3" t="s">
        <v>4692</v>
      </c>
      <c r="U3239" s="3" t="s">
        <v>85</v>
      </c>
      <c r="V3239" s="3" t="s">
        <v>64</v>
      </c>
      <c r="W3239" s="3" t="s">
        <v>16938</v>
      </c>
      <c r="X3239" s="10" t="s">
        <v>16939</v>
      </c>
      <c r="Y3239" s="6" t="s">
        <v>42</v>
      </c>
      <c r="Z3239" s="4" t="s">
        <v>36</v>
      </c>
      <c r="AA3239" s="4" t="s">
        <v>36</v>
      </c>
      <c r="AB3239" s="3" t="s">
        <v>43</v>
      </c>
      <c r="AC3239" s="3" t="s">
        <v>16940</v>
      </c>
      <c r="AD3239" s="9">
        <v>44287</v>
      </c>
      <c r="AE3239" s="3" t="s">
        <v>89</v>
      </c>
      <c r="AF3239" s="3" t="s">
        <v>13550</v>
      </c>
      <c r="AG3239" s="3" t="s">
        <v>16941</v>
      </c>
      <c r="AH3239" s="11">
        <f>HYPERLINK("https://my.pitchbook.com?c=170789-14T","View Company Online")</f>
      </c>
    </row>
    <row r="3240">
      <c r="A3240" s="12" t="s">
        <v>16942</v>
      </c>
      <c r="B3240" s="12" t="s">
        <v>16943</v>
      </c>
      <c r="C3240" s="19" t="s">
        <v>36</v>
      </c>
      <c r="D3240" s="19" t="s">
        <v>36</v>
      </c>
      <c r="E3240" s="19" t="s">
        <v>36</v>
      </c>
      <c r="F3240" s="19" t="s">
        <v>36</v>
      </c>
      <c r="G3240" s="15" t="s">
        <v>36</v>
      </c>
      <c r="H3240" s="14" t="s">
        <v>36</v>
      </c>
      <c r="I3240" s="18" t="s">
        <v>36</v>
      </c>
      <c r="J3240" s="12" t="s">
        <v>36</v>
      </c>
      <c r="K3240" s="13" t="s">
        <v>36</v>
      </c>
      <c r="L3240" s="15" t="s">
        <v>36</v>
      </c>
      <c r="M3240" s="12" t="s">
        <v>36</v>
      </c>
      <c r="N3240" s="12" t="s">
        <v>36</v>
      </c>
      <c r="O3240" s="17" t="s">
        <v>36</v>
      </c>
      <c r="P3240" s="12" t="s">
        <v>36</v>
      </c>
      <c r="Q3240" s="12" t="s">
        <v>36</v>
      </c>
      <c r="R3240" s="12" t="s">
        <v>36</v>
      </c>
      <c r="S3240" s="12" t="s">
        <v>36</v>
      </c>
      <c r="T3240" s="12" t="s">
        <v>16944</v>
      </c>
      <c r="U3240" s="12" t="s">
        <v>74</v>
      </c>
      <c r="V3240" s="12" t="s">
        <v>75</v>
      </c>
      <c r="W3240" s="12" t="s">
        <v>16945</v>
      </c>
      <c r="X3240" s="16" t="s">
        <v>11111</v>
      </c>
      <c r="Y3240" s="15" t="s">
        <v>42</v>
      </c>
      <c r="Z3240" s="14" t="s">
        <v>36</v>
      </c>
      <c r="AA3240" s="14" t="s">
        <v>36</v>
      </c>
      <c r="AB3240" s="12" t="s">
        <v>43</v>
      </c>
      <c r="AC3240" s="12" t="s">
        <v>16946</v>
      </c>
      <c r="AD3240" s="13">
        <v>44287</v>
      </c>
      <c r="AE3240" s="12" t="s">
        <v>79</v>
      </c>
      <c r="AF3240" s="12" t="s">
        <v>176</v>
      </c>
      <c r="AG3240" s="12" t="s">
        <v>16947</v>
      </c>
      <c r="AH3240" s="1">
        <f>HYPERLINK("https://my.pitchbook.com?c=170787-52T","View Company Online")</f>
      </c>
    </row>
    <row r="3241">
      <c r="A3241" s="3" t="s">
        <v>16948</v>
      </c>
      <c r="B3241" s="3" t="s">
        <v>16949</v>
      </c>
      <c r="C3241" s="5" t="s">
        <v>36</v>
      </c>
      <c r="D3241" s="5" t="s">
        <v>36</v>
      </c>
      <c r="E3241" s="5" t="s">
        <v>36</v>
      </c>
      <c r="F3241" s="5" t="s">
        <v>36</v>
      </c>
      <c r="G3241" s="6" t="s">
        <v>36</v>
      </c>
      <c r="H3241" s="4" t="s">
        <v>36</v>
      </c>
      <c r="I3241" s="7" t="s">
        <v>36</v>
      </c>
      <c r="J3241" s="3" t="s">
        <v>36</v>
      </c>
      <c r="K3241" s="9" t="s">
        <v>36</v>
      </c>
      <c r="L3241" s="6" t="s">
        <v>36</v>
      </c>
      <c r="M3241" s="3" t="s">
        <v>36</v>
      </c>
      <c r="N3241" s="3" t="s">
        <v>36</v>
      </c>
      <c r="O3241" s="8" t="s">
        <v>36</v>
      </c>
      <c r="P3241" s="3" t="s">
        <v>36</v>
      </c>
      <c r="Q3241" s="3" t="s">
        <v>36</v>
      </c>
      <c r="R3241" s="3" t="s">
        <v>36</v>
      </c>
      <c r="S3241" s="3" t="s">
        <v>36</v>
      </c>
      <c r="T3241" s="3" t="s">
        <v>16950</v>
      </c>
      <c r="U3241" s="3" t="s">
        <v>7149</v>
      </c>
      <c r="V3241" s="3" t="s">
        <v>378</v>
      </c>
      <c r="W3241" s="3" t="s">
        <v>16951</v>
      </c>
      <c r="X3241" s="10" t="s">
        <v>16952</v>
      </c>
      <c r="Y3241" s="6" t="s">
        <v>42</v>
      </c>
      <c r="Z3241" s="4" t="s">
        <v>36</v>
      </c>
      <c r="AA3241" s="4" t="s">
        <v>36</v>
      </c>
      <c r="AB3241" s="3" t="s">
        <v>56</v>
      </c>
      <c r="AC3241" s="3" t="s">
        <v>16953</v>
      </c>
      <c r="AD3241" s="9">
        <v>44287</v>
      </c>
      <c r="AE3241" s="3" t="s">
        <v>9635</v>
      </c>
      <c r="AF3241" s="3" t="s">
        <v>36</v>
      </c>
      <c r="AG3241" s="3" t="s">
        <v>16954</v>
      </c>
      <c r="AH3241" s="11">
        <f>HYPERLINK("https://my.pitchbook.com?c=170602-66T","View Company Online")</f>
      </c>
    </row>
    <row r="3242">
      <c r="A3242" s="12" t="s">
        <v>16955</v>
      </c>
      <c r="B3242" s="12" t="s">
        <v>16956</v>
      </c>
      <c r="C3242" s="19" t="s">
        <v>36</v>
      </c>
      <c r="D3242" s="19" t="s">
        <v>36</v>
      </c>
      <c r="E3242" s="19" t="s">
        <v>36</v>
      </c>
      <c r="F3242" s="19" t="s">
        <v>36</v>
      </c>
      <c r="G3242" s="15" t="s">
        <v>36</v>
      </c>
      <c r="H3242" s="14">
        <v>37.49</v>
      </c>
      <c r="I3242" s="18">
        <v>9.97</v>
      </c>
      <c r="J3242" s="12" t="s">
        <v>521</v>
      </c>
      <c r="K3242" s="13" t="s">
        <v>36</v>
      </c>
      <c r="L3242" s="15" t="s">
        <v>36</v>
      </c>
      <c r="M3242" s="12" t="s">
        <v>36</v>
      </c>
      <c r="N3242" s="12" t="s">
        <v>36</v>
      </c>
      <c r="O3242" s="17" t="s">
        <v>36</v>
      </c>
      <c r="P3242" s="12" t="s">
        <v>36</v>
      </c>
      <c r="Q3242" s="12" t="s">
        <v>36</v>
      </c>
      <c r="R3242" s="12" t="s">
        <v>36</v>
      </c>
      <c r="S3242" s="12" t="s">
        <v>36</v>
      </c>
      <c r="T3242" s="12" t="s">
        <v>2755</v>
      </c>
      <c r="U3242" s="12" t="s">
        <v>38</v>
      </c>
      <c r="V3242" s="12" t="s">
        <v>39</v>
      </c>
      <c r="W3242" s="12" t="s">
        <v>16957</v>
      </c>
      <c r="X3242" s="16" t="s">
        <v>16958</v>
      </c>
      <c r="Y3242" s="15" t="s">
        <v>42</v>
      </c>
      <c r="Z3242" s="14">
        <v>0.05</v>
      </c>
      <c r="AA3242" s="14">
        <v>0.48</v>
      </c>
      <c r="AB3242" s="12" t="s">
        <v>43</v>
      </c>
      <c r="AC3242" s="12" t="s">
        <v>16959</v>
      </c>
      <c r="AD3242" s="13">
        <v>44287</v>
      </c>
      <c r="AE3242" s="12" t="s">
        <v>688</v>
      </c>
      <c r="AF3242" s="12" t="s">
        <v>118</v>
      </c>
      <c r="AG3242" s="12" t="s">
        <v>81</v>
      </c>
      <c r="AH3242" s="1">
        <f>HYPERLINK("https://my.pitchbook.com?c=184743-01T","View Company Online")</f>
      </c>
    </row>
    <row r="3243">
      <c r="A3243" s="3" t="s">
        <v>16960</v>
      </c>
      <c r="B3243" s="3" t="s">
        <v>10369</v>
      </c>
      <c r="C3243" s="5" t="s">
        <v>36</v>
      </c>
      <c r="D3243" s="5" t="s">
        <v>36</v>
      </c>
      <c r="E3243" s="5" t="s">
        <v>36</v>
      </c>
      <c r="F3243" s="5" t="s">
        <v>36</v>
      </c>
      <c r="G3243" s="6" t="s">
        <v>36</v>
      </c>
      <c r="H3243" s="4" t="s">
        <v>36</v>
      </c>
      <c r="I3243" s="7">
        <v>29.32</v>
      </c>
      <c r="J3243" s="3" t="s">
        <v>327</v>
      </c>
      <c r="K3243" s="9" t="s">
        <v>36</v>
      </c>
      <c r="L3243" s="6" t="s">
        <v>36</v>
      </c>
      <c r="M3243" s="3" t="s">
        <v>36</v>
      </c>
      <c r="N3243" s="3" t="s">
        <v>36</v>
      </c>
      <c r="O3243" s="8" t="s">
        <v>36</v>
      </c>
      <c r="P3243" s="3" t="s">
        <v>36</v>
      </c>
      <c r="Q3243" s="3" t="s">
        <v>36</v>
      </c>
      <c r="R3243" s="3" t="s">
        <v>36</v>
      </c>
      <c r="S3243" s="3" t="s">
        <v>36</v>
      </c>
      <c r="T3243" s="3" t="s">
        <v>10370</v>
      </c>
      <c r="U3243" s="3" t="s">
        <v>648</v>
      </c>
      <c r="V3243" s="3" t="s">
        <v>64</v>
      </c>
      <c r="W3243" s="3" t="s">
        <v>10371</v>
      </c>
      <c r="X3243" s="10" t="s">
        <v>16961</v>
      </c>
      <c r="Y3243" s="6" t="s">
        <v>42</v>
      </c>
      <c r="Z3243" s="4">
        <v>3.21</v>
      </c>
      <c r="AA3243" s="4">
        <v>10.95</v>
      </c>
      <c r="AB3243" s="3" t="s">
        <v>43</v>
      </c>
      <c r="AC3243" s="3" t="s">
        <v>10373</v>
      </c>
      <c r="AD3243" s="9">
        <v>44287</v>
      </c>
      <c r="AE3243" s="3" t="s">
        <v>651</v>
      </c>
      <c r="AF3243" s="3" t="s">
        <v>36</v>
      </c>
      <c r="AG3243" s="3" t="s">
        <v>1843</v>
      </c>
      <c r="AH3243" s="11">
        <f>HYPERLINK("https://my.pitchbook.com?c=175154-68T","View Company Online")</f>
      </c>
    </row>
    <row r="3244">
      <c r="A3244" s="12" t="s">
        <v>16962</v>
      </c>
      <c r="B3244" s="12" t="s">
        <v>16963</v>
      </c>
      <c r="C3244" s="19" t="s">
        <v>36</v>
      </c>
      <c r="D3244" s="19" t="s">
        <v>36</v>
      </c>
      <c r="E3244" s="19" t="s">
        <v>36</v>
      </c>
      <c r="F3244" s="19" t="s">
        <v>36</v>
      </c>
      <c r="G3244" s="15" t="s">
        <v>36</v>
      </c>
      <c r="H3244" s="14">
        <v>134.38</v>
      </c>
      <c r="I3244" s="18">
        <v>19.7</v>
      </c>
      <c r="J3244" s="12" t="s">
        <v>521</v>
      </c>
      <c r="K3244" s="13" t="s">
        <v>36</v>
      </c>
      <c r="L3244" s="15" t="s">
        <v>122</v>
      </c>
      <c r="M3244" s="12" t="s">
        <v>36</v>
      </c>
      <c r="N3244" s="12" t="s">
        <v>122</v>
      </c>
      <c r="O3244" s="17" t="s">
        <v>36</v>
      </c>
      <c r="P3244" s="12" t="s">
        <v>36</v>
      </c>
      <c r="Q3244" s="12" t="s">
        <v>36</v>
      </c>
      <c r="R3244" s="12" t="s">
        <v>36</v>
      </c>
      <c r="S3244" s="12" t="s">
        <v>36</v>
      </c>
      <c r="T3244" s="12" t="s">
        <v>16964</v>
      </c>
      <c r="U3244" s="12" t="s">
        <v>85</v>
      </c>
      <c r="V3244" s="12" t="s">
        <v>64</v>
      </c>
      <c r="W3244" s="12" t="s">
        <v>16965</v>
      </c>
      <c r="X3244" s="16" t="s">
        <v>16966</v>
      </c>
      <c r="Y3244" s="15" t="s">
        <v>42</v>
      </c>
      <c r="Z3244" s="14">
        <v>0.44</v>
      </c>
      <c r="AA3244" s="14">
        <v>2.21</v>
      </c>
      <c r="AB3244" s="12" t="s">
        <v>43</v>
      </c>
      <c r="AC3244" s="12" t="s">
        <v>16967</v>
      </c>
      <c r="AD3244" s="13">
        <v>44285</v>
      </c>
      <c r="AE3244" s="12" t="s">
        <v>89</v>
      </c>
      <c r="AF3244" s="12" t="s">
        <v>36</v>
      </c>
      <c r="AG3244" s="12" t="s">
        <v>16968</v>
      </c>
      <c r="AH3244" s="1">
        <f>HYPERLINK("https://my.pitchbook.com?c=178877-17T","View Company Online")</f>
      </c>
    </row>
    <row r="3245">
      <c r="A3245" s="3" t="s">
        <v>16969</v>
      </c>
      <c r="B3245" s="3" t="s">
        <v>6646</v>
      </c>
      <c r="C3245" s="5" t="s">
        <v>36</v>
      </c>
      <c r="D3245" s="5" t="s">
        <v>36</v>
      </c>
      <c r="E3245" s="5" t="s">
        <v>36</v>
      </c>
      <c r="F3245" s="5" t="s">
        <v>36</v>
      </c>
      <c r="G3245" s="6" t="s">
        <v>36</v>
      </c>
      <c r="H3245" s="4">
        <v>1144.17</v>
      </c>
      <c r="I3245" s="7">
        <v>35.35</v>
      </c>
      <c r="J3245" s="3" t="s">
        <v>521</v>
      </c>
      <c r="K3245" s="9" t="s">
        <v>36</v>
      </c>
      <c r="L3245" s="6" t="s">
        <v>36</v>
      </c>
      <c r="M3245" s="3" t="s">
        <v>36</v>
      </c>
      <c r="N3245" s="3" t="s">
        <v>36</v>
      </c>
      <c r="O3245" s="8" t="s">
        <v>36</v>
      </c>
      <c r="P3245" s="3" t="s">
        <v>36</v>
      </c>
      <c r="Q3245" s="3" t="s">
        <v>36</v>
      </c>
      <c r="R3245" s="3" t="s">
        <v>36</v>
      </c>
      <c r="S3245" s="3" t="s">
        <v>36</v>
      </c>
      <c r="T3245" s="3" t="s">
        <v>6647</v>
      </c>
      <c r="U3245" s="3" t="s">
        <v>233</v>
      </c>
      <c r="V3245" s="3" t="s">
        <v>39</v>
      </c>
      <c r="W3245" s="3" t="s">
        <v>6648</v>
      </c>
      <c r="X3245" s="10" t="s">
        <v>16970</v>
      </c>
      <c r="Y3245" s="6" t="s">
        <v>42</v>
      </c>
      <c r="Z3245" s="4">
        <v>2.38</v>
      </c>
      <c r="AA3245" s="4">
        <v>5.59</v>
      </c>
      <c r="AB3245" s="3" t="s">
        <v>56</v>
      </c>
      <c r="AC3245" s="3" t="s">
        <v>6650</v>
      </c>
      <c r="AD3245" s="9">
        <v>44285</v>
      </c>
      <c r="AE3245" s="3" t="s">
        <v>236</v>
      </c>
      <c r="AF3245" s="3" t="s">
        <v>80</v>
      </c>
      <c r="AG3245" s="3" t="s">
        <v>81</v>
      </c>
      <c r="AH3245" s="11">
        <f>HYPERLINK("https://my.pitchbook.com?c=173453-23T","View Company Online")</f>
      </c>
    </row>
    <row r="3246">
      <c r="A3246" s="12" t="s">
        <v>16971</v>
      </c>
      <c r="B3246" s="12" t="s">
        <v>10982</v>
      </c>
      <c r="C3246" s="19">
        <v>1</v>
      </c>
      <c r="D3246" s="19">
        <v>1</v>
      </c>
      <c r="E3246" s="19">
        <v>2</v>
      </c>
      <c r="F3246" s="19">
        <v>2</v>
      </c>
      <c r="G3246" s="15" t="s">
        <v>36</v>
      </c>
      <c r="H3246" s="14" t="s">
        <v>36</v>
      </c>
      <c r="I3246" s="18" t="s">
        <v>36</v>
      </c>
      <c r="J3246" s="12" t="s">
        <v>36</v>
      </c>
      <c r="K3246" s="13" t="s">
        <v>36</v>
      </c>
      <c r="L3246" s="15" t="s">
        <v>36</v>
      </c>
      <c r="M3246" s="12" t="s">
        <v>36</v>
      </c>
      <c r="N3246" s="12" t="s">
        <v>36</v>
      </c>
      <c r="O3246" s="17" t="s">
        <v>36</v>
      </c>
      <c r="P3246" s="12" t="s">
        <v>36</v>
      </c>
      <c r="Q3246" s="12" t="s">
        <v>36</v>
      </c>
      <c r="R3246" s="12" t="s">
        <v>36</v>
      </c>
      <c r="S3246" s="12" t="s">
        <v>36</v>
      </c>
      <c r="T3246" s="12" t="s">
        <v>9281</v>
      </c>
      <c r="U3246" s="12" t="s">
        <v>38</v>
      </c>
      <c r="V3246" s="12" t="s">
        <v>39</v>
      </c>
      <c r="W3246" s="12" t="s">
        <v>10983</v>
      </c>
      <c r="X3246" s="16" t="s">
        <v>16972</v>
      </c>
      <c r="Y3246" s="15" t="s">
        <v>55</v>
      </c>
      <c r="Z3246" s="14">
        <v>4.77</v>
      </c>
      <c r="AA3246" s="14" t="s">
        <v>36</v>
      </c>
      <c r="AB3246" s="12" t="s">
        <v>56</v>
      </c>
      <c r="AC3246" s="12" t="s">
        <v>10985</v>
      </c>
      <c r="AD3246" s="13">
        <v>44285</v>
      </c>
      <c r="AE3246" s="12" t="s">
        <v>1945</v>
      </c>
      <c r="AF3246" s="12" t="s">
        <v>526</v>
      </c>
      <c r="AG3246" s="12" t="s">
        <v>2760</v>
      </c>
      <c r="AH3246" s="1">
        <f>HYPERLINK("https://my.pitchbook.com?c=169490-62T","View Company Online")</f>
      </c>
    </row>
    <row r="3247">
      <c r="A3247" s="3" t="s">
        <v>16973</v>
      </c>
      <c r="B3247" s="3" t="s">
        <v>16974</v>
      </c>
      <c r="C3247" s="5" t="s">
        <v>36</v>
      </c>
      <c r="D3247" s="5" t="s">
        <v>36</v>
      </c>
      <c r="E3247" s="5" t="s">
        <v>36</v>
      </c>
      <c r="F3247" s="5" t="s">
        <v>36</v>
      </c>
      <c r="G3247" s="6" t="s">
        <v>326</v>
      </c>
      <c r="H3247" s="4">
        <v>99.05</v>
      </c>
      <c r="I3247" s="7">
        <v>4.96</v>
      </c>
      <c r="J3247" s="3" t="s">
        <v>521</v>
      </c>
      <c r="K3247" s="9" t="s">
        <v>36</v>
      </c>
      <c r="L3247" s="6" t="s">
        <v>36</v>
      </c>
      <c r="M3247" s="3" t="s">
        <v>36</v>
      </c>
      <c r="N3247" s="3" t="s">
        <v>36</v>
      </c>
      <c r="O3247" s="8" t="s">
        <v>36</v>
      </c>
      <c r="P3247" s="3" t="s">
        <v>36</v>
      </c>
      <c r="Q3247" s="3" t="s">
        <v>36</v>
      </c>
      <c r="R3247" s="3" t="s">
        <v>36</v>
      </c>
      <c r="S3247" s="3" t="s">
        <v>36</v>
      </c>
      <c r="T3247" s="3" t="s">
        <v>16975</v>
      </c>
      <c r="U3247" s="3" t="s">
        <v>96</v>
      </c>
      <c r="V3247" s="3" t="s">
        <v>52</v>
      </c>
      <c r="W3247" s="3" t="s">
        <v>16976</v>
      </c>
      <c r="X3247" s="10" t="s">
        <v>16977</v>
      </c>
      <c r="Y3247" s="6" t="s">
        <v>55</v>
      </c>
      <c r="Z3247" s="4">
        <v>0.45</v>
      </c>
      <c r="AA3247" s="4">
        <v>9.01</v>
      </c>
      <c r="AB3247" s="3" t="s">
        <v>56</v>
      </c>
      <c r="AC3247" s="3" t="s">
        <v>16978</v>
      </c>
      <c r="AD3247" s="9">
        <v>44284</v>
      </c>
      <c r="AE3247" s="3" t="s">
        <v>12392</v>
      </c>
      <c r="AF3247" s="3" t="s">
        <v>571</v>
      </c>
      <c r="AG3247" s="3" t="s">
        <v>102</v>
      </c>
      <c r="AH3247" s="11">
        <f>HYPERLINK("https://my.pitchbook.com?c=204600-79T","View Company Online")</f>
      </c>
    </row>
    <row r="3248">
      <c r="A3248" s="12" t="s">
        <v>16979</v>
      </c>
      <c r="B3248" s="12" t="s">
        <v>5122</v>
      </c>
      <c r="C3248" s="19">
        <v>7</v>
      </c>
      <c r="D3248" s="19">
        <v>2</v>
      </c>
      <c r="E3248" s="19">
        <v>4</v>
      </c>
      <c r="F3248" s="19">
        <v>9</v>
      </c>
      <c r="G3248" s="15" t="s">
        <v>326</v>
      </c>
      <c r="H3248" s="14">
        <v>2216.3</v>
      </c>
      <c r="I3248" s="18">
        <v>12.02</v>
      </c>
      <c r="J3248" s="12" t="s">
        <v>521</v>
      </c>
      <c r="K3248" s="13" t="s">
        <v>36</v>
      </c>
      <c r="L3248" s="15" t="s">
        <v>36</v>
      </c>
      <c r="M3248" s="12" t="s">
        <v>36</v>
      </c>
      <c r="N3248" s="12" t="s">
        <v>36</v>
      </c>
      <c r="O3248" s="17" t="s">
        <v>36</v>
      </c>
      <c r="P3248" s="12" t="s">
        <v>36</v>
      </c>
      <c r="Q3248" s="12" t="s">
        <v>36</v>
      </c>
      <c r="R3248" s="12" t="s">
        <v>36</v>
      </c>
      <c r="S3248" s="12" t="s">
        <v>36</v>
      </c>
      <c r="T3248" s="12" t="s">
        <v>5123</v>
      </c>
      <c r="U3248" s="12" t="s">
        <v>74</v>
      </c>
      <c r="V3248" s="12" t="s">
        <v>75</v>
      </c>
      <c r="W3248" s="12" t="s">
        <v>5124</v>
      </c>
      <c r="X3248" s="16" t="s">
        <v>16980</v>
      </c>
      <c r="Y3248" s="15" t="s">
        <v>108</v>
      </c>
      <c r="Z3248" s="14">
        <v>3.58</v>
      </c>
      <c r="AA3248" s="14">
        <v>19.04</v>
      </c>
      <c r="AB3248" s="12" t="s">
        <v>43</v>
      </c>
      <c r="AC3248" s="12" t="s">
        <v>5126</v>
      </c>
      <c r="AD3248" s="13">
        <v>44284</v>
      </c>
      <c r="AE3248" s="12" t="s">
        <v>1888</v>
      </c>
      <c r="AF3248" s="12" t="s">
        <v>982</v>
      </c>
      <c r="AG3248" s="12" t="s">
        <v>5127</v>
      </c>
      <c r="AH3248" s="1">
        <f>HYPERLINK("https://my.pitchbook.com?c=169409-26T","View Company Online")</f>
      </c>
    </row>
    <row r="3249">
      <c r="A3249" s="3" t="s">
        <v>16981</v>
      </c>
      <c r="B3249" s="3" t="s">
        <v>16802</v>
      </c>
      <c r="C3249" s="5" t="s">
        <v>36</v>
      </c>
      <c r="D3249" s="5">
        <v>3</v>
      </c>
      <c r="E3249" s="5">
        <v>1</v>
      </c>
      <c r="F3249" s="5">
        <v>4</v>
      </c>
      <c r="G3249" s="6" t="s">
        <v>36</v>
      </c>
      <c r="H3249" s="4" t="s">
        <v>36</v>
      </c>
      <c r="I3249" s="7" t="s">
        <v>36</v>
      </c>
      <c r="J3249" s="3" t="s">
        <v>36</v>
      </c>
      <c r="K3249" s="9" t="s">
        <v>36</v>
      </c>
      <c r="L3249" s="6" t="s">
        <v>122</v>
      </c>
      <c r="M3249" s="3" t="s">
        <v>36</v>
      </c>
      <c r="N3249" s="3" t="s">
        <v>122</v>
      </c>
      <c r="O3249" s="8" t="s">
        <v>36</v>
      </c>
      <c r="P3249" s="3" t="s">
        <v>36</v>
      </c>
      <c r="Q3249" s="3" t="s">
        <v>36</v>
      </c>
      <c r="R3249" s="3" t="s">
        <v>36</v>
      </c>
      <c r="S3249" s="3" t="s">
        <v>36</v>
      </c>
      <c r="T3249" s="3" t="s">
        <v>16803</v>
      </c>
      <c r="U3249" s="3" t="s">
        <v>1580</v>
      </c>
      <c r="V3249" s="3" t="s">
        <v>39</v>
      </c>
      <c r="W3249" s="3" t="s">
        <v>16804</v>
      </c>
      <c r="X3249" s="10" t="s">
        <v>16982</v>
      </c>
      <c r="Y3249" s="6" t="s">
        <v>108</v>
      </c>
      <c r="Z3249" s="4">
        <v>1.56</v>
      </c>
      <c r="AA3249" s="4" t="s">
        <v>36</v>
      </c>
      <c r="AB3249" s="3" t="s">
        <v>56</v>
      </c>
      <c r="AC3249" s="3" t="s">
        <v>16806</v>
      </c>
      <c r="AD3249" s="9">
        <v>44284</v>
      </c>
      <c r="AE3249" s="3" t="s">
        <v>4086</v>
      </c>
      <c r="AF3249" s="3" t="s">
        <v>7294</v>
      </c>
      <c r="AG3249" s="3" t="s">
        <v>81</v>
      </c>
      <c r="AH3249" s="11">
        <f>HYPERLINK("https://my.pitchbook.com?c=202355-65T","View Company Online")</f>
      </c>
    </row>
    <row r="3250">
      <c r="A3250" s="12" t="s">
        <v>16983</v>
      </c>
      <c r="B3250" s="12" t="s">
        <v>5044</v>
      </c>
      <c r="C3250" s="19">
        <v>1</v>
      </c>
      <c r="D3250" s="19">
        <v>16</v>
      </c>
      <c r="E3250" s="19">
        <v>6</v>
      </c>
      <c r="F3250" s="19">
        <v>20</v>
      </c>
      <c r="G3250" s="15" t="s">
        <v>326</v>
      </c>
      <c r="H3250" s="14">
        <v>159.94</v>
      </c>
      <c r="I3250" s="18">
        <v>39.91</v>
      </c>
      <c r="J3250" s="12" t="s">
        <v>521</v>
      </c>
      <c r="K3250" s="13" t="s">
        <v>36</v>
      </c>
      <c r="L3250" s="15" t="s">
        <v>122</v>
      </c>
      <c r="M3250" s="12" t="s">
        <v>36</v>
      </c>
      <c r="N3250" s="12" t="s">
        <v>122</v>
      </c>
      <c r="O3250" s="17" t="s">
        <v>36</v>
      </c>
      <c r="P3250" s="12" t="s">
        <v>36</v>
      </c>
      <c r="Q3250" s="12" t="s">
        <v>36</v>
      </c>
      <c r="R3250" s="12" t="s">
        <v>36</v>
      </c>
      <c r="S3250" s="12" t="s">
        <v>36</v>
      </c>
      <c r="T3250" s="12" t="s">
        <v>5045</v>
      </c>
      <c r="U3250" s="12" t="s">
        <v>318</v>
      </c>
      <c r="V3250" s="12" t="s">
        <v>39</v>
      </c>
      <c r="W3250" s="12" t="s">
        <v>5046</v>
      </c>
      <c r="X3250" s="16" t="s">
        <v>16984</v>
      </c>
      <c r="Y3250" s="15" t="s">
        <v>166</v>
      </c>
      <c r="Z3250" s="14">
        <v>6.04</v>
      </c>
      <c r="AA3250" s="14">
        <v>15.14</v>
      </c>
      <c r="AB3250" s="12" t="s">
        <v>56</v>
      </c>
      <c r="AC3250" s="12" t="s">
        <v>5048</v>
      </c>
      <c r="AD3250" s="13">
        <v>44284</v>
      </c>
      <c r="AE3250" s="12" t="s">
        <v>763</v>
      </c>
      <c r="AF3250" s="12" t="s">
        <v>5049</v>
      </c>
      <c r="AG3250" s="12" t="s">
        <v>186</v>
      </c>
      <c r="AH3250" s="1">
        <f>HYPERLINK("https://my.pitchbook.com?c=171439-93T","View Company Online")</f>
      </c>
    </row>
    <row r="3251">
      <c r="A3251" s="3" t="s">
        <v>16985</v>
      </c>
      <c r="B3251" s="3" t="s">
        <v>16986</v>
      </c>
      <c r="C3251" s="5" t="s">
        <v>36</v>
      </c>
      <c r="D3251" s="5" t="s">
        <v>36</v>
      </c>
      <c r="E3251" s="5" t="s">
        <v>36</v>
      </c>
      <c r="F3251" s="5" t="s">
        <v>36</v>
      </c>
      <c r="G3251" s="6" t="s">
        <v>36</v>
      </c>
      <c r="H3251" s="4" t="s">
        <v>36</v>
      </c>
      <c r="I3251" s="7" t="s">
        <v>36</v>
      </c>
      <c r="J3251" s="3" t="s">
        <v>36</v>
      </c>
      <c r="K3251" s="9" t="s">
        <v>36</v>
      </c>
      <c r="L3251" s="6" t="s">
        <v>36</v>
      </c>
      <c r="M3251" s="3" t="s">
        <v>36</v>
      </c>
      <c r="N3251" s="3" t="s">
        <v>36</v>
      </c>
      <c r="O3251" s="8" t="s">
        <v>36</v>
      </c>
      <c r="P3251" s="3" t="s">
        <v>36</v>
      </c>
      <c r="Q3251" s="3" t="s">
        <v>36</v>
      </c>
      <c r="R3251" s="3" t="s">
        <v>36</v>
      </c>
      <c r="S3251" s="3" t="s">
        <v>36</v>
      </c>
      <c r="T3251" s="3" t="s">
        <v>3826</v>
      </c>
      <c r="U3251" s="3" t="s">
        <v>423</v>
      </c>
      <c r="V3251" s="3" t="s">
        <v>64</v>
      </c>
      <c r="W3251" s="3" t="s">
        <v>16987</v>
      </c>
      <c r="X3251" s="10" t="s">
        <v>16988</v>
      </c>
      <c r="Y3251" s="6" t="s">
        <v>42</v>
      </c>
      <c r="Z3251" s="4">
        <v>1.55</v>
      </c>
      <c r="AA3251" s="4" t="s">
        <v>36</v>
      </c>
      <c r="AB3251" s="3" t="s">
        <v>43</v>
      </c>
      <c r="AC3251" s="3" t="s">
        <v>16989</v>
      </c>
      <c r="AD3251" s="9">
        <v>44282</v>
      </c>
      <c r="AE3251" s="3" t="s">
        <v>1051</v>
      </c>
      <c r="AF3251" s="3" t="s">
        <v>1977</v>
      </c>
      <c r="AG3251" s="3" t="s">
        <v>899</v>
      </c>
      <c r="AH3251" s="11">
        <f>HYPERLINK("https://my.pitchbook.com?c=173000-26T","View Company Online")</f>
      </c>
    </row>
    <row r="3252">
      <c r="A3252" s="12" t="s">
        <v>16990</v>
      </c>
      <c r="B3252" s="12" t="s">
        <v>10231</v>
      </c>
      <c r="C3252" s="19" t="s">
        <v>36</v>
      </c>
      <c r="D3252" s="19" t="s">
        <v>36</v>
      </c>
      <c r="E3252" s="19" t="s">
        <v>36</v>
      </c>
      <c r="F3252" s="19" t="s">
        <v>36</v>
      </c>
      <c r="G3252" s="15" t="s">
        <v>326</v>
      </c>
      <c r="H3252" s="14">
        <v>3.89</v>
      </c>
      <c r="I3252" s="18">
        <v>30.07</v>
      </c>
      <c r="J3252" s="12" t="s">
        <v>521</v>
      </c>
      <c r="K3252" s="13" t="s">
        <v>36</v>
      </c>
      <c r="L3252" s="15" t="s">
        <v>36</v>
      </c>
      <c r="M3252" s="12" t="s">
        <v>36</v>
      </c>
      <c r="N3252" s="12" t="s">
        <v>36</v>
      </c>
      <c r="O3252" s="17" t="s">
        <v>36</v>
      </c>
      <c r="P3252" s="12" t="s">
        <v>36</v>
      </c>
      <c r="Q3252" s="12" t="s">
        <v>36</v>
      </c>
      <c r="R3252" s="12" t="s">
        <v>36</v>
      </c>
      <c r="S3252" s="12" t="s">
        <v>36</v>
      </c>
      <c r="T3252" s="12" t="s">
        <v>37</v>
      </c>
      <c r="U3252" s="12" t="s">
        <v>38</v>
      </c>
      <c r="V3252" s="12" t="s">
        <v>39</v>
      </c>
      <c r="W3252" s="12" t="s">
        <v>10232</v>
      </c>
      <c r="X3252" s="16" t="s">
        <v>16991</v>
      </c>
      <c r="Y3252" s="15" t="s">
        <v>108</v>
      </c>
      <c r="Z3252" s="14">
        <v>2.82</v>
      </c>
      <c r="AA3252" s="14">
        <v>9.39</v>
      </c>
      <c r="AB3252" s="12" t="s">
        <v>43</v>
      </c>
      <c r="AC3252" s="12" t="s">
        <v>10234</v>
      </c>
      <c r="AD3252" s="13">
        <v>44281</v>
      </c>
      <c r="AE3252" s="12" t="s">
        <v>45</v>
      </c>
      <c r="AF3252" s="12" t="s">
        <v>3334</v>
      </c>
      <c r="AG3252" s="12" t="s">
        <v>81</v>
      </c>
      <c r="AH3252" s="1">
        <f>HYPERLINK("https://my.pitchbook.com?c=169276-87T","View Company Online")</f>
      </c>
    </row>
    <row r="3253">
      <c r="A3253" s="3" t="s">
        <v>16992</v>
      </c>
      <c r="B3253" s="3" t="s">
        <v>1285</v>
      </c>
      <c r="C3253" s="5" t="s">
        <v>36</v>
      </c>
      <c r="D3253" s="5" t="s">
        <v>36</v>
      </c>
      <c r="E3253" s="5" t="s">
        <v>36</v>
      </c>
      <c r="F3253" s="5" t="s">
        <v>36</v>
      </c>
      <c r="G3253" s="6" t="s">
        <v>36</v>
      </c>
      <c r="H3253" s="4">
        <v>778.92</v>
      </c>
      <c r="I3253" s="7">
        <v>23.08</v>
      </c>
      <c r="J3253" s="3" t="s">
        <v>521</v>
      </c>
      <c r="K3253" s="9" t="s">
        <v>36</v>
      </c>
      <c r="L3253" s="6" t="s">
        <v>36</v>
      </c>
      <c r="M3253" s="3" t="s">
        <v>36</v>
      </c>
      <c r="N3253" s="3" t="s">
        <v>36</v>
      </c>
      <c r="O3253" s="8" t="s">
        <v>36</v>
      </c>
      <c r="P3253" s="3" t="s">
        <v>36</v>
      </c>
      <c r="Q3253" s="3" t="s">
        <v>36</v>
      </c>
      <c r="R3253" s="3" t="s">
        <v>36</v>
      </c>
      <c r="S3253" s="3" t="s">
        <v>36</v>
      </c>
      <c r="T3253" s="3" t="s">
        <v>1286</v>
      </c>
      <c r="U3253" s="3" t="s">
        <v>728</v>
      </c>
      <c r="V3253" s="3" t="s">
        <v>64</v>
      </c>
      <c r="W3253" s="3" t="s">
        <v>1287</v>
      </c>
      <c r="X3253" s="10" t="s">
        <v>16993</v>
      </c>
      <c r="Y3253" s="6" t="s">
        <v>42</v>
      </c>
      <c r="Z3253" s="4">
        <v>0.54</v>
      </c>
      <c r="AA3253" s="4">
        <v>2.33</v>
      </c>
      <c r="AB3253" s="3" t="s">
        <v>56</v>
      </c>
      <c r="AC3253" s="3" t="s">
        <v>1289</v>
      </c>
      <c r="AD3253" s="9">
        <v>44281</v>
      </c>
      <c r="AE3253" s="3" t="s">
        <v>732</v>
      </c>
      <c r="AF3253" s="3" t="s">
        <v>90</v>
      </c>
      <c r="AG3253" s="3" t="s">
        <v>81</v>
      </c>
      <c r="AH3253" s="11">
        <f>HYPERLINK("https://my.pitchbook.com?c=168719-59T","View Company Online")</f>
      </c>
    </row>
    <row r="3254">
      <c r="A3254" s="12" t="s">
        <v>16994</v>
      </c>
      <c r="B3254" s="12" t="s">
        <v>16995</v>
      </c>
      <c r="C3254" s="19" t="s">
        <v>36</v>
      </c>
      <c r="D3254" s="19">
        <v>1</v>
      </c>
      <c r="E3254" s="19">
        <v>1</v>
      </c>
      <c r="F3254" s="19">
        <v>1</v>
      </c>
      <c r="G3254" s="15" t="s">
        <v>36</v>
      </c>
      <c r="H3254" s="14">
        <v>1369.69</v>
      </c>
      <c r="I3254" s="18">
        <v>27.76</v>
      </c>
      <c r="J3254" s="12" t="s">
        <v>521</v>
      </c>
      <c r="K3254" s="13" t="s">
        <v>36</v>
      </c>
      <c r="L3254" s="15" t="s">
        <v>122</v>
      </c>
      <c r="M3254" s="12" t="s">
        <v>36</v>
      </c>
      <c r="N3254" s="12" t="s">
        <v>122</v>
      </c>
      <c r="O3254" s="17" t="s">
        <v>36</v>
      </c>
      <c r="P3254" s="12" t="s">
        <v>36</v>
      </c>
      <c r="Q3254" s="12" t="s">
        <v>36</v>
      </c>
      <c r="R3254" s="12" t="s">
        <v>36</v>
      </c>
      <c r="S3254" s="12" t="s">
        <v>36</v>
      </c>
      <c r="T3254" s="12" t="s">
        <v>9193</v>
      </c>
      <c r="U3254" s="12" t="s">
        <v>74</v>
      </c>
      <c r="V3254" s="12" t="s">
        <v>75</v>
      </c>
      <c r="W3254" s="12" t="s">
        <v>16996</v>
      </c>
      <c r="X3254" s="16" t="s">
        <v>15508</v>
      </c>
      <c r="Y3254" s="15" t="s">
        <v>42</v>
      </c>
      <c r="Z3254" s="14">
        <v>1.62</v>
      </c>
      <c r="AA3254" s="14">
        <v>5.83</v>
      </c>
      <c r="AB3254" s="12" t="s">
        <v>56</v>
      </c>
      <c r="AC3254" s="12" t="s">
        <v>16997</v>
      </c>
      <c r="AD3254" s="13">
        <v>44281</v>
      </c>
      <c r="AE3254" s="12" t="s">
        <v>79</v>
      </c>
      <c r="AF3254" s="12" t="s">
        <v>815</v>
      </c>
      <c r="AG3254" s="12" t="s">
        <v>16998</v>
      </c>
      <c r="AH3254" s="1">
        <f>HYPERLINK("https://my.pitchbook.com?c=170989-30T","View Company Online")</f>
      </c>
    </row>
    <row r="3255">
      <c r="A3255" s="3" t="s">
        <v>16999</v>
      </c>
      <c r="B3255" s="3" t="s">
        <v>17000</v>
      </c>
      <c r="C3255" s="5" t="s">
        <v>36</v>
      </c>
      <c r="D3255" s="5" t="s">
        <v>36</v>
      </c>
      <c r="E3255" s="5" t="s">
        <v>36</v>
      </c>
      <c r="F3255" s="5" t="s">
        <v>36</v>
      </c>
      <c r="G3255" s="6" t="s">
        <v>36</v>
      </c>
      <c r="H3255" s="4">
        <v>31.16</v>
      </c>
      <c r="I3255" s="7">
        <v>21.26</v>
      </c>
      <c r="J3255" s="3" t="s">
        <v>521</v>
      </c>
      <c r="K3255" s="9" t="s">
        <v>36</v>
      </c>
      <c r="L3255" s="6" t="s">
        <v>36</v>
      </c>
      <c r="M3255" s="3" t="s">
        <v>36</v>
      </c>
      <c r="N3255" s="3" t="s">
        <v>36</v>
      </c>
      <c r="O3255" s="8" t="s">
        <v>36</v>
      </c>
      <c r="P3255" s="3" t="s">
        <v>36</v>
      </c>
      <c r="Q3255" s="3" t="s">
        <v>36</v>
      </c>
      <c r="R3255" s="3" t="s">
        <v>36</v>
      </c>
      <c r="S3255" s="3" t="s">
        <v>36</v>
      </c>
      <c r="T3255" s="3" t="s">
        <v>37</v>
      </c>
      <c r="U3255" s="3" t="s">
        <v>38</v>
      </c>
      <c r="V3255" s="3" t="s">
        <v>39</v>
      </c>
      <c r="W3255" s="3" t="s">
        <v>17001</v>
      </c>
      <c r="X3255" s="10" t="s">
        <v>7099</v>
      </c>
      <c r="Y3255" s="6" t="s">
        <v>42</v>
      </c>
      <c r="Z3255" s="4">
        <v>0.48</v>
      </c>
      <c r="AA3255" s="4">
        <v>2.28</v>
      </c>
      <c r="AB3255" s="3" t="s">
        <v>43</v>
      </c>
      <c r="AC3255" s="3" t="s">
        <v>17002</v>
      </c>
      <c r="AD3255" s="9">
        <v>44280</v>
      </c>
      <c r="AE3255" s="3" t="s">
        <v>45</v>
      </c>
      <c r="AF3255" s="3" t="s">
        <v>1257</v>
      </c>
      <c r="AG3255" s="3" t="s">
        <v>969</v>
      </c>
      <c r="AH3255" s="11">
        <f>HYPERLINK("https://my.pitchbook.com?c=203294-17T","View Company Online")</f>
      </c>
    </row>
    <row r="3256">
      <c r="A3256" s="12" t="s">
        <v>17003</v>
      </c>
      <c r="B3256" s="12" t="s">
        <v>8676</v>
      </c>
      <c r="C3256" s="19">
        <v>5</v>
      </c>
      <c r="D3256" s="19">
        <v>1</v>
      </c>
      <c r="E3256" s="19">
        <v>4</v>
      </c>
      <c r="F3256" s="19">
        <v>10</v>
      </c>
      <c r="G3256" s="15" t="s">
        <v>326</v>
      </c>
      <c r="H3256" s="14" t="s">
        <v>36</v>
      </c>
      <c r="I3256" s="18">
        <v>23.65</v>
      </c>
      <c r="J3256" s="12" t="s">
        <v>327</v>
      </c>
      <c r="K3256" s="13" t="s">
        <v>36</v>
      </c>
      <c r="L3256" s="15" t="s">
        <v>36</v>
      </c>
      <c r="M3256" s="12" t="s">
        <v>36</v>
      </c>
      <c r="N3256" s="12" t="s">
        <v>36</v>
      </c>
      <c r="O3256" s="17" t="s">
        <v>36</v>
      </c>
      <c r="P3256" s="12" t="s">
        <v>36</v>
      </c>
      <c r="Q3256" s="12" t="s">
        <v>36</v>
      </c>
      <c r="R3256" s="12" t="s">
        <v>36</v>
      </c>
      <c r="S3256" s="12" t="s">
        <v>3570</v>
      </c>
      <c r="T3256" s="12" t="s">
        <v>8677</v>
      </c>
      <c r="U3256" s="12" t="s">
        <v>1082</v>
      </c>
      <c r="V3256" s="12" t="s">
        <v>378</v>
      </c>
      <c r="W3256" s="12" t="s">
        <v>8678</v>
      </c>
      <c r="X3256" s="16" t="s">
        <v>17004</v>
      </c>
      <c r="Y3256" s="15" t="s">
        <v>55</v>
      </c>
      <c r="Z3256" s="14">
        <v>4.79</v>
      </c>
      <c r="AA3256" s="14">
        <v>20.27</v>
      </c>
      <c r="AB3256" s="12" t="s">
        <v>56</v>
      </c>
      <c r="AC3256" s="12" t="s">
        <v>8680</v>
      </c>
      <c r="AD3256" s="13">
        <v>44279</v>
      </c>
      <c r="AE3256" s="12" t="s">
        <v>7876</v>
      </c>
      <c r="AF3256" s="12" t="s">
        <v>1977</v>
      </c>
      <c r="AG3256" s="12" t="s">
        <v>144</v>
      </c>
      <c r="AH3256" s="1">
        <f>HYPERLINK("https://my.pitchbook.com?c=169412-95T","View Company Online")</f>
      </c>
    </row>
    <row r="3257">
      <c r="A3257" s="3" t="s">
        <v>17005</v>
      </c>
      <c r="B3257" s="3" t="s">
        <v>17006</v>
      </c>
      <c r="C3257" s="5">
        <v>17</v>
      </c>
      <c r="D3257" s="5">
        <v>18</v>
      </c>
      <c r="E3257" s="5">
        <v>13</v>
      </c>
      <c r="F3257" s="5">
        <v>39</v>
      </c>
      <c r="G3257" s="6" t="s">
        <v>683</v>
      </c>
      <c r="H3257" s="4">
        <v>2.28</v>
      </c>
      <c r="I3257" s="7">
        <v>68.67</v>
      </c>
      <c r="J3257" s="3" t="s">
        <v>521</v>
      </c>
      <c r="K3257" s="9" t="s">
        <v>36</v>
      </c>
      <c r="L3257" s="6" t="s">
        <v>94</v>
      </c>
      <c r="M3257" s="3" t="s">
        <v>36</v>
      </c>
      <c r="N3257" s="3" t="s">
        <v>94</v>
      </c>
      <c r="O3257" s="8" t="s">
        <v>36</v>
      </c>
      <c r="P3257" s="3" t="s">
        <v>36</v>
      </c>
      <c r="Q3257" s="3" t="s">
        <v>36</v>
      </c>
      <c r="R3257" s="3" t="s">
        <v>36</v>
      </c>
      <c r="S3257" s="3" t="s">
        <v>36</v>
      </c>
      <c r="T3257" s="3" t="s">
        <v>881</v>
      </c>
      <c r="U3257" s="3" t="s">
        <v>51</v>
      </c>
      <c r="V3257" s="3" t="s">
        <v>52</v>
      </c>
      <c r="W3257" s="3" t="s">
        <v>17007</v>
      </c>
      <c r="X3257" s="10" t="s">
        <v>17008</v>
      </c>
      <c r="Y3257" s="6" t="s">
        <v>166</v>
      </c>
      <c r="Z3257" s="4">
        <v>43.78</v>
      </c>
      <c r="AA3257" s="4">
        <v>63.75</v>
      </c>
      <c r="AB3257" s="3" t="s">
        <v>56</v>
      </c>
      <c r="AC3257" s="3" t="s">
        <v>17009</v>
      </c>
      <c r="AD3257" s="9">
        <v>44279</v>
      </c>
      <c r="AE3257" s="3" t="s">
        <v>504</v>
      </c>
      <c r="AF3257" s="3" t="s">
        <v>665</v>
      </c>
      <c r="AG3257" s="3" t="s">
        <v>13998</v>
      </c>
      <c r="AH3257" s="11">
        <f>HYPERLINK("https://my.pitchbook.com?c=169092-91T","View Company Online")</f>
      </c>
    </row>
    <row r="3258">
      <c r="A3258" s="12" t="s">
        <v>17010</v>
      </c>
      <c r="B3258" s="12" t="s">
        <v>17011</v>
      </c>
      <c r="C3258" s="19" t="s">
        <v>36</v>
      </c>
      <c r="D3258" s="19" t="s">
        <v>36</v>
      </c>
      <c r="E3258" s="19" t="s">
        <v>36</v>
      </c>
      <c r="F3258" s="19" t="s">
        <v>36</v>
      </c>
      <c r="G3258" s="15" t="s">
        <v>683</v>
      </c>
      <c r="H3258" s="14">
        <v>9.05</v>
      </c>
      <c r="I3258" s="18">
        <v>7.96</v>
      </c>
      <c r="J3258" s="12" t="s">
        <v>521</v>
      </c>
      <c r="K3258" s="13" t="s">
        <v>36</v>
      </c>
      <c r="L3258" s="15" t="s">
        <v>36</v>
      </c>
      <c r="M3258" s="12" t="s">
        <v>36</v>
      </c>
      <c r="N3258" s="12" t="s">
        <v>36</v>
      </c>
      <c r="O3258" s="17" t="s">
        <v>36</v>
      </c>
      <c r="P3258" s="12" t="s">
        <v>36</v>
      </c>
      <c r="Q3258" s="12" t="s">
        <v>36</v>
      </c>
      <c r="R3258" s="12" t="s">
        <v>36</v>
      </c>
      <c r="S3258" s="12" t="s">
        <v>36</v>
      </c>
      <c r="T3258" s="12" t="s">
        <v>4692</v>
      </c>
      <c r="U3258" s="12" t="s">
        <v>85</v>
      </c>
      <c r="V3258" s="12" t="s">
        <v>64</v>
      </c>
      <c r="W3258" s="12" t="s">
        <v>17012</v>
      </c>
      <c r="X3258" s="16" t="s">
        <v>7214</v>
      </c>
      <c r="Y3258" s="15" t="s">
        <v>42</v>
      </c>
      <c r="Z3258" s="14">
        <v>0.22</v>
      </c>
      <c r="AA3258" s="14">
        <v>2.71</v>
      </c>
      <c r="AB3258" s="12" t="s">
        <v>56</v>
      </c>
      <c r="AC3258" s="12" t="s">
        <v>17013</v>
      </c>
      <c r="AD3258" s="13">
        <v>44279</v>
      </c>
      <c r="AE3258" s="12" t="s">
        <v>89</v>
      </c>
      <c r="AF3258" s="12" t="s">
        <v>601</v>
      </c>
      <c r="AG3258" s="12" t="s">
        <v>17014</v>
      </c>
      <c r="AH3258" s="1">
        <f>HYPERLINK("https://my.pitchbook.com?c=191884-33T","View Company Online")</f>
      </c>
    </row>
    <row r="3259">
      <c r="A3259" s="3" t="s">
        <v>17015</v>
      </c>
      <c r="B3259" s="3" t="s">
        <v>17016</v>
      </c>
      <c r="C3259" s="5" t="s">
        <v>36</v>
      </c>
      <c r="D3259" s="5" t="s">
        <v>36</v>
      </c>
      <c r="E3259" s="5" t="s">
        <v>36</v>
      </c>
      <c r="F3259" s="5" t="s">
        <v>36</v>
      </c>
      <c r="G3259" s="6" t="s">
        <v>36</v>
      </c>
      <c r="H3259" s="4" t="s">
        <v>36</v>
      </c>
      <c r="I3259" s="7" t="s">
        <v>36</v>
      </c>
      <c r="J3259" s="3" t="s">
        <v>36</v>
      </c>
      <c r="K3259" s="9" t="s">
        <v>36</v>
      </c>
      <c r="L3259" s="6" t="s">
        <v>36</v>
      </c>
      <c r="M3259" s="3" t="s">
        <v>36</v>
      </c>
      <c r="N3259" s="3" t="s">
        <v>36</v>
      </c>
      <c r="O3259" s="8" t="s">
        <v>36</v>
      </c>
      <c r="P3259" s="3" t="s">
        <v>36</v>
      </c>
      <c r="Q3259" s="3" t="s">
        <v>36</v>
      </c>
      <c r="R3259" s="3" t="s">
        <v>36</v>
      </c>
      <c r="S3259" s="3" t="s">
        <v>36</v>
      </c>
      <c r="T3259" s="3" t="s">
        <v>1701</v>
      </c>
      <c r="U3259" s="3" t="s">
        <v>74</v>
      </c>
      <c r="V3259" s="3" t="s">
        <v>75</v>
      </c>
      <c r="W3259" s="3" t="s">
        <v>17017</v>
      </c>
      <c r="X3259" s="10" t="s">
        <v>17018</v>
      </c>
      <c r="Y3259" s="6" t="s">
        <v>42</v>
      </c>
      <c r="Z3259" s="4">
        <v>9.59</v>
      </c>
      <c r="AA3259" s="4" t="s">
        <v>36</v>
      </c>
      <c r="AB3259" s="3" t="s">
        <v>56</v>
      </c>
      <c r="AC3259" s="3" t="s">
        <v>17019</v>
      </c>
      <c r="AD3259" s="9">
        <v>44278</v>
      </c>
      <c r="AE3259" s="3" t="s">
        <v>79</v>
      </c>
      <c r="AF3259" s="3" t="s">
        <v>17020</v>
      </c>
      <c r="AG3259" s="3" t="s">
        <v>12667</v>
      </c>
      <c r="AH3259" s="11">
        <f>HYPERLINK("https://my.pitchbook.com?c=170018-65T","View Company Online")</f>
      </c>
    </row>
    <row r="3260">
      <c r="A3260" s="12" t="s">
        <v>17021</v>
      </c>
      <c r="B3260" s="12" t="s">
        <v>17022</v>
      </c>
      <c r="C3260" s="19" t="s">
        <v>36</v>
      </c>
      <c r="D3260" s="19" t="s">
        <v>36</v>
      </c>
      <c r="E3260" s="19" t="s">
        <v>36</v>
      </c>
      <c r="F3260" s="19" t="s">
        <v>36</v>
      </c>
      <c r="G3260" s="15" t="s">
        <v>36</v>
      </c>
      <c r="H3260" s="14">
        <v>14.29</v>
      </c>
      <c r="I3260" s="18">
        <v>22.91</v>
      </c>
      <c r="J3260" s="12" t="s">
        <v>521</v>
      </c>
      <c r="K3260" s="13" t="s">
        <v>36</v>
      </c>
      <c r="L3260" s="15" t="s">
        <v>36</v>
      </c>
      <c r="M3260" s="12" t="s">
        <v>36</v>
      </c>
      <c r="N3260" s="12" t="s">
        <v>36</v>
      </c>
      <c r="O3260" s="17" t="s">
        <v>36</v>
      </c>
      <c r="P3260" s="12" t="s">
        <v>36</v>
      </c>
      <c r="Q3260" s="12" t="s">
        <v>36</v>
      </c>
      <c r="R3260" s="12" t="s">
        <v>36</v>
      </c>
      <c r="S3260" s="12" t="s">
        <v>36</v>
      </c>
      <c r="T3260" s="12" t="s">
        <v>17023</v>
      </c>
      <c r="U3260" s="12" t="s">
        <v>423</v>
      </c>
      <c r="V3260" s="12" t="s">
        <v>64</v>
      </c>
      <c r="W3260" s="12" t="s">
        <v>17024</v>
      </c>
      <c r="X3260" s="16" t="s">
        <v>17025</v>
      </c>
      <c r="Y3260" s="15" t="s">
        <v>42</v>
      </c>
      <c r="Z3260" s="14">
        <v>1.36</v>
      </c>
      <c r="AA3260" s="14">
        <v>5.91</v>
      </c>
      <c r="AB3260" s="12" t="s">
        <v>43</v>
      </c>
      <c r="AC3260" s="12" t="s">
        <v>17026</v>
      </c>
      <c r="AD3260" s="13">
        <v>44278</v>
      </c>
      <c r="AE3260" s="12" t="s">
        <v>5969</v>
      </c>
      <c r="AF3260" s="12" t="s">
        <v>36</v>
      </c>
      <c r="AG3260" s="12" t="s">
        <v>81</v>
      </c>
      <c r="AH3260" s="1">
        <f>HYPERLINK("https://my.pitchbook.com?c=235148-68T","View Company Online")</f>
      </c>
    </row>
    <row r="3261">
      <c r="A3261" s="3" t="s">
        <v>17027</v>
      </c>
      <c r="B3261" s="3" t="s">
        <v>3516</v>
      </c>
      <c r="C3261" s="5" t="s">
        <v>36</v>
      </c>
      <c r="D3261" s="5" t="s">
        <v>36</v>
      </c>
      <c r="E3261" s="5" t="s">
        <v>36</v>
      </c>
      <c r="F3261" s="5" t="s">
        <v>36</v>
      </c>
      <c r="G3261" s="6" t="s">
        <v>326</v>
      </c>
      <c r="H3261" s="4" t="s">
        <v>36</v>
      </c>
      <c r="I3261" s="7">
        <v>10</v>
      </c>
      <c r="J3261" s="3" t="s">
        <v>327</v>
      </c>
      <c r="K3261" s="9" t="s">
        <v>36</v>
      </c>
      <c r="L3261" s="6" t="s">
        <v>36</v>
      </c>
      <c r="M3261" s="3" t="s">
        <v>36</v>
      </c>
      <c r="N3261" s="3" t="s">
        <v>36</v>
      </c>
      <c r="O3261" s="8" t="s">
        <v>36</v>
      </c>
      <c r="P3261" s="3" t="s">
        <v>36</v>
      </c>
      <c r="Q3261" s="3" t="s">
        <v>36</v>
      </c>
      <c r="R3261" s="3" t="s">
        <v>36</v>
      </c>
      <c r="S3261" s="3" t="s">
        <v>36</v>
      </c>
      <c r="T3261" s="3" t="s">
        <v>386</v>
      </c>
      <c r="U3261" s="3" t="s">
        <v>387</v>
      </c>
      <c r="V3261" s="3" t="s">
        <v>367</v>
      </c>
      <c r="W3261" s="3" t="s">
        <v>3517</v>
      </c>
      <c r="X3261" s="10" t="s">
        <v>17028</v>
      </c>
      <c r="Y3261" s="6" t="s">
        <v>108</v>
      </c>
      <c r="Z3261" s="4">
        <v>14.39</v>
      </c>
      <c r="AA3261" s="4">
        <v>143.92</v>
      </c>
      <c r="AB3261" s="3" t="s">
        <v>43</v>
      </c>
      <c r="AC3261" s="3" t="s">
        <v>3519</v>
      </c>
      <c r="AD3261" s="9">
        <v>44278</v>
      </c>
      <c r="AE3261" s="3" t="s">
        <v>391</v>
      </c>
      <c r="AF3261" s="3" t="s">
        <v>372</v>
      </c>
      <c r="AG3261" s="3" t="s">
        <v>3520</v>
      </c>
      <c r="AH3261" s="11">
        <f>HYPERLINK("https://my.pitchbook.com?c=174561-94T","View Company Online")</f>
      </c>
    </row>
    <row r="3262">
      <c r="A3262" s="12" t="s">
        <v>17029</v>
      </c>
      <c r="B3262" s="12" t="s">
        <v>17030</v>
      </c>
      <c r="C3262" s="19" t="s">
        <v>36</v>
      </c>
      <c r="D3262" s="19" t="s">
        <v>36</v>
      </c>
      <c r="E3262" s="19" t="s">
        <v>36</v>
      </c>
      <c r="F3262" s="19" t="s">
        <v>36</v>
      </c>
      <c r="G3262" s="15" t="s">
        <v>36</v>
      </c>
      <c r="H3262" s="14" t="s">
        <v>36</v>
      </c>
      <c r="I3262" s="18" t="s">
        <v>36</v>
      </c>
      <c r="J3262" s="12" t="s">
        <v>36</v>
      </c>
      <c r="K3262" s="13" t="s">
        <v>36</v>
      </c>
      <c r="L3262" s="15" t="s">
        <v>122</v>
      </c>
      <c r="M3262" s="12" t="s">
        <v>36</v>
      </c>
      <c r="N3262" s="12" t="s">
        <v>122</v>
      </c>
      <c r="O3262" s="17" t="s">
        <v>36</v>
      </c>
      <c r="P3262" s="12" t="s">
        <v>36</v>
      </c>
      <c r="Q3262" s="12" t="s">
        <v>36</v>
      </c>
      <c r="R3262" s="12" t="s">
        <v>36</v>
      </c>
      <c r="S3262" s="12" t="s">
        <v>2699</v>
      </c>
      <c r="T3262" s="12" t="s">
        <v>8858</v>
      </c>
      <c r="U3262" s="12" t="s">
        <v>619</v>
      </c>
      <c r="V3262" s="12" t="s">
        <v>378</v>
      </c>
      <c r="W3262" s="12" t="s">
        <v>17031</v>
      </c>
      <c r="X3262" s="16" t="s">
        <v>17032</v>
      </c>
      <c r="Y3262" s="15" t="s">
        <v>42</v>
      </c>
      <c r="Z3262" s="14">
        <v>50.4</v>
      </c>
      <c r="AA3262" s="14" t="s">
        <v>36</v>
      </c>
      <c r="AB3262" s="12" t="s">
        <v>56</v>
      </c>
      <c r="AC3262" s="12" t="s">
        <v>17033</v>
      </c>
      <c r="AD3262" s="13">
        <v>44277</v>
      </c>
      <c r="AE3262" s="12" t="s">
        <v>2040</v>
      </c>
      <c r="AF3262" s="12" t="s">
        <v>17034</v>
      </c>
      <c r="AG3262" s="12" t="s">
        <v>17035</v>
      </c>
      <c r="AH3262" s="1">
        <f>HYPERLINK("https://my.pitchbook.com?c=168908-23T","View Company Online")</f>
      </c>
    </row>
    <row r="3263">
      <c r="A3263" s="3" t="s">
        <v>17036</v>
      </c>
      <c r="B3263" s="3" t="s">
        <v>17037</v>
      </c>
      <c r="C3263" s="5" t="s">
        <v>36</v>
      </c>
      <c r="D3263" s="5" t="s">
        <v>36</v>
      </c>
      <c r="E3263" s="5" t="s">
        <v>36</v>
      </c>
      <c r="F3263" s="5" t="s">
        <v>36</v>
      </c>
      <c r="G3263" s="6" t="s">
        <v>36</v>
      </c>
      <c r="H3263" s="4">
        <v>327.97</v>
      </c>
      <c r="I3263" s="7">
        <v>19.94</v>
      </c>
      <c r="J3263" s="3" t="s">
        <v>521</v>
      </c>
      <c r="K3263" s="9" t="s">
        <v>36</v>
      </c>
      <c r="L3263" s="6" t="s">
        <v>36</v>
      </c>
      <c r="M3263" s="3" t="s">
        <v>36</v>
      </c>
      <c r="N3263" s="3" t="s">
        <v>36</v>
      </c>
      <c r="O3263" s="8" t="s">
        <v>36</v>
      </c>
      <c r="P3263" s="3" t="s">
        <v>36</v>
      </c>
      <c r="Q3263" s="3" t="s">
        <v>36</v>
      </c>
      <c r="R3263" s="3" t="s">
        <v>36</v>
      </c>
      <c r="S3263" s="3" t="s">
        <v>36</v>
      </c>
      <c r="T3263" s="3" t="s">
        <v>647</v>
      </c>
      <c r="U3263" s="3" t="s">
        <v>648</v>
      </c>
      <c r="V3263" s="3" t="s">
        <v>64</v>
      </c>
      <c r="W3263" s="3" t="s">
        <v>17038</v>
      </c>
      <c r="X3263" s="10" t="s">
        <v>17039</v>
      </c>
      <c r="Y3263" s="6" t="s">
        <v>42</v>
      </c>
      <c r="Z3263" s="4">
        <v>0.22</v>
      </c>
      <c r="AA3263" s="4">
        <v>1.09</v>
      </c>
      <c r="AB3263" s="3" t="s">
        <v>43</v>
      </c>
      <c r="AC3263" s="3" t="s">
        <v>17040</v>
      </c>
      <c r="AD3263" s="9">
        <v>44277</v>
      </c>
      <c r="AE3263" s="3" t="s">
        <v>651</v>
      </c>
      <c r="AF3263" s="3" t="s">
        <v>36</v>
      </c>
      <c r="AG3263" s="3" t="s">
        <v>4073</v>
      </c>
      <c r="AH3263" s="11">
        <f>HYPERLINK("https://my.pitchbook.com?c=191880-46T","View Company Online")</f>
      </c>
    </row>
    <row r="3264">
      <c r="A3264" s="12" t="s">
        <v>17041</v>
      </c>
      <c r="B3264" s="12" t="s">
        <v>5849</v>
      </c>
      <c r="C3264" s="19">
        <v>2</v>
      </c>
      <c r="D3264" s="19">
        <v>1</v>
      </c>
      <c r="E3264" s="19">
        <v>2</v>
      </c>
      <c r="F3264" s="19">
        <v>3</v>
      </c>
      <c r="G3264" s="15" t="s">
        <v>36</v>
      </c>
      <c r="H3264" s="14">
        <v>780.88</v>
      </c>
      <c r="I3264" s="18">
        <v>37.45</v>
      </c>
      <c r="J3264" s="12" t="s">
        <v>521</v>
      </c>
      <c r="K3264" s="13" t="s">
        <v>36</v>
      </c>
      <c r="L3264" s="15" t="s">
        <v>36</v>
      </c>
      <c r="M3264" s="12" t="s">
        <v>36</v>
      </c>
      <c r="N3264" s="12" t="s">
        <v>36</v>
      </c>
      <c r="O3264" s="17" t="s">
        <v>36</v>
      </c>
      <c r="P3264" s="12" t="s">
        <v>36</v>
      </c>
      <c r="Q3264" s="12" t="s">
        <v>36</v>
      </c>
      <c r="R3264" s="12" t="s">
        <v>36</v>
      </c>
      <c r="S3264" s="12" t="s">
        <v>36</v>
      </c>
      <c r="T3264" s="12" t="s">
        <v>5850</v>
      </c>
      <c r="U3264" s="12" t="s">
        <v>180</v>
      </c>
      <c r="V3264" s="12" t="s">
        <v>52</v>
      </c>
      <c r="W3264" s="12" t="s">
        <v>5851</v>
      </c>
      <c r="X3264" s="16" t="s">
        <v>17042</v>
      </c>
      <c r="Y3264" s="15" t="s">
        <v>42</v>
      </c>
      <c r="Z3264" s="14">
        <v>4.8</v>
      </c>
      <c r="AA3264" s="14">
        <v>8.01</v>
      </c>
      <c r="AB3264" s="12" t="s">
        <v>43</v>
      </c>
      <c r="AC3264" s="12" t="s">
        <v>5853</v>
      </c>
      <c r="AD3264" s="13">
        <v>44277</v>
      </c>
      <c r="AE3264" s="12" t="s">
        <v>184</v>
      </c>
      <c r="AF3264" s="12" t="s">
        <v>5854</v>
      </c>
      <c r="AG3264" s="12" t="s">
        <v>81</v>
      </c>
      <c r="AH3264" s="1">
        <f>HYPERLINK("https://my.pitchbook.com?c=168903-64T","View Company Online")</f>
      </c>
    </row>
    <row r="3265">
      <c r="A3265" s="3" t="s">
        <v>17043</v>
      </c>
      <c r="B3265" s="3" t="s">
        <v>5382</v>
      </c>
      <c r="C3265" s="5" t="s">
        <v>36</v>
      </c>
      <c r="D3265" s="5" t="s">
        <v>36</v>
      </c>
      <c r="E3265" s="5" t="s">
        <v>36</v>
      </c>
      <c r="F3265" s="5" t="s">
        <v>36</v>
      </c>
      <c r="G3265" s="6" t="s">
        <v>36</v>
      </c>
      <c r="H3265" s="4">
        <v>0.93</v>
      </c>
      <c r="I3265" s="7">
        <v>25.69</v>
      </c>
      <c r="J3265" s="3" t="s">
        <v>521</v>
      </c>
      <c r="K3265" s="9" t="s">
        <v>36</v>
      </c>
      <c r="L3265" s="6" t="s">
        <v>36</v>
      </c>
      <c r="M3265" s="3" t="s">
        <v>36</v>
      </c>
      <c r="N3265" s="3" t="s">
        <v>36</v>
      </c>
      <c r="O3265" s="8" t="s">
        <v>36</v>
      </c>
      <c r="P3265" s="3" t="s">
        <v>36</v>
      </c>
      <c r="Q3265" s="3" t="s">
        <v>36</v>
      </c>
      <c r="R3265" s="3" t="s">
        <v>36</v>
      </c>
      <c r="S3265" s="3" t="s">
        <v>3479</v>
      </c>
      <c r="T3265" s="3" t="s">
        <v>1253</v>
      </c>
      <c r="U3265" s="3" t="s">
        <v>38</v>
      </c>
      <c r="V3265" s="3" t="s">
        <v>39</v>
      </c>
      <c r="W3265" s="3" t="s">
        <v>5383</v>
      </c>
      <c r="X3265" s="10" t="s">
        <v>17044</v>
      </c>
      <c r="Y3265" s="6" t="s">
        <v>42</v>
      </c>
      <c r="Z3265" s="4">
        <v>0.5</v>
      </c>
      <c r="AA3265" s="4">
        <v>1.94</v>
      </c>
      <c r="AB3265" s="3" t="s">
        <v>43</v>
      </c>
      <c r="AC3265" s="3" t="s">
        <v>5385</v>
      </c>
      <c r="AD3265" s="9">
        <v>44277</v>
      </c>
      <c r="AE3265" s="3" t="s">
        <v>45</v>
      </c>
      <c r="AF3265" s="3" t="s">
        <v>799</v>
      </c>
      <c r="AG3265" s="3" t="s">
        <v>373</v>
      </c>
      <c r="AH3265" s="11">
        <f>HYPERLINK("https://my.pitchbook.com?c=246411-46T","View Company Online")</f>
      </c>
    </row>
    <row r="3266">
      <c r="A3266" s="12" t="s">
        <v>17045</v>
      </c>
      <c r="B3266" s="12" t="s">
        <v>13015</v>
      </c>
      <c r="C3266" s="19" t="s">
        <v>36</v>
      </c>
      <c r="D3266" s="19" t="s">
        <v>36</v>
      </c>
      <c r="E3266" s="19" t="s">
        <v>36</v>
      </c>
      <c r="F3266" s="19" t="s">
        <v>36</v>
      </c>
      <c r="G3266" s="15" t="s">
        <v>36</v>
      </c>
      <c r="H3266" s="14" t="s">
        <v>36</v>
      </c>
      <c r="I3266" s="18" t="s">
        <v>36</v>
      </c>
      <c r="J3266" s="12" t="s">
        <v>36</v>
      </c>
      <c r="K3266" s="13">
        <v>44166</v>
      </c>
      <c r="L3266" s="15" t="s">
        <v>36</v>
      </c>
      <c r="M3266" s="12" t="s">
        <v>36</v>
      </c>
      <c r="N3266" s="12" t="s">
        <v>36</v>
      </c>
      <c r="O3266" s="17" t="s">
        <v>36</v>
      </c>
      <c r="P3266" s="12" t="s">
        <v>36</v>
      </c>
      <c r="Q3266" s="12" t="s">
        <v>36</v>
      </c>
      <c r="R3266" s="12" t="s">
        <v>36</v>
      </c>
      <c r="S3266" s="12" t="s">
        <v>36</v>
      </c>
      <c r="T3266" s="12" t="s">
        <v>9788</v>
      </c>
      <c r="U3266" s="12" t="s">
        <v>74</v>
      </c>
      <c r="V3266" s="12" t="s">
        <v>75</v>
      </c>
      <c r="W3266" s="12" t="s">
        <v>13016</v>
      </c>
      <c r="X3266" s="16" t="s">
        <v>17046</v>
      </c>
      <c r="Y3266" s="15" t="s">
        <v>55</v>
      </c>
      <c r="Z3266" s="14">
        <v>1.7</v>
      </c>
      <c r="AA3266" s="14" t="s">
        <v>36</v>
      </c>
      <c r="AB3266" s="12" t="s">
        <v>43</v>
      </c>
      <c r="AC3266" s="12" t="s">
        <v>13018</v>
      </c>
      <c r="AD3266" s="13">
        <v>44274</v>
      </c>
      <c r="AE3266" s="12" t="s">
        <v>3144</v>
      </c>
      <c r="AF3266" s="12" t="s">
        <v>5049</v>
      </c>
      <c r="AG3266" s="12" t="s">
        <v>81</v>
      </c>
      <c r="AH3266" s="1">
        <f>HYPERLINK("https://my.pitchbook.com?c=168834-97T","View Company Online")</f>
      </c>
    </row>
    <row r="3267">
      <c r="A3267" s="3" t="s">
        <v>17047</v>
      </c>
      <c r="B3267" s="3" t="s">
        <v>1396</v>
      </c>
      <c r="C3267" s="5" t="s">
        <v>36</v>
      </c>
      <c r="D3267" s="5" t="s">
        <v>36</v>
      </c>
      <c r="E3267" s="5" t="s">
        <v>36</v>
      </c>
      <c r="F3267" s="5" t="s">
        <v>36</v>
      </c>
      <c r="G3267" s="6" t="s">
        <v>36</v>
      </c>
      <c r="H3267" s="4" t="s">
        <v>36</v>
      </c>
      <c r="I3267" s="7" t="s">
        <v>36</v>
      </c>
      <c r="J3267" s="3" t="s">
        <v>36</v>
      </c>
      <c r="K3267" s="9" t="s">
        <v>36</v>
      </c>
      <c r="L3267" s="6" t="s">
        <v>36</v>
      </c>
      <c r="M3267" s="3" t="s">
        <v>36</v>
      </c>
      <c r="N3267" s="3" t="s">
        <v>36</v>
      </c>
      <c r="O3267" s="8" t="s">
        <v>36</v>
      </c>
      <c r="P3267" s="3" t="s">
        <v>36</v>
      </c>
      <c r="Q3267" s="3" t="s">
        <v>36</v>
      </c>
      <c r="R3267" s="3" t="s">
        <v>36</v>
      </c>
      <c r="S3267" s="3" t="s">
        <v>36</v>
      </c>
      <c r="T3267" s="3" t="s">
        <v>1397</v>
      </c>
      <c r="U3267" s="3" t="s">
        <v>38</v>
      </c>
      <c r="V3267" s="3" t="s">
        <v>39</v>
      </c>
      <c r="W3267" s="3" t="s">
        <v>1398</v>
      </c>
      <c r="X3267" s="10" t="s">
        <v>8971</v>
      </c>
      <c r="Y3267" s="6" t="s">
        <v>42</v>
      </c>
      <c r="Z3267" s="4">
        <v>1.8</v>
      </c>
      <c r="AA3267" s="4" t="s">
        <v>36</v>
      </c>
      <c r="AB3267" s="3" t="s">
        <v>56</v>
      </c>
      <c r="AC3267" s="3" t="s">
        <v>1400</v>
      </c>
      <c r="AD3267" s="9">
        <v>44274</v>
      </c>
      <c r="AE3267" s="3" t="s">
        <v>110</v>
      </c>
      <c r="AF3267" s="3" t="s">
        <v>1401</v>
      </c>
      <c r="AG3267" s="3" t="s">
        <v>741</v>
      </c>
      <c r="AH3267" s="11">
        <f>HYPERLINK("https://my.pitchbook.com?c=174020-77T","View Company Online")</f>
      </c>
    </row>
    <row r="3268">
      <c r="A3268" s="12" t="s">
        <v>17048</v>
      </c>
      <c r="B3268" s="12" t="s">
        <v>10189</v>
      </c>
      <c r="C3268" s="19" t="s">
        <v>36</v>
      </c>
      <c r="D3268" s="19" t="s">
        <v>36</v>
      </c>
      <c r="E3268" s="19" t="s">
        <v>36</v>
      </c>
      <c r="F3268" s="19" t="s">
        <v>36</v>
      </c>
      <c r="G3268" s="15" t="s">
        <v>326</v>
      </c>
      <c r="H3268" s="14">
        <v>58.49</v>
      </c>
      <c r="I3268" s="18">
        <v>27.15</v>
      </c>
      <c r="J3268" s="12" t="s">
        <v>521</v>
      </c>
      <c r="K3268" s="13">
        <v>44127</v>
      </c>
      <c r="L3268" s="15" t="s">
        <v>122</v>
      </c>
      <c r="M3268" s="12" t="s">
        <v>36</v>
      </c>
      <c r="N3268" s="12" t="s">
        <v>122</v>
      </c>
      <c r="O3268" s="17" t="s">
        <v>36</v>
      </c>
      <c r="P3268" s="12" t="s">
        <v>36</v>
      </c>
      <c r="Q3268" s="12" t="s">
        <v>36</v>
      </c>
      <c r="R3268" s="12" t="s">
        <v>36</v>
      </c>
      <c r="S3268" s="12" t="s">
        <v>36</v>
      </c>
      <c r="T3268" s="12" t="s">
        <v>123</v>
      </c>
      <c r="U3268" s="12" t="s">
        <v>38</v>
      </c>
      <c r="V3268" s="12" t="s">
        <v>39</v>
      </c>
      <c r="W3268" s="12" t="s">
        <v>10190</v>
      </c>
      <c r="X3268" s="16" t="s">
        <v>17049</v>
      </c>
      <c r="Y3268" s="15" t="s">
        <v>55</v>
      </c>
      <c r="Z3268" s="14">
        <v>4.45</v>
      </c>
      <c r="AA3268" s="14">
        <v>14.29</v>
      </c>
      <c r="AB3268" s="12" t="s">
        <v>43</v>
      </c>
      <c r="AC3268" s="12" t="s">
        <v>10192</v>
      </c>
      <c r="AD3268" s="13">
        <v>44273</v>
      </c>
      <c r="AE3268" s="12" t="s">
        <v>110</v>
      </c>
      <c r="AF3268" s="12" t="s">
        <v>5001</v>
      </c>
      <c r="AG3268" s="12" t="s">
        <v>81</v>
      </c>
      <c r="AH3268" s="1">
        <f>HYPERLINK("https://my.pitchbook.com?c=160731-82T","View Company Online")</f>
      </c>
    </row>
    <row r="3269">
      <c r="A3269" s="3" t="s">
        <v>17050</v>
      </c>
      <c r="B3269" s="3" t="s">
        <v>9407</v>
      </c>
      <c r="C3269" s="5" t="s">
        <v>36</v>
      </c>
      <c r="D3269" s="5" t="s">
        <v>36</v>
      </c>
      <c r="E3269" s="5" t="s">
        <v>36</v>
      </c>
      <c r="F3269" s="5" t="s">
        <v>36</v>
      </c>
      <c r="G3269" s="6" t="s">
        <v>326</v>
      </c>
      <c r="H3269" s="4">
        <v>88.26</v>
      </c>
      <c r="I3269" s="7">
        <v>38.94</v>
      </c>
      <c r="J3269" s="3" t="s">
        <v>521</v>
      </c>
      <c r="K3269" s="9" t="s">
        <v>36</v>
      </c>
      <c r="L3269" s="6" t="s">
        <v>1279</v>
      </c>
      <c r="M3269" s="3" t="s">
        <v>36</v>
      </c>
      <c r="N3269" s="3" t="s">
        <v>1279</v>
      </c>
      <c r="O3269" s="8" t="s">
        <v>36</v>
      </c>
      <c r="P3269" s="3" t="s">
        <v>36</v>
      </c>
      <c r="Q3269" s="3" t="s">
        <v>36</v>
      </c>
      <c r="R3269" s="3" t="s">
        <v>36</v>
      </c>
      <c r="S3269" s="3" t="s">
        <v>36</v>
      </c>
      <c r="T3269" s="3" t="s">
        <v>9159</v>
      </c>
      <c r="U3269" s="3" t="s">
        <v>74</v>
      </c>
      <c r="V3269" s="3" t="s">
        <v>75</v>
      </c>
      <c r="W3269" s="3" t="s">
        <v>9408</v>
      </c>
      <c r="X3269" s="10" t="s">
        <v>17051</v>
      </c>
      <c r="Y3269" s="6" t="s">
        <v>192</v>
      </c>
      <c r="Z3269" s="4">
        <v>42.07</v>
      </c>
      <c r="AA3269" s="4">
        <v>92.3</v>
      </c>
      <c r="AB3269" s="3" t="s">
        <v>56</v>
      </c>
      <c r="AC3269" s="3" t="s">
        <v>9410</v>
      </c>
      <c r="AD3269" s="9">
        <v>44273</v>
      </c>
      <c r="AE3269" s="3" t="s">
        <v>3144</v>
      </c>
      <c r="AF3269" s="3" t="s">
        <v>9411</v>
      </c>
      <c r="AG3269" s="3" t="s">
        <v>81</v>
      </c>
      <c r="AH3269" s="11">
        <f>HYPERLINK("https://my.pitchbook.com?c=168664-87T","View Company Online")</f>
      </c>
    </row>
    <row r="3270">
      <c r="A3270" s="12" t="s">
        <v>17052</v>
      </c>
      <c r="B3270" s="12" t="s">
        <v>17053</v>
      </c>
      <c r="C3270" s="19" t="s">
        <v>36</v>
      </c>
      <c r="D3270" s="19" t="s">
        <v>36</v>
      </c>
      <c r="E3270" s="19" t="s">
        <v>36</v>
      </c>
      <c r="F3270" s="19" t="s">
        <v>36</v>
      </c>
      <c r="G3270" s="15" t="s">
        <v>36</v>
      </c>
      <c r="H3270" s="14" t="s">
        <v>36</v>
      </c>
      <c r="I3270" s="18" t="s">
        <v>36</v>
      </c>
      <c r="J3270" s="12" t="s">
        <v>36</v>
      </c>
      <c r="K3270" s="13" t="s">
        <v>36</v>
      </c>
      <c r="L3270" s="15" t="s">
        <v>36</v>
      </c>
      <c r="M3270" s="12" t="s">
        <v>36</v>
      </c>
      <c r="N3270" s="12" t="s">
        <v>36</v>
      </c>
      <c r="O3270" s="17" t="s">
        <v>36</v>
      </c>
      <c r="P3270" s="12" t="s">
        <v>36</v>
      </c>
      <c r="Q3270" s="12" t="s">
        <v>36</v>
      </c>
      <c r="R3270" s="12" t="s">
        <v>36</v>
      </c>
      <c r="S3270" s="12" t="s">
        <v>36</v>
      </c>
      <c r="T3270" s="12" t="s">
        <v>1188</v>
      </c>
      <c r="U3270" s="12" t="s">
        <v>180</v>
      </c>
      <c r="V3270" s="12" t="s">
        <v>52</v>
      </c>
      <c r="W3270" s="12" t="s">
        <v>17054</v>
      </c>
      <c r="X3270" s="16" t="s">
        <v>17055</v>
      </c>
      <c r="Y3270" s="15" t="s">
        <v>108</v>
      </c>
      <c r="Z3270" s="14">
        <v>2.16</v>
      </c>
      <c r="AA3270" s="14" t="s">
        <v>36</v>
      </c>
      <c r="AB3270" s="12" t="s">
        <v>43</v>
      </c>
      <c r="AC3270" s="12" t="s">
        <v>17056</v>
      </c>
      <c r="AD3270" s="13">
        <v>44273</v>
      </c>
      <c r="AE3270" s="12" t="s">
        <v>1192</v>
      </c>
      <c r="AF3270" s="12" t="s">
        <v>9875</v>
      </c>
      <c r="AG3270" s="12" t="s">
        <v>81</v>
      </c>
      <c r="AH3270" s="1">
        <f>HYPERLINK("https://my.pitchbook.com?c=168861-43T","View Company Online")</f>
      </c>
    </row>
    <row r="3271">
      <c r="A3271" s="3" t="s">
        <v>17057</v>
      </c>
      <c r="B3271" s="3" t="s">
        <v>17058</v>
      </c>
      <c r="C3271" s="5" t="s">
        <v>36</v>
      </c>
      <c r="D3271" s="5" t="s">
        <v>36</v>
      </c>
      <c r="E3271" s="5" t="s">
        <v>36</v>
      </c>
      <c r="F3271" s="5" t="s">
        <v>36</v>
      </c>
      <c r="G3271" s="6" t="s">
        <v>36</v>
      </c>
      <c r="H3271" s="4">
        <v>40.35</v>
      </c>
      <c r="I3271" s="7">
        <v>24.05</v>
      </c>
      <c r="J3271" s="3" t="s">
        <v>521</v>
      </c>
      <c r="K3271" s="9" t="s">
        <v>36</v>
      </c>
      <c r="L3271" s="6" t="s">
        <v>122</v>
      </c>
      <c r="M3271" s="3" t="s">
        <v>36</v>
      </c>
      <c r="N3271" s="3" t="s">
        <v>122</v>
      </c>
      <c r="O3271" s="8" t="s">
        <v>36</v>
      </c>
      <c r="P3271" s="3" t="s">
        <v>36</v>
      </c>
      <c r="Q3271" s="3" t="s">
        <v>36</v>
      </c>
      <c r="R3271" s="3" t="s">
        <v>36</v>
      </c>
      <c r="S3271" s="3" t="s">
        <v>36</v>
      </c>
      <c r="T3271" s="3" t="s">
        <v>1299</v>
      </c>
      <c r="U3271" s="3" t="s">
        <v>38</v>
      </c>
      <c r="V3271" s="3" t="s">
        <v>39</v>
      </c>
      <c r="W3271" s="3" t="s">
        <v>17059</v>
      </c>
      <c r="X3271" s="10" t="s">
        <v>17060</v>
      </c>
      <c r="Y3271" s="6" t="s">
        <v>108</v>
      </c>
      <c r="Z3271" s="4">
        <v>6.34</v>
      </c>
      <c r="AA3271" s="4">
        <v>13.19</v>
      </c>
      <c r="AB3271" s="3" t="s">
        <v>43</v>
      </c>
      <c r="AC3271" s="3" t="s">
        <v>17061</v>
      </c>
      <c r="AD3271" s="9">
        <v>44272</v>
      </c>
      <c r="AE3271" s="3" t="s">
        <v>110</v>
      </c>
      <c r="AF3271" s="3" t="s">
        <v>3040</v>
      </c>
      <c r="AG3271" s="3" t="s">
        <v>81</v>
      </c>
      <c r="AH3271" s="11">
        <f>HYPERLINK("https://my.pitchbook.com?c=168593-95T","View Company Online")</f>
      </c>
    </row>
    <row r="3272">
      <c r="A3272" s="12" t="s">
        <v>17062</v>
      </c>
      <c r="B3272" s="12" t="s">
        <v>1449</v>
      </c>
      <c r="C3272" s="19" t="s">
        <v>36</v>
      </c>
      <c r="D3272" s="19" t="s">
        <v>36</v>
      </c>
      <c r="E3272" s="19" t="s">
        <v>36</v>
      </c>
      <c r="F3272" s="19" t="s">
        <v>36</v>
      </c>
      <c r="G3272" s="15" t="s">
        <v>36</v>
      </c>
      <c r="H3272" s="14">
        <v>35.96</v>
      </c>
      <c r="I3272" s="18">
        <v>24.51</v>
      </c>
      <c r="J3272" s="12" t="s">
        <v>521</v>
      </c>
      <c r="K3272" s="13" t="s">
        <v>36</v>
      </c>
      <c r="L3272" s="15" t="s">
        <v>36</v>
      </c>
      <c r="M3272" s="12" t="s">
        <v>36</v>
      </c>
      <c r="N3272" s="12" t="s">
        <v>36</v>
      </c>
      <c r="O3272" s="17" t="s">
        <v>36</v>
      </c>
      <c r="P3272" s="12" t="s">
        <v>36</v>
      </c>
      <c r="Q3272" s="12" t="s">
        <v>36</v>
      </c>
      <c r="R3272" s="12" t="s">
        <v>36</v>
      </c>
      <c r="S3272" s="12" t="s">
        <v>36</v>
      </c>
      <c r="T3272" s="12" t="s">
        <v>818</v>
      </c>
      <c r="U3272" s="12" t="s">
        <v>74</v>
      </c>
      <c r="V3272" s="12" t="s">
        <v>75</v>
      </c>
      <c r="W3272" s="12" t="s">
        <v>1450</v>
      </c>
      <c r="X3272" s="16" t="s">
        <v>17063</v>
      </c>
      <c r="Y3272" s="15" t="s">
        <v>42</v>
      </c>
      <c r="Z3272" s="14">
        <v>1.8</v>
      </c>
      <c r="AA3272" s="14">
        <v>6.13</v>
      </c>
      <c r="AB3272" s="12" t="s">
        <v>56</v>
      </c>
      <c r="AC3272" s="12" t="s">
        <v>1452</v>
      </c>
      <c r="AD3272" s="13">
        <v>44272</v>
      </c>
      <c r="AE3272" s="12" t="s">
        <v>570</v>
      </c>
      <c r="AF3272" s="12" t="s">
        <v>822</v>
      </c>
      <c r="AG3272" s="12" t="s">
        <v>1453</v>
      </c>
      <c r="AH3272" s="1">
        <f>HYPERLINK("https://my.pitchbook.com?c=168639-40T","View Company Online")</f>
      </c>
    </row>
    <row r="3273">
      <c r="A3273" s="3" t="s">
        <v>17064</v>
      </c>
      <c r="B3273" s="3" t="s">
        <v>14052</v>
      </c>
      <c r="C3273" s="5" t="s">
        <v>36</v>
      </c>
      <c r="D3273" s="5" t="s">
        <v>36</v>
      </c>
      <c r="E3273" s="5" t="s">
        <v>36</v>
      </c>
      <c r="F3273" s="5" t="s">
        <v>36</v>
      </c>
      <c r="G3273" s="6" t="s">
        <v>326</v>
      </c>
      <c r="H3273" s="4">
        <v>12.31</v>
      </c>
      <c r="I3273" s="7">
        <v>15.54</v>
      </c>
      <c r="J3273" s="3" t="s">
        <v>521</v>
      </c>
      <c r="K3273" s="9" t="s">
        <v>36</v>
      </c>
      <c r="L3273" s="6" t="s">
        <v>3736</v>
      </c>
      <c r="M3273" s="3" t="s">
        <v>36</v>
      </c>
      <c r="N3273" s="3" t="s">
        <v>3736</v>
      </c>
      <c r="O3273" s="8" t="s">
        <v>36</v>
      </c>
      <c r="P3273" s="3" t="s">
        <v>36</v>
      </c>
      <c r="Q3273" s="3" t="s">
        <v>36</v>
      </c>
      <c r="R3273" s="3" t="s">
        <v>36</v>
      </c>
      <c r="S3273" s="3" t="s">
        <v>36</v>
      </c>
      <c r="T3273" s="3" t="s">
        <v>10669</v>
      </c>
      <c r="U3273" s="3" t="s">
        <v>38</v>
      </c>
      <c r="V3273" s="3" t="s">
        <v>39</v>
      </c>
      <c r="W3273" s="3" t="s">
        <v>14053</v>
      </c>
      <c r="X3273" s="10" t="s">
        <v>17065</v>
      </c>
      <c r="Y3273" s="6" t="s">
        <v>166</v>
      </c>
      <c r="Z3273" s="4">
        <v>108.27</v>
      </c>
      <c r="AA3273" s="4">
        <v>582.77</v>
      </c>
      <c r="AB3273" s="3" t="s">
        <v>56</v>
      </c>
      <c r="AC3273" s="3" t="s">
        <v>14055</v>
      </c>
      <c r="AD3273" s="9">
        <v>44272</v>
      </c>
      <c r="AE3273" s="3" t="s">
        <v>110</v>
      </c>
      <c r="AF3273" s="3" t="s">
        <v>14056</v>
      </c>
      <c r="AG3273" s="3" t="s">
        <v>81</v>
      </c>
      <c r="AH3273" s="11">
        <f>HYPERLINK("https://my.pitchbook.com?c=168612-76T","View Company Online")</f>
      </c>
    </row>
    <row r="3274">
      <c r="A3274" s="12" t="s">
        <v>17066</v>
      </c>
      <c r="B3274" s="12" t="s">
        <v>2175</v>
      </c>
      <c r="C3274" s="19">
        <v>4</v>
      </c>
      <c r="D3274" s="19" t="s">
        <v>36</v>
      </c>
      <c r="E3274" s="19">
        <v>1</v>
      </c>
      <c r="F3274" s="19">
        <v>4</v>
      </c>
      <c r="G3274" s="15" t="s">
        <v>36</v>
      </c>
      <c r="H3274" s="14">
        <v>94.51</v>
      </c>
      <c r="I3274" s="18">
        <v>16.63</v>
      </c>
      <c r="J3274" s="12" t="s">
        <v>521</v>
      </c>
      <c r="K3274" s="13" t="s">
        <v>36</v>
      </c>
      <c r="L3274" s="15" t="s">
        <v>36</v>
      </c>
      <c r="M3274" s="12" t="s">
        <v>36</v>
      </c>
      <c r="N3274" s="12" t="s">
        <v>36</v>
      </c>
      <c r="O3274" s="17" t="s">
        <v>36</v>
      </c>
      <c r="P3274" s="12" t="s">
        <v>36</v>
      </c>
      <c r="Q3274" s="12" t="s">
        <v>36</v>
      </c>
      <c r="R3274" s="12" t="s">
        <v>36</v>
      </c>
      <c r="S3274" s="12" t="s">
        <v>36</v>
      </c>
      <c r="T3274" s="12" t="s">
        <v>2176</v>
      </c>
      <c r="U3274" s="12" t="s">
        <v>51</v>
      </c>
      <c r="V3274" s="12" t="s">
        <v>52</v>
      </c>
      <c r="W3274" s="12" t="s">
        <v>2177</v>
      </c>
      <c r="X3274" s="16" t="s">
        <v>17067</v>
      </c>
      <c r="Y3274" s="15" t="s">
        <v>108</v>
      </c>
      <c r="Z3274" s="14">
        <v>0.78</v>
      </c>
      <c r="AA3274" s="14">
        <v>3.32</v>
      </c>
      <c r="AB3274" s="12" t="s">
        <v>43</v>
      </c>
      <c r="AC3274" s="12" t="s">
        <v>2179</v>
      </c>
      <c r="AD3274" s="13">
        <v>44272</v>
      </c>
      <c r="AE3274" s="12" t="s">
        <v>158</v>
      </c>
      <c r="AF3274" s="12" t="s">
        <v>665</v>
      </c>
      <c r="AG3274" s="12" t="s">
        <v>2180</v>
      </c>
      <c r="AH3274" s="1">
        <f>HYPERLINK("https://my.pitchbook.com?c=168892-57T","View Company Online")</f>
      </c>
    </row>
    <row r="3275">
      <c r="A3275" s="3" t="s">
        <v>17068</v>
      </c>
      <c r="B3275" s="3" t="s">
        <v>17069</v>
      </c>
      <c r="C3275" s="5" t="s">
        <v>36</v>
      </c>
      <c r="D3275" s="5" t="s">
        <v>36</v>
      </c>
      <c r="E3275" s="5" t="s">
        <v>36</v>
      </c>
      <c r="F3275" s="5" t="s">
        <v>36</v>
      </c>
      <c r="G3275" s="6" t="s">
        <v>36</v>
      </c>
      <c r="H3275" s="4" t="s">
        <v>36</v>
      </c>
      <c r="I3275" s="7" t="s">
        <v>36</v>
      </c>
      <c r="J3275" s="3" t="s">
        <v>36</v>
      </c>
      <c r="K3275" s="9" t="s">
        <v>36</v>
      </c>
      <c r="L3275" s="6" t="s">
        <v>36</v>
      </c>
      <c r="M3275" s="3" t="s">
        <v>36</v>
      </c>
      <c r="N3275" s="3" t="s">
        <v>36</v>
      </c>
      <c r="O3275" s="8" t="s">
        <v>36</v>
      </c>
      <c r="P3275" s="3" t="s">
        <v>36</v>
      </c>
      <c r="Q3275" s="3" t="s">
        <v>36</v>
      </c>
      <c r="R3275" s="3" t="s">
        <v>36</v>
      </c>
      <c r="S3275" s="3" t="s">
        <v>36</v>
      </c>
      <c r="T3275" s="3" t="s">
        <v>37</v>
      </c>
      <c r="U3275" s="3" t="s">
        <v>38</v>
      </c>
      <c r="V3275" s="3" t="s">
        <v>39</v>
      </c>
      <c r="W3275" s="3" t="s">
        <v>17070</v>
      </c>
      <c r="X3275" s="10" t="s">
        <v>17071</v>
      </c>
      <c r="Y3275" s="6" t="s">
        <v>55</v>
      </c>
      <c r="Z3275" s="4">
        <v>96.27</v>
      </c>
      <c r="AA3275" s="4" t="s">
        <v>36</v>
      </c>
      <c r="AB3275" s="3" t="s">
        <v>56</v>
      </c>
      <c r="AC3275" s="3" t="s">
        <v>17072</v>
      </c>
      <c r="AD3275" s="9">
        <v>44271</v>
      </c>
      <c r="AE3275" s="3" t="s">
        <v>45</v>
      </c>
      <c r="AF3275" s="3" t="s">
        <v>7466</v>
      </c>
      <c r="AG3275" s="3" t="s">
        <v>81</v>
      </c>
      <c r="AH3275" s="11">
        <f>HYPERLINK("https://my.pitchbook.com?c=168577-57T","View Company Online")</f>
      </c>
    </row>
    <row r="3276">
      <c r="A3276" s="12" t="s">
        <v>17073</v>
      </c>
      <c r="B3276" s="12" t="s">
        <v>3276</v>
      </c>
      <c r="C3276" s="19" t="s">
        <v>36</v>
      </c>
      <c r="D3276" s="19" t="s">
        <v>36</v>
      </c>
      <c r="E3276" s="19" t="s">
        <v>36</v>
      </c>
      <c r="F3276" s="19" t="s">
        <v>36</v>
      </c>
      <c r="G3276" s="15" t="s">
        <v>36</v>
      </c>
      <c r="H3276" s="14">
        <v>20.77</v>
      </c>
      <c r="I3276" s="18">
        <v>20</v>
      </c>
      <c r="J3276" s="12" t="s">
        <v>521</v>
      </c>
      <c r="K3276" s="13" t="s">
        <v>36</v>
      </c>
      <c r="L3276" s="15" t="s">
        <v>36</v>
      </c>
      <c r="M3276" s="12" t="s">
        <v>36</v>
      </c>
      <c r="N3276" s="12" t="s">
        <v>36</v>
      </c>
      <c r="O3276" s="17" t="s">
        <v>36</v>
      </c>
      <c r="P3276" s="12" t="s">
        <v>36</v>
      </c>
      <c r="Q3276" s="12" t="s">
        <v>36</v>
      </c>
      <c r="R3276" s="12" t="s">
        <v>36</v>
      </c>
      <c r="S3276" s="12" t="s">
        <v>36</v>
      </c>
      <c r="T3276" s="12" t="s">
        <v>3277</v>
      </c>
      <c r="U3276" s="12" t="s">
        <v>1357</v>
      </c>
      <c r="V3276" s="12" t="s">
        <v>52</v>
      </c>
      <c r="W3276" s="12" t="s">
        <v>3278</v>
      </c>
      <c r="X3276" s="16" t="s">
        <v>17074</v>
      </c>
      <c r="Y3276" s="15" t="s">
        <v>42</v>
      </c>
      <c r="Z3276" s="14">
        <v>6.02</v>
      </c>
      <c r="AA3276" s="14">
        <v>30.08</v>
      </c>
      <c r="AB3276" s="12" t="s">
        <v>43</v>
      </c>
      <c r="AC3276" s="12" t="s">
        <v>3280</v>
      </c>
      <c r="AD3276" s="13">
        <v>44271</v>
      </c>
      <c r="AE3276" s="12" t="s">
        <v>3204</v>
      </c>
      <c r="AF3276" s="12" t="s">
        <v>3281</v>
      </c>
      <c r="AG3276" s="12" t="s">
        <v>81</v>
      </c>
      <c r="AH3276" s="1">
        <f>HYPERLINK("https://my.pitchbook.com?c=168558-31T","View Company Online")</f>
      </c>
    </row>
    <row r="3277">
      <c r="A3277" s="3" t="s">
        <v>17075</v>
      </c>
      <c r="B3277" s="3" t="s">
        <v>17076</v>
      </c>
      <c r="C3277" s="5">
        <v>1</v>
      </c>
      <c r="D3277" s="5">
        <v>4</v>
      </c>
      <c r="E3277" s="5">
        <v>3</v>
      </c>
      <c r="F3277" s="5">
        <v>5</v>
      </c>
      <c r="G3277" s="6" t="s">
        <v>36</v>
      </c>
      <c r="H3277" s="4" t="s">
        <v>36</v>
      </c>
      <c r="I3277" s="7" t="s">
        <v>36</v>
      </c>
      <c r="J3277" s="3" t="s">
        <v>36</v>
      </c>
      <c r="K3277" s="9" t="s">
        <v>36</v>
      </c>
      <c r="L3277" s="6" t="s">
        <v>122</v>
      </c>
      <c r="M3277" s="3" t="s">
        <v>36</v>
      </c>
      <c r="N3277" s="3" t="s">
        <v>122</v>
      </c>
      <c r="O3277" s="8" t="s">
        <v>36</v>
      </c>
      <c r="P3277" s="3" t="s">
        <v>36</v>
      </c>
      <c r="Q3277" s="3" t="s">
        <v>36</v>
      </c>
      <c r="R3277" s="3" t="s">
        <v>36</v>
      </c>
      <c r="S3277" s="3" t="s">
        <v>7012</v>
      </c>
      <c r="T3277" s="3" t="s">
        <v>342</v>
      </c>
      <c r="U3277" s="3" t="s">
        <v>38</v>
      </c>
      <c r="V3277" s="3" t="s">
        <v>39</v>
      </c>
      <c r="W3277" s="3" t="s">
        <v>17077</v>
      </c>
      <c r="X3277" s="10" t="s">
        <v>17078</v>
      </c>
      <c r="Y3277" s="6" t="s">
        <v>108</v>
      </c>
      <c r="Z3277" s="4">
        <v>7.59</v>
      </c>
      <c r="AA3277" s="4" t="s">
        <v>36</v>
      </c>
      <c r="AB3277" s="3" t="s">
        <v>56</v>
      </c>
      <c r="AC3277" s="3" t="s">
        <v>17079</v>
      </c>
      <c r="AD3277" s="9">
        <v>44270</v>
      </c>
      <c r="AE3277" s="3" t="s">
        <v>110</v>
      </c>
      <c r="AF3277" s="3" t="s">
        <v>111</v>
      </c>
      <c r="AG3277" s="3" t="s">
        <v>81</v>
      </c>
      <c r="AH3277" s="11">
        <f>HYPERLINK("https://my.pitchbook.com?c=168528-70T","View Company Online")</f>
      </c>
    </row>
    <row r="3278">
      <c r="A3278" s="12" t="s">
        <v>17080</v>
      </c>
      <c r="B3278" s="12" t="s">
        <v>17081</v>
      </c>
      <c r="C3278" s="19" t="s">
        <v>36</v>
      </c>
      <c r="D3278" s="19">
        <v>8</v>
      </c>
      <c r="E3278" s="19">
        <v>1</v>
      </c>
      <c r="F3278" s="19">
        <v>11</v>
      </c>
      <c r="G3278" s="15" t="s">
        <v>326</v>
      </c>
      <c r="H3278" s="14">
        <v>33.23</v>
      </c>
      <c r="I3278" s="18">
        <v>30.34</v>
      </c>
      <c r="J3278" s="12" t="s">
        <v>521</v>
      </c>
      <c r="K3278" s="13">
        <v>44197</v>
      </c>
      <c r="L3278" s="15" t="s">
        <v>122</v>
      </c>
      <c r="M3278" s="12" t="s">
        <v>36</v>
      </c>
      <c r="N3278" s="12" t="s">
        <v>122</v>
      </c>
      <c r="O3278" s="17" t="s">
        <v>36</v>
      </c>
      <c r="P3278" s="12" t="s">
        <v>36</v>
      </c>
      <c r="Q3278" s="12" t="s">
        <v>36</v>
      </c>
      <c r="R3278" s="12" t="s">
        <v>36</v>
      </c>
      <c r="S3278" s="12" t="s">
        <v>36</v>
      </c>
      <c r="T3278" s="12" t="s">
        <v>17082</v>
      </c>
      <c r="U3278" s="12" t="s">
        <v>96</v>
      </c>
      <c r="V3278" s="12" t="s">
        <v>52</v>
      </c>
      <c r="W3278" s="12" t="s">
        <v>17083</v>
      </c>
      <c r="X3278" s="16" t="s">
        <v>17084</v>
      </c>
      <c r="Y3278" s="15" t="s">
        <v>42</v>
      </c>
      <c r="Z3278" s="14">
        <v>3.01</v>
      </c>
      <c r="AA3278" s="14">
        <v>6.01</v>
      </c>
      <c r="AB3278" s="12" t="s">
        <v>56</v>
      </c>
      <c r="AC3278" s="12" t="s">
        <v>17085</v>
      </c>
      <c r="AD3278" s="13">
        <v>44270</v>
      </c>
      <c r="AE3278" s="12" t="s">
        <v>755</v>
      </c>
      <c r="AF3278" s="12" t="s">
        <v>665</v>
      </c>
      <c r="AG3278" s="12" t="s">
        <v>17086</v>
      </c>
      <c r="AH3278" s="1">
        <f>HYPERLINK("https://my.pitchbook.com?c=166869-91T","View Company Online")</f>
      </c>
    </row>
    <row r="3279">
      <c r="A3279" s="3" t="s">
        <v>17087</v>
      </c>
      <c r="B3279" s="3" t="s">
        <v>17088</v>
      </c>
      <c r="C3279" s="5" t="s">
        <v>36</v>
      </c>
      <c r="D3279" s="5" t="s">
        <v>36</v>
      </c>
      <c r="E3279" s="5" t="s">
        <v>36</v>
      </c>
      <c r="F3279" s="5" t="s">
        <v>36</v>
      </c>
      <c r="G3279" s="6" t="s">
        <v>326</v>
      </c>
      <c r="H3279" s="4">
        <v>3609.02</v>
      </c>
      <c r="I3279" s="7">
        <v>14.17</v>
      </c>
      <c r="J3279" s="3" t="s">
        <v>521</v>
      </c>
      <c r="K3279" s="9" t="s">
        <v>36</v>
      </c>
      <c r="L3279" s="6" t="s">
        <v>36</v>
      </c>
      <c r="M3279" s="3" t="s">
        <v>36</v>
      </c>
      <c r="N3279" s="3" t="s">
        <v>36</v>
      </c>
      <c r="O3279" s="8" t="s">
        <v>36</v>
      </c>
      <c r="P3279" s="3" t="s">
        <v>36</v>
      </c>
      <c r="Q3279" s="3" t="s">
        <v>36</v>
      </c>
      <c r="R3279" s="3" t="s">
        <v>36</v>
      </c>
      <c r="S3279" s="3" t="s">
        <v>36</v>
      </c>
      <c r="T3279" s="3" t="s">
        <v>1701</v>
      </c>
      <c r="U3279" s="3" t="s">
        <v>74</v>
      </c>
      <c r="V3279" s="3" t="s">
        <v>75</v>
      </c>
      <c r="W3279" s="3" t="s">
        <v>17089</v>
      </c>
      <c r="X3279" s="10" t="s">
        <v>17090</v>
      </c>
      <c r="Y3279" s="6" t="s">
        <v>108</v>
      </c>
      <c r="Z3279" s="4">
        <v>1.19</v>
      </c>
      <c r="AA3279" s="4">
        <v>8.42</v>
      </c>
      <c r="AB3279" s="3" t="s">
        <v>43</v>
      </c>
      <c r="AC3279" s="3" t="s">
        <v>17091</v>
      </c>
      <c r="AD3279" s="9">
        <v>44270</v>
      </c>
      <c r="AE3279" s="3" t="s">
        <v>79</v>
      </c>
      <c r="AF3279" s="3" t="s">
        <v>80</v>
      </c>
      <c r="AG3279" s="3" t="s">
        <v>1843</v>
      </c>
      <c r="AH3279" s="11">
        <f>HYPERLINK("https://my.pitchbook.com?c=181672-39T","View Company Online")</f>
      </c>
    </row>
    <row r="3280">
      <c r="A3280" s="12" t="s">
        <v>17092</v>
      </c>
      <c r="B3280" s="12" t="s">
        <v>17093</v>
      </c>
      <c r="C3280" s="19" t="s">
        <v>36</v>
      </c>
      <c r="D3280" s="19" t="s">
        <v>36</v>
      </c>
      <c r="E3280" s="19" t="s">
        <v>36</v>
      </c>
      <c r="F3280" s="19" t="s">
        <v>36</v>
      </c>
      <c r="G3280" s="15" t="s">
        <v>36</v>
      </c>
      <c r="H3280" s="14">
        <v>608.41</v>
      </c>
      <c r="I3280" s="18">
        <v>30</v>
      </c>
      <c r="J3280" s="12" t="s">
        <v>521</v>
      </c>
      <c r="K3280" s="13" t="s">
        <v>36</v>
      </c>
      <c r="L3280" s="15" t="s">
        <v>36</v>
      </c>
      <c r="M3280" s="12" t="s">
        <v>36</v>
      </c>
      <c r="N3280" s="12" t="s">
        <v>36</v>
      </c>
      <c r="O3280" s="17" t="s">
        <v>36</v>
      </c>
      <c r="P3280" s="12" t="s">
        <v>36</v>
      </c>
      <c r="Q3280" s="12" t="s">
        <v>36</v>
      </c>
      <c r="R3280" s="12" t="s">
        <v>36</v>
      </c>
      <c r="S3280" s="12" t="s">
        <v>36</v>
      </c>
      <c r="T3280" s="12" t="s">
        <v>2044</v>
      </c>
      <c r="U3280" s="12" t="s">
        <v>74</v>
      </c>
      <c r="V3280" s="12" t="s">
        <v>75</v>
      </c>
      <c r="W3280" s="12" t="s">
        <v>17094</v>
      </c>
      <c r="X3280" s="16" t="s">
        <v>17095</v>
      </c>
      <c r="Y3280" s="15" t="s">
        <v>192</v>
      </c>
      <c r="Z3280" s="14">
        <v>3.62</v>
      </c>
      <c r="AA3280" s="14">
        <v>12.06</v>
      </c>
      <c r="AB3280" s="12" t="s">
        <v>56</v>
      </c>
      <c r="AC3280" s="12" t="s">
        <v>17096</v>
      </c>
      <c r="AD3280" s="13">
        <v>44267</v>
      </c>
      <c r="AE3280" s="12" t="s">
        <v>79</v>
      </c>
      <c r="AF3280" s="12" t="s">
        <v>80</v>
      </c>
      <c r="AG3280" s="12" t="s">
        <v>81</v>
      </c>
      <c r="AH3280" s="1">
        <f>HYPERLINK("https://my.pitchbook.com?c=182098-45T","View Company Online")</f>
      </c>
    </row>
    <row r="3281">
      <c r="A3281" s="3" t="s">
        <v>17097</v>
      </c>
      <c r="B3281" s="3" t="s">
        <v>2595</v>
      </c>
      <c r="C3281" s="5" t="s">
        <v>36</v>
      </c>
      <c r="D3281" s="5" t="s">
        <v>36</v>
      </c>
      <c r="E3281" s="5" t="s">
        <v>36</v>
      </c>
      <c r="F3281" s="5" t="s">
        <v>36</v>
      </c>
      <c r="G3281" s="6" t="s">
        <v>683</v>
      </c>
      <c r="H3281" s="4">
        <v>968.04</v>
      </c>
      <c r="I3281" s="7">
        <v>13.05</v>
      </c>
      <c r="J3281" s="3" t="s">
        <v>521</v>
      </c>
      <c r="K3281" s="9" t="s">
        <v>36</v>
      </c>
      <c r="L3281" s="6" t="s">
        <v>36</v>
      </c>
      <c r="M3281" s="3" t="s">
        <v>36</v>
      </c>
      <c r="N3281" s="3" t="s">
        <v>36</v>
      </c>
      <c r="O3281" s="8" t="s">
        <v>36</v>
      </c>
      <c r="P3281" s="3" t="s">
        <v>36</v>
      </c>
      <c r="Q3281" s="3" t="s">
        <v>36</v>
      </c>
      <c r="R3281" s="3" t="s">
        <v>36</v>
      </c>
      <c r="S3281" s="3" t="s">
        <v>36</v>
      </c>
      <c r="T3281" s="3" t="s">
        <v>105</v>
      </c>
      <c r="U3281" s="3" t="s">
        <v>38</v>
      </c>
      <c r="V3281" s="3" t="s">
        <v>39</v>
      </c>
      <c r="W3281" s="3" t="s">
        <v>2596</v>
      </c>
      <c r="X3281" s="10" t="s">
        <v>17098</v>
      </c>
      <c r="Y3281" s="6" t="s">
        <v>108</v>
      </c>
      <c r="Z3281" s="4">
        <v>2.53</v>
      </c>
      <c r="AA3281" s="4">
        <v>9.71</v>
      </c>
      <c r="AB3281" s="3" t="s">
        <v>56</v>
      </c>
      <c r="AC3281" s="3" t="s">
        <v>2598</v>
      </c>
      <c r="AD3281" s="9">
        <v>44267</v>
      </c>
      <c r="AE3281" s="3" t="s">
        <v>110</v>
      </c>
      <c r="AF3281" s="3" t="s">
        <v>176</v>
      </c>
      <c r="AG3281" s="3" t="s">
        <v>144</v>
      </c>
      <c r="AH3281" s="11">
        <f>HYPERLINK("https://my.pitchbook.com?c=181934-83T","View Company Online")</f>
      </c>
    </row>
    <row r="3282">
      <c r="A3282" s="12" t="s">
        <v>17099</v>
      </c>
      <c r="B3282" s="12" t="s">
        <v>17100</v>
      </c>
      <c r="C3282" s="19" t="s">
        <v>36</v>
      </c>
      <c r="D3282" s="19" t="s">
        <v>36</v>
      </c>
      <c r="E3282" s="19" t="s">
        <v>36</v>
      </c>
      <c r="F3282" s="19" t="s">
        <v>36</v>
      </c>
      <c r="G3282" s="15" t="s">
        <v>36</v>
      </c>
      <c r="H3282" s="14" t="s">
        <v>36</v>
      </c>
      <c r="I3282" s="18" t="s">
        <v>36</v>
      </c>
      <c r="J3282" s="12" t="s">
        <v>36</v>
      </c>
      <c r="K3282" s="13" t="s">
        <v>36</v>
      </c>
      <c r="L3282" s="15" t="s">
        <v>36</v>
      </c>
      <c r="M3282" s="12" t="s">
        <v>36</v>
      </c>
      <c r="N3282" s="12" t="s">
        <v>36</v>
      </c>
      <c r="O3282" s="17" t="s">
        <v>36</v>
      </c>
      <c r="P3282" s="12" t="s">
        <v>36</v>
      </c>
      <c r="Q3282" s="12" t="s">
        <v>36</v>
      </c>
      <c r="R3282" s="12" t="s">
        <v>36</v>
      </c>
      <c r="S3282" s="12" t="s">
        <v>36</v>
      </c>
      <c r="T3282" s="12" t="s">
        <v>4361</v>
      </c>
      <c r="U3282" s="12" t="s">
        <v>648</v>
      </c>
      <c r="V3282" s="12" t="s">
        <v>64</v>
      </c>
      <c r="W3282" s="12" t="s">
        <v>17101</v>
      </c>
      <c r="X3282" s="16" t="s">
        <v>17102</v>
      </c>
      <c r="Y3282" s="15" t="s">
        <v>42</v>
      </c>
      <c r="Z3282" s="14">
        <v>3.62</v>
      </c>
      <c r="AA3282" s="14" t="s">
        <v>36</v>
      </c>
      <c r="AB3282" s="12" t="s">
        <v>56</v>
      </c>
      <c r="AC3282" s="12" t="s">
        <v>17103</v>
      </c>
      <c r="AD3282" s="13">
        <v>44267</v>
      </c>
      <c r="AE3282" s="12" t="s">
        <v>651</v>
      </c>
      <c r="AF3282" s="12" t="s">
        <v>90</v>
      </c>
      <c r="AG3282" s="12" t="s">
        <v>976</v>
      </c>
      <c r="AH3282" s="1">
        <f>HYPERLINK("https://my.pitchbook.com?c=183280-24T","View Company Online")</f>
      </c>
    </row>
    <row r="3283">
      <c r="A3283" s="3" t="s">
        <v>17104</v>
      </c>
      <c r="B3283" s="3" t="s">
        <v>2301</v>
      </c>
      <c r="C3283" s="5">
        <v>2</v>
      </c>
      <c r="D3283" s="5" t="s">
        <v>36</v>
      </c>
      <c r="E3283" s="5">
        <v>1</v>
      </c>
      <c r="F3283" s="5">
        <v>2</v>
      </c>
      <c r="G3283" s="6" t="s">
        <v>326</v>
      </c>
      <c r="H3283" s="4">
        <v>138.01</v>
      </c>
      <c r="I3283" s="7">
        <v>9.09</v>
      </c>
      <c r="J3283" s="3" t="s">
        <v>521</v>
      </c>
      <c r="K3283" s="9" t="s">
        <v>36</v>
      </c>
      <c r="L3283" s="6" t="s">
        <v>94</v>
      </c>
      <c r="M3283" s="3" t="s">
        <v>36</v>
      </c>
      <c r="N3283" s="3" t="s">
        <v>94</v>
      </c>
      <c r="O3283" s="8" t="s">
        <v>36</v>
      </c>
      <c r="P3283" s="3" t="s">
        <v>3530</v>
      </c>
      <c r="Q3283" s="3" t="s">
        <v>3530</v>
      </c>
      <c r="R3283" s="3" t="s">
        <v>3531</v>
      </c>
      <c r="S3283" s="3" t="s">
        <v>2302</v>
      </c>
      <c r="T3283" s="3" t="s">
        <v>1344</v>
      </c>
      <c r="U3283" s="3" t="s">
        <v>38</v>
      </c>
      <c r="V3283" s="3" t="s">
        <v>39</v>
      </c>
      <c r="W3283" s="3" t="s">
        <v>2303</v>
      </c>
      <c r="X3283" s="10" t="s">
        <v>17105</v>
      </c>
      <c r="Y3283" s="6" t="s">
        <v>108</v>
      </c>
      <c r="Z3283" s="4">
        <v>40</v>
      </c>
      <c r="AA3283" s="4">
        <v>440</v>
      </c>
      <c r="AB3283" s="3" t="s">
        <v>56</v>
      </c>
      <c r="AC3283" s="3" t="s">
        <v>2305</v>
      </c>
      <c r="AD3283" s="9">
        <v>44266</v>
      </c>
      <c r="AE3283" s="3" t="s">
        <v>110</v>
      </c>
      <c r="AF3283" s="3" t="s">
        <v>111</v>
      </c>
      <c r="AG3283" s="3" t="s">
        <v>81</v>
      </c>
      <c r="AH3283" s="11">
        <f>HYPERLINK("https://my.pitchbook.com?c=168342-49T","View Company Online")</f>
      </c>
    </row>
    <row r="3284">
      <c r="A3284" s="12" t="s">
        <v>17106</v>
      </c>
      <c r="B3284" s="12" t="s">
        <v>17107</v>
      </c>
      <c r="C3284" s="19" t="s">
        <v>36</v>
      </c>
      <c r="D3284" s="19" t="s">
        <v>36</v>
      </c>
      <c r="E3284" s="19" t="s">
        <v>36</v>
      </c>
      <c r="F3284" s="19" t="s">
        <v>36</v>
      </c>
      <c r="G3284" s="15" t="s">
        <v>36</v>
      </c>
      <c r="H3284" s="14">
        <v>190.06</v>
      </c>
      <c r="I3284" s="18">
        <v>27</v>
      </c>
      <c r="J3284" s="12" t="s">
        <v>521</v>
      </c>
      <c r="K3284" s="13" t="s">
        <v>36</v>
      </c>
      <c r="L3284" s="15" t="s">
        <v>36</v>
      </c>
      <c r="M3284" s="12" t="s">
        <v>36</v>
      </c>
      <c r="N3284" s="12" t="s">
        <v>36</v>
      </c>
      <c r="O3284" s="17" t="s">
        <v>36</v>
      </c>
      <c r="P3284" s="12" t="s">
        <v>36</v>
      </c>
      <c r="Q3284" s="12" t="s">
        <v>36</v>
      </c>
      <c r="R3284" s="12" t="s">
        <v>36</v>
      </c>
      <c r="S3284" s="12" t="s">
        <v>36</v>
      </c>
      <c r="T3284" s="12" t="s">
        <v>17108</v>
      </c>
      <c r="U3284" s="12" t="s">
        <v>279</v>
      </c>
      <c r="V3284" s="12" t="s">
        <v>64</v>
      </c>
      <c r="W3284" s="12" t="s">
        <v>17109</v>
      </c>
      <c r="X3284" s="16" t="s">
        <v>17110</v>
      </c>
      <c r="Y3284" s="15" t="s">
        <v>55</v>
      </c>
      <c r="Z3284" s="14">
        <v>3.67</v>
      </c>
      <c r="AA3284" s="14">
        <v>13.58</v>
      </c>
      <c r="AB3284" s="12" t="s">
        <v>56</v>
      </c>
      <c r="AC3284" s="12" t="s">
        <v>17111</v>
      </c>
      <c r="AD3284" s="13">
        <v>44266</v>
      </c>
      <c r="AE3284" s="12" t="s">
        <v>283</v>
      </c>
      <c r="AF3284" s="12" t="s">
        <v>4552</v>
      </c>
      <c r="AG3284" s="12" t="s">
        <v>9648</v>
      </c>
      <c r="AH3284" s="1">
        <f>HYPERLINK("https://my.pitchbook.com?c=168367-24T","View Company Online")</f>
      </c>
    </row>
    <row r="3285">
      <c r="A3285" s="3" t="s">
        <v>17112</v>
      </c>
      <c r="B3285" s="3" t="s">
        <v>17113</v>
      </c>
      <c r="C3285" s="5" t="s">
        <v>36</v>
      </c>
      <c r="D3285" s="5" t="s">
        <v>36</v>
      </c>
      <c r="E3285" s="5" t="s">
        <v>36</v>
      </c>
      <c r="F3285" s="5" t="s">
        <v>36</v>
      </c>
      <c r="G3285" s="6" t="s">
        <v>36</v>
      </c>
      <c r="H3285" s="4" t="s">
        <v>36</v>
      </c>
      <c r="I3285" s="7">
        <v>20</v>
      </c>
      <c r="J3285" s="3" t="s">
        <v>36</v>
      </c>
      <c r="K3285" s="9" t="s">
        <v>36</v>
      </c>
      <c r="L3285" s="6" t="s">
        <v>36</v>
      </c>
      <c r="M3285" s="3" t="s">
        <v>36</v>
      </c>
      <c r="N3285" s="3" t="s">
        <v>36</v>
      </c>
      <c r="O3285" s="8" t="s">
        <v>36</v>
      </c>
      <c r="P3285" s="3" t="s">
        <v>36</v>
      </c>
      <c r="Q3285" s="3" t="s">
        <v>36</v>
      </c>
      <c r="R3285" s="3" t="s">
        <v>36</v>
      </c>
      <c r="S3285" s="3" t="s">
        <v>36</v>
      </c>
      <c r="T3285" s="3" t="s">
        <v>17114</v>
      </c>
      <c r="U3285" s="3" t="s">
        <v>38</v>
      </c>
      <c r="V3285" s="3" t="s">
        <v>39</v>
      </c>
      <c r="W3285" s="3" t="s">
        <v>17115</v>
      </c>
      <c r="X3285" s="10" t="s">
        <v>17116</v>
      </c>
      <c r="Y3285" s="6" t="s">
        <v>42</v>
      </c>
      <c r="Z3285" s="4" t="s">
        <v>36</v>
      </c>
      <c r="AA3285" s="4" t="s">
        <v>36</v>
      </c>
      <c r="AB3285" s="3" t="s">
        <v>56</v>
      </c>
      <c r="AC3285" s="3" t="s">
        <v>17117</v>
      </c>
      <c r="AD3285" s="9">
        <v>44266</v>
      </c>
      <c r="AE3285" s="3" t="s">
        <v>110</v>
      </c>
      <c r="AF3285" s="3" t="s">
        <v>5494</v>
      </c>
      <c r="AG3285" s="3" t="s">
        <v>81</v>
      </c>
      <c r="AH3285" s="11">
        <f>HYPERLINK("https://my.pitchbook.com?c=171419-86T","View Company Online")</f>
      </c>
    </row>
    <row r="3286">
      <c r="A3286" s="12" t="s">
        <v>17118</v>
      </c>
      <c r="B3286" s="12" t="s">
        <v>17119</v>
      </c>
      <c r="C3286" s="19" t="s">
        <v>36</v>
      </c>
      <c r="D3286" s="19" t="s">
        <v>36</v>
      </c>
      <c r="E3286" s="19" t="s">
        <v>36</v>
      </c>
      <c r="F3286" s="19" t="s">
        <v>36</v>
      </c>
      <c r="G3286" s="15" t="s">
        <v>36</v>
      </c>
      <c r="H3286" s="14" t="s">
        <v>36</v>
      </c>
      <c r="I3286" s="18">
        <v>26.59</v>
      </c>
      <c r="J3286" s="12" t="s">
        <v>327</v>
      </c>
      <c r="K3286" s="13" t="s">
        <v>36</v>
      </c>
      <c r="L3286" s="15" t="s">
        <v>36</v>
      </c>
      <c r="M3286" s="12" t="s">
        <v>36</v>
      </c>
      <c r="N3286" s="12" t="s">
        <v>36</v>
      </c>
      <c r="O3286" s="17" t="s">
        <v>36</v>
      </c>
      <c r="P3286" s="12" t="s">
        <v>36</v>
      </c>
      <c r="Q3286" s="12" t="s">
        <v>36</v>
      </c>
      <c r="R3286" s="12" t="s">
        <v>36</v>
      </c>
      <c r="S3286" s="12" t="s">
        <v>36</v>
      </c>
      <c r="T3286" s="12" t="s">
        <v>17120</v>
      </c>
      <c r="U3286" s="12" t="s">
        <v>38</v>
      </c>
      <c r="V3286" s="12" t="s">
        <v>39</v>
      </c>
      <c r="W3286" s="12" t="s">
        <v>17121</v>
      </c>
      <c r="X3286" s="16" t="s">
        <v>17122</v>
      </c>
      <c r="Y3286" s="15" t="s">
        <v>108</v>
      </c>
      <c r="Z3286" s="14">
        <v>6.64</v>
      </c>
      <c r="AA3286" s="14">
        <v>24.96</v>
      </c>
      <c r="AB3286" s="12" t="s">
        <v>43</v>
      </c>
      <c r="AC3286" s="12" t="s">
        <v>17123</v>
      </c>
      <c r="AD3286" s="13">
        <v>44265</v>
      </c>
      <c r="AE3286" s="12" t="s">
        <v>110</v>
      </c>
      <c r="AF3286" s="12" t="s">
        <v>9411</v>
      </c>
      <c r="AG3286" s="12" t="s">
        <v>741</v>
      </c>
      <c r="AH3286" s="1">
        <f>HYPERLINK("https://my.pitchbook.com?c=168327-55T","View Company Online")</f>
      </c>
    </row>
    <row r="3287">
      <c r="A3287" s="3" t="s">
        <v>17124</v>
      </c>
      <c r="B3287" s="3" t="s">
        <v>17125</v>
      </c>
      <c r="C3287" s="5" t="s">
        <v>36</v>
      </c>
      <c r="D3287" s="5" t="s">
        <v>36</v>
      </c>
      <c r="E3287" s="5" t="s">
        <v>36</v>
      </c>
      <c r="F3287" s="5" t="s">
        <v>36</v>
      </c>
      <c r="G3287" s="6" t="s">
        <v>36</v>
      </c>
      <c r="H3287" s="4">
        <v>86.61</v>
      </c>
      <c r="I3287" s="7">
        <v>35.4</v>
      </c>
      <c r="J3287" s="3" t="s">
        <v>521</v>
      </c>
      <c r="K3287" s="9" t="s">
        <v>36</v>
      </c>
      <c r="L3287" s="6" t="s">
        <v>36</v>
      </c>
      <c r="M3287" s="3" t="s">
        <v>36</v>
      </c>
      <c r="N3287" s="3" t="s">
        <v>36</v>
      </c>
      <c r="O3287" s="8" t="s">
        <v>36</v>
      </c>
      <c r="P3287" s="3" t="s">
        <v>36</v>
      </c>
      <c r="Q3287" s="3" t="s">
        <v>36</v>
      </c>
      <c r="R3287" s="3" t="s">
        <v>36</v>
      </c>
      <c r="S3287" s="3" t="s">
        <v>36</v>
      </c>
      <c r="T3287" s="3" t="s">
        <v>17126</v>
      </c>
      <c r="U3287" s="3" t="s">
        <v>38</v>
      </c>
      <c r="V3287" s="3" t="s">
        <v>39</v>
      </c>
      <c r="W3287" s="3" t="s">
        <v>17127</v>
      </c>
      <c r="X3287" s="10" t="s">
        <v>17128</v>
      </c>
      <c r="Y3287" s="6" t="s">
        <v>42</v>
      </c>
      <c r="Z3287" s="4">
        <v>1.33</v>
      </c>
      <c r="AA3287" s="4">
        <v>3.12</v>
      </c>
      <c r="AB3287" s="3" t="s">
        <v>43</v>
      </c>
      <c r="AC3287" s="3" t="s">
        <v>17129</v>
      </c>
      <c r="AD3287" s="9">
        <v>44264</v>
      </c>
      <c r="AE3287" s="3" t="s">
        <v>45</v>
      </c>
      <c r="AF3287" s="3" t="s">
        <v>331</v>
      </c>
      <c r="AG3287" s="3" t="s">
        <v>102</v>
      </c>
      <c r="AH3287" s="11">
        <f>HYPERLINK("https://my.pitchbook.com?c=168218-92T","View Company Online")</f>
      </c>
    </row>
    <row r="3288">
      <c r="A3288" s="12" t="s">
        <v>17130</v>
      </c>
      <c r="B3288" s="12" t="s">
        <v>17131</v>
      </c>
      <c r="C3288" s="19" t="s">
        <v>36</v>
      </c>
      <c r="D3288" s="19" t="s">
        <v>36</v>
      </c>
      <c r="E3288" s="19" t="s">
        <v>36</v>
      </c>
      <c r="F3288" s="19" t="s">
        <v>36</v>
      </c>
      <c r="G3288" s="15" t="s">
        <v>2497</v>
      </c>
      <c r="H3288" s="14">
        <v>556.45</v>
      </c>
      <c r="I3288" s="18">
        <v>10.06</v>
      </c>
      <c r="J3288" s="12" t="s">
        <v>521</v>
      </c>
      <c r="K3288" s="13" t="s">
        <v>36</v>
      </c>
      <c r="L3288" s="15" t="s">
        <v>36</v>
      </c>
      <c r="M3288" s="12" t="s">
        <v>36</v>
      </c>
      <c r="N3288" s="12" t="s">
        <v>36</v>
      </c>
      <c r="O3288" s="17" t="s">
        <v>36</v>
      </c>
      <c r="P3288" s="12" t="s">
        <v>36</v>
      </c>
      <c r="Q3288" s="12" t="s">
        <v>36</v>
      </c>
      <c r="R3288" s="12" t="s">
        <v>36</v>
      </c>
      <c r="S3288" s="12" t="s">
        <v>36</v>
      </c>
      <c r="T3288" s="12" t="s">
        <v>17132</v>
      </c>
      <c r="U3288" s="12" t="s">
        <v>728</v>
      </c>
      <c r="V3288" s="12" t="s">
        <v>64</v>
      </c>
      <c r="W3288" s="12" t="s">
        <v>17133</v>
      </c>
      <c r="X3288" s="16" t="s">
        <v>17134</v>
      </c>
      <c r="Y3288" s="15" t="s">
        <v>108</v>
      </c>
      <c r="Z3288" s="14">
        <v>0.17</v>
      </c>
      <c r="AA3288" s="14">
        <v>1.68</v>
      </c>
      <c r="AB3288" s="12" t="s">
        <v>56</v>
      </c>
      <c r="AC3288" s="12" t="s">
        <v>17135</v>
      </c>
      <c r="AD3288" s="13">
        <v>44259</v>
      </c>
      <c r="AE3288" s="12" t="s">
        <v>1600</v>
      </c>
      <c r="AF3288" s="12" t="s">
        <v>1061</v>
      </c>
      <c r="AG3288" s="12" t="s">
        <v>17136</v>
      </c>
      <c r="AH3288" s="1">
        <f>HYPERLINK("https://my.pitchbook.com?c=227339-74T","View Company Online")</f>
      </c>
    </row>
    <row r="3289">
      <c r="A3289" s="3" t="s">
        <v>17137</v>
      </c>
      <c r="B3289" s="3" t="s">
        <v>17138</v>
      </c>
      <c r="C3289" s="5" t="s">
        <v>36</v>
      </c>
      <c r="D3289" s="5">
        <v>2</v>
      </c>
      <c r="E3289" s="5">
        <v>1</v>
      </c>
      <c r="F3289" s="5">
        <v>2</v>
      </c>
      <c r="G3289" s="6" t="s">
        <v>36</v>
      </c>
      <c r="H3289" s="4" t="s">
        <v>36</v>
      </c>
      <c r="I3289" s="7" t="s">
        <v>36</v>
      </c>
      <c r="J3289" s="3" t="s">
        <v>36</v>
      </c>
      <c r="K3289" s="9" t="s">
        <v>36</v>
      </c>
      <c r="L3289" s="6" t="s">
        <v>122</v>
      </c>
      <c r="M3289" s="3" t="s">
        <v>36</v>
      </c>
      <c r="N3289" s="3" t="s">
        <v>122</v>
      </c>
      <c r="O3289" s="8" t="s">
        <v>36</v>
      </c>
      <c r="P3289" s="3" t="s">
        <v>36</v>
      </c>
      <c r="Q3289" s="3" t="s">
        <v>36</v>
      </c>
      <c r="R3289" s="3" t="s">
        <v>36</v>
      </c>
      <c r="S3289" s="3" t="s">
        <v>36</v>
      </c>
      <c r="T3289" s="3" t="s">
        <v>8858</v>
      </c>
      <c r="U3289" s="3" t="s">
        <v>619</v>
      </c>
      <c r="V3289" s="3" t="s">
        <v>378</v>
      </c>
      <c r="W3289" s="3" t="s">
        <v>17139</v>
      </c>
      <c r="X3289" s="10" t="s">
        <v>7788</v>
      </c>
      <c r="Y3289" s="6" t="s">
        <v>42</v>
      </c>
      <c r="Z3289" s="4">
        <v>2.42</v>
      </c>
      <c r="AA3289" s="4" t="s">
        <v>36</v>
      </c>
      <c r="AB3289" s="3" t="s">
        <v>43</v>
      </c>
      <c r="AC3289" s="3" t="s">
        <v>17140</v>
      </c>
      <c r="AD3289" s="9">
        <v>44258</v>
      </c>
      <c r="AE3289" s="3" t="s">
        <v>2040</v>
      </c>
      <c r="AF3289" s="3" t="s">
        <v>1977</v>
      </c>
      <c r="AG3289" s="3" t="s">
        <v>17141</v>
      </c>
      <c r="AH3289" s="11">
        <f>HYPERLINK("https://my.pitchbook.com?c=168227-02T","View Company Online")</f>
      </c>
    </row>
    <row r="3290">
      <c r="A3290" s="12" t="s">
        <v>17142</v>
      </c>
      <c r="B3290" s="12" t="s">
        <v>17143</v>
      </c>
      <c r="C3290" s="19">
        <v>3</v>
      </c>
      <c r="D3290" s="19">
        <v>5</v>
      </c>
      <c r="E3290" s="19">
        <v>3</v>
      </c>
      <c r="F3290" s="19">
        <v>11</v>
      </c>
      <c r="G3290" s="15" t="s">
        <v>36</v>
      </c>
      <c r="H3290" s="14" t="s">
        <v>36</v>
      </c>
      <c r="I3290" s="18" t="s">
        <v>36</v>
      </c>
      <c r="J3290" s="12" t="s">
        <v>36</v>
      </c>
      <c r="K3290" s="13" t="s">
        <v>36</v>
      </c>
      <c r="L3290" s="15" t="s">
        <v>36</v>
      </c>
      <c r="M3290" s="12" t="s">
        <v>36</v>
      </c>
      <c r="N3290" s="12" t="s">
        <v>36</v>
      </c>
      <c r="O3290" s="17" t="s">
        <v>36</v>
      </c>
      <c r="P3290" s="12" t="s">
        <v>36</v>
      </c>
      <c r="Q3290" s="12" t="s">
        <v>36</v>
      </c>
      <c r="R3290" s="12" t="s">
        <v>36</v>
      </c>
      <c r="S3290" s="12" t="s">
        <v>36</v>
      </c>
      <c r="T3290" s="12" t="s">
        <v>17144</v>
      </c>
      <c r="U3290" s="12" t="s">
        <v>51</v>
      </c>
      <c r="V3290" s="12" t="s">
        <v>52</v>
      </c>
      <c r="W3290" s="12" t="s">
        <v>17145</v>
      </c>
      <c r="X3290" s="16" t="s">
        <v>17146</v>
      </c>
      <c r="Y3290" s="15" t="s">
        <v>42</v>
      </c>
      <c r="Z3290" s="14">
        <v>1.57</v>
      </c>
      <c r="AA3290" s="14" t="s">
        <v>36</v>
      </c>
      <c r="AB3290" s="12" t="s">
        <v>56</v>
      </c>
      <c r="AC3290" s="12" t="s">
        <v>17147</v>
      </c>
      <c r="AD3290" s="13">
        <v>44258</v>
      </c>
      <c r="AE3290" s="12" t="s">
        <v>1060</v>
      </c>
      <c r="AF3290" s="12" t="s">
        <v>159</v>
      </c>
      <c r="AG3290" s="12" t="s">
        <v>17148</v>
      </c>
      <c r="AH3290" s="1">
        <f>HYPERLINK("https://my.pitchbook.com?c=167853-52T","View Company Online")</f>
      </c>
    </row>
    <row r="3291">
      <c r="A3291" s="3" t="s">
        <v>17149</v>
      </c>
      <c r="B3291" s="3" t="s">
        <v>4444</v>
      </c>
      <c r="C3291" s="5" t="s">
        <v>36</v>
      </c>
      <c r="D3291" s="5" t="s">
        <v>36</v>
      </c>
      <c r="E3291" s="5" t="s">
        <v>36</v>
      </c>
      <c r="F3291" s="5" t="s">
        <v>36</v>
      </c>
      <c r="G3291" s="6" t="s">
        <v>36</v>
      </c>
      <c r="H3291" s="4">
        <v>60.71</v>
      </c>
      <c r="I3291" s="7">
        <v>34.48</v>
      </c>
      <c r="J3291" s="3" t="s">
        <v>521</v>
      </c>
      <c r="K3291" s="9" t="s">
        <v>36</v>
      </c>
      <c r="L3291" s="6" t="s">
        <v>36</v>
      </c>
      <c r="M3291" s="3" t="s">
        <v>36</v>
      </c>
      <c r="N3291" s="3" t="s">
        <v>36</v>
      </c>
      <c r="O3291" s="8" t="s">
        <v>36</v>
      </c>
      <c r="P3291" s="3" t="s">
        <v>36</v>
      </c>
      <c r="Q3291" s="3" t="s">
        <v>36</v>
      </c>
      <c r="R3291" s="3" t="s">
        <v>36</v>
      </c>
      <c r="S3291" s="3" t="s">
        <v>36</v>
      </c>
      <c r="T3291" s="3" t="s">
        <v>2490</v>
      </c>
      <c r="U3291" s="3" t="s">
        <v>318</v>
      </c>
      <c r="V3291" s="3" t="s">
        <v>39</v>
      </c>
      <c r="W3291" s="3" t="s">
        <v>4445</v>
      </c>
      <c r="X3291" s="10" t="s">
        <v>17150</v>
      </c>
      <c r="Y3291" s="6" t="s">
        <v>108</v>
      </c>
      <c r="Z3291" s="4">
        <v>1.21</v>
      </c>
      <c r="AA3291" s="4">
        <v>3.51</v>
      </c>
      <c r="AB3291" s="3" t="s">
        <v>43</v>
      </c>
      <c r="AC3291" s="3" t="s">
        <v>4447</v>
      </c>
      <c r="AD3291" s="9">
        <v>44257</v>
      </c>
      <c r="AE3291" s="3" t="s">
        <v>417</v>
      </c>
      <c r="AF3291" s="3" t="s">
        <v>4448</v>
      </c>
      <c r="AG3291" s="3" t="s">
        <v>4449</v>
      </c>
      <c r="AH3291" s="11">
        <f>HYPERLINK("https://my.pitchbook.com?c=169336-18T","View Company Online")</f>
      </c>
    </row>
    <row r="3292">
      <c r="A3292" s="12" t="s">
        <v>17151</v>
      </c>
      <c r="B3292" s="12" t="s">
        <v>17152</v>
      </c>
      <c r="C3292" s="19" t="s">
        <v>36</v>
      </c>
      <c r="D3292" s="19" t="s">
        <v>36</v>
      </c>
      <c r="E3292" s="19" t="s">
        <v>36</v>
      </c>
      <c r="F3292" s="19" t="s">
        <v>36</v>
      </c>
      <c r="G3292" s="15" t="s">
        <v>36</v>
      </c>
      <c r="H3292" s="14" t="s">
        <v>36</v>
      </c>
      <c r="I3292" s="18" t="s">
        <v>36</v>
      </c>
      <c r="J3292" s="12" t="s">
        <v>36</v>
      </c>
      <c r="K3292" s="13" t="s">
        <v>36</v>
      </c>
      <c r="L3292" s="15" t="s">
        <v>36</v>
      </c>
      <c r="M3292" s="12" t="s">
        <v>36</v>
      </c>
      <c r="N3292" s="12" t="s">
        <v>36</v>
      </c>
      <c r="O3292" s="17" t="s">
        <v>36</v>
      </c>
      <c r="P3292" s="12" t="s">
        <v>36</v>
      </c>
      <c r="Q3292" s="12" t="s">
        <v>36</v>
      </c>
      <c r="R3292" s="12" t="s">
        <v>36</v>
      </c>
      <c r="S3292" s="12" t="s">
        <v>36</v>
      </c>
      <c r="T3292" s="12" t="s">
        <v>8799</v>
      </c>
      <c r="U3292" s="12" t="s">
        <v>51</v>
      </c>
      <c r="V3292" s="12" t="s">
        <v>52</v>
      </c>
      <c r="W3292" s="12" t="s">
        <v>17153</v>
      </c>
      <c r="X3292" s="16" t="s">
        <v>17154</v>
      </c>
      <c r="Y3292" s="15" t="s">
        <v>42</v>
      </c>
      <c r="Z3292" s="14">
        <v>60.46</v>
      </c>
      <c r="AA3292" s="14" t="s">
        <v>36</v>
      </c>
      <c r="AB3292" s="12" t="s">
        <v>43</v>
      </c>
      <c r="AC3292" s="12" t="s">
        <v>17155</v>
      </c>
      <c r="AD3292" s="13">
        <v>44257</v>
      </c>
      <c r="AE3292" s="12" t="s">
        <v>158</v>
      </c>
      <c r="AF3292" s="12" t="s">
        <v>17156</v>
      </c>
      <c r="AG3292" s="12" t="s">
        <v>81</v>
      </c>
      <c r="AH3292" s="1">
        <f>HYPERLINK("https://my.pitchbook.com?c=168274-90T","View Company Online")</f>
      </c>
    </row>
    <row r="3293">
      <c r="A3293" s="3" t="s">
        <v>17157</v>
      </c>
      <c r="B3293" s="3" t="s">
        <v>7475</v>
      </c>
      <c r="C3293" s="5" t="s">
        <v>36</v>
      </c>
      <c r="D3293" s="5" t="s">
        <v>36</v>
      </c>
      <c r="E3293" s="5" t="s">
        <v>36</v>
      </c>
      <c r="F3293" s="5" t="s">
        <v>36</v>
      </c>
      <c r="G3293" s="6" t="s">
        <v>326</v>
      </c>
      <c r="H3293" s="4">
        <v>699.64</v>
      </c>
      <c r="I3293" s="7">
        <v>6.47</v>
      </c>
      <c r="J3293" s="3" t="s">
        <v>521</v>
      </c>
      <c r="K3293" s="9" t="s">
        <v>36</v>
      </c>
      <c r="L3293" s="6" t="s">
        <v>122</v>
      </c>
      <c r="M3293" s="3" t="s">
        <v>36</v>
      </c>
      <c r="N3293" s="3" t="s">
        <v>122</v>
      </c>
      <c r="O3293" s="8" t="s">
        <v>36</v>
      </c>
      <c r="P3293" s="3" t="s">
        <v>36</v>
      </c>
      <c r="Q3293" s="3" t="s">
        <v>36</v>
      </c>
      <c r="R3293" s="3" t="s">
        <v>36</v>
      </c>
      <c r="S3293" s="3" t="s">
        <v>36</v>
      </c>
      <c r="T3293" s="3" t="s">
        <v>7476</v>
      </c>
      <c r="U3293" s="3" t="s">
        <v>279</v>
      </c>
      <c r="V3293" s="3" t="s">
        <v>64</v>
      </c>
      <c r="W3293" s="3" t="s">
        <v>7477</v>
      </c>
      <c r="X3293" s="10" t="s">
        <v>17158</v>
      </c>
      <c r="Y3293" s="6" t="s">
        <v>55</v>
      </c>
      <c r="Z3293" s="4">
        <v>0.94</v>
      </c>
      <c r="AA3293" s="4">
        <v>14.48</v>
      </c>
      <c r="AB3293" s="3" t="s">
        <v>56</v>
      </c>
      <c r="AC3293" s="3" t="s">
        <v>7479</v>
      </c>
      <c r="AD3293" s="9">
        <v>44257</v>
      </c>
      <c r="AE3293" s="3" t="s">
        <v>283</v>
      </c>
      <c r="AF3293" s="3" t="s">
        <v>90</v>
      </c>
      <c r="AG3293" s="3" t="s">
        <v>81</v>
      </c>
      <c r="AH3293" s="11">
        <f>HYPERLINK("https://my.pitchbook.com?c=176890-42T","View Company Online")</f>
      </c>
    </row>
    <row r="3294">
      <c r="A3294" s="12" t="s">
        <v>17159</v>
      </c>
      <c r="B3294" s="12" t="s">
        <v>17160</v>
      </c>
      <c r="C3294" s="19">
        <v>4</v>
      </c>
      <c r="D3294" s="19">
        <v>2</v>
      </c>
      <c r="E3294" s="19">
        <v>5</v>
      </c>
      <c r="F3294" s="19">
        <v>9</v>
      </c>
      <c r="G3294" s="15" t="s">
        <v>36</v>
      </c>
      <c r="H3294" s="14" t="s">
        <v>36</v>
      </c>
      <c r="I3294" s="18" t="s">
        <v>36</v>
      </c>
      <c r="J3294" s="12" t="s">
        <v>36</v>
      </c>
      <c r="K3294" s="13" t="s">
        <v>36</v>
      </c>
      <c r="L3294" s="15" t="s">
        <v>36</v>
      </c>
      <c r="M3294" s="12" t="s">
        <v>36</v>
      </c>
      <c r="N3294" s="12" t="s">
        <v>36</v>
      </c>
      <c r="O3294" s="17" t="s">
        <v>36</v>
      </c>
      <c r="P3294" s="12" t="s">
        <v>36</v>
      </c>
      <c r="Q3294" s="12" t="s">
        <v>36</v>
      </c>
      <c r="R3294" s="12" t="s">
        <v>36</v>
      </c>
      <c r="S3294" s="12" t="s">
        <v>36</v>
      </c>
      <c r="T3294" s="12" t="s">
        <v>2647</v>
      </c>
      <c r="U3294" s="12" t="s">
        <v>85</v>
      </c>
      <c r="V3294" s="12" t="s">
        <v>64</v>
      </c>
      <c r="W3294" s="12" t="s">
        <v>17161</v>
      </c>
      <c r="X3294" s="16" t="s">
        <v>17162</v>
      </c>
      <c r="Y3294" s="15" t="s">
        <v>166</v>
      </c>
      <c r="Z3294" s="14">
        <v>14.85</v>
      </c>
      <c r="AA3294" s="14" t="s">
        <v>36</v>
      </c>
      <c r="AB3294" s="12" t="s">
        <v>56</v>
      </c>
      <c r="AC3294" s="12" t="s">
        <v>17163</v>
      </c>
      <c r="AD3294" s="13">
        <v>44257</v>
      </c>
      <c r="AE3294" s="12" t="s">
        <v>1822</v>
      </c>
      <c r="AF3294" s="12" t="s">
        <v>12769</v>
      </c>
      <c r="AG3294" s="12" t="s">
        <v>47</v>
      </c>
      <c r="AH3294" s="1">
        <f>HYPERLINK("https://my.pitchbook.com?c=191056-69T","View Company Online")</f>
      </c>
    </row>
    <row r="3295">
      <c r="A3295" s="3" t="s">
        <v>17164</v>
      </c>
      <c r="B3295" s="3" t="s">
        <v>17165</v>
      </c>
      <c r="C3295" s="5" t="s">
        <v>36</v>
      </c>
      <c r="D3295" s="5" t="s">
        <v>36</v>
      </c>
      <c r="E3295" s="5" t="s">
        <v>36</v>
      </c>
      <c r="F3295" s="5" t="s">
        <v>36</v>
      </c>
      <c r="G3295" s="6" t="s">
        <v>36</v>
      </c>
      <c r="H3295" s="4">
        <v>778.92</v>
      </c>
      <c r="I3295" s="7">
        <v>30.25</v>
      </c>
      <c r="J3295" s="3" t="s">
        <v>521</v>
      </c>
      <c r="K3295" s="9" t="s">
        <v>36</v>
      </c>
      <c r="L3295" s="6" t="s">
        <v>36</v>
      </c>
      <c r="M3295" s="3" t="s">
        <v>36</v>
      </c>
      <c r="N3295" s="3" t="s">
        <v>36</v>
      </c>
      <c r="O3295" s="8" t="s">
        <v>36</v>
      </c>
      <c r="P3295" s="3" t="s">
        <v>36</v>
      </c>
      <c r="Q3295" s="3" t="s">
        <v>36</v>
      </c>
      <c r="R3295" s="3" t="s">
        <v>36</v>
      </c>
      <c r="S3295" s="3" t="s">
        <v>36</v>
      </c>
      <c r="T3295" s="3" t="s">
        <v>17166</v>
      </c>
      <c r="U3295" s="3" t="s">
        <v>38</v>
      </c>
      <c r="V3295" s="3" t="s">
        <v>39</v>
      </c>
      <c r="W3295" s="3" t="s">
        <v>17167</v>
      </c>
      <c r="X3295" s="10" t="s">
        <v>17168</v>
      </c>
      <c r="Y3295" s="6" t="s">
        <v>42</v>
      </c>
      <c r="Z3295" s="4">
        <v>0.94</v>
      </c>
      <c r="AA3295" s="4">
        <v>2.39</v>
      </c>
      <c r="AB3295" s="3" t="s">
        <v>56</v>
      </c>
      <c r="AC3295" s="3" t="s">
        <v>17169</v>
      </c>
      <c r="AD3295" s="9">
        <v>44257</v>
      </c>
      <c r="AE3295" s="3" t="s">
        <v>110</v>
      </c>
      <c r="AF3295" s="3" t="s">
        <v>1636</v>
      </c>
      <c r="AG3295" s="3" t="s">
        <v>899</v>
      </c>
      <c r="AH3295" s="11">
        <f>HYPERLINK("https://my.pitchbook.com?c=167755-60T","View Company Online")</f>
      </c>
    </row>
    <row r="3296">
      <c r="A3296" s="12" t="s">
        <v>17170</v>
      </c>
      <c r="B3296" s="12" t="s">
        <v>17171</v>
      </c>
      <c r="C3296" s="19" t="s">
        <v>36</v>
      </c>
      <c r="D3296" s="19" t="s">
        <v>36</v>
      </c>
      <c r="E3296" s="19" t="s">
        <v>36</v>
      </c>
      <c r="F3296" s="19" t="s">
        <v>36</v>
      </c>
      <c r="G3296" s="15" t="s">
        <v>36</v>
      </c>
      <c r="H3296" s="14">
        <v>4845.95</v>
      </c>
      <c r="I3296" s="18">
        <v>22.68</v>
      </c>
      <c r="J3296" s="12" t="s">
        <v>521</v>
      </c>
      <c r="K3296" s="13" t="s">
        <v>36</v>
      </c>
      <c r="L3296" s="15" t="s">
        <v>36</v>
      </c>
      <c r="M3296" s="12" t="s">
        <v>36</v>
      </c>
      <c r="N3296" s="12" t="s">
        <v>36</v>
      </c>
      <c r="O3296" s="17" t="s">
        <v>36</v>
      </c>
      <c r="P3296" s="12" t="s">
        <v>36</v>
      </c>
      <c r="Q3296" s="12" t="s">
        <v>36</v>
      </c>
      <c r="R3296" s="12" t="s">
        <v>36</v>
      </c>
      <c r="S3296" s="12" t="s">
        <v>36</v>
      </c>
      <c r="T3296" s="12" t="s">
        <v>17172</v>
      </c>
      <c r="U3296" s="12" t="s">
        <v>74</v>
      </c>
      <c r="V3296" s="12" t="s">
        <v>75</v>
      </c>
      <c r="W3296" s="12" t="s">
        <v>17173</v>
      </c>
      <c r="X3296" s="16" t="s">
        <v>17174</v>
      </c>
      <c r="Y3296" s="15" t="s">
        <v>42</v>
      </c>
      <c r="Z3296" s="14">
        <v>0.25</v>
      </c>
      <c r="AA3296" s="14">
        <v>1.09</v>
      </c>
      <c r="AB3296" s="12" t="s">
        <v>56</v>
      </c>
      <c r="AC3296" s="12" t="s">
        <v>17175</v>
      </c>
      <c r="AD3296" s="13">
        <v>44256</v>
      </c>
      <c r="AE3296" s="12" t="s">
        <v>975</v>
      </c>
      <c r="AF3296" s="12" t="s">
        <v>17176</v>
      </c>
      <c r="AG3296" s="12" t="s">
        <v>1978</v>
      </c>
      <c r="AH3296" s="1">
        <f>HYPERLINK("https://my.pitchbook.com?c=218379-79T","View Company Online")</f>
      </c>
    </row>
    <row r="3297">
      <c r="A3297" s="3" t="s">
        <v>17177</v>
      </c>
      <c r="B3297" s="3" t="s">
        <v>6259</v>
      </c>
      <c r="C3297" s="5" t="s">
        <v>36</v>
      </c>
      <c r="D3297" s="5" t="s">
        <v>36</v>
      </c>
      <c r="E3297" s="5" t="s">
        <v>36</v>
      </c>
      <c r="F3297" s="5" t="s">
        <v>36</v>
      </c>
      <c r="G3297" s="6" t="s">
        <v>36</v>
      </c>
      <c r="H3297" s="4">
        <v>417.48</v>
      </c>
      <c r="I3297" s="7">
        <v>18.15</v>
      </c>
      <c r="J3297" s="3" t="s">
        <v>521</v>
      </c>
      <c r="K3297" s="9">
        <v>43887</v>
      </c>
      <c r="L3297" s="6" t="s">
        <v>36</v>
      </c>
      <c r="M3297" s="3" t="s">
        <v>36</v>
      </c>
      <c r="N3297" s="3" t="s">
        <v>36</v>
      </c>
      <c r="O3297" s="8" t="s">
        <v>36</v>
      </c>
      <c r="P3297" s="3" t="s">
        <v>36</v>
      </c>
      <c r="Q3297" s="3" t="s">
        <v>36</v>
      </c>
      <c r="R3297" s="3" t="s">
        <v>36</v>
      </c>
      <c r="S3297" s="3" t="s">
        <v>36</v>
      </c>
      <c r="T3297" s="3" t="s">
        <v>6260</v>
      </c>
      <c r="U3297" s="3" t="s">
        <v>289</v>
      </c>
      <c r="V3297" s="3" t="s">
        <v>64</v>
      </c>
      <c r="W3297" s="3" t="s">
        <v>6261</v>
      </c>
      <c r="X3297" s="10" t="s">
        <v>17178</v>
      </c>
      <c r="Y3297" s="6" t="s">
        <v>192</v>
      </c>
      <c r="Z3297" s="4">
        <v>1.21</v>
      </c>
      <c r="AA3297" s="4">
        <v>4.43</v>
      </c>
      <c r="AB3297" s="3" t="s">
        <v>56</v>
      </c>
      <c r="AC3297" s="3" t="s">
        <v>6263</v>
      </c>
      <c r="AD3297" s="9">
        <v>44256</v>
      </c>
      <c r="AE3297" s="3" t="s">
        <v>3134</v>
      </c>
      <c r="AF3297" s="3" t="s">
        <v>6264</v>
      </c>
      <c r="AG3297" s="3" t="s">
        <v>81</v>
      </c>
      <c r="AH3297" s="11">
        <f>HYPERLINK("https://my.pitchbook.com?c=132779-89T","View Company Online")</f>
      </c>
    </row>
    <row r="3298">
      <c r="A3298" s="12" t="s">
        <v>17179</v>
      </c>
      <c r="B3298" s="12" t="s">
        <v>17180</v>
      </c>
      <c r="C3298" s="19" t="s">
        <v>36</v>
      </c>
      <c r="D3298" s="19" t="s">
        <v>36</v>
      </c>
      <c r="E3298" s="19" t="s">
        <v>36</v>
      </c>
      <c r="F3298" s="19" t="s">
        <v>36</v>
      </c>
      <c r="G3298" s="15" t="s">
        <v>36</v>
      </c>
      <c r="H3298" s="14" t="s">
        <v>36</v>
      </c>
      <c r="I3298" s="18" t="s">
        <v>36</v>
      </c>
      <c r="J3298" s="12" t="s">
        <v>36</v>
      </c>
      <c r="K3298" s="13" t="s">
        <v>36</v>
      </c>
      <c r="L3298" s="15" t="s">
        <v>4010</v>
      </c>
      <c r="M3298" s="12" t="s">
        <v>36</v>
      </c>
      <c r="N3298" s="12" t="s">
        <v>4010</v>
      </c>
      <c r="O3298" s="17" t="s">
        <v>36</v>
      </c>
      <c r="P3298" s="12" t="s">
        <v>36</v>
      </c>
      <c r="Q3298" s="12" t="s">
        <v>36</v>
      </c>
      <c r="R3298" s="12" t="s">
        <v>36</v>
      </c>
      <c r="S3298" s="12" t="s">
        <v>6531</v>
      </c>
      <c r="T3298" s="12" t="s">
        <v>395</v>
      </c>
      <c r="U3298" s="12" t="s">
        <v>63</v>
      </c>
      <c r="V3298" s="12" t="s">
        <v>64</v>
      </c>
      <c r="W3298" s="12" t="s">
        <v>17181</v>
      </c>
      <c r="X3298" s="16" t="s">
        <v>17182</v>
      </c>
      <c r="Y3298" s="15" t="s">
        <v>42</v>
      </c>
      <c r="Z3298" s="14" t="s">
        <v>36</v>
      </c>
      <c r="AA3298" s="14" t="s">
        <v>36</v>
      </c>
      <c r="AB3298" s="12" t="s">
        <v>43</v>
      </c>
      <c r="AC3298" s="12" t="s">
        <v>17183</v>
      </c>
      <c r="AD3298" s="13">
        <v>44256</v>
      </c>
      <c r="AE3298" s="12" t="s">
        <v>399</v>
      </c>
      <c r="AF3298" s="12" t="s">
        <v>6536</v>
      </c>
      <c r="AG3298" s="12" t="s">
        <v>4249</v>
      </c>
      <c r="AH3298" s="1">
        <f>HYPERLINK("https://my.pitchbook.com?c=166543-30T","View Company Online")</f>
      </c>
    </row>
    <row r="3299">
      <c r="A3299" s="3" t="s">
        <v>17184</v>
      </c>
      <c r="B3299" s="3" t="s">
        <v>17185</v>
      </c>
      <c r="C3299" s="5" t="s">
        <v>36</v>
      </c>
      <c r="D3299" s="5" t="s">
        <v>36</v>
      </c>
      <c r="E3299" s="5" t="s">
        <v>36</v>
      </c>
      <c r="F3299" s="5" t="s">
        <v>36</v>
      </c>
      <c r="G3299" s="6" t="s">
        <v>36</v>
      </c>
      <c r="H3299" s="4" t="s">
        <v>36</v>
      </c>
      <c r="I3299" s="7" t="s">
        <v>36</v>
      </c>
      <c r="J3299" s="3" t="s">
        <v>36</v>
      </c>
      <c r="K3299" s="9" t="s">
        <v>36</v>
      </c>
      <c r="L3299" s="6" t="s">
        <v>36</v>
      </c>
      <c r="M3299" s="3" t="s">
        <v>36</v>
      </c>
      <c r="N3299" s="3" t="s">
        <v>36</v>
      </c>
      <c r="O3299" s="8" t="s">
        <v>36</v>
      </c>
      <c r="P3299" s="3" t="s">
        <v>36</v>
      </c>
      <c r="Q3299" s="3" t="s">
        <v>36</v>
      </c>
      <c r="R3299" s="3" t="s">
        <v>36</v>
      </c>
      <c r="S3299" s="3" t="s">
        <v>36</v>
      </c>
      <c r="T3299" s="3" t="s">
        <v>422</v>
      </c>
      <c r="U3299" s="3" t="s">
        <v>423</v>
      </c>
      <c r="V3299" s="3" t="s">
        <v>64</v>
      </c>
      <c r="W3299" s="3" t="s">
        <v>17186</v>
      </c>
      <c r="X3299" s="10" t="s">
        <v>2869</v>
      </c>
      <c r="Y3299" s="6" t="s">
        <v>42</v>
      </c>
      <c r="Z3299" s="4" t="s">
        <v>36</v>
      </c>
      <c r="AA3299" s="4" t="s">
        <v>36</v>
      </c>
      <c r="AB3299" s="3" t="s">
        <v>56</v>
      </c>
      <c r="AC3299" s="3" t="s">
        <v>17187</v>
      </c>
      <c r="AD3299" s="9">
        <v>44256</v>
      </c>
      <c r="AE3299" s="3" t="s">
        <v>427</v>
      </c>
      <c r="AF3299" s="3" t="s">
        <v>36</v>
      </c>
      <c r="AG3299" s="3" t="s">
        <v>81</v>
      </c>
      <c r="AH3299" s="11">
        <f>HYPERLINK("https://my.pitchbook.com?c=191242-36T","View Company Online")</f>
      </c>
    </row>
    <row r="3300">
      <c r="A3300" s="12" t="s">
        <v>17188</v>
      </c>
      <c r="B3300" s="12" t="s">
        <v>5393</v>
      </c>
      <c r="C3300" s="19" t="s">
        <v>36</v>
      </c>
      <c r="D3300" s="19" t="s">
        <v>36</v>
      </c>
      <c r="E3300" s="19" t="s">
        <v>36</v>
      </c>
      <c r="F3300" s="19" t="s">
        <v>36</v>
      </c>
      <c r="G3300" s="15" t="s">
        <v>326</v>
      </c>
      <c r="H3300" s="14">
        <v>233.07</v>
      </c>
      <c r="I3300" s="18">
        <v>35.59</v>
      </c>
      <c r="J3300" s="12" t="s">
        <v>521</v>
      </c>
      <c r="K3300" s="13" t="s">
        <v>36</v>
      </c>
      <c r="L3300" s="15" t="s">
        <v>94</v>
      </c>
      <c r="M3300" s="12" t="s">
        <v>36</v>
      </c>
      <c r="N3300" s="12" t="s">
        <v>94</v>
      </c>
      <c r="O3300" s="17" t="s">
        <v>36</v>
      </c>
      <c r="P3300" s="12" t="s">
        <v>36</v>
      </c>
      <c r="Q3300" s="12" t="s">
        <v>36</v>
      </c>
      <c r="R3300" s="12" t="s">
        <v>36</v>
      </c>
      <c r="S3300" s="12" t="s">
        <v>36</v>
      </c>
      <c r="T3300" s="12" t="s">
        <v>5394</v>
      </c>
      <c r="U3300" s="12" t="s">
        <v>85</v>
      </c>
      <c r="V3300" s="12" t="s">
        <v>64</v>
      </c>
      <c r="W3300" s="12" t="s">
        <v>5395</v>
      </c>
      <c r="X3300" s="16" t="s">
        <v>17189</v>
      </c>
      <c r="Y3300" s="15" t="s">
        <v>192</v>
      </c>
      <c r="Z3300" s="14">
        <v>9.8</v>
      </c>
      <c r="AA3300" s="14">
        <v>27.52</v>
      </c>
      <c r="AB3300" s="12" t="s">
        <v>56</v>
      </c>
      <c r="AC3300" s="12" t="s">
        <v>5397</v>
      </c>
      <c r="AD3300" s="13">
        <v>44256</v>
      </c>
      <c r="AE3300" s="12" t="s">
        <v>89</v>
      </c>
      <c r="AF3300" s="12" t="s">
        <v>5398</v>
      </c>
      <c r="AG3300" s="12" t="s">
        <v>81</v>
      </c>
      <c r="AH3300" s="1">
        <f>HYPERLINK("https://my.pitchbook.com?c=168217-48T","View Company Online")</f>
      </c>
    </row>
    <row r="3301">
      <c r="A3301" s="3" t="s">
        <v>17190</v>
      </c>
      <c r="B3301" s="3" t="s">
        <v>17191</v>
      </c>
      <c r="C3301" s="5" t="s">
        <v>36</v>
      </c>
      <c r="D3301" s="5" t="s">
        <v>36</v>
      </c>
      <c r="E3301" s="5" t="s">
        <v>36</v>
      </c>
      <c r="F3301" s="5" t="s">
        <v>36</v>
      </c>
      <c r="G3301" s="6" t="s">
        <v>36</v>
      </c>
      <c r="H3301" s="4" t="s">
        <v>36</v>
      </c>
      <c r="I3301" s="7" t="s">
        <v>36</v>
      </c>
      <c r="J3301" s="3" t="s">
        <v>36</v>
      </c>
      <c r="K3301" s="9" t="s">
        <v>36</v>
      </c>
      <c r="L3301" s="6" t="s">
        <v>36</v>
      </c>
      <c r="M3301" s="3" t="s">
        <v>36</v>
      </c>
      <c r="N3301" s="3" t="s">
        <v>36</v>
      </c>
      <c r="O3301" s="8" t="s">
        <v>36</v>
      </c>
      <c r="P3301" s="3" t="s">
        <v>36</v>
      </c>
      <c r="Q3301" s="3" t="s">
        <v>36</v>
      </c>
      <c r="R3301" s="3" t="s">
        <v>36</v>
      </c>
      <c r="S3301" s="3" t="s">
        <v>36</v>
      </c>
      <c r="T3301" s="3" t="s">
        <v>1701</v>
      </c>
      <c r="U3301" s="3" t="s">
        <v>74</v>
      </c>
      <c r="V3301" s="3" t="s">
        <v>75</v>
      </c>
      <c r="W3301" s="3" t="s">
        <v>17192</v>
      </c>
      <c r="X3301" s="10" t="s">
        <v>17193</v>
      </c>
      <c r="Y3301" s="6" t="s">
        <v>42</v>
      </c>
      <c r="Z3301" s="4">
        <v>4.23</v>
      </c>
      <c r="AA3301" s="4" t="s">
        <v>36</v>
      </c>
      <c r="AB3301" s="3" t="s">
        <v>43</v>
      </c>
      <c r="AC3301" s="3" t="s">
        <v>17194</v>
      </c>
      <c r="AD3301" s="9">
        <v>44256</v>
      </c>
      <c r="AE3301" s="3" t="s">
        <v>79</v>
      </c>
      <c r="AF3301" s="3" t="s">
        <v>2759</v>
      </c>
      <c r="AG3301" s="3" t="s">
        <v>81</v>
      </c>
      <c r="AH3301" s="11">
        <f>HYPERLINK("https://my.pitchbook.com?c=168522-31T","View Company Online")</f>
      </c>
    </row>
    <row r="3302">
      <c r="A3302" s="12" t="s">
        <v>17195</v>
      </c>
      <c r="B3302" s="12" t="s">
        <v>17196</v>
      </c>
      <c r="C3302" s="19" t="s">
        <v>36</v>
      </c>
      <c r="D3302" s="19" t="s">
        <v>36</v>
      </c>
      <c r="E3302" s="19" t="s">
        <v>36</v>
      </c>
      <c r="F3302" s="19" t="s">
        <v>36</v>
      </c>
      <c r="G3302" s="15" t="s">
        <v>36</v>
      </c>
      <c r="H3302" s="14">
        <v>828.31</v>
      </c>
      <c r="I3302" s="18">
        <v>27.42</v>
      </c>
      <c r="J3302" s="12" t="s">
        <v>521</v>
      </c>
      <c r="K3302" s="13" t="s">
        <v>36</v>
      </c>
      <c r="L3302" s="15" t="s">
        <v>36</v>
      </c>
      <c r="M3302" s="12" t="s">
        <v>36</v>
      </c>
      <c r="N3302" s="12" t="s">
        <v>36</v>
      </c>
      <c r="O3302" s="17" t="s">
        <v>36</v>
      </c>
      <c r="P3302" s="12" t="s">
        <v>36</v>
      </c>
      <c r="Q3302" s="12" t="s">
        <v>36</v>
      </c>
      <c r="R3302" s="12" t="s">
        <v>36</v>
      </c>
      <c r="S3302" s="12" t="s">
        <v>36</v>
      </c>
      <c r="T3302" s="12" t="s">
        <v>17197</v>
      </c>
      <c r="U3302" s="12" t="s">
        <v>438</v>
      </c>
      <c r="V3302" s="12" t="s">
        <v>405</v>
      </c>
      <c r="W3302" s="12" t="s">
        <v>17198</v>
      </c>
      <c r="X3302" s="16" t="s">
        <v>17199</v>
      </c>
      <c r="Y3302" s="15" t="s">
        <v>55</v>
      </c>
      <c r="Z3302" s="14">
        <v>19.35</v>
      </c>
      <c r="AA3302" s="14">
        <v>17.65</v>
      </c>
      <c r="AB3302" s="12" t="s">
        <v>43</v>
      </c>
      <c r="AC3302" s="12" t="s">
        <v>17200</v>
      </c>
      <c r="AD3302" s="13">
        <v>44256</v>
      </c>
      <c r="AE3302" s="12" t="s">
        <v>10018</v>
      </c>
      <c r="AF3302" s="12" t="s">
        <v>215</v>
      </c>
      <c r="AG3302" s="12" t="s">
        <v>443</v>
      </c>
      <c r="AH3302" s="1">
        <f>HYPERLINK("https://my.pitchbook.com?c=167663-17T","View Company Online")</f>
      </c>
    </row>
    <row r="3303">
      <c r="A3303" s="3" t="s">
        <v>17201</v>
      </c>
      <c r="B3303" s="3" t="s">
        <v>17202</v>
      </c>
      <c r="C3303" s="5" t="s">
        <v>36</v>
      </c>
      <c r="D3303" s="5" t="s">
        <v>36</v>
      </c>
      <c r="E3303" s="5" t="s">
        <v>36</v>
      </c>
      <c r="F3303" s="5" t="s">
        <v>36</v>
      </c>
      <c r="G3303" s="6" t="s">
        <v>36</v>
      </c>
      <c r="H3303" s="4" t="s">
        <v>36</v>
      </c>
      <c r="I3303" s="7" t="s">
        <v>36</v>
      </c>
      <c r="J3303" s="3" t="s">
        <v>36</v>
      </c>
      <c r="K3303" s="9" t="s">
        <v>36</v>
      </c>
      <c r="L3303" s="6" t="s">
        <v>36</v>
      </c>
      <c r="M3303" s="3" t="s">
        <v>36</v>
      </c>
      <c r="N3303" s="3" t="s">
        <v>36</v>
      </c>
      <c r="O3303" s="8" t="s">
        <v>36</v>
      </c>
      <c r="P3303" s="3" t="s">
        <v>36</v>
      </c>
      <c r="Q3303" s="3" t="s">
        <v>36</v>
      </c>
      <c r="R3303" s="3" t="s">
        <v>36</v>
      </c>
      <c r="S3303" s="3" t="s">
        <v>36</v>
      </c>
      <c r="T3303" s="3" t="s">
        <v>4827</v>
      </c>
      <c r="U3303" s="3" t="s">
        <v>648</v>
      </c>
      <c r="V3303" s="3" t="s">
        <v>64</v>
      </c>
      <c r="W3303" s="3" t="s">
        <v>17203</v>
      </c>
      <c r="X3303" s="10" t="s">
        <v>13670</v>
      </c>
      <c r="Y3303" s="6" t="s">
        <v>42</v>
      </c>
      <c r="Z3303" s="4" t="s">
        <v>36</v>
      </c>
      <c r="AA3303" s="4" t="s">
        <v>36</v>
      </c>
      <c r="AB3303" s="3" t="s">
        <v>43</v>
      </c>
      <c r="AC3303" s="3" t="s">
        <v>17204</v>
      </c>
      <c r="AD3303" s="9">
        <v>44256</v>
      </c>
      <c r="AE3303" s="3" t="s">
        <v>3988</v>
      </c>
      <c r="AF3303" s="3" t="s">
        <v>4284</v>
      </c>
      <c r="AG3303" s="3" t="s">
        <v>81</v>
      </c>
      <c r="AH3303" s="11">
        <f>HYPERLINK("https://my.pitchbook.com?c=189095-14T","View Company Online")</f>
      </c>
    </row>
    <row r="3304">
      <c r="A3304" s="12" t="s">
        <v>17205</v>
      </c>
      <c r="B3304" s="12" t="s">
        <v>17206</v>
      </c>
      <c r="C3304" s="19" t="s">
        <v>36</v>
      </c>
      <c r="D3304" s="19" t="s">
        <v>36</v>
      </c>
      <c r="E3304" s="19" t="s">
        <v>36</v>
      </c>
      <c r="F3304" s="19" t="s">
        <v>36</v>
      </c>
      <c r="G3304" s="15" t="s">
        <v>36</v>
      </c>
      <c r="H3304" s="14" t="s">
        <v>36</v>
      </c>
      <c r="I3304" s="18" t="s">
        <v>36</v>
      </c>
      <c r="J3304" s="12" t="s">
        <v>36</v>
      </c>
      <c r="K3304" s="13" t="s">
        <v>36</v>
      </c>
      <c r="L3304" s="15" t="s">
        <v>36</v>
      </c>
      <c r="M3304" s="12" t="s">
        <v>36</v>
      </c>
      <c r="N3304" s="12" t="s">
        <v>36</v>
      </c>
      <c r="O3304" s="17" t="s">
        <v>36</v>
      </c>
      <c r="P3304" s="12" t="s">
        <v>36</v>
      </c>
      <c r="Q3304" s="12" t="s">
        <v>36</v>
      </c>
      <c r="R3304" s="12" t="s">
        <v>36</v>
      </c>
      <c r="S3304" s="12" t="s">
        <v>36</v>
      </c>
      <c r="T3304" s="12" t="s">
        <v>17207</v>
      </c>
      <c r="U3304" s="12" t="s">
        <v>38</v>
      </c>
      <c r="V3304" s="12" t="s">
        <v>39</v>
      </c>
      <c r="W3304" s="12" t="s">
        <v>17208</v>
      </c>
      <c r="X3304" s="16" t="s">
        <v>17209</v>
      </c>
      <c r="Y3304" s="15" t="s">
        <v>42</v>
      </c>
      <c r="Z3304" s="14">
        <v>0.2</v>
      </c>
      <c r="AA3304" s="14" t="s">
        <v>36</v>
      </c>
      <c r="AB3304" s="12" t="s">
        <v>43</v>
      </c>
      <c r="AC3304" s="12" t="s">
        <v>17210</v>
      </c>
      <c r="AD3304" s="13">
        <v>44256</v>
      </c>
      <c r="AE3304" s="12" t="s">
        <v>110</v>
      </c>
      <c r="AF3304" s="12" t="s">
        <v>1401</v>
      </c>
      <c r="AG3304" s="12" t="s">
        <v>81</v>
      </c>
      <c r="AH3304" s="1">
        <f>HYPERLINK("https://my.pitchbook.com?c=167810-68T","View Company Online")</f>
      </c>
    </row>
    <row r="3305">
      <c r="A3305" s="3" t="s">
        <v>17211</v>
      </c>
      <c r="B3305" s="3" t="s">
        <v>1940</v>
      </c>
      <c r="C3305" s="5" t="s">
        <v>36</v>
      </c>
      <c r="D3305" s="5" t="s">
        <v>36</v>
      </c>
      <c r="E3305" s="5" t="s">
        <v>36</v>
      </c>
      <c r="F3305" s="5" t="s">
        <v>36</v>
      </c>
      <c r="G3305" s="6" t="s">
        <v>36</v>
      </c>
      <c r="H3305" s="4" t="s">
        <v>36</v>
      </c>
      <c r="I3305" s="7" t="s">
        <v>36</v>
      </c>
      <c r="J3305" s="3" t="s">
        <v>36</v>
      </c>
      <c r="K3305" s="9" t="s">
        <v>36</v>
      </c>
      <c r="L3305" s="6" t="s">
        <v>36</v>
      </c>
      <c r="M3305" s="3" t="s">
        <v>36</v>
      </c>
      <c r="N3305" s="3" t="s">
        <v>36</v>
      </c>
      <c r="O3305" s="8" t="s">
        <v>36</v>
      </c>
      <c r="P3305" s="3" t="s">
        <v>36</v>
      </c>
      <c r="Q3305" s="3" t="s">
        <v>36</v>
      </c>
      <c r="R3305" s="3" t="s">
        <v>36</v>
      </c>
      <c r="S3305" s="3" t="s">
        <v>1588</v>
      </c>
      <c r="T3305" s="3" t="s">
        <v>1941</v>
      </c>
      <c r="U3305" s="3" t="s">
        <v>38</v>
      </c>
      <c r="V3305" s="3" t="s">
        <v>39</v>
      </c>
      <c r="W3305" s="3" t="s">
        <v>1942</v>
      </c>
      <c r="X3305" s="10" t="s">
        <v>17212</v>
      </c>
      <c r="Y3305" s="6" t="s">
        <v>42</v>
      </c>
      <c r="Z3305" s="4" t="s">
        <v>36</v>
      </c>
      <c r="AA3305" s="4" t="s">
        <v>36</v>
      </c>
      <c r="AB3305" s="3" t="s">
        <v>43</v>
      </c>
      <c r="AC3305" s="3" t="s">
        <v>1944</v>
      </c>
      <c r="AD3305" s="9">
        <v>44256</v>
      </c>
      <c r="AE3305" s="3" t="s">
        <v>1945</v>
      </c>
      <c r="AF3305" s="3" t="s">
        <v>1946</v>
      </c>
      <c r="AG3305" s="3" t="s">
        <v>81</v>
      </c>
      <c r="AH3305" s="11">
        <f>HYPERLINK("https://my.pitchbook.com?c=168452-83T","View Company Online")</f>
      </c>
    </row>
    <row r="3306">
      <c r="A3306" s="12" t="s">
        <v>17213</v>
      </c>
      <c r="B3306" s="12" t="s">
        <v>5706</v>
      </c>
      <c r="C3306" s="19" t="s">
        <v>36</v>
      </c>
      <c r="D3306" s="19" t="s">
        <v>36</v>
      </c>
      <c r="E3306" s="19" t="s">
        <v>36</v>
      </c>
      <c r="F3306" s="19" t="s">
        <v>36</v>
      </c>
      <c r="G3306" s="15" t="s">
        <v>326</v>
      </c>
      <c r="H3306" s="14">
        <v>2.5</v>
      </c>
      <c r="I3306" s="18">
        <v>24.45</v>
      </c>
      <c r="J3306" s="12" t="s">
        <v>521</v>
      </c>
      <c r="K3306" s="13" t="s">
        <v>36</v>
      </c>
      <c r="L3306" s="15" t="s">
        <v>36</v>
      </c>
      <c r="M3306" s="12" t="s">
        <v>36</v>
      </c>
      <c r="N3306" s="12" t="s">
        <v>36</v>
      </c>
      <c r="O3306" s="17" t="s">
        <v>36</v>
      </c>
      <c r="P3306" s="12" t="s">
        <v>36</v>
      </c>
      <c r="Q3306" s="12" t="s">
        <v>36</v>
      </c>
      <c r="R3306" s="12" t="s">
        <v>36</v>
      </c>
      <c r="S3306" s="12" t="s">
        <v>36</v>
      </c>
      <c r="T3306" s="12" t="s">
        <v>5707</v>
      </c>
      <c r="U3306" s="12" t="s">
        <v>279</v>
      </c>
      <c r="V3306" s="12" t="s">
        <v>64</v>
      </c>
      <c r="W3306" s="12" t="s">
        <v>5708</v>
      </c>
      <c r="X3306" s="16" t="s">
        <v>17214</v>
      </c>
      <c r="Y3306" s="15" t="s">
        <v>1120</v>
      </c>
      <c r="Z3306" s="14">
        <v>307.7</v>
      </c>
      <c r="AA3306" s="14">
        <v>1258.4</v>
      </c>
      <c r="AB3306" s="12" t="s">
        <v>56</v>
      </c>
      <c r="AC3306" s="12" t="s">
        <v>5711</v>
      </c>
      <c r="AD3306" s="13">
        <v>44256</v>
      </c>
      <c r="AE3306" s="12" t="s">
        <v>283</v>
      </c>
      <c r="AF3306" s="12" t="s">
        <v>2363</v>
      </c>
      <c r="AG3306" s="12" t="s">
        <v>81</v>
      </c>
      <c r="AH3306" s="1">
        <f>HYPERLINK("https://my.pitchbook.com?c=167617-36T","View Company Online")</f>
      </c>
    </row>
    <row r="3307">
      <c r="A3307" s="3" t="s">
        <v>17215</v>
      </c>
      <c r="B3307" s="3" t="s">
        <v>3928</v>
      </c>
      <c r="C3307" s="5" t="s">
        <v>36</v>
      </c>
      <c r="D3307" s="5" t="s">
        <v>36</v>
      </c>
      <c r="E3307" s="5" t="s">
        <v>36</v>
      </c>
      <c r="F3307" s="5" t="s">
        <v>36</v>
      </c>
      <c r="G3307" s="6" t="s">
        <v>36</v>
      </c>
      <c r="H3307" s="4">
        <v>37.41</v>
      </c>
      <c r="I3307" s="7">
        <v>41.3</v>
      </c>
      <c r="J3307" s="3" t="s">
        <v>521</v>
      </c>
      <c r="K3307" s="9" t="s">
        <v>36</v>
      </c>
      <c r="L3307" s="6" t="s">
        <v>36</v>
      </c>
      <c r="M3307" s="3" t="s">
        <v>36</v>
      </c>
      <c r="N3307" s="3" t="s">
        <v>36</v>
      </c>
      <c r="O3307" s="8" t="s">
        <v>36</v>
      </c>
      <c r="P3307" s="3" t="s">
        <v>36</v>
      </c>
      <c r="Q3307" s="3" t="s">
        <v>36</v>
      </c>
      <c r="R3307" s="3" t="s">
        <v>36</v>
      </c>
      <c r="S3307" s="3" t="s">
        <v>36</v>
      </c>
      <c r="T3307" s="3" t="s">
        <v>529</v>
      </c>
      <c r="U3307" s="3" t="s">
        <v>38</v>
      </c>
      <c r="V3307" s="3" t="s">
        <v>39</v>
      </c>
      <c r="W3307" s="3" t="s">
        <v>3929</v>
      </c>
      <c r="X3307" s="10" t="s">
        <v>17216</v>
      </c>
      <c r="Y3307" s="6" t="s">
        <v>42</v>
      </c>
      <c r="Z3307" s="4">
        <v>2.42</v>
      </c>
      <c r="AA3307" s="4">
        <v>4.45</v>
      </c>
      <c r="AB3307" s="3" t="s">
        <v>43</v>
      </c>
      <c r="AC3307" s="3" t="s">
        <v>3931</v>
      </c>
      <c r="AD3307" s="9">
        <v>44253</v>
      </c>
      <c r="AE3307" s="3" t="s">
        <v>134</v>
      </c>
      <c r="AF3307" s="3" t="s">
        <v>135</v>
      </c>
      <c r="AG3307" s="3" t="s">
        <v>1525</v>
      </c>
      <c r="AH3307" s="11">
        <f>HYPERLINK("https://my.pitchbook.com?c=167714-74T","View Company Online")</f>
      </c>
    </row>
    <row r="3308">
      <c r="A3308" s="12" t="s">
        <v>17217</v>
      </c>
      <c r="B3308" s="12" t="s">
        <v>5430</v>
      </c>
      <c r="C3308" s="19">
        <v>5</v>
      </c>
      <c r="D3308" s="19">
        <v>4</v>
      </c>
      <c r="E3308" s="19">
        <v>5</v>
      </c>
      <c r="F3308" s="19">
        <v>9</v>
      </c>
      <c r="G3308" s="15" t="s">
        <v>326</v>
      </c>
      <c r="H3308" s="14">
        <v>276.26</v>
      </c>
      <c r="I3308" s="18">
        <v>21.72</v>
      </c>
      <c r="J3308" s="12" t="s">
        <v>521</v>
      </c>
      <c r="K3308" s="13">
        <v>44166</v>
      </c>
      <c r="L3308" s="15" t="s">
        <v>36</v>
      </c>
      <c r="M3308" s="12" t="s">
        <v>36</v>
      </c>
      <c r="N3308" s="12" t="s">
        <v>36</v>
      </c>
      <c r="O3308" s="17" t="s">
        <v>36</v>
      </c>
      <c r="P3308" s="12" t="s">
        <v>36</v>
      </c>
      <c r="Q3308" s="12" t="s">
        <v>36</v>
      </c>
      <c r="R3308" s="12" t="s">
        <v>36</v>
      </c>
      <c r="S3308" s="12" t="s">
        <v>2699</v>
      </c>
      <c r="T3308" s="12" t="s">
        <v>5431</v>
      </c>
      <c r="U3308" s="12" t="s">
        <v>219</v>
      </c>
      <c r="V3308" s="12" t="s">
        <v>75</v>
      </c>
      <c r="W3308" s="12" t="s">
        <v>5432</v>
      </c>
      <c r="X3308" s="16" t="s">
        <v>17218</v>
      </c>
      <c r="Y3308" s="15" t="s">
        <v>42</v>
      </c>
      <c r="Z3308" s="14">
        <v>3.02</v>
      </c>
      <c r="AA3308" s="14">
        <v>6.96</v>
      </c>
      <c r="AB3308" s="12" t="s">
        <v>43</v>
      </c>
      <c r="AC3308" s="12" t="s">
        <v>5434</v>
      </c>
      <c r="AD3308" s="13">
        <v>44253</v>
      </c>
      <c r="AE3308" s="12" t="s">
        <v>1912</v>
      </c>
      <c r="AF3308" s="12" t="s">
        <v>5435</v>
      </c>
      <c r="AG3308" s="12" t="s">
        <v>47</v>
      </c>
      <c r="AH3308" s="1">
        <f>HYPERLINK("https://my.pitchbook.com?c=168456-34T","View Company Online")</f>
      </c>
    </row>
    <row r="3309">
      <c r="A3309" s="3" t="s">
        <v>17219</v>
      </c>
      <c r="B3309" s="3" t="s">
        <v>7925</v>
      </c>
      <c r="C3309" s="5" t="s">
        <v>36</v>
      </c>
      <c r="D3309" s="5" t="s">
        <v>36</v>
      </c>
      <c r="E3309" s="5" t="s">
        <v>36</v>
      </c>
      <c r="F3309" s="5" t="s">
        <v>36</v>
      </c>
      <c r="G3309" s="6" t="s">
        <v>326</v>
      </c>
      <c r="H3309" s="4">
        <v>182.79</v>
      </c>
      <c r="I3309" s="7">
        <v>22.36</v>
      </c>
      <c r="J3309" s="3" t="s">
        <v>521</v>
      </c>
      <c r="K3309" s="9" t="s">
        <v>36</v>
      </c>
      <c r="L3309" s="6" t="s">
        <v>36</v>
      </c>
      <c r="M3309" s="3" t="s">
        <v>36</v>
      </c>
      <c r="N3309" s="3" t="s">
        <v>36</v>
      </c>
      <c r="O3309" s="8" t="s">
        <v>36</v>
      </c>
      <c r="P3309" s="3" t="s">
        <v>36</v>
      </c>
      <c r="Q3309" s="3" t="s">
        <v>36</v>
      </c>
      <c r="R3309" s="3" t="s">
        <v>36</v>
      </c>
      <c r="S3309" s="3" t="s">
        <v>36</v>
      </c>
      <c r="T3309" s="3" t="s">
        <v>105</v>
      </c>
      <c r="U3309" s="3" t="s">
        <v>38</v>
      </c>
      <c r="V3309" s="3" t="s">
        <v>39</v>
      </c>
      <c r="W3309" s="3" t="s">
        <v>7926</v>
      </c>
      <c r="X3309" s="10" t="s">
        <v>17220</v>
      </c>
      <c r="Y3309" s="6" t="s">
        <v>108</v>
      </c>
      <c r="Z3309" s="4">
        <v>0.57</v>
      </c>
      <c r="AA3309" s="4">
        <v>2.53</v>
      </c>
      <c r="AB3309" s="3" t="s">
        <v>43</v>
      </c>
      <c r="AC3309" s="3" t="s">
        <v>7927</v>
      </c>
      <c r="AD3309" s="9">
        <v>44252</v>
      </c>
      <c r="AE3309" s="3" t="s">
        <v>110</v>
      </c>
      <c r="AF3309" s="3" t="s">
        <v>176</v>
      </c>
      <c r="AG3309" s="3" t="s">
        <v>186</v>
      </c>
      <c r="AH3309" s="11">
        <f>HYPERLINK("https://my.pitchbook.com?c=131950-99T","View Company Online")</f>
      </c>
    </row>
    <row r="3310">
      <c r="A3310" s="12" t="s">
        <v>17221</v>
      </c>
      <c r="B3310" s="12" t="s">
        <v>11789</v>
      </c>
      <c r="C3310" s="19" t="s">
        <v>36</v>
      </c>
      <c r="D3310" s="19" t="s">
        <v>36</v>
      </c>
      <c r="E3310" s="19" t="s">
        <v>36</v>
      </c>
      <c r="F3310" s="19" t="s">
        <v>36</v>
      </c>
      <c r="G3310" s="15" t="s">
        <v>36</v>
      </c>
      <c r="H3310" s="14">
        <v>1051.5</v>
      </c>
      <c r="I3310" s="18">
        <v>14.42</v>
      </c>
      <c r="J3310" s="12" t="s">
        <v>521</v>
      </c>
      <c r="K3310" s="13" t="s">
        <v>36</v>
      </c>
      <c r="L3310" s="15" t="s">
        <v>122</v>
      </c>
      <c r="M3310" s="12" t="s">
        <v>36</v>
      </c>
      <c r="N3310" s="12" t="s">
        <v>122</v>
      </c>
      <c r="O3310" s="17" t="s">
        <v>36</v>
      </c>
      <c r="P3310" s="12" t="s">
        <v>36</v>
      </c>
      <c r="Q3310" s="12" t="s">
        <v>36</v>
      </c>
      <c r="R3310" s="12" t="s">
        <v>36</v>
      </c>
      <c r="S3310" s="12" t="s">
        <v>36</v>
      </c>
      <c r="T3310" s="12" t="s">
        <v>3309</v>
      </c>
      <c r="U3310" s="12" t="s">
        <v>38</v>
      </c>
      <c r="V3310" s="12" t="s">
        <v>39</v>
      </c>
      <c r="W3310" s="12" t="s">
        <v>11790</v>
      </c>
      <c r="X3310" s="16" t="s">
        <v>17222</v>
      </c>
      <c r="Y3310" s="15" t="s">
        <v>192</v>
      </c>
      <c r="Z3310" s="14">
        <v>48.4</v>
      </c>
      <c r="AA3310" s="14">
        <v>251.69</v>
      </c>
      <c r="AB3310" s="12" t="s">
        <v>43</v>
      </c>
      <c r="AC3310" s="12" t="s">
        <v>11792</v>
      </c>
      <c r="AD3310" s="13">
        <v>44252</v>
      </c>
      <c r="AE3310" s="12" t="s">
        <v>554</v>
      </c>
      <c r="AF3310" s="12" t="s">
        <v>555</v>
      </c>
      <c r="AG3310" s="12" t="s">
        <v>3492</v>
      </c>
      <c r="AH3310" s="1">
        <f>HYPERLINK("https://my.pitchbook.com?c=167443-21T","View Company Online")</f>
      </c>
    </row>
    <row r="3311">
      <c r="A3311" s="3" t="s">
        <v>17223</v>
      </c>
      <c r="B3311" s="3" t="s">
        <v>7553</v>
      </c>
      <c r="C3311" s="5" t="s">
        <v>36</v>
      </c>
      <c r="D3311" s="5" t="s">
        <v>36</v>
      </c>
      <c r="E3311" s="5" t="s">
        <v>36</v>
      </c>
      <c r="F3311" s="5" t="s">
        <v>36</v>
      </c>
      <c r="G3311" s="6" t="s">
        <v>36</v>
      </c>
      <c r="H3311" s="4">
        <v>8.2</v>
      </c>
      <c r="I3311" s="7">
        <v>30.57</v>
      </c>
      <c r="J3311" s="3" t="s">
        <v>521</v>
      </c>
      <c r="K3311" s="9" t="s">
        <v>36</v>
      </c>
      <c r="L3311" s="6" t="s">
        <v>36</v>
      </c>
      <c r="M3311" s="3" t="s">
        <v>36</v>
      </c>
      <c r="N3311" s="3" t="s">
        <v>36</v>
      </c>
      <c r="O3311" s="8" t="s">
        <v>36</v>
      </c>
      <c r="P3311" s="3" t="s">
        <v>36</v>
      </c>
      <c r="Q3311" s="3" t="s">
        <v>36</v>
      </c>
      <c r="R3311" s="3" t="s">
        <v>36</v>
      </c>
      <c r="S3311" s="3" t="s">
        <v>36</v>
      </c>
      <c r="T3311" s="3" t="s">
        <v>3790</v>
      </c>
      <c r="U3311" s="3" t="s">
        <v>318</v>
      </c>
      <c r="V3311" s="3" t="s">
        <v>39</v>
      </c>
      <c r="W3311" s="3" t="s">
        <v>7554</v>
      </c>
      <c r="X3311" s="10" t="s">
        <v>17224</v>
      </c>
      <c r="Y3311" s="6" t="s">
        <v>42</v>
      </c>
      <c r="Z3311" s="4">
        <v>0.73</v>
      </c>
      <c r="AA3311" s="4">
        <v>2.39</v>
      </c>
      <c r="AB3311" s="3" t="s">
        <v>43</v>
      </c>
      <c r="AC3311" s="3" t="s">
        <v>7556</v>
      </c>
      <c r="AD3311" s="9">
        <v>44251</v>
      </c>
      <c r="AE3311" s="3" t="s">
        <v>763</v>
      </c>
      <c r="AF3311" s="3" t="s">
        <v>7557</v>
      </c>
      <c r="AG3311" s="3" t="s">
        <v>741</v>
      </c>
      <c r="AH3311" s="11">
        <f>HYPERLINK("https://my.pitchbook.com?c=200615-59T","View Company Online")</f>
      </c>
    </row>
    <row r="3312">
      <c r="A3312" s="12" t="s">
        <v>17225</v>
      </c>
      <c r="B3312" s="12" t="s">
        <v>6810</v>
      </c>
      <c r="C3312" s="19" t="s">
        <v>36</v>
      </c>
      <c r="D3312" s="19" t="s">
        <v>36</v>
      </c>
      <c r="E3312" s="19" t="s">
        <v>36</v>
      </c>
      <c r="F3312" s="19" t="s">
        <v>36</v>
      </c>
      <c r="G3312" s="15" t="s">
        <v>36</v>
      </c>
      <c r="H3312" s="14" t="s">
        <v>36</v>
      </c>
      <c r="I3312" s="18" t="s">
        <v>36</v>
      </c>
      <c r="J3312" s="12" t="s">
        <v>36</v>
      </c>
      <c r="K3312" s="13" t="s">
        <v>36</v>
      </c>
      <c r="L3312" s="15" t="s">
        <v>36</v>
      </c>
      <c r="M3312" s="12" t="s">
        <v>36</v>
      </c>
      <c r="N3312" s="12" t="s">
        <v>36</v>
      </c>
      <c r="O3312" s="17" t="s">
        <v>36</v>
      </c>
      <c r="P3312" s="12" t="s">
        <v>36</v>
      </c>
      <c r="Q3312" s="12" t="s">
        <v>36</v>
      </c>
      <c r="R3312" s="12" t="s">
        <v>36</v>
      </c>
      <c r="S3312" s="12" t="s">
        <v>36</v>
      </c>
      <c r="T3312" s="12" t="s">
        <v>522</v>
      </c>
      <c r="U3312" s="12" t="s">
        <v>38</v>
      </c>
      <c r="V3312" s="12" t="s">
        <v>39</v>
      </c>
      <c r="W3312" s="12" t="s">
        <v>6811</v>
      </c>
      <c r="X3312" s="16" t="s">
        <v>17226</v>
      </c>
      <c r="Y3312" s="15" t="s">
        <v>42</v>
      </c>
      <c r="Z3312" s="14">
        <v>1.21</v>
      </c>
      <c r="AA3312" s="14" t="s">
        <v>36</v>
      </c>
      <c r="AB3312" s="12" t="s">
        <v>43</v>
      </c>
      <c r="AC3312" s="12" t="s">
        <v>6813</v>
      </c>
      <c r="AD3312" s="13">
        <v>44249</v>
      </c>
      <c r="AE3312" s="12" t="s">
        <v>110</v>
      </c>
      <c r="AF3312" s="12" t="s">
        <v>3860</v>
      </c>
      <c r="AG3312" s="12" t="s">
        <v>6814</v>
      </c>
      <c r="AH3312" s="1">
        <f>HYPERLINK("https://my.pitchbook.com?c=173608-03T","View Company Online")</f>
      </c>
    </row>
    <row r="3313">
      <c r="A3313" s="3" t="s">
        <v>17227</v>
      </c>
      <c r="B3313" s="3" t="s">
        <v>17228</v>
      </c>
      <c r="C3313" s="5" t="s">
        <v>36</v>
      </c>
      <c r="D3313" s="5" t="s">
        <v>36</v>
      </c>
      <c r="E3313" s="5">
        <v>1</v>
      </c>
      <c r="F3313" s="5">
        <v>2</v>
      </c>
      <c r="G3313" s="6" t="s">
        <v>36</v>
      </c>
      <c r="H3313" s="4" t="s">
        <v>36</v>
      </c>
      <c r="I3313" s="7" t="s">
        <v>36</v>
      </c>
      <c r="J3313" s="3" t="s">
        <v>36</v>
      </c>
      <c r="K3313" s="9" t="s">
        <v>36</v>
      </c>
      <c r="L3313" s="6" t="s">
        <v>36</v>
      </c>
      <c r="M3313" s="3" t="s">
        <v>36</v>
      </c>
      <c r="N3313" s="3" t="s">
        <v>36</v>
      </c>
      <c r="O3313" s="8" t="s">
        <v>36</v>
      </c>
      <c r="P3313" s="3" t="s">
        <v>36</v>
      </c>
      <c r="Q3313" s="3" t="s">
        <v>36</v>
      </c>
      <c r="R3313" s="3" t="s">
        <v>36</v>
      </c>
      <c r="S3313" s="3" t="s">
        <v>36</v>
      </c>
      <c r="T3313" s="3" t="s">
        <v>10919</v>
      </c>
      <c r="U3313" s="3" t="s">
        <v>38</v>
      </c>
      <c r="V3313" s="3" t="s">
        <v>39</v>
      </c>
      <c r="W3313" s="3" t="s">
        <v>17229</v>
      </c>
      <c r="X3313" s="10" t="s">
        <v>17230</v>
      </c>
      <c r="Y3313" s="6" t="s">
        <v>108</v>
      </c>
      <c r="Z3313" s="4">
        <v>1.45</v>
      </c>
      <c r="AA3313" s="4" t="s">
        <v>36</v>
      </c>
      <c r="AB3313" s="3" t="s">
        <v>43</v>
      </c>
      <c r="AC3313" s="3" t="s">
        <v>17231</v>
      </c>
      <c r="AD3313" s="9">
        <v>44249</v>
      </c>
      <c r="AE3313" s="3" t="s">
        <v>785</v>
      </c>
      <c r="AF3313" s="3" t="s">
        <v>176</v>
      </c>
      <c r="AG3313" s="3" t="s">
        <v>102</v>
      </c>
      <c r="AH3313" s="11">
        <f>HYPERLINK("https://my.pitchbook.com?c=167181-40T","View Company Online")</f>
      </c>
    </row>
    <row r="3314">
      <c r="A3314" s="12" t="s">
        <v>17232</v>
      </c>
      <c r="B3314" s="12" t="s">
        <v>6705</v>
      </c>
      <c r="C3314" s="19" t="s">
        <v>36</v>
      </c>
      <c r="D3314" s="19" t="s">
        <v>36</v>
      </c>
      <c r="E3314" s="19" t="s">
        <v>36</v>
      </c>
      <c r="F3314" s="19" t="s">
        <v>36</v>
      </c>
      <c r="G3314" s="15" t="s">
        <v>326</v>
      </c>
      <c r="H3314" s="14">
        <v>555.63</v>
      </c>
      <c r="I3314" s="18">
        <v>14.69</v>
      </c>
      <c r="J3314" s="12" t="s">
        <v>521</v>
      </c>
      <c r="K3314" s="13" t="s">
        <v>36</v>
      </c>
      <c r="L3314" s="15" t="s">
        <v>36</v>
      </c>
      <c r="M3314" s="12" t="s">
        <v>36</v>
      </c>
      <c r="N3314" s="12" t="s">
        <v>36</v>
      </c>
      <c r="O3314" s="17" t="s">
        <v>36</v>
      </c>
      <c r="P3314" s="12" t="s">
        <v>36</v>
      </c>
      <c r="Q3314" s="12" t="s">
        <v>36</v>
      </c>
      <c r="R3314" s="12" t="s">
        <v>36</v>
      </c>
      <c r="S3314" s="12" t="s">
        <v>36</v>
      </c>
      <c r="T3314" s="12" t="s">
        <v>5929</v>
      </c>
      <c r="U3314" s="12" t="s">
        <v>38</v>
      </c>
      <c r="V3314" s="12" t="s">
        <v>39</v>
      </c>
      <c r="W3314" s="12" t="s">
        <v>6706</v>
      </c>
      <c r="X3314" s="16" t="s">
        <v>17233</v>
      </c>
      <c r="Y3314" s="15" t="s">
        <v>108</v>
      </c>
      <c r="Z3314" s="14">
        <v>3.11</v>
      </c>
      <c r="AA3314" s="14">
        <v>21.15</v>
      </c>
      <c r="AB3314" s="12" t="s">
        <v>56</v>
      </c>
      <c r="AC3314" s="12" t="s">
        <v>6708</v>
      </c>
      <c r="AD3314" s="13">
        <v>44247</v>
      </c>
      <c r="AE3314" s="12" t="s">
        <v>110</v>
      </c>
      <c r="AF3314" s="12" t="s">
        <v>176</v>
      </c>
      <c r="AG3314" s="12" t="s">
        <v>899</v>
      </c>
      <c r="AH3314" s="1">
        <f>HYPERLINK("https://my.pitchbook.com?c=167189-05T","View Company Online")</f>
      </c>
    </row>
    <row r="3315">
      <c r="A3315" s="3" t="s">
        <v>17234</v>
      </c>
      <c r="B3315" s="3" t="s">
        <v>2358</v>
      </c>
      <c r="C3315" s="5" t="s">
        <v>36</v>
      </c>
      <c r="D3315" s="5" t="s">
        <v>36</v>
      </c>
      <c r="E3315" s="5" t="s">
        <v>36</v>
      </c>
      <c r="F3315" s="5" t="s">
        <v>36</v>
      </c>
      <c r="G3315" s="6" t="s">
        <v>36</v>
      </c>
      <c r="H3315" s="4">
        <v>332.34</v>
      </c>
      <c r="I3315" s="7">
        <v>17.96</v>
      </c>
      <c r="J3315" s="3" t="s">
        <v>521</v>
      </c>
      <c r="K3315" s="9" t="s">
        <v>36</v>
      </c>
      <c r="L3315" s="6" t="s">
        <v>36</v>
      </c>
      <c r="M3315" s="3" t="s">
        <v>36</v>
      </c>
      <c r="N3315" s="3" t="s">
        <v>36</v>
      </c>
      <c r="O3315" s="8" t="s">
        <v>36</v>
      </c>
      <c r="P3315" s="3" t="s">
        <v>36</v>
      </c>
      <c r="Q3315" s="3" t="s">
        <v>36</v>
      </c>
      <c r="R3315" s="3" t="s">
        <v>36</v>
      </c>
      <c r="S3315" s="3" t="s">
        <v>36</v>
      </c>
      <c r="T3315" s="3" t="s">
        <v>2359</v>
      </c>
      <c r="U3315" s="3" t="s">
        <v>279</v>
      </c>
      <c r="V3315" s="3" t="s">
        <v>64</v>
      </c>
      <c r="W3315" s="3" t="s">
        <v>2360</v>
      </c>
      <c r="X3315" s="10" t="s">
        <v>17235</v>
      </c>
      <c r="Y3315" s="6" t="s">
        <v>42</v>
      </c>
      <c r="Z3315" s="4">
        <v>1.27</v>
      </c>
      <c r="AA3315" s="4">
        <v>7.08</v>
      </c>
      <c r="AB3315" s="3" t="s">
        <v>43</v>
      </c>
      <c r="AC3315" s="3" t="s">
        <v>2362</v>
      </c>
      <c r="AD3315" s="9">
        <v>44246</v>
      </c>
      <c r="AE3315" s="3" t="s">
        <v>283</v>
      </c>
      <c r="AF3315" s="3" t="s">
        <v>2363</v>
      </c>
      <c r="AG3315" s="3" t="s">
        <v>81</v>
      </c>
      <c r="AH3315" s="11">
        <f>HYPERLINK("https://my.pitchbook.com?c=167574-79T","View Company Online")</f>
      </c>
    </row>
    <row r="3316">
      <c r="A3316" s="12" t="s">
        <v>17236</v>
      </c>
      <c r="B3316" s="12" t="s">
        <v>17237</v>
      </c>
      <c r="C3316" s="19" t="s">
        <v>36</v>
      </c>
      <c r="D3316" s="19" t="s">
        <v>36</v>
      </c>
      <c r="E3316" s="19" t="s">
        <v>36</v>
      </c>
      <c r="F3316" s="19" t="s">
        <v>36</v>
      </c>
      <c r="G3316" s="15" t="s">
        <v>36</v>
      </c>
      <c r="H3316" s="14">
        <v>687.79</v>
      </c>
      <c r="I3316" s="18">
        <v>27.99</v>
      </c>
      <c r="J3316" s="12" t="s">
        <v>521</v>
      </c>
      <c r="K3316" s="13" t="s">
        <v>36</v>
      </c>
      <c r="L3316" s="15" t="s">
        <v>36</v>
      </c>
      <c r="M3316" s="12" t="s">
        <v>36</v>
      </c>
      <c r="N3316" s="12" t="s">
        <v>36</v>
      </c>
      <c r="O3316" s="17" t="s">
        <v>36</v>
      </c>
      <c r="P3316" s="12" t="s">
        <v>36</v>
      </c>
      <c r="Q3316" s="12" t="s">
        <v>36</v>
      </c>
      <c r="R3316" s="12" t="s">
        <v>36</v>
      </c>
      <c r="S3316" s="12" t="s">
        <v>36</v>
      </c>
      <c r="T3316" s="12" t="s">
        <v>4733</v>
      </c>
      <c r="U3316" s="12" t="s">
        <v>423</v>
      </c>
      <c r="V3316" s="12" t="s">
        <v>64</v>
      </c>
      <c r="W3316" s="12" t="s">
        <v>17238</v>
      </c>
      <c r="X3316" s="16" t="s">
        <v>17239</v>
      </c>
      <c r="Y3316" s="15" t="s">
        <v>42</v>
      </c>
      <c r="Z3316" s="14">
        <v>1.25</v>
      </c>
      <c r="AA3316" s="14">
        <v>4.45</v>
      </c>
      <c r="AB3316" s="12" t="s">
        <v>56</v>
      </c>
      <c r="AC3316" s="12" t="s">
        <v>17240</v>
      </c>
      <c r="AD3316" s="13">
        <v>44246</v>
      </c>
      <c r="AE3316" s="12" t="s">
        <v>1051</v>
      </c>
      <c r="AF3316" s="12" t="s">
        <v>6718</v>
      </c>
      <c r="AG3316" s="12" t="s">
        <v>17241</v>
      </c>
      <c r="AH3316" s="1">
        <f>HYPERLINK("https://my.pitchbook.com?c=167199-58T","View Company Online")</f>
      </c>
    </row>
    <row r="3317">
      <c r="A3317" s="3" t="s">
        <v>17242</v>
      </c>
      <c r="B3317" s="3" t="s">
        <v>17243</v>
      </c>
      <c r="C3317" s="5" t="s">
        <v>36</v>
      </c>
      <c r="D3317" s="5" t="s">
        <v>36</v>
      </c>
      <c r="E3317" s="5" t="s">
        <v>36</v>
      </c>
      <c r="F3317" s="5" t="s">
        <v>36</v>
      </c>
      <c r="G3317" s="6" t="s">
        <v>683</v>
      </c>
      <c r="H3317" s="4">
        <v>240.03</v>
      </c>
      <c r="I3317" s="7">
        <v>8.93</v>
      </c>
      <c r="J3317" s="3" t="s">
        <v>521</v>
      </c>
      <c r="K3317" s="9" t="s">
        <v>36</v>
      </c>
      <c r="L3317" s="6" t="s">
        <v>94</v>
      </c>
      <c r="M3317" s="3" t="s">
        <v>36</v>
      </c>
      <c r="N3317" s="3" t="s">
        <v>94</v>
      </c>
      <c r="O3317" s="8" t="s">
        <v>36</v>
      </c>
      <c r="P3317" s="3" t="s">
        <v>36</v>
      </c>
      <c r="Q3317" s="3" t="s">
        <v>36</v>
      </c>
      <c r="R3317" s="3" t="s">
        <v>36</v>
      </c>
      <c r="S3317" s="3" t="s">
        <v>36</v>
      </c>
      <c r="T3317" s="3" t="s">
        <v>17244</v>
      </c>
      <c r="U3317" s="3" t="s">
        <v>233</v>
      </c>
      <c r="V3317" s="3" t="s">
        <v>39</v>
      </c>
      <c r="W3317" s="3" t="s">
        <v>17245</v>
      </c>
      <c r="X3317" s="10" t="s">
        <v>17246</v>
      </c>
      <c r="Y3317" s="6" t="s">
        <v>55</v>
      </c>
      <c r="Z3317" s="4">
        <v>1.24</v>
      </c>
      <c r="AA3317" s="4">
        <v>13.82</v>
      </c>
      <c r="AB3317" s="3" t="s">
        <v>56</v>
      </c>
      <c r="AC3317" s="3" t="s">
        <v>17247</v>
      </c>
      <c r="AD3317" s="9">
        <v>44245</v>
      </c>
      <c r="AE3317" s="3" t="s">
        <v>12061</v>
      </c>
      <c r="AF3317" s="3" t="s">
        <v>3860</v>
      </c>
      <c r="AG3317" s="3" t="s">
        <v>81</v>
      </c>
      <c r="AH3317" s="11">
        <f>HYPERLINK("https://my.pitchbook.com?c=194602-06T","View Company Online")</f>
      </c>
    </row>
    <row r="3318">
      <c r="A3318" s="12" t="s">
        <v>17248</v>
      </c>
      <c r="B3318" s="12" t="s">
        <v>17249</v>
      </c>
      <c r="C3318" s="19" t="s">
        <v>36</v>
      </c>
      <c r="D3318" s="19" t="s">
        <v>36</v>
      </c>
      <c r="E3318" s="19" t="s">
        <v>36</v>
      </c>
      <c r="F3318" s="19" t="s">
        <v>36</v>
      </c>
      <c r="G3318" s="15" t="s">
        <v>36</v>
      </c>
      <c r="H3318" s="14">
        <v>0.48</v>
      </c>
      <c r="I3318" s="18">
        <v>45.54</v>
      </c>
      <c r="J3318" s="12" t="s">
        <v>521</v>
      </c>
      <c r="K3318" s="13" t="s">
        <v>36</v>
      </c>
      <c r="L3318" s="15" t="s">
        <v>36</v>
      </c>
      <c r="M3318" s="12" t="s">
        <v>36</v>
      </c>
      <c r="N3318" s="12" t="s">
        <v>36</v>
      </c>
      <c r="O3318" s="17" t="s">
        <v>36</v>
      </c>
      <c r="P3318" s="12" t="s">
        <v>36</v>
      </c>
      <c r="Q3318" s="12" t="s">
        <v>36</v>
      </c>
      <c r="R3318" s="12" t="s">
        <v>36</v>
      </c>
      <c r="S3318" s="12" t="s">
        <v>36</v>
      </c>
      <c r="T3318" s="12" t="s">
        <v>17250</v>
      </c>
      <c r="U3318" s="12" t="s">
        <v>180</v>
      </c>
      <c r="V3318" s="12" t="s">
        <v>52</v>
      </c>
      <c r="W3318" s="12" t="s">
        <v>17251</v>
      </c>
      <c r="X3318" s="16" t="s">
        <v>17252</v>
      </c>
      <c r="Y3318" s="15" t="s">
        <v>42</v>
      </c>
      <c r="Z3318" s="14">
        <v>1.45</v>
      </c>
      <c r="AA3318" s="14">
        <v>3.19</v>
      </c>
      <c r="AB3318" s="12" t="s">
        <v>56</v>
      </c>
      <c r="AC3318" s="12" t="s">
        <v>17253</v>
      </c>
      <c r="AD3318" s="13">
        <v>44245</v>
      </c>
      <c r="AE3318" s="12" t="s">
        <v>184</v>
      </c>
      <c r="AF3318" s="12" t="s">
        <v>12554</v>
      </c>
      <c r="AG3318" s="12" t="s">
        <v>8850</v>
      </c>
      <c r="AH3318" s="1">
        <f>HYPERLINK("https://my.pitchbook.com?c=167277-61T","View Company Online")</f>
      </c>
    </row>
    <row r="3319">
      <c r="A3319" s="3" t="s">
        <v>17254</v>
      </c>
      <c r="B3319" s="3" t="s">
        <v>17255</v>
      </c>
      <c r="C3319" s="5" t="s">
        <v>36</v>
      </c>
      <c r="D3319" s="5" t="s">
        <v>36</v>
      </c>
      <c r="E3319" s="5" t="s">
        <v>36</v>
      </c>
      <c r="F3319" s="5" t="s">
        <v>36</v>
      </c>
      <c r="G3319" s="6" t="s">
        <v>326</v>
      </c>
      <c r="H3319" s="4">
        <v>1564.18</v>
      </c>
      <c r="I3319" s="7">
        <v>39.6</v>
      </c>
      <c r="J3319" s="3" t="s">
        <v>521</v>
      </c>
      <c r="K3319" s="9" t="s">
        <v>36</v>
      </c>
      <c r="L3319" s="6" t="s">
        <v>36</v>
      </c>
      <c r="M3319" s="3" t="s">
        <v>36</v>
      </c>
      <c r="N3319" s="3" t="s">
        <v>36</v>
      </c>
      <c r="O3319" s="8" t="s">
        <v>36</v>
      </c>
      <c r="P3319" s="3" t="s">
        <v>36</v>
      </c>
      <c r="Q3319" s="3" t="s">
        <v>36</v>
      </c>
      <c r="R3319" s="3" t="s">
        <v>36</v>
      </c>
      <c r="S3319" s="3" t="s">
        <v>36</v>
      </c>
      <c r="T3319" s="3" t="s">
        <v>17256</v>
      </c>
      <c r="U3319" s="3" t="s">
        <v>74</v>
      </c>
      <c r="V3319" s="3" t="s">
        <v>75</v>
      </c>
      <c r="W3319" s="3" t="s">
        <v>17257</v>
      </c>
      <c r="X3319" s="10" t="s">
        <v>17258</v>
      </c>
      <c r="Y3319" s="6" t="s">
        <v>108</v>
      </c>
      <c r="Z3319" s="4">
        <v>1.98</v>
      </c>
      <c r="AA3319" s="4">
        <v>5.01</v>
      </c>
      <c r="AB3319" s="3" t="s">
        <v>43</v>
      </c>
      <c r="AC3319" s="3" t="s">
        <v>17259</v>
      </c>
      <c r="AD3319" s="9">
        <v>44244</v>
      </c>
      <c r="AE3319" s="3" t="s">
        <v>696</v>
      </c>
      <c r="AF3319" s="3" t="s">
        <v>176</v>
      </c>
      <c r="AG3319" s="3" t="s">
        <v>1078</v>
      </c>
      <c r="AH3319" s="11">
        <f>HYPERLINK("https://my.pitchbook.com?c=125200-81T","View Company Online")</f>
      </c>
    </row>
    <row r="3320">
      <c r="A3320" s="12" t="s">
        <v>17260</v>
      </c>
      <c r="B3320" s="12" t="s">
        <v>2972</v>
      </c>
      <c r="C3320" s="19">
        <v>3</v>
      </c>
      <c r="D3320" s="19">
        <v>12</v>
      </c>
      <c r="E3320" s="19">
        <v>2</v>
      </c>
      <c r="F3320" s="19">
        <v>15</v>
      </c>
      <c r="G3320" s="15" t="s">
        <v>36</v>
      </c>
      <c r="H3320" s="14" t="s">
        <v>36</v>
      </c>
      <c r="I3320" s="18" t="s">
        <v>36</v>
      </c>
      <c r="J3320" s="12" t="s">
        <v>36</v>
      </c>
      <c r="K3320" s="13" t="s">
        <v>36</v>
      </c>
      <c r="L3320" s="15" t="s">
        <v>36</v>
      </c>
      <c r="M3320" s="12" t="s">
        <v>36</v>
      </c>
      <c r="N3320" s="12" t="s">
        <v>36</v>
      </c>
      <c r="O3320" s="17" t="s">
        <v>36</v>
      </c>
      <c r="P3320" s="12" t="s">
        <v>36</v>
      </c>
      <c r="Q3320" s="12" t="s">
        <v>36</v>
      </c>
      <c r="R3320" s="12" t="s">
        <v>36</v>
      </c>
      <c r="S3320" s="12" t="s">
        <v>36</v>
      </c>
      <c r="T3320" s="12" t="s">
        <v>2910</v>
      </c>
      <c r="U3320" s="12" t="s">
        <v>219</v>
      </c>
      <c r="V3320" s="12" t="s">
        <v>75</v>
      </c>
      <c r="W3320" s="12" t="s">
        <v>2973</v>
      </c>
      <c r="X3320" s="16" t="s">
        <v>17261</v>
      </c>
      <c r="Y3320" s="15" t="s">
        <v>108</v>
      </c>
      <c r="Z3320" s="14">
        <v>2.42</v>
      </c>
      <c r="AA3320" s="14" t="s">
        <v>36</v>
      </c>
      <c r="AB3320" s="12" t="s">
        <v>43</v>
      </c>
      <c r="AC3320" s="12" t="s">
        <v>2975</v>
      </c>
      <c r="AD3320" s="13">
        <v>44244</v>
      </c>
      <c r="AE3320" s="12" t="s">
        <v>2914</v>
      </c>
      <c r="AF3320" s="12" t="s">
        <v>2976</v>
      </c>
      <c r="AG3320" s="12" t="s">
        <v>1078</v>
      </c>
      <c r="AH3320" s="1">
        <f>HYPERLINK("https://my.pitchbook.com?c=166926-79T","View Company Online")</f>
      </c>
    </row>
    <row r="3321">
      <c r="A3321" s="3" t="s">
        <v>17262</v>
      </c>
      <c r="B3321" s="3" t="s">
        <v>17263</v>
      </c>
      <c r="C3321" s="5">
        <v>15</v>
      </c>
      <c r="D3321" s="5">
        <v>36</v>
      </c>
      <c r="E3321" s="5">
        <v>6</v>
      </c>
      <c r="F3321" s="5">
        <v>51</v>
      </c>
      <c r="G3321" s="6" t="s">
        <v>36</v>
      </c>
      <c r="H3321" s="4">
        <v>20.09</v>
      </c>
      <c r="I3321" s="7">
        <v>14.7</v>
      </c>
      <c r="J3321" s="3" t="s">
        <v>521</v>
      </c>
      <c r="K3321" s="9" t="s">
        <v>36</v>
      </c>
      <c r="L3321" s="6" t="s">
        <v>122</v>
      </c>
      <c r="M3321" s="3" t="s">
        <v>36</v>
      </c>
      <c r="N3321" s="3" t="s">
        <v>122</v>
      </c>
      <c r="O3321" s="8" t="s">
        <v>36</v>
      </c>
      <c r="P3321" s="3" t="s">
        <v>36</v>
      </c>
      <c r="Q3321" s="3" t="s">
        <v>36</v>
      </c>
      <c r="R3321" s="3" t="s">
        <v>36</v>
      </c>
      <c r="S3321" s="3" t="s">
        <v>36</v>
      </c>
      <c r="T3321" s="3" t="s">
        <v>881</v>
      </c>
      <c r="U3321" s="3" t="s">
        <v>51</v>
      </c>
      <c r="V3321" s="3" t="s">
        <v>52</v>
      </c>
      <c r="W3321" s="3" t="s">
        <v>17264</v>
      </c>
      <c r="X3321" s="10" t="s">
        <v>17265</v>
      </c>
      <c r="Y3321" s="6" t="s">
        <v>108</v>
      </c>
      <c r="Z3321" s="4">
        <v>6.41</v>
      </c>
      <c r="AA3321" s="4">
        <v>43.63</v>
      </c>
      <c r="AB3321" s="3" t="s">
        <v>56</v>
      </c>
      <c r="AC3321" s="3" t="s">
        <v>17266</v>
      </c>
      <c r="AD3321" s="9">
        <v>44243</v>
      </c>
      <c r="AE3321" s="3" t="s">
        <v>504</v>
      </c>
      <c r="AF3321" s="3" t="s">
        <v>665</v>
      </c>
      <c r="AG3321" s="3" t="s">
        <v>81</v>
      </c>
      <c r="AH3321" s="11">
        <f>HYPERLINK("https://my.pitchbook.com?c=166974-13T","View Company Online")</f>
      </c>
    </row>
    <row r="3322">
      <c r="A3322" s="12" t="s">
        <v>17267</v>
      </c>
      <c r="B3322" s="12" t="s">
        <v>17268</v>
      </c>
      <c r="C3322" s="19" t="s">
        <v>36</v>
      </c>
      <c r="D3322" s="19" t="s">
        <v>36</v>
      </c>
      <c r="E3322" s="19">
        <v>1</v>
      </c>
      <c r="F3322" s="19">
        <v>5</v>
      </c>
      <c r="G3322" s="15" t="s">
        <v>2497</v>
      </c>
      <c r="H3322" s="14">
        <v>71.59</v>
      </c>
      <c r="I3322" s="18">
        <v>17.12</v>
      </c>
      <c r="J3322" s="12" t="s">
        <v>521</v>
      </c>
      <c r="K3322" s="13" t="s">
        <v>36</v>
      </c>
      <c r="L3322" s="15" t="s">
        <v>1862</v>
      </c>
      <c r="M3322" s="12" t="s">
        <v>36</v>
      </c>
      <c r="N3322" s="12" t="s">
        <v>1862</v>
      </c>
      <c r="O3322" s="17" t="s">
        <v>36</v>
      </c>
      <c r="P3322" s="12" t="s">
        <v>36</v>
      </c>
      <c r="Q3322" s="12" t="s">
        <v>36</v>
      </c>
      <c r="R3322" s="12" t="s">
        <v>36</v>
      </c>
      <c r="S3322" s="12" t="s">
        <v>36</v>
      </c>
      <c r="T3322" s="12" t="s">
        <v>17269</v>
      </c>
      <c r="U3322" s="12" t="s">
        <v>51</v>
      </c>
      <c r="V3322" s="12" t="s">
        <v>52</v>
      </c>
      <c r="W3322" s="12" t="s">
        <v>17270</v>
      </c>
      <c r="X3322" s="16" t="s">
        <v>17271</v>
      </c>
      <c r="Y3322" s="15" t="s">
        <v>192</v>
      </c>
      <c r="Z3322" s="14">
        <v>3.03</v>
      </c>
      <c r="AA3322" s="14">
        <v>13.11</v>
      </c>
      <c r="AB3322" s="12" t="s">
        <v>56</v>
      </c>
      <c r="AC3322" s="12" t="s">
        <v>17272</v>
      </c>
      <c r="AD3322" s="13">
        <v>44243</v>
      </c>
      <c r="AE3322" s="12" t="s">
        <v>58</v>
      </c>
      <c r="AF3322" s="12" t="s">
        <v>17273</v>
      </c>
      <c r="AG3322" s="12" t="s">
        <v>47</v>
      </c>
      <c r="AH3322" s="1">
        <f>HYPERLINK("https://my.pitchbook.com?c=166839-85T","View Company Online")</f>
      </c>
    </row>
    <row r="3323">
      <c r="A3323" s="3" t="s">
        <v>17274</v>
      </c>
      <c r="B3323" s="3" t="s">
        <v>14587</v>
      </c>
      <c r="C3323" s="5" t="s">
        <v>36</v>
      </c>
      <c r="D3323" s="5" t="s">
        <v>36</v>
      </c>
      <c r="E3323" s="5" t="s">
        <v>36</v>
      </c>
      <c r="F3323" s="5" t="s">
        <v>36</v>
      </c>
      <c r="G3323" s="6" t="s">
        <v>36</v>
      </c>
      <c r="H3323" s="4" t="s">
        <v>36</v>
      </c>
      <c r="I3323" s="7" t="s">
        <v>36</v>
      </c>
      <c r="J3323" s="3" t="s">
        <v>36</v>
      </c>
      <c r="K3323" s="9" t="s">
        <v>36</v>
      </c>
      <c r="L3323" s="6" t="s">
        <v>36</v>
      </c>
      <c r="M3323" s="3" t="s">
        <v>36</v>
      </c>
      <c r="N3323" s="3" t="s">
        <v>36</v>
      </c>
      <c r="O3323" s="8" t="s">
        <v>36</v>
      </c>
      <c r="P3323" s="3" t="s">
        <v>36</v>
      </c>
      <c r="Q3323" s="3" t="s">
        <v>36</v>
      </c>
      <c r="R3323" s="3" t="s">
        <v>36</v>
      </c>
      <c r="S3323" s="3" t="s">
        <v>36</v>
      </c>
      <c r="T3323" s="3" t="s">
        <v>1048</v>
      </c>
      <c r="U3323" s="3" t="s">
        <v>423</v>
      </c>
      <c r="V3323" s="3" t="s">
        <v>64</v>
      </c>
      <c r="W3323" s="3" t="s">
        <v>14588</v>
      </c>
      <c r="X3323" s="10" t="s">
        <v>12182</v>
      </c>
      <c r="Y3323" s="6" t="s">
        <v>55</v>
      </c>
      <c r="Z3323" s="4">
        <v>3.02</v>
      </c>
      <c r="AA3323" s="4" t="s">
        <v>36</v>
      </c>
      <c r="AB3323" s="3" t="s">
        <v>56</v>
      </c>
      <c r="AC3323" s="3" t="s">
        <v>14590</v>
      </c>
      <c r="AD3323" s="9">
        <v>44242</v>
      </c>
      <c r="AE3323" s="3" t="s">
        <v>1051</v>
      </c>
      <c r="AF3323" s="3" t="s">
        <v>90</v>
      </c>
      <c r="AG3323" s="3" t="s">
        <v>81</v>
      </c>
      <c r="AH3323" s="11">
        <f>HYPERLINK("https://my.pitchbook.com?c=176737-33T","View Company Online")</f>
      </c>
    </row>
    <row r="3324">
      <c r="A3324" s="12" t="s">
        <v>17275</v>
      </c>
      <c r="B3324" s="12" t="s">
        <v>17276</v>
      </c>
      <c r="C3324" s="19" t="s">
        <v>36</v>
      </c>
      <c r="D3324" s="19" t="s">
        <v>36</v>
      </c>
      <c r="E3324" s="19" t="s">
        <v>36</v>
      </c>
      <c r="F3324" s="19" t="s">
        <v>36</v>
      </c>
      <c r="G3324" s="15" t="s">
        <v>36</v>
      </c>
      <c r="H3324" s="14">
        <v>16.62</v>
      </c>
      <c r="I3324" s="18">
        <v>6.98</v>
      </c>
      <c r="J3324" s="12" t="s">
        <v>521</v>
      </c>
      <c r="K3324" s="13" t="s">
        <v>36</v>
      </c>
      <c r="L3324" s="15" t="s">
        <v>36</v>
      </c>
      <c r="M3324" s="12" t="s">
        <v>36</v>
      </c>
      <c r="N3324" s="12" t="s">
        <v>36</v>
      </c>
      <c r="O3324" s="17" t="s">
        <v>36</v>
      </c>
      <c r="P3324" s="12" t="s">
        <v>36</v>
      </c>
      <c r="Q3324" s="12" t="s">
        <v>36</v>
      </c>
      <c r="R3324" s="12" t="s">
        <v>36</v>
      </c>
      <c r="S3324" s="12" t="s">
        <v>36</v>
      </c>
      <c r="T3324" s="12" t="s">
        <v>17277</v>
      </c>
      <c r="U3324" s="12" t="s">
        <v>233</v>
      </c>
      <c r="V3324" s="12" t="s">
        <v>39</v>
      </c>
      <c r="W3324" s="12" t="s">
        <v>17278</v>
      </c>
      <c r="X3324" s="16" t="s">
        <v>17279</v>
      </c>
      <c r="Y3324" s="15" t="s">
        <v>42</v>
      </c>
      <c r="Z3324" s="14">
        <v>0.36</v>
      </c>
      <c r="AA3324" s="14">
        <v>5.2</v>
      </c>
      <c r="AB3324" s="12" t="s">
        <v>43</v>
      </c>
      <c r="AC3324" s="12" t="s">
        <v>17280</v>
      </c>
      <c r="AD3324" s="13">
        <v>44242</v>
      </c>
      <c r="AE3324" s="12" t="s">
        <v>236</v>
      </c>
      <c r="AF3324" s="12" t="s">
        <v>9319</v>
      </c>
      <c r="AG3324" s="12" t="s">
        <v>8939</v>
      </c>
      <c r="AH3324" s="1">
        <f>HYPERLINK("https://my.pitchbook.com?c=189707-32T","View Company Online")</f>
      </c>
    </row>
    <row r="3325">
      <c r="A3325" s="3" t="s">
        <v>17281</v>
      </c>
      <c r="B3325" s="3" t="s">
        <v>17282</v>
      </c>
      <c r="C3325" s="5">
        <v>37</v>
      </c>
      <c r="D3325" s="5">
        <v>69</v>
      </c>
      <c r="E3325" s="5">
        <v>18</v>
      </c>
      <c r="F3325" s="5">
        <v>121</v>
      </c>
      <c r="G3325" s="6" t="s">
        <v>326</v>
      </c>
      <c r="H3325" s="4">
        <v>68.34</v>
      </c>
      <c r="I3325" s="7">
        <v>12.32</v>
      </c>
      <c r="J3325" s="3" t="s">
        <v>521</v>
      </c>
      <c r="K3325" s="9" t="s">
        <v>36</v>
      </c>
      <c r="L3325" s="6" t="s">
        <v>36</v>
      </c>
      <c r="M3325" s="3" t="s">
        <v>36</v>
      </c>
      <c r="N3325" s="3" t="s">
        <v>36</v>
      </c>
      <c r="O3325" s="8" t="s">
        <v>36</v>
      </c>
      <c r="P3325" s="3" t="s">
        <v>36</v>
      </c>
      <c r="Q3325" s="3" t="s">
        <v>36</v>
      </c>
      <c r="R3325" s="3" t="s">
        <v>36</v>
      </c>
      <c r="S3325" s="3" t="s">
        <v>36</v>
      </c>
      <c r="T3325" s="3" t="s">
        <v>17283</v>
      </c>
      <c r="U3325" s="3" t="s">
        <v>51</v>
      </c>
      <c r="V3325" s="3" t="s">
        <v>52</v>
      </c>
      <c r="W3325" s="3" t="s">
        <v>17284</v>
      </c>
      <c r="X3325" s="10" t="s">
        <v>17285</v>
      </c>
      <c r="Y3325" s="6" t="s">
        <v>166</v>
      </c>
      <c r="Z3325" s="4">
        <v>24.82</v>
      </c>
      <c r="AA3325" s="4">
        <v>201.47</v>
      </c>
      <c r="AB3325" s="3" t="s">
        <v>56</v>
      </c>
      <c r="AC3325" s="3" t="s">
        <v>17286</v>
      </c>
      <c r="AD3325" s="9">
        <v>44242</v>
      </c>
      <c r="AE3325" s="3" t="s">
        <v>504</v>
      </c>
      <c r="AF3325" s="3" t="s">
        <v>159</v>
      </c>
      <c r="AG3325" s="3" t="s">
        <v>81</v>
      </c>
      <c r="AH3325" s="11">
        <f>HYPERLINK("https://my.pitchbook.com?c=166790-80T","View Company Online")</f>
      </c>
    </row>
    <row r="3326">
      <c r="A3326" s="12" t="s">
        <v>17287</v>
      </c>
      <c r="B3326" s="12" t="s">
        <v>7603</v>
      </c>
      <c r="C3326" s="19" t="s">
        <v>36</v>
      </c>
      <c r="D3326" s="19" t="s">
        <v>36</v>
      </c>
      <c r="E3326" s="19" t="s">
        <v>36</v>
      </c>
      <c r="F3326" s="19" t="s">
        <v>36</v>
      </c>
      <c r="G3326" s="15" t="s">
        <v>326</v>
      </c>
      <c r="H3326" s="14">
        <v>183.31</v>
      </c>
      <c r="I3326" s="18">
        <v>22.61</v>
      </c>
      <c r="J3326" s="12" t="s">
        <v>521</v>
      </c>
      <c r="K3326" s="13" t="s">
        <v>36</v>
      </c>
      <c r="L3326" s="15" t="s">
        <v>122</v>
      </c>
      <c r="M3326" s="12" t="s">
        <v>36</v>
      </c>
      <c r="N3326" s="12" t="s">
        <v>122</v>
      </c>
      <c r="O3326" s="17" t="s">
        <v>36</v>
      </c>
      <c r="P3326" s="12" t="s">
        <v>36</v>
      </c>
      <c r="Q3326" s="12" t="s">
        <v>36</v>
      </c>
      <c r="R3326" s="12" t="s">
        <v>36</v>
      </c>
      <c r="S3326" s="12" t="s">
        <v>36</v>
      </c>
      <c r="T3326" s="12" t="s">
        <v>7604</v>
      </c>
      <c r="U3326" s="12" t="s">
        <v>289</v>
      </c>
      <c r="V3326" s="12" t="s">
        <v>64</v>
      </c>
      <c r="W3326" s="12" t="s">
        <v>7605</v>
      </c>
      <c r="X3326" s="16" t="s">
        <v>17288</v>
      </c>
      <c r="Y3326" s="15" t="s">
        <v>42</v>
      </c>
      <c r="Z3326" s="14">
        <v>12.1</v>
      </c>
      <c r="AA3326" s="14">
        <v>35.82</v>
      </c>
      <c r="AB3326" s="12" t="s">
        <v>43</v>
      </c>
      <c r="AC3326" s="12" t="s">
        <v>7607</v>
      </c>
      <c r="AD3326" s="13">
        <v>44242</v>
      </c>
      <c r="AE3326" s="12" t="s">
        <v>292</v>
      </c>
      <c r="AF3326" s="12" t="s">
        <v>90</v>
      </c>
      <c r="AG3326" s="12" t="s">
        <v>81</v>
      </c>
      <c r="AH3326" s="1">
        <f>HYPERLINK("https://my.pitchbook.com?c=173085-85T","View Company Online")</f>
      </c>
    </row>
    <row r="3327">
      <c r="A3327" s="3" t="s">
        <v>17289</v>
      </c>
      <c r="B3327" s="3" t="s">
        <v>10138</v>
      </c>
      <c r="C3327" s="5" t="s">
        <v>36</v>
      </c>
      <c r="D3327" s="5" t="s">
        <v>36</v>
      </c>
      <c r="E3327" s="5" t="s">
        <v>36</v>
      </c>
      <c r="F3327" s="5" t="s">
        <v>36</v>
      </c>
      <c r="G3327" s="6" t="s">
        <v>36</v>
      </c>
      <c r="H3327" s="4">
        <v>31.99</v>
      </c>
      <c r="I3327" s="7">
        <v>38.73</v>
      </c>
      <c r="J3327" s="3" t="s">
        <v>521</v>
      </c>
      <c r="K3327" s="9" t="s">
        <v>36</v>
      </c>
      <c r="L3327" s="6" t="s">
        <v>122</v>
      </c>
      <c r="M3327" s="3" t="s">
        <v>36</v>
      </c>
      <c r="N3327" s="3" t="s">
        <v>122</v>
      </c>
      <c r="O3327" s="8" t="s">
        <v>36</v>
      </c>
      <c r="P3327" s="3" t="s">
        <v>36</v>
      </c>
      <c r="Q3327" s="3" t="s">
        <v>36</v>
      </c>
      <c r="R3327" s="3" t="s">
        <v>36</v>
      </c>
      <c r="S3327" s="3" t="s">
        <v>36</v>
      </c>
      <c r="T3327" s="3" t="s">
        <v>37</v>
      </c>
      <c r="U3327" s="3" t="s">
        <v>38</v>
      </c>
      <c r="V3327" s="3" t="s">
        <v>39</v>
      </c>
      <c r="W3327" s="3" t="s">
        <v>10139</v>
      </c>
      <c r="X3327" s="10" t="s">
        <v>17290</v>
      </c>
      <c r="Y3327" s="6" t="s">
        <v>55</v>
      </c>
      <c r="Z3327" s="4">
        <v>23.86</v>
      </c>
      <c r="AA3327" s="4">
        <v>61.6</v>
      </c>
      <c r="AB3327" s="3" t="s">
        <v>43</v>
      </c>
      <c r="AC3327" s="3" t="s">
        <v>10141</v>
      </c>
      <c r="AD3327" s="9">
        <v>44238</v>
      </c>
      <c r="AE3327" s="3" t="s">
        <v>45</v>
      </c>
      <c r="AF3327" s="3" t="s">
        <v>331</v>
      </c>
      <c r="AG3327" s="3" t="s">
        <v>443</v>
      </c>
      <c r="AH3327" s="11">
        <f>HYPERLINK("https://my.pitchbook.com?c=166601-98T","View Company Online")</f>
      </c>
    </row>
    <row r="3328">
      <c r="A3328" s="12" t="s">
        <v>17291</v>
      </c>
      <c r="B3328" s="12" t="s">
        <v>7185</v>
      </c>
      <c r="C3328" s="19" t="s">
        <v>36</v>
      </c>
      <c r="D3328" s="19" t="s">
        <v>36</v>
      </c>
      <c r="E3328" s="19" t="s">
        <v>36</v>
      </c>
      <c r="F3328" s="19" t="s">
        <v>36</v>
      </c>
      <c r="G3328" s="15" t="s">
        <v>36</v>
      </c>
      <c r="H3328" s="14">
        <v>17.66</v>
      </c>
      <c r="I3328" s="18">
        <v>30.61</v>
      </c>
      <c r="J3328" s="12" t="s">
        <v>521</v>
      </c>
      <c r="K3328" s="13" t="s">
        <v>36</v>
      </c>
      <c r="L3328" s="15" t="s">
        <v>36</v>
      </c>
      <c r="M3328" s="12" t="s">
        <v>36</v>
      </c>
      <c r="N3328" s="12" t="s">
        <v>36</v>
      </c>
      <c r="O3328" s="17" t="s">
        <v>36</v>
      </c>
      <c r="P3328" s="12" t="s">
        <v>36</v>
      </c>
      <c r="Q3328" s="12" t="s">
        <v>36</v>
      </c>
      <c r="R3328" s="12" t="s">
        <v>36</v>
      </c>
      <c r="S3328" s="12" t="s">
        <v>36</v>
      </c>
      <c r="T3328" s="12" t="s">
        <v>7186</v>
      </c>
      <c r="U3328" s="12" t="s">
        <v>956</v>
      </c>
      <c r="V3328" s="12" t="s">
        <v>405</v>
      </c>
      <c r="W3328" s="12" t="s">
        <v>7187</v>
      </c>
      <c r="X3328" s="16" t="s">
        <v>17292</v>
      </c>
      <c r="Y3328" s="15" t="s">
        <v>42</v>
      </c>
      <c r="Z3328" s="14">
        <v>0.91</v>
      </c>
      <c r="AA3328" s="14">
        <v>2.97</v>
      </c>
      <c r="AB3328" s="12" t="s">
        <v>56</v>
      </c>
      <c r="AC3328" s="12" t="s">
        <v>7189</v>
      </c>
      <c r="AD3328" s="13">
        <v>44238</v>
      </c>
      <c r="AE3328" s="12" t="s">
        <v>6323</v>
      </c>
      <c r="AF3328" s="12" t="s">
        <v>2054</v>
      </c>
      <c r="AG3328" s="12" t="s">
        <v>81</v>
      </c>
      <c r="AH3328" s="1">
        <f>HYPERLINK("https://my.pitchbook.com?c=167046-85T","View Company Online")</f>
      </c>
    </row>
    <row r="3329">
      <c r="A3329" s="3" t="s">
        <v>17293</v>
      </c>
      <c r="B3329" s="3" t="s">
        <v>2404</v>
      </c>
      <c r="C3329" s="5" t="s">
        <v>36</v>
      </c>
      <c r="D3329" s="5" t="s">
        <v>36</v>
      </c>
      <c r="E3329" s="5" t="s">
        <v>36</v>
      </c>
      <c r="F3329" s="5" t="s">
        <v>36</v>
      </c>
      <c r="G3329" s="6" t="s">
        <v>36</v>
      </c>
      <c r="H3329" s="4">
        <v>1197.47</v>
      </c>
      <c r="I3329" s="7">
        <v>38.42</v>
      </c>
      <c r="J3329" s="3" t="s">
        <v>521</v>
      </c>
      <c r="K3329" s="9" t="s">
        <v>36</v>
      </c>
      <c r="L3329" s="6" t="s">
        <v>36</v>
      </c>
      <c r="M3329" s="3" t="s">
        <v>36</v>
      </c>
      <c r="N3329" s="3" t="s">
        <v>36</v>
      </c>
      <c r="O3329" s="8" t="s">
        <v>36</v>
      </c>
      <c r="P3329" s="3" t="s">
        <v>36</v>
      </c>
      <c r="Q3329" s="3" t="s">
        <v>36</v>
      </c>
      <c r="R3329" s="3" t="s">
        <v>36</v>
      </c>
      <c r="S3329" s="3" t="s">
        <v>36</v>
      </c>
      <c r="T3329" s="3" t="s">
        <v>2405</v>
      </c>
      <c r="U3329" s="3" t="s">
        <v>648</v>
      </c>
      <c r="V3329" s="3" t="s">
        <v>64</v>
      </c>
      <c r="W3329" s="3" t="s">
        <v>2406</v>
      </c>
      <c r="X3329" s="10" t="s">
        <v>17294</v>
      </c>
      <c r="Y3329" s="6" t="s">
        <v>108</v>
      </c>
      <c r="Z3329" s="4">
        <v>27.94</v>
      </c>
      <c r="AA3329" s="4">
        <v>72.71</v>
      </c>
      <c r="AB3329" s="3" t="s">
        <v>56</v>
      </c>
      <c r="AC3329" s="3" t="s">
        <v>2408</v>
      </c>
      <c r="AD3329" s="9">
        <v>44237</v>
      </c>
      <c r="AE3329" s="3" t="s">
        <v>1897</v>
      </c>
      <c r="AF3329" s="3" t="s">
        <v>2409</v>
      </c>
      <c r="AG3329" s="3" t="s">
        <v>81</v>
      </c>
      <c r="AH3329" s="11">
        <f>HYPERLINK("https://my.pitchbook.com?c=166676-41T","View Company Online")</f>
      </c>
    </row>
    <row r="3330">
      <c r="A3330" s="12" t="s">
        <v>17295</v>
      </c>
      <c r="B3330" s="12" t="s">
        <v>17296</v>
      </c>
      <c r="C3330" s="19" t="s">
        <v>36</v>
      </c>
      <c r="D3330" s="19">
        <v>4</v>
      </c>
      <c r="E3330" s="19">
        <v>2</v>
      </c>
      <c r="F3330" s="19">
        <v>6</v>
      </c>
      <c r="G3330" s="15" t="s">
        <v>36</v>
      </c>
      <c r="H3330" s="14" t="s">
        <v>36</v>
      </c>
      <c r="I3330" s="18" t="s">
        <v>36</v>
      </c>
      <c r="J3330" s="12" t="s">
        <v>36</v>
      </c>
      <c r="K3330" s="13" t="s">
        <v>36</v>
      </c>
      <c r="L3330" s="15" t="s">
        <v>122</v>
      </c>
      <c r="M3330" s="12" t="s">
        <v>36</v>
      </c>
      <c r="N3330" s="12" t="s">
        <v>122</v>
      </c>
      <c r="O3330" s="17" t="s">
        <v>36</v>
      </c>
      <c r="P3330" s="12" t="s">
        <v>36</v>
      </c>
      <c r="Q3330" s="12" t="s">
        <v>36</v>
      </c>
      <c r="R3330" s="12" t="s">
        <v>36</v>
      </c>
      <c r="S3330" s="12" t="s">
        <v>36</v>
      </c>
      <c r="T3330" s="12" t="s">
        <v>3303</v>
      </c>
      <c r="U3330" s="12" t="s">
        <v>38</v>
      </c>
      <c r="V3330" s="12" t="s">
        <v>39</v>
      </c>
      <c r="W3330" s="12" t="s">
        <v>17297</v>
      </c>
      <c r="X3330" s="16" t="s">
        <v>17298</v>
      </c>
      <c r="Y3330" s="15" t="s">
        <v>192</v>
      </c>
      <c r="Z3330" s="14">
        <v>14</v>
      </c>
      <c r="AA3330" s="14" t="s">
        <v>36</v>
      </c>
      <c r="AB3330" s="12" t="s">
        <v>43</v>
      </c>
      <c r="AC3330" s="12" t="s">
        <v>17299</v>
      </c>
      <c r="AD3330" s="13">
        <v>44237</v>
      </c>
      <c r="AE3330" s="12" t="s">
        <v>1945</v>
      </c>
      <c r="AF3330" s="12" t="s">
        <v>17300</v>
      </c>
      <c r="AG3330" s="12" t="s">
        <v>81</v>
      </c>
      <c r="AH3330" s="1">
        <f>HYPERLINK("https://my.pitchbook.com?c=166527-73T","View Company Online")</f>
      </c>
    </row>
    <row r="3331">
      <c r="A3331" s="3" t="s">
        <v>17301</v>
      </c>
      <c r="B3331" s="3" t="s">
        <v>7952</v>
      </c>
      <c r="C3331" s="5" t="s">
        <v>36</v>
      </c>
      <c r="D3331" s="5" t="s">
        <v>36</v>
      </c>
      <c r="E3331" s="5" t="s">
        <v>36</v>
      </c>
      <c r="F3331" s="5" t="s">
        <v>36</v>
      </c>
      <c r="G3331" s="6" t="s">
        <v>36</v>
      </c>
      <c r="H3331" s="4" t="s">
        <v>36</v>
      </c>
      <c r="I3331" s="7" t="s">
        <v>36</v>
      </c>
      <c r="J3331" s="3" t="s">
        <v>36</v>
      </c>
      <c r="K3331" s="9" t="s">
        <v>36</v>
      </c>
      <c r="L3331" s="6" t="s">
        <v>122</v>
      </c>
      <c r="M3331" s="3" t="s">
        <v>36</v>
      </c>
      <c r="N3331" s="3" t="s">
        <v>122</v>
      </c>
      <c r="O3331" s="8" t="s">
        <v>36</v>
      </c>
      <c r="P3331" s="3" t="s">
        <v>36</v>
      </c>
      <c r="Q3331" s="3" t="s">
        <v>36</v>
      </c>
      <c r="R3331" s="3" t="s">
        <v>36</v>
      </c>
      <c r="S3331" s="3" t="s">
        <v>36</v>
      </c>
      <c r="T3331" s="3" t="s">
        <v>7953</v>
      </c>
      <c r="U3331" s="3" t="s">
        <v>74</v>
      </c>
      <c r="V3331" s="3" t="s">
        <v>75</v>
      </c>
      <c r="W3331" s="3" t="s">
        <v>7954</v>
      </c>
      <c r="X3331" s="10" t="s">
        <v>17302</v>
      </c>
      <c r="Y3331" s="6" t="s">
        <v>55</v>
      </c>
      <c r="Z3331" s="4">
        <v>5.08</v>
      </c>
      <c r="AA3331" s="4" t="s">
        <v>36</v>
      </c>
      <c r="AB3331" s="3" t="s">
        <v>56</v>
      </c>
      <c r="AC3331" s="3" t="s">
        <v>7956</v>
      </c>
      <c r="AD3331" s="9">
        <v>44237</v>
      </c>
      <c r="AE3331" s="3" t="s">
        <v>7957</v>
      </c>
      <c r="AF3331" s="3" t="s">
        <v>176</v>
      </c>
      <c r="AG3331" s="3" t="s">
        <v>81</v>
      </c>
      <c r="AH3331" s="11">
        <f>HYPERLINK("https://my.pitchbook.com?c=166621-15T","View Company Online")</f>
      </c>
    </row>
    <row r="3332">
      <c r="A3332" s="12" t="s">
        <v>17303</v>
      </c>
      <c r="B3332" s="12" t="s">
        <v>12024</v>
      </c>
      <c r="C3332" s="19" t="s">
        <v>36</v>
      </c>
      <c r="D3332" s="19" t="s">
        <v>36</v>
      </c>
      <c r="E3332" s="19" t="s">
        <v>36</v>
      </c>
      <c r="F3332" s="19" t="s">
        <v>36</v>
      </c>
      <c r="G3332" s="15" t="s">
        <v>36</v>
      </c>
      <c r="H3332" s="14">
        <v>7.79</v>
      </c>
      <c r="I3332" s="18">
        <v>25.62</v>
      </c>
      <c r="J3332" s="12" t="s">
        <v>521</v>
      </c>
      <c r="K3332" s="13">
        <v>43893</v>
      </c>
      <c r="L3332" s="15" t="s">
        <v>36</v>
      </c>
      <c r="M3332" s="12" t="s">
        <v>36</v>
      </c>
      <c r="N3332" s="12" t="s">
        <v>36</v>
      </c>
      <c r="O3332" s="17" t="s">
        <v>36</v>
      </c>
      <c r="P3332" s="12" t="s">
        <v>36</v>
      </c>
      <c r="Q3332" s="12" t="s">
        <v>36</v>
      </c>
      <c r="R3332" s="12" t="s">
        <v>36</v>
      </c>
      <c r="S3332" s="12" t="s">
        <v>1883</v>
      </c>
      <c r="T3332" s="12" t="s">
        <v>12025</v>
      </c>
      <c r="U3332" s="12" t="s">
        <v>38</v>
      </c>
      <c r="V3332" s="12" t="s">
        <v>39</v>
      </c>
      <c r="W3332" s="12" t="s">
        <v>12026</v>
      </c>
      <c r="X3332" s="16" t="s">
        <v>17304</v>
      </c>
      <c r="Y3332" s="15" t="s">
        <v>42</v>
      </c>
      <c r="Z3332" s="14">
        <v>3.15</v>
      </c>
      <c r="AA3332" s="14">
        <v>7.32</v>
      </c>
      <c r="AB3332" s="12" t="s">
        <v>43</v>
      </c>
      <c r="AC3332" s="12" t="s">
        <v>12028</v>
      </c>
      <c r="AD3332" s="13">
        <v>44237</v>
      </c>
      <c r="AE3332" s="12" t="s">
        <v>1945</v>
      </c>
      <c r="AF3332" s="12" t="s">
        <v>12029</v>
      </c>
      <c r="AG3332" s="12" t="s">
        <v>81</v>
      </c>
      <c r="AH3332" s="1">
        <f>HYPERLINK("https://my.pitchbook.com?c=164161-45T","View Company Online")</f>
      </c>
    </row>
    <row r="3333">
      <c r="A3333" s="3" t="s">
        <v>17305</v>
      </c>
      <c r="B3333" s="3" t="s">
        <v>17306</v>
      </c>
      <c r="C3333" s="5" t="s">
        <v>36</v>
      </c>
      <c r="D3333" s="5" t="s">
        <v>36</v>
      </c>
      <c r="E3333" s="5" t="s">
        <v>36</v>
      </c>
      <c r="F3333" s="5" t="s">
        <v>36</v>
      </c>
      <c r="G3333" s="6" t="s">
        <v>36</v>
      </c>
      <c r="H3333" s="4" t="s">
        <v>36</v>
      </c>
      <c r="I3333" s="7" t="s">
        <v>36</v>
      </c>
      <c r="J3333" s="3" t="s">
        <v>36</v>
      </c>
      <c r="K3333" s="9" t="s">
        <v>36</v>
      </c>
      <c r="L3333" s="6" t="s">
        <v>36</v>
      </c>
      <c r="M3333" s="3" t="s">
        <v>36</v>
      </c>
      <c r="N3333" s="3" t="s">
        <v>36</v>
      </c>
      <c r="O3333" s="8" t="s">
        <v>36</v>
      </c>
      <c r="P3333" s="3" t="s">
        <v>36</v>
      </c>
      <c r="Q3333" s="3" t="s">
        <v>36</v>
      </c>
      <c r="R3333" s="3" t="s">
        <v>36</v>
      </c>
      <c r="S3333" s="3" t="s">
        <v>36</v>
      </c>
      <c r="T3333" s="3" t="s">
        <v>2967</v>
      </c>
      <c r="U3333" s="3" t="s">
        <v>38</v>
      </c>
      <c r="V3333" s="3" t="s">
        <v>39</v>
      </c>
      <c r="W3333" s="3" t="s">
        <v>17307</v>
      </c>
      <c r="X3333" s="10" t="s">
        <v>17308</v>
      </c>
      <c r="Y3333" s="6" t="s">
        <v>108</v>
      </c>
      <c r="Z3333" s="4">
        <v>3.15</v>
      </c>
      <c r="AA3333" s="4" t="s">
        <v>36</v>
      </c>
      <c r="AB3333" s="3" t="s">
        <v>56</v>
      </c>
      <c r="AC3333" s="3" t="s">
        <v>17309</v>
      </c>
      <c r="AD3333" s="9">
        <v>44236</v>
      </c>
      <c r="AE3333" s="3" t="s">
        <v>110</v>
      </c>
      <c r="AF3333" s="3" t="s">
        <v>1115</v>
      </c>
      <c r="AG3333" s="3" t="s">
        <v>443</v>
      </c>
      <c r="AH3333" s="11">
        <f>HYPERLINK("https://my.pitchbook.com?c=166493-08T","View Company Online")</f>
      </c>
    </row>
    <row r="3334">
      <c r="A3334" s="12" t="s">
        <v>17310</v>
      </c>
      <c r="B3334" s="12" t="s">
        <v>17311</v>
      </c>
      <c r="C3334" s="19" t="s">
        <v>36</v>
      </c>
      <c r="D3334" s="19">
        <v>2</v>
      </c>
      <c r="E3334" s="19">
        <v>1</v>
      </c>
      <c r="F3334" s="19">
        <v>2</v>
      </c>
      <c r="G3334" s="15" t="s">
        <v>36</v>
      </c>
      <c r="H3334" s="14">
        <v>66.68</v>
      </c>
      <c r="I3334" s="18">
        <v>10.82</v>
      </c>
      <c r="J3334" s="12" t="s">
        <v>521</v>
      </c>
      <c r="K3334" s="13" t="s">
        <v>36</v>
      </c>
      <c r="L3334" s="15" t="s">
        <v>36</v>
      </c>
      <c r="M3334" s="12" t="s">
        <v>36</v>
      </c>
      <c r="N3334" s="12" t="s">
        <v>36</v>
      </c>
      <c r="O3334" s="17" t="s">
        <v>36</v>
      </c>
      <c r="P3334" s="12" t="s">
        <v>36</v>
      </c>
      <c r="Q3334" s="12" t="s">
        <v>36</v>
      </c>
      <c r="R3334" s="12" t="s">
        <v>36</v>
      </c>
      <c r="S3334" s="12" t="s">
        <v>36</v>
      </c>
      <c r="T3334" s="12" t="s">
        <v>596</v>
      </c>
      <c r="U3334" s="12" t="s">
        <v>366</v>
      </c>
      <c r="V3334" s="12" t="s">
        <v>367</v>
      </c>
      <c r="W3334" s="12" t="s">
        <v>17312</v>
      </c>
      <c r="X3334" s="16" t="s">
        <v>17313</v>
      </c>
      <c r="Y3334" s="15" t="s">
        <v>42</v>
      </c>
      <c r="Z3334" s="14">
        <v>0.74</v>
      </c>
      <c r="AA3334" s="14">
        <v>6.79</v>
      </c>
      <c r="AB3334" s="12" t="s">
        <v>56</v>
      </c>
      <c r="AC3334" s="12" t="s">
        <v>17314</v>
      </c>
      <c r="AD3334" s="13">
        <v>44236</v>
      </c>
      <c r="AE3334" s="12" t="s">
        <v>600</v>
      </c>
      <c r="AF3334" s="12" t="s">
        <v>372</v>
      </c>
      <c r="AG3334" s="12" t="s">
        <v>17315</v>
      </c>
      <c r="AH3334" s="1">
        <f>HYPERLINK("https://my.pitchbook.com?c=122901-85T","View Company Online")</f>
      </c>
    </row>
    <row r="3335">
      <c r="A3335" s="3" t="s">
        <v>17316</v>
      </c>
      <c r="B3335" s="3" t="s">
        <v>17317</v>
      </c>
      <c r="C3335" s="5">
        <v>2</v>
      </c>
      <c r="D3335" s="5" t="s">
        <v>36</v>
      </c>
      <c r="E3335" s="5">
        <v>1</v>
      </c>
      <c r="F3335" s="5">
        <v>3</v>
      </c>
      <c r="G3335" s="6" t="s">
        <v>683</v>
      </c>
      <c r="H3335" s="4">
        <v>169.94</v>
      </c>
      <c r="I3335" s="7">
        <v>20.83</v>
      </c>
      <c r="J3335" s="3" t="s">
        <v>521</v>
      </c>
      <c r="K3335" s="9" t="s">
        <v>36</v>
      </c>
      <c r="L3335" s="6" t="s">
        <v>36</v>
      </c>
      <c r="M3335" s="3" t="s">
        <v>36</v>
      </c>
      <c r="N3335" s="3" t="s">
        <v>36</v>
      </c>
      <c r="O3335" s="8" t="s">
        <v>36</v>
      </c>
      <c r="P3335" s="3" t="s">
        <v>36</v>
      </c>
      <c r="Q3335" s="3" t="s">
        <v>36</v>
      </c>
      <c r="R3335" s="3" t="s">
        <v>36</v>
      </c>
      <c r="S3335" s="3" t="s">
        <v>36</v>
      </c>
      <c r="T3335" s="3" t="s">
        <v>881</v>
      </c>
      <c r="U3335" s="3" t="s">
        <v>51</v>
      </c>
      <c r="V3335" s="3" t="s">
        <v>52</v>
      </c>
      <c r="W3335" s="3" t="s">
        <v>17318</v>
      </c>
      <c r="X3335" s="10" t="s">
        <v>17319</v>
      </c>
      <c r="Y3335" s="6" t="s">
        <v>108</v>
      </c>
      <c r="Z3335" s="4">
        <v>1.82</v>
      </c>
      <c r="AA3335" s="4">
        <v>8.72</v>
      </c>
      <c r="AB3335" s="3" t="s">
        <v>43</v>
      </c>
      <c r="AC3335" s="3" t="s">
        <v>17320</v>
      </c>
      <c r="AD3335" s="9">
        <v>44236</v>
      </c>
      <c r="AE3335" s="3" t="s">
        <v>504</v>
      </c>
      <c r="AF3335" s="3" t="s">
        <v>665</v>
      </c>
      <c r="AG3335" s="3" t="s">
        <v>13897</v>
      </c>
      <c r="AH3335" s="11">
        <f>HYPERLINK("https://my.pitchbook.com?c=195857-47T","View Company Online")</f>
      </c>
    </row>
    <row r="3336">
      <c r="A3336" s="12" t="s">
        <v>17321</v>
      </c>
      <c r="B3336" s="12" t="s">
        <v>17322</v>
      </c>
      <c r="C3336" s="19" t="s">
        <v>36</v>
      </c>
      <c r="D3336" s="19" t="s">
        <v>36</v>
      </c>
      <c r="E3336" s="19" t="s">
        <v>36</v>
      </c>
      <c r="F3336" s="19" t="s">
        <v>36</v>
      </c>
      <c r="G3336" s="15" t="s">
        <v>36</v>
      </c>
      <c r="H3336" s="14">
        <v>1204.74</v>
      </c>
      <c r="I3336" s="18">
        <v>14.7</v>
      </c>
      <c r="J3336" s="12" t="s">
        <v>521</v>
      </c>
      <c r="K3336" s="13" t="s">
        <v>36</v>
      </c>
      <c r="L3336" s="15" t="s">
        <v>36</v>
      </c>
      <c r="M3336" s="12" t="s">
        <v>36</v>
      </c>
      <c r="N3336" s="12" t="s">
        <v>36</v>
      </c>
      <c r="O3336" s="17" t="s">
        <v>36</v>
      </c>
      <c r="P3336" s="12" t="s">
        <v>36</v>
      </c>
      <c r="Q3336" s="12" t="s">
        <v>36</v>
      </c>
      <c r="R3336" s="12" t="s">
        <v>36</v>
      </c>
      <c r="S3336" s="12" t="s">
        <v>36</v>
      </c>
      <c r="T3336" s="12" t="s">
        <v>9456</v>
      </c>
      <c r="U3336" s="12" t="s">
        <v>63</v>
      </c>
      <c r="V3336" s="12" t="s">
        <v>64</v>
      </c>
      <c r="W3336" s="12" t="s">
        <v>17323</v>
      </c>
      <c r="X3336" s="16" t="s">
        <v>17324</v>
      </c>
      <c r="Y3336" s="15" t="s">
        <v>42</v>
      </c>
      <c r="Z3336" s="14">
        <v>1.21</v>
      </c>
      <c r="AA3336" s="14">
        <v>8.24</v>
      </c>
      <c r="AB3336" s="12" t="s">
        <v>56</v>
      </c>
      <c r="AC3336" s="12" t="s">
        <v>17325</v>
      </c>
      <c r="AD3336" s="13">
        <v>44235</v>
      </c>
      <c r="AE3336" s="12" t="s">
        <v>4310</v>
      </c>
      <c r="AF3336" s="12" t="s">
        <v>36</v>
      </c>
      <c r="AG3336" s="12" t="s">
        <v>17326</v>
      </c>
      <c r="AH3336" s="1">
        <f>HYPERLINK("https://my.pitchbook.com?c=177553-63T","View Company Online")</f>
      </c>
    </row>
    <row r="3337">
      <c r="A3337" s="3" t="s">
        <v>17327</v>
      </c>
      <c r="B3337" s="3" t="s">
        <v>926</v>
      </c>
      <c r="C3337" s="5" t="s">
        <v>36</v>
      </c>
      <c r="D3337" s="5" t="s">
        <v>36</v>
      </c>
      <c r="E3337" s="5" t="s">
        <v>36</v>
      </c>
      <c r="F3337" s="5" t="s">
        <v>36</v>
      </c>
      <c r="G3337" s="6" t="s">
        <v>326</v>
      </c>
      <c r="H3337" s="4">
        <v>1022.03</v>
      </c>
      <c r="I3337" s="7">
        <v>15.14</v>
      </c>
      <c r="J3337" s="3" t="s">
        <v>521</v>
      </c>
      <c r="K3337" s="9" t="s">
        <v>36</v>
      </c>
      <c r="L3337" s="6" t="s">
        <v>122</v>
      </c>
      <c r="M3337" s="3" t="s">
        <v>36</v>
      </c>
      <c r="N3337" s="3" t="s">
        <v>122</v>
      </c>
      <c r="O3337" s="8" t="s">
        <v>36</v>
      </c>
      <c r="P3337" s="3" t="s">
        <v>36</v>
      </c>
      <c r="Q3337" s="3" t="s">
        <v>36</v>
      </c>
      <c r="R3337" s="3" t="s">
        <v>36</v>
      </c>
      <c r="S3337" s="3" t="s">
        <v>36</v>
      </c>
      <c r="T3337" s="3" t="s">
        <v>927</v>
      </c>
      <c r="U3337" s="3" t="s">
        <v>219</v>
      </c>
      <c r="V3337" s="3" t="s">
        <v>75</v>
      </c>
      <c r="W3337" s="3" t="s">
        <v>928</v>
      </c>
      <c r="X3337" s="10" t="s">
        <v>17328</v>
      </c>
      <c r="Y3337" s="6" t="s">
        <v>42</v>
      </c>
      <c r="Z3337" s="4">
        <v>7.83</v>
      </c>
      <c r="AA3337" s="4">
        <v>51.72</v>
      </c>
      <c r="AB3337" s="3" t="s">
        <v>43</v>
      </c>
      <c r="AC3337" s="3" t="s">
        <v>930</v>
      </c>
      <c r="AD3337" s="9">
        <v>44235</v>
      </c>
      <c r="AE3337" s="3" t="s">
        <v>243</v>
      </c>
      <c r="AF3337" s="3" t="s">
        <v>931</v>
      </c>
      <c r="AG3337" s="3" t="s">
        <v>932</v>
      </c>
      <c r="AH3337" s="11">
        <f>HYPERLINK("https://my.pitchbook.com?c=166476-52T","View Company Online")</f>
      </c>
    </row>
    <row r="3338">
      <c r="A3338" s="12" t="s">
        <v>17329</v>
      </c>
      <c r="B3338" s="12" t="s">
        <v>17330</v>
      </c>
      <c r="C3338" s="19">
        <v>1</v>
      </c>
      <c r="D3338" s="19">
        <v>2</v>
      </c>
      <c r="E3338" s="19">
        <v>1</v>
      </c>
      <c r="F3338" s="19">
        <v>3</v>
      </c>
      <c r="G3338" s="15" t="s">
        <v>36</v>
      </c>
      <c r="H3338" s="14" t="s">
        <v>36</v>
      </c>
      <c r="I3338" s="18" t="s">
        <v>36</v>
      </c>
      <c r="J3338" s="12" t="s">
        <v>36</v>
      </c>
      <c r="K3338" s="13" t="s">
        <v>36</v>
      </c>
      <c r="L3338" s="15" t="s">
        <v>36</v>
      </c>
      <c r="M3338" s="12" t="s">
        <v>36</v>
      </c>
      <c r="N3338" s="12" t="s">
        <v>36</v>
      </c>
      <c r="O3338" s="17" t="s">
        <v>36</v>
      </c>
      <c r="P3338" s="12" t="s">
        <v>36</v>
      </c>
      <c r="Q3338" s="12" t="s">
        <v>36</v>
      </c>
      <c r="R3338" s="12" t="s">
        <v>36</v>
      </c>
      <c r="S3338" s="12" t="s">
        <v>36</v>
      </c>
      <c r="T3338" s="12" t="s">
        <v>17331</v>
      </c>
      <c r="U3338" s="12" t="s">
        <v>51</v>
      </c>
      <c r="V3338" s="12" t="s">
        <v>52</v>
      </c>
      <c r="W3338" s="12" t="s">
        <v>17332</v>
      </c>
      <c r="X3338" s="16" t="s">
        <v>17333</v>
      </c>
      <c r="Y3338" s="15" t="s">
        <v>42</v>
      </c>
      <c r="Z3338" s="14">
        <v>1.21</v>
      </c>
      <c r="AA3338" s="14" t="s">
        <v>36</v>
      </c>
      <c r="AB3338" s="12" t="s">
        <v>43</v>
      </c>
      <c r="AC3338" s="12" t="s">
        <v>17334</v>
      </c>
      <c r="AD3338" s="13">
        <v>44231</v>
      </c>
      <c r="AE3338" s="12" t="s">
        <v>504</v>
      </c>
      <c r="AF3338" s="12" t="s">
        <v>885</v>
      </c>
      <c r="AG3338" s="12" t="s">
        <v>17335</v>
      </c>
      <c r="AH3338" s="1">
        <f>HYPERLINK("https://my.pitchbook.com?c=160976-89T","View Company Online")</f>
      </c>
    </row>
    <row r="3339">
      <c r="A3339" s="3" t="s">
        <v>17336</v>
      </c>
      <c r="B3339" s="3" t="s">
        <v>17337</v>
      </c>
      <c r="C3339" s="5" t="s">
        <v>36</v>
      </c>
      <c r="D3339" s="5" t="s">
        <v>36</v>
      </c>
      <c r="E3339" s="5" t="s">
        <v>36</v>
      </c>
      <c r="F3339" s="5" t="s">
        <v>36</v>
      </c>
      <c r="G3339" s="6" t="s">
        <v>326</v>
      </c>
      <c r="H3339" s="4">
        <v>193.11</v>
      </c>
      <c r="I3339" s="7">
        <v>24.31</v>
      </c>
      <c r="J3339" s="3" t="s">
        <v>521</v>
      </c>
      <c r="K3339" s="9" t="s">
        <v>36</v>
      </c>
      <c r="L3339" s="6" t="s">
        <v>122</v>
      </c>
      <c r="M3339" s="3" t="s">
        <v>36</v>
      </c>
      <c r="N3339" s="3" t="s">
        <v>122</v>
      </c>
      <c r="O3339" s="8" t="s">
        <v>36</v>
      </c>
      <c r="P3339" s="3" t="s">
        <v>36</v>
      </c>
      <c r="Q3339" s="3" t="s">
        <v>36</v>
      </c>
      <c r="R3339" s="3" t="s">
        <v>36</v>
      </c>
      <c r="S3339" s="3" t="s">
        <v>36</v>
      </c>
      <c r="T3339" s="3" t="s">
        <v>17338</v>
      </c>
      <c r="U3339" s="3" t="s">
        <v>279</v>
      </c>
      <c r="V3339" s="3" t="s">
        <v>64</v>
      </c>
      <c r="W3339" s="3" t="s">
        <v>17339</v>
      </c>
      <c r="X3339" s="10" t="s">
        <v>17340</v>
      </c>
      <c r="Y3339" s="6" t="s">
        <v>108</v>
      </c>
      <c r="Z3339" s="4">
        <v>11.55</v>
      </c>
      <c r="AA3339" s="4">
        <v>37.46</v>
      </c>
      <c r="AB3339" s="3" t="s">
        <v>43</v>
      </c>
      <c r="AC3339" s="3" t="s">
        <v>17341</v>
      </c>
      <c r="AD3339" s="9">
        <v>44230</v>
      </c>
      <c r="AE3339" s="3" t="s">
        <v>851</v>
      </c>
      <c r="AF3339" s="3" t="s">
        <v>815</v>
      </c>
      <c r="AG3339" s="3" t="s">
        <v>81</v>
      </c>
      <c r="AH3339" s="11">
        <f>HYPERLINK("https://my.pitchbook.com?c=166157-74T","View Company Online")</f>
      </c>
    </row>
    <row r="3340">
      <c r="A3340" s="12" t="s">
        <v>17342</v>
      </c>
      <c r="B3340" s="12" t="s">
        <v>17343</v>
      </c>
      <c r="C3340" s="19" t="s">
        <v>36</v>
      </c>
      <c r="D3340" s="19" t="s">
        <v>36</v>
      </c>
      <c r="E3340" s="19" t="s">
        <v>36</v>
      </c>
      <c r="F3340" s="19" t="s">
        <v>36</v>
      </c>
      <c r="G3340" s="15" t="s">
        <v>36</v>
      </c>
      <c r="H3340" s="14">
        <v>120.76</v>
      </c>
      <c r="I3340" s="18">
        <v>41.75</v>
      </c>
      <c r="J3340" s="12" t="s">
        <v>521</v>
      </c>
      <c r="K3340" s="13" t="s">
        <v>36</v>
      </c>
      <c r="L3340" s="15" t="s">
        <v>36</v>
      </c>
      <c r="M3340" s="12" t="s">
        <v>36</v>
      </c>
      <c r="N3340" s="12" t="s">
        <v>36</v>
      </c>
      <c r="O3340" s="17" t="s">
        <v>36</v>
      </c>
      <c r="P3340" s="12" t="s">
        <v>36</v>
      </c>
      <c r="Q3340" s="12" t="s">
        <v>36</v>
      </c>
      <c r="R3340" s="12" t="s">
        <v>36</v>
      </c>
      <c r="S3340" s="12" t="s">
        <v>36</v>
      </c>
      <c r="T3340" s="12" t="s">
        <v>881</v>
      </c>
      <c r="U3340" s="12" t="s">
        <v>51</v>
      </c>
      <c r="V3340" s="12" t="s">
        <v>52</v>
      </c>
      <c r="W3340" s="12" t="s">
        <v>17344</v>
      </c>
      <c r="X3340" s="16" t="s">
        <v>17345</v>
      </c>
      <c r="Y3340" s="15" t="s">
        <v>108</v>
      </c>
      <c r="Z3340" s="14">
        <v>1.22</v>
      </c>
      <c r="AA3340" s="14">
        <v>2.91</v>
      </c>
      <c r="AB3340" s="12" t="s">
        <v>43</v>
      </c>
      <c r="AC3340" s="12" t="s">
        <v>17346</v>
      </c>
      <c r="AD3340" s="13">
        <v>44230</v>
      </c>
      <c r="AE3340" s="12" t="s">
        <v>504</v>
      </c>
      <c r="AF3340" s="12" t="s">
        <v>159</v>
      </c>
      <c r="AG3340" s="12" t="s">
        <v>81</v>
      </c>
      <c r="AH3340" s="1">
        <f>HYPERLINK("https://my.pitchbook.com?c=170399-08T","View Company Online")</f>
      </c>
    </row>
    <row r="3341">
      <c r="A3341" s="3" t="s">
        <v>17347</v>
      </c>
      <c r="B3341" s="3" t="s">
        <v>3938</v>
      </c>
      <c r="C3341" s="5" t="s">
        <v>36</v>
      </c>
      <c r="D3341" s="5" t="s">
        <v>36</v>
      </c>
      <c r="E3341" s="5" t="s">
        <v>36</v>
      </c>
      <c r="F3341" s="5" t="s">
        <v>36</v>
      </c>
      <c r="G3341" s="6" t="s">
        <v>36</v>
      </c>
      <c r="H3341" s="4">
        <v>70.62</v>
      </c>
      <c r="I3341" s="7">
        <v>16.58</v>
      </c>
      <c r="J3341" s="3" t="s">
        <v>521</v>
      </c>
      <c r="K3341" s="9">
        <v>43977</v>
      </c>
      <c r="L3341" s="6" t="s">
        <v>36</v>
      </c>
      <c r="M3341" s="3" t="s">
        <v>36</v>
      </c>
      <c r="N3341" s="3" t="s">
        <v>36</v>
      </c>
      <c r="O3341" s="8" t="s">
        <v>36</v>
      </c>
      <c r="P3341" s="3" t="s">
        <v>36</v>
      </c>
      <c r="Q3341" s="3" t="s">
        <v>36</v>
      </c>
      <c r="R3341" s="3" t="s">
        <v>36</v>
      </c>
      <c r="S3341" s="3" t="s">
        <v>36</v>
      </c>
      <c r="T3341" s="3" t="s">
        <v>3939</v>
      </c>
      <c r="U3341" s="3" t="s">
        <v>74</v>
      </c>
      <c r="V3341" s="3" t="s">
        <v>75</v>
      </c>
      <c r="W3341" s="3" t="s">
        <v>3940</v>
      </c>
      <c r="X3341" s="10" t="s">
        <v>17348</v>
      </c>
      <c r="Y3341" s="6" t="s">
        <v>42</v>
      </c>
      <c r="Z3341" s="4">
        <v>0.91</v>
      </c>
      <c r="AA3341" s="4">
        <v>2.2</v>
      </c>
      <c r="AB3341" s="3" t="s">
        <v>43</v>
      </c>
      <c r="AC3341" s="3" t="s">
        <v>3942</v>
      </c>
      <c r="AD3341" s="9">
        <v>44230</v>
      </c>
      <c r="AE3341" s="3" t="s">
        <v>975</v>
      </c>
      <c r="AF3341" s="3" t="s">
        <v>275</v>
      </c>
      <c r="AG3341" s="3" t="s">
        <v>47</v>
      </c>
      <c r="AH3341" s="11">
        <f>HYPERLINK("https://my.pitchbook.com?c=185070-43T","View Company Online")</f>
      </c>
    </row>
    <row r="3342">
      <c r="A3342" s="12" t="s">
        <v>17349</v>
      </c>
      <c r="B3342" s="12" t="s">
        <v>11625</v>
      </c>
      <c r="C3342" s="19" t="s">
        <v>36</v>
      </c>
      <c r="D3342" s="19" t="s">
        <v>36</v>
      </c>
      <c r="E3342" s="19" t="s">
        <v>36</v>
      </c>
      <c r="F3342" s="19" t="s">
        <v>36</v>
      </c>
      <c r="G3342" s="15" t="s">
        <v>326</v>
      </c>
      <c r="H3342" s="14">
        <v>844.35</v>
      </c>
      <c r="I3342" s="18">
        <v>14.54</v>
      </c>
      <c r="J3342" s="12" t="s">
        <v>521</v>
      </c>
      <c r="K3342" s="13" t="s">
        <v>36</v>
      </c>
      <c r="L3342" s="15" t="s">
        <v>36</v>
      </c>
      <c r="M3342" s="12" t="s">
        <v>36</v>
      </c>
      <c r="N3342" s="12" t="s">
        <v>36</v>
      </c>
      <c r="O3342" s="17" t="s">
        <v>36</v>
      </c>
      <c r="P3342" s="12" t="s">
        <v>36</v>
      </c>
      <c r="Q3342" s="12" t="s">
        <v>36</v>
      </c>
      <c r="R3342" s="12" t="s">
        <v>36</v>
      </c>
      <c r="S3342" s="12" t="s">
        <v>36</v>
      </c>
      <c r="T3342" s="12" t="s">
        <v>9390</v>
      </c>
      <c r="U3342" s="12" t="s">
        <v>63</v>
      </c>
      <c r="V3342" s="12" t="s">
        <v>64</v>
      </c>
      <c r="W3342" s="12" t="s">
        <v>11626</v>
      </c>
      <c r="X3342" s="16" t="s">
        <v>17350</v>
      </c>
      <c r="Y3342" s="15" t="s">
        <v>108</v>
      </c>
      <c r="Z3342" s="14">
        <v>1.55</v>
      </c>
      <c r="AA3342" s="14">
        <v>10.66</v>
      </c>
      <c r="AB3342" s="12" t="s">
        <v>43</v>
      </c>
      <c r="AC3342" s="12" t="s">
        <v>11628</v>
      </c>
      <c r="AD3342" s="13">
        <v>44230</v>
      </c>
      <c r="AE3342" s="12" t="s">
        <v>399</v>
      </c>
      <c r="AF3342" s="12" t="s">
        <v>938</v>
      </c>
      <c r="AG3342" s="12" t="s">
        <v>81</v>
      </c>
      <c r="AH3342" s="1">
        <f>HYPERLINK("https://my.pitchbook.com?c=203611-51T","View Company Online")</f>
      </c>
    </row>
    <row r="3343">
      <c r="A3343" s="3" t="s">
        <v>17351</v>
      </c>
      <c r="B3343" s="3" t="s">
        <v>2171</v>
      </c>
      <c r="C3343" s="5" t="s">
        <v>36</v>
      </c>
      <c r="D3343" s="5" t="s">
        <v>36</v>
      </c>
      <c r="E3343" s="5" t="s">
        <v>36</v>
      </c>
      <c r="F3343" s="5" t="s">
        <v>36</v>
      </c>
      <c r="G3343" s="6" t="s">
        <v>36</v>
      </c>
      <c r="H3343" s="4">
        <v>27.7</v>
      </c>
      <c r="I3343" s="7">
        <v>6.75</v>
      </c>
      <c r="J3343" s="3" t="s">
        <v>521</v>
      </c>
      <c r="K3343" s="9" t="s">
        <v>36</v>
      </c>
      <c r="L3343" s="6" t="s">
        <v>36</v>
      </c>
      <c r="M3343" s="3" t="s">
        <v>36</v>
      </c>
      <c r="N3343" s="3" t="s">
        <v>36</v>
      </c>
      <c r="O3343" s="8" t="s">
        <v>36</v>
      </c>
      <c r="P3343" s="3" t="s">
        <v>36</v>
      </c>
      <c r="Q3343" s="3" t="s">
        <v>36</v>
      </c>
      <c r="R3343" s="3" t="s">
        <v>36</v>
      </c>
      <c r="S3343" s="3" t="s">
        <v>36</v>
      </c>
      <c r="T3343" s="3" t="s">
        <v>105</v>
      </c>
      <c r="U3343" s="3" t="s">
        <v>38</v>
      </c>
      <c r="V3343" s="3" t="s">
        <v>39</v>
      </c>
      <c r="W3343" s="3" t="s">
        <v>2172</v>
      </c>
      <c r="X3343" s="10" t="s">
        <v>17352</v>
      </c>
      <c r="Y3343" s="6" t="s">
        <v>42</v>
      </c>
      <c r="Z3343" s="4">
        <v>0.25</v>
      </c>
      <c r="AA3343" s="4">
        <v>3.69</v>
      </c>
      <c r="AB3343" s="3" t="s">
        <v>43</v>
      </c>
      <c r="AC3343" s="3" t="s">
        <v>2173</v>
      </c>
      <c r="AD3343" s="9">
        <v>44230</v>
      </c>
      <c r="AE3343" s="3" t="s">
        <v>110</v>
      </c>
      <c r="AF3343" s="3" t="s">
        <v>176</v>
      </c>
      <c r="AG3343" s="3" t="s">
        <v>1485</v>
      </c>
      <c r="AH3343" s="11">
        <f>HYPERLINK("https://my.pitchbook.com?c=274354-12T","View Company Online")</f>
      </c>
    </row>
    <row r="3344">
      <c r="A3344" s="12" t="s">
        <v>17353</v>
      </c>
      <c r="B3344" s="12" t="s">
        <v>4653</v>
      </c>
      <c r="C3344" s="19">
        <v>2</v>
      </c>
      <c r="D3344" s="19">
        <v>12</v>
      </c>
      <c r="E3344" s="19">
        <v>4</v>
      </c>
      <c r="F3344" s="19">
        <v>15</v>
      </c>
      <c r="G3344" s="15" t="s">
        <v>36</v>
      </c>
      <c r="H3344" s="14" t="s">
        <v>36</v>
      </c>
      <c r="I3344" s="18">
        <v>39.02</v>
      </c>
      <c r="J3344" s="12" t="s">
        <v>327</v>
      </c>
      <c r="K3344" s="13" t="s">
        <v>36</v>
      </c>
      <c r="L3344" s="15" t="s">
        <v>122</v>
      </c>
      <c r="M3344" s="12" t="s">
        <v>36</v>
      </c>
      <c r="N3344" s="12" t="s">
        <v>122</v>
      </c>
      <c r="O3344" s="17" t="s">
        <v>36</v>
      </c>
      <c r="P3344" s="12" t="s">
        <v>36</v>
      </c>
      <c r="Q3344" s="12" t="s">
        <v>36</v>
      </c>
      <c r="R3344" s="12" t="s">
        <v>36</v>
      </c>
      <c r="S3344" s="12" t="s">
        <v>36</v>
      </c>
      <c r="T3344" s="12" t="s">
        <v>4654</v>
      </c>
      <c r="U3344" s="12" t="s">
        <v>1580</v>
      </c>
      <c r="V3344" s="12" t="s">
        <v>39</v>
      </c>
      <c r="W3344" s="12" t="s">
        <v>4655</v>
      </c>
      <c r="X3344" s="16" t="s">
        <v>17354</v>
      </c>
      <c r="Y3344" s="15" t="s">
        <v>108</v>
      </c>
      <c r="Z3344" s="14">
        <v>12.76</v>
      </c>
      <c r="AA3344" s="14">
        <v>32.7</v>
      </c>
      <c r="AB3344" s="12" t="s">
        <v>56</v>
      </c>
      <c r="AC3344" s="12" t="s">
        <v>4657</v>
      </c>
      <c r="AD3344" s="13">
        <v>44230</v>
      </c>
      <c r="AE3344" s="12" t="s">
        <v>4086</v>
      </c>
      <c r="AF3344" s="12" t="s">
        <v>36</v>
      </c>
      <c r="AG3344" s="12" t="s">
        <v>81</v>
      </c>
      <c r="AH3344" s="1">
        <f>HYPERLINK("https://my.pitchbook.com?c=166280-23T","View Company Online")</f>
      </c>
    </row>
    <row r="3345">
      <c r="A3345" s="3" t="s">
        <v>17355</v>
      </c>
      <c r="B3345" s="3" t="s">
        <v>17356</v>
      </c>
      <c r="C3345" s="5" t="s">
        <v>36</v>
      </c>
      <c r="D3345" s="5" t="s">
        <v>36</v>
      </c>
      <c r="E3345" s="5" t="s">
        <v>36</v>
      </c>
      <c r="F3345" s="5" t="s">
        <v>36</v>
      </c>
      <c r="G3345" s="6" t="s">
        <v>36</v>
      </c>
      <c r="H3345" s="4" t="s">
        <v>36</v>
      </c>
      <c r="I3345" s="7" t="s">
        <v>36</v>
      </c>
      <c r="J3345" s="3" t="s">
        <v>36</v>
      </c>
      <c r="K3345" s="9" t="s">
        <v>36</v>
      </c>
      <c r="L3345" s="6" t="s">
        <v>36</v>
      </c>
      <c r="M3345" s="3" t="s">
        <v>36</v>
      </c>
      <c r="N3345" s="3" t="s">
        <v>36</v>
      </c>
      <c r="O3345" s="8" t="s">
        <v>36</v>
      </c>
      <c r="P3345" s="3" t="s">
        <v>36</v>
      </c>
      <c r="Q3345" s="3" t="s">
        <v>36</v>
      </c>
      <c r="R3345" s="3" t="s">
        <v>36</v>
      </c>
      <c r="S3345" s="3" t="s">
        <v>36</v>
      </c>
      <c r="T3345" s="3" t="s">
        <v>105</v>
      </c>
      <c r="U3345" s="3" t="s">
        <v>38</v>
      </c>
      <c r="V3345" s="3" t="s">
        <v>39</v>
      </c>
      <c r="W3345" s="3" t="s">
        <v>17357</v>
      </c>
      <c r="X3345" s="10" t="s">
        <v>17358</v>
      </c>
      <c r="Y3345" s="6" t="s">
        <v>108</v>
      </c>
      <c r="Z3345" s="4">
        <v>2.43</v>
      </c>
      <c r="AA3345" s="4" t="s">
        <v>36</v>
      </c>
      <c r="AB3345" s="3" t="s">
        <v>43</v>
      </c>
      <c r="AC3345" s="3" t="s">
        <v>17359</v>
      </c>
      <c r="AD3345" s="9">
        <v>44230</v>
      </c>
      <c r="AE3345" s="3" t="s">
        <v>110</v>
      </c>
      <c r="AF3345" s="3" t="s">
        <v>17360</v>
      </c>
      <c r="AG3345" s="3" t="s">
        <v>81</v>
      </c>
      <c r="AH3345" s="11">
        <f>HYPERLINK("https://my.pitchbook.com?c=182689-84T","View Company Online")</f>
      </c>
    </row>
    <row r="3346">
      <c r="A3346" s="12" t="s">
        <v>17361</v>
      </c>
      <c r="B3346" s="12" t="s">
        <v>17362</v>
      </c>
      <c r="C3346" s="19" t="s">
        <v>36</v>
      </c>
      <c r="D3346" s="19" t="s">
        <v>36</v>
      </c>
      <c r="E3346" s="19" t="s">
        <v>36</v>
      </c>
      <c r="F3346" s="19" t="s">
        <v>36</v>
      </c>
      <c r="G3346" s="15" t="s">
        <v>36</v>
      </c>
      <c r="H3346" s="14" t="s">
        <v>36</v>
      </c>
      <c r="I3346" s="18" t="s">
        <v>36</v>
      </c>
      <c r="J3346" s="12" t="s">
        <v>36</v>
      </c>
      <c r="K3346" s="13" t="s">
        <v>36</v>
      </c>
      <c r="L3346" s="15" t="s">
        <v>36</v>
      </c>
      <c r="M3346" s="12" t="s">
        <v>36</v>
      </c>
      <c r="N3346" s="12" t="s">
        <v>36</v>
      </c>
      <c r="O3346" s="17" t="s">
        <v>36</v>
      </c>
      <c r="P3346" s="12" t="s">
        <v>36</v>
      </c>
      <c r="Q3346" s="12" t="s">
        <v>36</v>
      </c>
      <c r="R3346" s="12" t="s">
        <v>36</v>
      </c>
      <c r="S3346" s="12" t="s">
        <v>36</v>
      </c>
      <c r="T3346" s="12" t="s">
        <v>3270</v>
      </c>
      <c r="U3346" s="12" t="s">
        <v>1336</v>
      </c>
      <c r="V3346" s="12" t="s">
        <v>367</v>
      </c>
      <c r="W3346" s="12" t="s">
        <v>17363</v>
      </c>
      <c r="X3346" s="16" t="s">
        <v>17364</v>
      </c>
      <c r="Y3346" s="15" t="s">
        <v>42</v>
      </c>
      <c r="Z3346" s="14">
        <v>0.61</v>
      </c>
      <c r="AA3346" s="14" t="s">
        <v>36</v>
      </c>
      <c r="AB3346" s="12" t="s">
        <v>56</v>
      </c>
      <c r="AC3346" s="12" t="s">
        <v>17365</v>
      </c>
      <c r="AD3346" s="13">
        <v>44229</v>
      </c>
      <c r="AE3346" s="12" t="s">
        <v>2464</v>
      </c>
      <c r="AF3346" s="12" t="s">
        <v>1340</v>
      </c>
      <c r="AG3346" s="12" t="s">
        <v>17366</v>
      </c>
      <c r="AH3346" s="1">
        <f>HYPERLINK("https://my.pitchbook.com?c=167350-06T","View Company Online")</f>
      </c>
    </row>
    <row r="3347">
      <c r="A3347" s="3" t="s">
        <v>17367</v>
      </c>
      <c r="B3347" s="3" t="s">
        <v>17368</v>
      </c>
      <c r="C3347" s="5" t="s">
        <v>36</v>
      </c>
      <c r="D3347" s="5" t="s">
        <v>36</v>
      </c>
      <c r="E3347" s="5" t="s">
        <v>36</v>
      </c>
      <c r="F3347" s="5" t="s">
        <v>36</v>
      </c>
      <c r="G3347" s="6" t="s">
        <v>36</v>
      </c>
      <c r="H3347" s="4">
        <v>43.62</v>
      </c>
      <c r="I3347" s="7">
        <v>8.7</v>
      </c>
      <c r="J3347" s="3" t="s">
        <v>521</v>
      </c>
      <c r="K3347" s="9" t="s">
        <v>36</v>
      </c>
      <c r="L3347" s="6" t="s">
        <v>36</v>
      </c>
      <c r="M3347" s="3" t="s">
        <v>36</v>
      </c>
      <c r="N3347" s="3" t="s">
        <v>36</v>
      </c>
      <c r="O3347" s="8" t="s">
        <v>36</v>
      </c>
      <c r="P3347" s="3" t="s">
        <v>36</v>
      </c>
      <c r="Q3347" s="3" t="s">
        <v>36</v>
      </c>
      <c r="R3347" s="3" t="s">
        <v>36</v>
      </c>
      <c r="S3347" s="3" t="s">
        <v>36</v>
      </c>
      <c r="T3347" s="3" t="s">
        <v>17369</v>
      </c>
      <c r="U3347" s="3" t="s">
        <v>1091</v>
      </c>
      <c r="V3347" s="3" t="s">
        <v>378</v>
      </c>
      <c r="W3347" s="3" t="s">
        <v>17370</v>
      </c>
      <c r="X3347" s="10" t="s">
        <v>7099</v>
      </c>
      <c r="Y3347" s="6" t="s">
        <v>42</v>
      </c>
      <c r="Z3347" s="4">
        <v>0.49</v>
      </c>
      <c r="AA3347" s="4">
        <v>5.59</v>
      </c>
      <c r="AB3347" s="3" t="s">
        <v>56</v>
      </c>
      <c r="AC3347" s="3" t="s">
        <v>17371</v>
      </c>
      <c r="AD3347" s="9">
        <v>44229</v>
      </c>
      <c r="AE3347" s="3" t="s">
        <v>2568</v>
      </c>
      <c r="AF3347" s="3" t="s">
        <v>571</v>
      </c>
      <c r="AG3347" s="3" t="s">
        <v>17372</v>
      </c>
      <c r="AH3347" s="11">
        <f>HYPERLINK("https://my.pitchbook.com?c=204445-18T","View Company Online")</f>
      </c>
    </row>
    <row r="3348">
      <c r="A3348" s="12" t="s">
        <v>17373</v>
      </c>
      <c r="B3348" s="12" t="s">
        <v>17374</v>
      </c>
      <c r="C3348" s="19" t="s">
        <v>36</v>
      </c>
      <c r="D3348" s="19" t="s">
        <v>36</v>
      </c>
      <c r="E3348" s="19" t="s">
        <v>36</v>
      </c>
      <c r="F3348" s="19" t="s">
        <v>36</v>
      </c>
      <c r="G3348" s="15" t="s">
        <v>326</v>
      </c>
      <c r="H3348" s="14">
        <v>309.31</v>
      </c>
      <c r="I3348" s="18">
        <v>33.94</v>
      </c>
      <c r="J3348" s="12" t="s">
        <v>521</v>
      </c>
      <c r="K3348" s="13" t="s">
        <v>36</v>
      </c>
      <c r="L3348" s="15" t="s">
        <v>36</v>
      </c>
      <c r="M3348" s="12" t="s">
        <v>36</v>
      </c>
      <c r="N3348" s="12" t="s">
        <v>36</v>
      </c>
      <c r="O3348" s="17" t="s">
        <v>36</v>
      </c>
      <c r="P3348" s="12" t="s">
        <v>36</v>
      </c>
      <c r="Q3348" s="12" t="s">
        <v>36</v>
      </c>
      <c r="R3348" s="12" t="s">
        <v>36</v>
      </c>
      <c r="S3348" s="12" t="s">
        <v>36</v>
      </c>
      <c r="T3348" s="12" t="s">
        <v>7415</v>
      </c>
      <c r="U3348" s="12" t="s">
        <v>38</v>
      </c>
      <c r="V3348" s="12" t="s">
        <v>39</v>
      </c>
      <c r="W3348" s="12" t="s">
        <v>17375</v>
      </c>
      <c r="X3348" s="16" t="s">
        <v>17376</v>
      </c>
      <c r="Y3348" s="15" t="s">
        <v>42</v>
      </c>
      <c r="Z3348" s="14">
        <v>1.7</v>
      </c>
      <c r="AA3348" s="14">
        <v>3.03</v>
      </c>
      <c r="AB3348" s="12" t="s">
        <v>43</v>
      </c>
      <c r="AC3348" s="12" t="s">
        <v>17377</v>
      </c>
      <c r="AD3348" s="13">
        <v>44229</v>
      </c>
      <c r="AE3348" s="12" t="s">
        <v>1422</v>
      </c>
      <c r="AF3348" s="12" t="s">
        <v>17378</v>
      </c>
      <c r="AG3348" s="12" t="s">
        <v>899</v>
      </c>
      <c r="AH3348" s="1">
        <f>HYPERLINK("https://my.pitchbook.com?c=166021-48T","View Company Online")</f>
      </c>
    </row>
    <row r="3349">
      <c r="A3349" s="3" t="s">
        <v>17379</v>
      </c>
      <c r="B3349" s="3" t="s">
        <v>17380</v>
      </c>
      <c r="C3349" s="5" t="s">
        <v>36</v>
      </c>
      <c r="D3349" s="5" t="s">
        <v>36</v>
      </c>
      <c r="E3349" s="5" t="s">
        <v>36</v>
      </c>
      <c r="F3349" s="5" t="s">
        <v>36</v>
      </c>
      <c r="G3349" s="6" t="s">
        <v>36</v>
      </c>
      <c r="H3349" s="4" t="s">
        <v>36</v>
      </c>
      <c r="I3349" s="7" t="s">
        <v>36</v>
      </c>
      <c r="J3349" s="3" t="s">
        <v>36</v>
      </c>
      <c r="K3349" s="9" t="s">
        <v>36</v>
      </c>
      <c r="L3349" s="6" t="s">
        <v>36</v>
      </c>
      <c r="M3349" s="3" t="s">
        <v>36</v>
      </c>
      <c r="N3349" s="3" t="s">
        <v>36</v>
      </c>
      <c r="O3349" s="8" t="s">
        <v>36</v>
      </c>
      <c r="P3349" s="3" t="s">
        <v>36</v>
      </c>
      <c r="Q3349" s="3" t="s">
        <v>36</v>
      </c>
      <c r="R3349" s="3" t="s">
        <v>36</v>
      </c>
      <c r="S3349" s="3" t="s">
        <v>6677</v>
      </c>
      <c r="T3349" s="3" t="s">
        <v>14504</v>
      </c>
      <c r="U3349" s="3" t="s">
        <v>279</v>
      </c>
      <c r="V3349" s="3" t="s">
        <v>64</v>
      </c>
      <c r="W3349" s="3" t="s">
        <v>17381</v>
      </c>
      <c r="X3349" s="10" t="s">
        <v>8584</v>
      </c>
      <c r="Y3349" s="6" t="s">
        <v>108</v>
      </c>
      <c r="Z3349" s="4">
        <v>6.08</v>
      </c>
      <c r="AA3349" s="4" t="s">
        <v>36</v>
      </c>
      <c r="AB3349" s="3" t="s">
        <v>56</v>
      </c>
      <c r="AC3349" s="3" t="s">
        <v>17382</v>
      </c>
      <c r="AD3349" s="9">
        <v>44229</v>
      </c>
      <c r="AE3349" s="3" t="s">
        <v>283</v>
      </c>
      <c r="AF3349" s="3" t="s">
        <v>1507</v>
      </c>
      <c r="AG3349" s="3" t="s">
        <v>81</v>
      </c>
      <c r="AH3349" s="11">
        <f>HYPERLINK("https://my.pitchbook.com?c=166018-33T","View Company Online")</f>
      </c>
    </row>
    <row r="3350">
      <c r="A3350" s="12" t="s">
        <v>17383</v>
      </c>
      <c r="B3350" s="12" t="s">
        <v>17384</v>
      </c>
      <c r="C3350" s="19" t="s">
        <v>36</v>
      </c>
      <c r="D3350" s="19" t="s">
        <v>36</v>
      </c>
      <c r="E3350" s="19" t="s">
        <v>36</v>
      </c>
      <c r="F3350" s="19" t="s">
        <v>36</v>
      </c>
      <c r="G3350" s="15" t="s">
        <v>36</v>
      </c>
      <c r="H3350" s="14" t="s">
        <v>36</v>
      </c>
      <c r="I3350" s="18" t="s">
        <v>36</v>
      </c>
      <c r="J3350" s="12" t="s">
        <v>36</v>
      </c>
      <c r="K3350" s="13" t="s">
        <v>36</v>
      </c>
      <c r="L3350" s="15" t="s">
        <v>36</v>
      </c>
      <c r="M3350" s="12" t="s">
        <v>36</v>
      </c>
      <c r="N3350" s="12" t="s">
        <v>36</v>
      </c>
      <c r="O3350" s="17" t="s">
        <v>36</v>
      </c>
      <c r="P3350" s="12" t="s">
        <v>36</v>
      </c>
      <c r="Q3350" s="12" t="s">
        <v>36</v>
      </c>
      <c r="R3350" s="12" t="s">
        <v>36</v>
      </c>
      <c r="S3350" s="12" t="s">
        <v>36</v>
      </c>
      <c r="T3350" s="12" t="s">
        <v>17385</v>
      </c>
      <c r="U3350" s="12" t="s">
        <v>423</v>
      </c>
      <c r="V3350" s="12" t="s">
        <v>64</v>
      </c>
      <c r="W3350" s="12" t="s">
        <v>17386</v>
      </c>
      <c r="X3350" s="16" t="s">
        <v>13319</v>
      </c>
      <c r="Y3350" s="15" t="s">
        <v>42</v>
      </c>
      <c r="Z3350" s="14" t="s">
        <v>36</v>
      </c>
      <c r="AA3350" s="14" t="s">
        <v>36</v>
      </c>
      <c r="AB3350" s="12" t="s">
        <v>43</v>
      </c>
      <c r="AC3350" s="12" t="s">
        <v>17387</v>
      </c>
      <c r="AD3350" s="13">
        <v>44228</v>
      </c>
      <c r="AE3350" s="12" t="s">
        <v>562</v>
      </c>
      <c r="AF3350" s="12" t="s">
        <v>4270</v>
      </c>
      <c r="AG3350" s="12" t="s">
        <v>81</v>
      </c>
      <c r="AH3350" s="1">
        <f>HYPERLINK("https://my.pitchbook.com?c=167166-64T","View Company Online")</f>
      </c>
    </row>
    <row r="3351">
      <c r="A3351" s="3" t="s">
        <v>17388</v>
      </c>
      <c r="B3351" s="3" t="s">
        <v>17389</v>
      </c>
      <c r="C3351" s="5" t="s">
        <v>36</v>
      </c>
      <c r="D3351" s="5" t="s">
        <v>36</v>
      </c>
      <c r="E3351" s="5" t="s">
        <v>36</v>
      </c>
      <c r="F3351" s="5" t="s">
        <v>36</v>
      </c>
      <c r="G3351" s="6" t="s">
        <v>36</v>
      </c>
      <c r="H3351" s="4" t="s">
        <v>36</v>
      </c>
      <c r="I3351" s="7" t="s">
        <v>36</v>
      </c>
      <c r="J3351" s="3" t="s">
        <v>36</v>
      </c>
      <c r="K3351" s="9" t="s">
        <v>36</v>
      </c>
      <c r="L3351" s="6" t="s">
        <v>36</v>
      </c>
      <c r="M3351" s="3" t="s">
        <v>36</v>
      </c>
      <c r="N3351" s="3" t="s">
        <v>36</v>
      </c>
      <c r="O3351" s="8" t="s">
        <v>36</v>
      </c>
      <c r="P3351" s="3" t="s">
        <v>36</v>
      </c>
      <c r="Q3351" s="3" t="s">
        <v>36</v>
      </c>
      <c r="R3351" s="3" t="s">
        <v>36</v>
      </c>
      <c r="S3351" s="3" t="s">
        <v>36</v>
      </c>
      <c r="T3351" s="3" t="s">
        <v>105</v>
      </c>
      <c r="U3351" s="3" t="s">
        <v>38</v>
      </c>
      <c r="V3351" s="3" t="s">
        <v>39</v>
      </c>
      <c r="W3351" s="3" t="s">
        <v>17390</v>
      </c>
      <c r="X3351" s="10" t="s">
        <v>17391</v>
      </c>
      <c r="Y3351" s="6" t="s">
        <v>42</v>
      </c>
      <c r="Z3351" s="4" t="s">
        <v>36</v>
      </c>
      <c r="AA3351" s="4" t="s">
        <v>36</v>
      </c>
      <c r="AB3351" s="3" t="s">
        <v>56</v>
      </c>
      <c r="AC3351" s="3" t="s">
        <v>17392</v>
      </c>
      <c r="AD3351" s="9">
        <v>44228</v>
      </c>
      <c r="AE3351" s="3" t="s">
        <v>110</v>
      </c>
      <c r="AF3351" s="3" t="s">
        <v>176</v>
      </c>
      <c r="AG3351" s="3" t="s">
        <v>17393</v>
      </c>
      <c r="AH3351" s="11">
        <f>HYPERLINK("https://my.pitchbook.com?c=166242-70T","View Company Online")</f>
      </c>
    </row>
    <row r="3352">
      <c r="A3352" s="12" t="s">
        <v>17394</v>
      </c>
      <c r="B3352" s="12" t="s">
        <v>17395</v>
      </c>
      <c r="C3352" s="19" t="s">
        <v>36</v>
      </c>
      <c r="D3352" s="19" t="s">
        <v>36</v>
      </c>
      <c r="E3352" s="19" t="s">
        <v>36</v>
      </c>
      <c r="F3352" s="19" t="s">
        <v>36</v>
      </c>
      <c r="G3352" s="15" t="s">
        <v>36</v>
      </c>
      <c r="H3352" s="14" t="s">
        <v>36</v>
      </c>
      <c r="I3352" s="18" t="s">
        <v>36</v>
      </c>
      <c r="J3352" s="12" t="s">
        <v>36</v>
      </c>
      <c r="K3352" s="13" t="s">
        <v>36</v>
      </c>
      <c r="L3352" s="15" t="s">
        <v>36</v>
      </c>
      <c r="M3352" s="12" t="s">
        <v>36</v>
      </c>
      <c r="N3352" s="12" t="s">
        <v>36</v>
      </c>
      <c r="O3352" s="17" t="s">
        <v>36</v>
      </c>
      <c r="P3352" s="12" t="s">
        <v>36</v>
      </c>
      <c r="Q3352" s="12" t="s">
        <v>36</v>
      </c>
      <c r="R3352" s="12" t="s">
        <v>36</v>
      </c>
      <c r="S3352" s="12" t="s">
        <v>36</v>
      </c>
      <c r="T3352" s="12" t="s">
        <v>422</v>
      </c>
      <c r="U3352" s="12" t="s">
        <v>423</v>
      </c>
      <c r="V3352" s="12" t="s">
        <v>64</v>
      </c>
      <c r="W3352" s="12" t="s">
        <v>17396</v>
      </c>
      <c r="X3352" s="16" t="s">
        <v>4047</v>
      </c>
      <c r="Y3352" s="15" t="s">
        <v>42</v>
      </c>
      <c r="Z3352" s="14" t="s">
        <v>36</v>
      </c>
      <c r="AA3352" s="14" t="s">
        <v>36</v>
      </c>
      <c r="AB3352" s="12" t="s">
        <v>43</v>
      </c>
      <c r="AC3352" s="12" t="s">
        <v>17397</v>
      </c>
      <c r="AD3352" s="13">
        <v>44228</v>
      </c>
      <c r="AE3352" s="12" t="s">
        <v>427</v>
      </c>
      <c r="AF3352" s="12" t="s">
        <v>90</v>
      </c>
      <c r="AG3352" s="12" t="s">
        <v>17398</v>
      </c>
      <c r="AH3352" s="1">
        <f>HYPERLINK("https://my.pitchbook.com?c=226302-49T","View Company Online")</f>
      </c>
    </row>
    <row r="3353">
      <c r="A3353" s="3" t="s">
        <v>17399</v>
      </c>
      <c r="B3353" s="3" t="s">
        <v>2930</v>
      </c>
      <c r="C3353" s="5">
        <v>4</v>
      </c>
      <c r="D3353" s="5" t="s">
        <v>36</v>
      </c>
      <c r="E3353" s="5">
        <v>1</v>
      </c>
      <c r="F3353" s="5">
        <v>4</v>
      </c>
      <c r="G3353" s="6" t="s">
        <v>36</v>
      </c>
      <c r="H3353" s="4">
        <v>346.2</v>
      </c>
      <c r="I3353" s="7">
        <v>29.78</v>
      </c>
      <c r="J3353" s="3" t="s">
        <v>521</v>
      </c>
      <c r="K3353" s="9" t="s">
        <v>36</v>
      </c>
      <c r="L3353" s="6" t="s">
        <v>36</v>
      </c>
      <c r="M3353" s="3" t="s">
        <v>36</v>
      </c>
      <c r="N3353" s="3" t="s">
        <v>36</v>
      </c>
      <c r="O3353" s="8" t="s">
        <v>36</v>
      </c>
      <c r="P3353" s="3" t="s">
        <v>36</v>
      </c>
      <c r="Q3353" s="3" t="s">
        <v>36</v>
      </c>
      <c r="R3353" s="3" t="s">
        <v>36</v>
      </c>
      <c r="S3353" s="3" t="s">
        <v>36</v>
      </c>
      <c r="T3353" s="3" t="s">
        <v>2931</v>
      </c>
      <c r="U3353" s="3" t="s">
        <v>38</v>
      </c>
      <c r="V3353" s="3" t="s">
        <v>39</v>
      </c>
      <c r="W3353" s="3" t="s">
        <v>2932</v>
      </c>
      <c r="X3353" s="10" t="s">
        <v>17400</v>
      </c>
      <c r="Y3353" s="6" t="s">
        <v>42</v>
      </c>
      <c r="Z3353" s="4">
        <v>0.52</v>
      </c>
      <c r="AA3353" s="4">
        <v>1.73</v>
      </c>
      <c r="AB3353" s="3" t="s">
        <v>43</v>
      </c>
      <c r="AC3353" s="3" t="s">
        <v>2934</v>
      </c>
      <c r="AD3353" s="9">
        <v>44228</v>
      </c>
      <c r="AE3353" s="3" t="s">
        <v>110</v>
      </c>
      <c r="AF3353" s="3" t="s">
        <v>2935</v>
      </c>
      <c r="AG3353" s="3" t="s">
        <v>2936</v>
      </c>
      <c r="AH3353" s="11">
        <f>HYPERLINK("https://my.pitchbook.com?c=172893-25T","View Company Online")</f>
      </c>
    </row>
    <row r="3354">
      <c r="A3354" s="12" t="s">
        <v>17401</v>
      </c>
      <c r="B3354" s="12" t="s">
        <v>1409</v>
      </c>
      <c r="C3354" s="19">
        <v>16</v>
      </c>
      <c r="D3354" s="19">
        <v>21</v>
      </c>
      <c r="E3354" s="19">
        <v>8</v>
      </c>
      <c r="F3354" s="19">
        <v>37</v>
      </c>
      <c r="G3354" s="15" t="s">
        <v>36</v>
      </c>
      <c r="H3354" s="14" t="s">
        <v>36</v>
      </c>
      <c r="I3354" s="18" t="s">
        <v>36</v>
      </c>
      <c r="J3354" s="12" t="s">
        <v>36</v>
      </c>
      <c r="K3354" s="13" t="s">
        <v>36</v>
      </c>
      <c r="L3354" s="15" t="s">
        <v>11273</v>
      </c>
      <c r="M3354" s="12" t="s">
        <v>36</v>
      </c>
      <c r="N3354" s="12" t="s">
        <v>11273</v>
      </c>
      <c r="O3354" s="17" t="s">
        <v>36</v>
      </c>
      <c r="P3354" s="12" t="s">
        <v>36</v>
      </c>
      <c r="Q3354" s="12" t="s">
        <v>36</v>
      </c>
      <c r="R3354" s="12" t="s">
        <v>36</v>
      </c>
      <c r="S3354" s="12" t="s">
        <v>36</v>
      </c>
      <c r="T3354" s="12" t="s">
        <v>1410</v>
      </c>
      <c r="U3354" s="12" t="s">
        <v>96</v>
      </c>
      <c r="V3354" s="12" t="s">
        <v>52</v>
      </c>
      <c r="W3354" s="12" t="s">
        <v>1411</v>
      </c>
      <c r="X3354" s="16" t="s">
        <v>17402</v>
      </c>
      <c r="Y3354" s="15" t="s">
        <v>42</v>
      </c>
      <c r="Z3354" s="14" t="s">
        <v>36</v>
      </c>
      <c r="AA3354" s="14" t="s">
        <v>36</v>
      </c>
      <c r="AB3354" s="12" t="s">
        <v>43</v>
      </c>
      <c r="AC3354" s="12" t="s">
        <v>1413</v>
      </c>
      <c r="AD3354" s="13">
        <v>44228</v>
      </c>
      <c r="AE3354" s="12" t="s">
        <v>1414</v>
      </c>
      <c r="AF3354" s="12" t="s">
        <v>1415</v>
      </c>
      <c r="AG3354" s="12" t="s">
        <v>81</v>
      </c>
      <c r="AH3354" s="1">
        <f>HYPERLINK("https://my.pitchbook.com?c=166837-78T","View Company Online")</f>
      </c>
    </row>
    <row r="3355">
      <c r="A3355" s="3" t="s">
        <v>17403</v>
      </c>
      <c r="B3355" s="3" t="s">
        <v>15281</v>
      </c>
      <c r="C3355" s="5" t="s">
        <v>36</v>
      </c>
      <c r="D3355" s="5" t="s">
        <v>36</v>
      </c>
      <c r="E3355" s="5" t="s">
        <v>36</v>
      </c>
      <c r="F3355" s="5" t="s">
        <v>36</v>
      </c>
      <c r="G3355" s="6" t="s">
        <v>36</v>
      </c>
      <c r="H3355" s="4" t="s">
        <v>36</v>
      </c>
      <c r="I3355" s="7" t="s">
        <v>36</v>
      </c>
      <c r="J3355" s="3" t="s">
        <v>36</v>
      </c>
      <c r="K3355" s="9" t="s">
        <v>36</v>
      </c>
      <c r="L3355" s="6" t="s">
        <v>36</v>
      </c>
      <c r="M3355" s="3" t="s">
        <v>36</v>
      </c>
      <c r="N3355" s="3" t="s">
        <v>36</v>
      </c>
      <c r="O3355" s="8" t="s">
        <v>36</v>
      </c>
      <c r="P3355" s="3" t="s">
        <v>36</v>
      </c>
      <c r="Q3355" s="3" t="s">
        <v>36</v>
      </c>
      <c r="R3355" s="3" t="s">
        <v>36</v>
      </c>
      <c r="S3355" s="3" t="s">
        <v>36</v>
      </c>
      <c r="T3355" s="3" t="s">
        <v>17404</v>
      </c>
      <c r="U3355" s="3" t="s">
        <v>74</v>
      </c>
      <c r="V3355" s="3" t="s">
        <v>75</v>
      </c>
      <c r="W3355" s="3" t="s">
        <v>17405</v>
      </c>
      <c r="X3355" s="10" t="s">
        <v>10637</v>
      </c>
      <c r="Y3355" s="6" t="s">
        <v>42</v>
      </c>
      <c r="Z3355" s="4" t="s">
        <v>36</v>
      </c>
      <c r="AA3355" s="4" t="s">
        <v>36</v>
      </c>
      <c r="AB3355" s="3" t="s">
        <v>56</v>
      </c>
      <c r="AC3355" s="3" t="s">
        <v>17406</v>
      </c>
      <c r="AD3355" s="9">
        <v>44227</v>
      </c>
      <c r="AE3355" s="3" t="s">
        <v>696</v>
      </c>
      <c r="AF3355" s="3" t="s">
        <v>17407</v>
      </c>
      <c r="AG3355" s="3" t="s">
        <v>81</v>
      </c>
      <c r="AH3355" s="11">
        <f>HYPERLINK("https://my.pitchbook.com?c=219101-23T","View Company Online")</f>
      </c>
    </row>
    <row r="3356">
      <c r="A3356" s="12" t="s">
        <v>17408</v>
      </c>
      <c r="B3356" s="12" t="s">
        <v>9264</v>
      </c>
      <c r="C3356" s="19">
        <v>17</v>
      </c>
      <c r="D3356" s="19">
        <v>24</v>
      </c>
      <c r="E3356" s="19">
        <v>14</v>
      </c>
      <c r="F3356" s="19">
        <v>43</v>
      </c>
      <c r="G3356" s="15" t="s">
        <v>326</v>
      </c>
      <c r="H3356" s="14">
        <v>389.46</v>
      </c>
      <c r="I3356" s="18">
        <v>9.81</v>
      </c>
      <c r="J3356" s="12" t="s">
        <v>521</v>
      </c>
      <c r="K3356" s="13" t="s">
        <v>36</v>
      </c>
      <c r="L3356" s="15" t="s">
        <v>36</v>
      </c>
      <c r="M3356" s="12" t="s">
        <v>36</v>
      </c>
      <c r="N3356" s="12" t="s">
        <v>36</v>
      </c>
      <c r="O3356" s="17" t="s">
        <v>36</v>
      </c>
      <c r="P3356" s="12" t="s">
        <v>36</v>
      </c>
      <c r="Q3356" s="12" t="s">
        <v>36</v>
      </c>
      <c r="R3356" s="12" t="s">
        <v>36</v>
      </c>
      <c r="S3356" s="12" t="s">
        <v>36</v>
      </c>
      <c r="T3356" s="12" t="s">
        <v>9265</v>
      </c>
      <c r="U3356" s="12" t="s">
        <v>423</v>
      </c>
      <c r="V3356" s="12" t="s">
        <v>64</v>
      </c>
      <c r="W3356" s="12" t="s">
        <v>9266</v>
      </c>
      <c r="X3356" s="16" t="s">
        <v>17409</v>
      </c>
      <c r="Y3356" s="15" t="s">
        <v>55</v>
      </c>
      <c r="Z3356" s="14">
        <v>1.22</v>
      </c>
      <c r="AA3356" s="14">
        <v>12.4</v>
      </c>
      <c r="AB3356" s="12" t="s">
        <v>56</v>
      </c>
      <c r="AC3356" s="12" t="s">
        <v>9268</v>
      </c>
      <c r="AD3356" s="13">
        <v>44225</v>
      </c>
      <c r="AE3356" s="12" t="s">
        <v>562</v>
      </c>
      <c r="AF3356" s="12" t="s">
        <v>1612</v>
      </c>
      <c r="AG3356" s="12" t="s">
        <v>81</v>
      </c>
      <c r="AH3356" s="1">
        <f>HYPERLINK("https://my.pitchbook.com?c=181330-66T","View Company Online")</f>
      </c>
    </row>
    <row r="3357">
      <c r="A3357" s="3" t="s">
        <v>17410</v>
      </c>
      <c r="B3357" s="3" t="s">
        <v>17411</v>
      </c>
      <c r="C3357" s="5" t="s">
        <v>36</v>
      </c>
      <c r="D3357" s="5" t="s">
        <v>36</v>
      </c>
      <c r="E3357" s="5" t="s">
        <v>36</v>
      </c>
      <c r="F3357" s="5" t="s">
        <v>36</v>
      </c>
      <c r="G3357" s="6" t="s">
        <v>36</v>
      </c>
      <c r="H3357" s="4">
        <v>1.09</v>
      </c>
      <c r="I3357" s="7">
        <v>19</v>
      </c>
      <c r="J3357" s="3" t="s">
        <v>521</v>
      </c>
      <c r="K3357" s="9" t="s">
        <v>36</v>
      </c>
      <c r="L3357" s="6" t="s">
        <v>36</v>
      </c>
      <c r="M3357" s="3" t="s">
        <v>36</v>
      </c>
      <c r="N3357" s="3" t="s">
        <v>36</v>
      </c>
      <c r="O3357" s="8" t="s">
        <v>36</v>
      </c>
      <c r="P3357" s="3" t="s">
        <v>36</v>
      </c>
      <c r="Q3357" s="3" t="s">
        <v>36</v>
      </c>
      <c r="R3357" s="3" t="s">
        <v>36</v>
      </c>
      <c r="S3357" s="3" t="s">
        <v>36</v>
      </c>
      <c r="T3357" s="3" t="s">
        <v>11802</v>
      </c>
      <c r="U3357" s="3" t="s">
        <v>74</v>
      </c>
      <c r="V3357" s="3" t="s">
        <v>75</v>
      </c>
      <c r="W3357" s="3" t="s">
        <v>17412</v>
      </c>
      <c r="X3357" s="10" t="s">
        <v>17413</v>
      </c>
      <c r="Y3357" s="6" t="s">
        <v>42</v>
      </c>
      <c r="Z3357" s="4">
        <v>0.05</v>
      </c>
      <c r="AA3357" s="4">
        <v>0.24</v>
      </c>
      <c r="AB3357" s="3" t="s">
        <v>43</v>
      </c>
      <c r="AC3357" s="3" t="s">
        <v>17414</v>
      </c>
      <c r="AD3357" s="9">
        <v>44225</v>
      </c>
      <c r="AE3357" s="3" t="s">
        <v>1888</v>
      </c>
      <c r="AF3357" s="3" t="s">
        <v>546</v>
      </c>
      <c r="AG3357" s="3" t="s">
        <v>17415</v>
      </c>
      <c r="AH3357" s="11">
        <f>HYPERLINK("https://my.pitchbook.com?c=172464-49T","View Company Online")</f>
      </c>
    </row>
    <row r="3358">
      <c r="A3358" s="12" t="s">
        <v>17416</v>
      </c>
      <c r="B3358" s="12" t="s">
        <v>17417</v>
      </c>
      <c r="C3358" s="19" t="s">
        <v>36</v>
      </c>
      <c r="D3358" s="19" t="s">
        <v>36</v>
      </c>
      <c r="E3358" s="19" t="s">
        <v>36</v>
      </c>
      <c r="F3358" s="19" t="s">
        <v>36</v>
      </c>
      <c r="G3358" s="15" t="s">
        <v>36</v>
      </c>
      <c r="H3358" s="14" t="s">
        <v>36</v>
      </c>
      <c r="I3358" s="18" t="s">
        <v>36</v>
      </c>
      <c r="J3358" s="12" t="s">
        <v>36</v>
      </c>
      <c r="K3358" s="13" t="s">
        <v>36</v>
      </c>
      <c r="L3358" s="15" t="s">
        <v>36</v>
      </c>
      <c r="M3358" s="12" t="s">
        <v>36</v>
      </c>
      <c r="N3358" s="12" t="s">
        <v>36</v>
      </c>
      <c r="O3358" s="17" t="s">
        <v>36</v>
      </c>
      <c r="P3358" s="12" t="s">
        <v>36</v>
      </c>
      <c r="Q3358" s="12" t="s">
        <v>36</v>
      </c>
      <c r="R3358" s="12" t="s">
        <v>36</v>
      </c>
      <c r="S3358" s="12" t="s">
        <v>36</v>
      </c>
      <c r="T3358" s="12" t="s">
        <v>6694</v>
      </c>
      <c r="U3358" s="12" t="s">
        <v>728</v>
      </c>
      <c r="V3358" s="12" t="s">
        <v>64</v>
      </c>
      <c r="W3358" s="12" t="s">
        <v>17418</v>
      </c>
      <c r="X3358" s="16" t="s">
        <v>10631</v>
      </c>
      <c r="Y3358" s="15" t="s">
        <v>108</v>
      </c>
      <c r="Z3358" s="14" t="s">
        <v>36</v>
      </c>
      <c r="AA3358" s="14" t="s">
        <v>36</v>
      </c>
      <c r="AB3358" s="12" t="s">
        <v>56</v>
      </c>
      <c r="AC3358" s="12" t="s">
        <v>17419</v>
      </c>
      <c r="AD3358" s="13">
        <v>44225</v>
      </c>
      <c r="AE3358" s="12" t="s">
        <v>2154</v>
      </c>
      <c r="AF3358" s="12" t="s">
        <v>90</v>
      </c>
      <c r="AG3358" s="12" t="s">
        <v>81</v>
      </c>
      <c r="AH3358" s="1">
        <f>HYPERLINK("https://my.pitchbook.com?c=166545-64T","View Company Online")</f>
      </c>
    </row>
    <row r="3359">
      <c r="A3359" s="3" t="s">
        <v>17420</v>
      </c>
      <c r="B3359" s="3" t="s">
        <v>3590</v>
      </c>
      <c r="C3359" s="5" t="s">
        <v>36</v>
      </c>
      <c r="D3359" s="5">
        <v>2</v>
      </c>
      <c r="E3359" s="5">
        <v>1</v>
      </c>
      <c r="F3359" s="5">
        <v>2</v>
      </c>
      <c r="G3359" s="6" t="s">
        <v>326</v>
      </c>
      <c r="H3359" s="4">
        <v>11.99</v>
      </c>
      <c r="I3359" s="7">
        <v>25.84</v>
      </c>
      <c r="J3359" s="3" t="s">
        <v>521</v>
      </c>
      <c r="K3359" s="9" t="s">
        <v>36</v>
      </c>
      <c r="L3359" s="6" t="s">
        <v>36</v>
      </c>
      <c r="M3359" s="3" t="s">
        <v>36</v>
      </c>
      <c r="N3359" s="3" t="s">
        <v>36</v>
      </c>
      <c r="O3359" s="8" t="s">
        <v>36</v>
      </c>
      <c r="P3359" s="3" t="s">
        <v>36</v>
      </c>
      <c r="Q3359" s="3" t="s">
        <v>36</v>
      </c>
      <c r="R3359" s="3" t="s">
        <v>36</v>
      </c>
      <c r="S3359" s="3" t="s">
        <v>36</v>
      </c>
      <c r="T3359" s="3" t="s">
        <v>3591</v>
      </c>
      <c r="U3359" s="3" t="s">
        <v>38</v>
      </c>
      <c r="V3359" s="3" t="s">
        <v>39</v>
      </c>
      <c r="W3359" s="3" t="s">
        <v>3592</v>
      </c>
      <c r="X3359" s="10" t="s">
        <v>17421</v>
      </c>
      <c r="Y3359" s="6" t="s">
        <v>55</v>
      </c>
      <c r="Z3359" s="4">
        <v>3.65</v>
      </c>
      <c r="AA3359" s="4">
        <v>7.05</v>
      </c>
      <c r="AB3359" s="3" t="s">
        <v>56</v>
      </c>
      <c r="AC3359" s="3" t="s">
        <v>3594</v>
      </c>
      <c r="AD3359" s="9">
        <v>44224</v>
      </c>
      <c r="AE3359" s="3" t="s">
        <v>688</v>
      </c>
      <c r="AF3359" s="3" t="s">
        <v>118</v>
      </c>
      <c r="AG3359" s="3" t="s">
        <v>3595</v>
      </c>
      <c r="AH3359" s="11">
        <f>HYPERLINK("https://my.pitchbook.com?c=164491-93T","View Company Online")</f>
      </c>
    </row>
    <row r="3360">
      <c r="A3360" s="12" t="s">
        <v>17422</v>
      </c>
      <c r="B3360" s="12" t="s">
        <v>8643</v>
      </c>
      <c r="C3360" s="19" t="s">
        <v>36</v>
      </c>
      <c r="D3360" s="19" t="s">
        <v>36</v>
      </c>
      <c r="E3360" s="19" t="s">
        <v>36</v>
      </c>
      <c r="F3360" s="19" t="s">
        <v>36</v>
      </c>
      <c r="G3360" s="15" t="s">
        <v>683</v>
      </c>
      <c r="H3360" s="14">
        <v>23.18</v>
      </c>
      <c r="I3360" s="18">
        <v>21.51</v>
      </c>
      <c r="J3360" s="12" t="s">
        <v>521</v>
      </c>
      <c r="K3360" s="13" t="s">
        <v>36</v>
      </c>
      <c r="L3360" s="15" t="s">
        <v>5639</v>
      </c>
      <c r="M3360" s="12" t="s">
        <v>36</v>
      </c>
      <c r="N3360" s="12" t="s">
        <v>5639</v>
      </c>
      <c r="O3360" s="17" t="s">
        <v>36</v>
      </c>
      <c r="P3360" s="12" t="s">
        <v>36</v>
      </c>
      <c r="Q3360" s="12" t="s">
        <v>36</v>
      </c>
      <c r="R3360" s="12" t="s">
        <v>36</v>
      </c>
      <c r="S3360" s="12" t="s">
        <v>36</v>
      </c>
      <c r="T3360" s="12" t="s">
        <v>37</v>
      </c>
      <c r="U3360" s="12" t="s">
        <v>38</v>
      </c>
      <c r="V3360" s="12" t="s">
        <v>39</v>
      </c>
      <c r="W3360" s="12" t="s">
        <v>8644</v>
      </c>
      <c r="X3360" s="16" t="s">
        <v>17423</v>
      </c>
      <c r="Y3360" s="15" t="s">
        <v>321</v>
      </c>
      <c r="Z3360" s="14">
        <v>6.98</v>
      </c>
      <c r="AA3360" s="14">
        <v>32.47</v>
      </c>
      <c r="AB3360" s="12" t="s">
        <v>56</v>
      </c>
      <c r="AC3360" s="12" t="s">
        <v>8646</v>
      </c>
      <c r="AD3360" s="13">
        <v>44224</v>
      </c>
      <c r="AE3360" s="12" t="s">
        <v>45</v>
      </c>
      <c r="AF3360" s="12" t="s">
        <v>5901</v>
      </c>
      <c r="AG3360" s="12" t="s">
        <v>4796</v>
      </c>
      <c r="AH3360" s="1">
        <f>HYPERLINK("https://my.pitchbook.com?c=165839-05T","View Company Online")</f>
      </c>
    </row>
    <row r="3361">
      <c r="A3361" s="3" t="s">
        <v>17424</v>
      </c>
      <c r="B3361" s="3" t="s">
        <v>6425</v>
      </c>
      <c r="C3361" s="5" t="s">
        <v>36</v>
      </c>
      <c r="D3361" s="5" t="s">
        <v>36</v>
      </c>
      <c r="E3361" s="5" t="s">
        <v>36</v>
      </c>
      <c r="F3361" s="5" t="s">
        <v>36</v>
      </c>
      <c r="G3361" s="6" t="s">
        <v>36</v>
      </c>
      <c r="H3361" s="4">
        <v>311.57</v>
      </c>
      <c r="I3361" s="7">
        <v>11.94</v>
      </c>
      <c r="J3361" s="3" t="s">
        <v>521</v>
      </c>
      <c r="K3361" s="9" t="s">
        <v>36</v>
      </c>
      <c r="L3361" s="6" t="s">
        <v>36</v>
      </c>
      <c r="M3361" s="3" t="s">
        <v>36</v>
      </c>
      <c r="N3361" s="3" t="s">
        <v>36</v>
      </c>
      <c r="O3361" s="8" t="s">
        <v>36</v>
      </c>
      <c r="P3361" s="3" t="s">
        <v>36</v>
      </c>
      <c r="Q3361" s="3" t="s">
        <v>36</v>
      </c>
      <c r="R3361" s="3" t="s">
        <v>36</v>
      </c>
      <c r="S3361" s="3" t="s">
        <v>36</v>
      </c>
      <c r="T3361" s="3" t="s">
        <v>6426</v>
      </c>
      <c r="U3361" s="3" t="s">
        <v>318</v>
      </c>
      <c r="V3361" s="3" t="s">
        <v>39</v>
      </c>
      <c r="W3361" s="3" t="s">
        <v>6427</v>
      </c>
      <c r="X3361" s="10" t="s">
        <v>17425</v>
      </c>
      <c r="Y3361" s="6" t="s">
        <v>42</v>
      </c>
      <c r="Z3361" s="4">
        <v>0.25</v>
      </c>
      <c r="AA3361" s="4">
        <v>2.07</v>
      </c>
      <c r="AB3361" s="3" t="s">
        <v>43</v>
      </c>
      <c r="AC3361" s="3" t="s">
        <v>6429</v>
      </c>
      <c r="AD3361" s="9">
        <v>44223</v>
      </c>
      <c r="AE3361" s="3" t="s">
        <v>1020</v>
      </c>
      <c r="AF3361" s="3" t="s">
        <v>571</v>
      </c>
      <c r="AG3361" s="3" t="s">
        <v>332</v>
      </c>
      <c r="AH3361" s="11">
        <f>HYPERLINK("https://my.pitchbook.com?c=173457-19T","View Company Online")</f>
      </c>
    </row>
    <row r="3362">
      <c r="A3362" s="12" t="s">
        <v>17426</v>
      </c>
      <c r="B3362" s="12" t="s">
        <v>17427</v>
      </c>
      <c r="C3362" s="19" t="s">
        <v>36</v>
      </c>
      <c r="D3362" s="19" t="s">
        <v>36</v>
      </c>
      <c r="E3362" s="19" t="s">
        <v>36</v>
      </c>
      <c r="F3362" s="19" t="s">
        <v>36</v>
      </c>
      <c r="G3362" s="15" t="s">
        <v>326</v>
      </c>
      <c r="H3362" s="14">
        <v>189.69</v>
      </c>
      <c r="I3362" s="18">
        <v>5.32</v>
      </c>
      <c r="J3362" s="12" t="s">
        <v>521</v>
      </c>
      <c r="K3362" s="13" t="s">
        <v>36</v>
      </c>
      <c r="L3362" s="15" t="s">
        <v>36</v>
      </c>
      <c r="M3362" s="12" t="s">
        <v>36</v>
      </c>
      <c r="N3362" s="12" t="s">
        <v>36</v>
      </c>
      <c r="O3362" s="17" t="s">
        <v>36</v>
      </c>
      <c r="P3362" s="12" t="s">
        <v>36</v>
      </c>
      <c r="Q3362" s="12" t="s">
        <v>36</v>
      </c>
      <c r="R3362" s="12" t="s">
        <v>36</v>
      </c>
      <c r="S3362" s="12" t="s">
        <v>36</v>
      </c>
      <c r="T3362" s="12" t="s">
        <v>10642</v>
      </c>
      <c r="U3362" s="12" t="s">
        <v>833</v>
      </c>
      <c r="V3362" s="12" t="s">
        <v>64</v>
      </c>
      <c r="W3362" s="12" t="s">
        <v>17428</v>
      </c>
      <c r="X3362" s="16" t="s">
        <v>2869</v>
      </c>
      <c r="Y3362" s="15" t="s">
        <v>55</v>
      </c>
      <c r="Z3362" s="14">
        <v>0.11</v>
      </c>
      <c r="AA3362" s="14">
        <v>2.06</v>
      </c>
      <c r="AB3362" s="12" t="s">
        <v>56</v>
      </c>
      <c r="AC3362" s="12" t="s">
        <v>17429</v>
      </c>
      <c r="AD3362" s="13">
        <v>44223</v>
      </c>
      <c r="AE3362" s="12" t="s">
        <v>1687</v>
      </c>
      <c r="AF3362" s="12" t="s">
        <v>17430</v>
      </c>
      <c r="AG3362" s="12" t="s">
        <v>81</v>
      </c>
      <c r="AH3362" s="1">
        <f>HYPERLINK("https://my.pitchbook.com?c=191249-20T","View Company Online")</f>
      </c>
    </row>
    <row r="3363">
      <c r="A3363" s="3" t="s">
        <v>17431</v>
      </c>
      <c r="B3363" s="3" t="s">
        <v>9078</v>
      </c>
      <c r="C3363" s="5">
        <v>5</v>
      </c>
      <c r="D3363" s="5">
        <v>26</v>
      </c>
      <c r="E3363" s="5">
        <v>9</v>
      </c>
      <c r="F3363" s="5">
        <v>36</v>
      </c>
      <c r="G3363" s="6" t="s">
        <v>683</v>
      </c>
      <c r="H3363" s="4">
        <v>311.57</v>
      </c>
      <c r="I3363" s="7">
        <v>12.38</v>
      </c>
      <c r="J3363" s="3" t="s">
        <v>521</v>
      </c>
      <c r="K3363" s="9" t="s">
        <v>36</v>
      </c>
      <c r="L3363" s="6" t="s">
        <v>36</v>
      </c>
      <c r="M3363" s="3" t="s">
        <v>36</v>
      </c>
      <c r="N3363" s="3" t="s">
        <v>36</v>
      </c>
      <c r="O3363" s="8" t="s">
        <v>36</v>
      </c>
      <c r="P3363" s="3" t="s">
        <v>36</v>
      </c>
      <c r="Q3363" s="3" t="s">
        <v>36</v>
      </c>
      <c r="R3363" s="3" t="s">
        <v>36</v>
      </c>
      <c r="S3363" s="3" t="s">
        <v>6657</v>
      </c>
      <c r="T3363" s="3" t="s">
        <v>9079</v>
      </c>
      <c r="U3363" s="3" t="s">
        <v>366</v>
      </c>
      <c r="V3363" s="3" t="s">
        <v>367</v>
      </c>
      <c r="W3363" s="3" t="s">
        <v>9080</v>
      </c>
      <c r="X3363" s="10" t="s">
        <v>17432</v>
      </c>
      <c r="Y3363" s="6" t="s">
        <v>192</v>
      </c>
      <c r="Z3363" s="4">
        <v>2.06</v>
      </c>
      <c r="AA3363" s="4">
        <v>16.65</v>
      </c>
      <c r="AB3363" s="3" t="s">
        <v>56</v>
      </c>
      <c r="AC3363" s="3" t="s">
        <v>9081</v>
      </c>
      <c r="AD3363" s="9">
        <v>44223</v>
      </c>
      <c r="AE3363" s="3" t="s">
        <v>600</v>
      </c>
      <c r="AF3363" s="3" t="s">
        <v>9082</v>
      </c>
      <c r="AG3363" s="3" t="s">
        <v>9083</v>
      </c>
      <c r="AH3363" s="11">
        <f>HYPERLINK("https://my.pitchbook.com?c=179533-09T","View Company Online")</f>
      </c>
    </row>
    <row r="3364">
      <c r="A3364" s="12" t="s">
        <v>17433</v>
      </c>
      <c r="B3364" s="12" t="s">
        <v>10898</v>
      </c>
      <c r="C3364" s="19" t="s">
        <v>36</v>
      </c>
      <c r="D3364" s="19" t="s">
        <v>36</v>
      </c>
      <c r="E3364" s="19" t="s">
        <v>36</v>
      </c>
      <c r="F3364" s="19" t="s">
        <v>36</v>
      </c>
      <c r="G3364" s="15" t="s">
        <v>36</v>
      </c>
      <c r="H3364" s="14" t="s">
        <v>36</v>
      </c>
      <c r="I3364" s="18" t="s">
        <v>36</v>
      </c>
      <c r="J3364" s="12" t="s">
        <v>36</v>
      </c>
      <c r="K3364" s="13" t="s">
        <v>36</v>
      </c>
      <c r="L3364" s="15" t="s">
        <v>36</v>
      </c>
      <c r="M3364" s="12" t="s">
        <v>36</v>
      </c>
      <c r="N3364" s="12" t="s">
        <v>36</v>
      </c>
      <c r="O3364" s="17" t="s">
        <v>36</v>
      </c>
      <c r="P3364" s="12" t="s">
        <v>36</v>
      </c>
      <c r="Q3364" s="12" t="s">
        <v>36</v>
      </c>
      <c r="R3364" s="12" t="s">
        <v>36</v>
      </c>
      <c r="S3364" s="12" t="s">
        <v>36</v>
      </c>
      <c r="T3364" s="12" t="s">
        <v>342</v>
      </c>
      <c r="U3364" s="12" t="s">
        <v>38</v>
      </c>
      <c r="V3364" s="12" t="s">
        <v>39</v>
      </c>
      <c r="W3364" s="12" t="s">
        <v>10899</v>
      </c>
      <c r="X3364" s="16" t="s">
        <v>17434</v>
      </c>
      <c r="Y3364" s="15" t="s">
        <v>42</v>
      </c>
      <c r="Z3364" s="14">
        <v>1.34</v>
      </c>
      <c r="AA3364" s="14" t="s">
        <v>36</v>
      </c>
      <c r="AB3364" s="12" t="s">
        <v>43</v>
      </c>
      <c r="AC3364" s="12" t="s">
        <v>10901</v>
      </c>
      <c r="AD3364" s="13">
        <v>44223</v>
      </c>
      <c r="AE3364" s="12" t="s">
        <v>110</v>
      </c>
      <c r="AF3364" s="12" t="s">
        <v>256</v>
      </c>
      <c r="AG3364" s="12" t="s">
        <v>47</v>
      </c>
      <c r="AH3364" s="1">
        <f>HYPERLINK("https://my.pitchbook.com?c=167612-23T","View Company Online")</f>
      </c>
    </row>
    <row r="3365">
      <c r="A3365" s="3" t="s">
        <v>17435</v>
      </c>
      <c r="B3365" s="3" t="s">
        <v>17436</v>
      </c>
      <c r="C3365" s="5" t="s">
        <v>36</v>
      </c>
      <c r="D3365" s="5" t="s">
        <v>36</v>
      </c>
      <c r="E3365" s="5" t="s">
        <v>36</v>
      </c>
      <c r="F3365" s="5" t="s">
        <v>36</v>
      </c>
      <c r="G3365" s="6" t="s">
        <v>36</v>
      </c>
      <c r="H3365" s="4">
        <v>130.88</v>
      </c>
      <c r="I3365" s="7">
        <v>36.85</v>
      </c>
      <c r="J3365" s="3" t="s">
        <v>36</v>
      </c>
      <c r="K3365" s="9" t="s">
        <v>36</v>
      </c>
      <c r="L3365" s="6" t="s">
        <v>36</v>
      </c>
      <c r="M3365" s="3" t="s">
        <v>36</v>
      </c>
      <c r="N3365" s="3" t="s">
        <v>36</v>
      </c>
      <c r="O3365" s="8" t="s">
        <v>36</v>
      </c>
      <c r="P3365" s="3" t="s">
        <v>36</v>
      </c>
      <c r="Q3365" s="3" t="s">
        <v>36</v>
      </c>
      <c r="R3365" s="3" t="s">
        <v>36</v>
      </c>
      <c r="S3365" s="3" t="s">
        <v>36</v>
      </c>
      <c r="T3365" s="3" t="s">
        <v>17437</v>
      </c>
      <c r="U3365" s="3" t="s">
        <v>833</v>
      </c>
      <c r="V3365" s="3" t="s">
        <v>64</v>
      </c>
      <c r="W3365" s="3" t="s">
        <v>17438</v>
      </c>
      <c r="X3365" s="10" t="s">
        <v>17439</v>
      </c>
      <c r="Y3365" s="6" t="s">
        <v>42</v>
      </c>
      <c r="Z3365" s="4">
        <v>2.19</v>
      </c>
      <c r="AA3365" s="4" t="s">
        <v>36</v>
      </c>
      <c r="AB3365" s="3" t="s">
        <v>56</v>
      </c>
      <c r="AC3365" s="3" t="s">
        <v>17440</v>
      </c>
      <c r="AD3365" s="9">
        <v>44222</v>
      </c>
      <c r="AE3365" s="3" t="s">
        <v>837</v>
      </c>
      <c r="AF3365" s="3" t="s">
        <v>17176</v>
      </c>
      <c r="AG3365" s="3" t="s">
        <v>17441</v>
      </c>
      <c r="AH3365" s="11">
        <f>HYPERLINK("https://my.pitchbook.com?c=165976-57T","View Company Online")</f>
      </c>
    </row>
    <row r="3366">
      <c r="A3366" s="12" t="s">
        <v>17442</v>
      </c>
      <c r="B3366" s="12" t="s">
        <v>17443</v>
      </c>
      <c r="C3366" s="19" t="s">
        <v>36</v>
      </c>
      <c r="D3366" s="19">
        <v>2</v>
      </c>
      <c r="E3366" s="19">
        <v>1</v>
      </c>
      <c r="F3366" s="19">
        <v>2</v>
      </c>
      <c r="G3366" s="15" t="s">
        <v>36</v>
      </c>
      <c r="H3366" s="14" t="s">
        <v>36</v>
      </c>
      <c r="I3366" s="18" t="s">
        <v>36</v>
      </c>
      <c r="J3366" s="12" t="s">
        <v>36</v>
      </c>
      <c r="K3366" s="13" t="s">
        <v>36</v>
      </c>
      <c r="L3366" s="15" t="s">
        <v>36</v>
      </c>
      <c r="M3366" s="12" t="s">
        <v>36</v>
      </c>
      <c r="N3366" s="12" t="s">
        <v>36</v>
      </c>
      <c r="O3366" s="17" t="s">
        <v>36</v>
      </c>
      <c r="P3366" s="12" t="s">
        <v>36</v>
      </c>
      <c r="Q3366" s="12" t="s">
        <v>36</v>
      </c>
      <c r="R3366" s="12" t="s">
        <v>36</v>
      </c>
      <c r="S3366" s="12" t="s">
        <v>36</v>
      </c>
      <c r="T3366" s="12" t="s">
        <v>37</v>
      </c>
      <c r="U3366" s="12" t="s">
        <v>38</v>
      </c>
      <c r="V3366" s="12" t="s">
        <v>39</v>
      </c>
      <c r="W3366" s="12" t="s">
        <v>17444</v>
      </c>
      <c r="X3366" s="16" t="s">
        <v>17445</v>
      </c>
      <c r="Y3366" s="15" t="s">
        <v>55</v>
      </c>
      <c r="Z3366" s="14">
        <v>2.43</v>
      </c>
      <c r="AA3366" s="14" t="s">
        <v>36</v>
      </c>
      <c r="AB3366" s="12" t="s">
        <v>56</v>
      </c>
      <c r="AC3366" s="12" t="s">
        <v>17446</v>
      </c>
      <c r="AD3366" s="13">
        <v>44222</v>
      </c>
      <c r="AE3366" s="12" t="s">
        <v>45</v>
      </c>
      <c r="AF3366" s="12" t="s">
        <v>17447</v>
      </c>
      <c r="AG3366" s="12" t="s">
        <v>2618</v>
      </c>
      <c r="AH3366" s="1">
        <f>HYPERLINK("https://my.pitchbook.com?c=166832-65T","View Company Online")</f>
      </c>
    </row>
    <row r="3367">
      <c r="A3367" s="3" t="s">
        <v>17448</v>
      </c>
      <c r="B3367" s="3" t="s">
        <v>10866</v>
      </c>
      <c r="C3367" s="5" t="s">
        <v>36</v>
      </c>
      <c r="D3367" s="5" t="s">
        <v>36</v>
      </c>
      <c r="E3367" s="5" t="s">
        <v>36</v>
      </c>
      <c r="F3367" s="5" t="s">
        <v>36</v>
      </c>
      <c r="G3367" s="6" t="s">
        <v>36</v>
      </c>
      <c r="H3367" s="4">
        <v>57.03</v>
      </c>
      <c r="I3367" s="7">
        <v>18.93</v>
      </c>
      <c r="J3367" s="3" t="s">
        <v>521</v>
      </c>
      <c r="K3367" s="9" t="s">
        <v>36</v>
      </c>
      <c r="L3367" s="6" t="s">
        <v>36</v>
      </c>
      <c r="M3367" s="3" t="s">
        <v>36</v>
      </c>
      <c r="N3367" s="3" t="s">
        <v>36</v>
      </c>
      <c r="O3367" s="8" t="s">
        <v>36</v>
      </c>
      <c r="P3367" s="3" t="s">
        <v>36</v>
      </c>
      <c r="Q3367" s="3" t="s">
        <v>36</v>
      </c>
      <c r="R3367" s="3" t="s">
        <v>36</v>
      </c>
      <c r="S3367" s="3" t="s">
        <v>36</v>
      </c>
      <c r="T3367" s="3" t="s">
        <v>37</v>
      </c>
      <c r="U3367" s="3" t="s">
        <v>38</v>
      </c>
      <c r="V3367" s="3" t="s">
        <v>39</v>
      </c>
      <c r="W3367" s="3" t="s">
        <v>10867</v>
      </c>
      <c r="X3367" s="10" t="s">
        <v>17449</v>
      </c>
      <c r="Y3367" s="6" t="s">
        <v>42</v>
      </c>
      <c r="Z3367" s="4">
        <v>1.22</v>
      </c>
      <c r="AA3367" s="4">
        <v>3.41</v>
      </c>
      <c r="AB3367" s="3" t="s">
        <v>43</v>
      </c>
      <c r="AC3367" s="3" t="s">
        <v>10869</v>
      </c>
      <c r="AD3367" s="9">
        <v>44222</v>
      </c>
      <c r="AE3367" s="3" t="s">
        <v>45</v>
      </c>
      <c r="AF3367" s="3" t="s">
        <v>215</v>
      </c>
      <c r="AG3367" s="3" t="s">
        <v>102</v>
      </c>
      <c r="AH3367" s="11">
        <f>HYPERLINK("https://my.pitchbook.com?c=165662-02T","View Company Online")</f>
      </c>
    </row>
    <row r="3368">
      <c r="A3368" s="12" t="s">
        <v>17450</v>
      </c>
      <c r="B3368" s="12" t="s">
        <v>17451</v>
      </c>
      <c r="C3368" s="19" t="s">
        <v>36</v>
      </c>
      <c r="D3368" s="19" t="s">
        <v>36</v>
      </c>
      <c r="E3368" s="19" t="s">
        <v>36</v>
      </c>
      <c r="F3368" s="19" t="s">
        <v>36</v>
      </c>
      <c r="G3368" s="15" t="s">
        <v>36</v>
      </c>
      <c r="H3368" s="14" t="s">
        <v>36</v>
      </c>
      <c r="I3368" s="18" t="s">
        <v>36</v>
      </c>
      <c r="J3368" s="12" t="s">
        <v>36</v>
      </c>
      <c r="K3368" s="13" t="s">
        <v>36</v>
      </c>
      <c r="L3368" s="15" t="s">
        <v>36</v>
      </c>
      <c r="M3368" s="12" t="s">
        <v>36</v>
      </c>
      <c r="N3368" s="12" t="s">
        <v>36</v>
      </c>
      <c r="O3368" s="17" t="s">
        <v>36</v>
      </c>
      <c r="P3368" s="12" t="s">
        <v>36</v>
      </c>
      <c r="Q3368" s="12" t="s">
        <v>36</v>
      </c>
      <c r="R3368" s="12" t="s">
        <v>36</v>
      </c>
      <c r="S3368" s="12" t="s">
        <v>36</v>
      </c>
      <c r="T3368" s="12" t="s">
        <v>7767</v>
      </c>
      <c r="U3368" s="12" t="s">
        <v>51</v>
      </c>
      <c r="V3368" s="12" t="s">
        <v>52</v>
      </c>
      <c r="W3368" s="12" t="s">
        <v>17452</v>
      </c>
      <c r="X3368" s="16" t="s">
        <v>17453</v>
      </c>
      <c r="Y3368" s="15" t="s">
        <v>42</v>
      </c>
      <c r="Z3368" s="14">
        <v>1.12</v>
      </c>
      <c r="AA3368" s="14" t="s">
        <v>36</v>
      </c>
      <c r="AB3368" s="12" t="s">
        <v>43</v>
      </c>
      <c r="AC3368" s="12" t="s">
        <v>17454</v>
      </c>
      <c r="AD3368" s="13">
        <v>44222</v>
      </c>
      <c r="AE3368" s="12" t="s">
        <v>158</v>
      </c>
      <c r="AF3368" s="12" t="s">
        <v>17455</v>
      </c>
      <c r="AG3368" s="12" t="s">
        <v>652</v>
      </c>
      <c r="AH3368" s="1">
        <f>HYPERLINK("https://my.pitchbook.com?c=165745-90T","View Company Online")</f>
      </c>
    </row>
    <row r="3369">
      <c r="A3369" s="3" t="s">
        <v>17456</v>
      </c>
      <c r="B3369" s="3" t="s">
        <v>11035</v>
      </c>
      <c r="C3369" s="5" t="s">
        <v>36</v>
      </c>
      <c r="D3369" s="5">
        <v>1</v>
      </c>
      <c r="E3369" s="5">
        <v>1</v>
      </c>
      <c r="F3369" s="5">
        <v>2</v>
      </c>
      <c r="G3369" s="6" t="s">
        <v>36</v>
      </c>
      <c r="H3369" s="4">
        <v>391.72</v>
      </c>
      <c r="I3369" s="7">
        <v>39.37</v>
      </c>
      <c r="J3369" s="3" t="s">
        <v>521</v>
      </c>
      <c r="K3369" s="9">
        <v>43710</v>
      </c>
      <c r="L3369" s="6" t="s">
        <v>36</v>
      </c>
      <c r="M3369" s="3" t="s">
        <v>36</v>
      </c>
      <c r="N3369" s="3" t="s">
        <v>36</v>
      </c>
      <c r="O3369" s="8" t="s">
        <v>36</v>
      </c>
      <c r="P3369" s="3" t="s">
        <v>36</v>
      </c>
      <c r="Q3369" s="3" t="s">
        <v>36</v>
      </c>
      <c r="R3369" s="3" t="s">
        <v>36</v>
      </c>
      <c r="S3369" s="3" t="s">
        <v>36</v>
      </c>
      <c r="T3369" s="3" t="s">
        <v>11036</v>
      </c>
      <c r="U3369" s="3" t="s">
        <v>38</v>
      </c>
      <c r="V3369" s="3" t="s">
        <v>39</v>
      </c>
      <c r="W3369" s="3" t="s">
        <v>11037</v>
      </c>
      <c r="X3369" s="10" t="s">
        <v>17457</v>
      </c>
      <c r="Y3369" s="6" t="s">
        <v>42</v>
      </c>
      <c r="Z3369" s="4">
        <v>4.26</v>
      </c>
      <c r="AA3369" s="4">
        <v>5.41</v>
      </c>
      <c r="AB3369" s="3" t="s">
        <v>56</v>
      </c>
      <c r="AC3369" s="3" t="s">
        <v>11039</v>
      </c>
      <c r="AD3369" s="9">
        <v>44222</v>
      </c>
      <c r="AE3369" s="3" t="s">
        <v>110</v>
      </c>
      <c r="AF3369" s="3" t="s">
        <v>111</v>
      </c>
      <c r="AG3369" s="3" t="s">
        <v>899</v>
      </c>
      <c r="AH3369" s="11">
        <f>HYPERLINK("https://my.pitchbook.com?c=165700-36T","View Company Online")</f>
      </c>
    </row>
    <row r="3370">
      <c r="A3370" s="12" t="s">
        <v>17458</v>
      </c>
      <c r="B3370" s="12" t="s">
        <v>17459</v>
      </c>
      <c r="C3370" s="19">
        <v>1</v>
      </c>
      <c r="D3370" s="19">
        <v>4</v>
      </c>
      <c r="E3370" s="19">
        <v>3</v>
      </c>
      <c r="F3370" s="19">
        <v>7</v>
      </c>
      <c r="G3370" s="15" t="s">
        <v>36</v>
      </c>
      <c r="H3370" s="14" t="s">
        <v>36</v>
      </c>
      <c r="I3370" s="18" t="s">
        <v>36</v>
      </c>
      <c r="J3370" s="12" t="s">
        <v>36</v>
      </c>
      <c r="K3370" s="13" t="s">
        <v>36</v>
      </c>
      <c r="L3370" s="15" t="s">
        <v>36</v>
      </c>
      <c r="M3370" s="12" t="s">
        <v>36</v>
      </c>
      <c r="N3370" s="12" t="s">
        <v>36</v>
      </c>
      <c r="O3370" s="17" t="s">
        <v>36</v>
      </c>
      <c r="P3370" s="12" t="s">
        <v>36</v>
      </c>
      <c r="Q3370" s="12" t="s">
        <v>36</v>
      </c>
      <c r="R3370" s="12" t="s">
        <v>36</v>
      </c>
      <c r="S3370" s="12" t="s">
        <v>36</v>
      </c>
      <c r="T3370" s="12" t="s">
        <v>5525</v>
      </c>
      <c r="U3370" s="12" t="s">
        <v>38</v>
      </c>
      <c r="V3370" s="12" t="s">
        <v>39</v>
      </c>
      <c r="W3370" s="12" t="s">
        <v>17460</v>
      </c>
      <c r="X3370" s="16" t="s">
        <v>17461</v>
      </c>
      <c r="Y3370" s="15" t="s">
        <v>321</v>
      </c>
      <c r="Z3370" s="14">
        <v>31.63</v>
      </c>
      <c r="AA3370" s="14" t="s">
        <v>36</v>
      </c>
      <c r="AB3370" s="12" t="s">
        <v>56</v>
      </c>
      <c r="AC3370" s="12" t="s">
        <v>17462</v>
      </c>
      <c r="AD3370" s="13">
        <v>44222</v>
      </c>
      <c r="AE3370" s="12" t="s">
        <v>110</v>
      </c>
      <c r="AF3370" s="12" t="s">
        <v>7107</v>
      </c>
      <c r="AG3370" s="12" t="s">
        <v>924</v>
      </c>
      <c r="AH3370" s="1">
        <f>HYPERLINK("https://my.pitchbook.com?c=165386-71T","View Company Online")</f>
      </c>
    </row>
    <row r="3371">
      <c r="A3371" s="3" t="s">
        <v>17463</v>
      </c>
      <c r="B3371" s="3" t="s">
        <v>2614</v>
      </c>
      <c r="C3371" s="5" t="s">
        <v>36</v>
      </c>
      <c r="D3371" s="5" t="s">
        <v>36</v>
      </c>
      <c r="E3371" s="5" t="s">
        <v>36</v>
      </c>
      <c r="F3371" s="5" t="s">
        <v>36</v>
      </c>
      <c r="G3371" s="6" t="s">
        <v>326</v>
      </c>
      <c r="H3371" s="4">
        <v>6.32</v>
      </c>
      <c r="I3371" s="7">
        <v>24.77</v>
      </c>
      <c r="J3371" s="3" t="s">
        <v>521</v>
      </c>
      <c r="K3371" s="9">
        <v>44209</v>
      </c>
      <c r="L3371" s="6" t="s">
        <v>94</v>
      </c>
      <c r="M3371" s="3" t="s">
        <v>36</v>
      </c>
      <c r="N3371" s="3" t="s">
        <v>94</v>
      </c>
      <c r="O3371" s="8" t="s">
        <v>36</v>
      </c>
      <c r="P3371" s="3" t="s">
        <v>36</v>
      </c>
      <c r="Q3371" s="3" t="s">
        <v>36</v>
      </c>
      <c r="R3371" s="3" t="s">
        <v>36</v>
      </c>
      <c r="S3371" s="3" t="s">
        <v>36</v>
      </c>
      <c r="T3371" s="3" t="s">
        <v>1253</v>
      </c>
      <c r="U3371" s="3" t="s">
        <v>38</v>
      </c>
      <c r="V3371" s="3" t="s">
        <v>39</v>
      </c>
      <c r="W3371" s="3" t="s">
        <v>2615</v>
      </c>
      <c r="X3371" s="10" t="s">
        <v>17464</v>
      </c>
      <c r="Y3371" s="6" t="s">
        <v>192</v>
      </c>
      <c r="Z3371" s="4">
        <v>58.02</v>
      </c>
      <c r="AA3371" s="4">
        <v>234.26</v>
      </c>
      <c r="AB3371" s="3" t="s">
        <v>43</v>
      </c>
      <c r="AC3371" s="3" t="s">
        <v>2617</v>
      </c>
      <c r="AD3371" s="9">
        <v>44221</v>
      </c>
      <c r="AE3371" s="3" t="s">
        <v>45</v>
      </c>
      <c r="AF3371" s="3" t="s">
        <v>215</v>
      </c>
      <c r="AG3371" s="3" t="s">
        <v>2618</v>
      </c>
      <c r="AH3371" s="11">
        <f>HYPERLINK("https://my.pitchbook.com?c=165548-08T","View Company Online")</f>
      </c>
    </row>
    <row r="3372">
      <c r="A3372" s="12" t="s">
        <v>17465</v>
      </c>
      <c r="B3372" s="12" t="s">
        <v>17466</v>
      </c>
      <c r="C3372" s="19" t="s">
        <v>36</v>
      </c>
      <c r="D3372" s="19">
        <v>1</v>
      </c>
      <c r="E3372" s="19">
        <v>1</v>
      </c>
      <c r="F3372" s="19">
        <v>1</v>
      </c>
      <c r="G3372" s="15" t="s">
        <v>36</v>
      </c>
      <c r="H3372" s="14">
        <v>649.52</v>
      </c>
      <c r="I3372" s="18">
        <v>27.72</v>
      </c>
      <c r="J3372" s="12" t="s">
        <v>327</v>
      </c>
      <c r="K3372" s="13" t="s">
        <v>36</v>
      </c>
      <c r="L3372" s="15" t="s">
        <v>94</v>
      </c>
      <c r="M3372" s="12" t="s">
        <v>36</v>
      </c>
      <c r="N3372" s="12" t="s">
        <v>94</v>
      </c>
      <c r="O3372" s="17" t="s">
        <v>36</v>
      </c>
      <c r="P3372" s="12" t="s">
        <v>36</v>
      </c>
      <c r="Q3372" s="12" t="s">
        <v>36</v>
      </c>
      <c r="R3372" s="12" t="s">
        <v>36</v>
      </c>
      <c r="S3372" s="12" t="s">
        <v>36</v>
      </c>
      <c r="T3372" s="12" t="s">
        <v>2195</v>
      </c>
      <c r="U3372" s="12" t="s">
        <v>279</v>
      </c>
      <c r="V3372" s="12" t="s">
        <v>64</v>
      </c>
      <c r="W3372" s="12" t="s">
        <v>17467</v>
      </c>
      <c r="X3372" s="16" t="s">
        <v>17468</v>
      </c>
      <c r="Y3372" s="15" t="s">
        <v>192</v>
      </c>
      <c r="Z3372" s="14">
        <v>16.86</v>
      </c>
      <c r="AA3372" s="14">
        <v>60.83</v>
      </c>
      <c r="AB3372" s="12" t="s">
        <v>56</v>
      </c>
      <c r="AC3372" s="12" t="s">
        <v>17469</v>
      </c>
      <c r="AD3372" s="13">
        <v>44221</v>
      </c>
      <c r="AE3372" s="12" t="s">
        <v>283</v>
      </c>
      <c r="AF3372" s="12" t="s">
        <v>15624</v>
      </c>
      <c r="AG3372" s="12" t="s">
        <v>81</v>
      </c>
      <c r="AH3372" s="1">
        <f>HYPERLINK("https://my.pitchbook.com?c=165571-75T","View Company Online")</f>
      </c>
    </row>
    <row r="3373">
      <c r="A3373" s="3" t="s">
        <v>17470</v>
      </c>
      <c r="B3373" s="3" t="s">
        <v>17471</v>
      </c>
      <c r="C3373" s="5" t="s">
        <v>36</v>
      </c>
      <c r="D3373" s="5" t="s">
        <v>36</v>
      </c>
      <c r="E3373" s="5" t="s">
        <v>36</v>
      </c>
      <c r="F3373" s="5" t="s">
        <v>36</v>
      </c>
      <c r="G3373" s="6" t="s">
        <v>326</v>
      </c>
      <c r="H3373" s="4">
        <v>524.21</v>
      </c>
      <c r="I3373" s="7">
        <v>35.78</v>
      </c>
      <c r="J3373" s="3" t="s">
        <v>521</v>
      </c>
      <c r="K3373" s="9" t="s">
        <v>36</v>
      </c>
      <c r="L3373" s="6" t="s">
        <v>122</v>
      </c>
      <c r="M3373" s="3" t="s">
        <v>36</v>
      </c>
      <c r="N3373" s="3" t="s">
        <v>122</v>
      </c>
      <c r="O3373" s="8" t="s">
        <v>36</v>
      </c>
      <c r="P3373" s="3" t="s">
        <v>36</v>
      </c>
      <c r="Q3373" s="3" t="s">
        <v>36</v>
      </c>
      <c r="R3373" s="3" t="s">
        <v>36</v>
      </c>
      <c r="S3373" s="3" t="s">
        <v>36</v>
      </c>
      <c r="T3373" s="3" t="s">
        <v>1935</v>
      </c>
      <c r="U3373" s="3" t="s">
        <v>38</v>
      </c>
      <c r="V3373" s="3" t="s">
        <v>39</v>
      </c>
      <c r="W3373" s="3" t="s">
        <v>17472</v>
      </c>
      <c r="X3373" s="10" t="s">
        <v>17473</v>
      </c>
      <c r="Y3373" s="6" t="s">
        <v>55</v>
      </c>
      <c r="Z3373" s="4">
        <v>8.27</v>
      </c>
      <c r="AA3373" s="4">
        <v>16.54</v>
      </c>
      <c r="AB3373" s="3" t="s">
        <v>56</v>
      </c>
      <c r="AC3373" s="3" t="s">
        <v>17474</v>
      </c>
      <c r="AD3373" s="9">
        <v>44221</v>
      </c>
      <c r="AE3373" s="3" t="s">
        <v>45</v>
      </c>
      <c r="AF3373" s="3" t="s">
        <v>17475</v>
      </c>
      <c r="AG3373" s="3" t="s">
        <v>580</v>
      </c>
      <c r="AH3373" s="11">
        <f>HYPERLINK("https://my.pitchbook.com?c=165575-80T","View Company Online")</f>
      </c>
    </row>
    <row r="3374">
      <c r="A3374" s="12" t="s">
        <v>17476</v>
      </c>
      <c r="B3374" s="12" t="s">
        <v>17477</v>
      </c>
      <c r="C3374" s="19" t="s">
        <v>36</v>
      </c>
      <c r="D3374" s="19" t="s">
        <v>36</v>
      </c>
      <c r="E3374" s="19">
        <v>1</v>
      </c>
      <c r="F3374" s="19">
        <v>1</v>
      </c>
      <c r="G3374" s="15" t="s">
        <v>683</v>
      </c>
      <c r="H3374" s="14">
        <v>80.93</v>
      </c>
      <c r="I3374" s="18">
        <v>15.9</v>
      </c>
      <c r="J3374" s="12" t="s">
        <v>521</v>
      </c>
      <c r="K3374" s="13" t="s">
        <v>36</v>
      </c>
      <c r="L3374" s="15" t="s">
        <v>122</v>
      </c>
      <c r="M3374" s="12" t="s">
        <v>36</v>
      </c>
      <c r="N3374" s="12" t="s">
        <v>122</v>
      </c>
      <c r="O3374" s="17" t="s">
        <v>36</v>
      </c>
      <c r="P3374" s="12" t="s">
        <v>36</v>
      </c>
      <c r="Q3374" s="12" t="s">
        <v>36</v>
      </c>
      <c r="R3374" s="12" t="s">
        <v>36</v>
      </c>
      <c r="S3374" s="12" t="s">
        <v>36</v>
      </c>
      <c r="T3374" s="12" t="s">
        <v>17478</v>
      </c>
      <c r="U3374" s="12" t="s">
        <v>38</v>
      </c>
      <c r="V3374" s="12" t="s">
        <v>39</v>
      </c>
      <c r="W3374" s="12" t="s">
        <v>17479</v>
      </c>
      <c r="X3374" s="16" t="s">
        <v>17480</v>
      </c>
      <c r="Y3374" s="15" t="s">
        <v>55</v>
      </c>
      <c r="Z3374" s="14">
        <v>3.65</v>
      </c>
      <c r="AA3374" s="14">
        <v>22.96</v>
      </c>
      <c r="AB3374" s="12" t="s">
        <v>56</v>
      </c>
      <c r="AC3374" s="12" t="s">
        <v>17481</v>
      </c>
      <c r="AD3374" s="13">
        <v>44218</v>
      </c>
      <c r="AE3374" s="12" t="s">
        <v>110</v>
      </c>
      <c r="AF3374" s="12" t="s">
        <v>1115</v>
      </c>
      <c r="AG3374" s="12" t="s">
        <v>81</v>
      </c>
      <c r="AH3374" s="1">
        <f>HYPERLINK("https://my.pitchbook.com?c=180123-94T","View Company Online")</f>
      </c>
    </row>
    <row r="3375">
      <c r="A3375" s="3" t="s">
        <v>17482</v>
      </c>
      <c r="B3375" s="3" t="s">
        <v>5424</v>
      </c>
      <c r="C3375" s="5" t="s">
        <v>36</v>
      </c>
      <c r="D3375" s="5" t="s">
        <v>36</v>
      </c>
      <c r="E3375" s="5" t="s">
        <v>36</v>
      </c>
      <c r="F3375" s="5" t="s">
        <v>36</v>
      </c>
      <c r="G3375" s="6" t="s">
        <v>326</v>
      </c>
      <c r="H3375" s="4">
        <v>58.83</v>
      </c>
      <c r="I3375" s="7">
        <v>18.77</v>
      </c>
      <c r="J3375" s="3" t="s">
        <v>521</v>
      </c>
      <c r="K3375" s="9" t="s">
        <v>36</v>
      </c>
      <c r="L3375" s="6" t="s">
        <v>94</v>
      </c>
      <c r="M3375" s="3" t="s">
        <v>36</v>
      </c>
      <c r="N3375" s="3" t="s">
        <v>94</v>
      </c>
      <c r="O3375" s="8" t="s">
        <v>36</v>
      </c>
      <c r="P3375" s="3" t="s">
        <v>36</v>
      </c>
      <c r="Q3375" s="3" t="s">
        <v>36</v>
      </c>
      <c r="R3375" s="3" t="s">
        <v>36</v>
      </c>
      <c r="S3375" s="3" t="s">
        <v>36</v>
      </c>
      <c r="T3375" s="3" t="s">
        <v>5425</v>
      </c>
      <c r="U3375" s="3" t="s">
        <v>38</v>
      </c>
      <c r="V3375" s="3" t="s">
        <v>39</v>
      </c>
      <c r="W3375" s="3" t="s">
        <v>5426</v>
      </c>
      <c r="X3375" s="10" t="s">
        <v>17483</v>
      </c>
      <c r="Y3375" s="6" t="s">
        <v>55</v>
      </c>
      <c r="Z3375" s="4">
        <v>42.59</v>
      </c>
      <c r="AA3375" s="4">
        <v>129.67</v>
      </c>
      <c r="AB3375" s="3" t="s">
        <v>56</v>
      </c>
      <c r="AC3375" s="3" t="s">
        <v>5428</v>
      </c>
      <c r="AD3375" s="9">
        <v>44217</v>
      </c>
      <c r="AE3375" s="3" t="s">
        <v>45</v>
      </c>
      <c r="AF3375" s="3" t="s">
        <v>1257</v>
      </c>
      <c r="AG3375" s="3" t="s">
        <v>47</v>
      </c>
      <c r="AH3375" s="11">
        <f>HYPERLINK("https://my.pitchbook.com?c=165354-04T","View Company Online")</f>
      </c>
    </row>
    <row r="3376">
      <c r="A3376" s="12" t="s">
        <v>17484</v>
      </c>
      <c r="B3376" s="12" t="s">
        <v>17485</v>
      </c>
      <c r="C3376" s="19" t="s">
        <v>36</v>
      </c>
      <c r="D3376" s="19" t="s">
        <v>36</v>
      </c>
      <c r="E3376" s="19" t="s">
        <v>36</v>
      </c>
      <c r="F3376" s="19" t="s">
        <v>36</v>
      </c>
      <c r="G3376" s="15" t="s">
        <v>2497</v>
      </c>
      <c r="H3376" s="14">
        <v>186.8</v>
      </c>
      <c r="I3376" s="18">
        <v>33.33</v>
      </c>
      <c r="J3376" s="12" t="s">
        <v>521</v>
      </c>
      <c r="K3376" s="13" t="s">
        <v>36</v>
      </c>
      <c r="L3376" s="15" t="s">
        <v>36</v>
      </c>
      <c r="M3376" s="12" t="s">
        <v>36</v>
      </c>
      <c r="N3376" s="12" t="s">
        <v>36</v>
      </c>
      <c r="O3376" s="17" t="s">
        <v>36</v>
      </c>
      <c r="P3376" s="12" t="s">
        <v>36</v>
      </c>
      <c r="Q3376" s="12" t="s">
        <v>36</v>
      </c>
      <c r="R3376" s="12" t="s">
        <v>36</v>
      </c>
      <c r="S3376" s="12" t="s">
        <v>36</v>
      </c>
      <c r="T3376" s="12" t="s">
        <v>972</v>
      </c>
      <c r="U3376" s="12" t="s">
        <v>74</v>
      </c>
      <c r="V3376" s="12" t="s">
        <v>75</v>
      </c>
      <c r="W3376" s="12" t="s">
        <v>17486</v>
      </c>
      <c r="X3376" s="16" t="s">
        <v>9323</v>
      </c>
      <c r="Y3376" s="15" t="s">
        <v>108</v>
      </c>
      <c r="Z3376" s="14">
        <v>0.12</v>
      </c>
      <c r="AA3376" s="14">
        <v>0.37</v>
      </c>
      <c r="AB3376" s="12" t="s">
        <v>56</v>
      </c>
      <c r="AC3376" s="12" t="s">
        <v>17487</v>
      </c>
      <c r="AD3376" s="13">
        <v>44217</v>
      </c>
      <c r="AE3376" s="12" t="s">
        <v>975</v>
      </c>
      <c r="AF3376" s="12" t="s">
        <v>2759</v>
      </c>
      <c r="AG3376" s="12" t="s">
        <v>2450</v>
      </c>
      <c r="AH3376" s="1">
        <f>HYPERLINK("https://my.pitchbook.com?c=212787-73T","View Company Online")</f>
      </c>
    </row>
    <row r="3377">
      <c r="A3377" s="3" t="s">
        <v>17488</v>
      </c>
      <c r="B3377" s="3" t="s">
        <v>17489</v>
      </c>
      <c r="C3377" s="5" t="s">
        <v>36</v>
      </c>
      <c r="D3377" s="5">
        <v>6</v>
      </c>
      <c r="E3377" s="5">
        <v>1</v>
      </c>
      <c r="F3377" s="5">
        <v>6</v>
      </c>
      <c r="G3377" s="6" t="s">
        <v>36</v>
      </c>
      <c r="H3377" s="4">
        <v>3235.4</v>
      </c>
      <c r="I3377" s="7">
        <v>16.65</v>
      </c>
      <c r="J3377" s="3" t="s">
        <v>521</v>
      </c>
      <c r="K3377" s="9" t="s">
        <v>36</v>
      </c>
      <c r="L3377" s="6" t="s">
        <v>36</v>
      </c>
      <c r="M3377" s="3" t="s">
        <v>36</v>
      </c>
      <c r="N3377" s="3" t="s">
        <v>36</v>
      </c>
      <c r="O3377" s="8" t="s">
        <v>36</v>
      </c>
      <c r="P3377" s="3" t="s">
        <v>36</v>
      </c>
      <c r="Q3377" s="3" t="s">
        <v>36</v>
      </c>
      <c r="R3377" s="3" t="s">
        <v>36</v>
      </c>
      <c r="S3377" s="3" t="s">
        <v>36</v>
      </c>
      <c r="T3377" s="3" t="s">
        <v>12375</v>
      </c>
      <c r="U3377" s="3" t="s">
        <v>279</v>
      </c>
      <c r="V3377" s="3" t="s">
        <v>64</v>
      </c>
      <c r="W3377" s="3" t="s">
        <v>17490</v>
      </c>
      <c r="X3377" s="10" t="s">
        <v>17491</v>
      </c>
      <c r="Y3377" s="6" t="s">
        <v>108</v>
      </c>
      <c r="Z3377" s="4">
        <v>1.7</v>
      </c>
      <c r="AA3377" s="4">
        <v>10.22</v>
      </c>
      <c r="AB3377" s="3" t="s">
        <v>56</v>
      </c>
      <c r="AC3377" s="3" t="s">
        <v>17492</v>
      </c>
      <c r="AD3377" s="9">
        <v>44217</v>
      </c>
      <c r="AE3377" s="3" t="s">
        <v>283</v>
      </c>
      <c r="AF3377" s="3" t="s">
        <v>14380</v>
      </c>
      <c r="AG3377" s="3" t="s">
        <v>17493</v>
      </c>
      <c r="AH3377" s="11">
        <f>HYPERLINK("https://my.pitchbook.com?c=165877-30T","View Company Online")</f>
      </c>
    </row>
    <row r="3378">
      <c r="A3378" s="12" t="s">
        <v>17494</v>
      </c>
      <c r="B3378" s="12" t="s">
        <v>17495</v>
      </c>
      <c r="C3378" s="19" t="s">
        <v>36</v>
      </c>
      <c r="D3378" s="19" t="s">
        <v>36</v>
      </c>
      <c r="E3378" s="19" t="s">
        <v>36</v>
      </c>
      <c r="F3378" s="19" t="s">
        <v>36</v>
      </c>
      <c r="G3378" s="15" t="s">
        <v>36</v>
      </c>
      <c r="H3378" s="14" t="s">
        <v>36</v>
      </c>
      <c r="I3378" s="18" t="s">
        <v>36</v>
      </c>
      <c r="J3378" s="12" t="s">
        <v>36</v>
      </c>
      <c r="K3378" s="13" t="s">
        <v>36</v>
      </c>
      <c r="L3378" s="15" t="s">
        <v>36</v>
      </c>
      <c r="M3378" s="12" t="s">
        <v>36</v>
      </c>
      <c r="N3378" s="12" t="s">
        <v>36</v>
      </c>
      <c r="O3378" s="17" t="s">
        <v>36</v>
      </c>
      <c r="P3378" s="12" t="s">
        <v>36</v>
      </c>
      <c r="Q3378" s="12" t="s">
        <v>36</v>
      </c>
      <c r="R3378" s="12" t="s">
        <v>36</v>
      </c>
      <c r="S3378" s="12" t="s">
        <v>36</v>
      </c>
      <c r="T3378" s="12" t="s">
        <v>386</v>
      </c>
      <c r="U3378" s="12" t="s">
        <v>387</v>
      </c>
      <c r="V3378" s="12" t="s">
        <v>367</v>
      </c>
      <c r="W3378" s="12" t="s">
        <v>17496</v>
      </c>
      <c r="X3378" s="16" t="s">
        <v>1840</v>
      </c>
      <c r="Y3378" s="15" t="s">
        <v>42</v>
      </c>
      <c r="Z3378" s="14">
        <v>22.88</v>
      </c>
      <c r="AA3378" s="14" t="s">
        <v>36</v>
      </c>
      <c r="AB3378" s="12" t="s">
        <v>43</v>
      </c>
      <c r="AC3378" s="12" t="s">
        <v>17497</v>
      </c>
      <c r="AD3378" s="13">
        <v>44217</v>
      </c>
      <c r="AE3378" s="12" t="s">
        <v>391</v>
      </c>
      <c r="AF3378" s="12" t="s">
        <v>982</v>
      </c>
      <c r="AG3378" s="12" t="s">
        <v>17498</v>
      </c>
      <c r="AH3378" s="1">
        <f>HYPERLINK("https://my.pitchbook.com?c=183718-72T","View Company Online")</f>
      </c>
    </row>
    <row r="3379">
      <c r="A3379" s="3" t="s">
        <v>17499</v>
      </c>
      <c r="B3379" s="3" t="s">
        <v>17500</v>
      </c>
      <c r="C3379" s="5" t="s">
        <v>36</v>
      </c>
      <c r="D3379" s="5" t="s">
        <v>36</v>
      </c>
      <c r="E3379" s="5" t="s">
        <v>36</v>
      </c>
      <c r="F3379" s="5" t="s">
        <v>36</v>
      </c>
      <c r="G3379" s="6" t="s">
        <v>36</v>
      </c>
      <c r="H3379" s="4" t="s">
        <v>36</v>
      </c>
      <c r="I3379" s="7" t="s">
        <v>36</v>
      </c>
      <c r="J3379" s="3" t="s">
        <v>36</v>
      </c>
      <c r="K3379" s="9" t="s">
        <v>36</v>
      </c>
      <c r="L3379" s="6" t="s">
        <v>36</v>
      </c>
      <c r="M3379" s="3" t="s">
        <v>36</v>
      </c>
      <c r="N3379" s="3" t="s">
        <v>36</v>
      </c>
      <c r="O3379" s="8" t="s">
        <v>36</v>
      </c>
      <c r="P3379" s="3" t="s">
        <v>36</v>
      </c>
      <c r="Q3379" s="3" t="s">
        <v>36</v>
      </c>
      <c r="R3379" s="3" t="s">
        <v>36</v>
      </c>
      <c r="S3379" s="3" t="s">
        <v>36</v>
      </c>
      <c r="T3379" s="3" t="s">
        <v>17501</v>
      </c>
      <c r="U3379" s="3" t="s">
        <v>85</v>
      </c>
      <c r="V3379" s="3" t="s">
        <v>64</v>
      </c>
      <c r="W3379" s="3" t="s">
        <v>17502</v>
      </c>
      <c r="X3379" s="10" t="s">
        <v>17503</v>
      </c>
      <c r="Y3379" s="6" t="s">
        <v>192</v>
      </c>
      <c r="Z3379" s="4">
        <v>15.82</v>
      </c>
      <c r="AA3379" s="4" t="s">
        <v>36</v>
      </c>
      <c r="AB3379" s="3" t="s">
        <v>56</v>
      </c>
      <c r="AC3379" s="3" t="s">
        <v>17504</v>
      </c>
      <c r="AD3379" s="9">
        <v>44217</v>
      </c>
      <c r="AE3379" s="3" t="s">
        <v>89</v>
      </c>
      <c r="AF3379" s="3" t="s">
        <v>17505</v>
      </c>
      <c r="AG3379" s="3" t="s">
        <v>270</v>
      </c>
      <c r="AH3379" s="11">
        <f>HYPERLINK("https://my.pitchbook.com?c=187652-80T","View Company Online")</f>
      </c>
    </row>
    <row r="3380">
      <c r="A3380" s="12" t="s">
        <v>17506</v>
      </c>
      <c r="B3380" s="12" t="s">
        <v>2972</v>
      </c>
      <c r="C3380" s="19">
        <v>3</v>
      </c>
      <c r="D3380" s="19">
        <v>12</v>
      </c>
      <c r="E3380" s="19">
        <v>2</v>
      </c>
      <c r="F3380" s="19">
        <v>15</v>
      </c>
      <c r="G3380" s="15" t="s">
        <v>36</v>
      </c>
      <c r="H3380" s="14">
        <v>519.28</v>
      </c>
      <c r="I3380" s="18">
        <v>28.83</v>
      </c>
      <c r="J3380" s="12" t="s">
        <v>521</v>
      </c>
      <c r="K3380" s="13" t="s">
        <v>36</v>
      </c>
      <c r="L3380" s="15" t="s">
        <v>36</v>
      </c>
      <c r="M3380" s="12" t="s">
        <v>36</v>
      </c>
      <c r="N3380" s="12" t="s">
        <v>36</v>
      </c>
      <c r="O3380" s="17" t="s">
        <v>36</v>
      </c>
      <c r="P3380" s="12" t="s">
        <v>36</v>
      </c>
      <c r="Q3380" s="12" t="s">
        <v>36</v>
      </c>
      <c r="R3380" s="12" t="s">
        <v>36</v>
      </c>
      <c r="S3380" s="12" t="s">
        <v>36</v>
      </c>
      <c r="T3380" s="12" t="s">
        <v>2910</v>
      </c>
      <c r="U3380" s="12" t="s">
        <v>219</v>
      </c>
      <c r="V3380" s="12" t="s">
        <v>75</v>
      </c>
      <c r="W3380" s="12" t="s">
        <v>2973</v>
      </c>
      <c r="X3380" s="16" t="s">
        <v>577</v>
      </c>
      <c r="Y3380" s="15" t="s">
        <v>42</v>
      </c>
      <c r="Z3380" s="14">
        <v>0.99</v>
      </c>
      <c r="AA3380" s="14">
        <v>3.42</v>
      </c>
      <c r="AB3380" s="12" t="s">
        <v>43</v>
      </c>
      <c r="AC3380" s="12" t="s">
        <v>2975</v>
      </c>
      <c r="AD3380" s="13">
        <v>44217</v>
      </c>
      <c r="AE3380" s="12" t="s">
        <v>2914</v>
      </c>
      <c r="AF3380" s="12" t="s">
        <v>2976</v>
      </c>
      <c r="AG3380" s="12" t="s">
        <v>1078</v>
      </c>
      <c r="AH3380" s="1">
        <f>HYPERLINK("https://my.pitchbook.com?c=179581-15T","View Company Online")</f>
      </c>
    </row>
    <row r="3381">
      <c r="A3381" s="3" t="s">
        <v>17507</v>
      </c>
      <c r="B3381" s="3" t="s">
        <v>17508</v>
      </c>
      <c r="C3381" s="5" t="s">
        <v>36</v>
      </c>
      <c r="D3381" s="5" t="s">
        <v>36</v>
      </c>
      <c r="E3381" s="5" t="s">
        <v>36</v>
      </c>
      <c r="F3381" s="5" t="s">
        <v>36</v>
      </c>
      <c r="G3381" s="6" t="s">
        <v>36</v>
      </c>
      <c r="H3381" s="4" t="s">
        <v>36</v>
      </c>
      <c r="I3381" s="7" t="s">
        <v>36</v>
      </c>
      <c r="J3381" s="3" t="s">
        <v>36</v>
      </c>
      <c r="K3381" s="9" t="s">
        <v>36</v>
      </c>
      <c r="L3381" s="6" t="s">
        <v>36</v>
      </c>
      <c r="M3381" s="3" t="s">
        <v>36</v>
      </c>
      <c r="N3381" s="3" t="s">
        <v>36</v>
      </c>
      <c r="O3381" s="8" t="s">
        <v>36</v>
      </c>
      <c r="P3381" s="3" t="s">
        <v>36</v>
      </c>
      <c r="Q3381" s="3" t="s">
        <v>36</v>
      </c>
      <c r="R3381" s="3" t="s">
        <v>36</v>
      </c>
      <c r="S3381" s="3" t="s">
        <v>36</v>
      </c>
      <c r="T3381" s="3" t="s">
        <v>17509</v>
      </c>
      <c r="U3381" s="3" t="s">
        <v>74</v>
      </c>
      <c r="V3381" s="3" t="s">
        <v>75</v>
      </c>
      <c r="W3381" s="3" t="s">
        <v>17510</v>
      </c>
      <c r="X3381" s="10" t="s">
        <v>17511</v>
      </c>
      <c r="Y3381" s="6" t="s">
        <v>42</v>
      </c>
      <c r="Z3381" s="4" t="s">
        <v>36</v>
      </c>
      <c r="AA3381" s="4" t="s">
        <v>36</v>
      </c>
      <c r="AB3381" s="3" t="s">
        <v>56</v>
      </c>
      <c r="AC3381" s="3" t="s">
        <v>17512</v>
      </c>
      <c r="AD3381" s="9">
        <v>44216</v>
      </c>
      <c r="AE3381" s="3" t="s">
        <v>975</v>
      </c>
      <c r="AF3381" s="3" t="s">
        <v>546</v>
      </c>
      <c r="AG3381" s="3" t="s">
        <v>17513</v>
      </c>
      <c r="AH3381" s="11">
        <f>HYPERLINK("https://my.pitchbook.com?c=116506-54T","View Company Online")</f>
      </c>
    </row>
    <row r="3382">
      <c r="A3382" s="12" t="s">
        <v>17514</v>
      </c>
      <c r="B3382" s="12" t="s">
        <v>17515</v>
      </c>
      <c r="C3382" s="19" t="s">
        <v>36</v>
      </c>
      <c r="D3382" s="19" t="s">
        <v>36</v>
      </c>
      <c r="E3382" s="19" t="s">
        <v>36</v>
      </c>
      <c r="F3382" s="19" t="s">
        <v>36</v>
      </c>
      <c r="G3382" s="15" t="s">
        <v>36</v>
      </c>
      <c r="H3382" s="14" t="s">
        <v>36</v>
      </c>
      <c r="I3382" s="18" t="s">
        <v>36</v>
      </c>
      <c r="J3382" s="12" t="s">
        <v>36</v>
      </c>
      <c r="K3382" s="13" t="s">
        <v>36</v>
      </c>
      <c r="L3382" s="15" t="s">
        <v>36</v>
      </c>
      <c r="M3382" s="12" t="s">
        <v>36</v>
      </c>
      <c r="N3382" s="12" t="s">
        <v>36</v>
      </c>
      <c r="O3382" s="17" t="s">
        <v>36</v>
      </c>
      <c r="P3382" s="12" t="s">
        <v>36</v>
      </c>
      <c r="Q3382" s="12" t="s">
        <v>36</v>
      </c>
      <c r="R3382" s="12" t="s">
        <v>36</v>
      </c>
      <c r="S3382" s="12" t="s">
        <v>36</v>
      </c>
      <c r="T3382" s="12" t="s">
        <v>1738</v>
      </c>
      <c r="U3382" s="12" t="s">
        <v>74</v>
      </c>
      <c r="V3382" s="12" t="s">
        <v>75</v>
      </c>
      <c r="W3382" s="12" t="s">
        <v>17516</v>
      </c>
      <c r="X3382" s="16" t="s">
        <v>17517</v>
      </c>
      <c r="Y3382" s="15" t="s">
        <v>42</v>
      </c>
      <c r="Z3382" s="14">
        <v>3.65</v>
      </c>
      <c r="AA3382" s="14" t="s">
        <v>36</v>
      </c>
      <c r="AB3382" s="12" t="s">
        <v>43</v>
      </c>
      <c r="AC3382" s="12" t="s">
        <v>17518</v>
      </c>
      <c r="AD3382" s="13">
        <v>44216</v>
      </c>
      <c r="AE3382" s="12" t="s">
        <v>975</v>
      </c>
      <c r="AF3382" s="12" t="s">
        <v>6542</v>
      </c>
      <c r="AG3382" s="12" t="s">
        <v>81</v>
      </c>
      <c r="AH3382" s="1">
        <f>HYPERLINK("https://my.pitchbook.com?c=122414-05T","View Company Online")</f>
      </c>
    </row>
    <row r="3383">
      <c r="A3383" s="3" t="s">
        <v>17519</v>
      </c>
      <c r="B3383" s="3" t="s">
        <v>17520</v>
      </c>
      <c r="C3383" s="5">
        <v>40</v>
      </c>
      <c r="D3383" s="5">
        <v>39</v>
      </c>
      <c r="E3383" s="5">
        <v>36</v>
      </c>
      <c r="F3383" s="5">
        <v>98</v>
      </c>
      <c r="G3383" s="6" t="s">
        <v>36</v>
      </c>
      <c r="H3383" s="4" t="s">
        <v>36</v>
      </c>
      <c r="I3383" s="7" t="s">
        <v>36</v>
      </c>
      <c r="J3383" s="3" t="s">
        <v>36</v>
      </c>
      <c r="K3383" s="9" t="s">
        <v>36</v>
      </c>
      <c r="L3383" s="6" t="s">
        <v>1279</v>
      </c>
      <c r="M3383" s="3" t="s">
        <v>36</v>
      </c>
      <c r="N3383" s="3" t="s">
        <v>1279</v>
      </c>
      <c r="O3383" s="8" t="s">
        <v>36</v>
      </c>
      <c r="P3383" s="3" t="s">
        <v>36</v>
      </c>
      <c r="Q3383" s="3" t="s">
        <v>36</v>
      </c>
      <c r="R3383" s="3" t="s">
        <v>36</v>
      </c>
      <c r="S3383" s="3" t="s">
        <v>36</v>
      </c>
      <c r="T3383" s="3" t="s">
        <v>751</v>
      </c>
      <c r="U3383" s="3" t="s">
        <v>96</v>
      </c>
      <c r="V3383" s="3" t="s">
        <v>52</v>
      </c>
      <c r="W3383" s="3" t="s">
        <v>17521</v>
      </c>
      <c r="X3383" s="10" t="s">
        <v>17522</v>
      </c>
      <c r="Y3383" s="6" t="s">
        <v>55</v>
      </c>
      <c r="Z3383" s="4">
        <v>121.76</v>
      </c>
      <c r="AA3383" s="4" t="s">
        <v>36</v>
      </c>
      <c r="AB3383" s="3" t="s">
        <v>56</v>
      </c>
      <c r="AC3383" s="3" t="s">
        <v>17523</v>
      </c>
      <c r="AD3383" s="9">
        <v>44215</v>
      </c>
      <c r="AE3383" s="3" t="s">
        <v>755</v>
      </c>
      <c r="AF3383" s="3" t="s">
        <v>13878</v>
      </c>
      <c r="AG3383" s="3" t="s">
        <v>4619</v>
      </c>
      <c r="AH3383" s="11">
        <f>HYPERLINK("https://my.pitchbook.com?c=165262-78T","View Company Online")</f>
      </c>
    </row>
    <row r="3384">
      <c r="A3384" s="12" t="s">
        <v>17524</v>
      </c>
      <c r="B3384" s="12" t="s">
        <v>17525</v>
      </c>
      <c r="C3384" s="19" t="s">
        <v>36</v>
      </c>
      <c r="D3384" s="19" t="s">
        <v>36</v>
      </c>
      <c r="E3384" s="19" t="s">
        <v>36</v>
      </c>
      <c r="F3384" s="19" t="s">
        <v>36</v>
      </c>
      <c r="G3384" s="15" t="s">
        <v>36</v>
      </c>
      <c r="H3384" s="14">
        <v>311.57</v>
      </c>
      <c r="I3384" s="18">
        <v>31.31</v>
      </c>
      <c r="J3384" s="12" t="s">
        <v>521</v>
      </c>
      <c r="K3384" s="13" t="s">
        <v>36</v>
      </c>
      <c r="L3384" s="15" t="s">
        <v>36</v>
      </c>
      <c r="M3384" s="12" t="s">
        <v>36</v>
      </c>
      <c r="N3384" s="12" t="s">
        <v>36</v>
      </c>
      <c r="O3384" s="17" t="s">
        <v>36</v>
      </c>
      <c r="P3384" s="12" t="s">
        <v>36</v>
      </c>
      <c r="Q3384" s="12" t="s">
        <v>36</v>
      </c>
      <c r="R3384" s="12" t="s">
        <v>36</v>
      </c>
      <c r="S3384" s="12" t="s">
        <v>36</v>
      </c>
      <c r="T3384" s="12" t="s">
        <v>8873</v>
      </c>
      <c r="U3384" s="12" t="s">
        <v>423</v>
      </c>
      <c r="V3384" s="12" t="s">
        <v>64</v>
      </c>
      <c r="W3384" s="12" t="s">
        <v>17526</v>
      </c>
      <c r="X3384" s="16" t="s">
        <v>17527</v>
      </c>
      <c r="Y3384" s="15" t="s">
        <v>42</v>
      </c>
      <c r="Z3384" s="14">
        <v>1.22</v>
      </c>
      <c r="AA3384" s="14">
        <v>2.59</v>
      </c>
      <c r="AB3384" s="12" t="s">
        <v>56</v>
      </c>
      <c r="AC3384" s="12" t="s">
        <v>17528</v>
      </c>
      <c r="AD3384" s="13">
        <v>44215</v>
      </c>
      <c r="AE3384" s="12" t="s">
        <v>427</v>
      </c>
      <c r="AF3384" s="12" t="s">
        <v>90</v>
      </c>
      <c r="AG3384" s="12" t="s">
        <v>5504</v>
      </c>
      <c r="AH3384" s="1">
        <f>HYPERLINK("https://my.pitchbook.com?c=165230-47T","View Company Online")</f>
      </c>
    </row>
    <row r="3385">
      <c r="A3385" s="3" t="s">
        <v>17529</v>
      </c>
      <c r="B3385" s="3" t="s">
        <v>14766</v>
      </c>
      <c r="C3385" s="5">
        <v>1</v>
      </c>
      <c r="D3385" s="5">
        <v>5</v>
      </c>
      <c r="E3385" s="5">
        <v>2</v>
      </c>
      <c r="F3385" s="5">
        <v>7</v>
      </c>
      <c r="G3385" s="6" t="s">
        <v>36</v>
      </c>
      <c r="H3385" s="4" t="s">
        <v>36</v>
      </c>
      <c r="I3385" s="7" t="s">
        <v>36</v>
      </c>
      <c r="J3385" s="3" t="s">
        <v>36</v>
      </c>
      <c r="K3385" s="9" t="s">
        <v>36</v>
      </c>
      <c r="L3385" s="6" t="s">
        <v>122</v>
      </c>
      <c r="M3385" s="3" t="s">
        <v>36</v>
      </c>
      <c r="N3385" s="3" t="s">
        <v>122</v>
      </c>
      <c r="O3385" s="8" t="s">
        <v>36</v>
      </c>
      <c r="P3385" s="3" t="s">
        <v>36</v>
      </c>
      <c r="Q3385" s="3" t="s">
        <v>36</v>
      </c>
      <c r="R3385" s="3" t="s">
        <v>36</v>
      </c>
      <c r="S3385" s="3" t="s">
        <v>36</v>
      </c>
      <c r="T3385" s="3" t="s">
        <v>14522</v>
      </c>
      <c r="U3385" s="3" t="s">
        <v>956</v>
      </c>
      <c r="V3385" s="3" t="s">
        <v>405</v>
      </c>
      <c r="W3385" s="3" t="s">
        <v>14767</v>
      </c>
      <c r="X3385" s="10" t="s">
        <v>17530</v>
      </c>
      <c r="Y3385" s="6" t="s">
        <v>55</v>
      </c>
      <c r="Z3385" s="4">
        <v>20.7</v>
      </c>
      <c r="AA3385" s="4" t="s">
        <v>36</v>
      </c>
      <c r="AB3385" s="3" t="s">
        <v>43</v>
      </c>
      <c r="AC3385" s="3" t="s">
        <v>14769</v>
      </c>
      <c r="AD3385" s="9">
        <v>44215</v>
      </c>
      <c r="AE3385" s="3" t="s">
        <v>14526</v>
      </c>
      <c r="AF3385" s="3" t="s">
        <v>14770</v>
      </c>
      <c r="AG3385" s="3" t="s">
        <v>81</v>
      </c>
      <c r="AH3385" s="11">
        <f>HYPERLINK("https://my.pitchbook.com?c=165135-25T","View Company Online")</f>
      </c>
    </row>
    <row r="3386">
      <c r="A3386" s="12" t="s">
        <v>17531</v>
      </c>
      <c r="B3386" s="12" t="s">
        <v>17532</v>
      </c>
      <c r="C3386" s="19" t="s">
        <v>36</v>
      </c>
      <c r="D3386" s="19" t="s">
        <v>36</v>
      </c>
      <c r="E3386" s="19" t="s">
        <v>36</v>
      </c>
      <c r="F3386" s="19" t="s">
        <v>36</v>
      </c>
      <c r="G3386" s="15" t="s">
        <v>326</v>
      </c>
      <c r="H3386" s="14">
        <v>192.94</v>
      </c>
      <c r="I3386" s="18">
        <v>41.31</v>
      </c>
      <c r="J3386" s="12" t="s">
        <v>521</v>
      </c>
      <c r="K3386" s="13" t="s">
        <v>36</v>
      </c>
      <c r="L3386" s="15" t="s">
        <v>122</v>
      </c>
      <c r="M3386" s="12" t="s">
        <v>36</v>
      </c>
      <c r="N3386" s="12" t="s">
        <v>122</v>
      </c>
      <c r="O3386" s="17" t="s">
        <v>36</v>
      </c>
      <c r="P3386" s="12" t="s">
        <v>36</v>
      </c>
      <c r="Q3386" s="12" t="s">
        <v>36</v>
      </c>
      <c r="R3386" s="12" t="s">
        <v>36</v>
      </c>
      <c r="S3386" s="12" t="s">
        <v>36</v>
      </c>
      <c r="T3386" s="12" t="s">
        <v>17533</v>
      </c>
      <c r="U3386" s="12" t="s">
        <v>38</v>
      </c>
      <c r="V3386" s="12" t="s">
        <v>39</v>
      </c>
      <c r="W3386" s="12" t="s">
        <v>17534</v>
      </c>
      <c r="X3386" s="16" t="s">
        <v>17535</v>
      </c>
      <c r="Y3386" s="15" t="s">
        <v>42</v>
      </c>
      <c r="Z3386" s="14">
        <v>6.09</v>
      </c>
      <c r="AA3386" s="14">
        <v>13.27</v>
      </c>
      <c r="AB3386" s="12" t="s">
        <v>56</v>
      </c>
      <c r="AC3386" s="12" t="s">
        <v>17536</v>
      </c>
      <c r="AD3386" s="13">
        <v>44215</v>
      </c>
      <c r="AE3386" s="12" t="s">
        <v>45</v>
      </c>
      <c r="AF3386" s="12" t="s">
        <v>17537</v>
      </c>
      <c r="AG3386" s="12" t="s">
        <v>47</v>
      </c>
      <c r="AH3386" s="1">
        <f>HYPERLINK("https://my.pitchbook.com?c=165344-50T","View Company Online")</f>
      </c>
    </row>
    <row r="3387">
      <c r="A3387" s="3" t="s">
        <v>17538</v>
      </c>
      <c r="B3387" s="3" t="s">
        <v>17539</v>
      </c>
      <c r="C3387" s="5" t="s">
        <v>36</v>
      </c>
      <c r="D3387" s="5" t="s">
        <v>36</v>
      </c>
      <c r="E3387" s="5" t="s">
        <v>36</v>
      </c>
      <c r="F3387" s="5" t="s">
        <v>36</v>
      </c>
      <c r="G3387" s="6" t="s">
        <v>36</v>
      </c>
      <c r="H3387" s="4" t="s">
        <v>36</v>
      </c>
      <c r="I3387" s="7" t="s">
        <v>36</v>
      </c>
      <c r="J3387" s="3" t="s">
        <v>36</v>
      </c>
      <c r="K3387" s="9" t="s">
        <v>36</v>
      </c>
      <c r="L3387" s="6" t="s">
        <v>36</v>
      </c>
      <c r="M3387" s="3" t="s">
        <v>36</v>
      </c>
      <c r="N3387" s="3" t="s">
        <v>36</v>
      </c>
      <c r="O3387" s="8" t="s">
        <v>36</v>
      </c>
      <c r="P3387" s="3" t="s">
        <v>36</v>
      </c>
      <c r="Q3387" s="3" t="s">
        <v>36</v>
      </c>
      <c r="R3387" s="3" t="s">
        <v>36</v>
      </c>
      <c r="S3387" s="3" t="s">
        <v>36</v>
      </c>
      <c r="T3387" s="3" t="s">
        <v>17540</v>
      </c>
      <c r="U3387" s="3" t="s">
        <v>38</v>
      </c>
      <c r="V3387" s="3" t="s">
        <v>39</v>
      </c>
      <c r="W3387" s="3" t="s">
        <v>17541</v>
      </c>
      <c r="X3387" s="10" t="s">
        <v>17542</v>
      </c>
      <c r="Y3387" s="6" t="s">
        <v>42</v>
      </c>
      <c r="Z3387" s="4">
        <v>1.22</v>
      </c>
      <c r="AA3387" s="4" t="s">
        <v>36</v>
      </c>
      <c r="AB3387" s="3" t="s">
        <v>43</v>
      </c>
      <c r="AC3387" s="3" t="s">
        <v>17543</v>
      </c>
      <c r="AD3387" s="9">
        <v>44214</v>
      </c>
      <c r="AE3387" s="3" t="s">
        <v>110</v>
      </c>
      <c r="AF3387" s="3" t="s">
        <v>17544</v>
      </c>
      <c r="AG3387" s="3" t="s">
        <v>652</v>
      </c>
      <c r="AH3387" s="11">
        <f>HYPERLINK("https://my.pitchbook.com?c=165278-26T","View Company Online")</f>
      </c>
    </row>
    <row r="3388">
      <c r="A3388" s="12" t="s">
        <v>17545</v>
      </c>
      <c r="B3388" s="12" t="s">
        <v>4371</v>
      </c>
      <c r="C3388" s="19" t="s">
        <v>36</v>
      </c>
      <c r="D3388" s="19" t="s">
        <v>36</v>
      </c>
      <c r="E3388" s="19" t="s">
        <v>36</v>
      </c>
      <c r="F3388" s="19" t="s">
        <v>36</v>
      </c>
      <c r="G3388" s="15" t="s">
        <v>326</v>
      </c>
      <c r="H3388" s="14">
        <v>274.29</v>
      </c>
      <c r="I3388" s="18">
        <v>30</v>
      </c>
      <c r="J3388" s="12" t="s">
        <v>521</v>
      </c>
      <c r="K3388" s="13" t="s">
        <v>36</v>
      </c>
      <c r="L3388" s="15" t="s">
        <v>36</v>
      </c>
      <c r="M3388" s="12" t="s">
        <v>36</v>
      </c>
      <c r="N3388" s="12" t="s">
        <v>36</v>
      </c>
      <c r="O3388" s="17" t="s">
        <v>36</v>
      </c>
      <c r="P3388" s="12" t="s">
        <v>36</v>
      </c>
      <c r="Q3388" s="12" t="s">
        <v>36</v>
      </c>
      <c r="R3388" s="12" t="s">
        <v>36</v>
      </c>
      <c r="S3388" s="12" t="s">
        <v>36</v>
      </c>
      <c r="T3388" s="12" t="s">
        <v>3641</v>
      </c>
      <c r="U3388" s="12" t="s">
        <v>85</v>
      </c>
      <c r="V3388" s="12" t="s">
        <v>64</v>
      </c>
      <c r="W3388" s="12" t="s">
        <v>4372</v>
      </c>
      <c r="X3388" s="16" t="s">
        <v>17546</v>
      </c>
      <c r="Y3388" s="15" t="s">
        <v>192</v>
      </c>
      <c r="Z3388" s="14">
        <v>3.66</v>
      </c>
      <c r="AA3388" s="14">
        <v>12.18</v>
      </c>
      <c r="AB3388" s="12" t="s">
        <v>56</v>
      </c>
      <c r="AC3388" s="12" t="s">
        <v>4374</v>
      </c>
      <c r="AD3388" s="13">
        <v>44214</v>
      </c>
      <c r="AE3388" s="12" t="s">
        <v>3645</v>
      </c>
      <c r="AF3388" s="12" t="s">
        <v>4375</v>
      </c>
      <c r="AG3388" s="12" t="s">
        <v>3595</v>
      </c>
      <c r="AH3388" s="1">
        <f>HYPERLINK("https://my.pitchbook.com?c=165719-08T","View Company Online")</f>
      </c>
    </row>
    <row r="3389">
      <c r="A3389" s="3" t="s">
        <v>17547</v>
      </c>
      <c r="B3389" s="3" t="s">
        <v>17548</v>
      </c>
      <c r="C3389" s="5" t="s">
        <v>36</v>
      </c>
      <c r="D3389" s="5">
        <v>6</v>
      </c>
      <c r="E3389" s="5">
        <v>3</v>
      </c>
      <c r="F3389" s="5">
        <v>6</v>
      </c>
      <c r="G3389" s="6" t="s">
        <v>36</v>
      </c>
      <c r="H3389" s="4" t="s">
        <v>36</v>
      </c>
      <c r="I3389" s="7" t="s">
        <v>36</v>
      </c>
      <c r="J3389" s="3" t="s">
        <v>36</v>
      </c>
      <c r="K3389" s="9" t="s">
        <v>36</v>
      </c>
      <c r="L3389" s="6" t="s">
        <v>36</v>
      </c>
      <c r="M3389" s="3" t="s">
        <v>36</v>
      </c>
      <c r="N3389" s="3" t="s">
        <v>36</v>
      </c>
      <c r="O3389" s="8" t="s">
        <v>36</v>
      </c>
      <c r="P3389" s="3" t="s">
        <v>36</v>
      </c>
      <c r="Q3389" s="3" t="s">
        <v>36</v>
      </c>
      <c r="R3389" s="3" t="s">
        <v>36</v>
      </c>
      <c r="S3389" s="3" t="s">
        <v>36</v>
      </c>
      <c r="T3389" s="3" t="s">
        <v>17549</v>
      </c>
      <c r="U3389" s="3" t="s">
        <v>423</v>
      </c>
      <c r="V3389" s="3" t="s">
        <v>64</v>
      </c>
      <c r="W3389" s="3" t="s">
        <v>17550</v>
      </c>
      <c r="X3389" s="10" t="s">
        <v>17551</v>
      </c>
      <c r="Y3389" s="6" t="s">
        <v>55</v>
      </c>
      <c r="Z3389" s="4" t="s">
        <v>36</v>
      </c>
      <c r="AA3389" s="4" t="s">
        <v>36</v>
      </c>
      <c r="AB3389" s="3" t="s">
        <v>56</v>
      </c>
      <c r="AC3389" s="3" t="s">
        <v>17552</v>
      </c>
      <c r="AD3389" s="9">
        <v>44214</v>
      </c>
      <c r="AE3389" s="3" t="s">
        <v>1051</v>
      </c>
      <c r="AF3389" s="3" t="s">
        <v>4397</v>
      </c>
      <c r="AG3389" s="3" t="s">
        <v>144</v>
      </c>
      <c r="AH3389" s="11">
        <f>HYPERLINK("https://my.pitchbook.com?c=165068-38T","View Company Online")</f>
      </c>
    </row>
    <row r="3390">
      <c r="A3390" s="12" t="s">
        <v>17553</v>
      </c>
      <c r="B3390" s="12" t="s">
        <v>17554</v>
      </c>
      <c r="C3390" s="19" t="s">
        <v>36</v>
      </c>
      <c r="D3390" s="19">
        <v>55</v>
      </c>
      <c r="E3390" s="19">
        <v>17</v>
      </c>
      <c r="F3390" s="19">
        <v>58</v>
      </c>
      <c r="G3390" s="15" t="s">
        <v>683</v>
      </c>
      <c r="H3390" s="14">
        <v>1.87</v>
      </c>
      <c r="I3390" s="18">
        <v>15</v>
      </c>
      <c r="J3390" s="12" t="s">
        <v>521</v>
      </c>
      <c r="K3390" s="13" t="s">
        <v>36</v>
      </c>
      <c r="L3390" s="15" t="s">
        <v>36</v>
      </c>
      <c r="M3390" s="12" t="s">
        <v>36</v>
      </c>
      <c r="N3390" s="12" t="s">
        <v>36</v>
      </c>
      <c r="O3390" s="17" t="s">
        <v>36</v>
      </c>
      <c r="P3390" s="12" t="s">
        <v>36</v>
      </c>
      <c r="Q3390" s="12" t="s">
        <v>36</v>
      </c>
      <c r="R3390" s="12" t="s">
        <v>36</v>
      </c>
      <c r="S3390" s="12" t="s">
        <v>36</v>
      </c>
      <c r="T3390" s="12" t="s">
        <v>17555</v>
      </c>
      <c r="U3390" s="12" t="s">
        <v>366</v>
      </c>
      <c r="V3390" s="12" t="s">
        <v>367</v>
      </c>
      <c r="W3390" s="12" t="s">
        <v>17556</v>
      </c>
      <c r="X3390" s="16" t="s">
        <v>17557</v>
      </c>
      <c r="Y3390" s="15" t="s">
        <v>166</v>
      </c>
      <c r="Z3390" s="14">
        <v>4.24</v>
      </c>
      <c r="AA3390" s="14">
        <v>28.26</v>
      </c>
      <c r="AB3390" s="12" t="s">
        <v>56</v>
      </c>
      <c r="AC3390" s="12" t="s">
        <v>17558</v>
      </c>
      <c r="AD3390" s="13">
        <v>44214</v>
      </c>
      <c r="AE3390" s="12" t="s">
        <v>600</v>
      </c>
      <c r="AF3390" s="12" t="s">
        <v>17559</v>
      </c>
      <c r="AG3390" s="12" t="s">
        <v>3508</v>
      </c>
      <c r="AH3390" s="1">
        <f>HYPERLINK("https://my.pitchbook.com?c=173517-58T","View Company Online")</f>
      </c>
    </row>
    <row r="3391">
      <c r="A3391" s="3" t="s">
        <v>17560</v>
      </c>
      <c r="B3391" s="3" t="s">
        <v>17561</v>
      </c>
      <c r="C3391" s="5" t="s">
        <v>36</v>
      </c>
      <c r="D3391" s="5" t="s">
        <v>36</v>
      </c>
      <c r="E3391" s="5" t="s">
        <v>36</v>
      </c>
      <c r="F3391" s="5" t="s">
        <v>36</v>
      </c>
      <c r="G3391" s="6" t="s">
        <v>36</v>
      </c>
      <c r="H3391" s="4" t="s">
        <v>36</v>
      </c>
      <c r="I3391" s="7" t="s">
        <v>36</v>
      </c>
      <c r="J3391" s="3" t="s">
        <v>36</v>
      </c>
      <c r="K3391" s="9" t="s">
        <v>36</v>
      </c>
      <c r="L3391" s="6" t="s">
        <v>122</v>
      </c>
      <c r="M3391" s="3" t="s">
        <v>36</v>
      </c>
      <c r="N3391" s="3" t="s">
        <v>122</v>
      </c>
      <c r="O3391" s="8" t="s">
        <v>36</v>
      </c>
      <c r="P3391" s="3" t="s">
        <v>36</v>
      </c>
      <c r="Q3391" s="3" t="s">
        <v>36</v>
      </c>
      <c r="R3391" s="3" t="s">
        <v>36</v>
      </c>
      <c r="S3391" s="3" t="s">
        <v>36</v>
      </c>
      <c r="T3391" s="3" t="s">
        <v>1344</v>
      </c>
      <c r="U3391" s="3" t="s">
        <v>38</v>
      </c>
      <c r="V3391" s="3" t="s">
        <v>39</v>
      </c>
      <c r="W3391" s="3" t="s">
        <v>17562</v>
      </c>
      <c r="X3391" s="10" t="s">
        <v>17563</v>
      </c>
      <c r="Y3391" s="6" t="s">
        <v>108</v>
      </c>
      <c r="Z3391" s="4" t="s">
        <v>36</v>
      </c>
      <c r="AA3391" s="4" t="s">
        <v>36</v>
      </c>
      <c r="AB3391" s="3" t="s">
        <v>43</v>
      </c>
      <c r="AC3391" s="3" t="s">
        <v>17564</v>
      </c>
      <c r="AD3391" s="9">
        <v>44214</v>
      </c>
      <c r="AE3391" s="3" t="s">
        <v>110</v>
      </c>
      <c r="AF3391" s="3" t="s">
        <v>1842</v>
      </c>
      <c r="AG3391" s="3" t="s">
        <v>81</v>
      </c>
      <c r="AH3391" s="11">
        <f>HYPERLINK("https://my.pitchbook.com?c=171771-31T","View Company Online")</f>
      </c>
    </row>
    <row r="3392">
      <c r="A3392" s="12" t="s">
        <v>17565</v>
      </c>
      <c r="B3392" s="12" t="s">
        <v>17566</v>
      </c>
      <c r="C3392" s="19">
        <v>3</v>
      </c>
      <c r="D3392" s="19">
        <v>15</v>
      </c>
      <c r="E3392" s="19">
        <v>4</v>
      </c>
      <c r="F3392" s="19">
        <v>18</v>
      </c>
      <c r="G3392" s="15" t="s">
        <v>683</v>
      </c>
      <c r="H3392" s="14">
        <v>1236.39</v>
      </c>
      <c r="I3392" s="18">
        <v>7.5</v>
      </c>
      <c r="J3392" s="12" t="s">
        <v>521</v>
      </c>
      <c r="K3392" s="13" t="s">
        <v>36</v>
      </c>
      <c r="L3392" s="15" t="s">
        <v>36</v>
      </c>
      <c r="M3392" s="12" t="s">
        <v>36</v>
      </c>
      <c r="N3392" s="12" t="s">
        <v>36</v>
      </c>
      <c r="O3392" s="17" t="s">
        <v>36</v>
      </c>
      <c r="P3392" s="12" t="s">
        <v>36</v>
      </c>
      <c r="Q3392" s="12" t="s">
        <v>36</v>
      </c>
      <c r="R3392" s="12" t="s">
        <v>36</v>
      </c>
      <c r="S3392" s="12" t="s">
        <v>36</v>
      </c>
      <c r="T3392" s="12" t="s">
        <v>17567</v>
      </c>
      <c r="U3392" s="12" t="s">
        <v>318</v>
      </c>
      <c r="V3392" s="12" t="s">
        <v>39</v>
      </c>
      <c r="W3392" s="12" t="s">
        <v>17568</v>
      </c>
      <c r="X3392" s="16" t="s">
        <v>2414</v>
      </c>
      <c r="Y3392" s="15" t="s">
        <v>192</v>
      </c>
      <c r="Z3392" s="14">
        <v>3.05</v>
      </c>
      <c r="AA3392" s="14">
        <v>40.61</v>
      </c>
      <c r="AB3392" s="12" t="s">
        <v>56</v>
      </c>
      <c r="AC3392" s="12" t="s">
        <v>17569</v>
      </c>
      <c r="AD3392" s="13">
        <v>44214</v>
      </c>
      <c r="AE3392" s="12" t="s">
        <v>417</v>
      </c>
      <c r="AF3392" s="12" t="s">
        <v>1179</v>
      </c>
      <c r="AG3392" s="12" t="s">
        <v>144</v>
      </c>
      <c r="AH3392" s="1">
        <f>HYPERLINK("https://my.pitchbook.com?c=219116-53T","View Company Online")</f>
      </c>
    </row>
    <row r="3393">
      <c r="A3393" s="3" t="s">
        <v>17570</v>
      </c>
      <c r="B3393" s="3" t="s">
        <v>17571</v>
      </c>
      <c r="C3393" s="5" t="s">
        <v>36</v>
      </c>
      <c r="D3393" s="5" t="s">
        <v>36</v>
      </c>
      <c r="E3393" s="5" t="s">
        <v>36</v>
      </c>
      <c r="F3393" s="5" t="s">
        <v>36</v>
      </c>
      <c r="G3393" s="6" t="s">
        <v>36</v>
      </c>
      <c r="H3393" s="4" t="s">
        <v>36</v>
      </c>
      <c r="I3393" s="7" t="s">
        <v>36</v>
      </c>
      <c r="J3393" s="3" t="s">
        <v>36</v>
      </c>
      <c r="K3393" s="9" t="s">
        <v>36</v>
      </c>
      <c r="L3393" s="6" t="s">
        <v>122</v>
      </c>
      <c r="M3393" s="3" t="s">
        <v>36</v>
      </c>
      <c r="N3393" s="3" t="s">
        <v>122</v>
      </c>
      <c r="O3393" s="8" t="s">
        <v>36</v>
      </c>
      <c r="P3393" s="3" t="s">
        <v>36</v>
      </c>
      <c r="Q3393" s="3" t="s">
        <v>36</v>
      </c>
      <c r="R3393" s="3" t="s">
        <v>36</v>
      </c>
      <c r="S3393" s="3" t="s">
        <v>36</v>
      </c>
      <c r="T3393" s="3" t="s">
        <v>1162</v>
      </c>
      <c r="U3393" s="3" t="s">
        <v>423</v>
      </c>
      <c r="V3393" s="3" t="s">
        <v>64</v>
      </c>
      <c r="W3393" s="3" t="s">
        <v>17572</v>
      </c>
      <c r="X3393" s="10" t="s">
        <v>17573</v>
      </c>
      <c r="Y3393" s="6" t="s">
        <v>42</v>
      </c>
      <c r="Z3393" s="4">
        <v>12.2</v>
      </c>
      <c r="AA3393" s="4" t="s">
        <v>36</v>
      </c>
      <c r="AB3393" s="3" t="s">
        <v>43</v>
      </c>
      <c r="AC3393" s="3" t="s">
        <v>17574</v>
      </c>
      <c r="AD3393" s="9">
        <v>44211</v>
      </c>
      <c r="AE3393" s="3" t="s">
        <v>562</v>
      </c>
      <c r="AF3393" s="3" t="s">
        <v>2525</v>
      </c>
      <c r="AG3393" s="3" t="s">
        <v>17575</v>
      </c>
      <c r="AH3393" s="11">
        <f>HYPERLINK("https://my.pitchbook.com?c=165013-66T","View Company Online")</f>
      </c>
    </row>
    <row r="3394">
      <c r="A3394" s="12" t="s">
        <v>17576</v>
      </c>
      <c r="B3394" s="12" t="s">
        <v>5187</v>
      </c>
      <c r="C3394" s="19" t="s">
        <v>36</v>
      </c>
      <c r="D3394" s="19" t="s">
        <v>36</v>
      </c>
      <c r="E3394" s="19" t="s">
        <v>36</v>
      </c>
      <c r="F3394" s="19" t="s">
        <v>36</v>
      </c>
      <c r="G3394" s="15" t="s">
        <v>326</v>
      </c>
      <c r="H3394" s="14">
        <v>902.51</v>
      </c>
      <c r="I3394" s="18">
        <v>5.45</v>
      </c>
      <c r="J3394" s="12" t="s">
        <v>521</v>
      </c>
      <c r="K3394" s="13" t="s">
        <v>36</v>
      </c>
      <c r="L3394" s="15" t="s">
        <v>36</v>
      </c>
      <c r="M3394" s="12" t="s">
        <v>36</v>
      </c>
      <c r="N3394" s="12" t="s">
        <v>36</v>
      </c>
      <c r="O3394" s="17" t="s">
        <v>36</v>
      </c>
      <c r="P3394" s="12" t="s">
        <v>36</v>
      </c>
      <c r="Q3394" s="12" t="s">
        <v>36</v>
      </c>
      <c r="R3394" s="12" t="s">
        <v>36</v>
      </c>
      <c r="S3394" s="12" t="s">
        <v>36</v>
      </c>
      <c r="T3394" s="12" t="s">
        <v>5188</v>
      </c>
      <c r="U3394" s="12" t="s">
        <v>38</v>
      </c>
      <c r="V3394" s="12" t="s">
        <v>39</v>
      </c>
      <c r="W3394" s="12" t="s">
        <v>5189</v>
      </c>
      <c r="X3394" s="16" t="s">
        <v>17577</v>
      </c>
      <c r="Y3394" s="15" t="s">
        <v>42</v>
      </c>
      <c r="Z3394" s="14">
        <v>0.04</v>
      </c>
      <c r="AA3394" s="14">
        <v>0.66</v>
      </c>
      <c r="AB3394" s="12" t="s">
        <v>43</v>
      </c>
      <c r="AC3394" s="12" t="s">
        <v>5191</v>
      </c>
      <c r="AD3394" s="13">
        <v>44211</v>
      </c>
      <c r="AE3394" s="12" t="s">
        <v>110</v>
      </c>
      <c r="AF3394" s="12" t="s">
        <v>5192</v>
      </c>
      <c r="AG3394" s="12" t="s">
        <v>5193</v>
      </c>
      <c r="AH3394" s="1">
        <f>HYPERLINK("https://my.pitchbook.com?c=247078-90T","View Company Online")</f>
      </c>
    </row>
    <row r="3395">
      <c r="A3395" s="3" t="s">
        <v>17578</v>
      </c>
      <c r="B3395" s="3" t="s">
        <v>17579</v>
      </c>
      <c r="C3395" s="5" t="s">
        <v>36</v>
      </c>
      <c r="D3395" s="5">
        <v>2</v>
      </c>
      <c r="E3395" s="5">
        <v>1</v>
      </c>
      <c r="F3395" s="5">
        <v>2</v>
      </c>
      <c r="G3395" s="6" t="s">
        <v>36</v>
      </c>
      <c r="H3395" s="4" t="s">
        <v>36</v>
      </c>
      <c r="I3395" s="7" t="s">
        <v>36</v>
      </c>
      <c r="J3395" s="3" t="s">
        <v>36</v>
      </c>
      <c r="K3395" s="9" t="s">
        <v>36</v>
      </c>
      <c r="L3395" s="6" t="s">
        <v>36</v>
      </c>
      <c r="M3395" s="3" t="s">
        <v>36</v>
      </c>
      <c r="N3395" s="3" t="s">
        <v>36</v>
      </c>
      <c r="O3395" s="8" t="s">
        <v>36</v>
      </c>
      <c r="P3395" s="3" t="s">
        <v>36</v>
      </c>
      <c r="Q3395" s="3" t="s">
        <v>36</v>
      </c>
      <c r="R3395" s="3" t="s">
        <v>36</v>
      </c>
      <c r="S3395" s="3" t="s">
        <v>36</v>
      </c>
      <c r="T3395" s="3" t="s">
        <v>17580</v>
      </c>
      <c r="U3395" s="3" t="s">
        <v>233</v>
      </c>
      <c r="V3395" s="3" t="s">
        <v>39</v>
      </c>
      <c r="W3395" s="3" t="s">
        <v>17581</v>
      </c>
      <c r="X3395" s="10" t="s">
        <v>17582</v>
      </c>
      <c r="Y3395" s="6" t="s">
        <v>42</v>
      </c>
      <c r="Z3395" s="4" t="s">
        <v>36</v>
      </c>
      <c r="AA3395" s="4" t="s">
        <v>36</v>
      </c>
      <c r="AB3395" s="3" t="s">
        <v>56</v>
      </c>
      <c r="AC3395" s="3" t="s">
        <v>17583</v>
      </c>
      <c r="AD3395" s="9">
        <v>44211</v>
      </c>
      <c r="AE3395" s="3" t="s">
        <v>236</v>
      </c>
      <c r="AF3395" s="3" t="s">
        <v>36</v>
      </c>
      <c r="AG3395" s="3" t="s">
        <v>81</v>
      </c>
      <c r="AH3395" s="11">
        <f>HYPERLINK("https://my.pitchbook.com?c=165157-21T","View Company Online")</f>
      </c>
    </row>
    <row r="3396">
      <c r="A3396" s="12" t="s">
        <v>17584</v>
      </c>
      <c r="B3396" s="12" t="s">
        <v>17585</v>
      </c>
      <c r="C3396" s="19" t="s">
        <v>36</v>
      </c>
      <c r="D3396" s="19" t="s">
        <v>36</v>
      </c>
      <c r="E3396" s="19" t="s">
        <v>36</v>
      </c>
      <c r="F3396" s="19" t="s">
        <v>36</v>
      </c>
      <c r="G3396" s="15" t="s">
        <v>36</v>
      </c>
      <c r="H3396" s="14" t="s">
        <v>36</v>
      </c>
      <c r="I3396" s="18" t="s">
        <v>36</v>
      </c>
      <c r="J3396" s="12" t="s">
        <v>36</v>
      </c>
      <c r="K3396" s="13">
        <v>44197</v>
      </c>
      <c r="L3396" s="15" t="s">
        <v>36</v>
      </c>
      <c r="M3396" s="12" t="s">
        <v>36</v>
      </c>
      <c r="N3396" s="12" t="s">
        <v>36</v>
      </c>
      <c r="O3396" s="17" t="s">
        <v>36</v>
      </c>
      <c r="P3396" s="12" t="s">
        <v>36</v>
      </c>
      <c r="Q3396" s="12" t="s">
        <v>36</v>
      </c>
      <c r="R3396" s="12" t="s">
        <v>36</v>
      </c>
      <c r="S3396" s="12" t="s">
        <v>36</v>
      </c>
      <c r="T3396" s="12" t="s">
        <v>17586</v>
      </c>
      <c r="U3396" s="12" t="s">
        <v>38</v>
      </c>
      <c r="V3396" s="12" t="s">
        <v>39</v>
      </c>
      <c r="W3396" s="12" t="s">
        <v>17587</v>
      </c>
      <c r="X3396" s="16" t="s">
        <v>17588</v>
      </c>
      <c r="Y3396" s="15" t="s">
        <v>55</v>
      </c>
      <c r="Z3396" s="14">
        <v>2.44</v>
      </c>
      <c r="AA3396" s="14" t="s">
        <v>36</v>
      </c>
      <c r="AB3396" s="12" t="s">
        <v>56</v>
      </c>
      <c r="AC3396" s="12" t="s">
        <v>17589</v>
      </c>
      <c r="AD3396" s="13">
        <v>44210</v>
      </c>
      <c r="AE3396" s="12" t="s">
        <v>45</v>
      </c>
      <c r="AF3396" s="12" t="s">
        <v>17590</v>
      </c>
      <c r="AG3396" s="12" t="s">
        <v>102</v>
      </c>
      <c r="AH3396" s="1">
        <f>HYPERLINK("https://my.pitchbook.com?c=164636-11T","View Company Online")</f>
      </c>
    </row>
    <row r="3397">
      <c r="A3397" s="3" t="s">
        <v>17591</v>
      </c>
      <c r="B3397" s="3" t="s">
        <v>17592</v>
      </c>
      <c r="C3397" s="5">
        <v>4</v>
      </c>
      <c r="D3397" s="5">
        <v>2</v>
      </c>
      <c r="E3397" s="5">
        <v>1</v>
      </c>
      <c r="F3397" s="5">
        <v>6</v>
      </c>
      <c r="G3397" s="6" t="s">
        <v>36</v>
      </c>
      <c r="H3397" s="4">
        <v>62.79</v>
      </c>
      <c r="I3397" s="7">
        <v>35.54</v>
      </c>
      <c r="J3397" s="3" t="s">
        <v>521</v>
      </c>
      <c r="K3397" s="9">
        <v>44166</v>
      </c>
      <c r="L3397" s="6" t="s">
        <v>36</v>
      </c>
      <c r="M3397" s="3" t="s">
        <v>36</v>
      </c>
      <c r="N3397" s="3" t="s">
        <v>36</v>
      </c>
      <c r="O3397" s="8" t="s">
        <v>36</v>
      </c>
      <c r="P3397" s="3" t="s">
        <v>36</v>
      </c>
      <c r="Q3397" s="3" t="s">
        <v>36</v>
      </c>
      <c r="R3397" s="3" t="s">
        <v>36</v>
      </c>
      <c r="S3397" s="3" t="s">
        <v>36</v>
      </c>
      <c r="T3397" s="3" t="s">
        <v>17593</v>
      </c>
      <c r="U3397" s="3" t="s">
        <v>318</v>
      </c>
      <c r="V3397" s="3" t="s">
        <v>39</v>
      </c>
      <c r="W3397" s="3" t="s">
        <v>17594</v>
      </c>
      <c r="X3397" s="10" t="s">
        <v>17595</v>
      </c>
      <c r="Y3397" s="6" t="s">
        <v>108</v>
      </c>
      <c r="Z3397" s="4">
        <v>2.44</v>
      </c>
      <c r="AA3397" s="4">
        <v>4.65</v>
      </c>
      <c r="AB3397" s="3" t="s">
        <v>43</v>
      </c>
      <c r="AC3397" s="3" t="s">
        <v>17596</v>
      </c>
      <c r="AD3397" s="9">
        <v>44209</v>
      </c>
      <c r="AE3397" s="3" t="s">
        <v>763</v>
      </c>
      <c r="AF3397" s="3" t="s">
        <v>571</v>
      </c>
      <c r="AG3397" s="3" t="s">
        <v>3774</v>
      </c>
      <c r="AH3397" s="11">
        <f>HYPERLINK("https://my.pitchbook.com?c=165270-52T","View Company Online")</f>
      </c>
    </row>
    <row r="3398">
      <c r="A3398" s="12" t="s">
        <v>17597</v>
      </c>
      <c r="B3398" s="12" t="s">
        <v>2399</v>
      </c>
      <c r="C3398" s="19" t="s">
        <v>36</v>
      </c>
      <c r="D3398" s="19" t="s">
        <v>36</v>
      </c>
      <c r="E3398" s="19" t="s">
        <v>36</v>
      </c>
      <c r="F3398" s="19" t="s">
        <v>36</v>
      </c>
      <c r="G3398" s="15" t="s">
        <v>36</v>
      </c>
      <c r="H3398" s="14">
        <v>89.42</v>
      </c>
      <c r="I3398" s="18">
        <v>16.06</v>
      </c>
      <c r="J3398" s="12" t="s">
        <v>521</v>
      </c>
      <c r="K3398" s="13" t="s">
        <v>36</v>
      </c>
      <c r="L3398" s="15" t="s">
        <v>36</v>
      </c>
      <c r="M3398" s="12" t="s">
        <v>36</v>
      </c>
      <c r="N3398" s="12" t="s">
        <v>36</v>
      </c>
      <c r="O3398" s="17" t="s">
        <v>36</v>
      </c>
      <c r="P3398" s="12" t="s">
        <v>36</v>
      </c>
      <c r="Q3398" s="12" t="s">
        <v>36</v>
      </c>
      <c r="R3398" s="12" t="s">
        <v>36</v>
      </c>
      <c r="S3398" s="12" t="s">
        <v>36</v>
      </c>
      <c r="T3398" s="12" t="s">
        <v>37</v>
      </c>
      <c r="U3398" s="12" t="s">
        <v>38</v>
      </c>
      <c r="V3398" s="12" t="s">
        <v>39</v>
      </c>
      <c r="W3398" s="12" t="s">
        <v>2400</v>
      </c>
      <c r="X3398" s="16" t="s">
        <v>17598</v>
      </c>
      <c r="Y3398" s="15" t="s">
        <v>108</v>
      </c>
      <c r="Z3398" s="14">
        <v>1.22</v>
      </c>
      <c r="AA3398" s="14">
        <v>7.59</v>
      </c>
      <c r="AB3398" s="12" t="s">
        <v>43</v>
      </c>
      <c r="AC3398" s="12" t="s">
        <v>2402</v>
      </c>
      <c r="AD3398" s="13">
        <v>44209</v>
      </c>
      <c r="AE3398" s="12" t="s">
        <v>45</v>
      </c>
      <c r="AF3398" s="12" t="s">
        <v>799</v>
      </c>
      <c r="AG3398" s="12" t="s">
        <v>81</v>
      </c>
      <c r="AH3398" s="1">
        <f>HYPERLINK("https://my.pitchbook.com?c=172077-22T","View Company Online")</f>
      </c>
    </row>
    <row r="3399">
      <c r="A3399" s="3" t="s">
        <v>17599</v>
      </c>
      <c r="B3399" s="3" t="s">
        <v>10466</v>
      </c>
      <c r="C3399" s="5" t="s">
        <v>36</v>
      </c>
      <c r="D3399" s="5" t="s">
        <v>36</v>
      </c>
      <c r="E3399" s="5" t="s">
        <v>36</v>
      </c>
      <c r="F3399" s="5" t="s">
        <v>36</v>
      </c>
      <c r="G3399" s="6" t="s">
        <v>326</v>
      </c>
      <c r="H3399" s="4" t="s">
        <v>36</v>
      </c>
      <c r="I3399" s="7">
        <v>11.34</v>
      </c>
      <c r="J3399" s="3" t="s">
        <v>327</v>
      </c>
      <c r="K3399" s="9" t="s">
        <v>36</v>
      </c>
      <c r="L3399" s="6" t="s">
        <v>36</v>
      </c>
      <c r="M3399" s="3" t="s">
        <v>36</v>
      </c>
      <c r="N3399" s="3" t="s">
        <v>36</v>
      </c>
      <c r="O3399" s="8" t="s">
        <v>36</v>
      </c>
      <c r="P3399" s="3" t="s">
        <v>36</v>
      </c>
      <c r="Q3399" s="3" t="s">
        <v>36</v>
      </c>
      <c r="R3399" s="3" t="s">
        <v>36</v>
      </c>
      <c r="S3399" s="3" t="s">
        <v>36</v>
      </c>
      <c r="T3399" s="3" t="s">
        <v>10467</v>
      </c>
      <c r="U3399" s="3" t="s">
        <v>423</v>
      </c>
      <c r="V3399" s="3" t="s">
        <v>64</v>
      </c>
      <c r="W3399" s="3" t="s">
        <v>10468</v>
      </c>
      <c r="X3399" s="10" t="s">
        <v>17600</v>
      </c>
      <c r="Y3399" s="6" t="s">
        <v>108</v>
      </c>
      <c r="Z3399" s="4">
        <v>1.83</v>
      </c>
      <c r="AA3399" s="4">
        <v>8.78</v>
      </c>
      <c r="AB3399" s="3" t="s">
        <v>56</v>
      </c>
      <c r="AC3399" s="3" t="s">
        <v>10470</v>
      </c>
      <c r="AD3399" s="9">
        <v>44208</v>
      </c>
      <c r="AE3399" s="3" t="s">
        <v>427</v>
      </c>
      <c r="AF3399" s="3" t="s">
        <v>90</v>
      </c>
      <c r="AG3399" s="3" t="s">
        <v>10471</v>
      </c>
      <c r="AH3399" s="11">
        <f>HYPERLINK("https://my.pitchbook.com?c=165211-93T","View Company Online")</f>
      </c>
    </row>
    <row r="3400">
      <c r="A3400" s="12" t="s">
        <v>17601</v>
      </c>
      <c r="B3400" s="12" t="s">
        <v>1334</v>
      </c>
      <c r="C3400" s="19">
        <v>3</v>
      </c>
      <c r="D3400" s="19">
        <v>8</v>
      </c>
      <c r="E3400" s="19">
        <v>3</v>
      </c>
      <c r="F3400" s="19">
        <v>11</v>
      </c>
      <c r="G3400" s="15" t="s">
        <v>326</v>
      </c>
      <c r="H3400" s="14">
        <v>257.48</v>
      </c>
      <c r="I3400" s="18">
        <v>9.16</v>
      </c>
      <c r="J3400" s="12" t="s">
        <v>521</v>
      </c>
      <c r="K3400" s="13" t="s">
        <v>36</v>
      </c>
      <c r="L3400" s="15" t="s">
        <v>36</v>
      </c>
      <c r="M3400" s="12" t="s">
        <v>36</v>
      </c>
      <c r="N3400" s="12" t="s">
        <v>36</v>
      </c>
      <c r="O3400" s="17" t="s">
        <v>36</v>
      </c>
      <c r="P3400" s="12" t="s">
        <v>36</v>
      </c>
      <c r="Q3400" s="12" t="s">
        <v>36</v>
      </c>
      <c r="R3400" s="12" t="s">
        <v>36</v>
      </c>
      <c r="S3400" s="12" t="s">
        <v>595</v>
      </c>
      <c r="T3400" s="12" t="s">
        <v>1335</v>
      </c>
      <c r="U3400" s="12" t="s">
        <v>1336</v>
      </c>
      <c r="V3400" s="12" t="s">
        <v>367</v>
      </c>
      <c r="W3400" s="12" t="s">
        <v>1337</v>
      </c>
      <c r="X3400" s="16" t="s">
        <v>17602</v>
      </c>
      <c r="Y3400" s="15" t="s">
        <v>166</v>
      </c>
      <c r="Z3400" s="14">
        <v>4.7</v>
      </c>
      <c r="AA3400" s="14">
        <v>51.33</v>
      </c>
      <c r="AB3400" s="12" t="s">
        <v>56</v>
      </c>
      <c r="AC3400" s="12" t="s">
        <v>1338</v>
      </c>
      <c r="AD3400" s="13">
        <v>44206</v>
      </c>
      <c r="AE3400" s="12" t="s">
        <v>1339</v>
      </c>
      <c r="AF3400" s="12" t="s">
        <v>1340</v>
      </c>
      <c r="AG3400" s="12" t="s">
        <v>1341</v>
      </c>
      <c r="AH3400" s="1">
        <f>HYPERLINK("https://my.pitchbook.com?c=186774-49T","View Company Online")</f>
      </c>
    </row>
    <row r="3401">
      <c r="A3401" s="3" t="s">
        <v>17603</v>
      </c>
      <c r="B3401" s="3" t="s">
        <v>11638</v>
      </c>
      <c r="C3401" s="5" t="s">
        <v>36</v>
      </c>
      <c r="D3401" s="5" t="s">
        <v>36</v>
      </c>
      <c r="E3401" s="5" t="s">
        <v>36</v>
      </c>
      <c r="F3401" s="5" t="s">
        <v>36</v>
      </c>
      <c r="G3401" s="6" t="s">
        <v>36</v>
      </c>
      <c r="H3401" s="4">
        <v>3398.29</v>
      </c>
      <c r="I3401" s="7">
        <v>15.43</v>
      </c>
      <c r="J3401" s="3" t="s">
        <v>521</v>
      </c>
      <c r="K3401" s="9" t="s">
        <v>36</v>
      </c>
      <c r="L3401" s="6" t="s">
        <v>36</v>
      </c>
      <c r="M3401" s="3" t="s">
        <v>36</v>
      </c>
      <c r="N3401" s="3" t="s">
        <v>36</v>
      </c>
      <c r="O3401" s="8" t="s">
        <v>36</v>
      </c>
      <c r="P3401" s="3" t="s">
        <v>36</v>
      </c>
      <c r="Q3401" s="3" t="s">
        <v>36</v>
      </c>
      <c r="R3401" s="3" t="s">
        <v>36</v>
      </c>
      <c r="S3401" s="3" t="s">
        <v>36</v>
      </c>
      <c r="T3401" s="3" t="s">
        <v>2308</v>
      </c>
      <c r="U3401" s="3" t="s">
        <v>38</v>
      </c>
      <c r="V3401" s="3" t="s">
        <v>39</v>
      </c>
      <c r="W3401" s="3" t="s">
        <v>11639</v>
      </c>
      <c r="X3401" s="10" t="s">
        <v>17604</v>
      </c>
      <c r="Y3401" s="6" t="s">
        <v>166</v>
      </c>
      <c r="Z3401" s="4">
        <v>15.76</v>
      </c>
      <c r="AA3401" s="4">
        <v>102.16</v>
      </c>
      <c r="AB3401" s="3" t="s">
        <v>56</v>
      </c>
      <c r="AC3401" s="3" t="s">
        <v>11641</v>
      </c>
      <c r="AD3401" s="9">
        <v>44206</v>
      </c>
      <c r="AE3401" s="3" t="s">
        <v>45</v>
      </c>
      <c r="AF3401" s="3" t="s">
        <v>5816</v>
      </c>
      <c r="AG3401" s="3" t="s">
        <v>81</v>
      </c>
      <c r="AH3401" s="11">
        <f>HYPERLINK("https://my.pitchbook.com?c=184799-26T","View Company Online")</f>
      </c>
    </row>
    <row r="3402">
      <c r="A3402" s="12" t="s">
        <v>17605</v>
      </c>
      <c r="B3402" s="12" t="s">
        <v>17606</v>
      </c>
      <c r="C3402" s="19" t="s">
        <v>36</v>
      </c>
      <c r="D3402" s="19" t="s">
        <v>36</v>
      </c>
      <c r="E3402" s="19" t="s">
        <v>36</v>
      </c>
      <c r="F3402" s="19" t="s">
        <v>36</v>
      </c>
      <c r="G3402" s="15" t="s">
        <v>36</v>
      </c>
      <c r="H3402" s="14">
        <v>1329.37</v>
      </c>
      <c r="I3402" s="18">
        <v>18.96</v>
      </c>
      <c r="J3402" s="12" t="s">
        <v>521</v>
      </c>
      <c r="K3402" s="13" t="s">
        <v>36</v>
      </c>
      <c r="L3402" s="15" t="s">
        <v>36</v>
      </c>
      <c r="M3402" s="12" t="s">
        <v>36</v>
      </c>
      <c r="N3402" s="12" t="s">
        <v>36</v>
      </c>
      <c r="O3402" s="17" t="s">
        <v>36</v>
      </c>
      <c r="P3402" s="12" t="s">
        <v>36</v>
      </c>
      <c r="Q3402" s="12" t="s">
        <v>36</v>
      </c>
      <c r="R3402" s="12" t="s">
        <v>36</v>
      </c>
      <c r="S3402" s="12" t="s">
        <v>36</v>
      </c>
      <c r="T3402" s="12" t="s">
        <v>4692</v>
      </c>
      <c r="U3402" s="12" t="s">
        <v>85</v>
      </c>
      <c r="V3402" s="12" t="s">
        <v>64</v>
      </c>
      <c r="W3402" s="12" t="s">
        <v>17607</v>
      </c>
      <c r="X3402" s="16" t="s">
        <v>15809</v>
      </c>
      <c r="Y3402" s="15" t="s">
        <v>42</v>
      </c>
      <c r="Z3402" s="14">
        <v>0.18</v>
      </c>
      <c r="AA3402" s="14">
        <v>0.96</v>
      </c>
      <c r="AB3402" s="12" t="s">
        <v>43</v>
      </c>
      <c r="AC3402" s="12" t="s">
        <v>17608</v>
      </c>
      <c r="AD3402" s="13">
        <v>44204</v>
      </c>
      <c r="AE3402" s="12" t="s">
        <v>89</v>
      </c>
      <c r="AF3402" s="12" t="s">
        <v>7688</v>
      </c>
      <c r="AG3402" s="12" t="s">
        <v>102</v>
      </c>
      <c r="AH3402" s="1">
        <f>HYPERLINK("https://my.pitchbook.com?c=223697-44T","View Company Online")</f>
      </c>
    </row>
    <row r="3403">
      <c r="A3403" s="3" t="s">
        <v>17609</v>
      </c>
      <c r="B3403" s="3" t="s">
        <v>4251</v>
      </c>
      <c r="C3403" s="5" t="s">
        <v>36</v>
      </c>
      <c r="D3403" s="5" t="s">
        <v>36</v>
      </c>
      <c r="E3403" s="5" t="s">
        <v>36</v>
      </c>
      <c r="F3403" s="5" t="s">
        <v>36</v>
      </c>
      <c r="G3403" s="6" t="s">
        <v>326</v>
      </c>
      <c r="H3403" s="4">
        <v>43.48</v>
      </c>
      <c r="I3403" s="7">
        <v>23.79</v>
      </c>
      <c r="J3403" s="3" t="s">
        <v>521</v>
      </c>
      <c r="K3403" s="9" t="s">
        <v>36</v>
      </c>
      <c r="L3403" s="6" t="s">
        <v>122</v>
      </c>
      <c r="M3403" s="3" t="s">
        <v>36</v>
      </c>
      <c r="N3403" s="3" t="s">
        <v>122</v>
      </c>
      <c r="O3403" s="8" t="s">
        <v>36</v>
      </c>
      <c r="P3403" s="3" t="s">
        <v>36</v>
      </c>
      <c r="Q3403" s="3" t="s">
        <v>36</v>
      </c>
      <c r="R3403" s="3" t="s">
        <v>36</v>
      </c>
      <c r="S3403" s="3" t="s">
        <v>36</v>
      </c>
      <c r="T3403" s="3" t="s">
        <v>4252</v>
      </c>
      <c r="U3403" s="3" t="s">
        <v>38</v>
      </c>
      <c r="V3403" s="3" t="s">
        <v>39</v>
      </c>
      <c r="W3403" s="3" t="s">
        <v>4253</v>
      </c>
      <c r="X3403" s="10" t="s">
        <v>17610</v>
      </c>
      <c r="Y3403" s="6" t="s">
        <v>108</v>
      </c>
      <c r="Z3403" s="4">
        <v>18.27</v>
      </c>
      <c r="AA3403" s="4">
        <v>76.81</v>
      </c>
      <c r="AB3403" s="3" t="s">
        <v>56</v>
      </c>
      <c r="AC3403" s="3" t="s">
        <v>4255</v>
      </c>
      <c r="AD3403" s="9">
        <v>44203</v>
      </c>
      <c r="AE3403" s="3" t="s">
        <v>45</v>
      </c>
      <c r="AF3403" s="3" t="s">
        <v>331</v>
      </c>
      <c r="AG3403" s="3" t="s">
        <v>4256</v>
      </c>
      <c r="AH3403" s="11">
        <f>HYPERLINK("https://my.pitchbook.com?c=164501-83T","View Company Online")</f>
      </c>
    </row>
    <row r="3404">
      <c r="A3404" s="12" t="s">
        <v>17611</v>
      </c>
      <c r="B3404" s="12" t="s">
        <v>17612</v>
      </c>
      <c r="C3404" s="19" t="s">
        <v>36</v>
      </c>
      <c r="D3404" s="19" t="s">
        <v>36</v>
      </c>
      <c r="E3404" s="19" t="s">
        <v>36</v>
      </c>
      <c r="F3404" s="19" t="s">
        <v>36</v>
      </c>
      <c r="G3404" s="15" t="s">
        <v>36</v>
      </c>
      <c r="H3404" s="14">
        <v>141.36</v>
      </c>
      <c r="I3404" s="18">
        <v>30</v>
      </c>
      <c r="J3404" s="12" t="s">
        <v>521</v>
      </c>
      <c r="K3404" s="13" t="s">
        <v>36</v>
      </c>
      <c r="L3404" s="15" t="s">
        <v>36</v>
      </c>
      <c r="M3404" s="12" t="s">
        <v>36</v>
      </c>
      <c r="N3404" s="12" t="s">
        <v>36</v>
      </c>
      <c r="O3404" s="17" t="s">
        <v>36</v>
      </c>
      <c r="P3404" s="12" t="s">
        <v>36</v>
      </c>
      <c r="Q3404" s="12" t="s">
        <v>36</v>
      </c>
      <c r="R3404" s="12" t="s">
        <v>36</v>
      </c>
      <c r="S3404" s="12" t="s">
        <v>2314</v>
      </c>
      <c r="T3404" s="12" t="s">
        <v>17613</v>
      </c>
      <c r="U3404" s="12" t="s">
        <v>289</v>
      </c>
      <c r="V3404" s="12" t="s">
        <v>64</v>
      </c>
      <c r="W3404" s="12" t="s">
        <v>17614</v>
      </c>
      <c r="X3404" s="16" t="s">
        <v>17615</v>
      </c>
      <c r="Y3404" s="15" t="s">
        <v>42</v>
      </c>
      <c r="Z3404" s="14">
        <v>0.43</v>
      </c>
      <c r="AA3404" s="14">
        <v>1.42</v>
      </c>
      <c r="AB3404" s="12" t="s">
        <v>43</v>
      </c>
      <c r="AC3404" s="12" t="s">
        <v>17616</v>
      </c>
      <c r="AD3404" s="13">
        <v>44203</v>
      </c>
      <c r="AE3404" s="12" t="s">
        <v>3134</v>
      </c>
      <c r="AF3404" s="12" t="s">
        <v>90</v>
      </c>
      <c r="AG3404" s="12" t="s">
        <v>81</v>
      </c>
      <c r="AH3404" s="1">
        <f>HYPERLINK("https://my.pitchbook.com?c=204150-52T","View Company Online")</f>
      </c>
    </row>
    <row r="3405">
      <c r="A3405" s="3" t="s">
        <v>17617</v>
      </c>
      <c r="B3405" s="3" t="s">
        <v>11263</v>
      </c>
      <c r="C3405" s="5" t="s">
        <v>36</v>
      </c>
      <c r="D3405" s="5">
        <v>7</v>
      </c>
      <c r="E3405" s="5">
        <v>2</v>
      </c>
      <c r="F3405" s="5">
        <v>8</v>
      </c>
      <c r="G3405" s="6" t="s">
        <v>36</v>
      </c>
      <c r="H3405" s="4" t="s">
        <v>36</v>
      </c>
      <c r="I3405" s="7" t="s">
        <v>36</v>
      </c>
      <c r="J3405" s="3" t="s">
        <v>36</v>
      </c>
      <c r="K3405" s="9" t="s">
        <v>36</v>
      </c>
      <c r="L3405" s="6" t="s">
        <v>36</v>
      </c>
      <c r="M3405" s="3" t="s">
        <v>36</v>
      </c>
      <c r="N3405" s="3" t="s">
        <v>36</v>
      </c>
      <c r="O3405" s="8" t="s">
        <v>36</v>
      </c>
      <c r="P3405" s="3" t="s">
        <v>36</v>
      </c>
      <c r="Q3405" s="3" t="s">
        <v>36</v>
      </c>
      <c r="R3405" s="3" t="s">
        <v>36</v>
      </c>
      <c r="S3405" s="3" t="s">
        <v>11264</v>
      </c>
      <c r="T3405" s="3" t="s">
        <v>588</v>
      </c>
      <c r="U3405" s="3" t="s">
        <v>318</v>
      </c>
      <c r="V3405" s="3" t="s">
        <v>39</v>
      </c>
      <c r="W3405" s="3" t="s">
        <v>11265</v>
      </c>
      <c r="X3405" s="10" t="s">
        <v>2442</v>
      </c>
      <c r="Y3405" s="6" t="s">
        <v>42</v>
      </c>
      <c r="Z3405" s="4" t="s">
        <v>36</v>
      </c>
      <c r="AA3405" s="4" t="s">
        <v>36</v>
      </c>
      <c r="AB3405" s="3" t="s">
        <v>56</v>
      </c>
      <c r="AC3405" s="3" t="s">
        <v>11267</v>
      </c>
      <c r="AD3405" s="9">
        <v>44202</v>
      </c>
      <c r="AE3405" s="3" t="s">
        <v>417</v>
      </c>
      <c r="AF3405" s="3" t="s">
        <v>592</v>
      </c>
      <c r="AG3405" s="3" t="s">
        <v>11268</v>
      </c>
      <c r="AH3405" s="11">
        <f>HYPERLINK("https://my.pitchbook.com?c=184067-56T","View Company Online")</f>
      </c>
    </row>
    <row r="3406">
      <c r="A3406" s="12" t="s">
        <v>17618</v>
      </c>
      <c r="B3406" s="12" t="s">
        <v>17619</v>
      </c>
      <c r="C3406" s="19">
        <v>5</v>
      </c>
      <c r="D3406" s="19">
        <v>2</v>
      </c>
      <c r="E3406" s="19">
        <v>2</v>
      </c>
      <c r="F3406" s="19">
        <v>8</v>
      </c>
      <c r="G3406" s="15" t="s">
        <v>326</v>
      </c>
      <c r="H3406" s="14">
        <v>177.13</v>
      </c>
      <c r="I3406" s="18">
        <v>20</v>
      </c>
      <c r="J3406" s="12" t="s">
        <v>521</v>
      </c>
      <c r="K3406" s="13" t="s">
        <v>36</v>
      </c>
      <c r="L3406" s="15" t="s">
        <v>36</v>
      </c>
      <c r="M3406" s="12" t="s">
        <v>36</v>
      </c>
      <c r="N3406" s="12" t="s">
        <v>36</v>
      </c>
      <c r="O3406" s="17" t="s">
        <v>36</v>
      </c>
      <c r="P3406" s="12" t="s">
        <v>36</v>
      </c>
      <c r="Q3406" s="12" t="s">
        <v>36</v>
      </c>
      <c r="R3406" s="12" t="s">
        <v>36</v>
      </c>
      <c r="S3406" s="12" t="s">
        <v>36</v>
      </c>
      <c r="T3406" s="12" t="s">
        <v>5772</v>
      </c>
      <c r="U3406" s="12" t="s">
        <v>96</v>
      </c>
      <c r="V3406" s="12" t="s">
        <v>52</v>
      </c>
      <c r="W3406" s="12" t="s">
        <v>17620</v>
      </c>
      <c r="X3406" s="16" t="s">
        <v>17621</v>
      </c>
      <c r="Y3406" s="15" t="s">
        <v>55</v>
      </c>
      <c r="Z3406" s="14">
        <v>1.22</v>
      </c>
      <c r="AA3406" s="14">
        <v>6.08</v>
      </c>
      <c r="AB3406" s="12" t="s">
        <v>56</v>
      </c>
      <c r="AC3406" s="12" t="s">
        <v>17622</v>
      </c>
      <c r="AD3406" s="13">
        <v>44201</v>
      </c>
      <c r="AE3406" s="12" t="s">
        <v>755</v>
      </c>
      <c r="AF3406" s="12" t="s">
        <v>6389</v>
      </c>
      <c r="AG3406" s="12" t="s">
        <v>81</v>
      </c>
      <c r="AH3406" s="1">
        <f>HYPERLINK("https://my.pitchbook.com?c=179934-49T","View Company Online")</f>
      </c>
    </row>
    <row r="3407">
      <c r="A3407" s="3" t="s">
        <v>17623</v>
      </c>
      <c r="B3407" s="3" t="s">
        <v>17624</v>
      </c>
      <c r="C3407" s="5">
        <v>1</v>
      </c>
      <c r="D3407" s="5">
        <v>2</v>
      </c>
      <c r="E3407" s="5">
        <v>1</v>
      </c>
      <c r="F3407" s="5">
        <v>3</v>
      </c>
      <c r="G3407" s="6" t="s">
        <v>36</v>
      </c>
      <c r="H3407" s="4">
        <v>4102.21</v>
      </c>
      <c r="I3407" s="7">
        <v>20</v>
      </c>
      <c r="J3407" s="3" t="s">
        <v>521</v>
      </c>
      <c r="K3407" s="9" t="s">
        <v>36</v>
      </c>
      <c r="L3407" s="6" t="s">
        <v>36</v>
      </c>
      <c r="M3407" s="3" t="s">
        <v>36</v>
      </c>
      <c r="N3407" s="3" t="s">
        <v>36</v>
      </c>
      <c r="O3407" s="8" t="s">
        <v>36</v>
      </c>
      <c r="P3407" s="3" t="s">
        <v>36</v>
      </c>
      <c r="Q3407" s="3" t="s">
        <v>36</v>
      </c>
      <c r="R3407" s="3" t="s">
        <v>36</v>
      </c>
      <c r="S3407" s="3" t="s">
        <v>36</v>
      </c>
      <c r="T3407" s="3" t="s">
        <v>1941</v>
      </c>
      <c r="U3407" s="3" t="s">
        <v>38</v>
      </c>
      <c r="V3407" s="3" t="s">
        <v>39</v>
      </c>
      <c r="W3407" s="3" t="s">
        <v>17625</v>
      </c>
      <c r="X3407" s="10" t="s">
        <v>2869</v>
      </c>
      <c r="Y3407" s="6" t="s">
        <v>42</v>
      </c>
      <c r="Z3407" s="4">
        <v>0.6</v>
      </c>
      <c r="AA3407" s="4">
        <v>3</v>
      </c>
      <c r="AB3407" s="3" t="s">
        <v>43</v>
      </c>
      <c r="AC3407" s="3" t="s">
        <v>17626</v>
      </c>
      <c r="AD3407" s="9">
        <v>44199</v>
      </c>
      <c r="AE3407" s="3" t="s">
        <v>1945</v>
      </c>
      <c r="AF3407" s="3" t="s">
        <v>176</v>
      </c>
      <c r="AG3407" s="3" t="s">
        <v>81</v>
      </c>
      <c r="AH3407" s="11">
        <f>HYPERLINK("https://my.pitchbook.com?c=191235-79T","View Company Online")</f>
      </c>
    </row>
    <row r="3408">
      <c r="A3408" s="12" t="s">
        <v>17627</v>
      </c>
      <c r="B3408" s="12" t="s">
        <v>1547</v>
      </c>
      <c r="C3408" s="19">
        <v>3</v>
      </c>
      <c r="D3408" s="19" t="s">
        <v>36</v>
      </c>
      <c r="E3408" s="19">
        <v>1</v>
      </c>
      <c r="F3408" s="19">
        <v>3</v>
      </c>
      <c r="G3408" s="15" t="s">
        <v>36</v>
      </c>
      <c r="H3408" s="14" t="s">
        <v>36</v>
      </c>
      <c r="I3408" s="18" t="s">
        <v>36</v>
      </c>
      <c r="J3408" s="12" t="s">
        <v>36</v>
      </c>
      <c r="K3408" s="13" t="s">
        <v>36</v>
      </c>
      <c r="L3408" s="15" t="s">
        <v>36</v>
      </c>
      <c r="M3408" s="12" t="s">
        <v>36</v>
      </c>
      <c r="N3408" s="12" t="s">
        <v>36</v>
      </c>
      <c r="O3408" s="17" t="s">
        <v>36</v>
      </c>
      <c r="P3408" s="12" t="s">
        <v>36</v>
      </c>
      <c r="Q3408" s="12" t="s">
        <v>36</v>
      </c>
      <c r="R3408" s="12" t="s">
        <v>36</v>
      </c>
      <c r="S3408" s="12" t="s">
        <v>36</v>
      </c>
      <c r="T3408" s="12" t="s">
        <v>1548</v>
      </c>
      <c r="U3408" s="12" t="s">
        <v>38</v>
      </c>
      <c r="V3408" s="12" t="s">
        <v>39</v>
      </c>
      <c r="W3408" s="12" t="s">
        <v>1549</v>
      </c>
      <c r="X3408" s="16" t="s">
        <v>8727</v>
      </c>
      <c r="Y3408" s="15" t="s">
        <v>42</v>
      </c>
      <c r="Z3408" s="14" t="s">
        <v>36</v>
      </c>
      <c r="AA3408" s="14" t="s">
        <v>36</v>
      </c>
      <c r="AB3408" s="12" t="s">
        <v>43</v>
      </c>
      <c r="AC3408" s="12" t="s">
        <v>1551</v>
      </c>
      <c r="AD3408" s="13">
        <v>44197</v>
      </c>
      <c r="AE3408" s="12" t="s">
        <v>134</v>
      </c>
      <c r="AF3408" s="12" t="s">
        <v>135</v>
      </c>
      <c r="AG3408" s="12" t="s">
        <v>81</v>
      </c>
      <c r="AH3408" s="1">
        <f>HYPERLINK("https://my.pitchbook.com?c=276690-16T","View Company Online")</f>
      </c>
    </row>
    <row r="3409">
      <c r="A3409" s="3" t="s">
        <v>17628</v>
      </c>
      <c r="B3409" s="3" t="s">
        <v>17629</v>
      </c>
      <c r="C3409" s="5" t="s">
        <v>36</v>
      </c>
      <c r="D3409" s="5" t="s">
        <v>36</v>
      </c>
      <c r="E3409" s="5" t="s">
        <v>36</v>
      </c>
      <c r="F3409" s="5" t="s">
        <v>36</v>
      </c>
      <c r="G3409" s="6" t="s">
        <v>36</v>
      </c>
      <c r="H3409" s="4" t="s">
        <v>36</v>
      </c>
      <c r="I3409" s="7" t="s">
        <v>36</v>
      </c>
      <c r="J3409" s="3" t="s">
        <v>36</v>
      </c>
      <c r="K3409" s="9" t="s">
        <v>36</v>
      </c>
      <c r="L3409" s="6" t="s">
        <v>36</v>
      </c>
      <c r="M3409" s="3" t="s">
        <v>36</v>
      </c>
      <c r="N3409" s="3" t="s">
        <v>36</v>
      </c>
      <c r="O3409" s="8" t="s">
        <v>36</v>
      </c>
      <c r="P3409" s="3" t="s">
        <v>36</v>
      </c>
      <c r="Q3409" s="3" t="s">
        <v>36</v>
      </c>
      <c r="R3409" s="3" t="s">
        <v>36</v>
      </c>
      <c r="S3409" s="3" t="s">
        <v>36</v>
      </c>
      <c r="T3409" s="3" t="s">
        <v>232</v>
      </c>
      <c r="U3409" s="3" t="s">
        <v>233</v>
      </c>
      <c r="V3409" s="3" t="s">
        <v>39</v>
      </c>
      <c r="W3409" s="3" t="s">
        <v>17630</v>
      </c>
      <c r="X3409" s="10" t="s">
        <v>9764</v>
      </c>
      <c r="Y3409" s="6" t="s">
        <v>42</v>
      </c>
      <c r="Z3409" s="4" t="s">
        <v>36</v>
      </c>
      <c r="AA3409" s="4" t="s">
        <v>36</v>
      </c>
      <c r="AB3409" s="3" t="s">
        <v>56</v>
      </c>
      <c r="AC3409" s="3" t="s">
        <v>17631</v>
      </c>
      <c r="AD3409" s="9">
        <v>44197</v>
      </c>
      <c r="AE3409" s="3" t="s">
        <v>236</v>
      </c>
      <c r="AF3409" s="3" t="s">
        <v>36</v>
      </c>
      <c r="AG3409" s="3" t="s">
        <v>2299</v>
      </c>
      <c r="AH3409" s="11">
        <f>HYPERLINK("https://my.pitchbook.com?c=182004-22T","View Company Online")</f>
      </c>
    </row>
    <row r="3410">
      <c r="A3410" s="12" t="s">
        <v>17632</v>
      </c>
      <c r="B3410" s="12" t="s">
        <v>13844</v>
      </c>
      <c r="C3410" s="19" t="s">
        <v>36</v>
      </c>
      <c r="D3410" s="19" t="s">
        <v>36</v>
      </c>
      <c r="E3410" s="19" t="s">
        <v>36</v>
      </c>
      <c r="F3410" s="19" t="s">
        <v>36</v>
      </c>
      <c r="G3410" s="15" t="s">
        <v>36</v>
      </c>
      <c r="H3410" s="14" t="s">
        <v>36</v>
      </c>
      <c r="I3410" s="18" t="s">
        <v>36</v>
      </c>
      <c r="J3410" s="12" t="s">
        <v>36</v>
      </c>
      <c r="K3410" s="13" t="s">
        <v>36</v>
      </c>
      <c r="L3410" s="15" t="s">
        <v>36</v>
      </c>
      <c r="M3410" s="12" t="s">
        <v>36</v>
      </c>
      <c r="N3410" s="12" t="s">
        <v>36</v>
      </c>
      <c r="O3410" s="17" t="s">
        <v>36</v>
      </c>
      <c r="P3410" s="12" t="s">
        <v>36</v>
      </c>
      <c r="Q3410" s="12" t="s">
        <v>36</v>
      </c>
      <c r="R3410" s="12" t="s">
        <v>36</v>
      </c>
      <c r="S3410" s="12" t="s">
        <v>36</v>
      </c>
      <c r="T3410" s="12" t="s">
        <v>4816</v>
      </c>
      <c r="U3410" s="12" t="s">
        <v>38</v>
      </c>
      <c r="V3410" s="12" t="s">
        <v>39</v>
      </c>
      <c r="W3410" s="12" t="s">
        <v>13845</v>
      </c>
      <c r="X3410" s="16" t="s">
        <v>17633</v>
      </c>
      <c r="Y3410" s="15" t="s">
        <v>42</v>
      </c>
      <c r="Z3410" s="14" t="s">
        <v>36</v>
      </c>
      <c r="AA3410" s="14" t="s">
        <v>36</v>
      </c>
      <c r="AB3410" s="12" t="s">
        <v>43</v>
      </c>
      <c r="AC3410" s="12" t="s">
        <v>13847</v>
      </c>
      <c r="AD3410" s="13">
        <v>44197</v>
      </c>
      <c r="AE3410" s="12" t="s">
        <v>785</v>
      </c>
      <c r="AF3410" s="12" t="s">
        <v>13848</v>
      </c>
      <c r="AG3410" s="12" t="s">
        <v>81</v>
      </c>
      <c r="AH3410" s="1">
        <f>HYPERLINK("https://my.pitchbook.com?c=174648-61T","View Company Online")</f>
      </c>
    </row>
    <row r="3411">
      <c r="A3411" s="3" t="s">
        <v>17634</v>
      </c>
      <c r="B3411" s="3" t="s">
        <v>17635</v>
      </c>
      <c r="C3411" s="5" t="s">
        <v>36</v>
      </c>
      <c r="D3411" s="5" t="s">
        <v>36</v>
      </c>
      <c r="E3411" s="5" t="s">
        <v>36</v>
      </c>
      <c r="F3411" s="5" t="s">
        <v>36</v>
      </c>
      <c r="G3411" s="6" t="s">
        <v>36</v>
      </c>
      <c r="H3411" s="4" t="s">
        <v>36</v>
      </c>
      <c r="I3411" s="7" t="s">
        <v>36</v>
      </c>
      <c r="J3411" s="3" t="s">
        <v>36</v>
      </c>
      <c r="K3411" s="9" t="s">
        <v>36</v>
      </c>
      <c r="L3411" s="6" t="s">
        <v>36</v>
      </c>
      <c r="M3411" s="3" t="s">
        <v>36</v>
      </c>
      <c r="N3411" s="3" t="s">
        <v>36</v>
      </c>
      <c r="O3411" s="8" t="s">
        <v>36</v>
      </c>
      <c r="P3411" s="3" t="s">
        <v>36</v>
      </c>
      <c r="Q3411" s="3" t="s">
        <v>36</v>
      </c>
      <c r="R3411" s="3" t="s">
        <v>36</v>
      </c>
      <c r="S3411" s="3" t="s">
        <v>36</v>
      </c>
      <c r="T3411" s="3" t="s">
        <v>17636</v>
      </c>
      <c r="U3411" s="3" t="s">
        <v>279</v>
      </c>
      <c r="V3411" s="3" t="s">
        <v>64</v>
      </c>
      <c r="W3411" s="3" t="s">
        <v>17637</v>
      </c>
      <c r="X3411" s="10" t="s">
        <v>17638</v>
      </c>
      <c r="Y3411" s="6" t="s">
        <v>42</v>
      </c>
      <c r="Z3411" s="4" t="s">
        <v>36</v>
      </c>
      <c r="AA3411" s="4" t="s">
        <v>36</v>
      </c>
      <c r="AB3411" s="3" t="s">
        <v>56</v>
      </c>
      <c r="AC3411" s="3" t="s">
        <v>17639</v>
      </c>
      <c r="AD3411" s="9">
        <v>44197</v>
      </c>
      <c r="AE3411" s="3" t="s">
        <v>851</v>
      </c>
      <c r="AF3411" s="3" t="s">
        <v>36</v>
      </c>
      <c r="AG3411" s="3" t="s">
        <v>102</v>
      </c>
      <c r="AH3411" s="11">
        <f>HYPERLINK("https://my.pitchbook.com?c=205312-87T","View Company Online")</f>
      </c>
    </row>
    <row r="3412">
      <c r="A3412" s="12" t="s">
        <v>17640</v>
      </c>
      <c r="B3412" s="12" t="s">
        <v>17641</v>
      </c>
      <c r="C3412" s="19" t="s">
        <v>36</v>
      </c>
      <c r="D3412" s="19" t="s">
        <v>36</v>
      </c>
      <c r="E3412" s="19" t="s">
        <v>36</v>
      </c>
      <c r="F3412" s="19" t="s">
        <v>36</v>
      </c>
      <c r="G3412" s="15" t="s">
        <v>36</v>
      </c>
      <c r="H3412" s="14" t="s">
        <v>36</v>
      </c>
      <c r="I3412" s="18" t="s">
        <v>36</v>
      </c>
      <c r="J3412" s="12" t="s">
        <v>36</v>
      </c>
      <c r="K3412" s="13" t="s">
        <v>36</v>
      </c>
      <c r="L3412" s="15" t="s">
        <v>36</v>
      </c>
      <c r="M3412" s="12" t="s">
        <v>36</v>
      </c>
      <c r="N3412" s="12" t="s">
        <v>36</v>
      </c>
      <c r="O3412" s="17" t="s">
        <v>36</v>
      </c>
      <c r="P3412" s="12" t="s">
        <v>36</v>
      </c>
      <c r="Q3412" s="12" t="s">
        <v>36</v>
      </c>
      <c r="R3412" s="12" t="s">
        <v>36</v>
      </c>
      <c r="S3412" s="12" t="s">
        <v>36</v>
      </c>
      <c r="T3412" s="12" t="s">
        <v>17642</v>
      </c>
      <c r="U3412" s="12" t="s">
        <v>728</v>
      </c>
      <c r="V3412" s="12" t="s">
        <v>64</v>
      </c>
      <c r="W3412" s="12" t="s">
        <v>17643</v>
      </c>
      <c r="X3412" s="16" t="s">
        <v>4794</v>
      </c>
      <c r="Y3412" s="15" t="s">
        <v>42</v>
      </c>
      <c r="Z3412" s="14">
        <v>0.04</v>
      </c>
      <c r="AA3412" s="14" t="s">
        <v>36</v>
      </c>
      <c r="AB3412" s="12" t="s">
        <v>43</v>
      </c>
      <c r="AC3412" s="12" t="s">
        <v>17644</v>
      </c>
      <c r="AD3412" s="13">
        <v>44197</v>
      </c>
      <c r="AE3412" s="12" t="s">
        <v>1600</v>
      </c>
      <c r="AF3412" s="12" t="s">
        <v>90</v>
      </c>
      <c r="AG3412" s="12" t="s">
        <v>17645</v>
      </c>
      <c r="AH3412" s="1">
        <f>HYPERLINK("https://my.pitchbook.com?c=205452-46T","View Company Online")</f>
      </c>
    </row>
    <row r="3413">
      <c r="A3413" s="3" t="s">
        <v>17646</v>
      </c>
      <c r="B3413" s="3" t="s">
        <v>5812</v>
      </c>
      <c r="C3413" s="5" t="s">
        <v>36</v>
      </c>
      <c r="D3413" s="5" t="s">
        <v>36</v>
      </c>
      <c r="E3413" s="5" t="s">
        <v>36</v>
      </c>
      <c r="F3413" s="5" t="s">
        <v>36</v>
      </c>
      <c r="G3413" s="6" t="s">
        <v>36</v>
      </c>
      <c r="H3413" s="4" t="s">
        <v>36</v>
      </c>
      <c r="I3413" s="7" t="s">
        <v>36</v>
      </c>
      <c r="J3413" s="3" t="s">
        <v>36</v>
      </c>
      <c r="K3413" s="9" t="s">
        <v>36</v>
      </c>
      <c r="L3413" s="6" t="s">
        <v>36</v>
      </c>
      <c r="M3413" s="3" t="s">
        <v>36</v>
      </c>
      <c r="N3413" s="3" t="s">
        <v>36</v>
      </c>
      <c r="O3413" s="8" t="s">
        <v>36</v>
      </c>
      <c r="P3413" s="3" t="s">
        <v>36</v>
      </c>
      <c r="Q3413" s="3" t="s">
        <v>36</v>
      </c>
      <c r="R3413" s="3" t="s">
        <v>36</v>
      </c>
      <c r="S3413" s="3" t="s">
        <v>36</v>
      </c>
      <c r="T3413" s="3" t="s">
        <v>37</v>
      </c>
      <c r="U3413" s="3" t="s">
        <v>38</v>
      </c>
      <c r="V3413" s="3" t="s">
        <v>39</v>
      </c>
      <c r="W3413" s="3" t="s">
        <v>5813</v>
      </c>
      <c r="X3413" s="10" t="s">
        <v>221</v>
      </c>
      <c r="Y3413" s="6" t="s">
        <v>42</v>
      </c>
      <c r="Z3413" s="4" t="s">
        <v>36</v>
      </c>
      <c r="AA3413" s="4" t="s">
        <v>36</v>
      </c>
      <c r="AB3413" s="3" t="s">
        <v>43</v>
      </c>
      <c r="AC3413" s="3" t="s">
        <v>5815</v>
      </c>
      <c r="AD3413" s="9">
        <v>44197</v>
      </c>
      <c r="AE3413" s="3" t="s">
        <v>45</v>
      </c>
      <c r="AF3413" s="3" t="s">
        <v>5816</v>
      </c>
      <c r="AG3413" s="3" t="s">
        <v>81</v>
      </c>
      <c r="AH3413" s="11">
        <f>HYPERLINK("https://my.pitchbook.com?c=173550-61T","View Company Online")</f>
      </c>
    </row>
    <row r="3414">
      <c r="A3414" s="12" t="s">
        <v>17647</v>
      </c>
      <c r="B3414" s="12" t="s">
        <v>17648</v>
      </c>
      <c r="C3414" s="19" t="s">
        <v>36</v>
      </c>
      <c r="D3414" s="19" t="s">
        <v>36</v>
      </c>
      <c r="E3414" s="19" t="s">
        <v>36</v>
      </c>
      <c r="F3414" s="19" t="s">
        <v>36</v>
      </c>
      <c r="G3414" s="15" t="s">
        <v>36</v>
      </c>
      <c r="H3414" s="14" t="s">
        <v>36</v>
      </c>
      <c r="I3414" s="18" t="s">
        <v>36</v>
      </c>
      <c r="J3414" s="12" t="s">
        <v>36</v>
      </c>
      <c r="K3414" s="13" t="s">
        <v>36</v>
      </c>
      <c r="L3414" s="15" t="s">
        <v>36</v>
      </c>
      <c r="M3414" s="12" t="s">
        <v>36</v>
      </c>
      <c r="N3414" s="12" t="s">
        <v>36</v>
      </c>
      <c r="O3414" s="17" t="s">
        <v>36</v>
      </c>
      <c r="P3414" s="12" t="s">
        <v>36</v>
      </c>
      <c r="Q3414" s="12" t="s">
        <v>36</v>
      </c>
      <c r="R3414" s="12" t="s">
        <v>36</v>
      </c>
      <c r="S3414" s="12" t="s">
        <v>36</v>
      </c>
      <c r="T3414" s="12" t="s">
        <v>422</v>
      </c>
      <c r="U3414" s="12" t="s">
        <v>423</v>
      </c>
      <c r="V3414" s="12" t="s">
        <v>64</v>
      </c>
      <c r="W3414" s="12" t="s">
        <v>17649</v>
      </c>
      <c r="X3414" s="16" t="s">
        <v>17650</v>
      </c>
      <c r="Y3414" s="15" t="s">
        <v>42</v>
      </c>
      <c r="Z3414" s="14" t="s">
        <v>36</v>
      </c>
      <c r="AA3414" s="14" t="s">
        <v>36</v>
      </c>
      <c r="AB3414" s="12" t="s">
        <v>43</v>
      </c>
      <c r="AC3414" s="12" t="s">
        <v>17651</v>
      </c>
      <c r="AD3414" s="13">
        <v>44197</v>
      </c>
      <c r="AE3414" s="12" t="s">
        <v>427</v>
      </c>
      <c r="AF3414" s="12" t="s">
        <v>36</v>
      </c>
      <c r="AG3414" s="12" t="s">
        <v>382</v>
      </c>
      <c r="AH3414" s="1">
        <f>HYPERLINK("https://my.pitchbook.com?c=272666-62T","View Company Online")</f>
      </c>
    </row>
    <row r="3415">
      <c r="A3415" s="3" t="s">
        <v>17652</v>
      </c>
      <c r="B3415" s="3" t="s">
        <v>17653</v>
      </c>
      <c r="C3415" s="5" t="s">
        <v>36</v>
      </c>
      <c r="D3415" s="5" t="s">
        <v>36</v>
      </c>
      <c r="E3415" s="5" t="s">
        <v>36</v>
      </c>
      <c r="F3415" s="5" t="s">
        <v>36</v>
      </c>
      <c r="G3415" s="6" t="s">
        <v>36</v>
      </c>
      <c r="H3415" s="4" t="s">
        <v>36</v>
      </c>
      <c r="I3415" s="7" t="s">
        <v>36</v>
      </c>
      <c r="J3415" s="3" t="s">
        <v>36</v>
      </c>
      <c r="K3415" s="9" t="s">
        <v>36</v>
      </c>
      <c r="L3415" s="6" t="s">
        <v>36</v>
      </c>
      <c r="M3415" s="3" t="s">
        <v>36</v>
      </c>
      <c r="N3415" s="3" t="s">
        <v>36</v>
      </c>
      <c r="O3415" s="8" t="s">
        <v>36</v>
      </c>
      <c r="P3415" s="3" t="s">
        <v>36</v>
      </c>
      <c r="Q3415" s="3" t="s">
        <v>36</v>
      </c>
      <c r="R3415" s="3" t="s">
        <v>36</v>
      </c>
      <c r="S3415" s="3" t="s">
        <v>36</v>
      </c>
      <c r="T3415" s="3" t="s">
        <v>1701</v>
      </c>
      <c r="U3415" s="3" t="s">
        <v>74</v>
      </c>
      <c r="V3415" s="3" t="s">
        <v>75</v>
      </c>
      <c r="W3415" s="3" t="s">
        <v>17654</v>
      </c>
      <c r="X3415" s="10" t="s">
        <v>17655</v>
      </c>
      <c r="Y3415" s="6" t="s">
        <v>42</v>
      </c>
      <c r="Z3415" s="4" t="s">
        <v>36</v>
      </c>
      <c r="AA3415" s="4" t="s">
        <v>36</v>
      </c>
      <c r="AB3415" s="3" t="s">
        <v>43</v>
      </c>
      <c r="AC3415" s="3" t="s">
        <v>17656</v>
      </c>
      <c r="AD3415" s="9">
        <v>44197</v>
      </c>
      <c r="AE3415" s="3" t="s">
        <v>79</v>
      </c>
      <c r="AF3415" s="3" t="s">
        <v>17657</v>
      </c>
      <c r="AG3415" s="3" t="s">
        <v>81</v>
      </c>
      <c r="AH3415" s="11">
        <f>HYPERLINK("https://my.pitchbook.com?c=205034-14T","View Company Online")</f>
      </c>
    </row>
    <row r="3416">
      <c r="A3416" s="12" t="s">
        <v>17658</v>
      </c>
      <c r="B3416" s="12" t="s">
        <v>17659</v>
      </c>
      <c r="C3416" s="19" t="s">
        <v>36</v>
      </c>
      <c r="D3416" s="19" t="s">
        <v>36</v>
      </c>
      <c r="E3416" s="19" t="s">
        <v>36</v>
      </c>
      <c r="F3416" s="19" t="s">
        <v>36</v>
      </c>
      <c r="G3416" s="15" t="s">
        <v>36</v>
      </c>
      <c r="H3416" s="14" t="s">
        <v>36</v>
      </c>
      <c r="I3416" s="18" t="s">
        <v>36</v>
      </c>
      <c r="J3416" s="12" t="s">
        <v>36</v>
      </c>
      <c r="K3416" s="13" t="s">
        <v>36</v>
      </c>
      <c r="L3416" s="15" t="s">
        <v>36</v>
      </c>
      <c r="M3416" s="12" t="s">
        <v>36</v>
      </c>
      <c r="N3416" s="12" t="s">
        <v>36</v>
      </c>
      <c r="O3416" s="17" t="s">
        <v>36</v>
      </c>
      <c r="P3416" s="12" t="s">
        <v>36</v>
      </c>
      <c r="Q3416" s="12" t="s">
        <v>36</v>
      </c>
      <c r="R3416" s="12" t="s">
        <v>36</v>
      </c>
      <c r="S3416" s="12" t="s">
        <v>6531</v>
      </c>
      <c r="T3416" s="12" t="s">
        <v>4911</v>
      </c>
      <c r="U3416" s="12" t="s">
        <v>63</v>
      </c>
      <c r="V3416" s="12" t="s">
        <v>64</v>
      </c>
      <c r="W3416" s="12" t="s">
        <v>17660</v>
      </c>
      <c r="X3416" s="16" t="s">
        <v>17661</v>
      </c>
      <c r="Y3416" s="15" t="s">
        <v>108</v>
      </c>
      <c r="Z3416" s="14">
        <v>0.3</v>
      </c>
      <c r="AA3416" s="14" t="s">
        <v>36</v>
      </c>
      <c r="AB3416" s="12" t="s">
        <v>56</v>
      </c>
      <c r="AC3416" s="12" t="s">
        <v>17662</v>
      </c>
      <c r="AD3416" s="13">
        <v>44197</v>
      </c>
      <c r="AE3416" s="12" t="s">
        <v>399</v>
      </c>
      <c r="AF3416" s="12" t="s">
        <v>938</v>
      </c>
      <c r="AG3416" s="12" t="s">
        <v>81</v>
      </c>
      <c r="AH3416" s="1">
        <f>HYPERLINK("https://my.pitchbook.com?c=188768-62T","View Company Online")</f>
      </c>
    </row>
    <row r="3417">
      <c r="A3417" s="3" t="s">
        <v>17663</v>
      </c>
      <c r="B3417" s="3" t="s">
        <v>17664</v>
      </c>
      <c r="C3417" s="5">
        <v>4</v>
      </c>
      <c r="D3417" s="5" t="s">
        <v>36</v>
      </c>
      <c r="E3417" s="5">
        <v>2</v>
      </c>
      <c r="F3417" s="5">
        <v>4</v>
      </c>
      <c r="G3417" s="6" t="s">
        <v>36</v>
      </c>
      <c r="H3417" s="4" t="s">
        <v>36</v>
      </c>
      <c r="I3417" s="7" t="s">
        <v>36</v>
      </c>
      <c r="J3417" s="3" t="s">
        <v>36</v>
      </c>
      <c r="K3417" s="9" t="s">
        <v>36</v>
      </c>
      <c r="L3417" s="6" t="s">
        <v>36</v>
      </c>
      <c r="M3417" s="3" t="s">
        <v>36</v>
      </c>
      <c r="N3417" s="3" t="s">
        <v>36</v>
      </c>
      <c r="O3417" s="8" t="s">
        <v>36</v>
      </c>
      <c r="P3417" s="3" t="s">
        <v>36</v>
      </c>
      <c r="Q3417" s="3" t="s">
        <v>36</v>
      </c>
      <c r="R3417" s="3" t="s">
        <v>36</v>
      </c>
      <c r="S3417" s="3" t="s">
        <v>36</v>
      </c>
      <c r="T3417" s="3" t="s">
        <v>881</v>
      </c>
      <c r="U3417" s="3" t="s">
        <v>51</v>
      </c>
      <c r="V3417" s="3" t="s">
        <v>52</v>
      </c>
      <c r="W3417" s="3" t="s">
        <v>17665</v>
      </c>
      <c r="X3417" s="10" t="s">
        <v>17666</v>
      </c>
      <c r="Y3417" s="6" t="s">
        <v>55</v>
      </c>
      <c r="Z3417" s="4">
        <v>1.22</v>
      </c>
      <c r="AA3417" s="4" t="s">
        <v>36</v>
      </c>
      <c r="AB3417" s="3" t="s">
        <v>43</v>
      </c>
      <c r="AC3417" s="3" t="s">
        <v>17667</v>
      </c>
      <c r="AD3417" s="9">
        <v>44197</v>
      </c>
      <c r="AE3417" s="3" t="s">
        <v>504</v>
      </c>
      <c r="AF3417" s="3" t="s">
        <v>159</v>
      </c>
      <c r="AG3417" s="3" t="s">
        <v>81</v>
      </c>
      <c r="AH3417" s="11">
        <f>HYPERLINK("https://my.pitchbook.com?c=174633-04T","View Company Online")</f>
      </c>
    </row>
    <row r="3418">
      <c r="A3418" s="12" t="s">
        <v>17668</v>
      </c>
      <c r="B3418" s="12" t="s">
        <v>17669</v>
      </c>
      <c r="C3418" s="19" t="s">
        <v>36</v>
      </c>
      <c r="D3418" s="19" t="s">
        <v>36</v>
      </c>
      <c r="E3418" s="19" t="s">
        <v>36</v>
      </c>
      <c r="F3418" s="19" t="s">
        <v>36</v>
      </c>
      <c r="G3418" s="15" t="s">
        <v>36</v>
      </c>
      <c r="H3418" s="14" t="s">
        <v>36</v>
      </c>
      <c r="I3418" s="18" t="s">
        <v>36</v>
      </c>
      <c r="J3418" s="12" t="s">
        <v>36</v>
      </c>
      <c r="K3418" s="13" t="s">
        <v>36</v>
      </c>
      <c r="L3418" s="15" t="s">
        <v>36</v>
      </c>
      <c r="M3418" s="12" t="s">
        <v>36</v>
      </c>
      <c r="N3418" s="12" t="s">
        <v>36</v>
      </c>
      <c r="O3418" s="17" t="s">
        <v>36</v>
      </c>
      <c r="P3418" s="12" t="s">
        <v>36</v>
      </c>
      <c r="Q3418" s="12" t="s">
        <v>36</v>
      </c>
      <c r="R3418" s="12" t="s">
        <v>36</v>
      </c>
      <c r="S3418" s="12" t="s">
        <v>36</v>
      </c>
      <c r="T3418" s="12" t="s">
        <v>17670</v>
      </c>
      <c r="U3418" s="12" t="s">
        <v>38</v>
      </c>
      <c r="V3418" s="12" t="s">
        <v>39</v>
      </c>
      <c r="W3418" s="12" t="s">
        <v>17671</v>
      </c>
      <c r="X3418" s="16" t="s">
        <v>2846</v>
      </c>
      <c r="Y3418" s="15" t="s">
        <v>42</v>
      </c>
      <c r="Z3418" s="14" t="s">
        <v>36</v>
      </c>
      <c r="AA3418" s="14" t="s">
        <v>36</v>
      </c>
      <c r="AB3418" s="12" t="s">
        <v>56</v>
      </c>
      <c r="AC3418" s="12" t="s">
        <v>17672</v>
      </c>
      <c r="AD3418" s="13">
        <v>44197</v>
      </c>
      <c r="AE3418" s="12" t="s">
        <v>110</v>
      </c>
      <c r="AF3418" s="12" t="s">
        <v>17673</v>
      </c>
      <c r="AG3418" s="12" t="s">
        <v>8217</v>
      </c>
      <c r="AH3418" s="1">
        <f>HYPERLINK("https://my.pitchbook.com?c=218513-08T","View Company Online")</f>
      </c>
    </row>
    <row r="3419">
      <c r="A3419" s="3" t="s">
        <v>17674</v>
      </c>
      <c r="B3419" s="3" t="s">
        <v>17675</v>
      </c>
      <c r="C3419" s="5" t="s">
        <v>36</v>
      </c>
      <c r="D3419" s="5" t="s">
        <v>36</v>
      </c>
      <c r="E3419" s="5" t="s">
        <v>36</v>
      </c>
      <c r="F3419" s="5" t="s">
        <v>36</v>
      </c>
      <c r="G3419" s="6" t="s">
        <v>36</v>
      </c>
      <c r="H3419" s="4" t="s">
        <v>36</v>
      </c>
      <c r="I3419" s="7" t="s">
        <v>36</v>
      </c>
      <c r="J3419" s="3" t="s">
        <v>36</v>
      </c>
      <c r="K3419" s="9" t="s">
        <v>36</v>
      </c>
      <c r="L3419" s="6" t="s">
        <v>36</v>
      </c>
      <c r="M3419" s="3" t="s">
        <v>36</v>
      </c>
      <c r="N3419" s="3" t="s">
        <v>36</v>
      </c>
      <c r="O3419" s="8" t="s">
        <v>36</v>
      </c>
      <c r="P3419" s="3" t="s">
        <v>36</v>
      </c>
      <c r="Q3419" s="3" t="s">
        <v>36</v>
      </c>
      <c r="R3419" s="3" t="s">
        <v>36</v>
      </c>
      <c r="S3419" s="3" t="s">
        <v>36</v>
      </c>
      <c r="T3419" s="3" t="s">
        <v>17676</v>
      </c>
      <c r="U3419" s="3" t="s">
        <v>38</v>
      </c>
      <c r="V3419" s="3" t="s">
        <v>39</v>
      </c>
      <c r="W3419" s="3" t="s">
        <v>17677</v>
      </c>
      <c r="X3419" s="10" t="s">
        <v>820</v>
      </c>
      <c r="Y3419" s="6" t="s">
        <v>42</v>
      </c>
      <c r="Z3419" s="4" t="s">
        <v>36</v>
      </c>
      <c r="AA3419" s="4" t="s">
        <v>36</v>
      </c>
      <c r="AB3419" s="3" t="s">
        <v>56</v>
      </c>
      <c r="AC3419" s="3" t="s">
        <v>17678</v>
      </c>
      <c r="AD3419" s="9">
        <v>44197</v>
      </c>
      <c r="AE3419" s="3" t="s">
        <v>110</v>
      </c>
      <c r="AF3419" s="3" t="s">
        <v>135</v>
      </c>
      <c r="AG3419" s="3" t="s">
        <v>17679</v>
      </c>
      <c r="AH3419" s="11">
        <f>HYPERLINK("https://my.pitchbook.com?c=246576-07T","View Company Online")</f>
      </c>
    </row>
    <row r="3420">
      <c r="A3420" s="12" t="s">
        <v>17680</v>
      </c>
      <c r="B3420" s="12" t="s">
        <v>17681</v>
      </c>
      <c r="C3420" s="19" t="s">
        <v>36</v>
      </c>
      <c r="D3420" s="19" t="s">
        <v>36</v>
      </c>
      <c r="E3420" s="19" t="s">
        <v>36</v>
      </c>
      <c r="F3420" s="19" t="s">
        <v>36</v>
      </c>
      <c r="G3420" s="15" t="s">
        <v>36</v>
      </c>
      <c r="H3420" s="14" t="s">
        <v>36</v>
      </c>
      <c r="I3420" s="18" t="s">
        <v>36</v>
      </c>
      <c r="J3420" s="12" t="s">
        <v>36</v>
      </c>
      <c r="K3420" s="13" t="s">
        <v>36</v>
      </c>
      <c r="L3420" s="15" t="s">
        <v>36</v>
      </c>
      <c r="M3420" s="12" t="s">
        <v>36</v>
      </c>
      <c r="N3420" s="12" t="s">
        <v>36</v>
      </c>
      <c r="O3420" s="17" t="s">
        <v>36</v>
      </c>
      <c r="P3420" s="12" t="s">
        <v>36</v>
      </c>
      <c r="Q3420" s="12" t="s">
        <v>36</v>
      </c>
      <c r="R3420" s="12" t="s">
        <v>36</v>
      </c>
      <c r="S3420" s="12" t="s">
        <v>36</v>
      </c>
      <c r="T3420" s="12" t="s">
        <v>17682</v>
      </c>
      <c r="U3420" s="12" t="s">
        <v>38</v>
      </c>
      <c r="V3420" s="12" t="s">
        <v>39</v>
      </c>
      <c r="W3420" s="12" t="s">
        <v>17683</v>
      </c>
      <c r="X3420" s="16" t="s">
        <v>17684</v>
      </c>
      <c r="Y3420" s="15" t="s">
        <v>108</v>
      </c>
      <c r="Z3420" s="14" t="s">
        <v>36</v>
      </c>
      <c r="AA3420" s="14" t="s">
        <v>36</v>
      </c>
      <c r="AB3420" s="12" t="s">
        <v>43</v>
      </c>
      <c r="AC3420" s="12" t="s">
        <v>17685</v>
      </c>
      <c r="AD3420" s="13">
        <v>44197</v>
      </c>
      <c r="AE3420" s="12" t="s">
        <v>110</v>
      </c>
      <c r="AF3420" s="12" t="s">
        <v>135</v>
      </c>
      <c r="AG3420" s="12" t="s">
        <v>5280</v>
      </c>
      <c r="AH3420" s="1">
        <f>HYPERLINK("https://my.pitchbook.com?c=199959-58T","View Company Online")</f>
      </c>
    </row>
    <row r="3421">
      <c r="A3421" s="3" t="s">
        <v>17686</v>
      </c>
      <c r="B3421" s="3" t="s">
        <v>17687</v>
      </c>
      <c r="C3421" s="5" t="s">
        <v>36</v>
      </c>
      <c r="D3421" s="5" t="s">
        <v>36</v>
      </c>
      <c r="E3421" s="5" t="s">
        <v>36</v>
      </c>
      <c r="F3421" s="5" t="s">
        <v>36</v>
      </c>
      <c r="G3421" s="6" t="s">
        <v>36</v>
      </c>
      <c r="H3421" s="4" t="s">
        <v>36</v>
      </c>
      <c r="I3421" s="7" t="s">
        <v>36</v>
      </c>
      <c r="J3421" s="3" t="s">
        <v>36</v>
      </c>
      <c r="K3421" s="9" t="s">
        <v>36</v>
      </c>
      <c r="L3421" s="6" t="s">
        <v>36</v>
      </c>
      <c r="M3421" s="3" t="s">
        <v>36</v>
      </c>
      <c r="N3421" s="3" t="s">
        <v>36</v>
      </c>
      <c r="O3421" s="8" t="s">
        <v>36</v>
      </c>
      <c r="P3421" s="3" t="s">
        <v>36</v>
      </c>
      <c r="Q3421" s="3" t="s">
        <v>36</v>
      </c>
      <c r="R3421" s="3" t="s">
        <v>36</v>
      </c>
      <c r="S3421" s="3" t="s">
        <v>36</v>
      </c>
      <c r="T3421" s="3" t="s">
        <v>17688</v>
      </c>
      <c r="U3421" s="3" t="s">
        <v>74</v>
      </c>
      <c r="V3421" s="3" t="s">
        <v>75</v>
      </c>
      <c r="W3421" s="3" t="s">
        <v>17689</v>
      </c>
      <c r="X3421" s="10" t="s">
        <v>8617</v>
      </c>
      <c r="Y3421" s="6" t="s">
        <v>42</v>
      </c>
      <c r="Z3421" s="4" t="s">
        <v>36</v>
      </c>
      <c r="AA3421" s="4" t="s">
        <v>36</v>
      </c>
      <c r="AB3421" s="3" t="s">
        <v>56</v>
      </c>
      <c r="AC3421" s="3" t="s">
        <v>17690</v>
      </c>
      <c r="AD3421" s="9">
        <v>44197</v>
      </c>
      <c r="AE3421" s="3" t="s">
        <v>975</v>
      </c>
      <c r="AF3421" s="3" t="s">
        <v>2643</v>
      </c>
      <c r="AG3421" s="3" t="s">
        <v>17691</v>
      </c>
      <c r="AH3421" s="11">
        <f>HYPERLINK("https://my.pitchbook.com?c=246639-34T","View Company Online")</f>
      </c>
    </row>
    <row r="3422">
      <c r="A3422" s="12" t="s">
        <v>17692</v>
      </c>
      <c r="B3422" s="12" t="s">
        <v>17693</v>
      </c>
      <c r="C3422" s="19" t="s">
        <v>36</v>
      </c>
      <c r="D3422" s="19" t="s">
        <v>36</v>
      </c>
      <c r="E3422" s="19" t="s">
        <v>36</v>
      </c>
      <c r="F3422" s="19" t="s">
        <v>36</v>
      </c>
      <c r="G3422" s="15" t="s">
        <v>36</v>
      </c>
      <c r="H3422" s="14" t="s">
        <v>36</v>
      </c>
      <c r="I3422" s="18" t="s">
        <v>36</v>
      </c>
      <c r="J3422" s="12" t="s">
        <v>36</v>
      </c>
      <c r="K3422" s="13" t="s">
        <v>36</v>
      </c>
      <c r="L3422" s="15" t="s">
        <v>36</v>
      </c>
      <c r="M3422" s="12" t="s">
        <v>36</v>
      </c>
      <c r="N3422" s="12" t="s">
        <v>36</v>
      </c>
      <c r="O3422" s="17" t="s">
        <v>36</v>
      </c>
      <c r="P3422" s="12" t="s">
        <v>36</v>
      </c>
      <c r="Q3422" s="12" t="s">
        <v>36</v>
      </c>
      <c r="R3422" s="12" t="s">
        <v>36</v>
      </c>
      <c r="S3422" s="12" t="s">
        <v>36</v>
      </c>
      <c r="T3422" s="12" t="s">
        <v>17694</v>
      </c>
      <c r="U3422" s="12" t="s">
        <v>38</v>
      </c>
      <c r="V3422" s="12" t="s">
        <v>39</v>
      </c>
      <c r="W3422" s="12" t="s">
        <v>17695</v>
      </c>
      <c r="X3422" s="16" t="s">
        <v>2147</v>
      </c>
      <c r="Y3422" s="15" t="s">
        <v>42</v>
      </c>
      <c r="Z3422" s="14" t="s">
        <v>36</v>
      </c>
      <c r="AA3422" s="14" t="s">
        <v>36</v>
      </c>
      <c r="AB3422" s="12" t="s">
        <v>43</v>
      </c>
      <c r="AC3422" s="12" t="s">
        <v>17696</v>
      </c>
      <c r="AD3422" s="13">
        <v>44197</v>
      </c>
      <c r="AE3422" s="12" t="s">
        <v>688</v>
      </c>
      <c r="AF3422" s="12" t="s">
        <v>118</v>
      </c>
      <c r="AG3422" s="12" t="s">
        <v>81</v>
      </c>
      <c r="AH3422" s="1">
        <f>HYPERLINK("https://my.pitchbook.com?c=242027-02T","View Company Online")</f>
      </c>
    </row>
    <row r="3423">
      <c r="A3423" s="3" t="s">
        <v>17697</v>
      </c>
      <c r="B3423" s="3" t="s">
        <v>17698</v>
      </c>
      <c r="C3423" s="5" t="s">
        <v>36</v>
      </c>
      <c r="D3423" s="5" t="s">
        <v>36</v>
      </c>
      <c r="E3423" s="5" t="s">
        <v>36</v>
      </c>
      <c r="F3423" s="5" t="s">
        <v>36</v>
      </c>
      <c r="G3423" s="6" t="s">
        <v>36</v>
      </c>
      <c r="H3423" s="4" t="s">
        <v>36</v>
      </c>
      <c r="I3423" s="7" t="s">
        <v>36</v>
      </c>
      <c r="J3423" s="3" t="s">
        <v>36</v>
      </c>
      <c r="K3423" s="9" t="s">
        <v>36</v>
      </c>
      <c r="L3423" s="6" t="s">
        <v>36</v>
      </c>
      <c r="M3423" s="3" t="s">
        <v>36</v>
      </c>
      <c r="N3423" s="3" t="s">
        <v>36</v>
      </c>
      <c r="O3423" s="8" t="s">
        <v>36</v>
      </c>
      <c r="P3423" s="3" t="s">
        <v>36</v>
      </c>
      <c r="Q3423" s="3" t="s">
        <v>36</v>
      </c>
      <c r="R3423" s="3" t="s">
        <v>36</v>
      </c>
      <c r="S3423" s="3" t="s">
        <v>36</v>
      </c>
      <c r="T3423" s="3" t="s">
        <v>17699</v>
      </c>
      <c r="U3423" s="3" t="s">
        <v>63</v>
      </c>
      <c r="V3423" s="3" t="s">
        <v>64</v>
      </c>
      <c r="W3423" s="3" t="s">
        <v>17700</v>
      </c>
      <c r="X3423" s="10" t="s">
        <v>9424</v>
      </c>
      <c r="Y3423" s="6" t="s">
        <v>55</v>
      </c>
      <c r="Z3423" s="4" t="s">
        <v>36</v>
      </c>
      <c r="AA3423" s="4" t="s">
        <v>36</v>
      </c>
      <c r="AB3423" s="3" t="s">
        <v>56</v>
      </c>
      <c r="AC3423" s="3" t="s">
        <v>17701</v>
      </c>
      <c r="AD3423" s="9">
        <v>44197</v>
      </c>
      <c r="AE3423" s="3" t="s">
        <v>68</v>
      </c>
      <c r="AF3423" s="3" t="s">
        <v>4270</v>
      </c>
      <c r="AG3423" s="3" t="s">
        <v>81</v>
      </c>
      <c r="AH3423" s="11">
        <f>HYPERLINK("https://my.pitchbook.com?c=187605-28T","View Company Online")</f>
      </c>
    </row>
    <row r="3424">
      <c r="A3424" s="12" t="s">
        <v>17702</v>
      </c>
      <c r="B3424" s="12" t="s">
        <v>17703</v>
      </c>
      <c r="C3424" s="19">
        <v>3</v>
      </c>
      <c r="D3424" s="19">
        <v>19</v>
      </c>
      <c r="E3424" s="19">
        <v>6</v>
      </c>
      <c r="F3424" s="19">
        <v>31</v>
      </c>
      <c r="G3424" s="15" t="s">
        <v>36</v>
      </c>
      <c r="H3424" s="14" t="s">
        <v>36</v>
      </c>
      <c r="I3424" s="18" t="s">
        <v>36</v>
      </c>
      <c r="J3424" s="12" t="s">
        <v>36</v>
      </c>
      <c r="K3424" s="13" t="s">
        <v>36</v>
      </c>
      <c r="L3424" s="15" t="s">
        <v>36</v>
      </c>
      <c r="M3424" s="12" t="s">
        <v>36</v>
      </c>
      <c r="N3424" s="12" t="s">
        <v>36</v>
      </c>
      <c r="O3424" s="17" t="s">
        <v>36</v>
      </c>
      <c r="P3424" s="12" t="s">
        <v>36</v>
      </c>
      <c r="Q3424" s="12" t="s">
        <v>36</v>
      </c>
      <c r="R3424" s="12" t="s">
        <v>36</v>
      </c>
      <c r="S3424" s="12" t="s">
        <v>36</v>
      </c>
      <c r="T3424" s="12" t="s">
        <v>17704</v>
      </c>
      <c r="U3424" s="12" t="s">
        <v>833</v>
      </c>
      <c r="V3424" s="12" t="s">
        <v>64</v>
      </c>
      <c r="W3424" s="12" t="s">
        <v>17705</v>
      </c>
      <c r="X3424" s="16" t="s">
        <v>590</v>
      </c>
      <c r="Y3424" s="15" t="s">
        <v>55</v>
      </c>
      <c r="Z3424" s="14" t="s">
        <v>36</v>
      </c>
      <c r="AA3424" s="14" t="s">
        <v>36</v>
      </c>
      <c r="AB3424" s="12" t="s">
        <v>56</v>
      </c>
      <c r="AC3424" s="12" t="s">
        <v>17706</v>
      </c>
      <c r="AD3424" s="13">
        <v>44197</v>
      </c>
      <c r="AE3424" s="12" t="s">
        <v>1069</v>
      </c>
      <c r="AF3424" s="12" t="s">
        <v>17707</v>
      </c>
      <c r="AG3424" s="12" t="s">
        <v>14890</v>
      </c>
      <c r="AH3424" s="1">
        <f>HYPERLINK("https://my.pitchbook.com?c=218584-45T","View Company Online")</f>
      </c>
    </row>
    <row r="3425">
      <c r="A3425" s="3" t="s">
        <v>17708</v>
      </c>
      <c r="B3425" s="3" t="s">
        <v>17709</v>
      </c>
      <c r="C3425" s="5" t="s">
        <v>36</v>
      </c>
      <c r="D3425" s="5" t="s">
        <v>36</v>
      </c>
      <c r="E3425" s="5" t="s">
        <v>36</v>
      </c>
      <c r="F3425" s="5" t="s">
        <v>36</v>
      </c>
      <c r="G3425" s="6" t="s">
        <v>36</v>
      </c>
      <c r="H3425" s="4">
        <v>48.81</v>
      </c>
      <c r="I3425" s="7">
        <v>27.47</v>
      </c>
      <c r="J3425" s="3" t="s">
        <v>521</v>
      </c>
      <c r="K3425" s="9" t="s">
        <v>36</v>
      </c>
      <c r="L3425" s="6" t="s">
        <v>122</v>
      </c>
      <c r="M3425" s="3" t="s">
        <v>36</v>
      </c>
      <c r="N3425" s="3" t="s">
        <v>122</v>
      </c>
      <c r="O3425" s="8" t="s">
        <v>36</v>
      </c>
      <c r="P3425" s="3" t="s">
        <v>36</v>
      </c>
      <c r="Q3425" s="3" t="s">
        <v>36</v>
      </c>
      <c r="R3425" s="3" t="s">
        <v>36</v>
      </c>
      <c r="S3425" s="3" t="s">
        <v>36</v>
      </c>
      <c r="T3425" s="3" t="s">
        <v>17710</v>
      </c>
      <c r="U3425" s="3" t="s">
        <v>1580</v>
      </c>
      <c r="V3425" s="3" t="s">
        <v>39</v>
      </c>
      <c r="W3425" s="3" t="s">
        <v>17711</v>
      </c>
      <c r="X3425" s="10" t="s">
        <v>17712</v>
      </c>
      <c r="Y3425" s="6" t="s">
        <v>42</v>
      </c>
      <c r="Z3425" s="4">
        <v>3.65</v>
      </c>
      <c r="AA3425" s="4">
        <v>8.67</v>
      </c>
      <c r="AB3425" s="3" t="s">
        <v>56</v>
      </c>
      <c r="AC3425" s="3" t="s">
        <v>17713</v>
      </c>
      <c r="AD3425" s="9">
        <v>44197</v>
      </c>
      <c r="AE3425" s="3" t="s">
        <v>4387</v>
      </c>
      <c r="AF3425" s="3" t="s">
        <v>17714</v>
      </c>
      <c r="AG3425" s="3" t="s">
        <v>17715</v>
      </c>
      <c r="AH3425" s="11">
        <f>HYPERLINK("https://my.pitchbook.com?c=179098-48T","View Company Online")</f>
      </c>
    </row>
    <row r="3426">
      <c r="A3426" s="12" t="s">
        <v>17716</v>
      </c>
      <c r="B3426" s="12" t="s">
        <v>17717</v>
      </c>
      <c r="C3426" s="19" t="s">
        <v>36</v>
      </c>
      <c r="D3426" s="19">
        <v>1</v>
      </c>
      <c r="E3426" s="19">
        <v>1</v>
      </c>
      <c r="F3426" s="19">
        <v>2</v>
      </c>
      <c r="G3426" s="15" t="s">
        <v>36</v>
      </c>
      <c r="H3426" s="14">
        <v>8308.53</v>
      </c>
      <c r="I3426" s="18">
        <v>10.06</v>
      </c>
      <c r="J3426" s="12" t="s">
        <v>521</v>
      </c>
      <c r="K3426" s="13" t="s">
        <v>36</v>
      </c>
      <c r="L3426" s="15" t="s">
        <v>36</v>
      </c>
      <c r="M3426" s="12" t="s">
        <v>36</v>
      </c>
      <c r="N3426" s="12" t="s">
        <v>36</v>
      </c>
      <c r="O3426" s="17" t="s">
        <v>36</v>
      </c>
      <c r="P3426" s="12" t="s">
        <v>36</v>
      </c>
      <c r="Q3426" s="12" t="s">
        <v>36</v>
      </c>
      <c r="R3426" s="12" t="s">
        <v>36</v>
      </c>
      <c r="S3426" s="12" t="s">
        <v>36</v>
      </c>
      <c r="T3426" s="12" t="s">
        <v>17718</v>
      </c>
      <c r="U3426" s="12" t="s">
        <v>74</v>
      </c>
      <c r="V3426" s="12" t="s">
        <v>75</v>
      </c>
      <c r="W3426" s="12" t="s">
        <v>17719</v>
      </c>
      <c r="X3426" s="16" t="s">
        <v>17720</v>
      </c>
      <c r="Y3426" s="15" t="s">
        <v>108</v>
      </c>
      <c r="Z3426" s="14">
        <v>1.23</v>
      </c>
      <c r="AA3426" s="14">
        <v>12.18</v>
      </c>
      <c r="AB3426" s="12" t="s">
        <v>43</v>
      </c>
      <c r="AC3426" s="12" t="s">
        <v>17721</v>
      </c>
      <c r="AD3426" s="13">
        <v>44197</v>
      </c>
      <c r="AE3426" s="12" t="s">
        <v>79</v>
      </c>
      <c r="AF3426" s="12" t="s">
        <v>17722</v>
      </c>
      <c r="AG3426" s="12" t="s">
        <v>17723</v>
      </c>
      <c r="AH3426" s="1">
        <f>HYPERLINK("https://my.pitchbook.com?c=180051-13T","View Company Online")</f>
      </c>
    </row>
    <row r="3427">
      <c r="A3427" s="3" t="s">
        <v>17724</v>
      </c>
      <c r="B3427" s="3" t="s">
        <v>17725</v>
      </c>
      <c r="C3427" s="5" t="s">
        <v>36</v>
      </c>
      <c r="D3427" s="5">
        <v>16</v>
      </c>
      <c r="E3427" s="5">
        <v>5</v>
      </c>
      <c r="F3427" s="5">
        <v>23</v>
      </c>
      <c r="G3427" s="6" t="s">
        <v>36</v>
      </c>
      <c r="H3427" s="4" t="s">
        <v>36</v>
      </c>
      <c r="I3427" s="7" t="s">
        <v>36</v>
      </c>
      <c r="J3427" s="3" t="s">
        <v>36</v>
      </c>
      <c r="K3427" s="9" t="s">
        <v>36</v>
      </c>
      <c r="L3427" s="6" t="s">
        <v>36</v>
      </c>
      <c r="M3427" s="3" t="s">
        <v>36</v>
      </c>
      <c r="N3427" s="3" t="s">
        <v>36</v>
      </c>
      <c r="O3427" s="8" t="s">
        <v>36</v>
      </c>
      <c r="P3427" s="3" t="s">
        <v>36</v>
      </c>
      <c r="Q3427" s="3" t="s">
        <v>36</v>
      </c>
      <c r="R3427" s="3" t="s">
        <v>36</v>
      </c>
      <c r="S3427" s="3" t="s">
        <v>36</v>
      </c>
      <c r="T3427" s="3" t="s">
        <v>1725</v>
      </c>
      <c r="U3427" s="3" t="s">
        <v>318</v>
      </c>
      <c r="V3427" s="3" t="s">
        <v>39</v>
      </c>
      <c r="W3427" s="3" t="s">
        <v>17726</v>
      </c>
      <c r="X3427" s="10" t="s">
        <v>590</v>
      </c>
      <c r="Y3427" s="6" t="s">
        <v>42</v>
      </c>
      <c r="Z3427" s="4" t="s">
        <v>36</v>
      </c>
      <c r="AA3427" s="4" t="s">
        <v>36</v>
      </c>
      <c r="AB3427" s="3" t="s">
        <v>56</v>
      </c>
      <c r="AC3427" s="3" t="s">
        <v>17727</v>
      </c>
      <c r="AD3427" s="9">
        <v>44197</v>
      </c>
      <c r="AE3427" s="3" t="s">
        <v>763</v>
      </c>
      <c r="AF3427" s="3" t="s">
        <v>10379</v>
      </c>
      <c r="AG3427" s="3" t="s">
        <v>17728</v>
      </c>
      <c r="AH3427" s="11">
        <f>HYPERLINK("https://my.pitchbook.com?c=227210-77T","View Company Online")</f>
      </c>
    </row>
    <row r="3428">
      <c r="A3428" s="12" t="s">
        <v>17729</v>
      </c>
      <c r="B3428" s="12" t="s">
        <v>17730</v>
      </c>
      <c r="C3428" s="19">
        <v>1</v>
      </c>
      <c r="D3428" s="19">
        <v>6</v>
      </c>
      <c r="E3428" s="19">
        <v>2</v>
      </c>
      <c r="F3428" s="19">
        <v>8</v>
      </c>
      <c r="G3428" s="15" t="s">
        <v>36</v>
      </c>
      <c r="H3428" s="14" t="s">
        <v>36</v>
      </c>
      <c r="I3428" s="18" t="s">
        <v>36</v>
      </c>
      <c r="J3428" s="12" t="s">
        <v>36</v>
      </c>
      <c r="K3428" s="13" t="s">
        <v>36</v>
      </c>
      <c r="L3428" s="15" t="s">
        <v>122</v>
      </c>
      <c r="M3428" s="12" t="s">
        <v>36</v>
      </c>
      <c r="N3428" s="12" t="s">
        <v>122</v>
      </c>
      <c r="O3428" s="17" t="s">
        <v>36</v>
      </c>
      <c r="P3428" s="12" t="s">
        <v>36</v>
      </c>
      <c r="Q3428" s="12" t="s">
        <v>36</v>
      </c>
      <c r="R3428" s="12" t="s">
        <v>36</v>
      </c>
      <c r="S3428" s="12" t="s">
        <v>36</v>
      </c>
      <c r="T3428" s="12" t="s">
        <v>17731</v>
      </c>
      <c r="U3428" s="12" t="s">
        <v>74</v>
      </c>
      <c r="V3428" s="12" t="s">
        <v>75</v>
      </c>
      <c r="W3428" s="12" t="s">
        <v>17732</v>
      </c>
      <c r="X3428" s="16" t="s">
        <v>9445</v>
      </c>
      <c r="Y3428" s="15" t="s">
        <v>108</v>
      </c>
      <c r="Z3428" s="14" t="s">
        <v>36</v>
      </c>
      <c r="AA3428" s="14" t="s">
        <v>36</v>
      </c>
      <c r="AB3428" s="12" t="s">
        <v>43</v>
      </c>
      <c r="AC3428" s="12" t="s">
        <v>17733</v>
      </c>
      <c r="AD3428" s="13">
        <v>44197</v>
      </c>
      <c r="AE3428" s="12" t="s">
        <v>79</v>
      </c>
      <c r="AF3428" s="12" t="s">
        <v>17734</v>
      </c>
      <c r="AG3428" s="12" t="s">
        <v>81</v>
      </c>
      <c r="AH3428" s="1">
        <f>HYPERLINK("https://my.pitchbook.com?c=223119-46T","View Company Online")</f>
      </c>
    </row>
    <row r="3429">
      <c r="A3429" s="3" t="s">
        <v>17735</v>
      </c>
      <c r="B3429" s="3" t="s">
        <v>17736</v>
      </c>
      <c r="C3429" s="5" t="s">
        <v>36</v>
      </c>
      <c r="D3429" s="5" t="s">
        <v>36</v>
      </c>
      <c r="E3429" s="5" t="s">
        <v>36</v>
      </c>
      <c r="F3429" s="5" t="s">
        <v>36</v>
      </c>
      <c r="G3429" s="6" t="s">
        <v>36</v>
      </c>
      <c r="H3429" s="4" t="s">
        <v>36</v>
      </c>
      <c r="I3429" s="7" t="s">
        <v>36</v>
      </c>
      <c r="J3429" s="3" t="s">
        <v>36</v>
      </c>
      <c r="K3429" s="9" t="s">
        <v>36</v>
      </c>
      <c r="L3429" s="6" t="s">
        <v>36</v>
      </c>
      <c r="M3429" s="3" t="s">
        <v>36</v>
      </c>
      <c r="N3429" s="3" t="s">
        <v>36</v>
      </c>
      <c r="O3429" s="8" t="s">
        <v>36</v>
      </c>
      <c r="P3429" s="3" t="s">
        <v>36</v>
      </c>
      <c r="Q3429" s="3" t="s">
        <v>36</v>
      </c>
      <c r="R3429" s="3" t="s">
        <v>36</v>
      </c>
      <c r="S3429" s="3" t="s">
        <v>36</v>
      </c>
      <c r="T3429" s="3" t="s">
        <v>17737</v>
      </c>
      <c r="U3429" s="3" t="s">
        <v>38</v>
      </c>
      <c r="V3429" s="3" t="s">
        <v>39</v>
      </c>
      <c r="W3429" s="3" t="s">
        <v>17738</v>
      </c>
      <c r="X3429" s="10" t="s">
        <v>17739</v>
      </c>
      <c r="Y3429" s="6" t="s">
        <v>42</v>
      </c>
      <c r="Z3429" s="4">
        <v>1.22</v>
      </c>
      <c r="AA3429" s="4" t="s">
        <v>36</v>
      </c>
      <c r="AB3429" s="3" t="s">
        <v>43</v>
      </c>
      <c r="AC3429" s="3" t="s">
        <v>17740</v>
      </c>
      <c r="AD3429" s="9">
        <v>44197</v>
      </c>
      <c r="AE3429" s="3" t="s">
        <v>110</v>
      </c>
      <c r="AF3429" s="3" t="s">
        <v>176</v>
      </c>
      <c r="AG3429" s="3" t="s">
        <v>741</v>
      </c>
      <c r="AH3429" s="11">
        <f>HYPERLINK("https://my.pitchbook.com?c=183956-86T","View Company Online")</f>
      </c>
    </row>
    <row r="3430">
      <c r="A3430" s="12" t="s">
        <v>17741</v>
      </c>
      <c r="B3430" s="12" t="s">
        <v>17742</v>
      </c>
      <c r="C3430" s="19" t="s">
        <v>36</v>
      </c>
      <c r="D3430" s="19" t="s">
        <v>36</v>
      </c>
      <c r="E3430" s="19" t="s">
        <v>36</v>
      </c>
      <c r="F3430" s="19" t="s">
        <v>36</v>
      </c>
      <c r="G3430" s="15" t="s">
        <v>36</v>
      </c>
      <c r="H3430" s="14" t="s">
        <v>36</v>
      </c>
      <c r="I3430" s="18" t="s">
        <v>36</v>
      </c>
      <c r="J3430" s="12" t="s">
        <v>36</v>
      </c>
      <c r="K3430" s="13" t="s">
        <v>36</v>
      </c>
      <c r="L3430" s="15" t="s">
        <v>36</v>
      </c>
      <c r="M3430" s="12" t="s">
        <v>36</v>
      </c>
      <c r="N3430" s="12" t="s">
        <v>36</v>
      </c>
      <c r="O3430" s="17" t="s">
        <v>36</v>
      </c>
      <c r="P3430" s="12" t="s">
        <v>36</v>
      </c>
      <c r="Q3430" s="12" t="s">
        <v>36</v>
      </c>
      <c r="R3430" s="12" t="s">
        <v>36</v>
      </c>
      <c r="S3430" s="12" t="s">
        <v>36</v>
      </c>
      <c r="T3430" s="12" t="s">
        <v>17743</v>
      </c>
      <c r="U3430" s="12" t="s">
        <v>289</v>
      </c>
      <c r="V3430" s="12" t="s">
        <v>64</v>
      </c>
      <c r="W3430" s="12" t="s">
        <v>17744</v>
      </c>
      <c r="X3430" s="16" t="s">
        <v>17745</v>
      </c>
      <c r="Y3430" s="15" t="s">
        <v>108</v>
      </c>
      <c r="Z3430" s="14" t="s">
        <v>36</v>
      </c>
      <c r="AA3430" s="14" t="s">
        <v>36</v>
      </c>
      <c r="AB3430" s="12" t="s">
        <v>43</v>
      </c>
      <c r="AC3430" s="12" t="s">
        <v>17746</v>
      </c>
      <c r="AD3430" s="13">
        <v>44197</v>
      </c>
      <c r="AE3430" s="12" t="s">
        <v>292</v>
      </c>
      <c r="AF3430" s="12" t="s">
        <v>90</v>
      </c>
      <c r="AG3430" s="12" t="s">
        <v>81</v>
      </c>
      <c r="AH3430" s="1">
        <f>HYPERLINK("https://my.pitchbook.com?c=184413-61T","View Company Online")</f>
      </c>
    </row>
    <row r="3431">
      <c r="A3431" s="3" t="s">
        <v>17747</v>
      </c>
      <c r="B3431" s="3" t="s">
        <v>17748</v>
      </c>
      <c r="C3431" s="5" t="s">
        <v>36</v>
      </c>
      <c r="D3431" s="5" t="s">
        <v>36</v>
      </c>
      <c r="E3431" s="5" t="s">
        <v>36</v>
      </c>
      <c r="F3431" s="5" t="s">
        <v>36</v>
      </c>
      <c r="G3431" s="6" t="s">
        <v>36</v>
      </c>
      <c r="H3431" s="4" t="s">
        <v>36</v>
      </c>
      <c r="I3431" s="7" t="s">
        <v>36</v>
      </c>
      <c r="J3431" s="3" t="s">
        <v>36</v>
      </c>
      <c r="K3431" s="9" t="s">
        <v>36</v>
      </c>
      <c r="L3431" s="6" t="s">
        <v>36</v>
      </c>
      <c r="M3431" s="3" t="s">
        <v>36</v>
      </c>
      <c r="N3431" s="3" t="s">
        <v>36</v>
      </c>
      <c r="O3431" s="8" t="s">
        <v>36</v>
      </c>
      <c r="P3431" s="3" t="s">
        <v>36</v>
      </c>
      <c r="Q3431" s="3" t="s">
        <v>36</v>
      </c>
      <c r="R3431" s="3" t="s">
        <v>36</v>
      </c>
      <c r="S3431" s="3" t="s">
        <v>36</v>
      </c>
      <c r="T3431" s="3" t="s">
        <v>5911</v>
      </c>
      <c r="U3431" s="3" t="s">
        <v>74</v>
      </c>
      <c r="V3431" s="3" t="s">
        <v>75</v>
      </c>
      <c r="W3431" s="3" t="s">
        <v>17749</v>
      </c>
      <c r="X3431" s="10" t="s">
        <v>17750</v>
      </c>
      <c r="Y3431" s="6" t="s">
        <v>42</v>
      </c>
      <c r="Z3431" s="4" t="s">
        <v>36</v>
      </c>
      <c r="AA3431" s="4" t="s">
        <v>36</v>
      </c>
      <c r="AB3431" s="3" t="s">
        <v>43</v>
      </c>
      <c r="AC3431" s="3" t="s">
        <v>17751</v>
      </c>
      <c r="AD3431" s="9">
        <v>44197</v>
      </c>
      <c r="AE3431" s="3" t="s">
        <v>79</v>
      </c>
      <c r="AF3431" s="3" t="s">
        <v>36</v>
      </c>
      <c r="AG3431" s="3" t="s">
        <v>17752</v>
      </c>
      <c r="AH3431" s="11">
        <f>HYPERLINK("https://my.pitchbook.com?c=165779-74T","View Company Online")</f>
      </c>
    </row>
    <row r="3432">
      <c r="A3432" s="12" t="s">
        <v>17753</v>
      </c>
      <c r="B3432" s="12" t="s">
        <v>17754</v>
      </c>
      <c r="C3432" s="19" t="s">
        <v>36</v>
      </c>
      <c r="D3432" s="19" t="s">
        <v>36</v>
      </c>
      <c r="E3432" s="19" t="s">
        <v>36</v>
      </c>
      <c r="F3432" s="19" t="s">
        <v>36</v>
      </c>
      <c r="G3432" s="15" t="s">
        <v>36</v>
      </c>
      <c r="H3432" s="14" t="s">
        <v>36</v>
      </c>
      <c r="I3432" s="18" t="s">
        <v>36</v>
      </c>
      <c r="J3432" s="12" t="s">
        <v>36</v>
      </c>
      <c r="K3432" s="13" t="s">
        <v>36</v>
      </c>
      <c r="L3432" s="15" t="s">
        <v>36</v>
      </c>
      <c r="M3432" s="12" t="s">
        <v>36</v>
      </c>
      <c r="N3432" s="12" t="s">
        <v>36</v>
      </c>
      <c r="O3432" s="17" t="s">
        <v>36</v>
      </c>
      <c r="P3432" s="12" t="s">
        <v>36</v>
      </c>
      <c r="Q3432" s="12" t="s">
        <v>36</v>
      </c>
      <c r="R3432" s="12" t="s">
        <v>36</v>
      </c>
      <c r="S3432" s="12" t="s">
        <v>36</v>
      </c>
      <c r="T3432" s="12" t="s">
        <v>17755</v>
      </c>
      <c r="U3432" s="12" t="s">
        <v>1082</v>
      </c>
      <c r="V3432" s="12" t="s">
        <v>378</v>
      </c>
      <c r="W3432" s="12" t="s">
        <v>17756</v>
      </c>
      <c r="X3432" s="16" t="s">
        <v>7099</v>
      </c>
      <c r="Y3432" s="15" t="s">
        <v>42</v>
      </c>
      <c r="Z3432" s="14" t="s">
        <v>36</v>
      </c>
      <c r="AA3432" s="14" t="s">
        <v>36</v>
      </c>
      <c r="AB3432" s="12" t="s">
        <v>56</v>
      </c>
      <c r="AC3432" s="12" t="s">
        <v>17757</v>
      </c>
      <c r="AD3432" s="13">
        <v>44197</v>
      </c>
      <c r="AE3432" s="12" t="s">
        <v>2068</v>
      </c>
      <c r="AF3432" s="12" t="s">
        <v>571</v>
      </c>
      <c r="AG3432" s="12" t="s">
        <v>17758</v>
      </c>
      <c r="AH3432" s="1">
        <f>HYPERLINK("https://my.pitchbook.com?c=204557-59T","View Company Online")</f>
      </c>
    </row>
    <row r="3433">
      <c r="A3433" s="3" t="s">
        <v>17759</v>
      </c>
      <c r="B3433" s="3" t="s">
        <v>8603</v>
      </c>
      <c r="C3433" s="5" t="s">
        <v>36</v>
      </c>
      <c r="D3433" s="5" t="s">
        <v>36</v>
      </c>
      <c r="E3433" s="5" t="s">
        <v>36</v>
      </c>
      <c r="F3433" s="5" t="s">
        <v>36</v>
      </c>
      <c r="G3433" s="6" t="s">
        <v>36</v>
      </c>
      <c r="H3433" s="4" t="s">
        <v>36</v>
      </c>
      <c r="I3433" s="7" t="s">
        <v>36</v>
      </c>
      <c r="J3433" s="3" t="s">
        <v>36</v>
      </c>
      <c r="K3433" s="9" t="s">
        <v>36</v>
      </c>
      <c r="L3433" s="6" t="s">
        <v>36</v>
      </c>
      <c r="M3433" s="3" t="s">
        <v>36</v>
      </c>
      <c r="N3433" s="3" t="s">
        <v>36</v>
      </c>
      <c r="O3433" s="8" t="s">
        <v>36</v>
      </c>
      <c r="P3433" s="3" t="s">
        <v>36</v>
      </c>
      <c r="Q3433" s="3" t="s">
        <v>36</v>
      </c>
      <c r="R3433" s="3" t="s">
        <v>36</v>
      </c>
      <c r="S3433" s="3" t="s">
        <v>36</v>
      </c>
      <c r="T3433" s="3" t="s">
        <v>8604</v>
      </c>
      <c r="U3433" s="3" t="s">
        <v>74</v>
      </c>
      <c r="V3433" s="3" t="s">
        <v>75</v>
      </c>
      <c r="W3433" s="3" t="s">
        <v>8605</v>
      </c>
      <c r="X3433" s="10" t="s">
        <v>17760</v>
      </c>
      <c r="Y3433" s="6" t="s">
        <v>55</v>
      </c>
      <c r="Z3433" s="4" t="s">
        <v>36</v>
      </c>
      <c r="AA3433" s="4" t="s">
        <v>36</v>
      </c>
      <c r="AB3433" s="3" t="s">
        <v>56</v>
      </c>
      <c r="AC3433" s="3" t="s">
        <v>8606</v>
      </c>
      <c r="AD3433" s="9">
        <v>44197</v>
      </c>
      <c r="AE3433" s="3" t="s">
        <v>2237</v>
      </c>
      <c r="AF3433" s="3" t="s">
        <v>8607</v>
      </c>
      <c r="AG3433" s="3" t="s">
        <v>81</v>
      </c>
      <c r="AH3433" s="11">
        <f>HYPERLINK("https://my.pitchbook.com?c=186417-28T","View Company Online")</f>
      </c>
    </row>
    <row r="3434">
      <c r="A3434" s="12" t="s">
        <v>17761</v>
      </c>
      <c r="B3434" s="12" t="s">
        <v>17762</v>
      </c>
      <c r="C3434" s="19" t="s">
        <v>36</v>
      </c>
      <c r="D3434" s="19" t="s">
        <v>36</v>
      </c>
      <c r="E3434" s="19" t="s">
        <v>36</v>
      </c>
      <c r="F3434" s="19" t="s">
        <v>36</v>
      </c>
      <c r="G3434" s="15" t="s">
        <v>36</v>
      </c>
      <c r="H3434" s="14" t="s">
        <v>36</v>
      </c>
      <c r="I3434" s="18" t="s">
        <v>36</v>
      </c>
      <c r="J3434" s="12" t="s">
        <v>36</v>
      </c>
      <c r="K3434" s="13" t="s">
        <v>36</v>
      </c>
      <c r="L3434" s="15" t="s">
        <v>36</v>
      </c>
      <c r="M3434" s="12" t="s">
        <v>36</v>
      </c>
      <c r="N3434" s="12" t="s">
        <v>36</v>
      </c>
      <c r="O3434" s="17" t="s">
        <v>36</v>
      </c>
      <c r="P3434" s="12" t="s">
        <v>36</v>
      </c>
      <c r="Q3434" s="12" t="s">
        <v>36</v>
      </c>
      <c r="R3434" s="12" t="s">
        <v>36</v>
      </c>
      <c r="S3434" s="12" t="s">
        <v>36</v>
      </c>
      <c r="T3434" s="12" t="s">
        <v>9390</v>
      </c>
      <c r="U3434" s="12" t="s">
        <v>63</v>
      </c>
      <c r="V3434" s="12" t="s">
        <v>64</v>
      </c>
      <c r="W3434" s="12" t="s">
        <v>17763</v>
      </c>
      <c r="X3434" s="16" t="s">
        <v>17764</v>
      </c>
      <c r="Y3434" s="15" t="s">
        <v>42</v>
      </c>
      <c r="Z3434" s="14">
        <v>0.91</v>
      </c>
      <c r="AA3434" s="14" t="s">
        <v>36</v>
      </c>
      <c r="AB3434" s="12" t="s">
        <v>56</v>
      </c>
      <c r="AC3434" s="12" t="s">
        <v>17765</v>
      </c>
      <c r="AD3434" s="13">
        <v>44197</v>
      </c>
      <c r="AE3434" s="12" t="s">
        <v>399</v>
      </c>
      <c r="AF3434" s="12" t="s">
        <v>17766</v>
      </c>
      <c r="AG3434" s="12" t="s">
        <v>81</v>
      </c>
      <c r="AH3434" s="1">
        <f>HYPERLINK("https://my.pitchbook.com?c=228522-79T","View Company Online")</f>
      </c>
    </row>
    <row r="3435">
      <c r="A3435" s="3" t="s">
        <v>17767</v>
      </c>
      <c r="B3435" s="3" t="s">
        <v>17768</v>
      </c>
      <c r="C3435" s="5" t="s">
        <v>36</v>
      </c>
      <c r="D3435" s="5" t="s">
        <v>36</v>
      </c>
      <c r="E3435" s="5" t="s">
        <v>36</v>
      </c>
      <c r="F3435" s="5" t="s">
        <v>36</v>
      </c>
      <c r="G3435" s="6" t="s">
        <v>36</v>
      </c>
      <c r="H3435" s="4" t="s">
        <v>36</v>
      </c>
      <c r="I3435" s="7" t="s">
        <v>36</v>
      </c>
      <c r="J3435" s="3" t="s">
        <v>36</v>
      </c>
      <c r="K3435" s="9" t="s">
        <v>36</v>
      </c>
      <c r="L3435" s="6" t="s">
        <v>36</v>
      </c>
      <c r="M3435" s="3" t="s">
        <v>36</v>
      </c>
      <c r="N3435" s="3" t="s">
        <v>36</v>
      </c>
      <c r="O3435" s="8" t="s">
        <v>36</v>
      </c>
      <c r="P3435" s="3" t="s">
        <v>36</v>
      </c>
      <c r="Q3435" s="3" t="s">
        <v>36</v>
      </c>
      <c r="R3435" s="3" t="s">
        <v>36</v>
      </c>
      <c r="S3435" s="3" t="s">
        <v>36</v>
      </c>
      <c r="T3435" s="3" t="s">
        <v>4045</v>
      </c>
      <c r="U3435" s="3" t="s">
        <v>728</v>
      </c>
      <c r="V3435" s="3" t="s">
        <v>64</v>
      </c>
      <c r="W3435" s="3" t="s">
        <v>17769</v>
      </c>
      <c r="X3435" s="10" t="s">
        <v>17770</v>
      </c>
      <c r="Y3435" s="6" t="s">
        <v>42</v>
      </c>
      <c r="Z3435" s="4" t="s">
        <v>36</v>
      </c>
      <c r="AA3435" s="4" t="s">
        <v>36</v>
      </c>
      <c r="AB3435" s="3" t="s">
        <v>56</v>
      </c>
      <c r="AC3435" s="3" t="s">
        <v>17771</v>
      </c>
      <c r="AD3435" s="9">
        <v>44197</v>
      </c>
      <c r="AE3435" s="3" t="s">
        <v>2154</v>
      </c>
      <c r="AF3435" s="3" t="s">
        <v>90</v>
      </c>
      <c r="AG3435" s="3" t="s">
        <v>81</v>
      </c>
      <c r="AH3435" s="11">
        <f>HYPERLINK("https://my.pitchbook.com?c=193477-24T","View Company Online")</f>
      </c>
    </row>
    <row r="3436">
      <c r="A3436" s="12" t="s">
        <v>17772</v>
      </c>
      <c r="B3436" s="12" t="s">
        <v>17773</v>
      </c>
      <c r="C3436" s="19" t="s">
        <v>36</v>
      </c>
      <c r="D3436" s="19" t="s">
        <v>36</v>
      </c>
      <c r="E3436" s="19" t="s">
        <v>36</v>
      </c>
      <c r="F3436" s="19" t="s">
        <v>36</v>
      </c>
      <c r="G3436" s="15" t="s">
        <v>36</v>
      </c>
      <c r="H3436" s="14" t="s">
        <v>36</v>
      </c>
      <c r="I3436" s="18" t="s">
        <v>36</v>
      </c>
      <c r="J3436" s="12" t="s">
        <v>36</v>
      </c>
      <c r="K3436" s="13" t="s">
        <v>36</v>
      </c>
      <c r="L3436" s="15" t="s">
        <v>36</v>
      </c>
      <c r="M3436" s="12" t="s">
        <v>36</v>
      </c>
      <c r="N3436" s="12" t="s">
        <v>36</v>
      </c>
      <c r="O3436" s="17" t="s">
        <v>36</v>
      </c>
      <c r="P3436" s="12" t="s">
        <v>36</v>
      </c>
      <c r="Q3436" s="12" t="s">
        <v>36</v>
      </c>
      <c r="R3436" s="12" t="s">
        <v>36</v>
      </c>
      <c r="S3436" s="12" t="s">
        <v>36</v>
      </c>
      <c r="T3436" s="12" t="s">
        <v>3545</v>
      </c>
      <c r="U3436" s="12" t="s">
        <v>38</v>
      </c>
      <c r="V3436" s="12" t="s">
        <v>39</v>
      </c>
      <c r="W3436" s="12" t="s">
        <v>17774</v>
      </c>
      <c r="X3436" s="16" t="s">
        <v>17775</v>
      </c>
      <c r="Y3436" s="15" t="s">
        <v>42</v>
      </c>
      <c r="Z3436" s="14" t="s">
        <v>36</v>
      </c>
      <c r="AA3436" s="14" t="s">
        <v>36</v>
      </c>
      <c r="AB3436" s="12" t="s">
        <v>43</v>
      </c>
      <c r="AC3436" s="12" t="s">
        <v>17776</v>
      </c>
      <c r="AD3436" s="13">
        <v>44197</v>
      </c>
      <c r="AE3436" s="12" t="s">
        <v>1945</v>
      </c>
      <c r="AF3436" s="12" t="s">
        <v>17777</v>
      </c>
      <c r="AG3436" s="12" t="s">
        <v>81</v>
      </c>
      <c r="AH3436" s="1">
        <f>HYPERLINK("https://my.pitchbook.com?c=107429-95T","View Company Online")</f>
      </c>
    </row>
    <row r="3437">
      <c r="A3437" s="3" t="s">
        <v>17778</v>
      </c>
      <c r="B3437" s="3" t="s">
        <v>17779</v>
      </c>
      <c r="C3437" s="5" t="s">
        <v>36</v>
      </c>
      <c r="D3437" s="5" t="s">
        <v>36</v>
      </c>
      <c r="E3437" s="5" t="s">
        <v>36</v>
      </c>
      <c r="F3437" s="5" t="s">
        <v>36</v>
      </c>
      <c r="G3437" s="6" t="s">
        <v>36</v>
      </c>
      <c r="H3437" s="4" t="s">
        <v>36</v>
      </c>
      <c r="I3437" s="7" t="s">
        <v>36</v>
      </c>
      <c r="J3437" s="3" t="s">
        <v>36</v>
      </c>
      <c r="K3437" s="9" t="s">
        <v>36</v>
      </c>
      <c r="L3437" s="6" t="s">
        <v>36</v>
      </c>
      <c r="M3437" s="3" t="s">
        <v>36</v>
      </c>
      <c r="N3437" s="3" t="s">
        <v>36</v>
      </c>
      <c r="O3437" s="8" t="s">
        <v>36</v>
      </c>
      <c r="P3437" s="3" t="s">
        <v>36</v>
      </c>
      <c r="Q3437" s="3" t="s">
        <v>36</v>
      </c>
      <c r="R3437" s="3" t="s">
        <v>36</v>
      </c>
      <c r="S3437" s="3" t="s">
        <v>36</v>
      </c>
      <c r="T3437" s="3" t="s">
        <v>3729</v>
      </c>
      <c r="U3437" s="3" t="s">
        <v>219</v>
      </c>
      <c r="V3437" s="3" t="s">
        <v>75</v>
      </c>
      <c r="W3437" s="3" t="s">
        <v>17780</v>
      </c>
      <c r="X3437" s="10" t="s">
        <v>12817</v>
      </c>
      <c r="Y3437" s="6" t="s">
        <v>108</v>
      </c>
      <c r="Z3437" s="4" t="s">
        <v>36</v>
      </c>
      <c r="AA3437" s="4" t="s">
        <v>36</v>
      </c>
      <c r="AB3437" s="3" t="s">
        <v>56</v>
      </c>
      <c r="AC3437" s="3" t="s">
        <v>17781</v>
      </c>
      <c r="AD3437" s="9">
        <v>44197</v>
      </c>
      <c r="AE3437" s="3" t="s">
        <v>1032</v>
      </c>
      <c r="AF3437" s="3" t="s">
        <v>1969</v>
      </c>
      <c r="AG3437" s="3" t="s">
        <v>382</v>
      </c>
      <c r="AH3437" s="11">
        <f>HYPERLINK("https://my.pitchbook.com?c=177821-29T","View Company Online")</f>
      </c>
    </row>
    <row r="3438">
      <c r="A3438" s="12" t="s">
        <v>17782</v>
      </c>
      <c r="B3438" s="12" t="s">
        <v>17783</v>
      </c>
      <c r="C3438" s="19" t="s">
        <v>36</v>
      </c>
      <c r="D3438" s="19" t="s">
        <v>36</v>
      </c>
      <c r="E3438" s="19" t="s">
        <v>36</v>
      </c>
      <c r="F3438" s="19" t="s">
        <v>36</v>
      </c>
      <c r="G3438" s="15" t="s">
        <v>36</v>
      </c>
      <c r="H3438" s="14" t="s">
        <v>36</v>
      </c>
      <c r="I3438" s="18" t="s">
        <v>36</v>
      </c>
      <c r="J3438" s="12" t="s">
        <v>36</v>
      </c>
      <c r="K3438" s="13" t="s">
        <v>36</v>
      </c>
      <c r="L3438" s="15" t="s">
        <v>36</v>
      </c>
      <c r="M3438" s="12" t="s">
        <v>36</v>
      </c>
      <c r="N3438" s="12" t="s">
        <v>36</v>
      </c>
      <c r="O3438" s="17" t="s">
        <v>36</v>
      </c>
      <c r="P3438" s="12" t="s">
        <v>36</v>
      </c>
      <c r="Q3438" s="12" t="s">
        <v>36</v>
      </c>
      <c r="R3438" s="12" t="s">
        <v>36</v>
      </c>
      <c r="S3438" s="12" t="s">
        <v>36</v>
      </c>
      <c r="T3438" s="12" t="s">
        <v>17784</v>
      </c>
      <c r="U3438" s="12" t="s">
        <v>74</v>
      </c>
      <c r="V3438" s="12" t="s">
        <v>75</v>
      </c>
      <c r="W3438" s="12" t="s">
        <v>17785</v>
      </c>
      <c r="X3438" s="16" t="s">
        <v>17786</v>
      </c>
      <c r="Y3438" s="15" t="s">
        <v>42</v>
      </c>
      <c r="Z3438" s="14" t="s">
        <v>36</v>
      </c>
      <c r="AA3438" s="14" t="s">
        <v>36</v>
      </c>
      <c r="AB3438" s="12" t="s">
        <v>56</v>
      </c>
      <c r="AC3438" s="12" t="s">
        <v>17787</v>
      </c>
      <c r="AD3438" s="13">
        <v>44197</v>
      </c>
      <c r="AE3438" s="12" t="s">
        <v>362</v>
      </c>
      <c r="AF3438" s="12" t="s">
        <v>250</v>
      </c>
      <c r="AG3438" s="12" t="s">
        <v>47</v>
      </c>
      <c r="AH3438" s="1">
        <f>HYPERLINK("https://my.pitchbook.com?c=200121-31T","View Company Online")</f>
      </c>
    </row>
    <row r="3439">
      <c r="A3439" s="3" t="s">
        <v>17788</v>
      </c>
      <c r="B3439" s="3" t="s">
        <v>17789</v>
      </c>
      <c r="C3439" s="5" t="s">
        <v>36</v>
      </c>
      <c r="D3439" s="5" t="s">
        <v>36</v>
      </c>
      <c r="E3439" s="5" t="s">
        <v>36</v>
      </c>
      <c r="F3439" s="5" t="s">
        <v>36</v>
      </c>
      <c r="G3439" s="6" t="s">
        <v>36</v>
      </c>
      <c r="H3439" s="4">
        <v>830.85</v>
      </c>
      <c r="I3439" s="7">
        <v>15.4</v>
      </c>
      <c r="J3439" s="3" t="s">
        <v>521</v>
      </c>
      <c r="K3439" s="9" t="s">
        <v>36</v>
      </c>
      <c r="L3439" s="6" t="s">
        <v>36</v>
      </c>
      <c r="M3439" s="3" t="s">
        <v>36</v>
      </c>
      <c r="N3439" s="3" t="s">
        <v>36</v>
      </c>
      <c r="O3439" s="8" t="s">
        <v>36</v>
      </c>
      <c r="P3439" s="3" t="s">
        <v>36</v>
      </c>
      <c r="Q3439" s="3" t="s">
        <v>36</v>
      </c>
      <c r="R3439" s="3" t="s">
        <v>36</v>
      </c>
      <c r="S3439" s="3" t="s">
        <v>36</v>
      </c>
      <c r="T3439" s="3" t="s">
        <v>9281</v>
      </c>
      <c r="U3439" s="3" t="s">
        <v>38</v>
      </c>
      <c r="V3439" s="3" t="s">
        <v>39</v>
      </c>
      <c r="W3439" s="3" t="s">
        <v>17790</v>
      </c>
      <c r="X3439" s="10" t="s">
        <v>17791</v>
      </c>
      <c r="Y3439" s="6" t="s">
        <v>42</v>
      </c>
      <c r="Z3439" s="4">
        <v>0.18</v>
      </c>
      <c r="AA3439" s="4">
        <v>1.15</v>
      </c>
      <c r="AB3439" s="3" t="s">
        <v>43</v>
      </c>
      <c r="AC3439" s="3" t="s">
        <v>17792</v>
      </c>
      <c r="AD3439" s="9">
        <v>44197</v>
      </c>
      <c r="AE3439" s="3" t="s">
        <v>1945</v>
      </c>
      <c r="AF3439" s="3" t="s">
        <v>36</v>
      </c>
      <c r="AG3439" s="3" t="s">
        <v>81</v>
      </c>
      <c r="AH3439" s="11">
        <f>HYPERLINK("https://my.pitchbook.com?c=220354-57T","View Company Online")</f>
      </c>
    </row>
    <row r="3440">
      <c r="A3440" s="12" t="s">
        <v>17793</v>
      </c>
      <c r="B3440" s="12" t="s">
        <v>17794</v>
      </c>
      <c r="C3440" s="19" t="s">
        <v>36</v>
      </c>
      <c r="D3440" s="19" t="s">
        <v>36</v>
      </c>
      <c r="E3440" s="19" t="s">
        <v>36</v>
      </c>
      <c r="F3440" s="19" t="s">
        <v>36</v>
      </c>
      <c r="G3440" s="15" t="s">
        <v>36</v>
      </c>
      <c r="H3440" s="14">
        <v>43.04</v>
      </c>
      <c r="I3440" s="18">
        <v>9.18</v>
      </c>
      <c r="J3440" s="12" t="s">
        <v>521</v>
      </c>
      <c r="K3440" s="13" t="s">
        <v>36</v>
      </c>
      <c r="L3440" s="15" t="s">
        <v>36</v>
      </c>
      <c r="M3440" s="12" t="s">
        <v>36</v>
      </c>
      <c r="N3440" s="12" t="s">
        <v>36</v>
      </c>
      <c r="O3440" s="17" t="s">
        <v>36</v>
      </c>
      <c r="P3440" s="12" t="s">
        <v>36</v>
      </c>
      <c r="Q3440" s="12" t="s">
        <v>36</v>
      </c>
      <c r="R3440" s="12" t="s">
        <v>36</v>
      </c>
      <c r="S3440" s="12" t="s">
        <v>36</v>
      </c>
      <c r="T3440" s="12" t="s">
        <v>17795</v>
      </c>
      <c r="U3440" s="12" t="s">
        <v>423</v>
      </c>
      <c r="V3440" s="12" t="s">
        <v>64</v>
      </c>
      <c r="W3440" s="12" t="s">
        <v>17796</v>
      </c>
      <c r="X3440" s="16" t="s">
        <v>17797</v>
      </c>
      <c r="Y3440" s="15" t="s">
        <v>42</v>
      </c>
      <c r="Z3440" s="14">
        <v>0.61</v>
      </c>
      <c r="AA3440" s="14">
        <v>6.62</v>
      </c>
      <c r="AB3440" s="12" t="s">
        <v>56</v>
      </c>
      <c r="AC3440" s="12" t="s">
        <v>17798</v>
      </c>
      <c r="AD3440" s="13">
        <v>44197</v>
      </c>
      <c r="AE3440" s="12" t="s">
        <v>1051</v>
      </c>
      <c r="AF3440" s="12" t="s">
        <v>6718</v>
      </c>
      <c r="AG3440" s="12" t="s">
        <v>1362</v>
      </c>
      <c r="AH3440" s="1">
        <f>HYPERLINK("https://my.pitchbook.com?c=185443-84T","View Company Online")</f>
      </c>
    </row>
    <row r="3441">
      <c r="A3441" s="3" t="s">
        <v>17799</v>
      </c>
      <c r="B3441" s="3" t="s">
        <v>16347</v>
      </c>
      <c r="C3441" s="5" t="s">
        <v>36</v>
      </c>
      <c r="D3441" s="5" t="s">
        <v>36</v>
      </c>
      <c r="E3441" s="5" t="s">
        <v>36</v>
      </c>
      <c r="F3441" s="5" t="s">
        <v>36</v>
      </c>
      <c r="G3441" s="6" t="s">
        <v>36</v>
      </c>
      <c r="H3441" s="4" t="s">
        <v>36</v>
      </c>
      <c r="I3441" s="7" t="s">
        <v>36</v>
      </c>
      <c r="J3441" s="3" t="s">
        <v>36</v>
      </c>
      <c r="K3441" s="9" t="s">
        <v>36</v>
      </c>
      <c r="L3441" s="6" t="s">
        <v>122</v>
      </c>
      <c r="M3441" s="3" t="s">
        <v>36</v>
      </c>
      <c r="N3441" s="3" t="s">
        <v>122</v>
      </c>
      <c r="O3441" s="8" t="s">
        <v>36</v>
      </c>
      <c r="P3441" s="3" t="s">
        <v>36</v>
      </c>
      <c r="Q3441" s="3" t="s">
        <v>36</v>
      </c>
      <c r="R3441" s="3" t="s">
        <v>36</v>
      </c>
      <c r="S3441" s="3" t="s">
        <v>36</v>
      </c>
      <c r="T3441" s="3" t="s">
        <v>16348</v>
      </c>
      <c r="U3441" s="3" t="s">
        <v>74</v>
      </c>
      <c r="V3441" s="3" t="s">
        <v>75</v>
      </c>
      <c r="W3441" s="3" t="s">
        <v>16349</v>
      </c>
      <c r="X3441" s="10" t="s">
        <v>17800</v>
      </c>
      <c r="Y3441" s="6" t="s">
        <v>108</v>
      </c>
      <c r="Z3441" s="4">
        <v>18.25</v>
      </c>
      <c r="AA3441" s="4" t="s">
        <v>36</v>
      </c>
      <c r="AB3441" s="3" t="s">
        <v>43</v>
      </c>
      <c r="AC3441" s="3" t="s">
        <v>16351</v>
      </c>
      <c r="AD3441" s="9">
        <v>44197</v>
      </c>
      <c r="AE3441" s="3" t="s">
        <v>79</v>
      </c>
      <c r="AF3441" s="3" t="s">
        <v>7641</v>
      </c>
      <c r="AG3441" s="3" t="s">
        <v>1978</v>
      </c>
      <c r="AH3441" s="11">
        <f>HYPERLINK("https://my.pitchbook.com?c=187142-23T","View Company Online")</f>
      </c>
    </row>
    <row r="3442">
      <c r="A3442" s="12" t="s">
        <v>17801</v>
      </c>
      <c r="B3442" s="12" t="s">
        <v>9856</v>
      </c>
      <c r="C3442" s="19" t="s">
        <v>36</v>
      </c>
      <c r="D3442" s="19" t="s">
        <v>36</v>
      </c>
      <c r="E3442" s="19" t="s">
        <v>36</v>
      </c>
      <c r="F3442" s="19" t="s">
        <v>36</v>
      </c>
      <c r="G3442" s="15" t="s">
        <v>36</v>
      </c>
      <c r="H3442" s="14" t="s">
        <v>36</v>
      </c>
      <c r="I3442" s="18" t="s">
        <v>36</v>
      </c>
      <c r="J3442" s="12" t="s">
        <v>36</v>
      </c>
      <c r="K3442" s="13" t="s">
        <v>36</v>
      </c>
      <c r="L3442" s="15" t="s">
        <v>36</v>
      </c>
      <c r="M3442" s="12" t="s">
        <v>36</v>
      </c>
      <c r="N3442" s="12" t="s">
        <v>36</v>
      </c>
      <c r="O3442" s="17" t="s">
        <v>36</v>
      </c>
      <c r="P3442" s="12" t="s">
        <v>36</v>
      </c>
      <c r="Q3442" s="12" t="s">
        <v>36</v>
      </c>
      <c r="R3442" s="12" t="s">
        <v>36</v>
      </c>
      <c r="S3442" s="12" t="s">
        <v>36</v>
      </c>
      <c r="T3442" s="12" t="s">
        <v>6002</v>
      </c>
      <c r="U3442" s="12" t="s">
        <v>619</v>
      </c>
      <c r="V3442" s="12" t="s">
        <v>378</v>
      </c>
      <c r="W3442" s="12" t="s">
        <v>9857</v>
      </c>
      <c r="X3442" s="16" t="s">
        <v>17802</v>
      </c>
      <c r="Y3442" s="15" t="s">
        <v>42</v>
      </c>
      <c r="Z3442" s="14" t="s">
        <v>36</v>
      </c>
      <c r="AA3442" s="14" t="s">
        <v>36</v>
      </c>
      <c r="AB3442" s="12" t="s">
        <v>43</v>
      </c>
      <c r="AC3442" s="12" t="s">
        <v>9859</v>
      </c>
      <c r="AD3442" s="13">
        <v>44197</v>
      </c>
      <c r="AE3442" s="12" t="s">
        <v>623</v>
      </c>
      <c r="AF3442" s="12" t="s">
        <v>2703</v>
      </c>
      <c r="AG3442" s="12" t="s">
        <v>81</v>
      </c>
      <c r="AH3442" s="1">
        <f>HYPERLINK("https://my.pitchbook.com?c=201099-25T","View Company Online")</f>
      </c>
    </row>
    <row r="3443">
      <c r="A3443" s="3" t="s">
        <v>17803</v>
      </c>
      <c r="B3443" s="3" t="s">
        <v>6693</v>
      </c>
      <c r="C3443" s="5" t="s">
        <v>36</v>
      </c>
      <c r="D3443" s="5" t="s">
        <v>36</v>
      </c>
      <c r="E3443" s="5" t="s">
        <v>36</v>
      </c>
      <c r="F3443" s="5" t="s">
        <v>36</v>
      </c>
      <c r="G3443" s="6" t="s">
        <v>36</v>
      </c>
      <c r="H3443" s="4" t="s">
        <v>36</v>
      </c>
      <c r="I3443" s="7" t="s">
        <v>36</v>
      </c>
      <c r="J3443" s="3" t="s">
        <v>36</v>
      </c>
      <c r="K3443" s="9" t="s">
        <v>36</v>
      </c>
      <c r="L3443" s="6" t="s">
        <v>36</v>
      </c>
      <c r="M3443" s="3" t="s">
        <v>36</v>
      </c>
      <c r="N3443" s="3" t="s">
        <v>36</v>
      </c>
      <c r="O3443" s="8" t="s">
        <v>36</v>
      </c>
      <c r="P3443" s="3" t="s">
        <v>36</v>
      </c>
      <c r="Q3443" s="3" t="s">
        <v>36</v>
      </c>
      <c r="R3443" s="3" t="s">
        <v>36</v>
      </c>
      <c r="S3443" s="3" t="s">
        <v>36</v>
      </c>
      <c r="T3443" s="3" t="s">
        <v>6694</v>
      </c>
      <c r="U3443" s="3" t="s">
        <v>728</v>
      </c>
      <c r="V3443" s="3" t="s">
        <v>64</v>
      </c>
      <c r="W3443" s="3" t="s">
        <v>6695</v>
      </c>
      <c r="X3443" s="10" t="s">
        <v>17804</v>
      </c>
      <c r="Y3443" s="6" t="s">
        <v>321</v>
      </c>
      <c r="Z3443" s="4">
        <v>2</v>
      </c>
      <c r="AA3443" s="4" t="s">
        <v>36</v>
      </c>
      <c r="AB3443" s="3" t="s">
        <v>56</v>
      </c>
      <c r="AC3443" s="3" t="s">
        <v>6697</v>
      </c>
      <c r="AD3443" s="9">
        <v>44197</v>
      </c>
      <c r="AE3443" s="3" t="s">
        <v>2154</v>
      </c>
      <c r="AF3443" s="3" t="s">
        <v>2118</v>
      </c>
      <c r="AG3443" s="3" t="s">
        <v>81</v>
      </c>
      <c r="AH3443" s="11">
        <f>HYPERLINK("https://my.pitchbook.com?c=232360-30T","View Company Online")</f>
      </c>
    </row>
    <row r="3444">
      <c r="A3444" s="12" t="s">
        <v>17805</v>
      </c>
      <c r="B3444" s="12" t="s">
        <v>12833</v>
      </c>
      <c r="C3444" s="19">
        <v>2</v>
      </c>
      <c r="D3444" s="19">
        <v>2</v>
      </c>
      <c r="E3444" s="19">
        <v>2</v>
      </c>
      <c r="F3444" s="19">
        <v>4</v>
      </c>
      <c r="G3444" s="15" t="s">
        <v>36</v>
      </c>
      <c r="H3444" s="14" t="s">
        <v>36</v>
      </c>
      <c r="I3444" s="18" t="s">
        <v>36</v>
      </c>
      <c r="J3444" s="12" t="s">
        <v>36</v>
      </c>
      <c r="K3444" s="13" t="s">
        <v>36</v>
      </c>
      <c r="L3444" s="15" t="s">
        <v>36</v>
      </c>
      <c r="M3444" s="12" t="s">
        <v>36</v>
      </c>
      <c r="N3444" s="12" t="s">
        <v>36</v>
      </c>
      <c r="O3444" s="17" t="s">
        <v>36</v>
      </c>
      <c r="P3444" s="12" t="s">
        <v>36</v>
      </c>
      <c r="Q3444" s="12" t="s">
        <v>36</v>
      </c>
      <c r="R3444" s="12" t="s">
        <v>36</v>
      </c>
      <c r="S3444" s="12" t="s">
        <v>36</v>
      </c>
      <c r="T3444" s="12" t="s">
        <v>692</v>
      </c>
      <c r="U3444" s="12" t="s">
        <v>74</v>
      </c>
      <c r="V3444" s="12" t="s">
        <v>75</v>
      </c>
      <c r="W3444" s="12" t="s">
        <v>12834</v>
      </c>
      <c r="X3444" s="16" t="s">
        <v>17806</v>
      </c>
      <c r="Y3444" s="15" t="s">
        <v>55</v>
      </c>
      <c r="Z3444" s="14" t="s">
        <v>36</v>
      </c>
      <c r="AA3444" s="14" t="s">
        <v>36</v>
      </c>
      <c r="AB3444" s="12" t="s">
        <v>56</v>
      </c>
      <c r="AC3444" s="12" t="s">
        <v>12836</v>
      </c>
      <c r="AD3444" s="13">
        <v>44197</v>
      </c>
      <c r="AE3444" s="12" t="s">
        <v>696</v>
      </c>
      <c r="AF3444" s="12" t="s">
        <v>12837</v>
      </c>
      <c r="AG3444" s="12" t="s">
        <v>81</v>
      </c>
      <c r="AH3444" s="1">
        <f>HYPERLINK("https://my.pitchbook.com?c=193345-75T","View Company Online")</f>
      </c>
    </row>
    <row r="3445">
      <c r="A3445" s="3" t="s">
        <v>17807</v>
      </c>
      <c r="B3445" s="3" t="s">
        <v>17808</v>
      </c>
      <c r="C3445" s="5" t="s">
        <v>36</v>
      </c>
      <c r="D3445" s="5" t="s">
        <v>36</v>
      </c>
      <c r="E3445" s="5" t="s">
        <v>36</v>
      </c>
      <c r="F3445" s="5" t="s">
        <v>36</v>
      </c>
      <c r="G3445" s="6" t="s">
        <v>36</v>
      </c>
      <c r="H3445" s="4" t="s">
        <v>36</v>
      </c>
      <c r="I3445" s="7" t="s">
        <v>36</v>
      </c>
      <c r="J3445" s="3" t="s">
        <v>36</v>
      </c>
      <c r="K3445" s="9" t="s">
        <v>36</v>
      </c>
      <c r="L3445" s="6" t="s">
        <v>36</v>
      </c>
      <c r="M3445" s="3" t="s">
        <v>36</v>
      </c>
      <c r="N3445" s="3" t="s">
        <v>36</v>
      </c>
      <c r="O3445" s="8" t="s">
        <v>36</v>
      </c>
      <c r="P3445" s="3" t="s">
        <v>36</v>
      </c>
      <c r="Q3445" s="3" t="s">
        <v>36</v>
      </c>
      <c r="R3445" s="3" t="s">
        <v>36</v>
      </c>
      <c r="S3445" s="3" t="s">
        <v>36</v>
      </c>
      <c r="T3445" s="3" t="s">
        <v>5702</v>
      </c>
      <c r="U3445" s="3" t="s">
        <v>38</v>
      </c>
      <c r="V3445" s="3" t="s">
        <v>39</v>
      </c>
      <c r="W3445" s="3" t="s">
        <v>17809</v>
      </c>
      <c r="X3445" s="10" t="s">
        <v>17810</v>
      </c>
      <c r="Y3445" s="6" t="s">
        <v>42</v>
      </c>
      <c r="Z3445" s="4">
        <v>3.65</v>
      </c>
      <c r="AA3445" s="4" t="s">
        <v>36</v>
      </c>
      <c r="AB3445" s="3" t="s">
        <v>43</v>
      </c>
      <c r="AC3445" s="3" t="s">
        <v>17811</v>
      </c>
      <c r="AD3445" s="9">
        <v>44197</v>
      </c>
      <c r="AE3445" s="3" t="s">
        <v>134</v>
      </c>
      <c r="AF3445" s="3" t="s">
        <v>135</v>
      </c>
      <c r="AG3445" s="3" t="s">
        <v>17752</v>
      </c>
      <c r="AH3445" s="11">
        <f>HYPERLINK("https://my.pitchbook.com?c=206358-76T","View Company Online")</f>
      </c>
    </row>
    <row r="3446">
      <c r="A3446" s="12" t="s">
        <v>17812</v>
      </c>
      <c r="B3446" s="12" t="s">
        <v>17813</v>
      </c>
      <c r="C3446" s="19" t="s">
        <v>36</v>
      </c>
      <c r="D3446" s="19" t="s">
        <v>36</v>
      </c>
      <c r="E3446" s="19" t="s">
        <v>36</v>
      </c>
      <c r="F3446" s="19" t="s">
        <v>36</v>
      </c>
      <c r="G3446" s="15" t="s">
        <v>36</v>
      </c>
      <c r="H3446" s="14" t="s">
        <v>36</v>
      </c>
      <c r="I3446" s="18" t="s">
        <v>36</v>
      </c>
      <c r="J3446" s="12" t="s">
        <v>36</v>
      </c>
      <c r="K3446" s="13" t="s">
        <v>36</v>
      </c>
      <c r="L3446" s="15" t="s">
        <v>36</v>
      </c>
      <c r="M3446" s="12" t="s">
        <v>36</v>
      </c>
      <c r="N3446" s="12" t="s">
        <v>36</v>
      </c>
      <c r="O3446" s="17" t="s">
        <v>36</v>
      </c>
      <c r="P3446" s="12" t="s">
        <v>36</v>
      </c>
      <c r="Q3446" s="12" t="s">
        <v>36</v>
      </c>
      <c r="R3446" s="12" t="s">
        <v>36</v>
      </c>
      <c r="S3446" s="12" t="s">
        <v>36</v>
      </c>
      <c r="T3446" s="12" t="s">
        <v>17814</v>
      </c>
      <c r="U3446" s="12" t="s">
        <v>38</v>
      </c>
      <c r="V3446" s="12" t="s">
        <v>39</v>
      </c>
      <c r="W3446" s="12" t="s">
        <v>17815</v>
      </c>
      <c r="X3446" s="16" t="s">
        <v>17816</v>
      </c>
      <c r="Y3446" s="15" t="s">
        <v>166</v>
      </c>
      <c r="Z3446" s="14" t="s">
        <v>36</v>
      </c>
      <c r="AA3446" s="14" t="s">
        <v>36</v>
      </c>
      <c r="AB3446" s="12" t="s">
        <v>56</v>
      </c>
      <c r="AC3446" s="12" t="s">
        <v>17817</v>
      </c>
      <c r="AD3446" s="13">
        <v>44197</v>
      </c>
      <c r="AE3446" s="12" t="s">
        <v>110</v>
      </c>
      <c r="AF3446" s="12" t="s">
        <v>1401</v>
      </c>
      <c r="AG3446" s="12" t="s">
        <v>81</v>
      </c>
      <c r="AH3446" s="1">
        <f>HYPERLINK("https://my.pitchbook.com?c=190008-82T","View Company Online")</f>
      </c>
    </row>
    <row r="3447">
      <c r="A3447" s="3" t="s">
        <v>17818</v>
      </c>
      <c r="B3447" s="3" t="s">
        <v>17819</v>
      </c>
      <c r="C3447" s="5" t="s">
        <v>36</v>
      </c>
      <c r="D3447" s="5" t="s">
        <v>36</v>
      </c>
      <c r="E3447" s="5" t="s">
        <v>36</v>
      </c>
      <c r="F3447" s="5" t="s">
        <v>36</v>
      </c>
      <c r="G3447" s="6" t="s">
        <v>36</v>
      </c>
      <c r="H3447" s="4" t="s">
        <v>36</v>
      </c>
      <c r="I3447" s="7" t="s">
        <v>36</v>
      </c>
      <c r="J3447" s="3" t="s">
        <v>36</v>
      </c>
      <c r="K3447" s="9" t="s">
        <v>36</v>
      </c>
      <c r="L3447" s="6" t="s">
        <v>36</v>
      </c>
      <c r="M3447" s="3" t="s">
        <v>36</v>
      </c>
      <c r="N3447" s="3" t="s">
        <v>36</v>
      </c>
      <c r="O3447" s="8" t="s">
        <v>36</v>
      </c>
      <c r="P3447" s="3" t="s">
        <v>36</v>
      </c>
      <c r="Q3447" s="3" t="s">
        <v>36</v>
      </c>
      <c r="R3447" s="3" t="s">
        <v>36</v>
      </c>
      <c r="S3447" s="3" t="s">
        <v>36</v>
      </c>
      <c r="T3447" s="3" t="s">
        <v>17820</v>
      </c>
      <c r="U3447" s="3" t="s">
        <v>833</v>
      </c>
      <c r="V3447" s="3" t="s">
        <v>64</v>
      </c>
      <c r="W3447" s="3" t="s">
        <v>17821</v>
      </c>
      <c r="X3447" s="10" t="s">
        <v>1043</v>
      </c>
      <c r="Y3447" s="6" t="s">
        <v>42</v>
      </c>
      <c r="Z3447" s="4" t="s">
        <v>36</v>
      </c>
      <c r="AA3447" s="4" t="s">
        <v>36</v>
      </c>
      <c r="AB3447" s="3" t="s">
        <v>43</v>
      </c>
      <c r="AC3447" s="3" t="s">
        <v>17822</v>
      </c>
      <c r="AD3447" s="9">
        <v>44197</v>
      </c>
      <c r="AE3447" s="3" t="s">
        <v>1687</v>
      </c>
      <c r="AF3447" s="3" t="s">
        <v>36</v>
      </c>
      <c r="AG3447" s="3" t="s">
        <v>81</v>
      </c>
      <c r="AH3447" s="11">
        <f>HYPERLINK("https://my.pitchbook.com?c=280105-12T","View Company Online")</f>
      </c>
    </row>
    <row r="3448">
      <c r="A3448" s="12" t="s">
        <v>17823</v>
      </c>
      <c r="B3448" s="12" t="s">
        <v>17824</v>
      </c>
      <c r="C3448" s="19" t="s">
        <v>36</v>
      </c>
      <c r="D3448" s="19" t="s">
        <v>36</v>
      </c>
      <c r="E3448" s="19" t="s">
        <v>36</v>
      </c>
      <c r="F3448" s="19" t="s">
        <v>36</v>
      </c>
      <c r="G3448" s="15" t="s">
        <v>36</v>
      </c>
      <c r="H3448" s="14" t="s">
        <v>36</v>
      </c>
      <c r="I3448" s="18" t="s">
        <v>36</v>
      </c>
      <c r="J3448" s="12" t="s">
        <v>36</v>
      </c>
      <c r="K3448" s="13" t="s">
        <v>36</v>
      </c>
      <c r="L3448" s="15" t="s">
        <v>36</v>
      </c>
      <c r="M3448" s="12" t="s">
        <v>36</v>
      </c>
      <c r="N3448" s="12" t="s">
        <v>36</v>
      </c>
      <c r="O3448" s="17" t="s">
        <v>36</v>
      </c>
      <c r="P3448" s="12" t="s">
        <v>36</v>
      </c>
      <c r="Q3448" s="12" t="s">
        <v>36</v>
      </c>
      <c r="R3448" s="12" t="s">
        <v>36</v>
      </c>
      <c r="S3448" s="12" t="s">
        <v>36</v>
      </c>
      <c r="T3448" s="12" t="s">
        <v>17825</v>
      </c>
      <c r="U3448" s="12" t="s">
        <v>728</v>
      </c>
      <c r="V3448" s="12" t="s">
        <v>64</v>
      </c>
      <c r="W3448" s="12" t="s">
        <v>17826</v>
      </c>
      <c r="X3448" s="16" t="s">
        <v>5228</v>
      </c>
      <c r="Y3448" s="15" t="s">
        <v>42</v>
      </c>
      <c r="Z3448" s="14" t="s">
        <v>36</v>
      </c>
      <c r="AA3448" s="14" t="s">
        <v>36</v>
      </c>
      <c r="AB3448" s="12" t="s">
        <v>56</v>
      </c>
      <c r="AC3448" s="12" t="s">
        <v>17827</v>
      </c>
      <c r="AD3448" s="13">
        <v>44197</v>
      </c>
      <c r="AE3448" s="12" t="s">
        <v>2154</v>
      </c>
      <c r="AF3448" s="12" t="s">
        <v>90</v>
      </c>
      <c r="AG3448" s="12" t="s">
        <v>17828</v>
      </c>
      <c r="AH3448" s="1">
        <f>HYPERLINK("https://my.pitchbook.com?c=165376-09T","View Company Online")</f>
      </c>
    </row>
    <row r="3449">
      <c r="A3449" s="3" t="s">
        <v>17829</v>
      </c>
      <c r="B3449" s="3" t="s">
        <v>17830</v>
      </c>
      <c r="C3449" s="5">
        <v>2</v>
      </c>
      <c r="D3449" s="5" t="s">
        <v>36</v>
      </c>
      <c r="E3449" s="5">
        <v>1</v>
      </c>
      <c r="F3449" s="5">
        <v>2</v>
      </c>
      <c r="G3449" s="6" t="s">
        <v>36</v>
      </c>
      <c r="H3449" s="4" t="s">
        <v>36</v>
      </c>
      <c r="I3449" s="7" t="s">
        <v>36</v>
      </c>
      <c r="J3449" s="3" t="s">
        <v>36</v>
      </c>
      <c r="K3449" s="9" t="s">
        <v>36</v>
      </c>
      <c r="L3449" s="6" t="s">
        <v>36</v>
      </c>
      <c r="M3449" s="3" t="s">
        <v>36</v>
      </c>
      <c r="N3449" s="3" t="s">
        <v>36</v>
      </c>
      <c r="O3449" s="8" t="s">
        <v>36</v>
      </c>
      <c r="P3449" s="3" t="s">
        <v>36</v>
      </c>
      <c r="Q3449" s="3" t="s">
        <v>36</v>
      </c>
      <c r="R3449" s="3" t="s">
        <v>36</v>
      </c>
      <c r="S3449" s="3" t="s">
        <v>36</v>
      </c>
      <c r="T3449" s="3" t="s">
        <v>17831</v>
      </c>
      <c r="U3449" s="3" t="s">
        <v>423</v>
      </c>
      <c r="V3449" s="3" t="s">
        <v>64</v>
      </c>
      <c r="W3449" s="3" t="s">
        <v>17832</v>
      </c>
      <c r="X3449" s="10" t="s">
        <v>17833</v>
      </c>
      <c r="Y3449" s="6" t="s">
        <v>42</v>
      </c>
      <c r="Z3449" s="4" t="s">
        <v>36</v>
      </c>
      <c r="AA3449" s="4" t="s">
        <v>36</v>
      </c>
      <c r="AB3449" s="3" t="s">
        <v>43</v>
      </c>
      <c r="AC3449" s="3" t="s">
        <v>17834</v>
      </c>
      <c r="AD3449" s="9">
        <v>44197</v>
      </c>
      <c r="AE3449" s="3" t="s">
        <v>1051</v>
      </c>
      <c r="AF3449" s="3" t="s">
        <v>36</v>
      </c>
      <c r="AG3449" s="3" t="s">
        <v>81</v>
      </c>
      <c r="AH3449" s="11">
        <f>HYPERLINK("https://my.pitchbook.com?c=191250-37T","View Company Online")</f>
      </c>
    </row>
    <row r="3450">
      <c r="A3450" s="12" t="s">
        <v>17835</v>
      </c>
      <c r="B3450" s="12" t="s">
        <v>17836</v>
      </c>
      <c r="C3450" s="19" t="s">
        <v>36</v>
      </c>
      <c r="D3450" s="19" t="s">
        <v>36</v>
      </c>
      <c r="E3450" s="19" t="s">
        <v>36</v>
      </c>
      <c r="F3450" s="19" t="s">
        <v>36</v>
      </c>
      <c r="G3450" s="15" t="s">
        <v>36</v>
      </c>
      <c r="H3450" s="14" t="s">
        <v>36</v>
      </c>
      <c r="I3450" s="18" t="s">
        <v>36</v>
      </c>
      <c r="J3450" s="12" t="s">
        <v>36</v>
      </c>
      <c r="K3450" s="13" t="s">
        <v>36</v>
      </c>
      <c r="L3450" s="15" t="s">
        <v>36</v>
      </c>
      <c r="M3450" s="12" t="s">
        <v>36</v>
      </c>
      <c r="N3450" s="12" t="s">
        <v>36</v>
      </c>
      <c r="O3450" s="17" t="s">
        <v>36</v>
      </c>
      <c r="P3450" s="12" t="s">
        <v>36</v>
      </c>
      <c r="Q3450" s="12" t="s">
        <v>36</v>
      </c>
      <c r="R3450" s="12" t="s">
        <v>36</v>
      </c>
      <c r="S3450" s="12" t="s">
        <v>36</v>
      </c>
      <c r="T3450" s="12" t="s">
        <v>5490</v>
      </c>
      <c r="U3450" s="12" t="s">
        <v>648</v>
      </c>
      <c r="V3450" s="12" t="s">
        <v>64</v>
      </c>
      <c r="W3450" s="12" t="s">
        <v>17837</v>
      </c>
      <c r="X3450" s="16" t="s">
        <v>17838</v>
      </c>
      <c r="Y3450" s="15" t="s">
        <v>42</v>
      </c>
      <c r="Z3450" s="14" t="s">
        <v>36</v>
      </c>
      <c r="AA3450" s="14" t="s">
        <v>36</v>
      </c>
      <c r="AB3450" s="12" t="s">
        <v>43</v>
      </c>
      <c r="AC3450" s="12" t="s">
        <v>17839</v>
      </c>
      <c r="AD3450" s="13">
        <v>44197</v>
      </c>
      <c r="AE3450" s="12" t="s">
        <v>3988</v>
      </c>
      <c r="AF3450" s="12" t="s">
        <v>36</v>
      </c>
      <c r="AG3450" s="12" t="s">
        <v>899</v>
      </c>
      <c r="AH3450" s="1">
        <f>HYPERLINK("https://my.pitchbook.com?c=266186-53T","View Company Online")</f>
      </c>
    </row>
    <row r="3451">
      <c r="A3451" s="3" t="s">
        <v>17840</v>
      </c>
      <c r="B3451" s="3" t="s">
        <v>817</v>
      </c>
      <c r="C3451" s="5" t="s">
        <v>36</v>
      </c>
      <c r="D3451" s="5" t="s">
        <v>36</v>
      </c>
      <c r="E3451" s="5" t="s">
        <v>36</v>
      </c>
      <c r="F3451" s="5" t="s">
        <v>36</v>
      </c>
      <c r="G3451" s="6" t="s">
        <v>36</v>
      </c>
      <c r="H3451" s="4" t="s">
        <v>36</v>
      </c>
      <c r="I3451" s="7" t="s">
        <v>36</v>
      </c>
      <c r="J3451" s="3" t="s">
        <v>36</v>
      </c>
      <c r="K3451" s="9" t="s">
        <v>36</v>
      </c>
      <c r="L3451" s="6" t="s">
        <v>36</v>
      </c>
      <c r="M3451" s="3" t="s">
        <v>36</v>
      </c>
      <c r="N3451" s="3" t="s">
        <v>36</v>
      </c>
      <c r="O3451" s="8" t="s">
        <v>36</v>
      </c>
      <c r="P3451" s="3" t="s">
        <v>36</v>
      </c>
      <c r="Q3451" s="3" t="s">
        <v>36</v>
      </c>
      <c r="R3451" s="3" t="s">
        <v>36</v>
      </c>
      <c r="S3451" s="3" t="s">
        <v>36</v>
      </c>
      <c r="T3451" s="3" t="s">
        <v>818</v>
      </c>
      <c r="U3451" s="3" t="s">
        <v>74</v>
      </c>
      <c r="V3451" s="3" t="s">
        <v>75</v>
      </c>
      <c r="W3451" s="3" t="s">
        <v>819</v>
      </c>
      <c r="X3451" s="10" t="s">
        <v>17841</v>
      </c>
      <c r="Y3451" s="6" t="s">
        <v>42</v>
      </c>
      <c r="Z3451" s="4" t="s">
        <v>36</v>
      </c>
      <c r="AA3451" s="4" t="s">
        <v>36</v>
      </c>
      <c r="AB3451" s="3" t="s">
        <v>43</v>
      </c>
      <c r="AC3451" s="3" t="s">
        <v>821</v>
      </c>
      <c r="AD3451" s="9">
        <v>44197</v>
      </c>
      <c r="AE3451" s="3" t="s">
        <v>570</v>
      </c>
      <c r="AF3451" s="3" t="s">
        <v>822</v>
      </c>
      <c r="AG3451" s="3" t="s">
        <v>47</v>
      </c>
      <c r="AH3451" s="11">
        <f>HYPERLINK("https://my.pitchbook.com?c=200122-30T","View Company Online")</f>
      </c>
    </row>
    <row r="3452">
      <c r="A3452" s="12" t="s">
        <v>17842</v>
      </c>
      <c r="B3452" s="12" t="s">
        <v>17843</v>
      </c>
      <c r="C3452" s="19" t="s">
        <v>36</v>
      </c>
      <c r="D3452" s="19" t="s">
        <v>36</v>
      </c>
      <c r="E3452" s="19" t="s">
        <v>36</v>
      </c>
      <c r="F3452" s="19" t="s">
        <v>36</v>
      </c>
      <c r="G3452" s="15" t="s">
        <v>36</v>
      </c>
      <c r="H3452" s="14" t="s">
        <v>36</v>
      </c>
      <c r="I3452" s="18" t="s">
        <v>36</v>
      </c>
      <c r="J3452" s="12" t="s">
        <v>36</v>
      </c>
      <c r="K3452" s="13" t="s">
        <v>36</v>
      </c>
      <c r="L3452" s="15" t="s">
        <v>36</v>
      </c>
      <c r="M3452" s="12" t="s">
        <v>36</v>
      </c>
      <c r="N3452" s="12" t="s">
        <v>36</v>
      </c>
      <c r="O3452" s="17" t="s">
        <v>36</v>
      </c>
      <c r="P3452" s="12" t="s">
        <v>36</v>
      </c>
      <c r="Q3452" s="12" t="s">
        <v>36</v>
      </c>
      <c r="R3452" s="12" t="s">
        <v>36</v>
      </c>
      <c r="S3452" s="12" t="s">
        <v>36</v>
      </c>
      <c r="T3452" s="12" t="s">
        <v>10741</v>
      </c>
      <c r="U3452" s="12" t="s">
        <v>833</v>
      </c>
      <c r="V3452" s="12" t="s">
        <v>64</v>
      </c>
      <c r="W3452" s="12" t="s">
        <v>17844</v>
      </c>
      <c r="X3452" s="16" t="s">
        <v>8174</v>
      </c>
      <c r="Y3452" s="15" t="s">
        <v>108</v>
      </c>
      <c r="Z3452" s="14" t="s">
        <v>36</v>
      </c>
      <c r="AA3452" s="14" t="s">
        <v>36</v>
      </c>
      <c r="AB3452" s="12" t="s">
        <v>43</v>
      </c>
      <c r="AC3452" s="12" t="s">
        <v>17845</v>
      </c>
      <c r="AD3452" s="13">
        <v>44197</v>
      </c>
      <c r="AE3452" s="12" t="s">
        <v>1687</v>
      </c>
      <c r="AF3452" s="12" t="s">
        <v>733</v>
      </c>
      <c r="AG3452" s="12" t="s">
        <v>81</v>
      </c>
      <c r="AH3452" s="1">
        <f>HYPERLINK("https://my.pitchbook.com?c=199231-12T","View Company Online")</f>
      </c>
    </row>
    <row r="3453">
      <c r="A3453" s="3" t="s">
        <v>17846</v>
      </c>
      <c r="B3453" s="3" t="s">
        <v>5601</v>
      </c>
      <c r="C3453" s="5" t="s">
        <v>36</v>
      </c>
      <c r="D3453" s="5" t="s">
        <v>36</v>
      </c>
      <c r="E3453" s="5" t="s">
        <v>36</v>
      </c>
      <c r="F3453" s="5" t="s">
        <v>36</v>
      </c>
      <c r="G3453" s="6" t="s">
        <v>36</v>
      </c>
      <c r="H3453" s="4" t="s">
        <v>36</v>
      </c>
      <c r="I3453" s="7" t="s">
        <v>36</v>
      </c>
      <c r="J3453" s="3" t="s">
        <v>36</v>
      </c>
      <c r="K3453" s="9" t="s">
        <v>36</v>
      </c>
      <c r="L3453" s="6" t="s">
        <v>36</v>
      </c>
      <c r="M3453" s="3" t="s">
        <v>36</v>
      </c>
      <c r="N3453" s="3" t="s">
        <v>36</v>
      </c>
      <c r="O3453" s="8" t="s">
        <v>36</v>
      </c>
      <c r="P3453" s="3" t="s">
        <v>36</v>
      </c>
      <c r="Q3453" s="3" t="s">
        <v>36</v>
      </c>
      <c r="R3453" s="3" t="s">
        <v>36</v>
      </c>
      <c r="S3453" s="3" t="s">
        <v>36</v>
      </c>
      <c r="T3453" s="3" t="s">
        <v>5602</v>
      </c>
      <c r="U3453" s="3" t="s">
        <v>318</v>
      </c>
      <c r="V3453" s="3" t="s">
        <v>39</v>
      </c>
      <c r="W3453" s="3" t="s">
        <v>5603</v>
      </c>
      <c r="X3453" s="10" t="s">
        <v>17847</v>
      </c>
      <c r="Y3453" s="6" t="s">
        <v>108</v>
      </c>
      <c r="Z3453" s="4" t="s">
        <v>36</v>
      </c>
      <c r="AA3453" s="4" t="s">
        <v>36</v>
      </c>
      <c r="AB3453" s="3" t="s">
        <v>43</v>
      </c>
      <c r="AC3453" s="3" t="s">
        <v>5605</v>
      </c>
      <c r="AD3453" s="9">
        <v>44197</v>
      </c>
      <c r="AE3453" s="3" t="s">
        <v>763</v>
      </c>
      <c r="AF3453" s="3" t="s">
        <v>5606</v>
      </c>
      <c r="AG3453" s="3" t="s">
        <v>332</v>
      </c>
      <c r="AH3453" s="11">
        <f>HYPERLINK("https://my.pitchbook.com?c=171623-80T","View Company Online")</f>
      </c>
    </row>
    <row r="3454">
      <c r="A3454" s="12" t="s">
        <v>17848</v>
      </c>
      <c r="B3454" s="12" t="s">
        <v>17849</v>
      </c>
      <c r="C3454" s="19" t="s">
        <v>36</v>
      </c>
      <c r="D3454" s="19" t="s">
        <v>36</v>
      </c>
      <c r="E3454" s="19" t="s">
        <v>36</v>
      </c>
      <c r="F3454" s="19" t="s">
        <v>36</v>
      </c>
      <c r="G3454" s="15" t="s">
        <v>36</v>
      </c>
      <c r="H3454" s="14" t="s">
        <v>36</v>
      </c>
      <c r="I3454" s="18" t="s">
        <v>36</v>
      </c>
      <c r="J3454" s="12" t="s">
        <v>36</v>
      </c>
      <c r="K3454" s="13" t="s">
        <v>36</v>
      </c>
      <c r="L3454" s="15" t="s">
        <v>36</v>
      </c>
      <c r="M3454" s="12" t="s">
        <v>36</v>
      </c>
      <c r="N3454" s="12" t="s">
        <v>36</v>
      </c>
      <c r="O3454" s="17" t="s">
        <v>36</v>
      </c>
      <c r="P3454" s="12" t="s">
        <v>36</v>
      </c>
      <c r="Q3454" s="12" t="s">
        <v>36</v>
      </c>
      <c r="R3454" s="12" t="s">
        <v>36</v>
      </c>
      <c r="S3454" s="12" t="s">
        <v>36</v>
      </c>
      <c r="T3454" s="12" t="s">
        <v>278</v>
      </c>
      <c r="U3454" s="12" t="s">
        <v>279</v>
      </c>
      <c r="V3454" s="12" t="s">
        <v>64</v>
      </c>
      <c r="W3454" s="12" t="s">
        <v>17850</v>
      </c>
      <c r="X3454" s="16" t="s">
        <v>17851</v>
      </c>
      <c r="Y3454" s="15" t="s">
        <v>42</v>
      </c>
      <c r="Z3454" s="14" t="s">
        <v>36</v>
      </c>
      <c r="AA3454" s="14" t="s">
        <v>36</v>
      </c>
      <c r="AB3454" s="12" t="s">
        <v>43</v>
      </c>
      <c r="AC3454" s="12" t="s">
        <v>17852</v>
      </c>
      <c r="AD3454" s="13">
        <v>44197</v>
      </c>
      <c r="AE3454" s="12" t="s">
        <v>283</v>
      </c>
      <c r="AF3454" s="12" t="s">
        <v>118</v>
      </c>
      <c r="AG3454" s="12" t="s">
        <v>81</v>
      </c>
      <c r="AH3454" s="1">
        <f>HYPERLINK("https://my.pitchbook.com?c=174845-53T","View Company Online")</f>
      </c>
    </row>
    <row r="3455">
      <c r="A3455" s="3" t="s">
        <v>17853</v>
      </c>
      <c r="B3455" s="3" t="s">
        <v>2860</v>
      </c>
      <c r="C3455" s="5" t="s">
        <v>36</v>
      </c>
      <c r="D3455" s="5" t="s">
        <v>36</v>
      </c>
      <c r="E3455" s="5" t="s">
        <v>36</v>
      </c>
      <c r="F3455" s="5" t="s">
        <v>36</v>
      </c>
      <c r="G3455" s="6" t="s">
        <v>36</v>
      </c>
      <c r="H3455" s="4" t="s">
        <v>36</v>
      </c>
      <c r="I3455" s="7" t="s">
        <v>36</v>
      </c>
      <c r="J3455" s="3" t="s">
        <v>36</v>
      </c>
      <c r="K3455" s="9" t="s">
        <v>36</v>
      </c>
      <c r="L3455" s="6" t="s">
        <v>36</v>
      </c>
      <c r="M3455" s="3" t="s">
        <v>36</v>
      </c>
      <c r="N3455" s="3" t="s">
        <v>36</v>
      </c>
      <c r="O3455" s="8" t="s">
        <v>36</v>
      </c>
      <c r="P3455" s="3" t="s">
        <v>36</v>
      </c>
      <c r="Q3455" s="3" t="s">
        <v>36</v>
      </c>
      <c r="R3455" s="3" t="s">
        <v>36</v>
      </c>
      <c r="S3455" s="3" t="s">
        <v>36</v>
      </c>
      <c r="T3455" s="3" t="s">
        <v>2861</v>
      </c>
      <c r="U3455" s="3" t="s">
        <v>74</v>
      </c>
      <c r="V3455" s="3" t="s">
        <v>75</v>
      </c>
      <c r="W3455" s="3" t="s">
        <v>2862</v>
      </c>
      <c r="X3455" s="10" t="s">
        <v>2229</v>
      </c>
      <c r="Y3455" s="6" t="s">
        <v>321</v>
      </c>
      <c r="Z3455" s="4" t="s">
        <v>36</v>
      </c>
      <c r="AA3455" s="4" t="s">
        <v>36</v>
      </c>
      <c r="AB3455" s="3" t="s">
        <v>56</v>
      </c>
      <c r="AC3455" s="3" t="s">
        <v>2864</v>
      </c>
      <c r="AD3455" s="9">
        <v>44197</v>
      </c>
      <c r="AE3455" s="3" t="s">
        <v>362</v>
      </c>
      <c r="AF3455" s="3" t="s">
        <v>250</v>
      </c>
      <c r="AG3455" s="3" t="s">
        <v>81</v>
      </c>
      <c r="AH3455" s="11">
        <f>HYPERLINK("https://my.pitchbook.com?c=199000-09T","View Company Online")</f>
      </c>
    </row>
    <row r="3456">
      <c r="A3456" s="12" t="s">
        <v>17854</v>
      </c>
      <c r="B3456" s="12" t="s">
        <v>15122</v>
      </c>
      <c r="C3456" s="19" t="s">
        <v>36</v>
      </c>
      <c r="D3456" s="19" t="s">
        <v>36</v>
      </c>
      <c r="E3456" s="19" t="s">
        <v>36</v>
      </c>
      <c r="F3456" s="19" t="s">
        <v>36</v>
      </c>
      <c r="G3456" s="15" t="s">
        <v>36</v>
      </c>
      <c r="H3456" s="14" t="s">
        <v>36</v>
      </c>
      <c r="I3456" s="18" t="s">
        <v>36</v>
      </c>
      <c r="J3456" s="12" t="s">
        <v>36</v>
      </c>
      <c r="K3456" s="13" t="s">
        <v>36</v>
      </c>
      <c r="L3456" s="15" t="s">
        <v>36</v>
      </c>
      <c r="M3456" s="12" t="s">
        <v>36</v>
      </c>
      <c r="N3456" s="12" t="s">
        <v>36</v>
      </c>
      <c r="O3456" s="17" t="s">
        <v>36</v>
      </c>
      <c r="P3456" s="12" t="s">
        <v>36</v>
      </c>
      <c r="Q3456" s="12" t="s">
        <v>36</v>
      </c>
      <c r="R3456" s="12" t="s">
        <v>36</v>
      </c>
      <c r="S3456" s="12" t="s">
        <v>36</v>
      </c>
      <c r="T3456" s="12" t="s">
        <v>105</v>
      </c>
      <c r="U3456" s="12" t="s">
        <v>38</v>
      </c>
      <c r="V3456" s="12" t="s">
        <v>39</v>
      </c>
      <c r="W3456" s="12" t="s">
        <v>15123</v>
      </c>
      <c r="X3456" s="16" t="s">
        <v>17855</v>
      </c>
      <c r="Y3456" s="15" t="s">
        <v>42</v>
      </c>
      <c r="Z3456" s="14" t="s">
        <v>36</v>
      </c>
      <c r="AA3456" s="14" t="s">
        <v>36</v>
      </c>
      <c r="AB3456" s="12" t="s">
        <v>43</v>
      </c>
      <c r="AC3456" s="12" t="s">
        <v>15125</v>
      </c>
      <c r="AD3456" s="13">
        <v>44197</v>
      </c>
      <c r="AE3456" s="12" t="s">
        <v>110</v>
      </c>
      <c r="AF3456" s="12" t="s">
        <v>526</v>
      </c>
      <c r="AG3456" s="12" t="s">
        <v>81</v>
      </c>
      <c r="AH3456" s="1">
        <f>HYPERLINK("https://my.pitchbook.com?c=181250-29T","View Company Online")</f>
      </c>
    </row>
    <row r="3457">
      <c r="A3457" s="3" t="s">
        <v>17856</v>
      </c>
      <c r="B3457" s="3" t="s">
        <v>17857</v>
      </c>
      <c r="C3457" s="5" t="s">
        <v>36</v>
      </c>
      <c r="D3457" s="5" t="s">
        <v>36</v>
      </c>
      <c r="E3457" s="5" t="s">
        <v>36</v>
      </c>
      <c r="F3457" s="5" t="s">
        <v>36</v>
      </c>
      <c r="G3457" s="6" t="s">
        <v>36</v>
      </c>
      <c r="H3457" s="4">
        <v>259.64</v>
      </c>
      <c r="I3457" s="7">
        <v>12.28</v>
      </c>
      <c r="J3457" s="3" t="s">
        <v>521</v>
      </c>
      <c r="K3457" s="9" t="s">
        <v>36</v>
      </c>
      <c r="L3457" s="6" t="s">
        <v>36</v>
      </c>
      <c r="M3457" s="3" t="s">
        <v>36</v>
      </c>
      <c r="N3457" s="3" t="s">
        <v>36</v>
      </c>
      <c r="O3457" s="8" t="s">
        <v>36</v>
      </c>
      <c r="P3457" s="3" t="s">
        <v>36</v>
      </c>
      <c r="Q3457" s="3" t="s">
        <v>36</v>
      </c>
      <c r="R3457" s="3" t="s">
        <v>36</v>
      </c>
      <c r="S3457" s="3" t="s">
        <v>36</v>
      </c>
      <c r="T3457" s="3" t="s">
        <v>522</v>
      </c>
      <c r="U3457" s="3" t="s">
        <v>38</v>
      </c>
      <c r="V3457" s="3" t="s">
        <v>39</v>
      </c>
      <c r="W3457" s="3" t="s">
        <v>17858</v>
      </c>
      <c r="X3457" s="10" t="s">
        <v>10233</v>
      </c>
      <c r="Y3457" s="6" t="s">
        <v>42</v>
      </c>
      <c r="Z3457" s="4">
        <v>0.85</v>
      </c>
      <c r="AA3457" s="4">
        <v>6.93</v>
      </c>
      <c r="AB3457" s="3" t="s">
        <v>43</v>
      </c>
      <c r="AC3457" s="3" t="s">
        <v>17859</v>
      </c>
      <c r="AD3457" s="9">
        <v>44197</v>
      </c>
      <c r="AE3457" s="3" t="s">
        <v>110</v>
      </c>
      <c r="AF3457" s="3" t="s">
        <v>17860</v>
      </c>
      <c r="AG3457" s="3" t="s">
        <v>17861</v>
      </c>
      <c r="AH3457" s="11">
        <f>HYPERLINK("https://my.pitchbook.com?c=208932-85T","View Company Online")</f>
      </c>
    </row>
    <row r="3458">
      <c r="A3458" s="12" t="s">
        <v>17862</v>
      </c>
      <c r="B3458" s="12" t="s">
        <v>17863</v>
      </c>
      <c r="C3458" s="19" t="s">
        <v>36</v>
      </c>
      <c r="D3458" s="19" t="s">
        <v>36</v>
      </c>
      <c r="E3458" s="19" t="s">
        <v>36</v>
      </c>
      <c r="F3458" s="19" t="s">
        <v>36</v>
      </c>
      <c r="G3458" s="15" t="s">
        <v>36</v>
      </c>
      <c r="H3458" s="14" t="s">
        <v>36</v>
      </c>
      <c r="I3458" s="18" t="s">
        <v>36</v>
      </c>
      <c r="J3458" s="12" t="s">
        <v>36</v>
      </c>
      <c r="K3458" s="13" t="s">
        <v>36</v>
      </c>
      <c r="L3458" s="15" t="s">
        <v>36</v>
      </c>
      <c r="M3458" s="12" t="s">
        <v>36</v>
      </c>
      <c r="N3458" s="12" t="s">
        <v>36</v>
      </c>
      <c r="O3458" s="17" t="s">
        <v>36</v>
      </c>
      <c r="P3458" s="12" t="s">
        <v>36</v>
      </c>
      <c r="Q3458" s="12" t="s">
        <v>36</v>
      </c>
      <c r="R3458" s="12" t="s">
        <v>36</v>
      </c>
      <c r="S3458" s="12" t="s">
        <v>36</v>
      </c>
      <c r="T3458" s="12" t="s">
        <v>2241</v>
      </c>
      <c r="U3458" s="12" t="s">
        <v>318</v>
      </c>
      <c r="V3458" s="12" t="s">
        <v>39</v>
      </c>
      <c r="W3458" s="12" t="s">
        <v>17864</v>
      </c>
      <c r="X3458" s="16" t="s">
        <v>17865</v>
      </c>
      <c r="Y3458" s="15" t="s">
        <v>42</v>
      </c>
      <c r="Z3458" s="14" t="s">
        <v>36</v>
      </c>
      <c r="AA3458" s="14" t="s">
        <v>36</v>
      </c>
      <c r="AB3458" s="12" t="s">
        <v>56</v>
      </c>
      <c r="AC3458" s="12" t="s">
        <v>17866</v>
      </c>
      <c r="AD3458" s="13">
        <v>44197</v>
      </c>
      <c r="AE3458" s="12" t="s">
        <v>763</v>
      </c>
      <c r="AF3458" s="12" t="s">
        <v>1201</v>
      </c>
      <c r="AG3458" s="12" t="s">
        <v>81</v>
      </c>
      <c r="AH3458" s="1">
        <f>HYPERLINK("https://my.pitchbook.com?c=213205-06T","View Company Online")</f>
      </c>
    </row>
    <row r="3459">
      <c r="A3459" s="3" t="s">
        <v>17867</v>
      </c>
      <c r="B3459" s="3" t="s">
        <v>17868</v>
      </c>
      <c r="C3459" s="5" t="s">
        <v>36</v>
      </c>
      <c r="D3459" s="5" t="s">
        <v>36</v>
      </c>
      <c r="E3459" s="5" t="s">
        <v>36</v>
      </c>
      <c r="F3459" s="5" t="s">
        <v>36</v>
      </c>
      <c r="G3459" s="6" t="s">
        <v>326</v>
      </c>
      <c r="H3459" s="4">
        <v>16.18</v>
      </c>
      <c r="I3459" s="7">
        <v>20.66</v>
      </c>
      <c r="J3459" s="3" t="s">
        <v>521</v>
      </c>
      <c r="K3459" s="9" t="s">
        <v>36</v>
      </c>
      <c r="L3459" s="6" t="s">
        <v>36</v>
      </c>
      <c r="M3459" s="3" t="s">
        <v>36</v>
      </c>
      <c r="N3459" s="3" t="s">
        <v>36</v>
      </c>
      <c r="O3459" s="8" t="s">
        <v>36</v>
      </c>
      <c r="P3459" s="3" t="s">
        <v>36</v>
      </c>
      <c r="Q3459" s="3" t="s">
        <v>36</v>
      </c>
      <c r="R3459" s="3" t="s">
        <v>36</v>
      </c>
      <c r="S3459" s="3" t="s">
        <v>36</v>
      </c>
      <c r="T3459" s="3" t="s">
        <v>13476</v>
      </c>
      <c r="U3459" s="3" t="s">
        <v>648</v>
      </c>
      <c r="V3459" s="3" t="s">
        <v>64</v>
      </c>
      <c r="W3459" s="3" t="s">
        <v>17869</v>
      </c>
      <c r="X3459" s="10" t="s">
        <v>17870</v>
      </c>
      <c r="Y3459" s="6" t="s">
        <v>108</v>
      </c>
      <c r="Z3459" s="4">
        <v>0.63</v>
      </c>
      <c r="AA3459" s="4">
        <v>3.07</v>
      </c>
      <c r="AB3459" s="3" t="s">
        <v>56</v>
      </c>
      <c r="AC3459" s="3" t="s">
        <v>17871</v>
      </c>
      <c r="AD3459" s="9">
        <v>44196</v>
      </c>
      <c r="AE3459" s="3" t="s">
        <v>651</v>
      </c>
      <c r="AF3459" s="3" t="s">
        <v>118</v>
      </c>
      <c r="AG3459" s="3" t="s">
        <v>2760</v>
      </c>
      <c r="AH3459" s="11">
        <f>HYPERLINK("https://my.pitchbook.com?c=167527-27T","View Company Online")</f>
      </c>
    </row>
    <row r="3460">
      <c r="A3460" s="12" t="s">
        <v>17872</v>
      </c>
      <c r="B3460" s="12" t="s">
        <v>9321</v>
      </c>
      <c r="C3460" s="19" t="s">
        <v>36</v>
      </c>
      <c r="D3460" s="19" t="s">
        <v>36</v>
      </c>
      <c r="E3460" s="19" t="s">
        <v>36</v>
      </c>
      <c r="F3460" s="19" t="s">
        <v>36</v>
      </c>
      <c r="G3460" s="15" t="s">
        <v>683</v>
      </c>
      <c r="H3460" s="14">
        <v>12.01</v>
      </c>
      <c r="I3460" s="18">
        <v>11.22</v>
      </c>
      <c r="J3460" s="12" t="s">
        <v>521</v>
      </c>
      <c r="K3460" s="13" t="s">
        <v>36</v>
      </c>
      <c r="L3460" s="15" t="s">
        <v>36</v>
      </c>
      <c r="M3460" s="12" t="s">
        <v>36</v>
      </c>
      <c r="N3460" s="12" t="s">
        <v>36</v>
      </c>
      <c r="O3460" s="17" t="s">
        <v>36</v>
      </c>
      <c r="P3460" s="12" t="s">
        <v>36</v>
      </c>
      <c r="Q3460" s="12" t="s">
        <v>36</v>
      </c>
      <c r="R3460" s="12" t="s">
        <v>36</v>
      </c>
      <c r="S3460" s="12" t="s">
        <v>36</v>
      </c>
      <c r="T3460" s="12" t="s">
        <v>1260</v>
      </c>
      <c r="U3460" s="12" t="s">
        <v>38</v>
      </c>
      <c r="V3460" s="12" t="s">
        <v>39</v>
      </c>
      <c r="W3460" s="12" t="s">
        <v>9322</v>
      </c>
      <c r="X3460" s="16" t="s">
        <v>17873</v>
      </c>
      <c r="Y3460" s="15" t="s">
        <v>55</v>
      </c>
      <c r="Z3460" s="14">
        <v>0.26</v>
      </c>
      <c r="AA3460" s="14">
        <v>2.28</v>
      </c>
      <c r="AB3460" s="12" t="s">
        <v>43</v>
      </c>
      <c r="AC3460" s="12" t="s">
        <v>9324</v>
      </c>
      <c r="AD3460" s="13">
        <v>44195</v>
      </c>
      <c r="AE3460" s="12" t="s">
        <v>110</v>
      </c>
      <c r="AF3460" s="12" t="s">
        <v>2643</v>
      </c>
      <c r="AG3460" s="12" t="s">
        <v>9325</v>
      </c>
      <c r="AH3460" s="1">
        <f>HYPERLINK("https://my.pitchbook.com?c=213098-77T","View Company Online")</f>
      </c>
    </row>
    <row r="3461">
      <c r="A3461" s="3" t="s">
        <v>17874</v>
      </c>
      <c r="B3461" s="3" t="s">
        <v>8128</v>
      </c>
      <c r="C3461" s="5">
        <v>4</v>
      </c>
      <c r="D3461" s="5">
        <v>33</v>
      </c>
      <c r="E3461" s="5">
        <v>9</v>
      </c>
      <c r="F3461" s="5">
        <v>45</v>
      </c>
      <c r="G3461" s="6" t="s">
        <v>326</v>
      </c>
      <c r="H3461" s="4">
        <v>116.32</v>
      </c>
      <c r="I3461" s="7">
        <v>9.37</v>
      </c>
      <c r="J3461" s="3" t="s">
        <v>521</v>
      </c>
      <c r="K3461" s="9" t="s">
        <v>36</v>
      </c>
      <c r="L3461" s="6" t="s">
        <v>36</v>
      </c>
      <c r="M3461" s="3" t="s">
        <v>36</v>
      </c>
      <c r="N3461" s="3" t="s">
        <v>36</v>
      </c>
      <c r="O3461" s="8" t="s">
        <v>36</v>
      </c>
      <c r="P3461" s="3" t="s">
        <v>36</v>
      </c>
      <c r="Q3461" s="3" t="s">
        <v>36</v>
      </c>
      <c r="R3461" s="3" t="s">
        <v>36</v>
      </c>
      <c r="S3461" s="3" t="s">
        <v>36</v>
      </c>
      <c r="T3461" s="3" t="s">
        <v>2176</v>
      </c>
      <c r="U3461" s="3" t="s">
        <v>51</v>
      </c>
      <c r="V3461" s="3" t="s">
        <v>52</v>
      </c>
      <c r="W3461" s="3" t="s">
        <v>8129</v>
      </c>
      <c r="X3461" s="10" t="s">
        <v>17875</v>
      </c>
      <c r="Y3461" s="6" t="s">
        <v>475</v>
      </c>
      <c r="Z3461" s="4">
        <v>4.11</v>
      </c>
      <c r="AA3461" s="4">
        <v>43.88</v>
      </c>
      <c r="AB3461" s="3" t="s">
        <v>43</v>
      </c>
      <c r="AC3461" s="3" t="s">
        <v>8131</v>
      </c>
      <c r="AD3461" s="9">
        <v>44194</v>
      </c>
      <c r="AE3461" s="3" t="s">
        <v>158</v>
      </c>
      <c r="AF3461" s="3" t="s">
        <v>8132</v>
      </c>
      <c r="AG3461" s="3" t="s">
        <v>81</v>
      </c>
      <c r="AH3461" s="11">
        <f>HYPERLINK("https://my.pitchbook.com?c=163938-88T","View Company Online")</f>
      </c>
    </row>
    <row r="3462">
      <c r="A3462" s="12" t="s">
        <v>17876</v>
      </c>
      <c r="B3462" s="12" t="s">
        <v>17877</v>
      </c>
      <c r="C3462" s="19" t="s">
        <v>36</v>
      </c>
      <c r="D3462" s="19" t="s">
        <v>36</v>
      </c>
      <c r="E3462" s="19" t="s">
        <v>36</v>
      </c>
      <c r="F3462" s="19" t="s">
        <v>36</v>
      </c>
      <c r="G3462" s="15" t="s">
        <v>36</v>
      </c>
      <c r="H3462" s="14">
        <v>7267.89</v>
      </c>
      <c r="I3462" s="18">
        <v>18.53</v>
      </c>
      <c r="J3462" s="12" t="s">
        <v>521</v>
      </c>
      <c r="K3462" s="13" t="s">
        <v>36</v>
      </c>
      <c r="L3462" s="15" t="s">
        <v>36</v>
      </c>
      <c r="M3462" s="12" t="s">
        <v>36</v>
      </c>
      <c r="N3462" s="12" t="s">
        <v>36</v>
      </c>
      <c r="O3462" s="17" t="s">
        <v>36</v>
      </c>
      <c r="P3462" s="12" t="s">
        <v>36</v>
      </c>
      <c r="Q3462" s="12" t="s">
        <v>36</v>
      </c>
      <c r="R3462" s="12" t="s">
        <v>36</v>
      </c>
      <c r="S3462" s="12" t="s">
        <v>36</v>
      </c>
      <c r="T3462" s="12" t="s">
        <v>16221</v>
      </c>
      <c r="U3462" s="12" t="s">
        <v>38</v>
      </c>
      <c r="V3462" s="12" t="s">
        <v>39</v>
      </c>
      <c r="W3462" s="12" t="s">
        <v>17878</v>
      </c>
      <c r="X3462" s="16" t="s">
        <v>14013</v>
      </c>
      <c r="Y3462" s="15" t="s">
        <v>55</v>
      </c>
      <c r="Z3462" s="14">
        <v>1.54</v>
      </c>
      <c r="AA3462" s="14">
        <v>8.33</v>
      </c>
      <c r="AB3462" s="12" t="s">
        <v>56</v>
      </c>
      <c r="AC3462" s="12" t="s">
        <v>17879</v>
      </c>
      <c r="AD3462" s="13">
        <v>44191</v>
      </c>
      <c r="AE3462" s="12" t="s">
        <v>110</v>
      </c>
      <c r="AF3462" s="12" t="s">
        <v>7533</v>
      </c>
      <c r="AG3462" s="12" t="s">
        <v>81</v>
      </c>
      <c r="AH3462" s="1">
        <f>HYPERLINK("https://my.pitchbook.com?c=180816-04T","View Company Online")</f>
      </c>
    </row>
    <row r="3463">
      <c r="A3463" s="3" t="s">
        <v>17880</v>
      </c>
      <c r="B3463" s="3" t="s">
        <v>17881</v>
      </c>
      <c r="C3463" s="5" t="s">
        <v>36</v>
      </c>
      <c r="D3463" s="5" t="s">
        <v>36</v>
      </c>
      <c r="E3463" s="5" t="s">
        <v>36</v>
      </c>
      <c r="F3463" s="5" t="s">
        <v>36</v>
      </c>
      <c r="G3463" s="6" t="s">
        <v>36</v>
      </c>
      <c r="H3463" s="4">
        <v>8.3</v>
      </c>
      <c r="I3463" s="7">
        <v>49.91</v>
      </c>
      <c r="J3463" s="3" t="s">
        <v>521</v>
      </c>
      <c r="K3463" s="9" t="s">
        <v>36</v>
      </c>
      <c r="L3463" s="6" t="s">
        <v>36</v>
      </c>
      <c r="M3463" s="3" t="s">
        <v>36</v>
      </c>
      <c r="N3463" s="3" t="s">
        <v>36</v>
      </c>
      <c r="O3463" s="8" t="s">
        <v>36</v>
      </c>
      <c r="P3463" s="3" t="s">
        <v>36</v>
      </c>
      <c r="Q3463" s="3" t="s">
        <v>36</v>
      </c>
      <c r="R3463" s="3" t="s">
        <v>36</v>
      </c>
      <c r="S3463" s="3" t="s">
        <v>36</v>
      </c>
      <c r="T3463" s="3" t="s">
        <v>4648</v>
      </c>
      <c r="U3463" s="3" t="s">
        <v>74</v>
      </c>
      <c r="V3463" s="3" t="s">
        <v>75</v>
      </c>
      <c r="W3463" s="3" t="s">
        <v>17882</v>
      </c>
      <c r="X3463" s="10" t="s">
        <v>17883</v>
      </c>
      <c r="Y3463" s="6" t="s">
        <v>42</v>
      </c>
      <c r="Z3463" s="4">
        <v>2.42</v>
      </c>
      <c r="AA3463" s="4">
        <v>4.53</v>
      </c>
      <c r="AB3463" s="3" t="s">
        <v>56</v>
      </c>
      <c r="AC3463" s="3" t="s">
        <v>17884</v>
      </c>
      <c r="AD3463" s="9">
        <v>44189</v>
      </c>
      <c r="AE3463" s="3" t="s">
        <v>362</v>
      </c>
      <c r="AF3463" s="3" t="s">
        <v>468</v>
      </c>
      <c r="AG3463" s="3" t="s">
        <v>7647</v>
      </c>
      <c r="AH3463" s="11">
        <f>HYPERLINK("https://my.pitchbook.com?c=166939-21T","View Company Online")</f>
      </c>
    </row>
    <row r="3464">
      <c r="A3464" s="12" t="s">
        <v>17885</v>
      </c>
      <c r="B3464" s="12" t="s">
        <v>10542</v>
      </c>
      <c r="C3464" s="19" t="s">
        <v>36</v>
      </c>
      <c r="D3464" s="19" t="s">
        <v>36</v>
      </c>
      <c r="E3464" s="19" t="s">
        <v>36</v>
      </c>
      <c r="F3464" s="19" t="s">
        <v>36</v>
      </c>
      <c r="G3464" s="15" t="s">
        <v>36</v>
      </c>
      <c r="H3464" s="14" t="s">
        <v>36</v>
      </c>
      <c r="I3464" s="18" t="s">
        <v>36</v>
      </c>
      <c r="J3464" s="12" t="s">
        <v>36</v>
      </c>
      <c r="K3464" s="13" t="s">
        <v>36</v>
      </c>
      <c r="L3464" s="15" t="s">
        <v>36</v>
      </c>
      <c r="M3464" s="12" t="s">
        <v>36</v>
      </c>
      <c r="N3464" s="12" t="s">
        <v>36</v>
      </c>
      <c r="O3464" s="17" t="s">
        <v>36</v>
      </c>
      <c r="P3464" s="12" t="s">
        <v>36</v>
      </c>
      <c r="Q3464" s="12" t="s">
        <v>36</v>
      </c>
      <c r="R3464" s="12" t="s">
        <v>36</v>
      </c>
      <c r="S3464" s="12" t="s">
        <v>36</v>
      </c>
      <c r="T3464" s="12" t="s">
        <v>583</v>
      </c>
      <c r="U3464" s="12" t="s">
        <v>423</v>
      </c>
      <c r="V3464" s="12" t="s">
        <v>64</v>
      </c>
      <c r="W3464" s="12" t="s">
        <v>10543</v>
      </c>
      <c r="X3464" s="16" t="s">
        <v>17886</v>
      </c>
      <c r="Y3464" s="15" t="s">
        <v>55</v>
      </c>
      <c r="Z3464" s="14">
        <v>4.96</v>
      </c>
      <c r="AA3464" s="14" t="s">
        <v>36</v>
      </c>
      <c r="AB3464" s="12" t="s">
        <v>43</v>
      </c>
      <c r="AC3464" s="12" t="s">
        <v>10545</v>
      </c>
      <c r="AD3464" s="13">
        <v>44189</v>
      </c>
      <c r="AE3464" s="12" t="s">
        <v>562</v>
      </c>
      <c r="AF3464" s="12" t="s">
        <v>938</v>
      </c>
      <c r="AG3464" s="12" t="s">
        <v>81</v>
      </c>
      <c r="AH3464" s="1">
        <f>HYPERLINK("https://my.pitchbook.com?c=283497-04T","View Company Online")</f>
      </c>
    </row>
    <row r="3465">
      <c r="A3465" s="3" t="s">
        <v>17887</v>
      </c>
      <c r="B3465" s="3" t="s">
        <v>5122</v>
      </c>
      <c r="C3465" s="5">
        <v>7</v>
      </c>
      <c r="D3465" s="5">
        <v>2</v>
      </c>
      <c r="E3465" s="5">
        <v>4</v>
      </c>
      <c r="F3465" s="5">
        <v>9</v>
      </c>
      <c r="G3465" s="6" t="s">
        <v>36</v>
      </c>
      <c r="H3465" s="4">
        <v>514.14</v>
      </c>
      <c r="I3465" s="7">
        <v>15.6</v>
      </c>
      <c r="J3465" s="3" t="s">
        <v>521</v>
      </c>
      <c r="K3465" s="9" t="s">
        <v>36</v>
      </c>
      <c r="L3465" s="6" t="s">
        <v>36</v>
      </c>
      <c r="M3465" s="3" t="s">
        <v>36</v>
      </c>
      <c r="N3465" s="3" t="s">
        <v>36</v>
      </c>
      <c r="O3465" s="8" t="s">
        <v>36</v>
      </c>
      <c r="P3465" s="3" t="s">
        <v>36</v>
      </c>
      <c r="Q3465" s="3" t="s">
        <v>36</v>
      </c>
      <c r="R3465" s="3" t="s">
        <v>36</v>
      </c>
      <c r="S3465" s="3" t="s">
        <v>36</v>
      </c>
      <c r="T3465" s="3" t="s">
        <v>5123</v>
      </c>
      <c r="U3465" s="3" t="s">
        <v>74</v>
      </c>
      <c r="V3465" s="3" t="s">
        <v>75</v>
      </c>
      <c r="W3465" s="3" t="s">
        <v>5124</v>
      </c>
      <c r="X3465" s="10" t="s">
        <v>17888</v>
      </c>
      <c r="Y3465" s="6" t="s">
        <v>42</v>
      </c>
      <c r="Z3465" s="4">
        <v>0.62</v>
      </c>
      <c r="AA3465" s="4">
        <v>3.94</v>
      </c>
      <c r="AB3465" s="3" t="s">
        <v>43</v>
      </c>
      <c r="AC3465" s="3" t="s">
        <v>5126</v>
      </c>
      <c r="AD3465" s="9">
        <v>44189</v>
      </c>
      <c r="AE3465" s="3" t="s">
        <v>1888</v>
      </c>
      <c r="AF3465" s="3" t="s">
        <v>982</v>
      </c>
      <c r="AG3465" s="3" t="s">
        <v>5127</v>
      </c>
      <c r="AH3465" s="11">
        <f>HYPERLINK("https://my.pitchbook.com?c=182172-16T","View Company Online")</f>
      </c>
    </row>
    <row r="3466">
      <c r="A3466" s="12" t="s">
        <v>17889</v>
      </c>
      <c r="B3466" s="12" t="s">
        <v>2536</v>
      </c>
      <c r="C3466" s="19">
        <v>33</v>
      </c>
      <c r="D3466" s="19">
        <v>6</v>
      </c>
      <c r="E3466" s="19">
        <v>24</v>
      </c>
      <c r="F3466" s="19">
        <v>44</v>
      </c>
      <c r="G3466" s="15" t="s">
        <v>36</v>
      </c>
      <c r="H3466" s="14" t="s">
        <v>36</v>
      </c>
      <c r="I3466" s="18" t="s">
        <v>36</v>
      </c>
      <c r="J3466" s="12" t="s">
        <v>36</v>
      </c>
      <c r="K3466" s="13" t="s">
        <v>36</v>
      </c>
      <c r="L3466" s="15" t="s">
        <v>36</v>
      </c>
      <c r="M3466" s="12" t="s">
        <v>36</v>
      </c>
      <c r="N3466" s="12" t="s">
        <v>36</v>
      </c>
      <c r="O3466" s="17" t="s">
        <v>36</v>
      </c>
      <c r="P3466" s="12" t="s">
        <v>36</v>
      </c>
      <c r="Q3466" s="12" t="s">
        <v>36</v>
      </c>
      <c r="R3466" s="12" t="s">
        <v>36</v>
      </c>
      <c r="S3466" s="12" t="s">
        <v>2537</v>
      </c>
      <c r="T3466" s="12" t="s">
        <v>2538</v>
      </c>
      <c r="U3466" s="12" t="s">
        <v>318</v>
      </c>
      <c r="V3466" s="12" t="s">
        <v>39</v>
      </c>
      <c r="W3466" s="12" t="s">
        <v>2539</v>
      </c>
      <c r="X3466" s="16" t="s">
        <v>17890</v>
      </c>
      <c r="Y3466" s="15" t="s">
        <v>55</v>
      </c>
      <c r="Z3466" s="14">
        <v>3.59</v>
      </c>
      <c r="AA3466" s="14" t="s">
        <v>36</v>
      </c>
      <c r="AB3466" s="12" t="s">
        <v>43</v>
      </c>
      <c r="AC3466" s="12" t="s">
        <v>2541</v>
      </c>
      <c r="AD3466" s="13">
        <v>44189</v>
      </c>
      <c r="AE3466" s="12" t="s">
        <v>417</v>
      </c>
      <c r="AF3466" s="12" t="s">
        <v>275</v>
      </c>
      <c r="AG3466" s="12" t="s">
        <v>2542</v>
      </c>
      <c r="AH3466" s="1">
        <f>HYPERLINK("https://my.pitchbook.com?c=146309-05T","View Company Online")</f>
      </c>
    </row>
    <row r="3467">
      <c r="A3467" s="3" t="s">
        <v>17891</v>
      </c>
      <c r="B3467" s="3" t="s">
        <v>12765</v>
      </c>
      <c r="C3467" s="5" t="s">
        <v>36</v>
      </c>
      <c r="D3467" s="5" t="s">
        <v>36</v>
      </c>
      <c r="E3467" s="5" t="s">
        <v>36</v>
      </c>
      <c r="F3467" s="5" t="s">
        <v>36</v>
      </c>
      <c r="G3467" s="6" t="s">
        <v>683</v>
      </c>
      <c r="H3467" s="4">
        <v>44.8</v>
      </c>
      <c r="I3467" s="7">
        <v>8.2</v>
      </c>
      <c r="J3467" s="3" t="s">
        <v>521</v>
      </c>
      <c r="K3467" s="9" t="s">
        <v>36</v>
      </c>
      <c r="L3467" s="6" t="s">
        <v>36</v>
      </c>
      <c r="M3467" s="3" t="s">
        <v>36</v>
      </c>
      <c r="N3467" s="3" t="s">
        <v>36</v>
      </c>
      <c r="O3467" s="8" t="s">
        <v>36</v>
      </c>
      <c r="P3467" s="3" t="s">
        <v>36</v>
      </c>
      <c r="Q3467" s="3" t="s">
        <v>36</v>
      </c>
      <c r="R3467" s="3" t="s">
        <v>36</v>
      </c>
      <c r="S3467" s="3" t="s">
        <v>6677</v>
      </c>
      <c r="T3467" s="3" t="s">
        <v>6288</v>
      </c>
      <c r="U3467" s="3" t="s">
        <v>85</v>
      </c>
      <c r="V3467" s="3" t="s">
        <v>64</v>
      </c>
      <c r="W3467" s="3" t="s">
        <v>12766</v>
      </c>
      <c r="X3467" s="10" t="s">
        <v>17892</v>
      </c>
      <c r="Y3467" s="6" t="s">
        <v>55</v>
      </c>
      <c r="Z3467" s="4">
        <v>1.75</v>
      </c>
      <c r="AA3467" s="4">
        <v>10.65</v>
      </c>
      <c r="AB3467" s="3" t="s">
        <v>56</v>
      </c>
      <c r="AC3467" s="3" t="s">
        <v>12768</v>
      </c>
      <c r="AD3467" s="9">
        <v>44188</v>
      </c>
      <c r="AE3467" s="3" t="s">
        <v>89</v>
      </c>
      <c r="AF3467" s="3" t="s">
        <v>12769</v>
      </c>
      <c r="AG3467" s="3" t="s">
        <v>81</v>
      </c>
      <c r="AH3467" s="11">
        <f>HYPERLINK("https://my.pitchbook.com?c=174973-87T","View Company Online")</f>
      </c>
    </row>
    <row r="3468">
      <c r="A3468" s="12" t="s">
        <v>17893</v>
      </c>
      <c r="B3468" s="12" t="s">
        <v>17894</v>
      </c>
      <c r="C3468" s="19" t="s">
        <v>36</v>
      </c>
      <c r="D3468" s="19">
        <v>2</v>
      </c>
      <c r="E3468" s="19">
        <v>1</v>
      </c>
      <c r="F3468" s="19">
        <v>2</v>
      </c>
      <c r="G3468" s="15" t="s">
        <v>683</v>
      </c>
      <c r="H3468" s="14">
        <v>5.2</v>
      </c>
      <c r="I3468" s="18">
        <v>25.71</v>
      </c>
      <c r="J3468" s="12" t="s">
        <v>521</v>
      </c>
      <c r="K3468" s="13" t="s">
        <v>36</v>
      </c>
      <c r="L3468" s="15" t="s">
        <v>36</v>
      </c>
      <c r="M3468" s="12" t="s">
        <v>36</v>
      </c>
      <c r="N3468" s="12" t="s">
        <v>36</v>
      </c>
      <c r="O3468" s="17" t="s">
        <v>36</v>
      </c>
      <c r="P3468" s="12" t="s">
        <v>36</v>
      </c>
      <c r="Q3468" s="12" t="s">
        <v>36</v>
      </c>
      <c r="R3468" s="12" t="s">
        <v>36</v>
      </c>
      <c r="S3468" s="12" t="s">
        <v>36</v>
      </c>
      <c r="T3468" s="12" t="s">
        <v>14989</v>
      </c>
      <c r="U3468" s="12" t="s">
        <v>51</v>
      </c>
      <c r="V3468" s="12" t="s">
        <v>52</v>
      </c>
      <c r="W3468" s="12" t="s">
        <v>17895</v>
      </c>
      <c r="X3468" s="16" t="s">
        <v>15887</v>
      </c>
      <c r="Y3468" s="15" t="s">
        <v>192</v>
      </c>
      <c r="Z3468" s="14">
        <v>1.91</v>
      </c>
      <c r="AA3468" s="14">
        <v>7.43</v>
      </c>
      <c r="AB3468" s="12" t="s">
        <v>56</v>
      </c>
      <c r="AC3468" s="12" t="s">
        <v>17896</v>
      </c>
      <c r="AD3468" s="13">
        <v>44188</v>
      </c>
      <c r="AE3468" s="12" t="s">
        <v>158</v>
      </c>
      <c r="AF3468" s="12" t="s">
        <v>17897</v>
      </c>
      <c r="AG3468" s="12" t="s">
        <v>2542</v>
      </c>
      <c r="AH3468" s="1">
        <f>HYPERLINK("https://my.pitchbook.com?c=181956-97T","View Company Online")</f>
      </c>
    </row>
    <row r="3469">
      <c r="A3469" s="3" t="s">
        <v>17898</v>
      </c>
      <c r="B3469" s="3" t="s">
        <v>17899</v>
      </c>
      <c r="C3469" s="5" t="s">
        <v>36</v>
      </c>
      <c r="D3469" s="5" t="s">
        <v>36</v>
      </c>
      <c r="E3469" s="5" t="s">
        <v>36</v>
      </c>
      <c r="F3469" s="5" t="s">
        <v>36</v>
      </c>
      <c r="G3469" s="6" t="s">
        <v>326</v>
      </c>
      <c r="H3469" s="4">
        <v>52.22</v>
      </c>
      <c r="I3469" s="7">
        <v>25.12</v>
      </c>
      <c r="J3469" s="3" t="s">
        <v>521</v>
      </c>
      <c r="K3469" s="9" t="s">
        <v>36</v>
      </c>
      <c r="L3469" s="6" t="s">
        <v>36</v>
      </c>
      <c r="M3469" s="3" t="s">
        <v>36</v>
      </c>
      <c r="N3469" s="3" t="s">
        <v>36</v>
      </c>
      <c r="O3469" s="8" t="s">
        <v>36</v>
      </c>
      <c r="P3469" s="3" t="s">
        <v>36</v>
      </c>
      <c r="Q3469" s="3" t="s">
        <v>36</v>
      </c>
      <c r="R3469" s="3" t="s">
        <v>36</v>
      </c>
      <c r="S3469" s="3" t="s">
        <v>36</v>
      </c>
      <c r="T3469" s="3" t="s">
        <v>1106</v>
      </c>
      <c r="U3469" s="3" t="s">
        <v>38</v>
      </c>
      <c r="V3469" s="3" t="s">
        <v>39</v>
      </c>
      <c r="W3469" s="3" t="s">
        <v>17900</v>
      </c>
      <c r="X3469" s="10" t="s">
        <v>17901</v>
      </c>
      <c r="Y3469" s="6" t="s">
        <v>108</v>
      </c>
      <c r="Z3469" s="4">
        <v>2.03</v>
      </c>
      <c r="AA3469" s="4">
        <v>8.07</v>
      </c>
      <c r="AB3469" s="3" t="s">
        <v>56</v>
      </c>
      <c r="AC3469" s="3" t="s">
        <v>17902</v>
      </c>
      <c r="AD3469" s="9">
        <v>44187</v>
      </c>
      <c r="AE3469" s="3" t="s">
        <v>110</v>
      </c>
      <c r="AF3469" s="3" t="s">
        <v>17903</v>
      </c>
      <c r="AG3469" s="3" t="s">
        <v>81</v>
      </c>
      <c r="AH3469" s="11">
        <f>HYPERLINK("https://my.pitchbook.com?c=181932-04T","View Company Online")</f>
      </c>
    </row>
    <row r="3470">
      <c r="A3470" s="12" t="s">
        <v>17904</v>
      </c>
      <c r="B3470" s="12" t="s">
        <v>17905</v>
      </c>
      <c r="C3470" s="19" t="s">
        <v>36</v>
      </c>
      <c r="D3470" s="19" t="s">
        <v>36</v>
      </c>
      <c r="E3470" s="19" t="s">
        <v>36</v>
      </c>
      <c r="F3470" s="19" t="s">
        <v>36</v>
      </c>
      <c r="G3470" s="15" t="s">
        <v>36</v>
      </c>
      <c r="H3470" s="14" t="s">
        <v>36</v>
      </c>
      <c r="I3470" s="18" t="s">
        <v>36</v>
      </c>
      <c r="J3470" s="12" t="s">
        <v>36</v>
      </c>
      <c r="K3470" s="13" t="s">
        <v>36</v>
      </c>
      <c r="L3470" s="15" t="s">
        <v>36</v>
      </c>
      <c r="M3470" s="12" t="s">
        <v>36</v>
      </c>
      <c r="N3470" s="12" t="s">
        <v>36</v>
      </c>
      <c r="O3470" s="17" t="s">
        <v>36</v>
      </c>
      <c r="P3470" s="12" t="s">
        <v>36</v>
      </c>
      <c r="Q3470" s="12" t="s">
        <v>36</v>
      </c>
      <c r="R3470" s="12" t="s">
        <v>36</v>
      </c>
      <c r="S3470" s="12" t="s">
        <v>36</v>
      </c>
      <c r="T3470" s="12" t="s">
        <v>522</v>
      </c>
      <c r="U3470" s="12" t="s">
        <v>38</v>
      </c>
      <c r="V3470" s="12" t="s">
        <v>39</v>
      </c>
      <c r="W3470" s="12" t="s">
        <v>17906</v>
      </c>
      <c r="X3470" s="16" t="s">
        <v>17907</v>
      </c>
      <c r="Y3470" s="15" t="s">
        <v>42</v>
      </c>
      <c r="Z3470" s="14">
        <v>0.02</v>
      </c>
      <c r="AA3470" s="14" t="s">
        <v>36</v>
      </c>
      <c r="AB3470" s="12" t="s">
        <v>56</v>
      </c>
      <c r="AC3470" s="12" t="s">
        <v>17908</v>
      </c>
      <c r="AD3470" s="13">
        <v>44187</v>
      </c>
      <c r="AE3470" s="12" t="s">
        <v>110</v>
      </c>
      <c r="AF3470" s="12" t="s">
        <v>1401</v>
      </c>
      <c r="AG3470" s="12" t="s">
        <v>1978</v>
      </c>
      <c r="AH3470" s="1">
        <f>HYPERLINK("https://my.pitchbook.com?c=179809-48T","View Company Online")</f>
      </c>
    </row>
    <row r="3471">
      <c r="A3471" s="3" t="s">
        <v>17909</v>
      </c>
      <c r="B3471" s="3" t="s">
        <v>17910</v>
      </c>
      <c r="C3471" s="5" t="s">
        <v>36</v>
      </c>
      <c r="D3471" s="5" t="s">
        <v>36</v>
      </c>
      <c r="E3471" s="5" t="s">
        <v>36</v>
      </c>
      <c r="F3471" s="5" t="s">
        <v>36</v>
      </c>
      <c r="G3471" s="6" t="s">
        <v>36</v>
      </c>
      <c r="H3471" s="4">
        <v>1744.36</v>
      </c>
      <c r="I3471" s="7">
        <v>23.22</v>
      </c>
      <c r="J3471" s="3" t="s">
        <v>521</v>
      </c>
      <c r="K3471" s="9" t="s">
        <v>36</v>
      </c>
      <c r="L3471" s="6" t="s">
        <v>36</v>
      </c>
      <c r="M3471" s="3" t="s">
        <v>36</v>
      </c>
      <c r="N3471" s="3" t="s">
        <v>36</v>
      </c>
      <c r="O3471" s="8" t="s">
        <v>36</v>
      </c>
      <c r="P3471" s="3" t="s">
        <v>36</v>
      </c>
      <c r="Q3471" s="3" t="s">
        <v>36</v>
      </c>
      <c r="R3471" s="3" t="s">
        <v>36</v>
      </c>
      <c r="S3471" s="3" t="s">
        <v>36</v>
      </c>
      <c r="T3471" s="3" t="s">
        <v>17911</v>
      </c>
      <c r="U3471" s="3" t="s">
        <v>279</v>
      </c>
      <c r="V3471" s="3" t="s">
        <v>64</v>
      </c>
      <c r="W3471" s="3" t="s">
        <v>17912</v>
      </c>
      <c r="X3471" s="10" t="s">
        <v>17913</v>
      </c>
      <c r="Y3471" s="6" t="s">
        <v>42</v>
      </c>
      <c r="Z3471" s="4">
        <v>1.57</v>
      </c>
      <c r="AA3471" s="4">
        <v>6.76</v>
      </c>
      <c r="AB3471" s="3" t="s">
        <v>43</v>
      </c>
      <c r="AC3471" s="3" t="s">
        <v>17914</v>
      </c>
      <c r="AD3471" s="9">
        <v>44186</v>
      </c>
      <c r="AE3471" s="3" t="s">
        <v>283</v>
      </c>
      <c r="AF3471" s="3" t="s">
        <v>17915</v>
      </c>
      <c r="AG3471" s="3" t="s">
        <v>1276</v>
      </c>
      <c r="AH3471" s="11">
        <f>HYPERLINK("https://my.pitchbook.com?c=165222-10T","View Company Online")</f>
      </c>
    </row>
    <row r="3472">
      <c r="A3472" s="12" t="s">
        <v>17916</v>
      </c>
      <c r="B3472" s="12" t="s">
        <v>6342</v>
      </c>
      <c r="C3472" s="19">
        <v>6</v>
      </c>
      <c r="D3472" s="19">
        <v>33</v>
      </c>
      <c r="E3472" s="19">
        <v>13</v>
      </c>
      <c r="F3472" s="19">
        <v>42</v>
      </c>
      <c r="G3472" s="15" t="s">
        <v>326</v>
      </c>
      <c r="H3472" s="14">
        <v>40.54</v>
      </c>
      <c r="I3472" s="18">
        <v>12.03</v>
      </c>
      <c r="J3472" s="12" t="s">
        <v>521</v>
      </c>
      <c r="K3472" s="13" t="s">
        <v>36</v>
      </c>
      <c r="L3472" s="15" t="s">
        <v>36</v>
      </c>
      <c r="M3472" s="12" t="s">
        <v>36</v>
      </c>
      <c r="N3472" s="12" t="s">
        <v>36</v>
      </c>
      <c r="O3472" s="17" t="s">
        <v>36</v>
      </c>
      <c r="P3472" s="12" t="s">
        <v>36</v>
      </c>
      <c r="Q3472" s="12" t="s">
        <v>36</v>
      </c>
      <c r="R3472" s="12" t="s">
        <v>36</v>
      </c>
      <c r="S3472" s="12" t="s">
        <v>36</v>
      </c>
      <c r="T3472" s="12" t="s">
        <v>6343</v>
      </c>
      <c r="U3472" s="12" t="s">
        <v>318</v>
      </c>
      <c r="V3472" s="12" t="s">
        <v>39</v>
      </c>
      <c r="W3472" s="12" t="s">
        <v>6344</v>
      </c>
      <c r="X3472" s="16" t="s">
        <v>17917</v>
      </c>
      <c r="Y3472" s="15" t="s">
        <v>108</v>
      </c>
      <c r="Z3472" s="14">
        <v>4.39</v>
      </c>
      <c r="AA3472" s="14">
        <v>32.5</v>
      </c>
      <c r="AB3472" s="12" t="s">
        <v>56</v>
      </c>
      <c r="AC3472" s="12" t="s">
        <v>6346</v>
      </c>
      <c r="AD3472" s="13">
        <v>44186</v>
      </c>
      <c r="AE3472" s="12" t="s">
        <v>323</v>
      </c>
      <c r="AF3472" s="12" t="s">
        <v>6347</v>
      </c>
      <c r="AG3472" s="12" t="s">
        <v>969</v>
      </c>
      <c r="AH3472" s="1">
        <f>HYPERLINK("https://my.pitchbook.com?c=181821-88T","View Company Online")</f>
      </c>
    </row>
    <row r="3473">
      <c r="A3473" s="3" t="s">
        <v>17918</v>
      </c>
      <c r="B3473" s="3" t="s">
        <v>17919</v>
      </c>
      <c r="C3473" s="5">
        <v>8</v>
      </c>
      <c r="D3473" s="5">
        <v>9</v>
      </c>
      <c r="E3473" s="5">
        <v>7</v>
      </c>
      <c r="F3473" s="5">
        <v>17</v>
      </c>
      <c r="G3473" s="6" t="s">
        <v>326</v>
      </c>
      <c r="H3473" s="4">
        <v>114.67</v>
      </c>
      <c r="I3473" s="7">
        <v>27.76</v>
      </c>
      <c r="J3473" s="3" t="s">
        <v>521</v>
      </c>
      <c r="K3473" s="9">
        <v>43861</v>
      </c>
      <c r="L3473" s="6" t="s">
        <v>36</v>
      </c>
      <c r="M3473" s="3" t="s">
        <v>36</v>
      </c>
      <c r="N3473" s="3" t="s">
        <v>36</v>
      </c>
      <c r="O3473" s="8" t="s">
        <v>36</v>
      </c>
      <c r="P3473" s="3" t="s">
        <v>36</v>
      </c>
      <c r="Q3473" s="3" t="s">
        <v>36</v>
      </c>
      <c r="R3473" s="3" t="s">
        <v>36</v>
      </c>
      <c r="S3473" s="3" t="s">
        <v>36</v>
      </c>
      <c r="T3473" s="3" t="s">
        <v>3790</v>
      </c>
      <c r="U3473" s="3" t="s">
        <v>318</v>
      </c>
      <c r="V3473" s="3" t="s">
        <v>39</v>
      </c>
      <c r="W3473" s="3" t="s">
        <v>17920</v>
      </c>
      <c r="X3473" s="10" t="s">
        <v>17921</v>
      </c>
      <c r="Y3473" s="6" t="s">
        <v>108</v>
      </c>
      <c r="Z3473" s="4">
        <v>3.01</v>
      </c>
      <c r="AA3473" s="4">
        <v>8.76</v>
      </c>
      <c r="AB3473" s="3" t="s">
        <v>43</v>
      </c>
      <c r="AC3473" s="3" t="s">
        <v>17922</v>
      </c>
      <c r="AD3473" s="9">
        <v>44185</v>
      </c>
      <c r="AE3473" s="3" t="s">
        <v>763</v>
      </c>
      <c r="AF3473" s="3" t="s">
        <v>4477</v>
      </c>
      <c r="AG3473" s="3" t="s">
        <v>3288</v>
      </c>
      <c r="AH3473" s="11">
        <f>HYPERLINK("https://my.pitchbook.com?c=131216-59T","View Company Online")</f>
      </c>
    </row>
    <row r="3474">
      <c r="A3474" s="12" t="s">
        <v>17923</v>
      </c>
      <c r="B3474" s="12" t="s">
        <v>17924</v>
      </c>
      <c r="C3474" s="19" t="s">
        <v>36</v>
      </c>
      <c r="D3474" s="19" t="s">
        <v>36</v>
      </c>
      <c r="E3474" s="19" t="s">
        <v>36</v>
      </c>
      <c r="F3474" s="19" t="s">
        <v>36</v>
      </c>
      <c r="G3474" s="15" t="s">
        <v>683</v>
      </c>
      <c r="H3474" s="14">
        <v>92.6</v>
      </c>
      <c r="I3474" s="18">
        <v>33.04</v>
      </c>
      <c r="J3474" s="12" t="s">
        <v>521</v>
      </c>
      <c r="K3474" s="13" t="s">
        <v>36</v>
      </c>
      <c r="L3474" s="15" t="s">
        <v>36</v>
      </c>
      <c r="M3474" s="12" t="s">
        <v>36</v>
      </c>
      <c r="N3474" s="12" t="s">
        <v>36</v>
      </c>
      <c r="O3474" s="17" t="s">
        <v>36</v>
      </c>
      <c r="P3474" s="12" t="s">
        <v>36</v>
      </c>
      <c r="Q3474" s="12" t="s">
        <v>36</v>
      </c>
      <c r="R3474" s="12" t="s">
        <v>36</v>
      </c>
      <c r="S3474" s="12" t="s">
        <v>36</v>
      </c>
      <c r="T3474" s="12" t="s">
        <v>3545</v>
      </c>
      <c r="U3474" s="12" t="s">
        <v>38</v>
      </c>
      <c r="V3474" s="12" t="s">
        <v>39</v>
      </c>
      <c r="W3474" s="12" t="s">
        <v>17925</v>
      </c>
      <c r="X3474" s="16" t="s">
        <v>6572</v>
      </c>
      <c r="Y3474" s="15" t="s">
        <v>166</v>
      </c>
      <c r="Z3474" s="14">
        <v>1.73</v>
      </c>
      <c r="AA3474" s="14">
        <v>5.22</v>
      </c>
      <c r="AB3474" s="12" t="s">
        <v>56</v>
      </c>
      <c r="AC3474" s="12" t="s">
        <v>17926</v>
      </c>
      <c r="AD3474" s="13">
        <v>44185</v>
      </c>
      <c r="AE3474" s="12" t="s">
        <v>1945</v>
      </c>
      <c r="AF3474" s="12" t="s">
        <v>36</v>
      </c>
      <c r="AG3474" s="12" t="s">
        <v>741</v>
      </c>
      <c r="AH3474" s="1">
        <f>HYPERLINK("https://my.pitchbook.com?c=181712-62T","View Company Online")</f>
      </c>
    </row>
    <row r="3475">
      <c r="A3475" s="3" t="s">
        <v>17927</v>
      </c>
      <c r="B3475" s="3" t="s">
        <v>7709</v>
      </c>
      <c r="C3475" s="5" t="s">
        <v>36</v>
      </c>
      <c r="D3475" s="5" t="s">
        <v>36</v>
      </c>
      <c r="E3475" s="5" t="s">
        <v>36</v>
      </c>
      <c r="F3475" s="5" t="s">
        <v>36</v>
      </c>
      <c r="G3475" s="6" t="s">
        <v>36</v>
      </c>
      <c r="H3475" s="4">
        <v>233.93</v>
      </c>
      <c r="I3475" s="7">
        <v>21.47</v>
      </c>
      <c r="J3475" s="3" t="s">
        <v>521</v>
      </c>
      <c r="K3475" s="9">
        <v>43831</v>
      </c>
      <c r="L3475" s="6" t="s">
        <v>36</v>
      </c>
      <c r="M3475" s="3" t="s">
        <v>36</v>
      </c>
      <c r="N3475" s="3" t="s">
        <v>36</v>
      </c>
      <c r="O3475" s="8" t="s">
        <v>36</v>
      </c>
      <c r="P3475" s="3" t="s">
        <v>36</v>
      </c>
      <c r="Q3475" s="3" t="s">
        <v>36</v>
      </c>
      <c r="R3475" s="3" t="s">
        <v>36</v>
      </c>
      <c r="S3475" s="3" t="s">
        <v>36</v>
      </c>
      <c r="T3475" s="3" t="s">
        <v>1560</v>
      </c>
      <c r="U3475" s="3" t="s">
        <v>438</v>
      </c>
      <c r="V3475" s="3" t="s">
        <v>405</v>
      </c>
      <c r="W3475" s="3" t="s">
        <v>7710</v>
      </c>
      <c r="X3475" s="10" t="s">
        <v>17928</v>
      </c>
      <c r="Y3475" s="6" t="s">
        <v>55</v>
      </c>
      <c r="Z3475" s="4">
        <v>4.83</v>
      </c>
      <c r="AA3475" s="4">
        <v>22.48</v>
      </c>
      <c r="AB3475" s="3" t="s">
        <v>56</v>
      </c>
      <c r="AC3475" s="3" t="s">
        <v>7712</v>
      </c>
      <c r="AD3475" s="9">
        <v>44183</v>
      </c>
      <c r="AE3475" s="3" t="s">
        <v>438</v>
      </c>
      <c r="AF3475" s="3" t="s">
        <v>799</v>
      </c>
      <c r="AG3475" s="3" t="s">
        <v>81</v>
      </c>
      <c r="AH3475" s="11">
        <f>HYPERLINK("https://my.pitchbook.com?c=161212-87T","View Company Online")</f>
      </c>
    </row>
    <row r="3476">
      <c r="A3476" s="12" t="s">
        <v>17929</v>
      </c>
      <c r="B3476" s="12" t="s">
        <v>17930</v>
      </c>
      <c r="C3476" s="19" t="s">
        <v>36</v>
      </c>
      <c r="D3476" s="19" t="s">
        <v>36</v>
      </c>
      <c r="E3476" s="19" t="s">
        <v>36</v>
      </c>
      <c r="F3476" s="19" t="s">
        <v>36</v>
      </c>
      <c r="G3476" s="15" t="s">
        <v>36</v>
      </c>
      <c r="H3476" s="14" t="s">
        <v>36</v>
      </c>
      <c r="I3476" s="18" t="s">
        <v>36</v>
      </c>
      <c r="J3476" s="12" t="s">
        <v>36</v>
      </c>
      <c r="K3476" s="13" t="s">
        <v>36</v>
      </c>
      <c r="L3476" s="15" t="s">
        <v>36</v>
      </c>
      <c r="M3476" s="12" t="s">
        <v>36</v>
      </c>
      <c r="N3476" s="12" t="s">
        <v>36</v>
      </c>
      <c r="O3476" s="17" t="s">
        <v>36</v>
      </c>
      <c r="P3476" s="12" t="s">
        <v>36</v>
      </c>
      <c r="Q3476" s="12" t="s">
        <v>36</v>
      </c>
      <c r="R3476" s="12" t="s">
        <v>36</v>
      </c>
      <c r="S3476" s="12" t="s">
        <v>36</v>
      </c>
      <c r="T3476" s="12" t="s">
        <v>522</v>
      </c>
      <c r="U3476" s="12" t="s">
        <v>38</v>
      </c>
      <c r="V3476" s="12" t="s">
        <v>39</v>
      </c>
      <c r="W3476" s="12" t="s">
        <v>17931</v>
      </c>
      <c r="X3476" s="16" t="s">
        <v>17932</v>
      </c>
      <c r="Y3476" s="15" t="s">
        <v>42</v>
      </c>
      <c r="Z3476" s="14">
        <v>0.6</v>
      </c>
      <c r="AA3476" s="14" t="s">
        <v>36</v>
      </c>
      <c r="AB3476" s="12" t="s">
        <v>43</v>
      </c>
      <c r="AC3476" s="12" t="s">
        <v>17933</v>
      </c>
      <c r="AD3476" s="13">
        <v>44183</v>
      </c>
      <c r="AE3476" s="12" t="s">
        <v>110</v>
      </c>
      <c r="AF3476" s="12" t="s">
        <v>176</v>
      </c>
      <c r="AG3476" s="12" t="s">
        <v>81</v>
      </c>
      <c r="AH3476" s="1">
        <f>HYPERLINK("https://my.pitchbook.com?c=167686-39T","View Company Online")</f>
      </c>
    </row>
    <row r="3477">
      <c r="A3477" s="3" t="s">
        <v>17934</v>
      </c>
      <c r="B3477" s="3" t="s">
        <v>17935</v>
      </c>
      <c r="C3477" s="5" t="s">
        <v>36</v>
      </c>
      <c r="D3477" s="5" t="s">
        <v>36</v>
      </c>
      <c r="E3477" s="5" t="s">
        <v>36</v>
      </c>
      <c r="F3477" s="5" t="s">
        <v>36</v>
      </c>
      <c r="G3477" s="6" t="s">
        <v>36</v>
      </c>
      <c r="H3477" s="4">
        <v>5.19</v>
      </c>
      <c r="I3477" s="7">
        <v>43.18</v>
      </c>
      <c r="J3477" s="3" t="s">
        <v>521</v>
      </c>
      <c r="K3477" s="9" t="s">
        <v>36</v>
      </c>
      <c r="L3477" s="6" t="s">
        <v>36</v>
      </c>
      <c r="M3477" s="3" t="s">
        <v>36</v>
      </c>
      <c r="N3477" s="3" t="s">
        <v>36</v>
      </c>
      <c r="O3477" s="8" t="s">
        <v>36</v>
      </c>
      <c r="P3477" s="3" t="s">
        <v>36</v>
      </c>
      <c r="Q3477" s="3" t="s">
        <v>36</v>
      </c>
      <c r="R3477" s="3" t="s">
        <v>36</v>
      </c>
      <c r="S3477" s="3" t="s">
        <v>36</v>
      </c>
      <c r="T3477" s="3" t="s">
        <v>881</v>
      </c>
      <c r="U3477" s="3" t="s">
        <v>51</v>
      </c>
      <c r="V3477" s="3" t="s">
        <v>52</v>
      </c>
      <c r="W3477" s="3" t="s">
        <v>17936</v>
      </c>
      <c r="X3477" s="10" t="s">
        <v>17937</v>
      </c>
      <c r="Y3477" s="6" t="s">
        <v>42</v>
      </c>
      <c r="Z3477" s="4">
        <v>2.41</v>
      </c>
      <c r="AA3477" s="4">
        <v>4.23</v>
      </c>
      <c r="AB3477" s="3" t="s">
        <v>56</v>
      </c>
      <c r="AC3477" s="3" t="s">
        <v>17938</v>
      </c>
      <c r="AD3477" s="9">
        <v>44183</v>
      </c>
      <c r="AE3477" s="3" t="s">
        <v>504</v>
      </c>
      <c r="AF3477" s="3" t="s">
        <v>665</v>
      </c>
      <c r="AG3477" s="3" t="s">
        <v>899</v>
      </c>
      <c r="AH3477" s="11">
        <f>HYPERLINK("https://my.pitchbook.com?c=175500-46T","View Company Online")</f>
      </c>
    </row>
    <row r="3478">
      <c r="A3478" s="12" t="s">
        <v>17939</v>
      </c>
      <c r="B3478" s="12" t="s">
        <v>11333</v>
      </c>
      <c r="C3478" s="19" t="s">
        <v>36</v>
      </c>
      <c r="D3478" s="19" t="s">
        <v>36</v>
      </c>
      <c r="E3478" s="19" t="s">
        <v>36</v>
      </c>
      <c r="F3478" s="19" t="s">
        <v>36</v>
      </c>
      <c r="G3478" s="15" t="s">
        <v>36</v>
      </c>
      <c r="H3478" s="14">
        <v>519.28</v>
      </c>
      <c r="I3478" s="18">
        <v>18.6</v>
      </c>
      <c r="J3478" s="12" t="s">
        <v>521</v>
      </c>
      <c r="K3478" s="13" t="s">
        <v>36</v>
      </c>
      <c r="L3478" s="15" t="s">
        <v>36</v>
      </c>
      <c r="M3478" s="12" t="s">
        <v>36</v>
      </c>
      <c r="N3478" s="12" t="s">
        <v>36</v>
      </c>
      <c r="O3478" s="17" t="s">
        <v>36</v>
      </c>
      <c r="P3478" s="12" t="s">
        <v>36</v>
      </c>
      <c r="Q3478" s="12" t="s">
        <v>36</v>
      </c>
      <c r="R3478" s="12" t="s">
        <v>36</v>
      </c>
      <c r="S3478" s="12" t="s">
        <v>36</v>
      </c>
      <c r="T3478" s="12" t="s">
        <v>11334</v>
      </c>
      <c r="U3478" s="12" t="s">
        <v>38</v>
      </c>
      <c r="V3478" s="12" t="s">
        <v>39</v>
      </c>
      <c r="W3478" s="12" t="s">
        <v>11335</v>
      </c>
      <c r="X3478" s="16" t="s">
        <v>17940</v>
      </c>
      <c r="Y3478" s="15" t="s">
        <v>321</v>
      </c>
      <c r="Z3478" s="14">
        <v>4.81</v>
      </c>
      <c r="AA3478" s="14">
        <v>25.86</v>
      </c>
      <c r="AB3478" s="12" t="s">
        <v>43</v>
      </c>
      <c r="AC3478" s="12" t="s">
        <v>11337</v>
      </c>
      <c r="AD3478" s="13">
        <v>44183</v>
      </c>
      <c r="AE3478" s="12" t="s">
        <v>45</v>
      </c>
      <c r="AF3478" s="12" t="s">
        <v>1852</v>
      </c>
      <c r="AG3478" s="12" t="s">
        <v>81</v>
      </c>
      <c r="AH3478" s="1">
        <f>HYPERLINK("https://my.pitchbook.com?c=170519-95T","View Company Online")</f>
      </c>
    </row>
    <row r="3479">
      <c r="A3479" s="3" t="s">
        <v>17941</v>
      </c>
      <c r="B3479" s="3" t="s">
        <v>17942</v>
      </c>
      <c r="C3479" s="5" t="s">
        <v>36</v>
      </c>
      <c r="D3479" s="5" t="s">
        <v>36</v>
      </c>
      <c r="E3479" s="5" t="s">
        <v>36</v>
      </c>
      <c r="F3479" s="5" t="s">
        <v>36</v>
      </c>
      <c r="G3479" s="6" t="s">
        <v>36</v>
      </c>
      <c r="H3479" s="4">
        <v>104.57</v>
      </c>
      <c r="I3479" s="7">
        <v>8.2</v>
      </c>
      <c r="J3479" s="3" t="s">
        <v>521</v>
      </c>
      <c r="K3479" s="9" t="s">
        <v>36</v>
      </c>
      <c r="L3479" s="6" t="s">
        <v>36</v>
      </c>
      <c r="M3479" s="3" t="s">
        <v>36</v>
      </c>
      <c r="N3479" s="3" t="s">
        <v>36</v>
      </c>
      <c r="O3479" s="8" t="s">
        <v>36</v>
      </c>
      <c r="P3479" s="3" t="s">
        <v>36</v>
      </c>
      <c r="Q3479" s="3" t="s">
        <v>36</v>
      </c>
      <c r="R3479" s="3" t="s">
        <v>36</v>
      </c>
      <c r="S3479" s="3" t="s">
        <v>36</v>
      </c>
      <c r="T3479" s="3" t="s">
        <v>17943</v>
      </c>
      <c r="U3479" s="3" t="s">
        <v>219</v>
      </c>
      <c r="V3479" s="3" t="s">
        <v>75</v>
      </c>
      <c r="W3479" s="3" t="s">
        <v>17944</v>
      </c>
      <c r="X3479" s="10" t="s">
        <v>11579</v>
      </c>
      <c r="Y3479" s="6" t="s">
        <v>42</v>
      </c>
      <c r="Z3479" s="4">
        <v>1.33</v>
      </c>
      <c r="AA3479" s="4">
        <v>16.21</v>
      </c>
      <c r="AB3479" s="3" t="s">
        <v>56</v>
      </c>
      <c r="AC3479" s="3" t="s">
        <v>17945</v>
      </c>
      <c r="AD3479" s="9">
        <v>44183</v>
      </c>
      <c r="AE3479" s="3" t="s">
        <v>1912</v>
      </c>
      <c r="AF3479" s="3" t="s">
        <v>36</v>
      </c>
      <c r="AG3479" s="3" t="s">
        <v>17946</v>
      </c>
      <c r="AH3479" s="11">
        <f>HYPERLINK("https://my.pitchbook.com?c=158488-48T","View Company Online")</f>
      </c>
    </row>
    <row r="3480">
      <c r="A3480" s="12" t="s">
        <v>17947</v>
      </c>
      <c r="B3480" s="12" t="s">
        <v>3263</v>
      </c>
      <c r="C3480" s="19">
        <v>10</v>
      </c>
      <c r="D3480" s="19">
        <v>52</v>
      </c>
      <c r="E3480" s="19">
        <v>11</v>
      </c>
      <c r="F3480" s="19">
        <v>62</v>
      </c>
      <c r="G3480" s="15" t="s">
        <v>326</v>
      </c>
      <c r="H3480" s="14">
        <v>3.7</v>
      </c>
      <c r="I3480" s="18">
        <v>55.3</v>
      </c>
      <c r="J3480" s="12" t="s">
        <v>521</v>
      </c>
      <c r="K3480" s="13" t="s">
        <v>36</v>
      </c>
      <c r="L3480" s="15" t="s">
        <v>1279</v>
      </c>
      <c r="M3480" s="12" t="s">
        <v>36</v>
      </c>
      <c r="N3480" s="12" t="s">
        <v>1279</v>
      </c>
      <c r="O3480" s="17" t="s">
        <v>36</v>
      </c>
      <c r="P3480" s="12" t="s">
        <v>36</v>
      </c>
      <c r="Q3480" s="12" t="s">
        <v>36</v>
      </c>
      <c r="R3480" s="12" t="s">
        <v>36</v>
      </c>
      <c r="S3480" s="12" t="s">
        <v>36</v>
      </c>
      <c r="T3480" s="12" t="s">
        <v>3264</v>
      </c>
      <c r="U3480" s="12" t="s">
        <v>96</v>
      </c>
      <c r="V3480" s="12" t="s">
        <v>52</v>
      </c>
      <c r="W3480" s="12" t="s">
        <v>3265</v>
      </c>
      <c r="X3480" s="16" t="s">
        <v>17948</v>
      </c>
      <c r="Y3480" s="15" t="s">
        <v>55</v>
      </c>
      <c r="Z3480" s="14">
        <v>46.17</v>
      </c>
      <c r="AA3480" s="14">
        <v>83.49</v>
      </c>
      <c r="AB3480" s="12" t="s">
        <v>56</v>
      </c>
      <c r="AC3480" s="12" t="s">
        <v>3267</v>
      </c>
      <c r="AD3480" s="13">
        <v>44182</v>
      </c>
      <c r="AE3480" s="12" t="s">
        <v>496</v>
      </c>
      <c r="AF3480" s="12" t="s">
        <v>159</v>
      </c>
      <c r="AG3480" s="12" t="s">
        <v>347</v>
      </c>
      <c r="AH3480" s="1">
        <f>HYPERLINK("https://my.pitchbook.com?c=245221-03T","View Company Online")</f>
      </c>
    </row>
    <row r="3481">
      <c r="A3481" s="3" t="s">
        <v>17949</v>
      </c>
      <c r="B3481" s="3" t="s">
        <v>14461</v>
      </c>
      <c r="C3481" s="5" t="s">
        <v>36</v>
      </c>
      <c r="D3481" s="5" t="s">
        <v>36</v>
      </c>
      <c r="E3481" s="5" t="s">
        <v>36</v>
      </c>
      <c r="F3481" s="5" t="s">
        <v>36</v>
      </c>
      <c r="G3481" s="6" t="s">
        <v>326</v>
      </c>
      <c r="H3481" s="4">
        <v>144.74</v>
      </c>
      <c r="I3481" s="7">
        <v>42.78</v>
      </c>
      <c r="J3481" s="3" t="s">
        <v>521</v>
      </c>
      <c r="K3481" s="9">
        <v>44114</v>
      </c>
      <c r="L3481" s="6" t="s">
        <v>94</v>
      </c>
      <c r="M3481" s="3" t="s">
        <v>36</v>
      </c>
      <c r="N3481" s="3" t="s">
        <v>94</v>
      </c>
      <c r="O3481" s="8" t="s">
        <v>36</v>
      </c>
      <c r="P3481" s="3" t="s">
        <v>36</v>
      </c>
      <c r="Q3481" s="3" t="s">
        <v>36</v>
      </c>
      <c r="R3481" s="3" t="s">
        <v>36</v>
      </c>
      <c r="S3481" s="3" t="s">
        <v>36</v>
      </c>
      <c r="T3481" s="3" t="s">
        <v>2308</v>
      </c>
      <c r="U3481" s="3" t="s">
        <v>38</v>
      </c>
      <c r="V3481" s="3" t="s">
        <v>39</v>
      </c>
      <c r="W3481" s="3" t="s">
        <v>14462</v>
      </c>
      <c r="X3481" s="10" t="s">
        <v>17950</v>
      </c>
      <c r="Y3481" s="6" t="s">
        <v>192</v>
      </c>
      <c r="Z3481" s="4">
        <v>139.83</v>
      </c>
      <c r="AA3481" s="4">
        <v>326.84</v>
      </c>
      <c r="AB3481" s="3" t="s">
        <v>56</v>
      </c>
      <c r="AC3481" s="3" t="s">
        <v>14464</v>
      </c>
      <c r="AD3481" s="9">
        <v>44182</v>
      </c>
      <c r="AE3481" s="3" t="s">
        <v>45</v>
      </c>
      <c r="AF3481" s="3" t="s">
        <v>14465</v>
      </c>
      <c r="AG3481" s="3" t="s">
        <v>81</v>
      </c>
      <c r="AH3481" s="11">
        <f>HYPERLINK("https://my.pitchbook.com?c=129874-15T","View Company Online")</f>
      </c>
    </row>
    <row r="3482">
      <c r="A3482" s="12" t="s">
        <v>17951</v>
      </c>
      <c r="B3482" s="12" t="s">
        <v>17952</v>
      </c>
      <c r="C3482" s="19">
        <v>33</v>
      </c>
      <c r="D3482" s="19">
        <v>45</v>
      </c>
      <c r="E3482" s="19">
        <v>20</v>
      </c>
      <c r="F3482" s="19">
        <v>86</v>
      </c>
      <c r="G3482" s="15" t="s">
        <v>36</v>
      </c>
      <c r="H3482" s="14">
        <v>1131.77</v>
      </c>
      <c r="I3482" s="18">
        <v>19.05</v>
      </c>
      <c r="J3482" s="12" t="s">
        <v>521</v>
      </c>
      <c r="K3482" s="13" t="s">
        <v>36</v>
      </c>
      <c r="L3482" s="15" t="s">
        <v>36</v>
      </c>
      <c r="M3482" s="12" t="s">
        <v>36</v>
      </c>
      <c r="N3482" s="12" t="s">
        <v>36</v>
      </c>
      <c r="O3482" s="17" t="s">
        <v>36</v>
      </c>
      <c r="P3482" s="12" t="s">
        <v>36</v>
      </c>
      <c r="Q3482" s="12" t="s">
        <v>36</v>
      </c>
      <c r="R3482" s="12" t="s">
        <v>36</v>
      </c>
      <c r="S3482" s="12" t="s">
        <v>36</v>
      </c>
      <c r="T3482" s="12" t="s">
        <v>17953</v>
      </c>
      <c r="U3482" s="12" t="s">
        <v>423</v>
      </c>
      <c r="V3482" s="12" t="s">
        <v>64</v>
      </c>
      <c r="W3482" s="12" t="s">
        <v>17954</v>
      </c>
      <c r="X3482" s="16" t="s">
        <v>1840</v>
      </c>
      <c r="Y3482" s="15" t="s">
        <v>108</v>
      </c>
      <c r="Z3482" s="14">
        <v>4.8</v>
      </c>
      <c r="AA3482" s="14">
        <v>25.21</v>
      </c>
      <c r="AB3482" s="12" t="s">
        <v>56</v>
      </c>
      <c r="AC3482" s="12" t="s">
        <v>17955</v>
      </c>
      <c r="AD3482" s="13">
        <v>44181</v>
      </c>
      <c r="AE3482" s="12" t="s">
        <v>562</v>
      </c>
      <c r="AF3482" s="12" t="s">
        <v>1977</v>
      </c>
      <c r="AG3482" s="12" t="s">
        <v>102</v>
      </c>
      <c r="AH3482" s="1">
        <f>HYPERLINK("https://my.pitchbook.com?c=161150-32T","View Company Online")</f>
      </c>
    </row>
    <row r="3483">
      <c r="A3483" s="3" t="s">
        <v>17956</v>
      </c>
      <c r="B3483" s="3" t="s">
        <v>17957</v>
      </c>
      <c r="C3483" s="5" t="s">
        <v>36</v>
      </c>
      <c r="D3483" s="5" t="s">
        <v>36</v>
      </c>
      <c r="E3483" s="5" t="s">
        <v>36</v>
      </c>
      <c r="F3483" s="5" t="s">
        <v>36</v>
      </c>
      <c r="G3483" s="6" t="s">
        <v>326</v>
      </c>
      <c r="H3483" s="4">
        <v>270.03</v>
      </c>
      <c r="I3483" s="7">
        <v>26.65</v>
      </c>
      <c r="J3483" s="3" t="s">
        <v>521</v>
      </c>
      <c r="K3483" s="9" t="s">
        <v>36</v>
      </c>
      <c r="L3483" s="6" t="s">
        <v>36</v>
      </c>
      <c r="M3483" s="3" t="s">
        <v>36</v>
      </c>
      <c r="N3483" s="3" t="s">
        <v>36</v>
      </c>
      <c r="O3483" s="8" t="s">
        <v>36</v>
      </c>
      <c r="P3483" s="3" t="s">
        <v>36</v>
      </c>
      <c r="Q3483" s="3" t="s">
        <v>36</v>
      </c>
      <c r="R3483" s="3" t="s">
        <v>36</v>
      </c>
      <c r="S3483" s="3" t="s">
        <v>36</v>
      </c>
      <c r="T3483" s="3" t="s">
        <v>17958</v>
      </c>
      <c r="U3483" s="3" t="s">
        <v>289</v>
      </c>
      <c r="V3483" s="3" t="s">
        <v>64</v>
      </c>
      <c r="W3483" s="3" t="s">
        <v>17959</v>
      </c>
      <c r="X3483" s="10" t="s">
        <v>13572</v>
      </c>
      <c r="Y3483" s="6" t="s">
        <v>108</v>
      </c>
      <c r="Z3483" s="4">
        <v>1.66</v>
      </c>
      <c r="AA3483" s="4">
        <v>6.21</v>
      </c>
      <c r="AB3483" s="3" t="s">
        <v>56</v>
      </c>
      <c r="AC3483" s="3" t="s">
        <v>17960</v>
      </c>
      <c r="AD3483" s="9">
        <v>44181</v>
      </c>
      <c r="AE3483" s="3" t="s">
        <v>292</v>
      </c>
      <c r="AF3483" s="3" t="s">
        <v>4270</v>
      </c>
      <c r="AG3483" s="3" t="s">
        <v>81</v>
      </c>
      <c r="AH3483" s="11">
        <f>HYPERLINK("https://my.pitchbook.com?c=180774-19T","View Company Online")</f>
      </c>
    </row>
    <row r="3484">
      <c r="A3484" s="12" t="s">
        <v>17961</v>
      </c>
      <c r="B3484" s="12" t="s">
        <v>17962</v>
      </c>
      <c r="C3484" s="19" t="s">
        <v>36</v>
      </c>
      <c r="D3484" s="19" t="s">
        <v>36</v>
      </c>
      <c r="E3484" s="19" t="s">
        <v>36</v>
      </c>
      <c r="F3484" s="19" t="s">
        <v>36</v>
      </c>
      <c r="G3484" s="15" t="s">
        <v>36</v>
      </c>
      <c r="H3484" s="14" t="s">
        <v>36</v>
      </c>
      <c r="I3484" s="18" t="s">
        <v>36</v>
      </c>
      <c r="J3484" s="12" t="s">
        <v>36</v>
      </c>
      <c r="K3484" s="13" t="s">
        <v>36</v>
      </c>
      <c r="L3484" s="15" t="s">
        <v>36</v>
      </c>
      <c r="M3484" s="12" t="s">
        <v>36</v>
      </c>
      <c r="N3484" s="12" t="s">
        <v>36</v>
      </c>
      <c r="O3484" s="17" t="s">
        <v>36</v>
      </c>
      <c r="P3484" s="12" t="s">
        <v>36</v>
      </c>
      <c r="Q3484" s="12" t="s">
        <v>36</v>
      </c>
      <c r="R3484" s="12" t="s">
        <v>36</v>
      </c>
      <c r="S3484" s="12" t="s">
        <v>36</v>
      </c>
      <c r="T3484" s="12" t="s">
        <v>365</v>
      </c>
      <c r="U3484" s="12" t="s">
        <v>366</v>
      </c>
      <c r="V3484" s="12" t="s">
        <v>367</v>
      </c>
      <c r="W3484" s="12" t="s">
        <v>17963</v>
      </c>
      <c r="X3484" s="16" t="s">
        <v>17964</v>
      </c>
      <c r="Y3484" s="15" t="s">
        <v>192</v>
      </c>
      <c r="Z3484" s="14" t="s">
        <v>36</v>
      </c>
      <c r="AA3484" s="14" t="s">
        <v>36</v>
      </c>
      <c r="AB3484" s="12" t="s">
        <v>56</v>
      </c>
      <c r="AC3484" s="12" t="s">
        <v>17965</v>
      </c>
      <c r="AD3484" s="13">
        <v>44181</v>
      </c>
      <c r="AE3484" s="12" t="s">
        <v>371</v>
      </c>
      <c r="AF3484" s="12" t="s">
        <v>982</v>
      </c>
      <c r="AG3484" s="12" t="s">
        <v>17966</v>
      </c>
      <c r="AH3484" s="1">
        <f>HYPERLINK("https://my.pitchbook.com?c=200465-38T","View Company Online")</f>
      </c>
    </row>
    <row r="3485">
      <c r="A3485" s="3" t="s">
        <v>17967</v>
      </c>
      <c r="B3485" s="3" t="s">
        <v>16225</v>
      </c>
      <c r="C3485" s="5">
        <v>25</v>
      </c>
      <c r="D3485" s="5">
        <v>2</v>
      </c>
      <c r="E3485" s="5">
        <v>8</v>
      </c>
      <c r="F3485" s="5">
        <v>27</v>
      </c>
      <c r="G3485" s="6" t="s">
        <v>36</v>
      </c>
      <c r="H3485" s="4" t="s">
        <v>36</v>
      </c>
      <c r="I3485" s="7" t="s">
        <v>36</v>
      </c>
      <c r="J3485" s="3" t="s">
        <v>36</v>
      </c>
      <c r="K3485" s="9" t="s">
        <v>36</v>
      </c>
      <c r="L3485" s="6" t="s">
        <v>36</v>
      </c>
      <c r="M3485" s="3" t="s">
        <v>36</v>
      </c>
      <c r="N3485" s="3" t="s">
        <v>36</v>
      </c>
      <c r="O3485" s="8" t="s">
        <v>36</v>
      </c>
      <c r="P3485" s="3" t="s">
        <v>36</v>
      </c>
      <c r="Q3485" s="3" t="s">
        <v>36</v>
      </c>
      <c r="R3485" s="3" t="s">
        <v>36</v>
      </c>
      <c r="S3485" s="3" t="s">
        <v>36</v>
      </c>
      <c r="T3485" s="3" t="s">
        <v>881</v>
      </c>
      <c r="U3485" s="3" t="s">
        <v>51</v>
      </c>
      <c r="V3485" s="3" t="s">
        <v>52</v>
      </c>
      <c r="W3485" s="3" t="s">
        <v>16226</v>
      </c>
      <c r="X3485" s="10" t="s">
        <v>17968</v>
      </c>
      <c r="Y3485" s="6" t="s">
        <v>108</v>
      </c>
      <c r="Z3485" s="4" t="s">
        <v>36</v>
      </c>
      <c r="AA3485" s="4" t="s">
        <v>36</v>
      </c>
      <c r="AB3485" s="3" t="s">
        <v>43</v>
      </c>
      <c r="AC3485" s="3" t="s">
        <v>16228</v>
      </c>
      <c r="AD3485" s="9">
        <v>44181</v>
      </c>
      <c r="AE3485" s="3" t="s">
        <v>504</v>
      </c>
      <c r="AF3485" s="3" t="s">
        <v>665</v>
      </c>
      <c r="AG3485" s="3" t="s">
        <v>81</v>
      </c>
      <c r="AH3485" s="11">
        <f>HYPERLINK("https://my.pitchbook.com?c=170808-67T","View Company Online")</f>
      </c>
    </row>
    <row r="3486">
      <c r="A3486" s="12" t="s">
        <v>17969</v>
      </c>
      <c r="B3486" s="12" t="s">
        <v>12077</v>
      </c>
      <c r="C3486" s="19" t="s">
        <v>36</v>
      </c>
      <c r="D3486" s="19" t="s">
        <v>36</v>
      </c>
      <c r="E3486" s="19" t="s">
        <v>36</v>
      </c>
      <c r="F3486" s="19" t="s">
        <v>36</v>
      </c>
      <c r="G3486" s="15" t="s">
        <v>36</v>
      </c>
      <c r="H3486" s="14" t="s">
        <v>36</v>
      </c>
      <c r="I3486" s="18" t="s">
        <v>36</v>
      </c>
      <c r="J3486" s="12" t="s">
        <v>36</v>
      </c>
      <c r="K3486" s="13" t="s">
        <v>36</v>
      </c>
      <c r="L3486" s="15" t="s">
        <v>36</v>
      </c>
      <c r="M3486" s="12" t="s">
        <v>36</v>
      </c>
      <c r="N3486" s="12" t="s">
        <v>36</v>
      </c>
      <c r="O3486" s="17" t="s">
        <v>36</v>
      </c>
      <c r="P3486" s="12" t="s">
        <v>36</v>
      </c>
      <c r="Q3486" s="12" t="s">
        <v>36</v>
      </c>
      <c r="R3486" s="12" t="s">
        <v>36</v>
      </c>
      <c r="S3486" s="12" t="s">
        <v>36</v>
      </c>
      <c r="T3486" s="12" t="s">
        <v>5377</v>
      </c>
      <c r="U3486" s="12" t="s">
        <v>38</v>
      </c>
      <c r="V3486" s="12" t="s">
        <v>39</v>
      </c>
      <c r="W3486" s="12" t="s">
        <v>12078</v>
      </c>
      <c r="X3486" s="16" t="s">
        <v>17970</v>
      </c>
      <c r="Y3486" s="15" t="s">
        <v>108</v>
      </c>
      <c r="Z3486" s="14" t="s">
        <v>36</v>
      </c>
      <c r="AA3486" s="14" t="s">
        <v>36</v>
      </c>
      <c r="AB3486" s="12" t="s">
        <v>56</v>
      </c>
      <c r="AC3486" s="12" t="s">
        <v>12080</v>
      </c>
      <c r="AD3486" s="13">
        <v>44180</v>
      </c>
      <c r="AE3486" s="12" t="s">
        <v>1200</v>
      </c>
      <c r="AF3486" s="12" t="s">
        <v>36</v>
      </c>
      <c r="AG3486" s="12" t="s">
        <v>81</v>
      </c>
      <c r="AH3486" s="1">
        <f>HYPERLINK("https://my.pitchbook.com?c=226022-50T","View Company Online")</f>
      </c>
    </row>
    <row r="3487">
      <c r="A3487" s="3" t="s">
        <v>17971</v>
      </c>
      <c r="B3487" s="3" t="s">
        <v>4996</v>
      </c>
      <c r="C3487" s="5">
        <v>1</v>
      </c>
      <c r="D3487" s="5">
        <v>4</v>
      </c>
      <c r="E3487" s="5">
        <v>1</v>
      </c>
      <c r="F3487" s="5">
        <v>5</v>
      </c>
      <c r="G3487" s="6" t="s">
        <v>326</v>
      </c>
      <c r="H3487" s="4">
        <v>217.06</v>
      </c>
      <c r="I3487" s="7">
        <v>46.04</v>
      </c>
      <c r="J3487" s="3" t="s">
        <v>521</v>
      </c>
      <c r="K3487" s="9" t="s">
        <v>36</v>
      </c>
      <c r="L3487" s="6" t="s">
        <v>36</v>
      </c>
      <c r="M3487" s="3" t="s">
        <v>36</v>
      </c>
      <c r="N3487" s="3" t="s">
        <v>36</v>
      </c>
      <c r="O3487" s="8" t="s">
        <v>36</v>
      </c>
      <c r="P3487" s="3" t="s">
        <v>36</v>
      </c>
      <c r="Q3487" s="3" t="s">
        <v>36</v>
      </c>
      <c r="R3487" s="3" t="s">
        <v>36</v>
      </c>
      <c r="S3487" s="3" t="s">
        <v>36</v>
      </c>
      <c r="T3487" s="3" t="s">
        <v>4997</v>
      </c>
      <c r="U3487" s="3" t="s">
        <v>38</v>
      </c>
      <c r="V3487" s="3" t="s">
        <v>39</v>
      </c>
      <c r="W3487" s="3" t="s">
        <v>4998</v>
      </c>
      <c r="X3487" s="10" t="s">
        <v>17972</v>
      </c>
      <c r="Y3487" s="6" t="s">
        <v>108</v>
      </c>
      <c r="Z3487" s="4">
        <v>3.11</v>
      </c>
      <c r="AA3487" s="4">
        <v>6.76</v>
      </c>
      <c r="AB3487" s="3" t="s">
        <v>43</v>
      </c>
      <c r="AC3487" s="3" t="s">
        <v>5000</v>
      </c>
      <c r="AD3487" s="9">
        <v>44180</v>
      </c>
      <c r="AE3487" s="3" t="s">
        <v>1945</v>
      </c>
      <c r="AF3487" s="3" t="s">
        <v>5001</v>
      </c>
      <c r="AG3487" s="3" t="s">
        <v>81</v>
      </c>
      <c r="AH3487" s="11">
        <f>HYPERLINK("https://my.pitchbook.com?c=167581-63T","View Company Online")</f>
      </c>
    </row>
    <row r="3488">
      <c r="A3488" s="12" t="s">
        <v>17973</v>
      </c>
      <c r="B3488" s="12" t="s">
        <v>12116</v>
      </c>
      <c r="C3488" s="19" t="s">
        <v>36</v>
      </c>
      <c r="D3488" s="19" t="s">
        <v>36</v>
      </c>
      <c r="E3488" s="19" t="s">
        <v>36</v>
      </c>
      <c r="F3488" s="19" t="s">
        <v>36</v>
      </c>
      <c r="G3488" s="15" t="s">
        <v>36</v>
      </c>
      <c r="H3488" s="14" t="s">
        <v>36</v>
      </c>
      <c r="I3488" s="18" t="s">
        <v>36</v>
      </c>
      <c r="J3488" s="12" t="s">
        <v>36</v>
      </c>
      <c r="K3488" s="13" t="s">
        <v>36</v>
      </c>
      <c r="L3488" s="15" t="s">
        <v>36</v>
      </c>
      <c r="M3488" s="12" t="s">
        <v>36</v>
      </c>
      <c r="N3488" s="12" t="s">
        <v>36</v>
      </c>
      <c r="O3488" s="17" t="s">
        <v>36</v>
      </c>
      <c r="P3488" s="12" t="s">
        <v>36</v>
      </c>
      <c r="Q3488" s="12" t="s">
        <v>36</v>
      </c>
      <c r="R3488" s="12" t="s">
        <v>36</v>
      </c>
      <c r="S3488" s="12" t="s">
        <v>36</v>
      </c>
      <c r="T3488" s="12" t="s">
        <v>692</v>
      </c>
      <c r="U3488" s="12" t="s">
        <v>74</v>
      </c>
      <c r="V3488" s="12" t="s">
        <v>75</v>
      </c>
      <c r="W3488" s="12" t="s">
        <v>12117</v>
      </c>
      <c r="X3488" s="16" t="s">
        <v>2433</v>
      </c>
      <c r="Y3488" s="15" t="s">
        <v>42</v>
      </c>
      <c r="Z3488" s="14">
        <v>1.2</v>
      </c>
      <c r="AA3488" s="14" t="s">
        <v>36</v>
      </c>
      <c r="AB3488" s="12" t="s">
        <v>43</v>
      </c>
      <c r="AC3488" s="12" t="s">
        <v>12119</v>
      </c>
      <c r="AD3488" s="13">
        <v>44180</v>
      </c>
      <c r="AE3488" s="12" t="s">
        <v>696</v>
      </c>
      <c r="AF3488" s="12" t="s">
        <v>176</v>
      </c>
      <c r="AG3488" s="12" t="s">
        <v>10521</v>
      </c>
      <c r="AH3488" s="1">
        <f>HYPERLINK("https://my.pitchbook.com?c=232395-49T","View Company Online")</f>
      </c>
    </row>
    <row r="3489">
      <c r="A3489" s="3" t="s">
        <v>17974</v>
      </c>
      <c r="B3489" s="3" t="s">
        <v>17975</v>
      </c>
      <c r="C3489" s="5" t="s">
        <v>36</v>
      </c>
      <c r="D3489" s="5" t="s">
        <v>36</v>
      </c>
      <c r="E3489" s="5" t="s">
        <v>36</v>
      </c>
      <c r="F3489" s="5" t="s">
        <v>36</v>
      </c>
      <c r="G3489" s="6" t="s">
        <v>36</v>
      </c>
      <c r="H3489" s="4">
        <v>11.39</v>
      </c>
      <c r="I3489" s="7">
        <v>78.49</v>
      </c>
      <c r="J3489" s="3" t="s">
        <v>521</v>
      </c>
      <c r="K3489" s="9" t="s">
        <v>36</v>
      </c>
      <c r="L3489" s="6" t="s">
        <v>122</v>
      </c>
      <c r="M3489" s="3" t="s">
        <v>36</v>
      </c>
      <c r="N3489" s="3" t="s">
        <v>122</v>
      </c>
      <c r="O3489" s="8" t="s">
        <v>36</v>
      </c>
      <c r="P3489" s="3" t="s">
        <v>36</v>
      </c>
      <c r="Q3489" s="3" t="s">
        <v>36</v>
      </c>
      <c r="R3489" s="3" t="s">
        <v>36</v>
      </c>
      <c r="S3489" s="3" t="s">
        <v>36</v>
      </c>
      <c r="T3489" s="3" t="s">
        <v>881</v>
      </c>
      <c r="U3489" s="3" t="s">
        <v>51</v>
      </c>
      <c r="V3489" s="3" t="s">
        <v>52</v>
      </c>
      <c r="W3489" s="3" t="s">
        <v>17976</v>
      </c>
      <c r="X3489" s="10" t="s">
        <v>17977</v>
      </c>
      <c r="Y3489" s="6" t="s">
        <v>42</v>
      </c>
      <c r="Z3489" s="4">
        <v>23.97</v>
      </c>
      <c r="AA3489" s="4">
        <v>30.54</v>
      </c>
      <c r="AB3489" s="3" t="s">
        <v>43</v>
      </c>
      <c r="AC3489" s="3" t="s">
        <v>17978</v>
      </c>
      <c r="AD3489" s="9">
        <v>44179</v>
      </c>
      <c r="AE3489" s="3" t="s">
        <v>504</v>
      </c>
      <c r="AF3489" s="3" t="s">
        <v>159</v>
      </c>
      <c r="AG3489" s="3" t="s">
        <v>12667</v>
      </c>
      <c r="AH3489" s="11">
        <f>HYPERLINK("https://my.pitchbook.com?c=161031-34T","View Company Online")</f>
      </c>
    </row>
    <row r="3490">
      <c r="A3490" s="12" t="s">
        <v>17979</v>
      </c>
      <c r="B3490" s="12" t="s">
        <v>17980</v>
      </c>
      <c r="C3490" s="19">
        <v>6</v>
      </c>
      <c r="D3490" s="19">
        <v>11</v>
      </c>
      <c r="E3490" s="19">
        <v>8</v>
      </c>
      <c r="F3490" s="19">
        <v>18</v>
      </c>
      <c r="G3490" s="15" t="s">
        <v>36</v>
      </c>
      <c r="H3490" s="14" t="s">
        <v>36</v>
      </c>
      <c r="I3490" s="18" t="s">
        <v>36</v>
      </c>
      <c r="J3490" s="12" t="s">
        <v>36</v>
      </c>
      <c r="K3490" s="13" t="s">
        <v>36</v>
      </c>
      <c r="L3490" s="15" t="s">
        <v>36</v>
      </c>
      <c r="M3490" s="12" t="s">
        <v>36</v>
      </c>
      <c r="N3490" s="12" t="s">
        <v>36</v>
      </c>
      <c r="O3490" s="17" t="s">
        <v>36</v>
      </c>
      <c r="P3490" s="12" t="s">
        <v>36</v>
      </c>
      <c r="Q3490" s="12" t="s">
        <v>36</v>
      </c>
      <c r="R3490" s="12" t="s">
        <v>36</v>
      </c>
      <c r="S3490" s="12" t="s">
        <v>36</v>
      </c>
      <c r="T3490" s="12" t="s">
        <v>17981</v>
      </c>
      <c r="U3490" s="12" t="s">
        <v>1082</v>
      </c>
      <c r="V3490" s="12" t="s">
        <v>378</v>
      </c>
      <c r="W3490" s="12" t="s">
        <v>17982</v>
      </c>
      <c r="X3490" s="16" t="s">
        <v>17983</v>
      </c>
      <c r="Y3490" s="15" t="s">
        <v>55</v>
      </c>
      <c r="Z3490" s="14">
        <v>5.99</v>
      </c>
      <c r="AA3490" s="14" t="s">
        <v>36</v>
      </c>
      <c r="AB3490" s="12" t="s">
        <v>56</v>
      </c>
      <c r="AC3490" s="12" t="s">
        <v>17984</v>
      </c>
      <c r="AD3490" s="13">
        <v>44179</v>
      </c>
      <c r="AE3490" s="12" t="s">
        <v>2068</v>
      </c>
      <c r="AF3490" s="12" t="s">
        <v>571</v>
      </c>
      <c r="AG3490" s="12" t="s">
        <v>3406</v>
      </c>
      <c r="AH3490" s="1">
        <f>HYPERLINK("https://my.pitchbook.com?c=215490-07T","View Company Online")</f>
      </c>
    </row>
    <row r="3491">
      <c r="A3491" s="3" t="s">
        <v>17985</v>
      </c>
      <c r="B3491" s="3" t="s">
        <v>11789</v>
      </c>
      <c r="C3491" s="5" t="s">
        <v>36</v>
      </c>
      <c r="D3491" s="5" t="s">
        <v>36</v>
      </c>
      <c r="E3491" s="5" t="s">
        <v>36</v>
      </c>
      <c r="F3491" s="5" t="s">
        <v>36</v>
      </c>
      <c r="G3491" s="6" t="s">
        <v>36</v>
      </c>
      <c r="H3491" s="4" t="s">
        <v>36</v>
      </c>
      <c r="I3491" s="7" t="s">
        <v>36</v>
      </c>
      <c r="J3491" s="3" t="s">
        <v>36</v>
      </c>
      <c r="K3491" s="9" t="s">
        <v>36</v>
      </c>
      <c r="L3491" s="6" t="s">
        <v>36</v>
      </c>
      <c r="M3491" s="3" t="s">
        <v>36</v>
      </c>
      <c r="N3491" s="3" t="s">
        <v>36</v>
      </c>
      <c r="O3491" s="8" t="s">
        <v>36</v>
      </c>
      <c r="P3491" s="3" t="s">
        <v>36</v>
      </c>
      <c r="Q3491" s="3" t="s">
        <v>36</v>
      </c>
      <c r="R3491" s="3" t="s">
        <v>36</v>
      </c>
      <c r="S3491" s="3" t="s">
        <v>36</v>
      </c>
      <c r="T3491" s="3" t="s">
        <v>3309</v>
      </c>
      <c r="U3491" s="3" t="s">
        <v>38</v>
      </c>
      <c r="V3491" s="3" t="s">
        <v>39</v>
      </c>
      <c r="W3491" s="3" t="s">
        <v>11790</v>
      </c>
      <c r="X3491" s="10" t="s">
        <v>17986</v>
      </c>
      <c r="Y3491" s="6" t="s">
        <v>55</v>
      </c>
      <c r="Z3491" s="4">
        <v>5.1</v>
      </c>
      <c r="AA3491" s="4" t="s">
        <v>36</v>
      </c>
      <c r="AB3491" s="3" t="s">
        <v>43</v>
      </c>
      <c r="AC3491" s="3" t="s">
        <v>11792</v>
      </c>
      <c r="AD3491" s="9">
        <v>44179</v>
      </c>
      <c r="AE3491" s="3" t="s">
        <v>554</v>
      </c>
      <c r="AF3491" s="3" t="s">
        <v>555</v>
      </c>
      <c r="AG3491" s="3" t="s">
        <v>3492</v>
      </c>
      <c r="AH3491" s="11">
        <f>HYPERLINK("https://my.pitchbook.com?c=161018-29T","View Company Online")</f>
      </c>
    </row>
    <row r="3492">
      <c r="A3492" s="12" t="s">
        <v>17987</v>
      </c>
      <c r="B3492" s="12" t="s">
        <v>14750</v>
      </c>
      <c r="C3492" s="19">
        <v>6</v>
      </c>
      <c r="D3492" s="19">
        <v>11</v>
      </c>
      <c r="E3492" s="19">
        <v>5</v>
      </c>
      <c r="F3492" s="19">
        <v>18</v>
      </c>
      <c r="G3492" s="15" t="s">
        <v>683</v>
      </c>
      <c r="H3492" s="14">
        <v>224.33</v>
      </c>
      <c r="I3492" s="18">
        <v>16.15</v>
      </c>
      <c r="J3492" s="12" t="s">
        <v>521</v>
      </c>
      <c r="K3492" s="13" t="s">
        <v>36</v>
      </c>
      <c r="L3492" s="15" t="s">
        <v>36</v>
      </c>
      <c r="M3492" s="12" t="s">
        <v>36</v>
      </c>
      <c r="N3492" s="12" t="s">
        <v>36</v>
      </c>
      <c r="O3492" s="17" t="s">
        <v>36</v>
      </c>
      <c r="P3492" s="12" t="s">
        <v>36</v>
      </c>
      <c r="Q3492" s="12" t="s">
        <v>36</v>
      </c>
      <c r="R3492" s="12" t="s">
        <v>36</v>
      </c>
      <c r="S3492" s="12" t="s">
        <v>36</v>
      </c>
      <c r="T3492" s="12" t="s">
        <v>14751</v>
      </c>
      <c r="U3492" s="12" t="s">
        <v>38</v>
      </c>
      <c r="V3492" s="12" t="s">
        <v>39</v>
      </c>
      <c r="W3492" s="12" t="s">
        <v>14752</v>
      </c>
      <c r="X3492" s="16" t="s">
        <v>3370</v>
      </c>
      <c r="Y3492" s="15" t="s">
        <v>55</v>
      </c>
      <c r="Z3492" s="14">
        <v>1.35</v>
      </c>
      <c r="AA3492" s="14">
        <v>8.35</v>
      </c>
      <c r="AB3492" s="12" t="s">
        <v>56</v>
      </c>
      <c r="AC3492" s="12" t="s">
        <v>14754</v>
      </c>
      <c r="AD3492" s="13">
        <v>44179</v>
      </c>
      <c r="AE3492" s="12" t="s">
        <v>110</v>
      </c>
      <c r="AF3492" s="12" t="s">
        <v>14755</v>
      </c>
      <c r="AG3492" s="12" t="s">
        <v>169</v>
      </c>
      <c r="AH3492" s="1">
        <f>HYPERLINK("https://my.pitchbook.com?c=180040-69T","View Company Online")</f>
      </c>
    </row>
    <row r="3493">
      <c r="A3493" s="3" t="s">
        <v>17988</v>
      </c>
      <c r="B3493" s="3" t="s">
        <v>17989</v>
      </c>
      <c r="C3493" s="5" t="s">
        <v>36</v>
      </c>
      <c r="D3493" s="5">
        <v>2</v>
      </c>
      <c r="E3493" s="5">
        <v>2</v>
      </c>
      <c r="F3493" s="5">
        <v>3</v>
      </c>
      <c r="G3493" s="6" t="s">
        <v>2497</v>
      </c>
      <c r="H3493" s="4">
        <v>1.96</v>
      </c>
      <c r="I3493" s="7">
        <v>42.69</v>
      </c>
      <c r="J3493" s="3" t="s">
        <v>521</v>
      </c>
      <c r="K3493" s="9" t="s">
        <v>36</v>
      </c>
      <c r="L3493" s="6" t="s">
        <v>36</v>
      </c>
      <c r="M3493" s="3" t="s">
        <v>36</v>
      </c>
      <c r="N3493" s="3" t="s">
        <v>36</v>
      </c>
      <c r="O3493" s="8" t="s">
        <v>36</v>
      </c>
      <c r="P3493" s="3" t="s">
        <v>36</v>
      </c>
      <c r="Q3493" s="3" t="s">
        <v>36</v>
      </c>
      <c r="R3493" s="3" t="s">
        <v>36</v>
      </c>
      <c r="S3493" s="3" t="s">
        <v>36</v>
      </c>
      <c r="T3493" s="3" t="s">
        <v>5678</v>
      </c>
      <c r="U3493" s="3" t="s">
        <v>74</v>
      </c>
      <c r="V3493" s="3" t="s">
        <v>75</v>
      </c>
      <c r="W3493" s="3" t="s">
        <v>17990</v>
      </c>
      <c r="X3493" s="10" t="s">
        <v>17991</v>
      </c>
      <c r="Y3493" s="6" t="s">
        <v>192</v>
      </c>
      <c r="Z3493" s="4">
        <v>3.28</v>
      </c>
      <c r="AA3493" s="4">
        <v>7.69</v>
      </c>
      <c r="AB3493" s="3" t="s">
        <v>56</v>
      </c>
      <c r="AC3493" s="3" t="s">
        <v>17992</v>
      </c>
      <c r="AD3493" s="9">
        <v>44176</v>
      </c>
      <c r="AE3493" s="3" t="s">
        <v>79</v>
      </c>
      <c r="AF3493" s="3" t="s">
        <v>176</v>
      </c>
      <c r="AG3493" s="3" t="s">
        <v>144</v>
      </c>
      <c r="AH3493" s="11">
        <f>HYPERLINK("https://my.pitchbook.com?c=195211-63T","View Company Online")</f>
      </c>
    </row>
    <row r="3494">
      <c r="A3494" s="12" t="s">
        <v>17993</v>
      </c>
      <c r="B3494" s="12" t="s">
        <v>17994</v>
      </c>
      <c r="C3494" s="19" t="s">
        <v>36</v>
      </c>
      <c r="D3494" s="19" t="s">
        <v>36</v>
      </c>
      <c r="E3494" s="19" t="s">
        <v>36</v>
      </c>
      <c r="F3494" s="19" t="s">
        <v>36</v>
      </c>
      <c r="G3494" s="15" t="s">
        <v>326</v>
      </c>
      <c r="H3494" s="14">
        <v>21.5</v>
      </c>
      <c r="I3494" s="18">
        <v>24.4</v>
      </c>
      <c r="J3494" s="12" t="s">
        <v>521</v>
      </c>
      <c r="K3494" s="13" t="s">
        <v>36</v>
      </c>
      <c r="L3494" s="15" t="s">
        <v>36</v>
      </c>
      <c r="M3494" s="12" t="s">
        <v>36</v>
      </c>
      <c r="N3494" s="12" t="s">
        <v>36</v>
      </c>
      <c r="O3494" s="17" t="s">
        <v>36</v>
      </c>
      <c r="P3494" s="12" t="s">
        <v>36</v>
      </c>
      <c r="Q3494" s="12" t="s">
        <v>36</v>
      </c>
      <c r="R3494" s="12" t="s">
        <v>36</v>
      </c>
      <c r="S3494" s="12" t="s">
        <v>36</v>
      </c>
      <c r="T3494" s="12" t="s">
        <v>9456</v>
      </c>
      <c r="U3494" s="12" t="s">
        <v>63</v>
      </c>
      <c r="V3494" s="12" t="s">
        <v>64</v>
      </c>
      <c r="W3494" s="12" t="s">
        <v>17995</v>
      </c>
      <c r="X3494" s="16" t="s">
        <v>17996</v>
      </c>
      <c r="Y3494" s="15" t="s">
        <v>108</v>
      </c>
      <c r="Z3494" s="14">
        <v>1.2</v>
      </c>
      <c r="AA3494" s="14">
        <v>3.46</v>
      </c>
      <c r="AB3494" s="12" t="s">
        <v>43</v>
      </c>
      <c r="AC3494" s="12" t="s">
        <v>17997</v>
      </c>
      <c r="AD3494" s="13">
        <v>44176</v>
      </c>
      <c r="AE3494" s="12" t="s">
        <v>4310</v>
      </c>
      <c r="AF3494" s="12" t="s">
        <v>3471</v>
      </c>
      <c r="AG3494" s="12" t="s">
        <v>969</v>
      </c>
      <c r="AH3494" s="1">
        <f>HYPERLINK("https://my.pitchbook.com?c=160941-70T","View Company Online")</f>
      </c>
    </row>
    <row r="3495">
      <c r="A3495" s="3" t="s">
        <v>17998</v>
      </c>
      <c r="B3495" s="3" t="s">
        <v>4632</v>
      </c>
      <c r="C3495" s="5" t="s">
        <v>36</v>
      </c>
      <c r="D3495" s="5" t="s">
        <v>36</v>
      </c>
      <c r="E3495" s="5" t="s">
        <v>36</v>
      </c>
      <c r="F3495" s="5" t="s">
        <v>36</v>
      </c>
      <c r="G3495" s="6" t="s">
        <v>36</v>
      </c>
      <c r="H3495" s="4" t="s">
        <v>36</v>
      </c>
      <c r="I3495" s="7" t="s">
        <v>36</v>
      </c>
      <c r="J3495" s="3" t="s">
        <v>36</v>
      </c>
      <c r="K3495" s="9" t="s">
        <v>36</v>
      </c>
      <c r="L3495" s="6" t="s">
        <v>36</v>
      </c>
      <c r="M3495" s="3" t="s">
        <v>36</v>
      </c>
      <c r="N3495" s="3" t="s">
        <v>36</v>
      </c>
      <c r="O3495" s="8" t="s">
        <v>36</v>
      </c>
      <c r="P3495" s="3" t="s">
        <v>36</v>
      </c>
      <c r="Q3495" s="3" t="s">
        <v>36</v>
      </c>
      <c r="R3495" s="3" t="s">
        <v>36</v>
      </c>
      <c r="S3495" s="3" t="s">
        <v>4633</v>
      </c>
      <c r="T3495" s="3" t="s">
        <v>1125</v>
      </c>
      <c r="U3495" s="3" t="s">
        <v>74</v>
      </c>
      <c r="V3495" s="3" t="s">
        <v>75</v>
      </c>
      <c r="W3495" s="3" t="s">
        <v>4634</v>
      </c>
      <c r="X3495" s="10" t="s">
        <v>17999</v>
      </c>
      <c r="Y3495" s="6" t="s">
        <v>42</v>
      </c>
      <c r="Z3495" s="4">
        <v>1.02</v>
      </c>
      <c r="AA3495" s="4" t="s">
        <v>36</v>
      </c>
      <c r="AB3495" s="3" t="s">
        <v>43</v>
      </c>
      <c r="AC3495" s="3" t="s">
        <v>4636</v>
      </c>
      <c r="AD3495" s="9">
        <v>44176</v>
      </c>
      <c r="AE3495" s="3" t="s">
        <v>975</v>
      </c>
      <c r="AF3495" s="3" t="s">
        <v>2132</v>
      </c>
      <c r="AG3495" s="3" t="s">
        <v>4637</v>
      </c>
      <c r="AH3495" s="11">
        <f>HYPERLINK("https://my.pitchbook.com?c=160955-47T","View Company Online")</f>
      </c>
    </row>
    <row r="3496">
      <c r="A3496" s="12" t="s">
        <v>18000</v>
      </c>
      <c r="B3496" s="12" t="s">
        <v>18001</v>
      </c>
      <c r="C3496" s="19">
        <v>7</v>
      </c>
      <c r="D3496" s="19">
        <v>65</v>
      </c>
      <c r="E3496" s="19">
        <v>10</v>
      </c>
      <c r="F3496" s="19">
        <v>76</v>
      </c>
      <c r="G3496" s="15" t="s">
        <v>36</v>
      </c>
      <c r="H3496" s="14" t="s">
        <v>36</v>
      </c>
      <c r="I3496" s="18" t="s">
        <v>36</v>
      </c>
      <c r="J3496" s="12" t="s">
        <v>36</v>
      </c>
      <c r="K3496" s="13" t="s">
        <v>36</v>
      </c>
      <c r="L3496" s="15" t="s">
        <v>36</v>
      </c>
      <c r="M3496" s="12" t="s">
        <v>36</v>
      </c>
      <c r="N3496" s="12" t="s">
        <v>36</v>
      </c>
      <c r="O3496" s="17" t="s">
        <v>36</v>
      </c>
      <c r="P3496" s="12" t="s">
        <v>36</v>
      </c>
      <c r="Q3496" s="12" t="s">
        <v>36</v>
      </c>
      <c r="R3496" s="12" t="s">
        <v>36</v>
      </c>
      <c r="S3496" s="12" t="s">
        <v>36</v>
      </c>
      <c r="T3496" s="12" t="s">
        <v>154</v>
      </c>
      <c r="U3496" s="12" t="s">
        <v>51</v>
      </c>
      <c r="V3496" s="12" t="s">
        <v>52</v>
      </c>
      <c r="W3496" s="12" t="s">
        <v>18002</v>
      </c>
      <c r="X3496" s="16" t="s">
        <v>18003</v>
      </c>
      <c r="Y3496" s="15" t="s">
        <v>321</v>
      </c>
      <c r="Z3496" s="14">
        <v>66.03</v>
      </c>
      <c r="AA3496" s="14" t="s">
        <v>36</v>
      </c>
      <c r="AB3496" s="12" t="s">
        <v>56</v>
      </c>
      <c r="AC3496" s="12" t="s">
        <v>18004</v>
      </c>
      <c r="AD3496" s="13">
        <v>44175</v>
      </c>
      <c r="AE3496" s="12" t="s">
        <v>158</v>
      </c>
      <c r="AF3496" s="12" t="s">
        <v>5503</v>
      </c>
      <c r="AG3496" s="12" t="s">
        <v>373</v>
      </c>
      <c r="AH3496" s="1">
        <f>HYPERLINK("https://my.pitchbook.com?c=160888-15T","View Company Online")</f>
      </c>
    </row>
    <row r="3497">
      <c r="A3497" s="3" t="s">
        <v>18005</v>
      </c>
      <c r="B3497" s="3" t="s">
        <v>824</v>
      </c>
      <c r="C3497" s="5" t="s">
        <v>36</v>
      </c>
      <c r="D3497" s="5" t="s">
        <v>36</v>
      </c>
      <c r="E3497" s="5" t="s">
        <v>36</v>
      </c>
      <c r="F3497" s="5" t="s">
        <v>36</v>
      </c>
      <c r="G3497" s="6" t="s">
        <v>36</v>
      </c>
      <c r="H3497" s="4" t="s">
        <v>36</v>
      </c>
      <c r="I3497" s="7" t="s">
        <v>36</v>
      </c>
      <c r="J3497" s="3" t="s">
        <v>36</v>
      </c>
      <c r="K3497" s="9" t="s">
        <v>36</v>
      </c>
      <c r="L3497" s="6" t="s">
        <v>36</v>
      </c>
      <c r="M3497" s="3" t="s">
        <v>36</v>
      </c>
      <c r="N3497" s="3" t="s">
        <v>36</v>
      </c>
      <c r="O3497" s="8" t="s">
        <v>36</v>
      </c>
      <c r="P3497" s="3" t="s">
        <v>36</v>
      </c>
      <c r="Q3497" s="3" t="s">
        <v>36</v>
      </c>
      <c r="R3497" s="3" t="s">
        <v>36</v>
      </c>
      <c r="S3497" s="3" t="s">
        <v>825</v>
      </c>
      <c r="T3497" s="3" t="s">
        <v>507</v>
      </c>
      <c r="U3497" s="3" t="s">
        <v>51</v>
      </c>
      <c r="V3497" s="3" t="s">
        <v>52</v>
      </c>
      <c r="W3497" s="3" t="s">
        <v>826</v>
      </c>
      <c r="X3497" s="10" t="s">
        <v>18006</v>
      </c>
      <c r="Y3497" s="6" t="s">
        <v>108</v>
      </c>
      <c r="Z3497" s="4" t="s">
        <v>36</v>
      </c>
      <c r="AA3497" s="4" t="s">
        <v>36</v>
      </c>
      <c r="AB3497" s="3" t="s">
        <v>43</v>
      </c>
      <c r="AC3497" s="3" t="s">
        <v>828</v>
      </c>
      <c r="AD3497" s="9">
        <v>44175</v>
      </c>
      <c r="AE3497" s="3" t="s">
        <v>504</v>
      </c>
      <c r="AF3497" s="3" t="s">
        <v>829</v>
      </c>
      <c r="AG3497" s="3" t="s">
        <v>81</v>
      </c>
      <c r="AH3497" s="11">
        <f>HYPERLINK("https://my.pitchbook.com?c=204073-39T","View Company Online")</f>
      </c>
    </row>
    <row r="3498">
      <c r="A3498" s="12" t="s">
        <v>18007</v>
      </c>
      <c r="B3498" s="12" t="s">
        <v>18008</v>
      </c>
      <c r="C3498" s="19" t="s">
        <v>36</v>
      </c>
      <c r="D3498" s="19" t="s">
        <v>36</v>
      </c>
      <c r="E3498" s="19" t="s">
        <v>36</v>
      </c>
      <c r="F3498" s="19" t="s">
        <v>36</v>
      </c>
      <c r="G3498" s="15" t="s">
        <v>683</v>
      </c>
      <c r="H3498" s="14">
        <v>24.76</v>
      </c>
      <c r="I3498" s="18">
        <v>9.57</v>
      </c>
      <c r="J3498" s="12" t="s">
        <v>521</v>
      </c>
      <c r="K3498" s="13" t="s">
        <v>36</v>
      </c>
      <c r="L3498" s="15" t="s">
        <v>36</v>
      </c>
      <c r="M3498" s="12" t="s">
        <v>36</v>
      </c>
      <c r="N3498" s="12" t="s">
        <v>36</v>
      </c>
      <c r="O3498" s="17" t="s">
        <v>36</v>
      </c>
      <c r="P3498" s="12" t="s">
        <v>36</v>
      </c>
      <c r="Q3498" s="12" t="s">
        <v>36</v>
      </c>
      <c r="R3498" s="12" t="s">
        <v>36</v>
      </c>
      <c r="S3498" s="12" t="s">
        <v>36</v>
      </c>
      <c r="T3498" s="12" t="s">
        <v>464</v>
      </c>
      <c r="U3498" s="12" t="s">
        <v>38</v>
      </c>
      <c r="V3498" s="12" t="s">
        <v>39</v>
      </c>
      <c r="W3498" s="12" t="s">
        <v>18009</v>
      </c>
      <c r="X3498" s="16" t="s">
        <v>18010</v>
      </c>
      <c r="Y3498" s="15" t="s">
        <v>108</v>
      </c>
      <c r="Z3498" s="14">
        <v>0.32</v>
      </c>
      <c r="AA3498" s="14">
        <v>3.35</v>
      </c>
      <c r="AB3498" s="12" t="s">
        <v>43</v>
      </c>
      <c r="AC3498" s="12" t="s">
        <v>18011</v>
      </c>
      <c r="AD3498" s="13">
        <v>44175</v>
      </c>
      <c r="AE3498" s="12" t="s">
        <v>110</v>
      </c>
      <c r="AF3498" s="12" t="s">
        <v>18012</v>
      </c>
      <c r="AG3498" s="12" t="s">
        <v>18013</v>
      </c>
      <c r="AH3498" s="1">
        <f>HYPERLINK("https://my.pitchbook.com?c=189584-29T","View Company Online")</f>
      </c>
    </row>
    <row r="3499">
      <c r="A3499" s="3" t="s">
        <v>18014</v>
      </c>
      <c r="B3499" s="3" t="s">
        <v>18015</v>
      </c>
      <c r="C3499" s="5" t="s">
        <v>36</v>
      </c>
      <c r="D3499" s="5" t="s">
        <v>36</v>
      </c>
      <c r="E3499" s="5" t="s">
        <v>36</v>
      </c>
      <c r="F3499" s="5" t="s">
        <v>36</v>
      </c>
      <c r="G3499" s="6" t="s">
        <v>36</v>
      </c>
      <c r="H3499" s="4">
        <v>981.94</v>
      </c>
      <c r="I3499" s="7">
        <v>36.34</v>
      </c>
      <c r="J3499" s="3" t="s">
        <v>521</v>
      </c>
      <c r="K3499" s="9" t="s">
        <v>36</v>
      </c>
      <c r="L3499" s="6" t="s">
        <v>122</v>
      </c>
      <c r="M3499" s="3" t="s">
        <v>36</v>
      </c>
      <c r="N3499" s="3" t="s">
        <v>122</v>
      </c>
      <c r="O3499" s="8" t="s">
        <v>36</v>
      </c>
      <c r="P3499" s="3" t="s">
        <v>36</v>
      </c>
      <c r="Q3499" s="3" t="s">
        <v>36</v>
      </c>
      <c r="R3499" s="3" t="s">
        <v>36</v>
      </c>
      <c r="S3499" s="3" t="s">
        <v>36</v>
      </c>
      <c r="T3499" s="3" t="s">
        <v>1701</v>
      </c>
      <c r="U3499" s="3" t="s">
        <v>74</v>
      </c>
      <c r="V3499" s="3" t="s">
        <v>75</v>
      </c>
      <c r="W3499" s="3" t="s">
        <v>18016</v>
      </c>
      <c r="X3499" s="10" t="s">
        <v>18017</v>
      </c>
      <c r="Y3499" s="6" t="s">
        <v>42</v>
      </c>
      <c r="Z3499" s="4">
        <v>0.66</v>
      </c>
      <c r="AA3499" s="4">
        <v>1.83</v>
      </c>
      <c r="AB3499" s="3" t="s">
        <v>43</v>
      </c>
      <c r="AC3499" s="3" t="s">
        <v>18018</v>
      </c>
      <c r="AD3499" s="9">
        <v>44175</v>
      </c>
      <c r="AE3499" s="3" t="s">
        <v>79</v>
      </c>
      <c r="AF3499" s="3" t="s">
        <v>18019</v>
      </c>
      <c r="AG3499" s="3" t="s">
        <v>81</v>
      </c>
      <c r="AH3499" s="11">
        <f>HYPERLINK("https://my.pitchbook.com?c=160885-99T","View Company Online")</f>
      </c>
    </row>
    <row r="3500">
      <c r="A3500" s="12" t="s">
        <v>18020</v>
      </c>
      <c r="B3500" s="12" t="s">
        <v>18021</v>
      </c>
      <c r="C3500" s="19">
        <v>1</v>
      </c>
      <c r="D3500" s="19">
        <v>27</v>
      </c>
      <c r="E3500" s="19">
        <v>6</v>
      </c>
      <c r="F3500" s="19">
        <v>30</v>
      </c>
      <c r="G3500" s="15" t="s">
        <v>36</v>
      </c>
      <c r="H3500" s="14" t="s">
        <v>36</v>
      </c>
      <c r="I3500" s="18" t="s">
        <v>36</v>
      </c>
      <c r="J3500" s="12" t="s">
        <v>36</v>
      </c>
      <c r="K3500" s="13" t="s">
        <v>36</v>
      </c>
      <c r="L3500" s="15" t="s">
        <v>122</v>
      </c>
      <c r="M3500" s="12" t="s">
        <v>36</v>
      </c>
      <c r="N3500" s="12" t="s">
        <v>122</v>
      </c>
      <c r="O3500" s="17" t="s">
        <v>36</v>
      </c>
      <c r="P3500" s="12" t="s">
        <v>36</v>
      </c>
      <c r="Q3500" s="12" t="s">
        <v>36</v>
      </c>
      <c r="R3500" s="12" t="s">
        <v>36</v>
      </c>
      <c r="S3500" s="12" t="s">
        <v>36</v>
      </c>
      <c r="T3500" s="12" t="s">
        <v>18022</v>
      </c>
      <c r="U3500" s="12" t="s">
        <v>728</v>
      </c>
      <c r="V3500" s="12" t="s">
        <v>64</v>
      </c>
      <c r="W3500" s="12" t="s">
        <v>18023</v>
      </c>
      <c r="X3500" s="16" t="s">
        <v>18024</v>
      </c>
      <c r="Y3500" s="15" t="s">
        <v>42</v>
      </c>
      <c r="Z3500" s="14">
        <v>11.94</v>
      </c>
      <c r="AA3500" s="14" t="s">
        <v>36</v>
      </c>
      <c r="AB3500" s="12" t="s">
        <v>56</v>
      </c>
      <c r="AC3500" s="12" t="s">
        <v>18025</v>
      </c>
      <c r="AD3500" s="13">
        <v>44175</v>
      </c>
      <c r="AE3500" s="12" t="s">
        <v>1600</v>
      </c>
      <c r="AF3500" s="12" t="s">
        <v>18026</v>
      </c>
      <c r="AG3500" s="12" t="s">
        <v>1705</v>
      </c>
      <c r="AH3500" s="1">
        <f>HYPERLINK("https://my.pitchbook.com?c=158495-95T","View Company Online")</f>
      </c>
    </row>
    <row r="3501">
      <c r="A3501" s="3" t="s">
        <v>18027</v>
      </c>
      <c r="B3501" s="3" t="s">
        <v>8626</v>
      </c>
      <c r="C3501" s="5" t="s">
        <v>36</v>
      </c>
      <c r="D3501" s="5" t="s">
        <v>36</v>
      </c>
      <c r="E3501" s="5" t="s">
        <v>36</v>
      </c>
      <c r="F3501" s="5" t="s">
        <v>36</v>
      </c>
      <c r="G3501" s="6" t="s">
        <v>326</v>
      </c>
      <c r="H3501" s="4">
        <v>0.9</v>
      </c>
      <c r="I3501" s="7">
        <v>23.17</v>
      </c>
      <c r="J3501" s="3" t="s">
        <v>521</v>
      </c>
      <c r="K3501" s="9" t="s">
        <v>36</v>
      </c>
      <c r="L3501" s="6" t="s">
        <v>36</v>
      </c>
      <c r="M3501" s="3" t="s">
        <v>36</v>
      </c>
      <c r="N3501" s="3" t="s">
        <v>36</v>
      </c>
      <c r="O3501" s="8" t="s">
        <v>36</v>
      </c>
      <c r="P3501" s="3" t="s">
        <v>36</v>
      </c>
      <c r="Q3501" s="3" t="s">
        <v>36</v>
      </c>
      <c r="R3501" s="3" t="s">
        <v>36</v>
      </c>
      <c r="S3501" s="3" t="s">
        <v>36</v>
      </c>
      <c r="T3501" s="3" t="s">
        <v>6392</v>
      </c>
      <c r="U3501" s="3" t="s">
        <v>289</v>
      </c>
      <c r="V3501" s="3" t="s">
        <v>64</v>
      </c>
      <c r="W3501" s="3" t="s">
        <v>8627</v>
      </c>
      <c r="X3501" s="10" t="s">
        <v>18028</v>
      </c>
      <c r="Y3501" s="6" t="s">
        <v>42</v>
      </c>
      <c r="Z3501" s="4">
        <v>9.55</v>
      </c>
      <c r="AA3501" s="4">
        <v>25.77</v>
      </c>
      <c r="AB3501" s="3" t="s">
        <v>43</v>
      </c>
      <c r="AC3501" s="3" t="s">
        <v>8629</v>
      </c>
      <c r="AD3501" s="9">
        <v>44175</v>
      </c>
      <c r="AE3501" s="3" t="s">
        <v>292</v>
      </c>
      <c r="AF3501" s="3" t="s">
        <v>1612</v>
      </c>
      <c r="AG3501" s="3" t="s">
        <v>81</v>
      </c>
      <c r="AH3501" s="11">
        <f>HYPERLINK("https://my.pitchbook.com?c=160993-45T","View Company Online")</f>
      </c>
    </row>
    <row r="3502">
      <c r="A3502" s="12" t="s">
        <v>18029</v>
      </c>
      <c r="B3502" s="12" t="s">
        <v>18030</v>
      </c>
      <c r="C3502" s="19" t="s">
        <v>36</v>
      </c>
      <c r="D3502" s="19" t="s">
        <v>36</v>
      </c>
      <c r="E3502" s="19" t="s">
        <v>36</v>
      </c>
      <c r="F3502" s="19" t="s">
        <v>36</v>
      </c>
      <c r="G3502" s="15" t="s">
        <v>36</v>
      </c>
      <c r="H3502" s="14">
        <v>41.54</v>
      </c>
      <c r="I3502" s="18">
        <v>29.41</v>
      </c>
      <c r="J3502" s="12" t="s">
        <v>521</v>
      </c>
      <c r="K3502" s="13" t="s">
        <v>36</v>
      </c>
      <c r="L3502" s="15" t="s">
        <v>36</v>
      </c>
      <c r="M3502" s="12" t="s">
        <v>36</v>
      </c>
      <c r="N3502" s="12" t="s">
        <v>36</v>
      </c>
      <c r="O3502" s="17" t="s">
        <v>36</v>
      </c>
      <c r="P3502" s="12" t="s">
        <v>36</v>
      </c>
      <c r="Q3502" s="12" t="s">
        <v>36</v>
      </c>
      <c r="R3502" s="12" t="s">
        <v>36</v>
      </c>
      <c r="S3502" s="12" t="s">
        <v>36</v>
      </c>
      <c r="T3502" s="12" t="s">
        <v>1023</v>
      </c>
      <c r="U3502" s="12" t="s">
        <v>74</v>
      </c>
      <c r="V3502" s="12" t="s">
        <v>75</v>
      </c>
      <c r="W3502" s="12" t="s">
        <v>18031</v>
      </c>
      <c r="X3502" s="16" t="s">
        <v>16318</v>
      </c>
      <c r="Y3502" s="15" t="s">
        <v>42</v>
      </c>
      <c r="Z3502" s="14">
        <v>1.19</v>
      </c>
      <c r="AA3502" s="14">
        <v>4.06</v>
      </c>
      <c r="AB3502" s="12" t="s">
        <v>43</v>
      </c>
      <c r="AC3502" s="12" t="s">
        <v>18032</v>
      </c>
      <c r="AD3502" s="13">
        <v>44175</v>
      </c>
      <c r="AE3502" s="12" t="s">
        <v>79</v>
      </c>
      <c r="AF3502" s="12" t="s">
        <v>5769</v>
      </c>
      <c r="AG3502" s="12" t="s">
        <v>18033</v>
      </c>
      <c r="AH3502" s="1">
        <f>HYPERLINK("https://my.pitchbook.com?c=165230-20T","View Company Online")</f>
      </c>
    </row>
    <row r="3503">
      <c r="A3503" s="3" t="s">
        <v>18034</v>
      </c>
      <c r="B3503" s="3" t="s">
        <v>13429</v>
      </c>
      <c r="C3503" s="5" t="s">
        <v>36</v>
      </c>
      <c r="D3503" s="5" t="s">
        <v>36</v>
      </c>
      <c r="E3503" s="5">
        <v>2</v>
      </c>
      <c r="F3503" s="5">
        <v>3</v>
      </c>
      <c r="G3503" s="6" t="s">
        <v>326</v>
      </c>
      <c r="H3503" s="4" t="s">
        <v>36</v>
      </c>
      <c r="I3503" s="7">
        <v>22.74</v>
      </c>
      <c r="J3503" s="3" t="s">
        <v>327</v>
      </c>
      <c r="K3503" s="9" t="s">
        <v>36</v>
      </c>
      <c r="L3503" s="6" t="s">
        <v>122</v>
      </c>
      <c r="M3503" s="3" t="s">
        <v>36</v>
      </c>
      <c r="N3503" s="3" t="s">
        <v>122</v>
      </c>
      <c r="O3503" s="8" t="s">
        <v>36</v>
      </c>
      <c r="P3503" s="3" t="s">
        <v>36</v>
      </c>
      <c r="Q3503" s="3" t="s">
        <v>36</v>
      </c>
      <c r="R3503" s="3" t="s">
        <v>36</v>
      </c>
      <c r="S3503" s="3" t="s">
        <v>36</v>
      </c>
      <c r="T3503" s="3" t="s">
        <v>522</v>
      </c>
      <c r="U3503" s="3" t="s">
        <v>38</v>
      </c>
      <c r="V3503" s="3" t="s">
        <v>39</v>
      </c>
      <c r="W3503" s="3" t="s">
        <v>13430</v>
      </c>
      <c r="X3503" s="10" t="s">
        <v>18035</v>
      </c>
      <c r="Y3503" s="6" t="s">
        <v>108</v>
      </c>
      <c r="Z3503" s="4">
        <v>2.98</v>
      </c>
      <c r="AA3503" s="4">
        <v>13.12</v>
      </c>
      <c r="AB3503" s="3" t="s">
        <v>43</v>
      </c>
      <c r="AC3503" s="3" t="s">
        <v>13432</v>
      </c>
      <c r="AD3503" s="9">
        <v>44174</v>
      </c>
      <c r="AE3503" s="3" t="s">
        <v>110</v>
      </c>
      <c r="AF3503" s="3" t="s">
        <v>526</v>
      </c>
      <c r="AG3503" s="3" t="s">
        <v>12667</v>
      </c>
      <c r="AH3503" s="11">
        <f>HYPERLINK("https://my.pitchbook.com?c=160934-05T","View Company Online")</f>
      </c>
    </row>
    <row r="3504">
      <c r="A3504" s="12" t="s">
        <v>18036</v>
      </c>
      <c r="B3504" s="12" t="s">
        <v>18037</v>
      </c>
      <c r="C3504" s="19" t="s">
        <v>36</v>
      </c>
      <c r="D3504" s="19" t="s">
        <v>36</v>
      </c>
      <c r="E3504" s="19" t="s">
        <v>36</v>
      </c>
      <c r="F3504" s="19" t="s">
        <v>36</v>
      </c>
      <c r="G3504" s="15" t="s">
        <v>36</v>
      </c>
      <c r="H3504" s="14" t="s">
        <v>36</v>
      </c>
      <c r="I3504" s="18" t="s">
        <v>36</v>
      </c>
      <c r="J3504" s="12" t="s">
        <v>36</v>
      </c>
      <c r="K3504" s="13" t="s">
        <v>36</v>
      </c>
      <c r="L3504" s="15" t="s">
        <v>36</v>
      </c>
      <c r="M3504" s="12" t="s">
        <v>36</v>
      </c>
      <c r="N3504" s="12" t="s">
        <v>36</v>
      </c>
      <c r="O3504" s="17" t="s">
        <v>36</v>
      </c>
      <c r="P3504" s="12" t="s">
        <v>36</v>
      </c>
      <c r="Q3504" s="12" t="s">
        <v>36</v>
      </c>
      <c r="R3504" s="12" t="s">
        <v>36</v>
      </c>
      <c r="S3504" s="12" t="s">
        <v>36</v>
      </c>
      <c r="T3504" s="12" t="s">
        <v>18038</v>
      </c>
      <c r="U3504" s="12" t="s">
        <v>74</v>
      </c>
      <c r="V3504" s="12" t="s">
        <v>75</v>
      </c>
      <c r="W3504" s="12" t="s">
        <v>18039</v>
      </c>
      <c r="X3504" s="16" t="s">
        <v>9668</v>
      </c>
      <c r="Y3504" s="15" t="s">
        <v>42</v>
      </c>
      <c r="Z3504" s="14" t="s">
        <v>36</v>
      </c>
      <c r="AA3504" s="14" t="s">
        <v>36</v>
      </c>
      <c r="AB3504" s="12" t="s">
        <v>43</v>
      </c>
      <c r="AC3504" s="12" t="s">
        <v>18040</v>
      </c>
      <c r="AD3504" s="13">
        <v>44173</v>
      </c>
      <c r="AE3504" s="12" t="s">
        <v>8410</v>
      </c>
      <c r="AF3504" s="12" t="s">
        <v>571</v>
      </c>
      <c r="AG3504" s="12" t="s">
        <v>81</v>
      </c>
      <c r="AH3504" s="1">
        <f>HYPERLINK("https://my.pitchbook.com?c=180313-93T","View Company Online")</f>
      </c>
    </row>
    <row r="3505">
      <c r="A3505" s="3" t="s">
        <v>18041</v>
      </c>
      <c r="B3505" s="3" t="s">
        <v>470</v>
      </c>
      <c r="C3505" s="5" t="s">
        <v>36</v>
      </c>
      <c r="D3505" s="5" t="s">
        <v>36</v>
      </c>
      <c r="E3505" s="5" t="s">
        <v>36</v>
      </c>
      <c r="F3505" s="5" t="s">
        <v>36</v>
      </c>
      <c r="G3505" s="6" t="s">
        <v>326</v>
      </c>
      <c r="H3505" s="4">
        <v>37.68</v>
      </c>
      <c r="I3505" s="7">
        <v>12.37</v>
      </c>
      <c r="J3505" s="3" t="s">
        <v>521</v>
      </c>
      <c r="K3505" s="9" t="s">
        <v>36</v>
      </c>
      <c r="L3505" s="6" t="s">
        <v>36</v>
      </c>
      <c r="M3505" s="3" t="s">
        <v>36</v>
      </c>
      <c r="N3505" s="3" t="s">
        <v>36</v>
      </c>
      <c r="O3505" s="8" t="s">
        <v>36</v>
      </c>
      <c r="P3505" s="3" t="s">
        <v>36</v>
      </c>
      <c r="Q3505" s="3" t="s">
        <v>36</v>
      </c>
      <c r="R3505" s="3" t="s">
        <v>36</v>
      </c>
      <c r="S3505" s="3" t="s">
        <v>36</v>
      </c>
      <c r="T3505" s="3" t="s">
        <v>472</v>
      </c>
      <c r="U3505" s="3" t="s">
        <v>38</v>
      </c>
      <c r="V3505" s="3" t="s">
        <v>39</v>
      </c>
      <c r="W3505" s="3" t="s">
        <v>473</v>
      </c>
      <c r="X3505" s="10" t="s">
        <v>18042</v>
      </c>
      <c r="Y3505" s="6" t="s">
        <v>192</v>
      </c>
      <c r="Z3505" s="4">
        <v>30.37</v>
      </c>
      <c r="AA3505" s="4">
        <v>122.73</v>
      </c>
      <c r="AB3505" s="3" t="s">
        <v>56</v>
      </c>
      <c r="AC3505" s="3" t="s">
        <v>476</v>
      </c>
      <c r="AD3505" s="9">
        <v>44173</v>
      </c>
      <c r="AE3505" s="3" t="s">
        <v>110</v>
      </c>
      <c r="AF3505" s="3" t="s">
        <v>477</v>
      </c>
      <c r="AG3505" s="3" t="s">
        <v>81</v>
      </c>
      <c r="AH3505" s="11">
        <f>HYPERLINK("https://my.pitchbook.com?c=164899-54T","View Company Online")</f>
      </c>
    </row>
    <row r="3506">
      <c r="A3506" s="12" t="s">
        <v>18043</v>
      </c>
      <c r="B3506" s="12" t="s">
        <v>13681</v>
      </c>
      <c r="C3506" s="19" t="s">
        <v>36</v>
      </c>
      <c r="D3506" s="19">
        <v>4</v>
      </c>
      <c r="E3506" s="19">
        <v>1</v>
      </c>
      <c r="F3506" s="19">
        <v>5</v>
      </c>
      <c r="G3506" s="15" t="s">
        <v>36</v>
      </c>
      <c r="H3506" s="14" t="s">
        <v>36</v>
      </c>
      <c r="I3506" s="18" t="s">
        <v>36</v>
      </c>
      <c r="J3506" s="12" t="s">
        <v>36</v>
      </c>
      <c r="K3506" s="13" t="s">
        <v>36</v>
      </c>
      <c r="L3506" s="15" t="s">
        <v>94</v>
      </c>
      <c r="M3506" s="12" t="s">
        <v>36</v>
      </c>
      <c r="N3506" s="12" t="s">
        <v>94</v>
      </c>
      <c r="O3506" s="17" t="s">
        <v>36</v>
      </c>
      <c r="P3506" s="12" t="s">
        <v>36</v>
      </c>
      <c r="Q3506" s="12" t="s">
        <v>36</v>
      </c>
      <c r="R3506" s="12" t="s">
        <v>36</v>
      </c>
      <c r="S3506" s="12" t="s">
        <v>36</v>
      </c>
      <c r="T3506" s="12" t="s">
        <v>13682</v>
      </c>
      <c r="U3506" s="12" t="s">
        <v>956</v>
      </c>
      <c r="V3506" s="12" t="s">
        <v>405</v>
      </c>
      <c r="W3506" s="12" t="s">
        <v>13683</v>
      </c>
      <c r="X3506" s="16" t="s">
        <v>18044</v>
      </c>
      <c r="Y3506" s="15" t="s">
        <v>55</v>
      </c>
      <c r="Z3506" s="14">
        <v>59.59</v>
      </c>
      <c r="AA3506" s="14" t="s">
        <v>36</v>
      </c>
      <c r="AB3506" s="12" t="s">
        <v>43</v>
      </c>
      <c r="AC3506" s="12" t="s">
        <v>13685</v>
      </c>
      <c r="AD3506" s="13">
        <v>44172</v>
      </c>
      <c r="AE3506" s="12" t="s">
        <v>13686</v>
      </c>
      <c r="AF3506" s="12" t="s">
        <v>13687</v>
      </c>
      <c r="AG3506" s="12" t="s">
        <v>81</v>
      </c>
      <c r="AH3506" s="1">
        <f>HYPERLINK("https://my.pitchbook.com?c=160606-63T","View Company Online")</f>
      </c>
    </row>
    <row r="3507">
      <c r="A3507" s="3" t="s">
        <v>18045</v>
      </c>
      <c r="B3507" s="3" t="s">
        <v>901</v>
      </c>
      <c r="C3507" s="5" t="s">
        <v>36</v>
      </c>
      <c r="D3507" s="5" t="s">
        <v>36</v>
      </c>
      <c r="E3507" s="5" t="s">
        <v>36</v>
      </c>
      <c r="F3507" s="5" t="s">
        <v>36</v>
      </c>
      <c r="G3507" s="6" t="s">
        <v>326</v>
      </c>
      <c r="H3507" s="4" t="s">
        <v>36</v>
      </c>
      <c r="I3507" s="7">
        <v>35.08</v>
      </c>
      <c r="J3507" s="3" t="s">
        <v>521</v>
      </c>
      <c r="K3507" s="9" t="s">
        <v>36</v>
      </c>
      <c r="L3507" s="6" t="s">
        <v>122</v>
      </c>
      <c r="M3507" s="3" t="s">
        <v>36</v>
      </c>
      <c r="N3507" s="3" t="s">
        <v>122</v>
      </c>
      <c r="O3507" s="8" t="s">
        <v>36</v>
      </c>
      <c r="P3507" s="3" t="s">
        <v>36</v>
      </c>
      <c r="Q3507" s="3" t="s">
        <v>36</v>
      </c>
      <c r="R3507" s="3" t="s">
        <v>36</v>
      </c>
      <c r="S3507" s="3" t="s">
        <v>36</v>
      </c>
      <c r="T3507" s="3" t="s">
        <v>522</v>
      </c>
      <c r="U3507" s="3" t="s">
        <v>38</v>
      </c>
      <c r="V3507" s="3" t="s">
        <v>39</v>
      </c>
      <c r="W3507" s="3" t="s">
        <v>902</v>
      </c>
      <c r="X3507" s="10" t="s">
        <v>18046</v>
      </c>
      <c r="Y3507" s="6" t="s">
        <v>55</v>
      </c>
      <c r="Z3507" s="4">
        <v>9.5</v>
      </c>
      <c r="AA3507" s="4">
        <v>45.12</v>
      </c>
      <c r="AB3507" s="3" t="s">
        <v>56</v>
      </c>
      <c r="AC3507" s="3" t="s">
        <v>904</v>
      </c>
      <c r="AD3507" s="9">
        <v>44168</v>
      </c>
      <c r="AE3507" s="3" t="s">
        <v>110</v>
      </c>
      <c r="AF3507" s="3" t="s">
        <v>905</v>
      </c>
      <c r="AG3507" s="3" t="s">
        <v>81</v>
      </c>
      <c r="AH3507" s="11">
        <f>HYPERLINK("https://my.pitchbook.com?c=137626-84T","View Company Online")</f>
      </c>
    </row>
    <row r="3508">
      <c r="A3508" s="12" t="s">
        <v>18047</v>
      </c>
      <c r="B3508" s="12" t="s">
        <v>3735</v>
      </c>
      <c r="C3508" s="19" t="s">
        <v>36</v>
      </c>
      <c r="D3508" s="19" t="s">
        <v>36</v>
      </c>
      <c r="E3508" s="19" t="s">
        <v>36</v>
      </c>
      <c r="F3508" s="19" t="s">
        <v>36</v>
      </c>
      <c r="G3508" s="15" t="s">
        <v>326</v>
      </c>
      <c r="H3508" s="14">
        <v>0.49</v>
      </c>
      <c r="I3508" s="18">
        <v>22.81</v>
      </c>
      <c r="J3508" s="12" t="s">
        <v>521</v>
      </c>
      <c r="K3508" s="13" t="s">
        <v>36</v>
      </c>
      <c r="L3508" s="15" t="s">
        <v>122</v>
      </c>
      <c r="M3508" s="12" t="s">
        <v>36</v>
      </c>
      <c r="N3508" s="12" t="s">
        <v>122</v>
      </c>
      <c r="O3508" s="17" t="s">
        <v>36</v>
      </c>
      <c r="P3508" s="12" t="s">
        <v>36</v>
      </c>
      <c r="Q3508" s="12" t="s">
        <v>36</v>
      </c>
      <c r="R3508" s="12" t="s">
        <v>36</v>
      </c>
      <c r="S3508" s="12" t="s">
        <v>36</v>
      </c>
      <c r="T3508" s="12" t="s">
        <v>522</v>
      </c>
      <c r="U3508" s="12" t="s">
        <v>38</v>
      </c>
      <c r="V3508" s="12" t="s">
        <v>39</v>
      </c>
      <c r="W3508" s="12" t="s">
        <v>3737</v>
      </c>
      <c r="X3508" s="16" t="s">
        <v>18048</v>
      </c>
      <c r="Y3508" s="15" t="s">
        <v>108</v>
      </c>
      <c r="Z3508" s="14">
        <v>24.27</v>
      </c>
      <c r="AA3508" s="14">
        <v>92.14</v>
      </c>
      <c r="AB3508" s="12" t="s">
        <v>43</v>
      </c>
      <c r="AC3508" s="12" t="s">
        <v>3739</v>
      </c>
      <c r="AD3508" s="13">
        <v>44168</v>
      </c>
      <c r="AE3508" s="12" t="s">
        <v>110</v>
      </c>
      <c r="AF3508" s="12" t="s">
        <v>3740</v>
      </c>
      <c r="AG3508" s="12" t="s">
        <v>81</v>
      </c>
      <c r="AH3508" s="1">
        <f>HYPERLINK("https://my.pitchbook.com?c=160501-78T","View Company Online")</f>
      </c>
    </row>
    <row r="3509">
      <c r="A3509" s="3" t="s">
        <v>18049</v>
      </c>
      <c r="B3509" s="3" t="s">
        <v>18050</v>
      </c>
      <c r="C3509" s="5" t="s">
        <v>36</v>
      </c>
      <c r="D3509" s="5" t="s">
        <v>36</v>
      </c>
      <c r="E3509" s="5" t="s">
        <v>36</v>
      </c>
      <c r="F3509" s="5" t="s">
        <v>36</v>
      </c>
      <c r="G3509" s="6" t="s">
        <v>36</v>
      </c>
      <c r="H3509" s="4" t="s">
        <v>36</v>
      </c>
      <c r="I3509" s="7" t="s">
        <v>36</v>
      </c>
      <c r="J3509" s="3" t="s">
        <v>36</v>
      </c>
      <c r="K3509" s="9" t="s">
        <v>36</v>
      </c>
      <c r="L3509" s="6" t="s">
        <v>122</v>
      </c>
      <c r="M3509" s="3" t="s">
        <v>36</v>
      </c>
      <c r="N3509" s="3" t="s">
        <v>122</v>
      </c>
      <c r="O3509" s="8" t="s">
        <v>36</v>
      </c>
      <c r="P3509" s="3" t="s">
        <v>36</v>
      </c>
      <c r="Q3509" s="3" t="s">
        <v>36</v>
      </c>
      <c r="R3509" s="3" t="s">
        <v>36</v>
      </c>
      <c r="S3509" s="3" t="s">
        <v>36</v>
      </c>
      <c r="T3509" s="3" t="s">
        <v>1350</v>
      </c>
      <c r="U3509" s="3" t="s">
        <v>38</v>
      </c>
      <c r="V3509" s="3" t="s">
        <v>39</v>
      </c>
      <c r="W3509" s="3" t="s">
        <v>18051</v>
      </c>
      <c r="X3509" s="10" t="s">
        <v>18052</v>
      </c>
      <c r="Y3509" s="6" t="s">
        <v>42</v>
      </c>
      <c r="Z3509" s="4">
        <v>3</v>
      </c>
      <c r="AA3509" s="4" t="s">
        <v>36</v>
      </c>
      <c r="AB3509" s="3" t="s">
        <v>43</v>
      </c>
      <c r="AC3509" s="3" t="s">
        <v>18053</v>
      </c>
      <c r="AD3509" s="9">
        <v>44168</v>
      </c>
      <c r="AE3509" s="3" t="s">
        <v>785</v>
      </c>
      <c r="AF3509" s="3" t="s">
        <v>1331</v>
      </c>
      <c r="AG3509" s="3" t="s">
        <v>81</v>
      </c>
      <c r="AH3509" s="11">
        <f>HYPERLINK("https://my.pitchbook.com?c=176327-56T","View Company Online")</f>
      </c>
    </row>
    <row r="3510">
      <c r="A3510" s="12" t="s">
        <v>18054</v>
      </c>
      <c r="B3510" s="12" t="s">
        <v>6144</v>
      </c>
      <c r="C3510" s="19">
        <v>5</v>
      </c>
      <c r="D3510" s="19" t="s">
        <v>36</v>
      </c>
      <c r="E3510" s="19">
        <v>2</v>
      </c>
      <c r="F3510" s="19">
        <v>6</v>
      </c>
      <c r="G3510" s="15" t="s">
        <v>36</v>
      </c>
      <c r="H3510" s="14">
        <v>27</v>
      </c>
      <c r="I3510" s="18">
        <v>47.31</v>
      </c>
      <c r="J3510" s="12" t="s">
        <v>521</v>
      </c>
      <c r="K3510" s="13" t="s">
        <v>36</v>
      </c>
      <c r="L3510" s="15" t="s">
        <v>122</v>
      </c>
      <c r="M3510" s="12" t="s">
        <v>36</v>
      </c>
      <c r="N3510" s="12" t="s">
        <v>122</v>
      </c>
      <c r="O3510" s="17" t="s">
        <v>36</v>
      </c>
      <c r="P3510" s="12" t="s">
        <v>36</v>
      </c>
      <c r="Q3510" s="12" t="s">
        <v>36</v>
      </c>
      <c r="R3510" s="12" t="s">
        <v>36</v>
      </c>
      <c r="S3510" s="12" t="s">
        <v>36</v>
      </c>
      <c r="T3510" s="12" t="s">
        <v>6145</v>
      </c>
      <c r="U3510" s="12" t="s">
        <v>74</v>
      </c>
      <c r="V3510" s="12" t="s">
        <v>75</v>
      </c>
      <c r="W3510" s="12" t="s">
        <v>6146</v>
      </c>
      <c r="X3510" s="16" t="s">
        <v>18055</v>
      </c>
      <c r="Y3510" s="15" t="s">
        <v>108</v>
      </c>
      <c r="Z3510" s="14">
        <v>2.23</v>
      </c>
      <c r="AA3510" s="14">
        <v>4.72</v>
      </c>
      <c r="AB3510" s="12" t="s">
        <v>43</v>
      </c>
      <c r="AC3510" s="12" t="s">
        <v>6148</v>
      </c>
      <c r="AD3510" s="13">
        <v>44168</v>
      </c>
      <c r="AE3510" s="12" t="s">
        <v>1888</v>
      </c>
      <c r="AF3510" s="12" t="s">
        <v>6149</v>
      </c>
      <c r="AG3510" s="12" t="s">
        <v>6150</v>
      </c>
      <c r="AH3510" s="1">
        <f>HYPERLINK("https://my.pitchbook.com?c=160934-50T","View Company Online")</f>
      </c>
    </row>
    <row r="3511">
      <c r="A3511" s="3" t="s">
        <v>18056</v>
      </c>
      <c r="B3511" s="3" t="s">
        <v>8286</v>
      </c>
      <c r="C3511" s="5" t="s">
        <v>36</v>
      </c>
      <c r="D3511" s="5" t="s">
        <v>36</v>
      </c>
      <c r="E3511" s="5" t="s">
        <v>36</v>
      </c>
      <c r="F3511" s="5" t="s">
        <v>36</v>
      </c>
      <c r="G3511" s="6" t="s">
        <v>326</v>
      </c>
      <c r="H3511" s="4" t="s">
        <v>36</v>
      </c>
      <c r="I3511" s="7">
        <v>25.86</v>
      </c>
      <c r="J3511" s="3" t="s">
        <v>327</v>
      </c>
      <c r="K3511" s="9" t="s">
        <v>36</v>
      </c>
      <c r="L3511" s="6" t="s">
        <v>36</v>
      </c>
      <c r="M3511" s="3" t="s">
        <v>36</v>
      </c>
      <c r="N3511" s="3" t="s">
        <v>36</v>
      </c>
      <c r="O3511" s="8" t="s">
        <v>36</v>
      </c>
      <c r="P3511" s="3" t="s">
        <v>36</v>
      </c>
      <c r="Q3511" s="3" t="s">
        <v>36</v>
      </c>
      <c r="R3511" s="3" t="s">
        <v>36</v>
      </c>
      <c r="S3511" s="3" t="s">
        <v>36</v>
      </c>
      <c r="T3511" s="3" t="s">
        <v>8287</v>
      </c>
      <c r="U3511" s="3" t="s">
        <v>180</v>
      </c>
      <c r="V3511" s="3" t="s">
        <v>52</v>
      </c>
      <c r="W3511" s="3" t="s">
        <v>8288</v>
      </c>
      <c r="X3511" s="10" t="s">
        <v>8289</v>
      </c>
      <c r="Y3511" s="6" t="s">
        <v>1067</v>
      </c>
      <c r="Z3511" s="4">
        <v>8.3</v>
      </c>
      <c r="AA3511" s="4">
        <v>32.1</v>
      </c>
      <c r="AB3511" s="3" t="s">
        <v>56</v>
      </c>
      <c r="AC3511" s="3" t="s">
        <v>8290</v>
      </c>
      <c r="AD3511" s="9">
        <v>44167</v>
      </c>
      <c r="AE3511" s="3" t="s">
        <v>8291</v>
      </c>
      <c r="AF3511" s="3" t="s">
        <v>101</v>
      </c>
      <c r="AG3511" s="3" t="s">
        <v>787</v>
      </c>
      <c r="AH3511" s="11">
        <f>HYPERLINK("https://my.pitchbook.com?c=219315-25T","View Company Online")</f>
      </c>
    </row>
    <row r="3512">
      <c r="A3512" s="12" t="s">
        <v>18057</v>
      </c>
      <c r="B3512" s="12" t="s">
        <v>9829</v>
      </c>
      <c r="C3512" s="19" t="s">
        <v>36</v>
      </c>
      <c r="D3512" s="19">
        <v>6</v>
      </c>
      <c r="E3512" s="19">
        <v>1</v>
      </c>
      <c r="F3512" s="19">
        <v>6</v>
      </c>
      <c r="G3512" s="15" t="s">
        <v>326</v>
      </c>
      <c r="H3512" s="14">
        <v>20.77</v>
      </c>
      <c r="I3512" s="18">
        <v>12.38</v>
      </c>
      <c r="J3512" s="12" t="s">
        <v>521</v>
      </c>
      <c r="K3512" s="13" t="s">
        <v>36</v>
      </c>
      <c r="L3512" s="15" t="s">
        <v>36</v>
      </c>
      <c r="M3512" s="12" t="s">
        <v>36</v>
      </c>
      <c r="N3512" s="12" t="s">
        <v>36</v>
      </c>
      <c r="O3512" s="17" t="s">
        <v>36</v>
      </c>
      <c r="P3512" s="12" t="s">
        <v>36</v>
      </c>
      <c r="Q3512" s="12" t="s">
        <v>36</v>
      </c>
      <c r="R3512" s="12" t="s">
        <v>36</v>
      </c>
      <c r="S3512" s="12" t="s">
        <v>36</v>
      </c>
      <c r="T3512" s="12" t="s">
        <v>9830</v>
      </c>
      <c r="U3512" s="12" t="s">
        <v>1082</v>
      </c>
      <c r="V3512" s="12" t="s">
        <v>378</v>
      </c>
      <c r="W3512" s="12" t="s">
        <v>9831</v>
      </c>
      <c r="X3512" s="16" t="s">
        <v>18058</v>
      </c>
      <c r="Y3512" s="15" t="s">
        <v>108</v>
      </c>
      <c r="Z3512" s="14">
        <v>0.44</v>
      </c>
      <c r="AA3512" s="14">
        <v>3.54</v>
      </c>
      <c r="AB3512" s="12" t="s">
        <v>43</v>
      </c>
      <c r="AC3512" s="12" t="s">
        <v>9833</v>
      </c>
      <c r="AD3512" s="13">
        <v>44167</v>
      </c>
      <c r="AE3512" s="12" t="s">
        <v>1086</v>
      </c>
      <c r="AF3512" s="12" t="s">
        <v>2673</v>
      </c>
      <c r="AG3512" s="12" t="s">
        <v>8790</v>
      </c>
      <c r="AH3512" s="1">
        <f>HYPERLINK("https://my.pitchbook.com?c=206354-44T","View Company Online")</f>
      </c>
    </row>
    <row r="3513">
      <c r="A3513" s="3" t="s">
        <v>18059</v>
      </c>
      <c r="B3513" s="3" t="s">
        <v>18060</v>
      </c>
      <c r="C3513" s="5">
        <v>1</v>
      </c>
      <c r="D3513" s="5">
        <v>2</v>
      </c>
      <c r="E3513" s="5">
        <v>2</v>
      </c>
      <c r="F3513" s="5">
        <v>3</v>
      </c>
      <c r="G3513" s="6" t="s">
        <v>36</v>
      </c>
      <c r="H3513" s="4">
        <v>270.74</v>
      </c>
      <c r="I3513" s="7">
        <v>6.41</v>
      </c>
      <c r="J3513" s="3" t="s">
        <v>521</v>
      </c>
      <c r="K3513" s="9" t="s">
        <v>36</v>
      </c>
      <c r="L3513" s="6" t="s">
        <v>36</v>
      </c>
      <c r="M3513" s="3" t="s">
        <v>36</v>
      </c>
      <c r="N3513" s="3" t="s">
        <v>36</v>
      </c>
      <c r="O3513" s="8" t="s">
        <v>36</v>
      </c>
      <c r="P3513" s="3" t="s">
        <v>36</v>
      </c>
      <c r="Q3513" s="3" t="s">
        <v>36</v>
      </c>
      <c r="R3513" s="3" t="s">
        <v>36</v>
      </c>
      <c r="S3513" s="3" t="s">
        <v>36</v>
      </c>
      <c r="T3513" s="3" t="s">
        <v>18061</v>
      </c>
      <c r="U3513" s="3" t="s">
        <v>74</v>
      </c>
      <c r="V3513" s="3" t="s">
        <v>75</v>
      </c>
      <c r="W3513" s="3" t="s">
        <v>18062</v>
      </c>
      <c r="X3513" s="10" t="s">
        <v>17838</v>
      </c>
      <c r="Y3513" s="6" t="s">
        <v>42</v>
      </c>
      <c r="Z3513" s="4">
        <v>2.37</v>
      </c>
      <c r="AA3513" s="4">
        <v>37</v>
      </c>
      <c r="AB3513" s="3" t="s">
        <v>56</v>
      </c>
      <c r="AC3513" s="3" t="s">
        <v>18063</v>
      </c>
      <c r="AD3513" s="9">
        <v>44167</v>
      </c>
      <c r="AE3513" s="3" t="s">
        <v>975</v>
      </c>
      <c r="AF3513" s="3" t="s">
        <v>36</v>
      </c>
      <c r="AG3513" s="3" t="s">
        <v>18064</v>
      </c>
      <c r="AH3513" s="11">
        <f>HYPERLINK("https://my.pitchbook.com?c=228554-38T","View Company Online")</f>
      </c>
    </row>
    <row r="3514">
      <c r="A3514" s="12" t="s">
        <v>18065</v>
      </c>
      <c r="B3514" s="12" t="s">
        <v>14015</v>
      </c>
      <c r="C3514" s="19" t="s">
        <v>36</v>
      </c>
      <c r="D3514" s="19" t="s">
        <v>36</v>
      </c>
      <c r="E3514" s="19" t="s">
        <v>36</v>
      </c>
      <c r="F3514" s="19" t="s">
        <v>36</v>
      </c>
      <c r="G3514" s="15" t="s">
        <v>326</v>
      </c>
      <c r="H3514" s="14">
        <v>789.34</v>
      </c>
      <c r="I3514" s="18">
        <v>20.83</v>
      </c>
      <c r="J3514" s="12" t="s">
        <v>521</v>
      </c>
      <c r="K3514" s="13">
        <v>44155</v>
      </c>
      <c r="L3514" s="15" t="s">
        <v>122</v>
      </c>
      <c r="M3514" s="12" t="s">
        <v>36</v>
      </c>
      <c r="N3514" s="12" t="s">
        <v>122</v>
      </c>
      <c r="O3514" s="17" t="s">
        <v>36</v>
      </c>
      <c r="P3514" s="12" t="s">
        <v>36</v>
      </c>
      <c r="Q3514" s="12" t="s">
        <v>36</v>
      </c>
      <c r="R3514" s="12" t="s">
        <v>36</v>
      </c>
      <c r="S3514" s="12" t="s">
        <v>36</v>
      </c>
      <c r="T3514" s="12" t="s">
        <v>2044</v>
      </c>
      <c r="U3514" s="12" t="s">
        <v>74</v>
      </c>
      <c r="V3514" s="12" t="s">
        <v>75</v>
      </c>
      <c r="W3514" s="12" t="s">
        <v>14016</v>
      </c>
      <c r="X3514" s="16" t="s">
        <v>18066</v>
      </c>
      <c r="Y3514" s="15" t="s">
        <v>108</v>
      </c>
      <c r="Z3514" s="14">
        <v>29.61</v>
      </c>
      <c r="AA3514" s="14">
        <v>142.14</v>
      </c>
      <c r="AB3514" s="12" t="s">
        <v>43</v>
      </c>
      <c r="AC3514" s="12" t="s">
        <v>14018</v>
      </c>
      <c r="AD3514" s="13">
        <v>44166</v>
      </c>
      <c r="AE3514" s="12" t="s">
        <v>79</v>
      </c>
      <c r="AF3514" s="12" t="s">
        <v>90</v>
      </c>
      <c r="AG3514" s="12" t="s">
        <v>81</v>
      </c>
      <c r="AH3514" s="1">
        <f>HYPERLINK("https://my.pitchbook.com?c=160342-57T","View Company Online")</f>
      </c>
    </row>
    <row r="3515">
      <c r="A3515" s="3" t="s">
        <v>18067</v>
      </c>
      <c r="B3515" s="3" t="s">
        <v>18068</v>
      </c>
      <c r="C3515" s="5">
        <v>1</v>
      </c>
      <c r="D3515" s="5">
        <v>2</v>
      </c>
      <c r="E3515" s="5">
        <v>1</v>
      </c>
      <c r="F3515" s="5">
        <v>3</v>
      </c>
      <c r="G3515" s="6" t="s">
        <v>683</v>
      </c>
      <c r="H3515" s="4">
        <v>23.2</v>
      </c>
      <c r="I3515" s="7">
        <v>32.32</v>
      </c>
      <c r="J3515" s="3" t="s">
        <v>521</v>
      </c>
      <c r="K3515" s="9" t="s">
        <v>36</v>
      </c>
      <c r="L3515" s="6" t="s">
        <v>36</v>
      </c>
      <c r="M3515" s="3" t="s">
        <v>36</v>
      </c>
      <c r="N3515" s="3" t="s">
        <v>36</v>
      </c>
      <c r="O3515" s="8" t="s">
        <v>36</v>
      </c>
      <c r="P3515" s="3" t="s">
        <v>36</v>
      </c>
      <c r="Q3515" s="3" t="s">
        <v>36</v>
      </c>
      <c r="R3515" s="3" t="s">
        <v>36</v>
      </c>
      <c r="S3515" s="3" t="s">
        <v>36</v>
      </c>
      <c r="T3515" s="3" t="s">
        <v>2647</v>
      </c>
      <c r="U3515" s="3" t="s">
        <v>85</v>
      </c>
      <c r="V3515" s="3" t="s">
        <v>64</v>
      </c>
      <c r="W3515" s="3" t="s">
        <v>18069</v>
      </c>
      <c r="X3515" s="10" t="s">
        <v>18070</v>
      </c>
      <c r="Y3515" s="6" t="s">
        <v>108</v>
      </c>
      <c r="Z3515" s="4">
        <v>1.41</v>
      </c>
      <c r="AA3515" s="4">
        <v>4.38</v>
      </c>
      <c r="AB3515" s="3" t="s">
        <v>56</v>
      </c>
      <c r="AC3515" s="3" t="s">
        <v>18071</v>
      </c>
      <c r="AD3515" s="9">
        <v>44166</v>
      </c>
      <c r="AE3515" s="3" t="s">
        <v>1822</v>
      </c>
      <c r="AF3515" s="3" t="s">
        <v>36</v>
      </c>
      <c r="AG3515" s="3" t="s">
        <v>1601</v>
      </c>
      <c r="AH3515" s="11">
        <f>HYPERLINK("https://my.pitchbook.com?c=164810-89T","View Company Online")</f>
      </c>
    </row>
    <row r="3516">
      <c r="A3516" s="12" t="s">
        <v>18072</v>
      </c>
      <c r="B3516" s="12" t="s">
        <v>18073</v>
      </c>
      <c r="C3516" s="19" t="s">
        <v>36</v>
      </c>
      <c r="D3516" s="19" t="s">
        <v>36</v>
      </c>
      <c r="E3516" s="19" t="s">
        <v>36</v>
      </c>
      <c r="F3516" s="19" t="s">
        <v>36</v>
      </c>
      <c r="G3516" s="15" t="s">
        <v>326</v>
      </c>
      <c r="H3516" s="14">
        <v>77.86</v>
      </c>
      <c r="I3516" s="18">
        <v>22.74</v>
      </c>
      <c r="J3516" s="12" t="s">
        <v>521</v>
      </c>
      <c r="K3516" s="13" t="s">
        <v>36</v>
      </c>
      <c r="L3516" s="15" t="s">
        <v>122</v>
      </c>
      <c r="M3516" s="12" t="s">
        <v>36</v>
      </c>
      <c r="N3516" s="12" t="s">
        <v>122</v>
      </c>
      <c r="O3516" s="17" t="s">
        <v>36</v>
      </c>
      <c r="P3516" s="12" t="s">
        <v>36</v>
      </c>
      <c r="Q3516" s="12" t="s">
        <v>36</v>
      </c>
      <c r="R3516" s="12" t="s">
        <v>36</v>
      </c>
      <c r="S3516" s="12" t="s">
        <v>36</v>
      </c>
      <c r="T3516" s="12" t="s">
        <v>14989</v>
      </c>
      <c r="U3516" s="12" t="s">
        <v>51</v>
      </c>
      <c r="V3516" s="12" t="s">
        <v>52</v>
      </c>
      <c r="W3516" s="12" t="s">
        <v>18074</v>
      </c>
      <c r="X3516" s="16" t="s">
        <v>1840</v>
      </c>
      <c r="Y3516" s="15" t="s">
        <v>108</v>
      </c>
      <c r="Z3516" s="14">
        <v>1.66</v>
      </c>
      <c r="AA3516" s="14">
        <v>4.43</v>
      </c>
      <c r="AB3516" s="12" t="s">
        <v>43</v>
      </c>
      <c r="AC3516" s="12" t="s">
        <v>18075</v>
      </c>
      <c r="AD3516" s="13">
        <v>44166</v>
      </c>
      <c r="AE3516" s="12" t="s">
        <v>158</v>
      </c>
      <c r="AF3516" s="12" t="s">
        <v>159</v>
      </c>
      <c r="AG3516" s="12" t="s">
        <v>991</v>
      </c>
      <c r="AH3516" s="1">
        <f>HYPERLINK("https://my.pitchbook.com?c=177043-33T","View Company Online")</f>
      </c>
    </row>
    <row r="3517">
      <c r="A3517" s="3" t="s">
        <v>18076</v>
      </c>
      <c r="B3517" s="3" t="s">
        <v>18077</v>
      </c>
      <c r="C3517" s="5" t="s">
        <v>36</v>
      </c>
      <c r="D3517" s="5" t="s">
        <v>36</v>
      </c>
      <c r="E3517" s="5" t="s">
        <v>36</v>
      </c>
      <c r="F3517" s="5" t="s">
        <v>36</v>
      </c>
      <c r="G3517" s="6" t="s">
        <v>36</v>
      </c>
      <c r="H3517" s="4" t="s">
        <v>36</v>
      </c>
      <c r="I3517" s="7" t="s">
        <v>36</v>
      </c>
      <c r="J3517" s="3" t="s">
        <v>36</v>
      </c>
      <c r="K3517" s="9" t="s">
        <v>36</v>
      </c>
      <c r="L3517" s="6" t="s">
        <v>36</v>
      </c>
      <c r="M3517" s="3" t="s">
        <v>36</v>
      </c>
      <c r="N3517" s="3" t="s">
        <v>36</v>
      </c>
      <c r="O3517" s="8" t="s">
        <v>36</v>
      </c>
      <c r="P3517" s="3" t="s">
        <v>36</v>
      </c>
      <c r="Q3517" s="3" t="s">
        <v>36</v>
      </c>
      <c r="R3517" s="3" t="s">
        <v>36</v>
      </c>
      <c r="S3517" s="3" t="s">
        <v>36</v>
      </c>
      <c r="T3517" s="3" t="s">
        <v>4911</v>
      </c>
      <c r="U3517" s="3" t="s">
        <v>63</v>
      </c>
      <c r="V3517" s="3" t="s">
        <v>64</v>
      </c>
      <c r="W3517" s="3" t="s">
        <v>18078</v>
      </c>
      <c r="X3517" s="10" t="s">
        <v>18079</v>
      </c>
      <c r="Y3517" s="6" t="s">
        <v>42</v>
      </c>
      <c r="Z3517" s="4" t="s">
        <v>36</v>
      </c>
      <c r="AA3517" s="4" t="s">
        <v>36</v>
      </c>
      <c r="AB3517" s="3" t="s">
        <v>43</v>
      </c>
      <c r="AC3517" s="3" t="s">
        <v>18080</v>
      </c>
      <c r="AD3517" s="9">
        <v>44166</v>
      </c>
      <c r="AE3517" s="3" t="s">
        <v>399</v>
      </c>
      <c r="AF3517" s="3" t="s">
        <v>36</v>
      </c>
      <c r="AG3517" s="3" t="s">
        <v>18081</v>
      </c>
      <c r="AH3517" s="11">
        <f>HYPERLINK("https://my.pitchbook.com?c=164849-95T","View Company Online")</f>
      </c>
    </row>
    <row r="3518">
      <c r="A3518" s="12" t="s">
        <v>18082</v>
      </c>
      <c r="B3518" s="12" t="s">
        <v>18083</v>
      </c>
      <c r="C3518" s="19">
        <v>24</v>
      </c>
      <c r="D3518" s="19">
        <v>68</v>
      </c>
      <c r="E3518" s="19">
        <v>14</v>
      </c>
      <c r="F3518" s="19">
        <v>98</v>
      </c>
      <c r="G3518" s="15" t="s">
        <v>326</v>
      </c>
      <c r="H3518" s="14">
        <v>36.79</v>
      </c>
      <c r="I3518" s="18">
        <v>56.1</v>
      </c>
      <c r="J3518" s="12" t="s">
        <v>521</v>
      </c>
      <c r="K3518" s="13" t="s">
        <v>36</v>
      </c>
      <c r="L3518" s="15" t="s">
        <v>94</v>
      </c>
      <c r="M3518" s="12" t="s">
        <v>36</v>
      </c>
      <c r="N3518" s="12" t="s">
        <v>94</v>
      </c>
      <c r="O3518" s="17" t="s">
        <v>36</v>
      </c>
      <c r="P3518" s="12" t="s">
        <v>36</v>
      </c>
      <c r="Q3518" s="12" t="s">
        <v>36</v>
      </c>
      <c r="R3518" s="12" t="s">
        <v>36</v>
      </c>
      <c r="S3518" s="12" t="s">
        <v>36</v>
      </c>
      <c r="T3518" s="12" t="s">
        <v>881</v>
      </c>
      <c r="U3518" s="12" t="s">
        <v>51</v>
      </c>
      <c r="V3518" s="12" t="s">
        <v>52</v>
      </c>
      <c r="W3518" s="12" t="s">
        <v>18084</v>
      </c>
      <c r="X3518" s="16" t="s">
        <v>18085</v>
      </c>
      <c r="Y3518" s="15" t="s">
        <v>192</v>
      </c>
      <c r="Z3518" s="14">
        <v>31.01</v>
      </c>
      <c r="AA3518" s="14">
        <v>55.28</v>
      </c>
      <c r="AB3518" s="12" t="s">
        <v>56</v>
      </c>
      <c r="AC3518" s="12" t="s">
        <v>18086</v>
      </c>
      <c r="AD3518" s="13">
        <v>44166</v>
      </c>
      <c r="AE3518" s="12" t="s">
        <v>504</v>
      </c>
      <c r="AF3518" s="12" t="s">
        <v>665</v>
      </c>
      <c r="AG3518" s="12" t="s">
        <v>47</v>
      </c>
      <c r="AH3518" s="1">
        <f>HYPERLINK("https://my.pitchbook.com?c=131323-60T","View Company Online")</f>
      </c>
    </row>
    <row r="3519">
      <c r="A3519" s="3" t="s">
        <v>18087</v>
      </c>
      <c r="B3519" s="3" t="s">
        <v>18088</v>
      </c>
      <c r="C3519" s="5" t="s">
        <v>36</v>
      </c>
      <c r="D3519" s="5" t="s">
        <v>36</v>
      </c>
      <c r="E3519" s="5" t="s">
        <v>36</v>
      </c>
      <c r="F3519" s="5" t="s">
        <v>36</v>
      </c>
      <c r="G3519" s="6" t="s">
        <v>36</v>
      </c>
      <c r="H3519" s="4">
        <v>41.54</v>
      </c>
      <c r="I3519" s="7">
        <v>20</v>
      </c>
      <c r="J3519" s="3" t="s">
        <v>521</v>
      </c>
      <c r="K3519" s="9" t="s">
        <v>36</v>
      </c>
      <c r="L3519" s="6" t="s">
        <v>36</v>
      </c>
      <c r="M3519" s="3" t="s">
        <v>36</v>
      </c>
      <c r="N3519" s="3" t="s">
        <v>36</v>
      </c>
      <c r="O3519" s="8" t="s">
        <v>36</v>
      </c>
      <c r="P3519" s="3" t="s">
        <v>36</v>
      </c>
      <c r="Q3519" s="3" t="s">
        <v>36</v>
      </c>
      <c r="R3519" s="3" t="s">
        <v>36</v>
      </c>
      <c r="S3519" s="3" t="s">
        <v>36</v>
      </c>
      <c r="T3519" s="3" t="s">
        <v>522</v>
      </c>
      <c r="U3519" s="3" t="s">
        <v>38</v>
      </c>
      <c r="V3519" s="3" t="s">
        <v>39</v>
      </c>
      <c r="W3519" s="3" t="s">
        <v>18089</v>
      </c>
      <c r="X3519" s="10" t="s">
        <v>2846</v>
      </c>
      <c r="Y3519" s="6" t="s">
        <v>42</v>
      </c>
      <c r="Z3519" s="4">
        <v>0.12</v>
      </c>
      <c r="AA3519" s="4">
        <v>0.59</v>
      </c>
      <c r="AB3519" s="3" t="s">
        <v>43</v>
      </c>
      <c r="AC3519" s="3" t="s">
        <v>18090</v>
      </c>
      <c r="AD3519" s="9">
        <v>44166</v>
      </c>
      <c r="AE3519" s="3" t="s">
        <v>110</v>
      </c>
      <c r="AF3519" s="3" t="s">
        <v>176</v>
      </c>
      <c r="AG3519" s="3" t="s">
        <v>332</v>
      </c>
      <c r="AH3519" s="11">
        <f>HYPERLINK("https://my.pitchbook.com?c=153868-06T","View Company Online")</f>
      </c>
    </row>
    <row r="3520">
      <c r="A3520" s="12" t="s">
        <v>18091</v>
      </c>
      <c r="B3520" s="12" t="s">
        <v>6743</v>
      </c>
      <c r="C3520" s="19">
        <v>1</v>
      </c>
      <c r="D3520" s="19" t="s">
        <v>36</v>
      </c>
      <c r="E3520" s="19">
        <v>1</v>
      </c>
      <c r="F3520" s="19">
        <v>1</v>
      </c>
      <c r="G3520" s="15" t="s">
        <v>36</v>
      </c>
      <c r="H3520" s="14">
        <v>373.88</v>
      </c>
      <c r="I3520" s="18">
        <v>28.21</v>
      </c>
      <c r="J3520" s="12" t="s">
        <v>521</v>
      </c>
      <c r="K3520" s="13" t="s">
        <v>36</v>
      </c>
      <c r="L3520" s="15" t="s">
        <v>36</v>
      </c>
      <c r="M3520" s="12" t="s">
        <v>36</v>
      </c>
      <c r="N3520" s="12" t="s">
        <v>36</v>
      </c>
      <c r="O3520" s="17" t="s">
        <v>36</v>
      </c>
      <c r="P3520" s="12" t="s">
        <v>36</v>
      </c>
      <c r="Q3520" s="12" t="s">
        <v>36</v>
      </c>
      <c r="R3520" s="12" t="s">
        <v>36</v>
      </c>
      <c r="S3520" s="12" t="s">
        <v>36</v>
      </c>
      <c r="T3520" s="12" t="s">
        <v>2490</v>
      </c>
      <c r="U3520" s="12" t="s">
        <v>318</v>
      </c>
      <c r="V3520" s="12" t="s">
        <v>39</v>
      </c>
      <c r="W3520" s="12" t="s">
        <v>6744</v>
      </c>
      <c r="X3520" s="16" t="s">
        <v>18092</v>
      </c>
      <c r="Y3520" s="15" t="s">
        <v>42</v>
      </c>
      <c r="Z3520" s="14">
        <v>3.55</v>
      </c>
      <c r="AA3520" s="14">
        <v>5.98</v>
      </c>
      <c r="AB3520" s="12" t="s">
        <v>43</v>
      </c>
      <c r="AC3520" s="12" t="s">
        <v>6746</v>
      </c>
      <c r="AD3520" s="13">
        <v>44166</v>
      </c>
      <c r="AE3520" s="12" t="s">
        <v>417</v>
      </c>
      <c r="AF3520" s="12" t="s">
        <v>6747</v>
      </c>
      <c r="AG3520" s="12" t="s">
        <v>355</v>
      </c>
      <c r="AH3520" s="1">
        <f>HYPERLINK("https://my.pitchbook.com?c=166198-96T","View Company Online")</f>
      </c>
    </row>
    <row r="3521">
      <c r="A3521" s="3" t="s">
        <v>18093</v>
      </c>
      <c r="B3521" s="3" t="s">
        <v>18094</v>
      </c>
      <c r="C3521" s="5" t="s">
        <v>36</v>
      </c>
      <c r="D3521" s="5" t="s">
        <v>36</v>
      </c>
      <c r="E3521" s="5" t="s">
        <v>36</v>
      </c>
      <c r="F3521" s="5" t="s">
        <v>36</v>
      </c>
      <c r="G3521" s="6" t="s">
        <v>36</v>
      </c>
      <c r="H3521" s="4" t="s">
        <v>36</v>
      </c>
      <c r="I3521" s="7" t="s">
        <v>36</v>
      </c>
      <c r="J3521" s="3" t="s">
        <v>36</v>
      </c>
      <c r="K3521" s="9" t="s">
        <v>36</v>
      </c>
      <c r="L3521" s="6" t="s">
        <v>36</v>
      </c>
      <c r="M3521" s="3" t="s">
        <v>36</v>
      </c>
      <c r="N3521" s="3" t="s">
        <v>36</v>
      </c>
      <c r="O3521" s="8" t="s">
        <v>36</v>
      </c>
      <c r="P3521" s="3" t="s">
        <v>36</v>
      </c>
      <c r="Q3521" s="3" t="s">
        <v>36</v>
      </c>
      <c r="R3521" s="3" t="s">
        <v>36</v>
      </c>
      <c r="S3521" s="3" t="s">
        <v>36</v>
      </c>
      <c r="T3521" s="3" t="s">
        <v>105</v>
      </c>
      <c r="U3521" s="3" t="s">
        <v>38</v>
      </c>
      <c r="V3521" s="3" t="s">
        <v>39</v>
      </c>
      <c r="W3521" s="3" t="s">
        <v>18095</v>
      </c>
      <c r="X3521" s="10" t="s">
        <v>18096</v>
      </c>
      <c r="Y3521" s="6" t="s">
        <v>42</v>
      </c>
      <c r="Z3521" s="4">
        <v>0.77</v>
      </c>
      <c r="AA3521" s="4" t="s">
        <v>36</v>
      </c>
      <c r="AB3521" s="3" t="s">
        <v>56</v>
      </c>
      <c r="AC3521" s="3" t="s">
        <v>18097</v>
      </c>
      <c r="AD3521" s="9">
        <v>44166</v>
      </c>
      <c r="AE3521" s="3" t="s">
        <v>110</v>
      </c>
      <c r="AF3521" s="3" t="s">
        <v>546</v>
      </c>
      <c r="AG3521" s="3" t="s">
        <v>13639</v>
      </c>
      <c r="AH3521" s="11">
        <f>HYPERLINK("https://my.pitchbook.com?c=174023-74T","View Company Online")</f>
      </c>
    </row>
    <row r="3522">
      <c r="A3522" s="12" t="s">
        <v>18098</v>
      </c>
      <c r="B3522" s="12" t="s">
        <v>18099</v>
      </c>
      <c r="C3522" s="19" t="s">
        <v>36</v>
      </c>
      <c r="D3522" s="19" t="s">
        <v>36</v>
      </c>
      <c r="E3522" s="19" t="s">
        <v>36</v>
      </c>
      <c r="F3522" s="19" t="s">
        <v>36</v>
      </c>
      <c r="G3522" s="15" t="s">
        <v>36</v>
      </c>
      <c r="H3522" s="14">
        <v>415.43</v>
      </c>
      <c r="I3522" s="18">
        <v>20</v>
      </c>
      <c r="J3522" s="12" t="s">
        <v>521</v>
      </c>
      <c r="K3522" s="13" t="s">
        <v>36</v>
      </c>
      <c r="L3522" s="15" t="s">
        <v>36</v>
      </c>
      <c r="M3522" s="12" t="s">
        <v>36</v>
      </c>
      <c r="N3522" s="12" t="s">
        <v>36</v>
      </c>
      <c r="O3522" s="17" t="s">
        <v>36</v>
      </c>
      <c r="P3522" s="12" t="s">
        <v>36</v>
      </c>
      <c r="Q3522" s="12" t="s">
        <v>36</v>
      </c>
      <c r="R3522" s="12" t="s">
        <v>36</v>
      </c>
      <c r="S3522" s="12" t="s">
        <v>36</v>
      </c>
      <c r="T3522" s="12" t="s">
        <v>522</v>
      </c>
      <c r="U3522" s="12" t="s">
        <v>38</v>
      </c>
      <c r="V3522" s="12" t="s">
        <v>39</v>
      </c>
      <c r="W3522" s="12" t="s">
        <v>18100</v>
      </c>
      <c r="X3522" s="16" t="s">
        <v>18101</v>
      </c>
      <c r="Y3522" s="15" t="s">
        <v>42</v>
      </c>
      <c r="Z3522" s="14">
        <v>0.59</v>
      </c>
      <c r="AA3522" s="14">
        <v>2.96</v>
      </c>
      <c r="AB3522" s="12" t="s">
        <v>56</v>
      </c>
      <c r="AC3522" s="12" t="s">
        <v>18102</v>
      </c>
      <c r="AD3522" s="13">
        <v>44166</v>
      </c>
      <c r="AE3522" s="12" t="s">
        <v>110</v>
      </c>
      <c r="AF3522" s="12" t="s">
        <v>18103</v>
      </c>
      <c r="AG3522" s="12" t="s">
        <v>18104</v>
      </c>
      <c r="AH3522" s="1">
        <f>HYPERLINK("https://my.pitchbook.com?c=166535-83T","View Company Online")</f>
      </c>
    </row>
    <row r="3523">
      <c r="A3523" s="3" t="s">
        <v>18105</v>
      </c>
      <c r="B3523" s="3" t="s">
        <v>18106</v>
      </c>
      <c r="C3523" s="5" t="s">
        <v>36</v>
      </c>
      <c r="D3523" s="5" t="s">
        <v>36</v>
      </c>
      <c r="E3523" s="5" t="s">
        <v>36</v>
      </c>
      <c r="F3523" s="5" t="s">
        <v>36</v>
      </c>
      <c r="G3523" s="6" t="s">
        <v>36</v>
      </c>
      <c r="H3523" s="4" t="s">
        <v>36</v>
      </c>
      <c r="I3523" s="7" t="s">
        <v>36</v>
      </c>
      <c r="J3523" s="3" t="s">
        <v>36</v>
      </c>
      <c r="K3523" s="9" t="s">
        <v>36</v>
      </c>
      <c r="L3523" s="6" t="s">
        <v>36</v>
      </c>
      <c r="M3523" s="3" t="s">
        <v>36</v>
      </c>
      <c r="N3523" s="3" t="s">
        <v>36</v>
      </c>
      <c r="O3523" s="8" t="s">
        <v>36</v>
      </c>
      <c r="P3523" s="3" t="s">
        <v>36</v>
      </c>
      <c r="Q3523" s="3" t="s">
        <v>36</v>
      </c>
      <c r="R3523" s="3" t="s">
        <v>36</v>
      </c>
      <c r="S3523" s="3" t="s">
        <v>36</v>
      </c>
      <c r="T3523" s="3" t="s">
        <v>5302</v>
      </c>
      <c r="U3523" s="3" t="s">
        <v>74</v>
      </c>
      <c r="V3523" s="3" t="s">
        <v>75</v>
      </c>
      <c r="W3523" s="3" t="s">
        <v>18107</v>
      </c>
      <c r="X3523" s="10" t="s">
        <v>6812</v>
      </c>
      <c r="Y3523" s="6" t="s">
        <v>108</v>
      </c>
      <c r="Z3523" s="4">
        <v>1.18</v>
      </c>
      <c r="AA3523" s="4" t="s">
        <v>36</v>
      </c>
      <c r="AB3523" s="3" t="s">
        <v>43</v>
      </c>
      <c r="AC3523" s="3" t="s">
        <v>18108</v>
      </c>
      <c r="AD3523" s="9">
        <v>44166</v>
      </c>
      <c r="AE3523" s="3" t="s">
        <v>362</v>
      </c>
      <c r="AF3523" s="3" t="s">
        <v>952</v>
      </c>
      <c r="AG3523" s="3" t="s">
        <v>741</v>
      </c>
      <c r="AH3523" s="11">
        <f>HYPERLINK("https://my.pitchbook.com?c=160360-03T","View Company Online")</f>
      </c>
    </row>
    <row r="3524">
      <c r="A3524" s="12" t="s">
        <v>18109</v>
      </c>
      <c r="B3524" s="12" t="s">
        <v>18110</v>
      </c>
      <c r="C3524" s="19" t="s">
        <v>36</v>
      </c>
      <c r="D3524" s="19" t="s">
        <v>36</v>
      </c>
      <c r="E3524" s="19" t="s">
        <v>36</v>
      </c>
      <c r="F3524" s="19" t="s">
        <v>36</v>
      </c>
      <c r="G3524" s="15" t="s">
        <v>36</v>
      </c>
      <c r="H3524" s="14" t="s">
        <v>36</v>
      </c>
      <c r="I3524" s="18" t="s">
        <v>36</v>
      </c>
      <c r="J3524" s="12" t="s">
        <v>36</v>
      </c>
      <c r="K3524" s="13" t="s">
        <v>36</v>
      </c>
      <c r="L3524" s="15" t="s">
        <v>122</v>
      </c>
      <c r="M3524" s="12" t="s">
        <v>36</v>
      </c>
      <c r="N3524" s="12" t="s">
        <v>122</v>
      </c>
      <c r="O3524" s="17" t="s">
        <v>36</v>
      </c>
      <c r="P3524" s="12" t="s">
        <v>36</v>
      </c>
      <c r="Q3524" s="12" t="s">
        <v>36</v>
      </c>
      <c r="R3524" s="12" t="s">
        <v>36</v>
      </c>
      <c r="S3524" s="12" t="s">
        <v>36</v>
      </c>
      <c r="T3524" s="12" t="s">
        <v>5470</v>
      </c>
      <c r="U3524" s="12" t="s">
        <v>38</v>
      </c>
      <c r="V3524" s="12" t="s">
        <v>39</v>
      </c>
      <c r="W3524" s="12" t="s">
        <v>18111</v>
      </c>
      <c r="X3524" s="16" t="s">
        <v>18112</v>
      </c>
      <c r="Y3524" s="15" t="s">
        <v>42</v>
      </c>
      <c r="Z3524" s="14">
        <v>1.18</v>
      </c>
      <c r="AA3524" s="14" t="s">
        <v>36</v>
      </c>
      <c r="AB3524" s="12" t="s">
        <v>43</v>
      </c>
      <c r="AC3524" s="12" t="s">
        <v>18113</v>
      </c>
      <c r="AD3524" s="13">
        <v>44166</v>
      </c>
      <c r="AE3524" s="12" t="s">
        <v>1422</v>
      </c>
      <c r="AF3524" s="12" t="s">
        <v>4200</v>
      </c>
      <c r="AG3524" s="12" t="s">
        <v>47</v>
      </c>
      <c r="AH3524" s="1">
        <f>HYPERLINK("https://my.pitchbook.com?c=160946-65T","View Company Online")</f>
      </c>
    </row>
    <row r="3525">
      <c r="A3525" s="3" t="s">
        <v>18114</v>
      </c>
      <c r="B3525" s="3" t="s">
        <v>18115</v>
      </c>
      <c r="C3525" s="5" t="s">
        <v>36</v>
      </c>
      <c r="D3525" s="5" t="s">
        <v>36</v>
      </c>
      <c r="E3525" s="5" t="s">
        <v>36</v>
      </c>
      <c r="F3525" s="5" t="s">
        <v>36</v>
      </c>
      <c r="G3525" s="6" t="s">
        <v>36</v>
      </c>
      <c r="H3525" s="4" t="s">
        <v>36</v>
      </c>
      <c r="I3525" s="7" t="s">
        <v>36</v>
      </c>
      <c r="J3525" s="3" t="s">
        <v>36</v>
      </c>
      <c r="K3525" s="9" t="s">
        <v>36</v>
      </c>
      <c r="L3525" s="6" t="s">
        <v>36</v>
      </c>
      <c r="M3525" s="3" t="s">
        <v>36</v>
      </c>
      <c r="N3525" s="3" t="s">
        <v>36</v>
      </c>
      <c r="O3525" s="8" t="s">
        <v>36</v>
      </c>
      <c r="P3525" s="3" t="s">
        <v>36</v>
      </c>
      <c r="Q3525" s="3" t="s">
        <v>36</v>
      </c>
      <c r="R3525" s="3" t="s">
        <v>36</v>
      </c>
      <c r="S3525" s="3" t="s">
        <v>36</v>
      </c>
      <c r="T3525" s="3" t="s">
        <v>18116</v>
      </c>
      <c r="U3525" s="3" t="s">
        <v>289</v>
      </c>
      <c r="V3525" s="3" t="s">
        <v>64</v>
      </c>
      <c r="W3525" s="3" t="s">
        <v>18117</v>
      </c>
      <c r="X3525" s="10" t="s">
        <v>18118</v>
      </c>
      <c r="Y3525" s="6" t="s">
        <v>108</v>
      </c>
      <c r="Z3525" s="4" t="s">
        <v>36</v>
      </c>
      <c r="AA3525" s="4" t="s">
        <v>36</v>
      </c>
      <c r="AB3525" s="3" t="s">
        <v>43</v>
      </c>
      <c r="AC3525" s="3" t="s">
        <v>18119</v>
      </c>
      <c r="AD3525" s="9">
        <v>44166</v>
      </c>
      <c r="AE3525" s="3" t="s">
        <v>3134</v>
      </c>
      <c r="AF3525" s="3" t="s">
        <v>90</v>
      </c>
      <c r="AG3525" s="3" t="s">
        <v>81</v>
      </c>
      <c r="AH3525" s="11">
        <f>HYPERLINK("https://my.pitchbook.com?c=168983-29T","View Company Online")</f>
      </c>
    </row>
    <row r="3526">
      <c r="A3526" s="12" t="s">
        <v>18120</v>
      </c>
      <c r="B3526" s="12" t="s">
        <v>7959</v>
      </c>
      <c r="C3526" s="19">
        <v>11</v>
      </c>
      <c r="D3526" s="19">
        <v>48</v>
      </c>
      <c r="E3526" s="19">
        <v>9</v>
      </c>
      <c r="F3526" s="19">
        <v>60</v>
      </c>
      <c r="G3526" s="15" t="s">
        <v>326</v>
      </c>
      <c r="H3526" s="14">
        <v>88.28</v>
      </c>
      <c r="I3526" s="18">
        <v>27.05</v>
      </c>
      <c r="J3526" s="12" t="s">
        <v>521</v>
      </c>
      <c r="K3526" s="13">
        <v>44075</v>
      </c>
      <c r="L3526" s="15" t="s">
        <v>3736</v>
      </c>
      <c r="M3526" s="12" t="s">
        <v>36</v>
      </c>
      <c r="N3526" s="12" t="s">
        <v>3736</v>
      </c>
      <c r="O3526" s="17" t="s">
        <v>36</v>
      </c>
      <c r="P3526" s="12" t="s">
        <v>36</v>
      </c>
      <c r="Q3526" s="12" t="s">
        <v>36</v>
      </c>
      <c r="R3526" s="12" t="s">
        <v>36</v>
      </c>
      <c r="S3526" s="12" t="s">
        <v>36</v>
      </c>
      <c r="T3526" s="12" t="s">
        <v>7960</v>
      </c>
      <c r="U3526" s="12" t="s">
        <v>51</v>
      </c>
      <c r="V3526" s="12" t="s">
        <v>52</v>
      </c>
      <c r="W3526" s="12" t="s">
        <v>7961</v>
      </c>
      <c r="X3526" s="16" t="s">
        <v>1840</v>
      </c>
      <c r="Y3526" s="15" t="s">
        <v>321</v>
      </c>
      <c r="Z3526" s="14">
        <v>14.21</v>
      </c>
      <c r="AA3526" s="14">
        <v>52.55</v>
      </c>
      <c r="AB3526" s="12" t="s">
        <v>56</v>
      </c>
      <c r="AC3526" s="12" t="s">
        <v>7963</v>
      </c>
      <c r="AD3526" s="13">
        <v>44166</v>
      </c>
      <c r="AE3526" s="12" t="s">
        <v>6868</v>
      </c>
      <c r="AF3526" s="12" t="s">
        <v>159</v>
      </c>
      <c r="AG3526" s="12" t="s">
        <v>899</v>
      </c>
      <c r="AH3526" s="1">
        <f>HYPERLINK("https://my.pitchbook.com?c=165298-60T","View Company Online")</f>
      </c>
    </row>
    <row r="3527">
      <c r="A3527" s="3" t="s">
        <v>18121</v>
      </c>
      <c r="B3527" s="3" t="s">
        <v>1595</v>
      </c>
      <c r="C3527" s="5" t="s">
        <v>36</v>
      </c>
      <c r="D3527" s="5" t="s">
        <v>36</v>
      </c>
      <c r="E3527" s="5" t="s">
        <v>36</v>
      </c>
      <c r="F3527" s="5" t="s">
        <v>36</v>
      </c>
      <c r="G3527" s="6" t="s">
        <v>36</v>
      </c>
      <c r="H3527" s="4">
        <v>3.98</v>
      </c>
      <c r="I3527" s="7">
        <v>26.67</v>
      </c>
      <c r="J3527" s="3" t="s">
        <v>521</v>
      </c>
      <c r="K3527" s="9" t="s">
        <v>36</v>
      </c>
      <c r="L3527" s="6" t="s">
        <v>36</v>
      </c>
      <c r="M3527" s="3" t="s">
        <v>36</v>
      </c>
      <c r="N3527" s="3" t="s">
        <v>36</v>
      </c>
      <c r="O3527" s="8" t="s">
        <v>36</v>
      </c>
      <c r="P3527" s="3" t="s">
        <v>36</v>
      </c>
      <c r="Q3527" s="3" t="s">
        <v>36</v>
      </c>
      <c r="R3527" s="3" t="s">
        <v>36</v>
      </c>
      <c r="S3527" s="3" t="s">
        <v>36</v>
      </c>
      <c r="T3527" s="3" t="s">
        <v>1596</v>
      </c>
      <c r="U3527" s="3" t="s">
        <v>728</v>
      </c>
      <c r="V3527" s="3" t="s">
        <v>64</v>
      </c>
      <c r="W3527" s="3" t="s">
        <v>1597</v>
      </c>
      <c r="X3527" s="10" t="s">
        <v>18122</v>
      </c>
      <c r="Y3527" s="6" t="s">
        <v>108</v>
      </c>
      <c r="Z3527" s="4">
        <v>1.18</v>
      </c>
      <c r="AA3527" s="4">
        <v>4.44</v>
      </c>
      <c r="AB3527" s="3" t="s">
        <v>56</v>
      </c>
      <c r="AC3527" s="3" t="s">
        <v>1599</v>
      </c>
      <c r="AD3527" s="9">
        <v>44165</v>
      </c>
      <c r="AE3527" s="3" t="s">
        <v>1600</v>
      </c>
      <c r="AF3527" s="3" t="s">
        <v>36</v>
      </c>
      <c r="AG3527" s="3" t="s">
        <v>1601</v>
      </c>
      <c r="AH3527" s="11">
        <f>HYPERLINK("https://my.pitchbook.com?c=160356-97T","View Company Online")</f>
      </c>
    </row>
    <row r="3528">
      <c r="A3528" s="12" t="s">
        <v>18123</v>
      </c>
      <c r="B3528" s="12" t="s">
        <v>5665</v>
      </c>
      <c r="C3528" s="19">
        <v>2</v>
      </c>
      <c r="D3528" s="19">
        <v>13</v>
      </c>
      <c r="E3528" s="19">
        <v>3</v>
      </c>
      <c r="F3528" s="19">
        <v>15</v>
      </c>
      <c r="G3528" s="15" t="s">
        <v>326</v>
      </c>
      <c r="H3528" s="14" t="s">
        <v>36</v>
      </c>
      <c r="I3528" s="18">
        <v>15.51</v>
      </c>
      <c r="J3528" s="12" t="s">
        <v>327</v>
      </c>
      <c r="K3528" s="13" t="s">
        <v>36</v>
      </c>
      <c r="L3528" s="15" t="s">
        <v>36</v>
      </c>
      <c r="M3528" s="12" t="s">
        <v>36</v>
      </c>
      <c r="N3528" s="12" t="s">
        <v>36</v>
      </c>
      <c r="O3528" s="17" t="s">
        <v>36</v>
      </c>
      <c r="P3528" s="12" t="s">
        <v>36</v>
      </c>
      <c r="Q3528" s="12" t="s">
        <v>36</v>
      </c>
      <c r="R3528" s="12" t="s">
        <v>36</v>
      </c>
      <c r="S3528" s="12" t="s">
        <v>36</v>
      </c>
      <c r="T3528" s="12" t="s">
        <v>5666</v>
      </c>
      <c r="U3528" s="12" t="s">
        <v>219</v>
      </c>
      <c r="V3528" s="12" t="s">
        <v>75</v>
      </c>
      <c r="W3528" s="12" t="s">
        <v>5667</v>
      </c>
      <c r="X3528" s="16" t="s">
        <v>18124</v>
      </c>
      <c r="Y3528" s="15" t="s">
        <v>42</v>
      </c>
      <c r="Z3528" s="14">
        <v>1.54</v>
      </c>
      <c r="AA3528" s="14">
        <v>9.92</v>
      </c>
      <c r="AB3528" s="12" t="s">
        <v>43</v>
      </c>
      <c r="AC3528" s="12" t="s">
        <v>5669</v>
      </c>
      <c r="AD3528" s="13">
        <v>44165</v>
      </c>
      <c r="AE3528" s="12" t="s">
        <v>223</v>
      </c>
      <c r="AF3528" s="12" t="s">
        <v>372</v>
      </c>
      <c r="AG3528" s="12" t="s">
        <v>5670</v>
      </c>
      <c r="AH3528" s="1">
        <f>HYPERLINK("https://my.pitchbook.com?c=160938-10T","View Company Online")</f>
      </c>
    </row>
    <row r="3529">
      <c r="A3529" s="3" t="s">
        <v>18125</v>
      </c>
      <c r="B3529" s="3" t="s">
        <v>18126</v>
      </c>
      <c r="C3529" s="5" t="s">
        <v>36</v>
      </c>
      <c r="D3529" s="5" t="s">
        <v>36</v>
      </c>
      <c r="E3529" s="5" t="s">
        <v>36</v>
      </c>
      <c r="F3529" s="5" t="s">
        <v>36</v>
      </c>
      <c r="G3529" s="6" t="s">
        <v>36</v>
      </c>
      <c r="H3529" s="4">
        <v>130.53</v>
      </c>
      <c r="I3529" s="7">
        <v>47.5</v>
      </c>
      <c r="J3529" s="3" t="s">
        <v>521</v>
      </c>
      <c r="K3529" s="9" t="s">
        <v>36</v>
      </c>
      <c r="L3529" s="6" t="s">
        <v>36</v>
      </c>
      <c r="M3529" s="3" t="s">
        <v>36</v>
      </c>
      <c r="N3529" s="3" t="s">
        <v>36</v>
      </c>
      <c r="O3529" s="8" t="s">
        <v>36</v>
      </c>
      <c r="P3529" s="3" t="s">
        <v>36</v>
      </c>
      <c r="Q3529" s="3" t="s">
        <v>36</v>
      </c>
      <c r="R3529" s="3" t="s">
        <v>36</v>
      </c>
      <c r="S3529" s="3" t="s">
        <v>36</v>
      </c>
      <c r="T3529" s="3" t="s">
        <v>5576</v>
      </c>
      <c r="U3529" s="3" t="s">
        <v>38</v>
      </c>
      <c r="V3529" s="3" t="s">
        <v>39</v>
      </c>
      <c r="W3529" s="3" t="s">
        <v>18127</v>
      </c>
      <c r="X3529" s="10" t="s">
        <v>988</v>
      </c>
      <c r="Y3529" s="6" t="s">
        <v>42</v>
      </c>
      <c r="Z3529" s="4">
        <v>0.28</v>
      </c>
      <c r="AA3529" s="4">
        <v>0.6</v>
      </c>
      <c r="AB3529" s="3" t="s">
        <v>43</v>
      </c>
      <c r="AC3529" s="3" t="s">
        <v>18128</v>
      </c>
      <c r="AD3529" s="9">
        <v>44165</v>
      </c>
      <c r="AE3529" s="3" t="s">
        <v>110</v>
      </c>
      <c r="AF3529" s="3" t="s">
        <v>4552</v>
      </c>
      <c r="AG3529" s="3" t="s">
        <v>47</v>
      </c>
      <c r="AH3529" s="11">
        <f>HYPERLINK("https://my.pitchbook.com?c=199497-97T","View Company Online")</f>
      </c>
    </row>
    <row r="3530">
      <c r="A3530" s="12" t="s">
        <v>18129</v>
      </c>
      <c r="B3530" s="12" t="s">
        <v>13366</v>
      </c>
      <c r="C3530" s="19" t="s">
        <v>36</v>
      </c>
      <c r="D3530" s="19" t="s">
        <v>36</v>
      </c>
      <c r="E3530" s="19" t="s">
        <v>36</v>
      </c>
      <c r="F3530" s="19" t="s">
        <v>36</v>
      </c>
      <c r="G3530" s="15" t="s">
        <v>36</v>
      </c>
      <c r="H3530" s="14" t="s">
        <v>36</v>
      </c>
      <c r="I3530" s="18" t="s">
        <v>36</v>
      </c>
      <c r="J3530" s="12" t="s">
        <v>36</v>
      </c>
      <c r="K3530" s="13" t="s">
        <v>36</v>
      </c>
      <c r="L3530" s="15" t="s">
        <v>122</v>
      </c>
      <c r="M3530" s="12" t="s">
        <v>36</v>
      </c>
      <c r="N3530" s="12" t="s">
        <v>122</v>
      </c>
      <c r="O3530" s="17" t="s">
        <v>36</v>
      </c>
      <c r="P3530" s="12" t="s">
        <v>36</v>
      </c>
      <c r="Q3530" s="12" t="s">
        <v>36</v>
      </c>
      <c r="R3530" s="12" t="s">
        <v>36</v>
      </c>
      <c r="S3530" s="12" t="s">
        <v>36</v>
      </c>
      <c r="T3530" s="12" t="s">
        <v>2736</v>
      </c>
      <c r="U3530" s="12" t="s">
        <v>51</v>
      </c>
      <c r="V3530" s="12" t="s">
        <v>52</v>
      </c>
      <c r="W3530" s="12" t="s">
        <v>13367</v>
      </c>
      <c r="X3530" s="16" t="s">
        <v>18130</v>
      </c>
      <c r="Y3530" s="15" t="s">
        <v>42</v>
      </c>
      <c r="Z3530" s="14">
        <v>8.27</v>
      </c>
      <c r="AA3530" s="14" t="s">
        <v>36</v>
      </c>
      <c r="AB3530" s="12" t="s">
        <v>43</v>
      </c>
      <c r="AC3530" s="12" t="s">
        <v>13369</v>
      </c>
      <c r="AD3530" s="13">
        <v>44162</v>
      </c>
      <c r="AE3530" s="12" t="s">
        <v>2740</v>
      </c>
      <c r="AF3530" s="12" t="s">
        <v>159</v>
      </c>
      <c r="AG3530" s="12" t="s">
        <v>144</v>
      </c>
      <c r="AH3530" s="1">
        <f>HYPERLINK("https://my.pitchbook.com?c=160738-66T","View Company Online")</f>
      </c>
    </row>
    <row r="3531">
      <c r="A3531" s="3" t="s">
        <v>18131</v>
      </c>
      <c r="B3531" s="3" t="s">
        <v>18132</v>
      </c>
      <c r="C3531" s="5" t="s">
        <v>36</v>
      </c>
      <c r="D3531" s="5" t="s">
        <v>36</v>
      </c>
      <c r="E3531" s="5" t="s">
        <v>36</v>
      </c>
      <c r="F3531" s="5" t="s">
        <v>36</v>
      </c>
      <c r="G3531" s="6" t="s">
        <v>36</v>
      </c>
      <c r="H3531" s="4">
        <v>17.52</v>
      </c>
      <c r="I3531" s="7">
        <v>60</v>
      </c>
      <c r="J3531" s="3" t="s">
        <v>521</v>
      </c>
      <c r="K3531" s="9" t="s">
        <v>36</v>
      </c>
      <c r="L3531" s="6" t="s">
        <v>36</v>
      </c>
      <c r="M3531" s="3" t="s">
        <v>36</v>
      </c>
      <c r="N3531" s="3" t="s">
        <v>36</v>
      </c>
      <c r="O3531" s="8" t="s">
        <v>36</v>
      </c>
      <c r="P3531" s="3" t="s">
        <v>36</v>
      </c>
      <c r="Q3531" s="3" t="s">
        <v>36</v>
      </c>
      <c r="R3531" s="3" t="s">
        <v>36</v>
      </c>
      <c r="S3531" s="3" t="s">
        <v>36</v>
      </c>
      <c r="T3531" s="3" t="s">
        <v>8569</v>
      </c>
      <c r="U3531" s="3" t="s">
        <v>1357</v>
      </c>
      <c r="V3531" s="3" t="s">
        <v>52</v>
      </c>
      <c r="W3531" s="3" t="s">
        <v>18133</v>
      </c>
      <c r="X3531" s="10" t="s">
        <v>18134</v>
      </c>
      <c r="Y3531" s="6" t="s">
        <v>42</v>
      </c>
      <c r="Z3531" s="4">
        <v>47.24</v>
      </c>
      <c r="AA3531" s="4">
        <v>59.05</v>
      </c>
      <c r="AB3531" s="3" t="s">
        <v>56</v>
      </c>
      <c r="AC3531" s="3" t="s">
        <v>18135</v>
      </c>
      <c r="AD3531" s="9">
        <v>44162</v>
      </c>
      <c r="AE3531" s="3" t="s">
        <v>3204</v>
      </c>
      <c r="AF3531" s="3" t="s">
        <v>7833</v>
      </c>
      <c r="AG3531" s="3" t="s">
        <v>81</v>
      </c>
      <c r="AH3531" s="11">
        <f>HYPERLINK("https://my.pitchbook.com?c=160235-11T","View Company Online")</f>
      </c>
    </row>
    <row r="3532">
      <c r="A3532" s="12" t="s">
        <v>18136</v>
      </c>
      <c r="B3532" s="12" t="s">
        <v>10446</v>
      </c>
      <c r="C3532" s="19" t="s">
        <v>36</v>
      </c>
      <c r="D3532" s="19" t="s">
        <v>36</v>
      </c>
      <c r="E3532" s="19" t="s">
        <v>36</v>
      </c>
      <c r="F3532" s="19" t="s">
        <v>36</v>
      </c>
      <c r="G3532" s="15" t="s">
        <v>36</v>
      </c>
      <c r="H3532" s="14">
        <v>352.46</v>
      </c>
      <c r="I3532" s="18">
        <v>17.52</v>
      </c>
      <c r="J3532" s="12" t="s">
        <v>521</v>
      </c>
      <c r="K3532" s="13">
        <v>44147</v>
      </c>
      <c r="L3532" s="15" t="s">
        <v>122</v>
      </c>
      <c r="M3532" s="12" t="s">
        <v>36</v>
      </c>
      <c r="N3532" s="12" t="s">
        <v>122</v>
      </c>
      <c r="O3532" s="17" t="s">
        <v>36</v>
      </c>
      <c r="P3532" s="12" t="s">
        <v>36</v>
      </c>
      <c r="Q3532" s="12" t="s">
        <v>36</v>
      </c>
      <c r="R3532" s="12" t="s">
        <v>36</v>
      </c>
      <c r="S3532" s="12" t="s">
        <v>36</v>
      </c>
      <c r="T3532" s="12" t="s">
        <v>130</v>
      </c>
      <c r="U3532" s="12" t="s">
        <v>38</v>
      </c>
      <c r="V3532" s="12" t="s">
        <v>39</v>
      </c>
      <c r="W3532" s="12" t="s">
        <v>10447</v>
      </c>
      <c r="X3532" s="16" t="s">
        <v>18137</v>
      </c>
      <c r="Y3532" s="15" t="s">
        <v>42</v>
      </c>
      <c r="Z3532" s="14">
        <v>23.62</v>
      </c>
      <c r="AA3532" s="14">
        <v>48.61</v>
      </c>
      <c r="AB3532" s="12" t="s">
        <v>56</v>
      </c>
      <c r="AC3532" s="12" t="s">
        <v>10449</v>
      </c>
      <c r="AD3532" s="13">
        <v>44162</v>
      </c>
      <c r="AE3532" s="12" t="s">
        <v>134</v>
      </c>
      <c r="AF3532" s="12" t="s">
        <v>135</v>
      </c>
      <c r="AG3532" s="12" t="s">
        <v>3406</v>
      </c>
      <c r="AH3532" s="1">
        <f>HYPERLINK("https://my.pitchbook.com?c=159569-47T","View Company Online")</f>
      </c>
    </row>
    <row r="3533">
      <c r="A3533" s="3" t="s">
        <v>18138</v>
      </c>
      <c r="B3533" s="3" t="s">
        <v>18139</v>
      </c>
      <c r="C3533" s="5">
        <v>6</v>
      </c>
      <c r="D3533" s="5">
        <v>10</v>
      </c>
      <c r="E3533" s="5">
        <v>7</v>
      </c>
      <c r="F3533" s="5">
        <v>17</v>
      </c>
      <c r="G3533" s="6" t="s">
        <v>326</v>
      </c>
      <c r="H3533" s="4">
        <v>809.44</v>
      </c>
      <c r="I3533" s="7">
        <v>39.47</v>
      </c>
      <c r="J3533" s="3" t="s">
        <v>521</v>
      </c>
      <c r="K3533" s="9" t="s">
        <v>36</v>
      </c>
      <c r="L3533" s="6" t="s">
        <v>36</v>
      </c>
      <c r="M3533" s="3" t="s">
        <v>36</v>
      </c>
      <c r="N3533" s="3" t="s">
        <v>36</v>
      </c>
      <c r="O3533" s="8" t="s">
        <v>36</v>
      </c>
      <c r="P3533" s="3" t="s">
        <v>36</v>
      </c>
      <c r="Q3533" s="3" t="s">
        <v>36</v>
      </c>
      <c r="R3533" s="3" t="s">
        <v>36</v>
      </c>
      <c r="S3533" s="3" t="s">
        <v>36</v>
      </c>
      <c r="T3533" s="3" t="s">
        <v>18140</v>
      </c>
      <c r="U3533" s="3" t="s">
        <v>38</v>
      </c>
      <c r="V3533" s="3" t="s">
        <v>39</v>
      </c>
      <c r="W3533" s="3" t="s">
        <v>18141</v>
      </c>
      <c r="X3533" s="10" t="s">
        <v>18142</v>
      </c>
      <c r="Y3533" s="6" t="s">
        <v>108</v>
      </c>
      <c r="Z3533" s="4">
        <v>5.9</v>
      </c>
      <c r="AA3533" s="4">
        <v>13.46</v>
      </c>
      <c r="AB3533" s="3" t="s">
        <v>43</v>
      </c>
      <c r="AC3533" s="3" t="s">
        <v>18143</v>
      </c>
      <c r="AD3533" s="9">
        <v>44161</v>
      </c>
      <c r="AE3533" s="3" t="s">
        <v>110</v>
      </c>
      <c r="AF3533" s="3" t="s">
        <v>489</v>
      </c>
      <c r="AG3533" s="3" t="s">
        <v>81</v>
      </c>
      <c r="AH3533" s="11">
        <f>HYPERLINK("https://my.pitchbook.com?c=160128-55T","View Company Online")</f>
      </c>
    </row>
    <row r="3534">
      <c r="A3534" s="12" t="s">
        <v>18144</v>
      </c>
      <c r="B3534" s="12" t="s">
        <v>17843</v>
      </c>
      <c r="C3534" s="19" t="s">
        <v>36</v>
      </c>
      <c r="D3534" s="19" t="s">
        <v>36</v>
      </c>
      <c r="E3534" s="19" t="s">
        <v>36</v>
      </c>
      <c r="F3534" s="19" t="s">
        <v>36</v>
      </c>
      <c r="G3534" s="15" t="s">
        <v>36</v>
      </c>
      <c r="H3534" s="14">
        <v>46.74</v>
      </c>
      <c r="I3534" s="18">
        <v>21.24</v>
      </c>
      <c r="J3534" s="12" t="s">
        <v>521</v>
      </c>
      <c r="K3534" s="13" t="s">
        <v>36</v>
      </c>
      <c r="L3534" s="15" t="s">
        <v>36</v>
      </c>
      <c r="M3534" s="12" t="s">
        <v>36</v>
      </c>
      <c r="N3534" s="12" t="s">
        <v>36</v>
      </c>
      <c r="O3534" s="17" t="s">
        <v>36</v>
      </c>
      <c r="P3534" s="12" t="s">
        <v>36</v>
      </c>
      <c r="Q3534" s="12" t="s">
        <v>36</v>
      </c>
      <c r="R3534" s="12" t="s">
        <v>36</v>
      </c>
      <c r="S3534" s="12" t="s">
        <v>36</v>
      </c>
      <c r="T3534" s="12" t="s">
        <v>10741</v>
      </c>
      <c r="U3534" s="12" t="s">
        <v>833</v>
      </c>
      <c r="V3534" s="12" t="s">
        <v>64</v>
      </c>
      <c r="W3534" s="12" t="s">
        <v>17844</v>
      </c>
      <c r="X3534" s="16" t="s">
        <v>18145</v>
      </c>
      <c r="Y3534" s="15" t="s">
        <v>42</v>
      </c>
      <c r="Z3534" s="14">
        <v>2.36</v>
      </c>
      <c r="AA3534" s="14">
        <v>6.8</v>
      </c>
      <c r="AB3534" s="12" t="s">
        <v>43</v>
      </c>
      <c r="AC3534" s="12" t="s">
        <v>17845</v>
      </c>
      <c r="AD3534" s="13">
        <v>44161</v>
      </c>
      <c r="AE3534" s="12" t="s">
        <v>1687</v>
      </c>
      <c r="AF3534" s="12" t="s">
        <v>733</v>
      </c>
      <c r="AG3534" s="12" t="s">
        <v>81</v>
      </c>
      <c r="AH3534" s="1">
        <f>HYPERLINK("https://my.pitchbook.com?c=160153-21T","View Company Online")</f>
      </c>
    </row>
    <row r="3535">
      <c r="A3535" s="3" t="s">
        <v>18146</v>
      </c>
      <c r="B3535" s="3" t="s">
        <v>7082</v>
      </c>
      <c r="C3535" s="5" t="s">
        <v>36</v>
      </c>
      <c r="D3535" s="5" t="s">
        <v>36</v>
      </c>
      <c r="E3535" s="5" t="s">
        <v>36</v>
      </c>
      <c r="F3535" s="5" t="s">
        <v>36</v>
      </c>
      <c r="G3535" s="6" t="s">
        <v>36</v>
      </c>
      <c r="H3535" s="4">
        <v>155.78</v>
      </c>
      <c r="I3535" s="7">
        <v>37.01</v>
      </c>
      <c r="J3535" s="3" t="s">
        <v>521</v>
      </c>
      <c r="K3535" s="9" t="s">
        <v>36</v>
      </c>
      <c r="L3535" s="6" t="s">
        <v>122</v>
      </c>
      <c r="M3535" s="3" t="s">
        <v>36</v>
      </c>
      <c r="N3535" s="3" t="s">
        <v>122</v>
      </c>
      <c r="O3535" s="8" t="s">
        <v>36</v>
      </c>
      <c r="P3535" s="3" t="s">
        <v>36</v>
      </c>
      <c r="Q3535" s="3" t="s">
        <v>36</v>
      </c>
      <c r="R3535" s="3" t="s">
        <v>36</v>
      </c>
      <c r="S3535" s="3" t="s">
        <v>36</v>
      </c>
      <c r="T3535" s="3" t="s">
        <v>6462</v>
      </c>
      <c r="U3535" s="3" t="s">
        <v>1357</v>
      </c>
      <c r="V3535" s="3" t="s">
        <v>52</v>
      </c>
      <c r="W3535" s="3" t="s">
        <v>7083</v>
      </c>
      <c r="X3535" s="10" t="s">
        <v>18147</v>
      </c>
      <c r="Y3535" s="6" t="s">
        <v>42</v>
      </c>
      <c r="Z3535" s="4">
        <v>1.59</v>
      </c>
      <c r="AA3535" s="4">
        <v>4.3</v>
      </c>
      <c r="AB3535" s="3" t="s">
        <v>43</v>
      </c>
      <c r="AC3535" s="3" t="s">
        <v>7085</v>
      </c>
      <c r="AD3535" s="9">
        <v>44160</v>
      </c>
      <c r="AE3535" s="3" t="s">
        <v>2808</v>
      </c>
      <c r="AF3535" s="3" t="s">
        <v>7086</v>
      </c>
      <c r="AG3535" s="3" t="s">
        <v>81</v>
      </c>
      <c r="AH3535" s="11">
        <f>HYPERLINK("https://my.pitchbook.com?c=160126-66T","View Company Online")</f>
      </c>
    </row>
    <row r="3536">
      <c r="A3536" s="12" t="s">
        <v>18148</v>
      </c>
      <c r="B3536" s="12" t="s">
        <v>10829</v>
      </c>
      <c r="C3536" s="19">
        <v>2</v>
      </c>
      <c r="D3536" s="19" t="s">
        <v>36</v>
      </c>
      <c r="E3536" s="19">
        <v>1</v>
      </c>
      <c r="F3536" s="19">
        <v>2</v>
      </c>
      <c r="G3536" s="15" t="s">
        <v>326</v>
      </c>
      <c r="H3536" s="14">
        <v>830.85</v>
      </c>
      <c r="I3536" s="18">
        <v>29.81</v>
      </c>
      <c r="J3536" s="12" t="s">
        <v>521</v>
      </c>
      <c r="K3536" s="13" t="s">
        <v>36</v>
      </c>
      <c r="L3536" s="15" t="s">
        <v>94</v>
      </c>
      <c r="M3536" s="12" t="s">
        <v>36</v>
      </c>
      <c r="N3536" s="12" t="s">
        <v>94</v>
      </c>
      <c r="O3536" s="17" t="s">
        <v>36</v>
      </c>
      <c r="P3536" s="12" t="s">
        <v>36</v>
      </c>
      <c r="Q3536" s="12" t="s">
        <v>36</v>
      </c>
      <c r="R3536" s="12" t="s">
        <v>36</v>
      </c>
      <c r="S3536" s="12" t="s">
        <v>453</v>
      </c>
      <c r="T3536" s="12" t="s">
        <v>10830</v>
      </c>
      <c r="U3536" s="12" t="s">
        <v>85</v>
      </c>
      <c r="V3536" s="12" t="s">
        <v>64</v>
      </c>
      <c r="W3536" s="12" t="s">
        <v>10831</v>
      </c>
      <c r="X3536" s="16" t="s">
        <v>18149</v>
      </c>
      <c r="Y3536" s="15" t="s">
        <v>42</v>
      </c>
      <c r="Z3536" s="14">
        <v>6.74</v>
      </c>
      <c r="AA3536" s="14">
        <v>22.61</v>
      </c>
      <c r="AB3536" s="12" t="s">
        <v>56</v>
      </c>
      <c r="AC3536" s="12" t="s">
        <v>10833</v>
      </c>
      <c r="AD3536" s="13">
        <v>44160</v>
      </c>
      <c r="AE3536" s="12" t="s">
        <v>89</v>
      </c>
      <c r="AF3536" s="12" t="s">
        <v>10834</v>
      </c>
      <c r="AG3536" s="12" t="s">
        <v>81</v>
      </c>
      <c r="AH3536" s="1">
        <f>HYPERLINK("https://my.pitchbook.com?c=160206-31T","View Company Online")</f>
      </c>
    </row>
    <row r="3537">
      <c r="A3537" s="3" t="s">
        <v>18150</v>
      </c>
      <c r="B3537" s="3" t="s">
        <v>8538</v>
      </c>
      <c r="C3537" s="5">
        <v>11</v>
      </c>
      <c r="D3537" s="5">
        <v>24</v>
      </c>
      <c r="E3537" s="5">
        <v>7</v>
      </c>
      <c r="F3537" s="5">
        <v>41</v>
      </c>
      <c r="G3537" s="6" t="s">
        <v>683</v>
      </c>
      <c r="H3537" s="4">
        <v>31.16</v>
      </c>
      <c r="I3537" s="7">
        <v>42.86</v>
      </c>
      <c r="J3537" s="3" t="s">
        <v>521</v>
      </c>
      <c r="K3537" s="9" t="s">
        <v>36</v>
      </c>
      <c r="L3537" s="6" t="s">
        <v>122</v>
      </c>
      <c r="M3537" s="3" t="s">
        <v>36</v>
      </c>
      <c r="N3537" s="3" t="s">
        <v>122</v>
      </c>
      <c r="O3537" s="8" t="s">
        <v>36</v>
      </c>
      <c r="P3537" s="3" t="s">
        <v>36</v>
      </c>
      <c r="Q3537" s="3" t="s">
        <v>36</v>
      </c>
      <c r="R3537" s="3" t="s">
        <v>36</v>
      </c>
      <c r="S3537" s="3" t="s">
        <v>36</v>
      </c>
      <c r="T3537" s="3" t="s">
        <v>881</v>
      </c>
      <c r="U3537" s="3" t="s">
        <v>51</v>
      </c>
      <c r="V3537" s="3" t="s">
        <v>52</v>
      </c>
      <c r="W3537" s="3" t="s">
        <v>8539</v>
      </c>
      <c r="X3537" s="10" t="s">
        <v>18151</v>
      </c>
      <c r="Y3537" s="6" t="s">
        <v>55</v>
      </c>
      <c r="Z3537" s="4">
        <v>14.26</v>
      </c>
      <c r="AA3537" s="4">
        <v>33.26</v>
      </c>
      <c r="AB3537" s="3" t="s">
        <v>43</v>
      </c>
      <c r="AC3537" s="3" t="s">
        <v>8541</v>
      </c>
      <c r="AD3537" s="9">
        <v>44159</v>
      </c>
      <c r="AE3537" s="3" t="s">
        <v>504</v>
      </c>
      <c r="AF3537" s="3" t="s">
        <v>159</v>
      </c>
      <c r="AG3537" s="3" t="s">
        <v>1202</v>
      </c>
      <c r="AH3537" s="11">
        <f>HYPERLINK("https://my.pitchbook.com?c=160213-51T","View Company Online")</f>
      </c>
    </row>
    <row r="3538">
      <c r="A3538" s="12" t="s">
        <v>18152</v>
      </c>
      <c r="B3538" s="12" t="s">
        <v>18153</v>
      </c>
      <c r="C3538" s="19" t="s">
        <v>36</v>
      </c>
      <c r="D3538" s="19">
        <v>1</v>
      </c>
      <c r="E3538" s="19">
        <v>23</v>
      </c>
      <c r="F3538" s="19">
        <v>24</v>
      </c>
      <c r="G3538" s="15" t="s">
        <v>36</v>
      </c>
      <c r="H3538" s="14" t="s">
        <v>36</v>
      </c>
      <c r="I3538" s="18" t="s">
        <v>36</v>
      </c>
      <c r="J3538" s="12" t="s">
        <v>36</v>
      </c>
      <c r="K3538" s="13" t="s">
        <v>36</v>
      </c>
      <c r="L3538" s="15" t="s">
        <v>36</v>
      </c>
      <c r="M3538" s="12" t="s">
        <v>36</v>
      </c>
      <c r="N3538" s="12" t="s">
        <v>36</v>
      </c>
      <c r="O3538" s="17" t="s">
        <v>36</v>
      </c>
      <c r="P3538" s="12" t="s">
        <v>36</v>
      </c>
      <c r="Q3538" s="12" t="s">
        <v>36</v>
      </c>
      <c r="R3538" s="12" t="s">
        <v>36</v>
      </c>
      <c r="S3538" s="12" t="s">
        <v>36</v>
      </c>
      <c r="T3538" s="12" t="s">
        <v>18154</v>
      </c>
      <c r="U3538" s="12" t="s">
        <v>1798</v>
      </c>
      <c r="V3538" s="12" t="s">
        <v>39</v>
      </c>
      <c r="W3538" s="12" t="s">
        <v>18155</v>
      </c>
      <c r="X3538" s="16" t="s">
        <v>18156</v>
      </c>
      <c r="Y3538" s="15" t="s">
        <v>108</v>
      </c>
      <c r="Z3538" s="14">
        <v>14</v>
      </c>
      <c r="AA3538" s="14" t="s">
        <v>36</v>
      </c>
      <c r="AB3538" s="12" t="s">
        <v>43</v>
      </c>
      <c r="AC3538" s="12" t="s">
        <v>18157</v>
      </c>
      <c r="AD3538" s="13">
        <v>44158</v>
      </c>
      <c r="AE3538" s="12" t="s">
        <v>1802</v>
      </c>
      <c r="AF3538" s="12" t="s">
        <v>8952</v>
      </c>
      <c r="AG3538" s="12" t="s">
        <v>81</v>
      </c>
      <c r="AH3538" s="1">
        <f>HYPERLINK("https://my.pitchbook.com?c=159949-63T","View Company Online")</f>
      </c>
    </row>
    <row r="3539">
      <c r="A3539" s="3" t="s">
        <v>18158</v>
      </c>
      <c r="B3539" s="3" t="s">
        <v>9510</v>
      </c>
      <c r="C3539" s="5" t="s">
        <v>36</v>
      </c>
      <c r="D3539" s="5" t="s">
        <v>36</v>
      </c>
      <c r="E3539" s="5" t="s">
        <v>36</v>
      </c>
      <c r="F3539" s="5" t="s">
        <v>36</v>
      </c>
      <c r="G3539" s="6" t="s">
        <v>36</v>
      </c>
      <c r="H3539" s="4">
        <v>27.92</v>
      </c>
      <c r="I3539" s="7">
        <v>21.94</v>
      </c>
      <c r="J3539" s="3" t="s">
        <v>521</v>
      </c>
      <c r="K3539" s="9" t="s">
        <v>36</v>
      </c>
      <c r="L3539" s="6" t="s">
        <v>36</v>
      </c>
      <c r="M3539" s="3" t="s">
        <v>36</v>
      </c>
      <c r="N3539" s="3" t="s">
        <v>36</v>
      </c>
      <c r="O3539" s="8" t="s">
        <v>36</v>
      </c>
      <c r="P3539" s="3" t="s">
        <v>36</v>
      </c>
      <c r="Q3539" s="3" t="s">
        <v>36</v>
      </c>
      <c r="R3539" s="3" t="s">
        <v>36</v>
      </c>
      <c r="S3539" s="3" t="s">
        <v>36</v>
      </c>
      <c r="T3539" s="3" t="s">
        <v>9511</v>
      </c>
      <c r="U3539" s="3" t="s">
        <v>74</v>
      </c>
      <c r="V3539" s="3" t="s">
        <v>75</v>
      </c>
      <c r="W3539" s="3" t="s">
        <v>9512</v>
      </c>
      <c r="X3539" s="10" t="s">
        <v>18159</v>
      </c>
      <c r="Y3539" s="6" t="s">
        <v>42</v>
      </c>
      <c r="Z3539" s="4">
        <v>4.72</v>
      </c>
      <c r="AA3539" s="4">
        <v>21.52</v>
      </c>
      <c r="AB3539" s="3" t="s">
        <v>56</v>
      </c>
      <c r="AC3539" s="3" t="s">
        <v>9514</v>
      </c>
      <c r="AD3539" s="9">
        <v>44158</v>
      </c>
      <c r="AE3539" s="3" t="s">
        <v>975</v>
      </c>
      <c r="AF3539" s="3" t="s">
        <v>2752</v>
      </c>
      <c r="AG3539" s="3" t="s">
        <v>81</v>
      </c>
      <c r="AH3539" s="11">
        <f>HYPERLINK("https://my.pitchbook.com?c=228263-32T","View Company Online")</f>
      </c>
    </row>
    <row r="3540">
      <c r="A3540" s="12" t="s">
        <v>18160</v>
      </c>
      <c r="B3540" s="12" t="s">
        <v>18161</v>
      </c>
      <c r="C3540" s="19" t="s">
        <v>36</v>
      </c>
      <c r="D3540" s="19" t="s">
        <v>36</v>
      </c>
      <c r="E3540" s="19" t="s">
        <v>36</v>
      </c>
      <c r="F3540" s="19" t="s">
        <v>36</v>
      </c>
      <c r="G3540" s="15" t="s">
        <v>36</v>
      </c>
      <c r="H3540" s="14" t="s">
        <v>36</v>
      </c>
      <c r="I3540" s="18" t="s">
        <v>36</v>
      </c>
      <c r="J3540" s="12" t="s">
        <v>36</v>
      </c>
      <c r="K3540" s="13" t="s">
        <v>36</v>
      </c>
      <c r="L3540" s="15" t="s">
        <v>36</v>
      </c>
      <c r="M3540" s="12" t="s">
        <v>36</v>
      </c>
      <c r="N3540" s="12" t="s">
        <v>36</v>
      </c>
      <c r="O3540" s="17" t="s">
        <v>36</v>
      </c>
      <c r="P3540" s="12" t="s">
        <v>36</v>
      </c>
      <c r="Q3540" s="12" t="s">
        <v>36</v>
      </c>
      <c r="R3540" s="12" t="s">
        <v>36</v>
      </c>
      <c r="S3540" s="12" t="s">
        <v>36</v>
      </c>
      <c r="T3540" s="12" t="s">
        <v>522</v>
      </c>
      <c r="U3540" s="12" t="s">
        <v>38</v>
      </c>
      <c r="V3540" s="12" t="s">
        <v>39</v>
      </c>
      <c r="W3540" s="12" t="s">
        <v>18162</v>
      </c>
      <c r="X3540" s="16" t="s">
        <v>18163</v>
      </c>
      <c r="Y3540" s="15" t="s">
        <v>166</v>
      </c>
      <c r="Z3540" s="14">
        <v>5.9</v>
      </c>
      <c r="AA3540" s="14" t="s">
        <v>36</v>
      </c>
      <c r="AB3540" s="12" t="s">
        <v>56</v>
      </c>
      <c r="AC3540" s="12" t="s">
        <v>18164</v>
      </c>
      <c r="AD3540" s="13">
        <v>44158</v>
      </c>
      <c r="AE3540" s="12" t="s">
        <v>110</v>
      </c>
      <c r="AF3540" s="12" t="s">
        <v>526</v>
      </c>
      <c r="AG3540" s="12" t="s">
        <v>47</v>
      </c>
      <c r="AH3540" s="1">
        <f>HYPERLINK("https://my.pitchbook.com?c=159955-12T","View Company Online")</f>
      </c>
    </row>
    <row r="3541">
      <c r="A3541" s="3" t="s">
        <v>18165</v>
      </c>
      <c r="B3541" s="3" t="s">
        <v>14964</v>
      </c>
      <c r="C3541" s="5" t="s">
        <v>36</v>
      </c>
      <c r="D3541" s="5" t="s">
        <v>36</v>
      </c>
      <c r="E3541" s="5" t="s">
        <v>36</v>
      </c>
      <c r="F3541" s="5" t="s">
        <v>36</v>
      </c>
      <c r="G3541" s="6" t="s">
        <v>36</v>
      </c>
      <c r="H3541" s="4" t="s">
        <v>36</v>
      </c>
      <c r="I3541" s="7" t="s">
        <v>36</v>
      </c>
      <c r="J3541" s="3" t="s">
        <v>36</v>
      </c>
      <c r="K3541" s="9" t="s">
        <v>36</v>
      </c>
      <c r="L3541" s="6" t="s">
        <v>36</v>
      </c>
      <c r="M3541" s="3" t="s">
        <v>36</v>
      </c>
      <c r="N3541" s="3" t="s">
        <v>36</v>
      </c>
      <c r="O3541" s="8" t="s">
        <v>36</v>
      </c>
      <c r="P3541" s="3" t="s">
        <v>36</v>
      </c>
      <c r="Q3541" s="3" t="s">
        <v>36</v>
      </c>
      <c r="R3541" s="3" t="s">
        <v>36</v>
      </c>
      <c r="S3541" s="3" t="s">
        <v>36</v>
      </c>
      <c r="T3541" s="3" t="s">
        <v>12747</v>
      </c>
      <c r="U3541" s="3" t="s">
        <v>648</v>
      </c>
      <c r="V3541" s="3" t="s">
        <v>64</v>
      </c>
      <c r="W3541" s="3" t="s">
        <v>14965</v>
      </c>
      <c r="X3541" s="10" t="s">
        <v>18166</v>
      </c>
      <c r="Y3541" s="6" t="s">
        <v>192</v>
      </c>
      <c r="Z3541" s="4">
        <v>2.71</v>
      </c>
      <c r="AA3541" s="4" t="s">
        <v>36</v>
      </c>
      <c r="AB3541" s="3" t="s">
        <v>56</v>
      </c>
      <c r="AC3541" s="3" t="s">
        <v>14967</v>
      </c>
      <c r="AD3541" s="9">
        <v>44157</v>
      </c>
      <c r="AE3541" s="3" t="s">
        <v>651</v>
      </c>
      <c r="AF3541" s="3" t="s">
        <v>36</v>
      </c>
      <c r="AG3541" s="3" t="s">
        <v>924</v>
      </c>
      <c r="AH3541" s="11">
        <f>HYPERLINK("https://my.pitchbook.com?c=165615-76T","View Company Online")</f>
      </c>
    </row>
    <row r="3542">
      <c r="A3542" s="12" t="s">
        <v>18167</v>
      </c>
      <c r="B3542" s="12" t="s">
        <v>14407</v>
      </c>
      <c r="C3542" s="19" t="s">
        <v>36</v>
      </c>
      <c r="D3542" s="19" t="s">
        <v>36</v>
      </c>
      <c r="E3542" s="19" t="s">
        <v>36</v>
      </c>
      <c r="F3542" s="19" t="s">
        <v>36</v>
      </c>
      <c r="G3542" s="15" t="s">
        <v>36</v>
      </c>
      <c r="H3542" s="14">
        <v>619.01</v>
      </c>
      <c r="I3542" s="18">
        <v>23.2</v>
      </c>
      <c r="J3542" s="12" t="s">
        <v>521</v>
      </c>
      <c r="K3542" s="13" t="s">
        <v>36</v>
      </c>
      <c r="L3542" s="15" t="s">
        <v>4010</v>
      </c>
      <c r="M3542" s="12" t="s">
        <v>36</v>
      </c>
      <c r="N3542" s="12" t="s">
        <v>4010</v>
      </c>
      <c r="O3542" s="17" t="s">
        <v>36</v>
      </c>
      <c r="P3542" s="12" t="s">
        <v>36</v>
      </c>
      <c r="Q3542" s="12" t="s">
        <v>36</v>
      </c>
      <c r="R3542" s="12" t="s">
        <v>36</v>
      </c>
      <c r="S3542" s="12" t="s">
        <v>14408</v>
      </c>
      <c r="T3542" s="12" t="s">
        <v>14409</v>
      </c>
      <c r="U3542" s="12" t="s">
        <v>38</v>
      </c>
      <c r="V3542" s="12" t="s">
        <v>39</v>
      </c>
      <c r="W3542" s="12" t="s">
        <v>14410</v>
      </c>
      <c r="X3542" s="16" t="s">
        <v>7826</v>
      </c>
      <c r="Y3542" s="15" t="s">
        <v>42</v>
      </c>
      <c r="Z3542" s="14">
        <v>0.21</v>
      </c>
      <c r="AA3542" s="14">
        <v>0.92</v>
      </c>
      <c r="AB3542" s="12" t="s">
        <v>43</v>
      </c>
      <c r="AC3542" s="12" t="s">
        <v>14412</v>
      </c>
      <c r="AD3542" s="13">
        <v>44156</v>
      </c>
      <c r="AE3542" s="12" t="s">
        <v>1422</v>
      </c>
      <c r="AF3542" s="12" t="s">
        <v>4200</v>
      </c>
      <c r="AG3542" s="12" t="s">
        <v>4520</v>
      </c>
      <c r="AH3542" s="1">
        <f>HYPERLINK("https://my.pitchbook.com?c=170980-30T","View Company Online")</f>
      </c>
    </row>
    <row r="3543">
      <c r="A3543" s="3" t="s">
        <v>18168</v>
      </c>
      <c r="B3543" s="3" t="s">
        <v>18169</v>
      </c>
      <c r="C3543" s="5" t="s">
        <v>36</v>
      </c>
      <c r="D3543" s="5" t="s">
        <v>36</v>
      </c>
      <c r="E3543" s="5" t="s">
        <v>36</v>
      </c>
      <c r="F3543" s="5" t="s">
        <v>36</v>
      </c>
      <c r="G3543" s="6" t="s">
        <v>36</v>
      </c>
      <c r="H3543" s="4" t="s">
        <v>36</v>
      </c>
      <c r="I3543" s="7" t="s">
        <v>36</v>
      </c>
      <c r="J3543" s="3" t="s">
        <v>36</v>
      </c>
      <c r="K3543" s="9" t="s">
        <v>36</v>
      </c>
      <c r="L3543" s="6" t="s">
        <v>122</v>
      </c>
      <c r="M3543" s="3" t="s">
        <v>36</v>
      </c>
      <c r="N3543" s="3" t="s">
        <v>122</v>
      </c>
      <c r="O3543" s="8" t="s">
        <v>36</v>
      </c>
      <c r="P3543" s="3" t="s">
        <v>36</v>
      </c>
      <c r="Q3543" s="3" t="s">
        <v>36</v>
      </c>
      <c r="R3543" s="3" t="s">
        <v>36</v>
      </c>
      <c r="S3543" s="3" t="s">
        <v>36</v>
      </c>
      <c r="T3543" s="3" t="s">
        <v>1048</v>
      </c>
      <c r="U3543" s="3" t="s">
        <v>423</v>
      </c>
      <c r="V3543" s="3" t="s">
        <v>64</v>
      </c>
      <c r="W3543" s="3" t="s">
        <v>18170</v>
      </c>
      <c r="X3543" s="10" t="s">
        <v>18171</v>
      </c>
      <c r="Y3543" s="6" t="s">
        <v>108</v>
      </c>
      <c r="Z3543" s="4">
        <v>4.13</v>
      </c>
      <c r="AA3543" s="4" t="s">
        <v>36</v>
      </c>
      <c r="AB3543" s="3" t="s">
        <v>56</v>
      </c>
      <c r="AC3543" s="3" t="s">
        <v>18172</v>
      </c>
      <c r="AD3543" s="9">
        <v>44155</v>
      </c>
      <c r="AE3543" s="3" t="s">
        <v>1051</v>
      </c>
      <c r="AF3543" s="3" t="s">
        <v>12231</v>
      </c>
      <c r="AG3543" s="3" t="s">
        <v>1843</v>
      </c>
      <c r="AH3543" s="11">
        <f>HYPERLINK("https://my.pitchbook.com?c=159952-87T","View Company Online")</f>
      </c>
    </row>
    <row r="3544">
      <c r="A3544" s="12" t="s">
        <v>18173</v>
      </c>
      <c r="B3544" s="12" t="s">
        <v>18174</v>
      </c>
      <c r="C3544" s="19" t="s">
        <v>36</v>
      </c>
      <c r="D3544" s="19" t="s">
        <v>36</v>
      </c>
      <c r="E3544" s="19" t="s">
        <v>36</v>
      </c>
      <c r="F3544" s="19" t="s">
        <v>36</v>
      </c>
      <c r="G3544" s="15" t="s">
        <v>36</v>
      </c>
      <c r="H3544" s="14" t="s">
        <v>36</v>
      </c>
      <c r="I3544" s="18" t="s">
        <v>36</v>
      </c>
      <c r="J3544" s="12" t="s">
        <v>36</v>
      </c>
      <c r="K3544" s="13" t="s">
        <v>36</v>
      </c>
      <c r="L3544" s="15" t="s">
        <v>36</v>
      </c>
      <c r="M3544" s="12" t="s">
        <v>36</v>
      </c>
      <c r="N3544" s="12" t="s">
        <v>36</v>
      </c>
      <c r="O3544" s="17" t="s">
        <v>36</v>
      </c>
      <c r="P3544" s="12" t="s">
        <v>36</v>
      </c>
      <c r="Q3544" s="12" t="s">
        <v>36</v>
      </c>
      <c r="R3544" s="12" t="s">
        <v>36</v>
      </c>
      <c r="S3544" s="12" t="s">
        <v>36</v>
      </c>
      <c r="T3544" s="12" t="s">
        <v>7312</v>
      </c>
      <c r="U3544" s="12" t="s">
        <v>38</v>
      </c>
      <c r="V3544" s="12" t="s">
        <v>39</v>
      </c>
      <c r="W3544" s="12" t="s">
        <v>18175</v>
      </c>
      <c r="X3544" s="16" t="s">
        <v>14202</v>
      </c>
      <c r="Y3544" s="15" t="s">
        <v>42</v>
      </c>
      <c r="Z3544" s="14" t="s">
        <v>36</v>
      </c>
      <c r="AA3544" s="14" t="s">
        <v>36</v>
      </c>
      <c r="AB3544" s="12" t="s">
        <v>43</v>
      </c>
      <c r="AC3544" s="12" t="s">
        <v>18176</v>
      </c>
      <c r="AD3544" s="13">
        <v>44155</v>
      </c>
      <c r="AE3544" s="12" t="s">
        <v>7316</v>
      </c>
      <c r="AF3544" s="12" t="s">
        <v>36</v>
      </c>
      <c r="AG3544" s="12" t="s">
        <v>81</v>
      </c>
      <c r="AH3544" s="1">
        <f>HYPERLINK("https://my.pitchbook.com?c=208056-61T","View Company Online")</f>
      </c>
    </row>
    <row r="3545">
      <c r="A3545" s="3" t="s">
        <v>18177</v>
      </c>
      <c r="B3545" s="3" t="s">
        <v>10726</v>
      </c>
      <c r="C3545" s="5">
        <v>1</v>
      </c>
      <c r="D3545" s="5">
        <v>2</v>
      </c>
      <c r="E3545" s="5">
        <v>2</v>
      </c>
      <c r="F3545" s="5">
        <v>4</v>
      </c>
      <c r="G3545" s="6" t="s">
        <v>36</v>
      </c>
      <c r="H3545" s="4" t="s">
        <v>36</v>
      </c>
      <c r="I3545" s="7" t="s">
        <v>36</v>
      </c>
      <c r="J3545" s="3" t="s">
        <v>36</v>
      </c>
      <c r="K3545" s="9" t="s">
        <v>36</v>
      </c>
      <c r="L3545" s="6" t="s">
        <v>36</v>
      </c>
      <c r="M3545" s="3" t="s">
        <v>36</v>
      </c>
      <c r="N3545" s="3" t="s">
        <v>36</v>
      </c>
      <c r="O3545" s="8" t="s">
        <v>36</v>
      </c>
      <c r="P3545" s="3" t="s">
        <v>36</v>
      </c>
      <c r="Q3545" s="3" t="s">
        <v>36</v>
      </c>
      <c r="R3545" s="3" t="s">
        <v>36</v>
      </c>
      <c r="S3545" s="3" t="s">
        <v>1588</v>
      </c>
      <c r="T3545" s="3" t="s">
        <v>4997</v>
      </c>
      <c r="U3545" s="3" t="s">
        <v>38</v>
      </c>
      <c r="V3545" s="3" t="s">
        <v>39</v>
      </c>
      <c r="W3545" s="3" t="s">
        <v>10727</v>
      </c>
      <c r="X3545" s="10" t="s">
        <v>18178</v>
      </c>
      <c r="Y3545" s="6" t="s">
        <v>42</v>
      </c>
      <c r="Z3545" s="4">
        <v>1</v>
      </c>
      <c r="AA3545" s="4" t="s">
        <v>36</v>
      </c>
      <c r="AB3545" s="3" t="s">
        <v>43</v>
      </c>
      <c r="AC3545" s="3" t="s">
        <v>10729</v>
      </c>
      <c r="AD3545" s="9">
        <v>44155</v>
      </c>
      <c r="AE3545" s="3" t="s">
        <v>1945</v>
      </c>
      <c r="AF3545" s="3" t="s">
        <v>10730</v>
      </c>
      <c r="AG3545" s="3" t="s">
        <v>382</v>
      </c>
      <c r="AH3545" s="11">
        <f>HYPERLINK("https://my.pitchbook.com?c=203141-26T","View Company Online")</f>
      </c>
    </row>
    <row r="3546">
      <c r="A3546" s="12" t="s">
        <v>18179</v>
      </c>
      <c r="B3546" s="12" t="s">
        <v>10849</v>
      </c>
      <c r="C3546" s="19">
        <v>40</v>
      </c>
      <c r="D3546" s="19">
        <v>4</v>
      </c>
      <c r="E3546" s="19">
        <v>21</v>
      </c>
      <c r="F3546" s="19">
        <v>44</v>
      </c>
      <c r="G3546" s="15" t="s">
        <v>36</v>
      </c>
      <c r="H3546" s="14" t="s">
        <v>36</v>
      </c>
      <c r="I3546" s="18" t="s">
        <v>36</v>
      </c>
      <c r="J3546" s="12" t="s">
        <v>36</v>
      </c>
      <c r="K3546" s="13" t="s">
        <v>36</v>
      </c>
      <c r="L3546" s="15" t="s">
        <v>1279</v>
      </c>
      <c r="M3546" s="12" t="s">
        <v>36</v>
      </c>
      <c r="N3546" s="12" t="s">
        <v>1279</v>
      </c>
      <c r="O3546" s="17" t="s">
        <v>36</v>
      </c>
      <c r="P3546" s="12" t="s">
        <v>36</v>
      </c>
      <c r="Q3546" s="12" t="s">
        <v>36</v>
      </c>
      <c r="R3546" s="12" t="s">
        <v>36</v>
      </c>
      <c r="S3546" s="12" t="s">
        <v>36</v>
      </c>
      <c r="T3546" s="12" t="s">
        <v>10850</v>
      </c>
      <c r="U3546" s="12" t="s">
        <v>51</v>
      </c>
      <c r="V3546" s="12" t="s">
        <v>52</v>
      </c>
      <c r="W3546" s="12" t="s">
        <v>10851</v>
      </c>
      <c r="X3546" s="16" t="s">
        <v>18180</v>
      </c>
      <c r="Y3546" s="15" t="s">
        <v>166</v>
      </c>
      <c r="Z3546" s="14">
        <v>165.17</v>
      </c>
      <c r="AA3546" s="14" t="s">
        <v>36</v>
      </c>
      <c r="AB3546" s="12" t="s">
        <v>56</v>
      </c>
      <c r="AC3546" s="12" t="s">
        <v>10853</v>
      </c>
      <c r="AD3546" s="13">
        <v>44154</v>
      </c>
      <c r="AE3546" s="12" t="s">
        <v>158</v>
      </c>
      <c r="AF3546" s="12" t="s">
        <v>7975</v>
      </c>
      <c r="AG3546" s="12" t="s">
        <v>81</v>
      </c>
      <c r="AH3546" s="1">
        <f>HYPERLINK("https://my.pitchbook.com?c=159816-61T","View Company Online")</f>
      </c>
    </row>
    <row r="3547">
      <c r="A3547" s="3" t="s">
        <v>18181</v>
      </c>
      <c r="B3547" s="3" t="s">
        <v>18182</v>
      </c>
      <c r="C3547" s="5" t="s">
        <v>36</v>
      </c>
      <c r="D3547" s="5" t="s">
        <v>36</v>
      </c>
      <c r="E3547" s="5" t="s">
        <v>36</v>
      </c>
      <c r="F3547" s="5" t="s">
        <v>36</v>
      </c>
      <c r="G3547" s="6" t="s">
        <v>36</v>
      </c>
      <c r="H3547" s="4">
        <v>20.41</v>
      </c>
      <c r="I3547" s="7">
        <v>7</v>
      </c>
      <c r="J3547" s="3" t="s">
        <v>521</v>
      </c>
      <c r="K3547" s="9" t="s">
        <v>36</v>
      </c>
      <c r="L3547" s="6" t="s">
        <v>36</v>
      </c>
      <c r="M3547" s="3" t="s">
        <v>36</v>
      </c>
      <c r="N3547" s="3" t="s">
        <v>36</v>
      </c>
      <c r="O3547" s="8" t="s">
        <v>36</v>
      </c>
      <c r="P3547" s="3" t="s">
        <v>36</v>
      </c>
      <c r="Q3547" s="3" t="s">
        <v>36</v>
      </c>
      <c r="R3547" s="3" t="s">
        <v>36</v>
      </c>
      <c r="S3547" s="3" t="s">
        <v>36</v>
      </c>
      <c r="T3547" s="3" t="s">
        <v>18183</v>
      </c>
      <c r="U3547" s="3" t="s">
        <v>74</v>
      </c>
      <c r="V3547" s="3" t="s">
        <v>75</v>
      </c>
      <c r="W3547" s="3" t="s">
        <v>18184</v>
      </c>
      <c r="X3547" s="10" t="s">
        <v>18185</v>
      </c>
      <c r="Y3547" s="6" t="s">
        <v>42</v>
      </c>
      <c r="Z3547" s="4">
        <v>0.23</v>
      </c>
      <c r="AA3547" s="4">
        <v>3.27</v>
      </c>
      <c r="AB3547" s="3" t="s">
        <v>56</v>
      </c>
      <c r="AC3547" s="3" t="s">
        <v>18186</v>
      </c>
      <c r="AD3547" s="9">
        <v>44154</v>
      </c>
      <c r="AE3547" s="3" t="s">
        <v>7957</v>
      </c>
      <c r="AF3547" s="3" t="s">
        <v>36</v>
      </c>
      <c r="AG3547" s="3" t="s">
        <v>81</v>
      </c>
      <c r="AH3547" s="11">
        <f>HYPERLINK("https://my.pitchbook.com?c=211977-82T","View Company Online")</f>
      </c>
    </row>
    <row r="3548">
      <c r="A3548" s="12" t="s">
        <v>18187</v>
      </c>
      <c r="B3548" s="12" t="s">
        <v>18188</v>
      </c>
      <c r="C3548" s="19">
        <v>7</v>
      </c>
      <c r="D3548" s="19">
        <v>8</v>
      </c>
      <c r="E3548" s="19">
        <v>4</v>
      </c>
      <c r="F3548" s="19">
        <v>15</v>
      </c>
      <c r="G3548" s="15" t="s">
        <v>326</v>
      </c>
      <c r="H3548" s="14">
        <v>77.37</v>
      </c>
      <c r="I3548" s="18">
        <v>42.16</v>
      </c>
      <c r="J3548" s="12" t="s">
        <v>521</v>
      </c>
      <c r="K3548" s="13" t="s">
        <v>36</v>
      </c>
      <c r="L3548" s="15" t="s">
        <v>36</v>
      </c>
      <c r="M3548" s="12" t="s">
        <v>36</v>
      </c>
      <c r="N3548" s="12" t="s">
        <v>36</v>
      </c>
      <c r="O3548" s="17" t="s">
        <v>36</v>
      </c>
      <c r="P3548" s="12" t="s">
        <v>36</v>
      </c>
      <c r="Q3548" s="12" t="s">
        <v>36</v>
      </c>
      <c r="R3548" s="12" t="s">
        <v>36</v>
      </c>
      <c r="S3548" s="12" t="s">
        <v>36</v>
      </c>
      <c r="T3548" s="12" t="s">
        <v>5772</v>
      </c>
      <c r="U3548" s="12" t="s">
        <v>96</v>
      </c>
      <c r="V3548" s="12" t="s">
        <v>52</v>
      </c>
      <c r="W3548" s="12" t="s">
        <v>18189</v>
      </c>
      <c r="X3548" s="16" t="s">
        <v>18190</v>
      </c>
      <c r="Y3548" s="15" t="s">
        <v>108</v>
      </c>
      <c r="Z3548" s="14">
        <v>3.54</v>
      </c>
      <c r="AA3548" s="14">
        <v>8.4</v>
      </c>
      <c r="AB3548" s="12" t="s">
        <v>43</v>
      </c>
      <c r="AC3548" s="12" t="s">
        <v>18191</v>
      </c>
      <c r="AD3548" s="13">
        <v>44154</v>
      </c>
      <c r="AE3548" s="12" t="s">
        <v>755</v>
      </c>
      <c r="AF3548" s="12" t="s">
        <v>885</v>
      </c>
      <c r="AG3548" s="12" t="s">
        <v>6136</v>
      </c>
      <c r="AH3548" s="1">
        <f>HYPERLINK("https://my.pitchbook.com?c=139749-76T","View Company Online")</f>
      </c>
    </row>
    <row r="3549">
      <c r="A3549" s="3" t="s">
        <v>18192</v>
      </c>
      <c r="B3549" s="3" t="s">
        <v>8637</v>
      </c>
      <c r="C3549" s="5">
        <v>1</v>
      </c>
      <c r="D3549" s="5" t="s">
        <v>36</v>
      </c>
      <c r="E3549" s="5">
        <v>1</v>
      </c>
      <c r="F3549" s="5">
        <v>1</v>
      </c>
      <c r="G3549" s="6" t="s">
        <v>36</v>
      </c>
      <c r="H3549" s="4" t="s">
        <v>36</v>
      </c>
      <c r="I3549" s="7">
        <v>25.76</v>
      </c>
      <c r="J3549" s="3" t="s">
        <v>327</v>
      </c>
      <c r="K3549" s="9">
        <v>44140</v>
      </c>
      <c r="L3549" s="6" t="s">
        <v>122</v>
      </c>
      <c r="M3549" s="3" t="s">
        <v>36</v>
      </c>
      <c r="N3549" s="3" t="s">
        <v>122</v>
      </c>
      <c r="O3549" s="8" t="s">
        <v>36</v>
      </c>
      <c r="P3549" s="3" t="s">
        <v>36</v>
      </c>
      <c r="Q3549" s="3" t="s">
        <v>36</v>
      </c>
      <c r="R3549" s="3" t="s">
        <v>36</v>
      </c>
      <c r="S3549" s="3" t="s">
        <v>36</v>
      </c>
      <c r="T3549" s="3" t="s">
        <v>105</v>
      </c>
      <c r="U3549" s="3" t="s">
        <v>38</v>
      </c>
      <c r="V3549" s="3" t="s">
        <v>39</v>
      </c>
      <c r="W3549" s="3" t="s">
        <v>8638</v>
      </c>
      <c r="X3549" s="10" t="s">
        <v>18193</v>
      </c>
      <c r="Y3549" s="6" t="s">
        <v>55</v>
      </c>
      <c r="Z3549" s="4">
        <v>23.59</v>
      </c>
      <c r="AA3549" s="4">
        <v>91.59</v>
      </c>
      <c r="AB3549" s="3" t="s">
        <v>43</v>
      </c>
      <c r="AC3549" s="3" t="s">
        <v>8640</v>
      </c>
      <c r="AD3549" s="9">
        <v>44153</v>
      </c>
      <c r="AE3549" s="3" t="s">
        <v>110</v>
      </c>
      <c r="AF3549" s="3" t="s">
        <v>8641</v>
      </c>
      <c r="AG3549" s="3" t="s">
        <v>81</v>
      </c>
      <c r="AH3549" s="11">
        <f>HYPERLINK("https://my.pitchbook.com?c=159778-72T","View Company Online")</f>
      </c>
    </row>
    <row r="3550">
      <c r="A3550" s="12" t="s">
        <v>18194</v>
      </c>
      <c r="B3550" s="12" t="s">
        <v>18195</v>
      </c>
      <c r="C3550" s="19" t="s">
        <v>36</v>
      </c>
      <c r="D3550" s="19" t="s">
        <v>36</v>
      </c>
      <c r="E3550" s="19" t="s">
        <v>36</v>
      </c>
      <c r="F3550" s="19" t="s">
        <v>36</v>
      </c>
      <c r="G3550" s="15" t="s">
        <v>36</v>
      </c>
      <c r="H3550" s="14" t="s">
        <v>36</v>
      </c>
      <c r="I3550" s="18" t="s">
        <v>36</v>
      </c>
      <c r="J3550" s="12" t="s">
        <v>36</v>
      </c>
      <c r="K3550" s="13" t="s">
        <v>36</v>
      </c>
      <c r="L3550" s="15" t="s">
        <v>36</v>
      </c>
      <c r="M3550" s="12" t="s">
        <v>36</v>
      </c>
      <c r="N3550" s="12" t="s">
        <v>36</v>
      </c>
      <c r="O3550" s="17" t="s">
        <v>36</v>
      </c>
      <c r="P3550" s="12" t="s">
        <v>36</v>
      </c>
      <c r="Q3550" s="12" t="s">
        <v>36</v>
      </c>
      <c r="R3550" s="12" t="s">
        <v>36</v>
      </c>
      <c r="S3550" s="12" t="s">
        <v>36</v>
      </c>
      <c r="T3550" s="12" t="s">
        <v>18196</v>
      </c>
      <c r="U3550" s="12" t="s">
        <v>38</v>
      </c>
      <c r="V3550" s="12" t="s">
        <v>39</v>
      </c>
      <c r="W3550" s="12" t="s">
        <v>18197</v>
      </c>
      <c r="X3550" s="16" t="s">
        <v>1840</v>
      </c>
      <c r="Y3550" s="15" t="s">
        <v>42</v>
      </c>
      <c r="Z3550" s="14">
        <v>0.29</v>
      </c>
      <c r="AA3550" s="14" t="s">
        <v>36</v>
      </c>
      <c r="AB3550" s="12" t="s">
        <v>43</v>
      </c>
      <c r="AC3550" s="12" t="s">
        <v>18198</v>
      </c>
      <c r="AD3550" s="13">
        <v>44152</v>
      </c>
      <c r="AE3550" s="12" t="s">
        <v>110</v>
      </c>
      <c r="AF3550" s="12" t="s">
        <v>215</v>
      </c>
      <c r="AG3550" s="12" t="s">
        <v>539</v>
      </c>
      <c r="AH3550" s="1">
        <f>HYPERLINK("https://my.pitchbook.com?c=192419-65T","View Company Online")</f>
      </c>
    </row>
    <row r="3551">
      <c r="A3551" s="3" t="s">
        <v>18199</v>
      </c>
      <c r="B3551" s="3" t="s">
        <v>10962</v>
      </c>
      <c r="C3551" s="5" t="s">
        <v>36</v>
      </c>
      <c r="D3551" s="5" t="s">
        <v>36</v>
      </c>
      <c r="E3551" s="5" t="s">
        <v>36</v>
      </c>
      <c r="F3551" s="5" t="s">
        <v>36</v>
      </c>
      <c r="G3551" s="6" t="s">
        <v>326</v>
      </c>
      <c r="H3551" s="4">
        <v>529.67</v>
      </c>
      <c r="I3551" s="7">
        <v>15.6</v>
      </c>
      <c r="J3551" s="3" t="s">
        <v>521</v>
      </c>
      <c r="K3551" s="9" t="s">
        <v>36</v>
      </c>
      <c r="L3551" s="6" t="s">
        <v>36</v>
      </c>
      <c r="M3551" s="3" t="s">
        <v>36</v>
      </c>
      <c r="N3551" s="3" t="s">
        <v>36</v>
      </c>
      <c r="O3551" s="8" t="s">
        <v>36</v>
      </c>
      <c r="P3551" s="3" t="s">
        <v>36</v>
      </c>
      <c r="Q3551" s="3" t="s">
        <v>36</v>
      </c>
      <c r="R3551" s="3" t="s">
        <v>36</v>
      </c>
      <c r="S3551" s="3" t="s">
        <v>36</v>
      </c>
      <c r="T3551" s="3" t="s">
        <v>10963</v>
      </c>
      <c r="U3551" s="3" t="s">
        <v>38</v>
      </c>
      <c r="V3551" s="3" t="s">
        <v>39</v>
      </c>
      <c r="W3551" s="3" t="s">
        <v>10964</v>
      </c>
      <c r="X3551" s="10" t="s">
        <v>18200</v>
      </c>
      <c r="Y3551" s="6" t="s">
        <v>55</v>
      </c>
      <c r="Z3551" s="4">
        <v>0.76</v>
      </c>
      <c r="AA3551" s="4">
        <v>4.85</v>
      </c>
      <c r="AB3551" s="3" t="s">
        <v>43</v>
      </c>
      <c r="AC3551" s="3" t="s">
        <v>10966</v>
      </c>
      <c r="AD3551" s="9">
        <v>44152</v>
      </c>
      <c r="AE3551" s="3" t="s">
        <v>110</v>
      </c>
      <c r="AF3551" s="3" t="s">
        <v>815</v>
      </c>
      <c r="AG3551" s="3" t="s">
        <v>81</v>
      </c>
      <c r="AH3551" s="11">
        <f>HYPERLINK("https://my.pitchbook.com?c=194025-97T","View Company Online")</f>
      </c>
    </row>
    <row r="3552">
      <c r="A3552" s="12" t="s">
        <v>18201</v>
      </c>
      <c r="B3552" s="12" t="s">
        <v>18202</v>
      </c>
      <c r="C3552" s="19" t="s">
        <v>36</v>
      </c>
      <c r="D3552" s="19" t="s">
        <v>36</v>
      </c>
      <c r="E3552" s="19" t="s">
        <v>36</v>
      </c>
      <c r="F3552" s="19" t="s">
        <v>36</v>
      </c>
      <c r="G3552" s="15" t="s">
        <v>36</v>
      </c>
      <c r="H3552" s="14" t="s">
        <v>36</v>
      </c>
      <c r="I3552" s="18" t="s">
        <v>36</v>
      </c>
      <c r="J3552" s="12" t="s">
        <v>36</v>
      </c>
      <c r="K3552" s="13" t="s">
        <v>36</v>
      </c>
      <c r="L3552" s="15" t="s">
        <v>36</v>
      </c>
      <c r="M3552" s="12" t="s">
        <v>36</v>
      </c>
      <c r="N3552" s="12" t="s">
        <v>36</v>
      </c>
      <c r="O3552" s="17" t="s">
        <v>36</v>
      </c>
      <c r="P3552" s="12" t="s">
        <v>36</v>
      </c>
      <c r="Q3552" s="12" t="s">
        <v>36</v>
      </c>
      <c r="R3552" s="12" t="s">
        <v>36</v>
      </c>
      <c r="S3552" s="12" t="s">
        <v>36</v>
      </c>
      <c r="T3552" s="12" t="s">
        <v>18203</v>
      </c>
      <c r="U3552" s="12" t="s">
        <v>38</v>
      </c>
      <c r="V3552" s="12" t="s">
        <v>39</v>
      </c>
      <c r="W3552" s="12" t="s">
        <v>18204</v>
      </c>
      <c r="X3552" s="16" t="s">
        <v>18205</v>
      </c>
      <c r="Y3552" s="15" t="s">
        <v>108</v>
      </c>
      <c r="Z3552" s="14">
        <v>0.18</v>
      </c>
      <c r="AA3552" s="14" t="s">
        <v>36</v>
      </c>
      <c r="AB3552" s="12" t="s">
        <v>43</v>
      </c>
      <c r="AC3552" s="12" t="s">
        <v>18206</v>
      </c>
      <c r="AD3552" s="13">
        <v>44152</v>
      </c>
      <c r="AE3552" s="12" t="s">
        <v>110</v>
      </c>
      <c r="AF3552" s="12" t="s">
        <v>176</v>
      </c>
      <c r="AG3552" s="12" t="s">
        <v>81</v>
      </c>
      <c r="AH3552" s="1">
        <f>HYPERLINK("https://my.pitchbook.com?c=159694-48T","View Company Online")</f>
      </c>
    </row>
    <row r="3553">
      <c r="A3553" s="3" t="s">
        <v>18207</v>
      </c>
      <c r="B3553" s="3" t="s">
        <v>18208</v>
      </c>
      <c r="C3553" s="5" t="s">
        <v>36</v>
      </c>
      <c r="D3553" s="5" t="s">
        <v>36</v>
      </c>
      <c r="E3553" s="5" t="s">
        <v>36</v>
      </c>
      <c r="F3553" s="5" t="s">
        <v>36</v>
      </c>
      <c r="G3553" s="6" t="s">
        <v>36</v>
      </c>
      <c r="H3553" s="4">
        <v>1.05</v>
      </c>
      <c r="I3553" s="7">
        <v>43.16</v>
      </c>
      <c r="J3553" s="3" t="s">
        <v>521</v>
      </c>
      <c r="K3553" s="9" t="s">
        <v>36</v>
      </c>
      <c r="L3553" s="6" t="s">
        <v>36</v>
      </c>
      <c r="M3553" s="3" t="s">
        <v>36</v>
      </c>
      <c r="N3553" s="3" t="s">
        <v>36</v>
      </c>
      <c r="O3553" s="8" t="s">
        <v>36</v>
      </c>
      <c r="P3553" s="3" t="s">
        <v>36</v>
      </c>
      <c r="Q3553" s="3" t="s">
        <v>36</v>
      </c>
      <c r="R3553" s="3" t="s">
        <v>36</v>
      </c>
      <c r="S3553" s="3" t="s">
        <v>2699</v>
      </c>
      <c r="T3553" s="3" t="s">
        <v>18209</v>
      </c>
      <c r="U3553" s="3" t="s">
        <v>619</v>
      </c>
      <c r="V3553" s="3" t="s">
        <v>378</v>
      </c>
      <c r="W3553" s="3" t="s">
        <v>18210</v>
      </c>
      <c r="X3553" s="10" t="s">
        <v>18211</v>
      </c>
      <c r="Y3553" s="6" t="s">
        <v>42</v>
      </c>
      <c r="Z3553" s="4">
        <v>2.59</v>
      </c>
      <c r="AA3553" s="4">
        <v>4.22</v>
      </c>
      <c r="AB3553" s="3" t="s">
        <v>43</v>
      </c>
      <c r="AC3553" s="3" t="s">
        <v>18212</v>
      </c>
      <c r="AD3553" s="9">
        <v>44148</v>
      </c>
      <c r="AE3553" s="3" t="s">
        <v>2672</v>
      </c>
      <c r="AF3553" s="3" t="s">
        <v>10715</v>
      </c>
      <c r="AG3553" s="3" t="s">
        <v>15404</v>
      </c>
      <c r="AH3553" s="11">
        <f>HYPERLINK("https://my.pitchbook.com?c=159692-41T","View Company Online")</f>
      </c>
    </row>
    <row r="3554">
      <c r="A3554" s="12" t="s">
        <v>18213</v>
      </c>
      <c r="B3554" s="12" t="s">
        <v>18214</v>
      </c>
      <c r="C3554" s="19" t="s">
        <v>36</v>
      </c>
      <c r="D3554" s="19" t="s">
        <v>36</v>
      </c>
      <c r="E3554" s="19" t="s">
        <v>36</v>
      </c>
      <c r="F3554" s="19" t="s">
        <v>36</v>
      </c>
      <c r="G3554" s="15" t="s">
        <v>326</v>
      </c>
      <c r="H3554" s="14">
        <v>39.01</v>
      </c>
      <c r="I3554" s="18">
        <v>20.03</v>
      </c>
      <c r="J3554" s="12" t="s">
        <v>521</v>
      </c>
      <c r="K3554" s="13" t="s">
        <v>36</v>
      </c>
      <c r="L3554" s="15" t="s">
        <v>94</v>
      </c>
      <c r="M3554" s="12" t="s">
        <v>36</v>
      </c>
      <c r="N3554" s="12" t="s">
        <v>94</v>
      </c>
      <c r="O3554" s="17" t="s">
        <v>36</v>
      </c>
      <c r="P3554" s="12" t="s">
        <v>36</v>
      </c>
      <c r="Q3554" s="12" t="s">
        <v>36</v>
      </c>
      <c r="R3554" s="12" t="s">
        <v>36</v>
      </c>
      <c r="S3554" s="12" t="s">
        <v>14408</v>
      </c>
      <c r="T3554" s="12" t="s">
        <v>335</v>
      </c>
      <c r="U3554" s="12" t="s">
        <v>38</v>
      </c>
      <c r="V3554" s="12" t="s">
        <v>39</v>
      </c>
      <c r="W3554" s="12" t="s">
        <v>18215</v>
      </c>
      <c r="X3554" s="16" t="s">
        <v>18216</v>
      </c>
      <c r="Y3554" s="15" t="s">
        <v>55</v>
      </c>
      <c r="Z3554" s="14">
        <v>29.43</v>
      </c>
      <c r="AA3554" s="14">
        <v>94.03</v>
      </c>
      <c r="AB3554" s="12" t="s">
        <v>43</v>
      </c>
      <c r="AC3554" s="12" t="s">
        <v>18217</v>
      </c>
      <c r="AD3554" s="13">
        <v>44147</v>
      </c>
      <c r="AE3554" s="12" t="s">
        <v>339</v>
      </c>
      <c r="AF3554" s="12" t="s">
        <v>176</v>
      </c>
      <c r="AG3554" s="12" t="s">
        <v>81</v>
      </c>
      <c r="AH3554" s="1">
        <f>HYPERLINK("https://my.pitchbook.com?c=159269-32T","View Company Online")</f>
      </c>
    </row>
    <row r="3555">
      <c r="A3555" s="3" t="s">
        <v>18218</v>
      </c>
      <c r="B3555" s="3" t="s">
        <v>18219</v>
      </c>
      <c r="C3555" s="5" t="s">
        <v>36</v>
      </c>
      <c r="D3555" s="5" t="s">
        <v>36</v>
      </c>
      <c r="E3555" s="5" t="s">
        <v>36</v>
      </c>
      <c r="F3555" s="5" t="s">
        <v>36</v>
      </c>
      <c r="G3555" s="6" t="s">
        <v>36</v>
      </c>
      <c r="H3555" s="4">
        <v>370.91</v>
      </c>
      <c r="I3555" s="7">
        <v>15</v>
      </c>
      <c r="J3555" s="3" t="s">
        <v>521</v>
      </c>
      <c r="K3555" s="9" t="s">
        <v>36</v>
      </c>
      <c r="L3555" s="6" t="s">
        <v>36</v>
      </c>
      <c r="M3555" s="3" t="s">
        <v>36</v>
      </c>
      <c r="N3555" s="3" t="s">
        <v>36</v>
      </c>
      <c r="O3555" s="8" t="s">
        <v>36</v>
      </c>
      <c r="P3555" s="3" t="s">
        <v>36</v>
      </c>
      <c r="Q3555" s="3" t="s">
        <v>36</v>
      </c>
      <c r="R3555" s="3" t="s">
        <v>36</v>
      </c>
      <c r="S3555" s="3" t="s">
        <v>36</v>
      </c>
      <c r="T3555" s="3" t="s">
        <v>18220</v>
      </c>
      <c r="U3555" s="3" t="s">
        <v>38</v>
      </c>
      <c r="V3555" s="3" t="s">
        <v>39</v>
      </c>
      <c r="W3555" s="3" t="s">
        <v>18221</v>
      </c>
      <c r="X3555" s="10" t="s">
        <v>18222</v>
      </c>
      <c r="Y3555" s="6" t="s">
        <v>42</v>
      </c>
      <c r="Z3555" s="4">
        <v>0.59</v>
      </c>
      <c r="AA3555" s="4">
        <v>2.35</v>
      </c>
      <c r="AB3555" s="3" t="s">
        <v>56</v>
      </c>
      <c r="AC3555" s="3" t="s">
        <v>18223</v>
      </c>
      <c r="AD3555" s="9">
        <v>44146</v>
      </c>
      <c r="AE3555" s="3" t="s">
        <v>1422</v>
      </c>
      <c r="AF3555" s="3" t="s">
        <v>4200</v>
      </c>
      <c r="AG3555" s="3" t="s">
        <v>186</v>
      </c>
      <c r="AH3555" s="11">
        <f>HYPERLINK("https://my.pitchbook.com?c=160969-33T","View Company Online")</f>
      </c>
    </row>
    <row r="3556">
      <c r="A3556" s="12" t="s">
        <v>18224</v>
      </c>
      <c r="B3556" s="12" t="s">
        <v>18225</v>
      </c>
      <c r="C3556" s="19">
        <v>1</v>
      </c>
      <c r="D3556" s="19">
        <v>13</v>
      </c>
      <c r="E3556" s="19">
        <v>7</v>
      </c>
      <c r="F3556" s="19">
        <v>17</v>
      </c>
      <c r="G3556" s="15" t="s">
        <v>36</v>
      </c>
      <c r="H3556" s="14" t="s">
        <v>36</v>
      </c>
      <c r="I3556" s="18" t="s">
        <v>36</v>
      </c>
      <c r="J3556" s="12" t="s">
        <v>36</v>
      </c>
      <c r="K3556" s="13" t="s">
        <v>36</v>
      </c>
      <c r="L3556" s="15" t="s">
        <v>36</v>
      </c>
      <c r="M3556" s="12" t="s">
        <v>36</v>
      </c>
      <c r="N3556" s="12" t="s">
        <v>36</v>
      </c>
      <c r="O3556" s="17" t="s">
        <v>36</v>
      </c>
      <c r="P3556" s="12" t="s">
        <v>36</v>
      </c>
      <c r="Q3556" s="12" t="s">
        <v>36</v>
      </c>
      <c r="R3556" s="12" t="s">
        <v>36</v>
      </c>
      <c r="S3556" s="12" t="s">
        <v>36</v>
      </c>
      <c r="T3556" s="12" t="s">
        <v>18226</v>
      </c>
      <c r="U3556" s="12" t="s">
        <v>833</v>
      </c>
      <c r="V3556" s="12" t="s">
        <v>64</v>
      </c>
      <c r="W3556" s="12" t="s">
        <v>18227</v>
      </c>
      <c r="X3556" s="16" t="s">
        <v>18228</v>
      </c>
      <c r="Y3556" s="15" t="s">
        <v>108</v>
      </c>
      <c r="Z3556" s="14">
        <v>4.12</v>
      </c>
      <c r="AA3556" s="14" t="s">
        <v>36</v>
      </c>
      <c r="AB3556" s="12" t="s">
        <v>56</v>
      </c>
      <c r="AC3556" s="12" t="s">
        <v>18229</v>
      </c>
      <c r="AD3556" s="13">
        <v>44145</v>
      </c>
      <c r="AE3556" s="12" t="s">
        <v>1069</v>
      </c>
      <c r="AF3556" s="12" t="s">
        <v>18230</v>
      </c>
      <c r="AG3556" s="12" t="s">
        <v>18231</v>
      </c>
      <c r="AH3556" s="1">
        <f>HYPERLINK("https://my.pitchbook.com?c=158965-30T","View Company Online")</f>
      </c>
    </row>
    <row r="3557">
      <c r="A3557" s="3" t="s">
        <v>18232</v>
      </c>
      <c r="B3557" s="3" t="s">
        <v>6138</v>
      </c>
      <c r="C3557" s="5">
        <v>15</v>
      </c>
      <c r="D3557" s="5">
        <v>11</v>
      </c>
      <c r="E3557" s="5">
        <v>6</v>
      </c>
      <c r="F3557" s="5">
        <v>26</v>
      </c>
      <c r="G3557" s="6" t="s">
        <v>36</v>
      </c>
      <c r="H3557" s="4">
        <v>10.18</v>
      </c>
      <c r="I3557" s="7">
        <v>39.57</v>
      </c>
      <c r="J3557" s="3" t="s">
        <v>521</v>
      </c>
      <c r="K3557" s="9" t="s">
        <v>36</v>
      </c>
      <c r="L3557" s="6" t="s">
        <v>36</v>
      </c>
      <c r="M3557" s="3" t="s">
        <v>36</v>
      </c>
      <c r="N3557" s="3" t="s">
        <v>36</v>
      </c>
      <c r="O3557" s="8" t="s">
        <v>36</v>
      </c>
      <c r="P3557" s="3" t="s">
        <v>36</v>
      </c>
      <c r="Q3557" s="3" t="s">
        <v>36</v>
      </c>
      <c r="R3557" s="3" t="s">
        <v>36</v>
      </c>
      <c r="S3557" s="3" t="s">
        <v>36</v>
      </c>
      <c r="T3557" s="3" t="s">
        <v>6139</v>
      </c>
      <c r="U3557" s="3" t="s">
        <v>1502</v>
      </c>
      <c r="V3557" s="3" t="s">
        <v>75</v>
      </c>
      <c r="W3557" s="3" t="s">
        <v>6140</v>
      </c>
      <c r="X3557" s="10" t="s">
        <v>18233</v>
      </c>
      <c r="Y3557" s="6" t="s">
        <v>42</v>
      </c>
      <c r="Z3557" s="4">
        <v>0.84</v>
      </c>
      <c r="AA3557" s="4">
        <v>2.12</v>
      </c>
      <c r="AB3557" s="3" t="s">
        <v>43</v>
      </c>
      <c r="AC3557" s="3" t="s">
        <v>6142</v>
      </c>
      <c r="AD3557" s="9">
        <v>44145</v>
      </c>
      <c r="AE3557" s="3" t="s">
        <v>1822</v>
      </c>
      <c r="AF3557" s="3" t="s">
        <v>982</v>
      </c>
      <c r="AG3557" s="3" t="s">
        <v>81</v>
      </c>
      <c r="AH3557" s="11">
        <f>HYPERLINK("https://my.pitchbook.com?c=225305-20T","View Company Online")</f>
      </c>
    </row>
    <row r="3558">
      <c r="A3558" s="12" t="s">
        <v>18234</v>
      </c>
      <c r="B3558" s="12" t="s">
        <v>18235</v>
      </c>
      <c r="C3558" s="19">
        <v>1</v>
      </c>
      <c r="D3558" s="19">
        <v>8</v>
      </c>
      <c r="E3558" s="19">
        <v>3</v>
      </c>
      <c r="F3558" s="19">
        <v>9</v>
      </c>
      <c r="G3558" s="15" t="s">
        <v>326</v>
      </c>
      <c r="H3558" s="14">
        <v>25.96</v>
      </c>
      <c r="I3558" s="18">
        <v>5.45</v>
      </c>
      <c r="J3558" s="12" t="s">
        <v>521</v>
      </c>
      <c r="K3558" s="13" t="s">
        <v>36</v>
      </c>
      <c r="L3558" s="15" t="s">
        <v>122</v>
      </c>
      <c r="M3558" s="12" t="s">
        <v>36</v>
      </c>
      <c r="N3558" s="12" t="s">
        <v>122</v>
      </c>
      <c r="O3558" s="17" t="s">
        <v>36</v>
      </c>
      <c r="P3558" s="12" t="s">
        <v>36</v>
      </c>
      <c r="Q3558" s="12" t="s">
        <v>36</v>
      </c>
      <c r="R3558" s="12" t="s">
        <v>36</v>
      </c>
      <c r="S3558" s="12" t="s">
        <v>36</v>
      </c>
      <c r="T3558" s="12" t="s">
        <v>422</v>
      </c>
      <c r="U3558" s="12" t="s">
        <v>423</v>
      </c>
      <c r="V3558" s="12" t="s">
        <v>64</v>
      </c>
      <c r="W3558" s="12" t="s">
        <v>18236</v>
      </c>
      <c r="X3558" s="16" t="s">
        <v>15809</v>
      </c>
      <c r="Y3558" s="15" t="s">
        <v>108</v>
      </c>
      <c r="Z3558" s="14">
        <v>0.74</v>
      </c>
      <c r="AA3558" s="14">
        <v>13.49</v>
      </c>
      <c r="AB3558" s="12" t="s">
        <v>56</v>
      </c>
      <c r="AC3558" s="12" t="s">
        <v>18237</v>
      </c>
      <c r="AD3558" s="13">
        <v>44145</v>
      </c>
      <c r="AE3558" s="12" t="s">
        <v>427</v>
      </c>
      <c r="AF3558" s="12" t="s">
        <v>938</v>
      </c>
      <c r="AG3558" s="12" t="s">
        <v>102</v>
      </c>
      <c r="AH3558" s="1">
        <f>HYPERLINK("https://my.pitchbook.com?c=223696-99T","View Company Online")</f>
      </c>
    </row>
    <row r="3559">
      <c r="A3559" s="3" t="s">
        <v>18238</v>
      </c>
      <c r="B3559" s="3" t="s">
        <v>18239</v>
      </c>
      <c r="C3559" s="5" t="s">
        <v>36</v>
      </c>
      <c r="D3559" s="5">
        <v>6</v>
      </c>
      <c r="E3559" s="5">
        <v>5</v>
      </c>
      <c r="F3559" s="5">
        <v>11</v>
      </c>
      <c r="G3559" s="6" t="s">
        <v>2497</v>
      </c>
      <c r="H3559" s="4">
        <v>18.17</v>
      </c>
      <c r="I3559" s="7">
        <v>12.23</v>
      </c>
      <c r="J3559" s="3" t="s">
        <v>521</v>
      </c>
      <c r="K3559" s="9" t="s">
        <v>36</v>
      </c>
      <c r="L3559" s="6" t="s">
        <v>36</v>
      </c>
      <c r="M3559" s="3" t="s">
        <v>36</v>
      </c>
      <c r="N3559" s="3" t="s">
        <v>36</v>
      </c>
      <c r="O3559" s="8" t="s">
        <v>36</v>
      </c>
      <c r="P3559" s="3" t="s">
        <v>36</v>
      </c>
      <c r="Q3559" s="3" t="s">
        <v>36</v>
      </c>
      <c r="R3559" s="3" t="s">
        <v>36</v>
      </c>
      <c r="S3559" s="3" t="s">
        <v>36</v>
      </c>
      <c r="T3559" s="3" t="s">
        <v>1048</v>
      </c>
      <c r="U3559" s="3" t="s">
        <v>423</v>
      </c>
      <c r="V3559" s="3" t="s">
        <v>64</v>
      </c>
      <c r="W3559" s="3" t="s">
        <v>18240</v>
      </c>
      <c r="X3559" s="10" t="s">
        <v>18241</v>
      </c>
      <c r="Y3559" s="6" t="s">
        <v>192</v>
      </c>
      <c r="Z3559" s="4">
        <v>0.24</v>
      </c>
      <c r="AA3559" s="4">
        <v>1.93</v>
      </c>
      <c r="AB3559" s="3" t="s">
        <v>56</v>
      </c>
      <c r="AC3559" s="3" t="s">
        <v>18242</v>
      </c>
      <c r="AD3559" s="9">
        <v>44144</v>
      </c>
      <c r="AE3559" s="3" t="s">
        <v>1051</v>
      </c>
      <c r="AF3559" s="3" t="s">
        <v>1061</v>
      </c>
      <c r="AG3559" s="3" t="s">
        <v>81</v>
      </c>
      <c r="AH3559" s="11">
        <f>HYPERLINK("https://my.pitchbook.com?c=134242-93T","View Company Online")</f>
      </c>
    </row>
    <row r="3560">
      <c r="A3560" s="12" t="s">
        <v>18243</v>
      </c>
      <c r="B3560" s="12" t="s">
        <v>18244</v>
      </c>
      <c r="C3560" s="19" t="s">
        <v>36</v>
      </c>
      <c r="D3560" s="19" t="s">
        <v>36</v>
      </c>
      <c r="E3560" s="19" t="s">
        <v>36</v>
      </c>
      <c r="F3560" s="19" t="s">
        <v>36</v>
      </c>
      <c r="G3560" s="15" t="s">
        <v>36</v>
      </c>
      <c r="H3560" s="14">
        <v>162.8</v>
      </c>
      <c r="I3560" s="18">
        <v>5</v>
      </c>
      <c r="J3560" s="12" t="s">
        <v>521</v>
      </c>
      <c r="K3560" s="13" t="s">
        <v>36</v>
      </c>
      <c r="L3560" s="15" t="s">
        <v>36</v>
      </c>
      <c r="M3560" s="12" t="s">
        <v>36</v>
      </c>
      <c r="N3560" s="12" t="s">
        <v>36</v>
      </c>
      <c r="O3560" s="17" t="s">
        <v>36</v>
      </c>
      <c r="P3560" s="12" t="s">
        <v>36</v>
      </c>
      <c r="Q3560" s="12" t="s">
        <v>36</v>
      </c>
      <c r="R3560" s="12" t="s">
        <v>36</v>
      </c>
      <c r="S3560" s="12" t="s">
        <v>36</v>
      </c>
      <c r="T3560" s="12" t="s">
        <v>18245</v>
      </c>
      <c r="U3560" s="12" t="s">
        <v>318</v>
      </c>
      <c r="V3560" s="12" t="s">
        <v>39</v>
      </c>
      <c r="W3560" s="12" t="s">
        <v>18246</v>
      </c>
      <c r="X3560" s="16" t="s">
        <v>18247</v>
      </c>
      <c r="Y3560" s="15" t="s">
        <v>42</v>
      </c>
      <c r="Z3560" s="14">
        <v>0.19</v>
      </c>
      <c r="AA3560" s="14">
        <v>3.88</v>
      </c>
      <c r="AB3560" s="12" t="s">
        <v>43</v>
      </c>
      <c r="AC3560" s="12" t="s">
        <v>18248</v>
      </c>
      <c r="AD3560" s="13">
        <v>44143</v>
      </c>
      <c r="AE3560" s="12" t="s">
        <v>417</v>
      </c>
      <c r="AF3560" s="12" t="s">
        <v>36</v>
      </c>
      <c r="AG3560" s="12" t="s">
        <v>1803</v>
      </c>
      <c r="AH3560" s="1">
        <f>HYPERLINK("https://my.pitchbook.com?c=243861-04T","View Company Online")</f>
      </c>
    </row>
    <row r="3561">
      <c r="A3561" s="3" t="s">
        <v>18249</v>
      </c>
      <c r="B3561" s="3" t="s">
        <v>18250</v>
      </c>
      <c r="C3561" s="5" t="s">
        <v>36</v>
      </c>
      <c r="D3561" s="5" t="s">
        <v>36</v>
      </c>
      <c r="E3561" s="5" t="s">
        <v>36</v>
      </c>
      <c r="F3561" s="5" t="s">
        <v>36</v>
      </c>
      <c r="G3561" s="6" t="s">
        <v>36</v>
      </c>
      <c r="H3561" s="4" t="s">
        <v>36</v>
      </c>
      <c r="I3561" s="7" t="s">
        <v>36</v>
      </c>
      <c r="J3561" s="3" t="s">
        <v>36</v>
      </c>
      <c r="K3561" s="9" t="s">
        <v>36</v>
      </c>
      <c r="L3561" s="6" t="s">
        <v>122</v>
      </c>
      <c r="M3561" s="3" t="s">
        <v>36</v>
      </c>
      <c r="N3561" s="3" t="s">
        <v>122</v>
      </c>
      <c r="O3561" s="8" t="s">
        <v>36</v>
      </c>
      <c r="P3561" s="3" t="s">
        <v>36</v>
      </c>
      <c r="Q3561" s="3" t="s">
        <v>36</v>
      </c>
      <c r="R3561" s="3" t="s">
        <v>36</v>
      </c>
      <c r="S3561" s="3" t="s">
        <v>36</v>
      </c>
      <c r="T3561" s="3" t="s">
        <v>18251</v>
      </c>
      <c r="U3561" s="3" t="s">
        <v>74</v>
      </c>
      <c r="V3561" s="3" t="s">
        <v>75</v>
      </c>
      <c r="W3561" s="3" t="s">
        <v>18252</v>
      </c>
      <c r="X3561" s="10" t="s">
        <v>18253</v>
      </c>
      <c r="Y3561" s="6" t="s">
        <v>42</v>
      </c>
      <c r="Z3561" s="4">
        <v>2.24</v>
      </c>
      <c r="AA3561" s="4" t="s">
        <v>36</v>
      </c>
      <c r="AB3561" s="3" t="s">
        <v>56</v>
      </c>
      <c r="AC3561" s="3" t="s">
        <v>18254</v>
      </c>
      <c r="AD3561" s="9">
        <v>44141</v>
      </c>
      <c r="AE3561" s="3" t="s">
        <v>975</v>
      </c>
      <c r="AF3561" s="3" t="s">
        <v>7309</v>
      </c>
      <c r="AG3561" s="3" t="s">
        <v>392</v>
      </c>
      <c r="AH3561" s="11">
        <f>HYPERLINK("https://my.pitchbook.com?c=159707-53T","View Company Online")</f>
      </c>
    </row>
    <row r="3562">
      <c r="A3562" s="12" t="s">
        <v>18255</v>
      </c>
      <c r="B3562" s="12" t="s">
        <v>18256</v>
      </c>
      <c r="C3562" s="19" t="s">
        <v>36</v>
      </c>
      <c r="D3562" s="19" t="s">
        <v>36</v>
      </c>
      <c r="E3562" s="19" t="s">
        <v>36</v>
      </c>
      <c r="F3562" s="19" t="s">
        <v>36</v>
      </c>
      <c r="G3562" s="15" t="s">
        <v>36</v>
      </c>
      <c r="H3562" s="14">
        <v>5.94</v>
      </c>
      <c r="I3562" s="18">
        <v>17.47</v>
      </c>
      <c r="J3562" s="12" t="s">
        <v>521</v>
      </c>
      <c r="K3562" s="13" t="s">
        <v>36</v>
      </c>
      <c r="L3562" s="15" t="s">
        <v>36</v>
      </c>
      <c r="M3562" s="12" t="s">
        <v>36</v>
      </c>
      <c r="N3562" s="12" t="s">
        <v>36</v>
      </c>
      <c r="O3562" s="17" t="s">
        <v>36</v>
      </c>
      <c r="P3562" s="12" t="s">
        <v>36</v>
      </c>
      <c r="Q3562" s="12" t="s">
        <v>36</v>
      </c>
      <c r="R3562" s="12" t="s">
        <v>36</v>
      </c>
      <c r="S3562" s="12" t="s">
        <v>36</v>
      </c>
      <c r="T3562" s="12" t="s">
        <v>18257</v>
      </c>
      <c r="U3562" s="12" t="s">
        <v>289</v>
      </c>
      <c r="V3562" s="12" t="s">
        <v>64</v>
      </c>
      <c r="W3562" s="12" t="s">
        <v>18258</v>
      </c>
      <c r="X3562" s="16" t="s">
        <v>18259</v>
      </c>
      <c r="Y3562" s="15" t="s">
        <v>108</v>
      </c>
      <c r="Z3562" s="14">
        <v>0.68</v>
      </c>
      <c r="AA3562" s="14">
        <v>2.3</v>
      </c>
      <c r="AB3562" s="12" t="s">
        <v>56</v>
      </c>
      <c r="AC3562" s="12" t="s">
        <v>18260</v>
      </c>
      <c r="AD3562" s="13">
        <v>44141</v>
      </c>
      <c r="AE3562" s="12" t="s">
        <v>292</v>
      </c>
      <c r="AF3562" s="12" t="s">
        <v>90</v>
      </c>
      <c r="AG3562" s="12" t="s">
        <v>741</v>
      </c>
      <c r="AH3562" s="1">
        <f>HYPERLINK("https://my.pitchbook.com?c=133778-53T","View Company Online")</f>
      </c>
    </row>
    <row r="3563">
      <c r="A3563" s="3" t="s">
        <v>18261</v>
      </c>
      <c r="B3563" s="3" t="s">
        <v>18262</v>
      </c>
      <c r="C3563" s="5" t="s">
        <v>36</v>
      </c>
      <c r="D3563" s="5" t="s">
        <v>36</v>
      </c>
      <c r="E3563" s="5" t="s">
        <v>36</v>
      </c>
      <c r="F3563" s="5" t="s">
        <v>36</v>
      </c>
      <c r="G3563" s="6" t="s">
        <v>326</v>
      </c>
      <c r="H3563" s="4">
        <v>4.03</v>
      </c>
      <c r="I3563" s="7">
        <v>27.35</v>
      </c>
      <c r="J3563" s="3" t="s">
        <v>521</v>
      </c>
      <c r="K3563" s="9" t="s">
        <v>36</v>
      </c>
      <c r="L3563" s="6" t="s">
        <v>36</v>
      </c>
      <c r="M3563" s="3" t="s">
        <v>36</v>
      </c>
      <c r="N3563" s="3" t="s">
        <v>36</v>
      </c>
      <c r="O3563" s="8" t="s">
        <v>36</v>
      </c>
      <c r="P3563" s="3" t="s">
        <v>36</v>
      </c>
      <c r="Q3563" s="3" t="s">
        <v>36</v>
      </c>
      <c r="R3563" s="3" t="s">
        <v>36</v>
      </c>
      <c r="S3563" s="3" t="s">
        <v>36</v>
      </c>
      <c r="T3563" s="3" t="s">
        <v>18263</v>
      </c>
      <c r="U3563" s="3" t="s">
        <v>38</v>
      </c>
      <c r="V3563" s="3" t="s">
        <v>39</v>
      </c>
      <c r="W3563" s="3" t="s">
        <v>18264</v>
      </c>
      <c r="X3563" s="10" t="s">
        <v>18265</v>
      </c>
      <c r="Y3563" s="6" t="s">
        <v>108</v>
      </c>
      <c r="Z3563" s="4">
        <v>1.76</v>
      </c>
      <c r="AA3563" s="4">
        <v>6.45</v>
      </c>
      <c r="AB3563" s="3" t="s">
        <v>56</v>
      </c>
      <c r="AC3563" s="3" t="s">
        <v>18266</v>
      </c>
      <c r="AD3563" s="9">
        <v>44140</v>
      </c>
      <c r="AE3563" s="3" t="s">
        <v>554</v>
      </c>
      <c r="AF3563" s="3" t="s">
        <v>1380</v>
      </c>
      <c r="AG3563" s="3" t="s">
        <v>81</v>
      </c>
      <c r="AH3563" s="11">
        <f>HYPERLINK("https://my.pitchbook.com?c=193996-09T","View Company Online")</f>
      </c>
    </row>
    <row r="3564">
      <c r="A3564" s="12" t="s">
        <v>18267</v>
      </c>
      <c r="B3564" s="12" t="s">
        <v>18268</v>
      </c>
      <c r="C3564" s="19">
        <v>2</v>
      </c>
      <c r="D3564" s="19">
        <v>4</v>
      </c>
      <c r="E3564" s="19">
        <v>1</v>
      </c>
      <c r="F3564" s="19">
        <v>6</v>
      </c>
      <c r="G3564" s="15" t="s">
        <v>36</v>
      </c>
      <c r="H3564" s="14">
        <v>41.54</v>
      </c>
      <c r="I3564" s="18">
        <v>20.3</v>
      </c>
      <c r="J3564" s="12" t="s">
        <v>521</v>
      </c>
      <c r="K3564" s="13" t="s">
        <v>36</v>
      </c>
      <c r="L3564" s="15" t="s">
        <v>122</v>
      </c>
      <c r="M3564" s="12" t="s">
        <v>36</v>
      </c>
      <c r="N3564" s="12" t="s">
        <v>122</v>
      </c>
      <c r="O3564" s="17" t="s">
        <v>36</v>
      </c>
      <c r="P3564" s="12" t="s">
        <v>36</v>
      </c>
      <c r="Q3564" s="12" t="s">
        <v>36</v>
      </c>
      <c r="R3564" s="12" t="s">
        <v>36</v>
      </c>
      <c r="S3564" s="12" t="s">
        <v>36</v>
      </c>
      <c r="T3564" s="12" t="s">
        <v>522</v>
      </c>
      <c r="U3564" s="12" t="s">
        <v>38</v>
      </c>
      <c r="V3564" s="12" t="s">
        <v>39</v>
      </c>
      <c r="W3564" s="12" t="s">
        <v>18269</v>
      </c>
      <c r="X3564" s="16" t="s">
        <v>17750</v>
      </c>
      <c r="Y3564" s="15" t="s">
        <v>42</v>
      </c>
      <c r="Z3564" s="14">
        <v>9.64</v>
      </c>
      <c r="AA3564" s="14">
        <v>35.61</v>
      </c>
      <c r="AB3564" s="12" t="s">
        <v>43</v>
      </c>
      <c r="AC3564" s="12" t="s">
        <v>18270</v>
      </c>
      <c r="AD3564" s="13">
        <v>44140</v>
      </c>
      <c r="AE3564" s="12" t="s">
        <v>110</v>
      </c>
      <c r="AF3564" s="12" t="s">
        <v>4724</v>
      </c>
      <c r="AG3564" s="12" t="s">
        <v>81</v>
      </c>
      <c r="AH3564" s="1">
        <f>HYPERLINK("https://my.pitchbook.com?c=158792-32T","View Company Online")</f>
      </c>
    </row>
    <row r="3565">
      <c r="A3565" s="3" t="s">
        <v>18271</v>
      </c>
      <c r="B3565" s="3" t="s">
        <v>18272</v>
      </c>
      <c r="C3565" s="5" t="s">
        <v>36</v>
      </c>
      <c r="D3565" s="5" t="s">
        <v>36</v>
      </c>
      <c r="E3565" s="5">
        <v>2</v>
      </c>
      <c r="F3565" s="5">
        <v>2</v>
      </c>
      <c r="G3565" s="6" t="s">
        <v>326</v>
      </c>
      <c r="H3565" s="4">
        <v>22.04</v>
      </c>
      <c r="I3565" s="7">
        <v>54.42</v>
      </c>
      <c r="J3565" s="3" t="s">
        <v>521</v>
      </c>
      <c r="K3565" s="9" t="s">
        <v>36</v>
      </c>
      <c r="L3565" s="6" t="s">
        <v>1279</v>
      </c>
      <c r="M3565" s="3" t="s">
        <v>36</v>
      </c>
      <c r="N3565" s="3" t="s">
        <v>1279</v>
      </c>
      <c r="O3565" s="8" t="s">
        <v>36</v>
      </c>
      <c r="P3565" s="3" t="s">
        <v>36</v>
      </c>
      <c r="Q3565" s="3" t="s">
        <v>36</v>
      </c>
      <c r="R3565" s="3" t="s">
        <v>36</v>
      </c>
      <c r="S3565" s="3" t="s">
        <v>36</v>
      </c>
      <c r="T3565" s="3" t="s">
        <v>881</v>
      </c>
      <c r="U3565" s="3" t="s">
        <v>51</v>
      </c>
      <c r="V3565" s="3" t="s">
        <v>52</v>
      </c>
      <c r="W3565" s="3" t="s">
        <v>18273</v>
      </c>
      <c r="X3565" s="10" t="s">
        <v>18274</v>
      </c>
      <c r="Y3565" s="6" t="s">
        <v>192</v>
      </c>
      <c r="Z3565" s="4">
        <v>67.62</v>
      </c>
      <c r="AA3565" s="4">
        <v>124.27</v>
      </c>
      <c r="AB3565" s="3" t="s">
        <v>56</v>
      </c>
      <c r="AC3565" s="3" t="s">
        <v>18275</v>
      </c>
      <c r="AD3565" s="9">
        <v>44140</v>
      </c>
      <c r="AE3565" s="3" t="s">
        <v>504</v>
      </c>
      <c r="AF3565" s="3" t="s">
        <v>9908</v>
      </c>
      <c r="AG3565" s="3" t="s">
        <v>1276</v>
      </c>
      <c r="AH3565" s="11">
        <f>HYPERLINK("https://my.pitchbook.com?c=134487-46T","View Company Online")</f>
      </c>
    </row>
    <row r="3566">
      <c r="A3566" s="12" t="s">
        <v>18276</v>
      </c>
      <c r="B3566" s="12" t="s">
        <v>15068</v>
      </c>
      <c r="C3566" s="19">
        <v>1</v>
      </c>
      <c r="D3566" s="19">
        <v>3</v>
      </c>
      <c r="E3566" s="19">
        <v>4</v>
      </c>
      <c r="F3566" s="19">
        <v>4</v>
      </c>
      <c r="G3566" s="15" t="s">
        <v>36</v>
      </c>
      <c r="H3566" s="14" t="s">
        <v>36</v>
      </c>
      <c r="I3566" s="18" t="s">
        <v>36</v>
      </c>
      <c r="J3566" s="12" t="s">
        <v>36</v>
      </c>
      <c r="K3566" s="13" t="s">
        <v>36</v>
      </c>
      <c r="L3566" s="15" t="s">
        <v>36</v>
      </c>
      <c r="M3566" s="12" t="s">
        <v>36</v>
      </c>
      <c r="N3566" s="12" t="s">
        <v>36</v>
      </c>
      <c r="O3566" s="17" t="s">
        <v>36</v>
      </c>
      <c r="P3566" s="12" t="s">
        <v>36</v>
      </c>
      <c r="Q3566" s="12" t="s">
        <v>36</v>
      </c>
      <c r="R3566" s="12" t="s">
        <v>36</v>
      </c>
      <c r="S3566" s="12" t="s">
        <v>36</v>
      </c>
      <c r="T3566" s="12" t="s">
        <v>15069</v>
      </c>
      <c r="U3566" s="12" t="s">
        <v>38</v>
      </c>
      <c r="V3566" s="12" t="s">
        <v>39</v>
      </c>
      <c r="W3566" s="12" t="s">
        <v>15070</v>
      </c>
      <c r="X3566" s="16" t="s">
        <v>18277</v>
      </c>
      <c r="Y3566" s="15" t="s">
        <v>166</v>
      </c>
      <c r="Z3566" s="14">
        <v>1.77</v>
      </c>
      <c r="AA3566" s="14" t="s">
        <v>36</v>
      </c>
      <c r="AB3566" s="12" t="s">
        <v>43</v>
      </c>
      <c r="AC3566" s="12" t="s">
        <v>15072</v>
      </c>
      <c r="AD3566" s="13">
        <v>44140</v>
      </c>
      <c r="AE3566" s="12" t="s">
        <v>554</v>
      </c>
      <c r="AF3566" s="12" t="s">
        <v>15073</v>
      </c>
      <c r="AG3566" s="12" t="s">
        <v>81</v>
      </c>
      <c r="AH3566" s="1">
        <f>HYPERLINK("https://my.pitchbook.com?c=194695-12T","View Company Online")</f>
      </c>
    </row>
    <row r="3567">
      <c r="A3567" s="3" t="s">
        <v>18278</v>
      </c>
      <c r="B3567" s="3" t="s">
        <v>18279</v>
      </c>
      <c r="C3567" s="5" t="s">
        <v>36</v>
      </c>
      <c r="D3567" s="5" t="s">
        <v>36</v>
      </c>
      <c r="E3567" s="5" t="s">
        <v>36</v>
      </c>
      <c r="F3567" s="5" t="s">
        <v>36</v>
      </c>
      <c r="G3567" s="6" t="s">
        <v>36</v>
      </c>
      <c r="H3567" s="4" t="s">
        <v>36</v>
      </c>
      <c r="I3567" s="7" t="s">
        <v>36</v>
      </c>
      <c r="J3567" s="3" t="s">
        <v>36</v>
      </c>
      <c r="K3567" s="9" t="s">
        <v>36</v>
      </c>
      <c r="L3567" s="6" t="s">
        <v>36</v>
      </c>
      <c r="M3567" s="3" t="s">
        <v>36</v>
      </c>
      <c r="N3567" s="3" t="s">
        <v>36</v>
      </c>
      <c r="O3567" s="8" t="s">
        <v>36</v>
      </c>
      <c r="P3567" s="3" t="s">
        <v>36</v>
      </c>
      <c r="Q3567" s="3" t="s">
        <v>36</v>
      </c>
      <c r="R3567" s="3" t="s">
        <v>36</v>
      </c>
      <c r="S3567" s="3" t="s">
        <v>36</v>
      </c>
      <c r="T3567" s="3" t="s">
        <v>4876</v>
      </c>
      <c r="U3567" s="3" t="s">
        <v>1357</v>
      </c>
      <c r="V3567" s="3" t="s">
        <v>52</v>
      </c>
      <c r="W3567" s="3" t="s">
        <v>18280</v>
      </c>
      <c r="X3567" s="10" t="s">
        <v>18281</v>
      </c>
      <c r="Y3567" s="6" t="s">
        <v>42</v>
      </c>
      <c r="Z3567" s="4">
        <v>2.35</v>
      </c>
      <c r="AA3567" s="4" t="s">
        <v>36</v>
      </c>
      <c r="AB3567" s="3" t="s">
        <v>43</v>
      </c>
      <c r="AC3567" s="3" t="s">
        <v>18282</v>
      </c>
      <c r="AD3567" s="9">
        <v>44139</v>
      </c>
      <c r="AE3567" s="3" t="s">
        <v>2808</v>
      </c>
      <c r="AF3567" s="3" t="s">
        <v>101</v>
      </c>
      <c r="AG3567" s="3" t="s">
        <v>18283</v>
      </c>
      <c r="AH3567" s="11">
        <f>HYPERLINK("https://my.pitchbook.com?c=158801-50T","View Company Online")</f>
      </c>
    </row>
    <row r="3568">
      <c r="A3568" s="12" t="s">
        <v>18284</v>
      </c>
      <c r="B3568" s="12" t="s">
        <v>9293</v>
      </c>
      <c r="C3568" s="19">
        <v>15</v>
      </c>
      <c r="D3568" s="19">
        <v>24</v>
      </c>
      <c r="E3568" s="19">
        <v>8</v>
      </c>
      <c r="F3568" s="19">
        <v>40</v>
      </c>
      <c r="G3568" s="15" t="s">
        <v>36</v>
      </c>
      <c r="H3568" s="14">
        <v>292.95</v>
      </c>
      <c r="I3568" s="18">
        <v>56.09</v>
      </c>
      <c r="J3568" s="12" t="s">
        <v>521</v>
      </c>
      <c r="K3568" s="13" t="s">
        <v>36</v>
      </c>
      <c r="L3568" s="15" t="s">
        <v>122</v>
      </c>
      <c r="M3568" s="12" t="s">
        <v>36</v>
      </c>
      <c r="N3568" s="12" t="s">
        <v>122</v>
      </c>
      <c r="O3568" s="17" t="s">
        <v>36</v>
      </c>
      <c r="P3568" s="12" t="s">
        <v>36</v>
      </c>
      <c r="Q3568" s="12" t="s">
        <v>36</v>
      </c>
      <c r="R3568" s="12" t="s">
        <v>36</v>
      </c>
      <c r="S3568" s="12" t="s">
        <v>36</v>
      </c>
      <c r="T3568" s="12" t="s">
        <v>1188</v>
      </c>
      <c r="U3568" s="12" t="s">
        <v>180</v>
      </c>
      <c r="V3568" s="12" t="s">
        <v>52</v>
      </c>
      <c r="W3568" s="12" t="s">
        <v>9294</v>
      </c>
      <c r="X3568" s="16" t="s">
        <v>18285</v>
      </c>
      <c r="Y3568" s="15" t="s">
        <v>55</v>
      </c>
      <c r="Z3568" s="14">
        <v>27.05</v>
      </c>
      <c r="AA3568" s="14">
        <v>48.23</v>
      </c>
      <c r="AB3568" s="12" t="s">
        <v>43</v>
      </c>
      <c r="AC3568" s="12" t="s">
        <v>9296</v>
      </c>
      <c r="AD3568" s="13">
        <v>44139</v>
      </c>
      <c r="AE3568" s="12" t="s">
        <v>1192</v>
      </c>
      <c r="AF3568" s="12" t="s">
        <v>7424</v>
      </c>
      <c r="AG3568" s="12" t="s">
        <v>899</v>
      </c>
      <c r="AH3568" s="1">
        <f>HYPERLINK("https://my.pitchbook.com?c=164396-71T","View Company Online")</f>
      </c>
    </row>
    <row r="3569">
      <c r="A3569" s="3" t="s">
        <v>18286</v>
      </c>
      <c r="B3569" s="3" t="s">
        <v>18287</v>
      </c>
      <c r="C3569" s="5" t="s">
        <v>36</v>
      </c>
      <c r="D3569" s="5" t="s">
        <v>36</v>
      </c>
      <c r="E3569" s="5" t="s">
        <v>36</v>
      </c>
      <c r="F3569" s="5" t="s">
        <v>36</v>
      </c>
      <c r="G3569" s="6" t="s">
        <v>36</v>
      </c>
      <c r="H3569" s="4" t="s">
        <v>36</v>
      </c>
      <c r="I3569" s="7" t="s">
        <v>36</v>
      </c>
      <c r="J3569" s="3" t="s">
        <v>36</v>
      </c>
      <c r="K3569" s="9" t="s">
        <v>36</v>
      </c>
      <c r="L3569" s="6" t="s">
        <v>122</v>
      </c>
      <c r="M3569" s="3" t="s">
        <v>36</v>
      </c>
      <c r="N3569" s="3" t="s">
        <v>122</v>
      </c>
      <c r="O3569" s="8" t="s">
        <v>36</v>
      </c>
      <c r="P3569" s="3" t="s">
        <v>36</v>
      </c>
      <c r="Q3569" s="3" t="s">
        <v>36</v>
      </c>
      <c r="R3569" s="3" t="s">
        <v>36</v>
      </c>
      <c r="S3569" s="3" t="s">
        <v>36</v>
      </c>
      <c r="T3569" s="3" t="s">
        <v>18288</v>
      </c>
      <c r="U3569" s="3" t="s">
        <v>38</v>
      </c>
      <c r="V3569" s="3" t="s">
        <v>39</v>
      </c>
      <c r="W3569" s="3" t="s">
        <v>18289</v>
      </c>
      <c r="X3569" s="10" t="s">
        <v>18290</v>
      </c>
      <c r="Y3569" s="6" t="s">
        <v>108</v>
      </c>
      <c r="Z3569" s="4">
        <v>1.05</v>
      </c>
      <c r="AA3569" s="4" t="s">
        <v>36</v>
      </c>
      <c r="AB3569" s="3" t="s">
        <v>43</v>
      </c>
      <c r="AC3569" s="3" t="s">
        <v>18291</v>
      </c>
      <c r="AD3569" s="9">
        <v>44138</v>
      </c>
      <c r="AE3569" s="3" t="s">
        <v>110</v>
      </c>
      <c r="AF3569" s="3" t="s">
        <v>6234</v>
      </c>
      <c r="AG3569" s="3" t="s">
        <v>81</v>
      </c>
      <c r="AH3569" s="11">
        <f>HYPERLINK("https://my.pitchbook.com?c=158673-79T","View Company Online")</f>
      </c>
    </row>
    <row r="3570">
      <c r="A3570" s="12" t="s">
        <v>18292</v>
      </c>
      <c r="B3570" s="12" t="s">
        <v>7305</v>
      </c>
      <c r="C3570" s="19" t="s">
        <v>36</v>
      </c>
      <c r="D3570" s="19" t="s">
        <v>36</v>
      </c>
      <c r="E3570" s="19" t="s">
        <v>36</v>
      </c>
      <c r="F3570" s="19" t="s">
        <v>36</v>
      </c>
      <c r="G3570" s="15" t="s">
        <v>36</v>
      </c>
      <c r="H3570" s="14">
        <v>62.31</v>
      </c>
      <c r="I3570" s="18">
        <v>32.2</v>
      </c>
      <c r="J3570" s="12" t="s">
        <v>521</v>
      </c>
      <c r="K3570" s="13">
        <v>43949</v>
      </c>
      <c r="L3570" s="15" t="s">
        <v>36</v>
      </c>
      <c r="M3570" s="12" t="s">
        <v>36</v>
      </c>
      <c r="N3570" s="12" t="s">
        <v>36</v>
      </c>
      <c r="O3570" s="17" t="s">
        <v>36</v>
      </c>
      <c r="P3570" s="12" t="s">
        <v>36</v>
      </c>
      <c r="Q3570" s="12" t="s">
        <v>36</v>
      </c>
      <c r="R3570" s="12" t="s">
        <v>36</v>
      </c>
      <c r="S3570" s="12" t="s">
        <v>36</v>
      </c>
      <c r="T3570" s="12" t="s">
        <v>7306</v>
      </c>
      <c r="U3570" s="12" t="s">
        <v>38</v>
      </c>
      <c r="V3570" s="12" t="s">
        <v>39</v>
      </c>
      <c r="W3570" s="12" t="s">
        <v>7307</v>
      </c>
      <c r="X3570" s="16" t="s">
        <v>18293</v>
      </c>
      <c r="Y3570" s="15" t="s">
        <v>42</v>
      </c>
      <c r="Z3570" s="14">
        <v>6.88</v>
      </c>
      <c r="AA3570" s="14">
        <v>10.41</v>
      </c>
      <c r="AB3570" s="12" t="s">
        <v>56</v>
      </c>
      <c r="AC3570" s="12" t="s">
        <v>7308</v>
      </c>
      <c r="AD3570" s="13">
        <v>44138</v>
      </c>
      <c r="AE3570" s="12" t="s">
        <v>1945</v>
      </c>
      <c r="AF3570" s="12" t="s">
        <v>7309</v>
      </c>
      <c r="AG3570" s="12" t="s">
        <v>332</v>
      </c>
      <c r="AH3570" s="1">
        <f>HYPERLINK("https://my.pitchbook.com?c=157675-69T","View Company Online")</f>
      </c>
    </row>
    <row r="3571">
      <c r="A3571" s="3" t="s">
        <v>18294</v>
      </c>
      <c r="B3571" s="3" t="s">
        <v>18295</v>
      </c>
      <c r="C3571" s="5" t="s">
        <v>36</v>
      </c>
      <c r="D3571" s="5" t="s">
        <v>36</v>
      </c>
      <c r="E3571" s="5" t="s">
        <v>36</v>
      </c>
      <c r="F3571" s="5" t="s">
        <v>36</v>
      </c>
      <c r="G3571" s="6" t="s">
        <v>326</v>
      </c>
      <c r="H3571" s="4">
        <v>14.19</v>
      </c>
      <c r="I3571" s="7">
        <v>11.38</v>
      </c>
      <c r="J3571" s="3" t="s">
        <v>521</v>
      </c>
      <c r="K3571" s="9" t="s">
        <v>36</v>
      </c>
      <c r="L3571" s="6" t="s">
        <v>36</v>
      </c>
      <c r="M3571" s="3" t="s">
        <v>36</v>
      </c>
      <c r="N3571" s="3" t="s">
        <v>36</v>
      </c>
      <c r="O3571" s="8" t="s">
        <v>36</v>
      </c>
      <c r="P3571" s="3" t="s">
        <v>36</v>
      </c>
      <c r="Q3571" s="3" t="s">
        <v>36</v>
      </c>
      <c r="R3571" s="3" t="s">
        <v>36</v>
      </c>
      <c r="S3571" s="3" t="s">
        <v>36</v>
      </c>
      <c r="T3571" s="3" t="s">
        <v>2509</v>
      </c>
      <c r="U3571" s="3" t="s">
        <v>38</v>
      </c>
      <c r="V3571" s="3" t="s">
        <v>39</v>
      </c>
      <c r="W3571" s="3" t="s">
        <v>18296</v>
      </c>
      <c r="X3571" s="10" t="s">
        <v>560</v>
      </c>
      <c r="Y3571" s="6" t="s">
        <v>42</v>
      </c>
      <c r="Z3571" s="4">
        <v>5.88</v>
      </c>
      <c r="AA3571" s="4">
        <v>31</v>
      </c>
      <c r="AB3571" s="3" t="s">
        <v>56</v>
      </c>
      <c r="AC3571" s="3" t="s">
        <v>18297</v>
      </c>
      <c r="AD3571" s="9">
        <v>44138</v>
      </c>
      <c r="AE3571" s="3" t="s">
        <v>110</v>
      </c>
      <c r="AF3571" s="3" t="s">
        <v>215</v>
      </c>
      <c r="AG3571" s="3" t="s">
        <v>2088</v>
      </c>
      <c r="AH3571" s="11">
        <f>HYPERLINK("https://my.pitchbook.com?c=158667-58T","View Company Online")</f>
      </c>
    </row>
    <row r="3572">
      <c r="A3572" s="12" t="s">
        <v>18298</v>
      </c>
      <c r="B3572" s="12" t="s">
        <v>18299</v>
      </c>
      <c r="C3572" s="19" t="s">
        <v>36</v>
      </c>
      <c r="D3572" s="19" t="s">
        <v>36</v>
      </c>
      <c r="E3572" s="19" t="s">
        <v>36</v>
      </c>
      <c r="F3572" s="19" t="s">
        <v>36</v>
      </c>
      <c r="G3572" s="15" t="s">
        <v>36</v>
      </c>
      <c r="H3572" s="14" t="s">
        <v>36</v>
      </c>
      <c r="I3572" s="18" t="s">
        <v>36</v>
      </c>
      <c r="J3572" s="12" t="s">
        <v>36</v>
      </c>
      <c r="K3572" s="13" t="s">
        <v>36</v>
      </c>
      <c r="L3572" s="15" t="s">
        <v>36</v>
      </c>
      <c r="M3572" s="12" t="s">
        <v>36</v>
      </c>
      <c r="N3572" s="12" t="s">
        <v>36</v>
      </c>
      <c r="O3572" s="17" t="s">
        <v>36</v>
      </c>
      <c r="P3572" s="12" t="s">
        <v>36</v>
      </c>
      <c r="Q3572" s="12" t="s">
        <v>36</v>
      </c>
      <c r="R3572" s="12" t="s">
        <v>36</v>
      </c>
      <c r="S3572" s="12" t="s">
        <v>36</v>
      </c>
      <c r="T3572" s="12" t="s">
        <v>18300</v>
      </c>
      <c r="U3572" s="12" t="s">
        <v>74</v>
      </c>
      <c r="V3572" s="12" t="s">
        <v>75</v>
      </c>
      <c r="W3572" s="12" t="s">
        <v>18301</v>
      </c>
      <c r="X3572" s="16" t="s">
        <v>2455</v>
      </c>
      <c r="Y3572" s="15" t="s">
        <v>42</v>
      </c>
      <c r="Z3572" s="14">
        <v>3.53</v>
      </c>
      <c r="AA3572" s="14" t="s">
        <v>36</v>
      </c>
      <c r="AB3572" s="12" t="s">
        <v>43</v>
      </c>
      <c r="AC3572" s="12" t="s">
        <v>18302</v>
      </c>
      <c r="AD3572" s="13">
        <v>44138</v>
      </c>
      <c r="AE3572" s="12" t="s">
        <v>3144</v>
      </c>
      <c r="AF3572" s="12" t="s">
        <v>6801</v>
      </c>
      <c r="AG3572" s="12" t="s">
        <v>7327</v>
      </c>
      <c r="AH3572" s="1">
        <f>HYPERLINK("https://my.pitchbook.com?c=158615-83T","View Company Online")</f>
      </c>
    </row>
    <row r="3573">
      <c r="A3573" s="3" t="s">
        <v>18303</v>
      </c>
      <c r="B3573" s="3" t="s">
        <v>18304</v>
      </c>
      <c r="C3573" s="5">
        <v>1</v>
      </c>
      <c r="D3573" s="5" t="s">
        <v>36</v>
      </c>
      <c r="E3573" s="5">
        <v>1</v>
      </c>
      <c r="F3573" s="5">
        <v>1</v>
      </c>
      <c r="G3573" s="6" t="s">
        <v>36</v>
      </c>
      <c r="H3573" s="4" t="s">
        <v>36</v>
      </c>
      <c r="I3573" s="7">
        <v>39.98</v>
      </c>
      <c r="J3573" s="3" t="s">
        <v>327</v>
      </c>
      <c r="K3573" s="9">
        <v>43826</v>
      </c>
      <c r="L3573" s="6" t="s">
        <v>122</v>
      </c>
      <c r="M3573" s="3" t="s">
        <v>36</v>
      </c>
      <c r="N3573" s="3" t="s">
        <v>122</v>
      </c>
      <c r="O3573" s="8" t="s">
        <v>36</v>
      </c>
      <c r="P3573" s="3" t="s">
        <v>36</v>
      </c>
      <c r="Q3573" s="3" t="s">
        <v>36</v>
      </c>
      <c r="R3573" s="3" t="s">
        <v>36</v>
      </c>
      <c r="S3573" s="3" t="s">
        <v>36</v>
      </c>
      <c r="T3573" s="3" t="s">
        <v>105</v>
      </c>
      <c r="U3573" s="3" t="s">
        <v>38</v>
      </c>
      <c r="V3573" s="3" t="s">
        <v>39</v>
      </c>
      <c r="W3573" s="3" t="s">
        <v>18305</v>
      </c>
      <c r="X3573" s="10" t="s">
        <v>18306</v>
      </c>
      <c r="Y3573" s="6" t="s">
        <v>108</v>
      </c>
      <c r="Z3573" s="4">
        <v>8.67</v>
      </c>
      <c r="AA3573" s="4">
        <v>21.69</v>
      </c>
      <c r="AB3573" s="3" t="s">
        <v>56</v>
      </c>
      <c r="AC3573" s="3" t="s">
        <v>18307</v>
      </c>
      <c r="AD3573" s="9">
        <v>44137</v>
      </c>
      <c r="AE3573" s="3" t="s">
        <v>110</v>
      </c>
      <c r="AF3573" s="3" t="s">
        <v>4276</v>
      </c>
      <c r="AG3573" s="3" t="s">
        <v>81</v>
      </c>
      <c r="AH3573" s="11">
        <f>HYPERLINK("https://my.pitchbook.com?c=158590-90T","View Company Online")</f>
      </c>
    </row>
    <row r="3574">
      <c r="A3574" s="12" t="s">
        <v>18308</v>
      </c>
      <c r="B3574" s="12" t="s">
        <v>18309</v>
      </c>
      <c r="C3574" s="19" t="s">
        <v>36</v>
      </c>
      <c r="D3574" s="19">
        <v>25</v>
      </c>
      <c r="E3574" s="19">
        <v>6</v>
      </c>
      <c r="F3574" s="19">
        <v>30</v>
      </c>
      <c r="G3574" s="15" t="s">
        <v>36</v>
      </c>
      <c r="H3574" s="14" t="s">
        <v>36</v>
      </c>
      <c r="I3574" s="18" t="s">
        <v>36</v>
      </c>
      <c r="J3574" s="12" t="s">
        <v>36</v>
      </c>
      <c r="K3574" s="13" t="s">
        <v>36</v>
      </c>
      <c r="L3574" s="15" t="s">
        <v>36</v>
      </c>
      <c r="M3574" s="12" t="s">
        <v>36</v>
      </c>
      <c r="N3574" s="12" t="s">
        <v>36</v>
      </c>
      <c r="O3574" s="17" t="s">
        <v>36</v>
      </c>
      <c r="P3574" s="12" t="s">
        <v>36</v>
      </c>
      <c r="Q3574" s="12" t="s">
        <v>36</v>
      </c>
      <c r="R3574" s="12" t="s">
        <v>36</v>
      </c>
      <c r="S3574" s="12" t="s">
        <v>36</v>
      </c>
      <c r="T3574" s="12" t="s">
        <v>7575</v>
      </c>
      <c r="U3574" s="12" t="s">
        <v>85</v>
      </c>
      <c r="V3574" s="12" t="s">
        <v>64</v>
      </c>
      <c r="W3574" s="12" t="s">
        <v>18310</v>
      </c>
      <c r="X3574" s="16" t="s">
        <v>18311</v>
      </c>
      <c r="Y3574" s="15" t="s">
        <v>42</v>
      </c>
      <c r="Z3574" s="14" t="s">
        <v>36</v>
      </c>
      <c r="AA3574" s="14" t="s">
        <v>36</v>
      </c>
      <c r="AB3574" s="12" t="s">
        <v>56</v>
      </c>
      <c r="AC3574" s="12" t="s">
        <v>18312</v>
      </c>
      <c r="AD3574" s="13">
        <v>44137</v>
      </c>
      <c r="AE3574" s="12" t="s">
        <v>3645</v>
      </c>
      <c r="AF3574" s="12" t="s">
        <v>2915</v>
      </c>
      <c r="AG3574" s="12" t="s">
        <v>382</v>
      </c>
      <c r="AH3574" s="1">
        <f>HYPERLINK("https://my.pitchbook.com?c=207799-93T","View Company Online")</f>
      </c>
    </row>
    <row r="3575">
      <c r="A3575" s="3" t="s">
        <v>18313</v>
      </c>
      <c r="B3575" s="3" t="s">
        <v>18314</v>
      </c>
      <c r="C3575" s="5">
        <v>9</v>
      </c>
      <c r="D3575" s="5">
        <v>4</v>
      </c>
      <c r="E3575" s="5">
        <v>6</v>
      </c>
      <c r="F3575" s="5">
        <v>18</v>
      </c>
      <c r="G3575" s="6" t="s">
        <v>36</v>
      </c>
      <c r="H3575" s="4">
        <v>269.62</v>
      </c>
      <c r="I3575" s="7">
        <v>31.97</v>
      </c>
      <c r="J3575" s="3" t="s">
        <v>521</v>
      </c>
      <c r="K3575" s="9" t="s">
        <v>36</v>
      </c>
      <c r="L3575" s="6" t="s">
        <v>122</v>
      </c>
      <c r="M3575" s="3" t="s">
        <v>36</v>
      </c>
      <c r="N3575" s="3" t="s">
        <v>122</v>
      </c>
      <c r="O3575" s="8" t="s">
        <v>36</v>
      </c>
      <c r="P3575" s="3" t="s">
        <v>36</v>
      </c>
      <c r="Q3575" s="3" t="s">
        <v>36</v>
      </c>
      <c r="R3575" s="3" t="s">
        <v>36</v>
      </c>
      <c r="S3575" s="3" t="s">
        <v>11233</v>
      </c>
      <c r="T3575" s="3" t="s">
        <v>18315</v>
      </c>
      <c r="U3575" s="3" t="s">
        <v>318</v>
      </c>
      <c r="V3575" s="3" t="s">
        <v>39</v>
      </c>
      <c r="W3575" s="3" t="s">
        <v>18316</v>
      </c>
      <c r="X3575" s="10" t="s">
        <v>18317</v>
      </c>
      <c r="Y3575" s="6" t="s">
        <v>42</v>
      </c>
      <c r="Z3575" s="4">
        <v>3.24</v>
      </c>
      <c r="AA3575" s="4">
        <v>8.65</v>
      </c>
      <c r="AB3575" s="3" t="s">
        <v>43</v>
      </c>
      <c r="AC3575" s="3" t="s">
        <v>18318</v>
      </c>
      <c r="AD3575" s="9">
        <v>44136</v>
      </c>
      <c r="AE3575" s="3" t="s">
        <v>763</v>
      </c>
      <c r="AF3575" s="3" t="s">
        <v>18319</v>
      </c>
      <c r="AG3575" s="3" t="s">
        <v>12673</v>
      </c>
      <c r="AH3575" s="11">
        <f>HYPERLINK("https://my.pitchbook.com?c=140373-19T","View Company Online")</f>
      </c>
    </row>
    <row r="3576">
      <c r="A3576" s="12" t="s">
        <v>18320</v>
      </c>
      <c r="B3576" s="12" t="s">
        <v>8729</v>
      </c>
      <c r="C3576" s="19">
        <v>2</v>
      </c>
      <c r="D3576" s="19" t="s">
        <v>36</v>
      </c>
      <c r="E3576" s="19">
        <v>1</v>
      </c>
      <c r="F3576" s="19">
        <v>2</v>
      </c>
      <c r="G3576" s="15" t="s">
        <v>683</v>
      </c>
      <c r="H3576" s="14">
        <v>79.38</v>
      </c>
      <c r="I3576" s="18">
        <v>5.18</v>
      </c>
      <c r="J3576" s="12" t="s">
        <v>521</v>
      </c>
      <c r="K3576" s="13" t="s">
        <v>36</v>
      </c>
      <c r="L3576" s="15" t="s">
        <v>36</v>
      </c>
      <c r="M3576" s="12" t="s">
        <v>36</v>
      </c>
      <c r="N3576" s="12" t="s">
        <v>36</v>
      </c>
      <c r="O3576" s="17" t="s">
        <v>36</v>
      </c>
      <c r="P3576" s="12" t="s">
        <v>36</v>
      </c>
      <c r="Q3576" s="12" t="s">
        <v>36</v>
      </c>
      <c r="R3576" s="12" t="s">
        <v>36</v>
      </c>
      <c r="S3576" s="12" t="s">
        <v>36</v>
      </c>
      <c r="T3576" s="12" t="s">
        <v>1397</v>
      </c>
      <c r="U3576" s="12" t="s">
        <v>38</v>
      </c>
      <c r="V3576" s="12" t="s">
        <v>39</v>
      </c>
      <c r="W3576" s="12" t="s">
        <v>8730</v>
      </c>
      <c r="X3576" s="16" t="s">
        <v>18321</v>
      </c>
      <c r="Y3576" s="15" t="s">
        <v>192</v>
      </c>
      <c r="Z3576" s="14">
        <v>4.18</v>
      </c>
      <c r="AA3576" s="14">
        <v>80.66</v>
      </c>
      <c r="AB3576" s="12" t="s">
        <v>56</v>
      </c>
      <c r="AC3576" s="12" t="s">
        <v>8732</v>
      </c>
      <c r="AD3576" s="13">
        <v>44136</v>
      </c>
      <c r="AE3576" s="12" t="s">
        <v>110</v>
      </c>
      <c r="AF3576" s="12" t="s">
        <v>1842</v>
      </c>
      <c r="AG3576" s="12" t="s">
        <v>1525</v>
      </c>
      <c r="AH3576" s="1">
        <f>HYPERLINK("https://my.pitchbook.com?c=176638-24T","View Company Online")</f>
      </c>
    </row>
    <row r="3577">
      <c r="A3577" s="3" t="s">
        <v>18322</v>
      </c>
      <c r="B3577" s="3" t="s">
        <v>18323</v>
      </c>
      <c r="C3577" s="5" t="s">
        <v>36</v>
      </c>
      <c r="D3577" s="5" t="s">
        <v>36</v>
      </c>
      <c r="E3577" s="5" t="s">
        <v>36</v>
      </c>
      <c r="F3577" s="5" t="s">
        <v>36</v>
      </c>
      <c r="G3577" s="6" t="s">
        <v>36</v>
      </c>
      <c r="H3577" s="4" t="s">
        <v>36</v>
      </c>
      <c r="I3577" s="7" t="s">
        <v>36</v>
      </c>
      <c r="J3577" s="3" t="s">
        <v>36</v>
      </c>
      <c r="K3577" s="9" t="s">
        <v>36</v>
      </c>
      <c r="L3577" s="6" t="s">
        <v>36</v>
      </c>
      <c r="M3577" s="3" t="s">
        <v>36</v>
      </c>
      <c r="N3577" s="3" t="s">
        <v>36</v>
      </c>
      <c r="O3577" s="8" t="s">
        <v>36</v>
      </c>
      <c r="P3577" s="3" t="s">
        <v>36</v>
      </c>
      <c r="Q3577" s="3" t="s">
        <v>36</v>
      </c>
      <c r="R3577" s="3" t="s">
        <v>36</v>
      </c>
      <c r="S3577" s="3" t="s">
        <v>36</v>
      </c>
      <c r="T3577" s="3" t="s">
        <v>18324</v>
      </c>
      <c r="U3577" s="3" t="s">
        <v>74</v>
      </c>
      <c r="V3577" s="3" t="s">
        <v>75</v>
      </c>
      <c r="W3577" s="3" t="s">
        <v>18325</v>
      </c>
      <c r="X3577" s="10" t="s">
        <v>15234</v>
      </c>
      <c r="Y3577" s="6" t="s">
        <v>42</v>
      </c>
      <c r="Z3577" s="4" t="s">
        <v>36</v>
      </c>
      <c r="AA3577" s="4" t="s">
        <v>36</v>
      </c>
      <c r="AB3577" s="3" t="s">
        <v>56</v>
      </c>
      <c r="AC3577" s="3" t="s">
        <v>18326</v>
      </c>
      <c r="AD3577" s="9">
        <v>44136</v>
      </c>
      <c r="AE3577" s="3" t="s">
        <v>696</v>
      </c>
      <c r="AF3577" s="3" t="s">
        <v>546</v>
      </c>
      <c r="AG3577" s="3" t="s">
        <v>572</v>
      </c>
      <c r="AH3577" s="11">
        <f>HYPERLINK("https://my.pitchbook.com?c=279427-69T","View Company Online")</f>
      </c>
    </row>
    <row r="3578">
      <c r="A3578" s="12" t="s">
        <v>18327</v>
      </c>
      <c r="B3578" s="12" t="s">
        <v>18328</v>
      </c>
      <c r="C3578" s="19" t="s">
        <v>36</v>
      </c>
      <c r="D3578" s="19" t="s">
        <v>36</v>
      </c>
      <c r="E3578" s="19" t="s">
        <v>36</v>
      </c>
      <c r="F3578" s="19" t="s">
        <v>36</v>
      </c>
      <c r="G3578" s="15" t="s">
        <v>36</v>
      </c>
      <c r="H3578" s="14">
        <v>415.43</v>
      </c>
      <c r="I3578" s="18">
        <v>20</v>
      </c>
      <c r="J3578" s="12" t="s">
        <v>521</v>
      </c>
      <c r="K3578" s="13" t="s">
        <v>36</v>
      </c>
      <c r="L3578" s="15" t="s">
        <v>36</v>
      </c>
      <c r="M3578" s="12" t="s">
        <v>36</v>
      </c>
      <c r="N3578" s="12" t="s">
        <v>36</v>
      </c>
      <c r="O3578" s="17" t="s">
        <v>36</v>
      </c>
      <c r="P3578" s="12" t="s">
        <v>36</v>
      </c>
      <c r="Q3578" s="12" t="s">
        <v>36</v>
      </c>
      <c r="R3578" s="12" t="s">
        <v>36</v>
      </c>
      <c r="S3578" s="12" t="s">
        <v>36</v>
      </c>
      <c r="T3578" s="12" t="s">
        <v>18329</v>
      </c>
      <c r="U3578" s="12" t="s">
        <v>180</v>
      </c>
      <c r="V3578" s="12" t="s">
        <v>52</v>
      </c>
      <c r="W3578" s="12" t="s">
        <v>18330</v>
      </c>
      <c r="X3578" s="16" t="s">
        <v>18331</v>
      </c>
      <c r="Y3578" s="15" t="s">
        <v>42</v>
      </c>
      <c r="Z3578" s="14">
        <v>0.59</v>
      </c>
      <c r="AA3578" s="14">
        <v>2.94</v>
      </c>
      <c r="AB3578" s="12" t="s">
        <v>43</v>
      </c>
      <c r="AC3578" s="12" t="s">
        <v>18332</v>
      </c>
      <c r="AD3578" s="13">
        <v>44136</v>
      </c>
      <c r="AE3578" s="12" t="s">
        <v>1192</v>
      </c>
      <c r="AF3578" s="12" t="s">
        <v>6285</v>
      </c>
      <c r="AG3578" s="12" t="s">
        <v>580</v>
      </c>
      <c r="AH3578" s="1">
        <f>HYPERLINK("https://my.pitchbook.com?c=214257-07T","View Company Online")</f>
      </c>
    </row>
    <row r="3579">
      <c r="A3579" s="3" t="s">
        <v>18333</v>
      </c>
      <c r="B3579" s="3" t="s">
        <v>18334</v>
      </c>
      <c r="C3579" s="5" t="s">
        <v>36</v>
      </c>
      <c r="D3579" s="5" t="s">
        <v>36</v>
      </c>
      <c r="E3579" s="5" t="s">
        <v>36</v>
      </c>
      <c r="F3579" s="5" t="s">
        <v>36</v>
      </c>
      <c r="G3579" s="6" t="s">
        <v>36</v>
      </c>
      <c r="H3579" s="4" t="s">
        <v>36</v>
      </c>
      <c r="I3579" s="7" t="s">
        <v>36</v>
      </c>
      <c r="J3579" s="3" t="s">
        <v>36</v>
      </c>
      <c r="K3579" s="9" t="s">
        <v>36</v>
      </c>
      <c r="L3579" s="6" t="s">
        <v>36</v>
      </c>
      <c r="M3579" s="3" t="s">
        <v>36</v>
      </c>
      <c r="N3579" s="3" t="s">
        <v>36</v>
      </c>
      <c r="O3579" s="8" t="s">
        <v>36</v>
      </c>
      <c r="P3579" s="3" t="s">
        <v>36</v>
      </c>
      <c r="Q3579" s="3" t="s">
        <v>36</v>
      </c>
      <c r="R3579" s="3" t="s">
        <v>36</v>
      </c>
      <c r="S3579" s="3" t="s">
        <v>36</v>
      </c>
      <c r="T3579" s="3" t="s">
        <v>18335</v>
      </c>
      <c r="U3579" s="3" t="s">
        <v>279</v>
      </c>
      <c r="V3579" s="3" t="s">
        <v>64</v>
      </c>
      <c r="W3579" s="3" t="s">
        <v>18336</v>
      </c>
      <c r="X3579" s="10" t="s">
        <v>14564</v>
      </c>
      <c r="Y3579" s="6" t="s">
        <v>42</v>
      </c>
      <c r="Z3579" s="4" t="s">
        <v>36</v>
      </c>
      <c r="AA3579" s="4" t="s">
        <v>36</v>
      </c>
      <c r="AB3579" s="3" t="s">
        <v>43</v>
      </c>
      <c r="AC3579" s="3" t="s">
        <v>18337</v>
      </c>
      <c r="AD3579" s="9">
        <v>44136</v>
      </c>
      <c r="AE3579" s="3" t="s">
        <v>740</v>
      </c>
      <c r="AF3579" s="3" t="s">
        <v>7309</v>
      </c>
      <c r="AG3579" s="3" t="s">
        <v>81</v>
      </c>
      <c r="AH3579" s="11">
        <f>HYPERLINK("https://my.pitchbook.com?c=204840-10T","View Company Online")</f>
      </c>
    </row>
    <row r="3580">
      <c r="A3580" s="12" t="s">
        <v>18338</v>
      </c>
      <c r="B3580" s="12" t="s">
        <v>5137</v>
      </c>
      <c r="C3580" s="19" t="s">
        <v>36</v>
      </c>
      <c r="D3580" s="19" t="s">
        <v>36</v>
      </c>
      <c r="E3580" s="19" t="s">
        <v>36</v>
      </c>
      <c r="F3580" s="19" t="s">
        <v>36</v>
      </c>
      <c r="G3580" s="15" t="s">
        <v>36</v>
      </c>
      <c r="H3580" s="14" t="s">
        <v>36</v>
      </c>
      <c r="I3580" s="18" t="s">
        <v>36</v>
      </c>
      <c r="J3580" s="12" t="s">
        <v>36</v>
      </c>
      <c r="K3580" s="13">
        <v>44131</v>
      </c>
      <c r="L3580" s="15" t="s">
        <v>36</v>
      </c>
      <c r="M3580" s="12" t="s">
        <v>36</v>
      </c>
      <c r="N3580" s="12" t="s">
        <v>36</v>
      </c>
      <c r="O3580" s="17" t="s">
        <v>36</v>
      </c>
      <c r="P3580" s="12" t="s">
        <v>36</v>
      </c>
      <c r="Q3580" s="12" t="s">
        <v>36</v>
      </c>
      <c r="R3580" s="12" t="s">
        <v>36</v>
      </c>
      <c r="S3580" s="12" t="s">
        <v>36</v>
      </c>
      <c r="T3580" s="12" t="s">
        <v>5138</v>
      </c>
      <c r="U3580" s="12" t="s">
        <v>74</v>
      </c>
      <c r="V3580" s="12" t="s">
        <v>75</v>
      </c>
      <c r="W3580" s="12" t="s">
        <v>5139</v>
      </c>
      <c r="X3580" s="16" t="s">
        <v>598</v>
      </c>
      <c r="Y3580" s="15" t="s">
        <v>42</v>
      </c>
      <c r="Z3580" s="14" t="s">
        <v>36</v>
      </c>
      <c r="AA3580" s="14" t="s">
        <v>36</v>
      </c>
      <c r="AB3580" s="12" t="s">
        <v>43</v>
      </c>
      <c r="AC3580" s="12" t="s">
        <v>5141</v>
      </c>
      <c r="AD3580" s="13">
        <v>44136</v>
      </c>
      <c r="AE3580" s="12" t="s">
        <v>570</v>
      </c>
      <c r="AF3580" s="12" t="s">
        <v>1619</v>
      </c>
      <c r="AG3580" s="12" t="s">
        <v>186</v>
      </c>
      <c r="AH3580" s="1">
        <f>HYPERLINK("https://my.pitchbook.com?c=175481-38T","View Company Online")</f>
      </c>
    </row>
    <row r="3581">
      <c r="A3581" s="3" t="s">
        <v>18339</v>
      </c>
      <c r="B3581" s="3" t="s">
        <v>4861</v>
      </c>
      <c r="C3581" s="5" t="s">
        <v>36</v>
      </c>
      <c r="D3581" s="5">
        <v>4</v>
      </c>
      <c r="E3581" s="5">
        <v>1</v>
      </c>
      <c r="F3581" s="5">
        <v>5</v>
      </c>
      <c r="G3581" s="6" t="s">
        <v>2497</v>
      </c>
      <c r="H3581" s="4">
        <v>86.53</v>
      </c>
      <c r="I3581" s="7">
        <v>21.35</v>
      </c>
      <c r="J3581" s="3" t="s">
        <v>521</v>
      </c>
      <c r="K3581" s="9" t="s">
        <v>36</v>
      </c>
      <c r="L3581" s="6" t="s">
        <v>36</v>
      </c>
      <c r="M3581" s="3" t="s">
        <v>36</v>
      </c>
      <c r="N3581" s="3" t="s">
        <v>36</v>
      </c>
      <c r="O3581" s="8" t="s">
        <v>36</v>
      </c>
      <c r="P3581" s="3" t="s">
        <v>36</v>
      </c>
      <c r="Q3581" s="3" t="s">
        <v>36</v>
      </c>
      <c r="R3581" s="3" t="s">
        <v>36</v>
      </c>
      <c r="S3581" s="3" t="s">
        <v>36</v>
      </c>
      <c r="T3581" s="3" t="s">
        <v>881</v>
      </c>
      <c r="U3581" s="3" t="s">
        <v>51</v>
      </c>
      <c r="V3581" s="3" t="s">
        <v>52</v>
      </c>
      <c r="W3581" s="3" t="s">
        <v>4862</v>
      </c>
      <c r="X3581" s="10" t="s">
        <v>18340</v>
      </c>
      <c r="Y3581" s="6" t="s">
        <v>192</v>
      </c>
      <c r="Z3581" s="4">
        <v>1.62</v>
      </c>
      <c r="AA3581" s="4">
        <v>7.57</v>
      </c>
      <c r="AB3581" s="3" t="s">
        <v>56</v>
      </c>
      <c r="AC3581" s="3" t="s">
        <v>4864</v>
      </c>
      <c r="AD3581" s="9">
        <v>44135</v>
      </c>
      <c r="AE3581" s="3" t="s">
        <v>504</v>
      </c>
      <c r="AF3581" s="3" t="s">
        <v>4865</v>
      </c>
      <c r="AG3581" s="3" t="s">
        <v>4866</v>
      </c>
      <c r="AH3581" s="11">
        <f>HYPERLINK("https://my.pitchbook.com?c=171025-93T","View Company Online")</f>
      </c>
    </row>
    <row r="3582">
      <c r="A3582" s="12" t="s">
        <v>18341</v>
      </c>
      <c r="B3582" s="12" t="s">
        <v>18342</v>
      </c>
      <c r="C3582" s="19">
        <v>9</v>
      </c>
      <c r="D3582" s="19">
        <v>25</v>
      </c>
      <c r="E3582" s="19">
        <v>6</v>
      </c>
      <c r="F3582" s="19">
        <v>34</v>
      </c>
      <c r="G3582" s="15" t="s">
        <v>683</v>
      </c>
      <c r="H3582" s="14">
        <v>2.89</v>
      </c>
      <c r="I3582" s="18">
        <v>10</v>
      </c>
      <c r="J3582" s="12" t="s">
        <v>521</v>
      </c>
      <c r="K3582" s="13" t="s">
        <v>36</v>
      </c>
      <c r="L3582" s="15" t="s">
        <v>36</v>
      </c>
      <c r="M3582" s="12" t="s">
        <v>36</v>
      </c>
      <c r="N3582" s="12" t="s">
        <v>36</v>
      </c>
      <c r="O3582" s="17" t="s">
        <v>36</v>
      </c>
      <c r="P3582" s="12" t="s">
        <v>36</v>
      </c>
      <c r="Q3582" s="12" t="s">
        <v>36</v>
      </c>
      <c r="R3582" s="12" t="s">
        <v>36</v>
      </c>
      <c r="S3582" s="12" t="s">
        <v>36</v>
      </c>
      <c r="T3582" s="12" t="s">
        <v>7561</v>
      </c>
      <c r="U3582" s="12" t="s">
        <v>366</v>
      </c>
      <c r="V3582" s="12" t="s">
        <v>367</v>
      </c>
      <c r="W3582" s="12" t="s">
        <v>18343</v>
      </c>
      <c r="X3582" s="16" t="s">
        <v>18344</v>
      </c>
      <c r="Y3582" s="15" t="s">
        <v>192</v>
      </c>
      <c r="Z3582" s="14">
        <v>2.79</v>
      </c>
      <c r="AA3582" s="14">
        <v>25.22</v>
      </c>
      <c r="AB3582" s="12" t="s">
        <v>56</v>
      </c>
      <c r="AC3582" s="12" t="s">
        <v>18345</v>
      </c>
      <c r="AD3582" s="13">
        <v>44133</v>
      </c>
      <c r="AE3582" s="12" t="s">
        <v>7565</v>
      </c>
      <c r="AF3582" s="12" t="s">
        <v>18346</v>
      </c>
      <c r="AG3582" s="12" t="s">
        <v>9060</v>
      </c>
      <c r="AH3582" s="1">
        <f>HYPERLINK("https://my.pitchbook.com?c=181416-16T","View Company Online")</f>
      </c>
    </row>
    <row r="3583">
      <c r="A3583" s="3" t="s">
        <v>18347</v>
      </c>
      <c r="B3583" s="3" t="s">
        <v>14514</v>
      </c>
      <c r="C3583" s="5" t="s">
        <v>36</v>
      </c>
      <c r="D3583" s="5">
        <v>1</v>
      </c>
      <c r="E3583" s="5">
        <v>1</v>
      </c>
      <c r="F3583" s="5">
        <v>2</v>
      </c>
      <c r="G3583" s="6" t="s">
        <v>36</v>
      </c>
      <c r="H3583" s="4">
        <v>1.14</v>
      </c>
      <c r="I3583" s="7">
        <v>20.13</v>
      </c>
      <c r="J3583" s="3" t="s">
        <v>521</v>
      </c>
      <c r="K3583" s="9" t="s">
        <v>36</v>
      </c>
      <c r="L3583" s="6" t="s">
        <v>36</v>
      </c>
      <c r="M3583" s="3" t="s">
        <v>36</v>
      </c>
      <c r="N3583" s="3" t="s">
        <v>36</v>
      </c>
      <c r="O3583" s="8" t="s">
        <v>36</v>
      </c>
      <c r="P3583" s="3" t="s">
        <v>36</v>
      </c>
      <c r="Q3583" s="3" t="s">
        <v>36</v>
      </c>
      <c r="R3583" s="3" t="s">
        <v>36</v>
      </c>
      <c r="S3583" s="3" t="s">
        <v>36</v>
      </c>
      <c r="T3583" s="3" t="s">
        <v>596</v>
      </c>
      <c r="U3583" s="3" t="s">
        <v>366</v>
      </c>
      <c r="V3583" s="3" t="s">
        <v>367</v>
      </c>
      <c r="W3583" s="3" t="s">
        <v>14515</v>
      </c>
      <c r="X3583" s="10" t="s">
        <v>14516</v>
      </c>
      <c r="Y3583" s="6" t="s">
        <v>55</v>
      </c>
      <c r="Z3583" s="4">
        <v>1.63</v>
      </c>
      <c r="AA3583" s="4">
        <v>8.11</v>
      </c>
      <c r="AB3583" s="3" t="s">
        <v>56</v>
      </c>
      <c r="AC3583" s="3" t="s">
        <v>14517</v>
      </c>
      <c r="AD3583" s="9">
        <v>44133</v>
      </c>
      <c r="AE3583" s="3" t="s">
        <v>600</v>
      </c>
      <c r="AF3583" s="3" t="s">
        <v>14518</v>
      </c>
      <c r="AG3583" s="3" t="s">
        <v>14519</v>
      </c>
      <c r="AH3583" s="11">
        <f>HYPERLINK("https://my.pitchbook.com?c=170978-23T","View Company Online")</f>
      </c>
    </row>
    <row r="3584">
      <c r="A3584" s="12" t="s">
        <v>18348</v>
      </c>
      <c r="B3584" s="12" t="s">
        <v>9468</v>
      </c>
      <c r="C3584" s="19" t="s">
        <v>36</v>
      </c>
      <c r="D3584" s="19" t="s">
        <v>36</v>
      </c>
      <c r="E3584" s="19" t="s">
        <v>36</v>
      </c>
      <c r="F3584" s="19" t="s">
        <v>36</v>
      </c>
      <c r="G3584" s="15" t="s">
        <v>36</v>
      </c>
      <c r="H3584" s="14">
        <v>60.48</v>
      </c>
      <c r="I3584" s="18">
        <v>25</v>
      </c>
      <c r="J3584" s="12" t="s">
        <v>521</v>
      </c>
      <c r="K3584" s="13" t="s">
        <v>36</v>
      </c>
      <c r="L3584" s="15" t="s">
        <v>36</v>
      </c>
      <c r="M3584" s="12" t="s">
        <v>36</v>
      </c>
      <c r="N3584" s="12" t="s">
        <v>36</v>
      </c>
      <c r="O3584" s="17" t="s">
        <v>36</v>
      </c>
      <c r="P3584" s="12" t="s">
        <v>36</v>
      </c>
      <c r="Q3584" s="12" t="s">
        <v>36</v>
      </c>
      <c r="R3584" s="12" t="s">
        <v>36</v>
      </c>
      <c r="S3584" s="12" t="s">
        <v>36</v>
      </c>
      <c r="T3584" s="12" t="s">
        <v>105</v>
      </c>
      <c r="U3584" s="12" t="s">
        <v>38</v>
      </c>
      <c r="V3584" s="12" t="s">
        <v>39</v>
      </c>
      <c r="W3584" s="12" t="s">
        <v>9469</v>
      </c>
      <c r="X3584" s="16" t="s">
        <v>18349</v>
      </c>
      <c r="Y3584" s="15" t="s">
        <v>42</v>
      </c>
      <c r="Z3584" s="14">
        <v>1.18</v>
      </c>
      <c r="AA3584" s="14">
        <v>2.35</v>
      </c>
      <c r="AB3584" s="12" t="s">
        <v>56</v>
      </c>
      <c r="AC3584" s="12" t="s">
        <v>9470</v>
      </c>
      <c r="AD3584" s="13">
        <v>44131</v>
      </c>
      <c r="AE3584" s="12" t="s">
        <v>110</v>
      </c>
      <c r="AF3584" s="12" t="s">
        <v>4552</v>
      </c>
      <c r="AG3584" s="12" t="s">
        <v>9471</v>
      </c>
      <c r="AH3584" s="1">
        <f>HYPERLINK("https://my.pitchbook.com?c=158434-30T","View Company Online")</f>
      </c>
    </row>
    <row r="3585">
      <c r="A3585" s="3" t="s">
        <v>18350</v>
      </c>
      <c r="B3585" s="3" t="s">
        <v>18351</v>
      </c>
      <c r="C3585" s="5" t="s">
        <v>36</v>
      </c>
      <c r="D3585" s="5" t="s">
        <v>36</v>
      </c>
      <c r="E3585" s="5" t="s">
        <v>36</v>
      </c>
      <c r="F3585" s="5" t="s">
        <v>36</v>
      </c>
      <c r="G3585" s="6" t="s">
        <v>36</v>
      </c>
      <c r="H3585" s="4">
        <v>1038.57</v>
      </c>
      <c r="I3585" s="7">
        <v>23.08</v>
      </c>
      <c r="J3585" s="3" t="s">
        <v>521</v>
      </c>
      <c r="K3585" s="9" t="s">
        <v>36</v>
      </c>
      <c r="L3585" s="6" t="s">
        <v>36</v>
      </c>
      <c r="M3585" s="3" t="s">
        <v>36</v>
      </c>
      <c r="N3585" s="3" t="s">
        <v>36</v>
      </c>
      <c r="O3585" s="8" t="s">
        <v>36</v>
      </c>
      <c r="P3585" s="3" t="s">
        <v>36</v>
      </c>
      <c r="Q3585" s="3" t="s">
        <v>36</v>
      </c>
      <c r="R3585" s="3" t="s">
        <v>36</v>
      </c>
      <c r="S3585" s="3" t="s">
        <v>36</v>
      </c>
      <c r="T3585" s="3" t="s">
        <v>18352</v>
      </c>
      <c r="U3585" s="3" t="s">
        <v>289</v>
      </c>
      <c r="V3585" s="3" t="s">
        <v>64</v>
      </c>
      <c r="W3585" s="3" t="s">
        <v>18353</v>
      </c>
      <c r="X3585" s="10" t="s">
        <v>730</v>
      </c>
      <c r="Y3585" s="6" t="s">
        <v>42</v>
      </c>
      <c r="Z3585" s="4">
        <v>0.35</v>
      </c>
      <c r="AA3585" s="4">
        <v>1.53</v>
      </c>
      <c r="AB3585" s="3" t="s">
        <v>43</v>
      </c>
      <c r="AC3585" s="3" t="s">
        <v>18354</v>
      </c>
      <c r="AD3585" s="9">
        <v>44131</v>
      </c>
      <c r="AE3585" s="3" t="s">
        <v>3134</v>
      </c>
      <c r="AF3585" s="3" t="s">
        <v>90</v>
      </c>
      <c r="AG3585" s="3" t="s">
        <v>18355</v>
      </c>
      <c r="AH3585" s="11">
        <f>HYPERLINK("https://my.pitchbook.com?c=160380-91T","View Company Online")</f>
      </c>
    </row>
    <row r="3586">
      <c r="A3586" s="12" t="s">
        <v>18356</v>
      </c>
      <c r="B3586" s="12" t="s">
        <v>1099</v>
      </c>
      <c r="C3586" s="19" t="s">
        <v>36</v>
      </c>
      <c r="D3586" s="19" t="s">
        <v>36</v>
      </c>
      <c r="E3586" s="19" t="s">
        <v>36</v>
      </c>
      <c r="F3586" s="19" t="s">
        <v>36</v>
      </c>
      <c r="G3586" s="15" t="s">
        <v>36</v>
      </c>
      <c r="H3586" s="14">
        <v>58.86</v>
      </c>
      <c r="I3586" s="18">
        <v>15</v>
      </c>
      <c r="J3586" s="12" t="s">
        <v>521</v>
      </c>
      <c r="K3586" s="13" t="s">
        <v>36</v>
      </c>
      <c r="L3586" s="15" t="s">
        <v>36</v>
      </c>
      <c r="M3586" s="12" t="s">
        <v>36</v>
      </c>
      <c r="N3586" s="12" t="s">
        <v>36</v>
      </c>
      <c r="O3586" s="17" t="s">
        <v>36</v>
      </c>
      <c r="P3586" s="12" t="s">
        <v>36</v>
      </c>
      <c r="Q3586" s="12" t="s">
        <v>36</v>
      </c>
      <c r="R3586" s="12" t="s">
        <v>36</v>
      </c>
      <c r="S3586" s="12" t="s">
        <v>36</v>
      </c>
      <c r="T3586" s="12" t="s">
        <v>105</v>
      </c>
      <c r="U3586" s="12" t="s">
        <v>38</v>
      </c>
      <c r="V3586" s="12" t="s">
        <v>39</v>
      </c>
      <c r="W3586" s="12" t="s">
        <v>1100</v>
      </c>
      <c r="X3586" s="16" t="s">
        <v>18357</v>
      </c>
      <c r="Y3586" s="15" t="s">
        <v>42</v>
      </c>
      <c r="Z3586" s="14">
        <v>0.12</v>
      </c>
      <c r="AA3586" s="14">
        <v>0.78</v>
      </c>
      <c r="AB3586" s="12" t="s">
        <v>43</v>
      </c>
      <c r="AC3586" s="12" t="s">
        <v>1102</v>
      </c>
      <c r="AD3586" s="13">
        <v>44131</v>
      </c>
      <c r="AE3586" s="12" t="s">
        <v>110</v>
      </c>
      <c r="AF3586" s="12" t="s">
        <v>1103</v>
      </c>
      <c r="AG3586" s="12" t="s">
        <v>939</v>
      </c>
      <c r="AH3586" s="1">
        <f>HYPERLINK("https://my.pitchbook.com?c=153793-18T","View Company Online")</f>
      </c>
    </row>
    <row r="3587">
      <c r="A3587" s="3" t="s">
        <v>18358</v>
      </c>
      <c r="B3587" s="3" t="s">
        <v>18359</v>
      </c>
      <c r="C3587" s="5" t="s">
        <v>36</v>
      </c>
      <c r="D3587" s="5">
        <v>2</v>
      </c>
      <c r="E3587" s="5">
        <v>1</v>
      </c>
      <c r="F3587" s="5">
        <v>2</v>
      </c>
      <c r="G3587" s="6" t="s">
        <v>36</v>
      </c>
      <c r="H3587" s="4">
        <v>12.15</v>
      </c>
      <c r="I3587" s="7">
        <v>28.44</v>
      </c>
      <c r="J3587" s="3" t="s">
        <v>521</v>
      </c>
      <c r="K3587" s="9" t="s">
        <v>36</v>
      </c>
      <c r="L3587" s="6" t="s">
        <v>36</v>
      </c>
      <c r="M3587" s="3" t="s">
        <v>36</v>
      </c>
      <c r="N3587" s="3" t="s">
        <v>36</v>
      </c>
      <c r="O3587" s="8" t="s">
        <v>36</v>
      </c>
      <c r="P3587" s="3" t="s">
        <v>36</v>
      </c>
      <c r="Q3587" s="3" t="s">
        <v>36</v>
      </c>
      <c r="R3587" s="3" t="s">
        <v>36</v>
      </c>
      <c r="S3587" s="3" t="s">
        <v>36</v>
      </c>
      <c r="T3587" s="3" t="s">
        <v>18360</v>
      </c>
      <c r="U3587" s="3" t="s">
        <v>1091</v>
      </c>
      <c r="V3587" s="3" t="s">
        <v>378</v>
      </c>
      <c r="W3587" s="3" t="s">
        <v>18361</v>
      </c>
      <c r="X3587" s="10" t="s">
        <v>12377</v>
      </c>
      <c r="Y3587" s="6" t="s">
        <v>42</v>
      </c>
      <c r="Z3587" s="4">
        <v>0.42</v>
      </c>
      <c r="AA3587" s="4">
        <v>1.46</v>
      </c>
      <c r="AB3587" s="3" t="s">
        <v>43</v>
      </c>
      <c r="AC3587" s="3" t="s">
        <v>18362</v>
      </c>
      <c r="AD3587" s="9">
        <v>44128</v>
      </c>
      <c r="AE3587" s="3" t="s">
        <v>1095</v>
      </c>
      <c r="AF3587" s="3" t="s">
        <v>733</v>
      </c>
      <c r="AG3587" s="3" t="s">
        <v>18363</v>
      </c>
      <c r="AH3587" s="11">
        <f>HYPERLINK("https://my.pitchbook.com?c=204427-54T","View Company Online")</f>
      </c>
    </row>
    <row r="3588">
      <c r="A3588" s="12" t="s">
        <v>18364</v>
      </c>
      <c r="B3588" s="12" t="s">
        <v>11681</v>
      </c>
      <c r="C3588" s="19" t="s">
        <v>36</v>
      </c>
      <c r="D3588" s="19" t="s">
        <v>36</v>
      </c>
      <c r="E3588" s="19" t="s">
        <v>36</v>
      </c>
      <c r="F3588" s="19" t="s">
        <v>36</v>
      </c>
      <c r="G3588" s="15" t="s">
        <v>326</v>
      </c>
      <c r="H3588" s="14">
        <v>99.36</v>
      </c>
      <c r="I3588" s="18">
        <v>6.25</v>
      </c>
      <c r="J3588" s="12" t="s">
        <v>521</v>
      </c>
      <c r="K3588" s="13" t="s">
        <v>36</v>
      </c>
      <c r="L3588" s="15" t="s">
        <v>36</v>
      </c>
      <c r="M3588" s="12" t="s">
        <v>36</v>
      </c>
      <c r="N3588" s="12" t="s">
        <v>36</v>
      </c>
      <c r="O3588" s="17" t="s">
        <v>36</v>
      </c>
      <c r="P3588" s="12" t="s">
        <v>36</v>
      </c>
      <c r="Q3588" s="12" t="s">
        <v>36</v>
      </c>
      <c r="R3588" s="12" t="s">
        <v>36</v>
      </c>
      <c r="S3588" s="12" t="s">
        <v>36</v>
      </c>
      <c r="T3588" s="12" t="s">
        <v>1162</v>
      </c>
      <c r="U3588" s="12" t="s">
        <v>423</v>
      </c>
      <c r="V3588" s="12" t="s">
        <v>64</v>
      </c>
      <c r="W3588" s="12" t="s">
        <v>11682</v>
      </c>
      <c r="X3588" s="16" t="s">
        <v>7099</v>
      </c>
      <c r="Y3588" s="15" t="s">
        <v>55</v>
      </c>
      <c r="Z3588" s="14">
        <v>0.14</v>
      </c>
      <c r="AA3588" s="14">
        <v>2.25</v>
      </c>
      <c r="AB3588" s="12" t="s">
        <v>43</v>
      </c>
      <c r="AC3588" s="12" t="s">
        <v>11684</v>
      </c>
      <c r="AD3588" s="13">
        <v>44127</v>
      </c>
      <c r="AE3588" s="12" t="s">
        <v>562</v>
      </c>
      <c r="AF3588" s="12" t="s">
        <v>1977</v>
      </c>
      <c r="AG3588" s="12" t="s">
        <v>11685</v>
      </c>
      <c r="AH3588" s="1">
        <f>HYPERLINK("https://my.pitchbook.com?c=204492-79T","View Company Online")</f>
      </c>
    </row>
    <row r="3589">
      <c r="A3589" s="3" t="s">
        <v>18365</v>
      </c>
      <c r="B3589" s="3" t="s">
        <v>18366</v>
      </c>
      <c r="C3589" s="5">
        <v>1</v>
      </c>
      <c r="D3589" s="5" t="s">
        <v>36</v>
      </c>
      <c r="E3589" s="5">
        <v>2</v>
      </c>
      <c r="F3589" s="5">
        <v>2</v>
      </c>
      <c r="G3589" s="6" t="s">
        <v>326</v>
      </c>
      <c r="H3589" s="4">
        <v>1.66</v>
      </c>
      <c r="I3589" s="7">
        <v>31.74</v>
      </c>
      <c r="J3589" s="3" t="s">
        <v>521</v>
      </c>
      <c r="K3589" s="9" t="s">
        <v>36</v>
      </c>
      <c r="L3589" s="6" t="s">
        <v>122</v>
      </c>
      <c r="M3589" s="3" t="s">
        <v>36</v>
      </c>
      <c r="N3589" s="3" t="s">
        <v>122</v>
      </c>
      <c r="O3589" s="8" t="s">
        <v>36</v>
      </c>
      <c r="P3589" s="3" t="s">
        <v>36</v>
      </c>
      <c r="Q3589" s="3" t="s">
        <v>36</v>
      </c>
      <c r="R3589" s="3" t="s">
        <v>36</v>
      </c>
      <c r="S3589" s="3" t="s">
        <v>36</v>
      </c>
      <c r="T3589" s="3" t="s">
        <v>1106</v>
      </c>
      <c r="U3589" s="3" t="s">
        <v>38</v>
      </c>
      <c r="V3589" s="3" t="s">
        <v>39</v>
      </c>
      <c r="W3589" s="3" t="s">
        <v>18367</v>
      </c>
      <c r="X3589" s="10" t="s">
        <v>18368</v>
      </c>
      <c r="Y3589" s="6" t="s">
        <v>108</v>
      </c>
      <c r="Z3589" s="4">
        <v>7.04</v>
      </c>
      <c r="AA3589" s="4">
        <v>18.34</v>
      </c>
      <c r="AB3589" s="3" t="s">
        <v>43</v>
      </c>
      <c r="AC3589" s="3" t="s">
        <v>18369</v>
      </c>
      <c r="AD3589" s="9">
        <v>44127</v>
      </c>
      <c r="AE3589" s="3" t="s">
        <v>110</v>
      </c>
      <c r="AF3589" s="3" t="s">
        <v>526</v>
      </c>
      <c r="AG3589" s="3" t="s">
        <v>81</v>
      </c>
      <c r="AH3589" s="11">
        <f>HYPERLINK("https://my.pitchbook.com?c=158140-63T","View Company Online")</f>
      </c>
    </row>
    <row r="3590">
      <c r="A3590" s="12" t="s">
        <v>18370</v>
      </c>
      <c r="B3590" s="12" t="s">
        <v>18371</v>
      </c>
      <c r="C3590" s="19" t="s">
        <v>36</v>
      </c>
      <c r="D3590" s="19">
        <v>2</v>
      </c>
      <c r="E3590" s="19">
        <v>1</v>
      </c>
      <c r="F3590" s="19">
        <v>2</v>
      </c>
      <c r="G3590" s="15" t="s">
        <v>326</v>
      </c>
      <c r="H3590" s="14">
        <v>256.53</v>
      </c>
      <c r="I3590" s="18">
        <v>24.4</v>
      </c>
      <c r="J3590" s="12" t="s">
        <v>521</v>
      </c>
      <c r="K3590" s="13">
        <v>43767</v>
      </c>
      <c r="L3590" s="15" t="s">
        <v>94</v>
      </c>
      <c r="M3590" s="12" t="s">
        <v>36</v>
      </c>
      <c r="N3590" s="12" t="s">
        <v>94</v>
      </c>
      <c r="O3590" s="17" t="s">
        <v>36</v>
      </c>
      <c r="P3590" s="12" t="s">
        <v>36</v>
      </c>
      <c r="Q3590" s="12" t="s">
        <v>36</v>
      </c>
      <c r="R3590" s="12" t="s">
        <v>36</v>
      </c>
      <c r="S3590" s="12" t="s">
        <v>36</v>
      </c>
      <c r="T3590" s="12" t="s">
        <v>18372</v>
      </c>
      <c r="U3590" s="12" t="s">
        <v>219</v>
      </c>
      <c r="V3590" s="12" t="s">
        <v>75</v>
      </c>
      <c r="W3590" s="12" t="s">
        <v>18373</v>
      </c>
      <c r="X3590" s="16" t="s">
        <v>18374</v>
      </c>
      <c r="Y3590" s="15" t="s">
        <v>42</v>
      </c>
      <c r="Z3590" s="14">
        <v>12.91</v>
      </c>
      <c r="AA3590" s="14">
        <v>38.35</v>
      </c>
      <c r="AB3590" s="12" t="s">
        <v>56</v>
      </c>
      <c r="AC3590" s="12" t="s">
        <v>18375</v>
      </c>
      <c r="AD3590" s="13">
        <v>44127</v>
      </c>
      <c r="AE3590" s="12" t="s">
        <v>1032</v>
      </c>
      <c r="AF3590" s="12" t="s">
        <v>5236</v>
      </c>
      <c r="AG3590" s="12" t="s">
        <v>4637</v>
      </c>
      <c r="AH3590" s="1">
        <f>HYPERLINK("https://my.pitchbook.com?c=134138-08T","View Company Online")</f>
      </c>
    </row>
    <row r="3591">
      <c r="A3591" s="3" t="s">
        <v>18376</v>
      </c>
      <c r="B3591" s="3" t="s">
        <v>18377</v>
      </c>
      <c r="C3591" s="5" t="s">
        <v>36</v>
      </c>
      <c r="D3591" s="5" t="s">
        <v>36</v>
      </c>
      <c r="E3591" s="5" t="s">
        <v>36</v>
      </c>
      <c r="F3591" s="5" t="s">
        <v>36</v>
      </c>
      <c r="G3591" s="6" t="s">
        <v>36</v>
      </c>
      <c r="H3591" s="4" t="s">
        <v>36</v>
      </c>
      <c r="I3591" s="7" t="s">
        <v>36</v>
      </c>
      <c r="J3591" s="3" t="s">
        <v>36</v>
      </c>
      <c r="K3591" s="9" t="s">
        <v>36</v>
      </c>
      <c r="L3591" s="6" t="s">
        <v>36</v>
      </c>
      <c r="M3591" s="3" t="s">
        <v>36</v>
      </c>
      <c r="N3591" s="3" t="s">
        <v>36</v>
      </c>
      <c r="O3591" s="8" t="s">
        <v>36</v>
      </c>
      <c r="P3591" s="3" t="s">
        <v>36</v>
      </c>
      <c r="Q3591" s="3" t="s">
        <v>36</v>
      </c>
      <c r="R3591" s="3" t="s">
        <v>36</v>
      </c>
      <c r="S3591" s="3" t="s">
        <v>36</v>
      </c>
      <c r="T3591" s="3" t="s">
        <v>522</v>
      </c>
      <c r="U3591" s="3" t="s">
        <v>38</v>
      </c>
      <c r="V3591" s="3" t="s">
        <v>39</v>
      </c>
      <c r="W3591" s="3" t="s">
        <v>18378</v>
      </c>
      <c r="X3591" s="10" t="s">
        <v>18379</v>
      </c>
      <c r="Y3591" s="6" t="s">
        <v>42</v>
      </c>
      <c r="Z3591" s="4" t="s">
        <v>36</v>
      </c>
      <c r="AA3591" s="4" t="s">
        <v>36</v>
      </c>
      <c r="AB3591" s="3" t="s">
        <v>43</v>
      </c>
      <c r="AC3591" s="3" t="s">
        <v>18380</v>
      </c>
      <c r="AD3591" s="9">
        <v>44126</v>
      </c>
      <c r="AE3591" s="3" t="s">
        <v>110</v>
      </c>
      <c r="AF3591" s="3" t="s">
        <v>111</v>
      </c>
      <c r="AG3591" s="3" t="s">
        <v>741</v>
      </c>
      <c r="AH3591" s="11">
        <f>HYPERLINK("https://my.pitchbook.com?c=169283-62T","View Company Online")</f>
      </c>
    </row>
    <row r="3592">
      <c r="A3592" s="12" t="s">
        <v>18381</v>
      </c>
      <c r="B3592" s="12" t="s">
        <v>18382</v>
      </c>
      <c r="C3592" s="19">
        <v>8</v>
      </c>
      <c r="D3592" s="19">
        <v>28</v>
      </c>
      <c r="E3592" s="19">
        <v>8</v>
      </c>
      <c r="F3592" s="19">
        <v>38</v>
      </c>
      <c r="G3592" s="15" t="s">
        <v>326</v>
      </c>
      <c r="H3592" s="14">
        <v>7.27</v>
      </c>
      <c r="I3592" s="18">
        <v>32.88</v>
      </c>
      <c r="J3592" s="12" t="s">
        <v>521</v>
      </c>
      <c r="K3592" s="13" t="s">
        <v>36</v>
      </c>
      <c r="L3592" s="15" t="s">
        <v>36</v>
      </c>
      <c r="M3592" s="12" t="s">
        <v>36</v>
      </c>
      <c r="N3592" s="12" t="s">
        <v>36</v>
      </c>
      <c r="O3592" s="17" t="s">
        <v>36</v>
      </c>
      <c r="P3592" s="12" t="s">
        <v>36</v>
      </c>
      <c r="Q3592" s="12" t="s">
        <v>36</v>
      </c>
      <c r="R3592" s="12" t="s">
        <v>36</v>
      </c>
      <c r="S3592" s="12" t="s">
        <v>36</v>
      </c>
      <c r="T3592" s="12" t="s">
        <v>18383</v>
      </c>
      <c r="U3592" s="12" t="s">
        <v>1082</v>
      </c>
      <c r="V3592" s="12" t="s">
        <v>378</v>
      </c>
      <c r="W3592" s="12" t="s">
        <v>18384</v>
      </c>
      <c r="X3592" s="16" t="s">
        <v>18385</v>
      </c>
      <c r="Y3592" s="15" t="s">
        <v>55</v>
      </c>
      <c r="Z3592" s="14">
        <v>1.39</v>
      </c>
      <c r="AA3592" s="14">
        <v>4.23</v>
      </c>
      <c r="AB3592" s="12" t="s">
        <v>56</v>
      </c>
      <c r="AC3592" s="12" t="s">
        <v>18386</v>
      </c>
      <c r="AD3592" s="13">
        <v>44126</v>
      </c>
      <c r="AE3592" s="12" t="s">
        <v>2068</v>
      </c>
      <c r="AF3592" s="12" t="s">
        <v>2422</v>
      </c>
      <c r="AG3592" s="12" t="s">
        <v>1078</v>
      </c>
      <c r="AH3592" s="1">
        <f>HYPERLINK("https://my.pitchbook.com?c=164521-36T","View Company Online")</f>
      </c>
    </row>
    <row r="3593">
      <c r="A3593" s="3" t="s">
        <v>18387</v>
      </c>
      <c r="B3593" s="3" t="s">
        <v>1784</v>
      </c>
      <c r="C3593" s="5">
        <v>5</v>
      </c>
      <c r="D3593" s="5">
        <v>8</v>
      </c>
      <c r="E3593" s="5">
        <v>5</v>
      </c>
      <c r="F3593" s="5">
        <v>13</v>
      </c>
      <c r="G3593" s="6" t="s">
        <v>36</v>
      </c>
      <c r="H3593" s="4">
        <v>33.23</v>
      </c>
      <c r="I3593" s="7">
        <v>42.07</v>
      </c>
      <c r="J3593" s="3" t="s">
        <v>521</v>
      </c>
      <c r="K3593" s="9" t="s">
        <v>36</v>
      </c>
      <c r="L3593" s="6" t="s">
        <v>36</v>
      </c>
      <c r="M3593" s="3" t="s">
        <v>36</v>
      </c>
      <c r="N3593" s="3" t="s">
        <v>36</v>
      </c>
      <c r="O3593" s="8" t="s">
        <v>36</v>
      </c>
      <c r="P3593" s="3" t="s">
        <v>36</v>
      </c>
      <c r="Q3593" s="3" t="s">
        <v>36</v>
      </c>
      <c r="R3593" s="3" t="s">
        <v>36</v>
      </c>
      <c r="S3593" s="3" t="s">
        <v>36</v>
      </c>
      <c r="T3593" s="3" t="s">
        <v>189</v>
      </c>
      <c r="U3593" s="3" t="s">
        <v>180</v>
      </c>
      <c r="V3593" s="3" t="s">
        <v>52</v>
      </c>
      <c r="W3593" s="3" t="s">
        <v>1785</v>
      </c>
      <c r="X3593" s="10" t="s">
        <v>18388</v>
      </c>
      <c r="Y3593" s="6" t="s">
        <v>42</v>
      </c>
      <c r="Z3593" s="4">
        <v>2.93</v>
      </c>
      <c r="AA3593" s="4">
        <v>4.86</v>
      </c>
      <c r="AB3593" s="3" t="s">
        <v>43</v>
      </c>
      <c r="AC3593" s="3" t="s">
        <v>1787</v>
      </c>
      <c r="AD3593" s="9">
        <v>44126</v>
      </c>
      <c r="AE3593" s="3" t="s">
        <v>184</v>
      </c>
      <c r="AF3593" s="3" t="s">
        <v>1788</v>
      </c>
      <c r="AG3593" s="3" t="s">
        <v>373</v>
      </c>
      <c r="AH3593" s="11">
        <f>HYPERLINK("https://my.pitchbook.com?c=165078-01T","View Company Online")</f>
      </c>
    </row>
    <row r="3594">
      <c r="A3594" s="12" t="s">
        <v>18389</v>
      </c>
      <c r="B3594" s="12" t="s">
        <v>10453</v>
      </c>
      <c r="C3594" s="19">
        <v>11</v>
      </c>
      <c r="D3594" s="19">
        <v>40</v>
      </c>
      <c r="E3594" s="19">
        <v>8</v>
      </c>
      <c r="F3594" s="19">
        <v>67</v>
      </c>
      <c r="G3594" s="15" t="s">
        <v>683</v>
      </c>
      <c r="H3594" s="14">
        <v>1713.63</v>
      </c>
      <c r="I3594" s="18">
        <v>5.34</v>
      </c>
      <c r="J3594" s="12" t="s">
        <v>521</v>
      </c>
      <c r="K3594" s="13" t="s">
        <v>36</v>
      </c>
      <c r="L3594" s="15" t="s">
        <v>36</v>
      </c>
      <c r="M3594" s="12" t="s">
        <v>36</v>
      </c>
      <c r="N3594" s="12" t="s">
        <v>36</v>
      </c>
      <c r="O3594" s="17" t="s">
        <v>36</v>
      </c>
      <c r="P3594" s="12" t="s">
        <v>36</v>
      </c>
      <c r="Q3594" s="12" t="s">
        <v>36</v>
      </c>
      <c r="R3594" s="12" t="s">
        <v>36</v>
      </c>
      <c r="S3594" s="12" t="s">
        <v>36</v>
      </c>
      <c r="T3594" s="12" t="s">
        <v>8799</v>
      </c>
      <c r="U3594" s="12" t="s">
        <v>51</v>
      </c>
      <c r="V3594" s="12" t="s">
        <v>52</v>
      </c>
      <c r="W3594" s="12" t="s">
        <v>10454</v>
      </c>
      <c r="X3594" s="16" t="s">
        <v>18390</v>
      </c>
      <c r="Y3594" s="15" t="s">
        <v>192</v>
      </c>
      <c r="Z3594" s="14">
        <v>0.4</v>
      </c>
      <c r="AA3594" s="14">
        <v>7.57</v>
      </c>
      <c r="AB3594" s="12" t="s">
        <v>56</v>
      </c>
      <c r="AC3594" s="12" t="s">
        <v>10456</v>
      </c>
      <c r="AD3594" s="13">
        <v>44125</v>
      </c>
      <c r="AE3594" s="12" t="s">
        <v>158</v>
      </c>
      <c r="AF3594" s="12" t="s">
        <v>159</v>
      </c>
      <c r="AG3594" s="12" t="s">
        <v>2370</v>
      </c>
      <c r="AH3594" s="1">
        <f>HYPERLINK("https://my.pitchbook.com?c=181328-50T","View Company Online")</f>
      </c>
    </row>
    <row r="3595">
      <c r="A3595" s="3" t="s">
        <v>18391</v>
      </c>
      <c r="B3595" s="3" t="s">
        <v>10957</v>
      </c>
      <c r="C3595" s="5">
        <v>10</v>
      </c>
      <c r="D3595" s="5">
        <v>5</v>
      </c>
      <c r="E3595" s="5">
        <v>5</v>
      </c>
      <c r="F3595" s="5">
        <v>16</v>
      </c>
      <c r="G3595" s="6" t="s">
        <v>683</v>
      </c>
      <c r="H3595" s="4">
        <v>108.82</v>
      </c>
      <c r="I3595" s="7">
        <v>73.95</v>
      </c>
      <c r="J3595" s="3" t="s">
        <v>521</v>
      </c>
      <c r="K3595" s="9" t="s">
        <v>36</v>
      </c>
      <c r="L3595" s="6" t="s">
        <v>122</v>
      </c>
      <c r="M3595" s="3" t="s">
        <v>36</v>
      </c>
      <c r="N3595" s="3" t="s">
        <v>122</v>
      </c>
      <c r="O3595" s="8" t="s">
        <v>36</v>
      </c>
      <c r="P3595" s="3" t="s">
        <v>36</v>
      </c>
      <c r="Q3595" s="3" t="s">
        <v>36</v>
      </c>
      <c r="R3595" s="3" t="s">
        <v>36</v>
      </c>
      <c r="S3595" s="3" t="s">
        <v>36</v>
      </c>
      <c r="T3595" s="3" t="s">
        <v>881</v>
      </c>
      <c r="U3595" s="3" t="s">
        <v>51</v>
      </c>
      <c r="V3595" s="3" t="s">
        <v>52</v>
      </c>
      <c r="W3595" s="3" t="s">
        <v>10958</v>
      </c>
      <c r="X3595" s="10" t="s">
        <v>18392</v>
      </c>
      <c r="Y3595" s="6" t="s">
        <v>108</v>
      </c>
      <c r="Z3595" s="4">
        <v>52.21</v>
      </c>
      <c r="AA3595" s="4">
        <v>47.2</v>
      </c>
      <c r="AB3595" s="3" t="s">
        <v>43</v>
      </c>
      <c r="AC3595" s="3" t="s">
        <v>10960</v>
      </c>
      <c r="AD3595" s="9">
        <v>44125</v>
      </c>
      <c r="AE3595" s="3" t="s">
        <v>504</v>
      </c>
      <c r="AF3595" s="3" t="s">
        <v>885</v>
      </c>
      <c r="AG3595" s="3" t="s">
        <v>81</v>
      </c>
      <c r="AH3595" s="11">
        <f>HYPERLINK("https://my.pitchbook.com?c=157926-52T","View Company Online")</f>
      </c>
    </row>
    <row r="3596">
      <c r="A3596" s="12" t="s">
        <v>18393</v>
      </c>
      <c r="B3596" s="12" t="s">
        <v>18394</v>
      </c>
      <c r="C3596" s="19" t="s">
        <v>36</v>
      </c>
      <c r="D3596" s="19" t="s">
        <v>36</v>
      </c>
      <c r="E3596" s="19" t="s">
        <v>36</v>
      </c>
      <c r="F3596" s="19" t="s">
        <v>36</v>
      </c>
      <c r="G3596" s="15" t="s">
        <v>683</v>
      </c>
      <c r="H3596" s="14">
        <v>280.71</v>
      </c>
      <c r="I3596" s="18">
        <v>41.43</v>
      </c>
      <c r="J3596" s="12" t="s">
        <v>521</v>
      </c>
      <c r="K3596" s="13" t="s">
        <v>36</v>
      </c>
      <c r="L3596" s="15" t="s">
        <v>36</v>
      </c>
      <c r="M3596" s="12" t="s">
        <v>36</v>
      </c>
      <c r="N3596" s="12" t="s">
        <v>36</v>
      </c>
      <c r="O3596" s="17" t="s">
        <v>36</v>
      </c>
      <c r="P3596" s="12" t="s">
        <v>36</v>
      </c>
      <c r="Q3596" s="12" t="s">
        <v>36</v>
      </c>
      <c r="R3596" s="12" t="s">
        <v>36</v>
      </c>
      <c r="S3596" s="12" t="s">
        <v>36</v>
      </c>
      <c r="T3596" s="12" t="s">
        <v>18395</v>
      </c>
      <c r="U3596" s="12" t="s">
        <v>438</v>
      </c>
      <c r="V3596" s="12" t="s">
        <v>405</v>
      </c>
      <c r="W3596" s="12" t="s">
        <v>18396</v>
      </c>
      <c r="X3596" s="16" t="s">
        <v>18397</v>
      </c>
      <c r="Y3596" s="15" t="s">
        <v>55</v>
      </c>
      <c r="Z3596" s="14">
        <v>4.69</v>
      </c>
      <c r="AA3596" s="14">
        <v>8.5</v>
      </c>
      <c r="AB3596" s="12" t="s">
        <v>43</v>
      </c>
      <c r="AC3596" s="12" t="s">
        <v>18398</v>
      </c>
      <c r="AD3596" s="13">
        <v>44124</v>
      </c>
      <c r="AE3596" s="12" t="s">
        <v>438</v>
      </c>
      <c r="AF3596" s="12" t="s">
        <v>1852</v>
      </c>
      <c r="AG3596" s="12" t="s">
        <v>2662</v>
      </c>
      <c r="AH3596" s="1">
        <f>HYPERLINK("https://my.pitchbook.com?c=157888-90T","View Company Online")</f>
      </c>
    </row>
    <row r="3597">
      <c r="A3597" s="3" t="s">
        <v>18399</v>
      </c>
      <c r="B3597" s="3" t="s">
        <v>18400</v>
      </c>
      <c r="C3597" s="5" t="s">
        <v>36</v>
      </c>
      <c r="D3597" s="5" t="s">
        <v>36</v>
      </c>
      <c r="E3597" s="5" t="s">
        <v>36</v>
      </c>
      <c r="F3597" s="5" t="s">
        <v>36</v>
      </c>
      <c r="G3597" s="6" t="s">
        <v>36</v>
      </c>
      <c r="H3597" s="4" t="s">
        <v>36</v>
      </c>
      <c r="I3597" s="7" t="s">
        <v>36</v>
      </c>
      <c r="J3597" s="3" t="s">
        <v>36</v>
      </c>
      <c r="K3597" s="9" t="s">
        <v>36</v>
      </c>
      <c r="L3597" s="6" t="s">
        <v>36</v>
      </c>
      <c r="M3597" s="3" t="s">
        <v>36</v>
      </c>
      <c r="N3597" s="3" t="s">
        <v>36</v>
      </c>
      <c r="O3597" s="8" t="s">
        <v>36</v>
      </c>
      <c r="P3597" s="3" t="s">
        <v>36</v>
      </c>
      <c r="Q3597" s="3" t="s">
        <v>36</v>
      </c>
      <c r="R3597" s="3" t="s">
        <v>36</v>
      </c>
      <c r="S3597" s="3" t="s">
        <v>36</v>
      </c>
      <c r="T3597" s="3" t="s">
        <v>189</v>
      </c>
      <c r="U3597" s="3" t="s">
        <v>180</v>
      </c>
      <c r="V3597" s="3" t="s">
        <v>52</v>
      </c>
      <c r="W3597" s="3" t="s">
        <v>18401</v>
      </c>
      <c r="X3597" s="10" t="s">
        <v>18402</v>
      </c>
      <c r="Y3597" s="6" t="s">
        <v>42</v>
      </c>
      <c r="Z3597" s="4">
        <v>1.17</v>
      </c>
      <c r="AA3597" s="4" t="s">
        <v>36</v>
      </c>
      <c r="AB3597" s="3" t="s">
        <v>43</v>
      </c>
      <c r="AC3597" s="3" t="s">
        <v>18403</v>
      </c>
      <c r="AD3597" s="9">
        <v>44123</v>
      </c>
      <c r="AE3597" s="3" t="s">
        <v>184</v>
      </c>
      <c r="AF3597" s="3" t="s">
        <v>829</v>
      </c>
      <c r="AG3597" s="3" t="s">
        <v>144</v>
      </c>
      <c r="AH3597" s="11">
        <f>HYPERLINK("https://my.pitchbook.com?c=174687-49T","View Company Online")</f>
      </c>
    </row>
    <row r="3598">
      <c r="A3598" s="12" t="s">
        <v>18404</v>
      </c>
      <c r="B3598" s="12" t="s">
        <v>18405</v>
      </c>
      <c r="C3598" s="19">
        <v>1</v>
      </c>
      <c r="D3598" s="19">
        <v>5</v>
      </c>
      <c r="E3598" s="19">
        <v>3</v>
      </c>
      <c r="F3598" s="19">
        <v>6</v>
      </c>
      <c r="G3598" s="15" t="s">
        <v>683</v>
      </c>
      <c r="H3598" s="14">
        <v>986.64</v>
      </c>
      <c r="I3598" s="18">
        <v>10.46</v>
      </c>
      <c r="J3598" s="12" t="s">
        <v>521</v>
      </c>
      <c r="K3598" s="13" t="s">
        <v>36</v>
      </c>
      <c r="L3598" s="15" t="s">
        <v>36</v>
      </c>
      <c r="M3598" s="12" t="s">
        <v>36</v>
      </c>
      <c r="N3598" s="12" t="s">
        <v>36</v>
      </c>
      <c r="O3598" s="17" t="s">
        <v>36</v>
      </c>
      <c r="P3598" s="12" t="s">
        <v>36</v>
      </c>
      <c r="Q3598" s="12" t="s">
        <v>36</v>
      </c>
      <c r="R3598" s="12" t="s">
        <v>36</v>
      </c>
      <c r="S3598" s="12" t="s">
        <v>36</v>
      </c>
      <c r="T3598" s="12" t="s">
        <v>17704</v>
      </c>
      <c r="U3598" s="12" t="s">
        <v>833</v>
      </c>
      <c r="V3598" s="12" t="s">
        <v>64</v>
      </c>
      <c r="W3598" s="12" t="s">
        <v>18406</v>
      </c>
      <c r="X3598" s="16" t="s">
        <v>18407</v>
      </c>
      <c r="Y3598" s="15" t="s">
        <v>55</v>
      </c>
      <c r="Z3598" s="14">
        <v>0.82</v>
      </c>
      <c r="AA3598" s="14">
        <v>1.74</v>
      </c>
      <c r="AB3598" s="12" t="s">
        <v>56</v>
      </c>
      <c r="AC3598" s="12" t="s">
        <v>18408</v>
      </c>
      <c r="AD3598" s="13">
        <v>44123</v>
      </c>
      <c r="AE3598" s="12" t="s">
        <v>1069</v>
      </c>
      <c r="AF3598" s="12" t="s">
        <v>2118</v>
      </c>
      <c r="AG3598" s="12" t="s">
        <v>2636</v>
      </c>
      <c r="AH3598" s="1">
        <f>HYPERLINK("https://my.pitchbook.com?c=190708-21T","View Company Online")</f>
      </c>
    </row>
    <row r="3599">
      <c r="A3599" s="3" t="s">
        <v>18409</v>
      </c>
      <c r="B3599" s="3" t="s">
        <v>18410</v>
      </c>
      <c r="C3599" s="5">
        <v>2</v>
      </c>
      <c r="D3599" s="5" t="s">
        <v>36</v>
      </c>
      <c r="E3599" s="5">
        <v>2</v>
      </c>
      <c r="F3599" s="5">
        <v>2</v>
      </c>
      <c r="G3599" s="6" t="s">
        <v>36</v>
      </c>
      <c r="H3599" s="4" t="s">
        <v>36</v>
      </c>
      <c r="I3599" s="7" t="s">
        <v>36</v>
      </c>
      <c r="J3599" s="3" t="s">
        <v>36</v>
      </c>
      <c r="K3599" s="9" t="s">
        <v>36</v>
      </c>
      <c r="L3599" s="6" t="s">
        <v>36</v>
      </c>
      <c r="M3599" s="3" t="s">
        <v>36</v>
      </c>
      <c r="N3599" s="3" t="s">
        <v>36</v>
      </c>
      <c r="O3599" s="8" t="s">
        <v>36</v>
      </c>
      <c r="P3599" s="3" t="s">
        <v>36</v>
      </c>
      <c r="Q3599" s="3" t="s">
        <v>36</v>
      </c>
      <c r="R3599" s="3" t="s">
        <v>36</v>
      </c>
      <c r="S3599" s="3" t="s">
        <v>36</v>
      </c>
      <c r="T3599" s="3" t="s">
        <v>8677</v>
      </c>
      <c r="U3599" s="3" t="s">
        <v>1082</v>
      </c>
      <c r="V3599" s="3" t="s">
        <v>378</v>
      </c>
      <c r="W3599" s="3" t="s">
        <v>18411</v>
      </c>
      <c r="X3599" s="10" t="s">
        <v>18412</v>
      </c>
      <c r="Y3599" s="6" t="s">
        <v>42</v>
      </c>
      <c r="Z3599" s="4">
        <v>2.35</v>
      </c>
      <c r="AA3599" s="4" t="s">
        <v>36</v>
      </c>
      <c r="AB3599" s="3" t="s">
        <v>56</v>
      </c>
      <c r="AC3599" s="3" t="s">
        <v>18413</v>
      </c>
      <c r="AD3599" s="9">
        <v>44123</v>
      </c>
      <c r="AE3599" s="3" t="s">
        <v>7876</v>
      </c>
      <c r="AF3599" s="3" t="s">
        <v>1008</v>
      </c>
      <c r="AG3599" s="3" t="s">
        <v>18414</v>
      </c>
      <c r="AH3599" s="11">
        <f>HYPERLINK("https://my.pitchbook.com?c=157867-84T","View Company Online")</f>
      </c>
    </row>
    <row r="3600">
      <c r="A3600" s="12" t="s">
        <v>18415</v>
      </c>
      <c r="B3600" s="12" t="s">
        <v>18416</v>
      </c>
      <c r="C3600" s="19" t="s">
        <v>36</v>
      </c>
      <c r="D3600" s="19" t="s">
        <v>36</v>
      </c>
      <c r="E3600" s="19" t="s">
        <v>36</v>
      </c>
      <c r="F3600" s="19" t="s">
        <v>36</v>
      </c>
      <c r="G3600" s="15" t="s">
        <v>36</v>
      </c>
      <c r="H3600" s="14">
        <v>44.27</v>
      </c>
      <c r="I3600" s="18">
        <v>11.48</v>
      </c>
      <c r="J3600" s="12" t="s">
        <v>521</v>
      </c>
      <c r="K3600" s="13" t="s">
        <v>36</v>
      </c>
      <c r="L3600" s="15" t="s">
        <v>36</v>
      </c>
      <c r="M3600" s="12" t="s">
        <v>36</v>
      </c>
      <c r="N3600" s="12" t="s">
        <v>36</v>
      </c>
      <c r="O3600" s="17" t="s">
        <v>36</v>
      </c>
      <c r="P3600" s="12" t="s">
        <v>36</v>
      </c>
      <c r="Q3600" s="12" t="s">
        <v>36</v>
      </c>
      <c r="R3600" s="12" t="s">
        <v>36</v>
      </c>
      <c r="S3600" s="12" t="s">
        <v>36</v>
      </c>
      <c r="T3600" s="12" t="s">
        <v>3945</v>
      </c>
      <c r="U3600" s="12" t="s">
        <v>366</v>
      </c>
      <c r="V3600" s="12" t="s">
        <v>367</v>
      </c>
      <c r="W3600" s="12" t="s">
        <v>18417</v>
      </c>
      <c r="X3600" s="16" t="s">
        <v>18418</v>
      </c>
      <c r="Y3600" s="15" t="s">
        <v>42</v>
      </c>
      <c r="Z3600" s="14">
        <v>0.25</v>
      </c>
      <c r="AA3600" s="14">
        <v>2.15</v>
      </c>
      <c r="AB3600" s="12" t="s">
        <v>43</v>
      </c>
      <c r="AC3600" s="12" t="s">
        <v>18419</v>
      </c>
      <c r="AD3600" s="13">
        <v>44120</v>
      </c>
      <c r="AE3600" s="12" t="s">
        <v>600</v>
      </c>
      <c r="AF3600" s="12" t="s">
        <v>1619</v>
      </c>
      <c r="AG3600" s="12" t="s">
        <v>81</v>
      </c>
      <c r="AH3600" s="1">
        <f>HYPERLINK("https://my.pitchbook.com?c=158091-67T","View Company Online")</f>
      </c>
    </row>
    <row r="3601">
      <c r="A3601" s="3" t="s">
        <v>18420</v>
      </c>
      <c r="B3601" s="3" t="s">
        <v>18421</v>
      </c>
      <c r="C3601" s="5">
        <v>9</v>
      </c>
      <c r="D3601" s="5">
        <v>26</v>
      </c>
      <c r="E3601" s="5">
        <v>8</v>
      </c>
      <c r="F3601" s="5">
        <v>37</v>
      </c>
      <c r="G3601" s="6" t="s">
        <v>326</v>
      </c>
      <c r="H3601" s="4">
        <v>110.77</v>
      </c>
      <c r="I3601" s="7">
        <v>38.66</v>
      </c>
      <c r="J3601" s="3" t="s">
        <v>521</v>
      </c>
      <c r="K3601" s="9">
        <v>43278</v>
      </c>
      <c r="L3601" s="6" t="s">
        <v>94</v>
      </c>
      <c r="M3601" s="3" t="s">
        <v>36</v>
      </c>
      <c r="N3601" s="3" t="s">
        <v>94</v>
      </c>
      <c r="O3601" s="8" t="s">
        <v>36</v>
      </c>
      <c r="P3601" s="3" t="s">
        <v>36</v>
      </c>
      <c r="Q3601" s="3" t="s">
        <v>36</v>
      </c>
      <c r="R3601" s="3" t="s">
        <v>36</v>
      </c>
      <c r="S3601" s="3" t="s">
        <v>36</v>
      </c>
      <c r="T3601" s="3" t="s">
        <v>7773</v>
      </c>
      <c r="U3601" s="3" t="s">
        <v>96</v>
      </c>
      <c r="V3601" s="3" t="s">
        <v>52</v>
      </c>
      <c r="W3601" s="3" t="s">
        <v>18422</v>
      </c>
      <c r="X3601" s="10" t="s">
        <v>18423</v>
      </c>
      <c r="Y3601" s="6" t="s">
        <v>192</v>
      </c>
      <c r="Z3601" s="4">
        <v>11.39</v>
      </c>
      <c r="AA3601" s="4">
        <v>29.46</v>
      </c>
      <c r="AB3601" s="3" t="s">
        <v>56</v>
      </c>
      <c r="AC3601" s="3" t="s">
        <v>18424</v>
      </c>
      <c r="AD3601" s="9">
        <v>44119</v>
      </c>
      <c r="AE3601" s="3" t="s">
        <v>143</v>
      </c>
      <c r="AF3601" s="3" t="s">
        <v>36</v>
      </c>
      <c r="AG3601" s="3" t="s">
        <v>2088</v>
      </c>
      <c r="AH3601" s="11">
        <f>HYPERLINK("https://my.pitchbook.com?c=117595-45T","View Company Online")</f>
      </c>
    </row>
    <row r="3602">
      <c r="A3602" s="12" t="s">
        <v>18425</v>
      </c>
      <c r="B3602" s="12" t="s">
        <v>1150</v>
      </c>
      <c r="C3602" s="19" t="s">
        <v>36</v>
      </c>
      <c r="D3602" s="19" t="s">
        <v>36</v>
      </c>
      <c r="E3602" s="19" t="s">
        <v>36</v>
      </c>
      <c r="F3602" s="19" t="s">
        <v>36</v>
      </c>
      <c r="G3602" s="15" t="s">
        <v>36</v>
      </c>
      <c r="H3602" s="14" t="s">
        <v>36</v>
      </c>
      <c r="I3602" s="18" t="s">
        <v>36</v>
      </c>
      <c r="J3602" s="12" t="s">
        <v>36</v>
      </c>
      <c r="K3602" s="13" t="s">
        <v>36</v>
      </c>
      <c r="L3602" s="15" t="s">
        <v>36</v>
      </c>
      <c r="M3602" s="12" t="s">
        <v>36</v>
      </c>
      <c r="N3602" s="12" t="s">
        <v>36</v>
      </c>
      <c r="O3602" s="17" t="s">
        <v>36</v>
      </c>
      <c r="P3602" s="12" t="s">
        <v>36</v>
      </c>
      <c r="Q3602" s="12" t="s">
        <v>36</v>
      </c>
      <c r="R3602" s="12" t="s">
        <v>36</v>
      </c>
      <c r="S3602" s="12" t="s">
        <v>36</v>
      </c>
      <c r="T3602" s="12" t="s">
        <v>522</v>
      </c>
      <c r="U3602" s="12" t="s">
        <v>38</v>
      </c>
      <c r="V3602" s="12" t="s">
        <v>39</v>
      </c>
      <c r="W3602" s="12" t="s">
        <v>1151</v>
      </c>
      <c r="X3602" s="16" t="s">
        <v>18426</v>
      </c>
      <c r="Y3602" s="15" t="s">
        <v>108</v>
      </c>
      <c r="Z3602" s="14">
        <v>2.35</v>
      </c>
      <c r="AA3602" s="14" t="s">
        <v>36</v>
      </c>
      <c r="AB3602" s="12" t="s">
        <v>56</v>
      </c>
      <c r="AC3602" s="12" t="s">
        <v>1153</v>
      </c>
      <c r="AD3602" s="13">
        <v>44119</v>
      </c>
      <c r="AE3602" s="12" t="s">
        <v>110</v>
      </c>
      <c r="AF3602" s="12" t="s">
        <v>111</v>
      </c>
      <c r="AG3602" s="12" t="s">
        <v>81</v>
      </c>
      <c r="AH3602" s="1">
        <f>HYPERLINK("https://my.pitchbook.com?c=205175-89T","View Company Online")</f>
      </c>
    </row>
    <row r="3603">
      <c r="A3603" s="3" t="s">
        <v>18427</v>
      </c>
      <c r="B3603" s="3" t="s">
        <v>11446</v>
      </c>
      <c r="C3603" s="5" t="s">
        <v>36</v>
      </c>
      <c r="D3603" s="5" t="s">
        <v>36</v>
      </c>
      <c r="E3603" s="5" t="s">
        <v>36</v>
      </c>
      <c r="F3603" s="5" t="s">
        <v>36</v>
      </c>
      <c r="G3603" s="6" t="s">
        <v>326</v>
      </c>
      <c r="H3603" s="4">
        <v>8.17</v>
      </c>
      <c r="I3603" s="7">
        <v>21.07</v>
      </c>
      <c r="J3603" s="3" t="s">
        <v>521</v>
      </c>
      <c r="K3603" s="9" t="s">
        <v>36</v>
      </c>
      <c r="L3603" s="6" t="s">
        <v>122</v>
      </c>
      <c r="M3603" s="3" t="s">
        <v>36</v>
      </c>
      <c r="N3603" s="3" t="s">
        <v>122</v>
      </c>
      <c r="O3603" s="8" t="s">
        <v>36</v>
      </c>
      <c r="P3603" s="3" t="s">
        <v>36</v>
      </c>
      <c r="Q3603" s="3" t="s">
        <v>36</v>
      </c>
      <c r="R3603" s="3" t="s">
        <v>36</v>
      </c>
      <c r="S3603" s="3" t="s">
        <v>36</v>
      </c>
      <c r="T3603" s="3" t="s">
        <v>647</v>
      </c>
      <c r="U3603" s="3" t="s">
        <v>648</v>
      </c>
      <c r="V3603" s="3" t="s">
        <v>64</v>
      </c>
      <c r="W3603" s="3" t="s">
        <v>11447</v>
      </c>
      <c r="X3603" s="10" t="s">
        <v>18428</v>
      </c>
      <c r="Y3603" s="6" t="s">
        <v>108</v>
      </c>
      <c r="Z3603" s="4">
        <v>9.4</v>
      </c>
      <c r="AA3603" s="4">
        <v>23.44</v>
      </c>
      <c r="AB3603" s="3" t="s">
        <v>43</v>
      </c>
      <c r="AC3603" s="3" t="s">
        <v>11449</v>
      </c>
      <c r="AD3603" s="9">
        <v>44119</v>
      </c>
      <c r="AE3603" s="3" t="s">
        <v>651</v>
      </c>
      <c r="AF3603" s="3" t="s">
        <v>11450</v>
      </c>
      <c r="AG3603" s="3" t="s">
        <v>11451</v>
      </c>
      <c r="AH3603" s="11">
        <f>HYPERLINK("https://my.pitchbook.com?c=157754-35T","View Company Online")</f>
      </c>
    </row>
    <row r="3604">
      <c r="A3604" s="12" t="s">
        <v>18429</v>
      </c>
      <c r="B3604" s="12" t="s">
        <v>13660</v>
      </c>
      <c r="C3604" s="19" t="s">
        <v>36</v>
      </c>
      <c r="D3604" s="19" t="s">
        <v>36</v>
      </c>
      <c r="E3604" s="19" t="s">
        <v>36</v>
      </c>
      <c r="F3604" s="19" t="s">
        <v>36</v>
      </c>
      <c r="G3604" s="15" t="s">
        <v>2497</v>
      </c>
      <c r="H3604" s="14">
        <v>1.93</v>
      </c>
      <c r="I3604" s="18">
        <v>47.9</v>
      </c>
      <c r="J3604" s="12" t="s">
        <v>521</v>
      </c>
      <c r="K3604" s="13" t="s">
        <v>36</v>
      </c>
      <c r="L3604" s="15" t="s">
        <v>122</v>
      </c>
      <c r="M3604" s="12" t="s">
        <v>36</v>
      </c>
      <c r="N3604" s="12" t="s">
        <v>122</v>
      </c>
      <c r="O3604" s="17" t="s">
        <v>36</v>
      </c>
      <c r="P3604" s="12" t="s">
        <v>36</v>
      </c>
      <c r="Q3604" s="12" t="s">
        <v>36</v>
      </c>
      <c r="R3604" s="12" t="s">
        <v>36</v>
      </c>
      <c r="S3604" s="12" t="s">
        <v>36</v>
      </c>
      <c r="T3604" s="12" t="s">
        <v>13661</v>
      </c>
      <c r="U3604" s="12" t="s">
        <v>289</v>
      </c>
      <c r="V3604" s="12" t="s">
        <v>64</v>
      </c>
      <c r="W3604" s="12" t="s">
        <v>13662</v>
      </c>
      <c r="X3604" s="16" t="s">
        <v>18430</v>
      </c>
      <c r="Y3604" s="15" t="s">
        <v>108</v>
      </c>
      <c r="Z3604" s="14">
        <v>3.04</v>
      </c>
      <c r="AA3604" s="14">
        <v>6.34</v>
      </c>
      <c r="AB3604" s="12" t="s">
        <v>56</v>
      </c>
      <c r="AC3604" s="12" t="s">
        <v>13664</v>
      </c>
      <c r="AD3604" s="13">
        <v>44118</v>
      </c>
      <c r="AE3604" s="12" t="s">
        <v>13665</v>
      </c>
      <c r="AF3604" s="12" t="s">
        <v>90</v>
      </c>
      <c r="AG3604" s="12" t="s">
        <v>13666</v>
      </c>
      <c r="AH3604" s="1">
        <f>HYPERLINK("https://my.pitchbook.com?c=157721-77T","View Company Online")</f>
      </c>
    </row>
    <row r="3605">
      <c r="A3605" s="3" t="s">
        <v>18431</v>
      </c>
      <c r="B3605" s="3" t="s">
        <v>10473</v>
      </c>
      <c r="C3605" s="5" t="s">
        <v>36</v>
      </c>
      <c r="D3605" s="5" t="s">
        <v>36</v>
      </c>
      <c r="E3605" s="5" t="s">
        <v>36</v>
      </c>
      <c r="F3605" s="5" t="s">
        <v>36</v>
      </c>
      <c r="G3605" s="6" t="s">
        <v>36</v>
      </c>
      <c r="H3605" s="4" t="s">
        <v>36</v>
      </c>
      <c r="I3605" s="7" t="s">
        <v>36</v>
      </c>
      <c r="J3605" s="3" t="s">
        <v>36</v>
      </c>
      <c r="K3605" s="9" t="s">
        <v>36</v>
      </c>
      <c r="L3605" s="6" t="s">
        <v>36</v>
      </c>
      <c r="M3605" s="3" t="s">
        <v>36</v>
      </c>
      <c r="N3605" s="3" t="s">
        <v>18432</v>
      </c>
      <c r="O3605" s="8" t="s">
        <v>36</v>
      </c>
      <c r="P3605" s="3" t="s">
        <v>36</v>
      </c>
      <c r="Q3605" s="3" t="s">
        <v>36</v>
      </c>
      <c r="R3605" s="3" t="s">
        <v>36</v>
      </c>
      <c r="S3605" s="3" t="s">
        <v>36</v>
      </c>
      <c r="T3605" s="3" t="s">
        <v>37</v>
      </c>
      <c r="U3605" s="3" t="s">
        <v>38</v>
      </c>
      <c r="V3605" s="3" t="s">
        <v>39</v>
      </c>
      <c r="W3605" s="3" t="s">
        <v>10474</v>
      </c>
      <c r="X3605" s="10" t="s">
        <v>18433</v>
      </c>
      <c r="Y3605" s="6" t="s">
        <v>108</v>
      </c>
      <c r="Z3605" s="4">
        <v>1.76</v>
      </c>
      <c r="AA3605" s="4" t="s">
        <v>36</v>
      </c>
      <c r="AB3605" s="3" t="s">
        <v>56</v>
      </c>
      <c r="AC3605" s="3" t="s">
        <v>10476</v>
      </c>
      <c r="AD3605" s="9">
        <v>44118</v>
      </c>
      <c r="AE3605" s="3" t="s">
        <v>45</v>
      </c>
      <c r="AF3605" s="3" t="s">
        <v>10477</v>
      </c>
      <c r="AG3605" s="3" t="s">
        <v>81</v>
      </c>
      <c r="AH3605" s="11">
        <f>HYPERLINK("https://my.pitchbook.com?c=169199-92T","View Company Online")</f>
      </c>
    </row>
    <row r="3606">
      <c r="A3606" s="12" t="s">
        <v>18434</v>
      </c>
      <c r="B3606" s="12" t="s">
        <v>18435</v>
      </c>
      <c r="C3606" s="19" t="s">
        <v>36</v>
      </c>
      <c r="D3606" s="19">
        <v>2</v>
      </c>
      <c r="E3606" s="19">
        <v>1</v>
      </c>
      <c r="F3606" s="19">
        <v>2</v>
      </c>
      <c r="G3606" s="15" t="s">
        <v>36</v>
      </c>
      <c r="H3606" s="14">
        <v>36.35</v>
      </c>
      <c r="I3606" s="18">
        <v>15.66</v>
      </c>
      <c r="J3606" s="12" t="s">
        <v>521</v>
      </c>
      <c r="K3606" s="13" t="s">
        <v>36</v>
      </c>
      <c r="L3606" s="15" t="s">
        <v>36</v>
      </c>
      <c r="M3606" s="12" t="s">
        <v>36</v>
      </c>
      <c r="N3606" s="12" t="s">
        <v>36</v>
      </c>
      <c r="O3606" s="17" t="s">
        <v>36</v>
      </c>
      <c r="P3606" s="12" t="s">
        <v>36</v>
      </c>
      <c r="Q3606" s="12" t="s">
        <v>36</v>
      </c>
      <c r="R3606" s="12" t="s">
        <v>36</v>
      </c>
      <c r="S3606" s="12" t="s">
        <v>36</v>
      </c>
      <c r="T3606" s="12" t="s">
        <v>18436</v>
      </c>
      <c r="U3606" s="12" t="s">
        <v>318</v>
      </c>
      <c r="V3606" s="12" t="s">
        <v>39</v>
      </c>
      <c r="W3606" s="12" t="s">
        <v>18437</v>
      </c>
      <c r="X3606" s="16" t="s">
        <v>18438</v>
      </c>
      <c r="Y3606" s="15" t="s">
        <v>42</v>
      </c>
      <c r="Z3606" s="14">
        <v>0.94</v>
      </c>
      <c r="AA3606" s="14">
        <v>4.88</v>
      </c>
      <c r="AB3606" s="12" t="s">
        <v>56</v>
      </c>
      <c r="AC3606" s="12" t="s">
        <v>18439</v>
      </c>
      <c r="AD3606" s="13">
        <v>44117</v>
      </c>
      <c r="AE3606" s="12" t="s">
        <v>417</v>
      </c>
      <c r="AF3606" s="12" t="s">
        <v>6542</v>
      </c>
      <c r="AG3606" s="12" t="s">
        <v>18440</v>
      </c>
      <c r="AH3606" s="1">
        <f>HYPERLINK("https://my.pitchbook.com?c=157882-96T","View Company Online")</f>
      </c>
    </row>
    <row r="3607">
      <c r="A3607" s="3" t="s">
        <v>18441</v>
      </c>
      <c r="B3607" s="3" t="s">
        <v>10891</v>
      </c>
      <c r="C3607" s="5" t="s">
        <v>36</v>
      </c>
      <c r="D3607" s="5" t="s">
        <v>36</v>
      </c>
      <c r="E3607" s="5" t="s">
        <v>36</v>
      </c>
      <c r="F3607" s="5" t="s">
        <v>36</v>
      </c>
      <c r="G3607" s="6" t="s">
        <v>326</v>
      </c>
      <c r="H3607" s="4">
        <v>76.04</v>
      </c>
      <c r="I3607" s="7">
        <v>27.03</v>
      </c>
      <c r="J3607" s="3" t="s">
        <v>521</v>
      </c>
      <c r="K3607" s="9" t="s">
        <v>36</v>
      </c>
      <c r="L3607" s="6" t="s">
        <v>36</v>
      </c>
      <c r="M3607" s="3" t="s">
        <v>36</v>
      </c>
      <c r="N3607" s="3" t="s">
        <v>36</v>
      </c>
      <c r="O3607" s="8" t="s">
        <v>36</v>
      </c>
      <c r="P3607" s="3" t="s">
        <v>36</v>
      </c>
      <c r="Q3607" s="3" t="s">
        <v>36</v>
      </c>
      <c r="R3607" s="3" t="s">
        <v>36</v>
      </c>
      <c r="S3607" s="3" t="s">
        <v>36</v>
      </c>
      <c r="T3607" s="3" t="s">
        <v>10892</v>
      </c>
      <c r="U3607" s="3" t="s">
        <v>38</v>
      </c>
      <c r="V3607" s="3" t="s">
        <v>39</v>
      </c>
      <c r="W3607" s="3" t="s">
        <v>10893</v>
      </c>
      <c r="X3607" s="10" t="s">
        <v>18442</v>
      </c>
      <c r="Y3607" s="6" t="s">
        <v>108</v>
      </c>
      <c r="Z3607" s="4">
        <v>2.35</v>
      </c>
      <c r="AA3607" s="4">
        <v>4.35</v>
      </c>
      <c r="AB3607" s="3" t="s">
        <v>43</v>
      </c>
      <c r="AC3607" s="3" t="s">
        <v>10895</v>
      </c>
      <c r="AD3607" s="9">
        <v>44117</v>
      </c>
      <c r="AE3607" s="3" t="s">
        <v>110</v>
      </c>
      <c r="AF3607" s="3" t="s">
        <v>7309</v>
      </c>
      <c r="AG3607" s="3" t="s">
        <v>81</v>
      </c>
      <c r="AH3607" s="11">
        <f>HYPERLINK("https://my.pitchbook.com?c=157494-61T","View Company Online")</f>
      </c>
    </row>
    <row r="3608">
      <c r="A3608" s="12" t="s">
        <v>18443</v>
      </c>
      <c r="B3608" s="12" t="s">
        <v>13929</v>
      </c>
      <c r="C3608" s="19" t="s">
        <v>36</v>
      </c>
      <c r="D3608" s="19" t="s">
        <v>36</v>
      </c>
      <c r="E3608" s="19" t="s">
        <v>36</v>
      </c>
      <c r="F3608" s="19" t="s">
        <v>36</v>
      </c>
      <c r="G3608" s="15" t="s">
        <v>326</v>
      </c>
      <c r="H3608" s="14">
        <v>7.86</v>
      </c>
      <c r="I3608" s="18">
        <v>8.54</v>
      </c>
      <c r="J3608" s="12" t="s">
        <v>521</v>
      </c>
      <c r="K3608" s="13" t="s">
        <v>36</v>
      </c>
      <c r="L3608" s="15" t="s">
        <v>94</v>
      </c>
      <c r="M3608" s="12" t="s">
        <v>36</v>
      </c>
      <c r="N3608" s="12" t="s">
        <v>94</v>
      </c>
      <c r="O3608" s="17" t="s">
        <v>36</v>
      </c>
      <c r="P3608" s="12" t="s">
        <v>36</v>
      </c>
      <c r="Q3608" s="12" t="s">
        <v>36</v>
      </c>
      <c r="R3608" s="12" t="s">
        <v>36</v>
      </c>
      <c r="S3608" s="12" t="s">
        <v>36</v>
      </c>
      <c r="T3608" s="12" t="s">
        <v>8202</v>
      </c>
      <c r="U3608" s="12" t="s">
        <v>38</v>
      </c>
      <c r="V3608" s="12" t="s">
        <v>39</v>
      </c>
      <c r="W3608" s="12" t="s">
        <v>13930</v>
      </c>
      <c r="X3608" s="16" t="s">
        <v>18444</v>
      </c>
      <c r="Y3608" s="15" t="s">
        <v>192</v>
      </c>
      <c r="Z3608" s="14">
        <v>16.87</v>
      </c>
      <c r="AA3608" s="14">
        <v>197.43</v>
      </c>
      <c r="AB3608" s="12" t="s">
        <v>56</v>
      </c>
      <c r="AC3608" s="12" t="s">
        <v>13932</v>
      </c>
      <c r="AD3608" s="13">
        <v>44117</v>
      </c>
      <c r="AE3608" s="12" t="s">
        <v>45</v>
      </c>
      <c r="AF3608" s="12" t="s">
        <v>615</v>
      </c>
      <c r="AG3608" s="12" t="s">
        <v>81</v>
      </c>
      <c r="AH3608" s="1">
        <f>HYPERLINK("https://my.pitchbook.com?c=157488-58T","View Company Online")</f>
      </c>
    </row>
    <row r="3609">
      <c r="A3609" s="3" t="s">
        <v>18445</v>
      </c>
      <c r="B3609" s="3" t="s">
        <v>18446</v>
      </c>
      <c r="C3609" s="5" t="s">
        <v>36</v>
      </c>
      <c r="D3609" s="5" t="s">
        <v>36</v>
      </c>
      <c r="E3609" s="5">
        <v>1</v>
      </c>
      <c r="F3609" s="5">
        <v>1</v>
      </c>
      <c r="G3609" s="6" t="s">
        <v>326</v>
      </c>
      <c r="H3609" s="4" t="s">
        <v>36</v>
      </c>
      <c r="I3609" s="7">
        <v>25.64</v>
      </c>
      <c r="J3609" s="3" t="s">
        <v>521</v>
      </c>
      <c r="K3609" s="9" t="s">
        <v>36</v>
      </c>
      <c r="L3609" s="6" t="s">
        <v>36</v>
      </c>
      <c r="M3609" s="3" t="s">
        <v>36</v>
      </c>
      <c r="N3609" s="3" t="s">
        <v>36</v>
      </c>
      <c r="O3609" s="8" t="s">
        <v>36</v>
      </c>
      <c r="P3609" s="3" t="s">
        <v>36</v>
      </c>
      <c r="Q3609" s="3" t="s">
        <v>36</v>
      </c>
      <c r="R3609" s="3" t="s">
        <v>36</v>
      </c>
      <c r="S3609" s="3" t="s">
        <v>36</v>
      </c>
      <c r="T3609" s="3" t="s">
        <v>18447</v>
      </c>
      <c r="U3609" s="3" t="s">
        <v>180</v>
      </c>
      <c r="V3609" s="3" t="s">
        <v>52</v>
      </c>
      <c r="W3609" s="3" t="s">
        <v>18448</v>
      </c>
      <c r="X3609" s="10" t="s">
        <v>14101</v>
      </c>
      <c r="Y3609" s="6" t="s">
        <v>55</v>
      </c>
      <c r="Z3609" s="4">
        <v>1.18</v>
      </c>
      <c r="AA3609" s="4">
        <v>4.59</v>
      </c>
      <c r="AB3609" s="3" t="s">
        <v>56</v>
      </c>
      <c r="AC3609" s="3" t="s">
        <v>18449</v>
      </c>
      <c r="AD3609" s="9">
        <v>44116</v>
      </c>
      <c r="AE3609" s="3" t="s">
        <v>184</v>
      </c>
      <c r="AF3609" s="3" t="s">
        <v>18450</v>
      </c>
      <c r="AG3609" s="3" t="s">
        <v>1843</v>
      </c>
      <c r="AH3609" s="11">
        <f>HYPERLINK("https://my.pitchbook.com?c=157492-45T","View Company Online")</f>
      </c>
    </row>
    <row r="3610">
      <c r="A3610" s="12" t="s">
        <v>18451</v>
      </c>
      <c r="B3610" s="12" t="s">
        <v>18452</v>
      </c>
      <c r="C3610" s="19" t="s">
        <v>36</v>
      </c>
      <c r="D3610" s="19" t="s">
        <v>36</v>
      </c>
      <c r="E3610" s="19" t="s">
        <v>36</v>
      </c>
      <c r="F3610" s="19" t="s">
        <v>36</v>
      </c>
      <c r="G3610" s="15" t="s">
        <v>36</v>
      </c>
      <c r="H3610" s="14" t="s">
        <v>36</v>
      </c>
      <c r="I3610" s="18" t="s">
        <v>36</v>
      </c>
      <c r="J3610" s="12" t="s">
        <v>36</v>
      </c>
      <c r="K3610" s="13" t="s">
        <v>36</v>
      </c>
      <c r="L3610" s="15" t="s">
        <v>36</v>
      </c>
      <c r="M3610" s="12" t="s">
        <v>36</v>
      </c>
      <c r="N3610" s="12" t="s">
        <v>36</v>
      </c>
      <c r="O3610" s="17" t="s">
        <v>36</v>
      </c>
      <c r="P3610" s="12" t="s">
        <v>36</v>
      </c>
      <c r="Q3610" s="12" t="s">
        <v>36</v>
      </c>
      <c r="R3610" s="12" t="s">
        <v>36</v>
      </c>
      <c r="S3610" s="12" t="s">
        <v>36</v>
      </c>
      <c r="T3610" s="12" t="s">
        <v>18453</v>
      </c>
      <c r="U3610" s="12" t="s">
        <v>1357</v>
      </c>
      <c r="V3610" s="12" t="s">
        <v>52</v>
      </c>
      <c r="W3610" s="12" t="s">
        <v>18454</v>
      </c>
      <c r="X3610" s="16" t="s">
        <v>2414</v>
      </c>
      <c r="Y3610" s="15" t="s">
        <v>42</v>
      </c>
      <c r="Z3610" s="14">
        <v>1.18</v>
      </c>
      <c r="AA3610" s="14" t="s">
        <v>36</v>
      </c>
      <c r="AB3610" s="12" t="s">
        <v>43</v>
      </c>
      <c r="AC3610" s="12" t="s">
        <v>18455</v>
      </c>
      <c r="AD3610" s="13">
        <v>44116</v>
      </c>
      <c r="AE3610" s="12" t="s">
        <v>2377</v>
      </c>
      <c r="AF3610" s="12" t="s">
        <v>3514</v>
      </c>
      <c r="AG3610" s="12" t="s">
        <v>18456</v>
      </c>
      <c r="AH3610" s="1">
        <f>HYPERLINK("https://my.pitchbook.com?c=157973-32T","View Company Online")</f>
      </c>
    </row>
    <row r="3611">
      <c r="A3611" s="3" t="s">
        <v>18457</v>
      </c>
      <c r="B3611" s="3" t="s">
        <v>11597</v>
      </c>
      <c r="C3611" s="5" t="s">
        <v>36</v>
      </c>
      <c r="D3611" s="5" t="s">
        <v>36</v>
      </c>
      <c r="E3611" s="5" t="s">
        <v>36</v>
      </c>
      <c r="F3611" s="5" t="s">
        <v>36</v>
      </c>
      <c r="G3611" s="6" t="s">
        <v>683</v>
      </c>
      <c r="H3611" s="4">
        <v>2077.13</v>
      </c>
      <c r="I3611" s="7">
        <v>31.03</v>
      </c>
      <c r="J3611" s="3" t="s">
        <v>521</v>
      </c>
      <c r="K3611" s="9" t="s">
        <v>36</v>
      </c>
      <c r="L3611" s="6" t="s">
        <v>36</v>
      </c>
      <c r="M3611" s="3" t="s">
        <v>36</v>
      </c>
      <c r="N3611" s="3" t="s">
        <v>36</v>
      </c>
      <c r="O3611" s="8" t="s">
        <v>36</v>
      </c>
      <c r="P3611" s="3" t="s">
        <v>36</v>
      </c>
      <c r="Q3611" s="3" t="s">
        <v>36</v>
      </c>
      <c r="R3611" s="3" t="s">
        <v>36</v>
      </c>
      <c r="S3611" s="3" t="s">
        <v>36</v>
      </c>
      <c r="T3611" s="3" t="s">
        <v>9982</v>
      </c>
      <c r="U3611" s="3" t="s">
        <v>648</v>
      </c>
      <c r="V3611" s="3" t="s">
        <v>64</v>
      </c>
      <c r="W3611" s="3" t="s">
        <v>11598</v>
      </c>
      <c r="X3611" s="10" t="s">
        <v>1872</v>
      </c>
      <c r="Y3611" s="6" t="s">
        <v>108</v>
      </c>
      <c r="Z3611" s="4">
        <v>0.11</v>
      </c>
      <c r="AA3611" s="4">
        <v>0.34</v>
      </c>
      <c r="AB3611" s="3" t="s">
        <v>43</v>
      </c>
      <c r="AC3611" s="3" t="s">
        <v>11599</v>
      </c>
      <c r="AD3611" s="9">
        <v>44116</v>
      </c>
      <c r="AE3611" s="3" t="s">
        <v>3988</v>
      </c>
      <c r="AF3611" s="3" t="s">
        <v>4284</v>
      </c>
      <c r="AG3611" s="3" t="s">
        <v>5178</v>
      </c>
      <c r="AH3611" s="11">
        <f>HYPERLINK("https://my.pitchbook.com?c=207529-12T","View Company Online")</f>
      </c>
    </row>
    <row r="3612">
      <c r="A3612" s="12" t="s">
        <v>18458</v>
      </c>
      <c r="B3612" s="12" t="s">
        <v>18459</v>
      </c>
      <c r="C3612" s="19" t="s">
        <v>36</v>
      </c>
      <c r="D3612" s="19" t="s">
        <v>36</v>
      </c>
      <c r="E3612" s="19" t="s">
        <v>36</v>
      </c>
      <c r="F3612" s="19" t="s">
        <v>36</v>
      </c>
      <c r="G3612" s="15" t="s">
        <v>36</v>
      </c>
      <c r="H3612" s="14" t="s">
        <v>36</v>
      </c>
      <c r="I3612" s="18" t="s">
        <v>36</v>
      </c>
      <c r="J3612" s="12" t="s">
        <v>36</v>
      </c>
      <c r="K3612" s="13" t="s">
        <v>36</v>
      </c>
      <c r="L3612" s="15" t="s">
        <v>36</v>
      </c>
      <c r="M3612" s="12" t="s">
        <v>36</v>
      </c>
      <c r="N3612" s="12" t="s">
        <v>36</v>
      </c>
      <c r="O3612" s="17" t="s">
        <v>36</v>
      </c>
      <c r="P3612" s="12" t="s">
        <v>36</v>
      </c>
      <c r="Q3612" s="12" t="s">
        <v>36</v>
      </c>
      <c r="R3612" s="12" t="s">
        <v>36</v>
      </c>
      <c r="S3612" s="12" t="s">
        <v>36</v>
      </c>
      <c r="T3612" s="12" t="s">
        <v>18460</v>
      </c>
      <c r="U3612" s="12" t="s">
        <v>648</v>
      </c>
      <c r="V3612" s="12" t="s">
        <v>64</v>
      </c>
      <c r="W3612" s="12" t="s">
        <v>18461</v>
      </c>
      <c r="X3612" s="16" t="s">
        <v>18462</v>
      </c>
      <c r="Y3612" s="15" t="s">
        <v>108</v>
      </c>
      <c r="Z3612" s="14">
        <v>5.88</v>
      </c>
      <c r="AA3612" s="14" t="s">
        <v>36</v>
      </c>
      <c r="AB3612" s="12" t="s">
        <v>56</v>
      </c>
      <c r="AC3612" s="12" t="s">
        <v>18463</v>
      </c>
      <c r="AD3612" s="13">
        <v>44113</v>
      </c>
      <c r="AE3612" s="12" t="s">
        <v>12653</v>
      </c>
      <c r="AF3612" s="12" t="s">
        <v>18464</v>
      </c>
      <c r="AG3612" s="12" t="s">
        <v>18465</v>
      </c>
      <c r="AH3612" s="1">
        <f>HYPERLINK("https://my.pitchbook.com?c=169291-99T","View Company Online")</f>
      </c>
    </row>
    <row r="3613">
      <c r="A3613" s="3" t="s">
        <v>18466</v>
      </c>
      <c r="B3613" s="3" t="s">
        <v>16322</v>
      </c>
      <c r="C3613" s="5" t="s">
        <v>36</v>
      </c>
      <c r="D3613" s="5" t="s">
        <v>36</v>
      </c>
      <c r="E3613" s="5" t="s">
        <v>36</v>
      </c>
      <c r="F3613" s="5" t="s">
        <v>36</v>
      </c>
      <c r="G3613" s="6" t="s">
        <v>36</v>
      </c>
      <c r="H3613" s="4" t="s">
        <v>36</v>
      </c>
      <c r="I3613" s="7" t="s">
        <v>36</v>
      </c>
      <c r="J3613" s="3" t="s">
        <v>36</v>
      </c>
      <c r="K3613" s="9" t="s">
        <v>36</v>
      </c>
      <c r="L3613" s="6" t="s">
        <v>36</v>
      </c>
      <c r="M3613" s="3" t="s">
        <v>36</v>
      </c>
      <c r="N3613" s="3" t="s">
        <v>36</v>
      </c>
      <c r="O3613" s="8" t="s">
        <v>36</v>
      </c>
      <c r="P3613" s="3" t="s">
        <v>36</v>
      </c>
      <c r="Q3613" s="3" t="s">
        <v>36</v>
      </c>
      <c r="R3613" s="3" t="s">
        <v>36</v>
      </c>
      <c r="S3613" s="3" t="s">
        <v>36</v>
      </c>
      <c r="T3613" s="3" t="s">
        <v>522</v>
      </c>
      <c r="U3613" s="3" t="s">
        <v>38</v>
      </c>
      <c r="V3613" s="3" t="s">
        <v>39</v>
      </c>
      <c r="W3613" s="3" t="s">
        <v>16323</v>
      </c>
      <c r="X3613" s="10" t="s">
        <v>18467</v>
      </c>
      <c r="Y3613" s="6" t="s">
        <v>42</v>
      </c>
      <c r="Z3613" s="4">
        <v>0.82</v>
      </c>
      <c r="AA3613" s="4" t="s">
        <v>36</v>
      </c>
      <c r="AB3613" s="3" t="s">
        <v>43</v>
      </c>
      <c r="AC3613" s="3" t="s">
        <v>16325</v>
      </c>
      <c r="AD3613" s="9">
        <v>44113</v>
      </c>
      <c r="AE3613" s="3" t="s">
        <v>110</v>
      </c>
      <c r="AF3613" s="3" t="s">
        <v>6214</v>
      </c>
      <c r="AG3613" s="3" t="s">
        <v>741</v>
      </c>
      <c r="AH3613" s="11">
        <f>HYPERLINK("https://my.pitchbook.com?c=173162-17T","View Company Online")</f>
      </c>
    </row>
    <row r="3614">
      <c r="A3614" s="12" t="s">
        <v>18468</v>
      </c>
      <c r="B3614" s="12" t="s">
        <v>18469</v>
      </c>
      <c r="C3614" s="19" t="s">
        <v>36</v>
      </c>
      <c r="D3614" s="19" t="s">
        <v>36</v>
      </c>
      <c r="E3614" s="19" t="s">
        <v>36</v>
      </c>
      <c r="F3614" s="19" t="s">
        <v>36</v>
      </c>
      <c r="G3614" s="15" t="s">
        <v>683</v>
      </c>
      <c r="H3614" s="14">
        <v>46.9</v>
      </c>
      <c r="I3614" s="18">
        <v>35.39</v>
      </c>
      <c r="J3614" s="12" t="s">
        <v>521</v>
      </c>
      <c r="K3614" s="13" t="s">
        <v>36</v>
      </c>
      <c r="L3614" s="15" t="s">
        <v>36</v>
      </c>
      <c r="M3614" s="12" t="s">
        <v>36</v>
      </c>
      <c r="N3614" s="12" t="s">
        <v>36</v>
      </c>
      <c r="O3614" s="17" t="s">
        <v>36</v>
      </c>
      <c r="P3614" s="12" t="s">
        <v>36</v>
      </c>
      <c r="Q3614" s="12" t="s">
        <v>36</v>
      </c>
      <c r="R3614" s="12" t="s">
        <v>36</v>
      </c>
      <c r="S3614" s="12" t="s">
        <v>36</v>
      </c>
      <c r="T3614" s="12" t="s">
        <v>18470</v>
      </c>
      <c r="U3614" s="12" t="s">
        <v>619</v>
      </c>
      <c r="V3614" s="12" t="s">
        <v>378</v>
      </c>
      <c r="W3614" s="12" t="s">
        <v>18471</v>
      </c>
      <c r="X3614" s="16" t="s">
        <v>17892</v>
      </c>
      <c r="Y3614" s="15" t="s">
        <v>42</v>
      </c>
      <c r="Z3614" s="14">
        <v>1.42</v>
      </c>
      <c r="AA3614" s="14">
        <v>4</v>
      </c>
      <c r="AB3614" s="12" t="s">
        <v>56</v>
      </c>
      <c r="AC3614" s="12" t="s">
        <v>18472</v>
      </c>
      <c r="AD3614" s="13">
        <v>44112</v>
      </c>
      <c r="AE3614" s="12" t="s">
        <v>3891</v>
      </c>
      <c r="AF3614" s="12" t="s">
        <v>36</v>
      </c>
      <c r="AG3614" s="12" t="s">
        <v>18473</v>
      </c>
      <c r="AH3614" s="1">
        <f>HYPERLINK("https://my.pitchbook.com?c=157361-95T","View Company Online")</f>
      </c>
    </row>
    <row r="3615">
      <c r="A3615" s="3" t="s">
        <v>18474</v>
      </c>
      <c r="B3615" s="3" t="s">
        <v>18475</v>
      </c>
      <c r="C3615" s="5" t="s">
        <v>36</v>
      </c>
      <c r="D3615" s="5" t="s">
        <v>36</v>
      </c>
      <c r="E3615" s="5" t="s">
        <v>36</v>
      </c>
      <c r="F3615" s="5" t="s">
        <v>36</v>
      </c>
      <c r="G3615" s="6" t="s">
        <v>36</v>
      </c>
      <c r="H3615" s="4">
        <v>1357.99</v>
      </c>
      <c r="I3615" s="7">
        <v>26.71</v>
      </c>
      <c r="J3615" s="3" t="s">
        <v>521</v>
      </c>
      <c r="K3615" s="9" t="s">
        <v>36</v>
      </c>
      <c r="L3615" s="6" t="s">
        <v>122</v>
      </c>
      <c r="M3615" s="3" t="s">
        <v>36</v>
      </c>
      <c r="N3615" s="3" t="s">
        <v>122</v>
      </c>
      <c r="O3615" s="8" t="s">
        <v>36</v>
      </c>
      <c r="P3615" s="3" t="s">
        <v>36</v>
      </c>
      <c r="Q3615" s="3" t="s">
        <v>36</v>
      </c>
      <c r="R3615" s="3" t="s">
        <v>36</v>
      </c>
      <c r="S3615" s="3" t="s">
        <v>36</v>
      </c>
      <c r="T3615" s="3" t="s">
        <v>18476</v>
      </c>
      <c r="U3615" s="3" t="s">
        <v>38</v>
      </c>
      <c r="V3615" s="3" t="s">
        <v>39</v>
      </c>
      <c r="W3615" s="3" t="s">
        <v>18477</v>
      </c>
      <c r="X3615" s="10" t="s">
        <v>18478</v>
      </c>
      <c r="Y3615" s="6" t="s">
        <v>55</v>
      </c>
      <c r="Z3615" s="4">
        <v>11.76</v>
      </c>
      <c r="AA3615" s="4">
        <v>33.57</v>
      </c>
      <c r="AB3615" s="3" t="s">
        <v>43</v>
      </c>
      <c r="AC3615" s="3" t="s">
        <v>18479</v>
      </c>
      <c r="AD3615" s="9">
        <v>44112</v>
      </c>
      <c r="AE3615" s="3" t="s">
        <v>45</v>
      </c>
      <c r="AF3615" s="3" t="s">
        <v>14465</v>
      </c>
      <c r="AG3615" s="3" t="s">
        <v>1485</v>
      </c>
      <c r="AH3615" s="11">
        <f>HYPERLINK("https://my.pitchbook.com?c=157273-66T","View Company Online")</f>
      </c>
    </row>
    <row r="3616">
      <c r="A3616" s="12" t="s">
        <v>18480</v>
      </c>
      <c r="B3616" s="12" t="s">
        <v>6131</v>
      </c>
      <c r="C3616" s="19">
        <v>180</v>
      </c>
      <c r="D3616" s="19">
        <v>606</v>
      </c>
      <c r="E3616" s="19">
        <v>197</v>
      </c>
      <c r="F3616" s="19">
        <v>860</v>
      </c>
      <c r="G3616" s="15" t="s">
        <v>326</v>
      </c>
      <c r="H3616" s="14">
        <v>118.8</v>
      </c>
      <c r="I3616" s="18">
        <v>19.31</v>
      </c>
      <c r="J3616" s="12" t="s">
        <v>521</v>
      </c>
      <c r="K3616" s="13" t="s">
        <v>36</v>
      </c>
      <c r="L3616" s="15" t="s">
        <v>3736</v>
      </c>
      <c r="M3616" s="12" t="s">
        <v>36</v>
      </c>
      <c r="N3616" s="12" t="s">
        <v>3736</v>
      </c>
      <c r="O3616" s="17" t="s">
        <v>36</v>
      </c>
      <c r="P3616" s="12" t="s">
        <v>36</v>
      </c>
      <c r="Q3616" s="12" t="s">
        <v>36</v>
      </c>
      <c r="R3616" s="12" t="s">
        <v>36</v>
      </c>
      <c r="S3616" s="12" t="s">
        <v>36</v>
      </c>
      <c r="T3616" s="12" t="s">
        <v>317</v>
      </c>
      <c r="U3616" s="12" t="s">
        <v>318</v>
      </c>
      <c r="V3616" s="12" t="s">
        <v>39</v>
      </c>
      <c r="W3616" s="12" t="s">
        <v>6132</v>
      </c>
      <c r="X3616" s="16" t="s">
        <v>18481</v>
      </c>
      <c r="Y3616" s="15" t="s">
        <v>192</v>
      </c>
      <c r="Z3616" s="14">
        <v>117.62</v>
      </c>
      <c r="AA3616" s="14">
        <v>365.81</v>
      </c>
      <c r="AB3616" s="12" t="s">
        <v>56</v>
      </c>
      <c r="AC3616" s="12" t="s">
        <v>6134</v>
      </c>
      <c r="AD3616" s="13">
        <v>44111</v>
      </c>
      <c r="AE3616" s="12" t="s">
        <v>323</v>
      </c>
      <c r="AF3616" s="12" t="s">
        <v>6135</v>
      </c>
      <c r="AG3616" s="12" t="s">
        <v>6136</v>
      </c>
      <c r="AH3616" s="1">
        <f>HYPERLINK("https://my.pitchbook.com?c=157209-85T","View Company Online")</f>
      </c>
    </row>
    <row r="3617">
      <c r="A3617" s="3" t="s">
        <v>18482</v>
      </c>
      <c r="B3617" s="3" t="s">
        <v>18483</v>
      </c>
      <c r="C3617" s="5" t="s">
        <v>36</v>
      </c>
      <c r="D3617" s="5" t="s">
        <v>36</v>
      </c>
      <c r="E3617" s="5" t="s">
        <v>36</v>
      </c>
      <c r="F3617" s="5" t="s">
        <v>36</v>
      </c>
      <c r="G3617" s="6" t="s">
        <v>36</v>
      </c>
      <c r="H3617" s="4" t="s">
        <v>36</v>
      </c>
      <c r="I3617" s="7" t="s">
        <v>36</v>
      </c>
      <c r="J3617" s="3" t="s">
        <v>36</v>
      </c>
      <c r="K3617" s="9" t="s">
        <v>36</v>
      </c>
      <c r="L3617" s="6" t="s">
        <v>122</v>
      </c>
      <c r="M3617" s="3" t="s">
        <v>36</v>
      </c>
      <c r="N3617" s="3" t="s">
        <v>122</v>
      </c>
      <c r="O3617" s="8" t="s">
        <v>36</v>
      </c>
      <c r="P3617" s="3" t="s">
        <v>36</v>
      </c>
      <c r="Q3617" s="3" t="s">
        <v>36</v>
      </c>
      <c r="R3617" s="3" t="s">
        <v>36</v>
      </c>
      <c r="S3617" s="3" t="s">
        <v>36</v>
      </c>
      <c r="T3617" s="3" t="s">
        <v>522</v>
      </c>
      <c r="U3617" s="3" t="s">
        <v>38</v>
      </c>
      <c r="V3617" s="3" t="s">
        <v>39</v>
      </c>
      <c r="W3617" s="3" t="s">
        <v>18484</v>
      </c>
      <c r="X3617" s="10" t="s">
        <v>18485</v>
      </c>
      <c r="Y3617" s="6" t="s">
        <v>42</v>
      </c>
      <c r="Z3617" s="4">
        <v>3.53</v>
      </c>
      <c r="AA3617" s="4" t="s">
        <v>36</v>
      </c>
      <c r="AB3617" s="3" t="s">
        <v>56</v>
      </c>
      <c r="AC3617" s="3" t="s">
        <v>18486</v>
      </c>
      <c r="AD3617" s="9">
        <v>44111</v>
      </c>
      <c r="AE3617" s="3" t="s">
        <v>110</v>
      </c>
      <c r="AF3617" s="3" t="s">
        <v>176</v>
      </c>
      <c r="AG3617" s="3" t="s">
        <v>186</v>
      </c>
      <c r="AH3617" s="11">
        <f>HYPERLINK("https://my.pitchbook.com?c=157625-65T","View Company Online")</f>
      </c>
    </row>
    <row r="3618">
      <c r="A3618" s="12" t="s">
        <v>18487</v>
      </c>
      <c r="B3618" s="12" t="s">
        <v>2998</v>
      </c>
      <c r="C3618" s="19">
        <v>24</v>
      </c>
      <c r="D3618" s="19">
        <v>18</v>
      </c>
      <c r="E3618" s="19">
        <v>10</v>
      </c>
      <c r="F3618" s="19">
        <v>42</v>
      </c>
      <c r="G3618" s="15" t="s">
        <v>36</v>
      </c>
      <c r="H3618" s="14">
        <v>22.33</v>
      </c>
      <c r="I3618" s="18">
        <v>30.9</v>
      </c>
      <c r="J3618" s="12" t="s">
        <v>521</v>
      </c>
      <c r="K3618" s="13" t="s">
        <v>36</v>
      </c>
      <c r="L3618" s="15" t="s">
        <v>36</v>
      </c>
      <c r="M3618" s="12" t="s">
        <v>36</v>
      </c>
      <c r="N3618" s="12" t="s">
        <v>36</v>
      </c>
      <c r="O3618" s="17" t="s">
        <v>36</v>
      </c>
      <c r="P3618" s="12" t="s">
        <v>36</v>
      </c>
      <c r="Q3618" s="12" t="s">
        <v>36</v>
      </c>
      <c r="R3618" s="12" t="s">
        <v>36</v>
      </c>
      <c r="S3618" s="12" t="s">
        <v>36</v>
      </c>
      <c r="T3618" s="12" t="s">
        <v>2999</v>
      </c>
      <c r="U3618" s="12" t="s">
        <v>3000</v>
      </c>
      <c r="V3618" s="12" t="s">
        <v>378</v>
      </c>
      <c r="W3618" s="12" t="s">
        <v>3001</v>
      </c>
      <c r="X3618" s="16" t="s">
        <v>18488</v>
      </c>
      <c r="Y3618" s="15" t="s">
        <v>42</v>
      </c>
      <c r="Z3618" s="14">
        <v>3.53</v>
      </c>
      <c r="AA3618" s="14">
        <v>4.76</v>
      </c>
      <c r="AB3618" s="12" t="s">
        <v>43</v>
      </c>
      <c r="AC3618" s="12" t="s">
        <v>3003</v>
      </c>
      <c r="AD3618" s="13">
        <v>44110</v>
      </c>
      <c r="AE3618" s="12" t="s">
        <v>3004</v>
      </c>
      <c r="AF3618" s="12" t="s">
        <v>3005</v>
      </c>
      <c r="AG3618" s="12" t="s">
        <v>3006</v>
      </c>
      <c r="AH3618" s="1">
        <f>HYPERLINK("https://my.pitchbook.com?c=157246-84T","View Company Online")</f>
      </c>
    </row>
    <row r="3619">
      <c r="A3619" s="3" t="s">
        <v>18489</v>
      </c>
      <c r="B3619" s="3" t="s">
        <v>18490</v>
      </c>
      <c r="C3619" s="5" t="s">
        <v>36</v>
      </c>
      <c r="D3619" s="5" t="s">
        <v>36</v>
      </c>
      <c r="E3619" s="5" t="s">
        <v>36</v>
      </c>
      <c r="F3619" s="5" t="s">
        <v>36</v>
      </c>
      <c r="G3619" s="6" t="s">
        <v>36</v>
      </c>
      <c r="H3619" s="4">
        <v>12795.14</v>
      </c>
      <c r="I3619" s="7">
        <v>13.97</v>
      </c>
      <c r="J3619" s="3" t="s">
        <v>521</v>
      </c>
      <c r="K3619" s="9" t="s">
        <v>36</v>
      </c>
      <c r="L3619" s="6" t="s">
        <v>36</v>
      </c>
      <c r="M3619" s="3" t="s">
        <v>36</v>
      </c>
      <c r="N3619" s="3" t="s">
        <v>36</v>
      </c>
      <c r="O3619" s="8" t="s">
        <v>36</v>
      </c>
      <c r="P3619" s="3" t="s">
        <v>36</v>
      </c>
      <c r="Q3619" s="3" t="s">
        <v>36</v>
      </c>
      <c r="R3619" s="3" t="s">
        <v>36</v>
      </c>
      <c r="S3619" s="3" t="s">
        <v>36</v>
      </c>
      <c r="T3619" s="3" t="s">
        <v>1596</v>
      </c>
      <c r="U3619" s="3" t="s">
        <v>728</v>
      </c>
      <c r="V3619" s="3" t="s">
        <v>64</v>
      </c>
      <c r="W3619" s="3" t="s">
        <v>18491</v>
      </c>
      <c r="X3619" s="10" t="s">
        <v>18492</v>
      </c>
      <c r="Y3619" s="6" t="s">
        <v>42</v>
      </c>
      <c r="Z3619" s="4">
        <v>11.77</v>
      </c>
      <c r="AA3619" s="4">
        <v>84.24</v>
      </c>
      <c r="AB3619" s="3" t="s">
        <v>43</v>
      </c>
      <c r="AC3619" s="3" t="s">
        <v>18493</v>
      </c>
      <c r="AD3619" s="9">
        <v>44110</v>
      </c>
      <c r="AE3619" s="3" t="s">
        <v>1600</v>
      </c>
      <c r="AF3619" s="3" t="s">
        <v>90</v>
      </c>
      <c r="AG3619" s="3" t="s">
        <v>81</v>
      </c>
      <c r="AH3619" s="11">
        <f>HYPERLINK("https://my.pitchbook.com?c=165082-33T","View Company Online")</f>
      </c>
    </row>
    <row r="3620">
      <c r="A3620" s="12" t="s">
        <v>18494</v>
      </c>
      <c r="B3620" s="12" t="s">
        <v>7835</v>
      </c>
      <c r="C3620" s="19" t="s">
        <v>36</v>
      </c>
      <c r="D3620" s="19" t="s">
        <v>36</v>
      </c>
      <c r="E3620" s="19" t="s">
        <v>36</v>
      </c>
      <c r="F3620" s="19" t="s">
        <v>36</v>
      </c>
      <c r="G3620" s="15" t="s">
        <v>36</v>
      </c>
      <c r="H3620" s="14" t="s">
        <v>36</v>
      </c>
      <c r="I3620" s="18" t="s">
        <v>36</v>
      </c>
      <c r="J3620" s="12" t="s">
        <v>36</v>
      </c>
      <c r="K3620" s="13" t="s">
        <v>36</v>
      </c>
      <c r="L3620" s="15" t="s">
        <v>36</v>
      </c>
      <c r="M3620" s="12" t="s">
        <v>36</v>
      </c>
      <c r="N3620" s="12" t="s">
        <v>36</v>
      </c>
      <c r="O3620" s="17" t="s">
        <v>36</v>
      </c>
      <c r="P3620" s="12" t="s">
        <v>36</v>
      </c>
      <c r="Q3620" s="12" t="s">
        <v>36</v>
      </c>
      <c r="R3620" s="12" t="s">
        <v>36</v>
      </c>
      <c r="S3620" s="12" t="s">
        <v>36</v>
      </c>
      <c r="T3620" s="12" t="s">
        <v>4917</v>
      </c>
      <c r="U3620" s="12" t="s">
        <v>38</v>
      </c>
      <c r="V3620" s="12" t="s">
        <v>39</v>
      </c>
      <c r="W3620" s="12" t="s">
        <v>7836</v>
      </c>
      <c r="X3620" s="16" t="s">
        <v>18495</v>
      </c>
      <c r="Y3620" s="15" t="s">
        <v>108</v>
      </c>
      <c r="Z3620" s="14">
        <v>11.76</v>
      </c>
      <c r="AA3620" s="14" t="s">
        <v>36</v>
      </c>
      <c r="AB3620" s="12" t="s">
        <v>56</v>
      </c>
      <c r="AC3620" s="12" t="s">
        <v>7838</v>
      </c>
      <c r="AD3620" s="13">
        <v>44110</v>
      </c>
      <c r="AE3620" s="12" t="s">
        <v>134</v>
      </c>
      <c r="AF3620" s="12" t="s">
        <v>135</v>
      </c>
      <c r="AG3620" s="12" t="s">
        <v>1078</v>
      </c>
      <c r="AH3620" s="1">
        <f>HYPERLINK("https://my.pitchbook.com?c=157248-55T","View Company Online")</f>
      </c>
    </row>
    <row r="3621">
      <c r="A3621" s="3" t="s">
        <v>18496</v>
      </c>
      <c r="B3621" s="3" t="s">
        <v>7970</v>
      </c>
      <c r="C3621" s="5">
        <v>59</v>
      </c>
      <c r="D3621" s="5">
        <v>148</v>
      </c>
      <c r="E3621" s="5">
        <v>35</v>
      </c>
      <c r="F3621" s="5">
        <v>232</v>
      </c>
      <c r="G3621" s="6" t="s">
        <v>36</v>
      </c>
      <c r="H3621" s="4" t="s">
        <v>36</v>
      </c>
      <c r="I3621" s="7" t="s">
        <v>36</v>
      </c>
      <c r="J3621" s="3" t="s">
        <v>36</v>
      </c>
      <c r="K3621" s="9">
        <v>43475</v>
      </c>
      <c r="L3621" s="6" t="s">
        <v>1279</v>
      </c>
      <c r="M3621" s="3" t="s">
        <v>36</v>
      </c>
      <c r="N3621" s="3" t="s">
        <v>1279</v>
      </c>
      <c r="O3621" s="8" t="s">
        <v>36</v>
      </c>
      <c r="P3621" s="3" t="s">
        <v>36</v>
      </c>
      <c r="Q3621" s="3" t="s">
        <v>36</v>
      </c>
      <c r="R3621" s="3" t="s">
        <v>36</v>
      </c>
      <c r="S3621" s="3" t="s">
        <v>2699</v>
      </c>
      <c r="T3621" s="3" t="s">
        <v>7971</v>
      </c>
      <c r="U3621" s="3" t="s">
        <v>1082</v>
      </c>
      <c r="V3621" s="3" t="s">
        <v>378</v>
      </c>
      <c r="W3621" s="3" t="s">
        <v>7972</v>
      </c>
      <c r="X3621" s="10" t="s">
        <v>18497</v>
      </c>
      <c r="Y3621" s="6" t="s">
        <v>166</v>
      </c>
      <c r="Z3621" s="4">
        <v>372</v>
      </c>
      <c r="AA3621" s="4" t="s">
        <v>36</v>
      </c>
      <c r="AB3621" s="3" t="s">
        <v>56</v>
      </c>
      <c r="AC3621" s="3" t="s">
        <v>7974</v>
      </c>
      <c r="AD3621" s="9">
        <v>44110</v>
      </c>
      <c r="AE3621" s="3" t="s">
        <v>1086</v>
      </c>
      <c r="AF3621" s="3" t="s">
        <v>7975</v>
      </c>
      <c r="AG3621" s="3" t="s">
        <v>2370</v>
      </c>
      <c r="AH3621" s="11">
        <f>HYPERLINK("https://my.pitchbook.com?c=116612-56T","View Company Online")</f>
      </c>
    </row>
    <row r="3622">
      <c r="A3622" s="12" t="s">
        <v>18498</v>
      </c>
      <c r="B3622" s="12" t="s">
        <v>18499</v>
      </c>
      <c r="C3622" s="19" t="s">
        <v>36</v>
      </c>
      <c r="D3622" s="19" t="s">
        <v>36</v>
      </c>
      <c r="E3622" s="19" t="s">
        <v>36</v>
      </c>
      <c r="F3622" s="19" t="s">
        <v>36</v>
      </c>
      <c r="G3622" s="15" t="s">
        <v>326</v>
      </c>
      <c r="H3622" s="14">
        <v>480.97</v>
      </c>
      <c r="I3622" s="18">
        <v>32.33</v>
      </c>
      <c r="J3622" s="12" t="s">
        <v>521</v>
      </c>
      <c r="K3622" s="13" t="s">
        <v>36</v>
      </c>
      <c r="L3622" s="15" t="s">
        <v>36</v>
      </c>
      <c r="M3622" s="12" t="s">
        <v>36</v>
      </c>
      <c r="N3622" s="12" t="s">
        <v>36</v>
      </c>
      <c r="O3622" s="17" t="s">
        <v>36</v>
      </c>
      <c r="P3622" s="12" t="s">
        <v>36</v>
      </c>
      <c r="Q3622" s="12" t="s">
        <v>36</v>
      </c>
      <c r="R3622" s="12" t="s">
        <v>36</v>
      </c>
      <c r="S3622" s="12" t="s">
        <v>36</v>
      </c>
      <c r="T3622" s="12" t="s">
        <v>4933</v>
      </c>
      <c r="U3622" s="12" t="s">
        <v>74</v>
      </c>
      <c r="V3622" s="12" t="s">
        <v>75</v>
      </c>
      <c r="W3622" s="12" t="s">
        <v>18500</v>
      </c>
      <c r="X3622" s="16" t="s">
        <v>18501</v>
      </c>
      <c r="Y3622" s="15" t="s">
        <v>108</v>
      </c>
      <c r="Z3622" s="14">
        <v>6.94</v>
      </c>
      <c r="AA3622" s="14">
        <v>21.47</v>
      </c>
      <c r="AB3622" s="12" t="s">
        <v>56</v>
      </c>
      <c r="AC3622" s="12" t="s">
        <v>18502</v>
      </c>
      <c r="AD3622" s="13">
        <v>44109</v>
      </c>
      <c r="AE3622" s="12" t="s">
        <v>79</v>
      </c>
      <c r="AF3622" s="12" t="s">
        <v>18503</v>
      </c>
      <c r="AG3622" s="12" t="s">
        <v>81</v>
      </c>
      <c r="AH3622" s="1">
        <f>HYPERLINK("https://my.pitchbook.com?c=160024-87T","View Company Online")</f>
      </c>
    </row>
    <row r="3623">
      <c r="A3623" s="3" t="s">
        <v>18504</v>
      </c>
      <c r="B3623" s="3" t="s">
        <v>18505</v>
      </c>
      <c r="C3623" s="5" t="s">
        <v>36</v>
      </c>
      <c r="D3623" s="5">
        <v>7</v>
      </c>
      <c r="E3623" s="5">
        <v>2</v>
      </c>
      <c r="F3623" s="5">
        <v>9</v>
      </c>
      <c r="G3623" s="6" t="s">
        <v>36</v>
      </c>
      <c r="H3623" s="4">
        <v>326.28</v>
      </c>
      <c r="I3623" s="7">
        <v>34.48</v>
      </c>
      <c r="J3623" s="3" t="s">
        <v>521</v>
      </c>
      <c r="K3623" s="9" t="s">
        <v>36</v>
      </c>
      <c r="L3623" s="6" t="s">
        <v>36</v>
      </c>
      <c r="M3623" s="3" t="s">
        <v>36</v>
      </c>
      <c r="N3623" s="3" t="s">
        <v>36</v>
      </c>
      <c r="O3623" s="8" t="s">
        <v>36</v>
      </c>
      <c r="P3623" s="3" t="s">
        <v>36</v>
      </c>
      <c r="Q3623" s="3" t="s">
        <v>36</v>
      </c>
      <c r="R3623" s="3" t="s">
        <v>36</v>
      </c>
      <c r="S3623" s="3" t="s">
        <v>36</v>
      </c>
      <c r="T3623" s="3" t="s">
        <v>123</v>
      </c>
      <c r="U3623" s="3" t="s">
        <v>38</v>
      </c>
      <c r="V3623" s="3" t="s">
        <v>39</v>
      </c>
      <c r="W3623" s="3" t="s">
        <v>18506</v>
      </c>
      <c r="X3623" s="10" t="s">
        <v>18507</v>
      </c>
      <c r="Y3623" s="6" t="s">
        <v>42</v>
      </c>
      <c r="Z3623" s="4">
        <v>11.77</v>
      </c>
      <c r="AA3623" s="4">
        <v>34.12</v>
      </c>
      <c r="AB3623" s="3" t="s">
        <v>56</v>
      </c>
      <c r="AC3623" s="3" t="s">
        <v>18508</v>
      </c>
      <c r="AD3623" s="9">
        <v>44109</v>
      </c>
      <c r="AE3623" s="3" t="s">
        <v>110</v>
      </c>
      <c r="AF3623" s="3" t="s">
        <v>176</v>
      </c>
      <c r="AG3623" s="3" t="s">
        <v>81</v>
      </c>
      <c r="AH3623" s="11">
        <f>HYPERLINK("https://my.pitchbook.com?c=157069-72T","View Company Online")</f>
      </c>
    </row>
    <row r="3624">
      <c r="A3624" s="12" t="s">
        <v>18509</v>
      </c>
      <c r="B3624" s="12" t="s">
        <v>1758</v>
      </c>
      <c r="C3624" s="19" t="s">
        <v>36</v>
      </c>
      <c r="D3624" s="19" t="s">
        <v>36</v>
      </c>
      <c r="E3624" s="19" t="s">
        <v>36</v>
      </c>
      <c r="F3624" s="19" t="s">
        <v>36</v>
      </c>
      <c r="G3624" s="15" t="s">
        <v>36</v>
      </c>
      <c r="H3624" s="14" t="s">
        <v>36</v>
      </c>
      <c r="I3624" s="18" t="s">
        <v>36</v>
      </c>
      <c r="J3624" s="12" t="s">
        <v>36</v>
      </c>
      <c r="K3624" s="13" t="s">
        <v>36</v>
      </c>
      <c r="L3624" s="15" t="s">
        <v>36</v>
      </c>
      <c r="M3624" s="12" t="s">
        <v>36</v>
      </c>
      <c r="N3624" s="12" t="s">
        <v>36</v>
      </c>
      <c r="O3624" s="17" t="s">
        <v>36</v>
      </c>
      <c r="P3624" s="12" t="s">
        <v>36</v>
      </c>
      <c r="Q3624" s="12" t="s">
        <v>36</v>
      </c>
      <c r="R3624" s="12" t="s">
        <v>36</v>
      </c>
      <c r="S3624" s="12" t="s">
        <v>36</v>
      </c>
      <c r="T3624" s="12" t="s">
        <v>1759</v>
      </c>
      <c r="U3624" s="12" t="s">
        <v>219</v>
      </c>
      <c r="V3624" s="12" t="s">
        <v>75</v>
      </c>
      <c r="W3624" s="12" t="s">
        <v>1760</v>
      </c>
      <c r="X3624" s="16" t="s">
        <v>18510</v>
      </c>
      <c r="Y3624" s="15" t="s">
        <v>42</v>
      </c>
      <c r="Z3624" s="14">
        <v>0.71</v>
      </c>
      <c r="AA3624" s="14" t="s">
        <v>36</v>
      </c>
      <c r="AB3624" s="12" t="s">
        <v>43</v>
      </c>
      <c r="AC3624" s="12" t="s">
        <v>1762</v>
      </c>
      <c r="AD3624" s="13">
        <v>44109</v>
      </c>
      <c r="AE3624" s="12" t="s">
        <v>223</v>
      </c>
      <c r="AF3624" s="12" t="s">
        <v>372</v>
      </c>
      <c r="AG3624" s="12" t="s">
        <v>1332</v>
      </c>
      <c r="AH3624" s="1">
        <f>HYPERLINK("https://my.pitchbook.com?c=183977-47T","View Company Online")</f>
      </c>
    </row>
    <row r="3625">
      <c r="A3625" s="3" t="s">
        <v>18511</v>
      </c>
      <c r="B3625" s="3" t="s">
        <v>18512</v>
      </c>
      <c r="C3625" s="5">
        <v>10</v>
      </c>
      <c r="D3625" s="5">
        <v>12</v>
      </c>
      <c r="E3625" s="5">
        <v>5</v>
      </c>
      <c r="F3625" s="5">
        <v>27</v>
      </c>
      <c r="G3625" s="6" t="s">
        <v>2497</v>
      </c>
      <c r="H3625" s="4">
        <v>9.35</v>
      </c>
      <c r="I3625" s="7">
        <v>14.03</v>
      </c>
      <c r="J3625" s="3" t="s">
        <v>521</v>
      </c>
      <c r="K3625" s="9" t="s">
        <v>36</v>
      </c>
      <c r="L3625" s="6" t="s">
        <v>36</v>
      </c>
      <c r="M3625" s="3" t="s">
        <v>36</v>
      </c>
      <c r="N3625" s="3" t="s">
        <v>36</v>
      </c>
      <c r="O3625" s="8" t="s">
        <v>36</v>
      </c>
      <c r="P3625" s="3" t="s">
        <v>36</v>
      </c>
      <c r="Q3625" s="3" t="s">
        <v>36</v>
      </c>
      <c r="R3625" s="3" t="s">
        <v>36</v>
      </c>
      <c r="S3625" s="3" t="s">
        <v>36</v>
      </c>
      <c r="T3625" s="3" t="s">
        <v>575</v>
      </c>
      <c r="U3625" s="3" t="s">
        <v>51</v>
      </c>
      <c r="V3625" s="3" t="s">
        <v>52</v>
      </c>
      <c r="W3625" s="3" t="s">
        <v>18513</v>
      </c>
      <c r="X3625" s="10" t="s">
        <v>18514</v>
      </c>
      <c r="Y3625" s="6" t="s">
        <v>55</v>
      </c>
      <c r="Z3625" s="4">
        <v>0.39</v>
      </c>
      <c r="AA3625" s="4">
        <v>2.69</v>
      </c>
      <c r="AB3625" s="3" t="s">
        <v>56</v>
      </c>
      <c r="AC3625" s="3" t="s">
        <v>18515</v>
      </c>
      <c r="AD3625" s="9">
        <v>44106</v>
      </c>
      <c r="AE3625" s="3" t="s">
        <v>158</v>
      </c>
      <c r="AF3625" s="3" t="s">
        <v>18516</v>
      </c>
      <c r="AG3625" s="3" t="s">
        <v>81</v>
      </c>
      <c r="AH3625" s="11">
        <f>HYPERLINK("https://my.pitchbook.com?c=181922-68T","View Company Online")</f>
      </c>
    </row>
    <row r="3626">
      <c r="A3626" s="12" t="s">
        <v>18517</v>
      </c>
      <c r="B3626" s="12" t="s">
        <v>12151</v>
      </c>
      <c r="C3626" s="19" t="s">
        <v>36</v>
      </c>
      <c r="D3626" s="19">
        <v>4</v>
      </c>
      <c r="E3626" s="19">
        <v>2</v>
      </c>
      <c r="F3626" s="19">
        <v>4</v>
      </c>
      <c r="G3626" s="15" t="s">
        <v>36</v>
      </c>
      <c r="H3626" s="14">
        <v>4.5</v>
      </c>
      <c r="I3626" s="18" t="s">
        <v>36</v>
      </c>
      <c r="J3626" s="12" t="s">
        <v>36</v>
      </c>
      <c r="K3626" s="13" t="s">
        <v>36</v>
      </c>
      <c r="L3626" s="15" t="s">
        <v>36</v>
      </c>
      <c r="M3626" s="12" t="s">
        <v>36</v>
      </c>
      <c r="N3626" s="12" t="s">
        <v>36</v>
      </c>
      <c r="O3626" s="17" t="s">
        <v>36</v>
      </c>
      <c r="P3626" s="12" t="s">
        <v>36</v>
      </c>
      <c r="Q3626" s="12" t="s">
        <v>36</v>
      </c>
      <c r="R3626" s="12" t="s">
        <v>36</v>
      </c>
      <c r="S3626" s="12" t="s">
        <v>36</v>
      </c>
      <c r="T3626" s="12" t="s">
        <v>4692</v>
      </c>
      <c r="U3626" s="12" t="s">
        <v>85</v>
      </c>
      <c r="V3626" s="12" t="s">
        <v>64</v>
      </c>
      <c r="W3626" s="12" t="s">
        <v>12152</v>
      </c>
      <c r="X3626" s="16" t="s">
        <v>18518</v>
      </c>
      <c r="Y3626" s="15" t="s">
        <v>1067</v>
      </c>
      <c r="Z3626" s="14" t="s">
        <v>36</v>
      </c>
      <c r="AA3626" s="14" t="s">
        <v>36</v>
      </c>
      <c r="AB3626" s="12" t="s">
        <v>56</v>
      </c>
      <c r="AC3626" s="12" t="s">
        <v>12155</v>
      </c>
      <c r="AD3626" s="13">
        <v>44105</v>
      </c>
      <c r="AE3626" s="12" t="s">
        <v>89</v>
      </c>
      <c r="AF3626" s="12" t="s">
        <v>12156</v>
      </c>
      <c r="AG3626" s="12" t="s">
        <v>81</v>
      </c>
      <c r="AH3626" s="1">
        <f>HYPERLINK("https://my.pitchbook.com?c=179960-14T","View Company Online")</f>
      </c>
    </row>
    <row r="3627">
      <c r="A3627" s="3" t="s">
        <v>18519</v>
      </c>
      <c r="B3627" s="3" t="s">
        <v>18520</v>
      </c>
      <c r="C3627" s="5">
        <v>1</v>
      </c>
      <c r="D3627" s="5">
        <v>5</v>
      </c>
      <c r="E3627" s="5">
        <v>2</v>
      </c>
      <c r="F3627" s="5">
        <v>6</v>
      </c>
      <c r="G3627" s="6" t="s">
        <v>36</v>
      </c>
      <c r="H3627" s="4" t="s">
        <v>36</v>
      </c>
      <c r="I3627" s="7" t="s">
        <v>36</v>
      </c>
      <c r="J3627" s="3" t="s">
        <v>36</v>
      </c>
      <c r="K3627" s="9" t="s">
        <v>36</v>
      </c>
      <c r="L3627" s="6" t="s">
        <v>36</v>
      </c>
      <c r="M3627" s="3" t="s">
        <v>36</v>
      </c>
      <c r="N3627" s="3" t="s">
        <v>36</v>
      </c>
      <c r="O3627" s="8" t="s">
        <v>36</v>
      </c>
      <c r="P3627" s="3" t="s">
        <v>36</v>
      </c>
      <c r="Q3627" s="3" t="s">
        <v>36</v>
      </c>
      <c r="R3627" s="3" t="s">
        <v>36</v>
      </c>
      <c r="S3627" s="3" t="s">
        <v>36</v>
      </c>
      <c r="T3627" s="3" t="s">
        <v>18521</v>
      </c>
      <c r="U3627" s="3" t="s">
        <v>180</v>
      </c>
      <c r="V3627" s="3" t="s">
        <v>52</v>
      </c>
      <c r="W3627" s="3" t="s">
        <v>18522</v>
      </c>
      <c r="X3627" s="10" t="s">
        <v>1399</v>
      </c>
      <c r="Y3627" s="6" t="s">
        <v>42</v>
      </c>
      <c r="Z3627" s="4" t="s">
        <v>36</v>
      </c>
      <c r="AA3627" s="4" t="s">
        <v>36</v>
      </c>
      <c r="AB3627" s="3" t="s">
        <v>43</v>
      </c>
      <c r="AC3627" s="3" t="s">
        <v>18523</v>
      </c>
      <c r="AD3627" s="9">
        <v>44105</v>
      </c>
      <c r="AE3627" s="3" t="s">
        <v>184</v>
      </c>
      <c r="AF3627" s="3" t="s">
        <v>571</v>
      </c>
      <c r="AG3627" s="3" t="s">
        <v>741</v>
      </c>
      <c r="AH3627" s="11">
        <f>HYPERLINK("https://my.pitchbook.com?c=218418-22T","View Company Online")</f>
      </c>
    </row>
    <row r="3628">
      <c r="A3628" s="12" t="s">
        <v>18524</v>
      </c>
      <c r="B3628" s="12" t="s">
        <v>18525</v>
      </c>
      <c r="C3628" s="19" t="s">
        <v>36</v>
      </c>
      <c r="D3628" s="19" t="s">
        <v>36</v>
      </c>
      <c r="E3628" s="19" t="s">
        <v>36</v>
      </c>
      <c r="F3628" s="19" t="s">
        <v>36</v>
      </c>
      <c r="G3628" s="15" t="s">
        <v>36</v>
      </c>
      <c r="H3628" s="14" t="s">
        <v>36</v>
      </c>
      <c r="I3628" s="18" t="s">
        <v>36</v>
      </c>
      <c r="J3628" s="12" t="s">
        <v>36</v>
      </c>
      <c r="K3628" s="13" t="s">
        <v>36</v>
      </c>
      <c r="L3628" s="15" t="s">
        <v>36</v>
      </c>
      <c r="M3628" s="12" t="s">
        <v>36</v>
      </c>
      <c r="N3628" s="12" t="s">
        <v>36</v>
      </c>
      <c r="O3628" s="17" t="s">
        <v>36</v>
      </c>
      <c r="P3628" s="12" t="s">
        <v>36</v>
      </c>
      <c r="Q3628" s="12" t="s">
        <v>36</v>
      </c>
      <c r="R3628" s="12" t="s">
        <v>36</v>
      </c>
      <c r="S3628" s="12" t="s">
        <v>36</v>
      </c>
      <c r="T3628" s="12" t="s">
        <v>5490</v>
      </c>
      <c r="U3628" s="12" t="s">
        <v>648</v>
      </c>
      <c r="V3628" s="12" t="s">
        <v>64</v>
      </c>
      <c r="W3628" s="12" t="s">
        <v>18526</v>
      </c>
      <c r="X3628" s="16" t="s">
        <v>4794</v>
      </c>
      <c r="Y3628" s="15" t="s">
        <v>108</v>
      </c>
      <c r="Z3628" s="14" t="s">
        <v>36</v>
      </c>
      <c r="AA3628" s="14" t="s">
        <v>36</v>
      </c>
      <c r="AB3628" s="12" t="s">
        <v>56</v>
      </c>
      <c r="AC3628" s="12" t="s">
        <v>18527</v>
      </c>
      <c r="AD3628" s="13">
        <v>44105</v>
      </c>
      <c r="AE3628" s="12" t="s">
        <v>3988</v>
      </c>
      <c r="AF3628" s="12" t="s">
        <v>18528</v>
      </c>
      <c r="AG3628" s="12" t="s">
        <v>47</v>
      </c>
      <c r="AH3628" s="1">
        <f>HYPERLINK("https://my.pitchbook.com?c=158015-80T","View Company Online")</f>
      </c>
    </row>
    <row r="3629">
      <c r="A3629" s="3" t="s">
        <v>18529</v>
      </c>
      <c r="B3629" s="3" t="s">
        <v>18530</v>
      </c>
      <c r="C3629" s="5">
        <v>1</v>
      </c>
      <c r="D3629" s="5">
        <v>22</v>
      </c>
      <c r="E3629" s="5">
        <v>15</v>
      </c>
      <c r="F3629" s="5">
        <v>23</v>
      </c>
      <c r="G3629" s="6" t="s">
        <v>36</v>
      </c>
      <c r="H3629" s="4" t="s">
        <v>36</v>
      </c>
      <c r="I3629" s="7" t="s">
        <v>36</v>
      </c>
      <c r="J3629" s="3" t="s">
        <v>36</v>
      </c>
      <c r="K3629" s="9" t="s">
        <v>36</v>
      </c>
      <c r="L3629" s="6" t="s">
        <v>36</v>
      </c>
      <c r="M3629" s="3" t="s">
        <v>36</v>
      </c>
      <c r="N3629" s="3" t="s">
        <v>36</v>
      </c>
      <c r="O3629" s="8" t="s">
        <v>36</v>
      </c>
      <c r="P3629" s="3" t="s">
        <v>36</v>
      </c>
      <c r="Q3629" s="3" t="s">
        <v>36</v>
      </c>
      <c r="R3629" s="3" t="s">
        <v>36</v>
      </c>
      <c r="S3629" s="3" t="s">
        <v>36</v>
      </c>
      <c r="T3629" s="3" t="s">
        <v>18531</v>
      </c>
      <c r="U3629" s="3" t="s">
        <v>96</v>
      </c>
      <c r="V3629" s="3" t="s">
        <v>52</v>
      </c>
      <c r="W3629" s="3" t="s">
        <v>18532</v>
      </c>
      <c r="X3629" s="10" t="s">
        <v>10302</v>
      </c>
      <c r="Y3629" s="6" t="s">
        <v>42</v>
      </c>
      <c r="Z3629" s="4" t="s">
        <v>36</v>
      </c>
      <c r="AA3629" s="4" t="s">
        <v>36</v>
      </c>
      <c r="AB3629" s="3" t="s">
        <v>56</v>
      </c>
      <c r="AC3629" s="3" t="s">
        <v>18533</v>
      </c>
      <c r="AD3629" s="9">
        <v>44105</v>
      </c>
      <c r="AE3629" s="3" t="s">
        <v>143</v>
      </c>
      <c r="AF3629" s="3" t="s">
        <v>18534</v>
      </c>
      <c r="AG3629" s="3" t="s">
        <v>81</v>
      </c>
      <c r="AH3629" s="11">
        <f>HYPERLINK("https://my.pitchbook.com?c=183328-21T","View Company Online")</f>
      </c>
    </row>
    <row r="3630">
      <c r="A3630" s="12" t="s">
        <v>18535</v>
      </c>
      <c r="B3630" s="12" t="s">
        <v>17500</v>
      </c>
      <c r="C3630" s="19" t="s">
        <v>36</v>
      </c>
      <c r="D3630" s="19" t="s">
        <v>36</v>
      </c>
      <c r="E3630" s="19" t="s">
        <v>36</v>
      </c>
      <c r="F3630" s="19" t="s">
        <v>36</v>
      </c>
      <c r="G3630" s="15" t="s">
        <v>326</v>
      </c>
      <c r="H3630" s="14">
        <v>1241.39</v>
      </c>
      <c r="I3630" s="18">
        <v>15.54</v>
      </c>
      <c r="J3630" s="12" t="s">
        <v>521</v>
      </c>
      <c r="K3630" s="13" t="s">
        <v>36</v>
      </c>
      <c r="L3630" s="15" t="s">
        <v>36</v>
      </c>
      <c r="M3630" s="12" t="s">
        <v>36</v>
      </c>
      <c r="N3630" s="12" t="s">
        <v>36</v>
      </c>
      <c r="O3630" s="17" t="s">
        <v>36</v>
      </c>
      <c r="P3630" s="12" t="s">
        <v>36</v>
      </c>
      <c r="Q3630" s="12" t="s">
        <v>36</v>
      </c>
      <c r="R3630" s="12" t="s">
        <v>36</v>
      </c>
      <c r="S3630" s="12" t="s">
        <v>36</v>
      </c>
      <c r="T3630" s="12" t="s">
        <v>17501</v>
      </c>
      <c r="U3630" s="12" t="s">
        <v>85</v>
      </c>
      <c r="V3630" s="12" t="s">
        <v>64</v>
      </c>
      <c r="W3630" s="12" t="s">
        <v>17502</v>
      </c>
      <c r="X3630" s="16" t="s">
        <v>17503</v>
      </c>
      <c r="Y3630" s="15" t="s">
        <v>55</v>
      </c>
      <c r="Z3630" s="14">
        <v>1.43</v>
      </c>
      <c r="AA3630" s="14">
        <v>9.17</v>
      </c>
      <c r="AB3630" s="12" t="s">
        <v>56</v>
      </c>
      <c r="AC3630" s="12" t="s">
        <v>17504</v>
      </c>
      <c r="AD3630" s="13">
        <v>44105</v>
      </c>
      <c r="AE3630" s="12" t="s">
        <v>89</v>
      </c>
      <c r="AF3630" s="12" t="s">
        <v>17505</v>
      </c>
      <c r="AG3630" s="12" t="s">
        <v>270</v>
      </c>
      <c r="AH3630" s="1">
        <f>HYPERLINK("https://my.pitchbook.com?c=164755-27T","View Company Online")</f>
      </c>
    </row>
    <row r="3631">
      <c r="A3631" s="3" t="s">
        <v>18536</v>
      </c>
      <c r="B3631" s="3" t="s">
        <v>11490</v>
      </c>
      <c r="C3631" s="5">
        <v>1</v>
      </c>
      <c r="D3631" s="5">
        <v>17</v>
      </c>
      <c r="E3631" s="5">
        <v>7</v>
      </c>
      <c r="F3631" s="5">
        <v>27</v>
      </c>
      <c r="G3631" s="6" t="s">
        <v>2497</v>
      </c>
      <c r="H3631" s="4">
        <v>8308.53</v>
      </c>
      <c r="I3631" s="7">
        <v>15.88</v>
      </c>
      <c r="J3631" s="3" t="s">
        <v>521</v>
      </c>
      <c r="K3631" s="9" t="s">
        <v>36</v>
      </c>
      <c r="L3631" s="6" t="s">
        <v>36</v>
      </c>
      <c r="M3631" s="3" t="s">
        <v>36</v>
      </c>
      <c r="N3631" s="3" t="s">
        <v>36</v>
      </c>
      <c r="O3631" s="8" t="s">
        <v>36</v>
      </c>
      <c r="P3631" s="3" t="s">
        <v>36</v>
      </c>
      <c r="Q3631" s="3" t="s">
        <v>36</v>
      </c>
      <c r="R3631" s="3" t="s">
        <v>36</v>
      </c>
      <c r="S3631" s="3" t="s">
        <v>36</v>
      </c>
      <c r="T3631" s="3" t="s">
        <v>139</v>
      </c>
      <c r="U3631" s="3" t="s">
        <v>96</v>
      </c>
      <c r="V3631" s="3" t="s">
        <v>52</v>
      </c>
      <c r="W3631" s="3" t="s">
        <v>11491</v>
      </c>
      <c r="X3631" s="10" t="s">
        <v>18537</v>
      </c>
      <c r="Y3631" s="6" t="s">
        <v>108</v>
      </c>
      <c r="Z3631" s="4">
        <v>0.95</v>
      </c>
      <c r="AA3631" s="4">
        <v>6</v>
      </c>
      <c r="AB3631" s="3" t="s">
        <v>43</v>
      </c>
      <c r="AC3631" s="3" t="s">
        <v>11492</v>
      </c>
      <c r="AD3631" s="9">
        <v>44105</v>
      </c>
      <c r="AE3631" s="3" t="s">
        <v>143</v>
      </c>
      <c r="AF3631" s="3" t="s">
        <v>101</v>
      </c>
      <c r="AG3631" s="3" t="s">
        <v>11493</v>
      </c>
      <c r="AH3631" s="11">
        <f>HYPERLINK("https://my.pitchbook.com?c=158302-27T","View Company Online")</f>
      </c>
    </row>
    <row r="3632">
      <c r="A3632" s="12" t="s">
        <v>18538</v>
      </c>
      <c r="B3632" s="12" t="s">
        <v>14281</v>
      </c>
      <c r="C3632" s="19">
        <v>1</v>
      </c>
      <c r="D3632" s="19" t="s">
        <v>36</v>
      </c>
      <c r="E3632" s="19">
        <v>2</v>
      </c>
      <c r="F3632" s="19">
        <v>2</v>
      </c>
      <c r="G3632" s="15" t="s">
        <v>36</v>
      </c>
      <c r="H3632" s="14" t="s">
        <v>36</v>
      </c>
      <c r="I3632" s="18" t="s">
        <v>36</v>
      </c>
      <c r="J3632" s="12" t="s">
        <v>36</v>
      </c>
      <c r="K3632" s="13" t="s">
        <v>36</v>
      </c>
      <c r="L3632" s="15" t="s">
        <v>36</v>
      </c>
      <c r="M3632" s="12" t="s">
        <v>36</v>
      </c>
      <c r="N3632" s="12" t="s">
        <v>36</v>
      </c>
      <c r="O3632" s="17" t="s">
        <v>36</v>
      </c>
      <c r="P3632" s="12" t="s">
        <v>36</v>
      </c>
      <c r="Q3632" s="12" t="s">
        <v>36</v>
      </c>
      <c r="R3632" s="12" t="s">
        <v>36</v>
      </c>
      <c r="S3632" s="12" t="s">
        <v>36</v>
      </c>
      <c r="T3632" s="12" t="s">
        <v>1253</v>
      </c>
      <c r="U3632" s="12" t="s">
        <v>38</v>
      </c>
      <c r="V3632" s="12" t="s">
        <v>39</v>
      </c>
      <c r="W3632" s="12" t="s">
        <v>14282</v>
      </c>
      <c r="X3632" s="16" t="s">
        <v>18539</v>
      </c>
      <c r="Y3632" s="15" t="s">
        <v>42</v>
      </c>
      <c r="Z3632" s="14" t="s">
        <v>36</v>
      </c>
      <c r="AA3632" s="14" t="s">
        <v>36</v>
      </c>
      <c r="AB3632" s="12" t="s">
        <v>56</v>
      </c>
      <c r="AC3632" s="12" t="s">
        <v>14284</v>
      </c>
      <c r="AD3632" s="13">
        <v>44105</v>
      </c>
      <c r="AE3632" s="12" t="s">
        <v>45</v>
      </c>
      <c r="AF3632" s="12" t="s">
        <v>4569</v>
      </c>
      <c r="AG3632" s="12" t="s">
        <v>899</v>
      </c>
      <c r="AH3632" s="1">
        <f>HYPERLINK("https://my.pitchbook.com?c=157468-87T","View Company Online")</f>
      </c>
    </row>
    <row r="3633">
      <c r="A3633" s="3" t="s">
        <v>18540</v>
      </c>
      <c r="B3633" s="3" t="s">
        <v>18541</v>
      </c>
      <c r="C3633" s="5" t="s">
        <v>36</v>
      </c>
      <c r="D3633" s="5" t="s">
        <v>36</v>
      </c>
      <c r="E3633" s="5" t="s">
        <v>36</v>
      </c>
      <c r="F3633" s="5" t="s">
        <v>36</v>
      </c>
      <c r="G3633" s="6" t="s">
        <v>36</v>
      </c>
      <c r="H3633" s="4" t="s">
        <v>36</v>
      </c>
      <c r="I3633" s="7" t="s">
        <v>36</v>
      </c>
      <c r="J3633" s="3" t="s">
        <v>36</v>
      </c>
      <c r="K3633" s="9" t="s">
        <v>36</v>
      </c>
      <c r="L3633" s="6" t="s">
        <v>94</v>
      </c>
      <c r="M3633" s="3" t="s">
        <v>36</v>
      </c>
      <c r="N3633" s="3" t="s">
        <v>94</v>
      </c>
      <c r="O3633" s="8" t="s">
        <v>36</v>
      </c>
      <c r="P3633" s="3" t="s">
        <v>36</v>
      </c>
      <c r="Q3633" s="3" t="s">
        <v>36</v>
      </c>
      <c r="R3633" s="3" t="s">
        <v>36</v>
      </c>
      <c r="S3633" s="3" t="s">
        <v>36</v>
      </c>
      <c r="T3633" s="3" t="s">
        <v>522</v>
      </c>
      <c r="U3633" s="3" t="s">
        <v>38</v>
      </c>
      <c r="V3633" s="3" t="s">
        <v>39</v>
      </c>
      <c r="W3633" s="3" t="s">
        <v>18542</v>
      </c>
      <c r="X3633" s="10" t="s">
        <v>18543</v>
      </c>
      <c r="Y3633" s="6" t="s">
        <v>166</v>
      </c>
      <c r="Z3633" s="4">
        <v>160</v>
      </c>
      <c r="AA3633" s="4" t="s">
        <v>36</v>
      </c>
      <c r="AB3633" s="3" t="s">
        <v>56</v>
      </c>
      <c r="AC3633" s="3" t="s">
        <v>18544</v>
      </c>
      <c r="AD3633" s="9">
        <v>44104</v>
      </c>
      <c r="AE3633" s="3" t="s">
        <v>110</v>
      </c>
      <c r="AF3633" s="3" t="s">
        <v>6214</v>
      </c>
      <c r="AG3633" s="3" t="s">
        <v>81</v>
      </c>
      <c r="AH3633" s="11">
        <f>HYPERLINK("https://my.pitchbook.com?c=157015-27T","View Company Online")</f>
      </c>
    </row>
    <row r="3634">
      <c r="A3634" s="12" t="s">
        <v>18545</v>
      </c>
      <c r="B3634" s="12" t="s">
        <v>18546</v>
      </c>
      <c r="C3634" s="19" t="s">
        <v>36</v>
      </c>
      <c r="D3634" s="19" t="s">
        <v>36</v>
      </c>
      <c r="E3634" s="19" t="s">
        <v>36</v>
      </c>
      <c r="F3634" s="19" t="s">
        <v>36</v>
      </c>
      <c r="G3634" s="15" t="s">
        <v>326</v>
      </c>
      <c r="H3634" s="14">
        <v>42.35</v>
      </c>
      <c r="I3634" s="18">
        <v>14.71</v>
      </c>
      <c r="J3634" s="12" t="s">
        <v>521</v>
      </c>
      <c r="K3634" s="13" t="s">
        <v>36</v>
      </c>
      <c r="L3634" s="15" t="s">
        <v>122</v>
      </c>
      <c r="M3634" s="12" t="s">
        <v>36</v>
      </c>
      <c r="N3634" s="12" t="s">
        <v>122</v>
      </c>
      <c r="O3634" s="17" t="s">
        <v>36</v>
      </c>
      <c r="P3634" s="12" t="s">
        <v>36</v>
      </c>
      <c r="Q3634" s="12" t="s">
        <v>36</v>
      </c>
      <c r="R3634" s="12" t="s">
        <v>36</v>
      </c>
      <c r="S3634" s="12" t="s">
        <v>36</v>
      </c>
      <c r="T3634" s="12" t="s">
        <v>18203</v>
      </c>
      <c r="U3634" s="12" t="s">
        <v>38</v>
      </c>
      <c r="V3634" s="12" t="s">
        <v>39</v>
      </c>
      <c r="W3634" s="12" t="s">
        <v>18547</v>
      </c>
      <c r="X3634" s="16" t="s">
        <v>18548</v>
      </c>
      <c r="Y3634" s="15" t="s">
        <v>192</v>
      </c>
      <c r="Z3634" s="14">
        <v>7.07</v>
      </c>
      <c r="AA3634" s="14">
        <v>42.68</v>
      </c>
      <c r="AB3634" s="12" t="s">
        <v>56</v>
      </c>
      <c r="AC3634" s="12" t="s">
        <v>18549</v>
      </c>
      <c r="AD3634" s="13">
        <v>44104</v>
      </c>
      <c r="AE3634" s="12" t="s">
        <v>110</v>
      </c>
      <c r="AF3634" s="12" t="s">
        <v>815</v>
      </c>
      <c r="AG3634" s="12" t="s">
        <v>81</v>
      </c>
      <c r="AH3634" s="1">
        <f>HYPERLINK("https://my.pitchbook.com?c=210166-66T","View Company Online")</f>
      </c>
    </row>
    <row r="3635">
      <c r="A3635" s="3" t="s">
        <v>18550</v>
      </c>
      <c r="B3635" s="3" t="s">
        <v>12044</v>
      </c>
      <c r="C3635" s="5" t="s">
        <v>36</v>
      </c>
      <c r="D3635" s="5" t="s">
        <v>36</v>
      </c>
      <c r="E3635" s="5" t="s">
        <v>36</v>
      </c>
      <c r="F3635" s="5" t="s">
        <v>36</v>
      </c>
      <c r="G3635" s="6" t="s">
        <v>36</v>
      </c>
      <c r="H3635" s="4" t="s">
        <v>36</v>
      </c>
      <c r="I3635" s="7" t="s">
        <v>36</v>
      </c>
      <c r="J3635" s="3" t="s">
        <v>36</v>
      </c>
      <c r="K3635" s="9" t="s">
        <v>36</v>
      </c>
      <c r="L3635" s="6" t="s">
        <v>36</v>
      </c>
      <c r="M3635" s="3" t="s">
        <v>36</v>
      </c>
      <c r="N3635" s="3" t="s">
        <v>36</v>
      </c>
      <c r="O3635" s="8" t="s">
        <v>36</v>
      </c>
      <c r="P3635" s="3" t="s">
        <v>36</v>
      </c>
      <c r="Q3635" s="3" t="s">
        <v>36</v>
      </c>
      <c r="R3635" s="3" t="s">
        <v>36</v>
      </c>
      <c r="S3635" s="3" t="s">
        <v>36</v>
      </c>
      <c r="T3635" s="3" t="s">
        <v>12045</v>
      </c>
      <c r="U3635" s="3" t="s">
        <v>9881</v>
      </c>
      <c r="V3635" s="3" t="s">
        <v>75</v>
      </c>
      <c r="W3635" s="3" t="s">
        <v>12046</v>
      </c>
      <c r="X3635" s="10" t="s">
        <v>9424</v>
      </c>
      <c r="Y3635" s="6" t="s">
        <v>108</v>
      </c>
      <c r="Z3635" s="4" t="s">
        <v>36</v>
      </c>
      <c r="AA3635" s="4" t="s">
        <v>36</v>
      </c>
      <c r="AB3635" s="3" t="s">
        <v>43</v>
      </c>
      <c r="AC3635" s="3" t="s">
        <v>12048</v>
      </c>
      <c r="AD3635" s="9">
        <v>44104</v>
      </c>
      <c r="AE3635" s="3" t="s">
        <v>12049</v>
      </c>
      <c r="AF3635" s="3" t="s">
        <v>546</v>
      </c>
      <c r="AG3635" s="3" t="s">
        <v>81</v>
      </c>
      <c r="AH3635" s="11">
        <f>HYPERLINK("https://my.pitchbook.com?c=158667-31T","View Company Online")</f>
      </c>
    </row>
    <row r="3636">
      <c r="A3636" s="12" t="s">
        <v>18551</v>
      </c>
      <c r="B3636" s="12" t="s">
        <v>9166</v>
      </c>
      <c r="C3636" s="19" t="s">
        <v>36</v>
      </c>
      <c r="D3636" s="19" t="s">
        <v>36</v>
      </c>
      <c r="E3636" s="19" t="s">
        <v>36</v>
      </c>
      <c r="F3636" s="19" t="s">
        <v>36</v>
      </c>
      <c r="G3636" s="15" t="s">
        <v>36</v>
      </c>
      <c r="H3636" s="14" t="s">
        <v>36</v>
      </c>
      <c r="I3636" s="18" t="s">
        <v>36</v>
      </c>
      <c r="J3636" s="12" t="s">
        <v>36</v>
      </c>
      <c r="K3636" s="13" t="s">
        <v>36</v>
      </c>
      <c r="L3636" s="15" t="s">
        <v>36</v>
      </c>
      <c r="M3636" s="12" t="s">
        <v>36</v>
      </c>
      <c r="N3636" s="12" t="s">
        <v>36</v>
      </c>
      <c r="O3636" s="17" t="s">
        <v>36</v>
      </c>
      <c r="P3636" s="12" t="s">
        <v>36</v>
      </c>
      <c r="Q3636" s="12" t="s">
        <v>36</v>
      </c>
      <c r="R3636" s="12" t="s">
        <v>36</v>
      </c>
      <c r="S3636" s="12" t="s">
        <v>36</v>
      </c>
      <c r="T3636" s="12" t="s">
        <v>1560</v>
      </c>
      <c r="U3636" s="12" t="s">
        <v>438</v>
      </c>
      <c r="V3636" s="12" t="s">
        <v>405</v>
      </c>
      <c r="W3636" s="12" t="s">
        <v>9167</v>
      </c>
      <c r="X3636" s="16" t="s">
        <v>18552</v>
      </c>
      <c r="Y3636" s="15" t="s">
        <v>166</v>
      </c>
      <c r="Z3636" s="14">
        <v>304.22</v>
      </c>
      <c r="AA3636" s="14" t="s">
        <v>36</v>
      </c>
      <c r="AB3636" s="12" t="s">
        <v>56</v>
      </c>
      <c r="AC3636" s="12" t="s">
        <v>9169</v>
      </c>
      <c r="AD3636" s="13">
        <v>44104</v>
      </c>
      <c r="AE3636" s="12" t="s">
        <v>438</v>
      </c>
      <c r="AF3636" s="12" t="s">
        <v>215</v>
      </c>
      <c r="AG3636" s="12" t="s">
        <v>81</v>
      </c>
      <c r="AH3636" s="1">
        <f>HYPERLINK("https://my.pitchbook.com?c=158021-02T","View Company Online")</f>
      </c>
    </row>
    <row r="3637">
      <c r="A3637" s="3" t="s">
        <v>18553</v>
      </c>
      <c r="B3637" s="3" t="s">
        <v>18554</v>
      </c>
      <c r="C3637" s="5" t="s">
        <v>36</v>
      </c>
      <c r="D3637" s="5" t="s">
        <v>36</v>
      </c>
      <c r="E3637" s="5" t="s">
        <v>36</v>
      </c>
      <c r="F3637" s="5" t="s">
        <v>36</v>
      </c>
      <c r="G3637" s="6" t="s">
        <v>36</v>
      </c>
      <c r="H3637" s="4" t="s">
        <v>36</v>
      </c>
      <c r="I3637" s="7" t="s">
        <v>36</v>
      </c>
      <c r="J3637" s="3" t="s">
        <v>36</v>
      </c>
      <c r="K3637" s="9" t="s">
        <v>36</v>
      </c>
      <c r="L3637" s="6" t="s">
        <v>36</v>
      </c>
      <c r="M3637" s="3" t="s">
        <v>36</v>
      </c>
      <c r="N3637" s="3" t="s">
        <v>36</v>
      </c>
      <c r="O3637" s="8" t="s">
        <v>36</v>
      </c>
      <c r="P3637" s="3" t="s">
        <v>36</v>
      </c>
      <c r="Q3637" s="3" t="s">
        <v>36</v>
      </c>
      <c r="R3637" s="3" t="s">
        <v>36</v>
      </c>
      <c r="S3637" s="3" t="s">
        <v>36</v>
      </c>
      <c r="T3637" s="3" t="s">
        <v>2359</v>
      </c>
      <c r="U3637" s="3" t="s">
        <v>279</v>
      </c>
      <c r="V3637" s="3" t="s">
        <v>64</v>
      </c>
      <c r="W3637" s="3" t="s">
        <v>18555</v>
      </c>
      <c r="X3637" s="10" t="s">
        <v>18556</v>
      </c>
      <c r="Y3637" s="6" t="s">
        <v>55</v>
      </c>
      <c r="Z3637" s="4">
        <v>0.47</v>
      </c>
      <c r="AA3637" s="4" t="s">
        <v>36</v>
      </c>
      <c r="AB3637" s="3" t="s">
        <v>56</v>
      </c>
      <c r="AC3637" s="3" t="s">
        <v>18557</v>
      </c>
      <c r="AD3637" s="9">
        <v>44103</v>
      </c>
      <c r="AE3637" s="3" t="s">
        <v>283</v>
      </c>
      <c r="AF3637" s="3" t="s">
        <v>331</v>
      </c>
      <c r="AG3637" s="3" t="s">
        <v>18558</v>
      </c>
      <c r="AH3637" s="11">
        <f>HYPERLINK("https://my.pitchbook.com?c=169669-54T","View Company Online")</f>
      </c>
    </row>
    <row r="3638">
      <c r="A3638" s="12" t="s">
        <v>18559</v>
      </c>
      <c r="B3638" s="12" t="s">
        <v>13939</v>
      </c>
      <c r="C3638" s="19">
        <v>36</v>
      </c>
      <c r="D3638" s="19">
        <v>36</v>
      </c>
      <c r="E3638" s="19">
        <v>31</v>
      </c>
      <c r="F3638" s="19">
        <v>78</v>
      </c>
      <c r="G3638" s="15" t="s">
        <v>326</v>
      </c>
      <c r="H3638" s="14">
        <v>25.96</v>
      </c>
      <c r="I3638" s="18">
        <v>13.61</v>
      </c>
      <c r="J3638" s="12" t="s">
        <v>521</v>
      </c>
      <c r="K3638" s="13" t="s">
        <v>36</v>
      </c>
      <c r="L3638" s="15" t="s">
        <v>1279</v>
      </c>
      <c r="M3638" s="12" t="s">
        <v>36</v>
      </c>
      <c r="N3638" s="12" t="s">
        <v>1279</v>
      </c>
      <c r="O3638" s="17" t="s">
        <v>36</v>
      </c>
      <c r="P3638" s="12" t="s">
        <v>36</v>
      </c>
      <c r="Q3638" s="12" t="s">
        <v>36</v>
      </c>
      <c r="R3638" s="12" t="s">
        <v>36</v>
      </c>
      <c r="S3638" s="12" t="s">
        <v>2489</v>
      </c>
      <c r="T3638" s="12" t="s">
        <v>13940</v>
      </c>
      <c r="U3638" s="12" t="s">
        <v>318</v>
      </c>
      <c r="V3638" s="12" t="s">
        <v>39</v>
      </c>
      <c r="W3638" s="12" t="s">
        <v>13941</v>
      </c>
      <c r="X3638" s="16" t="s">
        <v>18560</v>
      </c>
      <c r="Y3638" s="15" t="s">
        <v>55</v>
      </c>
      <c r="Z3638" s="14">
        <v>90.61</v>
      </c>
      <c r="AA3638" s="14">
        <v>433.28</v>
      </c>
      <c r="AB3638" s="12" t="s">
        <v>56</v>
      </c>
      <c r="AC3638" s="12" t="s">
        <v>13943</v>
      </c>
      <c r="AD3638" s="13">
        <v>44103</v>
      </c>
      <c r="AE3638" s="12" t="s">
        <v>417</v>
      </c>
      <c r="AF3638" s="12" t="s">
        <v>13944</v>
      </c>
      <c r="AG3638" s="12" t="s">
        <v>13945</v>
      </c>
      <c r="AH3638" s="1">
        <f>HYPERLINK("https://my.pitchbook.com?c=156807-01T","View Company Online")</f>
      </c>
    </row>
    <row r="3639">
      <c r="A3639" s="3" t="s">
        <v>18561</v>
      </c>
      <c r="B3639" s="3" t="s">
        <v>18562</v>
      </c>
      <c r="C3639" s="5" t="s">
        <v>36</v>
      </c>
      <c r="D3639" s="5" t="s">
        <v>36</v>
      </c>
      <c r="E3639" s="5" t="s">
        <v>36</v>
      </c>
      <c r="F3639" s="5" t="s">
        <v>36</v>
      </c>
      <c r="G3639" s="6" t="s">
        <v>683</v>
      </c>
      <c r="H3639" s="4">
        <v>249.26</v>
      </c>
      <c r="I3639" s="7">
        <v>10.81</v>
      </c>
      <c r="J3639" s="3" t="s">
        <v>521</v>
      </c>
      <c r="K3639" s="9" t="s">
        <v>36</v>
      </c>
      <c r="L3639" s="6" t="s">
        <v>36</v>
      </c>
      <c r="M3639" s="3" t="s">
        <v>36</v>
      </c>
      <c r="N3639" s="3" t="s">
        <v>36</v>
      </c>
      <c r="O3639" s="8" t="s">
        <v>36</v>
      </c>
      <c r="P3639" s="3" t="s">
        <v>36</v>
      </c>
      <c r="Q3639" s="3" t="s">
        <v>36</v>
      </c>
      <c r="R3639" s="3" t="s">
        <v>36</v>
      </c>
      <c r="S3639" s="3" t="s">
        <v>36</v>
      </c>
      <c r="T3639" s="3" t="s">
        <v>6614</v>
      </c>
      <c r="U3639" s="3" t="s">
        <v>279</v>
      </c>
      <c r="V3639" s="3" t="s">
        <v>64</v>
      </c>
      <c r="W3639" s="3" t="s">
        <v>18563</v>
      </c>
      <c r="X3639" s="10" t="s">
        <v>18564</v>
      </c>
      <c r="Y3639" s="6" t="s">
        <v>55</v>
      </c>
      <c r="Z3639" s="4">
        <v>0.53</v>
      </c>
      <c r="AA3639" s="4">
        <v>4.91</v>
      </c>
      <c r="AB3639" s="3" t="s">
        <v>56</v>
      </c>
      <c r="AC3639" s="3" t="s">
        <v>18565</v>
      </c>
      <c r="AD3639" s="9">
        <v>44103</v>
      </c>
      <c r="AE3639" s="3" t="s">
        <v>740</v>
      </c>
      <c r="AF3639" s="3" t="s">
        <v>1380</v>
      </c>
      <c r="AG3639" s="3" t="s">
        <v>741</v>
      </c>
      <c r="AH3639" s="11">
        <f>HYPERLINK("https://my.pitchbook.com?c=186582-52T","View Company Online")</f>
      </c>
    </row>
    <row r="3640">
      <c r="A3640" s="12" t="s">
        <v>18566</v>
      </c>
      <c r="B3640" s="12" t="s">
        <v>18567</v>
      </c>
      <c r="C3640" s="19" t="s">
        <v>36</v>
      </c>
      <c r="D3640" s="19" t="s">
        <v>36</v>
      </c>
      <c r="E3640" s="19" t="s">
        <v>36</v>
      </c>
      <c r="F3640" s="19" t="s">
        <v>36</v>
      </c>
      <c r="G3640" s="15" t="s">
        <v>326</v>
      </c>
      <c r="H3640" s="14">
        <v>310.12</v>
      </c>
      <c r="I3640" s="18">
        <v>20.28</v>
      </c>
      <c r="J3640" s="12" t="s">
        <v>521</v>
      </c>
      <c r="K3640" s="13">
        <v>43101</v>
      </c>
      <c r="L3640" s="15" t="s">
        <v>36</v>
      </c>
      <c r="M3640" s="12" t="s">
        <v>36</v>
      </c>
      <c r="N3640" s="12" t="s">
        <v>36</v>
      </c>
      <c r="O3640" s="17" t="s">
        <v>36</v>
      </c>
      <c r="P3640" s="12" t="s">
        <v>36</v>
      </c>
      <c r="Q3640" s="12" t="s">
        <v>36</v>
      </c>
      <c r="R3640" s="12" t="s">
        <v>36</v>
      </c>
      <c r="S3640" s="12" t="s">
        <v>36</v>
      </c>
      <c r="T3640" s="12" t="s">
        <v>611</v>
      </c>
      <c r="U3640" s="12" t="s">
        <v>38</v>
      </c>
      <c r="V3640" s="12" t="s">
        <v>39</v>
      </c>
      <c r="W3640" s="12" t="s">
        <v>18568</v>
      </c>
      <c r="X3640" s="16" t="s">
        <v>18569</v>
      </c>
      <c r="Y3640" s="15" t="s">
        <v>475</v>
      </c>
      <c r="Z3640" s="14">
        <v>99.23</v>
      </c>
      <c r="AA3640" s="14">
        <v>489.31</v>
      </c>
      <c r="AB3640" s="12" t="s">
        <v>56</v>
      </c>
      <c r="AC3640" s="12" t="s">
        <v>18570</v>
      </c>
      <c r="AD3640" s="13">
        <v>44103</v>
      </c>
      <c r="AE3640" s="12" t="s">
        <v>45</v>
      </c>
      <c r="AF3640" s="12" t="s">
        <v>331</v>
      </c>
      <c r="AG3640" s="12" t="s">
        <v>81</v>
      </c>
      <c r="AH3640" s="1">
        <f>HYPERLINK("https://my.pitchbook.com?c=165612-25T","View Company Online")</f>
      </c>
    </row>
    <row r="3641">
      <c r="A3641" s="3" t="s">
        <v>18571</v>
      </c>
      <c r="B3641" s="3" t="s">
        <v>6311</v>
      </c>
      <c r="C3641" s="5" t="s">
        <v>36</v>
      </c>
      <c r="D3641" s="5" t="s">
        <v>36</v>
      </c>
      <c r="E3641" s="5" t="s">
        <v>36</v>
      </c>
      <c r="F3641" s="5" t="s">
        <v>36</v>
      </c>
      <c r="G3641" s="6" t="s">
        <v>36</v>
      </c>
      <c r="H3641" s="4" t="s">
        <v>36</v>
      </c>
      <c r="I3641" s="7" t="s">
        <v>36</v>
      </c>
      <c r="J3641" s="3" t="s">
        <v>36</v>
      </c>
      <c r="K3641" s="9" t="s">
        <v>36</v>
      </c>
      <c r="L3641" s="6" t="s">
        <v>36</v>
      </c>
      <c r="M3641" s="3" t="s">
        <v>36</v>
      </c>
      <c r="N3641" s="3" t="s">
        <v>36</v>
      </c>
      <c r="O3641" s="8" t="s">
        <v>36</v>
      </c>
      <c r="P3641" s="3" t="s">
        <v>36</v>
      </c>
      <c r="Q3641" s="3" t="s">
        <v>36</v>
      </c>
      <c r="R3641" s="3" t="s">
        <v>36</v>
      </c>
      <c r="S3641" s="3" t="s">
        <v>36</v>
      </c>
      <c r="T3641" s="3" t="s">
        <v>6312</v>
      </c>
      <c r="U3641" s="3" t="s">
        <v>38</v>
      </c>
      <c r="V3641" s="3" t="s">
        <v>39</v>
      </c>
      <c r="W3641" s="3" t="s">
        <v>6313</v>
      </c>
      <c r="X3641" s="10" t="s">
        <v>18572</v>
      </c>
      <c r="Y3641" s="6" t="s">
        <v>42</v>
      </c>
      <c r="Z3641" s="4">
        <v>0.65</v>
      </c>
      <c r="AA3641" s="4" t="s">
        <v>36</v>
      </c>
      <c r="AB3641" s="3" t="s">
        <v>43</v>
      </c>
      <c r="AC3641" s="3" t="s">
        <v>6315</v>
      </c>
      <c r="AD3641" s="9">
        <v>44102</v>
      </c>
      <c r="AE3641" s="3" t="s">
        <v>45</v>
      </c>
      <c r="AF3641" s="3" t="s">
        <v>6316</v>
      </c>
      <c r="AG3641" s="3" t="s">
        <v>47</v>
      </c>
      <c r="AH3641" s="11">
        <f>HYPERLINK("https://my.pitchbook.com?c=165069-28T","View Company Online")</f>
      </c>
    </row>
    <row r="3642">
      <c r="A3642" s="12" t="s">
        <v>18573</v>
      </c>
      <c r="B3642" s="12" t="s">
        <v>4113</v>
      </c>
      <c r="C3642" s="19" t="s">
        <v>36</v>
      </c>
      <c r="D3642" s="19" t="s">
        <v>36</v>
      </c>
      <c r="E3642" s="19" t="s">
        <v>36</v>
      </c>
      <c r="F3642" s="19" t="s">
        <v>36</v>
      </c>
      <c r="G3642" s="15" t="s">
        <v>326</v>
      </c>
      <c r="H3642" s="14">
        <v>594.06</v>
      </c>
      <c r="I3642" s="18">
        <v>22.16</v>
      </c>
      <c r="J3642" s="12" t="s">
        <v>521</v>
      </c>
      <c r="K3642" s="13">
        <v>44043</v>
      </c>
      <c r="L3642" s="15" t="s">
        <v>122</v>
      </c>
      <c r="M3642" s="12" t="s">
        <v>36</v>
      </c>
      <c r="N3642" s="12" t="s">
        <v>122</v>
      </c>
      <c r="O3642" s="17" t="s">
        <v>36</v>
      </c>
      <c r="P3642" s="12" t="s">
        <v>36</v>
      </c>
      <c r="Q3642" s="12" t="s">
        <v>36</v>
      </c>
      <c r="R3642" s="12" t="s">
        <v>36</v>
      </c>
      <c r="S3642" s="12" t="s">
        <v>36</v>
      </c>
      <c r="T3642" s="12" t="s">
        <v>1990</v>
      </c>
      <c r="U3642" s="12" t="s">
        <v>38</v>
      </c>
      <c r="V3642" s="12" t="s">
        <v>39</v>
      </c>
      <c r="W3642" s="12" t="s">
        <v>4114</v>
      </c>
      <c r="X3642" s="16" t="s">
        <v>18574</v>
      </c>
      <c r="Y3642" s="15" t="s">
        <v>55</v>
      </c>
      <c r="Z3642" s="14">
        <v>5.9</v>
      </c>
      <c r="AA3642" s="14">
        <v>16.82</v>
      </c>
      <c r="AB3642" s="12" t="s">
        <v>56</v>
      </c>
      <c r="AC3642" s="12" t="s">
        <v>4116</v>
      </c>
      <c r="AD3642" s="13">
        <v>44102</v>
      </c>
      <c r="AE3642" s="12" t="s">
        <v>110</v>
      </c>
      <c r="AF3642" s="12" t="s">
        <v>4117</v>
      </c>
      <c r="AG3642" s="12" t="s">
        <v>81</v>
      </c>
      <c r="AH3642" s="1">
        <f>HYPERLINK("https://my.pitchbook.com?c=156816-19T","View Company Online")</f>
      </c>
    </row>
    <row r="3643">
      <c r="A3643" s="3" t="s">
        <v>18575</v>
      </c>
      <c r="B3643" s="3" t="s">
        <v>14745</v>
      </c>
      <c r="C3643" s="5" t="s">
        <v>36</v>
      </c>
      <c r="D3643" s="5" t="s">
        <v>36</v>
      </c>
      <c r="E3643" s="5" t="s">
        <v>36</v>
      </c>
      <c r="F3643" s="5" t="s">
        <v>36</v>
      </c>
      <c r="G3643" s="6" t="s">
        <v>683</v>
      </c>
      <c r="H3643" s="4">
        <v>10.33</v>
      </c>
      <c r="I3643" s="7">
        <v>25.05</v>
      </c>
      <c r="J3643" s="3" t="s">
        <v>521</v>
      </c>
      <c r="K3643" s="9" t="s">
        <v>36</v>
      </c>
      <c r="L3643" s="6" t="s">
        <v>36</v>
      </c>
      <c r="M3643" s="3" t="s">
        <v>36</v>
      </c>
      <c r="N3643" s="3" t="s">
        <v>36</v>
      </c>
      <c r="O3643" s="8" t="s">
        <v>36</v>
      </c>
      <c r="P3643" s="3" t="s">
        <v>36</v>
      </c>
      <c r="Q3643" s="3" t="s">
        <v>36</v>
      </c>
      <c r="R3643" s="3" t="s">
        <v>36</v>
      </c>
      <c r="S3643" s="3" t="s">
        <v>36</v>
      </c>
      <c r="T3643" s="3" t="s">
        <v>522</v>
      </c>
      <c r="U3643" s="3" t="s">
        <v>38</v>
      </c>
      <c r="V3643" s="3" t="s">
        <v>39</v>
      </c>
      <c r="W3643" s="3" t="s">
        <v>14746</v>
      </c>
      <c r="X3643" s="10" t="s">
        <v>18576</v>
      </c>
      <c r="Y3643" s="6" t="s">
        <v>55</v>
      </c>
      <c r="Z3643" s="4">
        <v>20.6</v>
      </c>
      <c r="AA3643" s="4">
        <v>82.24</v>
      </c>
      <c r="AB3643" s="3" t="s">
        <v>56</v>
      </c>
      <c r="AC3643" s="3" t="s">
        <v>14748</v>
      </c>
      <c r="AD3643" s="9">
        <v>44102</v>
      </c>
      <c r="AE3643" s="3" t="s">
        <v>110</v>
      </c>
      <c r="AF3643" s="3" t="s">
        <v>111</v>
      </c>
      <c r="AG3643" s="3" t="s">
        <v>899</v>
      </c>
      <c r="AH3643" s="11">
        <f>HYPERLINK("https://my.pitchbook.com?c=183192-49T","View Company Online")</f>
      </c>
    </row>
    <row r="3644">
      <c r="A3644" s="12" t="s">
        <v>18577</v>
      </c>
      <c r="B3644" s="12" t="s">
        <v>18578</v>
      </c>
      <c r="C3644" s="19" t="s">
        <v>36</v>
      </c>
      <c r="D3644" s="19" t="s">
        <v>36</v>
      </c>
      <c r="E3644" s="19" t="s">
        <v>36</v>
      </c>
      <c r="F3644" s="19" t="s">
        <v>36</v>
      </c>
      <c r="G3644" s="15" t="s">
        <v>36</v>
      </c>
      <c r="H3644" s="14" t="s">
        <v>36</v>
      </c>
      <c r="I3644" s="18" t="s">
        <v>36</v>
      </c>
      <c r="J3644" s="12" t="s">
        <v>36</v>
      </c>
      <c r="K3644" s="13" t="s">
        <v>36</v>
      </c>
      <c r="L3644" s="15" t="s">
        <v>36</v>
      </c>
      <c r="M3644" s="12" t="s">
        <v>36</v>
      </c>
      <c r="N3644" s="12" t="s">
        <v>36</v>
      </c>
      <c r="O3644" s="17" t="s">
        <v>36</v>
      </c>
      <c r="P3644" s="12" t="s">
        <v>36</v>
      </c>
      <c r="Q3644" s="12" t="s">
        <v>36</v>
      </c>
      <c r="R3644" s="12" t="s">
        <v>36</v>
      </c>
      <c r="S3644" s="12" t="s">
        <v>36</v>
      </c>
      <c r="T3644" s="12" t="s">
        <v>4353</v>
      </c>
      <c r="U3644" s="12" t="s">
        <v>74</v>
      </c>
      <c r="V3644" s="12" t="s">
        <v>75</v>
      </c>
      <c r="W3644" s="12" t="s">
        <v>18579</v>
      </c>
      <c r="X3644" s="16" t="s">
        <v>18580</v>
      </c>
      <c r="Y3644" s="15" t="s">
        <v>42</v>
      </c>
      <c r="Z3644" s="14">
        <v>2.37</v>
      </c>
      <c r="AA3644" s="14" t="s">
        <v>36</v>
      </c>
      <c r="AB3644" s="12" t="s">
        <v>43</v>
      </c>
      <c r="AC3644" s="12" t="s">
        <v>18581</v>
      </c>
      <c r="AD3644" s="13">
        <v>44099</v>
      </c>
      <c r="AE3644" s="12" t="s">
        <v>696</v>
      </c>
      <c r="AF3644" s="12" t="s">
        <v>4284</v>
      </c>
      <c r="AG3644" s="12" t="s">
        <v>18582</v>
      </c>
      <c r="AH3644" s="1">
        <f>HYPERLINK("https://my.pitchbook.com?c=156686-32T","View Company Online")</f>
      </c>
    </row>
    <row r="3645">
      <c r="A3645" s="3" t="s">
        <v>18583</v>
      </c>
      <c r="B3645" s="3" t="s">
        <v>18584</v>
      </c>
      <c r="C3645" s="5" t="s">
        <v>36</v>
      </c>
      <c r="D3645" s="5" t="s">
        <v>36</v>
      </c>
      <c r="E3645" s="5" t="s">
        <v>36</v>
      </c>
      <c r="F3645" s="5" t="s">
        <v>36</v>
      </c>
      <c r="G3645" s="6" t="s">
        <v>36</v>
      </c>
      <c r="H3645" s="4" t="s">
        <v>36</v>
      </c>
      <c r="I3645" s="7" t="s">
        <v>36</v>
      </c>
      <c r="J3645" s="3" t="s">
        <v>36</v>
      </c>
      <c r="K3645" s="9" t="s">
        <v>36</v>
      </c>
      <c r="L3645" s="6" t="s">
        <v>36</v>
      </c>
      <c r="M3645" s="3" t="s">
        <v>36</v>
      </c>
      <c r="N3645" s="3" t="s">
        <v>36</v>
      </c>
      <c r="O3645" s="8" t="s">
        <v>36</v>
      </c>
      <c r="P3645" s="3" t="s">
        <v>36</v>
      </c>
      <c r="Q3645" s="3" t="s">
        <v>36</v>
      </c>
      <c r="R3645" s="3" t="s">
        <v>36</v>
      </c>
      <c r="S3645" s="3" t="s">
        <v>36</v>
      </c>
      <c r="T3645" s="3" t="s">
        <v>5507</v>
      </c>
      <c r="U3645" s="3" t="s">
        <v>279</v>
      </c>
      <c r="V3645" s="3" t="s">
        <v>64</v>
      </c>
      <c r="W3645" s="3" t="s">
        <v>18585</v>
      </c>
      <c r="X3645" s="10" t="s">
        <v>18586</v>
      </c>
      <c r="Y3645" s="6" t="s">
        <v>42</v>
      </c>
      <c r="Z3645" s="4">
        <v>2.37</v>
      </c>
      <c r="AA3645" s="4" t="s">
        <v>36</v>
      </c>
      <c r="AB3645" s="3" t="s">
        <v>56</v>
      </c>
      <c r="AC3645" s="3" t="s">
        <v>18587</v>
      </c>
      <c r="AD3645" s="9">
        <v>44098</v>
      </c>
      <c r="AE3645" s="3" t="s">
        <v>283</v>
      </c>
      <c r="AF3645" s="3" t="s">
        <v>111</v>
      </c>
      <c r="AG3645" s="3" t="s">
        <v>81</v>
      </c>
      <c r="AH3645" s="11">
        <f>HYPERLINK("https://my.pitchbook.com?c=157095-37T","View Company Online")</f>
      </c>
    </row>
    <row r="3646">
      <c r="A3646" s="12" t="s">
        <v>18588</v>
      </c>
      <c r="B3646" s="12" t="s">
        <v>12659</v>
      </c>
      <c r="C3646" s="19">
        <v>6</v>
      </c>
      <c r="D3646" s="19">
        <v>4</v>
      </c>
      <c r="E3646" s="19">
        <v>6</v>
      </c>
      <c r="F3646" s="19">
        <v>13</v>
      </c>
      <c r="G3646" s="15" t="s">
        <v>36</v>
      </c>
      <c r="H3646" s="14">
        <v>25.96</v>
      </c>
      <c r="I3646" s="18">
        <v>34.25</v>
      </c>
      <c r="J3646" s="12" t="s">
        <v>521</v>
      </c>
      <c r="K3646" s="13" t="s">
        <v>36</v>
      </c>
      <c r="L3646" s="15" t="s">
        <v>36</v>
      </c>
      <c r="M3646" s="12" t="s">
        <v>36</v>
      </c>
      <c r="N3646" s="12" t="s">
        <v>36</v>
      </c>
      <c r="O3646" s="17" t="s">
        <v>36</v>
      </c>
      <c r="P3646" s="12" t="s">
        <v>36</v>
      </c>
      <c r="Q3646" s="12" t="s">
        <v>36</v>
      </c>
      <c r="R3646" s="12" t="s">
        <v>36</v>
      </c>
      <c r="S3646" s="12" t="s">
        <v>36</v>
      </c>
      <c r="T3646" s="12" t="s">
        <v>12660</v>
      </c>
      <c r="U3646" s="12" t="s">
        <v>96</v>
      </c>
      <c r="V3646" s="12" t="s">
        <v>52</v>
      </c>
      <c r="W3646" s="12" t="s">
        <v>12661</v>
      </c>
      <c r="X3646" s="16" t="s">
        <v>2414</v>
      </c>
      <c r="Y3646" s="15" t="s">
        <v>42</v>
      </c>
      <c r="Z3646" s="14">
        <v>0.92</v>
      </c>
      <c r="AA3646" s="14">
        <v>2.69</v>
      </c>
      <c r="AB3646" s="12" t="s">
        <v>43</v>
      </c>
      <c r="AC3646" s="12" t="s">
        <v>12662</v>
      </c>
      <c r="AD3646" s="13">
        <v>44098</v>
      </c>
      <c r="AE3646" s="12" t="s">
        <v>755</v>
      </c>
      <c r="AF3646" s="12" t="s">
        <v>261</v>
      </c>
      <c r="AG3646" s="12" t="s">
        <v>144</v>
      </c>
      <c r="AH3646" s="1">
        <f>HYPERLINK("https://my.pitchbook.com?c=132869-17T","View Company Online")</f>
      </c>
    </row>
    <row r="3647">
      <c r="A3647" s="3" t="s">
        <v>18589</v>
      </c>
      <c r="B3647" s="3" t="s">
        <v>18590</v>
      </c>
      <c r="C3647" s="5" t="s">
        <v>36</v>
      </c>
      <c r="D3647" s="5" t="s">
        <v>36</v>
      </c>
      <c r="E3647" s="5" t="s">
        <v>36</v>
      </c>
      <c r="F3647" s="5" t="s">
        <v>36</v>
      </c>
      <c r="G3647" s="6" t="s">
        <v>36</v>
      </c>
      <c r="H3647" s="4">
        <v>2032.79</v>
      </c>
      <c r="I3647" s="7">
        <v>42.1</v>
      </c>
      <c r="J3647" s="3" t="s">
        <v>521</v>
      </c>
      <c r="K3647" s="9" t="s">
        <v>36</v>
      </c>
      <c r="L3647" s="6" t="s">
        <v>122</v>
      </c>
      <c r="M3647" s="3" t="s">
        <v>36</v>
      </c>
      <c r="N3647" s="3" t="s">
        <v>122</v>
      </c>
      <c r="O3647" s="8" t="s">
        <v>36</v>
      </c>
      <c r="P3647" s="3" t="s">
        <v>36</v>
      </c>
      <c r="Q3647" s="3" t="s">
        <v>36</v>
      </c>
      <c r="R3647" s="3" t="s">
        <v>36</v>
      </c>
      <c r="S3647" s="3" t="s">
        <v>36</v>
      </c>
      <c r="T3647" s="3" t="s">
        <v>18591</v>
      </c>
      <c r="U3647" s="3" t="s">
        <v>74</v>
      </c>
      <c r="V3647" s="3" t="s">
        <v>75</v>
      </c>
      <c r="W3647" s="3" t="s">
        <v>18592</v>
      </c>
      <c r="X3647" s="10" t="s">
        <v>18593</v>
      </c>
      <c r="Y3647" s="6" t="s">
        <v>42</v>
      </c>
      <c r="Z3647" s="4">
        <v>4.73</v>
      </c>
      <c r="AA3647" s="4">
        <v>11.24</v>
      </c>
      <c r="AB3647" s="3" t="s">
        <v>56</v>
      </c>
      <c r="AC3647" s="3" t="s">
        <v>18594</v>
      </c>
      <c r="AD3647" s="9">
        <v>44098</v>
      </c>
      <c r="AE3647" s="3" t="s">
        <v>1888</v>
      </c>
      <c r="AF3647" s="3" t="s">
        <v>1115</v>
      </c>
      <c r="AG3647" s="3" t="s">
        <v>741</v>
      </c>
      <c r="AH3647" s="11">
        <f>HYPERLINK("https://my.pitchbook.com?c=156615-40T","View Company Online")</f>
      </c>
    </row>
    <row r="3648">
      <c r="A3648" s="12" t="s">
        <v>18595</v>
      </c>
      <c r="B3648" s="12" t="s">
        <v>18596</v>
      </c>
      <c r="C3648" s="19" t="s">
        <v>36</v>
      </c>
      <c r="D3648" s="19" t="s">
        <v>36</v>
      </c>
      <c r="E3648" s="19" t="s">
        <v>36</v>
      </c>
      <c r="F3648" s="19" t="s">
        <v>36</v>
      </c>
      <c r="G3648" s="15" t="s">
        <v>326</v>
      </c>
      <c r="H3648" s="14" t="s">
        <v>36</v>
      </c>
      <c r="I3648" s="18">
        <v>11.58</v>
      </c>
      <c r="J3648" s="12" t="s">
        <v>327</v>
      </c>
      <c r="K3648" s="13" t="s">
        <v>36</v>
      </c>
      <c r="L3648" s="15" t="s">
        <v>94</v>
      </c>
      <c r="M3648" s="12" t="s">
        <v>36</v>
      </c>
      <c r="N3648" s="12" t="s">
        <v>94</v>
      </c>
      <c r="O3648" s="17" t="s">
        <v>36</v>
      </c>
      <c r="P3648" s="12" t="s">
        <v>36</v>
      </c>
      <c r="Q3648" s="12" t="s">
        <v>36</v>
      </c>
      <c r="R3648" s="12" t="s">
        <v>36</v>
      </c>
      <c r="S3648" s="12" t="s">
        <v>36</v>
      </c>
      <c r="T3648" s="12" t="s">
        <v>12045</v>
      </c>
      <c r="U3648" s="12" t="s">
        <v>9881</v>
      </c>
      <c r="V3648" s="12" t="s">
        <v>75</v>
      </c>
      <c r="W3648" s="12" t="s">
        <v>18597</v>
      </c>
      <c r="X3648" s="16" t="s">
        <v>18598</v>
      </c>
      <c r="Y3648" s="15" t="s">
        <v>108</v>
      </c>
      <c r="Z3648" s="14">
        <v>35.51</v>
      </c>
      <c r="AA3648" s="14">
        <v>306.74</v>
      </c>
      <c r="AB3648" s="12" t="s">
        <v>43</v>
      </c>
      <c r="AC3648" s="12" t="s">
        <v>18599</v>
      </c>
      <c r="AD3648" s="13">
        <v>44097</v>
      </c>
      <c r="AE3648" s="12" t="s">
        <v>12049</v>
      </c>
      <c r="AF3648" s="12" t="s">
        <v>36</v>
      </c>
      <c r="AG3648" s="12" t="s">
        <v>81</v>
      </c>
      <c r="AH3648" s="1">
        <f>HYPERLINK("https://my.pitchbook.com?c=156613-06T","View Company Online")</f>
      </c>
    </row>
    <row r="3649">
      <c r="A3649" s="3" t="s">
        <v>18600</v>
      </c>
      <c r="B3649" s="3" t="s">
        <v>18601</v>
      </c>
      <c r="C3649" s="5" t="s">
        <v>36</v>
      </c>
      <c r="D3649" s="5" t="s">
        <v>36</v>
      </c>
      <c r="E3649" s="5" t="s">
        <v>36</v>
      </c>
      <c r="F3649" s="5" t="s">
        <v>36</v>
      </c>
      <c r="G3649" s="6" t="s">
        <v>36</v>
      </c>
      <c r="H3649" s="4">
        <v>0.01</v>
      </c>
      <c r="I3649" s="7">
        <v>21.57</v>
      </c>
      <c r="J3649" s="3" t="s">
        <v>521</v>
      </c>
      <c r="K3649" s="9" t="s">
        <v>36</v>
      </c>
      <c r="L3649" s="6" t="s">
        <v>36</v>
      </c>
      <c r="M3649" s="3" t="s">
        <v>36</v>
      </c>
      <c r="N3649" s="3" t="s">
        <v>36</v>
      </c>
      <c r="O3649" s="8" t="s">
        <v>36</v>
      </c>
      <c r="P3649" s="3" t="s">
        <v>36</v>
      </c>
      <c r="Q3649" s="3" t="s">
        <v>36</v>
      </c>
      <c r="R3649" s="3" t="s">
        <v>36</v>
      </c>
      <c r="S3649" s="3" t="s">
        <v>36</v>
      </c>
      <c r="T3649" s="3" t="s">
        <v>18602</v>
      </c>
      <c r="U3649" s="3" t="s">
        <v>279</v>
      </c>
      <c r="V3649" s="3" t="s">
        <v>64</v>
      </c>
      <c r="W3649" s="3" t="s">
        <v>18603</v>
      </c>
      <c r="X3649" s="10" t="s">
        <v>18604</v>
      </c>
      <c r="Y3649" s="6" t="s">
        <v>42</v>
      </c>
      <c r="Z3649" s="4">
        <v>0.32</v>
      </c>
      <c r="AA3649" s="4">
        <v>1.5</v>
      </c>
      <c r="AB3649" s="3" t="s">
        <v>43</v>
      </c>
      <c r="AC3649" s="3" t="s">
        <v>18605</v>
      </c>
      <c r="AD3649" s="9">
        <v>44097</v>
      </c>
      <c r="AE3649" s="3" t="s">
        <v>13340</v>
      </c>
      <c r="AF3649" s="3" t="s">
        <v>5769</v>
      </c>
      <c r="AG3649" s="3" t="s">
        <v>18606</v>
      </c>
      <c r="AH3649" s="11">
        <f>HYPERLINK("https://my.pitchbook.com?c=156791-53T","View Company Online")</f>
      </c>
    </row>
    <row r="3650">
      <c r="A3650" s="12" t="s">
        <v>18607</v>
      </c>
      <c r="B3650" s="12" t="s">
        <v>15362</v>
      </c>
      <c r="C3650" s="19" t="s">
        <v>36</v>
      </c>
      <c r="D3650" s="19" t="s">
        <v>36</v>
      </c>
      <c r="E3650" s="19" t="s">
        <v>36</v>
      </c>
      <c r="F3650" s="19" t="s">
        <v>36</v>
      </c>
      <c r="G3650" s="15" t="s">
        <v>326</v>
      </c>
      <c r="H3650" s="14">
        <v>204.04</v>
      </c>
      <c r="I3650" s="18">
        <v>22</v>
      </c>
      <c r="J3650" s="12" t="s">
        <v>521</v>
      </c>
      <c r="K3650" s="13" t="s">
        <v>36</v>
      </c>
      <c r="L3650" s="15" t="s">
        <v>3736</v>
      </c>
      <c r="M3650" s="12" t="s">
        <v>36</v>
      </c>
      <c r="N3650" s="12" t="s">
        <v>3736</v>
      </c>
      <c r="O3650" s="17" t="s">
        <v>36</v>
      </c>
      <c r="P3650" s="12" t="s">
        <v>36</v>
      </c>
      <c r="Q3650" s="12" t="s">
        <v>36</v>
      </c>
      <c r="R3650" s="12" t="s">
        <v>36</v>
      </c>
      <c r="S3650" s="12" t="s">
        <v>36</v>
      </c>
      <c r="T3650" s="12" t="s">
        <v>522</v>
      </c>
      <c r="U3650" s="12" t="s">
        <v>38</v>
      </c>
      <c r="V3650" s="12" t="s">
        <v>39</v>
      </c>
      <c r="W3650" s="12" t="s">
        <v>15363</v>
      </c>
      <c r="X3650" s="16" t="s">
        <v>18608</v>
      </c>
      <c r="Y3650" s="15" t="s">
        <v>192</v>
      </c>
      <c r="Z3650" s="14">
        <v>318.76</v>
      </c>
      <c r="AA3650" s="14">
        <v>1449.19</v>
      </c>
      <c r="AB3650" s="12" t="s">
        <v>56</v>
      </c>
      <c r="AC3650" s="12" t="s">
        <v>15365</v>
      </c>
      <c r="AD3650" s="13">
        <v>44096</v>
      </c>
      <c r="AE3650" s="12" t="s">
        <v>110</v>
      </c>
      <c r="AF3650" s="12" t="s">
        <v>4552</v>
      </c>
      <c r="AG3650" s="12" t="s">
        <v>81</v>
      </c>
      <c r="AH3650" s="1">
        <f>HYPERLINK("https://my.pitchbook.com?c=156499-12T","View Company Online")</f>
      </c>
    </row>
    <row r="3651">
      <c r="A3651" s="3" t="s">
        <v>18609</v>
      </c>
      <c r="B3651" s="3" t="s">
        <v>11279</v>
      </c>
      <c r="C3651" s="5" t="s">
        <v>36</v>
      </c>
      <c r="D3651" s="5" t="s">
        <v>36</v>
      </c>
      <c r="E3651" s="5" t="s">
        <v>36</v>
      </c>
      <c r="F3651" s="5" t="s">
        <v>36</v>
      </c>
      <c r="G3651" s="6" t="s">
        <v>36</v>
      </c>
      <c r="H3651" s="4">
        <v>103.86</v>
      </c>
      <c r="I3651" s="7">
        <v>23.08</v>
      </c>
      <c r="J3651" s="3" t="s">
        <v>521</v>
      </c>
      <c r="K3651" s="9" t="s">
        <v>36</v>
      </c>
      <c r="L3651" s="6" t="s">
        <v>36</v>
      </c>
      <c r="M3651" s="3" t="s">
        <v>36</v>
      </c>
      <c r="N3651" s="3" t="s">
        <v>36</v>
      </c>
      <c r="O3651" s="8" t="s">
        <v>36</v>
      </c>
      <c r="P3651" s="3" t="s">
        <v>36</v>
      </c>
      <c r="Q3651" s="3" t="s">
        <v>36</v>
      </c>
      <c r="R3651" s="3" t="s">
        <v>36</v>
      </c>
      <c r="S3651" s="3" t="s">
        <v>11280</v>
      </c>
      <c r="T3651" s="3" t="s">
        <v>105</v>
      </c>
      <c r="U3651" s="3" t="s">
        <v>38</v>
      </c>
      <c r="V3651" s="3" t="s">
        <v>39</v>
      </c>
      <c r="W3651" s="3" t="s">
        <v>11281</v>
      </c>
      <c r="X3651" s="10" t="s">
        <v>18610</v>
      </c>
      <c r="Y3651" s="6" t="s">
        <v>42</v>
      </c>
      <c r="Z3651" s="4">
        <v>0.71</v>
      </c>
      <c r="AA3651" s="4">
        <v>3.08</v>
      </c>
      <c r="AB3651" s="3" t="s">
        <v>43</v>
      </c>
      <c r="AC3651" s="3" t="s">
        <v>11283</v>
      </c>
      <c r="AD3651" s="9">
        <v>44095</v>
      </c>
      <c r="AE3651" s="3" t="s">
        <v>110</v>
      </c>
      <c r="AF3651" s="3" t="s">
        <v>176</v>
      </c>
      <c r="AG3651" s="3" t="s">
        <v>2450</v>
      </c>
      <c r="AH3651" s="11">
        <f>HYPERLINK("https://my.pitchbook.com?c=153764-02T","View Company Online")</f>
      </c>
    </row>
    <row r="3652">
      <c r="A3652" s="12" t="s">
        <v>18611</v>
      </c>
      <c r="B3652" s="12" t="s">
        <v>18612</v>
      </c>
      <c r="C3652" s="19" t="s">
        <v>36</v>
      </c>
      <c r="D3652" s="19" t="s">
        <v>36</v>
      </c>
      <c r="E3652" s="19" t="s">
        <v>36</v>
      </c>
      <c r="F3652" s="19" t="s">
        <v>36</v>
      </c>
      <c r="G3652" s="15" t="s">
        <v>326</v>
      </c>
      <c r="H3652" s="14" t="s">
        <v>36</v>
      </c>
      <c r="I3652" s="18">
        <v>25.11</v>
      </c>
      <c r="J3652" s="12" t="s">
        <v>327</v>
      </c>
      <c r="K3652" s="13" t="s">
        <v>36</v>
      </c>
      <c r="L3652" s="15" t="s">
        <v>122</v>
      </c>
      <c r="M3652" s="12" t="s">
        <v>36</v>
      </c>
      <c r="N3652" s="12" t="s">
        <v>122</v>
      </c>
      <c r="O3652" s="17" t="s">
        <v>36</v>
      </c>
      <c r="P3652" s="12" t="s">
        <v>36</v>
      </c>
      <c r="Q3652" s="12" t="s">
        <v>36</v>
      </c>
      <c r="R3652" s="12" t="s">
        <v>36</v>
      </c>
      <c r="S3652" s="12" t="s">
        <v>36</v>
      </c>
      <c r="T3652" s="12" t="s">
        <v>1855</v>
      </c>
      <c r="U3652" s="12" t="s">
        <v>85</v>
      </c>
      <c r="V3652" s="12" t="s">
        <v>64</v>
      </c>
      <c r="W3652" s="12" t="s">
        <v>18613</v>
      </c>
      <c r="X3652" s="16" t="s">
        <v>18614</v>
      </c>
      <c r="Y3652" s="15" t="s">
        <v>55</v>
      </c>
      <c r="Z3652" s="14">
        <v>5.92</v>
      </c>
      <c r="AA3652" s="14">
        <v>23.58</v>
      </c>
      <c r="AB3652" s="12" t="s">
        <v>56</v>
      </c>
      <c r="AC3652" s="12" t="s">
        <v>18615</v>
      </c>
      <c r="AD3652" s="13">
        <v>44095</v>
      </c>
      <c r="AE3652" s="12" t="s">
        <v>89</v>
      </c>
      <c r="AF3652" s="12" t="s">
        <v>1507</v>
      </c>
      <c r="AG3652" s="12" t="s">
        <v>81</v>
      </c>
      <c r="AH3652" s="1">
        <f>HYPERLINK("https://my.pitchbook.com?c=156390-76T","View Company Online")</f>
      </c>
    </row>
    <row r="3653">
      <c r="A3653" s="3" t="s">
        <v>18616</v>
      </c>
      <c r="B3653" s="3" t="s">
        <v>18617</v>
      </c>
      <c r="C3653" s="5">
        <v>2</v>
      </c>
      <c r="D3653" s="5" t="s">
        <v>36</v>
      </c>
      <c r="E3653" s="5">
        <v>3</v>
      </c>
      <c r="F3653" s="5">
        <v>3</v>
      </c>
      <c r="G3653" s="6" t="s">
        <v>2497</v>
      </c>
      <c r="H3653" s="4">
        <v>3.86</v>
      </c>
      <c r="I3653" s="7">
        <v>13.17</v>
      </c>
      <c r="J3653" s="3" t="s">
        <v>521</v>
      </c>
      <c r="K3653" s="9" t="s">
        <v>36</v>
      </c>
      <c r="L3653" s="6" t="s">
        <v>94</v>
      </c>
      <c r="M3653" s="3" t="s">
        <v>36</v>
      </c>
      <c r="N3653" s="3" t="s">
        <v>94</v>
      </c>
      <c r="O3653" s="8" t="s">
        <v>36</v>
      </c>
      <c r="P3653" s="3" t="s">
        <v>36</v>
      </c>
      <c r="Q3653" s="3" t="s">
        <v>36</v>
      </c>
      <c r="R3653" s="3" t="s">
        <v>36</v>
      </c>
      <c r="S3653" s="3" t="s">
        <v>36</v>
      </c>
      <c r="T3653" s="3" t="s">
        <v>550</v>
      </c>
      <c r="U3653" s="3" t="s">
        <v>38</v>
      </c>
      <c r="V3653" s="3" t="s">
        <v>39</v>
      </c>
      <c r="W3653" s="3" t="s">
        <v>18618</v>
      </c>
      <c r="X3653" s="10" t="s">
        <v>18619</v>
      </c>
      <c r="Y3653" s="6" t="s">
        <v>192</v>
      </c>
      <c r="Z3653" s="4">
        <v>11.88</v>
      </c>
      <c r="AA3653" s="4">
        <v>90.21</v>
      </c>
      <c r="AB3653" s="3" t="s">
        <v>56</v>
      </c>
      <c r="AC3653" s="3" t="s">
        <v>18620</v>
      </c>
      <c r="AD3653" s="9">
        <v>44095</v>
      </c>
      <c r="AE3653" s="3" t="s">
        <v>554</v>
      </c>
      <c r="AF3653" s="3" t="s">
        <v>18230</v>
      </c>
      <c r="AG3653" s="3" t="s">
        <v>81</v>
      </c>
      <c r="AH3653" s="11">
        <f>HYPERLINK("https://my.pitchbook.com?c=156411-01T","View Company Online")</f>
      </c>
    </row>
    <row r="3654">
      <c r="A3654" s="12" t="s">
        <v>18621</v>
      </c>
      <c r="B3654" s="12" t="s">
        <v>18622</v>
      </c>
      <c r="C3654" s="19" t="s">
        <v>36</v>
      </c>
      <c r="D3654" s="19" t="s">
        <v>36</v>
      </c>
      <c r="E3654" s="19" t="s">
        <v>36</v>
      </c>
      <c r="F3654" s="19" t="s">
        <v>36</v>
      </c>
      <c r="G3654" s="15" t="s">
        <v>36</v>
      </c>
      <c r="H3654" s="14" t="s">
        <v>36</v>
      </c>
      <c r="I3654" s="18" t="s">
        <v>36</v>
      </c>
      <c r="J3654" s="12" t="s">
        <v>36</v>
      </c>
      <c r="K3654" s="13" t="s">
        <v>36</v>
      </c>
      <c r="L3654" s="15" t="s">
        <v>36</v>
      </c>
      <c r="M3654" s="12" t="s">
        <v>36</v>
      </c>
      <c r="N3654" s="12" t="s">
        <v>36</v>
      </c>
      <c r="O3654" s="17" t="s">
        <v>36</v>
      </c>
      <c r="P3654" s="12" t="s">
        <v>36</v>
      </c>
      <c r="Q3654" s="12" t="s">
        <v>36</v>
      </c>
      <c r="R3654" s="12" t="s">
        <v>36</v>
      </c>
      <c r="S3654" s="12" t="s">
        <v>36</v>
      </c>
      <c r="T3654" s="12" t="s">
        <v>1560</v>
      </c>
      <c r="U3654" s="12" t="s">
        <v>438</v>
      </c>
      <c r="V3654" s="12" t="s">
        <v>405</v>
      </c>
      <c r="W3654" s="12" t="s">
        <v>18623</v>
      </c>
      <c r="X3654" s="16" t="s">
        <v>18624</v>
      </c>
      <c r="Y3654" s="15" t="s">
        <v>42</v>
      </c>
      <c r="Z3654" s="14">
        <v>282.6</v>
      </c>
      <c r="AA3654" s="14" t="s">
        <v>36</v>
      </c>
      <c r="AB3654" s="12" t="s">
        <v>43</v>
      </c>
      <c r="AC3654" s="12" t="s">
        <v>18625</v>
      </c>
      <c r="AD3654" s="13">
        <v>44092</v>
      </c>
      <c r="AE3654" s="12" t="s">
        <v>438</v>
      </c>
      <c r="AF3654" s="12" t="s">
        <v>3034</v>
      </c>
      <c r="AG3654" s="12" t="s">
        <v>81</v>
      </c>
      <c r="AH3654" s="1">
        <f>HYPERLINK("https://my.pitchbook.com?c=172684-09T","View Company Online")</f>
      </c>
    </row>
    <row r="3655">
      <c r="A3655" s="3" t="s">
        <v>18626</v>
      </c>
      <c r="B3655" s="3" t="s">
        <v>18627</v>
      </c>
      <c r="C3655" s="5" t="s">
        <v>36</v>
      </c>
      <c r="D3655" s="5" t="s">
        <v>36</v>
      </c>
      <c r="E3655" s="5" t="s">
        <v>36</v>
      </c>
      <c r="F3655" s="5" t="s">
        <v>36</v>
      </c>
      <c r="G3655" s="6" t="s">
        <v>2497</v>
      </c>
      <c r="H3655" s="4">
        <v>3.97</v>
      </c>
      <c r="I3655" s="7">
        <v>50</v>
      </c>
      <c r="J3655" s="3" t="s">
        <v>521</v>
      </c>
      <c r="K3655" s="9" t="s">
        <v>36</v>
      </c>
      <c r="L3655" s="6" t="s">
        <v>36</v>
      </c>
      <c r="M3655" s="3" t="s">
        <v>36</v>
      </c>
      <c r="N3655" s="3" t="s">
        <v>36</v>
      </c>
      <c r="O3655" s="8" t="s">
        <v>36</v>
      </c>
      <c r="P3655" s="3" t="s">
        <v>36</v>
      </c>
      <c r="Q3655" s="3" t="s">
        <v>36</v>
      </c>
      <c r="R3655" s="3" t="s">
        <v>36</v>
      </c>
      <c r="S3655" s="3" t="s">
        <v>36</v>
      </c>
      <c r="T3655" s="3" t="s">
        <v>16734</v>
      </c>
      <c r="U3655" s="3" t="s">
        <v>63</v>
      </c>
      <c r="V3655" s="3" t="s">
        <v>64</v>
      </c>
      <c r="W3655" s="3" t="s">
        <v>18628</v>
      </c>
      <c r="X3655" s="10" t="s">
        <v>9668</v>
      </c>
      <c r="Y3655" s="6" t="s">
        <v>192</v>
      </c>
      <c r="Z3655" s="4">
        <v>0.61</v>
      </c>
      <c r="AA3655" s="4">
        <v>1.22</v>
      </c>
      <c r="AB3655" s="3" t="s">
        <v>56</v>
      </c>
      <c r="AC3655" s="3" t="s">
        <v>18629</v>
      </c>
      <c r="AD3655" s="9">
        <v>44092</v>
      </c>
      <c r="AE3655" s="3" t="s">
        <v>68</v>
      </c>
      <c r="AF3655" s="3" t="s">
        <v>18630</v>
      </c>
      <c r="AG3655" s="3" t="s">
        <v>14729</v>
      </c>
      <c r="AH3655" s="11">
        <f>HYPERLINK("https://my.pitchbook.com?c=188077-33T","View Company Online")</f>
      </c>
    </row>
    <row r="3656">
      <c r="A3656" s="12" t="s">
        <v>18631</v>
      </c>
      <c r="B3656" s="12" t="s">
        <v>18632</v>
      </c>
      <c r="C3656" s="19">
        <v>1</v>
      </c>
      <c r="D3656" s="19">
        <v>5</v>
      </c>
      <c r="E3656" s="19">
        <v>2</v>
      </c>
      <c r="F3656" s="19">
        <v>6</v>
      </c>
      <c r="G3656" s="15" t="s">
        <v>36</v>
      </c>
      <c r="H3656" s="14" t="s">
        <v>36</v>
      </c>
      <c r="I3656" s="18" t="s">
        <v>36</v>
      </c>
      <c r="J3656" s="12" t="s">
        <v>36</v>
      </c>
      <c r="K3656" s="13" t="s">
        <v>36</v>
      </c>
      <c r="L3656" s="15" t="s">
        <v>122</v>
      </c>
      <c r="M3656" s="12" t="s">
        <v>36</v>
      </c>
      <c r="N3656" s="12" t="s">
        <v>122</v>
      </c>
      <c r="O3656" s="17" t="s">
        <v>36</v>
      </c>
      <c r="P3656" s="12" t="s">
        <v>36</v>
      </c>
      <c r="Q3656" s="12" t="s">
        <v>36</v>
      </c>
      <c r="R3656" s="12" t="s">
        <v>36</v>
      </c>
      <c r="S3656" s="12" t="s">
        <v>36</v>
      </c>
      <c r="T3656" s="12" t="s">
        <v>18633</v>
      </c>
      <c r="U3656" s="12" t="s">
        <v>96</v>
      </c>
      <c r="V3656" s="12" t="s">
        <v>52</v>
      </c>
      <c r="W3656" s="12" t="s">
        <v>18634</v>
      </c>
      <c r="X3656" s="16" t="s">
        <v>18635</v>
      </c>
      <c r="Y3656" s="15" t="s">
        <v>108</v>
      </c>
      <c r="Z3656" s="14">
        <v>5.33</v>
      </c>
      <c r="AA3656" s="14" t="s">
        <v>36</v>
      </c>
      <c r="AB3656" s="12" t="s">
        <v>56</v>
      </c>
      <c r="AC3656" s="12" t="s">
        <v>18636</v>
      </c>
      <c r="AD3656" s="13">
        <v>44091</v>
      </c>
      <c r="AE3656" s="12" t="s">
        <v>1414</v>
      </c>
      <c r="AF3656" s="12" t="s">
        <v>571</v>
      </c>
      <c r="AG3656" s="12" t="s">
        <v>18637</v>
      </c>
      <c r="AH3656" s="1">
        <f>HYPERLINK("https://my.pitchbook.com?c=156396-16T","View Company Online")</f>
      </c>
    </row>
    <row r="3657">
      <c r="A3657" s="3" t="s">
        <v>18638</v>
      </c>
      <c r="B3657" s="3" t="s">
        <v>13406</v>
      </c>
      <c r="C3657" s="5" t="s">
        <v>36</v>
      </c>
      <c r="D3657" s="5">
        <v>9</v>
      </c>
      <c r="E3657" s="5">
        <v>3</v>
      </c>
      <c r="F3657" s="5">
        <v>9</v>
      </c>
      <c r="G3657" s="6" t="s">
        <v>36</v>
      </c>
      <c r="H3657" s="4" t="s">
        <v>36</v>
      </c>
      <c r="I3657" s="7" t="s">
        <v>36</v>
      </c>
      <c r="J3657" s="3" t="s">
        <v>36</v>
      </c>
      <c r="K3657" s="9" t="s">
        <v>36</v>
      </c>
      <c r="L3657" s="6" t="s">
        <v>36</v>
      </c>
      <c r="M3657" s="3" t="s">
        <v>36</v>
      </c>
      <c r="N3657" s="3" t="s">
        <v>36</v>
      </c>
      <c r="O3657" s="8" t="s">
        <v>36</v>
      </c>
      <c r="P3657" s="3" t="s">
        <v>36</v>
      </c>
      <c r="Q3657" s="3" t="s">
        <v>36</v>
      </c>
      <c r="R3657" s="3" t="s">
        <v>36</v>
      </c>
      <c r="S3657" s="3" t="s">
        <v>36</v>
      </c>
      <c r="T3657" s="3" t="s">
        <v>1048</v>
      </c>
      <c r="U3657" s="3" t="s">
        <v>423</v>
      </c>
      <c r="V3657" s="3" t="s">
        <v>64</v>
      </c>
      <c r="W3657" s="3" t="s">
        <v>13407</v>
      </c>
      <c r="X3657" s="10" t="s">
        <v>18639</v>
      </c>
      <c r="Y3657" s="6" t="s">
        <v>55</v>
      </c>
      <c r="Z3657" s="4">
        <v>2.96</v>
      </c>
      <c r="AA3657" s="4" t="s">
        <v>36</v>
      </c>
      <c r="AB3657" s="3" t="s">
        <v>43</v>
      </c>
      <c r="AC3657" s="3" t="s">
        <v>13409</v>
      </c>
      <c r="AD3657" s="9">
        <v>44091</v>
      </c>
      <c r="AE3657" s="3" t="s">
        <v>1051</v>
      </c>
      <c r="AF3657" s="3" t="s">
        <v>1061</v>
      </c>
      <c r="AG3657" s="3" t="s">
        <v>81</v>
      </c>
      <c r="AH3657" s="11">
        <f>HYPERLINK("https://my.pitchbook.com?c=156298-33T","View Company Online")</f>
      </c>
    </row>
    <row r="3658">
      <c r="A3658" s="12" t="s">
        <v>18640</v>
      </c>
      <c r="B3658" s="12" t="s">
        <v>18641</v>
      </c>
      <c r="C3658" s="19" t="s">
        <v>36</v>
      </c>
      <c r="D3658" s="19" t="s">
        <v>36</v>
      </c>
      <c r="E3658" s="19" t="s">
        <v>36</v>
      </c>
      <c r="F3658" s="19" t="s">
        <v>36</v>
      </c>
      <c r="G3658" s="15" t="s">
        <v>326</v>
      </c>
      <c r="H3658" s="14">
        <v>143.99</v>
      </c>
      <c r="I3658" s="18">
        <v>29</v>
      </c>
      <c r="J3658" s="12" t="s">
        <v>521</v>
      </c>
      <c r="K3658" s="13" t="s">
        <v>36</v>
      </c>
      <c r="L3658" s="15" t="s">
        <v>122</v>
      </c>
      <c r="M3658" s="12" t="s">
        <v>36</v>
      </c>
      <c r="N3658" s="12" t="s">
        <v>122</v>
      </c>
      <c r="O3658" s="17" t="s">
        <v>36</v>
      </c>
      <c r="P3658" s="12" t="s">
        <v>36</v>
      </c>
      <c r="Q3658" s="12" t="s">
        <v>36</v>
      </c>
      <c r="R3658" s="12" t="s">
        <v>36</v>
      </c>
      <c r="S3658" s="12" t="s">
        <v>36</v>
      </c>
      <c r="T3658" s="12" t="s">
        <v>105</v>
      </c>
      <c r="U3658" s="12" t="s">
        <v>38</v>
      </c>
      <c r="V3658" s="12" t="s">
        <v>39</v>
      </c>
      <c r="W3658" s="12" t="s">
        <v>18642</v>
      </c>
      <c r="X3658" s="16" t="s">
        <v>18643</v>
      </c>
      <c r="Y3658" s="15" t="s">
        <v>108</v>
      </c>
      <c r="Z3658" s="14">
        <v>3.73</v>
      </c>
      <c r="AA3658" s="14">
        <v>12.85</v>
      </c>
      <c r="AB3658" s="12" t="s">
        <v>56</v>
      </c>
      <c r="AC3658" s="12" t="s">
        <v>18644</v>
      </c>
      <c r="AD3658" s="13">
        <v>44091</v>
      </c>
      <c r="AE3658" s="12" t="s">
        <v>110</v>
      </c>
      <c r="AF3658" s="12" t="s">
        <v>4552</v>
      </c>
      <c r="AG3658" s="12" t="s">
        <v>47</v>
      </c>
      <c r="AH3658" s="1">
        <f>HYPERLINK("https://my.pitchbook.com?c=156370-87T","View Company Online")</f>
      </c>
    </row>
    <row r="3659">
      <c r="A3659" s="3" t="s">
        <v>18645</v>
      </c>
      <c r="B3659" s="3" t="s">
        <v>7621</v>
      </c>
      <c r="C3659" s="5" t="s">
        <v>36</v>
      </c>
      <c r="D3659" s="5" t="s">
        <v>36</v>
      </c>
      <c r="E3659" s="5" t="s">
        <v>36</v>
      </c>
      <c r="F3659" s="5" t="s">
        <v>36</v>
      </c>
      <c r="G3659" s="6" t="s">
        <v>326</v>
      </c>
      <c r="H3659" s="4">
        <v>37.9</v>
      </c>
      <c r="I3659" s="7">
        <v>39</v>
      </c>
      <c r="J3659" s="3" t="s">
        <v>521</v>
      </c>
      <c r="K3659" s="9">
        <v>44043</v>
      </c>
      <c r="L3659" s="6" t="s">
        <v>94</v>
      </c>
      <c r="M3659" s="3" t="s">
        <v>36</v>
      </c>
      <c r="N3659" s="3" t="s">
        <v>94</v>
      </c>
      <c r="O3659" s="8" t="s">
        <v>36</v>
      </c>
      <c r="P3659" s="3" t="s">
        <v>36</v>
      </c>
      <c r="Q3659" s="3" t="s">
        <v>36</v>
      </c>
      <c r="R3659" s="3" t="s">
        <v>36</v>
      </c>
      <c r="S3659" s="3" t="s">
        <v>36</v>
      </c>
      <c r="T3659" s="3" t="s">
        <v>7622</v>
      </c>
      <c r="U3659" s="3" t="s">
        <v>74</v>
      </c>
      <c r="V3659" s="3" t="s">
        <v>75</v>
      </c>
      <c r="W3659" s="3" t="s">
        <v>7623</v>
      </c>
      <c r="X3659" s="10" t="s">
        <v>18646</v>
      </c>
      <c r="Y3659" s="6" t="s">
        <v>108</v>
      </c>
      <c r="Z3659" s="4">
        <v>6.25</v>
      </c>
      <c r="AA3659" s="4">
        <v>16.03</v>
      </c>
      <c r="AB3659" s="3" t="s">
        <v>56</v>
      </c>
      <c r="AC3659" s="3" t="s">
        <v>7625</v>
      </c>
      <c r="AD3659" s="9">
        <v>44091</v>
      </c>
      <c r="AE3659" s="3" t="s">
        <v>79</v>
      </c>
      <c r="AF3659" s="3" t="s">
        <v>468</v>
      </c>
      <c r="AG3659" s="3" t="s">
        <v>81</v>
      </c>
      <c r="AH3659" s="11">
        <f>HYPERLINK("https://my.pitchbook.com?c=135695-08T","View Company Online")</f>
      </c>
    </row>
    <row r="3660">
      <c r="A3660" s="12" t="s">
        <v>18647</v>
      </c>
      <c r="B3660" s="12" t="s">
        <v>18648</v>
      </c>
      <c r="C3660" s="19">
        <v>11</v>
      </c>
      <c r="D3660" s="19">
        <v>6</v>
      </c>
      <c r="E3660" s="19">
        <v>14</v>
      </c>
      <c r="F3660" s="19">
        <v>20</v>
      </c>
      <c r="G3660" s="15" t="s">
        <v>36</v>
      </c>
      <c r="H3660" s="14">
        <v>477.74</v>
      </c>
      <c r="I3660" s="18">
        <v>51.78</v>
      </c>
      <c r="J3660" s="12" t="s">
        <v>521</v>
      </c>
      <c r="K3660" s="13" t="s">
        <v>36</v>
      </c>
      <c r="L3660" s="15" t="s">
        <v>36</v>
      </c>
      <c r="M3660" s="12" t="s">
        <v>36</v>
      </c>
      <c r="N3660" s="12" t="s">
        <v>36</v>
      </c>
      <c r="O3660" s="17" t="s">
        <v>36</v>
      </c>
      <c r="P3660" s="12" t="s">
        <v>36</v>
      </c>
      <c r="Q3660" s="12" t="s">
        <v>36</v>
      </c>
      <c r="R3660" s="12" t="s">
        <v>36</v>
      </c>
      <c r="S3660" s="12" t="s">
        <v>36</v>
      </c>
      <c r="T3660" s="12" t="s">
        <v>3208</v>
      </c>
      <c r="U3660" s="12" t="s">
        <v>1798</v>
      </c>
      <c r="V3660" s="12" t="s">
        <v>39</v>
      </c>
      <c r="W3660" s="12" t="s">
        <v>18649</v>
      </c>
      <c r="X3660" s="16" t="s">
        <v>18650</v>
      </c>
      <c r="Y3660" s="15" t="s">
        <v>42</v>
      </c>
      <c r="Z3660" s="14">
        <v>5.85</v>
      </c>
      <c r="AA3660" s="14">
        <v>11.3</v>
      </c>
      <c r="AB3660" s="12" t="s">
        <v>43</v>
      </c>
      <c r="AC3660" s="12" t="s">
        <v>18651</v>
      </c>
      <c r="AD3660" s="13">
        <v>44090</v>
      </c>
      <c r="AE3660" s="12" t="s">
        <v>1802</v>
      </c>
      <c r="AF3660" s="12" t="s">
        <v>36</v>
      </c>
      <c r="AG3660" s="12" t="s">
        <v>787</v>
      </c>
      <c r="AH3660" s="1">
        <f>HYPERLINK("https://my.pitchbook.com?c=134369-74T","View Company Online")</f>
      </c>
    </row>
    <row r="3661">
      <c r="A3661" s="3" t="s">
        <v>18652</v>
      </c>
      <c r="B3661" s="3" t="s">
        <v>10038</v>
      </c>
      <c r="C3661" s="5" t="s">
        <v>36</v>
      </c>
      <c r="D3661" s="5" t="s">
        <v>36</v>
      </c>
      <c r="E3661" s="5" t="s">
        <v>36</v>
      </c>
      <c r="F3661" s="5" t="s">
        <v>36</v>
      </c>
      <c r="G3661" s="6" t="s">
        <v>36</v>
      </c>
      <c r="H3661" s="4">
        <v>113.05</v>
      </c>
      <c r="I3661" s="7">
        <v>37.35</v>
      </c>
      <c r="J3661" s="3" t="s">
        <v>521</v>
      </c>
      <c r="K3661" s="9" t="s">
        <v>36</v>
      </c>
      <c r="L3661" s="6" t="s">
        <v>36</v>
      </c>
      <c r="M3661" s="3" t="s">
        <v>36</v>
      </c>
      <c r="N3661" s="3" t="s">
        <v>36</v>
      </c>
      <c r="O3661" s="8" t="s">
        <v>36</v>
      </c>
      <c r="P3661" s="3" t="s">
        <v>36</v>
      </c>
      <c r="Q3661" s="3" t="s">
        <v>36</v>
      </c>
      <c r="R3661" s="3" t="s">
        <v>36</v>
      </c>
      <c r="S3661" s="3" t="s">
        <v>36</v>
      </c>
      <c r="T3661" s="3" t="s">
        <v>10039</v>
      </c>
      <c r="U3661" s="3" t="s">
        <v>74</v>
      </c>
      <c r="V3661" s="3" t="s">
        <v>75</v>
      </c>
      <c r="W3661" s="3" t="s">
        <v>10040</v>
      </c>
      <c r="X3661" s="10" t="s">
        <v>18653</v>
      </c>
      <c r="Y3661" s="6" t="s">
        <v>42</v>
      </c>
      <c r="Z3661" s="4">
        <v>2.96</v>
      </c>
      <c r="AA3661" s="4">
        <v>4.57</v>
      </c>
      <c r="AB3661" s="3" t="s">
        <v>43</v>
      </c>
      <c r="AC3661" s="3" t="s">
        <v>10042</v>
      </c>
      <c r="AD3661" s="9">
        <v>44090</v>
      </c>
      <c r="AE3661" s="3" t="s">
        <v>3144</v>
      </c>
      <c r="AF3661" s="3" t="s">
        <v>10043</v>
      </c>
      <c r="AG3661" s="3" t="s">
        <v>652</v>
      </c>
      <c r="AH3661" s="11">
        <f>HYPERLINK("https://my.pitchbook.com?c=156262-96T","View Company Online")</f>
      </c>
    </row>
    <row r="3662">
      <c r="A3662" s="12" t="s">
        <v>18654</v>
      </c>
      <c r="B3662" s="12" t="s">
        <v>18655</v>
      </c>
      <c r="C3662" s="19" t="s">
        <v>36</v>
      </c>
      <c r="D3662" s="19" t="s">
        <v>36</v>
      </c>
      <c r="E3662" s="19" t="s">
        <v>36</v>
      </c>
      <c r="F3662" s="19" t="s">
        <v>36</v>
      </c>
      <c r="G3662" s="15" t="s">
        <v>36</v>
      </c>
      <c r="H3662" s="14">
        <v>1.71</v>
      </c>
      <c r="I3662" s="18">
        <v>25.83</v>
      </c>
      <c r="J3662" s="12" t="s">
        <v>521</v>
      </c>
      <c r="K3662" s="13" t="s">
        <v>36</v>
      </c>
      <c r="L3662" s="15" t="s">
        <v>36</v>
      </c>
      <c r="M3662" s="12" t="s">
        <v>36</v>
      </c>
      <c r="N3662" s="12" t="s">
        <v>36</v>
      </c>
      <c r="O3662" s="17" t="s">
        <v>36</v>
      </c>
      <c r="P3662" s="12" t="s">
        <v>36</v>
      </c>
      <c r="Q3662" s="12" t="s">
        <v>36</v>
      </c>
      <c r="R3662" s="12" t="s">
        <v>36</v>
      </c>
      <c r="S3662" s="12" t="s">
        <v>36</v>
      </c>
      <c r="T3662" s="12" t="s">
        <v>583</v>
      </c>
      <c r="U3662" s="12" t="s">
        <v>423</v>
      </c>
      <c r="V3662" s="12" t="s">
        <v>64</v>
      </c>
      <c r="W3662" s="12" t="s">
        <v>18656</v>
      </c>
      <c r="X3662" s="16" t="s">
        <v>18657</v>
      </c>
      <c r="Y3662" s="15" t="s">
        <v>42</v>
      </c>
      <c r="Z3662" s="14">
        <v>4.74</v>
      </c>
      <c r="AA3662" s="14">
        <v>13.76</v>
      </c>
      <c r="AB3662" s="12" t="s">
        <v>43</v>
      </c>
      <c r="AC3662" s="12" t="s">
        <v>18658</v>
      </c>
      <c r="AD3662" s="13">
        <v>44090</v>
      </c>
      <c r="AE3662" s="12" t="s">
        <v>562</v>
      </c>
      <c r="AF3662" s="12" t="s">
        <v>1061</v>
      </c>
      <c r="AG3662" s="12" t="s">
        <v>392</v>
      </c>
      <c r="AH3662" s="1">
        <f>HYPERLINK("https://my.pitchbook.com?c=155690-47T","View Company Online")</f>
      </c>
    </row>
    <row r="3663">
      <c r="A3663" s="3" t="s">
        <v>18659</v>
      </c>
      <c r="B3663" s="3" t="s">
        <v>18660</v>
      </c>
      <c r="C3663" s="5" t="s">
        <v>36</v>
      </c>
      <c r="D3663" s="5" t="s">
        <v>36</v>
      </c>
      <c r="E3663" s="5" t="s">
        <v>36</v>
      </c>
      <c r="F3663" s="5" t="s">
        <v>36</v>
      </c>
      <c r="G3663" s="6" t="s">
        <v>36</v>
      </c>
      <c r="H3663" s="4" t="s">
        <v>36</v>
      </c>
      <c r="I3663" s="7" t="s">
        <v>36</v>
      </c>
      <c r="J3663" s="3" t="s">
        <v>36</v>
      </c>
      <c r="K3663" s="9" t="s">
        <v>36</v>
      </c>
      <c r="L3663" s="6" t="s">
        <v>36</v>
      </c>
      <c r="M3663" s="3" t="s">
        <v>36</v>
      </c>
      <c r="N3663" s="3" t="s">
        <v>36</v>
      </c>
      <c r="O3663" s="8" t="s">
        <v>36</v>
      </c>
      <c r="P3663" s="3" t="s">
        <v>36</v>
      </c>
      <c r="Q3663" s="3" t="s">
        <v>36</v>
      </c>
      <c r="R3663" s="3" t="s">
        <v>36</v>
      </c>
      <c r="S3663" s="3" t="s">
        <v>36</v>
      </c>
      <c r="T3663" s="3" t="s">
        <v>1227</v>
      </c>
      <c r="U3663" s="3" t="s">
        <v>74</v>
      </c>
      <c r="V3663" s="3" t="s">
        <v>75</v>
      </c>
      <c r="W3663" s="3" t="s">
        <v>18661</v>
      </c>
      <c r="X3663" s="10" t="s">
        <v>18662</v>
      </c>
      <c r="Y3663" s="6" t="s">
        <v>42</v>
      </c>
      <c r="Z3663" s="4">
        <v>0.89</v>
      </c>
      <c r="AA3663" s="4" t="s">
        <v>36</v>
      </c>
      <c r="AB3663" s="3" t="s">
        <v>43</v>
      </c>
      <c r="AC3663" s="3" t="s">
        <v>18663</v>
      </c>
      <c r="AD3663" s="9">
        <v>44090</v>
      </c>
      <c r="AE3663" s="3" t="s">
        <v>570</v>
      </c>
      <c r="AF3663" s="3" t="s">
        <v>7374</v>
      </c>
      <c r="AG3663" s="3" t="s">
        <v>18664</v>
      </c>
      <c r="AH3663" s="11">
        <f>HYPERLINK("https://my.pitchbook.com?c=268135-75T","View Company Online")</f>
      </c>
    </row>
    <row r="3664">
      <c r="A3664" s="12" t="s">
        <v>18665</v>
      </c>
      <c r="B3664" s="12" t="s">
        <v>18666</v>
      </c>
      <c r="C3664" s="19" t="s">
        <v>36</v>
      </c>
      <c r="D3664" s="19" t="s">
        <v>36</v>
      </c>
      <c r="E3664" s="19">
        <v>1</v>
      </c>
      <c r="F3664" s="19">
        <v>1</v>
      </c>
      <c r="G3664" s="15" t="s">
        <v>36</v>
      </c>
      <c r="H3664" s="14" t="s">
        <v>36</v>
      </c>
      <c r="I3664" s="18" t="s">
        <v>36</v>
      </c>
      <c r="J3664" s="12" t="s">
        <v>36</v>
      </c>
      <c r="K3664" s="13" t="s">
        <v>36</v>
      </c>
      <c r="L3664" s="15" t="s">
        <v>122</v>
      </c>
      <c r="M3664" s="12" t="s">
        <v>36</v>
      </c>
      <c r="N3664" s="12" t="s">
        <v>122</v>
      </c>
      <c r="O3664" s="17" t="s">
        <v>36</v>
      </c>
      <c r="P3664" s="12" t="s">
        <v>36</v>
      </c>
      <c r="Q3664" s="12" t="s">
        <v>36</v>
      </c>
      <c r="R3664" s="12" t="s">
        <v>36</v>
      </c>
      <c r="S3664" s="12" t="s">
        <v>36</v>
      </c>
      <c r="T3664" s="12" t="s">
        <v>18667</v>
      </c>
      <c r="U3664" s="12" t="s">
        <v>1357</v>
      </c>
      <c r="V3664" s="12" t="s">
        <v>52</v>
      </c>
      <c r="W3664" s="12" t="s">
        <v>18668</v>
      </c>
      <c r="X3664" s="16" t="s">
        <v>18669</v>
      </c>
      <c r="Y3664" s="15" t="s">
        <v>55</v>
      </c>
      <c r="Z3664" s="14">
        <v>2.37</v>
      </c>
      <c r="AA3664" s="14" t="s">
        <v>36</v>
      </c>
      <c r="AB3664" s="12" t="s">
        <v>56</v>
      </c>
      <c r="AC3664" s="12" t="s">
        <v>18670</v>
      </c>
      <c r="AD3664" s="13">
        <v>44089</v>
      </c>
      <c r="AE3664" s="12" t="s">
        <v>2377</v>
      </c>
      <c r="AF3664" s="12" t="s">
        <v>1977</v>
      </c>
      <c r="AG3664" s="12" t="s">
        <v>81</v>
      </c>
      <c r="AH3664" s="1">
        <f>HYPERLINK("https://my.pitchbook.com?c=156395-80T","View Company Online")</f>
      </c>
    </row>
    <row r="3665">
      <c r="A3665" s="3" t="s">
        <v>18671</v>
      </c>
      <c r="B3665" s="3" t="s">
        <v>18672</v>
      </c>
      <c r="C3665" s="5" t="s">
        <v>36</v>
      </c>
      <c r="D3665" s="5" t="s">
        <v>36</v>
      </c>
      <c r="E3665" s="5" t="s">
        <v>36</v>
      </c>
      <c r="F3665" s="5" t="s">
        <v>36</v>
      </c>
      <c r="G3665" s="6" t="s">
        <v>683</v>
      </c>
      <c r="H3665" s="4">
        <v>1483.07</v>
      </c>
      <c r="I3665" s="7">
        <v>17.68</v>
      </c>
      <c r="J3665" s="3" t="s">
        <v>521</v>
      </c>
      <c r="K3665" s="9" t="s">
        <v>36</v>
      </c>
      <c r="L3665" s="6" t="s">
        <v>36</v>
      </c>
      <c r="M3665" s="3" t="s">
        <v>36</v>
      </c>
      <c r="N3665" s="3" t="s">
        <v>36</v>
      </c>
      <c r="O3665" s="8" t="s">
        <v>36</v>
      </c>
      <c r="P3665" s="3" t="s">
        <v>36</v>
      </c>
      <c r="Q3665" s="3" t="s">
        <v>36</v>
      </c>
      <c r="R3665" s="3" t="s">
        <v>36</v>
      </c>
      <c r="S3665" s="3" t="s">
        <v>36</v>
      </c>
      <c r="T3665" s="3" t="s">
        <v>62</v>
      </c>
      <c r="U3665" s="3" t="s">
        <v>63</v>
      </c>
      <c r="V3665" s="3" t="s">
        <v>64</v>
      </c>
      <c r="W3665" s="3" t="s">
        <v>18673</v>
      </c>
      <c r="X3665" s="10" t="s">
        <v>18674</v>
      </c>
      <c r="Y3665" s="6" t="s">
        <v>108</v>
      </c>
      <c r="Z3665" s="4">
        <v>2.18</v>
      </c>
      <c r="AA3665" s="4">
        <v>12.35</v>
      </c>
      <c r="AB3665" s="3" t="s">
        <v>56</v>
      </c>
      <c r="AC3665" s="3" t="s">
        <v>18675</v>
      </c>
      <c r="AD3665" s="9">
        <v>44089</v>
      </c>
      <c r="AE3665" s="3" t="s">
        <v>68</v>
      </c>
      <c r="AF3665" s="3" t="s">
        <v>176</v>
      </c>
      <c r="AG3665" s="3" t="s">
        <v>81</v>
      </c>
      <c r="AH3665" s="11">
        <f>HYPERLINK("https://my.pitchbook.com?c=187893-91T","View Company Online")</f>
      </c>
    </row>
    <row r="3666">
      <c r="A3666" s="12" t="s">
        <v>18676</v>
      </c>
      <c r="B3666" s="12" t="s">
        <v>18677</v>
      </c>
      <c r="C3666" s="19" t="s">
        <v>36</v>
      </c>
      <c r="D3666" s="19" t="s">
        <v>36</v>
      </c>
      <c r="E3666" s="19" t="s">
        <v>36</v>
      </c>
      <c r="F3666" s="19" t="s">
        <v>36</v>
      </c>
      <c r="G3666" s="15" t="s">
        <v>36</v>
      </c>
      <c r="H3666" s="14" t="s">
        <v>36</v>
      </c>
      <c r="I3666" s="18">
        <v>28</v>
      </c>
      <c r="J3666" s="12" t="s">
        <v>327</v>
      </c>
      <c r="K3666" s="13" t="s">
        <v>36</v>
      </c>
      <c r="L3666" s="15" t="s">
        <v>36</v>
      </c>
      <c r="M3666" s="12" t="s">
        <v>36</v>
      </c>
      <c r="N3666" s="12" t="s">
        <v>36</v>
      </c>
      <c r="O3666" s="17" t="s">
        <v>36</v>
      </c>
      <c r="P3666" s="12" t="s">
        <v>36</v>
      </c>
      <c r="Q3666" s="12" t="s">
        <v>36</v>
      </c>
      <c r="R3666" s="12" t="s">
        <v>36</v>
      </c>
      <c r="S3666" s="12" t="s">
        <v>36</v>
      </c>
      <c r="T3666" s="12" t="s">
        <v>9494</v>
      </c>
      <c r="U3666" s="12" t="s">
        <v>38</v>
      </c>
      <c r="V3666" s="12" t="s">
        <v>39</v>
      </c>
      <c r="W3666" s="12" t="s">
        <v>18678</v>
      </c>
      <c r="X3666" s="16" t="s">
        <v>18679</v>
      </c>
      <c r="Y3666" s="15" t="s">
        <v>42</v>
      </c>
      <c r="Z3666" s="14">
        <v>1.42</v>
      </c>
      <c r="AA3666" s="14">
        <v>5.08</v>
      </c>
      <c r="AB3666" s="12" t="s">
        <v>43</v>
      </c>
      <c r="AC3666" s="12" t="s">
        <v>18680</v>
      </c>
      <c r="AD3666" s="13">
        <v>44089</v>
      </c>
      <c r="AE3666" s="12" t="s">
        <v>554</v>
      </c>
      <c r="AF3666" s="12" t="s">
        <v>12100</v>
      </c>
      <c r="AG3666" s="12" t="s">
        <v>899</v>
      </c>
      <c r="AH3666" s="1">
        <f>HYPERLINK("https://my.pitchbook.com?c=156244-69T","View Company Online")</f>
      </c>
    </row>
    <row r="3667">
      <c r="A3667" s="3" t="s">
        <v>18681</v>
      </c>
      <c r="B3667" s="3" t="s">
        <v>12039</v>
      </c>
      <c r="C3667" s="5">
        <v>25</v>
      </c>
      <c r="D3667" s="5">
        <v>12</v>
      </c>
      <c r="E3667" s="5">
        <v>6</v>
      </c>
      <c r="F3667" s="5">
        <v>37</v>
      </c>
      <c r="G3667" s="6" t="s">
        <v>683</v>
      </c>
      <c r="H3667" s="4" t="s">
        <v>36</v>
      </c>
      <c r="I3667" s="7">
        <v>55.35</v>
      </c>
      <c r="J3667" s="3" t="s">
        <v>327</v>
      </c>
      <c r="K3667" s="9">
        <v>43796</v>
      </c>
      <c r="L3667" s="6" t="s">
        <v>94</v>
      </c>
      <c r="M3667" s="3" t="s">
        <v>36</v>
      </c>
      <c r="N3667" s="3" t="s">
        <v>94</v>
      </c>
      <c r="O3667" s="8" t="s">
        <v>36</v>
      </c>
      <c r="P3667" s="3" t="s">
        <v>36</v>
      </c>
      <c r="Q3667" s="3" t="s">
        <v>36</v>
      </c>
      <c r="R3667" s="3" t="s">
        <v>36</v>
      </c>
      <c r="S3667" s="3" t="s">
        <v>36</v>
      </c>
      <c r="T3667" s="3" t="s">
        <v>881</v>
      </c>
      <c r="U3667" s="3" t="s">
        <v>51</v>
      </c>
      <c r="V3667" s="3" t="s">
        <v>52</v>
      </c>
      <c r="W3667" s="3" t="s">
        <v>12040</v>
      </c>
      <c r="X3667" s="10" t="s">
        <v>18682</v>
      </c>
      <c r="Y3667" s="6" t="s">
        <v>55</v>
      </c>
      <c r="Z3667" s="4">
        <v>63.97</v>
      </c>
      <c r="AA3667" s="4">
        <v>115.57</v>
      </c>
      <c r="AB3667" s="3" t="s">
        <v>56</v>
      </c>
      <c r="AC3667" s="3" t="s">
        <v>12042</v>
      </c>
      <c r="AD3667" s="9">
        <v>44089</v>
      </c>
      <c r="AE3667" s="3" t="s">
        <v>504</v>
      </c>
      <c r="AF3667" s="3" t="s">
        <v>3193</v>
      </c>
      <c r="AG3667" s="3" t="s">
        <v>899</v>
      </c>
      <c r="AH3667" s="11">
        <f>HYPERLINK("https://my.pitchbook.com?c=127455-40T","View Company Online")</f>
      </c>
    </row>
    <row r="3668">
      <c r="A3668" s="12" t="s">
        <v>18683</v>
      </c>
      <c r="B3668" s="12" t="s">
        <v>18684</v>
      </c>
      <c r="C3668" s="19" t="s">
        <v>36</v>
      </c>
      <c r="D3668" s="19" t="s">
        <v>36</v>
      </c>
      <c r="E3668" s="19" t="s">
        <v>36</v>
      </c>
      <c r="F3668" s="19" t="s">
        <v>36</v>
      </c>
      <c r="G3668" s="15" t="s">
        <v>2497</v>
      </c>
      <c r="H3668" s="14">
        <v>15.58</v>
      </c>
      <c r="I3668" s="18">
        <v>30.32</v>
      </c>
      <c r="J3668" s="12" t="s">
        <v>521</v>
      </c>
      <c r="K3668" s="13" t="s">
        <v>36</v>
      </c>
      <c r="L3668" s="15" t="s">
        <v>36</v>
      </c>
      <c r="M3668" s="12" t="s">
        <v>36</v>
      </c>
      <c r="N3668" s="12" t="s">
        <v>36</v>
      </c>
      <c r="O3668" s="17" t="s">
        <v>36</v>
      </c>
      <c r="P3668" s="12" t="s">
        <v>36</v>
      </c>
      <c r="Q3668" s="12" t="s">
        <v>36</v>
      </c>
      <c r="R3668" s="12" t="s">
        <v>36</v>
      </c>
      <c r="S3668" s="12" t="s">
        <v>36</v>
      </c>
      <c r="T3668" s="12" t="s">
        <v>1227</v>
      </c>
      <c r="U3668" s="12" t="s">
        <v>74</v>
      </c>
      <c r="V3668" s="12" t="s">
        <v>75</v>
      </c>
      <c r="W3668" s="12" t="s">
        <v>18685</v>
      </c>
      <c r="X3668" s="16" t="s">
        <v>18686</v>
      </c>
      <c r="Y3668" s="15" t="s">
        <v>55</v>
      </c>
      <c r="Z3668" s="14">
        <v>0.78</v>
      </c>
      <c r="AA3668" s="14">
        <v>2.58</v>
      </c>
      <c r="AB3668" s="12" t="s">
        <v>43</v>
      </c>
      <c r="AC3668" s="12" t="s">
        <v>18687</v>
      </c>
      <c r="AD3668" s="13">
        <v>44089</v>
      </c>
      <c r="AE3668" s="12" t="s">
        <v>570</v>
      </c>
      <c r="AF3668" s="12" t="s">
        <v>36</v>
      </c>
      <c r="AG3668" s="12" t="s">
        <v>18688</v>
      </c>
      <c r="AH3668" s="1">
        <f>HYPERLINK("https://my.pitchbook.com?c=253052-56T","View Company Online")</f>
      </c>
    </row>
    <row r="3669">
      <c r="A3669" s="3" t="s">
        <v>18689</v>
      </c>
      <c r="B3669" s="3" t="s">
        <v>18690</v>
      </c>
      <c r="C3669" s="5">
        <v>5</v>
      </c>
      <c r="D3669" s="5">
        <v>36</v>
      </c>
      <c r="E3669" s="5">
        <v>11</v>
      </c>
      <c r="F3669" s="5">
        <v>46</v>
      </c>
      <c r="G3669" s="6" t="s">
        <v>683</v>
      </c>
      <c r="H3669" s="4">
        <v>508.9</v>
      </c>
      <c r="I3669" s="7">
        <v>18.91</v>
      </c>
      <c r="J3669" s="3" t="s">
        <v>521</v>
      </c>
      <c r="K3669" s="9" t="s">
        <v>36</v>
      </c>
      <c r="L3669" s="6" t="s">
        <v>36</v>
      </c>
      <c r="M3669" s="3" t="s">
        <v>36</v>
      </c>
      <c r="N3669" s="3" t="s">
        <v>36</v>
      </c>
      <c r="O3669" s="8" t="s">
        <v>36</v>
      </c>
      <c r="P3669" s="3" t="s">
        <v>36</v>
      </c>
      <c r="Q3669" s="3" t="s">
        <v>36</v>
      </c>
      <c r="R3669" s="3" t="s">
        <v>36</v>
      </c>
      <c r="S3669" s="3" t="s">
        <v>36</v>
      </c>
      <c r="T3669" s="3" t="s">
        <v>18691</v>
      </c>
      <c r="U3669" s="3" t="s">
        <v>219</v>
      </c>
      <c r="V3669" s="3" t="s">
        <v>75</v>
      </c>
      <c r="W3669" s="3" t="s">
        <v>18692</v>
      </c>
      <c r="X3669" s="10" t="s">
        <v>1840</v>
      </c>
      <c r="Y3669" s="6" t="s">
        <v>108</v>
      </c>
      <c r="Z3669" s="4">
        <v>1.66</v>
      </c>
      <c r="AA3669" s="4">
        <v>8.77</v>
      </c>
      <c r="AB3669" s="3" t="s">
        <v>56</v>
      </c>
      <c r="AC3669" s="3" t="s">
        <v>18693</v>
      </c>
      <c r="AD3669" s="9">
        <v>44089</v>
      </c>
      <c r="AE3669" s="3" t="s">
        <v>223</v>
      </c>
      <c r="AF3669" s="3" t="s">
        <v>36</v>
      </c>
      <c r="AG3669" s="3" t="s">
        <v>18694</v>
      </c>
      <c r="AH3669" s="11">
        <f>HYPERLINK("https://my.pitchbook.com?c=181853-20T","View Company Online")</f>
      </c>
    </row>
    <row r="3670">
      <c r="A3670" s="12" t="s">
        <v>18695</v>
      </c>
      <c r="B3670" s="12" t="s">
        <v>18696</v>
      </c>
      <c r="C3670" s="19" t="s">
        <v>36</v>
      </c>
      <c r="D3670" s="19">
        <v>6</v>
      </c>
      <c r="E3670" s="19">
        <v>2</v>
      </c>
      <c r="F3670" s="19">
        <v>10</v>
      </c>
      <c r="G3670" s="15" t="s">
        <v>683</v>
      </c>
      <c r="H3670" s="14">
        <v>4.3</v>
      </c>
      <c r="I3670" s="18">
        <v>47.58</v>
      </c>
      <c r="J3670" s="12" t="s">
        <v>521</v>
      </c>
      <c r="K3670" s="13">
        <v>44028</v>
      </c>
      <c r="L3670" s="15" t="s">
        <v>36</v>
      </c>
      <c r="M3670" s="12" t="s">
        <v>36</v>
      </c>
      <c r="N3670" s="12" t="s">
        <v>36</v>
      </c>
      <c r="O3670" s="17" t="s">
        <v>36</v>
      </c>
      <c r="P3670" s="12" t="s">
        <v>36</v>
      </c>
      <c r="Q3670" s="12" t="s">
        <v>36</v>
      </c>
      <c r="R3670" s="12" t="s">
        <v>36</v>
      </c>
      <c r="S3670" s="12" t="s">
        <v>36</v>
      </c>
      <c r="T3670" s="12" t="s">
        <v>1162</v>
      </c>
      <c r="U3670" s="12" t="s">
        <v>423</v>
      </c>
      <c r="V3670" s="12" t="s">
        <v>64</v>
      </c>
      <c r="W3670" s="12" t="s">
        <v>18697</v>
      </c>
      <c r="X3670" s="16" t="s">
        <v>18698</v>
      </c>
      <c r="Y3670" s="15" t="s">
        <v>192</v>
      </c>
      <c r="Z3670" s="14">
        <v>8.88</v>
      </c>
      <c r="AA3670" s="14">
        <v>13.07</v>
      </c>
      <c r="AB3670" s="12" t="s">
        <v>56</v>
      </c>
      <c r="AC3670" s="12" t="s">
        <v>18699</v>
      </c>
      <c r="AD3670" s="13">
        <v>44089</v>
      </c>
      <c r="AE3670" s="12" t="s">
        <v>562</v>
      </c>
      <c r="AF3670" s="12" t="s">
        <v>18700</v>
      </c>
      <c r="AG3670" s="12" t="s">
        <v>18701</v>
      </c>
      <c r="AH3670" s="1">
        <f>HYPERLINK("https://my.pitchbook.com?c=156183-31T","View Company Online")</f>
      </c>
    </row>
    <row r="3671">
      <c r="A3671" s="3" t="s">
        <v>18702</v>
      </c>
      <c r="B3671" s="3" t="s">
        <v>18703</v>
      </c>
      <c r="C3671" s="5" t="s">
        <v>36</v>
      </c>
      <c r="D3671" s="5">
        <v>2</v>
      </c>
      <c r="E3671" s="5">
        <v>1</v>
      </c>
      <c r="F3671" s="5">
        <v>2</v>
      </c>
      <c r="G3671" s="6" t="s">
        <v>326</v>
      </c>
      <c r="H3671" s="4" t="s">
        <v>36</v>
      </c>
      <c r="I3671" s="7">
        <v>23</v>
      </c>
      <c r="J3671" s="3" t="s">
        <v>521</v>
      </c>
      <c r="K3671" s="9">
        <v>43634</v>
      </c>
      <c r="L3671" s="6" t="s">
        <v>1279</v>
      </c>
      <c r="M3671" s="3" t="s">
        <v>36</v>
      </c>
      <c r="N3671" s="3" t="s">
        <v>1279</v>
      </c>
      <c r="O3671" s="8" t="s">
        <v>36</v>
      </c>
      <c r="P3671" s="3" t="s">
        <v>36</v>
      </c>
      <c r="Q3671" s="3" t="s">
        <v>36</v>
      </c>
      <c r="R3671" s="3" t="s">
        <v>36</v>
      </c>
      <c r="S3671" s="3" t="s">
        <v>36</v>
      </c>
      <c r="T3671" s="3" t="s">
        <v>105</v>
      </c>
      <c r="U3671" s="3" t="s">
        <v>38</v>
      </c>
      <c r="V3671" s="3" t="s">
        <v>39</v>
      </c>
      <c r="W3671" s="3" t="s">
        <v>18704</v>
      </c>
      <c r="X3671" s="10" t="s">
        <v>18705</v>
      </c>
      <c r="Y3671" s="6" t="s">
        <v>192</v>
      </c>
      <c r="Z3671" s="4">
        <v>230</v>
      </c>
      <c r="AA3671" s="4">
        <v>1000</v>
      </c>
      <c r="AB3671" s="3" t="s">
        <v>56</v>
      </c>
      <c r="AC3671" s="3" t="s">
        <v>18706</v>
      </c>
      <c r="AD3671" s="9">
        <v>44088</v>
      </c>
      <c r="AE3671" s="3" t="s">
        <v>110</v>
      </c>
      <c r="AF3671" s="3" t="s">
        <v>4552</v>
      </c>
      <c r="AG3671" s="3" t="s">
        <v>81</v>
      </c>
      <c r="AH3671" s="11">
        <f>HYPERLINK("https://my.pitchbook.com?c=119837-26T","View Company Online")</f>
      </c>
    </row>
    <row r="3672">
      <c r="A3672" s="12" t="s">
        <v>18707</v>
      </c>
      <c r="B3672" s="12" t="s">
        <v>8526</v>
      </c>
      <c r="C3672" s="19">
        <v>15</v>
      </c>
      <c r="D3672" s="19">
        <v>73</v>
      </c>
      <c r="E3672" s="19">
        <v>25</v>
      </c>
      <c r="F3672" s="19">
        <v>97</v>
      </c>
      <c r="G3672" s="15" t="s">
        <v>2497</v>
      </c>
      <c r="H3672" s="14">
        <v>13.79</v>
      </c>
      <c r="I3672" s="18">
        <v>8.39</v>
      </c>
      <c r="J3672" s="12" t="s">
        <v>521</v>
      </c>
      <c r="K3672" s="13" t="s">
        <v>36</v>
      </c>
      <c r="L3672" s="15" t="s">
        <v>36</v>
      </c>
      <c r="M3672" s="12" t="s">
        <v>36</v>
      </c>
      <c r="N3672" s="12" t="s">
        <v>36</v>
      </c>
      <c r="O3672" s="17" t="s">
        <v>36</v>
      </c>
      <c r="P3672" s="12" t="s">
        <v>36</v>
      </c>
      <c r="Q3672" s="12" t="s">
        <v>36</v>
      </c>
      <c r="R3672" s="12" t="s">
        <v>36</v>
      </c>
      <c r="S3672" s="12" t="s">
        <v>36</v>
      </c>
      <c r="T3672" s="12" t="s">
        <v>8527</v>
      </c>
      <c r="U3672" s="12" t="s">
        <v>180</v>
      </c>
      <c r="V3672" s="12" t="s">
        <v>52</v>
      </c>
      <c r="W3672" s="12" t="s">
        <v>8528</v>
      </c>
      <c r="X3672" s="16" t="s">
        <v>8529</v>
      </c>
      <c r="Y3672" s="15" t="s">
        <v>321</v>
      </c>
      <c r="Z3672" s="14">
        <v>10.11</v>
      </c>
      <c r="AA3672" s="14">
        <v>120.49</v>
      </c>
      <c r="AB3672" s="12" t="s">
        <v>56</v>
      </c>
      <c r="AC3672" s="12" t="s">
        <v>8530</v>
      </c>
      <c r="AD3672" s="13">
        <v>44086</v>
      </c>
      <c r="AE3672" s="12" t="s">
        <v>184</v>
      </c>
      <c r="AF3672" s="12" t="s">
        <v>3193</v>
      </c>
      <c r="AG3672" s="12" t="s">
        <v>8531</v>
      </c>
      <c r="AH3672" s="1">
        <f>HYPERLINK("https://my.pitchbook.com?c=206327-71T","View Company Online")</f>
      </c>
    </row>
    <row r="3673">
      <c r="A3673" s="3" t="s">
        <v>18708</v>
      </c>
      <c r="B3673" s="3" t="s">
        <v>13740</v>
      </c>
      <c r="C3673" s="5" t="s">
        <v>36</v>
      </c>
      <c r="D3673" s="5" t="s">
        <v>36</v>
      </c>
      <c r="E3673" s="5" t="s">
        <v>36</v>
      </c>
      <c r="F3673" s="5" t="s">
        <v>36</v>
      </c>
      <c r="G3673" s="6" t="s">
        <v>326</v>
      </c>
      <c r="H3673" s="4">
        <v>1998.78</v>
      </c>
      <c r="I3673" s="7">
        <v>22.02</v>
      </c>
      <c r="J3673" s="3" t="s">
        <v>521</v>
      </c>
      <c r="K3673" s="9" t="s">
        <v>36</v>
      </c>
      <c r="L3673" s="6" t="s">
        <v>122</v>
      </c>
      <c r="M3673" s="3" t="s">
        <v>36</v>
      </c>
      <c r="N3673" s="3" t="s">
        <v>122</v>
      </c>
      <c r="O3673" s="8" t="s">
        <v>36</v>
      </c>
      <c r="P3673" s="3" t="s">
        <v>36</v>
      </c>
      <c r="Q3673" s="3" t="s">
        <v>36</v>
      </c>
      <c r="R3673" s="3" t="s">
        <v>36</v>
      </c>
      <c r="S3673" s="3" t="s">
        <v>13741</v>
      </c>
      <c r="T3673" s="3" t="s">
        <v>2498</v>
      </c>
      <c r="U3673" s="3" t="s">
        <v>956</v>
      </c>
      <c r="V3673" s="3" t="s">
        <v>405</v>
      </c>
      <c r="W3673" s="3" t="s">
        <v>13742</v>
      </c>
      <c r="X3673" s="10" t="s">
        <v>18709</v>
      </c>
      <c r="Y3673" s="6" t="s">
        <v>108</v>
      </c>
      <c r="Z3673" s="4">
        <v>22.5</v>
      </c>
      <c r="AA3673" s="4">
        <v>84.44</v>
      </c>
      <c r="AB3673" s="3" t="s">
        <v>43</v>
      </c>
      <c r="AC3673" s="3" t="s">
        <v>13744</v>
      </c>
      <c r="AD3673" s="9">
        <v>44085</v>
      </c>
      <c r="AE3673" s="3" t="s">
        <v>960</v>
      </c>
      <c r="AF3673" s="3" t="s">
        <v>13745</v>
      </c>
      <c r="AG3673" s="3" t="s">
        <v>81</v>
      </c>
      <c r="AH3673" s="11">
        <f>HYPERLINK("https://my.pitchbook.com?c=155946-43T","View Company Online")</f>
      </c>
    </row>
    <row r="3674">
      <c r="A3674" s="12" t="s">
        <v>18710</v>
      </c>
      <c r="B3674" s="12" t="s">
        <v>18711</v>
      </c>
      <c r="C3674" s="19" t="s">
        <v>36</v>
      </c>
      <c r="D3674" s="19" t="s">
        <v>36</v>
      </c>
      <c r="E3674" s="19">
        <v>1</v>
      </c>
      <c r="F3674" s="19">
        <v>1</v>
      </c>
      <c r="G3674" s="15" t="s">
        <v>36</v>
      </c>
      <c r="H3674" s="14">
        <v>111.8</v>
      </c>
      <c r="I3674" s="18">
        <v>24.89</v>
      </c>
      <c r="J3674" s="12" t="s">
        <v>521</v>
      </c>
      <c r="K3674" s="13" t="s">
        <v>36</v>
      </c>
      <c r="L3674" s="15" t="s">
        <v>36</v>
      </c>
      <c r="M3674" s="12" t="s">
        <v>36</v>
      </c>
      <c r="N3674" s="12" t="s">
        <v>36</v>
      </c>
      <c r="O3674" s="17" t="s">
        <v>36</v>
      </c>
      <c r="P3674" s="12" t="s">
        <v>36</v>
      </c>
      <c r="Q3674" s="12" t="s">
        <v>36</v>
      </c>
      <c r="R3674" s="12" t="s">
        <v>36</v>
      </c>
      <c r="S3674" s="12" t="s">
        <v>36</v>
      </c>
      <c r="T3674" s="12" t="s">
        <v>2255</v>
      </c>
      <c r="U3674" s="12" t="s">
        <v>833</v>
      </c>
      <c r="V3674" s="12" t="s">
        <v>64</v>
      </c>
      <c r="W3674" s="12" t="s">
        <v>18712</v>
      </c>
      <c r="X3674" s="16" t="s">
        <v>18713</v>
      </c>
      <c r="Y3674" s="15" t="s">
        <v>42</v>
      </c>
      <c r="Z3674" s="14">
        <v>0.43</v>
      </c>
      <c r="AA3674" s="14">
        <v>1.58</v>
      </c>
      <c r="AB3674" s="12" t="s">
        <v>43</v>
      </c>
      <c r="AC3674" s="12" t="s">
        <v>18714</v>
      </c>
      <c r="AD3674" s="13">
        <v>44085</v>
      </c>
      <c r="AE3674" s="12" t="s">
        <v>1769</v>
      </c>
      <c r="AF3674" s="12" t="s">
        <v>36</v>
      </c>
      <c r="AG3674" s="12" t="s">
        <v>512</v>
      </c>
      <c r="AH3674" s="1">
        <f>HYPERLINK("https://my.pitchbook.com?c=204495-58T","View Company Online")</f>
      </c>
    </row>
    <row r="3675">
      <c r="A3675" s="3" t="s">
        <v>18715</v>
      </c>
      <c r="B3675" s="3" t="s">
        <v>18716</v>
      </c>
      <c r="C3675" s="5" t="s">
        <v>36</v>
      </c>
      <c r="D3675" s="5" t="s">
        <v>36</v>
      </c>
      <c r="E3675" s="5" t="s">
        <v>36</v>
      </c>
      <c r="F3675" s="5" t="s">
        <v>36</v>
      </c>
      <c r="G3675" s="6" t="s">
        <v>326</v>
      </c>
      <c r="H3675" s="4">
        <v>346.38</v>
      </c>
      <c r="I3675" s="7">
        <v>13.35</v>
      </c>
      <c r="J3675" s="3" t="s">
        <v>521</v>
      </c>
      <c r="K3675" s="9" t="s">
        <v>36</v>
      </c>
      <c r="L3675" s="6" t="s">
        <v>94</v>
      </c>
      <c r="M3675" s="3" t="s">
        <v>36</v>
      </c>
      <c r="N3675" s="3" t="s">
        <v>94</v>
      </c>
      <c r="O3675" s="8" t="s">
        <v>36</v>
      </c>
      <c r="P3675" s="3" t="s">
        <v>36</v>
      </c>
      <c r="Q3675" s="3" t="s">
        <v>36</v>
      </c>
      <c r="R3675" s="3" t="s">
        <v>36</v>
      </c>
      <c r="S3675" s="3" t="s">
        <v>36</v>
      </c>
      <c r="T3675" s="3" t="s">
        <v>4733</v>
      </c>
      <c r="U3675" s="3" t="s">
        <v>423</v>
      </c>
      <c r="V3675" s="3" t="s">
        <v>64</v>
      </c>
      <c r="W3675" s="3" t="s">
        <v>18717</v>
      </c>
      <c r="X3675" s="10" t="s">
        <v>18718</v>
      </c>
      <c r="Y3675" s="6" t="s">
        <v>108</v>
      </c>
      <c r="Z3675" s="4">
        <v>11.84</v>
      </c>
      <c r="AA3675" s="4">
        <v>53.21</v>
      </c>
      <c r="AB3675" s="3" t="s">
        <v>43</v>
      </c>
      <c r="AC3675" s="3" t="s">
        <v>18719</v>
      </c>
      <c r="AD3675" s="9">
        <v>44084</v>
      </c>
      <c r="AE3675" s="3" t="s">
        <v>1051</v>
      </c>
      <c r="AF3675" s="3" t="s">
        <v>90</v>
      </c>
      <c r="AG3675" s="3" t="s">
        <v>81</v>
      </c>
      <c r="AH3675" s="11">
        <f>HYPERLINK("https://my.pitchbook.com?c=155947-06T","View Company Online")</f>
      </c>
    </row>
    <row r="3676">
      <c r="A3676" s="12" t="s">
        <v>18720</v>
      </c>
      <c r="B3676" s="12" t="s">
        <v>5443</v>
      </c>
      <c r="C3676" s="19">
        <v>1</v>
      </c>
      <c r="D3676" s="19">
        <v>4</v>
      </c>
      <c r="E3676" s="19">
        <v>1</v>
      </c>
      <c r="F3676" s="19">
        <v>5</v>
      </c>
      <c r="G3676" s="15" t="s">
        <v>36</v>
      </c>
      <c r="H3676" s="14" t="s">
        <v>36</v>
      </c>
      <c r="I3676" s="18" t="s">
        <v>36</v>
      </c>
      <c r="J3676" s="12" t="s">
        <v>36</v>
      </c>
      <c r="K3676" s="13" t="s">
        <v>36</v>
      </c>
      <c r="L3676" s="15" t="s">
        <v>36</v>
      </c>
      <c r="M3676" s="12" t="s">
        <v>36</v>
      </c>
      <c r="N3676" s="12" t="s">
        <v>36</v>
      </c>
      <c r="O3676" s="17" t="s">
        <v>36</v>
      </c>
      <c r="P3676" s="12" t="s">
        <v>36</v>
      </c>
      <c r="Q3676" s="12" t="s">
        <v>36</v>
      </c>
      <c r="R3676" s="12" t="s">
        <v>36</v>
      </c>
      <c r="S3676" s="12" t="s">
        <v>36</v>
      </c>
      <c r="T3676" s="12" t="s">
        <v>386</v>
      </c>
      <c r="U3676" s="12" t="s">
        <v>387</v>
      </c>
      <c r="V3676" s="12" t="s">
        <v>367</v>
      </c>
      <c r="W3676" s="12" t="s">
        <v>5444</v>
      </c>
      <c r="X3676" s="16" t="s">
        <v>18721</v>
      </c>
      <c r="Y3676" s="15" t="s">
        <v>166</v>
      </c>
      <c r="Z3676" s="14">
        <v>2.37</v>
      </c>
      <c r="AA3676" s="14" t="s">
        <v>36</v>
      </c>
      <c r="AB3676" s="12" t="s">
        <v>56</v>
      </c>
      <c r="AC3676" s="12" t="s">
        <v>5446</v>
      </c>
      <c r="AD3676" s="13">
        <v>44084</v>
      </c>
      <c r="AE3676" s="12" t="s">
        <v>391</v>
      </c>
      <c r="AF3676" s="12" t="s">
        <v>5447</v>
      </c>
      <c r="AG3676" s="12" t="s">
        <v>102</v>
      </c>
      <c r="AH3676" s="1">
        <f>HYPERLINK("https://my.pitchbook.com?c=168680-26T","View Company Online")</f>
      </c>
    </row>
    <row r="3677">
      <c r="A3677" s="3" t="s">
        <v>18722</v>
      </c>
      <c r="B3677" s="3" t="s">
        <v>18723</v>
      </c>
      <c r="C3677" s="5" t="s">
        <v>36</v>
      </c>
      <c r="D3677" s="5" t="s">
        <v>36</v>
      </c>
      <c r="E3677" s="5" t="s">
        <v>36</v>
      </c>
      <c r="F3677" s="5" t="s">
        <v>36</v>
      </c>
      <c r="G3677" s="6" t="s">
        <v>36</v>
      </c>
      <c r="H3677" s="4" t="s">
        <v>36</v>
      </c>
      <c r="I3677" s="7" t="s">
        <v>36</v>
      </c>
      <c r="J3677" s="3" t="s">
        <v>36</v>
      </c>
      <c r="K3677" s="9" t="s">
        <v>36</v>
      </c>
      <c r="L3677" s="6" t="s">
        <v>36</v>
      </c>
      <c r="M3677" s="3" t="s">
        <v>36</v>
      </c>
      <c r="N3677" s="3" t="s">
        <v>36</v>
      </c>
      <c r="O3677" s="8" t="s">
        <v>36</v>
      </c>
      <c r="P3677" s="3" t="s">
        <v>36</v>
      </c>
      <c r="Q3677" s="3" t="s">
        <v>36</v>
      </c>
      <c r="R3677" s="3" t="s">
        <v>36</v>
      </c>
      <c r="S3677" s="3" t="s">
        <v>36</v>
      </c>
      <c r="T3677" s="3" t="s">
        <v>522</v>
      </c>
      <c r="U3677" s="3" t="s">
        <v>38</v>
      </c>
      <c r="V3677" s="3" t="s">
        <v>39</v>
      </c>
      <c r="W3677" s="3" t="s">
        <v>18724</v>
      </c>
      <c r="X3677" s="10" t="s">
        <v>6176</v>
      </c>
      <c r="Y3677" s="6" t="s">
        <v>42</v>
      </c>
      <c r="Z3677" s="4" t="s">
        <v>36</v>
      </c>
      <c r="AA3677" s="4" t="s">
        <v>36</v>
      </c>
      <c r="AB3677" s="3" t="s">
        <v>56</v>
      </c>
      <c r="AC3677" s="3" t="s">
        <v>18725</v>
      </c>
      <c r="AD3677" s="9">
        <v>44084</v>
      </c>
      <c r="AE3677" s="3" t="s">
        <v>110</v>
      </c>
      <c r="AF3677" s="3" t="s">
        <v>1636</v>
      </c>
      <c r="AG3677" s="3" t="s">
        <v>81</v>
      </c>
      <c r="AH3677" s="11">
        <f>HYPERLINK("https://my.pitchbook.com?c=160023-70T","View Company Online")</f>
      </c>
    </row>
    <row r="3678">
      <c r="A3678" s="12" t="s">
        <v>18726</v>
      </c>
      <c r="B3678" s="12" t="s">
        <v>6306</v>
      </c>
      <c r="C3678" s="19">
        <v>19</v>
      </c>
      <c r="D3678" s="19">
        <v>14</v>
      </c>
      <c r="E3678" s="19">
        <v>21</v>
      </c>
      <c r="F3678" s="19">
        <v>38</v>
      </c>
      <c r="G3678" s="15" t="s">
        <v>36</v>
      </c>
      <c r="H3678" s="14">
        <v>31.16</v>
      </c>
      <c r="I3678" s="18">
        <v>10.71</v>
      </c>
      <c r="J3678" s="12" t="s">
        <v>521</v>
      </c>
      <c r="K3678" s="13">
        <v>44054</v>
      </c>
      <c r="L3678" s="15" t="s">
        <v>122</v>
      </c>
      <c r="M3678" s="12" t="s">
        <v>36</v>
      </c>
      <c r="N3678" s="12" t="s">
        <v>122</v>
      </c>
      <c r="O3678" s="17" t="s">
        <v>36</v>
      </c>
      <c r="P3678" s="12" t="s">
        <v>36</v>
      </c>
      <c r="Q3678" s="12" t="s">
        <v>36</v>
      </c>
      <c r="R3678" s="12" t="s">
        <v>36</v>
      </c>
      <c r="S3678" s="12" t="s">
        <v>36</v>
      </c>
      <c r="T3678" s="12" t="s">
        <v>2213</v>
      </c>
      <c r="U3678" s="12" t="s">
        <v>219</v>
      </c>
      <c r="V3678" s="12" t="s">
        <v>75</v>
      </c>
      <c r="W3678" s="12" t="s">
        <v>6307</v>
      </c>
      <c r="X3678" s="16" t="s">
        <v>18727</v>
      </c>
      <c r="Y3678" s="15" t="s">
        <v>42</v>
      </c>
      <c r="Z3678" s="14">
        <v>0.69</v>
      </c>
      <c r="AA3678" s="14">
        <v>6.46</v>
      </c>
      <c r="AB3678" s="12" t="s">
        <v>43</v>
      </c>
      <c r="AC3678" s="12" t="s">
        <v>6309</v>
      </c>
      <c r="AD3678" s="13">
        <v>44084</v>
      </c>
      <c r="AE3678" s="12" t="s">
        <v>1912</v>
      </c>
      <c r="AF3678" s="12" t="s">
        <v>982</v>
      </c>
      <c r="AG3678" s="12" t="s">
        <v>969</v>
      </c>
      <c r="AH3678" s="1">
        <f>HYPERLINK("https://my.pitchbook.com?c=159793-12T","View Company Online")</f>
      </c>
    </row>
    <row r="3679">
      <c r="A3679" s="3" t="s">
        <v>18728</v>
      </c>
      <c r="B3679" s="3" t="s">
        <v>18729</v>
      </c>
      <c r="C3679" s="5">
        <v>2</v>
      </c>
      <c r="D3679" s="5">
        <v>29</v>
      </c>
      <c r="E3679" s="5">
        <v>6</v>
      </c>
      <c r="F3679" s="5">
        <v>33</v>
      </c>
      <c r="G3679" s="6" t="s">
        <v>326</v>
      </c>
      <c r="H3679" s="4">
        <v>309.68</v>
      </c>
      <c r="I3679" s="7">
        <v>24.09</v>
      </c>
      <c r="J3679" s="3" t="s">
        <v>521</v>
      </c>
      <c r="K3679" s="9" t="s">
        <v>36</v>
      </c>
      <c r="L3679" s="6" t="s">
        <v>36</v>
      </c>
      <c r="M3679" s="3" t="s">
        <v>36</v>
      </c>
      <c r="N3679" s="3" t="s">
        <v>36</v>
      </c>
      <c r="O3679" s="8" t="s">
        <v>36</v>
      </c>
      <c r="P3679" s="3" t="s">
        <v>36</v>
      </c>
      <c r="Q3679" s="3" t="s">
        <v>36</v>
      </c>
      <c r="R3679" s="3" t="s">
        <v>36</v>
      </c>
      <c r="S3679" s="3" t="s">
        <v>36</v>
      </c>
      <c r="T3679" s="3" t="s">
        <v>18730</v>
      </c>
      <c r="U3679" s="3" t="s">
        <v>74</v>
      </c>
      <c r="V3679" s="3" t="s">
        <v>75</v>
      </c>
      <c r="W3679" s="3" t="s">
        <v>18731</v>
      </c>
      <c r="X3679" s="10" t="s">
        <v>18732</v>
      </c>
      <c r="Y3679" s="6" t="s">
        <v>55</v>
      </c>
      <c r="Z3679" s="4">
        <v>12.31</v>
      </c>
      <c r="AA3679" s="4">
        <v>51.12</v>
      </c>
      <c r="AB3679" s="3" t="s">
        <v>43</v>
      </c>
      <c r="AC3679" s="3" t="s">
        <v>18733</v>
      </c>
      <c r="AD3679" s="9">
        <v>44084</v>
      </c>
      <c r="AE3679" s="3" t="s">
        <v>570</v>
      </c>
      <c r="AF3679" s="3" t="s">
        <v>7566</v>
      </c>
      <c r="AG3679" s="3" t="s">
        <v>3288</v>
      </c>
      <c r="AH3679" s="11">
        <f>HYPERLINK("https://my.pitchbook.com?c=132674-77T","View Company Online")</f>
      </c>
    </row>
    <row r="3680">
      <c r="A3680" s="12" t="s">
        <v>18734</v>
      </c>
      <c r="B3680" s="12" t="s">
        <v>11173</v>
      </c>
      <c r="C3680" s="19" t="s">
        <v>36</v>
      </c>
      <c r="D3680" s="19" t="s">
        <v>36</v>
      </c>
      <c r="E3680" s="19" t="s">
        <v>36</v>
      </c>
      <c r="F3680" s="19" t="s">
        <v>36</v>
      </c>
      <c r="G3680" s="15" t="s">
        <v>2497</v>
      </c>
      <c r="H3680" s="14">
        <v>7.58</v>
      </c>
      <c r="I3680" s="18">
        <v>35.22</v>
      </c>
      <c r="J3680" s="12" t="s">
        <v>521</v>
      </c>
      <c r="K3680" s="13" t="s">
        <v>36</v>
      </c>
      <c r="L3680" s="15" t="s">
        <v>36</v>
      </c>
      <c r="M3680" s="12" t="s">
        <v>36</v>
      </c>
      <c r="N3680" s="12" t="s">
        <v>36</v>
      </c>
      <c r="O3680" s="17" t="s">
        <v>36</v>
      </c>
      <c r="P3680" s="12" t="s">
        <v>36</v>
      </c>
      <c r="Q3680" s="12" t="s">
        <v>36</v>
      </c>
      <c r="R3680" s="12" t="s">
        <v>36</v>
      </c>
      <c r="S3680" s="12" t="s">
        <v>36</v>
      </c>
      <c r="T3680" s="12" t="s">
        <v>11174</v>
      </c>
      <c r="U3680" s="12" t="s">
        <v>404</v>
      </c>
      <c r="V3680" s="12" t="s">
        <v>405</v>
      </c>
      <c r="W3680" s="12" t="s">
        <v>11175</v>
      </c>
      <c r="X3680" s="16" t="s">
        <v>18735</v>
      </c>
      <c r="Y3680" s="15" t="s">
        <v>192</v>
      </c>
      <c r="Z3680" s="14">
        <v>10.26</v>
      </c>
      <c r="AA3680" s="14">
        <v>29.13</v>
      </c>
      <c r="AB3680" s="12" t="s">
        <v>56</v>
      </c>
      <c r="AC3680" s="12" t="s">
        <v>11177</v>
      </c>
      <c r="AD3680" s="13">
        <v>44084</v>
      </c>
      <c r="AE3680" s="12" t="s">
        <v>3608</v>
      </c>
      <c r="AF3680" s="12" t="s">
        <v>7466</v>
      </c>
      <c r="AG3680" s="12" t="s">
        <v>81</v>
      </c>
      <c r="AH3680" s="1">
        <f>HYPERLINK("https://my.pitchbook.com?c=155867-86T","View Company Online")</f>
      </c>
    </row>
    <row r="3681">
      <c r="A3681" s="3" t="s">
        <v>18736</v>
      </c>
      <c r="B3681" s="3" t="s">
        <v>18737</v>
      </c>
      <c r="C3681" s="5" t="s">
        <v>36</v>
      </c>
      <c r="D3681" s="5" t="s">
        <v>36</v>
      </c>
      <c r="E3681" s="5" t="s">
        <v>36</v>
      </c>
      <c r="F3681" s="5" t="s">
        <v>36</v>
      </c>
      <c r="G3681" s="6" t="s">
        <v>36</v>
      </c>
      <c r="H3681" s="4" t="s">
        <v>36</v>
      </c>
      <c r="I3681" s="7" t="s">
        <v>36</v>
      </c>
      <c r="J3681" s="3" t="s">
        <v>36</v>
      </c>
      <c r="K3681" s="9" t="s">
        <v>36</v>
      </c>
      <c r="L3681" s="6" t="s">
        <v>36</v>
      </c>
      <c r="M3681" s="3" t="s">
        <v>36</v>
      </c>
      <c r="N3681" s="3" t="s">
        <v>36</v>
      </c>
      <c r="O3681" s="8" t="s">
        <v>36</v>
      </c>
      <c r="P3681" s="3" t="s">
        <v>36</v>
      </c>
      <c r="Q3681" s="3" t="s">
        <v>36</v>
      </c>
      <c r="R3681" s="3" t="s">
        <v>36</v>
      </c>
      <c r="S3681" s="3" t="s">
        <v>36</v>
      </c>
      <c r="T3681" s="3" t="s">
        <v>768</v>
      </c>
      <c r="U3681" s="3" t="s">
        <v>233</v>
      </c>
      <c r="V3681" s="3" t="s">
        <v>39</v>
      </c>
      <c r="W3681" s="3" t="s">
        <v>18738</v>
      </c>
      <c r="X3681" s="10" t="s">
        <v>6176</v>
      </c>
      <c r="Y3681" s="6" t="s">
        <v>108</v>
      </c>
      <c r="Z3681" s="4" t="s">
        <v>36</v>
      </c>
      <c r="AA3681" s="4" t="s">
        <v>36</v>
      </c>
      <c r="AB3681" s="3" t="s">
        <v>56</v>
      </c>
      <c r="AC3681" s="3" t="s">
        <v>18739</v>
      </c>
      <c r="AD3681" s="9">
        <v>44084</v>
      </c>
      <c r="AE3681" s="3" t="s">
        <v>236</v>
      </c>
      <c r="AF3681" s="3" t="s">
        <v>18740</v>
      </c>
      <c r="AG3681" s="3" t="s">
        <v>81</v>
      </c>
      <c r="AH3681" s="11">
        <f>HYPERLINK("https://my.pitchbook.com?c=160024-69T","View Company Online")</f>
      </c>
    </row>
    <row r="3682">
      <c r="A3682" s="12" t="s">
        <v>18741</v>
      </c>
      <c r="B3682" s="12" t="s">
        <v>18742</v>
      </c>
      <c r="C3682" s="19" t="s">
        <v>36</v>
      </c>
      <c r="D3682" s="19" t="s">
        <v>36</v>
      </c>
      <c r="E3682" s="19" t="s">
        <v>36</v>
      </c>
      <c r="F3682" s="19" t="s">
        <v>36</v>
      </c>
      <c r="G3682" s="15" t="s">
        <v>36</v>
      </c>
      <c r="H3682" s="14" t="s">
        <v>36</v>
      </c>
      <c r="I3682" s="18" t="s">
        <v>36</v>
      </c>
      <c r="J3682" s="12" t="s">
        <v>36</v>
      </c>
      <c r="K3682" s="13" t="s">
        <v>36</v>
      </c>
      <c r="L3682" s="15" t="s">
        <v>36</v>
      </c>
      <c r="M3682" s="12" t="s">
        <v>36</v>
      </c>
      <c r="N3682" s="12" t="s">
        <v>36</v>
      </c>
      <c r="O3682" s="17" t="s">
        <v>36</v>
      </c>
      <c r="P3682" s="12" t="s">
        <v>36</v>
      </c>
      <c r="Q3682" s="12" t="s">
        <v>36</v>
      </c>
      <c r="R3682" s="12" t="s">
        <v>36</v>
      </c>
      <c r="S3682" s="12" t="s">
        <v>36</v>
      </c>
      <c r="T3682" s="12" t="s">
        <v>3386</v>
      </c>
      <c r="U3682" s="12" t="s">
        <v>74</v>
      </c>
      <c r="V3682" s="12" t="s">
        <v>75</v>
      </c>
      <c r="W3682" s="12" t="s">
        <v>18743</v>
      </c>
      <c r="X3682" s="16" t="s">
        <v>18744</v>
      </c>
      <c r="Y3682" s="15" t="s">
        <v>42</v>
      </c>
      <c r="Z3682" s="14">
        <v>0.71</v>
      </c>
      <c r="AA3682" s="14" t="s">
        <v>36</v>
      </c>
      <c r="AB3682" s="12" t="s">
        <v>56</v>
      </c>
      <c r="AC3682" s="12" t="s">
        <v>18745</v>
      </c>
      <c r="AD3682" s="13">
        <v>44082</v>
      </c>
      <c r="AE3682" s="12" t="s">
        <v>1243</v>
      </c>
      <c r="AF3682" s="12" t="s">
        <v>36</v>
      </c>
      <c r="AG3682" s="12" t="s">
        <v>6814</v>
      </c>
      <c r="AH3682" s="1">
        <f>HYPERLINK("https://my.pitchbook.com?c=155820-34T","View Company Online")</f>
      </c>
    </row>
    <row r="3683">
      <c r="A3683" s="3" t="s">
        <v>18746</v>
      </c>
      <c r="B3683" s="3" t="s">
        <v>18747</v>
      </c>
      <c r="C3683" s="5" t="s">
        <v>36</v>
      </c>
      <c r="D3683" s="5" t="s">
        <v>36</v>
      </c>
      <c r="E3683" s="5" t="s">
        <v>36</v>
      </c>
      <c r="F3683" s="5" t="s">
        <v>36</v>
      </c>
      <c r="G3683" s="6" t="s">
        <v>683</v>
      </c>
      <c r="H3683" s="4">
        <v>83.4</v>
      </c>
      <c r="I3683" s="7">
        <v>15.83</v>
      </c>
      <c r="J3683" s="3" t="s">
        <v>521</v>
      </c>
      <c r="K3683" s="9" t="s">
        <v>36</v>
      </c>
      <c r="L3683" s="6" t="s">
        <v>36</v>
      </c>
      <c r="M3683" s="3" t="s">
        <v>36</v>
      </c>
      <c r="N3683" s="3" t="s">
        <v>36</v>
      </c>
      <c r="O3683" s="8" t="s">
        <v>36</v>
      </c>
      <c r="P3683" s="3" t="s">
        <v>36</v>
      </c>
      <c r="Q3683" s="3" t="s">
        <v>36</v>
      </c>
      <c r="R3683" s="3" t="s">
        <v>36</v>
      </c>
      <c r="S3683" s="3" t="s">
        <v>6677</v>
      </c>
      <c r="T3683" s="3" t="s">
        <v>18748</v>
      </c>
      <c r="U3683" s="3" t="s">
        <v>74</v>
      </c>
      <c r="V3683" s="3" t="s">
        <v>75</v>
      </c>
      <c r="W3683" s="3" t="s">
        <v>18749</v>
      </c>
      <c r="X3683" s="10" t="s">
        <v>18750</v>
      </c>
      <c r="Y3683" s="6" t="s">
        <v>321</v>
      </c>
      <c r="Z3683" s="4">
        <v>3.55</v>
      </c>
      <c r="AA3683" s="4">
        <v>22.43</v>
      </c>
      <c r="AB3683" s="3" t="s">
        <v>56</v>
      </c>
      <c r="AC3683" s="3" t="s">
        <v>18751</v>
      </c>
      <c r="AD3683" s="9">
        <v>44082</v>
      </c>
      <c r="AE3683" s="3" t="s">
        <v>79</v>
      </c>
      <c r="AF3683" s="3" t="s">
        <v>18752</v>
      </c>
      <c r="AG3683" s="3" t="s">
        <v>1078</v>
      </c>
      <c r="AH3683" s="11">
        <f>HYPERLINK("https://my.pitchbook.com?c=181675-54T","View Company Online")</f>
      </c>
    </row>
    <row r="3684">
      <c r="A3684" s="12" t="s">
        <v>18753</v>
      </c>
      <c r="B3684" s="12" t="s">
        <v>13149</v>
      </c>
      <c r="C3684" s="19" t="s">
        <v>36</v>
      </c>
      <c r="D3684" s="19" t="s">
        <v>36</v>
      </c>
      <c r="E3684" s="19" t="s">
        <v>36</v>
      </c>
      <c r="F3684" s="19" t="s">
        <v>36</v>
      </c>
      <c r="G3684" s="15" t="s">
        <v>326</v>
      </c>
      <c r="H3684" s="14" t="s">
        <v>36</v>
      </c>
      <c r="I3684" s="18">
        <v>27.59</v>
      </c>
      <c r="J3684" s="12" t="s">
        <v>327</v>
      </c>
      <c r="K3684" s="13" t="s">
        <v>36</v>
      </c>
      <c r="L3684" s="15" t="s">
        <v>36</v>
      </c>
      <c r="M3684" s="12" t="s">
        <v>36</v>
      </c>
      <c r="N3684" s="12" t="s">
        <v>36</v>
      </c>
      <c r="O3684" s="17" t="s">
        <v>36</v>
      </c>
      <c r="P3684" s="12" t="s">
        <v>36</v>
      </c>
      <c r="Q3684" s="12" t="s">
        <v>36</v>
      </c>
      <c r="R3684" s="12" t="s">
        <v>36</v>
      </c>
      <c r="S3684" s="12" t="s">
        <v>36</v>
      </c>
      <c r="T3684" s="12" t="s">
        <v>105</v>
      </c>
      <c r="U3684" s="12" t="s">
        <v>38</v>
      </c>
      <c r="V3684" s="12" t="s">
        <v>39</v>
      </c>
      <c r="W3684" s="12" t="s">
        <v>13150</v>
      </c>
      <c r="X3684" s="16" t="s">
        <v>18754</v>
      </c>
      <c r="Y3684" s="15" t="s">
        <v>108</v>
      </c>
      <c r="Z3684" s="14">
        <v>8.29</v>
      </c>
      <c r="AA3684" s="14">
        <v>30.03</v>
      </c>
      <c r="AB3684" s="12" t="s">
        <v>43</v>
      </c>
      <c r="AC3684" s="12" t="s">
        <v>13152</v>
      </c>
      <c r="AD3684" s="13">
        <v>44082</v>
      </c>
      <c r="AE3684" s="12" t="s">
        <v>110</v>
      </c>
      <c r="AF3684" s="12" t="s">
        <v>13153</v>
      </c>
      <c r="AG3684" s="12" t="s">
        <v>81</v>
      </c>
      <c r="AH3684" s="1">
        <f>HYPERLINK("https://my.pitchbook.com?c=155721-07T","View Company Online")</f>
      </c>
    </row>
    <row r="3685">
      <c r="A3685" s="3" t="s">
        <v>18755</v>
      </c>
      <c r="B3685" s="3" t="s">
        <v>18756</v>
      </c>
      <c r="C3685" s="5" t="s">
        <v>36</v>
      </c>
      <c r="D3685" s="5" t="s">
        <v>36</v>
      </c>
      <c r="E3685" s="5" t="s">
        <v>36</v>
      </c>
      <c r="F3685" s="5" t="s">
        <v>36</v>
      </c>
      <c r="G3685" s="6" t="s">
        <v>326</v>
      </c>
      <c r="H3685" s="4">
        <v>23.51</v>
      </c>
      <c r="I3685" s="7">
        <v>41.82</v>
      </c>
      <c r="J3685" s="3" t="s">
        <v>521</v>
      </c>
      <c r="K3685" s="9" t="s">
        <v>36</v>
      </c>
      <c r="L3685" s="6" t="s">
        <v>36</v>
      </c>
      <c r="M3685" s="3" t="s">
        <v>36</v>
      </c>
      <c r="N3685" s="3" t="s">
        <v>36</v>
      </c>
      <c r="O3685" s="8" t="s">
        <v>36</v>
      </c>
      <c r="P3685" s="3" t="s">
        <v>36</v>
      </c>
      <c r="Q3685" s="3" t="s">
        <v>36</v>
      </c>
      <c r="R3685" s="3" t="s">
        <v>36</v>
      </c>
      <c r="S3685" s="3" t="s">
        <v>36</v>
      </c>
      <c r="T3685" s="3" t="s">
        <v>3958</v>
      </c>
      <c r="U3685" s="3" t="s">
        <v>38</v>
      </c>
      <c r="V3685" s="3" t="s">
        <v>39</v>
      </c>
      <c r="W3685" s="3" t="s">
        <v>18757</v>
      </c>
      <c r="X3685" s="10" t="s">
        <v>18758</v>
      </c>
      <c r="Y3685" s="6" t="s">
        <v>42</v>
      </c>
      <c r="Z3685" s="4">
        <v>2.37</v>
      </c>
      <c r="AA3685" s="4">
        <v>5.66</v>
      </c>
      <c r="AB3685" s="3" t="s">
        <v>56</v>
      </c>
      <c r="AC3685" s="3" t="s">
        <v>18759</v>
      </c>
      <c r="AD3685" s="9">
        <v>44082</v>
      </c>
      <c r="AE3685" s="3" t="s">
        <v>110</v>
      </c>
      <c r="AF3685" s="3" t="s">
        <v>18760</v>
      </c>
      <c r="AG3685" s="3" t="s">
        <v>899</v>
      </c>
      <c r="AH3685" s="11">
        <f>HYPERLINK("https://my.pitchbook.com?c=155824-30T","View Company Online")</f>
      </c>
    </row>
    <row r="3686">
      <c r="A3686" s="12" t="s">
        <v>18761</v>
      </c>
      <c r="B3686" s="12" t="s">
        <v>18762</v>
      </c>
      <c r="C3686" s="19">
        <v>1</v>
      </c>
      <c r="D3686" s="19" t="s">
        <v>36</v>
      </c>
      <c r="E3686" s="19">
        <v>1</v>
      </c>
      <c r="F3686" s="19">
        <v>1</v>
      </c>
      <c r="G3686" s="15" t="s">
        <v>36</v>
      </c>
      <c r="H3686" s="14" t="s">
        <v>36</v>
      </c>
      <c r="I3686" s="18" t="s">
        <v>36</v>
      </c>
      <c r="J3686" s="12" t="s">
        <v>36</v>
      </c>
      <c r="K3686" s="13" t="s">
        <v>36</v>
      </c>
      <c r="L3686" s="15" t="s">
        <v>36</v>
      </c>
      <c r="M3686" s="12" t="s">
        <v>36</v>
      </c>
      <c r="N3686" s="12" t="s">
        <v>36</v>
      </c>
      <c r="O3686" s="17" t="s">
        <v>36</v>
      </c>
      <c r="P3686" s="12" t="s">
        <v>36</v>
      </c>
      <c r="Q3686" s="12" t="s">
        <v>36</v>
      </c>
      <c r="R3686" s="12" t="s">
        <v>36</v>
      </c>
      <c r="S3686" s="12" t="s">
        <v>36</v>
      </c>
      <c r="T3686" s="12" t="s">
        <v>1701</v>
      </c>
      <c r="U3686" s="12" t="s">
        <v>74</v>
      </c>
      <c r="V3686" s="12" t="s">
        <v>75</v>
      </c>
      <c r="W3686" s="12" t="s">
        <v>18763</v>
      </c>
      <c r="X3686" s="16" t="s">
        <v>18764</v>
      </c>
      <c r="Y3686" s="15" t="s">
        <v>108</v>
      </c>
      <c r="Z3686" s="14" t="s">
        <v>36</v>
      </c>
      <c r="AA3686" s="14" t="s">
        <v>36</v>
      </c>
      <c r="AB3686" s="12" t="s">
        <v>56</v>
      </c>
      <c r="AC3686" s="12" t="s">
        <v>18765</v>
      </c>
      <c r="AD3686" s="13">
        <v>44081</v>
      </c>
      <c r="AE3686" s="12" t="s">
        <v>79</v>
      </c>
      <c r="AF3686" s="12" t="s">
        <v>1401</v>
      </c>
      <c r="AG3686" s="12" t="s">
        <v>1078</v>
      </c>
      <c r="AH3686" s="1">
        <f>HYPERLINK("https://my.pitchbook.com?c=156126-88T","View Company Online")</f>
      </c>
    </row>
    <row r="3687">
      <c r="A3687" s="3" t="s">
        <v>18766</v>
      </c>
      <c r="B3687" s="3" t="s">
        <v>18767</v>
      </c>
      <c r="C3687" s="5">
        <v>5</v>
      </c>
      <c r="D3687" s="5" t="s">
        <v>36</v>
      </c>
      <c r="E3687" s="5">
        <v>1</v>
      </c>
      <c r="F3687" s="5">
        <v>5</v>
      </c>
      <c r="G3687" s="6" t="s">
        <v>683</v>
      </c>
      <c r="H3687" s="4">
        <v>22.32</v>
      </c>
      <c r="I3687" s="7">
        <v>14</v>
      </c>
      <c r="J3687" s="3" t="s">
        <v>521</v>
      </c>
      <c r="K3687" s="9" t="s">
        <v>36</v>
      </c>
      <c r="L3687" s="6" t="s">
        <v>36</v>
      </c>
      <c r="M3687" s="3" t="s">
        <v>36</v>
      </c>
      <c r="N3687" s="3" t="s">
        <v>36</v>
      </c>
      <c r="O3687" s="8" t="s">
        <v>36</v>
      </c>
      <c r="P3687" s="3" t="s">
        <v>36</v>
      </c>
      <c r="Q3687" s="3" t="s">
        <v>36</v>
      </c>
      <c r="R3687" s="3" t="s">
        <v>36</v>
      </c>
      <c r="S3687" s="3" t="s">
        <v>36</v>
      </c>
      <c r="T3687" s="3" t="s">
        <v>661</v>
      </c>
      <c r="U3687" s="3" t="s">
        <v>51</v>
      </c>
      <c r="V3687" s="3" t="s">
        <v>52</v>
      </c>
      <c r="W3687" s="3" t="s">
        <v>18768</v>
      </c>
      <c r="X3687" s="10" t="s">
        <v>18769</v>
      </c>
      <c r="Y3687" s="6" t="s">
        <v>108</v>
      </c>
      <c r="Z3687" s="4">
        <v>0.62</v>
      </c>
      <c r="AA3687" s="4">
        <v>4.45</v>
      </c>
      <c r="AB3687" s="3" t="s">
        <v>43</v>
      </c>
      <c r="AC3687" s="3" t="s">
        <v>18770</v>
      </c>
      <c r="AD3687" s="9">
        <v>44081</v>
      </c>
      <c r="AE3687" s="3" t="s">
        <v>158</v>
      </c>
      <c r="AF3687" s="3" t="s">
        <v>159</v>
      </c>
      <c r="AG3687" s="3" t="s">
        <v>2760</v>
      </c>
      <c r="AH3687" s="11">
        <f>HYPERLINK("https://my.pitchbook.com?c=168535-54T","View Company Online")</f>
      </c>
    </row>
    <row r="3688">
      <c r="A3688" s="12" t="s">
        <v>18771</v>
      </c>
      <c r="B3688" s="12" t="s">
        <v>18772</v>
      </c>
      <c r="C3688" s="19" t="s">
        <v>36</v>
      </c>
      <c r="D3688" s="19" t="s">
        <v>36</v>
      </c>
      <c r="E3688" s="19" t="s">
        <v>36</v>
      </c>
      <c r="F3688" s="19" t="s">
        <v>36</v>
      </c>
      <c r="G3688" s="15" t="s">
        <v>326</v>
      </c>
      <c r="H3688" s="14">
        <v>2159.96</v>
      </c>
      <c r="I3688" s="18">
        <v>19.05</v>
      </c>
      <c r="J3688" s="12" t="s">
        <v>521</v>
      </c>
      <c r="K3688" s="13" t="s">
        <v>36</v>
      </c>
      <c r="L3688" s="15" t="s">
        <v>122</v>
      </c>
      <c r="M3688" s="12" t="s">
        <v>36</v>
      </c>
      <c r="N3688" s="12" t="s">
        <v>122</v>
      </c>
      <c r="O3688" s="17" t="s">
        <v>36</v>
      </c>
      <c r="P3688" s="12" t="s">
        <v>36</v>
      </c>
      <c r="Q3688" s="12" t="s">
        <v>36</v>
      </c>
      <c r="R3688" s="12" t="s">
        <v>36</v>
      </c>
      <c r="S3688" s="12" t="s">
        <v>36</v>
      </c>
      <c r="T3688" s="12" t="s">
        <v>18773</v>
      </c>
      <c r="U3688" s="12" t="s">
        <v>1357</v>
      </c>
      <c r="V3688" s="12" t="s">
        <v>52</v>
      </c>
      <c r="W3688" s="12" t="s">
        <v>18774</v>
      </c>
      <c r="X3688" s="16" t="s">
        <v>18775</v>
      </c>
      <c r="Y3688" s="15" t="s">
        <v>42</v>
      </c>
      <c r="Z3688" s="14">
        <v>7.1</v>
      </c>
      <c r="AA3688" s="14">
        <v>20.63</v>
      </c>
      <c r="AB3688" s="12" t="s">
        <v>56</v>
      </c>
      <c r="AC3688" s="12" t="s">
        <v>18776</v>
      </c>
      <c r="AD3688" s="13">
        <v>44078</v>
      </c>
      <c r="AE3688" s="12" t="s">
        <v>3204</v>
      </c>
      <c r="AF3688" s="12" t="s">
        <v>3514</v>
      </c>
      <c r="AG3688" s="12" t="s">
        <v>5280</v>
      </c>
      <c r="AH3688" s="1">
        <f>HYPERLINK("https://my.pitchbook.com?c=155569-24T","View Company Online")</f>
      </c>
    </row>
    <row r="3689">
      <c r="A3689" s="3" t="s">
        <v>18777</v>
      </c>
      <c r="B3689" s="3" t="s">
        <v>18778</v>
      </c>
      <c r="C3689" s="5" t="s">
        <v>36</v>
      </c>
      <c r="D3689" s="5" t="s">
        <v>36</v>
      </c>
      <c r="E3689" s="5" t="s">
        <v>36</v>
      </c>
      <c r="F3689" s="5" t="s">
        <v>36</v>
      </c>
      <c r="G3689" s="6" t="s">
        <v>36</v>
      </c>
      <c r="H3689" s="4">
        <v>60.8</v>
      </c>
      <c r="I3689" s="7">
        <v>20</v>
      </c>
      <c r="J3689" s="3" t="s">
        <v>521</v>
      </c>
      <c r="K3689" s="9" t="s">
        <v>36</v>
      </c>
      <c r="L3689" s="6" t="s">
        <v>36</v>
      </c>
      <c r="M3689" s="3" t="s">
        <v>36</v>
      </c>
      <c r="N3689" s="3" t="s">
        <v>36</v>
      </c>
      <c r="O3689" s="8" t="s">
        <v>36</v>
      </c>
      <c r="P3689" s="3" t="s">
        <v>36</v>
      </c>
      <c r="Q3689" s="3" t="s">
        <v>36</v>
      </c>
      <c r="R3689" s="3" t="s">
        <v>36</v>
      </c>
      <c r="S3689" s="3" t="s">
        <v>36</v>
      </c>
      <c r="T3689" s="3" t="s">
        <v>18779</v>
      </c>
      <c r="U3689" s="3" t="s">
        <v>180</v>
      </c>
      <c r="V3689" s="3" t="s">
        <v>52</v>
      </c>
      <c r="W3689" s="3" t="s">
        <v>18780</v>
      </c>
      <c r="X3689" s="10" t="s">
        <v>18781</v>
      </c>
      <c r="Y3689" s="6" t="s">
        <v>42</v>
      </c>
      <c r="Z3689" s="4">
        <v>0.71</v>
      </c>
      <c r="AA3689" s="4">
        <v>3.55</v>
      </c>
      <c r="AB3689" s="3" t="s">
        <v>56</v>
      </c>
      <c r="AC3689" s="3" t="s">
        <v>18782</v>
      </c>
      <c r="AD3689" s="9">
        <v>44078</v>
      </c>
      <c r="AE3689" s="3" t="s">
        <v>184</v>
      </c>
      <c r="AF3689" s="3" t="s">
        <v>18783</v>
      </c>
      <c r="AG3689" s="3" t="s">
        <v>144</v>
      </c>
      <c r="AH3689" s="11">
        <f>HYPERLINK("https://my.pitchbook.com?c=194148-46T","View Company Online")</f>
      </c>
    </row>
    <row r="3690">
      <c r="A3690" s="12" t="s">
        <v>18784</v>
      </c>
      <c r="B3690" s="12" t="s">
        <v>18785</v>
      </c>
      <c r="C3690" s="19">
        <v>7</v>
      </c>
      <c r="D3690" s="19">
        <v>4</v>
      </c>
      <c r="E3690" s="19">
        <v>4</v>
      </c>
      <c r="F3690" s="19">
        <v>11</v>
      </c>
      <c r="G3690" s="15" t="s">
        <v>36</v>
      </c>
      <c r="H3690" s="14" t="s">
        <v>36</v>
      </c>
      <c r="I3690" s="18" t="s">
        <v>36</v>
      </c>
      <c r="J3690" s="12" t="s">
        <v>36</v>
      </c>
      <c r="K3690" s="13" t="s">
        <v>36</v>
      </c>
      <c r="L3690" s="15" t="s">
        <v>36</v>
      </c>
      <c r="M3690" s="12" t="s">
        <v>36</v>
      </c>
      <c r="N3690" s="12" t="s">
        <v>36</v>
      </c>
      <c r="O3690" s="17" t="s">
        <v>36</v>
      </c>
      <c r="P3690" s="12" t="s">
        <v>36</v>
      </c>
      <c r="Q3690" s="12" t="s">
        <v>36</v>
      </c>
      <c r="R3690" s="12" t="s">
        <v>36</v>
      </c>
      <c r="S3690" s="12" t="s">
        <v>36</v>
      </c>
      <c r="T3690" s="12" t="s">
        <v>751</v>
      </c>
      <c r="U3690" s="12" t="s">
        <v>96</v>
      </c>
      <c r="V3690" s="12" t="s">
        <v>52</v>
      </c>
      <c r="W3690" s="12" t="s">
        <v>18786</v>
      </c>
      <c r="X3690" s="16" t="s">
        <v>18787</v>
      </c>
      <c r="Y3690" s="15" t="s">
        <v>192</v>
      </c>
      <c r="Z3690" s="14">
        <v>5.92</v>
      </c>
      <c r="AA3690" s="14" t="s">
        <v>36</v>
      </c>
      <c r="AB3690" s="12" t="s">
        <v>56</v>
      </c>
      <c r="AC3690" s="12" t="s">
        <v>18788</v>
      </c>
      <c r="AD3690" s="13">
        <v>44078</v>
      </c>
      <c r="AE3690" s="12" t="s">
        <v>755</v>
      </c>
      <c r="AF3690" s="12" t="s">
        <v>18789</v>
      </c>
      <c r="AG3690" s="12" t="s">
        <v>1078</v>
      </c>
      <c r="AH3690" s="1">
        <f>HYPERLINK("https://my.pitchbook.com?c=174110-23T","View Company Online")</f>
      </c>
    </row>
    <row r="3691">
      <c r="A3691" s="3" t="s">
        <v>18790</v>
      </c>
      <c r="B3691" s="3" t="s">
        <v>9203</v>
      </c>
      <c r="C3691" s="5" t="s">
        <v>36</v>
      </c>
      <c r="D3691" s="5" t="s">
        <v>36</v>
      </c>
      <c r="E3691" s="5" t="s">
        <v>36</v>
      </c>
      <c r="F3691" s="5" t="s">
        <v>36</v>
      </c>
      <c r="G3691" s="6" t="s">
        <v>326</v>
      </c>
      <c r="H3691" s="4">
        <v>9.4</v>
      </c>
      <c r="I3691" s="7">
        <v>12.95</v>
      </c>
      <c r="J3691" s="3" t="s">
        <v>521</v>
      </c>
      <c r="K3691" s="9" t="s">
        <v>36</v>
      </c>
      <c r="L3691" s="6" t="s">
        <v>122</v>
      </c>
      <c r="M3691" s="3" t="s">
        <v>36</v>
      </c>
      <c r="N3691" s="3" t="s">
        <v>122</v>
      </c>
      <c r="O3691" s="8" t="s">
        <v>36</v>
      </c>
      <c r="P3691" s="3" t="s">
        <v>36</v>
      </c>
      <c r="Q3691" s="3" t="s">
        <v>36</v>
      </c>
      <c r="R3691" s="3" t="s">
        <v>36</v>
      </c>
      <c r="S3691" s="3" t="s">
        <v>36</v>
      </c>
      <c r="T3691" s="3" t="s">
        <v>9204</v>
      </c>
      <c r="U3691" s="3" t="s">
        <v>38</v>
      </c>
      <c r="V3691" s="3" t="s">
        <v>39</v>
      </c>
      <c r="W3691" s="3" t="s">
        <v>9205</v>
      </c>
      <c r="X3691" s="10" t="s">
        <v>18791</v>
      </c>
      <c r="Y3691" s="6" t="s">
        <v>108</v>
      </c>
      <c r="Z3691" s="4">
        <v>4.74</v>
      </c>
      <c r="AA3691" s="4">
        <v>14.77</v>
      </c>
      <c r="AB3691" s="3" t="s">
        <v>43</v>
      </c>
      <c r="AC3691" s="3" t="s">
        <v>9207</v>
      </c>
      <c r="AD3691" s="9">
        <v>44077</v>
      </c>
      <c r="AE3691" s="3" t="s">
        <v>45</v>
      </c>
      <c r="AF3691" s="3" t="s">
        <v>9208</v>
      </c>
      <c r="AG3691" s="3" t="s">
        <v>81</v>
      </c>
      <c r="AH3691" s="11">
        <f>HYPERLINK("https://my.pitchbook.com?c=155486-71T","View Company Online")</f>
      </c>
    </row>
    <row r="3692">
      <c r="A3692" s="12" t="s">
        <v>18792</v>
      </c>
      <c r="B3692" s="12" t="s">
        <v>18793</v>
      </c>
      <c r="C3692" s="19" t="s">
        <v>36</v>
      </c>
      <c r="D3692" s="19" t="s">
        <v>36</v>
      </c>
      <c r="E3692" s="19" t="s">
        <v>36</v>
      </c>
      <c r="F3692" s="19" t="s">
        <v>36</v>
      </c>
      <c r="G3692" s="15" t="s">
        <v>326</v>
      </c>
      <c r="H3692" s="14">
        <v>20.99</v>
      </c>
      <c r="I3692" s="18">
        <v>25.96</v>
      </c>
      <c r="J3692" s="12" t="s">
        <v>521</v>
      </c>
      <c r="K3692" s="13" t="s">
        <v>36</v>
      </c>
      <c r="L3692" s="15" t="s">
        <v>122</v>
      </c>
      <c r="M3692" s="12" t="s">
        <v>36</v>
      </c>
      <c r="N3692" s="12" t="s">
        <v>122</v>
      </c>
      <c r="O3692" s="17" t="s">
        <v>36</v>
      </c>
      <c r="P3692" s="12" t="s">
        <v>36</v>
      </c>
      <c r="Q3692" s="12" t="s">
        <v>36</v>
      </c>
      <c r="R3692" s="12" t="s">
        <v>36</v>
      </c>
      <c r="S3692" s="12" t="s">
        <v>36</v>
      </c>
      <c r="T3692" s="12" t="s">
        <v>3315</v>
      </c>
      <c r="U3692" s="12" t="s">
        <v>74</v>
      </c>
      <c r="V3692" s="12" t="s">
        <v>75</v>
      </c>
      <c r="W3692" s="12" t="s">
        <v>18794</v>
      </c>
      <c r="X3692" s="16" t="s">
        <v>18795</v>
      </c>
      <c r="Y3692" s="15" t="s">
        <v>55</v>
      </c>
      <c r="Z3692" s="14">
        <v>3.2</v>
      </c>
      <c r="AA3692" s="14">
        <v>12.31</v>
      </c>
      <c r="AB3692" s="12" t="s">
        <v>56</v>
      </c>
      <c r="AC3692" s="12" t="s">
        <v>18796</v>
      </c>
      <c r="AD3692" s="13">
        <v>44077</v>
      </c>
      <c r="AE3692" s="12" t="s">
        <v>2237</v>
      </c>
      <c r="AF3692" s="12" t="s">
        <v>18797</v>
      </c>
      <c r="AG3692" s="12" t="s">
        <v>81</v>
      </c>
      <c r="AH3692" s="1">
        <f>HYPERLINK("https://my.pitchbook.com?c=157803-31T","View Company Online")</f>
      </c>
    </row>
    <row r="3693">
      <c r="A3693" s="3" t="s">
        <v>18798</v>
      </c>
      <c r="B3693" s="3" t="s">
        <v>18799</v>
      </c>
      <c r="C3693" s="5">
        <v>4</v>
      </c>
      <c r="D3693" s="5">
        <v>2</v>
      </c>
      <c r="E3693" s="5">
        <v>2</v>
      </c>
      <c r="F3693" s="5">
        <v>6</v>
      </c>
      <c r="G3693" s="6" t="s">
        <v>36</v>
      </c>
      <c r="H3693" s="4" t="s">
        <v>36</v>
      </c>
      <c r="I3693" s="7" t="s">
        <v>36</v>
      </c>
      <c r="J3693" s="3" t="s">
        <v>36</v>
      </c>
      <c r="K3693" s="9" t="s">
        <v>36</v>
      </c>
      <c r="L3693" s="6" t="s">
        <v>36</v>
      </c>
      <c r="M3693" s="3" t="s">
        <v>36</v>
      </c>
      <c r="N3693" s="3" t="s">
        <v>36</v>
      </c>
      <c r="O3693" s="8" t="s">
        <v>36</v>
      </c>
      <c r="P3693" s="3" t="s">
        <v>36</v>
      </c>
      <c r="Q3693" s="3" t="s">
        <v>36</v>
      </c>
      <c r="R3693" s="3" t="s">
        <v>36</v>
      </c>
      <c r="S3693" s="3" t="s">
        <v>36</v>
      </c>
      <c r="T3693" s="3" t="s">
        <v>18800</v>
      </c>
      <c r="U3693" s="3" t="s">
        <v>38</v>
      </c>
      <c r="V3693" s="3" t="s">
        <v>39</v>
      </c>
      <c r="W3693" s="3" t="s">
        <v>18801</v>
      </c>
      <c r="X3693" s="10" t="s">
        <v>18802</v>
      </c>
      <c r="Y3693" s="6" t="s">
        <v>42</v>
      </c>
      <c r="Z3693" s="4">
        <v>2.37</v>
      </c>
      <c r="AA3693" s="4" t="s">
        <v>36</v>
      </c>
      <c r="AB3693" s="3" t="s">
        <v>43</v>
      </c>
      <c r="AC3693" s="3" t="s">
        <v>18803</v>
      </c>
      <c r="AD3693" s="9">
        <v>44077</v>
      </c>
      <c r="AE3693" s="3" t="s">
        <v>110</v>
      </c>
      <c r="AF3693" s="3" t="s">
        <v>1331</v>
      </c>
      <c r="AG3693" s="3" t="s">
        <v>81</v>
      </c>
      <c r="AH3693" s="11">
        <f>HYPERLINK("https://my.pitchbook.com?c=160746-85T","View Company Online")</f>
      </c>
    </row>
    <row r="3694">
      <c r="A3694" s="12" t="s">
        <v>18804</v>
      </c>
      <c r="B3694" s="12" t="s">
        <v>18805</v>
      </c>
      <c r="C3694" s="19" t="s">
        <v>36</v>
      </c>
      <c r="D3694" s="19" t="s">
        <v>36</v>
      </c>
      <c r="E3694" s="19" t="s">
        <v>36</v>
      </c>
      <c r="F3694" s="19" t="s">
        <v>36</v>
      </c>
      <c r="G3694" s="15" t="s">
        <v>36</v>
      </c>
      <c r="H3694" s="14" t="s">
        <v>36</v>
      </c>
      <c r="I3694" s="18" t="s">
        <v>36</v>
      </c>
      <c r="J3694" s="12" t="s">
        <v>36</v>
      </c>
      <c r="K3694" s="13" t="s">
        <v>36</v>
      </c>
      <c r="L3694" s="15" t="s">
        <v>36</v>
      </c>
      <c r="M3694" s="12" t="s">
        <v>36</v>
      </c>
      <c r="N3694" s="12" t="s">
        <v>36</v>
      </c>
      <c r="O3694" s="17" t="s">
        <v>36</v>
      </c>
      <c r="P3694" s="12" t="s">
        <v>36</v>
      </c>
      <c r="Q3694" s="12" t="s">
        <v>36</v>
      </c>
      <c r="R3694" s="12" t="s">
        <v>36</v>
      </c>
      <c r="S3694" s="12" t="s">
        <v>36</v>
      </c>
      <c r="T3694" s="12" t="s">
        <v>18806</v>
      </c>
      <c r="U3694" s="12" t="s">
        <v>74</v>
      </c>
      <c r="V3694" s="12" t="s">
        <v>75</v>
      </c>
      <c r="W3694" s="12" t="s">
        <v>18807</v>
      </c>
      <c r="X3694" s="16" t="s">
        <v>13670</v>
      </c>
      <c r="Y3694" s="15" t="s">
        <v>42</v>
      </c>
      <c r="Z3694" s="14" t="s">
        <v>36</v>
      </c>
      <c r="AA3694" s="14" t="s">
        <v>36</v>
      </c>
      <c r="AB3694" s="12" t="s">
        <v>43</v>
      </c>
      <c r="AC3694" s="12" t="s">
        <v>18808</v>
      </c>
      <c r="AD3694" s="13">
        <v>44075</v>
      </c>
      <c r="AE3694" s="12" t="s">
        <v>362</v>
      </c>
      <c r="AF3694" s="12" t="s">
        <v>250</v>
      </c>
      <c r="AG3694" s="12" t="s">
        <v>81</v>
      </c>
      <c r="AH3694" s="1">
        <f>HYPERLINK("https://my.pitchbook.com?c=183814-93T","View Company Online")</f>
      </c>
    </row>
    <row r="3695">
      <c r="A3695" s="3" t="s">
        <v>18809</v>
      </c>
      <c r="B3695" s="3" t="s">
        <v>18810</v>
      </c>
      <c r="C3695" s="5" t="s">
        <v>36</v>
      </c>
      <c r="D3695" s="5" t="s">
        <v>36</v>
      </c>
      <c r="E3695" s="5" t="s">
        <v>36</v>
      </c>
      <c r="F3695" s="5" t="s">
        <v>36</v>
      </c>
      <c r="G3695" s="6" t="s">
        <v>36</v>
      </c>
      <c r="H3695" s="4" t="s">
        <v>36</v>
      </c>
      <c r="I3695" s="7" t="s">
        <v>36</v>
      </c>
      <c r="J3695" s="3" t="s">
        <v>36</v>
      </c>
      <c r="K3695" s="9" t="s">
        <v>36</v>
      </c>
      <c r="L3695" s="6" t="s">
        <v>36</v>
      </c>
      <c r="M3695" s="3" t="s">
        <v>36</v>
      </c>
      <c r="N3695" s="3" t="s">
        <v>36</v>
      </c>
      <c r="O3695" s="8" t="s">
        <v>36</v>
      </c>
      <c r="P3695" s="3" t="s">
        <v>36</v>
      </c>
      <c r="Q3695" s="3" t="s">
        <v>36</v>
      </c>
      <c r="R3695" s="3" t="s">
        <v>36</v>
      </c>
      <c r="S3695" s="3" t="s">
        <v>36</v>
      </c>
      <c r="T3695" s="3" t="s">
        <v>18811</v>
      </c>
      <c r="U3695" s="3" t="s">
        <v>233</v>
      </c>
      <c r="V3695" s="3" t="s">
        <v>39</v>
      </c>
      <c r="W3695" s="3" t="s">
        <v>18812</v>
      </c>
      <c r="X3695" s="10" t="s">
        <v>18813</v>
      </c>
      <c r="Y3695" s="6" t="s">
        <v>42</v>
      </c>
      <c r="Z3695" s="4">
        <v>11.83</v>
      </c>
      <c r="AA3695" s="4" t="s">
        <v>36</v>
      </c>
      <c r="AB3695" s="3" t="s">
        <v>43</v>
      </c>
      <c r="AC3695" s="3" t="s">
        <v>18814</v>
      </c>
      <c r="AD3695" s="9">
        <v>44075</v>
      </c>
      <c r="AE3695" s="3" t="s">
        <v>236</v>
      </c>
      <c r="AF3695" s="3" t="s">
        <v>36</v>
      </c>
      <c r="AG3695" s="3" t="s">
        <v>18815</v>
      </c>
      <c r="AH3695" s="11">
        <f>HYPERLINK("https://my.pitchbook.com?c=184361-14T","View Company Online")</f>
      </c>
    </row>
    <row r="3696">
      <c r="A3696" s="12" t="s">
        <v>18816</v>
      </c>
      <c r="B3696" s="12" t="s">
        <v>18817</v>
      </c>
      <c r="C3696" s="19" t="s">
        <v>36</v>
      </c>
      <c r="D3696" s="19" t="s">
        <v>36</v>
      </c>
      <c r="E3696" s="19" t="s">
        <v>36</v>
      </c>
      <c r="F3696" s="19" t="s">
        <v>36</v>
      </c>
      <c r="G3696" s="15" t="s">
        <v>36</v>
      </c>
      <c r="H3696" s="14">
        <v>422.18</v>
      </c>
      <c r="I3696" s="18">
        <v>30.69</v>
      </c>
      <c r="J3696" s="12" t="s">
        <v>521</v>
      </c>
      <c r="K3696" s="13" t="s">
        <v>36</v>
      </c>
      <c r="L3696" s="15" t="s">
        <v>36</v>
      </c>
      <c r="M3696" s="12" t="s">
        <v>36</v>
      </c>
      <c r="N3696" s="12" t="s">
        <v>36</v>
      </c>
      <c r="O3696" s="17" t="s">
        <v>36</v>
      </c>
      <c r="P3696" s="12" t="s">
        <v>36</v>
      </c>
      <c r="Q3696" s="12" t="s">
        <v>36</v>
      </c>
      <c r="R3696" s="12" t="s">
        <v>36</v>
      </c>
      <c r="S3696" s="12" t="s">
        <v>36</v>
      </c>
      <c r="T3696" s="12" t="s">
        <v>811</v>
      </c>
      <c r="U3696" s="12" t="s">
        <v>38</v>
      </c>
      <c r="V3696" s="12" t="s">
        <v>39</v>
      </c>
      <c r="W3696" s="12" t="s">
        <v>18818</v>
      </c>
      <c r="X3696" s="16" t="s">
        <v>18819</v>
      </c>
      <c r="Y3696" s="15" t="s">
        <v>42</v>
      </c>
      <c r="Z3696" s="14">
        <v>2.13</v>
      </c>
      <c r="AA3696" s="14">
        <v>6.94</v>
      </c>
      <c r="AB3696" s="12" t="s">
        <v>43</v>
      </c>
      <c r="AC3696" s="12" t="s">
        <v>18820</v>
      </c>
      <c r="AD3696" s="13">
        <v>44075</v>
      </c>
      <c r="AE3696" s="12" t="s">
        <v>339</v>
      </c>
      <c r="AF3696" s="12" t="s">
        <v>111</v>
      </c>
      <c r="AG3696" s="12" t="s">
        <v>81</v>
      </c>
      <c r="AH3696" s="1">
        <f>HYPERLINK("https://my.pitchbook.com?c=179568-82T","View Company Online")</f>
      </c>
    </row>
    <row r="3697">
      <c r="A3697" s="3" t="s">
        <v>18821</v>
      </c>
      <c r="B3697" s="3" t="s">
        <v>18822</v>
      </c>
      <c r="C3697" s="5" t="s">
        <v>36</v>
      </c>
      <c r="D3697" s="5" t="s">
        <v>36</v>
      </c>
      <c r="E3697" s="5" t="s">
        <v>36</v>
      </c>
      <c r="F3697" s="5" t="s">
        <v>36</v>
      </c>
      <c r="G3697" s="6" t="s">
        <v>36</v>
      </c>
      <c r="H3697" s="4" t="s">
        <v>36</v>
      </c>
      <c r="I3697" s="7" t="s">
        <v>36</v>
      </c>
      <c r="J3697" s="3" t="s">
        <v>36</v>
      </c>
      <c r="K3697" s="9" t="s">
        <v>36</v>
      </c>
      <c r="L3697" s="6" t="s">
        <v>36</v>
      </c>
      <c r="M3697" s="3" t="s">
        <v>36</v>
      </c>
      <c r="N3697" s="3" t="s">
        <v>36</v>
      </c>
      <c r="O3697" s="8" t="s">
        <v>36</v>
      </c>
      <c r="P3697" s="3" t="s">
        <v>36</v>
      </c>
      <c r="Q3697" s="3" t="s">
        <v>36</v>
      </c>
      <c r="R3697" s="3" t="s">
        <v>36</v>
      </c>
      <c r="S3697" s="3" t="s">
        <v>36</v>
      </c>
      <c r="T3697" s="3" t="s">
        <v>18823</v>
      </c>
      <c r="U3697" s="3" t="s">
        <v>38</v>
      </c>
      <c r="V3697" s="3" t="s">
        <v>39</v>
      </c>
      <c r="W3697" s="3" t="s">
        <v>18824</v>
      </c>
      <c r="X3697" s="10" t="s">
        <v>18825</v>
      </c>
      <c r="Y3697" s="6" t="s">
        <v>166</v>
      </c>
      <c r="Z3697" s="4">
        <v>3.55</v>
      </c>
      <c r="AA3697" s="4" t="s">
        <v>36</v>
      </c>
      <c r="AB3697" s="3" t="s">
        <v>56</v>
      </c>
      <c r="AC3697" s="3" t="s">
        <v>18826</v>
      </c>
      <c r="AD3697" s="9">
        <v>44075</v>
      </c>
      <c r="AE3697" s="3" t="s">
        <v>1422</v>
      </c>
      <c r="AF3697" s="3" t="s">
        <v>16669</v>
      </c>
      <c r="AG3697" s="3" t="s">
        <v>1978</v>
      </c>
      <c r="AH3697" s="11">
        <f>HYPERLINK("https://my.pitchbook.com?c=134291-62T","View Company Online")</f>
      </c>
    </row>
    <row r="3698">
      <c r="A3698" s="12" t="s">
        <v>18827</v>
      </c>
      <c r="B3698" s="12" t="s">
        <v>18828</v>
      </c>
      <c r="C3698" s="19" t="s">
        <v>36</v>
      </c>
      <c r="D3698" s="19" t="s">
        <v>36</v>
      </c>
      <c r="E3698" s="19" t="s">
        <v>36</v>
      </c>
      <c r="F3698" s="19" t="s">
        <v>36</v>
      </c>
      <c r="G3698" s="15" t="s">
        <v>36</v>
      </c>
      <c r="H3698" s="14" t="s">
        <v>36</v>
      </c>
      <c r="I3698" s="18" t="s">
        <v>36</v>
      </c>
      <c r="J3698" s="12" t="s">
        <v>36</v>
      </c>
      <c r="K3698" s="13" t="s">
        <v>36</v>
      </c>
      <c r="L3698" s="15" t="s">
        <v>36</v>
      </c>
      <c r="M3698" s="12" t="s">
        <v>36</v>
      </c>
      <c r="N3698" s="12" t="s">
        <v>36</v>
      </c>
      <c r="O3698" s="17" t="s">
        <v>36</v>
      </c>
      <c r="P3698" s="12" t="s">
        <v>36</v>
      </c>
      <c r="Q3698" s="12" t="s">
        <v>36</v>
      </c>
      <c r="R3698" s="12" t="s">
        <v>36</v>
      </c>
      <c r="S3698" s="12" t="s">
        <v>36</v>
      </c>
      <c r="T3698" s="12" t="s">
        <v>4827</v>
      </c>
      <c r="U3698" s="12" t="s">
        <v>648</v>
      </c>
      <c r="V3698" s="12" t="s">
        <v>64</v>
      </c>
      <c r="W3698" s="12" t="s">
        <v>18829</v>
      </c>
      <c r="X3698" s="16" t="s">
        <v>17134</v>
      </c>
      <c r="Y3698" s="15" t="s">
        <v>192</v>
      </c>
      <c r="Z3698" s="14" t="s">
        <v>36</v>
      </c>
      <c r="AA3698" s="14" t="s">
        <v>36</v>
      </c>
      <c r="AB3698" s="12" t="s">
        <v>56</v>
      </c>
      <c r="AC3698" s="12" t="s">
        <v>18830</v>
      </c>
      <c r="AD3698" s="13">
        <v>44075</v>
      </c>
      <c r="AE3698" s="12" t="s">
        <v>3988</v>
      </c>
      <c r="AF3698" s="12" t="s">
        <v>4284</v>
      </c>
      <c r="AG3698" s="12" t="s">
        <v>81</v>
      </c>
      <c r="AH3698" s="1">
        <f>HYPERLINK("https://my.pitchbook.com?c=266169-25T","View Company Online")</f>
      </c>
    </row>
    <row r="3699">
      <c r="A3699" s="3" t="s">
        <v>18831</v>
      </c>
      <c r="B3699" s="3" t="s">
        <v>18832</v>
      </c>
      <c r="C3699" s="5" t="s">
        <v>36</v>
      </c>
      <c r="D3699" s="5" t="s">
        <v>36</v>
      </c>
      <c r="E3699" s="5" t="s">
        <v>36</v>
      </c>
      <c r="F3699" s="5" t="s">
        <v>36</v>
      </c>
      <c r="G3699" s="6" t="s">
        <v>36</v>
      </c>
      <c r="H3699" s="4" t="s">
        <v>36</v>
      </c>
      <c r="I3699" s="7" t="s">
        <v>36</v>
      </c>
      <c r="J3699" s="3" t="s">
        <v>36</v>
      </c>
      <c r="K3699" s="9" t="s">
        <v>36</v>
      </c>
      <c r="L3699" s="6" t="s">
        <v>36</v>
      </c>
      <c r="M3699" s="3" t="s">
        <v>36</v>
      </c>
      <c r="N3699" s="3" t="s">
        <v>36</v>
      </c>
      <c r="O3699" s="8" t="s">
        <v>36</v>
      </c>
      <c r="P3699" s="3" t="s">
        <v>36</v>
      </c>
      <c r="Q3699" s="3" t="s">
        <v>36</v>
      </c>
      <c r="R3699" s="3" t="s">
        <v>36</v>
      </c>
      <c r="S3699" s="3" t="s">
        <v>36</v>
      </c>
      <c r="T3699" s="3" t="s">
        <v>37</v>
      </c>
      <c r="U3699" s="3" t="s">
        <v>38</v>
      </c>
      <c r="V3699" s="3" t="s">
        <v>39</v>
      </c>
      <c r="W3699" s="3" t="s">
        <v>18833</v>
      </c>
      <c r="X3699" s="10" t="s">
        <v>18834</v>
      </c>
      <c r="Y3699" s="6" t="s">
        <v>42</v>
      </c>
      <c r="Z3699" s="4" t="s">
        <v>36</v>
      </c>
      <c r="AA3699" s="4" t="s">
        <v>36</v>
      </c>
      <c r="AB3699" s="3" t="s">
        <v>43</v>
      </c>
      <c r="AC3699" s="3" t="s">
        <v>18835</v>
      </c>
      <c r="AD3699" s="9">
        <v>44075</v>
      </c>
      <c r="AE3699" s="3" t="s">
        <v>45</v>
      </c>
      <c r="AF3699" s="3" t="s">
        <v>331</v>
      </c>
      <c r="AG3699" s="3" t="s">
        <v>81</v>
      </c>
      <c r="AH3699" s="11">
        <f>HYPERLINK("https://my.pitchbook.com?c=156771-91T","View Company Online")</f>
      </c>
    </row>
    <row r="3700">
      <c r="A3700" s="12" t="s">
        <v>18836</v>
      </c>
      <c r="B3700" s="12" t="s">
        <v>18837</v>
      </c>
      <c r="C3700" s="19" t="s">
        <v>36</v>
      </c>
      <c r="D3700" s="19" t="s">
        <v>36</v>
      </c>
      <c r="E3700" s="19" t="s">
        <v>36</v>
      </c>
      <c r="F3700" s="19" t="s">
        <v>36</v>
      </c>
      <c r="G3700" s="15" t="s">
        <v>36</v>
      </c>
      <c r="H3700" s="14">
        <v>413.55</v>
      </c>
      <c r="I3700" s="18">
        <v>30.01</v>
      </c>
      <c r="J3700" s="12" t="s">
        <v>521</v>
      </c>
      <c r="K3700" s="13" t="s">
        <v>36</v>
      </c>
      <c r="L3700" s="15" t="s">
        <v>36</v>
      </c>
      <c r="M3700" s="12" t="s">
        <v>36</v>
      </c>
      <c r="N3700" s="12" t="s">
        <v>36</v>
      </c>
      <c r="O3700" s="17" t="s">
        <v>36</v>
      </c>
      <c r="P3700" s="12" t="s">
        <v>36</v>
      </c>
      <c r="Q3700" s="12" t="s">
        <v>36</v>
      </c>
      <c r="R3700" s="12" t="s">
        <v>36</v>
      </c>
      <c r="S3700" s="12" t="s">
        <v>36</v>
      </c>
      <c r="T3700" s="12" t="s">
        <v>18838</v>
      </c>
      <c r="U3700" s="12" t="s">
        <v>38</v>
      </c>
      <c r="V3700" s="12" t="s">
        <v>39</v>
      </c>
      <c r="W3700" s="12" t="s">
        <v>18839</v>
      </c>
      <c r="X3700" s="16" t="s">
        <v>1840</v>
      </c>
      <c r="Y3700" s="15" t="s">
        <v>42</v>
      </c>
      <c r="Z3700" s="14">
        <v>4.38</v>
      </c>
      <c r="AA3700" s="14">
        <v>9.07</v>
      </c>
      <c r="AB3700" s="12" t="s">
        <v>43</v>
      </c>
      <c r="AC3700" s="12" t="s">
        <v>18840</v>
      </c>
      <c r="AD3700" s="13">
        <v>44075</v>
      </c>
      <c r="AE3700" s="12" t="s">
        <v>1330</v>
      </c>
      <c r="AF3700" s="12" t="s">
        <v>815</v>
      </c>
      <c r="AG3700" s="12" t="s">
        <v>1276</v>
      </c>
      <c r="AH3700" s="1">
        <f>HYPERLINK("https://my.pitchbook.com?c=155408-86T","View Company Online")</f>
      </c>
    </row>
    <row r="3701">
      <c r="A3701" s="3" t="s">
        <v>18841</v>
      </c>
      <c r="B3701" s="3" t="s">
        <v>9638</v>
      </c>
      <c r="C3701" s="5" t="s">
        <v>36</v>
      </c>
      <c r="D3701" s="5" t="s">
        <v>36</v>
      </c>
      <c r="E3701" s="5" t="s">
        <v>36</v>
      </c>
      <c r="F3701" s="5" t="s">
        <v>36</v>
      </c>
      <c r="G3701" s="6" t="s">
        <v>326</v>
      </c>
      <c r="H3701" s="4" t="s">
        <v>36</v>
      </c>
      <c r="I3701" s="7">
        <v>6</v>
      </c>
      <c r="J3701" s="3" t="s">
        <v>521</v>
      </c>
      <c r="K3701" s="9" t="s">
        <v>36</v>
      </c>
      <c r="L3701" s="6" t="s">
        <v>36</v>
      </c>
      <c r="M3701" s="3" t="s">
        <v>36</v>
      </c>
      <c r="N3701" s="3" t="s">
        <v>36</v>
      </c>
      <c r="O3701" s="8" t="s">
        <v>36</v>
      </c>
      <c r="P3701" s="3" t="s">
        <v>36</v>
      </c>
      <c r="Q3701" s="3" t="s">
        <v>36</v>
      </c>
      <c r="R3701" s="3" t="s">
        <v>36</v>
      </c>
      <c r="S3701" s="3" t="s">
        <v>36</v>
      </c>
      <c r="T3701" s="3" t="s">
        <v>9639</v>
      </c>
      <c r="U3701" s="3" t="s">
        <v>63</v>
      </c>
      <c r="V3701" s="3" t="s">
        <v>64</v>
      </c>
      <c r="W3701" s="3" t="s">
        <v>9640</v>
      </c>
      <c r="X3701" s="10" t="s">
        <v>18842</v>
      </c>
      <c r="Y3701" s="6" t="s">
        <v>55</v>
      </c>
      <c r="Z3701" s="4">
        <v>1.77</v>
      </c>
      <c r="AA3701" s="4">
        <v>29.58</v>
      </c>
      <c r="AB3701" s="3" t="s">
        <v>56</v>
      </c>
      <c r="AC3701" s="3" t="s">
        <v>9642</v>
      </c>
      <c r="AD3701" s="9">
        <v>44075</v>
      </c>
      <c r="AE3701" s="3" t="s">
        <v>4310</v>
      </c>
      <c r="AF3701" s="3" t="s">
        <v>36</v>
      </c>
      <c r="AG3701" s="3" t="s">
        <v>9643</v>
      </c>
      <c r="AH3701" s="11">
        <f>HYPERLINK("https://my.pitchbook.com?c=137854-18T","View Company Online")</f>
      </c>
    </row>
    <row r="3702">
      <c r="A3702" s="12" t="s">
        <v>18843</v>
      </c>
      <c r="B3702" s="12" t="s">
        <v>3259</v>
      </c>
      <c r="C3702" s="19">
        <v>2</v>
      </c>
      <c r="D3702" s="19">
        <v>4</v>
      </c>
      <c r="E3702" s="19">
        <v>3</v>
      </c>
      <c r="F3702" s="19">
        <v>9</v>
      </c>
      <c r="G3702" s="15" t="s">
        <v>36</v>
      </c>
      <c r="H3702" s="14" t="s">
        <v>36</v>
      </c>
      <c r="I3702" s="18" t="s">
        <v>36</v>
      </c>
      <c r="J3702" s="12" t="s">
        <v>36</v>
      </c>
      <c r="K3702" s="13" t="s">
        <v>36</v>
      </c>
      <c r="L3702" s="15" t="s">
        <v>122</v>
      </c>
      <c r="M3702" s="12" t="s">
        <v>36</v>
      </c>
      <c r="N3702" s="12" t="s">
        <v>122</v>
      </c>
      <c r="O3702" s="17" t="s">
        <v>36</v>
      </c>
      <c r="P3702" s="12" t="s">
        <v>36</v>
      </c>
      <c r="Q3702" s="12" t="s">
        <v>36</v>
      </c>
      <c r="R3702" s="12" t="s">
        <v>36</v>
      </c>
      <c r="S3702" s="12" t="s">
        <v>36</v>
      </c>
      <c r="T3702" s="12" t="s">
        <v>881</v>
      </c>
      <c r="U3702" s="12" t="s">
        <v>51</v>
      </c>
      <c r="V3702" s="12" t="s">
        <v>52</v>
      </c>
      <c r="W3702" s="12" t="s">
        <v>3260</v>
      </c>
      <c r="X3702" s="16" t="s">
        <v>10508</v>
      </c>
      <c r="Y3702" s="15" t="s">
        <v>42</v>
      </c>
      <c r="Z3702" s="14">
        <v>5.32</v>
      </c>
      <c r="AA3702" s="14" t="s">
        <v>36</v>
      </c>
      <c r="AB3702" s="12" t="s">
        <v>56</v>
      </c>
      <c r="AC3702" s="12" t="s">
        <v>3261</v>
      </c>
      <c r="AD3702" s="13">
        <v>44074</v>
      </c>
      <c r="AE3702" s="12" t="s">
        <v>504</v>
      </c>
      <c r="AF3702" s="12" t="s">
        <v>159</v>
      </c>
      <c r="AG3702" s="12" t="s">
        <v>652</v>
      </c>
      <c r="AH3702" s="1">
        <f>HYPERLINK("https://my.pitchbook.com?c=155376-91T","View Company Online")</f>
      </c>
    </row>
    <row r="3703">
      <c r="A3703" s="3" t="s">
        <v>18844</v>
      </c>
      <c r="B3703" s="3" t="s">
        <v>7840</v>
      </c>
      <c r="C3703" s="5" t="s">
        <v>36</v>
      </c>
      <c r="D3703" s="5" t="s">
        <v>36</v>
      </c>
      <c r="E3703" s="5" t="s">
        <v>36</v>
      </c>
      <c r="F3703" s="5" t="s">
        <v>36</v>
      </c>
      <c r="G3703" s="6" t="s">
        <v>326</v>
      </c>
      <c r="H3703" s="4">
        <v>3.98</v>
      </c>
      <c r="I3703" s="7">
        <v>14.71</v>
      </c>
      <c r="J3703" s="3" t="s">
        <v>521</v>
      </c>
      <c r="K3703" s="9" t="s">
        <v>36</v>
      </c>
      <c r="L3703" s="6" t="s">
        <v>122</v>
      </c>
      <c r="M3703" s="3" t="s">
        <v>36</v>
      </c>
      <c r="N3703" s="3" t="s">
        <v>122</v>
      </c>
      <c r="O3703" s="8" t="s">
        <v>36</v>
      </c>
      <c r="P3703" s="3" t="s">
        <v>3530</v>
      </c>
      <c r="Q3703" s="3" t="s">
        <v>3530</v>
      </c>
      <c r="R3703" s="3" t="s">
        <v>3531</v>
      </c>
      <c r="S3703" s="3" t="s">
        <v>36</v>
      </c>
      <c r="T3703" s="3" t="s">
        <v>522</v>
      </c>
      <c r="U3703" s="3" t="s">
        <v>38</v>
      </c>
      <c r="V3703" s="3" t="s">
        <v>39</v>
      </c>
      <c r="W3703" s="3" t="s">
        <v>7841</v>
      </c>
      <c r="X3703" s="10" t="s">
        <v>18845</v>
      </c>
      <c r="Y3703" s="6" t="s">
        <v>55</v>
      </c>
      <c r="Z3703" s="4">
        <v>15</v>
      </c>
      <c r="AA3703" s="4">
        <v>102</v>
      </c>
      <c r="AB3703" s="3" t="s">
        <v>56</v>
      </c>
      <c r="AC3703" s="3" t="s">
        <v>7843</v>
      </c>
      <c r="AD3703" s="9">
        <v>44074</v>
      </c>
      <c r="AE3703" s="3" t="s">
        <v>110</v>
      </c>
      <c r="AF3703" s="3" t="s">
        <v>7844</v>
      </c>
      <c r="AG3703" s="3" t="s">
        <v>81</v>
      </c>
      <c r="AH3703" s="11">
        <f>HYPERLINK("https://my.pitchbook.com?c=155406-52T","View Company Online")</f>
      </c>
    </row>
    <row r="3704">
      <c r="A3704" s="12" t="s">
        <v>18846</v>
      </c>
      <c r="B3704" s="12" t="s">
        <v>9431</v>
      </c>
      <c r="C3704" s="19" t="s">
        <v>36</v>
      </c>
      <c r="D3704" s="19" t="s">
        <v>36</v>
      </c>
      <c r="E3704" s="19" t="s">
        <v>36</v>
      </c>
      <c r="F3704" s="19" t="s">
        <v>36</v>
      </c>
      <c r="G3704" s="15" t="s">
        <v>326</v>
      </c>
      <c r="H3704" s="14">
        <v>2291.8</v>
      </c>
      <c r="I3704" s="18">
        <v>14.46</v>
      </c>
      <c r="J3704" s="12" t="s">
        <v>521</v>
      </c>
      <c r="K3704" s="13" t="s">
        <v>36</v>
      </c>
      <c r="L3704" s="15" t="s">
        <v>122</v>
      </c>
      <c r="M3704" s="12" t="s">
        <v>36</v>
      </c>
      <c r="N3704" s="12" t="s">
        <v>122</v>
      </c>
      <c r="O3704" s="17" t="s">
        <v>36</v>
      </c>
      <c r="P3704" s="12" t="s">
        <v>36</v>
      </c>
      <c r="Q3704" s="12" t="s">
        <v>36</v>
      </c>
      <c r="R3704" s="12" t="s">
        <v>36</v>
      </c>
      <c r="S3704" s="12" t="s">
        <v>36</v>
      </c>
      <c r="T3704" s="12" t="s">
        <v>4917</v>
      </c>
      <c r="U3704" s="12" t="s">
        <v>38</v>
      </c>
      <c r="V3704" s="12" t="s">
        <v>39</v>
      </c>
      <c r="W3704" s="12" t="s">
        <v>9432</v>
      </c>
      <c r="X3704" s="16" t="s">
        <v>18847</v>
      </c>
      <c r="Y3704" s="15" t="s">
        <v>42</v>
      </c>
      <c r="Z3704" s="14">
        <v>1.11</v>
      </c>
      <c r="AA3704" s="14">
        <v>7.66</v>
      </c>
      <c r="AB3704" s="12" t="s">
        <v>43</v>
      </c>
      <c r="AC3704" s="12" t="s">
        <v>9434</v>
      </c>
      <c r="AD3704" s="13">
        <v>44070</v>
      </c>
      <c r="AE3704" s="12" t="s">
        <v>134</v>
      </c>
      <c r="AF3704" s="12" t="s">
        <v>7730</v>
      </c>
      <c r="AG3704" s="12" t="s">
        <v>1369</v>
      </c>
      <c r="AH3704" s="1">
        <f>HYPERLINK("https://my.pitchbook.com?c=127713-88T","View Company Online")</f>
      </c>
    </row>
    <row r="3705">
      <c r="A3705" s="3" t="s">
        <v>18848</v>
      </c>
      <c r="B3705" s="3" t="s">
        <v>18849</v>
      </c>
      <c r="C3705" s="5" t="s">
        <v>36</v>
      </c>
      <c r="D3705" s="5" t="s">
        <v>36</v>
      </c>
      <c r="E3705" s="5" t="s">
        <v>36</v>
      </c>
      <c r="F3705" s="5" t="s">
        <v>36</v>
      </c>
      <c r="G3705" s="6" t="s">
        <v>36</v>
      </c>
      <c r="H3705" s="4">
        <v>3110.96</v>
      </c>
      <c r="I3705" s="7">
        <v>16.11</v>
      </c>
      <c r="J3705" s="3" t="s">
        <v>521</v>
      </c>
      <c r="K3705" s="9" t="s">
        <v>36</v>
      </c>
      <c r="L3705" s="6" t="s">
        <v>36</v>
      </c>
      <c r="M3705" s="3" t="s">
        <v>36</v>
      </c>
      <c r="N3705" s="3" t="s">
        <v>36</v>
      </c>
      <c r="O3705" s="8" t="s">
        <v>36</v>
      </c>
      <c r="P3705" s="3" t="s">
        <v>36</v>
      </c>
      <c r="Q3705" s="3" t="s">
        <v>36</v>
      </c>
      <c r="R3705" s="3" t="s">
        <v>36</v>
      </c>
      <c r="S3705" s="3" t="s">
        <v>565</v>
      </c>
      <c r="T3705" s="3" t="s">
        <v>4509</v>
      </c>
      <c r="U3705" s="3" t="s">
        <v>1091</v>
      </c>
      <c r="V3705" s="3" t="s">
        <v>378</v>
      </c>
      <c r="W3705" s="3" t="s">
        <v>18850</v>
      </c>
      <c r="X3705" s="10" t="s">
        <v>18851</v>
      </c>
      <c r="Y3705" s="6" t="s">
        <v>42</v>
      </c>
      <c r="Z3705" s="4">
        <v>2.13</v>
      </c>
      <c r="AA3705" s="4">
        <v>8.44</v>
      </c>
      <c r="AB3705" s="3" t="s">
        <v>56</v>
      </c>
      <c r="AC3705" s="3" t="s">
        <v>18852</v>
      </c>
      <c r="AD3705" s="9">
        <v>44070</v>
      </c>
      <c r="AE3705" s="3" t="s">
        <v>1095</v>
      </c>
      <c r="AF3705" s="3" t="s">
        <v>2369</v>
      </c>
      <c r="AG3705" s="3" t="s">
        <v>382</v>
      </c>
      <c r="AH3705" s="11">
        <f>HYPERLINK("https://my.pitchbook.com?c=155981-71T","View Company Online")</f>
      </c>
    </row>
    <row r="3706">
      <c r="A3706" s="12" t="s">
        <v>18853</v>
      </c>
      <c r="B3706" s="12" t="s">
        <v>18854</v>
      </c>
      <c r="C3706" s="19" t="s">
        <v>36</v>
      </c>
      <c r="D3706" s="19" t="s">
        <v>36</v>
      </c>
      <c r="E3706" s="19" t="s">
        <v>36</v>
      </c>
      <c r="F3706" s="19" t="s">
        <v>36</v>
      </c>
      <c r="G3706" s="15" t="s">
        <v>683</v>
      </c>
      <c r="H3706" s="14">
        <v>142.88</v>
      </c>
      <c r="I3706" s="18">
        <v>8.31</v>
      </c>
      <c r="J3706" s="12" t="s">
        <v>521</v>
      </c>
      <c r="K3706" s="13" t="s">
        <v>36</v>
      </c>
      <c r="L3706" s="15" t="s">
        <v>36</v>
      </c>
      <c r="M3706" s="12" t="s">
        <v>36</v>
      </c>
      <c r="N3706" s="12" t="s">
        <v>36</v>
      </c>
      <c r="O3706" s="17" t="s">
        <v>36</v>
      </c>
      <c r="P3706" s="12" t="s">
        <v>36</v>
      </c>
      <c r="Q3706" s="12" t="s">
        <v>36</v>
      </c>
      <c r="R3706" s="12" t="s">
        <v>36</v>
      </c>
      <c r="S3706" s="12" t="s">
        <v>36</v>
      </c>
      <c r="T3706" s="12" t="s">
        <v>18855</v>
      </c>
      <c r="U3706" s="12" t="s">
        <v>423</v>
      </c>
      <c r="V3706" s="12" t="s">
        <v>64</v>
      </c>
      <c r="W3706" s="12" t="s">
        <v>18856</v>
      </c>
      <c r="X3706" s="16" t="s">
        <v>18857</v>
      </c>
      <c r="Y3706" s="15" t="s">
        <v>55</v>
      </c>
      <c r="Z3706" s="14">
        <v>0.41</v>
      </c>
      <c r="AA3706" s="14">
        <v>4.98</v>
      </c>
      <c r="AB3706" s="12" t="s">
        <v>56</v>
      </c>
      <c r="AC3706" s="12" t="s">
        <v>18858</v>
      </c>
      <c r="AD3706" s="13">
        <v>44070</v>
      </c>
      <c r="AE3706" s="12" t="s">
        <v>562</v>
      </c>
      <c r="AF3706" s="12" t="s">
        <v>4270</v>
      </c>
      <c r="AG3706" s="12" t="s">
        <v>16784</v>
      </c>
      <c r="AH3706" s="1">
        <f>HYPERLINK("https://my.pitchbook.com?c=136408-87T","View Company Online")</f>
      </c>
    </row>
    <row r="3707">
      <c r="A3707" s="3" t="s">
        <v>18859</v>
      </c>
      <c r="B3707" s="3" t="s">
        <v>18860</v>
      </c>
      <c r="C3707" s="5" t="s">
        <v>36</v>
      </c>
      <c r="D3707" s="5" t="s">
        <v>36</v>
      </c>
      <c r="E3707" s="5" t="s">
        <v>36</v>
      </c>
      <c r="F3707" s="5" t="s">
        <v>36</v>
      </c>
      <c r="G3707" s="6" t="s">
        <v>36</v>
      </c>
      <c r="H3707" s="4">
        <v>101.73</v>
      </c>
      <c r="I3707" s="7">
        <v>33.62</v>
      </c>
      <c r="J3707" s="3" t="s">
        <v>521</v>
      </c>
      <c r="K3707" s="9" t="s">
        <v>36</v>
      </c>
      <c r="L3707" s="6" t="s">
        <v>122</v>
      </c>
      <c r="M3707" s="3" t="s">
        <v>36</v>
      </c>
      <c r="N3707" s="3" t="s">
        <v>122</v>
      </c>
      <c r="O3707" s="8" t="s">
        <v>36</v>
      </c>
      <c r="P3707" s="3" t="s">
        <v>36</v>
      </c>
      <c r="Q3707" s="3" t="s">
        <v>36</v>
      </c>
      <c r="R3707" s="3" t="s">
        <v>36</v>
      </c>
      <c r="S3707" s="3" t="s">
        <v>36</v>
      </c>
      <c r="T3707" s="3" t="s">
        <v>1701</v>
      </c>
      <c r="U3707" s="3" t="s">
        <v>74</v>
      </c>
      <c r="V3707" s="3" t="s">
        <v>75</v>
      </c>
      <c r="W3707" s="3" t="s">
        <v>18861</v>
      </c>
      <c r="X3707" s="10" t="s">
        <v>18862</v>
      </c>
      <c r="Y3707" s="6" t="s">
        <v>192</v>
      </c>
      <c r="Z3707" s="4">
        <v>8.06</v>
      </c>
      <c r="AA3707" s="4">
        <v>23.96</v>
      </c>
      <c r="AB3707" s="3" t="s">
        <v>43</v>
      </c>
      <c r="AC3707" s="3" t="s">
        <v>18863</v>
      </c>
      <c r="AD3707" s="9">
        <v>44068</v>
      </c>
      <c r="AE3707" s="3" t="s">
        <v>79</v>
      </c>
      <c r="AF3707" s="3" t="s">
        <v>36</v>
      </c>
      <c r="AG3707" s="3" t="s">
        <v>81</v>
      </c>
      <c r="AH3707" s="11">
        <f>HYPERLINK("https://my.pitchbook.com?c=113061-43T","View Company Online")</f>
      </c>
    </row>
    <row r="3708">
      <c r="A3708" s="12" t="s">
        <v>18864</v>
      </c>
      <c r="B3708" s="12" t="s">
        <v>12245</v>
      </c>
      <c r="C3708" s="19" t="s">
        <v>36</v>
      </c>
      <c r="D3708" s="19" t="s">
        <v>36</v>
      </c>
      <c r="E3708" s="19" t="s">
        <v>36</v>
      </c>
      <c r="F3708" s="19" t="s">
        <v>36</v>
      </c>
      <c r="G3708" s="15" t="s">
        <v>326</v>
      </c>
      <c r="H3708" s="14">
        <v>48.28</v>
      </c>
      <c r="I3708" s="18">
        <v>18.16</v>
      </c>
      <c r="J3708" s="12" t="s">
        <v>327</v>
      </c>
      <c r="K3708" s="13" t="s">
        <v>36</v>
      </c>
      <c r="L3708" s="15" t="s">
        <v>1981</v>
      </c>
      <c r="M3708" s="12" t="s">
        <v>36</v>
      </c>
      <c r="N3708" s="12" t="s">
        <v>1981</v>
      </c>
      <c r="O3708" s="17" t="s">
        <v>36</v>
      </c>
      <c r="P3708" s="12" t="s">
        <v>36</v>
      </c>
      <c r="Q3708" s="12" t="s">
        <v>36</v>
      </c>
      <c r="R3708" s="12" t="s">
        <v>36</v>
      </c>
      <c r="S3708" s="12" t="s">
        <v>36</v>
      </c>
      <c r="T3708" s="12" t="s">
        <v>4590</v>
      </c>
      <c r="U3708" s="12" t="s">
        <v>1357</v>
      </c>
      <c r="V3708" s="12" t="s">
        <v>52</v>
      </c>
      <c r="W3708" s="12" t="s">
        <v>12246</v>
      </c>
      <c r="X3708" s="16" t="s">
        <v>18865</v>
      </c>
      <c r="Y3708" s="15" t="s">
        <v>55</v>
      </c>
      <c r="Z3708" s="14">
        <v>4.97</v>
      </c>
      <c r="AA3708" s="14">
        <v>27.35</v>
      </c>
      <c r="AB3708" s="12" t="s">
        <v>43</v>
      </c>
      <c r="AC3708" s="12" t="s">
        <v>12248</v>
      </c>
      <c r="AD3708" s="13">
        <v>44064</v>
      </c>
      <c r="AE3708" s="12" t="s">
        <v>2377</v>
      </c>
      <c r="AF3708" s="12" t="s">
        <v>36</v>
      </c>
      <c r="AG3708" s="12" t="s">
        <v>81</v>
      </c>
      <c r="AH3708" s="1">
        <f>HYPERLINK("https://my.pitchbook.com?c=167826-79T","View Company Online")</f>
      </c>
    </row>
    <row r="3709">
      <c r="A3709" s="3" t="s">
        <v>18866</v>
      </c>
      <c r="B3709" s="3" t="s">
        <v>14099</v>
      </c>
      <c r="C3709" s="5" t="s">
        <v>36</v>
      </c>
      <c r="D3709" s="5" t="s">
        <v>36</v>
      </c>
      <c r="E3709" s="5" t="s">
        <v>36</v>
      </c>
      <c r="F3709" s="5" t="s">
        <v>36</v>
      </c>
      <c r="G3709" s="6" t="s">
        <v>2497</v>
      </c>
      <c r="H3709" s="4">
        <v>43.34</v>
      </c>
      <c r="I3709" s="7">
        <v>8.7</v>
      </c>
      <c r="J3709" s="3" t="s">
        <v>521</v>
      </c>
      <c r="K3709" s="9" t="s">
        <v>36</v>
      </c>
      <c r="L3709" s="6" t="s">
        <v>36</v>
      </c>
      <c r="M3709" s="3" t="s">
        <v>36</v>
      </c>
      <c r="N3709" s="3" t="s">
        <v>36</v>
      </c>
      <c r="O3709" s="8" t="s">
        <v>36</v>
      </c>
      <c r="P3709" s="3" t="s">
        <v>36</v>
      </c>
      <c r="Q3709" s="3" t="s">
        <v>36</v>
      </c>
      <c r="R3709" s="3" t="s">
        <v>36</v>
      </c>
      <c r="S3709" s="3" t="s">
        <v>36</v>
      </c>
      <c r="T3709" s="3" t="s">
        <v>50</v>
      </c>
      <c r="U3709" s="3" t="s">
        <v>51</v>
      </c>
      <c r="V3709" s="3" t="s">
        <v>52</v>
      </c>
      <c r="W3709" s="3" t="s">
        <v>14100</v>
      </c>
      <c r="X3709" s="10" t="s">
        <v>18867</v>
      </c>
      <c r="Y3709" s="6" t="s">
        <v>55</v>
      </c>
      <c r="Z3709" s="4">
        <v>0.87</v>
      </c>
      <c r="AA3709" s="4">
        <v>10.01</v>
      </c>
      <c r="AB3709" s="3" t="s">
        <v>56</v>
      </c>
      <c r="AC3709" s="3" t="s">
        <v>14102</v>
      </c>
      <c r="AD3709" s="9">
        <v>44062</v>
      </c>
      <c r="AE3709" s="3" t="s">
        <v>58</v>
      </c>
      <c r="AF3709" s="3" t="s">
        <v>756</v>
      </c>
      <c r="AG3709" s="3" t="s">
        <v>899</v>
      </c>
      <c r="AH3709" s="11">
        <f>HYPERLINK("https://my.pitchbook.com?c=204505-12T","View Company Online")</f>
      </c>
    </row>
    <row r="3710">
      <c r="A3710" s="12" t="s">
        <v>18868</v>
      </c>
      <c r="B3710" s="12" t="s">
        <v>8324</v>
      </c>
      <c r="C3710" s="19" t="s">
        <v>36</v>
      </c>
      <c r="D3710" s="19">
        <v>9</v>
      </c>
      <c r="E3710" s="19">
        <v>5</v>
      </c>
      <c r="F3710" s="19">
        <v>9</v>
      </c>
      <c r="G3710" s="15" t="s">
        <v>36</v>
      </c>
      <c r="H3710" s="14" t="s">
        <v>36</v>
      </c>
      <c r="I3710" s="18">
        <v>34.64</v>
      </c>
      <c r="J3710" s="12" t="s">
        <v>521</v>
      </c>
      <c r="K3710" s="13" t="s">
        <v>36</v>
      </c>
      <c r="L3710" s="15" t="s">
        <v>36</v>
      </c>
      <c r="M3710" s="12" t="s">
        <v>36</v>
      </c>
      <c r="N3710" s="12" t="s">
        <v>36</v>
      </c>
      <c r="O3710" s="17" t="s">
        <v>36</v>
      </c>
      <c r="P3710" s="12" t="s">
        <v>36</v>
      </c>
      <c r="Q3710" s="12" t="s">
        <v>36</v>
      </c>
      <c r="R3710" s="12" t="s">
        <v>36</v>
      </c>
      <c r="S3710" s="12" t="s">
        <v>36</v>
      </c>
      <c r="T3710" s="12" t="s">
        <v>550</v>
      </c>
      <c r="U3710" s="12" t="s">
        <v>38</v>
      </c>
      <c r="V3710" s="12" t="s">
        <v>39</v>
      </c>
      <c r="W3710" s="12" t="s">
        <v>8325</v>
      </c>
      <c r="X3710" s="16" t="s">
        <v>18869</v>
      </c>
      <c r="Y3710" s="15" t="s">
        <v>192</v>
      </c>
      <c r="Z3710" s="14">
        <v>485</v>
      </c>
      <c r="AA3710" s="14">
        <v>1400</v>
      </c>
      <c r="AB3710" s="12" t="s">
        <v>56</v>
      </c>
      <c r="AC3710" s="12" t="s">
        <v>8327</v>
      </c>
      <c r="AD3710" s="13">
        <v>44060</v>
      </c>
      <c r="AE3710" s="12" t="s">
        <v>554</v>
      </c>
      <c r="AF3710" s="12" t="s">
        <v>4438</v>
      </c>
      <c r="AG3710" s="12" t="s">
        <v>81</v>
      </c>
      <c r="AH3710" s="1">
        <f>HYPERLINK("https://my.pitchbook.com?c=149060-53T","View Company Online")</f>
      </c>
    </row>
    <row r="3711">
      <c r="A3711" s="3" t="s">
        <v>18870</v>
      </c>
      <c r="B3711" s="3" t="s">
        <v>18871</v>
      </c>
      <c r="C3711" s="5" t="s">
        <v>36</v>
      </c>
      <c r="D3711" s="5" t="s">
        <v>36</v>
      </c>
      <c r="E3711" s="5" t="s">
        <v>36</v>
      </c>
      <c r="F3711" s="5" t="s">
        <v>36</v>
      </c>
      <c r="G3711" s="6" t="s">
        <v>36</v>
      </c>
      <c r="H3711" s="4">
        <v>182.79</v>
      </c>
      <c r="I3711" s="7">
        <v>10.16</v>
      </c>
      <c r="J3711" s="3" t="s">
        <v>521</v>
      </c>
      <c r="K3711" s="9" t="s">
        <v>36</v>
      </c>
      <c r="L3711" s="6" t="s">
        <v>36</v>
      </c>
      <c r="M3711" s="3" t="s">
        <v>36</v>
      </c>
      <c r="N3711" s="3" t="s">
        <v>36</v>
      </c>
      <c r="O3711" s="8" t="s">
        <v>36</v>
      </c>
      <c r="P3711" s="3" t="s">
        <v>36</v>
      </c>
      <c r="Q3711" s="3" t="s">
        <v>36</v>
      </c>
      <c r="R3711" s="3" t="s">
        <v>36</v>
      </c>
      <c r="S3711" s="3" t="s">
        <v>36</v>
      </c>
      <c r="T3711" s="3" t="s">
        <v>18872</v>
      </c>
      <c r="U3711" s="3" t="s">
        <v>74</v>
      </c>
      <c r="V3711" s="3" t="s">
        <v>75</v>
      </c>
      <c r="W3711" s="3" t="s">
        <v>18873</v>
      </c>
      <c r="X3711" s="10" t="s">
        <v>18874</v>
      </c>
      <c r="Y3711" s="6" t="s">
        <v>42</v>
      </c>
      <c r="Z3711" s="4">
        <v>0.09</v>
      </c>
      <c r="AA3711" s="4">
        <v>0.86</v>
      </c>
      <c r="AB3711" s="3" t="s">
        <v>43</v>
      </c>
      <c r="AC3711" s="3" t="s">
        <v>18875</v>
      </c>
      <c r="AD3711" s="9">
        <v>44057</v>
      </c>
      <c r="AE3711" s="3" t="s">
        <v>1243</v>
      </c>
      <c r="AF3711" s="3" t="s">
        <v>275</v>
      </c>
      <c r="AG3711" s="3" t="s">
        <v>18876</v>
      </c>
      <c r="AH3711" s="11">
        <f>HYPERLINK("https://my.pitchbook.com?c=218728-90T","View Company Online")</f>
      </c>
    </row>
    <row r="3712">
      <c r="A3712" s="12" t="s">
        <v>18877</v>
      </c>
      <c r="B3712" s="12" t="s">
        <v>13905</v>
      </c>
      <c r="C3712" s="19" t="s">
        <v>36</v>
      </c>
      <c r="D3712" s="19">
        <v>6</v>
      </c>
      <c r="E3712" s="19">
        <v>3</v>
      </c>
      <c r="F3712" s="19">
        <v>6</v>
      </c>
      <c r="G3712" s="15" t="s">
        <v>326</v>
      </c>
      <c r="H3712" s="14">
        <v>173.72</v>
      </c>
      <c r="I3712" s="18">
        <v>5.66</v>
      </c>
      <c r="J3712" s="12" t="s">
        <v>521</v>
      </c>
      <c r="K3712" s="13" t="s">
        <v>36</v>
      </c>
      <c r="L3712" s="15" t="s">
        <v>122</v>
      </c>
      <c r="M3712" s="12" t="s">
        <v>36</v>
      </c>
      <c r="N3712" s="12" t="s">
        <v>122</v>
      </c>
      <c r="O3712" s="17" t="s">
        <v>36</v>
      </c>
      <c r="P3712" s="12" t="s">
        <v>36</v>
      </c>
      <c r="Q3712" s="12" t="s">
        <v>36</v>
      </c>
      <c r="R3712" s="12" t="s">
        <v>36</v>
      </c>
      <c r="S3712" s="12" t="s">
        <v>36</v>
      </c>
      <c r="T3712" s="12" t="s">
        <v>13906</v>
      </c>
      <c r="U3712" s="12" t="s">
        <v>318</v>
      </c>
      <c r="V3712" s="12" t="s">
        <v>39</v>
      </c>
      <c r="W3712" s="12" t="s">
        <v>13907</v>
      </c>
      <c r="X3712" s="16" t="s">
        <v>18878</v>
      </c>
      <c r="Y3712" s="15" t="s">
        <v>108</v>
      </c>
      <c r="Z3712" s="14">
        <v>0.47</v>
      </c>
      <c r="AA3712" s="14">
        <v>6.17</v>
      </c>
      <c r="AB3712" s="12" t="s">
        <v>43</v>
      </c>
      <c r="AC3712" s="12" t="s">
        <v>13909</v>
      </c>
      <c r="AD3712" s="13">
        <v>44055</v>
      </c>
      <c r="AE3712" s="12" t="s">
        <v>417</v>
      </c>
      <c r="AF3712" s="12" t="s">
        <v>13910</v>
      </c>
      <c r="AG3712" s="12" t="s">
        <v>81</v>
      </c>
      <c r="AH3712" s="1">
        <f>HYPERLINK("https://my.pitchbook.com?c=141128-92T","View Company Online")</f>
      </c>
    </row>
    <row r="3713">
      <c r="A3713" s="3" t="s">
        <v>18879</v>
      </c>
      <c r="B3713" s="3" t="s">
        <v>6431</v>
      </c>
      <c r="C3713" s="5" t="s">
        <v>36</v>
      </c>
      <c r="D3713" s="5" t="s">
        <v>36</v>
      </c>
      <c r="E3713" s="5" t="s">
        <v>36</v>
      </c>
      <c r="F3713" s="5" t="s">
        <v>36</v>
      </c>
      <c r="G3713" s="6" t="s">
        <v>36</v>
      </c>
      <c r="H3713" s="4">
        <v>173.1</v>
      </c>
      <c r="I3713" s="7">
        <v>9.09</v>
      </c>
      <c r="J3713" s="3" t="s">
        <v>521</v>
      </c>
      <c r="K3713" s="9" t="s">
        <v>36</v>
      </c>
      <c r="L3713" s="6" t="s">
        <v>36</v>
      </c>
      <c r="M3713" s="3" t="s">
        <v>36</v>
      </c>
      <c r="N3713" s="3" t="s">
        <v>36</v>
      </c>
      <c r="O3713" s="8" t="s">
        <v>36</v>
      </c>
      <c r="P3713" s="3" t="s">
        <v>36</v>
      </c>
      <c r="Q3713" s="3" t="s">
        <v>36</v>
      </c>
      <c r="R3713" s="3" t="s">
        <v>36</v>
      </c>
      <c r="S3713" s="3" t="s">
        <v>36</v>
      </c>
      <c r="T3713" s="3" t="s">
        <v>522</v>
      </c>
      <c r="U3713" s="3" t="s">
        <v>38</v>
      </c>
      <c r="V3713" s="3" t="s">
        <v>39</v>
      </c>
      <c r="W3713" s="3" t="s">
        <v>6432</v>
      </c>
      <c r="X3713" s="10" t="s">
        <v>18880</v>
      </c>
      <c r="Y3713" s="6" t="s">
        <v>42</v>
      </c>
      <c r="Z3713" s="4">
        <v>0.58</v>
      </c>
      <c r="AA3713" s="4">
        <v>6.4</v>
      </c>
      <c r="AB3713" s="3" t="s">
        <v>43</v>
      </c>
      <c r="AC3713" s="3" t="s">
        <v>6434</v>
      </c>
      <c r="AD3713" s="9">
        <v>44054</v>
      </c>
      <c r="AE3713" s="3" t="s">
        <v>110</v>
      </c>
      <c r="AF3713" s="3" t="s">
        <v>256</v>
      </c>
      <c r="AG3713" s="3" t="s">
        <v>81</v>
      </c>
      <c r="AH3713" s="11">
        <f>HYPERLINK("https://my.pitchbook.com?c=156152-89T","View Company Online")</f>
      </c>
    </row>
    <row r="3714">
      <c r="A3714" s="12" t="s">
        <v>18881</v>
      </c>
      <c r="B3714" s="12" t="s">
        <v>18882</v>
      </c>
      <c r="C3714" s="19" t="s">
        <v>36</v>
      </c>
      <c r="D3714" s="19" t="s">
        <v>36</v>
      </c>
      <c r="E3714" s="19" t="s">
        <v>36</v>
      </c>
      <c r="F3714" s="19" t="s">
        <v>36</v>
      </c>
      <c r="G3714" s="15" t="s">
        <v>326</v>
      </c>
      <c r="H3714" s="14">
        <v>0.86</v>
      </c>
      <c r="I3714" s="18">
        <v>18.83</v>
      </c>
      <c r="J3714" s="12" t="s">
        <v>521</v>
      </c>
      <c r="K3714" s="13" t="s">
        <v>36</v>
      </c>
      <c r="L3714" s="15" t="s">
        <v>36</v>
      </c>
      <c r="M3714" s="12" t="s">
        <v>36</v>
      </c>
      <c r="N3714" s="12" t="s">
        <v>36</v>
      </c>
      <c r="O3714" s="17" t="s">
        <v>36</v>
      </c>
      <c r="P3714" s="12" t="s">
        <v>36</v>
      </c>
      <c r="Q3714" s="12" t="s">
        <v>36</v>
      </c>
      <c r="R3714" s="12" t="s">
        <v>36</v>
      </c>
      <c r="S3714" s="12" t="s">
        <v>36</v>
      </c>
      <c r="T3714" s="12" t="s">
        <v>105</v>
      </c>
      <c r="U3714" s="12" t="s">
        <v>38</v>
      </c>
      <c r="V3714" s="12" t="s">
        <v>39</v>
      </c>
      <c r="W3714" s="12" t="s">
        <v>18883</v>
      </c>
      <c r="X3714" s="16" t="s">
        <v>8755</v>
      </c>
      <c r="Y3714" s="15" t="s">
        <v>108</v>
      </c>
      <c r="Z3714" s="14">
        <v>1.07</v>
      </c>
      <c r="AA3714" s="14">
        <v>5.66</v>
      </c>
      <c r="AB3714" s="12" t="s">
        <v>43</v>
      </c>
      <c r="AC3714" s="12" t="s">
        <v>18884</v>
      </c>
      <c r="AD3714" s="13">
        <v>44054</v>
      </c>
      <c r="AE3714" s="12" t="s">
        <v>110</v>
      </c>
      <c r="AF3714" s="12" t="s">
        <v>12037</v>
      </c>
      <c r="AG3714" s="12" t="s">
        <v>443</v>
      </c>
      <c r="AH3714" s="1">
        <f>HYPERLINK("https://my.pitchbook.com?c=201281-50T","View Company Online")</f>
      </c>
    </row>
    <row r="3715">
      <c r="A3715" s="3" t="s">
        <v>18885</v>
      </c>
      <c r="B3715" s="3" t="s">
        <v>18886</v>
      </c>
      <c r="C3715" s="5" t="s">
        <v>36</v>
      </c>
      <c r="D3715" s="5" t="s">
        <v>36</v>
      </c>
      <c r="E3715" s="5" t="s">
        <v>36</v>
      </c>
      <c r="F3715" s="5" t="s">
        <v>36</v>
      </c>
      <c r="G3715" s="6" t="s">
        <v>36</v>
      </c>
      <c r="H3715" s="4">
        <v>22.54</v>
      </c>
      <c r="I3715" s="7">
        <v>30</v>
      </c>
      <c r="J3715" s="3" t="s">
        <v>521</v>
      </c>
      <c r="K3715" s="9" t="s">
        <v>36</v>
      </c>
      <c r="L3715" s="6" t="s">
        <v>36</v>
      </c>
      <c r="M3715" s="3" t="s">
        <v>36</v>
      </c>
      <c r="N3715" s="3" t="s">
        <v>36</v>
      </c>
      <c r="O3715" s="8" t="s">
        <v>36</v>
      </c>
      <c r="P3715" s="3" t="s">
        <v>36</v>
      </c>
      <c r="Q3715" s="3" t="s">
        <v>36</v>
      </c>
      <c r="R3715" s="3" t="s">
        <v>36</v>
      </c>
      <c r="S3715" s="3" t="s">
        <v>36</v>
      </c>
      <c r="T3715" s="3" t="s">
        <v>18887</v>
      </c>
      <c r="U3715" s="3" t="s">
        <v>1502</v>
      </c>
      <c r="V3715" s="3" t="s">
        <v>75</v>
      </c>
      <c r="W3715" s="3" t="s">
        <v>18888</v>
      </c>
      <c r="X3715" s="10" t="s">
        <v>11111</v>
      </c>
      <c r="Y3715" s="6" t="s">
        <v>42</v>
      </c>
      <c r="Z3715" s="4">
        <v>0.11</v>
      </c>
      <c r="AA3715" s="4">
        <v>0.36</v>
      </c>
      <c r="AB3715" s="3" t="s">
        <v>43</v>
      </c>
      <c r="AC3715" s="3" t="s">
        <v>18889</v>
      </c>
      <c r="AD3715" s="9">
        <v>44052</v>
      </c>
      <c r="AE3715" s="3" t="s">
        <v>3645</v>
      </c>
      <c r="AF3715" s="3" t="s">
        <v>36</v>
      </c>
      <c r="AG3715" s="3" t="s">
        <v>81</v>
      </c>
      <c r="AH3715" s="11">
        <f>HYPERLINK("https://my.pitchbook.com?c=170791-12T","View Company Online")</f>
      </c>
    </row>
    <row r="3716">
      <c r="A3716" s="12" t="s">
        <v>18890</v>
      </c>
      <c r="B3716" s="12" t="s">
        <v>6688</v>
      </c>
      <c r="C3716" s="19">
        <v>20</v>
      </c>
      <c r="D3716" s="19">
        <v>12</v>
      </c>
      <c r="E3716" s="19">
        <v>11</v>
      </c>
      <c r="F3716" s="19">
        <v>32</v>
      </c>
      <c r="G3716" s="15" t="s">
        <v>326</v>
      </c>
      <c r="H3716" s="14">
        <v>38.43</v>
      </c>
      <c r="I3716" s="18">
        <v>15.92</v>
      </c>
      <c r="J3716" s="12" t="s">
        <v>521</v>
      </c>
      <c r="K3716" s="13" t="s">
        <v>36</v>
      </c>
      <c r="L3716" s="15" t="s">
        <v>36</v>
      </c>
      <c r="M3716" s="12" t="s">
        <v>36</v>
      </c>
      <c r="N3716" s="12" t="s">
        <v>36</v>
      </c>
      <c r="O3716" s="17" t="s">
        <v>36</v>
      </c>
      <c r="P3716" s="12" t="s">
        <v>36</v>
      </c>
      <c r="Q3716" s="12" t="s">
        <v>36</v>
      </c>
      <c r="R3716" s="12" t="s">
        <v>36</v>
      </c>
      <c r="S3716" s="12" t="s">
        <v>36</v>
      </c>
      <c r="T3716" s="12" t="s">
        <v>6689</v>
      </c>
      <c r="U3716" s="12" t="s">
        <v>219</v>
      </c>
      <c r="V3716" s="12" t="s">
        <v>75</v>
      </c>
      <c r="W3716" s="12" t="s">
        <v>6690</v>
      </c>
      <c r="X3716" s="16" t="s">
        <v>18891</v>
      </c>
      <c r="Y3716" s="15" t="s">
        <v>55</v>
      </c>
      <c r="Z3716" s="14">
        <v>1.24</v>
      </c>
      <c r="AA3716" s="14">
        <v>7.8</v>
      </c>
      <c r="AB3716" s="12" t="s">
        <v>43</v>
      </c>
      <c r="AC3716" s="12" t="s">
        <v>6691</v>
      </c>
      <c r="AD3716" s="13">
        <v>44050</v>
      </c>
      <c r="AE3716" s="12" t="s">
        <v>1912</v>
      </c>
      <c r="AF3716" s="12" t="s">
        <v>1969</v>
      </c>
      <c r="AG3716" s="12" t="s">
        <v>144</v>
      </c>
      <c r="AH3716" s="1">
        <f>HYPERLINK("https://my.pitchbook.com?c=156590-92T","View Company Online")</f>
      </c>
    </row>
    <row r="3717">
      <c r="A3717" s="3" t="s">
        <v>18892</v>
      </c>
      <c r="B3717" s="3" t="s">
        <v>10583</v>
      </c>
      <c r="C3717" s="5" t="s">
        <v>36</v>
      </c>
      <c r="D3717" s="5" t="s">
        <v>36</v>
      </c>
      <c r="E3717" s="5" t="s">
        <v>36</v>
      </c>
      <c r="F3717" s="5" t="s">
        <v>36</v>
      </c>
      <c r="G3717" s="6" t="s">
        <v>36</v>
      </c>
      <c r="H3717" s="4" t="s">
        <v>36</v>
      </c>
      <c r="I3717" s="7" t="s">
        <v>36</v>
      </c>
      <c r="J3717" s="3" t="s">
        <v>36</v>
      </c>
      <c r="K3717" s="9" t="s">
        <v>36</v>
      </c>
      <c r="L3717" s="6" t="s">
        <v>94</v>
      </c>
      <c r="M3717" s="3" t="s">
        <v>36</v>
      </c>
      <c r="N3717" s="3" t="s">
        <v>94</v>
      </c>
      <c r="O3717" s="8" t="s">
        <v>36</v>
      </c>
      <c r="P3717" s="3" t="s">
        <v>36</v>
      </c>
      <c r="Q3717" s="3" t="s">
        <v>36</v>
      </c>
      <c r="R3717" s="3" t="s">
        <v>36</v>
      </c>
      <c r="S3717" s="3" t="s">
        <v>36</v>
      </c>
      <c r="T3717" s="3" t="s">
        <v>464</v>
      </c>
      <c r="U3717" s="3" t="s">
        <v>38</v>
      </c>
      <c r="V3717" s="3" t="s">
        <v>39</v>
      </c>
      <c r="W3717" s="3" t="s">
        <v>10584</v>
      </c>
      <c r="X3717" s="10" t="s">
        <v>18893</v>
      </c>
      <c r="Y3717" s="6" t="s">
        <v>192</v>
      </c>
      <c r="Z3717" s="4">
        <v>16.75</v>
      </c>
      <c r="AA3717" s="4" t="s">
        <v>36</v>
      </c>
      <c r="AB3717" s="3" t="s">
        <v>56</v>
      </c>
      <c r="AC3717" s="3" t="s">
        <v>10586</v>
      </c>
      <c r="AD3717" s="9">
        <v>44049</v>
      </c>
      <c r="AE3717" s="3" t="s">
        <v>110</v>
      </c>
      <c r="AF3717" s="3" t="s">
        <v>468</v>
      </c>
      <c r="AG3717" s="3" t="s">
        <v>81</v>
      </c>
      <c r="AH3717" s="11">
        <f>HYPERLINK("https://my.pitchbook.com?c=135511-93T","View Company Online")</f>
      </c>
    </row>
    <row r="3718">
      <c r="A3718" s="12" t="s">
        <v>18894</v>
      </c>
      <c r="B3718" s="12" t="s">
        <v>8693</v>
      </c>
      <c r="C3718" s="19" t="s">
        <v>36</v>
      </c>
      <c r="D3718" s="19" t="s">
        <v>36</v>
      </c>
      <c r="E3718" s="19" t="s">
        <v>36</v>
      </c>
      <c r="F3718" s="19" t="s">
        <v>36</v>
      </c>
      <c r="G3718" s="15" t="s">
        <v>2497</v>
      </c>
      <c r="H3718" s="14">
        <v>10.9</v>
      </c>
      <c r="I3718" s="18">
        <v>6.88</v>
      </c>
      <c r="J3718" s="12" t="s">
        <v>521</v>
      </c>
      <c r="K3718" s="13" t="s">
        <v>36</v>
      </c>
      <c r="L3718" s="15" t="s">
        <v>36</v>
      </c>
      <c r="M3718" s="12" t="s">
        <v>36</v>
      </c>
      <c r="N3718" s="12" t="s">
        <v>36</v>
      </c>
      <c r="O3718" s="17" t="s">
        <v>36</v>
      </c>
      <c r="P3718" s="12" t="s">
        <v>36</v>
      </c>
      <c r="Q3718" s="12" t="s">
        <v>36</v>
      </c>
      <c r="R3718" s="12" t="s">
        <v>36</v>
      </c>
      <c r="S3718" s="12" t="s">
        <v>36</v>
      </c>
      <c r="T3718" s="12" t="s">
        <v>8694</v>
      </c>
      <c r="U3718" s="12" t="s">
        <v>279</v>
      </c>
      <c r="V3718" s="12" t="s">
        <v>64</v>
      </c>
      <c r="W3718" s="12" t="s">
        <v>8695</v>
      </c>
      <c r="X3718" s="16" t="s">
        <v>18750</v>
      </c>
      <c r="Y3718" s="15" t="s">
        <v>192</v>
      </c>
      <c r="Z3718" s="14">
        <v>1.09</v>
      </c>
      <c r="AA3718" s="14">
        <v>15.85</v>
      </c>
      <c r="AB3718" s="12" t="s">
        <v>56</v>
      </c>
      <c r="AC3718" s="12" t="s">
        <v>8697</v>
      </c>
      <c r="AD3718" s="13">
        <v>44049</v>
      </c>
      <c r="AE3718" s="12" t="s">
        <v>283</v>
      </c>
      <c r="AF3718" s="12" t="s">
        <v>90</v>
      </c>
      <c r="AG3718" s="12" t="s">
        <v>102</v>
      </c>
      <c r="AH3718" s="1">
        <f>HYPERLINK("https://my.pitchbook.com?c=181853-92T","View Company Online")</f>
      </c>
    </row>
    <row r="3719">
      <c r="A3719" s="3" t="s">
        <v>18895</v>
      </c>
      <c r="B3719" s="3" t="s">
        <v>18896</v>
      </c>
      <c r="C3719" s="5" t="s">
        <v>36</v>
      </c>
      <c r="D3719" s="5" t="s">
        <v>36</v>
      </c>
      <c r="E3719" s="5" t="s">
        <v>36</v>
      </c>
      <c r="F3719" s="5" t="s">
        <v>36</v>
      </c>
      <c r="G3719" s="6" t="s">
        <v>326</v>
      </c>
      <c r="H3719" s="4">
        <v>15.26</v>
      </c>
      <c r="I3719" s="7">
        <v>10.32</v>
      </c>
      <c r="J3719" s="3" t="s">
        <v>521</v>
      </c>
      <c r="K3719" s="9" t="s">
        <v>36</v>
      </c>
      <c r="L3719" s="6" t="s">
        <v>36</v>
      </c>
      <c r="M3719" s="3" t="s">
        <v>36</v>
      </c>
      <c r="N3719" s="3" t="s">
        <v>36</v>
      </c>
      <c r="O3719" s="8" t="s">
        <v>36</v>
      </c>
      <c r="P3719" s="3" t="s">
        <v>36</v>
      </c>
      <c r="Q3719" s="3" t="s">
        <v>36</v>
      </c>
      <c r="R3719" s="3" t="s">
        <v>36</v>
      </c>
      <c r="S3719" s="3" t="s">
        <v>36</v>
      </c>
      <c r="T3719" s="3" t="s">
        <v>1260</v>
      </c>
      <c r="U3719" s="3" t="s">
        <v>38</v>
      </c>
      <c r="V3719" s="3" t="s">
        <v>39</v>
      </c>
      <c r="W3719" s="3" t="s">
        <v>18897</v>
      </c>
      <c r="X3719" s="10" t="s">
        <v>18898</v>
      </c>
      <c r="Y3719" s="6" t="s">
        <v>42</v>
      </c>
      <c r="Z3719" s="4">
        <v>0.26</v>
      </c>
      <c r="AA3719" s="4">
        <v>2.57</v>
      </c>
      <c r="AB3719" s="3" t="s">
        <v>43</v>
      </c>
      <c r="AC3719" s="3" t="s">
        <v>18899</v>
      </c>
      <c r="AD3719" s="9">
        <v>44047</v>
      </c>
      <c r="AE3719" s="3" t="s">
        <v>110</v>
      </c>
      <c r="AF3719" s="3" t="s">
        <v>176</v>
      </c>
      <c r="AG3719" s="3" t="s">
        <v>81</v>
      </c>
      <c r="AH3719" s="11">
        <f>HYPERLINK("https://my.pitchbook.com?c=179792-11T","View Company Online")</f>
      </c>
    </row>
    <row r="3720">
      <c r="A3720" s="12" t="s">
        <v>18900</v>
      </c>
      <c r="B3720" s="12" t="s">
        <v>18901</v>
      </c>
      <c r="C3720" s="19" t="s">
        <v>36</v>
      </c>
      <c r="D3720" s="19" t="s">
        <v>36</v>
      </c>
      <c r="E3720" s="19" t="s">
        <v>36</v>
      </c>
      <c r="F3720" s="19" t="s">
        <v>36</v>
      </c>
      <c r="G3720" s="15" t="s">
        <v>326</v>
      </c>
      <c r="H3720" s="14">
        <v>3096.15</v>
      </c>
      <c r="I3720" s="18">
        <v>21.77</v>
      </c>
      <c r="J3720" s="12" t="s">
        <v>521</v>
      </c>
      <c r="K3720" s="13" t="s">
        <v>36</v>
      </c>
      <c r="L3720" s="15" t="s">
        <v>1279</v>
      </c>
      <c r="M3720" s="12" t="s">
        <v>36</v>
      </c>
      <c r="N3720" s="12" t="s">
        <v>1279</v>
      </c>
      <c r="O3720" s="17" t="s">
        <v>36</v>
      </c>
      <c r="P3720" s="12" t="s">
        <v>36</v>
      </c>
      <c r="Q3720" s="12" t="s">
        <v>36</v>
      </c>
      <c r="R3720" s="12" t="s">
        <v>36</v>
      </c>
      <c r="S3720" s="12" t="s">
        <v>36</v>
      </c>
      <c r="T3720" s="12" t="s">
        <v>3591</v>
      </c>
      <c r="U3720" s="12" t="s">
        <v>38</v>
      </c>
      <c r="V3720" s="12" t="s">
        <v>39</v>
      </c>
      <c r="W3720" s="12" t="s">
        <v>18902</v>
      </c>
      <c r="X3720" s="16" t="s">
        <v>18903</v>
      </c>
      <c r="Y3720" s="15" t="s">
        <v>55</v>
      </c>
      <c r="Z3720" s="14">
        <v>43.19</v>
      </c>
      <c r="AA3720" s="14">
        <v>198.4</v>
      </c>
      <c r="AB3720" s="12" t="s">
        <v>56</v>
      </c>
      <c r="AC3720" s="12" t="s">
        <v>18904</v>
      </c>
      <c r="AD3720" s="13">
        <v>44047</v>
      </c>
      <c r="AE3720" s="12" t="s">
        <v>688</v>
      </c>
      <c r="AF3720" s="12" t="s">
        <v>815</v>
      </c>
      <c r="AG3720" s="12" t="s">
        <v>81</v>
      </c>
      <c r="AH3720" s="1">
        <f>HYPERLINK("https://my.pitchbook.com?c=159744-07T","View Company Online")</f>
      </c>
    </row>
    <row r="3721">
      <c r="A3721" s="3" t="s">
        <v>18905</v>
      </c>
      <c r="B3721" s="3" t="s">
        <v>18906</v>
      </c>
      <c r="C3721" s="5" t="s">
        <v>36</v>
      </c>
      <c r="D3721" s="5" t="s">
        <v>36</v>
      </c>
      <c r="E3721" s="5" t="s">
        <v>36</v>
      </c>
      <c r="F3721" s="5" t="s">
        <v>36</v>
      </c>
      <c r="G3721" s="6" t="s">
        <v>36</v>
      </c>
      <c r="H3721" s="4">
        <v>3.32</v>
      </c>
      <c r="I3721" s="7">
        <v>22</v>
      </c>
      <c r="J3721" s="3" t="s">
        <v>521</v>
      </c>
      <c r="K3721" s="9" t="s">
        <v>36</v>
      </c>
      <c r="L3721" s="6" t="s">
        <v>36</v>
      </c>
      <c r="M3721" s="3" t="s">
        <v>36</v>
      </c>
      <c r="N3721" s="3" t="s">
        <v>36</v>
      </c>
      <c r="O3721" s="8" t="s">
        <v>36</v>
      </c>
      <c r="P3721" s="3" t="s">
        <v>36</v>
      </c>
      <c r="Q3721" s="3" t="s">
        <v>36</v>
      </c>
      <c r="R3721" s="3" t="s">
        <v>36</v>
      </c>
      <c r="S3721" s="3" t="s">
        <v>36</v>
      </c>
      <c r="T3721" s="3" t="s">
        <v>18907</v>
      </c>
      <c r="U3721" s="3" t="s">
        <v>38</v>
      </c>
      <c r="V3721" s="3" t="s">
        <v>39</v>
      </c>
      <c r="W3721" s="3" t="s">
        <v>18908</v>
      </c>
      <c r="X3721" s="10" t="s">
        <v>18909</v>
      </c>
      <c r="Y3721" s="6" t="s">
        <v>108</v>
      </c>
      <c r="Z3721" s="4">
        <v>1.43</v>
      </c>
      <c r="AA3721" s="4">
        <v>4.7</v>
      </c>
      <c r="AB3721" s="3" t="s">
        <v>43</v>
      </c>
      <c r="AC3721" s="3" t="s">
        <v>18910</v>
      </c>
      <c r="AD3721" s="9">
        <v>44044</v>
      </c>
      <c r="AE3721" s="3" t="s">
        <v>554</v>
      </c>
      <c r="AF3721" s="3" t="s">
        <v>15607</v>
      </c>
      <c r="AG3721" s="3" t="s">
        <v>15215</v>
      </c>
      <c r="AH3721" s="11">
        <f>HYPERLINK("https://my.pitchbook.com?c=164985-49T","View Company Online")</f>
      </c>
    </row>
    <row r="3722">
      <c r="A3722" s="12" t="s">
        <v>18911</v>
      </c>
      <c r="B3722" s="12" t="s">
        <v>12913</v>
      </c>
      <c r="C3722" s="19" t="s">
        <v>36</v>
      </c>
      <c r="D3722" s="19" t="s">
        <v>36</v>
      </c>
      <c r="E3722" s="19" t="s">
        <v>36</v>
      </c>
      <c r="F3722" s="19" t="s">
        <v>36</v>
      </c>
      <c r="G3722" s="15" t="s">
        <v>36</v>
      </c>
      <c r="H3722" s="14" t="s">
        <v>36</v>
      </c>
      <c r="I3722" s="18" t="s">
        <v>36</v>
      </c>
      <c r="J3722" s="12" t="s">
        <v>36</v>
      </c>
      <c r="K3722" s="13" t="s">
        <v>36</v>
      </c>
      <c r="L3722" s="15" t="s">
        <v>36</v>
      </c>
      <c r="M3722" s="12" t="s">
        <v>36</v>
      </c>
      <c r="N3722" s="12" t="s">
        <v>36</v>
      </c>
      <c r="O3722" s="17" t="s">
        <v>36</v>
      </c>
      <c r="P3722" s="12" t="s">
        <v>36</v>
      </c>
      <c r="Q3722" s="12" t="s">
        <v>36</v>
      </c>
      <c r="R3722" s="12" t="s">
        <v>36</v>
      </c>
      <c r="S3722" s="12" t="s">
        <v>36</v>
      </c>
      <c r="T3722" s="12" t="s">
        <v>12914</v>
      </c>
      <c r="U3722" s="12" t="s">
        <v>74</v>
      </c>
      <c r="V3722" s="12" t="s">
        <v>75</v>
      </c>
      <c r="W3722" s="12" t="s">
        <v>12915</v>
      </c>
      <c r="X3722" s="16" t="s">
        <v>4770</v>
      </c>
      <c r="Y3722" s="15" t="s">
        <v>42</v>
      </c>
      <c r="Z3722" s="14" t="s">
        <v>36</v>
      </c>
      <c r="AA3722" s="14" t="s">
        <v>36</v>
      </c>
      <c r="AB3722" s="12" t="s">
        <v>43</v>
      </c>
      <c r="AC3722" s="12" t="s">
        <v>12916</v>
      </c>
      <c r="AD3722" s="13">
        <v>44044</v>
      </c>
      <c r="AE3722" s="12" t="s">
        <v>2237</v>
      </c>
      <c r="AF3722" s="12" t="s">
        <v>8607</v>
      </c>
      <c r="AG3722" s="12" t="s">
        <v>652</v>
      </c>
      <c r="AH3722" s="1">
        <f>HYPERLINK("https://my.pitchbook.com?c=165399-58T","View Company Online")</f>
      </c>
    </row>
    <row r="3723">
      <c r="A3723" s="3" t="s">
        <v>18912</v>
      </c>
      <c r="B3723" s="3" t="s">
        <v>18913</v>
      </c>
      <c r="C3723" s="5" t="s">
        <v>36</v>
      </c>
      <c r="D3723" s="5" t="s">
        <v>36</v>
      </c>
      <c r="E3723" s="5" t="s">
        <v>36</v>
      </c>
      <c r="F3723" s="5" t="s">
        <v>36</v>
      </c>
      <c r="G3723" s="6" t="s">
        <v>36</v>
      </c>
      <c r="H3723" s="4">
        <v>42.84</v>
      </c>
      <c r="I3723" s="7">
        <v>21.05</v>
      </c>
      <c r="J3723" s="3" t="s">
        <v>521</v>
      </c>
      <c r="K3723" s="9" t="s">
        <v>36</v>
      </c>
      <c r="L3723" s="6" t="s">
        <v>36</v>
      </c>
      <c r="M3723" s="3" t="s">
        <v>36</v>
      </c>
      <c r="N3723" s="3" t="s">
        <v>36</v>
      </c>
      <c r="O3723" s="8" t="s">
        <v>36</v>
      </c>
      <c r="P3723" s="3" t="s">
        <v>36</v>
      </c>
      <c r="Q3723" s="3" t="s">
        <v>36</v>
      </c>
      <c r="R3723" s="3" t="s">
        <v>36</v>
      </c>
      <c r="S3723" s="3" t="s">
        <v>36</v>
      </c>
      <c r="T3723" s="3" t="s">
        <v>253</v>
      </c>
      <c r="U3723" s="3" t="s">
        <v>38</v>
      </c>
      <c r="V3723" s="3" t="s">
        <v>39</v>
      </c>
      <c r="W3723" s="3" t="s">
        <v>18914</v>
      </c>
      <c r="X3723" s="10" t="s">
        <v>221</v>
      </c>
      <c r="Y3723" s="6" t="s">
        <v>42</v>
      </c>
      <c r="Z3723" s="4">
        <v>1.26</v>
      </c>
      <c r="AA3723" s="4">
        <v>5.99</v>
      </c>
      <c r="AB3723" s="3" t="s">
        <v>43</v>
      </c>
      <c r="AC3723" s="3" t="s">
        <v>18915</v>
      </c>
      <c r="AD3723" s="9">
        <v>44044</v>
      </c>
      <c r="AE3723" s="3" t="s">
        <v>110</v>
      </c>
      <c r="AF3723" s="3" t="s">
        <v>526</v>
      </c>
      <c r="AG3723" s="3" t="s">
        <v>18916</v>
      </c>
      <c r="AH3723" s="11">
        <f>HYPERLINK("https://my.pitchbook.com?c=153789-85T","View Company Online")</f>
      </c>
    </row>
    <row r="3724">
      <c r="A3724" s="12" t="s">
        <v>18917</v>
      </c>
      <c r="B3724" s="12" t="s">
        <v>18918</v>
      </c>
      <c r="C3724" s="19" t="s">
        <v>36</v>
      </c>
      <c r="D3724" s="19" t="s">
        <v>36</v>
      </c>
      <c r="E3724" s="19" t="s">
        <v>36</v>
      </c>
      <c r="F3724" s="19" t="s">
        <v>36</v>
      </c>
      <c r="G3724" s="15" t="s">
        <v>36</v>
      </c>
      <c r="H3724" s="14">
        <v>105.01</v>
      </c>
      <c r="I3724" s="18">
        <v>11.2</v>
      </c>
      <c r="J3724" s="12" t="s">
        <v>521</v>
      </c>
      <c r="K3724" s="13" t="s">
        <v>36</v>
      </c>
      <c r="L3724" s="15" t="s">
        <v>36</v>
      </c>
      <c r="M3724" s="12" t="s">
        <v>36</v>
      </c>
      <c r="N3724" s="12" t="s">
        <v>36</v>
      </c>
      <c r="O3724" s="17" t="s">
        <v>36</v>
      </c>
      <c r="P3724" s="12" t="s">
        <v>36</v>
      </c>
      <c r="Q3724" s="12" t="s">
        <v>36</v>
      </c>
      <c r="R3724" s="12" t="s">
        <v>36</v>
      </c>
      <c r="S3724" s="12" t="s">
        <v>36</v>
      </c>
      <c r="T3724" s="12" t="s">
        <v>1299</v>
      </c>
      <c r="U3724" s="12" t="s">
        <v>38</v>
      </c>
      <c r="V3724" s="12" t="s">
        <v>39</v>
      </c>
      <c r="W3724" s="12" t="s">
        <v>18919</v>
      </c>
      <c r="X3724" s="16" t="s">
        <v>18920</v>
      </c>
      <c r="Y3724" s="15" t="s">
        <v>192</v>
      </c>
      <c r="Z3724" s="14">
        <v>1.71</v>
      </c>
      <c r="AA3724" s="14">
        <v>15.23</v>
      </c>
      <c r="AB3724" s="12" t="s">
        <v>56</v>
      </c>
      <c r="AC3724" s="12" t="s">
        <v>18921</v>
      </c>
      <c r="AD3724" s="13">
        <v>44042</v>
      </c>
      <c r="AE3724" s="12" t="s">
        <v>110</v>
      </c>
      <c r="AF3724" s="12" t="s">
        <v>1401</v>
      </c>
      <c r="AG3724" s="12" t="s">
        <v>81</v>
      </c>
      <c r="AH3724" s="1">
        <f>HYPERLINK("https://my.pitchbook.com?c=181709-65T","View Company Online")</f>
      </c>
    </row>
    <row r="3725">
      <c r="A3725" s="3" t="s">
        <v>18922</v>
      </c>
      <c r="B3725" s="3" t="s">
        <v>18923</v>
      </c>
      <c r="C3725" s="5" t="s">
        <v>36</v>
      </c>
      <c r="D3725" s="5" t="s">
        <v>36</v>
      </c>
      <c r="E3725" s="5" t="s">
        <v>36</v>
      </c>
      <c r="F3725" s="5" t="s">
        <v>36</v>
      </c>
      <c r="G3725" s="6" t="s">
        <v>36</v>
      </c>
      <c r="H3725" s="4">
        <v>848.54</v>
      </c>
      <c r="I3725" s="7">
        <v>13.24</v>
      </c>
      <c r="J3725" s="3" t="s">
        <v>521</v>
      </c>
      <c r="K3725" s="9" t="s">
        <v>36</v>
      </c>
      <c r="L3725" s="6" t="s">
        <v>36</v>
      </c>
      <c r="M3725" s="3" t="s">
        <v>36</v>
      </c>
      <c r="N3725" s="3" t="s">
        <v>36</v>
      </c>
      <c r="O3725" s="8" t="s">
        <v>36</v>
      </c>
      <c r="P3725" s="3" t="s">
        <v>36</v>
      </c>
      <c r="Q3725" s="3" t="s">
        <v>36</v>
      </c>
      <c r="R3725" s="3" t="s">
        <v>36</v>
      </c>
      <c r="S3725" s="3" t="s">
        <v>36</v>
      </c>
      <c r="T3725" s="3" t="s">
        <v>18924</v>
      </c>
      <c r="U3725" s="3" t="s">
        <v>619</v>
      </c>
      <c r="V3725" s="3" t="s">
        <v>378</v>
      </c>
      <c r="W3725" s="3" t="s">
        <v>18925</v>
      </c>
      <c r="X3725" s="10" t="s">
        <v>18926</v>
      </c>
      <c r="Y3725" s="6" t="s">
        <v>42</v>
      </c>
      <c r="Z3725" s="4">
        <v>0.46</v>
      </c>
      <c r="AA3725" s="4">
        <v>3.46</v>
      </c>
      <c r="AB3725" s="3" t="s">
        <v>43</v>
      </c>
      <c r="AC3725" s="3" t="s">
        <v>18927</v>
      </c>
      <c r="AD3725" s="9">
        <v>44042</v>
      </c>
      <c r="AE3725" s="3" t="s">
        <v>2672</v>
      </c>
      <c r="AF3725" s="3" t="s">
        <v>36</v>
      </c>
      <c r="AG3725" s="3" t="s">
        <v>382</v>
      </c>
      <c r="AH3725" s="11">
        <f>HYPERLINK("https://my.pitchbook.com?c=194022-91T","View Company Online")</f>
      </c>
    </row>
    <row r="3726">
      <c r="A3726" s="12" t="s">
        <v>18928</v>
      </c>
      <c r="B3726" s="12" t="s">
        <v>4773</v>
      </c>
      <c r="C3726" s="19">
        <v>96</v>
      </c>
      <c r="D3726" s="19">
        <v>76</v>
      </c>
      <c r="E3726" s="19">
        <v>39</v>
      </c>
      <c r="F3726" s="19">
        <v>185</v>
      </c>
      <c r="G3726" s="15" t="s">
        <v>326</v>
      </c>
      <c r="H3726" s="14">
        <v>267.93</v>
      </c>
      <c r="I3726" s="18">
        <v>47.59</v>
      </c>
      <c r="J3726" s="12" t="s">
        <v>521</v>
      </c>
      <c r="K3726" s="13">
        <v>43600</v>
      </c>
      <c r="L3726" s="15" t="s">
        <v>94</v>
      </c>
      <c r="M3726" s="12" t="s">
        <v>36</v>
      </c>
      <c r="N3726" s="12" t="s">
        <v>94</v>
      </c>
      <c r="O3726" s="17" t="s">
        <v>36</v>
      </c>
      <c r="P3726" s="12" t="s">
        <v>36</v>
      </c>
      <c r="Q3726" s="12" t="s">
        <v>36</v>
      </c>
      <c r="R3726" s="12" t="s">
        <v>36</v>
      </c>
      <c r="S3726" s="12" t="s">
        <v>4774</v>
      </c>
      <c r="T3726" s="12" t="s">
        <v>4775</v>
      </c>
      <c r="U3726" s="12" t="s">
        <v>51</v>
      </c>
      <c r="V3726" s="12" t="s">
        <v>52</v>
      </c>
      <c r="W3726" s="12" t="s">
        <v>4776</v>
      </c>
      <c r="X3726" s="16" t="s">
        <v>18929</v>
      </c>
      <c r="Y3726" s="15" t="s">
        <v>55</v>
      </c>
      <c r="Z3726" s="14">
        <v>86.26</v>
      </c>
      <c r="AA3726" s="14">
        <v>137.14</v>
      </c>
      <c r="AB3726" s="12" t="s">
        <v>56</v>
      </c>
      <c r="AC3726" s="12" t="s">
        <v>4778</v>
      </c>
      <c r="AD3726" s="13">
        <v>44041</v>
      </c>
      <c r="AE3726" s="12" t="s">
        <v>158</v>
      </c>
      <c r="AF3726" s="12" t="s">
        <v>885</v>
      </c>
      <c r="AG3726" s="12" t="s">
        <v>81</v>
      </c>
      <c r="AH3726" s="1">
        <f>HYPERLINK("https://my.pitchbook.com?c=118925-47T","View Company Online")</f>
      </c>
    </row>
    <row r="3727">
      <c r="A3727" s="3" t="s">
        <v>18930</v>
      </c>
      <c r="B3727" s="3" t="s">
        <v>18931</v>
      </c>
      <c r="C3727" s="5" t="s">
        <v>36</v>
      </c>
      <c r="D3727" s="5" t="s">
        <v>36</v>
      </c>
      <c r="E3727" s="5" t="s">
        <v>36</v>
      </c>
      <c r="F3727" s="5" t="s">
        <v>36</v>
      </c>
      <c r="G3727" s="6" t="s">
        <v>326</v>
      </c>
      <c r="H3727" s="4">
        <v>314.19</v>
      </c>
      <c r="I3727" s="7">
        <v>26.66</v>
      </c>
      <c r="J3727" s="3" t="s">
        <v>521</v>
      </c>
      <c r="K3727" s="9" t="s">
        <v>36</v>
      </c>
      <c r="L3727" s="6" t="s">
        <v>122</v>
      </c>
      <c r="M3727" s="3" t="s">
        <v>36</v>
      </c>
      <c r="N3727" s="3" t="s">
        <v>122</v>
      </c>
      <c r="O3727" s="8" t="s">
        <v>36</v>
      </c>
      <c r="P3727" s="3" t="s">
        <v>36</v>
      </c>
      <c r="Q3727" s="3" t="s">
        <v>36</v>
      </c>
      <c r="R3727" s="3" t="s">
        <v>36</v>
      </c>
      <c r="S3727" s="3" t="s">
        <v>36</v>
      </c>
      <c r="T3727" s="3" t="s">
        <v>18932</v>
      </c>
      <c r="U3727" s="3" t="s">
        <v>423</v>
      </c>
      <c r="V3727" s="3" t="s">
        <v>64</v>
      </c>
      <c r="W3727" s="3" t="s">
        <v>18933</v>
      </c>
      <c r="X3727" s="10" t="s">
        <v>18934</v>
      </c>
      <c r="Y3727" s="6" t="s">
        <v>108</v>
      </c>
      <c r="Z3727" s="4">
        <v>7.97</v>
      </c>
      <c r="AA3727" s="4">
        <v>28.19</v>
      </c>
      <c r="AB3727" s="3" t="s">
        <v>43</v>
      </c>
      <c r="AC3727" s="3" t="s">
        <v>18935</v>
      </c>
      <c r="AD3727" s="9">
        <v>44040</v>
      </c>
      <c r="AE3727" s="3" t="s">
        <v>2871</v>
      </c>
      <c r="AF3727" s="3" t="s">
        <v>90</v>
      </c>
      <c r="AG3727" s="3" t="s">
        <v>332</v>
      </c>
      <c r="AH3727" s="11">
        <f>HYPERLINK("https://my.pitchbook.com?c=157673-17T","View Company Online")</f>
      </c>
    </row>
    <row r="3728">
      <c r="A3728" s="12" t="s">
        <v>18936</v>
      </c>
      <c r="B3728" s="12" t="s">
        <v>12593</v>
      </c>
      <c r="C3728" s="19" t="s">
        <v>36</v>
      </c>
      <c r="D3728" s="19" t="s">
        <v>36</v>
      </c>
      <c r="E3728" s="19" t="s">
        <v>36</v>
      </c>
      <c r="F3728" s="19" t="s">
        <v>36</v>
      </c>
      <c r="G3728" s="15" t="s">
        <v>36</v>
      </c>
      <c r="H3728" s="14">
        <v>28.56</v>
      </c>
      <c r="I3728" s="18">
        <v>17.48</v>
      </c>
      <c r="J3728" s="12" t="s">
        <v>521</v>
      </c>
      <c r="K3728" s="13" t="s">
        <v>36</v>
      </c>
      <c r="L3728" s="15" t="s">
        <v>36</v>
      </c>
      <c r="M3728" s="12" t="s">
        <v>36</v>
      </c>
      <c r="N3728" s="12" t="s">
        <v>36</v>
      </c>
      <c r="O3728" s="17" t="s">
        <v>36</v>
      </c>
      <c r="P3728" s="12" t="s">
        <v>36</v>
      </c>
      <c r="Q3728" s="12" t="s">
        <v>36</v>
      </c>
      <c r="R3728" s="12" t="s">
        <v>36</v>
      </c>
      <c r="S3728" s="12" t="s">
        <v>36</v>
      </c>
      <c r="T3728" s="12" t="s">
        <v>1701</v>
      </c>
      <c r="U3728" s="12" t="s">
        <v>74</v>
      </c>
      <c r="V3728" s="12" t="s">
        <v>75</v>
      </c>
      <c r="W3728" s="12" t="s">
        <v>12594</v>
      </c>
      <c r="X3728" s="16" t="s">
        <v>18937</v>
      </c>
      <c r="Y3728" s="15" t="s">
        <v>42</v>
      </c>
      <c r="Z3728" s="14">
        <v>2.62</v>
      </c>
      <c r="AA3728" s="14">
        <v>7.59</v>
      </c>
      <c r="AB3728" s="12" t="s">
        <v>43</v>
      </c>
      <c r="AC3728" s="12" t="s">
        <v>12596</v>
      </c>
      <c r="AD3728" s="13">
        <v>44040</v>
      </c>
      <c r="AE3728" s="12" t="s">
        <v>79</v>
      </c>
      <c r="AF3728" s="12" t="s">
        <v>1115</v>
      </c>
      <c r="AG3728" s="12" t="s">
        <v>81</v>
      </c>
      <c r="AH3728" s="1">
        <f>HYPERLINK("https://my.pitchbook.com?c=156866-14T","View Company Online")</f>
      </c>
    </row>
    <row r="3729">
      <c r="A3729" s="3" t="s">
        <v>18938</v>
      </c>
      <c r="B3729" s="3" t="s">
        <v>18939</v>
      </c>
      <c r="C3729" s="5">
        <v>78</v>
      </c>
      <c r="D3729" s="5">
        <v>238</v>
      </c>
      <c r="E3729" s="5">
        <v>125</v>
      </c>
      <c r="F3729" s="5">
        <v>352</v>
      </c>
      <c r="G3729" s="6" t="s">
        <v>36</v>
      </c>
      <c r="H3729" s="4" t="s">
        <v>36</v>
      </c>
      <c r="I3729" s="7" t="s">
        <v>36</v>
      </c>
      <c r="J3729" s="3" t="s">
        <v>36</v>
      </c>
      <c r="K3729" s="9" t="s">
        <v>36</v>
      </c>
      <c r="L3729" s="6" t="s">
        <v>94</v>
      </c>
      <c r="M3729" s="3" t="s">
        <v>36</v>
      </c>
      <c r="N3729" s="3" t="s">
        <v>94</v>
      </c>
      <c r="O3729" s="8" t="s">
        <v>36</v>
      </c>
      <c r="P3729" s="3" t="s">
        <v>36</v>
      </c>
      <c r="Q3729" s="3" t="s">
        <v>36</v>
      </c>
      <c r="R3729" s="3" t="s">
        <v>36</v>
      </c>
      <c r="S3729" s="3" t="s">
        <v>18940</v>
      </c>
      <c r="T3729" s="3" t="s">
        <v>18941</v>
      </c>
      <c r="U3729" s="3" t="s">
        <v>96</v>
      </c>
      <c r="V3729" s="3" t="s">
        <v>52</v>
      </c>
      <c r="W3729" s="3" t="s">
        <v>18942</v>
      </c>
      <c r="X3729" s="10" t="s">
        <v>18943</v>
      </c>
      <c r="Y3729" s="6" t="s">
        <v>55</v>
      </c>
      <c r="Z3729" s="4">
        <v>60.37</v>
      </c>
      <c r="AA3729" s="4" t="s">
        <v>36</v>
      </c>
      <c r="AB3729" s="3" t="s">
        <v>56</v>
      </c>
      <c r="AC3729" s="3" t="s">
        <v>18944</v>
      </c>
      <c r="AD3729" s="9">
        <v>44040</v>
      </c>
      <c r="AE3729" s="3" t="s">
        <v>100</v>
      </c>
      <c r="AF3729" s="3" t="s">
        <v>18945</v>
      </c>
      <c r="AG3729" s="3" t="s">
        <v>81</v>
      </c>
      <c r="AH3729" s="11">
        <f>HYPERLINK("https://my.pitchbook.com?c=140443-66T","View Company Online")</f>
      </c>
    </row>
    <row r="3730">
      <c r="A3730" s="12" t="s">
        <v>18946</v>
      </c>
      <c r="B3730" s="12" t="s">
        <v>16119</v>
      </c>
      <c r="C3730" s="19" t="s">
        <v>36</v>
      </c>
      <c r="D3730" s="19" t="s">
        <v>36</v>
      </c>
      <c r="E3730" s="19" t="s">
        <v>36</v>
      </c>
      <c r="F3730" s="19" t="s">
        <v>36</v>
      </c>
      <c r="G3730" s="15" t="s">
        <v>36</v>
      </c>
      <c r="H3730" s="14">
        <v>0.12</v>
      </c>
      <c r="I3730" s="18">
        <v>20.86</v>
      </c>
      <c r="J3730" s="12" t="s">
        <v>521</v>
      </c>
      <c r="K3730" s="13" t="s">
        <v>36</v>
      </c>
      <c r="L3730" s="15" t="s">
        <v>36</v>
      </c>
      <c r="M3730" s="12" t="s">
        <v>36</v>
      </c>
      <c r="N3730" s="12" t="s">
        <v>36</v>
      </c>
      <c r="O3730" s="17" t="s">
        <v>36</v>
      </c>
      <c r="P3730" s="12" t="s">
        <v>36</v>
      </c>
      <c r="Q3730" s="12" t="s">
        <v>36</v>
      </c>
      <c r="R3730" s="12" t="s">
        <v>36</v>
      </c>
      <c r="S3730" s="12" t="s">
        <v>36</v>
      </c>
      <c r="T3730" s="12" t="s">
        <v>37</v>
      </c>
      <c r="U3730" s="12" t="s">
        <v>38</v>
      </c>
      <c r="V3730" s="12" t="s">
        <v>39</v>
      </c>
      <c r="W3730" s="12" t="s">
        <v>16120</v>
      </c>
      <c r="X3730" s="16" t="s">
        <v>18947</v>
      </c>
      <c r="Y3730" s="15" t="s">
        <v>42</v>
      </c>
      <c r="Z3730" s="14">
        <v>1.19</v>
      </c>
      <c r="AA3730" s="14">
        <v>5.69</v>
      </c>
      <c r="AB3730" s="12" t="s">
        <v>43</v>
      </c>
      <c r="AC3730" s="12" t="s">
        <v>16122</v>
      </c>
      <c r="AD3730" s="13">
        <v>44039</v>
      </c>
      <c r="AE3730" s="12" t="s">
        <v>45</v>
      </c>
      <c r="AF3730" s="12" t="s">
        <v>331</v>
      </c>
      <c r="AG3730" s="12" t="s">
        <v>81</v>
      </c>
      <c r="AH3730" s="1">
        <f>HYPERLINK("https://my.pitchbook.com?c=174941-83T","View Company Online")</f>
      </c>
    </row>
    <row r="3731">
      <c r="A3731" s="3" t="s">
        <v>18948</v>
      </c>
      <c r="B3731" s="3" t="s">
        <v>18949</v>
      </c>
      <c r="C3731" s="5" t="s">
        <v>36</v>
      </c>
      <c r="D3731" s="5" t="s">
        <v>36</v>
      </c>
      <c r="E3731" s="5" t="s">
        <v>36</v>
      </c>
      <c r="F3731" s="5" t="s">
        <v>36</v>
      </c>
      <c r="G3731" s="6" t="s">
        <v>36</v>
      </c>
      <c r="H3731" s="4">
        <v>220.34</v>
      </c>
      <c r="I3731" s="7">
        <v>40.53</v>
      </c>
      <c r="J3731" s="3" t="s">
        <v>521</v>
      </c>
      <c r="K3731" s="9" t="s">
        <v>36</v>
      </c>
      <c r="L3731" s="6" t="s">
        <v>36</v>
      </c>
      <c r="M3731" s="3" t="s">
        <v>36</v>
      </c>
      <c r="N3731" s="3" t="s">
        <v>36</v>
      </c>
      <c r="O3731" s="8" t="s">
        <v>36</v>
      </c>
      <c r="P3731" s="3" t="s">
        <v>36</v>
      </c>
      <c r="Q3731" s="3" t="s">
        <v>36</v>
      </c>
      <c r="R3731" s="3" t="s">
        <v>36</v>
      </c>
      <c r="S3731" s="3" t="s">
        <v>36</v>
      </c>
      <c r="T3731" s="3" t="s">
        <v>18950</v>
      </c>
      <c r="U3731" s="3" t="s">
        <v>423</v>
      </c>
      <c r="V3731" s="3" t="s">
        <v>64</v>
      </c>
      <c r="W3731" s="3" t="s">
        <v>18951</v>
      </c>
      <c r="X3731" s="10" t="s">
        <v>11058</v>
      </c>
      <c r="Y3731" s="6" t="s">
        <v>42</v>
      </c>
      <c r="Z3731" s="4">
        <v>0.61</v>
      </c>
      <c r="AA3731" s="4">
        <v>1.5</v>
      </c>
      <c r="AB3731" s="3" t="s">
        <v>56</v>
      </c>
      <c r="AC3731" s="3" t="s">
        <v>18952</v>
      </c>
      <c r="AD3731" s="9">
        <v>44036</v>
      </c>
      <c r="AE3731" s="3" t="s">
        <v>562</v>
      </c>
      <c r="AF3731" s="3" t="s">
        <v>36</v>
      </c>
      <c r="AG3731" s="3" t="s">
        <v>3595</v>
      </c>
      <c r="AH3731" s="11">
        <f>HYPERLINK("https://my.pitchbook.com?c=204475-24T","View Company Online")</f>
      </c>
    </row>
    <row r="3732">
      <c r="A3732" s="12" t="s">
        <v>18953</v>
      </c>
      <c r="B3732" s="12" t="s">
        <v>4664</v>
      </c>
      <c r="C3732" s="19" t="s">
        <v>36</v>
      </c>
      <c r="D3732" s="19" t="s">
        <v>36</v>
      </c>
      <c r="E3732" s="19" t="s">
        <v>36</v>
      </c>
      <c r="F3732" s="19" t="s">
        <v>36</v>
      </c>
      <c r="G3732" s="15" t="s">
        <v>36</v>
      </c>
      <c r="H3732" s="14">
        <v>893.17</v>
      </c>
      <c r="I3732" s="18">
        <v>36.04</v>
      </c>
      <c r="J3732" s="12" t="s">
        <v>521</v>
      </c>
      <c r="K3732" s="13" t="s">
        <v>36</v>
      </c>
      <c r="L3732" s="15" t="s">
        <v>94</v>
      </c>
      <c r="M3732" s="12" t="s">
        <v>36</v>
      </c>
      <c r="N3732" s="12" t="s">
        <v>94</v>
      </c>
      <c r="O3732" s="17" t="s">
        <v>36</v>
      </c>
      <c r="P3732" s="12" t="s">
        <v>36</v>
      </c>
      <c r="Q3732" s="12" t="s">
        <v>36</v>
      </c>
      <c r="R3732" s="12" t="s">
        <v>36</v>
      </c>
      <c r="S3732" s="12" t="s">
        <v>36</v>
      </c>
      <c r="T3732" s="12" t="s">
        <v>855</v>
      </c>
      <c r="U3732" s="12" t="s">
        <v>648</v>
      </c>
      <c r="V3732" s="12" t="s">
        <v>64</v>
      </c>
      <c r="W3732" s="12" t="s">
        <v>4665</v>
      </c>
      <c r="X3732" s="16" t="s">
        <v>18954</v>
      </c>
      <c r="Y3732" s="15" t="s">
        <v>192</v>
      </c>
      <c r="Z3732" s="14">
        <v>11.65</v>
      </c>
      <c r="AA3732" s="14">
        <v>32.33</v>
      </c>
      <c r="AB3732" s="12" t="s">
        <v>43</v>
      </c>
      <c r="AC3732" s="12" t="s">
        <v>4667</v>
      </c>
      <c r="AD3732" s="13">
        <v>44036</v>
      </c>
      <c r="AE3732" s="12" t="s">
        <v>651</v>
      </c>
      <c r="AF3732" s="12" t="s">
        <v>4668</v>
      </c>
      <c r="AG3732" s="12" t="s">
        <v>81</v>
      </c>
      <c r="AH3732" s="1">
        <f>HYPERLINK("https://my.pitchbook.com?c=140282-65T","View Company Online")</f>
      </c>
    </row>
    <row r="3733">
      <c r="A3733" s="3" t="s">
        <v>18955</v>
      </c>
      <c r="B3733" s="3" t="s">
        <v>18956</v>
      </c>
      <c r="C3733" s="5" t="s">
        <v>36</v>
      </c>
      <c r="D3733" s="5" t="s">
        <v>36</v>
      </c>
      <c r="E3733" s="5" t="s">
        <v>36</v>
      </c>
      <c r="F3733" s="5" t="s">
        <v>36</v>
      </c>
      <c r="G3733" s="6" t="s">
        <v>36</v>
      </c>
      <c r="H3733" s="4">
        <v>878.63</v>
      </c>
      <c r="I3733" s="7">
        <v>34.2</v>
      </c>
      <c r="J3733" s="3" t="s">
        <v>521</v>
      </c>
      <c r="K3733" s="9" t="s">
        <v>36</v>
      </c>
      <c r="L3733" s="6" t="s">
        <v>36</v>
      </c>
      <c r="M3733" s="3" t="s">
        <v>36</v>
      </c>
      <c r="N3733" s="3" t="s">
        <v>36</v>
      </c>
      <c r="O3733" s="8" t="s">
        <v>36</v>
      </c>
      <c r="P3733" s="3" t="s">
        <v>36</v>
      </c>
      <c r="Q3733" s="3" t="s">
        <v>36</v>
      </c>
      <c r="R3733" s="3" t="s">
        <v>36</v>
      </c>
      <c r="S3733" s="3" t="s">
        <v>36</v>
      </c>
      <c r="T3733" s="3" t="s">
        <v>18957</v>
      </c>
      <c r="U3733" s="3" t="s">
        <v>423</v>
      </c>
      <c r="V3733" s="3" t="s">
        <v>64</v>
      </c>
      <c r="W3733" s="3" t="s">
        <v>18958</v>
      </c>
      <c r="X3733" s="10" t="s">
        <v>10105</v>
      </c>
      <c r="Y3733" s="6" t="s">
        <v>42</v>
      </c>
      <c r="Z3733" s="4">
        <v>0.57</v>
      </c>
      <c r="AA3733" s="4">
        <v>1.66</v>
      </c>
      <c r="AB3733" s="3" t="s">
        <v>56</v>
      </c>
      <c r="AC3733" s="3" t="s">
        <v>18959</v>
      </c>
      <c r="AD3733" s="9">
        <v>44035</v>
      </c>
      <c r="AE3733" s="3" t="s">
        <v>427</v>
      </c>
      <c r="AF3733" s="3" t="s">
        <v>90</v>
      </c>
      <c r="AG3733" s="3" t="s">
        <v>15625</v>
      </c>
      <c r="AH3733" s="11">
        <f>HYPERLINK("https://my.pitchbook.com?c=140610-70T","View Company Online")</f>
      </c>
    </row>
    <row r="3734">
      <c r="A3734" s="12" t="s">
        <v>18960</v>
      </c>
      <c r="B3734" s="12" t="s">
        <v>18961</v>
      </c>
      <c r="C3734" s="19" t="s">
        <v>36</v>
      </c>
      <c r="D3734" s="19" t="s">
        <v>36</v>
      </c>
      <c r="E3734" s="19" t="s">
        <v>36</v>
      </c>
      <c r="F3734" s="19" t="s">
        <v>36</v>
      </c>
      <c r="G3734" s="15" t="s">
        <v>2497</v>
      </c>
      <c r="H3734" s="14">
        <v>88.65</v>
      </c>
      <c r="I3734" s="18">
        <v>6.85</v>
      </c>
      <c r="J3734" s="12" t="s">
        <v>521</v>
      </c>
      <c r="K3734" s="13" t="s">
        <v>36</v>
      </c>
      <c r="L3734" s="15" t="s">
        <v>122</v>
      </c>
      <c r="M3734" s="12" t="s">
        <v>36</v>
      </c>
      <c r="N3734" s="12" t="s">
        <v>122</v>
      </c>
      <c r="O3734" s="17" t="s">
        <v>36</v>
      </c>
      <c r="P3734" s="12" t="s">
        <v>36</v>
      </c>
      <c r="Q3734" s="12" t="s">
        <v>36</v>
      </c>
      <c r="R3734" s="12" t="s">
        <v>36</v>
      </c>
      <c r="S3734" s="12" t="s">
        <v>36</v>
      </c>
      <c r="T3734" s="12" t="s">
        <v>123</v>
      </c>
      <c r="U3734" s="12" t="s">
        <v>38</v>
      </c>
      <c r="V3734" s="12" t="s">
        <v>39</v>
      </c>
      <c r="W3734" s="12" t="s">
        <v>18962</v>
      </c>
      <c r="X3734" s="16" t="s">
        <v>18963</v>
      </c>
      <c r="Y3734" s="15" t="s">
        <v>55</v>
      </c>
      <c r="Z3734" s="14">
        <v>0.68</v>
      </c>
      <c r="AA3734" s="14">
        <v>9.92</v>
      </c>
      <c r="AB3734" s="12" t="s">
        <v>43</v>
      </c>
      <c r="AC3734" s="12" t="s">
        <v>18964</v>
      </c>
      <c r="AD3734" s="13">
        <v>44035</v>
      </c>
      <c r="AE3734" s="12" t="s">
        <v>110</v>
      </c>
      <c r="AF3734" s="12" t="s">
        <v>18965</v>
      </c>
      <c r="AG3734" s="12" t="s">
        <v>81</v>
      </c>
      <c r="AH3734" s="1">
        <f>HYPERLINK("https://my.pitchbook.com?c=160697-62T","View Company Online")</f>
      </c>
    </row>
    <row r="3735">
      <c r="A3735" s="3" t="s">
        <v>18966</v>
      </c>
      <c r="B3735" s="3" t="s">
        <v>18967</v>
      </c>
      <c r="C3735" s="5">
        <v>45</v>
      </c>
      <c r="D3735" s="5">
        <v>100</v>
      </c>
      <c r="E3735" s="5">
        <v>45</v>
      </c>
      <c r="F3735" s="5">
        <v>163</v>
      </c>
      <c r="G3735" s="6" t="s">
        <v>326</v>
      </c>
      <c r="H3735" s="4">
        <v>12.46</v>
      </c>
      <c r="I3735" s="7">
        <v>15.48</v>
      </c>
      <c r="J3735" s="3" t="s">
        <v>521</v>
      </c>
      <c r="K3735" s="9" t="s">
        <v>36</v>
      </c>
      <c r="L3735" s="6" t="s">
        <v>36</v>
      </c>
      <c r="M3735" s="3" t="s">
        <v>36</v>
      </c>
      <c r="N3735" s="3" t="s">
        <v>36</v>
      </c>
      <c r="O3735" s="8" t="s">
        <v>36</v>
      </c>
      <c r="P3735" s="3" t="s">
        <v>36</v>
      </c>
      <c r="Q3735" s="3" t="s">
        <v>36</v>
      </c>
      <c r="R3735" s="3" t="s">
        <v>36</v>
      </c>
      <c r="S3735" s="3" t="s">
        <v>36</v>
      </c>
      <c r="T3735" s="3" t="s">
        <v>1725</v>
      </c>
      <c r="U3735" s="3" t="s">
        <v>318</v>
      </c>
      <c r="V3735" s="3" t="s">
        <v>39</v>
      </c>
      <c r="W3735" s="3" t="s">
        <v>18968</v>
      </c>
      <c r="X3735" s="10" t="s">
        <v>18969</v>
      </c>
      <c r="Y3735" s="6" t="s">
        <v>166</v>
      </c>
      <c r="Z3735" s="4">
        <v>7.92</v>
      </c>
      <c r="AA3735" s="4">
        <v>45.88</v>
      </c>
      <c r="AB3735" s="3" t="s">
        <v>56</v>
      </c>
      <c r="AC3735" s="3" t="s">
        <v>18970</v>
      </c>
      <c r="AD3735" s="9">
        <v>44034</v>
      </c>
      <c r="AE3735" s="3" t="s">
        <v>763</v>
      </c>
      <c r="AF3735" s="3" t="s">
        <v>111</v>
      </c>
      <c r="AG3735" s="3" t="s">
        <v>969</v>
      </c>
      <c r="AH3735" s="11">
        <f>HYPERLINK("https://my.pitchbook.com?c=139406-50T","View Company Online")</f>
      </c>
    </row>
    <row r="3736">
      <c r="A3736" s="12" t="s">
        <v>18971</v>
      </c>
      <c r="B3736" s="12" t="s">
        <v>18972</v>
      </c>
      <c r="C3736" s="19" t="s">
        <v>36</v>
      </c>
      <c r="D3736" s="19" t="s">
        <v>36</v>
      </c>
      <c r="E3736" s="19" t="s">
        <v>36</v>
      </c>
      <c r="F3736" s="19" t="s">
        <v>36</v>
      </c>
      <c r="G3736" s="15" t="s">
        <v>36</v>
      </c>
      <c r="H3736" s="14" t="s">
        <v>36</v>
      </c>
      <c r="I3736" s="18" t="s">
        <v>36</v>
      </c>
      <c r="J3736" s="12" t="s">
        <v>36</v>
      </c>
      <c r="K3736" s="13" t="s">
        <v>36</v>
      </c>
      <c r="L3736" s="15" t="s">
        <v>36</v>
      </c>
      <c r="M3736" s="12" t="s">
        <v>36</v>
      </c>
      <c r="N3736" s="12" t="s">
        <v>36</v>
      </c>
      <c r="O3736" s="17" t="s">
        <v>36</v>
      </c>
      <c r="P3736" s="12" t="s">
        <v>36</v>
      </c>
      <c r="Q3736" s="12" t="s">
        <v>36</v>
      </c>
      <c r="R3736" s="12" t="s">
        <v>36</v>
      </c>
      <c r="S3736" s="12" t="s">
        <v>36</v>
      </c>
      <c r="T3736" s="12" t="s">
        <v>18973</v>
      </c>
      <c r="U3736" s="12" t="s">
        <v>289</v>
      </c>
      <c r="V3736" s="12" t="s">
        <v>64</v>
      </c>
      <c r="W3736" s="12" t="s">
        <v>18974</v>
      </c>
      <c r="X3736" s="16" t="s">
        <v>18975</v>
      </c>
      <c r="Y3736" s="15" t="s">
        <v>108</v>
      </c>
      <c r="Z3736" s="14" t="s">
        <v>36</v>
      </c>
      <c r="AA3736" s="14" t="s">
        <v>36</v>
      </c>
      <c r="AB3736" s="12" t="s">
        <v>56</v>
      </c>
      <c r="AC3736" s="12" t="s">
        <v>18976</v>
      </c>
      <c r="AD3736" s="13">
        <v>44034</v>
      </c>
      <c r="AE3736" s="12" t="s">
        <v>3134</v>
      </c>
      <c r="AF3736" s="12" t="s">
        <v>90</v>
      </c>
      <c r="AG3736" s="12" t="s">
        <v>81</v>
      </c>
      <c r="AH3736" s="1">
        <f>HYPERLINK("https://my.pitchbook.com?c=158740-12T","View Company Online")</f>
      </c>
    </row>
    <row r="3737">
      <c r="A3737" s="3" t="s">
        <v>18977</v>
      </c>
      <c r="B3737" s="3" t="s">
        <v>8472</v>
      </c>
      <c r="C3737" s="5">
        <v>1</v>
      </c>
      <c r="D3737" s="5">
        <v>15</v>
      </c>
      <c r="E3737" s="5">
        <v>3</v>
      </c>
      <c r="F3737" s="5">
        <v>16</v>
      </c>
      <c r="G3737" s="6" t="s">
        <v>36</v>
      </c>
      <c r="H3737" s="4" t="s">
        <v>36</v>
      </c>
      <c r="I3737" s="7" t="s">
        <v>36</v>
      </c>
      <c r="J3737" s="3" t="s">
        <v>36</v>
      </c>
      <c r="K3737" s="9" t="s">
        <v>36</v>
      </c>
      <c r="L3737" s="6" t="s">
        <v>94</v>
      </c>
      <c r="M3737" s="3" t="s">
        <v>36</v>
      </c>
      <c r="N3737" s="3" t="s">
        <v>94</v>
      </c>
      <c r="O3737" s="8" t="s">
        <v>36</v>
      </c>
      <c r="P3737" s="3" t="s">
        <v>36</v>
      </c>
      <c r="Q3737" s="3" t="s">
        <v>36</v>
      </c>
      <c r="R3737" s="3" t="s">
        <v>36</v>
      </c>
      <c r="S3737" s="3" t="s">
        <v>36</v>
      </c>
      <c r="T3737" s="3" t="s">
        <v>1048</v>
      </c>
      <c r="U3737" s="3" t="s">
        <v>423</v>
      </c>
      <c r="V3737" s="3" t="s">
        <v>64</v>
      </c>
      <c r="W3737" s="3" t="s">
        <v>8473</v>
      </c>
      <c r="X3737" s="10" t="s">
        <v>8474</v>
      </c>
      <c r="Y3737" s="6" t="s">
        <v>55</v>
      </c>
      <c r="Z3737" s="4">
        <v>19.23</v>
      </c>
      <c r="AA3737" s="4" t="s">
        <v>36</v>
      </c>
      <c r="AB3737" s="3" t="s">
        <v>43</v>
      </c>
      <c r="AC3737" s="3" t="s">
        <v>8475</v>
      </c>
      <c r="AD3737" s="9">
        <v>44034</v>
      </c>
      <c r="AE3737" s="3" t="s">
        <v>1051</v>
      </c>
      <c r="AF3737" s="3" t="s">
        <v>8476</v>
      </c>
      <c r="AG3737" s="3" t="s">
        <v>81</v>
      </c>
      <c r="AH3737" s="11">
        <f>HYPERLINK("https://my.pitchbook.com?c=140342-41T","View Company Online")</f>
      </c>
    </row>
    <row r="3738">
      <c r="A3738" s="12" t="s">
        <v>18978</v>
      </c>
      <c r="B3738" s="12" t="s">
        <v>16829</v>
      </c>
      <c r="C3738" s="19" t="s">
        <v>36</v>
      </c>
      <c r="D3738" s="19" t="s">
        <v>36</v>
      </c>
      <c r="E3738" s="19" t="s">
        <v>36</v>
      </c>
      <c r="F3738" s="19" t="s">
        <v>36</v>
      </c>
      <c r="G3738" s="15" t="s">
        <v>36</v>
      </c>
      <c r="H3738" s="14" t="s">
        <v>36</v>
      </c>
      <c r="I3738" s="18" t="s">
        <v>36</v>
      </c>
      <c r="J3738" s="12" t="s">
        <v>36</v>
      </c>
      <c r="K3738" s="13" t="s">
        <v>36</v>
      </c>
      <c r="L3738" s="15" t="s">
        <v>11273</v>
      </c>
      <c r="M3738" s="12" t="s">
        <v>36</v>
      </c>
      <c r="N3738" s="12" t="s">
        <v>11273</v>
      </c>
      <c r="O3738" s="17" t="s">
        <v>36</v>
      </c>
      <c r="P3738" s="12" t="s">
        <v>36</v>
      </c>
      <c r="Q3738" s="12" t="s">
        <v>36</v>
      </c>
      <c r="R3738" s="12" t="s">
        <v>36</v>
      </c>
      <c r="S3738" s="12" t="s">
        <v>36</v>
      </c>
      <c r="T3738" s="12" t="s">
        <v>8569</v>
      </c>
      <c r="U3738" s="12" t="s">
        <v>1357</v>
      </c>
      <c r="V3738" s="12" t="s">
        <v>52</v>
      </c>
      <c r="W3738" s="12" t="s">
        <v>16830</v>
      </c>
      <c r="X3738" s="16" t="s">
        <v>18979</v>
      </c>
      <c r="Y3738" s="15" t="s">
        <v>42</v>
      </c>
      <c r="Z3738" s="14">
        <v>1.36</v>
      </c>
      <c r="AA3738" s="14" t="s">
        <v>36</v>
      </c>
      <c r="AB3738" s="12" t="s">
        <v>43</v>
      </c>
      <c r="AC3738" s="12" t="s">
        <v>16832</v>
      </c>
      <c r="AD3738" s="13">
        <v>44033</v>
      </c>
      <c r="AE3738" s="12" t="s">
        <v>3204</v>
      </c>
      <c r="AF3738" s="12" t="s">
        <v>7086</v>
      </c>
      <c r="AG3738" s="12" t="s">
        <v>81</v>
      </c>
      <c r="AH3738" s="1">
        <f>HYPERLINK("https://my.pitchbook.com?c=140348-35T","View Company Online")</f>
      </c>
    </row>
    <row r="3739">
      <c r="A3739" s="3" t="s">
        <v>18980</v>
      </c>
      <c r="B3739" s="3" t="s">
        <v>18981</v>
      </c>
      <c r="C3739" s="5">
        <v>11</v>
      </c>
      <c r="D3739" s="5">
        <v>38</v>
      </c>
      <c r="E3739" s="5">
        <v>26</v>
      </c>
      <c r="F3739" s="5">
        <v>59</v>
      </c>
      <c r="G3739" s="6" t="s">
        <v>326</v>
      </c>
      <c r="H3739" s="4">
        <v>2.44</v>
      </c>
      <c r="I3739" s="7">
        <v>6.81</v>
      </c>
      <c r="J3739" s="3" t="s">
        <v>521</v>
      </c>
      <c r="K3739" s="9" t="s">
        <v>36</v>
      </c>
      <c r="L3739" s="6" t="s">
        <v>94</v>
      </c>
      <c r="M3739" s="3" t="s">
        <v>36</v>
      </c>
      <c r="N3739" s="3" t="s">
        <v>94</v>
      </c>
      <c r="O3739" s="8" t="s">
        <v>36</v>
      </c>
      <c r="P3739" s="3" t="s">
        <v>36</v>
      </c>
      <c r="Q3739" s="3" t="s">
        <v>36</v>
      </c>
      <c r="R3739" s="3" t="s">
        <v>36</v>
      </c>
      <c r="S3739" s="3" t="s">
        <v>36</v>
      </c>
      <c r="T3739" s="3" t="s">
        <v>18982</v>
      </c>
      <c r="U3739" s="3" t="s">
        <v>1798</v>
      </c>
      <c r="V3739" s="3" t="s">
        <v>39</v>
      </c>
      <c r="W3739" s="3" t="s">
        <v>18983</v>
      </c>
      <c r="X3739" s="10" t="s">
        <v>18984</v>
      </c>
      <c r="Y3739" s="6" t="s">
        <v>12154</v>
      </c>
      <c r="Z3739" s="4">
        <v>6</v>
      </c>
      <c r="AA3739" s="4">
        <v>88.07</v>
      </c>
      <c r="AB3739" s="3" t="s">
        <v>56</v>
      </c>
      <c r="AC3739" s="3" t="s">
        <v>18985</v>
      </c>
      <c r="AD3739" s="9">
        <v>44032</v>
      </c>
      <c r="AE3739" s="3" t="s">
        <v>1802</v>
      </c>
      <c r="AF3739" s="3" t="s">
        <v>18986</v>
      </c>
      <c r="AG3739" s="3" t="s">
        <v>18987</v>
      </c>
      <c r="AH3739" s="11">
        <f>HYPERLINK("https://my.pitchbook.com?c=140121-64T","View Company Online")</f>
      </c>
    </row>
    <row r="3740">
      <c r="A3740" s="12" t="s">
        <v>18988</v>
      </c>
      <c r="B3740" s="12" t="s">
        <v>18989</v>
      </c>
      <c r="C3740" s="19" t="s">
        <v>36</v>
      </c>
      <c r="D3740" s="19" t="s">
        <v>36</v>
      </c>
      <c r="E3740" s="19" t="s">
        <v>36</v>
      </c>
      <c r="F3740" s="19" t="s">
        <v>36</v>
      </c>
      <c r="G3740" s="15" t="s">
        <v>2497</v>
      </c>
      <c r="H3740" s="14">
        <v>103.86</v>
      </c>
      <c r="I3740" s="18">
        <v>29.13</v>
      </c>
      <c r="J3740" s="12" t="s">
        <v>521</v>
      </c>
      <c r="K3740" s="13" t="s">
        <v>36</v>
      </c>
      <c r="L3740" s="15" t="s">
        <v>36</v>
      </c>
      <c r="M3740" s="12" t="s">
        <v>36</v>
      </c>
      <c r="N3740" s="12" t="s">
        <v>36</v>
      </c>
      <c r="O3740" s="17" t="s">
        <v>36</v>
      </c>
      <c r="P3740" s="12" t="s">
        <v>36</v>
      </c>
      <c r="Q3740" s="12" t="s">
        <v>36</v>
      </c>
      <c r="R3740" s="12" t="s">
        <v>36</v>
      </c>
      <c r="S3740" s="12" t="s">
        <v>36</v>
      </c>
      <c r="T3740" s="12" t="s">
        <v>1725</v>
      </c>
      <c r="U3740" s="12" t="s">
        <v>318</v>
      </c>
      <c r="V3740" s="12" t="s">
        <v>39</v>
      </c>
      <c r="W3740" s="12" t="s">
        <v>18990</v>
      </c>
      <c r="X3740" s="16" t="s">
        <v>18991</v>
      </c>
      <c r="Y3740" s="15" t="s">
        <v>192</v>
      </c>
      <c r="Z3740" s="14">
        <v>0.93</v>
      </c>
      <c r="AA3740" s="14">
        <v>3.19</v>
      </c>
      <c r="AB3740" s="12" t="s">
        <v>56</v>
      </c>
      <c r="AC3740" s="12" t="s">
        <v>18992</v>
      </c>
      <c r="AD3740" s="13">
        <v>44032</v>
      </c>
      <c r="AE3740" s="12" t="s">
        <v>763</v>
      </c>
      <c r="AF3740" s="12" t="s">
        <v>571</v>
      </c>
      <c r="AG3740" s="12" t="s">
        <v>18993</v>
      </c>
      <c r="AH3740" s="1">
        <f>HYPERLINK("https://my.pitchbook.com?c=181654-21T","View Company Online")</f>
      </c>
    </row>
    <row r="3741">
      <c r="A3741" s="3" t="s">
        <v>18994</v>
      </c>
      <c r="B3741" s="3" t="s">
        <v>18995</v>
      </c>
      <c r="C3741" s="5" t="s">
        <v>36</v>
      </c>
      <c r="D3741" s="5" t="s">
        <v>36</v>
      </c>
      <c r="E3741" s="5" t="s">
        <v>36</v>
      </c>
      <c r="F3741" s="5" t="s">
        <v>36</v>
      </c>
      <c r="G3741" s="6" t="s">
        <v>36</v>
      </c>
      <c r="H3741" s="4">
        <v>664.68</v>
      </c>
      <c r="I3741" s="7">
        <v>10</v>
      </c>
      <c r="J3741" s="3" t="s">
        <v>521</v>
      </c>
      <c r="K3741" s="9" t="s">
        <v>36</v>
      </c>
      <c r="L3741" s="6" t="s">
        <v>36</v>
      </c>
      <c r="M3741" s="3" t="s">
        <v>36</v>
      </c>
      <c r="N3741" s="3" t="s">
        <v>36</v>
      </c>
      <c r="O3741" s="8" t="s">
        <v>36</v>
      </c>
      <c r="P3741" s="3" t="s">
        <v>36</v>
      </c>
      <c r="Q3741" s="3" t="s">
        <v>36</v>
      </c>
      <c r="R3741" s="3" t="s">
        <v>36</v>
      </c>
      <c r="S3741" s="3" t="s">
        <v>36</v>
      </c>
      <c r="T3741" s="3" t="s">
        <v>1106</v>
      </c>
      <c r="U3741" s="3" t="s">
        <v>38</v>
      </c>
      <c r="V3741" s="3" t="s">
        <v>39</v>
      </c>
      <c r="W3741" s="3" t="s">
        <v>18996</v>
      </c>
      <c r="X3741" s="10" t="s">
        <v>18997</v>
      </c>
      <c r="Y3741" s="6" t="s">
        <v>108</v>
      </c>
      <c r="Z3741" s="4">
        <v>0.9</v>
      </c>
      <c r="AA3741" s="4">
        <v>9.01</v>
      </c>
      <c r="AB3741" s="3" t="s">
        <v>56</v>
      </c>
      <c r="AC3741" s="3" t="s">
        <v>18998</v>
      </c>
      <c r="AD3741" s="9">
        <v>44029</v>
      </c>
      <c r="AE3741" s="3" t="s">
        <v>110</v>
      </c>
      <c r="AF3741" s="3" t="s">
        <v>4000</v>
      </c>
      <c r="AG3741" s="3" t="s">
        <v>112</v>
      </c>
      <c r="AH3741" s="11">
        <f>HYPERLINK("https://my.pitchbook.com?c=176371-48T","View Company Online")</f>
      </c>
    </row>
    <row r="3742">
      <c r="A3742" s="12" t="s">
        <v>18999</v>
      </c>
      <c r="B3742" s="12" t="s">
        <v>19000</v>
      </c>
      <c r="C3742" s="19">
        <v>3</v>
      </c>
      <c r="D3742" s="19">
        <v>21</v>
      </c>
      <c r="E3742" s="19">
        <v>5</v>
      </c>
      <c r="F3742" s="19">
        <v>27</v>
      </c>
      <c r="G3742" s="15" t="s">
        <v>2497</v>
      </c>
      <c r="H3742" s="14">
        <v>5.28</v>
      </c>
      <c r="I3742" s="18">
        <v>25.01</v>
      </c>
      <c r="J3742" s="12" t="s">
        <v>521</v>
      </c>
      <c r="K3742" s="13" t="s">
        <v>36</v>
      </c>
      <c r="L3742" s="15" t="s">
        <v>36</v>
      </c>
      <c r="M3742" s="12" t="s">
        <v>36</v>
      </c>
      <c r="N3742" s="12" t="s">
        <v>36</v>
      </c>
      <c r="O3742" s="17" t="s">
        <v>36</v>
      </c>
      <c r="P3742" s="12" t="s">
        <v>36</v>
      </c>
      <c r="Q3742" s="12" t="s">
        <v>36</v>
      </c>
      <c r="R3742" s="12" t="s">
        <v>36</v>
      </c>
      <c r="S3742" s="12" t="s">
        <v>36</v>
      </c>
      <c r="T3742" s="12" t="s">
        <v>881</v>
      </c>
      <c r="U3742" s="12" t="s">
        <v>51</v>
      </c>
      <c r="V3742" s="12" t="s">
        <v>52</v>
      </c>
      <c r="W3742" s="12" t="s">
        <v>19001</v>
      </c>
      <c r="X3742" s="16" t="s">
        <v>19002</v>
      </c>
      <c r="Y3742" s="15" t="s">
        <v>108</v>
      </c>
      <c r="Z3742" s="14">
        <v>1.84</v>
      </c>
      <c r="AA3742" s="14">
        <v>7.37</v>
      </c>
      <c r="AB3742" s="12" t="s">
        <v>56</v>
      </c>
      <c r="AC3742" s="12" t="s">
        <v>19003</v>
      </c>
      <c r="AD3742" s="13">
        <v>44029</v>
      </c>
      <c r="AE3742" s="12" t="s">
        <v>504</v>
      </c>
      <c r="AF3742" s="12" t="s">
        <v>159</v>
      </c>
      <c r="AG3742" s="12" t="s">
        <v>47</v>
      </c>
      <c r="AH3742" s="1">
        <f>HYPERLINK("https://my.pitchbook.com?c=181651-06T","View Company Online")</f>
      </c>
    </row>
    <row r="3743">
      <c r="A3743" s="3" t="s">
        <v>19004</v>
      </c>
      <c r="B3743" s="3" t="s">
        <v>19005</v>
      </c>
      <c r="C3743" s="5" t="s">
        <v>36</v>
      </c>
      <c r="D3743" s="5" t="s">
        <v>36</v>
      </c>
      <c r="E3743" s="5" t="s">
        <v>36</v>
      </c>
      <c r="F3743" s="5" t="s">
        <v>36</v>
      </c>
      <c r="G3743" s="6" t="s">
        <v>36</v>
      </c>
      <c r="H3743" s="4" t="s">
        <v>36</v>
      </c>
      <c r="I3743" s="7" t="s">
        <v>36</v>
      </c>
      <c r="J3743" s="3" t="s">
        <v>36</v>
      </c>
      <c r="K3743" s="9" t="s">
        <v>36</v>
      </c>
      <c r="L3743" s="6" t="s">
        <v>36</v>
      </c>
      <c r="M3743" s="3" t="s">
        <v>36</v>
      </c>
      <c r="N3743" s="3" t="s">
        <v>36</v>
      </c>
      <c r="O3743" s="8" t="s">
        <v>36</v>
      </c>
      <c r="P3743" s="3" t="s">
        <v>36</v>
      </c>
      <c r="Q3743" s="3" t="s">
        <v>36</v>
      </c>
      <c r="R3743" s="3" t="s">
        <v>36</v>
      </c>
      <c r="S3743" s="3" t="s">
        <v>36</v>
      </c>
      <c r="T3743" s="3" t="s">
        <v>3141</v>
      </c>
      <c r="U3743" s="3" t="s">
        <v>74</v>
      </c>
      <c r="V3743" s="3" t="s">
        <v>75</v>
      </c>
      <c r="W3743" s="3" t="s">
        <v>19006</v>
      </c>
      <c r="X3743" s="10" t="s">
        <v>11154</v>
      </c>
      <c r="Y3743" s="6" t="s">
        <v>192</v>
      </c>
      <c r="Z3743" s="4">
        <v>1.24</v>
      </c>
      <c r="AA3743" s="4" t="s">
        <v>36</v>
      </c>
      <c r="AB3743" s="3" t="s">
        <v>56</v>
      </c>
      <c r="AC3743" s="3" t="s">
        <v>19007</v>
      </c>
      <c r="AD3743" s="9">
        <v>44029</v>
      </c>
      <c r="AE3743" s="3" t="s">
        <v>3144</v>
      </c>
      <c r="AF3743" s="3" t="s">
        <v>9411</v>
      </c>
      <c r="AG3743" s="3" t="s">
        <v>4514</v>
      </c>
      <c r="AH3743" s="11">
        <f>HYPERLINK("https://my.pitchbook.com?c=205428-25T","View Company Online")</f>
      </c>
    </row>
    <row r="3744">
      <c r="A3744" s="12" t="s">
        <v>19008</v>
      </c>
      <c r="B3744" s="12" t="s">
        <v>15460</v>
      </c>
      <c r="C3744" s="19">
        <v>1</v>
      </c>
      <c r="D3744" s="19">
        <v>14</v>
      </c>
      <c r="E3744" s="19">
        <v>6</v>
      </c>
      <c r="F3744" s="19">
        <v>20</v>
      </c>
      <c r="G3744" s="15" t="s">
        <v>2497</v>
      </c>
      <c r="H3744" s="14">
        <v>48.68</v>
      </c>
      <c r="I3744" s="18">
        <v>17.77</v>
      </c>
      <c r="J3744" s="12" t="s">
        <v>521</v>
      </c>
      <c r="K3744" s="13" t="s">
        <v>36</v>
      </c>
      <c r="L3744" s="15" t="s">
        <v>36</v>
      </c>
      <c r="M3744" s="12" t="s">
        <v>36</v>
      </c>
      <c r="N3744" s="12" t="s">
        <v>36</v>
      </c>
      <c r="O3744" s="17" t="s">
        <v>36</v>
      </c>
      <c r="P3744" s="12" t="s">
        <v>36</v>
      </c>
      <c r="Q3744" s="12" t="s">
        <v>36</v>
      </c>
      <c r="R3744" s="12" t="s">
        <v>36</v>
      </c>
      <c r="S3744" s="12" t="s">
        <v>36</v>
      </c>
      <c r="T3744" s="12" t="s">
        <v>2321</v>
      </c>
      <c r="U3744" s="12" t="s">
        <v>51</v>
      </c>
      <c r="V3744" s="12" t="s">
        <v>52</v>
      </c>
      <c r="W3744" s="12" t="s">
        <v>15461</v>
      </c>
      <c r="X3744" s="16" t="s">
        <v>19009</v>
      </c>
      <c r="Y3744" s="15" t="s">
        <v>166</v>
      </c>
      <c r="Z3744" s="14">
        <v>2.85</v>
      </c>
      <c r="AA3744" s="14">
        <v>16.06</v>
      </c>
      <c r="AB3744" s="12" t="s">
        <v>43</v>
      </c>
      <c r="AC3744" s="12" t="s">
        <v>15463</v>
      </c>
      <c r="AD3744" s="13">
        <v>44028</v>
      </c>
      <c r="AE3744" s="12" t="s">
        <v>504</v>
      </c>
      <c r="AF3744" s="12" t="s">
        <v>665</v>
      </c>
      <c r="AG3744" s="12" t="s">
        <v>144</v>
      </c>
      <c r="AH3744" s="1">
        <f>HYPERLINK("https://my.pitchbook.com?c=194730-67T","View Company Online")</f>
      </c>
    </row>
    <row r="3745">
      <c r="A3745" s="3" t="s">
        <v>19010</v>
      </c>
      <c r="B3745" s="3" t="s">
        <v>19011</v>
      </c>
      <c r="C3745" s="5" t="s">
        <v>36</v>
      </c>
      <c r="D3745" s="5" t="s">
        <v>36</v>
      </c>
      <c r="E3745" s="5" t="s">
        <v>36</v>
      </c>
      <c r="F3745" s="5" t="s">
        <v>36</v>
      </c>
      <c r="G3745" s="6" t="s">
        <v>326</v>
      </c>
      <c r="H3745" s="4">
        <v>330.49</v>
      </c>
      <c r="I3745" s="7">
        <v>33.31</v>
      </c>
      <c r="J3745" s="3" t="s">
        <v>521</v>
      </c>
      <c r="K3745" s="9" t="s">
        <v>36</v>
      </c>
      <c r="L3745" s="6" t="s">
        <v>122</v>
      </c>
      <c r="M3745" s="3" t="s">
        <v>36</v>
      </c>
      <c r="N3745" s="3" t="s">
        <v>122</v>
      </c>
      <c r="O3745" s="8" t="s">
        <v>36</v>
      </c>
      <c r="P3745" s="3" t="s">
        <v>36</v>
      </c>
      <c r="Q3745" s="3" t="s">
        <v>36</v>
      </c>
      <c r="R3745" s="3" t="s">
        <v>36</v>
      </c>
      <c r="S3745" s="3" t="s">
        <v>36</v>
      </c>
      <c r="T3745" s="3" t="s">
        <v>19012</v>
      </c>
      <c r="U3745" s="3" t="s">
        <v>279</v>
      </c>
      <c r="V3745" s="3" t="s">
        <v>64</v>
      </c>
      <c r="W3745" s="3" t="s">
        <v>19013</v>
      </c>
      <c r="X3745" s="10" t="s">
        <v>15402</v>
      </c>
      <c r="Y3745" s="6" t="s">
        <v>42</v>
      </c>
      <c r="Z3745" s="4">
        <v>2.01</v>
      </c>
      <c r="AA3745" s="4">
        <v>6.03</v>
      </c>
      <c r="AB3745" s="3" t="s">
        <v>56</v>
      </c>
      <c r="AC3745" s="3" t="s">
        <v>19014</v>
      </c>
      <c r="AD3745" s="9">
        <v>44028</v>
      </c>
      <c r="AE3745" s="3" t="s">
        <v>283</v>
      </c>
      <c r="AF3745" s="3" t="s">
        <v>1465</v>
      </c>
      <c r="AG3745" s="3" t="s">
        <v>81</v>
      </c>
      <c r="AH3745" s="11">
        <f>HYPERLINK("https://my.pitchbook.com?c=139799-80T","View Company Online")</f>
      </c>
    </row>
    <row r="3746">
      <c r="A3746" s="12" t="s">
        <v>19015</v>
      </c>
      <c r="B3746" s="12" t="s">
        <v>13892</v>
      </c>
      <c r="C3746" s="19">
        <v>1</v>
      </c>
      <c r="D3746" s="19">
        <v>2</v>
      </c>
      <c r="E3746" s="19">
        <v>1</v>
      </c>
      <c r="F3746" s="19">
        <v>3</v>
      </c>
      <c r="G3746" s="15" t="s">
        <v>36</v>
      </c>
      <c r="H3746" s="14">
        <v>2.3</v>
      </c>
      <c r="I3746" s="18">
        <v>25.18</v>
      </c>
      <c r="J3746" s="12" t="s">
        <v>521</v>
      </c>
      <c r="K3746" s="13" t="s">
        <v>36</v>
      </c>
      <c r="L3746" s="15" t="s">
        <v>36</v>
      </c>
      <c r="M3746" s="12" t="s">
        <v>36</v>
      </c>
      <c r="N3746" s="12" t="s">
        <v>36</v>
      </c>
      <c r="O3746" s="17" t="s">
        <v>36</v>
      </c>
      <c r="P3746" s="12" t="s">
        <v>36</v>
      </c>
      <c r="Q3746" s="12" t="s">
        <v>36</v>
      </c>
      <c r="R3746" s="12" t="s">
        <v>36</v>
      </c>
      <c r="S3746" s="12" t="s">
        <v>36</v>
      </c>
      <c r="T3746" s="12" t="s">
        <v>2992</v>
      </c>
      <c r="U3746" s="12" t="s">
        <v>96</v>
      </c>
      <c r="V3746" s="12" t="s">
        <v>52</v>
      </c>
      <c r="W3746" s="12" t="s">
        <v>13893</v>
      </c>
      <c r="X3746" s="16" t="s">
        <v>19016</v>
      </c>
      <c r="Y3746" s="15" t="s">
        <v>42</v>
      </c>
      <c r="Z3746" s="14">
        <v>0.49</v>
      </c>
      <c r="AA3746" s="14">
        <v>1.96</v>
      </c>
      <c r="AB3746" s="12" t="s">
        <v>43</v>
      </c>
      <c r="AC3746" s="12" t="s">
        <v>13895</v>
      </c>
      <c r="AD3746" s="13">
        <v>44027</v>
      </c>
      <c r="AE3746" s="12" t="s">
        <v>100</v>
      </c>
      <c r="AF3746" s="12" t="s">
        <v>13896</v>
      </c>
      <c r="AG3746" s="12" t="s">
        <v>13897</v>
      </c>
      <c r="AH3746" s="1">
        <f>HYPERLINK("https://my.pitchbook.com?c=194609-53T","View Company Online")</f>
      </c>
    </row>
    <row r="3747">
      <c r="A3747" s="3" t="s">
        <v>19017</v>
      </c>
      <c r="B3747" s="3" t="s">
        <v>19018</v>
      </c>
      <c r="C3747" s="5" t="s">
        <v>36</v>
      </c>
      <c r="D3747" s="5" t="s">
        <v>36</v>
      </c>
      <c r="E3747" s="5" t="s">
        <v>36</v>
      </c>
      <c r="F3747" s="5" t="s">
        <v>36</v>
      </c>
      <c r="G3747" s="6" t="s">
        <v>36</v>
      </c>
      <c r="H3747" s="4" t="s">
        <v>36</v>
      </c>
      <c r="I3747" s="7" t="s">
        <v>36</v>
      </c>
      <c r="J3747" s="3" t="s">
        <v>36</v>
      </c>
      <c r="K3747" s="9" t="s">
        <v>36</v>
      </c>
      <c r="L3747" s="6" t="s">
        <v>36</v>
      </c>
      <c r="M3747" s="3" t="s">
        <v>36</v>
      </c>
      <c r="N3747" s="3" t="s">
        <v>36</v>
      </c>
      <c r="O3747" s="8" t="s">
        <v>36</v>
      </c>
      <c r="P3747" s="3" t="s">
        <v>36</v>
      </c>
      <c r="Q3747" s="3" t="s">
        <v>36</v>
      </c>
      <c r="R3747" s="3" t="s">
        <v>36</v>
      </c>
      <c r="S3747" s="3" t="s">
        <v>36</v>
      </c>
      <c r="T3747" s="3" t="s">
        <v>18838</v>
      </c>
      <c r="U3747" s="3" t="s">
        <v>38</v>
      </c>
      <c r="V3747" s="3" t="s">
        <v>39</v>
      </c>
      <c r="W3747" s="3" t="s">
        <v>19019</v>
      </c>
      <c r="X3747" s="10" t="s">
        <v>13670</v>
      </c>
      <c r="Y3747" s="6" t="s">
        <v>42</v>
      </c>
      <c r="Z3747" s="4" t="s">
        <v>36</v>
      </c>
      <c r="AA3747" s="4" t="s">
        <v>36</v>
      </c>
      <c r="AB3747" s="3" t="s">
        <v>56</v>
      </c>
      <c r="AC3747" s="3" t="s">
        <v>19020</v>
      </c>
      <c r="AD3747" s="9">
        <v>44027</v>
      </c>
      <c r="AE3747" s="3" t="s">
        <v>1330</v>
      </c>
      <c r="AF3747" s="3" t="s">
        <v>19021</v>
      </c>
      <c r="AG3747" s="3" t="s">
        <v>8790</v>
      </c>
      <c r="AH3747" s="11">
        <f>HYPERLINK("https://my.pitchbook.com?c=116544-61T","View Company Online")</f>
      </c>
    </row>
    <row r="3748">
      <c r="A3748" s="12" t="s">
        <v>19022</v>
      </c>
      <c r="B3748" s="12" t="s">
        <v>10496</v>
      </c>
      <c r="C3748" s="19" t="s">
        <v>36</v>
      </c>
      <c r="D3748" s="19" t="s">
        <v>36</v>
      </c>
      <c r="E3748" s="19" t="s">
        <v>36</v>
      </c>
      <c r="F3748" s="19" t="s">
        <v>36</v>
      </c>
      <c r="G3748" s="15" t="s">
        <v>326</v>
      </c>
      <c r="H3748" s="14">
        <v>110.09</v>
      </c>
      <c r="I3748" s="18">
        <v>46.01</v>
      </c>
      <c r="J3748" s="12" t="s">
        <v>521</v>
      </c>
      <c r="K3748" s="13" t="s">
        <v>36</v>
      </c>
      <c r="L3748" s="15" t="s">
        <v>36</v>
      </c>
      <c r="M3748" s="12" t="s">
        <v>36</v>
      </c>
      <c r="N3748" s="12" t="s">
        <v>36</v>
      </c>
      <c r="O3748" s="17" t="s">
        <v>36</v>
      </c>
      <c r="P3748" s="12" t="s">
        <v>36</v>
      </c>
      <c r="Q3748" s="12" t="s">
        <v>36</v>
      </c>
      <c r="R3748" s="12" t="s">
        <v>36</v>
      </c>
      <c r="S3748" s="12" t="s">
        <v>36</v>
      </c>
      <c r="T3748" s="12" t="s">
        <v>422</v>
      </c>
      <c r="U3748" s="12" t="s">
        <v>423</v>
      </c>
      <c r="V3748" s="12" t="s">
        <v>64</v>
      </c>
      <c r="W3748" s="12" t="s">
        <v>10497</v>
      </c>
      <c r="X3748" s="16" t="s">
        <v>19023</v>
      </c>
      <c r="Y3748" s="15" t="s">
        <v>42</v>
      </c>
      <c r="Z3748" s="14">
        <v>3</v>
      </c>
      <c r="AA3748" s="14">
        <v>6.52</v>
      </c>
      <c r="AB3748" s="12" t="s">
        <v>56</v>
      </c>
      <c r="AC3748" s="12" t="s">
        <v>10499</v>
      </c>
      <c r="AD3748" s="13">
        <v>44027</v>
      </c>
      <c r="AE3748" s="12" t="s">
        <v>427</v>
      </c>
      <c r="AF3748" s="12" t="s">
        <v>90</v>
      </c>
      <c r="AG3748" s="12" t="s">
        <v>47</v>
      </c>
      <c r="AH3748" s="1">
        <f>HYPERLINK("https://my.pitchbook.com?c=139681-72T","View Company Online")</f>
      </c>
    </row>
    <row r="3749">
      <c r="A3749" s="3" t="s">
        <v>19024</v>
      </c>
      <c r="B3749" s="3" t="s">
        <v>4434</v>
      </c>
      <c r="C3749" s="5" t="s">
        <v>36</v>
      </c>
      <c r="D3749" s="5" t="s">
        <v>36</v>
      </c>
      <c r="E3749" s="5" t="s">
        <v>36</v>
      </c>
      <c r="F3749" s="5" t="s">
        <v>36</v>
      </c>
      <c r="G3749" s="6" t="s">
        <v>326</v>
      </c>
      <c r="H3749" s="4">
        <v>530.41</v>
      </c>
      <c r="I3749" s="7">
        <v>21.53</v>
      </c>
      <c r="J3749" s="3" t="s">
        <v>521</v>
      </c>
      <c r="K3749" s="9" t="s">
        <v>36</v>
      </c>
      <c r="L3749" s="6" t="s">
        <v>36</v>
      </c>
      <c r="M3749" s="3" t="s">
        <v>36</v>
      </c>
      <c r="N3749" s="3" t="s">
        <v>36</v>
      </c>
      <c r="O3749" s="8" t="s">
        <v>36</v>
      </c>
      <c r="P3749" s="3" t="s">
        <v>36</v>
      </c>
      <c r="Q3749" s="3" t="s">
        <v>36</v>
      </c>
      <c r="R3749" s="3" t="s">
        <v>36</v>
      </c>
      <c r="S3749" s="3" t="s">
        <v>36</v>
      </c>
      <c r="T3749" s="3" t="s">
        <v>550</v>
      </c>
      <c r="U3749" s="3" t="s">
        <v>38</v>
      </c>
      <c r="V3749" s="3" t="s">
        <v>39</v>
      </c>
      <c r="W3749" s="3" t="s">
        <v>4435</v>
      </c>
      <c r="X3749" s="10" t="s">
        <v>19025</v>
      </c>
      <c r="Y3749" s="6" t="s">
        <v>108</v>
      </c>
      <c r="Z3749" s="4">
        <v>1.69</v>
      </c>
      <c r="AA3749" s="4">
        <v>7.84</v>
      </c>
      <c r="AB3749" s="3" t="s">
        <v>56</v>
      </c>
      <c r="AC3749" s="3" t="s">
        <v>4437</v>
      </c>
      <c r="AD3749" s="9">
        <v>44026</v>
      </c>
      <c r="AE3749" s="3" t="s">
        <v>554</v>
      </c>
      <c r="AF3749" s="3" t="s">
        <v>4438</v>
      </c>
      <c r="AG3749" s="3" t="s">
        <v>47</v>
      </c>
      <c r="AH3749" s="11">
        <f>HYPERLINK("https://my.pitchbook.com?c=158731-57T","View Company Online")</f>
      </c>
    </row>
    <row r="3750">
      <c r="A3750" s="12" t="s">
        <v>19026</v>
      </c>
      <c r="B3750" s="12" t="s">
        <v>19027</v>
      </c>
      <c r="C3750" s="19" t="s">
        <v>36</v>
      </c>
      <c r="D3750" s="19" t="s">
        <v>36</v>
      </c>
      <c r="E3750" s="19" t="s">
        <v>36</v>
      </c>
      <c r="F3750" s="19" t="s">
        <v>36</v>
      </c>
      <c r="G3750" s="15" t="s">
        <v>36</v>
      </c>
      <c r="H3750" s="14" t="s">
        <v>36</v>
      </c>
      <c r="I3750" s="18" t="s">
        <v>36</v>
      </c>
      <c r="J3750" s="12" t="s">
        <v>36</v>
      </c>
      <c r="K3750" s="13" t="s">
        <v>36</v>
      </c>
      <c r="L3750" s="15" t="s">
        <v>36</v>
      </c>
      <c r="M3750" s="12" t="s">
        <v>36</v>
      </c>
      <c r="N3750" s="12" t="s">
        <v>36</v>
      </c>
      <c r="O3750" s="17" t="s">
        <v>36</v>
      </c>
      <c r="P3750" s="12" t="s">
        <v>36</v>
      </c>
      <c r="Q3750" s="12" t="s">
        <v>36</v>
      </c>
      <c r="R3750" s="12" t="s">
        <v>36</v>
      </c>
      <c r="S3750" s="12" t="s">
        <v>36</v>
      </c>
      <c r="T3750" s="12" t="s">
        <v>105</v>
      </c>
      <c r="U3750" s="12" t="s">
        <v>38</v>
      </c>
      <c r="V3750" s="12" t="s">
        <v>39</v>
      </c>
      <c r="W3750" s="12" t="s">
        <v>19028</v>
      </c>
      <c r="X3750" s="16" t="s">
        <v>19029</v>
      </c>
      <c r="Y3750" s="15" t="s">
        <v>42</v>
      </c>
      <c r="Z3750" s="14">
        <v>1.46</v>
      </c>
      <c r="AA3750" s="14" t="s">
        <v>36</v>
      </c>
      <c r="AB3750" s="12" t="s">
        <v>43</v>
      </c>
      <c r="AC3750" s="12" t="s">
        <v>19030</v>
      </c>
      <c r="AD3750" s="13">
        <v>44023</v>
      </c>
      <c r="AE3750" s="12" t="s">
        <v>110</v>
      </c>
      <c r="AF3750" s="12" t="s">
        <v>1201</v>
      </c>
      <c r="AG3750" s="12" t="s">
        <v>787</v>
      </c>
      <c r="AH3750" s="1">
        <f>HYPERLINK("https://my.pitchbook.com?c=140216-14T","View Company Online")</f>
      </c>
    </row>
    <row r="3751">
      <c r="A3751" s="3" t="s">
        <v>19031</v>
      </c>
      <c r="B3751" s="3" t="s">
        <v>19032</v>
      </c>
      <c r="C3751" s="5" t="s">
        <v>36</v>
      </c>
      <c r="D3751" s="5" t="s">
        <v>36</v>
      </c>
      <c r="E3751" s="5" t="s">
        <v>36</v>
      </c>
      <c r="F3751" s="5" t="s">
        <v>36</v>
      </c>
      <c r="G3751" s="6" t="s">
        <v>326</v>
      </c>
      <c r="H3751" s="4">
        <v>220.54</v>
      </c>
      <c r="I3751" s="7">
        <v>10.01</v>
      </c>
      <c r="J3751" s="3" t="s">
        <v>521</v>
      </c>
      <c r="K3751" s="9" t="s">
        <v>36</v>
      </c>
      <c r="L3751" s="6" t="s">
        <v>122</v>
      </c>
      <c r="M3751" s="3" t="s">
        <v>36</v>
      </c>
      <c r="N3751" s="3" t="s">
        <v>122</v>
      </c>
      <c r="O3751" s="8" t="s">
        <v>36</v>
      </c>
      <c r="P3751" s="3" t="s">
        <v>36</v>
      </c>
      <c r="Q3751" s="3" t="s">
        <v>36</v>
      </c>
      <c r="R3751" s="3" t="s">
        <v>36</v>
      </c>
      <c r="S3751" s="3" t="s">
        <v>36</v>
      </c>
      <c r="T3751" s="3" t="s">
        <v>19033</v>
      </c>
      <c r="U3751" s="3" t="s">
        <v>38</v>
      </c>
      <c r="V3751" s="3" t="s">
        <v>39</v>
      </c>
      <c r="W3751" s="3" t="s">
        <v>19034</v>
      </c>
      <c r="X3751" s="10" t="s">
        <v>19035</v>
      </c>
      <c r="Y3751" s="6" t="s">
        <v>42</v>
      </c>
      <c r="Z3751" s="4">
        <v>0.28</v>
      </c>
      <c r="AA3751" s="4">
        <v>2.81</v>
      </c>
      <c r="AB3751" s="3" t="s">
        <v>43</v>
      </c>
      <c r="AC3751" s="3" t="s">
        <v>19036</v>
      </c>
      <c r="AD3751" s="9">
        <v>44022</v>
      </c>
      <c r="AE3751" s="3" t="s">
        <v>688</v>
      </c>
      <c r="AF3751" s="3" t="s">
        <v>36</v>
      </c>
      <c r="AG3751" s="3" t="s">
        <v>81</v>
      </c>
      <c r="AH3751" s="11">
        <f>HYPERLINK("https://my.pitchbook.com?c=226344-07T","View Company Online")</f>
      </c>
    </row>
    <row r="3752">
      <c r="A3752" s="12" t="s">
        <v>19037</v>
      </c>
      <c r="B3752" s="12" t="s">
        <v>19038</v>
      </c>
      <c r="C3752" s="19" t="s">
        <v>36</v>
      </c>
      <c r="D3752" s="19" t="s">
        <v>36</v>
      </c>
      <c r="E3752" s="19">
        <v>1</v>
      </c>
      <c r="F3752" s="19">
        <v>1</v>
      </c>
      <c r="G3752" s="15" t="s">
        <v>326</v>
      </c>
      <c r="H3752" s="14">
        <v>270.03</v>
      </c>
      <c r="I3752" s="18">
        <v>12.91</v>
      </c>
      <c r="J3752" s="12" t="s">
        <v>521</v>
      </c>
      <c r="K3752" s="13" t="s">
        <v>36</v>
      </c>
      <c r="L3752" s="15" t="s">
        <v>36</v>
      </c>
      <c r="M3752" s="12" t="s">
        <v>36</v>
      </c>
      <c r="N3752" s="12" t="s">
        <v>36</v>
      </c>
      <c r="O3752" s="17" t="s">
        <v>36</v>
      </c>
      <c r="P3752" s="12" t="s">
        <v>36</v>
      </c>
      <c r="Q3752" s="12" t="s">
        <v>36</v>
      </c>
      <c r="R3752" s="12" t="s">
        <v>36</v>
      </c>
      <c r="S3752" s="12" t="s">
        <v>36</v>
      </c>
      <c r="T3752" s="12" t="s">
        <v>6247</v>
      </c>
      <c r="U3752" s="12" t="s">
        <v>85</v>
      </c>
      <c r="V3752" s="12" t="s">
        <v>64</v>
      </c>
      <c r="W3752" s="12" t="s">
        <v>19039</v>
      </c>
      <c r="X3752" s="16" t="s">
        <v>19040</v>
      </c>
      <c r="Y3752" s="15" t="s">
        <v>108</v>
      </c>
      <c r="Z3752" s="14">
        <v>0.12</v>
      </c>
      <c r="AA3752" s="14">
        <v>0.9</v>
      </c>
      <c r="AB3752" s="12" t="s">
        <v>43</v>
      </c>
      <c r="AC3752" s="12" t="s">
        <v>19041</v>
      </c>
      <c r="AD3752" s="13">
        <v>44022</v>
      </c>
      <c r="AE3752" s="12" t="s">
        <v>89</v>
      </c>
      <c r="AF3752" s="12" t="s">
        <v>571</v>
      </c>
      <c r="AG3752" s="12" t="s">
        <v>19042</v>
      </c>
      <c r="AH3752" s="1">
        <f>HYPERLINK("https://my.pitchbook.com?c=174564-28T","View Company Online")</f>
      </c>
    </row>
    <row r="3753">
      <c r="A3753" s="3" t="s">
        <v>19043</v>
      </c>
      <c r="B3753" s="3" t="s">
        <v>12239</v>
      </c>
      <c r="C3753" s="5">
        <v>1</v>
      </c>
      <c r="D3753" s="5" t="s">
        <v>36</v>
      </c>
      <c r="E3753" s="5">
        <v>1</v>
      </c>
      <c r="F3753" s="5">
        <v>1</v>
      </c>
      <c r="G3753" s="6" t="s">
        <v>36</v>
      </c>
      <c r="H3753" s="4" t="s">
        <v>36</v>
      </c>
      <c r="I3753" s="7" t="s">
        <v>36</v>
      </c>
      <c r="J3753" s="3" t="s">
        <v>36</v>
      </c>
      <c r="K3753" s="9" t="s">
        <v>36</v>
      </c>
      <c r="L3753" s="6" t="s">
        <v>36</v>
      </c>
      <c r="M3753" s="3" t="s">
        <v>36</v>
      </c>
      <c r="N3753" s="3" t="s">
        <v>36</v>
      </c>
      <c r="O3753" s="8" t="s">
        <v>36</v>
      </c>
      <c r="P3753" s="3" t="s">
        <v>36</v>
      </c>
      <c r="Q3753" s="3" t="s">
        <v>36</v>
      </c>
      <c r="R3753" s="3" t="s">
        <v>36</v>
      </c>
      <c r="S3753" s="3" t="s">
        <v>12240</v>
      </c>
      <c r="T3753" s="3" t="s">
        <v>4406</v>
      </c>
      <c r="U3753" s="3" t="s">
        <v>833</v>
      </c>
      <c r="V3753" s="3" t="s">
        <v>64</v>
      </c>
      <c r="W3753" s="3" t="s">
        <v>12241</v>
      </c>
      <c r="X3753" s="10" t="s">
        <v>19044</v>
      </c>
      <c r="Y3753" s="6" t="s">
        <v>55</v>
      </c>
      <c r="Z3753" s="4" t="s">
        <v>36</v>
      </c>
      <c r="AA3753" s="4" t="s">
        <v>36</v>
      </c>
      <c r="AB3753" s="3" t="s">
        <v>43</v>
      </c>
      <c r="AC3753" s="3" t="s">
        <v>12242</v>
      </c>
      <c r="AD3753" s="9">
        <v>44021</v>
      </c>
      <c r="AE3753" s="3" t="s">
        <v>1069</v>
      </c>
      <c r="AF3753" s="3" t="s">
        <v>12243</v>
      </c>
      <c r="AG3753" s="3" t="s">
        <v>81</v>
      </c>
      <c r="AH3753" s="11">
        <f>HYPERLINK("https://my.pitchbook.com?c=139923-91T","View Company Online")</f>
      </c>
    </row>
    <row r="3754">
      <c r="A3754" s="12" t="s">
        <v>19045</v>
      </c>
      <c r="B3754" s="12" t="s">
        <v>19046</v>
      </c>
      <c r="C3754" s="19">
        <v>10</v>
      </c>
      <c r="D3754" s="19" t="s">
        <v>36</v>
      </c>
      <c r="E3754" s="19">
        <v>3</v>
      </c>
      <c r="F3754" s="19">
        <v>10</v>
      </c>
      <c r="G3754" s="15" t="s">
        <v>683</v>
      </c>
      <c r="H3754" s="14">
        <v>41.54</v>
      </c>
      <c r="I3754" s="18">
        <v>18.18</v>
      </c>
      <c r="J3754" s="12" t="s">
        <v>521</v>
      </c>
      <c r="K3754" s="13" t="s">
        <v>36</v>
      </c>
      <c r="L3754" s="15" t="s">
        <v>36</v>
      </c>
      <c r="M3754" s="12" t="s">
        <v>36</v>
      </c>
      <c r="N3754" s="12" t="s">
        <v>36</v>
      </c>
      <c r="O3754" s="17" t="s">
        <v>36</v>
      </c>
      <c r="P3754" s="12" t="s">
        <v>36</v>
      </c>
      <c r="Q3754" s="12" t="s">
        <v>36</v>
      </c>
      <c r="R3754" s="12" t="s">
        <v>36</v>
      </c>
      <c r="S3754" s="12" t="s">
        <v>36</v>
      </c>
      <c r="T3754" s="12" t="s">
        <v>154</v>
      </c>
      <c r="U3754" s="12" t="s">
        <v>51</v>
      </c>
      <c r="V3754" s="12" t="s">
        <v>52</v>
      </c>
      <c r="W3754" s="12" t="s">
        <v>19047</v>
      </c>
      <c r="X3754" s="16" t="s">
        <v>19048</v>
      </c>
      <c r="Y3754" s="15" t="s">
        <v>108</v>
      </c>
      <c r="Z3754" s="14">
        <v>2.25</v>
      </c>
      <c r="AA3754" s="14">
        <v>6.19</v>
      </c>
      <c r="AB3754" s="12" t="s">
        <v>43</v>
      </c>
      <c r="AC3754" s="12" t="s">
        <v>19049</v>
      </c>
      <c r="AD3754" s="13">
        <v>44019</v>
      </c>
      <c r="AE3754" s="12" t="s">
        <v>158</v>
      </c>
      <c r="AF3754" s="12" t="s">
        <v>665</v>
      </c>
      <c r="AG3754" s="12" t="s">
        <v>81</v>
      </c>
      <c r="AH3754" s="1">
        <f>HYPERLINK("https://my.pitchbook.com?c=139308-85T","View Company Online")</f>
      </c>
    </row>
    <row r="3755">
      <c r="A3755" s="3" t="s">
        <v>19050</v>
      </c>
      <c r="B3755" s="3" t="s">
        <v>8863</v>
      </c>
      <c r="C3755" s="5">
        <v>1</v>
      </c>
      <c r="D3755" s="5" t="s">
        <v>36</v>
      </c>
      <c r="E3755" s="5">
        <v>1</v>
      </c>
      <c r="F3755" s="5">
        <v>1</v>
      </c>
      <c r="G3755" s="6" t="s">
        <v>326</v>
      </c>
      <c r="H3755" s="4">
        <v>2.08</v>
      </c>
      <c r="I3755" s="7">
        <v>44.46</v>
      </c>
      <c r="J3755" s="3" t="s">
        <v>521</v>
      </c>
      <c r="K3755" s="9" t="s">
        <v>36</v>
      </c>
      <c r="L3755" s="6" t="s">
        <v>122</v>
      </c>
      <c r="M3755" s="3" t="s">
        <v>36</v>
      </c>
      <c r="N3755" s="3" t="s">
        <v>122</v>
      </c>
      <c r="O3755" s="8" t="s">
        <v>36</v>
      </c>
      <c r="P3755" s="3" t="s">
        <v>36</v>
      </c>
      <c r="Q3755" s="3" t="s">
        <v>36</v>
      </c>
      <c r="R3755" s="3" t="s">
        <v>36</v>
      </c>
      <c r="S3755" s="3" t="s">
        <v>8864</v>
      </c>
      <c r="T3755" s="3" t="s">
        <v>2529</v>
      </c>
      <c r="U3755" s="3" t="s">
        <v>219</v>
      </c>
      <c r="V3755" s="3" t="s">
        <v>75</v>
      </c>
      <c r="W3755" s="3" t="s">
        <v>8865</v>
      </c>
      <c r="X3755" s="10" t="s">
        <v>19051</v>
      </c>
      <c r="Y3755" s="6" t="s">
        <v>55</v>
      </c>
      <c r="Z3755" s="4">
        <v>12.38</v>
      </c>
      <c r="AA3755" s="4">
        <v>26.01</v>
      </c>
      <c r="AB3755" s="3" t="s">
        <v>43</v>
      </c>
      <c r="AC3755" s="3" t="s">
        <v>8867</v>
      </c>
      <c r="AD3755" s="9">
        <v>44018</v>
      </c>
      <c r="AE3755" s="3" t="s">
        <v>243</v>
      </c>
      <c r="AF3755" s="3" t="s">
        <v>8868</v>
      </c>
      <c r="AG3755" s="3" t="s">
        <v>2542</v>
      </c>
      <c r="AH3755" s="11">
        <f>HYPERLINK("https://my.pitchbook.com?c=139718-35T","View Company Online")</f>
      </c>
    </row>
    <row r="3756">
      <c r="A3756" s="12" t="s">
        <v>19052</v>
      </c>
      <c r="B3756" s="12" t="s">
        <v>19053</v>
      </c>
      <c r="C3756" s="19">
        <v>2</v>
      </c>
      <c r="D3756" s="19">
        <v>2</v>
      </c>
      <c r="E3756" s="19">
        <v>1</v>
      </c>
      <c r="F3756" s="19">
        <v>5</v>
      </c>
      <c r="G3756" s="15" t="s">
        <v>326</v>
      </c>
      <c r="H3756" s="14">
        <v>46.74</v>
      </c>
      <c r="I3756" s="18">
        <v>13.45</v>
      </c>
      <c r="J3756" s="12" t="s">
        <v>521</v>
      </c>
      <c r="K3756" s="13">
        <v>43976</v>
      </c>
      <c r="L3756" s="15" t="s">
        <v>122</v>
      </c>
      <c r="M3756" s="12" t="s">
        <v>36</v>
      </c>
      <c r="N3756" s="12" t="s">
        <v>122</v>
      </c>
      <c r="O3756" s="17" t="s">
        <v>36</v>
      </c>
      <c r="P3756" s="12" t="s">
        <v>36</v>
      </c>
      <c r="Q3756" s="12" t="s">
        <v>36</v>
      </c>
      <c r="R3756" s="12" t="s">
        <v>36</v>
      </c>
      <c r="S3756" s="12" t="s">
        <v>36</v>
      </c>
      <c r="T3756" s="12" t="s">
        <v>881</v>
      </c>
      <c r="U3756" s="12" t="s">
        <v>51</v>
      </c>
      <c r="V3756" s="12" t="s">
        <v>52</v>
      </c>
      <c r="W3756" s="12" t="s">
        <v>19054</v>
      </c>
      <c r="X3756" s="16" t="s">
        <v>19055</v>
      </c>
      <c r="Y3756" s="15" t="s">
        <v>55</v>
      </c>
      <c r="Z3756" s="14">
        <v>2.57</v>
      </c>
      <c r="AA3756" s="14">
        <v>19.12</v>
      </c>
      <c r="AB3756" s="12" t="s">
        <v>56</v>
      </c>
      <c r="AC3756" s="12" t="s">
        <v>19056</v>
      </c>
      <c r="AD3756" s="13">
        <v>44018</v>
      </c>
      <c r="AE3756" s="12" t="s">
        <v>504</v>
      </c>
      <c r="AF3756" s="12" t="s">
        <v>665</v>
      </c>
      <c r="AG3756" s="12" t="s">
        <v>47</v>
      </c>
      <c r="AH3756" s="1">
        <f>HYPERLINK("https://my.pitchbook.com?c=137149-75T","View Company Online")</f>
      </c>
    </row>
    <row r="3757">
      <c r="A3757" s="3" t="s">
        <v>19057</v>
      </c>
      <c r="B3757" s="3" t="s">
        <v>19058</v>
      </c>
      <c r="C3757" s="5" t="s">
        <v>36</v>
      </c>
      <c r="D3757" s="5" t="s">
        <v>36</v>
      </c>
      <c r="E3757" s="5" t="s">
        <v>36</v>
      </c>
      <c r="F3757" s="5" t="s">
        <v>36</v>
      </c>
      <c r="G3757" s="6" t="s">
        <v>36</v>
      </c>
      <c r="H3757" s="4">
        <v>3.63</v>
      </c>
      <c r="I3757" s="7">
        <v>12.5</v>
      </c>
      <c r="J3757" s="3" t="s">
        <v>521</v>
      </c>
      <c r="K3757" s="9" t="s">
        <v>36</v>
      </c>
      <c r="L3757" s="6" t="s">
        <v>36</v>
      </c>
      <c r="M3757" s="3" t="s">
        <v>36</v>
      </c>
      <c r="N3757" s="3" t="s">
        <v>36</v>
      </c>
      <c r="O3757" s="8" t="s">
        <v>36</v>
      </c>
      <c r="P3757" s="3" t="s">
        <v>36</v>
      </c>
      <c r="Q3757" s="3" t="s">
        <v>36</v>
      </c>
      <c r="R3757" s="3" t="s">
        <v>36</v>
      </c>
      <c r="S3757" s="3" t="s">
        <v>36</v>
      </c>
      <c r="T3757" s="3" t="s">
        <v>1701</v>
      </c>
      <c r="U3757" s="3" t="s">
        <v>74</v>
      </c>
      <c r="V3757" s="3" t="s">
        <v>75</v>
      </c>
      <c r="W3757" s="3" t="s">
        <v>19059</v>
      </c>
      <c r="X3757" s="10" t="s">
        <v>19060</v>
      </c>
      <c r="Y3757" s="6" t="s">
        <v>108</v>
      </c>
      <c r="Z3757" s="4">
        <v>0.03</v>
      </c>
      <c r="AA3757" s="4">
        <v>0.27</v>
      </c>
      <c r="AB3757" s="3" t="s">
        <v>43</v>
      </c>
      <c r="AC3757" s="3" t="s">
        <v>19061</v>
      </c>
      <c r="AD3757" s="9">
        <v>44016</v>
      </c>
      <c r="AE3757" s="3" t="s">
        <v>79</v>
      </c>
      <c r="AF3757" s="3" t="s">
        <v>36</v>
      </c>
      <c r="AG3757" s="3" t="s">
        <v>270</v>
      </c>
      <c r="AH3757" s="11">
        <f>HYPERLINK("https://my.pitchbook.com?c=126186-13T","View Company Online")</f>
      </c>
    </row>
    <row r="3758">
      <c r="A3758" s="12" t="s">
        <v>19062</v>
      </c>
      <c r="B3758" s="12" t="s">
        <v>7871</v>
      </c>
      <c r="C3758" s="19">
        <v>2</v>
      </c>
      <c r="D3758" s="19" t="s">
        <v>36</v>
      </c>
      <c r="E3758" s="19">
        <v>2</v>
      </c>
      <c r="F3758" s="19">
        <v>2</v>
      </c>
      <c r="G3758" s="15" t="s">
        <v>326</v>
      </c>
      <c r="H3758" s="14">
        <v>373.88</v>
      </c>
      <c r="I3758" s="18">
        <v>5.82</v>
      </c>
      <c r="J3758" s="12" t="s">
        <v>521</v>
      </c>
      <c r="K3758" s="13" t="s">
        <v>36</v>
      </c>
      <c r="L3758" s="15" t="s">
        <v>36</v>
      </c>
      <c r="M3758" s="12" t="s">
        <v>36</v>
      </c>
      <c r="N3758" s="12" t="s">
        <v>36</v>
      </c>
      <c r="O3758" s="17" t="s">
        <v>36</v>
      </c>
      <c r="P3758" s="12" t="s">
        <v>36</v>
      </c>
      <c r="Q3758" s="12" t="s">
        <v>36</v>
      </c>
      <c r="R3758" s="12" t="s">
        <v>36</v>
      </c>
      <c r="S3758" s="12" t="s">
        <v>36</v>
      </c>
      <c r="T3758" s="12" t="s">
        <v>7872</v>
      </c>
      <c r="U3758" s="12" t="s">
        <v>1082</v>
      </c>
      <c r="V3758" s="12" t="s">
        <v>378</v>
      </c>
      <c r="W3758" s="12" t="s">
        <v>7873</v>
      </c>
      <c r="X3758" s="16" t="s">
        <v>19063</v>
      </c>
      <c r="Y3758" s="15" t="s">
        <v>55</v>
      </c>
      <c r="Z3758" s="14">
        <v>0.15</v>
      </c>
      <c r="AA3758" s="14">
        <v>2.6</v>
      </c>
      <c r="AB3758" s="12" t="s">
        <v>43</v>
      </c>
      <c r="AC3758" s="12" t="s">
        <v>7875</v>
      </c>
      <c r="AD3758" s="13">
        <v>44015</v>
      </c>
      <c r="AE3758" s="12" t="s">
        <v>7876</v>
      </c>
      <c r="AF3758" s="12" t="s">
        <v>4248</v>
      </c>
      <c r="AG3758" s="12" t="s">
        <v>3406</v>
      </c>
      <c r="AH3758" s="1">
        <f>HYPERLINK("https://my.pitchbook.com?c=170815-96T","View Company Online")</f>
      </c>
    </row>
    <row r="3759">
      <c r="A3759" s="3" t="s">
        <v>19064</v>
      </c>
      <c r="B3759" s="3" t="s">
        <v>10412</v>
      </c>
      <c r="C3759" s="5" t="s">
        <v>36</v>
      </c>
      <c r="D3759" s="5" t="s">
        <v>36</v>
      </c>
      <c r="E3759" s="5" t="s">
        <v>36</v>
      </c>
      <c r="F3759" s="5" t="s">
        <v>36</v>
      </c>
      <c r="G3759" s="6" t="s">
        <v>36</v>
      </c>
      <c r="H3759" s="4" t="s">
        <v>36</v>
      </c>
      <c r="I3759" s="7">
        <v>29.21</v>
      </c>
      <c r="J3759" s="3" t="s">
        <v>327</v>
      </c>
      <c r="K3759" s="9">
        <v>44015</v>
      </c>
      <c r="L3759" s="6" t="s">
        <v>94</v>
      </c>
      <c r="M3759" s="3" t="s">
        <v>36</v>
      </c>
      <c r="N3759" s="3" t="s">
        <v>94</v>
      </c>
      <c r="O3759" s="8" t="s">
        <v>36</v>
      </c>
      <c r="P3759" s="3" t="s">
        <v>36</v>
      </c>
      <c r="Q3759" s="3" t="s">
        <v>36</v>
      </c>
      <c r="R3759" s="3" t="s">
        <v>36</v>
      </c>
      <c r="S3759" s="3" t="s">
        <v>36</v>
      </c>
      <c r="T3759" s="3" t="s">
        <v>4225</v>
      </c>
      <c r="U3759" s="3" t="s">
        <v>96</v>
      </c>
      <c r="V3759" s="3" t="s">
        <v>52</v>
      </c>
      <c r="W3759" s="3" t="s">
        <v>10413</v>
      </c>
      <c r="X3759" s="10" t="s">
        <v>19065</v>
      </c>
      <c r="Y3759" s="6" t="s">
        <v>108</v>
      </c>
      <c r="Z3759" s="4">
        <v>105</v>
      </c>
      <c r="AA3759" s="4">
        <v>359.42</v>
      </c>
      <c r="AB3759" s="3" t="s">
        <v>56</v>
      </c>
      <c r="AC3759" s="3" t="s">
        <v>10415</v>
      </c>
      <c r="AD3759" s="9">
        <v>44015</v>
      </c>
      <c r="AE3759" s="3" t="s">
        <v>143</v>
      </c>
      <c r="AF3759" s="3" t="s">
        <v>101</v>
      </c>
      <c r="AG3759" s="3" t="s">
        <v>8596</v>
      </c>
      <c r="AH3759" s="11">
        <f>HYPERLINK("https://my.pitchbook.com?c=139218-40T","View Company Online")</f>
      </c>
    </row>
    <row r="3760">
      <c r="A3760" s="12" t="s">
        <v>19066</v>
      </c>
      <c r="B3760" s="12" t="s">
        <v>19067</v>
      </c>
      <c r="C3760" s="19" t="s">
        <v>36</v>
      </c>
      <c r="D3760" s="19" t="s">
        <v>36</v>
      </c>
      <c r="E3760" s="19" t="s">
        <v>36</v>
      </c>
      <c r="F3760" s="19" t="s">
        <v>36</v>
      </c>
      <c r="G3760" s="15" t="s">
        <v>36</v>
      </c>
      <c r="H3760" s="14">
        <v>297.99</v>
      </c>
      <c r="I3760" s="18">
        <v>29.44</v>
      </c>
      <c r="J3760" s="12" t="s">
        <v>521</v>
      </c>
      <c r="K3760" s="13" t="s">
        <v>36</v>
      </c>
      <c r="L3760" s="15" t="s">
        <v>122</v>
      </c>
      <c r="M3760" s="12" t="s">
        <v>36</v>
      </c>
      <c r="N3760" s="12" t="s">
        <v>122</v>
      </c>
      <c r="O3760" s="17" t="s">
        <v>36</v>
      </c>
      <c r="P3760" s="12" t="s">
        <v>36</v>
      </c>
      <c r="Q3760" s="12" t="s">
        <v>36</v>
      </c>
      <c r="R3760" s="12" t="s">
        <v>36</v>
      </c>
      <c r="S3760" s="12" t="s">
        <v>36</v>
      </c>
      <c r="T3760" s="12" t="s">
        <v>123</v>
      </c>
      <c r="U3760" s="12" t="s">
        <v>38</v>
      </c>
      <c r="V3760" s="12" t="s">
        <v>39</v>
      </c>
      <c r="W3760" s="12" t="s">
        <v>19068</v>
      </c>
      <c r="X3760" s="16" t="s">
        <v>19069</v>
      </c>
      <c r="Y3760" s="15" t="s">
        <v>108</v>
      </c>
      <c r="Z3760" s="14">
        <v>5.85</v>
      </c>
      <c r="AA3760" s="14">
        <v>15.3</v>
      </c>
      <c r="AB3760" s="12" t="s">
        <v>43</v>
      </c>
      <c r="AC3760" s="12" t="s">
        <v>19070</v>
      </c>
      <c r="AD3760" s="13">
        <v>44015</v>
      </c>
      <c r="AE3760" s="12" t="s">
        <v>110</v>
      </c>
      <c r="AF3760" s="12" t="s">
        <v>19071</v>
      </c>
      <c r="AG3760" s="12" t="s">
        <v>81</v>
      </c>
      <c r="AH3760" s="1">
        <f>HYPERLINK("https://my.pitchbook.com?c=139143-61T","View Company Online")</f>
      </c>
    </row>
    <row r="3761">
      <c r="A3761" s="3" t="s">
        <v>19072</v>
      </c>
      <c r="B3761" s="3" t="s">
        <v>3402</v>
      </c>
      <c r="C3761" s="5">
        <v>10</v>
      </c>
      <c r="D3761" s="5" t="s">
        <v>36</v>
      </c>
      <c r="E3761" s="5">
        <v>7</v>
      </c>
      <c r="F3761" s="5">
        <v>10</v>
      </c>
      <c r="G3761" s="6" t="s">
        <v>36</v>
      </c>
      <c r="H3761" s="4">
        <v>6.31</v>
      </c>
      <c r="I3761" s="7">
        <v>34.48</v>
      </c>
      <c r="J3761" s="3" t="s">
        <v>521</v>
      </c>
      <c r="K3761" s="9" t="s">
        <v>36</v>
      </c>
      <c r="L3761" s="6" t="s">
        <v>122</v>
      </c>
      <c r="M3761" s="3" t="s">
        <v>36</v>
      </c>
      <c r="N3761" s="3" t="s">
        <v>122</v>
      </c>
      <c r="O3761" s="8" t="s">
        <v>36</v>
      </c>
      <c r="P3761" s="3" t="s">
        <v>36</v>
      </c>
      <c r="Q3761" s="3" t="s">
        <v>36</v>
      </c>
      <c r="R3761" s="3" t="s">
        <v>36</v>
      </c>
      <c r="S3761" s="3" t="s">
        <v>36</v>
      </c>
      <c r="T3761" s="3" t="s">
        <v>1188</v>
      </c>
      <c r="U3761" s="3" t="s">
        <v>180</v>
      </c>
      <c r="V3761" s="3" t="s">
        <v>52</v>
      </c>
      <c r="W3761" s="3" t="s">
        <v>3403</v>
      </c>
      <c r="X3761" s="10" t="s">
        <v>19073</v>
      </c>
      <c r="Y3761" s="6" t="s">
        <v>108</v>
      </c>
      <c r="Z3761" s="4">
        <v>4.32</v>
      </c>
      <c r="AA3761" s="4">
        <v>12.52</v>
      </c>
      <c r="AB3761" s="3" t="s">
        <v>43</v>
      </c>
      <c r="AC3761" s="3" t="s">
        <v>3405</v>
      </c>
      <c r="AD3761" s="9">
        <v>44014</v>
      </c>
      <c r="AE3761" s="3" t="s">
        <v>1192</v>
      </c>
      <c r="AF3761" s="3" t="s">
        <v>3024</v>
      </c>
      <c r="AG3761" s="3" t="s">
        <v>3406</v>
      </c>
      <c r="AH3761" s="11">
        <f>HYPERLINK("https://my.pitchbook.com?c=139096-27T","View Company Online")</f>
      </c>
    </row>
    <row r="3762">
      <c r="A3762" s="12" t="s">
        <v>19074</v>
      </c>
      <c r="B3762" s="12" t="s">
        <v>19075</v>
      </c>
      <c r="C3762" s="19" t="s">
        <v>36</v>
      </c>
      <c r="D3762" s="19" t="s">
        <v>36</v>
      </c>
      <c r="E3762" s="19" t="s">
        <v>36</v>
      </c>
      <c r="F3762" s="19" t="s">
        <v>36</v>
      </c>
      <c r="G3762" s="15" t="s">
        <v>36</v>
      </c>
      <c r="H3762" s="14">
        <v>98.22</v>
      </c>
      <c r="I3762" s="18">
        <v>31.88</v>
      </c>
      <c r="J3762" s="12" t="s">
        <v>521</v>
      </c>
      <c r="K3762" s="13" t="s">
        <v>36</v>
      </c>
      <c r="L3762" s="15" t="s">
        <v>36</v>
      </c>
      <c r="M3762" s="12" t="s">
        <v>36</v>
      </c>
      <c r="N3762" s="12" t="s">
        <v>36</v>
      </c>
      <c r="O3762" s="17" t="s">
        <v>36</v>
      </c>
      <c r="P3762" s="12" t="s">
        <v>36</v>
      </c>
      <c r="Q3762" s="12" t="s">
        <v>36</v>
      </c>
      <c r="R3762" s="12" t="s">
        <v>36</v>
      </c>
      <c r="S3762" s="12" t="s">
        <v>36</v>
      </c>
      <c r="T3762" s="12" t="s">
        <v>1125</v>
      </c>
      <c r="U3762" s="12" t="s">
        <v>74</v>
      </c>
      <c r="V3762" s="12" t="s">
        <v>75</v>
      </c>
      <c r="W3762" s="12" t="s">
        <v>19076</v>
      </c>
      <c r="X3762" s="16" t="s">
        <v>19077</v>
      </c>
      <c r="Y3762" s="15" t="s">
        <v>42</v>
      </c>
      <c r="Z3762" s="14">
        <v>1.86</v>
      </c>
      <c r="AA3762" s="14">
        <v>5.83</v>
      </c>
      <c r="AB3762" s="12" t="s">
        <v>56</v>
      </c>
      <c r="AC3762" s="12" t="s">
        <v>19078</v>
      </c>
      <c r="AD3762" s="13">
        <v>44014</v>
      </c>
      <c r="AE3762" s="12" t="s">
        <v>975</v>
      </c>
      <c r="AF3762" s="12" t="s">
        <v>1619</v>
      </c>
      <c r="AG3762" s="12" t="s">
        <v>741</v>
      </c>
      <c r="AH3762" s="1">
        <f>HYPERLINK("https://my.pitchbook.com?c=168228-28T","View Company Online")</f>
      </c>
    </row>
    <row r="3763">
      <c r="A3763" s="3" t="s">
        <v>19079</v>
      </c>
      <c r="B3763" s="3" t="s">
        <v>19080</v>
      </c>
      <c r="C3763" s="5" t="s">
        <v>36</v>
      </c>
      <c r="D3763" s="5" t="s">
        <v>36</v>
      </c>
      <c r="E3763" s="5" t="s">
        <v>36</v>
      </c>
      <c r="F3763" s="5" t="s">
        <v>36</v>
      </c>
      <c r="G3763" s="6" t="s">
        <v>326</v>
      </c>
      <c r="H3763" s="4">
        <v>2329.93</v>
      </c>
      <c r="I3763" s="7">
        <v>11.12</v>
      </c>
      <c r="J3763" s="3" t="s">
        <v>521</v>
      </c>
      <c r="K3763" s="9" t="s">
        <v>36</v>
      </c>
      <c r="L3763" s="6" t="s">
        <v>122</v>
      </c>
      <c r="M3763" s="3" t="s">
        <v>36</v>
      </c>
      <c r="N3763" s="3" t="s">
        <v>122</v>
      </c>
      <c r="O3763" s="8" t="s">
        <v>36</v>
      </c>
      <c r="P3763" s="3" t="s">
        <v>36</v>
      </c>
      <c r="Q3763" s="3" t="s">
        <v>36</v>
      </c>
      <c r="R3763" s="3" t="s">
        <v>36</v>
      </c>
      <c r="S3763" s="3" t="s">
        <v>36</v>
      </c>
      <c r="T3763" s="3" t="s">
        <v>19081</v>
      </c>
      <c r="U3763" s="3" t="s">
        <v>404</v>
      </c>
      <c r="V3763" s="3" t="s">
        <v>405</v>
      </c>
      <c r="W3763" s="3" t="s">
        <v>19082</v>
      </c>
      <c r="X3763" s="10" t="s">
        <v>19083</v>
      </c>
      <c r="Y3763" s="6" t="s">
        <v>108</v>
      </c>
      <c r="Z3763" s="4">
        <v>1.13</v>
      </c>
      <c r="AA3763" s="4">
        <v>5.07</v>
      </c>
      <c r="AB3763" s="3" t="s">
        <v>43</v>
      </c>
      <c r="AC3763" s="3" t="s">
        <v>19084</v>
      </c>
      <c r="AD3763" s="9">
        <v>44014</v>
      </c>
      <c r="AE3763" s="3" t="s">
        <v>16332</v>
      </c>
      <c r="AF3763" s="3" t="s">
        <v>1115</v>
      </c>
      <c r="AG3763" s="3" t="s">
        <v>1078</v>
      </c>
      <c r="AH3763" s="11">
        <f>HYPERLINK("https://my.pitchbook.com?c=139751-38T","View Company Online")</f>
      </c>
    </row>
    <row r="3764">
      <c r="A3764" s="12" t="s">
        <v>19085</v>
      </c>
      <c r="B3764" s="12" t="s">
        <v>7048</v>
      </c>
      <c r="C3764" s="19" t="s">
        <v>36</v>
      </c>
      <c r="D3764" s="19">
        <v>14</v>
      </c>
      <c r="E3764" s="19">
        <v>3</v>
      </c>
      <c r="F3764" s="19">
        <v>14</v>
      </c>
      <c r="G3764" s="15" t="s">
        <v>36</v>
      </c>
      <c r="H3764" s="14" t="s">
        <v>36</v>
      </c>
      <c r="I3764" s="18" t="s">
        <v>36</v>
      </c>
      <c r="J3764" s="12" t="s">
        <v>36</v>
      </c>
      <c r="K3764" s="13" t="s">
        <v>36</v>
      </c>
      <c r="L3764" s="15" t="s">
        <v>36</v>
      </c>
      <c r="M3764" s="12" t="s">
        <v>36</v>
      </c>
      <c r="N3764" s="12" t="s">
        <v>36</v>
      </c>
      <c r="O3764" s="17" t="s">
        <v>36</v>
      </c>
      <c r="P3764" s="12" t="s">
        <v>36</v>
      </c>
      <c r="Q3764" s="12" t="s">
        <v>36</v>
      </c>
      <c r="R3764" s="12" t="s">
        <v>36</v>
      </c>
      <c r="S3764" s="12" t="s">
        <v>7049</v>
      </c>
      <c r="T3764" s="12" t="s">
        <v>7050</v>
      </c>
      <c r="U3764" s="12" t="s">
        <v>833</v>
      </c>
      <c r="V3764" s="12" t="s">
        <v>64</v>
      </c>
      <c r="W3764" s="12" t="s">
        <v>7051</v>
      </c>
      <c r="X3764" s="16" t="s">
        <v>19086</v>
      </c>
      <c r="Y3764" s="15" t="s">
        <v>192</v>
      </c>
      <c r="Z3764" s="14">
        <v>2.25</v>
      </c>
      <c r="AA3764" s="14" t="s">
        <v>36</v>
      </c>
      <c r="AB3764" s="12" t="s">
        <v>56</v>
      </c>
      <c r="AC3764" s="12" t="s">
        <v>7053</v>
      </c>
      <c r="AD3764" s="13">
        <v>44014</v>
      </c>
      <c r="AE3764" s="12" t="s">
        <v>1069</v>
      </c>
      <c r="AF3764" s="12" t="s">
        <v>7054</v>
      </c>
      <c r="AG3764" s="12" t="s">
        <v>1978</v>
      </c>
      <c r="AH3764" s="1">
        <f>HYPERLINK("https://my.pitchbook.com?c=172030-24T","View Company Online")</f>
      </c>
    </row>
    <row r="3765">
      <c r="A3765" s="3" t="s">
        <v>19087</v>
      </c>
      <c r="B3765" s="3" t="s">
        <v>19088</v>
      </c>
      <c r="C3765" s="5" t="s">
        <v>36</v>
      </c>
      <c r="D3765" s="5" t="s">
        <v>36</v>
      </c>
      <c r="E3765" s="5" t="s">
        <v>36</v>
      </c>
      <c r="F3765" s="5" t="s">
        <v>36</v>
      </c>
      <c r="G3765" s="6" t="s">
        <v>326</v>
      </c>
      <c r="H3765" s="4">
        <v>665.72</v>
      </c>
      <c r="I3765" s="7">
        <v>9.4</v>
      </c>
      <c r="J3765" s="3" t="s">
        <v>521</v>
      </c>
      <c r="K3765" s="9" t="s">
        <v>36</v>
      </c>
      <c r="L3765" s="6" t="s">
        <v>36</v>
      </c>
      <c r="M3765" s="3" t="s">
        <v>36</v>
      </c>
      <c r="N3765" s="3" t="s">
        <v>36</v>
      </c>
      <c r="O3765" s="8" t="s">
        <v>36</v>
      </c>
      <c r="P3765" s="3" t="s">
        <v>36</v>
      </c>
      <c r="Q3765" s="3" t="s">
        <v>36</v>
      </c>
      <c r="R3765" s="3" t="s">
        <v>36</v>
      </c>
      <c r="S3765" s="3" t="s">
        <v>36</v>
      </c>
      <c r="T3765" s="3" t="s">
        <v>4692</v>
      </c>
      <c r="U3765" s="3" t="s">
        <v>85</v>
      </c>
      <c r="V3765" s="3" t="s">
        <v>64</v>
      </c>
      <c r="W3765" s="3" t="s">
        <v>19089</v>
      </c>
      <c r="X3765" s="10" t="s">
        <v>4289</v>
      </c>
      <c r="Y3765" s="6" t="s">
        <v>42</v>
      </c>
      <c r="Z3765" s="4">
        <v>0.47</v>
      </c>
      <c r="AA3765" s="4">
        <v>4.97</v>
      </c>
      <c r="AB3765" s="3" t="s">
        <v>43</v>
      </c>
      <c r="AC3765" s="3" t="s">
        <v>19090</v>
      </c>
      <c r="AD3765" s="9">
        <v>44014</v>
      </c>
      <c r="AE3765" s="3" t="s">
        <v>89</v>
      </c>
      <c r="AF3765" s="3" t="s">
        <v>7790</v>
      </c>
      <c r="AG3765" s="3" t="s">
        <v>19091</v>
      </c>
      <c r="AH3765" s="11">
        <f>HYPERLINK("https://my.pitchbook.com?c=265847-95T","View Company Online")</f>
      </c>
    </row>
    <row r="3766">
      <c r="A3766" s="12" t="s">
        <v>19092</v>
      </c>
      <c r="B3766" s="12" t="s">
        <v>9968</v>
      </c>
      <c r="C3766" s="19">
        <v>4</v>
      </c>
      <c r="D3766" s="19">
        <v>46</v>
      </c>
      <c r="E3766" s="19">
        <v>14</v>
      </c>
      <c r="F3766" s="19">
        <v>50</v>
      </c>
      <c r="G3766" s="15" t="s">
        <v>36</v>
      </c>
      <c r="H3766" s="14" t="s">
        <v>36</v>
      </c>
      <c r="I3766" s="18" t="s">
        <v>36</v>
      </c>
      <c r="J3766" s="12" t="s">
        <v>36</v>
      </c>
      <c r="K3766" s="13">
        <v>43503</v>
      </c>
      <c r="L3766" s="15" t="s">
        <v>94</v>
      </c>
      <c r="M3766" s="12" t="s">
        <v>36</v>
      </c>
      <c r="N3766" s="12" t="s">
        <v>94</v>
      </c>
      <c r="O3766" s="17" t="s">
        <v>36</v>
      </c>
      <c r="P3766" s="12" t="s">
        <v>36</v>
      </c>
      <c r="Q3766" s="12" t="s">
        <v>36</v>
      </c>
      <c r="R3766" s="12" t="s">
        <v>36</v>
      </c>
      <c r="S3766" s="12" t="s">
        <v>36</v>
      </c>
      <c r="T3766" s="12" t="s">
        <v>9969</v>
      </c>
      <c r="U3766" s="12" t="s">
        <v>366</v>
      </c>
      <c r="V3766" s="12" t="s">
        <v>367</v>
      </c>
      <c r="W3766" s="12" t="s">
        <v>9970</v>
      </c>
      <c r="X3766" s="16" t="s">
        <v>19093</v>
      </c>
      <c r="Y3766" s="15" t="s">
        <v>108</v>
      </c>
      <c r="Z3766" s="14">
        <v>12.48</v>
      </c>
      <c r="AA3766" s="14" t="s">
        <v>36</v>
      </c>
      <c r="AB3766" s="12" t="s">
        <v>56</v>
      </c>
      <c r="AC3766" s="12" t="s">
        <v>9972</v>
      </c>
      <c r="AD3766" s="13">
        <v>44013</v>
      </c>
      <c r="AE3766" s="12" t="s">
        <v>7565</v>
      </c>
      <c r="AF3766" s="12" t="s">
        <v>9973</v>
      </c>
      <c r="AG3766" s="12" t="s">
        <v>969</v>
      </c>
      <c r="AH3766" s="1">
        <f>HYPERLINK("https://my.pitchbook.com?c=108956-98T","View Company Online")</f>
      </c>
    </row>
    <row r="3767">
      <c r="A3767" s="3" t="s">
        <v>19094</v>
      </c>
      <c r="B3767" s="3" t="s">
        <v>14521</v>
      </c>
      <c r="C3767" s="5" t="s">
        <v>36</v>
      </c>
      <c r="D3767" s="5" t="s">
        <v>36</v>
      </c>
      <c r="E3767" s="5" t="s">
        <v>36</v>
      </c>
      <c r="F3767" s="5" t="s">
        <v>36</v>
      </c>
      <c r="G3767" s="6" t="s">
        <v>36</v>
      </c>
      <c r="H3767" s="4" t="s">
        <v>36</v>
      </c>
      <c r="I3767" s="7" t="s">
        <v>36</v>
      </c>
      <c r="J3767" s="3" t="s">
        <v>36</v>
      </c>
      <c r="K3767" s="9" t="s">
        <v>36</v>
      </c>
      <c r="L3767" s="6" t="s">
        <v>36</v>
      </c>
      <c r="M3767" s="3" t="s">
        <v>36</v>
      </c>
      <c r="N3767" s="3" t="s">
        <v>36</v>
      </c>
      <c r="O3767" s="8" t="s">
        <v>36</v>
      </c>
      <c r="P3767" s="3" t="s">
        <v>36</v>
      </c>
      <c r="Q3767" s="3" t="s">
        <v>36</v>
      </c>
      <c r="R3767" s="3" t="s">
        <v>36</v>
      </c>
      <c r="S3767" s="3" t="s">
        <v>36</v>
      </c>
      <c r="T3767" s="3" t="s">
        <v>14522</v>
      </c>
      <c r="U3767" s="3" t="s">
        <v>956</v>
      </c>
      <c r="V3767" s="3" t="s">
        <v>405</v>
      </c>
      <c r="W3767" s="3" t="s">
        <v>14523</v>
      </c>
      <c r="X3767" s="10" t="s">
        <v>19095</v>
      </c>
      <c r="Y3767" s="6" t="s">
        <v>42</v>
      </c>
      <c r="Z3767" s="4">
        <v>2.03</v>
      </c>
      <c r="AA3767" s="4" t="s">
        <v>36</v>
      </c>
      <c r="AB3767" s="3" t="s">
        <v>43</v>
      </c>
      <c r="AC3767" s="3" t="s">
        <v>14525</v>
      </c>
      <c r="AD3767" s="9">
        <v>44013</v>
      </c>
      <c r="AE3767" s="3" t="s">
        <v>14526</v>
      </c>
      <c r="AF3767" s="3" t="s">
        <v>1852</v>
      </c>
      <c r="AG3767" s="3" t="s">
        <v>443</v>
      </c>
      <c r="AH3767" s="11">
        <f>HYPERLINK("https://my.pitchbook.com?c=123541-57T","View Company Online")</f>
      </c>
    </row>
    <row r="3768">
      <c r="A3768" s="12" t="s">
        <v>19096</v>
      </c>
      <c r="B3768" s="12" t="s">
        <v>9695</v>
      </c>
      <c r="C3768" s="19" t="s">
        <v>36</v>
      </c>
      <c r="D3768" s="19" t="s">
        <v>36</v>
      </c>
      <c r="E3768" s="19" t="s">
        <v>36</v>
      </c>
      <c r="F3768" s="19" t="s">
        <v>36</v>
      </c>
      <c r="G3768" s="15" t="s">
        <v>36</v>
      </c>
      <c r="H3768" s="14">
        <v>15.16</v>
      </c>
      <c r="I3768" s="18">
        <v>32.65</v>
      </c>
      <c r="J3768" s="12" t="s">
        <v>521</v>
      </c>
      <c r="K3768" s="13" t="s">
        <v>36</v>
      </c>
      <c r="L3768" s="15" t="s">
        <v>122</v>
      </c>
      <c r="M3768" s="12" t="s">
        <v>36</v>
      </c>
      <c r="N3768" s="12" t="s">
        <v>122</v>
      </c>
      <c r="O3768" s="17" t="s">
        <v>36</v>
      </c>
      <c r="P3768" s="12" t="s">
        <v>36</v>
      </c>
      <c r="Q3768" s="12" t="s">
        <v>36</v>
      </c>
      <c r="R3768" s="12" t="s">
        <v>36</v>
      </c>
      <c r="S3768" s="12" t="s">
        <v>36</v>
      </c>
      <c r="T3768" s="12" t="s">
        <v>9696</v>
      </c>
      <c r="U3768" s="12" t="s">
        <v>38</v>
      </c>
      <c r="V3768" s="12" t="s">
        <v>39</v>
      </c>
      <c r="W3768" s="12" t="s">
        <v>9697</v>
      </c>
      <c r="X3768" s="16" t="s">
        <v>19097</v>
      </c>
      <c r="Y3768" s="15" t="s">
        <v>42</v>
      </c>
      <c r="Z3768" s="14">
        <v>1.8</v>
      </c>
      <c r="AA3768" s="14">
        <v>2.76</v>
      </c>
      <c r="AB3768" s="12" t="s">
        <v>43</v>
      </c>
      <c r="AC3768" s="12" t="s">
        <v>9699</v>
      </c>
      <c r="AD3768" s="13">
        <v>44013</v>
      </c>
      <c r="AE3768" s="12" t="s">
        <v>110</v>
      </c>
      <c r="AF3768" s="12" t="s">
        <v>1115</v>
      </c>
      <c r="AG3768" s="12" t="s">
        <v>1078</v>
      </c>
      <c r="AH3768" s="1">
        <f>HYPERLINK("https://my.pitchbook.com?c=139172-14T","View Company Online")</f>
      </c>
    </row>
    <row r="3769">
      <c r="A3769" s="3" t="s">
        <v>19098</v>
      </c>
      <c r="B3769" s="3" t="s">
        <v>19099</v>
      </c>
      <c r="C3769" s="5" t="s">
        <v>36</v>
      </c>
      <c r="D3769" s="5" t="s">
        <v>36</v>
      </c>
      <c r="E3769" s="5" t="s">
        <v>36</v>
      </c>
      <c r="F3769" s="5" t="s">
        <v>36</v>
      </c>
      <c r="G3769" s="6" t="s">
        <v>36</v>
      </c>
      <c r="H3769" s="4">
        <v>1.69</v>
      </c>
      <c r="I3769" s="7">
        <v>16.55</v>
      </c>
      <c r="J3769" s="3" t="s">
        <v>521</v>
      </c>
      <c r="K3769" s="9" t="s">
        <v>36</v>
      </c>
      <c r="L3769" s="6" t="s">
        <v>36</v>
      </c>
      <c r="M3769" s="3" t="s">
        <v>36</v>
      </c>
      <c r="N3769" s="3" t="s">
        <v>36</v>
      </c>
      <c r="O3769" s="8" t="s">
        <v>36</v>
      </c>
      <c r="P3769" s="3" t="s">
        <v>36</v>
      </c>
      <c r="Q3769" s="3" t="s">
        <v>36</v>
      </c>
      <c r="R3769" s="3" t="s">
        <v>36</v>
      </c>
      <c r="S3769" s="3" t="s">
        <v>36</v>
      </c>
      <c r="T3769" s="3" t="s">
        <v>3270</v>
      </c>
      <c r="U3769" s="3" t="s">
        <v>1336</v>
      </c>
      <c r="V3769" s="3" t="s">
        <v>367</v>
      </c>
      <c r="W3769" s="3" t="s">
        <v>19100</v>
      </c>
      <c r="X3769" s="10" t="s">
        <v>19101</v>
      </c>
      <c r="Y3769" s="6" t="s">
        <v>321</v>
      </c>
      <c r="Z3769" s="4">
        <v>1.24</v>
      </c>
      <c r="AA3769" s="4">
        <v>7.46</v>
      </c>
      <c r="AB3769" s="3" t="s">
        <v>56</v>
      </c>
      <c r="AC3769" s="3" t="s">
        <v>19102</v>
      </c>
      <c r="AD3769" s="9">
        <v>44013</v>
      </c>
      <c r="AE3769" s="3" t="s">
        <v>2464</v>
      </c>
      <c r="AF3769" s="3" t="s">
        <v>982</v>
      </c>
      <c r="AG3769" s="3" t="s">
        <v>144</v>
      </c>
      <c r="AH3769" s="11">
        <f>HYPERLINK("https://my.pitchbook.com?c=156135-43T","View Company Online")</f>
      </c>
    </row>
    <row r="3770">
      <c r="A3770" s="12" t="s">
        <v>19103</v>
      </c>
      <c r="B3770" s="12" t="s">
        <v>11794</v>
      </c>
      <c r="C3770" s="19" t="s">
        <v>36</v>
      </c>
      <c r="D3770" s="19" t="s">
        <v>36</v>
      </c>
      <c r="E3770" s="19" t="s">
        <v>36</v>
      </c>
      <c r="F3770" s="19" t="s">
        <v>36</v>
      </c>
      <c r="G3770" s="15" t="s">
        <v>36</v>
      </c>
      <c r="H3770" s="14">
        <v>68.35</v>
      </c>
      <c r="I3770" s="18">
        <v>23.9</v>
      </c>
      <c r="J3770" s="12" t="s">
        <v>521</v>
      </c>
      <c r="K3770" s="13" t="s">
        <v>36</v>
      </c>
      <c r="L3770" s="15" t="s">
        <v>122</v>
      </c>
      <c r="M3770" s="12" t="s">
        <v>36</v>
      </c>
      <c r="N3770" s="12" t="s">
        <v>122</v>
      </c>
      <c r="O3770" s="17" t="s">
        <v>36</v>
      </c>
      <c r="P3770" s="12" t="s">
        <v>36</v>
      </c>
      <c r="Q3770" s="12" t="s">
        <v>36</v>
      </c>
      <c r="R3770" s="12" t="s">
        <v>36</v>
      </c>
      <c r="S3770" s="12" t="s">
        <v>36</v>
      </c>
      <c r="T3770" s="12" t="s">
        <v>11795</v>
      </c>
      <c r="U3770" s="12" t="s">
        <v>438</v>
      </c>
      <c r="V3770" s="12" t="s">
        <v>405</v>
      </c>
      <c r="W3770" s="12" t="s">
        <v>11796</v>
      </c>
      <c r="X3770" s="16" t="s">
        <v>19104</v>
      </c>
      <c r="Y3770" s="15" t="s">
        <v>108</v>
      </c>
      <c r="Z3770" s="14">
        <v>5.63</v>
      </c>
      <c r="AA3770" s="14">
        <v>11.77</v>
      </c>
      <c r="AB3770" s="12" t="s">
        <v>43</v>
      </c>
      <c r="AC3770" s="12" t="s">
        <v>11798</v>
      </c>
      <c r="AD3770" s="13">
        <v>44013</v>
      </c>
      <c r="AE3770" s="12" t="s">
        <v>10018</v>
      </c>
      <c r="AF3770" s="12" t="s">
        <v>11799</v>
      </c>
      <c r="AG3770" s="12" t="s">
        <v>81</v>
      </c>
      <c r="AH3770" s="1">
        <f>HYPERLINK("https://my.pitchbook.com?c=139009-69T","View Company Online")</f>
      </c>
    </row>
    <row r="3771">
      <c r="A3771" s="3" t="s">
        <v>19105</v>
      </c>
      <c r="B3771" s="3" t="s">
        <v>7322</v>
      </c>
      <c r="C3771" s="5" t="s">
        <v>36</v>
      </c>
      <c r="D3771" s="5" t="s">
        <v>36</v>
      </c>
      <c r="E3771" s="5" t="s">
        <v>36</v>
      </c>
      <c r="F3771" s="5" t="s">
        <v>36</v>
      </c>
      <c r="G3771" s="6" t="s">
        <v>36</v>
      </c>
      <c r="H3771" s="4" t="s">
        <v>36</v>
      </c>
      <c r="I3771" s="7">
        <v>34.63</v>
      </c>
      <c r="J3771" s="3" t="s">
        <v>327</v>
      </c>
      <c r="K3771" s="9" t="s">
        <v>36</v>
      </c>
      <c r="L3771" s="6" t="s">
        <v>122</v>
      </c>
      <c r="M3771" s="3" t="s">
        <v>36</v>
      </c>
      <c r="N3771" s="3" t="s">
        <v>122</v>
      </c>
      <c r="O3771" s="8" t="s">
        <v>36</v>
      </c>
      <c r="P3771" s="3" t="s">
        <v>36</v>
      </c>
      <c r="Q3771" s="3" t="s">
        <v>36</v>
      </c>
      <c r="R3771" s="3" t="s">
        <v>36</v>
      </c>
      <c r="S3771" s="3" t="s">
        <v>36</v>
      </c>
      <c r="T3771" s="3" t="s">
        <v>189</v>
      </c>
      <c r="U3771" s="3" t="s">
        <v>180</v>
      </c>
      <c r="V3771" s="3" t="s">
        <v>52</v>
      </c>
      <c r="W3771" s="3" t="s">
        <v>7323</v>
      </c>
      <c r="X3771" s="10" t="s">
        <v>19106</v>
      </c>
      <c r="Y3771" s="6" t="s">
        <v>108</v>
      </c>
      <c r="Z3771" s="4">
        <v>8.44</v>
      </c>
      <c r="AA3771" s="4">
        <v>24.37</v>
      </c>
      <c r="AB3771" s="3" t="s">
        <v>43</v>
      </c>
      <c r="AC3771" s="3" t="s">
        <v>7325</v>
      </c>
      <c r="AD3771" s="9">
        <v>44013</v>
      </c>
      <c r="AE3771" s="3" t="s">
        <v>184</v>
      </c>
      <c r="AF3771" s="3" t="s">
        <v>7326</v>
      </c>
      <c r="AG3771" s="3" t="s">
        <v>7327</v>
      </c>
      <c r="AH3771" s="11">
        <f>HYPERLINK("https://my.pitchbook.com?c=156604-69T","View Company Online")</f>
      </c>
    </row>
    <row r="3772">
      <c r="A3772" s="12" t="s">
        <v>19107</v>
      </c>
      <c r="B3772" s="12" t="s">
        <v>19108</v>
      </c>
      <c r="C3772" s="19" t="s">
        <v>36</v>
      </c>
      <c r="D3772" s="19" t="s">
        <v>36</v>
      </c>
      <c r="E3772" s="19" t="s">
        <v>36</v>
      </c>
      <c r="F3772" s="19" t="s">
        <v>36</v>
      </c>
      <c r="G3772" s="15" t="s">
        <v>36</v>
      </c>
      <c r="H3772" s="14">
        <v>13.9</v>
      </c>
      <c r="I3772" s="18">
        <v>28.03</v>
      </c>
      <c r="J3772" s="12" t="s">
        <v>521</v>
      </c>
      <c r="K3772" s="13" t="s">
        <v>36</v>
      </c>
      <c r="L3772" s="15" t="s">
        <v>36</v>
      </c>
      <c r="M3772" s="12" t="s">
        <v>36</v>
      </c>
      <c r="N3772" s="12" t="s">
        <v>36</v>
      </c>
      <c r="O3772" s="17" t="s">
        <v>36</v>
      </c>
      <c r="P3772" s="12" t="s">
        <v>36</v>
      </c>
      <c r="Q3772" s="12" t="s">
        <v>36</v>
      </c>
      <c r="R3772" s="12" t="s">
        <v>36</v>
      </c>
      <c r="S3772" s="12" t="s">
        <v>36</v>
      </c>
      <c r="T3772" s="12" t="s">
        <v>19109</v>
      </c>
      <c r="U3772" s="12" t="s">
        <v>833</v>
      </c>
      <c r="V3772" s="12" t="s">
        <v>64</v>
      </c>
      <c r="W3772" s="12" t="s">
        <v>19110</v>
      </c>
      <c r="X3772" s="16" t="s">
        <v>6022</v>
      </c>
      <c r="Y3772" s="15" t="s">
        <v>108</v>
      </c>
      <c r="Z3772" s="14">
        <v>5.81</v>
      </c>
      <c r="AA3772" s="14">
        <v>20.4</v>
      </c>
      <c r="AB3772" s="12" t="s">
        <v>43</v>
      </c>
      <c r="AC3772" s="12" t="s">
        <v>19111</v>
      </c>
      <c r="AD3772" s="13">
        <v>44013</v>
      </c>
      <c r="AE3772" s="12" t="s">
        <v>3615</v>
      </c>
      <c r="AF3772" s="12" t="s">
        <v>90</v>
      </c>
      <c r="AG3772" s="12" t="s">
        <v>81</v>
      </c>
      <c r="AH3772" s="1">
        <f>HYPERLINK("https://my.pitchbook.com?c=154986-49T","View Company Online")</f>
      </c>
    </row>
    <row r="3773">
      <c r="A3773" s="3" t="s">
        <v>19112</v>
      </c>
      <c r="B3773" s="3" t="s">
        <v>9158</v>
      </c>
      <c r="C3773" s="5" t="s">
        <v>36</v>
      </c>
      <c r="D3773" s="5" t="s">
        <v>36</v>
      </c>
      <c r="E3773" s="5" t="s">
        <v>36</v>
      </c>
      <c r="F3773" s="5" t="s">
        <v>36</v>
      </c>
      <c r="G3773" s="6" t="s">
        <v>36</v>
      </c>
      <c r="H3773" s="4">
        <v>25.07</v>
      </c>
      <c r="I3773" s="7">
        <v>29.29</v>
      </c>
      <c r="J3773" s="3" t="s">
        <v>521</v>
      </c>
      <c r="K3773" s="9" t="s">
        <v>36</v>
      </c>
      <c r="L3773" s="6" t="s">
        <v>36</v>
      </c>
      <c r="M3773" s="3" t="s">
        <v>36</v>
      </c>
      <c r="N3773" s="3" t="s">
        <v>36</v>
      </c>
      <c r="O3773" s="8" t="s">
        <v>36</v>
      </c>
      <c r="P3773" s="3" t="s">
        <v>36</v>
      </c>
      <c r="Q3773" s="3" t="s">
        <v>36</v>
      </c>
      <c r="R3773" s="3" t="s">
        <v>36</v>
      </c>
      <c r="S3773" s="3" t="s">
        <v>36</v>
      </c>
      <c r="T3773" s="3" t="s">
        <v>9159</v>
      </c>
      <c r="U3773" s="3" t="s">
        <v>74</v>
      </c>
      <c r="V3773" s="3" t="s">
        <v>75</v>
      </c>
      <c r="W3773" s="3" t="s">
        <v>9160</v>
      </c>
      <c r="X3773" s="10" t="s">
        <v>19113</v>
      </c>
      <c r="Y3773" s="6" t="s">
        <v>42</v>
      </c>
      <c r="Z3773" s="4">
        <v>1.13</v>
      </c>
      <c r="AA3773" s="4">
        <v>3.9</v>
      </c>
      <c r="AB3773" s="3" t="s">
        <v>43</v>
      </c>
      <c r="AC3773" s="3" t="s">
        <v>9162</v>
      </c>
      <c r="AD3773" s="9">
        <v>44013</v>
      </c>
      <c r="AE3773" s="3" t="s">
        <v>3144</v>
      </c>
      <c r="AF3773" s="3" t="s">
        <v>36</v>
      </c>
      <c r="AG3773" s="3" t="s">
        <v>347</v>
      </c>
      <c r="AH3773" s="11">
        <f>HYPERLINK("https://my.pitchbook.com?c=219690-46T","View Company Online")</f>
      </c>
    </row>
    <row r="3774">
      <c r="A3774" s="12" t="s">
        <v>19114</v>
      </c>
      <c r="B3774" s="12" t="s">
        <v>19115</v>
      </c>
      <c r="C3774" s="19" t="s">
        <v>36</v>
      </c>
      <c r="D3774" s="19" t="s">
        <v>36</v>
      </c>
      <c r="E3774" s="19" t="s">
        <v>36</v>
      </c>
      <c r="F3774" s="19" t="s">
        <v>36</v>
      </c>
      <c r="G3774" s="15" t="s">
        <v>36</v>
      </c>
      <c r="H3774" s="14" t="s">
        <v>36</v>
      </c>
      <c r="I3774" s="18" t="s">
        <v>36</v>
      </c>
      <c r="J3774" s="12" t="s">
        <v>36</v>
      </c>
      <c r="K3774" s="13" t="s">
        <v>36</v>
      </c>
      <c r="L3774" s="15" t="s">
        <v>122</v>
      </c>
      <c r="M3774" s="12" t="s">
        <v>36</v>
      </c>
      <c r="N3774" s="12" t="s">
        <v>122</v>
      </c>
      <c r="O3774" s="17" t="s">
        <v>36</v>
      </c>
      <c r="P3774" s="12" t="s">
        <v>36</v>
      </c>
      <c r="Q3774" s="12" t="s">
        <v>36</v>
      </c>
      <c r="R3774" s="12" t="s">
        <v>36</v>
      </c>
      <c r="S3774" s="12" t="s">
        <v>36</v>
      </c>
      <c r="T3774" s="12" t="s">
        <v>19116</v>
      </c>
      <c r="U3774" s="12" t="s">
        <v>38</v>
      </c>
      <c r="V3774" s="12" t="s">
        <v>39</v>
      </c>
      <c r="W3774" s="12" t="s">
        <v>19117</v>
      </c>
      <c r="X3774" s="16" t="s">
        <v>19118</v>
      </c>
      <c r="Y3774" s="15" t="s">
        <v>108</v>
      </c>
      <c r="Z3774" s="14">
        <v>2.81</v>
      </c>
      <c r="AA3774" s="14" t="s">
        <v>36</v>
      </c>
      <c r="AB3774" s="12" t="s">
        <v>43</v>
      </c>
      <c r="AC3774" s="12" t="s">
        <v>19119</v>
      </c>
      <c r="AD3774" s="13">
        <v>44013</v>
      </c>
      <c r="AE3774" s="12" t="s">
        <v>554</v>
      </c>
      <c r="AF3774" s="12" t="s">
        <v>5769</v>
      </c>
      <c r="AG3774" s="12" t="s">
        <v>899</v>
      </c>
      <c r="AH3774" s="1">
        <f>HYPERLINK("https://my.pitchbook.com?c=119609-20T","View Company Online")</f>
      </c>
    </row>
    <row r="3775">
      <c r="A3775" s="3" t="s">
        <v>19120</v>
      </c>
      <c r="B3775" s="3" t="s">
        <v>19121</v>
      </c>
      <c r="C3775" s="5" t="s">
        <v>36</v>
      </c>
      <c r="D3775" s="5" t="s">
        <v>36</v>
      </c>
      <c r="E3775" s="5" t="s">
        <v>36</v>
      </c>
      <c r="F3775" s="5" t="s">
        <v>36</v>
      </c>
      <c r="G3775" s="6" t="s">
        <v>36</v>
      </c>
      <c r="H3775" s="4" t="s">
        <v>36</v>
      </c>
      <c r="I3775" s="7" t="s">
        <v>36</v>
      </c>
      <c r="J3775" s="3" t="s">
        <v>36</v>
      </c>
      <c r="K3775" s="9" t="s">
        <v>36</v>
      </c>
      <c r="L3775" s="6" t="s">
        <v>36</v>
      </c>
      <c r="M3775" s="3" t="s">
        <v>36</v>
      </c>
      <c r="N3775" s="3" t="s">
        <v>36</v>
      </c>
      <c r="O3775" s="8" t="s">
        <v>36</v>
      </c>
      <c r="P3775" s="3" t="s">
        <v>36</v>
      </c>
      <c r="Q3775" s="3" t="s">
        <v>36</v>
      </c>
      <c r="R3775" s="3" t="s">
        <v>36</v>
      </c>
      <c r="S3775" s="3" t="s">
        <v>36</v>
      </c>
      <c r="T3775" s="3" t="s">
        <v>3996</v>
      </c>
      <c r="U3775" s="3" t="s">
        <v>74</v>
      </c>
      <c r="V3775" s="3" t="s">
        <v>75</v>
      </c>
      <c r="W3775" s="3" t="s">
        <v>19122</v>
      </c>
      <c r="X3775" s="10" t="s">
        <v>10226</v>
      </c>
      <c r="Y3775" s="6" t="s">
        <v>42</v>
      </c>
      <c r="Z3775" s="4" t="s">
        <v>36</v>
      </c>
      <c r="AA3775" s="4" t="s">
        <v>36</v>
      </c>
      <c r="AB3775" s="3" t="s">
        <v>43</v>
      </c>
      <c r="AC3775" s="3" t="s">
        <v>19123</v>
      </c>
      <c r="AD3775" s="9">
        <v>44013</v>
      </c>
      <c r="AE3775" s="3" t="s">
        <v>79</v>
      </c>
      <c r="AF3775" s="3" t="s">
        <v>3904</v>
      </c>
      <c r="AG3775" s="3" t="s">
        <v>81</v>
      </c>
      <c r="AH3775" s="11">
        <f>HYPERLINK("https://my.pitchbook.com?c=139273-39T","View Company Online")</f>
      </c>
    </row>
    <row r="3776">
      <c r="A3776" s="12" t="s">
        <v>19124</v>
      </c>
      <c r="B3776" s="12" t="s">
        <v>19125</v>
      </c>
      <c r="C3776" s="19" t="s">
        <v>36</v>
      </c>
      <c r="D3776" s="19" t="s">
        <v>36</v>
      </c>
      <c r="E3776" s="19" t="s">
        <v>36</v>
      </c>
      <c r="F3776" s="19" t="s">
        <v>36</v>
      </c>
      <c r="G3776" s="15" t="s">
        <v>36</v>
      </c>
      <c r="H3776" s="14" t="s">
        <v>36</v>
      </c>
      <c r="I3776" s="18" t="s">
        <v>36</v>
      </c>
      <c r="J3776" s="12" t="s">
        <v>36</v>
      </c>
      <c r="K3776" s="13" t="s">
        <v>36</v>
      </c>
      <c r="L3776" s="15" t="s">
        <v>36</v>
      </c>
      <c r="M3776" s="12" t="s">
        <v>36</v>
      </c>
      <c r="N3776" s="12" t="s">
        <v>36</v>
      </c>
      <c r="O3776" s="17" t="s">
        <v>36</v>
      </c>
      <c r="P3776" s="12" t="s">
        <v>36</v>
      </c>
      <c r="Q3776" s="12" t="s">
        <v>36</v>
      </c>
      <c r="R3776" s="12" t="s">
        <v>36</v>
      </c>
      <c r="S3776" s="12" t="s">
        <v>36</v>
      </c>
      <c r="T3776" s="12" t="s">
        <v>19126</v>
      </c>
      <c r="U3776" s="12" t="s">
        <v>38</v>
      </c>
      <c r="V3776" s="12" t="s">
        <v>39</v>
      </c>
      <c r="W3776" s="12" t="s">
        <v>19127</v>
      </c>
      <c r="X3776" s="16" t="s">
        <v>19128</v>
      </c>
      <c r="Y3776" s="15" t="s">
        <v>42</v>
      </c>
      <c r="Z3776" s="14" t="s">
        <v>36</v>
      </c>
      <c r="AA3776" s="14" t="s">
        <v>36</v>
      </c>
      <c r="AB3776" s="12" t="s">
        <v>43</v>
      </c>
      <c r="AC3776" s="12" t="s">
        <v>19129</v>
      </c>
      <c r="AD3776" s="13">
        <v>44013</v>
      </c>
      <c r="AE3776" s="12" t="s">
        <v>110</v>
      </c>
      <c r="AF3776" s="12" t="s">
        <v>36</v>
      </c>
      <c r="AG3776" s="12" t="s">
        <v>81</v>
      </c>
      <c r="AH3776" s="1">
        <f>HYPERLINK("https://my.pitchbook.com?c=140512-06T","View Company Online")</f>
      </c>
    </row>
    <row r="3777">
      <c r="A3777" s="3" t="s">
        <v>19130</v>
      </c>
      <c r="B3777" s="3" t="s">
        <v>15723</v>
      </c>
      <c r="C3777" s="5" t="s">
        <v>36</v>
      </c>
      <c r="D3777" s="5" t="s">
        <v>36</v>
      </c>
      <c r="E3777" s="5" t="s">
        <v>36</v>
      </c>
      <c r="F3777" s="5" t="s">
        <v>36</v>
      </c>
      <c r="G3777" s="6" t="s">
        <v>36</v>
      </c>
      <c r="H3777" s="4" t="s">
        <v>36</v>
      </c>
      <c r="I3777" s="7" t="s">
        <v>36</v>
      </c>
      <c r="J3777" s="3" t="s">
        <v>36</v>
      </c>
      <c r="K3777" s="9" t="s">
        <v>36</v>
      </c>
      <c r="L3777" s="6" t="s">
        <v>36</v>
      </c>
      <c r="M3777" s="3" t="s">
        <v>36</v>
      </c>
      <c r="N3777" s="3" t="s">
        <v>36</v>
      </c>
      <c r="O3777" s="8" t="s">
        <v>36</v>
      </c>
      <c r="P3777" s="3" t="s">
        <v>36</v>
      </c>
      <c r="Q3777" s="3" t="s">
        <v>36</v>
      </c>
      <c r="R3777" s="3" t="s">
        <v>36</v>
      </c>
      <c r="S3777" s="3" t="s">
        <v>36</v>
      </c>
      <c r="T3777" s="3" t="s">
        <v>15724</v>
      </c>
      <c r="U3777" s="3" t="s">
        <v>51</v>
      </c>
      <c r="V3777" s="3" t="s">
        <v>52</v>
      </c>
      <c r="W3777" s="3" t="s">
        <v>15725</v>
      </c>
      <c r="X3777" s="10" t="s">
        <v>730</v>
      </c>
      <c r="Y3777" s="6" t="s">
        <v>42</v>
      </c>
      <c r="Z3777" s="4">
        <v>2.25</v>
      </c>
      <c r="AA3777" s="4" t="s">
        <v>36</v>
      </c>
      <c r="AB3777" s="3" t="s">
        <v>43</v>
      </c>
      <c r="AC3777" s="3" t="s">
        <v>15727</v>
      </c>
      <c r="AD3777" s="9">
        <v>44013</v>
      </c>
      <c r="AE3777" s="3" t="s">
        <v>6868</v>
      </c>
      <c r="AF3777" s="3" t="s">
        <v>36</v>
      </c>
      <c r="AG3777" s="3" t="s">
        <v>15728</v>
      </c>
      <c r="AH3777" s="11">
        <f>HYPERLINK("https://my.pitchbook.com?c=188311-42T","View Company Online")</f>
      </c>
    </row>
    <row r="3778">
      <c r="A3778" s="12" t="s">
        <v>19131</v>
      </c>
      <c r="B3778" s="12" t="s">
        <v>19132</v>
      </c>
      <c r="C3778" s="19" t="s">
        <v>36</v>
      </c>
      <c r="D3778" s="19" t="s">
        <v>36</v>
      </c>
      <c r="E3778" s="19" t="s">
        <v>36</v>
      </c>
      <c r="F3778" s="19" t="s">
        <v>36</v>
      </c>
      <c r="G3778" s="15" t="s">
        <v>36</v>
      </c>
      <c r="H3778" s="14">
        <v>83.63</v>
      </c>
      <c r="I3778" s="18">
        <v>13.44</v>
      </c>
      <c r="J3778" s="12" t="s">
        <v>521</v>
      </c>
      <c r="K3778" s="13" t="s">
        <v>36</v>
      </c>
      <c r="L3778" s="15" t="s">
        <v>36</v>
      </c>
      <c r="M3778" s="12" t="s">
        <v>36</v>
      </c>
      <c r="N3778" s="12" t="s">
        <v>36</v>
      </c>
      <c r="O3778" s="17" t="s">
        <v>36</v>
      </c>
      <c r="P3778" s="12" t="s">
        <v>36</v>
      </c>
      <c r="Q3778" s="12" t="s">
        <v>36</v>
      </c>
      <c r="R3778" s="12" t="s">
        <v>36</v>
      </c>
      <c r="S3778" s="12" t="s">
        <v>36</v>
      </c>
      <c r="T3778" s="12" t="s">
        <v>19133</v>
      </c>
      <c r="U3778" s="12" t="s">
        <v>219</v>
      </c>
      <c r="V3778" s="12" t="s">
        <v>75</v>
      </c>
      <c r="W3778" s="12" t="s">
        <v>19134</v>
      </c>
      <c r="X3778" s="16" t="s">
        <v>13436</v>
      </c>
      <c r="Y3778" s="15" t="s">
        <v>42</v>
      </c>
      <c r="Z3778" s="14">
        <v>0.11</v>
      </c>
      <c r="AA3778" s="14">
        <v>0.84</v>
      </c>
      <c r="AB3778" s="12" t="s">
        <v>43</v>
      </c>
      <c r="AC3778" s="12" t="s">
        <v>19135</v>
      </c>
      <c r="AD3778" s="13">
        <v>44013</v>
      </c>
      <c r="AE3778" s="12" t="s">
        <v>1032</v>
      </c>
      <c r="AF3778" s="12" t="s">
        <v>1969</v>
      </c>
      <c r="AG3778" s="12" t="s">
        <v>18664</v>
      </c>
      <c r="AH3778" s="1">
        <f>HYPERLINK("https://my.pitchbook.com?c=167621-77T","View Company Online")</f>
      </c>
    </row>
    <row r="3779">
      <c r="A3779" s="3" t="s">
        <v>19136</v>
      </c>
      <c r="B3779" s="3" t="s">
        <v>19137</v>
      </c>
      <c r="C3779" s="5" t="s">
        <v>36</v>
      </c>
      <c r="D3779" s="5" t="s">
        <v>36</v>
      </c>
      <c r="E3779" s="5" t="s">
        <v>36</v>
      </c>
      <c r="F3779" s="5" t="s">
        <v>36</v>
      </c>
      <c r="G3779" s="6" t="s">
        <v>36</v>
      </c>
      <c r="H3779" s="4">
        <v>2.77</v>
      </c>
      <c r="I3779" s="7">
        <v>19.91</v>
      </c>
      <c r="J3779" s="3" t="s">
        <v>521</v>
      </c>
      <c r="K3779" s="9" t="s">
        <v>36</v>
      </c>
      <c r="L3779" s="6" t="s">
        <v>122</v>
      </c>
      <c r="M3779" s="3" t="s">
        <v>36</v>
      </c>
      <c r="N3779" s="3" t="s">
        <v>122</v>
      </c>
      <c r="O3779" s="8" t="s">
        <v>36</v>
      </c>
      <c r="P3779" s="3" t="s">
        <v>36</v>
      </c>
      <c r="Q3779" s="3" t="s">
        <v>36</v>
      </c>
      <c r="R3779" s="3" t="s">
        <v>36</v>
      </c>
      <c r="S3779" s="3" t="s">
        <v>36</v>
      </c>
      <c r="T3779" s="3" t="s">
        <v>19138</v>
      </c>
      <c r="U3779" s="3" t="s">
        <v>38</v>
      </c>
      <c r="V3779" s="3" t="s">
        <v>39</v>
      </c>
      <c r="W3779" s="3" t="s">
        <v>19139</v>
      </c>
      <c r="X3779" s="10" t="s">
        <v>19140</v>
      </c>
      <c r="Y3779" s="6" t="s">
        <v>42</v>
      </c>
      <c r="Z3779" s="4">
        <v>1.12</v>
      </c>
      <c r="AA3779" s="4">
        <v>5.63</v>
      </c>
      <c r="AB3779" s="3" t="s">
        <v>43</v>
      </c>
      <c r="AC3779" s="3" t="s">
        <v>19141</v>
      </c>
      <c r="AD3779" s="9">
        <v>44013</v>
      </c>
      <c r="AE3779" s="3" t="s">
        <v>110</v>
      </c>
      <c r="AF3779" s="3" t="s">
        <v>275</v>
      </c>
      <c r="AG3779" s="3" t="s">
        <v>81</v>
      </c>
      <c r="AH3779" s="11">
        <f>HYPERLINK("https://my.pitchbook.com?c=155735-47T","View Company Online")</f>
      </c>
    </row>
    <row r="3780">
      <c r="A3780" s="12" t="s">
        <v>19142</v>
      </c>
      <c r="B3780" s="12" t="s">
        <v>19143</v>
      </c>
      <c r="C3780" s="19" t="s">
        <v>36</v>
      </c>
      <c r="D3780" s="19">
        <v>2</v>
      </c>
      <c r="E3780" s="19">
        <v>1</v>
      </c>
      <c r="F3780" s="19">
        <v>2</v>
      </c>
      <c r="G3780" s="15" t="s">
        <v>36</v>
      </c>
      <c r="H3780" s="14">
        <v>2080.83</v>
      </c>
      <c r="I3780" s="18">
        <v>16.07</v>
      </c>
      <c r="J3780" s="12" t="s">
        <v>521</v>
      </c>
      <c r="K3780" s="13" t="s">
        <v>36</v>
      </c>
      <c r="L3780" s="15" t="s">
        <v>36</v>
      </c>
      <c r="M3780" s="12" t="s">
        <v>36</v>
      </c>
      <c r="N3780" s="12" t="s">
        <v>36</v>
      </c>
      <c r="O3780" s="17" t="s">
        <v>36</v>
      </c>
      <c r="P3780" s="12" t="s">
        <v>36</v>
      </c>
      <c r="Q3780" s="12" t="s">
        <v>36</v>
      </c>
      <c r="R3780" s="12" t="s">
        <v>36</v>
      </c>
      <c r="S3780" s="12" t="s">
        <v>36</v>
      </c>
      <c r="T3780" s="12" t="s">
        <v>197</v>
      </c>
      <c r="U3780" s="12" t="s">
        <v>38</v>
      </c>
      <c r="V3780" s="12" t="s">
        <v>39</v>
      </c>
      <c r="W3780" s="12" t="s">
        <v>19144</v>
      </c>
      <c r="X3780" s="16" t="s">
        <v>19145</v>
      </c>
      <c r="Y3780" s="15" t="s">
        <v>42</v>
      </c>
      <c r="Z3780" s="14">
        <v>0.48</v>
      </c>
      <c r="AA3780" s="14">
        <v>3.02</v>
      </c>
      <c r="AB3780" s="12" t="s">
        <v>56</v>
      </c>
      <c r="AC3780" s="12" t="s">
        <v>19146</v>
      </c>
      <c r="AD3780" s="13">
        <v>44013</v>
      </c>
      <c r="AE3780" s="12" t="s">
        <v>110</v>
      </c>
      <c r="AF3780" s="12" t="s">
        <v>4552</v>
      </c>
      <c r="AG3780" s="12" t="s">
        <v>19147</v>
      </c>
      <c r="AH3780" s="1">
        <f>HYPERLINK("https://my.pitchbook.com?c=164815-84T","View Company Online")</f>
      </c>
    </row>
    <row r="3781">
      <c r="A3781" s="3" t="s">
        <v>19148</v>
      </c>
      <c r="B3781" s="3" t="s">
        <v>19149</v>
      </c>
      <c r="C3781" s="5">
        <v>2</v>
      </c>
      <c r="D3781" s="5">
        <v>10</v>
      </c>
      <c r="E3781" s="5">
        <v>3</v>
      </c>
      <c r="F3781" s="5">
        <v>13</v>
      </c>
      <c r="G3781" s="6" t="s">
        <v>36</v>
      </c>
      <c r="H3781" s="4">
        <v>372.94</v>
      </c>
      <c r="I3781" s="7">
        <v>6.9</v>
      </c>
      <c r="J3781" s="3" t="s">
        <v>521</v>
      </c>
      <c r="K3781" s="9" t="s">
        <v>36</v>
      </c>
      <c r="L3781" s="6" t="s">
        <v>36</v>
      </c>
      <c r="M3781" s="3" t="s">
        <v>36</v>
      </c>
      <c r="N3781" s="3" t="s">
        <v>36</v>
      </c>
      <c r="O3781" s="8" t="s">
        <v>36</v>
      </c>
      <c r="P3781" s="3" t="s">
        <v>36</v>
      </c>
      <c r="Q3781" s="3" t="s">
        <v>36</v>
      </c>
      <c r="R3781" s="3" t="s">
        <v>36</v>
      </c>
      <c r="S3781" s="3" t="s">
        <v>36</v>
      </c>
      <c r="T3781" s="3" t="s">
        <v>881</v>
      </c>
      <c r="U3781" s="3" t="s">
        <v>51</v>
      </c>
      <c r="V3781" s="3" t="s">
        <v>52</v>
      </c>
      <c r="W3781" s="3" t="s">
        <v>19150</v>
      </c>
      <c r="X3781" s="10" t="s">
        <v>19151</v>
      </c>
      <c r="Y3781" s="6" t="s">
        <v>42</v>
      </c>
      <c r="Z3781" s="4">
        <v>0.44</v>
      </c>
      <c r="AA3781" s="4">
        <v>6.44</v>
      </c>
      <c r="AB3781" s="3" t="s">
        <v>56</v>
      </c>
      <c r="AC3781" s="3" t="s">
        <v>19152</v>
      </c>
      <c r="AD3781" s="9">
        <v>44012</v>
      </c>
      <c r="AE3781" s="3" t="s">
        <v>504</v>
      </c>
      <c r="AF3781" s="3" t="s">
        <v>13896</v>
      </c>
      <c r="AG3781" s="3" t="s">
        <v>19153</v>
      </c>
      <c r="AH3781" s="11">
        <f>HYPERLINK("https://my.pitchbook.com?c=168523-66T","View Company Online")</f>
      </c>
    </row>
    <row r="3782">
      <c r="A3782" s="12" t="s">
        <v>19154</v>
      </c>
      <c r="B3782" s="12" t="s">
        <v>6070</v>
      </c>
      <c r="C3782" s="19" t="s">
        <v>36</v>
      </c>
      <c r="D3782" s="19">
        <v>10</v>
      </c>
      <c r="E3782" s="19">
        <v>1</v>
      </c>
      <c r="F3782" s="19">
        <v>10</v>
      </c>
      <c r="G3782" s="15" t="s">
        <v>36</v>
      </c>
      <c r="H3782" s="14">
        <v>521.36</v>
      </c>
      <c r="I3782" s="18">
        <v>23.75</v>
      </c>
      <c r="J3782" s="12" t="s">
        <v>521</v>
      </c>
      <c r="K3782" s="13" t="s">
        <v>36</v>
      </c>
      <c r="L3782" s="15" t="s">
        <v>36</v>
      </c>
      <c r="M3782" s="12" t="s">
        <v>36</v>
      </c>
      <c r="N3782" s="12" t="s">
        <v>36</v>
      </c>
      <c r="O3782" s="17" t="s">
        <v>36</v>
      </c>
      <c r="P3782" s="12" t="s">
        <v>36</v>
      </c>
      <c r="Q3782" s="12" t="s">
        <v>36</v>
      </c>
      <c r="R3782" s="12" t="s">
        <v>36</v>
      </c>
      <c r="S3782" s="12" t="s">
        <v>36</v>
      </c>
      <c r="T3782" s="12" t="s">
        <v>6071</v>
      </c>
      <c r="U3782" s="12" t="s">
        <v>51</v>
      </c>
      <c r="V3782" s="12" t="s">
        <v>52</v>
      </c>
      <c r="W3782" s="12" t="s">
        <v>6072</v>
      </c>
      <c r="X3782" s="16" t="s">
        <v>19155</v>
      </c>
      <c r="Y3782" s="15" t="s">
        <v>108</v>
      </c>
      <c r="Z3782" s="14">
        <v>1.8</v>
      </c>
      <c r="AA3782" s="14">
        <v>7.58</v>
      </c>
      <c r="AB3782" s="12" t="s">
        <v>43</v>
      </c>
      <c r="AC3782" s="12" t="s">
        <v>6074</v>
      </c>
      <c r="AD3782" s="13">
        <v>44012</v>
      </c>
      <c r="AE3782" s="12" t="s">
        <v>504</v>
      </c>
      <c r="AF3782" s="12" t="s">
        <v>159</v>
      </c>
      <c r="AG3782" s="12" t="s">
        <v>6075</v>
      </c>
      <c r="AH3782" s="1">
        <f>HYPERLINK("https://my.pitchbook.com?c=186080-95T","View Company Online")</f>
      </c>
    </row>
    <row r="3783">
      <c r="A3783" s="3" t="s">
        <v>19156</v>
      </c>
      <c r="B3783" s="3" t="s">
        <v>19157</v>
      </c>
      <c r="C3783" s="5" t="s">
        <v>36</v>
      </c>
      <c r="D3783" s="5" t="s">
        <v>36</v>
      </c>
      <c r="E3783" s="5" t="s">
        <v>36</v>
      </c>
      <c r="F3783" s="5" t="s">
        <v>36</v>
      </c>
      <c r="G3783" s="6" t="s">
        <v>326</v>
      </c>
      <c r="H3783" s="4">
        <v>87.22</v>
      </c>
      <c r="I3783" s="7">
        <v>28.93</v>
      </c>
      <c r="J3783" s="3" t="s">
        <v>521</v>
      </c>
      <c r="K3783" s="9" t="s">
        <v>36</v>
      </c>
      <c r="L3783" s="6" t="s">
        <v>122</v>
      </c>
      <c r="M3783" s="3" t="s">
        <v>36</v>
      </c>
      <c r="N3783" s="3" t="s">
        <v>122</v>
      </c>
      <c r="O3783" s="8" t="s">
        <v>36</v>
      </c>
      <c r="P3783" s="3" t="s">
        <v>36</v>
      </c>
      <c r="Q3783" s="3" t="s">
        <v>36</v>
      </c>
      <c r="R3783" s="3" t="s">
        <v>36</v>
      </c>
      <c r="S3783" s="3" t="s">
        <v>36</v>
      </c>
      <c r="T3783" s="3" t="s">
        <v>5929</v>
      </c>
      <c r="U3783" s="3" t="s">
        <v>38</v>
      </c>
      <c r="V3783" s="3" t="s">
        <v>39</v>
      </c>
      <c r="W3783" s="3" t="s">
        <v>19158</v>
      </c>
      <c r="X3783" s="10" t="s">
        <v>19159</v>
      </c>
      <c r="Y3783" s="6" t="s">
        <v>108</v>
      </c>
      <c r="Z3783" s="4">
        <v>6.75</v>
      </c>
      <c r="AA3783" s="4">
        <v>16.72</v>
      </c>
      <c r="AB3783" s="3" t="s">
        <v>43</v>
      </c>
      <c r="AC3783" s="3" t="s">
        <v>19160</v>
      </c>
      <c r="AD3783" s="9">
        <v>44012</v>
      </c>
      <c r="AE3783" s="3" t="s">
        <v>110</v>
      </c>
      <c r="AF3783" s="3" t="s">
        <v>19161</v>
      </c>
      <c r="AG3783" s="3" t="s">
        <v>81</v>
      </c>
      <c r="AH3783" s="11">
        <f>HYPERLINK("https://my.pitchbook.com?c=138824-56T","View Company Online")</f>
      </c>
    </row>
    <row r="3784">
      <c r="A3784" s="12" t="s">
        <v>19162</v>
      </c>
      <c r="B3784" s="12" t="s">
        <v>19163</v>
      </c>
      <c r="C3784" s="19" t="s">
        <v>36</v>
      </c>
      <c r="D3784" s="19" t="s">
        <v>36</v>
      </c>
      <c r="E3784" s="19" t="s">
        <v>36</v>
      </c>
      <c r="F3784" s="19" t="s">
        <v>36</v>
      </c>
      <c r="G3784" s="15" t="s">
        <v>36</v>
      </c>
      <c r="H3784" s="14" t="s">
        <v>36</v>
      </c>
      <c r="I3784" s="18" t="s">
        <v>36</v>
      </c>
      <c r="J3784" s="12" t="s">
        <v>36</v>
      </c>
      <c r="K3784" s="13" t="s">
        <v>36</v>
      </c>
      <c r="L3784" s="15" t="s">
        <v>122</v>
      </c>
      <c r="M3784" s="12" t="s">
        <v>36</v>
      </c>
      <c r="N3784" s="12" t="s">
        <v>122</v>
      </c>
      <c r="O3784" s="17" t="s">
        <v>36</v>
      </c>
      <c r="P3784" s="12" t="s">
        <v>36</v>
      </c>
      <c r="Q3784" s="12" t="s">
        <v>36</v>
      </c>
      <c r="R3784" s="12" t="s">
        <v>36</v>
      </c>
      <c r="S3784" s="12" t="s">
        <v>36</v>
      </c>
      <c r="T3784" s="12" t="s">
        <v>19164</v>
      </c>
      <c r="U3784" s="12" t="s">
        <v>74</v>
      </c>
      <c r="V3784" s="12" t="s">
        <v>75</v>
      </c>
      <c r="W3784" s="12" t="s">
        <v>19165</v>
      </c>
      <c r="X3784" s="16" t="s">
        <v>19166</v>
      </c>
      <c r="Y3784" s="15" t="s">
        <v>42</v>
      </c>
      <c r="Z3784" s="14">
        <v>1.91</v>
      </c>
      <c r="AA3784" s="14" t="s">
        <v>36</v>
      </c>
      <c r="AB3784" s="12" t="s">
        <v>43</v>
      </c>
      <c r="AC3784" s="12" t="s">
        <v>19167</v>
      </c>
      <c r="AD3784" s="13">
        <v>44012</v>
      </c>
      <c r="AE3784" s="12" t="s">
        <v>362</v>
      </c>
      <c r="AF3784" s="12" t="s">
        <v>19168</v>
      </c>
      <c r="AG3784" s="12" t="s">
        <v>47</v>
      </c>
      <c r="AH3784" s="1">
        <f>HYPERLINK("https://my.pitchbook.com?c=139080-43T","View Company Online")</f>
      </c>
    </row>
    <row r="3785">
      <c r="A3785" s="3" t="s">
        <v>19169</v>
      </c>
      <c r="B3785" s="3" t="s">
        <v>6897</v>
      </c>
      <c r="C3785" s="5">
        <v>20</v>
      </c>
      <c r="D3785" s="5">
        <v>48</v>
      </c>
      <c r="E3785" s="5">
        <v>17</v>
      </c>
      <c r="F3785" s="5">
        <v>68</v>
      </c>
      <c r="G3785" s="6" t="s">
        <v>36</v>
      </c>
      <c r="H3785" s="4" t="s">
        <v>36</v>
      </c>
      <c r="I3785" s="7" t="s">
        <v>36</v>
      </c>
      <c r="J3785" s="3" t="s">
        <v>36</v>
      </c>
      <c r="K3785" s="9" t="s">
        <v>36</v>
      </c>
      <c r="L3785" s="6" t="s">
        <v>122</v>
      </c>
      <c r="M3785" s="3" t="s">
        <v>36</v>
      </c>
      <c r="N3785" s="3" t="s">
        <v>122</v>
      </c>
      <c r="O3785" s="8" t="s">
        <v>36</v>
      </c>
      <c r="P3785" s="3" t="s">
        <v>36</v>
      </c>
      <c r="Q3785" s="3" t="s">
        <v>36</v>
      </c>
      <c r="R3785" s="3" t="s">
        <v>36</v>
      </c>
      <c r="S3785" s="3" t="s">
        <v>36</v>
      </c>
      <c r="T3785" s="3" t="s">
        <v>6898</v>
      </c>
      <c r="U3785" s="3" t="s">
        <v>51</v>
      </c>
      <c r="V3785" s="3" t="s">
        <v>52</v>
      </c>
      <c r="W3785" s="3" t="s">
        <v>6899</v>
      </c>
      <c r="X3785" s="10" t="s">
        <v>19170</v>
      </c>
      <c r="Y3785" s="6" t="s">
        <v>42</v>
      </c>
      <c r="Z3785" s="4">
        <v>3.37</v>
      </c>
      <c r="AA3785" s="4" t="s">
        <v>36</v>
      </c>
      <c r="AB3785" s="3" t="s">
        <v>43</v>
      </c>
      <c r="AC3785" s="3" t="s">
        <v>6900</v>
      </c>
      <c r="AD3785" s="9">
        <v>44011</v>
      </c>
      <c r="AE3785" s="3" t="s">
        <v>58</v>
      </c>
      <c r="AF3785" s="3" t="s">
        <v>159</v>
      </c>
      <c r="AG3785" s="3" t="s">
        <v>6901</v>
      </c>
      <c r="AH3785" s="11">
        <f>HYPERLINK("https://my.pitchbook.com?c=138944-26T","View Company Online")</f>
      </c>
    </row>
    <row r="3786">
      <c r="A3786" s="12" t="s">
        <v>19171</v>
      </c>
      <c r="B3786" s="12" t="s">
        <v>13254</v>
      </c>
      <c r="C3786" s="19">
        <v>2</v>
      </c>
      <c r="D3786" s="19">
        <v>2</v>
      </c>
      <c r="E3786" s="19">
        <v>1</v>
      </c>
      <c r="F3786" s="19">
        <v>4</v>
      </c>
      <c r="G3786" s="15" t="s">
        <v>36</v>
      </c>
      <c r="H3786" s="14" t="s">
        <v>36</v>
      </c>
      <c r="I3786" s="18" t="s">
        <v>36</v>
      </c>
      <c r="J3786" s="12" t="s">
        <v>36</v>
      </c>
      <c r="K3786" s="13" t="s">
        <v>36</v>
      </c>
      <c r="L3786" s="15" t="s">
        <v>36</v>
      </c>
      <c r="M3786" s="12" t="s">
        <v>36</v>
      </c>
      <c r="N3786" s="12" t="s">
        <v>36</v>
      </c>
      <c r="O3786" s="17" t="s">
        <v>36</v>
      </c>
      <c r="P3786" s="12" t="s">
        <v>36</v>
      </c>
      <c r="Q3786" s="12" t="s">
        <v>36</v>
      </c>
      <c r="R3786" s="12" t="s">
        <v>36</v>
      </c>
      <c r="S3786" s="12" t="s">
        <v>36</v>
      </c>
      <c r="T3786" s="12" t="s">
        <v>13255</v>
      </c>
      <c r="U3786" s="12" t="s">
        <v>619</v>
      </c>
      <c r="V3786" s="12" t="s">
        <v>378</v>
      </c>
      <c r="W3786" s="12" t="s">
        <v>13256</v>
      </c>
      <c r="X3786" s="16" t="s">
        <v>1840</v>
      </c>
      <c r="Y3786" s="15" t="s">
        <v>108</v>
      </c>
      <c r="Z3786" s="14">
        <v>1.57</v>
      </c>
      <c r="AA3786" s="14" t="s">
        <v>36</v>
      </c>
      <c r="AB3786" s="12" t="s">
        <v>43</v>
      </c>
      <c r="AC3786" s="12" t="s">
        <v>13258</v>
      </c>
      <c r="AD3786" s="13">
        <v>44011</v>
      </c>
      <c r="AE3786" s="12" t="s">
        <v>3891</v>
      </c>
      <c r="AF3786" s="12" t="s">
        <v>13259</v>
      </c>
      <c r="AG3786" s="12" t="s">
        <v>186</v>
      </c>
      <c r="AH3786" s="1">
        <f>HYPERLINK("https://my.pitchbook.com?c=172704-34T","View Company Online")</f>
      </c>
    </row>
    <row r="3787">
      <c r="A3787" s="3" t="s">
        <v>19172</v>
      </c>
      <c r="B3787" s="3" t="s">
        <v>19173</v>
      </c>
      <c r="C3787" s="5" t="s">
        <v>36</v>
      </c>
      <c r="D3787" s="5" t="s">
        <v>36</v>
      </c>
      <c r="E3787" s="5" t="s">
        <v>36</v>
      </c>
      <c r="F3787" s="5" t="s">
        <v>36</v>
      </c>
      <c r="G3787" s="6" t="s">
        <v>36</v>
      </c>
      <c r="H3787" s="4" t="s">
        <v>36</v>
      </c>
      <c r="I3787" s="7" t="s">
        <v>36</v>
      </c>
      <c r="J3787" s="3" t="s">
        <v>36</v>
      </c>
      <c r="K3787" s="9" t="s">
        <v>36</v>
      </c>
      <c r="L3787" s="6" t="s">
        <v>36</v>
      </c>
      <c r="M3787" s="3" t="s">
        <v>36</v>
      </c>
      <c r="N3787" s="3" t="s">
        <v>36</v>
      </c>
      <c r="O3787" s="8" t="s">
        <v>36</v>
      </c>
      <c r="P3787" s="3" t="s">
        <v>36</v>
      </c>
      <c r="Q3787" s="3" t="s">
        <v>36</v>
      </c>
      <c r="R3787" s="3" t="s">
        <v>36</v>
      </c>
      <c r="S3787" s="3" t="s">
        <v>565</v>
      </c>
      <c r="T3787" s="3" t="s">
        <v>19174</v>
      </c>
      <c r="U3787" s="3" t="s">
        <v>1091</v>
      </c>
      <c r="V3787" s="3" t="s">
        <v>378</v>
      </c>
      <c r="W3787" s="3" t="s">
        <v>19175</v>
      </c>
      <c r="X3787" s="10" t="s">
        <v>3098</v>
      </c>
      <c r="Y3787" s="6" t="s">
        <v>42</v>
      </c>
      <c r="Z3787" s="4" t="s">
        <v>36</v>
      </c>
      <c r="AA3787" s="4" t="s">
        <v>36</v>
      </c>
      <c r="AB3787" s="3" t="s">
        <v>56</v>
      </c>
      <c r="AC3787" s="3" t="s">
        <v>19176</v>
      </c>
      <c r="AD3787" s="9">
        <v>44011</v>
      </c>
      <c r="AE3787" s="3" t="s">
        <v>13298</v>
      </c>
      <c r="AF3787" s="3" t="s">
        <v>7368</v>
      </c>
      <c r="AG3787" s="3" t="s">
        <v>19177</v>
      </c>
      <c r="AH3787" s="11">
        <f>HYPERLINK("https://my.pitchbook.com?c=165195-10T","View Company Online")</f>
      </c>
    </row>
    <row r="3788">
      <c r="A3788" s="12" t="s">
        <v>19178</v>
      </c>
      <c r="B3788" s="12" t="s">
        <v>19179</v>
      </c>
      <c r="C3788" s="19" t="s">
        <v>36</v>
      </c>
      <c r="D3788" s="19" t="s">
        <v>36</v>
      </c>
      <c r="E3788" s="19" t="s">
        <v>36</v>
      </c>
      <c r="F3788" s="19" t="s">
        <v>36</v>
      </c>
      <c r="G3788" s="15" t="s">
        <v>2497</v>
      </c>
      <c r="H3788" s="14">
        <v>4.64</v>
      </c>
      <c r="I3788" s="18">
        <v>21.99</v>
      </c>
      <c r="J3788" s="12" t="s">
        <v>521</v>
      </c>
      <c r="K3788" s="13" t="s">
        <v>36</v>
      </c>
      <c r="L3788" s="15" t="s">
        <v>36</v>
      </c>
      <c r="M3788" s="12" t="s">
        <v>36</v>
      </c>
      <c r="N3788" s="12" t="s">
        <v>36</v>
      </c>
      <c r="O3788" s="17" t="s">
        <v>36</v>
      </c>
      <c r="P3788" s="12" t="s">
        <v>36</v>
      </c>
      <c r="Q3788" s="12" t="s">
        <v>36</v>
      </c>
      <c r="R3788" s="12" t="s">
        <v>36</v>
      </c>
      <c r="S3788" s="12" t="s">
        <v>36</v>
      </c>
      <c r="T3788" s="12" t="s">
        <v>1935</v>
      </c>
      <c r="U3788" s="12" t="s">
        <v>38</v>
      </c>
      <c r="V3788" s="12" t="s">
        <v>39</v>
      </c>
      <c r="W3788" s="12" t="s">
        <v>19180</v>
      </c>
      <c r="X3788" s="16" t="s">
        <v>19181</v>
      </c>
      <c r="Y3788" s="15" t="s">
        <v>55</v>
      </c>
      <c r="Z3788" s="14">
        <v>1.12</v>
      </c>
      <c r="AA3788" s="14">
        <v>5.11</v>
      </c>
      <c r="AB3788" s="12" t="s">
        <v>56</v>
      </c>
      <c r="AC3788" s="12" t="s">
        <v>19182</v>
      </c>
      <c r="AD3788" s="13">
        <v>44011</v>
      </c>
      <c r="AE3788" s="12" t="s">
        <v>45</v>
      </c>
      <c r="AF3788" s="12" t="s">
        <v>16365</v>
      </c>
      <c r="AG3788" s="12" t="s">
        <v>81</v>
      </c>
      <c r="AH3788" s="1">
        <f>HYPERLINK("https://my.pitchbook.com?c=139130-11T","View Company Online")</f>
      </c>
    </row>
    <row r="3789">
      <c r="A3789" s="3" t="s">
        <v>19183</v>
      </c>
      <c r="B3789" s="3" t="s">
        <v>19184</v>
      </c>
      <c r="C3789" s="5" t="s">
        <v>36</v>
      </c>
      <c r="D3789" s="5" t="s">
        <v>36</v>
      </c>
      <c r="E3789" s="5" t="s">
        <v>36</v>
      </c>
      <c r="F3789" s="5" t="s">
        <v>36</v>
      </c>
      <c r="G3789" s="6" t="s">
        <v>683</v>
      </c>
      <c r="H3789" s="4">
        <v>1.19</v>
      </c>
      <c r="I3789" s="7">
        <v>16.22</v>
      </c>
      <c r="J3789" s="3" t="s">
        <v>521</v>
      </c>
      <c r="K3789" s="9" t="s">
        <v>36</v>
      </c>
      <c r="L3789" s="6" t="s">
        <v>36</v>
      </c>
      <c r="M3789" s="3" t="s">
        <v>36</v>
      </c>
      <c r="N3789" s="3" t="s">
        <v>36</v>
      </c>
      <c r="O3789" s="8" t="s">
        <v>36</v>
      </c>
      <c r="P3789" s="3" t="s">
        <v>36</v>
      </c>
      <c r="Q3789" s="3" t="s">
        <v>36</v>
      </c>
      <c r="R3789" s="3" t="s">
        <v>36</v>
      </c>
      <c r="S3789" s="3" t="s">
        <v>36</v>
      </c>
      <c r="T3789" s="3" t="s">
        <v>19185</v>
      </c>
      <c r="U3789" s="3" t="s">
        <v>279</v>
      </c>
      <c r="V3789" s="3" t="s">
        <v>64</v>
      </c>
      <c r="W3789" s="3" t="s">
        <v>19186</v>
      </c>
      <c r="X3789" s="10" t="s">
        <v>19187</v>
      </c>
      <c r="Y3789" s="6" t="s">
        <v>55</v>
      </c>
      <c r="Z3789" s="4">
        <v>0.51</v>
      </c>
      <c r="AA3789" s="4">
        <v>3.11</v>
      </c>
      <c r="AB3789" s="3" t="s">
        <v>56</v>
      </c>
      <c r="AC3789" s="3" t="s">
        <v>19188</v>
      </c>
      <c r="AD3789" s="9">
        <v>44008</v>
      </c>
      <c r="AE3789" s="3" t="s">
        <v>8519</v>
      </c>
      <c r="AF3789" s="3" t="s">
        <v>4284</v>
      </c>
      <c r="AG3789" s="3" t="s">
        <v>81</v>
      </c>
      <c r="AH3789" s="11">
        <f>HYPERLINK("https://my.pitchbook.com?c=180896-32T","View Company Online")</f>
      </c>
    </row>
    <row r="3790">
      <c r="A3790" s="12" t="s">
        <v>19189</v>
      </c>
      <c r="B3790" s="12" t="s">
        <v>5760</v>
      </c>
      <c r="C3790" s="19">
        <v>48</v>
      </c>
      <c r="D3790" s="19">
        <v>52</v>
      </c>
      <c r="E3790" s="19">
        <v>20</v>
      </c>
      <c r="F3790" s="19">
        <v>109</v>
      </c>
      <c r="G3790" s="15" t="s">
        <v>36</v>
      </c>
      <c r="H3790" s="14">
        <v>8.87</v>
      </c>
      <c r="I3790" s="18">
        <v>15.9</v>
      </c>
      <c r="J3790" s="12" t="s">
        <v>521</v>
      </c>
      <c r="K3790" s="13" t="s">
        <v>36</v>
      </c>
      <c r="L3790" s="15" t="s">
        <v>12462</v>
      </c>
      <c r="M3790" s="12" t="s">
        <v>36</v>
      </c>
      <c r="N3790" s="12" t="s">
        <v>12462</v>
      </c>
      <c r="O3790" s="17" t="s">
        <v>36</v>
      </c>
      <c r="P3790" s="12" t="s">
        <v>36</v>
      </c>
      <c r="Q3790" s="12" t="s">
        <v>36</v>
      </c>
      <c r="R3790" s="12" t="s">
        <v>36</v>
      </c>
      <c r="S3790" s="12" t="s">
        <v>36</v>
      </c>
      <c r="T3790" s="12" t="s">
        <v>881</v>
      </c>
      <c r="U3790" s="12" t="s">
        <v>51</v>
      </c>
      <c r="V3790" s="12" t="s">
        <v>52</v>
      </c>
      <c r="W3790" s="12" t="s">
        <v>5761</v>
      </c>
      <c r="X3790" s="16" t="s">
        <v>19190</v>
      </c>
      <c r="Y3790" s="15" t="s">
        <v>475</v>
      </c>
      <c r="Z3790" s="14">
        <v>51.95</v>
      </c>
      <c r="AA3790" s="14">
        <v>178.98</v>
      </c>
      <c r="AB3790" s="12" t="s">
        <v>56</v>
      </c>
      <c r="AC3790" s="12" t="s">
        <v>5763</v>
      </c>
      <c r="AD3790" s="13">
        <v>44007</v>
      </c>
      <c r="AE3790" s="12" t="s">
        <v>504</v>
      </c>
      <c r="AF3790" s="12" t="s">
        <v>665</v>
      </c>
      <c r="AG3790" s="12" t="s">
        <v>81</v>
      </c>
      <c r="AH3790" s="1">
        <f>HYPERLINK("https://my.pitchbook.com?c=138674-98T","View Company Online")</f>
      </c>
    </row>
    <row r="3791">
      <c r="A3791" s="3" t="s">
        <v>19191</v>
      </c>
      <c r="B3791" s="3" t="s">
        <v>10616</v>
      </c>
      <c r="C3791" s="5" t="s">
        <v>36</v>
      </c>
      <c r="D3791" s="5" t="s">
        <v>36</v>
      </c>
      <c r="E3791" s="5" t="s">
        <v>36</v>
      </c>
      <c r="F3791" s="5" t="s">
        <v>36</v>
      </c>
      <c r="G3791" s="6" t="s">
        <v>36</v>
      </c>
      <c r="H3791" s="4" t="s">
        <v>36</v>
      </c>
      <c r="I3791" s="7" t="s">
        <v>36</v>
      </c>
      <c r="J3791" s="3" t="s">
        <v>36</v>
      </c>
      <c r="K3791" s="9" t="s">
        <v>36</v>
      </c>
      <c r="L3791" s="6" t="s">
        <v>36</v>
      </c>
      <c r="M3791" s="3" t="s">
        <v>36</v>
      </c>
      <c r="N3791" s="3" t="s">
        <v>36</v>
      </c>
      <c r="O3791" s="8" t="s">
        <v>36</v>
      </c>
      <c r="P3791" s="3" t="s">
        <v>36</v>
      </c>
      <c r="Q3791" s="3" t="s">
        <v>36</v>
      </c>
      <c r="R3791" s="3" t="s">
        <v>36</v>
      </c>
      <c r="S3791" s="3" t="s">
        <v>10617</v>
      </c>
      <c r="T3791" s="3" t="s">
        <v>2308</v>
      </c>
      <c r="U3791" s="3" t="s">
        <v>38</v>
      </c>
      <c r="V3791" s="3" t="s">
        <v>39</v>
      </c>
      <c r="W3791" s="3" t="s">
        <v>10618</v>
      </c>
      <c r="X3791" s="10" t="s">
        <v>8450</v>
      </c>
      <c r="Y3791" s="6" t="s">
        <v>108</v>
      </c>
      <c r="Z3791" s="4" t="s">
        <v>36</v>
      </c>
      <c r="AA3791" s="4" t="s">
        <v>36</v>
      </c>
      <c r="AB3791" s="3" t="s">
        <v>43</v>
      </c>
      <c r="AC3791" s="3" t="s">
        <v>10620</v>
      </c>
      <c r="AD3791" s="9">
        <v>44007</v>
      </c>
      <c r="AE3791" s="3" t="s">
        <v>45</v>
      </c>
      <c r="AF3791" s="3" t="s">
        <v>615</v>
      </c>
      <c r="AG3791" s="3" t="s">
        <v>6068</v>
      </c>
      <c r="AH3791" s="11">
        <f>HYPERLINK("https://my.pitchbook.com?c=226087-66T","View Company Online")</f>
      </c>
    </row>
    <row r="3792">
      <c r="A3792" s="12" t="s">
        <v>19192</v>
      </c>
      <c r="B3792" s="12" t="s">
        <v>12833</v>
      </c>
      <c r="C3792" s="19">
        <v>2</v>
      </c>
      <c r="D3792" s="19">
        <v>2</v>
      </c>
      <c r="E3792" s="19">
        <v>2</v>
      </c>
      <c r="F3792" s="19">
        <v>4</v>
      </c>
      <c r="G3792" s="15" t="s">
        <v>36</v>
      </c>
      <c r="H3792" s="14" t="s">
        <v>36</v>
      </c>
      <c r="I3792" s="18" t="s">
        <v>36</v>
      </c>
      <c r="J3792" s="12" t="s">
        <v>36</v>
      </c>
      <c r="K3792" s="13" t="s">
        <v>36</v>
      </c>
      <c r="L3792" s="15" t="s">
        <v>122</v>
      </c>
      <c r="M3792" s="12" t="s">
        <v>36</v>
      </c>
      <c r="N3792" s="12" t="s">
        <v>122</v>
      </c>
      <c r="O3792" s="17" t="s">
        <v>36</v>
      </c>
      <c r="P3792" s="12" t="s">
        <v>36</v>
      </c>
      <c r="Q3792" s="12" t="s">
        <v>36</v>
      </c>
      <c r="R3792" s="12" t="s">
        <v>36</v>
      </c>
      <c r="S3792" s="12" t="s">
        <v>36</v>
      </c>
      <c r="T3792" s="12" t="s">
        <v>692</v>
      </c>
      <c r="U3792" s="12" t="s">
        <v>74</v>
      </c>
      <c r="V3792" s="12" t="s">
        <v>75</v>
      </c>
      <c r="W3792" s="12" t="s">
        <v>12834</v>
      </c>
      <c r="X3792" s="16" t="s">
        <v>19193</v>
      </c>
      <c r="Y3792" s="15" t="s">
        <v>108</v>
      </c>
      <c r="Z3792" s="14">
        <v>5.61</v>
      </c>
      <c r="AA3792" s="14" t="s">
        <v>36</v>
      </c>
      <c r="AB3792" s="12" t="s">
        <v>56</v>
      </c>
      <c r="AC3792" s="12" t="s">
        <v>12836</v>
      </c>
      <c r="AD3792" s="13">
        <v>44007</v>
      </c>
      <c r="AE3792" s="12" t="s">
        <v>696</v>
      </c>
      <c r="AF3792" s="12" t="s">
        <v>12837</v>
      </c>
      <c r="AG3792" s="12" t="s">
        <v>81</v>
      </c>
      <c r="AH3792" s="1">
        <f>HYPERLINK("https://my.pitchbook.com?c=138930-76T","View Company Online")</f>
      </c>
    </row>
    <row r="3793">
      <c r="A3793" s="3" t="s">
        <v>19194</v>
      </c>
      <c r="B3793" s="3" t="s">
        <v>19195</v>
      </c>
      <c r="C3793" s="5" t="s">
        <v>36</v>
      </c>
      <c r="D3793" s="5">
        <v>2</v>
      </c>
      <c r="E3793" s="5">
        <v>1</v>
      </c>
      <c r="F3793" s="5">
        <v>2</v>
      </c>
      <c r="G3793" s="6" t="s">
        <v>683</v>
      </c>
      <c r="H3793" s="4">
        <v>488.75</v>
      </c>
      <c r="I3793" s="7">
        <v>16.35</v>
      </c>
      <c r="J3793" s="3" t="s">
        <v>521</v>
      </c>
      <c r="K3793" s="9" t="s">
        <v>36</v>
      </c>
      <c r="L3793" s="6" t="s">
        <v>36</v>
      </c>
      <c r="M3793" s="3" t="s">
        <v>36</v>
      </c>
      <c r="N3793" s="3" t="s">
        <v>36</v>
      </c>
      <c r="O3793" s="8" t="s">
        <v>36</v>
      </c>
      <c r="P3793" s="3" t="s">
        <v>36</v>
      </c>
      <c r="Q3793" s="3" t="s">
        <v>36</v>
      </c>
      <c r="R3793" s="3" t="s">
        <v>36</v>
      </c>
      <c r="S3793" s="3" t="s">
        <v>36</v>
      </c>
      <c r="T3793" s="3" t="s">
        <v>19196</v>
      </c>
      <c r="U3793" s="3" t="s">
        <v>648</v>
      </c>
      <c r="V3793" s="3" t="s">
        <v>64</v>
      </c>
      <c r="W3793" s="3" t="s">
        <v>19197</v>
      </c>
      <c r="X3793" s="10" t="s">
        <v>19198</v>
      </c>
      <c r="Y3793" s="6" t="s">
        <v>192</v>
      </c>
      <c r="Z3793" s="4">
        <v>1.8</v>
      </c>
      <c r="AA3793" s="4">
        <v>5.66</v>
      </c>
      <c r="AB3793" s="3" t="s">
        <v>43</v>
      </c>
      <c r="AC3793" s="3" t="s">
        <v>19199</v>
      </c>
      <c r="AD3793" s="9">
        <v>44007</v>
      </c>
      <c r="AE3793" s="3" t="s">
        <v>1897</v>
      </c>
      <c r="AF3793" s="3" t="s">
        <v>36</v>
      </c>
      <c r="AG3793" s="3" t="s">
        <v>19200</v>
      </c>
      <c r="AH3793" s="11">
        <f>HYPERLINK("https://my.pitchbook.com?c=138758-77T","View Company Online")</f>
      </c>
    </row>
    <row r="3794">
      <c r="A3794" s="12" t="s">
        <v>19201</v>
      </c>
      <c r="B3794" s="12" t="s">
        <v>19202</v>
      </c>
      <c r="C3794" s="19" t="s">
        <v>36</v>
      </c>
      <c r="D3794" s="19">
        <v>2</v>
      </c>
      <c r="E3794" s="19">
        <v>1</v>
      </c>
      <c r="F3794" s="19">
        <v>3</v>
      </c>
      <c r="G3794" s="15" t="s">
        <v>36</v>
      </c>
      <c r="H3794" s="14">
        <v>217.9</v>
      </c>
      <c r="I3794" s="18">
        <v>15</v>
      </c>
      <c r="J3794" s="12" t="s">
        <v>521</v>
      </c>
      <c r="K3794" s="13" t="s">
        <v>36</v>
      </c>
      <c r="L3794" s="15" t="s">
        <v>36</v>
      </c>
      <c r="M3794" s="12" t="s">
        <v>36</v>
      </c>
      <c r="N3794" s="12" t="s">
        <v>36</v>
      </c>
      <c r="O3794" s="17" t="s">
        <v>36</v>
      </c>
      <c r="P3794" s="12" t="s">
        <v>36</v>
      </c>
      <c r="Q3794" s="12" t="s">
        <v>36</v>
      </c>
      <c r="R3794" s="12" t="s">
        <v>36</v>
      </c>
      <c r="S3794" s="12" t="s">
        <v>36</v>
      </c>
      <c r="T3794" s="12" t="s">
        <v>6192</v>
      </c>
      <c r="U3794" s="12" t="s">
        <v>1357</v>
      </c>
      <c r="V3794" s="12" t="s">
        <v>52</v>
      </c>
      <c r="W3794" s="12" t="s">
        <v>19203</v>
      </c>
      <c r="X3794" s="16" t="s">
        <v>7099</v>
      </c>
      <c r="Y3794" s="15" t="s">
        <v>108</v>
      </c>
      <c r="Z3794" s="14">
        <v>1.12</v>
      </c>
      <c r="AA3794" s="14">
        <v>7.47</v>
      </c>
      <c r="AB3794" s="12" t="s">
        <v>43</v>
      </c>
      <c r="AC3794" s="12" t="s">
        <v>19204</v>
      </c>
      <c r="AD3794" s="13">
        <v>44006</v>
      </c>
      <c r="AE3794" s="12" t="s">
        <v>2377</v>
      </c>
      <c r="AF3794" s="12" t="s">
        <v>36</v>
      </c>
      <c r="AG3794" s="12" t="s">
        <v>7745</v>
      </c>
      <c r="AH3794" s="1">
        <f>HYPERLINK("https://my.pitchbook.com?c=181817-83T","View Company Online")</f>
      </c>
    </row>
    <row r="3795">
      <c r="A3795" s="3" t="s">
        <v>19205</v>
      </c>
      <c r="B3795" s="3" t="s">
        <v>19206</v>
      </c>
      <c r="C3795" s="5" t="s">
        <v>36</v>
      </c>
      <c r="D3795" s="5">
        <v>4</v>
      </c>
      <c r="E3795" s="5">
        <v>4</v>
      </c>
      <c r="F3795" s="5">
        <v>11</v>
      </c>
      <c r="G3795" s="6" t="s">
        <v>326</v>
      </c>
      <c r="H3795" s="4">
        <v>529.67</v>
      </c>
      <c r="I3795" s="7">
        <v>12</v>
      </c>
      <c r="J3795" s="3" t="s">
        <v>521</v>
      </c>
      <c r="K3795" s="9" t="s">
        <v>36</v>
      </c>
      <c r="L3795" s="6" t="s">
        <v>36</v>
      </c>
      <c r="M3795" s="3" t="s">
        <v>36</v>
      </c>
      <c r="N3795" s="3" t="s">
        <v>36</v>
      </c>
      <c r="O3795" s="8" t="s">
        <v>36</v>
      </c>
      <c r="P3795" s="3" t="s">
        <v>36</v>
      </c>
      <c r="Q3795" s="3" t="s">
        <v>36</v>
      </c>
      <c r="R3795" s="3" t="s">
        <v>36</v>
      </c>
      <c r="S3795" s="3" t="s">
        <v>36</v>
      </c>
      <c r="T3795" s="3" t="s">
        <v>19207</v>
      </c>
      <c r="U3795" s="3" t="s">
        <v>85</v>
      </c>
      <c r="V3795" s="3" t="s">
        <v>64</v>
      </c>
      <c r="W3795" s="3" t="s">
        <v>19208</v>
      </c>
      <c r="X3795" s="10" t="s">
        <v>19209</v>
      </c>
      <c r="Y3795" s="6" t="s">
        <v>55</v>
      </c>
      <c r="Z3795" s="4">
        <v>0.37</v>
      </c>
      <c r="AA3795" s="4">
        <v>3.09</v>
      </c>
      <c r="AB3795" s="3" t="s">
        <v>43</v>
      </c>
      <c r="AC3795" s="3" t="s">
        <v>19210</v>
      </c>
      <c r="AD3795" s="9">
        <v>44006</v>
      </c>
      <c r="AE3795" s="3" t="s">
        <v>89</v>
      </c>
      <c r="AF3795" s="3" t="s">
        <v>269</v>
      </c>
      <c r="AG3795" s="3" t="s">
        <v>19211</v>
      </c>
      <c r="AH3795" s="11">
        <f>HYPERLINK("https://my.pitchbook.com?c=181909-90T","View Company Online")</f>
      </c>
    </row>
    <row r="3796">
      <c r="A3796" s="12" t="s">
        <v>19212</v>
      </c>
      <c r="B3796" s="12" t="s">
        <v>16230</v>
      </c>
      <c r="C3796" s="19" t="s">
        <v>36</v>
      </c>
      <c r="D3796" s="19" t="s">
        <v>36</v>
      </c>
      <c r="E3796" s="19" t="s">
        <v>36</v>
      </c>
      <c r="F3796" s="19" t="s">
        <v>36</v>
      </c>
      <c r="G3796" s="15" t="s">
        <v>36</v>
      </c>
      <c r="H3796" s="14" t="s">
        <v>36</v>
      </c>
      <c r="I3796" s="18" t="s">
        <v>36</v>
      </c>
      <c r="J3796" s="12" t="s">
        <v>36</v>
      </c>
      <c r="K3796" s="13" t="s">
        <v>36</v>
      </c>
      <c r="L3796" s="15" t="s">
        <v>122</v>
      </c>
      <c r="M3796" s="12" t="s">
        <v>36</v>
      </c>
      <c r="N3796" s="12" t="s">
        <v>122</v>
      </c>
      <c r="O3796" s="17" t="s">
        <v>36</v>
      </c>
      <c r="P3796" s="12" t="s">
        <v>36</v>
      </c>
      <c r="Q3796" s="12" t="s">
        <v>36</v>
      </c>
      <c r="R3796" s="12" t="s">
        <v>36</v>
      </c>
      <c r="S3796" s="12" t="s">
        <v>36</v>
      </c>
      <c r="T3796" s="12" t="s">
        <v>16231</v>
      </c>
      <c r="U3796" s="12" t="s">
        <v>16232</v>
      </c>
      <c r="V3796" s="12" t="s">
        <v>405</v>
      </c>
      <c r="W3796" s="12" t="s">
        <v>16233</v>
      </c>
      <c r="X3796" s="16" t="s">
        <v>19213</v>
      </c>
      <c r="Y3796" s="15" t="s">
        <v>55</v>
      </c>
      <c r="Z3796" s="14">
        <v>22.39</v>
      </c>
      <c r="AA3796" s="14" t="s">
        <v>36</v>
      </c>
      <c r="AB3796" s="12" t="s">
        <v>43</v>
      </c>
      <c r="AC3796" s="12" t="s">
        <v>16235</v>
      </c>
      <c r="AD3796" s="13">
        <v>44005</v>
      </c>
      <c r="AE3796" s="12" t="s">
        <v>16236</v>
      </c>
      <c r="AF3796" s="12" t="s">
        <v>215</v>
      </c>
      <c r="AG3796" s="12" t="s">
        <v>81</v>
      </c>
      <c r="AH3796" s="1">
        <f>HYPERLINK("https://my.pitchbook.com?c=138488-86T","View Company Online")</f>
      </c>
    </row>
    <row r="3797">
      <c r="A3797" s="3" t="s">
        <v>19214</v>
      </c>
      <c r="B3797" s="3" t="s">
        <v>17742</v>
      </c>
      <c r="C3797" s="5" t="s">
        <v>36</v>
      </c>
      <c r="D3797" s="5" t="s">
        <v>36</v>
      </c>
      <c r="E3797" s="5" t="s">
        <v>36</v>
      </c>
      <c r="F3797" s="5" t="s">
        <v>36</v>
      </c>
      <c r="G3797" s="6" t="s">
        <v>36</v>
      </c>
      <c r="H3797" s="4">
        <v>62.31</v>
      </c>
      <c r="I3797" s="7">
        <v>20</v>
      </c>
      <c r="J3797" s="3" t="s">
        <v>521</v>
      </c>
      <c r="K3797" s="9" t="s">
        <v>36</v>
      </c>
      <c r="L3797" s="6" t="s">
        <v>36</v>
      </c>
      <c r="M3797" s="3" t="s">
        <v>36</v>
      </c>
      <c r="N3797" s="3" t="s">
        <v>36</v>
      </c>
      <c r="O3797" s="8" t="s">
        <v>36</v>
      </c>
      <c r="P3797" s="3" t="s">
        <v>36</v>
      </c>
      <c r="Q3797" s="3" t="s">
        <v>36</v>
      </c>
      <c r="R3797" s="3" t="s">
        <v>36</v>
      </c>
      <c r="S3797" s="3" t="s">
        <v>36</v>
      </c>
      <c r="T3797" s="3" t="s">
        <v>17743</v>
      </c>
      <c r="U3797" s="3" t="s">
        <v>289</v>
      </c>
      <c r="V3797" s="3" t="s">
        <v>64</v>
      </c>
      <c r="W3797" s="3" t="s">
        <v>17744</v>
      </c>
      <c r="X3797" s="10" t="s">
        <v>19215</v>
      </c>
      <c r="Y3797" s="6" t="s">
        <v>42</v>
      </c>
      <c r="Z3797" s="4">
        <v>1.68</v>
      </c>
      <c r="AA3797" s="4">
        <v>8.39</v>
      </c>
      <c r="AB3797" s="3" t="s">
        <v>43</v>
      </c>
      <c r="AC3797" s="3" t="s">
        <v>17746</v>
      </c>
      <c r="AD3797" s="9">
        <v>44004</v>
      </c>
      <c r="AE3797" s="3" t="s">
        <v>292</v>
      </c>
      <c r="AF3797" s="3" t="s">
        <v>90</v>
      </c>
      <c r="AG3797" s="3" t="s">
        <v>81</v>
      </c>
      <c r="AH3797" s="11">
        <f>HYPERLINK("https://my.pitchbook.com?c=137445-94T","View Company Online")</f>
      </c>
    </row>
    <row r="3798">
      <c r="A3798" s="12" t="s">
        <v>19216</v>
      </c>
      <c r="B3798" s="12" t="s">
        <v>9687</v>
      </c>
      <c r="C3798" s="19" t="s">
        <v>36</v>
      </c>
      <c r="D3798" s="19" t="s">
        <v>36</v>
      </c>
      <c r="E3798" s="19" t="s">
        <v>36</v>
      </c>
      <c r="F3798" s="19" t="s">
        <v>36</v>
      </c>
      <c r="G3798" s="15" t="s">
        <v>36</v>
      </c>
      <c r="H3798" s="14">
        <v>474.61</v>
      </c>
      <c r="I3798" s="18">
        <v>22.41</v>
      </c>
      <c r="J3798" s="12" t="s">
        <v>521</v>
      </c>
      <c r="K3798" s="13" t="s">
        <v>36</v>
      </c>
      <c r="L3798" s="15" t="s">
        <v>1279</v>
      </c>
      <c r="M3798" s="12" t="s">
        <v>36</v>
      </c>
      <c r="N3798" s="12" t="s">
        <v>1279</v>
      </c>
      <c r="O3798" s="17" t="s">
        <v>36</v>
      </c>
      <c r="P3798" s="12" t="s">
        <v>36</v>
      </c>
      <c r="Q3798" s="12" t="s">
        <v>36</v>
      </c>
      <c r="R3798" s="12" t="s">
        <v>36</v>
      </c>
      <c r="S3798" s="12" t="s">
        <v>36</v>
      </c>
      <c r="T3798" s="12" t="s">
        <v>3330</v>
      </c>
      <c r="U3798" s="12" t="s">
        <v>438</v>
      </c>
      <c r="V3798" s="12" t="s">
        <v>405</v>
      </c>
      <c r="W3798" s="12" t="s">
        <v>9688</v>
      </c>
      <c r="X3798" s="16" t="s">
        <v>19217</v>
      </c>
      <c r="Y3798" s="15" t="s">
        <v>166</v>
      </c>
      <c r="Z3798" s="14">
        <v>78.27</v>
      </c>
      <c r="AA3798" s="14">
        <v>249.42</v>
      </c>
      <c r="AB3798" s="12" t="s">
        <v>56</v>
      </c>
      <c r="AC3798" s="12" t="s">
        <v>9690</v>
      </c>
      <c r="AD3798" s="13">
        <v>44004</v>
      </c>
      <c r="AE3798" s="12" t="s">
        <v>438</v>
      </c>
      <c r="AF3798" s="12" t="s">
        <v>9691</v>
      </c>
      <c r="AG3798" s="12" t="s">
        <v>652</v>
      </c>
      <c r="AH3798" s="1">
        <f>HYPERLINK("https://my.pitchbook.com?c=138510-82T","View Company Online")</f>
      </c>
    </row>
    <row r="3799">
      <c r="A3799" s="3" t="s">
        <v>19218</v>
      </c>
      <c r="B3799" s="3" t="s">
        <v>19219</v>
      </c>
      <c r="C3799" s="5" t="s">
        <v>36</v>
      </c>
      <c r="D3799" s="5" t="s">
        <v>36</v>
      </c>
      <c r="E3799" s="5" t="s">
        <v>36</v>
      </c>
      <c r="F3799" s="5" t="s">
        <v>36</v>
      </c>
      <c r="G3799" s="6" t="s">
        <v>36</v>
      </c>
      <c r="H3799" s="4" t="s">
        <v>36</v>
      </c>
      <c r="I3799" s="7" t="s">
        <v>36</v>
      </c>
      <c r="J3799" s="3" t="s">
        <v>36</v>
      </c>
      <c r="K3799" s="9" t="s">
        <v>36</v>
      </c>
      <c r="L3799" s="6" t="s">
        <v>36</v>
      </c>
      <c r="M3799" s="3" t="s">
        <v>36</v>
      </c>
      <c r="N3799" s="3" t="s">
        <v>36</v>
      </c>
      <c r="O3799" s="8" t="s">
        <v>36</v>
      </c>
      <c r="P3799" s="3" t="s">
        <v>36</v>
      </c>
      <c r="Q3799" s="3" t="s">
        <v>36</v>
      </c>
      <c r="R3799" s="3" t="s">
        <v>36</v>
      </c>
      <c r="S3799" s="3" t="s">
        <v>36</v>
      </c>
      <c r="T3799" s="3" t="s">
        <v>4692</v>
      </c>
      <c r="U3799" s="3" t="s">
        <v>85</v>
      </c>
      <c r="V3799" s="3" t="s">
        <v>64</v>
      </c>
      <c r="W3799" s="3" t="s">
        <v>19220</v>
      </c>
      <c r="X3799" s="10" t="s">
        <v>13042</v>
      </c>
      <c r="Y3799" s="6" t="s">
        <v>42</v>
      </c>
      <c r="Z3799" s="4">
        <v>0.15</v>
      </c>
      <c r="AA3799" s="4" t="s">
        <v>36</v>
      </c>
      <c r="AB3799" s="3" t="s">
        <v>43</v>
      </c>
      <c r="AC3799" s="3" t="s">
        <v>19221</v>
      </c>
      <c r="AD3799" s="9">
        <v>44001</v>
      </c>
      <c r="AE3799" s="3" t="s">
        <v>89</v>
      </c>
      <c r="AF3799" s="3" t="s">
        <v>19222</v>
      </c>
      <c r="AG3799" s="3" t="s">
        <v>81</v>
      </c>
      <c r="AH3799" s="11">
        <f>HYPERLINK("https://my.pitchbook.com?c=261589-42T","View Company Online")</f>
      </c>
    </row>
    <row r="3800">
      <c r="A3800" s="12" t="s">
        <v>19223</v>
      </c>
      <c r="B3800" s="12" t="s">
        <v>12849</v>
      </c>
      <c r="C3800" s="19">
        <v>21</v>
      </c>
      <c r="D3800" s="19">
        <v>52</v>
      </c>
      <c r="E3800" s="19">
        <v>7</v>
      </c>
      <c r="F3800" s="19">
        <v>73</v>
      </c>
      <c r="G3800" s="15" t="s">
        <v>683</v>
      </c>
      <c r="H3800" s="14">
        <v>237.52</v>
      </c>
      <c r="I3800" s="18">
        <v>4.44</v>
      </c>
      <c r="J3800" s="12" t="s">
        <v>521</v>
      </c>
      <c r="K3800" s="13" t="s">
        <v>36</v>
      </c>
      <c r="L3800" s="15" t="s">
        <v>36</v>
      </c>
      <c r="M3800" s="12" t="s">
        <v>36</v>
      </c>
      <c r="N3800" s="12" t="s">
        <v>36</v>
      </c>
      <c r="O3800" s="17" t="s">
        <v>36</v>
      </c>
      <c r="P3800" s="12" t="s">
        <v>36</v>
      </c>
      <c r="Q3800" s="12" t="s">
        <v>36</v>
      </c>
      <c r="R3800" s="12" t="s">
        <v>3531</v>
      </c>
      <c r="S3800" s="12" t="s">
        <v>36</v>
      </c>
      <c r="T3800" s="12" t="s">
        <v>4225</v>
      </c>
      <c r="U3800" s="12" t="s">
        <v>96</v>
      </c>
      <c r="V3800" s="12" t="s">
        <v>52</v>
      </c>
      <c r="W3800" s="12" t="s">
        <v>12850</v>
      </c>
      <c r="X3800" s="16" t="s">
        <v>19224</v>
      </c>
      <c r="Y3800" s="15" t="s">
        <v>475</v>
      </c>
      <c r="Z3800" s="14">
        <v>13.39</v>
      </c>
      <c r="AA3800" s="14">
        <v>100.42</v>
      </c>
      <c r="AB3800" s="12" t="s">
        <v>56</v>
      </c>
      <c r="AC3800" s="12" t="s">
        <v>12852</v>
      </c>
      <c r="AD3800" s="13">
        <v>44001</v>
      </c>
      <c r="AE3800" s="12" t="s">
        <v>143</v>
      </c>
      <c r="AF3800" s="12" t="s">
        <v>6285</v>
      </c>
      <c r="AG3800" s="12" t="s">
        <v>81</v>
      </c>
      <c r="AH3800" s="1">
        <f>HYPERLINK("https://my.pitchbook.com?c=165167-11T","View Company Online")</f>
      </c>
    </row>
    <row r="3801">
      <c r="A3801" s="3" t="s">
        <v>19225</v>
      </c>
      <c r="B3801" s="3" t="s">
        <v>19226</v>
      </c>
      <c r="C3801" s="5">
        <v>2</v>
      </c>
      <c r="D3801" s="5" t="s">
        <v>36</v>
      </c>
      <c r="E3801" s="5">
        <v>2</v>
      </c>
      <c r="F3801" s="5">
        <v>2</v>
      </c>
      <c r="G3801" s="6" t="s">
        <v>36</v>
      </c>
      <c r="H3801" s="4">
        <v>69.24</v>
      </c>
      <c r="I3801" s="7">
        <v>27.27</v>
      </c>
      <c r="J3801" s="3" t="s">
        <v>521</v>
      </c>
      <c r="K3801" s="9" t="s">
        <v>36</v>
      </c>
      <c r="L3801" s="6" t="s">
        <v>36</v>
      </c>
      <c r="M3801" s="3" t="s">
        <v>36</v>
      </c>
      <c r="N3801" s="3" t="s">
        <v>36</v>
      </c>
      <c r="O3801" s="8" t="s">
        <v>36</v>
      </c>
      <c r="P3801" s="3" t="s">
        <v>36</v>
      </c>
      <c r="Q3801" s="3" t="s">
        <v>36</v>
      </c>
      <c r="R3801" s="3" t="s">
        <v>36</v>
      </c>
      <c r="S3801" s="3" t="s">
        <v>36</v>
      </c>
      <c r="T3801" s="3" t="s">
        <v>14989</v>
      </c>
      <c r="U3801" s="3" t="s">
        <v>51</v>
      </c>
      <c r="V3801" s="3" t="s">
        <v>52</v>
      </c>
      <c r="W3801" s="3" t="s">
        <v>19227</v>
      </c>
      <c r="X3801" s="10" t="s">
        <v>19228</v>
      </c>
      <c r="Y3801" s="6" t="s">
        <v>42</v>
      </c>
      <c r="Z3801" s="4">
        <v>0.84</v>
      </c>
      <c r="AA3801" s="4">
        <v>3.07</v>
      </c>
      <c r="AB3801" s="3" t="s">
        <v>43</v>
      </c>
      <c r="AC3801" s="3" t="s">
        <v>19229</v>
      </c>
      <c r="AD3801" s="9">
        <v>44001</v>
      </c>
      <c r="AE3801" s="3" t="s">
        <v>158</v>
      </c>
      <c r="AF3801" s="3" t="s">
        <v>159</v>
      </c>
      <c r="AG3801" s="3" t="s">
        <v>3497</v>
      </c>
      <c r="AH3801" s="11">
        <f>HYPERLINK("https://my.pitchbook.com?c=133505-65T","View Company Online")</f>
      </c>
    </row>
    <row r="3802">
      <c r="A3802" s="12" t="s">
        <v>19230</v>
      </c>
      <c r="B3802" s="12" t="s">
        <v>12731</v>
      </c>
      <c r="C3802" s="19">
        <v>11</v>
      </c>
      <c r="D3802" s="19">
        <v>123</v>
      </c>
      <c r="E3802" s="19">
        <v>31</v>
      </c>
      <c r="F3802" s="19">
        <v>140</v>
      </c>
      <c r="G3802" s="15" t="s">
        <v>326</v>
      </c>
      <c r="H3802" s="14">
        <v>11.48</v>
      </c>
      <c r="I3802" s="18">
        <v>15.93</v>
      </c>
      <c r="J3802" s="12" t="s">
        <v>521</v>
      </c>
      <c r="K3802" s="13" t="s">
        <v>36</v>
      </c>
      <c r="L3802" s="15" t="s">
        <v>1279</v>
      </c>
      <c r="M3802" s="12" t="s">
        <v>36</v>
      </c>
      <c r="N3802" s="12" t="s">
        <v>1279</v>
      </c>
      <c r="O3802" s="17" t="s">
        <v>36</v>
      </c>
      <c r="P3802" s="12" t="s">
        <v>36</v>
      </c>
      <c r="Q3802" s="12" t="s">
        <v>36</v>
      </c>
      <c r="R3802" s="12" t="s">
        <v>36</v>
      </c>
      <c r="S3802" s="12" t="s">
        <v>36</v>
      </c>
      <c r="T3802" s="12" t="s">
        <v>12732</v>
      </c>
      <c r="U3802" s="12" t="s">
        <v>318</v>
      </c>
      <c r="V3802" s="12" t="s">
        <v>39</v>
      </c>
      <c r="W3802" s="12" t="s">
        <v>12733</v>
      </c>
      <c r="X3802" s="16" t="s">
        <v>19231</v>
      </c>
      <c r="Y3802" s="15" t="s">
        <v>55</v>
      </c>
      <c r="Z3802" s="14">
        <v>6.69</v>
      </c>
      <c r="AA3802" s="14">
        <v>31.81</v>
      </c>
      <c r="AB3802" s="12" t="s">
        <v>56</v>
      </c>
      <c r="AC3802" s="12" t="s">
        <v>12735</v>
      </c>
      <c r="AD3802" s="13">
        <v>44000</v>
      </c>
      <c r="AE3802" s="12" t="s">
        <v>763</v>
      </c>
      <c r="AF3802" s="12" t="s">
        <v>12736</v>
      </c>
      <c r="AG3802" s="12" t="s">
        <v>969</v>
      </c>
      <c r="AH3802" s="1">
        <f>HYPERLINK("https://my.pitchbook.com?c=138047-95T","View Company Online")</f>
      </c>
    </row>
    <row r="3803">
      <c r="A3803" s="3" t="s">
        <v>19232</v>
      </c>
      <c r="B3803" s="3" t="s">
        <v>19233</v>
      </c>
      <c r="C3803" s="5" t="s">
        <v>36</v>
      </c>
      <c r="D3803" s="5" t="s">
        <v>36</v>
      </c>
      <c r="E3803" s="5" t="s">
        <v>36</v>
      </c>
      <c r="F3803" s="5" t="s">
        <v>36</v>
      </c>
      <c r="G3803" s="6" t="s">
        <v>2497</v>
      </c>
      <c r="H3803" s="4">
        <v>98.91</v>
      </c>
      <c r="I3803" s="7">
        <v>5.22</v>
      </c>
      <c r="J3803" s="3" t="s">
        <v>521</v>
      </c>
      <c r="K3803" s="9" t="s">
        <v>36</v>
      </c>
      <c r="L3803" s="6" t="s">
        <v>36</v>
      </c>
      <c r="M3803" s="3" t="s">
        <v>36</v>
      </c>
      <c r="N3803" s="3" t="s">
        <v>36</v>
      </c>
      <c r="O3803" s="8" t="s">
        <v>36</v>
      </c>
      <c r="P3803" s="3" t="s">
        <v>36</v>
      </c>
      <c r="Q3803" s="3" t="s">
        <v>36</v>
      </c>
      <c r="R3803" s="3" t="s">
        <v>36</v>
      </c>
      <c r="S3803" s="3" t="s">
        <v>36</v>
      </c>
      <c r="T3803" s="3" t="s">
        <v>19234</v>
      </c>
      <c r="U3803" s="3" t="s">
        <v>289</v>
      </c>
      <c r="V3803" s="3" t="s">
        <v>64</v>
      </c>
      <c r="W3803" s="3" t="s">
        <v>19235</v>
      </c>
      <c r="X3803" s="10" t="s">
        <v>17134</v>
      </c>
      <c r="Y3803" s="6" t="s">
        <v>108</v>
      </c>
      <c r="Z3803" s="4">
        <v>0.12</v>
      </c>
      <c r="AA3803" s="4">
        <v>2.35</v>
      </c>
      <c r="AB3803" s="3" t="s">
        <v>56</v>
      </c>
      <c r="AC3803" s="3" t="s">
        <v>19236</v>
      </c>
      <c r="AD3803" s="9">
        <v>44000</v>
      </c>
      <c r="AE3803" s="3" t="s">
        <v>3134</v>
      </c>
      <c r="AF3803" s="3" t="s">
        <v>4397</v>
      </c>
      <c r="AG3803" s="3" t="s">
        <v>81</v>
      </c>
      <c r="AH3803" s="11">
        <f>HYPERLINK("https://my.pitchbook.com?c=181655-65T","View Company Online")</f>
      </c>
    </row>
    <row r="3804">
      <c r="A3804" s="12" t="s">
        <v>19237</v>
      </c>
      <c r="B3804" s="12" t="s">
        <v>11968</v>
      </c>
      <c r="C3804" s="19" t="s">
        <v>36</v>
      </c>
      <c r="D3804" s="19" t="s">
        <v>36</v>
      </c>
      <c r="E3804" s="19" t="s">
        <v>36</v>
      </c>
      <c r="F3804" s="19" t="s">
        <v>36</v>
      </c>
      <c r="G3804" s="15" t="s">
        <v>36</v>
      </c>
      <c r="H3804" s="14">
        <v>1557.85</v>
      </c>
      <c r="I3804" s="18">
        <v>50.01</v>
      </c>
      <c r="J3804" s="12" t="s">
        <v>521</v>
      </c>
      <c r="K3804" s="13" t="s">
        <v>36</v>
      </c>
      <c r="L3804" s="15" t="s">
        <v>36</v>
      </c>
      <c r="M3804" s="12" t="s">
        <v>36</v>
      </c>
      <c r="N3804" s="12" t="s">
        <v>36</v>
      </c>
      <c r="O3804" s="17" t="s">
        <v>36</v>
      </c>
      <c r="P3804" s="12" t="s">
        <v>36</v>
      </c>
      <c r="Q3804" s="12" t="s">
        <v>36</v>
      </c>
      <c r="R3804" s="12" t="s">
        <v>36</v>
      </c>
      <c r="S3804" s="12" t="s">
        <v>36</v>
      </c>
      <c r="T3804" s="12" t="s">
        <v>522</v>
      </c>
      <c r="U3804" s="12" t="s">
        <v>38</v>
      </c>
      <c r="V3804" s="12" t="s">
        <v>39</v>
      </c>
      <c r="W3804" s="12" t="s">
        <v>11969</v>
      </c>
      <c r="X3804" s="16" t="s">
        <v>19238</v>
      </c>
      <c r="Y3804" s="15" t="s">
        <v>42</v>
      </c>
      <c r="Z3804" s="14">
        <v>1.11</v>
      </c>
      <c r="AA3804" s="14">
        <v>2.23</v>
      </c>
      <c r="AB3804" s="12" t="s">
        <v>43</v>
      </c>
      <c r="AC3804" s="12" t="s">
        <v>11971</v>
      </c>
      <c r="AD3804" s="13">
        <v>44000</v>
      </c>
      <c r="AE3804" s="12" t="s">
        <v>110</v>
      </c>
      <c r="AF3804" s="12" t="s">
        <v>3974</v>
      </c>
      <c r="AG3804" s="12" t="s">
        <v>11972</v>
      </c>
      <c r="AH3804" s="1">
        <f>HYPERLINK("https://my.pitchbook.com?c=155738-98T","View Company Online")</f>
      </c>
    </row>
    <row r="3805">
      <c r="A3805" s="3" t="s">
        <v>19239</v>
      </c>
      <c r="B3805" s="3" t="s">
        <v>19240</v>
      </c>
      <c r="C3805" s="5" t="s">
        <v>36</v>
      </c>
      <c r="D3805" s="5" t="s">
        <v>36</v>
      </c>
      <c r="E3805" s="5" t="s">
        <v>36</v>
      </c>
      <c r="F3805" s="5" t="s">
        <v>36</v>
      </c>
      <c r="G3805" s="6" t="s">
        <v>326</v>
      </c>
      <c r="H3805" s="4">
        <v>455.46</v>
      </c>
      <c r="I3805" s="7">
        <v>8.81</v>
      </c>
      <c r="J3805" s="3" t="s">
        <v>521</v>
      </c>
      <c r="K3805" s="9" t="s">
        <v>36</v>
      </c>
      <c r="L3805" s="6" t="s">
        <v>36</v>
      </c>
      <c r="M3805" s="3" t="s">
        <v>36</v>
      </c>
      <c r="N3805" s="3" t="s">
        <v>36</v>
      </c>
      <c r="O3805" s="8" t="s">
        <v>36</v>
      </c>
      <c r="P3805" s="3" t="s">
        <v>36</v>
      </c>
      <c r="Q3805" s="3" t="s">
        <v>36</v>
      </c>
      <c r="R3805" s="3" t="s">
        <v>36</v>
      </c>
      <c r="S3805" s="3" t="s">
        <v>36</v>
      </c>
      <c r="T3805" s="3" t="s">
        <v>19241</v>
      </c>
      <c r="U3805" s="3" t="s">
        <v>279</v>
      </c>
      <c r="V3805" s="3" t="s">
        <v>64</v>
      </c>
      <c r="W3805" s="3" t="s">
        <v>19242</v>
      </c>
      <c r="X3805" s="10" t="s">
        <v>9445</v>
      </c>
      <c r="Y3805" s="6" t="s">
        <v>55</v>
      </c>
      <c r="Z3805" s="4">
        <v>0.83</v>
      </c>
      <c r="AA3805" s="4">
        <v>9.43</v>
      </c>
      <c r="AB3805" s="3" t="s">
        <v>56</v>
      </c>
      <c r="AC3805" s="3" t="s">
        <v>19243</v>
      </c>
      <c r="AD3805" s="9">
        <v>43999</v>
      </c>
      <c r="AE3805" s="3" t="s">
        <v>283</v>
      </c>
      <c r="AF3805" s="3" t="s">
        <v>4284</v>
      </c>
      <c r="AG3805" s="3" t="s">
        <v>2662</v>
      </c>
      <c r="AH3805" s="11">
        <f>HYPERLINK("https://my.pitchbook.com?c=180897-58T","View Company Online")</f>
      </c>
    </row>
    <row r="3806">
      <c r="A3806" s="12" t="s">
        <v>19244</v>
      </c>
      <c r="B3806" s="12" t="s">
        <v>19245</v>
      </c>
      <c r="C3806" s="19" t="s">
        <v>36</v>
      </c>
      <c r="D3806" s="19" t="s">
        <v>36</v>
      </c>
      <c r="E3806" s="19" t="s">
        <v>36</v>
      </c>
      <c r="F3806" s="19" t="s">
        <v>36</v>
      </c>
      <c r="G3806" s="15" t="s">
        <v>326</v>
      </c>
      <c r="H3806" s="14">
        <v>307.41</v>
      </c>
      <c r="I3806" s="18">
        <v>9.1</v>
      </c>
      <c r="J3806" s="12" t="s">
        <v>521</v>
      </c>
      <c r="K3806" s="13" t="s">
        <v>36</v>
      </c>
      <c r="L3806" s="15" t="s">
        <v>36</v>
      </c>
      <c r="M3806" s="12" t="s">
        <v>36</v>
      </c>
      <c r="N3806" s="12" t="s">
        <v>36</v>
      </c>
      <c r="O3806" s="17" t="s">
        <v>36</v>
      </c>
      <c r="P3806" s="12" t="s">
        <v>36</v>
      </c>
      <c r="Q3806" s="12" t="s">
        <v>36</v>
      </c>
      <c r="R3806" s="12" t="s">
        <v>36</v>
      </c>
      <c r="S3806" s="12" t="s">
        <v>36</v>
      </c>
      <c r="T3806" s="12" t="s">
        <v>19246</v>
      </c>
      <c r="U3806" s="12" t="s">
        <v>63</v>
      </c>
      <c r="V3806" s="12" t="s">
        <v>64</v>
      </c>
      <c r="W3806" s="12" t="s">
        <v>19247</v>
      </c>
      <c r="X3806" s="16" t="s">
        <v>19248</v>
      </c>
      <c r="Y3806" s="15" t="s">
        <v>108</v>
      </c>
      <c r="Z3806" s="14">
        <v>0.56</v>
      </c>
      <c r="AA3806" s="14">
        <v>6.13</v>
      </c>
      <c r="AB3806" s="12" t="s">
        <v>56</v>
      </c>
      <c r="AC3806" s="12" t="s">
        <v>19249</v>
      </c>
      <c r="AD3806" s="13">
        <v>43999</v>
      </c>
      <c r="AE3806" s="12" t="s">
        <v>68</v>
      </c>
      <c r="AF3806" s="12" t="s">
        <v>12865</v>
      </c>
      <c r="AG3806" s="12" t="s">
        <v>924</v>
      </c>
      <c r="AH3806" s="1">
        <f>HYPERLINK("https://my.pitchbook.com?c=180011-44T","View Company Online")</f>
      </c>
    </row>
    <row r="3807">
      <c r="A3807" s="3" t="s">
        <v>19250</v>
      </c>
      <c r="B3807" s="3" t="s">
        <v>19251</v>
      </c>
      <c r="C3807" s="5" t="s">
        <v>36</v>
      </c>
      <c r="D3807" s="5" t="s">
        <v>36</v>
      </c>
      <c r="E3807" s="5" t="s">
        <v>36</v>
      </c>
      <c r="F3807" s="5" t="s">
        <v>36</v>
      </c>
      <c r="G3807" s="6" t="s">
        <v>36</v>
      </c>
      <c r="H3807" s="4">
        <v>202</v>
      </c>
      <c r="I3807" s="7">
        <v>10.73</v>
      </c>
      <c r="J3807" s="3" t="s">
        <v>521</v>
      </c>
      <c r="K3807" s="9" t="s">
        <v>36</v>
      </c>
      <c r="L3807" s="6" t="s">
        <v>36</v>
      </c>
      <c r="M3807" s="3" t="s">
        <v>36</v>
      </c>
      <c r="N3807" s="3" t="s">
        <v>36</v>
      </c>
      <c r="O3807" s="8" t="s">
        <v>36</v>
      </c>
      <c r="P3807" s="3" t="s">
        <v>36</v>
      </c>
      <c r="Q3807" s="3" t="s">
        <v>36</v>
      </c>
      <c r="R3807" s="3" t="s">
        <v>36</v>
      </c>
      <c r="S3807" s="3" t="s">
        <v>36</v>
      </c>
      <c r="T3807" s="3" t="s">
        <v>278</v>
      </c>
      <c r="U3807" s="3" t="s">
        <v>279</v>
      </c>
      <c r="V3807" s="3" t="s">
        <v>64</v>
      </c>
      <c r="W3807" s="3" t="s">
        <v>19252</v>
      </c>
      <c r="X3807" s="10" t="s">
        <v>19253</v>
      </c>
      <c r="Y3807" s="6" t="s">
        <v>42</v>
      </c>
      <c r="Z3807" s="4">
        <v>0.24</v>
      </c>
      <c r="AA3807" s="4">
        <v>2.25</v>
      </c>
      <c r="AB3807" s="3" t="s">
        <v>43</v>
      </c>
      <c r="AC3807" s="3" t="s">
        <v>19254</v>
      </c>
      <c r="AD3807" s="9">
        <v>43999</v>
      </c>
      <c r="AE3807" s="3" t="s">
        <v>283</v>
      </c>
      <c r="AF3807" s="3" t="s">
        <v>1465</v>
      </c>
      <c r="AG3807" s="3" t="s">
        <v>81</v>
      </c>
      <c r="AH3807" s="11">
        <f>HYPERLINK("https://my.pitchbook.com?c=177668-11T","View Company Online")</f>
      </c>
    </row>
    <row r="3808">
      <c r="A3808" s="12" t="s">
        <v>19255</v>
      </c>
      <c r="B3808" s="12" t="s">
        <v>19256</v>
      </c>
      <c r="C3808" s="19" t="s">
        <v>36</v>
      </c>
      <c r="D3808" s="19" t="s">
        <v>36</v>
      </c>
      <c r="E3808" s="19" t="s">
        <v>36</v>
      </c>
      <c r="F3808" s="19" t="s">
        <v>36</v>
      </c>
      <c r="G3808" s="15" t="s">
        <v>326</v>
      </c>
      <c r="H3808" s="14">
        <v>176.73</v>
      </c>
      <c r="I3808" s="18">
        <v>21.47</v>
      </c>
      <c r="J3808" s="12" t="s">
        <v>521</v>
      </c>
      <c r="K3808" s="13" t="s">
        <v>36</v>
      </c>
      <c r="L3808" s="15" t="s">
        <v>36</v>
      </c>
      <c r="M3808" s="12" t="s">
        <v>36</v>
      </c>
      <c r="N3808" s="12" t="s">
        <v>36</v>
      </c>
      <c r="O3808" s="17" t="s">
        <v>36</v>
      </c>
      <c r="P3808" s="12" t="s">
        <v>36</v>
      </c>
      <c r="Q3808" s="12" t="s">
        <v>36</v>
      </c>
      <c r="R3808" s="12" t="s">
        <v>36</v>
      </c>
      <c r="S3808" s="12" t="s">
        <v>36</v>
      </c>
      <c r="T3808" s="12" t="s">
        <v>19257</v>
      </c>
      <c r="U3808" s="12" t="s">
        <v>38</v>
      </c>
      <c r="V3808" s="12" t="s">
        <v>39</v>
      </c>
      <c r="W3808" s="12" t="s">
        <v>19258</v>
      </c>
      <c r="X3808" s="16" t="s">
        <v>19259</v>
      </c>
      <c r="Y3808" s="15" t="s">
        <v>42</v>
      </c>
      <c r="Z3808" s="14">
        <v>0.56</v>
      </c>
      <c r="AA3808" s="14">
        <v>2.59</v>
      </c>
      <c r="AB3808" s="12" t="s">
        <v>56</v>
      </c>
      <c r="AC3808" s="12" t="s">
        <v>19260</v>
      </c>
      <c r="AD3808" s="13">
        <v>43999</v>
      </c>
      <c r="AE3808" s="12" t="s">
        <v>554</v>
      </c>
      <c r="AF3808" s="12" t="s">
        <v>19261</v>
      </c>
      <c r="AG3808" s="12" t="s">
        <v>81</v>
      </c>
      <c r="AH3808" s="1">
        <f>HYPERLINK("https://my.pitchbook.com?c=176892-22T","View Company Online")</f>
      </c>
    </row>
    <row r="3809">
      <c r="A3809" s="3" t="s">
        <v>19262</v>
      </c>
      <c r="B3809" s="3" t="s">
        <v>19263</v>
      </c>
      <c r="C3809" s="5" t="s">
        <v>36</v>
      </c>
      <c r="D3809" s="5" t="s">
        <v>36</v>
      </c>
      <c r="E3809" s="5" t="s">
        <v>36</v>
      </c>
      <c r="F3809" s="5" t="s">
        <v>36</v>
      </c>
      <c r="G3809" s="6" t="s">
        <v>36</v>
      </c>
      <c r="H3809" s="4" t="s">
        <v>36</v>
      </c>
      <c r="I3809" s="7" t="s">
        <v>36</v>
      </c>
      <c r="J3809" s="3" t="s">
        <v>36</v>
      </c>
      <c r="K3809" s="9" t="s">
        <v>36</v>
      </c>
      <c r="L3809" s="6" t="s">
        <v>36</v>
      </c>
      <c r="M3809" s="3" t="s">
        <v>36</v>
      </c>
      <c r="N3809" s="3" t="s">
        <v>36</v>
      </c>
      <c r="O3809" s="8" t="s">
        <v>36</v>
      </c>
      <c r="P3809" s="3" t="s">
        <v>36</v>
      </c>
      <c r="Q3809" s="3" t="s">
        <v>36</v>
      </c>
      <c r="R3809" s="3" t="s">
        <v>36</v>
      </c>
      <c r="S3809" s="3" t="s">
        <v>36</v>
      </c>
      <c r="T3809" s="3" t="s">
        <v>1701</v>
      </c>
      <c r="U3809" s="3" t="s">
        <v>74</v>
      </c>
      <c r="V3809" s="3" t="s">
        <v>75</v>
      </c>
      <c r="W3809" s="3" t="s">
        <v>19264</v>
      </c>
      <c r="X3809" s="10" t="s">
        <v>19265</v>
      </c>
      <c r="Y3809" s="6" t="s">
        <v>42</v>
      </c>
      <c r="Z3809" s="4">
        <v>1.11</v>
      </c>
      <c r="AA3809" s="4" t="s">
        <v>36</v>
      </c>
      <c r="AB3809" s="3" t="s">
        <v>43</v>
      </c>
      <c r="AC3809" s="3" t="s">
        <v>19266</v>
      </c>
      <c r="AD3809" s="9">
        <v>43998</v>
      </c>
      <c r="AE3809" s="3" t="s">
        <v>79</v>
      </c>
      <c r="AF3809" s="3" t="s">
        <v>2759</v>
      </c>
      <c r="AG3809" s="3" t="s">
        <v>757</v>
      </c>
      <c r="AH3809" s="11">
        <f>HYPERLINK("https://my.pitchbook.com?c=139401-19T","View Company Online")</f>
      </c>
    </row>
    <row r="3810">
      <c r="A3810" s="12" t="s">
        <v>19267</v>
      </c>
      <c r="B3810" s="12" t="s">
        <v>19268</v>
      </c>
      <c r="C3810" s="19" t="s">
        <v>36</v>
      </c>
      <c r="D3810" s="19" t="s">
        <v>36</v>
      </c>
      <c r="E3810" s="19">
        <v>1</v>
      </c>
      <c r="F3810" s="19">
        <v>1</v>
      </c>
      <c r="G3810" s="15" t="s">
        <v>326</v>
      </c>
      <c r="H3810" s="14">
        <v>69.58</v>
      </c>
      <c r="I3810" s="18">
        <v>22.89</v>
      </c>
      <c r="J3810" s="12" t="s">
        <v>521</v>
      </c>
      <c r="K3810" s="13" t="s">
        <v>36</v>
      </c>
      <c r="L3810" s="15" t="s">
        <v>122</v>
      </c>
      <c r="M3810" s="12" t="s">
        <v>36</v>
      </c>
      <c r="N3810" s="12" t="s">
        <v>122</v>
      </c>
      <c r="O3810" s="17" t="s">
        <v>36</v>
      </c>
      <c r="P3810" s="12" t="s">
        <v>36</v>
      </c>
      <c r="Q3810" s="12" t="s">
        <v>36</v>
      </c>
      <c r="R3810" s="12" t="s">
        <v>36</v>
      </c>
      <c r="S3810" s="12" t="s">
        <v>36</v>
      </c>
      <c r="T3810" s="12" t="s">
        <v>1725</v>
      </c>
      <c r="U3810" s="12" t="s">
        <v>318</v>
      </c>
      <c r="V3810" s="12" t="s">
        <v>39</v>
      </c>
      <c r="W3810" s="12" t="s">
        <v>19269</v>
      </c>
      <c r="X3810" s="16" t="s">
        <v>19270</v>
      </c>
      <c r="Y3810" s="15" t="s">
        <v>55</v>
      </c>
      <c r="Z3810" s="14">
        <v>1.33</v>
      </c>
      <c r="AA3810" s="14">
        <v>3.09</v>
      </c>
      <c r="AB3810" s="12" t="s">
        <v>56</v>
      </c>
      <c r="AC3810" s="12" t="s">
        <v>19271</v>
      </c>
      <c r="AD3810" s="13">
        <v>43998</v>
      </c>
      <c r="AE3810" s="12" t="s">
        <v>763</v>
      </c>
      <c r="AF3810" s="12" t="s">
        <v>19272</v>
      </c>
      <c r="AG3810" s="12" t="s">
        <v>19273</v>
      </c>
      <c r="AH3810" s="1">
        <f>HYPERLINK("https://my.pitchbook.com?c=155818-72T","View Company Online")</f>
      </c>
    </row>
    <row r="3811">
      <c r="A3811" s="3" t="s">
        <v>19274</v>
      </c>
      <c r="B3811" s="3" t="s">
        <v>19275</v>
      </c>
      <c r="C3811" s="5" t="s">
        <v>36</v>
      </c>
      <c r="D3811" s="5" t="s">
        <v>36</v>
      </c>
      <c r="E3811" s="5" t="s">
        <v>36</v>
      </c>
      <c r="F3811" s="5" t="s">
        <v>36</v>
      </c>
      <c r="G3811" s="6" t="s">
        <v>36</v>
      </c>
      <c r="H3811" s="4" t="s">
        <v>36</v>
      </c>
      <c r="I3811" s="7" t="s">
        <v>36</v>
      </c>
      <c r="J3811" s="3" t="s">
        <v>36</v>
      </c>
      <c r="K3811" s="9" t="s">
        <v>36</v>
      </c>
      <c r="L3811" s="6" t="s">
        <v>36</v>
      </c>
      <c r="M3811" s="3" t="s">
        <v>36</v>
      </c>
      <c r="N3811" s="3" t="s">
        <v>36</v>
      </c>
      <c r="O3811" s="8" t="s">
        <v>36</v>
      </c>
      <c r="P3811" s="3" t="s">
        <v>36</v>
      </c>
      <c r="Q3811" s="3" t="s">
        <v>36</v>
      </c>
      <c r="R3811" s="3" t="s">
        <v>36</v>
      </c>
      <c r="S3811" s="3" t="s">
        <v>36</v>
      </c>
      <c r="T3811" s="3" t="s">
        <v>522</v>
      </c>
      <c r="U3811" s="3" t="s">
        <v>38</v>
      </c>
      <c r="V3811" s="3" t="s">
        <v>39</v>
      </c>
      <c r="W3811" s="3" t="s">
        <v>19276</v>
      </c>
      <c r="X3811" s="10" t="s">
        <v>19277</v>
      </c>
      <c r="Y3811" s="6" t="s">
        <v>166</v>
      </c>
      <c r="Z3811" s="4">
        <v>8.29</v>
      </c>
      <c r="AA3811" s="4" t="s">
        <v>36</v>
      </c>
      <c r="AB3811" s="3" t="s">
        <v>56</v>
      </c>
      <c r="AC3811" s="3" t="s">
        <v>19278</v>
      </c>
      <c r="AD3811" s="9">
        <v>43997</v>
      </c>
      <c r="AE3811" s="3" t="s">
        <v>110</v>
      </c>
      <c r="AF3811" s="3" t="s">
        <v>36</v>
      </c>
      <c r="AG3811" s="3" t="s">
        <v>81</v>
      </c>
      <c r="AH3811" s="11">
        <f>HYPERLINK("https://my.pitchbook.com?c=138156-40T","View Company Online")</f>
      </c>
    </row>
    <row r="3812">
      <c r="A3812" s="12" t="s">
        <v>19279</v>
      </c>
      <c r="B3812" s="12" t="s">
        <v>19280</v>
      </c>
      <c r="C3812" s="19" t="s">
        <v>36</v>
      </c>
      <c r="D3812" s="19" t="s">
        <v>36</v>
      </c>
      <c r="E3812" s="19" t="s">
        <v>36</v>
      </c>
      <c r="F3812" s="19" t="s">
        <v>36</v>
      </c>
      <c r="G3812" s="15" t="s">
        <v>36</v>
      </c>
      <c r="H3812" s="14">
        <v>111.27</v>
      </c>
      <c r="I3812" s="18">
        <v>25.68</v>
      </c>
      <c r="J3812" s="12" t="s">
        <v>521</v>
      </c>
      <c r="K3812" s="13" t="s">
        <v>36</v>
      </c>
      <c r="L3812" s="15" t="s">
        <v>36</v>
      </c>
      <c r="M3812" s="12" t="s">
        <v>36</v>
      </c>
      <c r="N3812" s="12" t="s">
        <v>36</v>
      </c>
      <c r="O3812" s="17" t="s">
        <v>36</v>
      </c>
      <c r="P3812" s="12" t="s">
        <v>36</v>
      </c>
      <c r="Q3812" s="12" t="s">
        <v>36</v>
      </c>
      <c r="R3812" s="12" t="s">
        <v>36</v>
      </c>
      <c r="S3812" s="12" t="s">
        <v>36</v>
      </c>
      <c r="T3812" s="12" t="s">
        <v>5929</v>
      </c>
      <c r="U3812" s="12" t="s">
        <v>38</v>
      </c>
      <c r="V3812" s="12" t="s">
        <v>39</v>
      </c>
      <c r="W3812" s="12" t="s">
        <v>19281</v>
      </c>
      <c r="X3812" s="16" t="s">
        <v>19282</v>
      </c>
      <c r="Y3812" s="15" t="s">
        <v>42</v>
      </c>
      <c r="Z3812" s="14">
        <v>0.57</v>
      </c>
      <c r="AA3812" s="14">
        <v>2.23</v>
      </c>
      <c r="AB3812" s="12" t="s">
        <v>43</v>
      </c>
      <c r="AC3812" s="12" t="s">
        <v>19283</v>
      </c>
      <c r="AD3812" s="13">
        <v>43997</v>
      </c>
      <c r="AE3812" s="12" t="s">
        <v>110</v>
      </c>
      <c r="AF3812" s="12" t="s">
        <v>19284</v>
      </c>
      <c r="AG3812" s="12" t="s">
        <v>81</v>
      </c>
      <c r="AH3812" s="1">
        <f>HYPERLINK("https://my.pitchbook.com?c=140717-26T","View Company Online")</f>
      </c>
    </row>
    <row r="3813">
      <c r="A3813" s="3" t="s">
        <v>19285</v>
      </c>
      <c r="B3813" s="3" t="s">
        <v>19286</v>
      </c>
      <c r="C3813" s="5" t="s">
        <v>36</v>
      </c>
      <c r="D3813" s="5">
        <v>2</v>
      </c>
      <c r="E3813" s="5">
        <v>2</v>
      </c>
      <c r="F3813" s="5">
        <v>3</v>
      </c>
      <c r="G3813" s="6" t="s">
        <v>36</v>
      </c>
      <c r="H3813" s="4">
        <v>9.26</v>
      </c>
      <c r="I3813" s="7">
        <v>26.92</v>
      </c>
      <c r="J3813" s="3" t="s">
        <v>521</v>
      </c>
      <c r="K3813" s="9">
        <v>43987</v>
      </c>
      <c r="L3813" s="6" t="s">
        <v>36</v>
      </c>
      <c r="M3813" s="3" t="s">
        <v>36</v>
      </c>
      <c r="N3813" s="3" t="s">
        <v>36</v>
      </c>
      <c r="O3813" s="8" t="s">
        <v>36</v>
      </c>
      <c r="P3813" s="3" t="s">
        <v>36</v>
      </c>
      <c r="Q3813" s="3" t="s">
        <v>36</v>
      </c>
      <c r="R3813" s="3" t="s">
        <v>36</v>
      </c>
      <c r="S3813" s="3" t="s">
        <v>36</v>
      </c>
      <c r="T3813" s="3" t="s">
        <v>130</v>
      </c>
      <c r="U3813" s="3" t="s">
        <v>38</v>
      </c>
      <c r="V3813" s="3" t="s">
        <v>39</v>
      </c>
      <c r="W3813" s="3" t="s">
        <v>19287</v>
      </c>
      <c r="X3813" s="10" t="s">
        <v>19288</v>
      </c>
      <c r="Y3813" s="6" t="s">
        <v>42</v>
      </c>
      <c r="Z3813" s="4">
        <v>5.55</v>
      </c>
      <c r="AA3813" s="4">
        <v>16.5</v>
      </c>
      <c r="AB3813" s="3" t="s">
        <v>56</v>
      </c>
      <c r="AC3813" s="3" t="s">
        <v>19289</v>
      </c>
      <c r="AD3813" s="9">
        <v>43997</v>
      </c>
      <c r="AE3813" s="3" t="s">
        <v>134</v>
      </c>
      <c r="AF3813" s="3" t="s">
        <v>7730</v>
      </c>
      <c r="AG3813" s="3" t="s">
        <v>81</v>
      </c>
      <c r="AH3813" s="11">
        <f>HYPERLINK("https://my.pitchbook.com?c=138143-80T","View Company Online")</f>
      </c>
    </row>
    <row r="3814">
      <c r="A3814" s="12" t="s">
        <v>19290</v>
      </c>
      <c r="B3814" s="12" t="s">
        <v>4571</v>
      </c>
      <c r="C3814" s="19">
        <v>3</v>
      </c>
      <c r="D3814" s="19">
        <v>8</v>
      </c>
      <c r="E3814" s="19">
        <v>4</v>
      </c>
      <c r="F3814" s="19">
        <v>11</v>
      </c>
      <c r="G3814" s="15" t="s">
        <v>326</v>
      </c>
      <c r="H3814" s="14">
        <v>249.26</v>
      </c>
      <c r="I3814" s="18">
        <v>19.99</v>
      </c>
      <c r="J3814" s="12" t="s">
        <v>521</v>
      </c>
      <c r="K3814" s="13" t="s">
        <v>36</v>
      </c>
      <c r="L3814" s="15" t="s">
        <v>36</v>
      </c>
      <c r="M3814" s="12" t="s">
        <v>36</v>
      </c>
      <c r="N3814" s="12" t="s">
        <v>36</v>
      </c>
      <c r="O3814" s="17" t="s">
        <v>36</v>
      </c>
      <c r="P3814" s="12" t="s">
        <v>36</v>
      </c>
      <c r="Q3814" s="12" t="s">
        <v>36</v>
      </c>
      <c r="R3814" s="12" t="s">
        <v>36</v>
      </c>
      <c r="S3814" s="12" t="s">
        <v>36</v>
      </c>
      <c r="T3814" s="12" t="s">
        <v>4572</v>
      </c>
      <c r="U3814" s="12" t="s">
        <v>423</v>
      </c>
      <c r="V3814" s="12" t="s">
        <v>64</v>
      </c>
      <c r="W3814" s="12" t="s">
        <v>4573</v>
      </c>
      <c r="X3814" s="16" t="s">
        <v>19291</v>
      </c>
      <c r="Y3814" s="15" t="s">
        <v>42</v>
      </c>
      <c r="Z3814" s="14">
        <v>0.67</v>
      </c>
      <c r="AA3814" s="14">
        <v>1.67</v>
      </c>
      <c r="AB3814" s="12" t="s">
        <v>43</v>
      </c>
      <c r="AC3814" s="12" t="s">
        <v>4575</v>
      </c>
      <c r="AD3814" s="13">
        <v>43997</v>
      </c>
      <c r="AE3814" s="12" t="s">
        <v>2871</v>
      </c>
      <c r="AF3814" s="12" t="s">
        <v>571</v>
      </c>
      <c r="AG3814" s="12" t="s">
        <v>186</v>
      </c>
      <c r="AH3814" s="1">
        <f>HYPERLINK("https://my.pitchbook.com?c=212311-45T","View Company Online")</f>
      </c>
    </row>
    <row r="3815">
      <c r="A3815" s="3" t="s">
        <v>19292</v>
      </c>
      <c r="B3815" s="3" t="s">
        <v>16089</v>
      </c>
      <c r="C3815" s="5">
        <v>10</v>
      </c>
      <c r="D3815" s="5">
        <v>6</v>
      </c>
      <c r="E3815" s="5">
        <v>4</v>
      </c>
      <c r="F3815" s="5">
        <v>17</v>
      </c>
      <c r="G3815" s="6" t="s">
        <v>36</v>
      </c>
      <c r="H3815" s="4">
        <v>163.05</v>
      </c>
      <c r="I3815" s="7">
        <v>17.16</v>
      </c>
      <c r="J3815" s="3" t="s">
        <v>327</v>
      </c>
      <c r="K3815" s="9">
        <v>43891</v>
      </c>
      <c r="L3815" s="6" t="s">
        <v>36</v>
      </c>
      <c r="M3815" s="3" t="s">
        <v>36</v>
      </c>
      <c r="N3815" s="3" t="s">
        <v>36</v>
      </c>
      <c r="O3815" s="8" t="s">
        <v>36</v>
      </c>
      <c r="P3815" s="3" t="s">
        <v>36</v>
      </c>
      <c r="Q3815" s="3" t="s">
        <v>36</v>
      </c>
      <c r="R3815" s="3" t="s">
        <v>36</v>
      </c>
      <c r="S3815" s="3" t="s">
        <v>36</v>
      </c>
      <c r="T3815" s="3" t="s">
        <v>881</v>
      </c>
      <c r="U3815" s="3" t="s">
        <v>51</v>
      </c>
      <c r="V3815" s="3" t="s">
        <v>52</v>
      </c>
      <c r="W3815" s="3" t="s">
        <v>16090</v>
      </c>
      <c r="X3815" s="10" t="s">
        <v>19293</v>
      </c>
      <c r="Y3815" s="6" t="s">
        <v>166</v>
      </c>
      <c r="Z3815" s="4">
        <v>4.89</v>
      </c>
      <c r="AA3815" s="4">
        <v>28.47</v>
      </c>
      <c r="AB3815" s="3" t="s">
        <v>56</v>
      </c>
      <c r="AC3815" s="3" t="s">
        <v>16092</v>
      </c>
      <c r="AD3815" s="9">
        <v>43997</v>
      </c>
      <c r="AE3815" s="3" t="s">
        <v>504</v>
      </c>
      <c r="AF3815" s="3" t="s">
        <v>665</v>
      </c>
      <c r="AG3815" s="3" t="s">
        <v>186</v>
      </c>
      <c r="AH3815" s="11">
        <f>HYPERLINK("https://my.pitchbook.com?c=138266-38T","View Company Online")</f>
      </c>
    </row>
    <row r="3816">
      <c r="A3816" s="12" t="s">
        <v>19294</v>
      </c>
      <c r="B3816" s="12" t="s">
        <v>19295</v>
      </c>
      <c r="C3816" s="19" t="s">
        <v>36</v>
      </c>
      <c r="D3816" s="19" t="s">
        <v>36</v>
      </c>
      <c r="E3816" s="19" t="s">
        <v>36</v>
      </c>
      <c r="F3816" s="19" t="s">
        <v>36</v>
      </c>
      <c r="G3816" s="15" t="s">
        <v>36</v>
      </c>
      <c r="H3816" s="14">
        <v>5.91</v>
      </c>
      <c r="I3816" s="18">
        <v>27.79</v>
      </c>
      <c r="J3816" s="12" t="s">
        <v>521</v>
      </c>
      <c r="K3816" s="13" t="s">
        <v>36</v>
      </c>
      <c r="L3816" s="15" t="s">
        <v>36</v>
      </c>
      <c r="M3816" s="12" t="s">
        <v>36</v>
      </c>
      <c r="N3816" s="12" t="s">
        <v>36</v>
      </c>
      <c r="O3816" s="17" t="s">
        <v>36</v>
      </c>
      <c r="P3816" s="12" t="s">
        <v>36</v>
      </c>
      <c r="Q3816" s="12" t="s">
        <v>36</v>
      </c>
      <c r="R3816" s="12" t="s">
        <v>36</v>
      </c>
      <c r="S3816" s="12" t="s">
        <v>36</v>
      </c>
      <c r="T3816" s="12" t="s">
        <v>422</v>
      </c>
      <c r="U3816" s="12" t="s">
        <v>423</v>
      </c>
      <c r="V3816" s="12" t="s">
        <v>64</v>
      </c>
      <c r="W3816" s="12" t="s">
        <v>19296</v>
      </c>
      <c r="X3816" s="16" t="s">
        <v>13319</v>
      </c>
      <c r="Y3816" s="15" t="s">
        <v>42</v>
      </c>
      <c r="Z3816" s="14">
        <v>0.79</v>
      </c>
      <c r="AA3816" s="14">
        <v>2.84</v>
      </c>
      <c r="AB3816" s="12" t="s">
        <v>43</v>
      </c>
      <c r="AC3816" s="12" t="s">
        <v>19297</v>
      </c>
      <c r="AD3816" s="13">
        <v>43994</v>
      </c>
      <c r="AE3816" s="12" t="s">
        <v>427</v>
      </c>
      <c r="AF3816" s="12" t="s">
        <v>36</v>
      </c>
      <c r="AG3816" s="12" t="s">
        <v>81</v>
      </c>
      <c r="AH3816" s="1">
        <f>HYPERLINK("https://my.pitchbook.com?c=146349-64T","View Company Online")</f>
      </c>
    </row>
    <row r="3817">
      <c r="A3817" s="3" t="s">
        <v>19298</v>
      </c>
      <c r="B3817" s="3" t="s">
        <v>9756</v>
      </c>
      <c r="C3817" s="5" t="s">
        <v>36</v>
      </c>
      <c r="D3817" s="5" t="s">
        <v>36</v>
      </c>
      <c r="E3817" s="5" t="s">
        <v>36</v>
      </c>
      <c r="F3817" s="5" t="s">
        <v>36</v>
      </c>
      <c r="G3817" s="6" t="s">
        <v>326</v>
      </c>
      <c r="H3817" s="4">
        <v>14.26</v>
      </c>
      <c r="I3817" s="7">
        <v>39.66</v>
      </c>
      <c r="J3817" s="3" t="s">
        <v>521</v>
      </c>
      <c r="K3817" s="9" t="s">
        <v>36</v>
      </c>
      <c r="L3817" s="6" t="s">
        <v>122</v>
      </c>
      <c r="M3817" s="3" t="s">
        <v>36</v>
      </c>
      <c r="N3817" s="3" t="s">
        <v>122</v>
      </c>
      <c r="O3817" s="8" t="s">
        <v>36</v>
      </c>
      <c r="P3817" s="3" t="s">
        <v>36</v>
      </c>
      <c r="Q3817" s="3" t="s">
        <v>36</v>
      </c>
      <c r="R3817" s="3" t="s">
        <v>36</v>
      </c>
      <c r="S3817" s="3" t="s">
        <v>36</v>
      </c>
      <c r="T3817" s="3" t="s">
        <v>9757</v>
      </c>
      <c r="U3817" s="3" t="s">
        <v>38</v>
      </c>
      <c r="V3817" s="3" t="s">
        <v>39</v>
      </c>
      <c r="W3817" s="3" t="s">
        <v>9758</v>
      </c>
      <c r="X3817" s="10" t="s">
        <v>19299</v>
      </c>
      <c r="Y3817" s="6" t="s">
        <v>108</v>
      </c>
      <c r="Z3817" s="4">
        <v>2.21</v>
      </c>
      <c r="AA3817" s="4">
        <v>3.49</v>
      </c>
      <c r="AB3817" s="3" t="s">
        <v>56</v>
      </c>
      <c r="AC3817" s="3" t="s">
        <v>9760</v>
      </c>
      <c r="AD3817" s="9">
        <v>43994</v>
      </c>
      <c r="AE3817" s="3" t="s">
        <v>785</v>
      </c>
      <c r="AF3817" s="3" t="s">
        <v>176</v>
      </c>
      <c r="AG3817" s="3" t="s">
        <v>186</v>
      </c>
      <c r="AH3817" s="11">
        <f>HYPERLINK("https://my.pitchbook.com?c=138046-42T","View Company Online")</f>
      </c>
    </row>
    <row r="3818">
      <c r="A3818" s="12" t="s">
        <v>19300</v>
      </c>
      <c r="B3818" s="12" t="s">
        <v>19301</v>
      </c>
      <c r="C3818" s="19" t="s">
        <v>36</v>
      </c>
      <c r="D3818" s="19" t="s">
        <v>36</v>
      </c>
      <c r="E3818" s="19" t="s">
        <v>36</v>
      </c>
      <c r="F3818" s="19" t="s">
        <v>36</v>
      </c>
      <c r="G3818" s="15" t="s">
        <v>683</v>
      </c>
      <c r="H3818" s="14" t="s">
        <v>36</v>
      </c>
      <c r="I3818" s="18">
        <v>32.09</v>
      </c>
      <c r="J3818" s="12" t="s">
        <v>327</v>
      </c>
      <c r="K3818" s="13" t="s">
        <v>36</v>
      </c>
      <c r="L3818" s="15" t="s">
        <v>1279</v>
      </c>
      <c r="M3818" s="12" t="s">
        <v>36</v>
      </c>
      <c r="N3818" s="12" t="s">
        <v>1279</v>
      </c>
      <c r="O3818" s="17" t="s">
        <v>36</v>
      </c>
      <c r="P3818" s="12" t="s">
        <v>36</v>
      </c>
      <c r="Q3818" s="12" t="s">
        <v>36</v>
      </c>
      <c r="R3818" s="12" t="s">
        <v>36</v>
      </c>
      <c r="S3818" s="12" t="s">
        <v>36</v>
      </c>
      <c r="T3818" s="12" t="s">
        <v>522</v>
      </c>
      <c r="U3818" s="12" t="s">
        <v>38</v>
      </c>
      <c r="V3818" s="12" t="s">
        <v>39</v>
      </c>
      <c r="W3818" s="12" t="s">
        <v>19302</v>
      </c>
      <c r="X3818" s="16" t="s">
        <v>19303</v>
      </c>
      <c r="Y3818" s="15" t="s">
        <v>192</v>
      </c>
      <c r="Z3818" s="14">
        <v>23.19</v>
      </c>
      <c r="AA3818" s="14">
        <v>72.28</v>
      </c>
      <c r="AB3818" s="12" t="s">
        <v>56</v>
      </c>
      <c r="AC3818" s="12" t="s">
        <v>19304</v>
      </c>
      <c r="AD3818" s="13">
        <v>43993</v>
      </c>
      <c r="AE3818" s="12" t="s">
        <v>110</v>
      </c>
      <c r="AF3818" s="12" t="s">
        <v>2210</v>
      </c>
      <c r="AG3818" s="12" t="s">
        <v>81</v>
      </c>
      <c r="AH3818" s="1">
        <f>HYPERLINK("https://my.pitchbook.com?c=137877-94T","View Company Online")</f>
      </c>
    </row>
    <row r="3819">
      <c r="A3819" s="3" t="s">
        <v>19305</v>
      </c>
      <c r="B3819" s="3" t="s">
        <v>11694</v>
      </c>
      <c r="C3819" s="5" t="s">
        <v>36</v>
      </c>
      <c r="D3819" s="5" t="s">
        <v>36</v>
      </c>
      <c r="E3819" s="5" t="s">
        <v>36</v>
      </c>
      <c r="F3819" s="5" t="s">
        <v>36</v>
      </c>
      <c r="G3819" s="6" t="s">
        <v>36</v>
      </c>
      <c r="H3819" s="4" t="s">
        <v>36</v>
      </c>
      <c r="I3819" s="7" t="s">
        <v>36</v>
      </c>
      <c r="J3819" s="3" t="s">
        <v>36</v>
      </c>
      <c r="K3819" s="9" t="s">
        <v>36</v>
      </c>
      <c r="L3819" s="6" t="s">
        <v>36</v>
      </c>
      <c r="M3819" s="3" t="s">
        <v>36</v>
      </c>
      <c r="N3819" s="3" t="s">
        <v>36</v>
      </c>
      <c r="O3819" s="8" t="s">
        <v>36</v>
      </c>
      <c r="P3819" s="3" t="s">
        <v>36</v>
      </c>
      <c r="Q3819" s="3" t="s">
        <v>36</v>
      </c>
      <c r="R3819" s="3" t="s">
        <v>36</v>
      </c>
      <c r="S3819" s="3" t="s">
        <v>36</v>
      </c>
      <c r="T3819" s="3" t="s">
        <v>881</v>
      </c>
      <c r="U3819" s="3" t="s">
        <v>51</v>
      </c>
      <c r="V3819" s="3" t="s">
        <v>52</v>
      </c>
      <c r="W3819" s="3" t="s">
        <v>11695</v>
      </c>
      <c r="X3819" s="10" t="s">
        <v>19306</v>
      </c>
      <c r="Y3819" s="6" t="s">
        <v>42</v>
      </c>
      <c r="Z3819" s="4">
        <v>5.08</v>
      </c>
      <c r="AA3819" s="4" t="s">
        <v>36</v>
      </c>
      <c r="AB3819" s="3" t="s">
        <v>43</v>
      </c>
      <c r="AC3819" s="3" t="s">
        <v>11697</v>
      </c>
      <c r="AD3819" s="9">
        <v>43993</v>
      </c>
      <c r="AE3819" s="3" t="s">
        <v>504</v>
      </c>
      <c r="AF3819" s="3" t="s">
        <v>3193</v>
      </c>
      <c r="AG3819" s="3" t="s">
        <v>81</v>
      </c>
      <c r="AH3819" s="11">
        <f>HYPERLINK("https://my.pitchbook.com?c=156493-99T","View Company Online")</f>
      </c>
    </row>
    <row r="3820">
      <c r="A3820" s="12" t="s">
        <v>19307</v>
      </c>
      <c r="B3820" s="12" t="s">
        <v>19308</v>
      </c>
      <c r="C3820" s="19" t="s">
        <v>36</v>
      </c>
      <c r="D3820" s="19" t="s">
        <v>36</v>
      </c>
      <c r="E3820" s="19" t="s">
        <v>36</v>
      </c>
      <c r="F3820" s="19" t="s">
        <v>36</v>
      </c>
      <c r="G3820" s="15" t="s">
        <v>326</v>
      </c>
      <c r="H3820" s="14">
        <v>0.87</v>
      </c>
      <c r="I3820" s="18">
        <v>24.06</v>
      </c>
      <c r="J3820" s="12" t="s">
        <v>521</v>
      </c>
      <c r="K3820" s="13" t="s">
        <v>36</v>
      </c>
      <c r="L3820" s="15" t="s">
        <v>122</v>
      </c>
      <c r="M3820" s="12" t="s">
        <v>36</v>
      </c>
      <c r="N3820" s="12" t="s">
        <v>122</v>
      </c>
      <c r="O3820" s="17" t="s">
        <v>36</v>
      </c>
      <c r="P3820" s="12" t="s">
        <v>36</v>
      </c>
      <c r="Q3820" s="12" t="s">
        <v>36</v>
      </c>
      <c r="R3820" s="12" t="s">
        <v>36</v>
      </c>
      <c r="S3820" s="12" t="s">
        <v>36</v>
      </c>
      <c r="T3820" s="12" t="s">
        <v>19309</v>
      </c>
      <c r="U3820" s="12" t="s">
        <v>74</v>
      </c>
      <c r="V3820" s="12" t="s">
        <v>75</v>
      </c>
      <c r="W3820" s="12" t="s">
        <v>19310</v>
      </c>
      <c r="X3820" s="16" t="s">
        <v>1740</v>
      </c>
      <c r="Y3820" s="15" t="s">
        <v>42</v>
      </c>
      <c r="Z3820" s="14">
        <v>3.31</v>
      </c>
      <c r="AA3820" s="14">
        <v>13.77</v>
      </c>
      <c r="AB3820" s="12" t="s">
        <v>56</v>
      </c>
      <c r="AC3820" s="12" t="s">
        <v>19311</v>
      </c>
      <c r="AD3820" s="13">
        <v>43993</v>
      </c>
      <c r="AE3820" s="12" t="s">
        <v>79</v>
      </c>
      <c r="AF3820" s="12" t="s">
        <v>2759</v>
      </c>
      <c r="AG3820" s="12" t="s">
        <v>1978</v>
      </c>
      <c r="AH3820" s="1">
        <f>HYPERLINK("https://my.pitchbook.com?c=138051-91T","View Company Online")</f>
      </c>
    </row>
    <row r="3821">
      <c r="A3821" s="3" t="s">
        <v>19312</v>
      </c>
      <c r="B3821" s="3" t="s">
        <v>19313</v>
      </c>
      <c r="C3821" s="5" t="s">
        <v>36</v>
      </c>
      <c r="D3821" s="5" t="s">
        <v>36</v>
      </c>
      <c r="E3821" s="5" t="s">
        <v>36</v>
      </c>
      <c r="F3821" s="5" t="s">
        <v>36</v>
      </c>
      <c r="G3821" s="6" t="s">
        <v>2497</v>
      </c>
      <c r="H3821" s="4">
        <v>11.42</v>
      </c>
      <c r="I3821" s="7">
        <v>24.15</v>
      </c>
      <c r="J3821" s="3" t="s">
        <v>521</v>
      </c>
      <c r="K3821" s="9" t="s">
        <v>36</v>
      </c>
      <c r="L3821" s="6" t="s">
        <v>36</v>
      </c>
      <c r="M3821" s="3" t="s">
        <v>36</v>
      </c>
      <c r="N3821" s="3" t="s">
        <v>36</v>
      </c>
      <c r="O3821" s="8" t="s">
        <v>36</v>
      </c>
      <c r="P3821" s="3" t="s">
        <v>36</v>
      </c>
      <c r="Q3821" s="3" t="s">
        <v>36</v>
      </c>
      <c r="R3821" s="3" t="s">
        <v>36</v>
      </c>
      <c r="S3821" s="3" t="s">
        <v>36</v>
      </c>
      <c r="T3821" s="3" t="s">
        <v>1227</v>
      </c>
      <c r="U3821" s="3" t="s">
        <v>74</v>
      </c>
      <c r="V3821" s="3" t="s">
        <v>75</v>
      </c>
      <c r="W3821" s="3" t="s">
        <v>19314</v>
      </c>
      <c r="X3821" s="10" t="s">
        <v>11058</v>
      </c>
      <c r="Y3821" s="6" t="s">
        <v>55</v>
      </c>
      <c r="Z3821" s="4">
        <v>0.36</v>
      </c>
      <c r="AA3821" s="4">
        <v>1.47</v>
      </c>
      <c r="AB3821" s="3" t="s">
        <v>56</v>
      </c>
      <c r="AC3821" s="3" t="s">
        <v>19315</v>
      </c>
      <c r="AD3821" s="9">
        <v>43993</v>
      </c>
      <c r="AE3821" s="3" t="s">
        <v>570</v>
      </c>
      <c r="AF3821" s="3" t="s">
        <v>982</v>
      </c>
      <c r="AG3821" s="3" t="s">
        <v>512</v>
      </c>
      <c r="AH3821" s="11">
        <f>HYPERLINK("https://my.pitchbook.com?c=180171-28T","View Company Online")</f>
      </c>
    </row>
    <row r="3822">
      <c r="A3822" s="12" t="s">
        <v>19316</v>
      </c>
      <c r="B3822" s="12" t="s">
        <v>19317</v>
      </c>
      <c r="C3822" s="19">
        <v>2</v>
      </c>
      <c r="D3822" s="19" t="s">
        <v>36</v>
      </c>
      <c r="E3822" s="19">
        <v>1</v>
      </c>
      <c r="F3822" s="19">
        <v>2</v>
      </c>
      <c r="G3822" s="15" t="s">
        <v>36</v>
      </c>
      <c r="H3822" s="14">
        <v>25.96</v>
      </c>
      <c r="I3822" s="18">
        <v>78.49</v>
      </c>
      <c r="J3822" s="12" t="s">
        <v>521</v>
      </c>
      <c r="K3822" s="13" t="s">
        <v>36</v>
      </c>
      <c r="L3822" s="15" t="s">
        <v>36</v>
      </c>
      <c r="M3822" s="12" t="s">
        <v>36</v>
      </c>
      <c r="N3822" s="12" t="s">
        <v>36</v>
      </c>
      <c r="O3822" s="17" t="s">
        <v>36</v>
      </c>
      <c r="P3822" s="12" t="s">
        <v>36</v>
      </c>
      <c r="Q3822" s="12" t="s">
        <v>36</v>
      </c>
      <c r="R3822" s="12" t="s">
        <v>36</v>
      </c>
      <c r="S3822" s="12" t="s">
        <v>36</v>
      </c>
      <c r="T3822" s="12" t="s">
        <v>881</v>
      </c>
      <c r="U3822" s="12" t="s">
        <v>51</v>
      </c>
      <c r="V3822" s="12" t="s">
        <v>52</v>
      </c>
      <c r="W3822" s="12" t="s">
        <v>19318</v>
      </c>
      <c r="X3822" s="16" t="s">
        <v>19319</v>
      </c>
      <c r="Y3822" s="15" t="s">
        <v>42</v>
      </c>
      <c r="Z3822" s="14">
        <v>2.51</v>
      </c>
      <c r="AA3822" s="14">
        <v>3.2</v>
      </c>
      <c r="AB3822" s="12" t="s">
        <v>43</v>
      </c>
      <c r="AC3822" s="12" t="s">
        <v>19320</v>
      </c>
      <c r="AD3822" s="13">
        <v>43992</v>
      </c>
      <c r="AE3822" s="12" t="s">
        <v>504</v>
      </c>
      <c r="AF3822" s="12" t="s">
        <v>159</v>
      </c>
      <c r="AG3822" s="12" t="s">
        <v>3733</v>
      </c>
      <c r="AH3822" s="1">
        <f>HYPERLINK("https://my.pitchbook.com?c=138940-48T","View Company Online")</f>
      </c>
    </row>
    <row r="3823">
      <c r="A3823" s="3" t="s">
        <v>19321</v>
      </c>
      <c r="B3823" s="3" t="s">
        <v>19322</v>
      </c>
      <c r="C3823" s="5" t="s">
        <v>36</v>
      </c>
      <c r="D3823" s="5" t="s">
        <v>36</v>
      </c>
      <c r="E3823" s="5" t="s">
        <v>36</v>
      </c>
      <c r="F3823" s="5" t="s">
        <v>36</v>
      </c>
      <c r="G3823" s="6" t="s">
        <v>326</v>
      </c>
      <c r="H3823" s="4" t="s">
        <v>36</v>
      </c>
      <c r="I3823" s="7">
        <v>6.86</v>
      </c>
      <c r="J3823" s="3" t="s">
        <v>327</v>
      </c>
      <c r="K3823" s="9" t="s">
        <v>36</v>
      </c>
      <c r="L3823" s="6" t="s">
        <v>36</v>
      </c>
      <c r="M3823" s="3" t="s">
        <v>36</v>
      </c>
      <c r="N3823" s="3" t="s">
        <v>36</v>
      </c>
      <c r="O3823" s="8" t="s">
        <v>36</v>
      </c>
      <c r="P3823" s="3" t="s">
        <v>36</v>
      </c>
      <c r="Q3823" s="3" t="s">
        <v>36</v>
      </c>
      <c r="R3823" s="3" t="s">
        <v>36</v>
      </c>
      <c r="S3823" s="3" t="s">
        <v>36</v>
      </c>
      <c r="T3823" s="3" t="s">
        <v>422</v>
      </c>
      <c r="U3823" s="3" t="s">
        <v>423</v>
      </c>
      <c r="V3823" s="3" t="s">
        <v>64</v>
      </c>
      <c r="W3823" s="3" t="s">
        <v>19323</v>
      </c>
      <c r="X3823" s="10" t="s">
        <v>19324</v>
      </c>
      <c r="Y3823" s="6" t="s">
        <v>42</v>
      </c>
      <c r="Z3823" s="4">
        <v>1.1</v>
      </c>
      <c r="AA3823" s="4">
        <v>16.08</v>
      </c>
      <c r="AB3823" s="3" t="s">
        <v>56</v>
      </c>
      <c r="AC3823" s="3" t="s">
        <v>19325</v>
      </c>
      <c r="AD3823" s="9">
        <v>43992</v>
      </c>
      <c r="AE3823" s="3" t="s">
        <v>427</v>
      </c>
      <c r="AF3823" s="3" t="s">
        <v>1061</v>
      </c>
      <c r="AG3823" s="3" t="s">
        <v>81</v>
      </c>
      <c r="AH3823" s="11">
        <f>HYPERLINK("https://my.pitchbook.com?c=138217-51T","View Company Online")</f>
      </c>
    </row>
    <row r="3824">
      <c r="A3824" s="12" t="s">
        <v>19326</v>
      </c>
      <c r="B3824" s="12" t="s">
        <v>8300</v>
      </c>
      <c r="C3824" s="19" t="s">
        <v>36</v>
      </c>
      <c r="D3824" s="19" t="s">
        <v>36</v>
      </c>
      <c r="E3824" s="19" t="s">
        <v>36</v>
      </c>
      <c r="F3824" s="19" t="s">
        <v>36</v>
      </c>
      <c r="G3824" s="15" t="s">
        <v>36</v>
      </c>
      <c r="H3824" s="14" t="s">
        <v>36</v>
      </c>
      <c r="I3824" s="18" t="s">
        <v>36</v>
      </c>
      <c r="J3824" s="12" t="s">
        <v>36</v>
      </c>
      <c r="K3824" s="13" t="s">
        <v>36</v>
      </c>
      <c r="L3824" s="15" t="s">
        <v>122</v>
      </c>
      <c r="M3824" s="12" t="s">
        <v>36</v>
      </c>
      <c r="N3824" s="12" t="s">
        <v>122</v>
      </c>
      <c r="O3824" s="17" t="s">
        <v>36</v>
      </c>
      <c r="P3824" s="12" t="s">
        <v>36</v>
      </c>
      <c r="Q3824" s="12" t="s">
        <v>36</v>
      </c>
      <c r="R3824" s="12" t="s">
        <v>36</v>
      </c>
      <c r="S3824" s="12" t="s">
        <v>36</v>
      </c>
      <c r="T3824" s="12" t="s">
        <v>8301</v>
      </c>
      <c r="U3824" s="12" t="s">
        <v>423</v>
      </c>
      <c r="V3824" s="12" t="s">
        <v>64</v>
      </c>
      <c r="W3824" s="12" t="s">
        <v>8302</v>
      </c>
      <c r="X3824" s="16" t="s">
        <v>19327</v>
      </c>
      <c r="Y3824" s="15" t="s">
        <v>108</v>
      </c>
      <c r="Z3824" s="14">
        <v>4.54</v>
      </c>
      <c r="AA3824" s="14" t="s">
        <v>36</v>
      </c>
      <c r="AB3824" s="12" t="s">
        <v>56</v>
      </c>
      <c r="AC3824" s="12" t="s">
        <v>8304</v>
      </c>
      <c r="AD3824" s="13">
        <v>43992</v>
      </c>
      <c r="AE3824" s="12" t="s">
        <v>562</v>
      </c>
      <c r="AF3824" s="12" t="s">
        <v>2369</v>
      </c>
      <c r="AG3824" s="12" t="s">
        <v>81</v>
      </c>
      <c r="AH3824" s="1">
        <f>HYPERLINK("https://my.pitchbook.com?c=137840-23T","View Company Online")</f>
      </c>
    </row>
    <row r="3825">
      <c r="A3825" s="3" t="s">
        <v>19328</v>
      </c>
      <c r="B3825" s="3" t="s">
        <v>13268</v>
      </c>
      <c r="C3825" s="5" t="s">
        <v>36</v>
      </c>
      <c r="D3825" s="5" t="s">
        <v>36</v>
      </c>
      <c r="E3825" s="5" t="s">
        <v>36</v>
      </c>
      <c r="F3825" s="5" t="s">
        <v>36</v>
      </c>
      <c r="G3825" s="6" t="s">
        <v>326</v>
      </c>
      <c r="H3825" s="4">
        <v>7.65</v>
      </c>
      <c r="I3825" s="7">
        <v>24.9</v>
      </c>
      <c r="J3825" s="3" t="s">
        <v>521</v>
      </c>
      <c r="K3825" s="9" t="s">
        <v>36</v>
      </c>
      <c r="L3825" s="6" t="s">
        <v>122</v>
      </c>
      <c r="M3825" s="3" t="s">
        <v>36</v>
      </c>
      <c r="N3825" s="3" t="s">
        <v>122</v>
      </c>
      <c r="O3825" s="8" t="s">
        <v>36</v>
      </c>
      <c r="P3825" s="3" t="s">
        <v>36</v>
      </c>
      <c r="Q3825" s="3" t="s">
        <v>36</v>
      </c>
      <c r="R3825" s="3" t="s">
        <v>36</v>
      </c>
      <c r="S3825" s="3" t="s">
        <v>36</v>
      </c>
      <c r="T3825" s="3" t="s">
        <v>12788</v>
      </c>
      <c r="U3825" s="3" t="s">
        <v>180</v>
      </c>
      <c r="V3825" s="3" t="s">
        <v>52</v>
      </c>
      <c r="W3825" s="3" t="s">
        <v>13269</v>
      </c>
      <c r="X3825" s="10" t="s">
        <v>19329</v>
      </c>
      <c r="Y3825" s="6" t="s">
        <v>108</v>
      </c>
      <c r="Z3825" s="4">
        <v>7.72</v>
      </c>
      <c r="AA3825" s="4">
        <v>22.32</v>
      </c>
      <c r="AB3825" s="3" t="s">
        <v>43</v>
      </c>
      <c r="AC3825" s="3" t="s">
        <v>13271</v>
      </c>
      <c r="AD3825" s="9">
        <v>43992</v>
      </c>
      <c r="AE3825" s="3" t="s">
        <v>8291</v>
      </c>
      <c r="AF3825" s="3" t="s">
        <v>13272</v>
      </c>
      <c r="AG3825" s="3" t="s">
        <v>102</v>
      </c>
      <c r="AH3825" s="11">
        <f>HYPERLINK("https://my.pitchbook.com?c=139226-50T","View Company Online")</f>
      </c>
    </row>
    <row r="3826">
      <c r="A3826" s="12" t="s">
        <v>19330</v>
      </c>
      <c r="B3826" s="12" t="s">
        <v>9346</v>
      </c>
      <c r="C3826" s="19" t="s">
        <v>36</v>
      </c>
      <c r="D3826" s="19" t="s">
        <v>36</v>
      </c>
      <c r="E3826" s="19" t="s">
        <v>36</v>
      </c>
      <c r="F3826" s="19" t="s">
        <v>36</v>
      </c>
      <c r="G3826" s="15" t="s">
        <v>326</v>
      </c>
      <c r="H3826" s="14">
        <v>339.63</v>
      </c>
      <c r="I3826" s="18">
        <v>34.07</v>
      </c>
      <c r="J3826" s="12" t="s">
        <v>521</v>
      </c>
      <c r="K3826" s="13" t="s">
        <v>36</v>
      </c>
      <c r="L3826" s="15" t="s">
        <v>94</v>
      </c>
      <c r="M3826" s="12" t="s">
        <v>36</v>
      </c>
      <c r="N3826" s="12" t="s">
        <v>94</v>
      </c>
      <c r="O3826" s="17" t="s">
        <v>36</v>
      </c>
      <c r="P3826" s="12" t="s">
        <v>36</v>
      </c>
      <c r="Q3826" s="12" t="s">
        <v>36</v>
      </c>
      <c r="R3826" s="12" t="s">
        <v>36</v>
      </c>
      <c r="S3826" s="12" t="s">
        <v>36</v>
      </c>
      <c r="T3826" s="12" t="s">
        <v>1701</v>
      </c>
      <c r="U3826" s="12" t="s">
        <v>74</v>
      </c>
      <c r="V3826" s="12" t="s">
        <v>75</v>
      </c>
      <c r="W3826" s="12" t="s">
        <v>9347</v>
      </c>
      <c r="X3826" s="16" t="s">
        <v>19331</v>
      </c>
      <c r="Y3826" s="15" t="s">
        <v>55</v>
      </c>
      <c r="Z3826" s="14">
        <v>8.81</v>
      </c>
      <c r="AA3826" s="14">
        <v>19.39</v>
      </c>
      <c r="AB3826" s="12" t="s">
        <v>56</v>
      </c>
      <c r="AC3826" s="12" t="s">
        <v>9349</v>
      </c>
      <c r="AD3826" s="13">
        <v>43991</v>
      </c>
      <c r="AE3826" s="12" t="s">
        <v>79</v>
      </c>
      <c r="AF3826" s="12" t="s">
        <v>905</v>
      </c>
      <c r="AG3826" s="12" t="s">
        <v>81</v>
      </c>
      <c r="AH3826" s="1">
        <f>HYPERLINK("https://my.pitchbook.com?c=137746-90T","View Company Online")</f>
      </c>
    </row>
    <row r="3827">
      <c r="A3827" s="3" t="s">
        <v>19332</v>
      </c>
      <c r="B3827" s="3" t="s">
        <v>19333</v>
      </c>
      <c r="C3827" s="5" t="s">
        <v>36</v>
      </c>
      <c r="D3827" s="5" t="s">
        <v>36</v>
      </c>
      <c r="E3827" s="5" t="s">
        <v>36</v>
      </c>
      <c r="F3827" s="5" t="s">
        <v>36</v>
      </c>
      <c r="G3827" s="6" t="s">
        <v>36</v>
      </c>
      <c r="H3827" s="4" t="s">
        <v>36</v>
      </c>
      <c r="I3827" s="7" t="s">
        <v>36</v>
      </c>
      <c r="J3827" s="3" t="s">
        <v>36</v>
      </c>
      <c r="K3827" s="9" t="s">
        <v>36</v>
      </c>
      <c r="L3827" s="6" t="s">
        <v>36</v>
      </c>
      <c r="M3827" s="3" t="s">
        <v>36</v>
      </c>
      <c r="N3827" s="3" t="s">
        <v>36</v>
      </c>
      <c r="O3827" s="8" t="s">
        <v>36</v>
      </c>
      <c r="P3827" s="3" t="s">
        <v>36</v>
      </c>
      <c r="Q3827" s="3" t="s">
        <v>36</v>
      </c>
      <c r="R3827" s="3" t="s">
        <v>36</v>
      </c>
      <c r="S3827" s="3" t="s">
        <v>36</v>
      </c>
      <c r="T3827" s="3" t="s">
        <v>14751</v>
      </c>
      <c r="U3827" s="3" t="s">
        <v>38</v>
      </c>
      <c r="V3827" s="3" t="s">
        <v>39</v>
      </c>
      <c r="W3827" s="3" t="s">
        <v>19334</v>
      </c>
      <c r="X3827" s="10" t="s">
        <v>19335</v>
      </c>
      <c r="Y3827" s="6" t="s">
        <v>108</v>
      </c>
      <c r="Z3827" s="4">
        <v>1.38</v>
      </c>
      <c r="AA3827" s="4" t="s">
        <v>36</v>
      </c>
      <c r="AB3827" s="3" t="s">
        <v>56</v>
      </c>
      <c r="AC3827" s="3" t="s">
        <v>19336</v>
      </c>
      <c r="AD3827" s="9">
        <v>43991</v>
      </c>
      <c r="AE3827" s="3" t="s">
        <v>110</v>
      </c>
      <c r="AF3827" s="3" t="s">
        <v>7309</v>
      </c>
      <c r="AG3827" s="3" t="s">
        <v>419</v>
      </c>
      <c r="AH3827" s="11">
        <f>HYPERLINK("https://my.pitchbook.com?c=139180-96T","View Company Online")</f>
      </c>
    </row>
    <row r="3828">
      <c r="A3828" s="12" t="s">
        <v>19337</v>
      </c>
      <c r="B3828" s="12" t="s">
        <v>3225</v>
      </c>
      <c r="C3828" s="19" t="s">
        <v>36</v>
      </c>
      <c r="D3828" s="19" t="s">
        <v>36</v>
      </c>
      <c r="E3828" s="19" t="s">
        <v>36</v>
      </c>
      <c r="F3828" s="19" t="s">
        <v>36</v>
      </c>
      <c r="G3828" s="15" t="s">
        <v>36</v>
      </c>
      <c r="H3828" s="14" t="s">
        <v>36</v>
      </c>
      <c r="I3828" s="18">
        <v>18.74</v>
      </c>
      <c r="J3828" s="12" t="s">
        <v>327</v>
      </c>
      <c r="K3828" s="13" t="s">
        <v>36</v>
      </c>
      <c r="L3828" s="15" t="s">
        <v>36</v>
      </c>
      <c r="M3828" s="12" t="s">
        <v>36</v>
      </c>
      <c r="N3828" s="12" t="s">
        <v>36</v>
      </c>
      <c r="O3828" s="17" t="s">
        <v>36</v>
      </c>
      <c r="P3828" s="12" t="s">
        <v>36</v>
      </c>
      <c r="Q3828" s="12" t="s">
        <v>36</v>
      </c>
      <c r="R3828" s="12" t="s">
        <v>36</v>
      </c>
      <c r="S3828" s="12" t="s">
        <v>36</v>
      </c>
      <c r="T3828" s="12" t="s">
        <v>3226</v>
      </c>
      <c r="U3828" s="12" t="s">
        <v>38</v>
      </c>
      <c r="V3828" s="12" t="s">
        <v>39</v>
      </c>
      <c r="W3828" s="12" t="s">
        <v>3227</v>
      </c>
      <c r="X3828" s="16" t="s">
        <v>19338</v>
      </c>
      <c r="Y3828" s="15" t="s">
        <v>42</v>
      </c>
      <c r="Z3828" s="14">
        <v>1.76</v>
      </c>
      <c r="AA3828" s="14">
        <v>9.4</v>
      </c>
      <c r="AB3828" s="12" t="s">
        <v>56</v>
      </c>
      <c r="AC3828" s="12" t="s">
        <v>3229</v>
      </c>
      <c r="AD3828" s="13">
        <v>43991</v>
      </c>
      <c r="AE3828" s="12" t="s">
        <v>110</v>
      </c>
      <c r="AF3828" s="12" t="s">
        <v>3230</v>
      </c>
      <c r="AG3828" s="12" t="s">
        <v>47</v>
      </c>
      <c r="AH3828" s="1">
        <f>HYPERLINK("https://my.pitchbook.com?c=137747-62T","View Company Online")</f>
      </c>
    </row>
    <row r="3829">
      <c r="A3829" s="3" t="s">
        <v>19339</v>
      </c>
      <c r="B3829" s="3" t="s">
        <v>19340</v>
      </c>
      <c r="C3829" s="5" t="s">
        <v>36</v>
      </c>
      <c r="D3829" s="5" t="s">
        <v>36</v>
      </c>
      <c r="E3829" s="5" t="s">
        <v>36</v>
      </c>
      <c r="F3829" s="5" t="s">
        <v>36</v>
      </c>
      <c r="G3829" s="6" t="s">
        <v>326</v>
      </c>
      <c r="H3829" s="4">
        <v>201.05</v>
      </c>
      <c r="I3829" s="7">
        <v>27.22</v>
      </c>
      <c r="J3829" s="3" t="s">
        <v>521</v>
      </c>
      <c r="K3829" s="9" t="s">
        <v>36</v>
      </c>
      <c r="L3829" s="6" t="s">
        <v>122</v>
      </c>
      <c r="M3829" s="3" t="s">
        <v>36</v>
      </c>
      <c r="N3829" s="3" t="s">
        <v>122</v>
      </c>
      <c r="O3829" s="8" t="s">
        <v>36</v>
      </c>
      <c r="P3829" s="3" t="s">
        <v>36</v>
      </c>
      <c r="Q3829" s="3" t="s">
        <v>36</v>
      </c>
      <c r="R3829" s="3" t="s">
        <v>36</v>
      </c>
      <c r="S3829" s="3" t="s">
        <v>36</v>
      </c>
      <c r="T3829" s="3" t="s">
        <v>19341</v>
      </c>
      <c r="U3829" s="3" t="s">
        <v>1357</v>
      </c>
      <c r="V3829" s="3" t="s">
        <v>52</v>
      </c>
      <c r="W3829" s="3" t="s">
        <v>19342</v>
      </c>
      <c r="X3829" s="10" t="s">
        <v>19343</v>
      </c>
      <c r="Y3829" s="6" t="s">
        <v>108</v>
      </c>
      <c r="Z3829" s="4">
        <v>6.6</v>
      </c>
      <c r="AA3829" s="4">
        <v>22.31</v>
      </c>
      <c r="AB3829" s="3" t="s">
        <v>43</v>
      </c>
      <c r="AC3829" s="3" t="s">
        <v>19344</v>
      </c>
      <c r="AD3829" s="9">
        <v>43990</v>
      </c>
      <c r="AE3829" s="3" t="s">
        <v>2808</v>
      </c>
      <c r="AF3829" s="3" t="s">
        <v>19345</v>
      </c>
      <c r="AG3829" s="3" t="s">
        <v>81</v>
      </c>
      <c r="AH3829" s="11">
        <f>HYPERLINK("https://my.pitchbook.com?c=137699-83T","View Company Online")</f>
      </c>
    </row>
    <row r="3830">
      <c r="A3830" s="12" t="s">
        <v>19346</v>
      </c>
      <c r="B3830" s="12" t="s">
        <v>759</v>
      </c>
      <c r="C3830" s="19" t="s">
        <v>36</v>
      </c>
      <c r="D3830" s="19" t="s">
        <v>36</v>
      </c>
      <c r="E3830" s="19" t="s">
        <v>36</v>
      </c>
      <c r="F3830" s="19" t="s">
        <v>36</v>
      </c>
      <c r="G3830" s="15" t="s">
        <v>36</v>
      </c>
      <c r="H3830" s="14">
        <v>6.96</v>
      </c>
      <c r="I3830" s="18">
        <v>44.47</v>
      </c>
      <c r="J3830" s="12" t="s">
        <v>521</v>
      </c>
      <c r="K3830" s="13" t="s">
        <v>36</v>
      </c>
      <c r="L3830" s="15" t="s">
        <v>36</v>
      </c>
      <c r="M3830" s="12" t="s">
        <v>36</v>
      </c>
      <c r="N3830" s="12" t="s">
        <v>36</v>
      </c>
      <c r="O3830" s="17" t="s">
        <v>36</v>
      </c>
      <c r="P3830" s="12" t="s">
        <v>36</v>
      </c>
      <c r="Q3830" s="12" t="s">
        <v>36</v>
      </c>
      <c r="R3830" s="12" t="s">
        <v>36</v>
      </c>
      <c r="S3830" s="12" t="s">
        <v>36</v>
      </c>
      <c r="T3830" s="12" t="s">
        <v>760</v>
      </c>
      <c r="U3830" s="12" t="s">
        <v>318</v>
      </c>
      <c r="V3830" s="12" t="s">
        <v>39</v>
      </c>
      <c r="W3830" s="12" t="s">
        <v>761</v>
      </c>
      <c r="X3830" s="16" t="s">
        <v>19347</v>
      </c>
      <c r="Y3830" s="15" t="s">
        <v>42</v>
      </c>
      <c r="Z3830" s="14">
        <v>1.77</v>
      </c>
      <c r="AA3830" s="14">
        <v>3.98</v>
      </c>
      <c r="AB3830" s="12" t="s">
        <v>43</v>
      </c>
      <c r="AC3830" s="12" t="s">
        <v>762</v>
      </c>
      <c r="AD3830" s="13">
        <v>43990</v>
      </c>
      <c r="AE3830" s="12" t="s">
        <v>763</v>
      </c>
      <c r="AF3830" s="12" t="s">
        <v>764</v>
      </c>
      <c r="AG3830" s="12" t="s">
        <v>765</v>
      </c>
      <c r="AH3830" s="1">
        <f>HYPERLINK("https://my.pitchbook.com?c=137715-31T","View Company Online")</f>
      </c>
    </row>
    <row r="3831">
      <c r="A3831" s="3" t="s">
        <v>19348</v>
      </c>
      <c r="B3831" s="3" t="s">
        <v>14485</v>
      </c>
      <c r="C3831" s="5">
        <v>6</v>
      </c>
      <c r="D3831" s="5">
        <v>5</v>
      </c>
      <c r="E3831" s="5">
        <v>7</v>
      </c>
      <c r="F3831" s="5">
        <v>11</v>
      </c>
      <c r="G3831" s="6" t="s">
        <v>36</v>
      </c>
      <c r="H3831" s="4">
        <v>431.85</v>
      </c>
      <c r="I3831" s="7">
        <v>28.38</v>
      </c>
      <c r="J3831" s="3" t="s">
        <v>521</v>
      </c>
      <c r="K3831" s="9" t="s">
        <v>36</v>
      </c>
      <c r="L3831" s="6" t="s">
        <v>36</v>
      </c>
      <c r="M3831" s="3" t="s">
        <v>36</v>
      </c>
      <c r="N3831" s="3" t="s">
        <v>36</v>
      </c>
      <c r="O3831" s="8" t="s">
        <v>36</v>
      </c>
      <c r="P3831" s="3" t="s">
        <v>36</v>
      </c>
      <c r="Q3831" s="3" t="s">
        <v>36</v>
      </c>
      <c r="R3831" s="3" t="s">
        <v>36</v>
      </c>
      <c r="S3831" s="3" t="s">
        <v>4990</v>
      </c>
      <c r="T3831" s="3" t="s">
        <v>14486</v>
      </c>
      <c r="U3831" s="3" t="s">
        <v>96</v>
      </c>
      <c r="V3831" s="3" t="s">
        <v>52</v>
      </c>
      <c r="W3831" s="3" t="s">
        <v>14487</v>
      </c>
      <c r="X3831" s="10" t="s">
        <v>19349</v>
      </c>
      <c r="Y3831" s="6" t="s">
        <v>108</v>
      </c>
      <c r="Z3831" s="4">
        <v>1.86</v>
      </c>
      <c r="AA3831" s="4">
        <v>4.44</v>
      </c>
      <c r="AB3831" s="3" t="s">
        <v>43</v>
      </c>
      <c r="AC3831" s="3" t="s">
        <v>14489</v>
      </c>
      <c r="AD3831" s="9">
        <v>43987</v>
      </c>
      <c r="AE3831" s="3" t="s">
        <v>1414</v>
      </c>
      <c r="AF3831" s="3" t="s">
        <v>14490</v>
      </c>
      <c r="AG3831" s="3" t="s">
        <v>1276</v>
      </c>
      <c r="AH3831" s="11">
        <f>HYPERLINK("https://my.pitchbook.com?c=138450-25T","View Company Online")</f>
      </c>
    </row>
    <row r="3832">
      <c r="A3832" s="12" t="s">
        <v>19350</v>
      </c>
      <c r="B3832" s="12" t="s">
        <v>19351</v>
      </c>
      <c r="C3832" s="19" t="s">
        <v>36</v>
      </c>
      <c r="D3832" s="19" t="s">
        <v>36</v>
      </c>
      <c r="E3832" s="19" t="s">
        <v>36</v>
      </c>
      <c r="F3832" s="19" t="s">
        <v>36</v>
      </c>
      <c r="G3832" s="15" t="s">
        <v>326</v>
      </c>
      <c r="H3832" s="14">
        <v>15.78</v>
      </c>
      <c r="I3832" s="18">
        <v>8.77</v>
      </c>
      <c r="J3832" s="12" t="s">
        <v>521</v>
      </c>
      <c r="K3832" s="13" t="s">
        <v>36</v>
      </c>
      <c r="L3832" s="15" t="s">
        <v>36</v>
      </c>
      <c r="M3832" s="12" t="s">
        <v>36</v>
      </c>
      <c r="N3832" s="12" t="s">
        <v>36</v>
      </c>
      <c r="O3832" s="17" t="s">
        <v>36</v>
      </c>
      <c r="P3832" s="12" t="s">
        <v>36</v>
      </c>
      <c r="Q3832" s="12" t="s">
        <v>36</v>
      </c>
      <c r="R3832" s="12" t="s">
        <v>36</v>
      </c>
      <c r="S3832" s="12" t="s">
        <v>36</v>
      </c>
      <c r="T3832" s="12" t="s">
        <v>550</v>
      </c>
      <c r="U3832" s="12" t="s">
        <v>38</v>
      </c>
      <c r="V3832" s="12" t="s">
        <v>39</v>
      </c>
      <c r="W3832" s="12" t="s">
        <v>19352</v>
      </c>
      <c r="X3832" s="16" t="s">
        <v>1840</v>
      </c>
      <c r="Y3832" s="15" t="s">
        <v>108</v>
      </c>
      <c r="Z3832" s="14">
        <v>0.77</v>
      </c>
      <c r="AA3832" s="14">
        <v>8.75</v>
      </c>
      <c r="AB3832" s="12" t="s">
        <v>43</v>
      </c>
      <c r="AC3832" s="12" t="s">
        <v>19353</v>
      </c>
      <c r="AD3832" s="13">
        <v>43987</v>
      </c>
      <c r="AE3832" s="12" t="s">
        <v>554</v>
      </c>
      <c r="AF3832" s="12" t="s">
        <v>1380</v>
      </c>
      <c r="AG3832" s="12" t="s">
        <v>81</v>
      </c>
      <c r="AH3832" s="1">
        <f>HYPERLINK("https://my.pitchbook.com?c=196018-30T","View Company Online")</f>
      </c>
    </row>
    <row r="3833">
      <c r="A3833" s="3" t="s">
        <v>19354</v>
      </c>
      <c r="B3833" s="3" t="s">
        <v>3367</v>
      </c>
      <c r="C3833" s="5" t="s">
        <v>36</v>
      </c>
      <c r="D3833" s="5" t="s">
        <v>36</v>
      </c>
      <c r="E3833" s="5" t="s">
        <v>36</v>
      </c>
      <c r="F3833" s="5" t="s">
        <v>36</v>
      </c>
      <c r="G3833" s="6" t="s">
        <v>36</v>
      </c>
      <c r="H3833" s="4" t="s">
        <v>36</v>
      </c>
      <c r="I3833" s="7" t="s">
        <v>36</v>
      </c>
      <c r="J3833" s="3" t="s">
        <v>36</v>
      </c>
      <c r="K3833" s="9" t="s">
        <v>36</v>
      </c>
      <c r="L3833" s="6" t="s">
        <v>36</v>
      </c>
      <c r="M3833" s="3" t="s">
        <v>36</v>
      </c>
      <c r="N3833" s="3" t="s">
        <v>36</v>
      </c>
      <c r="O3833" s="8" t="s">
        <v>36</v>
      </c>
      <c r="P3833" s="3" t="s">
        <v>36</v>
      </c>
      <c r="Q3833" s="3" t="s">
        <v>36</v>
      </c>
      <c r="R3833" s="3" t="s">
        <v>36</v>
      </c>
      <c r="S3833" s="3" t="s">
        <v>36</v>
      </c>
      <c r="T3833" s="3" t="s">
        <v>3368</v>
      </c>
      <c r="U3833" s="3" t="s">
        <v>279</v>
      </c>
      <c r="V3833" s="3" t="s">
        <v>64</v>
      </c>
      <c r="W3833" s="3" t="s">
        <v>3369</v>
      </c>
      <c r="X3833" s="10" t="s">
        <v>19355</v>
      </c>
      <c r="Y3833" s="6" t="s">
        <v>192</v>
      </c>
      <c r="Z3833" s="4">
        <v>3.29</v>
      </c>
      <c r="AA3833" s="4" t="s">
        <v>36</v>
      </c>
      <c r="AB3833" s="3" t="s">
        <v>56</v>
      </c>
      <c r="AC3833" s="3" t="s">
        <v>3371</v>
      </c>
      <c r="AD3833" s="9">
        <v>43987</v>
      </c>
      <c r="AE3833" s="3" t="s">
        <v>283</v>
      </c>
      <c r="AF3833" s="3" t="s">
        <v>1507</v>
      </c>
      <c r="AG3833" s="3" t="s">
        <v>2088</v>
      </c>
      <c r="AH3833" s="11">
        <f>HYPERLINK("https://my.pitchbook.com?c=136954-81T","View Company Online")</f>
      </c>
    </row>
    <row r="3834">
      <c r="A3834" s="12" t="s">
        <v>19356</v>
      </c>
      <c r="B3834" s="12" t="s">
        <v>19357</v>
      </c>
      <c r="C3834" s="19" t="s">
        <v>36</v>
      </c>
      <c r="D3834" s="19">
        <v>28</v>
      </c>
      <c r="E3834" s="19">
        <v>7</v>
      </c>
      <c r="F3834" s="19">
        <v>34</v>
      </c>
      <c r="G3834" s="15" t="s">
        <v>326</v>
      </c>
      <c r="H3834" s="14">
        <v>65.42</v>
      </c>
      <c r="I3834" s="18">
        <v>15.07</v>
      </c>
      <c r="J3834" s="12" t="s">
        <v>521</v>
      </c>
      <c r="K3834" s="13" t="s">
        <v>36</v>
      </c>
      <c r="L3834" s="15" t="s">
        <v>36</v>
      </c>
      <c r="M3834" s="12" t="s">
        <v>36</v>
      </c>
      <c r="N3834" s="12" t="s">
        <v>36</v>
      </c>
      <c r="O3834" s="17" t="s">
        <v>36</v>
      </c>
      <c r="P3834" s="12" t="s">
        <v>36</v>
      </c>
      <c r="Q3834" s="12" t="s">
        <v>36</v>
      </c>
      <c r="R3834" s="12" t="s">
        <v>36</v>
      </c>
      <c r="S3834" s="12" t="s">
        <v>36</v>
      </c>
      <c r="T3834" s="12" t="s">
        <v>19358</v>
      </c>
      <c r="U3834" s="12" t="s">
        <v>96</v>
      </c>
      <c r="V3834" s="12" t="s">
        <v>52</v>
      </c>
      <c r="W3834" s="12" t="s">
        <v>19359</v>
      </c>
      <c r="X3834" s="16" t="s">
        <v>19360</v>
      </c>
      <c r="Y3834" s="15" t="s">
        <v>55</v>
      </c>
      <c r="Z3834" s="14">
        <v>1.47</v>
      </c>
      <c r="AA3834" s="14">
        <v>9.73</v>
      </c>
      <c r="AB3834" s="12" t="s">
        <v>56</v>
      </c>
      <c r="AC3834" s="12" t="s">
        <v>19361</v>
      </c>
      <c r="AD3834" s="13">
        <v>43986</v>
      </c>
      <c r="AE3834" s="12" t="s">
        <v>755</v>
      </c>
      <c r="AF3834" s="12" t="s">
        <v>2416</v>
      </c>
      <c r="AG3834" s="12" t="s">
        <v>969</v>
      </c>
      <c r="AH3834" s="1">
        <f>HYPERLINK("https://my.pitchbook.com?c=181344-16T","View Company Online")</f>
      </c>
    </row>
    <row r="3835">
      <c r="A3835" s="3" t="s">
        <v>19362</v>
      </c>
      <c r="B3835" s="3" t="s">
        <v>19363</v>
      </c>
      <c r="C3835" s="5" t="s">
        <v>36</v>
      </c>
      <c r="D3835" s="5" t="s">
        <v>36</v>
      </c>
      <c r="E3835" s="5" t="s">
        <v>36</v>
      </c>
      <c r="F3835" s="5" t="s">
        <v>36</v>
      </c>
      <c r="G3835" s="6" t="s">
        <v>326</v>
      </c>
      <c r="H3835" s="4">
        <v>240.58</v>
      </c>
      <c r="I3835" s="7">
        <v>24.02</v>
      </c>
      <c r="J3835" s="3" t="s">
        <v>521</v>
      </c>
      <c r="K3835" s="9" t="s">
        <v>36</v>
      </c>
      <c r="L3835" s="6" t="s">
        <v>122</v>
      </c>
      <c r="M3835" s="3" t="s">
        <v>36</v>
      </c>
      <c r="N3835" s="3" t="s">
        <v>122</v>
      </c>
      <c r="O3835" s="8" t="s">
        <v>36</v>
      </c>
      <c r="P3835" s="3" t="s">
        <v>36</v>
      </c>
      <c r="Q3835" s="3" t="s">
        <v>36</v>
      </c>
      <c r="R3835" s="3" t="s">
        <v>36</v>
      </c>
      <c r="S3835" s="3" t="s">
        <v>36</v>
      </c>
      <c r="T3835" s="3" t="s">
        <v>19364</v>
      </c>
      <c r="U3835" s="3" t="s">
        <v>833</v>
      </c>
      <c r="V3835" s="3" t="s">
        <v>64</v>
      </c>
      <c r="W3835" s="3" t="s">
        <v>19365</v>
      </c>
      <c r="X3835" s="10" t="s">
        <v>19366</v>
      </c>
      <c r="Y3835" s="6" t="s">
        <v>108</v>
      </c>
      <c r="Z3835" s="4">
        <v>14.77</v>
      </c>
      <c r="AA3835" s="4">
        <v>32.56</v>
      </c>
      <c r="AB3835" s="3" t="s">
        <v>56</v>
      </c>
      <c r="AC3835" s="3" t="s">
        <v>19367</v>
      </c>
      <c r="AD3835" s="9">
        <v>43986</v>
      </c>
      <c r="AE3835" s="3" t="s">
        <v>1769</v>
      </c>
      <c r="AF3835" s="3" t="s">
        <v>1619</v>
      </c>
      <c r="AG3835" s="3" t="s">
        <v>81</v>
      </c>
      <c r="AH3835" s="11">
        <f>HYPERLINK("https://my.pitchbook.com?c=137484-01T","View Company Online")</f>
      </c>
    </row>
    <row r="3836">
      <c r="A3836" s="12" t="s">
        <v>19368</v>
      </c>
      <c r="B3836" s="12" t="s">
        <v>15898</v>
      </c>
      <c r="C3836" s="19" t="s">
        <v>36</v>
      </c>
      <c r="D3836" s="19" t="s">
        <v>36</v>
      </c>
      <c r="E3836" s="19" t="s">
        <v>36</v>
      </c>
      <c r="F3836" s="19" t="s">
        <v>36</v>
      </c>
      <c r="G3836" s="15" t="s">
        <v>36</v>
      </c>
      <c r="H3836" s="14">
        <v>444.51</v>
      </c>
      <c r="I3836" s="18">
        <v>27.73</v>
      </c>
      <c r="J3836" s="12" t="s">
        <v>521</v>
      </c>
      <c r="K3836" s="13">
        <v>43800</v>
      </c>
      <c r="L3836" s="15" t="s">
        <v>122</v>
      </c>
      <c r="M3836" s="12" t="s">
        <v>36</v>
      </c>
      <c r="N3836" s="12" t="s">
        <v>122</v>
      </c>
      <c r="O3836" s="17" t="s">
        <v>36</v>
      </c>
      <c r="P3836" s="12" t="s">
        <v>36</v>
      </c>
      <c r="Q3836" s="12" t="s">
        <v>36</v>
      </c>
      <c r="R3836" s="12" t="s">
        <v>36</v>
      </c>
      <c r="S3836" s="12" t="s">
        <v>36</v>
      </c>
      <c r="T3836" s="12" t="s">
        <v>522</v>
      </c>
      <c r="U3836" s="12" t="s">
        <v>38</v>
      </c>
      <c r="V3836" s="12" t="s">
        <v>39</v>
      </c>
      <c r="W3836" s="12" t="s">
        <v>15899</v>
      </c>
      <c r="X3836" s="16" t="s">
        <v>19369</v>
      </c>
      <c r="Y3836" s="15" t="s">
        <v>42</v>
      </c>
      <c r="Z3836" s="14">
        <v>5.47</v>
      </c>
      <c r="AA3836" s="14">
        <v>14.7</v>
      </c>
      <c r="AB3836" s="12" t="s">
        <v>43</v>
      </c>
      <c r="AC3836" s="12" t="s">
        <v>15901</v>
      </c>
      <c r="AD3836" s="13">
        <v>43986</v>
      </c>
      <c r="AE3836" s="12" t="s">
        <v>110</v>
      </c>
      <c r="AF3836" s="12" t="s">
        <v>176</v>
      </c>
      <c r="AG3836" s="12" t="s">
        <v>81</v>
      </c>
      <c r="AH3836" s="1">
        <f>HYPERLINK("https://my.pitchbook.com?c=133640-47T","View Company Online")</f>
      </c>
    </row>
    <row r="3837">
      <c r="A3837" s="3" t="s">
        <v>19370</v>
      </c>
      <c r="B3837" s="3" t="s">
        <v>19371</v>
      </c>
      <c r="C3837" s="5" t="s">
        <v>36</v>
      </c>
      <c r="D3837" s="5" t="s">
        <v>36</v>
      </c>
      <c r="E3837" s="5" t="s">
        <v>36</v>
      </c>
      <c r="F3837" s="5" t="s">
        <v>36</v>
      </c>
      <c r="G3837" s="6" t="s">
        <v>683</v>
      </c>
      <c r="H3837" s="4">
        <v>1412.45</v>
      </c>
      <c r="I3837" s="7">
        <v>21.4</v>
      </c>
      <c r="J3837" s="3" t="s">
        <v>521</v>
      </c>
      <c r="K3837" s="9" t="s">
        <v>36</v>
      </c>
      <c r="L3837" s="6" t="s">
        <v>36</v>
      </c>
      <c r="M3837" s="3" t="s">
        <v>36</v>
      </c>
      <c r="N3837" s="3" t="s">
        <v>36</v>
      </c>
      <c r="O3837" s="8" t="s">
        <v>36</v>
      </c>
      <c r="P3837" s="3" t="s">
        <v>36</v>
      </c>
      <c r="Q3837" s="3" t="s">
        <v>36</v>
      </c>
      <c r="R3837" s="3" t="s">
        <v>36</v>
      </c>
      <c r="S3837" s="3" t="s">
        <v>36</v>
      </c>
      <c r="T3837" s="3" t="s">
        <v>18730</v>
      </c>
      <c r="U3837" s="3" t="s">
        <v>74</v>
      </c>
      <c r="V3837" s="3" t="s">
        <v>75</v>
      </c>
      <c r="W3837" s="3" t="s">
        <v>19372</v>
      </c>
      <c r="X3837" s="10" t="s">
        <v>19373</v>
      </c>
      <c r="Y3837" s="6" t="s">
        <v>108</v>
      </c>
      <c r="Z3837" s="4">
        <v>0.56</v>
      </c>
      <c r="AA3837" s="4">
        <v>2.6</v>
      </c>
      <c r="AB3837" s="3" t="s">
        <v>43</v>
      </c>
      <c r="AC3837" s="3" t="s">
        <v>19374</v>
      </c>
      <c r="AD3837" s="9">
        <v>43986</v>
      </c>
      <c r="AE3837" s="3" t="s">
        <v>570</v>
      </c>
      <c r="AF3837" s="3" t="s">
        <v>3274</v>
      </c>
      <c r="AG3837" s="3" t="s">
        <v>81</v>
      </c>
      <c r="AH3837" s="11">
        <f>HYPERLINK("https://my.pitchbook.com?c=171401-41T","View Company Online")</f>
      </c>
    </row>
    <row r="3838">
      <c r="A3838" s="12" t="s">
        <v>19375</v>
      </c>
      <c r="B3838" s="12" t="s">
        <v>19376</v>
      </c>
      <c r="C3838" s="19" t="s">
        <v>36</v>
      </c>
      <c r="D3838" s="19" t="s">
        <v>36</v>
      </c>
      <c r="E3838" s="19" t="s">
        <v>36</v>
      </c>
      <c r="F3838" s="19" t="s">
        <v>36</v>
      </c>
      <c r="G3838" s="15" t="s">
        <v>36</v>
      </c>
      <c r="H3838" s="14">
        <v>30.84</v>
      </c>
      <c r="I3838" s="18">
        <v>43.42</v>
      </c>
      <c r="J3838" s="12" t="s">
        <v>521</v>
      </c>
      <c r="K3838" s="13" t="s">
        <v>36</v>
      </c>
      <c r="L3838" s="15" t="s">
        <v>36</v>
      </c>
      <c r="M3838" s="12" t="s">
        <v>36</v>
      </c>
      <c r="N3838" s="12" t="s">
        <v>36</v>
      </c>
      <c r="O3838" s="17" t="s">
        <v>36</v>
      </c>
      <c r="P3838" s="12" t="s">
        <v>36</v>
      </c>
      <c r="Q3838" s="12" t="s">
        <v>36</v>
      </c>
      <c r="R3838" s="12" t="s">
        <v>36</v>
      </c>
      <c r="S3838" s="12" t="s">
        <v>36</v>
      </c>
      <c r="T3838" s="12" t="s">
        <v>17283</v>
      </c>
      <c r="U3838" s="12" t="s">
        <v>51</v>
      </c>
      <c r="V3838" s="12" t="s">
        <v>52</v>
      </c>
      <c r="W3838" s="12" t="s">
        <v>19377</v>
      </c>
      <c r="X3838" s="16" t="s">
        <v>19378</v>
      </c>
      <c r="Y3838" s="15" t="s">
        <v>42</v>
      </c>
      <c r="Z3838" s="14">
        <v>3.17</v>
      </c>
      <c r="AA3838" s="14">
        <v>7.31</v>
      </c>
      <c r="AB3838" s="12" t="s">
        <v>43</v>
      </c>
      <c r="AC3838" s="12" t="s">
        <v>19379</v>
      </c>
      <c r="AD3838" s="13">
        <v>43986</v>
      </c>
      <c r="AE3838" s="12" t="s">
        <v>504</v>
      </c>
      <c r="AF3838" s="12" t="s">
        <v>159</v>
      </c>
      <c r="AG3838" s="12" t="s">
        <v>47</v>
      </c>
      <c r="AH3838" s="1">
        <f>HYPERLINK("https://my.pitchbook.com?c=155455-48T","View Company Online")</f>
      </c>
    </row>
    <row r="3839">
      <c r="A3839" s="3" t="s">
        <v>19380</v>
      </c>
      <c r="B3839" s="3" t="s">
        <v>3408</v>
      </c>
      <c r="C3839" s="5" t="s">
        <v>36</v>
      </c>
      <c r="D3839" s="5">
        <v>2</v>
      </c>
      <c r="E3839" s="5">
        <v>1</v>
      </c>
      <c r="F3839" s="5">
        <v>2</v>
      </c>
      <c r="G3839" s="6" t="s">
        <v>36</v>
      </c>
      <c r="H3839" s="4" t="s">
        <v>36</v>
      </c>
      <c r="I3839" s="7" t="s">
        <v>36</v>
      </c>
      <c r="J3839" s="3" t="s">
        <v>36</v>
      </c>
      <c r="K3839" s="9" t="s">
        <v>36</v>
      </c>
      <c r="L3839" s="6" t="s">
        <v>36</v>
      </c>
      <c r="M3839" s="3" t="s">
        <v>36</v>
      </c>
      <c r="N3839" s="3" t="s">
        <v>36</v>
      </c>
      <c r="O3839" s="8" t="s">
        <v>36</v>
      </c>
      <c r="P3839" s="3" t="s">
        <v>36</v>
      </c>
      <c r="Q3839" s="3" t="s">
        <v>36</v>
      </c>
      <c r="R3839" s="3" t="s">
        <v>36</v>
      </c>
      <c r="S3839" s="3" t="s">
        <v>36</v>
      </c>
      <c r="T3839" s="3" t="s">
        <v>2992</v>
      </c>
      <c r="U3839" s="3" t="s">
        <v>96</v>
      </c>
      <c r="V3839" s="3" t="s">
        <v>52</v>
      </c>
      <c r="W3839" s="3" t="s">
        <v>3409</v>
      </c>
      <c r="X3839" s="10" t="s">
        <v>10358</v>
      </c>
      <c r="Y3839" s="6" t="s">
        <v>42</v>
      </c>
      <c r="Z3839" s="4" t="s">
        <v>36</v>
      </c>
      <c r="AA3839" s="4" t="s">
        <v>36</v>
      </c>
      <c r="AB3839" s="3" t="s">
        <v>43</v>
      </c>
      <c r="AC3839" s="3" t="s">
        <v>3411</v>
      </c>
      <c r="AD3839" s="9">
        <v>43986</v>
      </c>
      <c r="AE3839" s="3" t="s">
        <v>100</v>
      </c>
      <c r="AF3839" s="3" t="s">
        <v>101</v>
      </c>
      <c r="AG3839" s="3" t="s">
        <v>3412</v>
      </c>
      <c r="AH3839" s="11">
        <f>HYPERLINK("https://my.pitchbook.com?c=192881-35T","View Company Online")</f>
      </c>
    </row>
    <row r="3840">
      <c r="A3840" s="12" t="s">
        <v>19381</v>
      </c>
      <c r="B3840" s="12" t="s">
        <v>19382</v>
      </c>
      <c r="C3840" s="19" t="s">
        <v>36</v>
      </c>
      <c r="D3840" s="19" t="s">
        <v>36</v>
      </c>
      <c r="E3840" s="19" t="s">
        <v>36</v>
      </c>
      <c r="F3840" s="19" t="s">
        <v>36</v>
      </c>
      <c r="G3840" s="15" t="s">
        <v>36</v>
      </c>
      <c r="H3840" s="14" t="s">
        <v>36</v>
      </c>
      <c r="I3840" s="18" t="s">
        <v>36</v>
      </c>
      <c r="J3840" s="12" t="s">
        <v>36</v>
      </c>
      <c r="K3840" s="13" t="s">
        <v>36</v>
      </c>
      <c r="L3840" s="15" t="s">
        <v>36</v>
      </c>
      <c r="M3840" s="12" t="s">
        <v>36</v>
      </c>
      <c r="N3840" s="12" t="s">
        <v>36</v>
      </c>
      <c r="O3840" s="17" t="s">
        <v>36</v>
      </c>
      <c r="P3840" s="12" t="s">
        <v>36</v>
      </c>
      <c r="Q3840" s="12" t="s">
        <v>36</v>
      </c>
      <c r="R3840" s="12" t="s">
        <v>36</v>
      </c>
      <c r="S3840" s="12" t="s">
        <v>36</v>
      </c>
      <c r="T3840" s="12" t="s">
        <v>1725</v>
      </c>
      <c r="U3840" s="12" t="s">
        <v>318</v>
      </c>
      <c r="V3840" s="12" t="s">
        <v>39</v>
      </c>
      <c r="W3840" s="12" t="s">
        <v>19383</v>
      </c>
      <c r="X3840" s="16" t="s">
        <v>19384</v>
      </c>
      <c r="Y3840" s="15" t="s">
        <v>42</v>
      </c>
      <c r="Z3840" s="14">
        <v>0.77</v>
      </c>
      <c r="AA3840" s="14" t="s">
        <v>36</v>
      </c>
      <c r="AB3840" s="12" t="s">
        <v>43</v>
      </c>
      <c r="AC3840" s="12" t="s">
        <v>19385</v>
      </c>
      <c r="AD3840" s="13">
        <v>43986</v>
      </c>
      <c r="AE3840" s="12" t="s">
        <v>763</v>
      </c>
      <c r="AF3840" s="12" t="s">
        <v>511</v>
      </c>
      <c r="AG3840" s="12" t="s">
        <v>3406</v>
      </c>
      <c r="AH3840" s="1">
        <f>HYPERLINK("https://my.pitchbook.com?c=137589-13T","View Company Online")</f>
      </c>
    </row>
    <row r="3841">
      <c r="A3841" s="3" t="s">
        <v>19386</v>
      </c>
      <c r="B3841" s="3" t="s">
        <v>13077</v>
      </c>
      <c r="C3841" s="5" t="s">
        <v>36</v>
      </c>
      <c r="D3841" s="5" t="s">
        <v>36</v>
      </c>
      <c r="E3841" s="5" t="s">
        <v>36</v>
      </c>
      <c r="F3841" s="5" t="s">
        <v>36</v>
      </c>
      <c r="G3841" s="6" t="s">
        <v>36</v>
      </c>
      <c r="H3841" s="4" t="s">
        <v>36</v>
      </c>
      <c r="I3841" s="7" t="s">
        <v>36</v>
      </c>
      <c r="J3841" s="3" t="s">
        <v>36</v>
      </c>
      <c r="K3841" s="9" t="s">
        <v>36</v>
      </c>
      <c r="L3841" s="6" t="s">
        <v>36</v>
      </c>
      <c r="M3841" s="3" t="s">
        <v>36</v>
      </c>
      <c r="N3841" s="3" t="s">
        <v>36</v>
      </c>
      <c r="O3841" s="8" t="s">
        <v>36</v>
      </c>
      <c r="P3841" s="3" t="s">
        <v>36</v>
      </c>
      <c r="Q3841" s="3" t="s">
        <v>36</v>
      </c>
      <c r="R3841" s="3" t="s">
        <v>36</v>
      </c>
      <c r="S3841" s="3" t="s">
        <v>36</v>
      </c>
      <c r="T3841" s="3" t="s">
        <v>13078</v>
      </c>
      <c r="U3841" s="3" t="s">
        <v>219</v>
      </c>
      <c r="V3841" s="3" t="s">
        <v>75</v>
      </c>
      <c r="W3841" s="3" t="s">
        <v>13079</v>
      </c>
      <c r="X3841" s="10" t="s">
        <v>19387</v>
      </c>
      <c r="Y3841" s="6" t="s">
        <v>42</v>
      </c>
      <c r="Z3841" s="4">
        <v>1.42</v>
      </c>
      <c r="AA3841" s="4" t="s">
        <v>36</v>
      </c>
      <c r="AB3841" s="3" t="s">
        <v>43</v>
      </c>
      <c r="AC3841" s="3" t="s">
        <v>13081</v>
      </c>
      <c r="AD3841" s="9">
        <v>43986</v>
      </c>
      <c r="AE3841" s="3" t="s">
        <v>223</v>
      </c>
      <c r="AF3841" s="3" t="s">
        <v>36</v>
      </c>
      <c r="AG3841" s="3" t="s">
        <v>13082</v>
      </c>
      <c r="AH3841" s="11">
        <f>HYPERLINK("https://my.pitchbook.com?c=200257-57T","View Company Online")</f>
      </c>
    </row>
    <row r="3842">
      <c r="A3842" s="12" t="s">
        <v>19388</v>
      </c>
      <c r="B3842" s="12" t="s">
        <v>5044</v>
      </c>
      <c r="C3842" s="19">
        <v>1</v>
      </c>
      <c r="D3842" s="19">
        <v>16</v>
      </c>
      <c r="E3842" s="19">
        <v>6</v>
      </c>
      <c r="F3842" s="19">
        <v>20</v>
      </c>
      <c r="G3842" s="15" t="s">
        <v>683</v>
      </c>
      <c r="H3842" s="14">
        <v>64.73</v>
      </c>
      <c r="I3842" s="18">
        <v>9.1</v>
      </c>
      <c r="J3842" s="12" t="s">
        <v>521</v>
      </c>
      <c r="K3842" s="13" t="s">
        <v>36</v>
      </c>
      <c r="L3842" s="15" t="s">
        <v>36</v>
      </c>
      <c r="M3842" s="12" t="s">
        <v>36</v>
      </c>
      <c r="N3842" s="12" t="s">
        <v>36</v>
      </c>
      <c r="O3842" s="17" t="s">
        <v>36</v>
      </c>
      <c r="P3842" s="12" t="s">
        <v>36</v>
      </c>
      <c r="Q3842" s="12" t="s">
        <v>36</v>
      </c>
      <c r="R3842" s="12" t="s">
        <v>36</v>
      </c>
      <c r="S3842" s="12" t="s">
        <v>36</v>
      </c>
      <c r="T3842" s="12" t="s">
        <v>5045</v>
      </c>
      <c r="U3842" s="12" t="s">
        <v>318</v>
      </c>
      <c r="V3842" s="12" t="s">
        <v>39</v>
      </c>
      <c r="W3842" s="12" t="s">
        <v>5046</v>
      </c>
      <c r="X3842" s="16" t="s">
        <v>19389</v>
      </c>
      <c r="Y3842" s="15" t="s">
        <v>192</v>
      </c>
      <c r="Z3842" s="14">
        <v>0.3</v>
      </c>
      <c r="AA3842" s="14">
        <v>3.31</v>
      </c>
      <c r="AB3842" s="12" t="s">
        <v>43</v>
      </c>
      <c r="AC3842" s="12" t="s">
        <v>5048</v>
      </c>
      <c r="AD3842" s="13">
        <v>43986</v>
      </c>
      <c r="AE3842" s="12" t="s">
        <v>763</v>
      </c>
      <c r="AF3842" s="12" t="s">
        <v>5049</v>
      </c>
      <c r="AG3842" s="12" t="s">
        <v>186</v>
      </c>
      <c r="AH3842" s="1">
        <f>HYPERLINK("https://my.pitchbook.com?c=188051-95T","View Company Online")</f>
      </c>
    </row>
    <row r="3843">
      <c r="A3843" s="3" t="s">
        <v>19390</v>
      </c>
      <c r="B3843" s="3" t="s">
        <v>19391</v>
      </c>
      <c r="C3843" s="5">
        <v>7</v>
      </c>
      <c r="D3843" s="5">
        <v>17</v>
      </c>
      <c r="E3843" s="5">
        <v>9</v>
      </c>
      <c r="F3843" s="5">
        <v>28</v>
      </c>
      <c r="G3843" s="6" t="s">
        <v>36</v>
      </c>
      <c r="H3843" s="4" t="s">
        <v>36</v>
      </c>
      <c r="I3843" s="7">
        <v>18.98</v>
      </c>
      <c r="J3843" s="3" t="s">
        <v>327</v>
      </c>
      <c r="K3843" s="9" t="s">
        <v>36</v>
      </c>
      <c r="L3843" s="6" t="s">
        <v>122</v>
      </c>
      <c r="M3843" s="3" t="s">
        <v>36</v>
      </c>
      <c r="N3843" s="3" t="s">
        <v>122</v>
      </c>
      <c r="O3843" s="8" t="s">
        <v>36</v>
      </c>
      <c r="P3843" s="3" t="s">
        <v>36</v>
      </c>
      <c r="Q3843" s="3" t="s">
        <v>36</v>
      </c>
      <c r="R3843" s="3" t="s">
        <v>36</v>
      </c>
      <c r="S3843" s="3" t="s">
        <v>36</v>
      </c>
      <c r="T3843" s="3" t="s">
        <v>19392</v>
      </c>
      <c r="U3843" s="3" t="s">
        <v>318</v>
      </c>
      <c r="V3843" s="3" t="s">
        <v>39</v>
      </c>
      <c r="W3843" s="3" t="s">
        <v>19393</v>
      </c>
      <c r="X3843" s="10" t="s">
        <v>19394</v>
      </c>
      <c r="Y3843" s="6" t="s">
        <v>55</v>
      </c>
      <c r="Z3843" s="4">
        <v>3.28</v>
      </c>
      <c r="AA3843" s="4">
        <v>17.28</v>
      </c>
      <c r="AB3843" s="3" t="s">
        <v>56</v>
      </c>
      <c r="AC3843" s="3" t="s">
        <v>19395</v>
      </c>
      <c r="AD3843" s="9">
        <v>43985</v>
      </c>
      <c r="AE3843" s="3" t="s">
        <v>323</v>
      </c>
      <c r="AF3843" s="3" t="s">
        <v>10379</v>
      </c>
      <c r="AG3843" s="3" t="s">
        <v>6068</v>
      </c>
      <c r="AH3843" s="11">
        <f>HYPERLINK("https://my.pitchbook.com?c=137414-89T","View Company Online")</f>
      </c>
    </row>
    <row r="3844">
      <c r="A3844" s="12" t="s">
        <v>19396</v>
      </c>
      <c r="B3844" s="12" t="s">
        <v>11147</v>
      </c>
      <c r="C3844" s="19" t="s">
        <v>36</v>
      </c>
      <c r="D3844" s="19" t="s">
        <v>36</v>
      </c>
      <c r="E3844" s="19" t="s">
        <v>36</v>
      </c>
      <c r="F3844" s="19" t="s">
        <v>36</v>
      </c>
      <c r="G3844" s="15" t="s">
        <v>36</v>
      </c>
      <c r="H3844" s="14" t="s">
        <v>36</v>
      </c>
      <c r="I3844" s="18" t="s">
        <v>36</v>
      </c>
      <c r="J3844" s="12" t="s">
        <v>327</v>
      </c>
      <c r="K3844" s="13" t="s">
        <v>36</v>
      </c>
      <c r="L3844" s="15" t="s">
        <v>36</v>
      </c>
      <c r="M3844" s="12" t="s">
        <v>36</v>
      </c>
      <c r="N3844" s="12" t="s">
        <v>36</v>
      </c>
      <c r="O3844" s="17" t="s">
        <v>36</v>
      </c>
      <c r="P3844" s="12" t="s">
        <v>36</v>
      </c>
      <c r="Q3844" s="12" t="s">
        <v>36</v>
      </c>
      <c r="R3844" s="12" t="s">
        <v>36</v>
      </c>
      <c r="S3844" s="12" t="s">
        <v>36</v>
      </c>
      <c r="T3844" s="12" t="s">
        <v>11148</v>
      </c>
      <c r="U3844" s="12" t="s">
        <v>648</v>
      </c>
      <c r="V3844" s="12" t="s">
        <v>64</v>
      </c>
      <c r="W3844" s="12" t="s">
        <v>11149</v>
      </c>
      <c r="X3844" s="16" t="s">
        <v>19397</v>
      </c>
      <c r="Y3844" s="15" t="s">
        <v>42</v>
      </c>
      <c r="Z3844" s="14">
        <v>3.83</v>
      </c>
      <c r="AA3844" s="14">
        <v>27.74</v>
      </c>
      <c r="AB3844" s="12" t="s">
        <v>43</v>
      </c>
      <c r="AC3844" s="12" t="s">
        <v>11150</v>
      </c>
      <c r="AD3844" s="13">
        <v>43985</v>
      </c>
      <c r="AE3844" s="12" t="s">
        <v>651</v>
      </c>
      <c r="AF3844" s="12" t="s">
        <v>5793</v>
      </c>
      <c r="AG3844" s="12" t="s">
        <v>81</v>
      </c>
      <c r="AH3844" s="1">
        <f>HYPERLINK("https://my.pitchbook.com?c=132930-91T","View Company Online")</f>
      </c>
    </row>
    <row r="3845">
      <c r="A3845" s="3" t="s">
        <v>19398</v>
      </c>
      <c r="B3845" s="3" t="s">
        <v>1724</v>
      </c>
      <c r="C3845" s="5" t="s">
        <v>36</v>
      </c>
      <c r="D3845" s="5" t="s">
        <v>36</v>
      </c>
      <c r="E3845" s="5">
        <v>1</v>
      </c>
      <c r="F3845" s="5">
        <v>1</v>
      </c>
      <c r="G3845" s="6" t="s">
        <v>326</v>
      </c>
      <c r="H3845" s="4">
        <v>203.49</v>
      </c>
      <c r="I3845" s="7">
        <v>28.04</v>
      </c>
      <c r="J3845" s="3" t="s">
        <v>521</v>
      </c>
      <c r="K3845" s="9" t="s">
        <v>36</v>
      </c>
      <c r="L3845" s="6" t="s">
        <v>36</v>
      </c>
      <c r="M3845" s="3" t="s">
        <v>36</v>
      </c>
      <c r="N3845" s="3" t="s">
        <v>36</v>
      </c>
      <c r="O3845" s="8" t="s">
        <v>36</v>
      </c>
      <c r="P3845" s="3" t="s">
        <v>36</v>
      </c>
      <c r="Q3845" s="3" t="s">
        <v>36</v>
      </c>
      <c r="R3845" s="3" t="s">
        <v>36</v>
      </c>
      <c r="S3845" s="3" t="s">
        <v>36</v>
      </c>
      <c r="T3845" s="3" t="s">
        <v>1725</v>
      </c>
      <c r="U3845" s="3" t="s">
        <v>318</v>
      </c>
      <c r="V3845" s="3" t="s">
        <v>39</v>
      </c>
      <c r="W3845" s="3" t="s">
        <v>1726</v>
      </c>
      <c r="X3845" s="10" t="s">
        <v>19399</v>
      </c>
      <c r="Y3845" s="6" t="s">
        <v>108</v>
      </c>
      <c r="Z3845" s="4">
        <v>3.28</v>
      </c>
      <c r="AA3845" s="4">
        <v>10.53</v>
      </c>
      <c r="AB3845" s="3" t="s">
        <v>56</v>
      </c>
      <c r="AC3845" s="3" t="s">
        <v>1728</v>
      </c>
      <c r="AD3845" s="9">
        <v>43985</v>
      </c>
      <c r="AE3845" s="3" t="s">
        <v>763</v>
      </c>
      <c r="AF3845" s="3" t="s">
        <v>1729</v>
      </c>
      <c r="AG3845" s="3" t="s">
        <v>81</v>
      </c>
      <c r="AH3845" s="11">
        <f>HYPERLINK("https://my.pitchbook.com?c=137467-18T","View Company Online")</f>
      </c>
    </row>
    <row r="3846">
      <c r="A3846" s="12" t="s">
        <v>19400</v>
      </c>
      <c r="B3846" s="12" t="s">
        <v>19401</v>
      </c>
      <c r="C3846" s="19" t="s">
        <v>36</v>
      </c>
      <c r="D3846" s="19" t="s">
        <v>36</v>
      </c>
      <c r="E3846" s="19" t="s">
        <v>36</v>
      </c>
      <c r="F3846" s="19" t="s">
        <v>36</v>
      </c>
      <c r="G3846" s="15" t="s">
        <v>36</v>
      </c>
      <c r="H3846" s="14" t="s">
        <v>36</v>
      </c>
      <c r="I3846" s="18" t="s">
        <v>36</v>
      </c>
      <c r="J3846" s="12" t="s">
        <v>36</v>
      </c>
      <c r="K3846" s="13" t="s">
        <v>36</v>
      </c>
      <c r="L3846" s="15" t="s">
        <v>36</v>
      </c>
      <c r="M3846" s="12" t="s">
        <v>36</v>
      </c>
      <c r="N3846" s="12" t="s">
        <v>36</v>
      </c>
      <c r="O3846" s="17" t="s">
        <v>36</v>
      </c>
      <c r="P3846" s="12" t="s">
        <v>36</v>
      </c>
      <c r="Q3846" s="12" t="s">
        <v>36</v>
      </c>
      <c r="R3846" s="12" t="s">
        <v>36</v>
      </c>
      <c r="S3846" s="12" t="s">
        <v>565</v>
      </c>
      <c r="T3846" s="12" t="s">
        <v>19402</v>
      </c>
      <c r="U3846" s="12" t="s">
        <v>423</v>
      </c>
      <c r="V3846" s="12" t="s">
        <v>64</v>
      </c>
      <c r="W3846" s="12" t="s">
        <v>19403</v>
      </c>
      <c r="X3846" s="16" t="s">
        <v>19404</v>
      </c>
      <c r="Y3846" s="15" t="s">
        <v>42</v>
      </c>
      <c r="Z3846" s="14" t="s">
        <v>36</v>
      </c>
      <c r="AA3846" s="14" t="s">
        <v>36</v>
      </c>
      <c r="AB3846" s="12" t="s">
        <v>43</v>
      </c>
      <c r="AC3846" s="12" t="s">
        <v>19405</v>
      </c>
      <c r="AD3846" s="13">
        <v>43984</v>
      </c>
      <c r="AE3846" s="12" t="s">
        <v>2871</v>
      </c>
      <c r="AF3846" s="12" t="s">
        <v>1224</v>
      </c>
      <c r="AG3846" s="12" t="s">
        <v>144</v>
      </c>
      <c r="AH3846" s="1">
        <f>HYPERLINK("https://my.pitchbook.com?c=165198-16T","View Company Online")</f>
      </c>
    </row>
    <row r="3847">
      <c r="A3847" s="3" t="s">
        <v>19406</v>
      </c>
      <c r="B3847" s="3" t="s">
        <v>19407</v>
      </c>
      <c r="C3847" s="5" t="s">
        <v>36</v>
      </c>
      <c r="D3847" s="5" t="s">
        <v>36</v>
      </c>
      <c r="E3847" s="5" t="s">
        <v>36</v>
      </c>
      <c r="F3847" s="5" t="s">
        <v>36</v>
      </c>
      <c r="G3847" s="6" t="s">
        <v>683</v>
      </c>
      <c r="H3847" s="4">
        <v>12.81</v>
      </c>
      <c r="I3847" s="7">
        <v>10.68</v>
      </c>
      <c r="J3847" s="3" t="s">
        <v>521</v>
      </c>
      <c r="K3847" s="9" t="s">
        <v>36</v>
      </c>
      <c r="L3847" s="6" t="s">
        <v>94</v>
      </c>
      <c r="M3847" s="3" t="s">
        <v>36</v>
      </c>
      <c r="N3847" s="3" t="s">
        <v>94</v>
      </c>
      <c r="O3847" s="8" t="s">
        <v>36</v>
      </c>
      <c r="P3847" s="3" t="s">
        <v>36</v>
      </c>
      <c r="Q3847" s="3" t="s">
        <v>36</v>
      </c>
      <c r="R3847" s="3" t="s">
        <v>36</v>
      </c>
      <c r="S3847" s="3" t="s">
        <v>36</v>
      </c>
      <c r="T3847" s="3" t="s">
        <v>2285</v>
      </c>
      <c r="U3847" s="3" t="s">
        <v>38</v>
      </c>
      <c r="V3847" s="3" t="s">
        <v>39</v>
      </c>
      <c r="W3847" s="3" t="s">
        <v>19408</v>
      </c>
      <c r="X3847" s="10" t="s">
        <v>19409</v>
      </c>
      <c r="Y3847" s="6" t="s">
        <v>321</v>
      </c>
      <c r="Z3847" s="4">
        <v>27.31</v>
      </c>
      <c r="AA3847" s="4">
        <v>66.46</v>
      </c>
      <c r="AB3847" s="3" t="s">
        <v>56</v>
      </c>
      <c r="AC3847" s="3" t="s">
        <v>19410</v>
      </c>
      <c r="AD3847" s="9">
        <v>43984</v>
      </c>
      <c r="AE3847" s="3" t="s">
        <v>110</v>
      </c>
      <c r="AF3847" s="3" t="s">
        <v>526</v>
      </c>
      <c r="AG3847" s="3" t="s">
        <v>19411</v>
      </c>
      <c r="AH3847" s="11">
        <f>HYPERLINK("https://my.pitchbook.com?c=137343-79T","View Company Online")</f>
      </c>
    </row>
    <row r="3848">
      <c r="A3848" s="12" t="s">
        <v>19412</v>
      </c>
      <c r="B3848" s="12" t="s">
        <v>19413</v>
      </c>
      <c r="C3848" s="19" t="s">
        <v>36</v>
      </c>
      <c r="D3848" s="19" t="s">
        <v>36</v>
      </c>
      <c r="E3848" s="19" t="s">
        <v>36</v>
      </c>
      <c r="F3848" s="19" t="s">
        <v>36</v>
      </c>
      <c r="G3848" s="15" t="s">
        <v>36</v>
      </c>
      <c r="H3848" s="14">
        <v>8.15</v>
      </c>
      <c r="I3848" s="18">
        <v>33.33</v>
      </c>
      <c r="J3848" s="12" t="s">
        <v>521</v>
      </c>
      <c r="K3848" s="13" t="s">
        <v>36</v>
      </c>
      <c r="L3848" s="15" t="s">
        <v>36</v>
      </c>
      <c r="M3848" s="12" t="s">
        <v>36</v>
      </c>
      <c r="N3848" s="12" t="s">
        <v>36</v>
      </c>
      <c r="O3848" s="17" t="s">
        <v>36</v>
      </c>
      <c r="P3848" s="12" t="s">
        <v>36</v>
      </c>
      <c r="Q3848" s="12" t="s">
        <v>36</v>
      </c>
      <c r="R3848" s="12" t="s">
        <v>36</v>
      </c>
      <c r="S3848" s="12" t="s">
        <v>36</v>
      </c>
      <c r="T3848" s="12" t="s">
        <v>62</v>
      </c>
      <c r="U3848" s="12" t="s">
        <v>63</v>
      </c>
      <c r="V3848" s="12" t="s">
        <v>64</v>
      </c>
      <c r="W3848" s="12" t="s">
        <v>19414</v>
      </c>
      <c r="X3848" s="16" t="s">
        <v>19415</v>
      </c>
      <c r="Y3848" s="15" t="s">
        <v>42</v>
      </c>
      <c r="Z3848" s="14">
        <v>0.22</v>
      </c>
      <c r="AA3848" s="14">
        <v>0.66</v>
      </c>
      <c r="AB3848" s="12" t="s">
        <v>43</v>
      </c>
      <c r="AC3848" s="12" t="s">
        <v>19416</v>
      </c>
      <c r="AD3848" s="13">
        <v>43984</v>
      </c>
      <c r="AE3848" s="12" t="s">
        <v>68</v>
      </c>
      <c r="AF3848" s="12" t="s">
        <v>36</v>
      </c>
      <c r="AG3848" s="12" t="s">
        <v>580</v>
      </c>
      <c r="AH3848" s="1">
        <f>HYPERLINK("https://my.pitchbook.com?c=157575-25T","View Company Online")</f>
      </c>
    </row>
    <row r="3849">
      <c r="A3849" s="3" t="s">
        <v>19417</v>
      </c>
      <c r="B3849" s="3" t="s">
        <v>19418</v>
      </c>
      <c r="C3849" s="5" t="s">
        <v>36</v>
      </c>
      <c r="D3849" s="5" t="s">
        <v>36</v>
      </c>
      <c r="E3849" s="5" t="s">
        <v>36</v>
      </c>
      <c r="F3849" s="5" t="s">
        <v>36</v>
      </c>
      <c r="G3849" s="6" t="s">
        <v>36</v>
      </c>
      <c r="H3849" s="4" t="s">
        <v>36</v>
      </c>
      <c r="I3849" s="7" t="s">
        <v>36</v>
      </c>
      <c r="J3849" s="3" t="s">
        <v>36</v>
      </c>
      <c r="K3849" s="9" t="s">
        <v>36</v>
      </c>
      <c r="L3849" s="6" t="s">
        <v>36</v>
      </c>
      <c r="M3849" s="3" t="s">
        <v>36</v>
      </c>
      <c r="N3849" s="3" t="s">
        <v>36</v>
      </c>
      <c r="O3849" s="8" t="s">
        <v>36</v>
      </c>
      <c r="P3849" s="3" t="s">
        <v>36</v>
      </c>
      <c r="Q3849" s="3" t="s">
        <v>36</v>
      </c>
      <c r="R3849" s="3" t="s">
        <v>36</v>
      </c>
      <c r="S3849" s="3" t="s">
        <v>36</v>
      </c>
      <c r="T3849" s="3" t="s">
        <v>154</v>
      </c>
      <c r="U3849" s="3" t="s">
        <v>51</v>
      </c>
      <c r="V3849" s="3" t="s">
        <v>52</v>
      </c>
      <c r="W3849" s="3" t="s">
        <v>19419</v>
      </c>
      <c r="X3849" s="10" t="s">
        <v>19420</v>
      </c>
      <c r="Y3849" s="6" t="s">
        <v>42</v>
      </c>
      <c r="Z3849" s="4" t="s">
        <v>36</v>
      </c>
      <c r="AA3849" s="4" t="s">
        <v>36</v>
      </c>
      <c r="AB3849" s="3" t="s">
        <v>43</v>
      </c>
      <c r="AC3849" s="3" t="s">
        <v>19421</v>
      </c>
      <c r="AD3849" s="9">
        <v>43983</v>
      </c>
      <c r="AE3849" s="3" t="s">
        <v>158</v>
      </c>
      <c r="AF3849" s="3" t="s">
        <v>19422</v>
      </c>
      <c r="AG3849" s="3" t="s">
        <v>969</v>
      </c>
      <c r="AH3849" s="11">
        <f>HYPERLINK("https://my.pitchbook.com?c=191289-43T","View Company Online")</f>
      </c>
    </row>
    <row r="3850">
      <c r="A3850" s="12" t="s">
        <v>19423</v>
      </c>
      <c r="B3850" s="12" t="s">
        <v>19424</v>
      </c>
      <c r="C3850" s="19" t="s">
        <v>36</v>
      </c>
      <c r="D3850" s="19">
        <v>14</v>
      </c>
      <c r="E3850" s="19">
        <v>5</v>
      </c>
      <c r="F3850" s="19">
        <v>19</v>
      </c>
      <c r="G3850" s="15" t="s">
        <v>683</v>
      </c>
      <c r="H3850" s="14">
        <v>5.29</v>
      </c>
      <c r="I3850" s="18">
        <v>25.73</v>
      </c>
      <c r="J3850" s="12" t="s">
        <v>521</v>
      </c>
      <c r="K3850" s="13" t="s">
        <v>36</v>
      </c>
      <c r="L3850" s="15" t="s">
        <v>1279</v>
      </c>
      <c r="M3850" s="12" t="s">
        <v>36</v>
      </c>
      <c r="N3850" s="12" t="s">
        <v>1279</v>
      </c>
      <c r="O3850" s="17" t="s">
        <v>36</v>
      </c>
      <c r="P3850" s="12" t="s">
        <v>36</v>
      </c>
      <c r="Q3850" s="12" t="s">
        <v>36</v>
      </c>
      <c r="R3850" s="12" t="s">
        <v>36</v>
      </c>
      <c r="S3850" s="12" t="s">
        <v>36</v>
      </c>
      <c r="T3850" s="12" t="s">
        <v>16247</v>
      </c>
      <c r="U3850" s="12" t="s">
        <v>1357</v>
      </c>
      <c r="V3850" s="12" t="s">
        <v>52</v>
      </c>
      <c r="W3850" s="12" t="s">
        <v>19425</v>
      </c>
      <c r="X3850" s="16" t="s">
        <v>19426</v>
      </c>
      <c r="Y3850" s="15" t="s">
        <v>55</v>
      </c>
      <c r="Z3850" s="14">
        <v>16.38</v>
      </c>
      <c r="AA3850" s="14">
        <v>61.12</v>
      </c>
      <c r="AB3850" s="12" t="s">
        <v>56</v>
      </c>
      <c r="AC3850" s="12" t="s">
        <v>19427</v>
      </c>
      <c r="AD3850" s="13">
        <v>43983</v>
      </c>
      <c r="AE3850" s="12" t="s">
        <v>3204</v>
      </c>
      <c r="AF3850" s="12" t="s">
        <v>19428</v>
      </c>
      <c r="AG3850" s="12" t="s">
        <v>81</v>
      </c>
      <c r="AH3850" s="1">
        <f>HYPERLINK("https://my.pitchbook.com?c=137703-25T","View Company Online")</f>
      </c>
    </row>
    <row r="3851">
      <c r="A3851" s="3" t="s">
        <v>19429</v>
      </c>
      <c r="B3851" s="3" t="s">
        <v>17306</v>
      </c>
      <c r="C3851" s="5" t="s">
        <v>36</v>
      </c>
      <c r="D3851" s="5" t="s">
        <v>36</v>
      </c>
      <c r="E3851" s="5" t="s">
        <v>36</v>
      </c>
      <c r="F3851" s="5" t="s">
        <v>36</v>
      </c>
      <c r="G3851" s="6" t="s">
        <v>326</v>
      </c>
      <c r="H3851" s="4">
        <v>11.27</v>
      </c>
      <c r="I3851" s="7">
        <v>10.87</v>
      </c>
      <c r="J3851" s="3" t="s">
        <v>521</v>
      </c>
      <c r="K3851" s="9" t="s">
        <v>36</v>
      </c>
      <c r="L3851" s="6" t="s">
        <v>36</v>
      </c>
      <c r="M3851" s="3" t="s">
        <v>36</v>
      </c>
      <c r="N3851" s="3" t="s">
        <v>36</v>
      </c>
      <c r="O3851" s="8" t="s">
        <v>36</v>
      </c>
      <c r="P3851" s="3" t="s">
        <v>36</v>
      </c>
      <c r="Q3851" s="3" t="s">
        <v>36</v>
      </c>
      <c r="R3851" s="3" t="s">
        <v>36</v>
      </c>
      <c r="S3851" s="3" t="s">
        <v>36</v>
      </c>
      <c r="T3851" s="3" t="s">
        <v>2967</v>
      </c>
      <c r="U3851" s="3" t="s">
        <v>38</v>
      </c>
      <c r="V3851" s="3" t="s">
        <v>39</v>
      </c>
      <c r="W3851" s="3" t="s">
        <v>17307</v>
      </c>
      <c r="X3851" s="10" t="s">
        <v>12524</v>
      </c>
      <c r="Y3851" s="6" t="s">
        <v>42</v>
      </c>
      <c r="Z3851" s="4">
        <v>0.8</v>
      </c>
      <c r="AA3851" s="4">
        <v>7.36</v>
      </c>
      <c r="AB3851" s="3" t="s">
        <v>43</v>
      </c>
      <c r="AC3851" s="3" t="s">
        <v>17309</v>
      </c>
      <c r="AD3851" s="9">
        <v>43983</v>
      </c>
      <c r="AE3851" s="3" t="s">
        <v>110</v>
      </c>
      <c r="AF3851" s="3" t="s">
        <v>1115</v>
      </c>
      <c r="AG3851" s="3" t="s">
        <v>443</v>
      </c>
      <c r="AH3851" s="11">
        <f>HYPERLINK("https://my.pitchbook.com?c=159781-78T","View Company Online")</f>
      </c>
    </row>
    <row r="3852">
      <c r="A3852" s="12" t="s">
        <v>19430</v>
      </c>
      <c r="B3852" s="12" t="s">
        <v>7913</v>
      </c>
      <c r="C3852" s="19" t="s">
        <v>36</v>
      </c>
      <c r="D3852" s="19" t="s">
        <v>36</v>
      </c>
      <c r="E3852" s="19" t="s">
        <v>36</v>
      </c>
      <c r="F3852" s="19" t="s">
        <v>36</v>
      </c>
      <c r="G3852" s="15" t="s">
        <v>36</v>
      </c>
      <c r="H3852" s="14">
        <v>868.24</v>
      </c>
      <c r="I3852" s="18">
        <v>28.86</v>
      </c>
      <c r="J3852" s="12" t="s">
        <v>521</v>
      </c>
      <c r="K3852" s="13" t="s">
        <v>36</v>
      </c>
      <c r="L3852" s="15" t="s">
        <v>36</v>
      </c>
      <c r="M3852" s="12" t="s">
        <v>36</v>
      </c>
      <c r="N3852" s="12" t="s">
        <v>36</v>
      </c>
      <c r="O3852" s="17" t="s">
        <v>36</v>
      </c>
      <c r="P3852" s="12" t="s">
        <v>36</v>
      </c>
      <c r="Q3852" s="12" t="s">
        <v>36</v>
      </c>
      <c r="R3852" s="12" t="s">
        <v>36</v>
      </c>
      <c r="S3852" s="12" t="s">
        <v>36</v>
      </c>
      <c r="T3852" s="12" t="s">
        <v>522</v>
      </c>
      <c r="U3852" s="12" t="s">
        <v>38</v>
      </c>
      <c r="V3852" s="12" t="s">
        <v>39</v>
      </c>
      <c r="W3852" s="12" t="s">
        <v>7914</v>
      </c>
      <c r="X3852" s="16" t="s">
        <v>19431</v>
      </c>
      <c r="Y3852" s="15" t="s">
        <v>108</v>
      </c>
      <c r="Z3852" s="14">
        <v>1.2</v>
      </c>
      <c r="AA3852" s="14">
        <v>3.87</v>
      </c>
      <c r="AB3852" s="12" t="s">
        <v>43</v>
      </c>
      <c r="AC3852" s="12" t="s">
        <v>7916</v>
      </c>
      <c r="AD3852" s="13">
        <v>43983</v>
      </c>
      <c r="AE3852" s="12" t="s">
        <v>110</v>
      </c>
      <c r="AF3852" s="12" t="s">
        <v>526</v>
      </c>
      <c r="AG3852" s="12" t="s">
        <v>81</v>
      </c>
      <c r="AH3852" s="1">
        <f>HYPERLINK("https://my.pitchbook.com?c=146343-07T","View Company Online")</f>
      </c>
    </row>
    <row r="3853">
      <c r="A3853" s="3" t="s">
        <v>19432</v>
      </c>
      <c r="B3853" s="3" t="s">
        <v>16539</v>
      </c>
      <c r="C3853" s="5">
        <v>20</v>
      </c>
      <c r="D3853" s="5">
        <v>6</v>
      </c>
      <c r="E3853" s="5">
        <v>9</v>
      </c>
      <c r="F3853" s="5">
        <v>29</v>
      </c>
      <c r="G3853" s="6" t="s">
        <v>36</v>
      </c>
      <c r="H3853" s="4" t="s">
        <v>36</v>
      </c>
      <c r="I3853" s="7" t="s">
        <v>36</v>
      </c>
      <c r="J3853" s="3" t="s">
        <v>36</v>
      </c>
      <c r="K3853" s="9" t="s">
        <v>36</v>
      </c>
      <c r="L3853" s="6" t="s">
        <v>36</v>
      </c>
      <c r="M3853" s="3" t="s">
        <v>36</v>
      </c>
      <c r="N3853" s="3" t="s">
        <v>36</v>
      </c>
      <c r="O3853" s="8" t="s">
        <v>36</v>
      </c>
      <c r="P3853" s="3" t="s">
        <v>36</v>
      </c>
      <c r="Q3853" s="3" t="s">
        <v>36</v>
      </c>
      <c r="R3853" s="3" t="s">
        <v>36</v>
      </c>
      <c r="S3853" s="3" t="s">
        <v>36</v>
      </c>
      <c r="T3853" s="3" t="s">
        <v>16540</v>
      </c>
      <c r="U3853" s="3" t="s">
        <v>96</v>
      </c>
      <c r="V3853" s="3" t="s">
        <v>52</v>
      </c>
      <c r="W3853" s="3" t="s">
        <v>16541</v>
      </c>
      <c r="X3853" s="10" t="s">
        <v>19433</v>
      </c>
      <c r="Y3853" s="6" t="s">
        <v>108</v>
      </c>
      <c r="Z3853" s="4">
        <v>0.26</v>
      </c>
      <c r="AA3853" s="4" t="s">
        <v>36</v>
      </c>
      <c r="AB3853" s="3" t="s">
        <v>43</v>
      </c>
      <c r="AC3853" s="3" t="s">
        <v>16543</v>
      </c>
      <c r="AD3853" s="9">
        <v>43983</v>
      </c>
      <c r="AE3853" s="3" t="s">
        <v>1414</v>
      </c>
      <c r="AF3853" s="3" t="s">
        <v>16544</v>
      </c>
      <c r="AG3853" s="3" t="s">
        <v>1353</v>
      </c>
      <c r="AH3853" s="11">
        <f>HYPERLINK("https://my.pitchbook.com?c=157376-17T","View Company Online")</f>
      </c>
    </row>
    <row r="3854">
      <c r="A3854" s="12" t="s">
        <v>19434</v>
      </c>
      <c r="B3854" s="12" t="s">
        <v>19435</v>
      </c>
      <c r="C3854" s="19" t="s">
        <v>36</v>
      </c>
      <c r="D3854" s="19" t="s">
        <v>36</v>
      </c>
      <c r="E3854" s="19" t="s">
        <v>36</v>
      </c>
      <c r="F3854" s="19" t="s">
        <v>36</v>
      </c>
      <c r="G3854" s="15" t="s">
        <v>326</v>
      </c>
      <c r="H3854" s="14">
        <v>23.47</v>
      </c>
      <c r="I3854" s="18">
        <v>10.34</v>
      </c>
      <c r="J3854" s="12" t="s">
        <v>521</v>
      </c>
      <c r="K3854" s="13" t="s">
        <v>36</v>
      </c>
      <c r="L3854" s="15" t="s">
        <v>36</v>
      </c>
      <c r="M3854" s="12" t="s">
        <v>36</v>
      </c>
      <c r="N3854" s="12" t="s">
        <v>36</v>
      </c>
      <c r="O3854" s="17" t="s">
        <v>36</v>
      </c>
      <c r="P3854" s="12" t="s">
        <v>36</v>
      </c>
      <c r="Q3854" s="12" t="s">
        <v>36</v>
      </c>
      <c r="R3854" s="12" t="s">
        <v>36</v>
      </c>
      <c r="S3854" s="12" t="s">
        <v>36</v>
      </c>
      <c r="T3854" s="12" t="s">
        <v>19436</v>
      </c>
      <c r="U3854" s="12" t="s">
        <v>423</v>
      </c>
      <c r="V3854" s="12" t="s">
        <v>64</v>
      </c>
      <c r="W3854" s="12" t="s">
        <v>19437</v>
      </c>
      <c r="X3854" s="16" t="s">
        <v>19438</v>
      </c>
      <c r="Y3854" s="15" t="s">
        <v>42</v>
      </c>
      <c r="Z3854" s="14">
        <v>0.5</v>
      </c>
      <c r="AA3854" s="14">
        <v>4.87</v>
      </c>
      <c r="AB3854" s="12" t="s">
        <v>56</v>
      </c>
      <c r="AC3854" s="12" t="s">
        <v>19439</v>
      </c>
      <c r="AD3854" s="13">
        <v>43983</v>
      </c>
      <c r="AE3854" s="12" t="s">
        <v>562</v>
      </c>
      <c r="AF3854" s="12" t="s">
        <v>5793</v>
      </c>
      <c r="AG3854" s="12" t="s">
        <v>11589</v>
      </c>
      <c r="AH3854" s="1">
        <f>HYPERLINK("https://my.pitchbook.com?c=146346-22T","View Company Online")</f>
      </c>
    </row>
    <row r="3855">
      <c r="A3855" s="3" t="s">
        <v>19440</v>
      </c>
      <c r="B3855" s="3" t="s">
        <v>11807</v>
      </c>
      <c r="C3855" s="5" t="s">
        <v>36</v>
      </c>
      <c r="D3855" s="5" t="s">
        <v>36</v>
      </c>
      <c r="E3855" s="5" t="s">
        <v>36</v>
      </c>
      <c r="F3855" s="5" t="s">
        <v>36</v>
      </c>
      <c r="G3855" s="6" t="s">
        <v>36</v>
      </c>
      <c r="H3855" s="4">
        <v>0.31</v>
      </c>
      <c r="I3855" s="7">
        <v>23.73</v>
      </c>
      <c r="J3855" s="3" t="s">
        <v>521</v>
      </c>
      <c r="K3855" s="9" t="s">
        <v>36</v>
      </c>
      <c r="L3855" s="6" t="s">
        <v>36</v>
      </c>
      <c r="M3855" s="3" t="s">
        <v>36</v>
      </c>
      <c r="N3855" s="3" t="s">
        <v>36</v>
      </c>
      <c r="O3855" s="8" t="s">
        <v>36</v>
      </c>
      <c r="P3855" s="3" t="s">
        <v>36</v>
      </c>
      <c r="Q3855" s="3" t="s">
        <v>36</v>
      </c>
      <c r="R3855" s="3" t="s">
        <v>36</v>
      </c>
      <c r="S3855" s="3" t="s">
        <v>36</v>
      </c>
      <c r="T3855" s="3" t="s">
        <v>11808</v>
      </c>
      <c r="U3855" s="3" t="s">
        <v>289</v>
      </c>
      <c r="V3855" s="3" t="s">
        <v>64</v>
      </c>
      <c r="W3855" s="3" t="s">
        <v>11809</v>
      </c>
      <c r="X3855" s="10" t="s">
        <v>19441</v>
      </c>
      <c r="Y3855" s="6" t="s">
        <v>42</v>
      </c>
      <c r="Z3855" s="4">
        <v>0.55</v>
      </c>
      <c r="AA3855" s="4">
        <v>1.93</v>
      </c>
      <c r="AB3855" s="3" t="s">
        <v>43</v>
      </c>
      <c r="AC3855" s="3" t="s">
        <v>11811</v>
      </c>
      <c r="AD3855" s="9">
        <v>43981</v>
      </c>
      <c r="AE3855" s="3" t="s">
        <v>3134</v>
      </c>
      <c r="AF3855" s="3" t="s">
        <v>11812</v>
      </c>
      <c r="AG3855" s="3" t="s">
        <v>144</v>
      </c>
      <c r="AH3855" s="11">
        <f>HYPERLINK("https://my.pitchbook.com?c=139523-05T","View Company Online")</f>
      </c>
    </row>
    <row r="3856">
      <c r="A3856" s="12" t="s">
        <v>19442</v>
      </c>
      <c r="B3856" s="12" t="s">
        <v>19443</v>
      </c>
      <c r="C3856" s="19" t="s">
        <v>36</v>
      </c>
      <c r="D3856" s="19" t="s">
        <v>36</v>
      </c>
      <c r="E3856" s="19" t="s">
        <v>36</v>
      </c>
      <c r="F3856" s="19" t="s">
        <v>36</v>
      </c>
      <c r="G3856" s="15" t="s">
        <v>36</v>
      </c>
      <c r="H3856" s="14">
        <v>174.55</v>
      </c>
      <c r="I3856" s="18">
        <v>26.31</v>
      </c>
      <c r="J3856" s="12" t="s">
        <v>521</v>
      </c>
      <c r="K3856" s="13" t="s">
        <v>36</v>
      </c>
      <c r="L3856" s="15" t="s">
        <v>36</v>
      </c>
      <c r="M3856" s="12" t="s">
        <v>36</v>
      </c>
      <c r="N3856" s="12" t="s">
        <v>36</v>
      </c>
      <c r="O3856" s="17" t="s">
        <v>36</v>
      </c>
      <c r="P3856" s="12" t="s">
        <v>36</v>
      </c>
      <c r="Q3856" s="12" t="s">
        <v>36</v>
      </c>
      <c r="R3856" s="12" t="s">
        <v>36</v>
      </c>
      <c r="S3856" s="12" t="s">
        <v>36</v>
      </c>
      <c r="T3856" s="12" t="s">
        <v>123</v>
      </c>
      <c r="U3856" s="12" t="s">
        <v>38</v>
      </c>
      <c r="V3856" s="12" t="s">
        <v>39</v>
      </c>
      <c r="W3856" s="12" t="s">
        <v>19444</v>
      </c>
      <c r="X3856" s="16" t="s">
        <v>19445</v>
      </c>
      <c r="Y3856" s="15" t="s">
        <v>42</v>
      </c>
      <c r="Z3856" s="14">
        <v>1.75</v>
      </c>
      <c r="AA3856" s="14">
        <v>2.49</v>
      </c>
      <c r="AB3856" s="12" t="s">
        <v>43</v>
      </c>
      <c r="AC3856" s="12" t="s">
        <v>19446</v>
      </c>
      <c r="AD3856" s="13">
        <v>43980</v>
      </c>
      <c r="AE3856" s="12" t="s">
        <v>110</v>
      </c>
      <c r="AF3856" s="12" t="s">
        <v>176</v>
      </c>
      <c r="AG3856" s="12" t="s">
        <v>208</v>
      </c>
      <c r="AH3856" s="1">
        <f>HYPERLINK("https://my.pitchbook.com?c=137797-57T","View Company Online")</f>
      </c>
    </row>
    <row r="3857">
      <c r="A3857" s="3" t="s">
        <v>19447</v>
      </c>
      <c r="B3857" s="3" t="s">
        <v>19448</v>
      </c>
      <c r="C3857" s="5" t="s">
        <v>36</v>
      </c>
      <c r="D3857" s="5" t="s">
        <v>36</v>
      </c>
      <c r="E3857" s="5" t="s">
        <v>36</v>
      </c>
      <c r="F3857" s="5" t="s">
        <v>36</v>
      </c>
      <c r="G3857" s="6" t="s">
        <v>36</v>
      </c>
      <c r="H3857" s="4">
        <v>231.93</v>
      </c>
      <c r="I3857" s="7">
        <v>31.71</v>
      </c>
      <c r="J3857" s="3" t="s">
        <v>521</v>
      </c>
      <c r="K3857" s="9" t="s">
        <v>36</v>
      </c>
      <c r="L3857" s="6" t="s">
        <v>36</v>
      </c>
      <c r="M3857" s="3" t="s">
        <v>36</v>
      </c>
      <c r="N3857" s="3" t="s">
        <v>36</v>
      </c>
      <c r="O3857" s="8" t="s">
        <v>36</v>
      </c>
      <c r="P3857" s="3" t="s">
        <v>36</v>
      </c>
      <c r="Q3857" s="3" t="s">
        <v>36</v>
      </c>
      <c r="R3857" s="3" t="s">
        <v>36</v>
      </c>
      <c r="S3857" s="3" t="s">
        <v>36</v>
      </c>
      <c r="T3857" s="3" t="s">
        <v>19449</v>
      </c>
      <c r="U3857" s="3" t="s">
        <v>180</v>
      </c>
      <c r="V3857" s="3" t="s">
        <v>52</v>
      </c>
      <c r="W3857" s="3" t="s">
        <v>19450</v>
      </c>
      <c r="X3857" s="10" t="s">
        <v>19451</v>
      </c>
      <c r="Y3857" s="6" t="s">
        <v>42</v>
      </c>
      <c r="Z3857" s="4">
        <v>0.71</v>
      </c>
      <c r="AA3857" s="4">
        <v>2.24</v>
      </c>
      <c r="AB3857" s="3" t="s">
        <v>56</v>
      </c>
      <c r="AC3857" s="3" t="s">
        <v>19452</v>
      </c>
      <c r="AD3857" s="9">
        <v>43980</v>
      </c>
      <c r="AE3857" s="3" t="s">
        <v>184</v>
      </c>
      <c r="AF3857" s="3" t="s">
        <v>101</v>
      </c>
      <c r="AG3857" s="3" t="s">
        <v>1362</v>
      </c>
      <c r="AH3857" s="11">
        <f>HYPERLINK("https://my.pitchbook.com?c=156329-74T","View Company Online")</f>
      </c>
    </row>
    <row r="3858">
      <c r="A3858" s="12" t="s">
        <v>19453</v>
      </c>
      <c r="B3858" s="12" t="s">
        <v>15842</v>
      </c>
      <c r="C3858" s="19">
        <v>6</v>
      </c>
      <c r="D3858" s="19">
        <v>8</v>
      </c>
      <c r="E3858" s="19">
        <v>2</v>
      </c>
      <c r="F3858" s="19">
        <v>14</v>
      </c>
      <c r="G3858" s="15" t="s">
        <v>683</v>
      </c>
      <c r="H3858" s="14">
        <v>1.04</v>
      </c>
      <c r="I3858" s="18">
        <v>42.88</v>
      </c>
      <c r="J3858" s="12" t="s">
        <v>521</v>
      </c>
      <c r="K3858" s="13" t="s">
        <v>36</v>
      </c>
      <c r="L3858" s="15" t="s">
        <v>36</v>
      </c>
      <c r="M3858" s="12" t="s">
        <v>36</v>
      </c>
      <c r="N3858" s="12" t="s">
        <v>36</v>
      </c>
      <c r="O3858" s="17" t="s">
        <v>36</v>
      </c>
      <c r="P3858" s="12" t="s">
        <v>36</v>
      </c>
      <c r="Q3858" s="12" t="s">
        <v>36</v>
      </c>
      <c r="R3858" s="12" t="s">
        <v>36</v>
      </c>
      <c r="S3858" s="12" t="s">
        <v>36</v>
      </c>
      <c r="T3858" s="12" t="s">
        <v>15843</v>
      </c>
      <c r="U3858" s="12" t="s">
        <v>96</v>
      </c>
      <c r="V3858" s="12" t="s">
        <v>52</v>
      </c>
      <c r="W3858" s="12" t="s">
        <v>15844</v>
      </c>
      <c r="X3858" s="16" t="s">
        <v>19454</v>
      </c>
      <c r="Y3858" s="15" t="s">
        <v>108</v>
      </c>
      <c r="Z3858" s="14">
        <v>3.28</v>
      </c>
      <c r="AA3858" s="14">
        <v>7.66</v>
      </c>
      <c r="AB3858" s="12" t="s">
        <v>43</v>
      </c>
      <c r="AC3858" s="12" t="s">
        <v>15846</v>
      </c>
      <c r="AD3858" s="13">
        <v>43980</v>
      </c>
      <c r="AE3858" s="12" t="s">
        <v>496</v>
      </c>
      <c r="AF3858" s="12" t="s">
        <v>101</v>
      </c>
      <c r="AG3858" s="12" t="s">
        <v>81</v>
      </c>
      <c r="AH3858" s="1">
        <f>HYPERLINK("https://my.pitchbook.com?c=181727-29T","View Company Online")</f>
      </c>
    </row>
    <row r="3859">
      <c r="A3859" s="3" t="s">
        <v>19455</v>
      </c>
      <c r="B3859" s="3" t="s">
        <v>19456</v>
      </c>
      <c r="C3859" s="5" t="s">
        <v>36</v>
      </c>
      <c r="D3859" s="5">
        <v>3</v>
      </c>
      <c r="E3859" s="5">
        <v>1</v>
      </c>
      <c r="F3859" s="5">
        <v>4</v>
      </c>
      <c r="G3859" s="6" t="s">
        <v>36</v>
      </c>
      <c r="H3859" s="4" t="s">
        <v>36</v>
      </c>
      <c r="I3859" s="7" t="s">
        <v>36</v>
      </c>
      <c r="J3859" s="3" t="s">
        <v>36</v>
      </c>
      <c r="K3859" s="9" t="s">
        <v>36</v>
      </c>
      <c r="L3859" s="6" t="s">
        <v>36</v>
      </c>
      <c r="M3859" s="3" t="s">
        <v>36</v>
      </c>
      <c r="N3859" s="3" t="s">
        <v>36</v>
      </c>
      <c r="O3859" s="8" t="s">
        <v>36</v>
      </c>
      <c r="P3859" s="3" t="s">
        <v>36</v>
      </c>
      <c r="Q3859" s="3" t="s">
        <v>36</v>
      </c>
      <c r="R3859" s="3" t="s">
        <v>36</v>
      </c>
      <c r="S3859" s="3" t="s">
        <v>36</v>
      </c>
      <c r="T3859" s="3" t="s">
        <v>19457</v>
      </c>
      <c r="U3859" s="3" t="s">
        <v>318</v>
      </c>
      <c r="V3859" s="3" t="s">
        <v>39</v>
      </c>
      <c r="W3859" s="3" t="s">
        <v>19458</v>
      </c>
      <c r="X3859" s="10" t="s">
        <v>19459</v>
      </c>
      <c r="Y3859" s="6" t="s">
        <v>55</v>
      </c>
      <c r="Z3859" s="4">
        <v>6</v>
      </c>
      <c r="AA3859" s="4" t="s">
        <v>36</v>
      </c>
      <c r="AB3859" s="3" t="s">
        <v>56</v>
      </c>
      <c r="AC3859" s="3" t="s">
        <v>19460</v>
      </c>
      <c r="AD3859" s="9">
        <v>43980</v>
      </c>
      <c r="AE3859" s="3" t="s">
        <v>763</v>
      </c>
      <c r="AF3859" s="3" t="s">
        <v>7294</v>
      </c>
      <c r="AG3859" s="3" t="s">
        <v>144</v>
      </c>
      <c r="AH3859" s="11">
        <f>HYPERLINK("https://my.pitchbook.com?c=138952-72T","View Company Online")</f>
      </c>
    </row>
    <row r="3860">
      <c r="A3860" s="12" t="s">
        <v>19461</v>
      </c>
      <c r="B3860" s="12" t="s">
        <v>15877</v>
      </c>
      <c r="C3860" s="19" t="s">
        <v>36</v>
      </c>
      <c r="D3860" s="19" t="s">
        <v>36</v>
      </c>
      <c r="E3860" s="19" t="s">
        <v>36</v>
      </c>
      <c r="F3860" s="19" t="s">
        <v>36</v>
      </c>
      <c r="G3860" s="15" t="s">
        <v>36</v>
      </c>
      <c r="H3860" s="14" t="s">
        <v>36</v>
      </c>
      <c r="I3860" s="18" t="s">
        <v>36</v>
      </c>
      <c r="J3860" s="12" t="s">
        <v>36</v>
      </c>
      <c r="K3860" s="13" t="s">
        <v>36</v>
      </c>
      <c r="L3860" s="15" t="s">
        <v>36</v>
      </c>
      <c r="M3860" s="12" t="s">
        <v>36</v>
      </c>
      <c r="N3860" s="12" t="s">
        <v>36</v>
      </c>
      <c r="O3860" s="17" t="s">
        <v>36</v>
      </c>
      <c r="P3860" s="12" t="s">
        <v>36</v>
      </c>
      <c r="Q3860" s="12" t="s">
        <v>36</v>
      </c>
      <c r="R3860" s="12" t="s">
        <v>36</v>
      </c>
      <c r="S3860" s="12" t="s">
        <v>36</v>
      </c>
      <c r="T3860" s="12" t="s">
        <v>15878</v>
      </c>
      <c r="U3860" s="12" t="s">
        <v>289</v>
      </c>
      <c r="V3860" s="12" t="s">
        <v>64</v>
      </c>
      <c r="W3860" s="12" t="s">
        <v>15879</v>
      </c>
      <c r="X3860" s="16" t="s">
        <v>1840</v>
      </c>
      <c r="Y3860" s="15" t="s">
        <v>108</v>
      </c>
      <c r="Z3860" s="14">
        <v>1.64</v>
      </c>
      <c r="AA3860" s="14" t="s">
        <v>36</v>
      </c>
      <c r="AB3860" s="12" t="s">
        <v>43</v>
      </c>
      <c r="AC3860" s="12" t="s">
        <v>15881</v>
      </c>
      <c r="AD3860" s="13">
        <v>43979</v>
      </c>
      <c r="AE3860" s="12" t="s">
        <v>292</v>
      </c>
      <c r="AF3860" s="12" t="s">
        <v>15882</v>
      </c>
      <c r="AG3860" s="12" t="s">
        <v>81</v>
      </c>
      <c r="AH3860" s="1">
        <f>HYPERLINK("https://my.pitchbook.com?c=137721-79T","View Company Online")</f>
      </c>
    </row>
    <row r="3861">
      <c r="A3861" s="3" t="s">
        <v>19462</v>
      </c>
      <c r="B3861" s="3" t="s">
        <v>16063</v>
      </c>
      <c r="C3861" s="5" t="s">
        <v>36</v>
      </c>
      <c r="D3861" s="5" t="s">
        <v>36</v>
      </c>
      <c r="E3861" s="5" t="s">
        <v>36</v>
      </c>
      <c r="F3861" s="5" t="s">
        <v>36</v>
      </c>
      <c r="G3861" s="6" t="s">
        <v>683</v>
      </c>
      <c r="H3861" s="4">
        <v>204.7</v>
      </c>
      <c r="I3861" s="7">
        <v>5.14</v>
      </c>
      <c r="J3861" s="3" t="s">
        <v>521</v>
      </c>
      <c r="K3861" s="9" t="s">
        <v>36</v>
      </c>
      <c r="L3861" s="6" t="s">
        <v>36</v>
      </c>
      <c r="M3861" s="3" t="s">
        <v>36</v>
      </c>
      <c r="N3861" s="3" t="s">
        <v>36</v>
      </c>
      <c r="O3861" s="8" t="s">
        <v>36</v>
      </c>
      <c r="P3861" s="3" t="s">
        <v>36</v>
      </c>
      <c r="Q3861" s="3" t="s">
        <v>36</v>
      </c>
      <c r="R3861" s="3" t="s">
        <v>36</v>
      </c>
      <c r="S3861" s="3" t="s">
        <v>36</v>
      </c>
      <c r="T3861" s="3" t="s">
        <v>522</v>
      </c>
      <c r="U3861" s="3" t="s">
        <v>38</v>
      </c>
      <c r="V3861" s="3" t="s">
        <v>39</v>
      </c>
      <c r="W3861" s="3" t="s">
        <v>16064</v>
      </c>
      <c r="X3861" s="10" t="s">
        <v>19463</v>
      </c>
      <c r="Y3861" s="6" t="s">
        <v>192</v>
      </c>
      <c r="Z3861" s="4">
        <v>0.94</v>
      </c>
      <c r="AA3861" s="4">
        <v>18.23</v>
      </c>
      <c r="AB3861" s="3" t="s">
        <v>56</v>
      </c>
      <c r="AC3861" s="3" t="s">
        <v>16066</v>
      </c>
      <c r="AD3861" s="9">
        <v>43979</v>
      </c>
      <c r="AE3861" s="3" t="s">
        <v>110</v>
      </c>
      <c r="AF3861" s="3" t="s">
        <v>16067</v>
      </c>
      <c r="AG3861" s="3" t="s">
        <v>81</v>
      </c>
      <c r="AH3861" s="11">
        <f>HYPERLINK("https://my.pitchbook.com?c=182125-36T","View Company Online")</f>
      </c>
    </row>
    <row r="3862">
      <c r="A3862" s="12" t="s">
        <v>19464</v>
      </c>
      <c r="B3862" s="12" t="s">
        <v>16974</v>
      </c>
      <c r="C3862" s="19" t="s">
        <v>36</v>
      </c>
      <c r="D3862" s="19" t="s">
        <v>36</v>
      </c>
      <c r="E3862" s="19" t="s">
        <v>36</v>
      </c>
      <c r="F3862" s="19" t="s">
        <v>36</v>
      </c>
      <c r="G3862" s="15" t="s">
        <v>326</v>
      </c>
      <c r="H3862" s="14">
        <v>76.19</v>
      </c>
      <c r="I3862" s="18">
        <v>25.29</v>
      </c>
      <c r="J3862" s="12" t="s">
        <v>521</v>
      </c>
      <c r="K3862" s="13" t="s">
        <v>36</v>
      </c>
      <c r="L3862" s="15" t="s">
        <v>36</v>
      </c>
      <c r="M3862" s="12" t="s">
        <v>36</v>
      </c>
      <c r="N3862" s="12" t="s">
        <v>36</v>
      </c>
      <c r="O3862" s="17" t="s">
        <v>36</v>
      </c>
      <c r="P3862" s="12" t="s">
        <v>36</v>
      </c>
      <c r="Q3862" s="12" t="s">
        <v>36</v>
      </c>
      <c r="R3862" s="12" t="s">
        <v>36</v>
      </c>
      <c r="S3862" s="12" t="s">
        <v>36</v>
      </c>
      <c r="T3862" s="12" t="s">
        <v>16975</v>
      </c>
      <c r="U3862" s="12" t="s">
        <v>96</v>
      </c>
      <c r="V3862" s="12" t="s">
        <v>52</v>
      </c>
      <c r="W3862" s="12" t="s">
        <v>16976</v>
      </c>
      <c r="X3862" s="16" t="s">
        <v>19465</v>
      </c>
      <c r="Y3862" s="15" t="s">
        <v>108</v>
      </c>
      <c r="Z3862" s="14">
        <v>1.52</v>
      </c>
      <c r="AA3862" s="14">
        <v>6.01</v>
      </c>
      <c r="AB3862" s="12" t="s">
        <v>56</v>
      </c>
      <c r="AC3862" s="12" t="s">
        <v>16978</v>
      </c>
      <c r="AD3862" s="13">
        <v>43978</v>
      </c>
      <c r="AE3862" s="12" t="s">
        <v>12392</v>
      </c>
      <c r="AF3862" s="12" t="s">
        <v>571</v>
      </c>
      <c r="AG3862" s="12" t="s">
        <v>102</v>
      </c>
      <c r="AH3862" s="1">
        <f>HYPERLINK("https://my.pitchbook.com?c=204599-44T","View Company Online")</f>
      </c>
    </row>
    <row r="3863">
      <c r="A3863" s="3" t="s">
        <v>19466</v>
      </c>
      <c r="B3863" s="3" t="s">
        <v>19467</v>
      </c>
      <c r="C3863" s="5" t="s">
        <v>36</v>
      </c>
      <c r="D3863" s="5" t="s">
        <v>36</v>
      </c>
      <c r="E3863" s="5" t="s">
        <v>36</v>
      </c>
      <c r="F3863" s="5" t="s">
        <v>36</v>
      </c>
      <c r="G3863" s="6" t="s">
        <v>36</v>
      </c>
      <c r="H3863" s="4" t="s">
        <v>36</v>
      </c>
      <c r="I3863" s="7" t="s">
        <v>36</v>
      </c>
      <c r="J3863" s="3" t="s">
        <v>36</v>
      </c>
      <c r="K3863" s="9" t="s">
        <v>36</v>
      </c>
      <c r="L3863" s="6" t="s">
        <v>122</v>
      </c>
      <c r="M3863" s="3" t="s">
        <v>36</v>
      </c>
      <c r="N3863" s="3" t="s">
        <v>122</v>
      </c>
      <c r="O3863" s="8" t="s">
        <v>36</v>
      </c>
      <c r="P3863" s="3" t="s">
        <v>36</v>
      </c>
      <c r="Q3863" s="3" t="s">
        <v>36</v>
      </c>
      <c r="R3863" s="3" t="s">
        <v>36</v>
      </c>
      <c r="S3863" s="3" t="s">
        <v>36</v>
      </c>
      <c r="T3863" s="3" t="s">
        <v>19468</v>
      </c>
      <c r="U3863" s="3" t="s">
        <v>74</v>
      </c>
      <c r="V3863" s="3" t="s">
        <v>75</v>
      </c>
      <c r="W3863" s="3" t="s">
        <v>19469</v>
      </c>
      <c r="X3863" s="10" t="s">
        <v>19470</v>
      </c>
      <c r="Y3863" s="6" t="s">
        <v>55</v>
      </c>
      <c r="Z3863" s="4">
        <v>5.45</v>
      </c>
      <c r="AA3863" s="4" t="s">
        <v>36</v>
      </c>
      <c r="AB3863" s="3" t="s">
        <v>56</v>
      </c>
      <c r="AC3863" s="3" t="s">
        <v>19471</v>
      </c>
      <c r="AD3863" s="9">
        <v>43978</v>
      </c>
      <c r="AE3863" s="3" t="s">
        <v>362</v>
      </c>
      <c r="AF3863" s="3" t="s">
        <v>250</v>
      </c>
      <c r="AG3863" s="3" t="s">
        <v>81</v>
      </c>
      <c r="AH3863" s="11">
        <f>HYPERLINK("https://my.pitchbook.com?c=137955-97T","View Company Online")</f>
      </c>
    </row>
    <row r="3864">
      <c r="A3864" s="12" t="s">
        <v>19472</v>
      </c>
      <c r="B3864" s="12" t="s">
        <v>13026</v>
      </c>
      <c r="C3864" s="19" t="s">
        <v>36</v>
      </c>
      <c r="D3864" s="19" t="s">
        <v>36</v>
      </c>
      <c r="E3864" s="19" t="s">
        <v>36</v>
      </c>
      <c r="F3864" s="19" t="s">
        <v>36</v>
      </c>
      <c r="G3864" s="15" t="s">
        <v>326</v>
      </c>
      <c r="H3864" s="14">
        <v>6.15</v>
      </c>
      <c r="I3864" s="18">
        <v>27.08</v>
      </c>
      <c r="J3864" s="12" t="s">
        <v>521</v>
      </c>
      <c r="K3864" s="13" t="s">
        <v>36</v>
      </c>
      <c r="L3864" s="15" t="s">
        <v>36</v>
      </c>
      <c r="M3864" s="12" t="s">
        <v>36</v>
      </c>
      <c r="N3864" s="12" t="s">
        <v>36</v>
      </c>
      <c r="O3864" s="17" t="s">
        <v>36</v>
      </c>
      <c r="P3864" s="12" t="s">
        <v>36</v>
      </c>
      <c r="Q3864" s="12" t="s">
        <v>36</v>
      </c>
      <c r="R3864" s="12" t="s">
        <v>36</v>
      </c>
      <c r="S3864" s="12" t="s">
        <v>36</v>
      </c>
      <c r="T3864" s="12" t="s">
        <v>948</v>
      </c>
      <c r="U3864" s="12" t="s">
        <v>38</v>
      </c>
      <c r="V3864" s="12" t="s">
        <v>39</v>
      </c>
      <c r="W3864" s="12" t="s">
        <v>13027</v>
      </c>
      <c r="X3864" s="16" t="s">
        <v>19473</v>
      </c>
      <c r="Y3864" s="15" t="s">
        <v>108</v>
      </c>
      <c r="Z3864" s="14">
        <v>3.27</v>
      </c>
      <c r="AA3864" s="14">
        <v>12.07</v>
      </c>
      <c r="AB3864" s="12" t="s">
        <v>43</v>
      </c>
      <c r="AC3864" s="12" t="s">
        <v>13029</v>
      </c>
      <c r="AD3864" s="13">
        <v>43978</v>
      </c>
      <c r="AE3864" s="12" t="s">
        <v>110</v>
      </c>
      <c r="AF3864" s="12" t="s">
        <v>8083</v>
      </c>
      <c r="AG3864" s="12" t="s">
        <v>81</v>
      </c>
      <c r="AH3864" s="1">
        <f>HYPERLINK("https://my.pitchbook.com?c=137337-67T","View Company Online")</f>
      </c>
    </row>
    <row r="3865">
      <c r="A3865" s="3" t="s">
        <v>19474</v>
      </c>
      <c r="B3865" s="3" t="s">
        <v>19475</v>
      </c>
      <c r="C3865" s="5">
        <v>2</v>
      </c>
      <c r="D3865" s="5">
        <v>5</v>
      </c>
      <c r="E3865" s="5">
        <v>1</v>
      </c>
      <c r="F3865" s="5">
        <v>7</v>
      </c>
      <c r="G3865" s="6" t="s">
        <v>326</v>
      </c>
      <c r="H3865" s="4">
        <v>0.81</v>
      </c>
      <c r="I3865" s="7">
        <v>40.42</v>
      </c>
      <c r="J3865" s="3" t="s">
        <v>521</v>
      </c>
      <c r="K3865" s="9" t="s">
        <v>36</v>
      </c>
      <c r="L3865" s="6" t="s">
        <v>122</v>
      </c>
      <c r="M3865" s="3" t="s">
        <v>36</v>
      </c>
      <c r="N3865" s="3" t="s">
        <v>122</v>
      </c>
      <c r="O3865" s="8" t="s">
        <v>36</v>
      </c>
      <c r="P3865" s="3" t="s">
        <v>36</v>
      </c>
      <c r="Q3865" s="3" t="s">
        <v>36</v>
      </c>
      <c r="R3865" s="3" t="s">
        <v>36</v>
      </c>
      <c r="S3865" s="3" t="s">
        <v>19476</v>
      </c>
      <c r="T3865" s="3" t="s">
        <v>19477</v>
      </c>
      <c r="U3865" s="3" t="s">
        <v>1082</v>
      </c>
      <c r="V3865" s="3" t="s">
        <v>378</v>
      </c>
      <c r="W3865" s="3" t="s">
        <v>19478</v>
      </c>
      <c r="X3865" s="10" t="s">
        <v>19479</v>
      </c>
      <c r="Y3865" s="6" t="s">
        <v>108</v>
      </c>
      <c r="Z3865" s="4">
        <v>11.11</v>
      </c>
      <c r="AA3865" s="4">
        <v>27.49</v>
      </c>
      <c r="AB3865" s="3" t="s">
        <v>56</v>
      </c>
      <c r="AC3865" s="3" t="s">
        <v>19480</v>
      </c>
      <c r="AD3865" s="9">
        <v>43978</v>
      </c>
      <c r="AE3865" s="3" t="s">
        <v>1086</v>
      </c>
      <c r="AF3865" s="3" t="s">
        <v>19481</v>
      </c>
      <c r="AG3865" s="3" t="s">
        <v>81</v>
      </c>
      <c r="AH3865" s="11">
        <f>HYPERLINK("https://my.pitchbook.com?c=136813-60T","View Company Online")</f>
      </c>
    </row>
    <row r="3866">
      <c r="A3866" s="12" t="s">
        <v>19482</v>
      </c>
      <c r="B3866" s="12" t="s">
        <v>19483</v>
      </c>
      <c r="C3866" s="19" t="s">
        <v>36</v>
      </c>
      <c r="D3866" s="19" t="s">
        <v>36</v>
      </c>
      <c r="E3866" s="19" t="s">
        <v>36</v>
      </c>
      <c r="F3866" s="19" t="s">
        <v>36</v>
      </c>
      <c r="G3866" s="15" t="s">
        <v>36</v>
      </c>
      <c r="H3866" s="14">
        <v>1465.12</v>
      </c>
      <c r="I3866" s="18">
        <v>12.6</v>
      </c>
      <c r="J3866" s="12" t="s">
        <v>521</v>
      </c>
      <c r="K3866" s="13" t="s">
        <v>36</v>
      </c>
      <c r="L3866" s="15" t="s">
        <v>36</v>
      </c>
      <c r="M3866" s="12" t="s">
        <v>36</v>
      </c>
      <c r="N3866" s="12" t="s">
        <v>36</v>
      </c>
      <c r="O3866" s="17" t="s">
        <v>36</v>
      </c>
      <c r="P3866" s="12" t="s">
        <v>36</v>
      </c>
      <c r="Q3866" s="12" t="s">
        <v>36</v>
      </c>
      <c r="R3866" s="12" t="s">
        <v>36</v>
      </c>
      <c r="S3866" s="12" t="s">
        <v>36</v>
      </c>
      <c r="T3866" s="12" t="s">
        <v>7415</v>
      </c>
      <c r="U3866" s="12" t="s">
        <v>38</v>
      </c>
      <c r="V3866" s="12" t="s">
        <v>39</v>
      </c>
      <c r="W3866" s="12" t="s">
        <v>19484</v>
      </c>
      <c r="X3866" s="16" t="s">
        <v>19485</v>
      </c>
      <c r="Y3866" s="15" t="s">
        <v>42</v>
      </c>
      <c r="Z3866" s="14">
        <v>0.38</v>
      </c>
      <c r="AA3866" s="14">
        <v>2.05</v>
      </c>
      <c r="AB3866" s="12" t="s">
        <v>43</v>
      </c>
      <c r="AC3866" s="12" t="s">
        <v>19486</v>
      </c>
      <c r="AD3866" s="13">
        <v>43978</v>
      </c>
      <c r="AE3866" s="12" t="s">
        <v>1422</v>
      </c>
      <c r="AF3866" s="12" t="s">
        <v>19487</v>
      </c>
      <c r="AG3866" s="12" t="s">
        <v>81</v>
      </c>
      <c r="AH3866" s="1">
        <f>HYPERLINK("https://my.pitchbook.com?c=164379-97T","View Company Online")</f>
      </c>
    </row>
    <row r="3867">
      <c r="A3867" s="3" t="s">
        <v>19488</v>
      </c>
      <c r="B3867" s="3" t="s">
        <v>19489</v>
      </c>
      <c r="C3867" s="5" t="s">
        <v>36</v>
      </c>
      <c r="D3867" s="5">
        <v>3</v>
      </c>
      <c r="E3867" s="5">
        <v>3</v>
      </c>
      <c r="F3867" s="5">
        <v>8</v>
      </c>
      <c r="G3867" s="6" t="s">
        <v>36</v>
      </c>
      <c r="H3867" s="4" t="s">
        <v>36</v>
      </c>
      <c r="I3867" s="7" t="s">
        <v>36</v>
      </c>
      <c r="J3867" s="3" t="s">
        <v>36</v>
      </c>
      <c r="K3867" s="9" t="s">
        <v>36</v>
      </c>
      <c r="L3867" s="6" t="s">
        <v>36</v>
      </c>
      <c r="M3867" s="3" t="s">
        <v>36</v>
      </c>
      <c r="N3867" s="3" t="s">
        <v>36</v>
      </c>
      <c r="O3867" s="8" t="s">
        <v>36</v>
      </c>
      <c r="P3867" s="3" t="s">
        <v>36</v>
      </c>
      <c r="Q3867" s="3" t="s">
        <v>36</v>
      </c>
      <c r="R3867" s="3" t="s">
        <v>36</v>
      </c>
      <c r="S3867" s="3" t="s">
        <v>36</v>
      </c>
      <c r="T3867" s="3" t="s">
        <v>522</v>
      </c>
      <c r="U3867" s="3" t="s">
        <v>38</v>
      </c>
      <c r="V3867" s="3" t="s">
        <v>39</v>
      </c>
      <c r="W3867" s="3" t="s">
        <v>19490</v>
      </c>
      <c r="X3867" s="10" t="s">
        <v>19491</v>
      </c>
      <c r="Y3867" s="6" t="s">
        <v>55</v>
      </c>
      <c r="Z3867" s="4" t="s">
        <v>36</v>
      </c>
      <c r="AA3867" s="4" t="s">
        <v>36</v>
      </c>
      <c r="AB3867" s="3" t="s">
        <v>56</v>
      </c>
      <c r="AC3867" s="3" t="s">
        <v>19492</v>
      </c>
      <c r="AD3867" s="9">
        <v>43977</v>
      </c>
      <c r="AE3867" s="3" t="s">
        <v>110</v>
      </c>
      <c r="AF3867" s="3" t="s">
        <v>19493</v>
      </c>
      <c r="AG3867" s="3" t="s">
        <v>5895</v>
      </c>
      <c r="AH3867" s="11">
        <f>HYPERLINK("https://my.pitchbook.com?c=171865-90T","View Company Online")</f>
      </c>
    </row>
    <row r="3868">
      <c r="A3868" s="12" t="s">
        <v>19494</v>
      </c>
      <c r="B3868" s="12" t="s">
        <v>1089</v>
      </c>
      <c r="C3868" s="19">
        <v>10</v>
      </c>
      <c r="D3868" s="19">
        <v>6</v>
      </c>
      <c r="E3868" s="19">
        <v>6</v>
      </c>
      <c r="F3868" s="19">
        <v>16</v>
      </c>
      <c r="G3868" s="15" t="s">
        <v>326</v>
      </c>
      <c r="H3868" s="14">
        <v>287.63</v>
      </c>
      <c r="I3868" s="18">
        <v>34.67</v>
      </c>
      <c r="J3868" s="12" t="s">
        <v>521</v>
      </c>
      <c r="K3868" s="13" t="s">
        <v>36</v>
      </c>
      <c r="L3868" s="15" t="s">
        <v>94</v>
      </c>
      <c r="M3868" s="12" t="s">
        <v>36</v>
      </c>
      <c r="N3868" s="12" t="s">
        <v>94</v>
      </c>
      <c r="O3868" s="17" t="s">
        <v>36</v>
      </c>
      <c r="P3868" s="12" t="s">
        <v>36</v>
      </c>
      <c r="Q3868" s="12" t="s">
        <v>36</v>
      </c>
      <c r="R3868" s="12" t="s">
        <v>36</v>
      </c>
      <c r="S3868" s="12" t="s">
        <v>565</v>
      </c>
      <c r="T3868" s="12" t="s">
        <v>1090</v>
      </c>
      <c r="U3868" s="12" t="s">
        <v>1091</v>
      </c>
      <c r="V3868" s="12" t="s">
        <v>378</v>
      </c>
      <c r="W3868" s="12" t="s">
        <v>1092</v>
      </c>
      <c r="X3868" s="16" t="s">
        <v>19495</v>
      </c>
      <c r="Y3868" s="15" t="s">
        <v>55</v>
      </c>
      <c r="Z3868" s="14">
        <v>14.19</v>
      </c>
      <c r="AA3868" s="14">
        <v>42.13</v>
      </c>
      <c r="AB3868" s="12" t="s">
        <v>56</v>
      </c>
      <c r="AC3868" s="12" t="s">
        <v>1094</v>
      </c>
      <c r="AD3868" s="13">
        <v>43977</v>
      </c>
      <c r="AE3868" s="12" t="s">
        <v>1095</v>
      </c>
      <c r="AF3868" s="12" t="s">
        <v>1096</v>
      </c>
      <c r="AG3868" s="12" t="s">
        <v>1097</v>
      </c>
      <c r="AH3868" s="1">
        <f>HYPERLINK("https://my.pitchbook.com?c=137005-93T","View Company Online")</f>
      </c>
    </row>
    <row r="3869">
      <c r="A3869" s="3" t="s">
        <v>19496</v>
      </c>
      <c r="B3869" s="3" t="s">
        <v>6712</v>
      </c>
      <c r="C3869" s="5" t="s">
        <v>36</v>
      </c>
      <c r="D3869" s="5">
        <v>5</v>
      </c>
      <c r="E3869" s="5">
        <v>1</v>
      </c>
      <c r="F3869" s="5">
        <v>5</v>
      </c>
      <c r="G3869" s="6" t="s">
        <v>326</v>
      </c>
      <c r="H3869" s="4">
        <v>40.44</v>
      </c>
      <c r="I3869" s="7">
        <v>20.35</v>
      </c>
      <c r="J3869" s="3" t="s">
        <v>521</v>
      </c>
      <c r="K3869" s="9" t="s">
        <v>36</v>
      </c>
      <c r="L3869" s="6" t="s">
        <v>94</v>
      </c>
      <c r="M3869" s="3" t="s">
        <v>36</v>
      </c>
      <c r="N3869" s="3" t="s">
        <v>94</v>
      </c>
      <c r="O3869" s="8" t="s">
        <v>36</v>
      </c>
      <c r="P3869" s="3" t="s">
        <v>36</v>
      </c>
      <c r="Q3869" s="3" t="s">
        <v>36</v>
      </c>
      <c r="R3869" s="3" t="s">
        <v>36</v>
      </c>
      <c r="S3869" s="3" t="s">
        <v>36</v>
      </c>
      <c r="T3869" s="3" t="s">
        <v>6713</v>
      </c>
      <c r="U3869" s="3" t="s">
        <v>728</v>
      </c>
      <c r="V3869" s="3" t="s">
        <v>64</v>
      </c>
      <c r="W3869" s="3" t="s">
        <v>6714</v>
      </c>
      <c r="X3869" s="10" t="s">
        <v>19497</v>
      </c>
      <c r="Y3869" s="6" t="s">
        <v>108</v>
      </c>
      <c r="Z3869" s="4">
        <v>8.71</v>
      </c>
      <c r="AA3869" s="4">
        <v>39.22</v>
      </c>
      <c r="AB3869" s="3" t="s">
        <v>43</v>
      </c>
      <c r="AC3869" s="3" t="s">
        <v>6716</v>
      </c>
      <c r="AD3869" s="9">
        <v>43976</v>
      </c>
      <c r="AE3869" s="3" t="s">
        <v>6717</v>
      </c>
      <c r="AF3869" s="3" t="s">
        <v>6718</v>
      </c>
      <c r="AG3869" s="3" t="s">
        <v>81</v>
      </c>
      <c r="AH3869" s="11">
        <f>HYPERLINK("https://my.pitchbook.com?c=137071-45T","View Company Online")</f>
      </c>
    </row>
    <row r="3870">
      <c r="A3870" s="12" t="s">
        <v>19498</v>
      </c>
      <c r="B3870" s="12" t="s">
        <v>19499</v>
      </c>
      <c r="C3870" s="19" t="s">
        <v>36</v>
      </c>
      <c r="D3870" s="19">
        <v>6</v>
      </c>
      <c r="E3870" s="19">
        <v>4</v>
      </c>
      <c r="F3870" s="19">
        <v>8</v>
      </c>
      <c r="G3870" s="15" t="s">
        <v>326</v>
      </c>
      <c r="H3870" s="14">
        <v>218.5</v>
      </c>
      <c r="I3870" s="18">
        <v>19.88</v>
      </c>
      <c r="J3870" s="12" t="s">
        <v>521</v>
      </c>
      <c r="K3870" s="13" t="s">
        <v>36</v>
      </c>
      <c r="L3870" s="15" t="s">
        <v>122</v>
      </c>
      <c r="M3870" s="12" t="s">
        <v>36</v>
      </c>
      <c r="N3870" s="12" t="s">
        <v>122</v>
      </c>
      <c r="O3870" s="17" t="s">
        <v>36</v>
      </c>
      <c r="P3870" s="12" t="s">
        <v>36</v>
      </c>
      <c r="Q3870" s="12" t="s">
        <v>36</v>
      </c>
      <c r="R3870" s="12" t="s">
        <v>36</v>
      </c>
      <c r="S3870" s="12" t="s">
        <v>36</v>
      </c>
      <c r="T3870" s="12" t="s">
        <v>19500</v>
      </c>
      <c r="U3870" s="12" t="s">
        <v>219</v>
      </c>
      <c r="V3870" s="12" t="s">
        <v>75</v>
      </c>
      <c r="W3870" s="12" t="s">
        <v>19501</v>
      </c>
      <c r="X3870" s="16" t="s">
        <v>19502</v>
      </c>
      <c r="Y3870" s="15" t="s">
        <v>42</v>
      </c>
      <c r="Z3870" s="14">
        <v>0.54</v>
      </c>
      <c r="AA3870" s="14">
        <v>1.9</v>
      </c>
      <c r="AB3870" s="12" t="s">
        <v>56</v>
      </c>
      <c r="AC3870" s="12" t="s">
        <v>19503</v>
      </c>
      <c r="AD3870" s="13">
        <v>43976</v>
      </c>
      <c r="AE3870" s="12" t="s">
        <v>1912</v>
      </c>
      <c r="AF3870" s="12" t="s">
        <v>571</v>
      </c>
      <c r="AG3870" s="12" t="s">
        <v>19504</v>
      </c>
      <c r="AH3870" s="1">
        <f>HYPERLINK("https://my.pitchbook.com?c=137885-05T","View Company Online")</f>
      </c>
    </row>
    <row r="3871">
      <c r="A3871" s="3" t="s">
        <v>19505</v>
      </c>
      <c r="B3871" s="3" t="s">
        <v>3894</v>
      </c>
      <c r="C3871" s="5" t="s">
        <v>36</v>
      </c>
      <c r="D3871" s="5" t="s">
        <v>36</v>
      </c>
      <c r="E3871" s="5" t="s">
        <v>36</v>
      </c>
      <c r="F3871" s="5" t="s">
        <v>36</v>
      </c>
      <c r="G3871" s="6" t="s">
        <v>326</v>
      </c>
      <c r="H3871" s="4">
        <v>87.83</v>
      </c>
      <c r="I3871" s="7">
        <v>15.64</v>
      </c>
      <c r="J3871" s="3" t="s">
        <v>521</v>
      </c>
      <c r="K3871" s="9" t="s">
        <v>36</v>
      </c>
      <c r="L3871" s="6" t="s">
        <v>36</v>
      </c>
      <c r="M3871" s="3" t="s">
        <v>36</v>
      </c>
      <c r="N3871" s="3" t="s">
        <v>36</v>
      </c>
      <c r="O3871" s="8" t="s">
        <v>36</v>
      </c>
      <c r="P3871" s="3" t="s">
        <v>36</v>
      </c>
      <c r="Q3871" s="3" t="s">
        <v>36</v>
      </c>
      <c r="R3871" s="3" t="s">
        <v>36</v>
      </c>
      <c r="S3871" s="3" t="s">
        <v>3895</v>
      </c>
      <c r="T3871" s="3" t="s">
        <v>550</v>
      </c>
      <c r="U3871" s="3" t="s">
        <v>38</v>
      </c>
      <c r="V3871" s="3" t="s">
        <v>39</v>
      </c>
      <c r="W3871" s="3" t="s">
        <v>3896</v>
      </c>
      <c r="X3871" s="10" t="s">
        <v>19506</v>
      </c>
      <c r="Y3871" s="6" t="s">
        <v>108</v>
      </c>
      <c r="Z3871" s="4">
        <v>3.81</v>
      </c>
      <c r="AA3871" s="4">
        <v>13.91</v>
      </c>
      <c r="AB3871" s="3" t="s">
        <v>43</v>
      </c>
      <c r="AC3871" s="3" t="s">
        <v>3898</v>
      </c>
      <c r="AD3871" s="9">
        <v>43973</v>
      </c>
      <c r="AE3871" s="3" t="s">
        <v>554</v>
      </c>
      <c r="AF3871" s="3" t="s">
        <v>1380</v>
      </c>
      <c r="AG3871" s="3" t="s">
        <v>81</v>
      </c>
      <c r="AH3871" s="11">
        <f>HYPERLINK("https://my.pitchbook.com?c=136917-46T","View Company Online")</f>
      </c>
    </row>
    <row r="3872">
      <c r="A3872" s="12" t="s">
        <v>19507</v>
      </c>
      <c r="B3872" s="12" t="s">
        <v>3031</v>
      </c>
      <c r="C3872" s="19" t="s">
        <v>36</v>
      </c>
      <c r="D3872" s="19" t="s">
        <v>36</v>
      </c>
      <c r="E3872" s="19" t="s">
        <v>36</v>
      </c>
      <c r="F3872" s="19" t="s">
        <v>36</v>
      </c>
      <c r="G3872" s="15" t="s">
        <v>36</v>
      </c>
      <c r="H3872" s="14">
        <v>399.85</v>
      </c>
      <c r="I3872" s="18">
        <v>24.49</v>
      </c>
      <c r="J3872" s="12" t="s">
        <v>521</v>
      </c>
      <c r="K3872" s="13" t="s">
        <v>36</v>
      </c>
      <c r="L3872" s="15" t="s">
        <v>36</v>
      </c>
      <c r="M3872" s="12" t="s">
        <v>36</v>
      </c>
      <c r="N3872" s="12" t="s">
        <v>36</v>
      </c>
      <c r="O3872" s="17" t="s">
        <v>36</v>
      </c>
      <c r="P3872" s="12" t="s">
        <v>36</v>
      </c>
      <c r="Q3872" s="12" t="s">
        <v>36</v>
      </c>
      <c r="R3872" s="12" t="s">
        <v>36</v>
      </c>
      <c r="S3872" s="12" t="s">
        <v>36</v>
      </c>
      <c r="T3872" s="12" t="s">
        <v>1560</v>
      </c>
      <c r="U3872" s="12" t="s">
        <v>438</v>
      </c>
      <c r="V3872" s="12" t="s">
        <v>405</v>
      </c>
      <c r="W3872" s="12" t="s">
        <v>3032</v>
      </c>
      <c r="X3872" s="16" t="s">
        <v>19508</v>
      </c>
      <c r="Y3872" s="15" t="s">
        <v>42</v>
      </c>
      <c r="Z3872" s="14">
        <v>2.72</v>
      </c>
      <c r="AA3872" s="14">
        <v>11.09</v>
      </c>
      <c r="AB3872" s="12" t="s">
        <v>56</v>
      </c>
      <c r="AC3872" s="12" t="s">
        <v>3033</v>
      </c>
      <c r="AD3872" s="13">
        <v>43973</v>
      </c>
      <c r="AE3872" s="12" t="s">
        <v>438</v>
      </c>
      <c r="AF3872" s="12" t="s">
        <v>3034</v>
      </c>
      <c r="AG3872" s="12" t="s">
        <v>81</v>
      </c>
      <c r="AH3872" s="1">
        <f>HYPERLINK("https://my.pitchbook.com?c=210744-46T","View Company Online")</f>
      </c>
    </row>
    <row r="3873">
      <c r="A3873" s="3" t="s">
        <v>19509</v>
      </c>
      <c r="B3873" s="3" t="s">
        <v>19510</v>
      </c>
      <c r="C3873" s="5" t="s">
        <v>36</v>
      </c>
      <c r="D3873" s="5" t="s">
        <v>36</v>
      </c>
      <c r="E3873" s="5" t="s">
        <v>36</v>
      </c>
      <c r="F3873" s="5" t="s">
        <v>36</v>
      </c>
      <c r="G3873" s="6" t="s">
        <v>36</v>
      </c>
      <c r="H3873" s="4">
        <v>288.96</v>
      </c>
      <c r="I3873" s="7">
        <v>31</v>
      </c>
      <c r="J3873" s="3" t="s">
        <v>521</v>
      </c>
      <c r="K3873" s="9" t="s">
        <v>36</v>
      </c>
      <c r="L3873" s="6" t="s">
        <v>36</v>
      </c>
      <c r="M3873" s="3" t="s">
        <v>36</v>
      </c>
      <c r="N3873" s="3" t="s">
        <v>36</v>
      </c>
      <c r="O3873" s="8" t="s">
        <v>36</v>
      </c>
      <c r="P3873" s="3" t="s">
        <v>36</v>
      </c>
      <c r="Q3873" s="3" t="s">
        <v>36</v>
      </c>
      <c r="R3873" s="3" t="s">
        <v>36</v>
      </c>
      <c r="S3873" s="3" t="s">
        <v>36</v>
      </c>
      <c r="T3873" s="3" t="s">
        <v>19511</v>
      </c>
      <c r="U3873" s="3" t="s">
        <v>289</v>
      </c>
      <c r="V3873" s="3" t="s">
        <v>64</v>
      </c>
      <c r="W3873" s="3" t="s">
        <v>19512</v>
      </c>
      <c r="X3873" s="10" t="s">
        <v>12796</v>
      </c>
      <c r="Y3873" s="6" t="s">
        <v>42</v>
      </c>
      <c r="Z3873" s="4">
        <v>1.63</v>
      </c>
      <c r="AA3873" s="4">
        <v>5.26</v>
      </c>
      <c r="AB3873" s="3" t="s">
        <v>56</v>
      </c>
      <c r="AC3873" s="3" t="s">
        <v>19513</v>
      </c>
      <c r="AD3873" s="9">
        <v>43972</v>
      </c>
      <c r="AE3873" s="3" t="s">
        <v>292</v>
      </c>
      <c r="AF3873" s="3" t="s">
        <v>90</v>
      </c>
      <c r="AG3873" s="3" t="s">
        <v>332</v>
      </c>
      <c r="AH3873" s="11">
        <f>HYPERLINK("https://my.pitchbook.com?c=179831-98T","View Company Online")</f>
      </c>
    </row>
    <row r="3874">
      <c r="A3874" s="12" t="s">
        <v>19514</v>
      </c>
      <c r="B3874" s="12" t="s">
        <v>19515</v>
      </c>
      <c r="C3874" s="19" t="s">
        <v>36</v>
      </c>
      <c r="D3874" s="19" t="s">
        <v>36</v>
      </c>
      <c r="E3874" s="19" t="s">
        <v>36</v>
      </c>
      <c r="F3874" s="19" t="s">
        <v>36</v>
      </c>
      <c r="G3874" s="15" t="s">
        <v>36</v>
      </c>
      <c r="H3874" s="14">
        <v>20.77</v>
      </c>
      <c r="I3874" s="18">
        <v>19.27</v>
      </c>
      <c r="J3874" s="12" t="s">
        <v>521</v>
      </c>
      <c r="K3874" s="13" t="s">
        <v>36</v>
      </c>
      <c r="L3874" s="15" t="s">
        <v>36</v>
      </c>
      <c r="M3874" s="12" t="s">
        <v>36</v>
      </c>
      <c r="N3874" s="12" t="s">
        <v>36</v>
      </c>
      <c r="O3874" s="17" t="s">
        <v>36</v>
      </c>
      <c r="P3874" s="12" t="s">
        <v>36</v>
      </c>
      <c r="Q3874" s="12" t="s">
        <v>36</v>
      </c>
      <c r="R3874" s="12" t="s">
        <v>36</v>
      </c>
      <c r="S3874" s="12" t="s">
        <v>36</v>
      </c>
      <c r="T3874" s="12" t="s">
        <v>7786</v>
      </c>
      <c r="U3874" s="12" t="s">
        <v>1502</v>
      </c>
      <c r="V3874" s="12" t="s">
        <v>75</v>
      </c>
      <c r="W3874" s="12" t="s">
        <v>19516</v>
      </c>
      <c r="X3874" s="16" t="s">
        <v>19517</v>
      </c>
      <c r="Y3874" s="15" t="s">
        <v>42</v>
      </c>
      <c r="Z3874" s="14">
        <v>0.82</v>
      </c>
      <c r="AA3874" s="14">
        <v>2.4</v>
      </c>
      <c r="AB3874" s="12" t="s">
        <v>43</v>
      </c>
      <c r="AC3874" s="12" t="s">
        <v>19518</v>
      </c>
      <c r="AD3874" s="13">
        <v>43971</v>
      </c>
      <c r="AE3874" s="12" t="s">
        <v>1822</v>
      </c>
      <c r="AF3874" s="12" t="s">
        <v>571</v>
      </c>
      <c r="AG3874" s="12" t="s">
        <v>19519</v>
      </c>
      <c r="AH3874" s="1">
        <f>HYPERLINK("https://my.pitchbook.com?c=165793-60T","View Company Online")</f>
      </c>
    </row>
    <row r="3875">
      <c r="A3875" s="3" t="s">
        <v>19520</v>
      </c>
      <c r="B3875" s="3" t="s">
        <v>3963</v>
      </c>
      <c r="C3875" s="5" t="s">
        <v>36</v>
      </c>
      <c r="D3875" s="5" t="s">
        <v>36</v>
      </c>
      <c r="E3875" s="5" t="s">
        <v>36</v>
      </c>
      <c r="F3875" s="5" t="s">
        <v>36</v>
      </c>
      <c r="G3875" s="6" t="s">
        <v>36</v>
      </c>
      <c r="H3875" s="4">
        <v>368.69</v>
      </c>
      <c r="I3875" s="7">
        <v>27.48</v>
      </c>
      <c r="J3875" s="3" t="s">
        <v>521</v>
      </c>
      <c r="K3875" s="9">
        <v>43885</v>
      </c>
      <c r="L3875" s="6" t="s">
        <v>122</v>
      </c>
      <c r="M3875" s="3" t="s">
        <v>36</v>
      </c>
      <c r="N3875" s="3" t="s">
        <v>122</v>
      </c>
      <c r="O3875" s="8" t="s">
        <v>36</v>
      </c>
      <c r="P3875" s="3" t="s">
        <v>36</v>
      </c>
      <c r="Q3875" s="3" t="s">
        <v>36</v>
      </c>
      <c r="R3875" s="3" t="s">
        <v>36</v>
      </c>
      <c r="S3875" s="3" t="s">
        <v>36</v>
      </c>
      <c r="T3875" s="3" t="s">
        <v>3964</v>
      </c>
      <c r="U3875" s="3" t="s">
        <v>289</v>
      </c>
      <c r="V3875" s="3" t="s">
        <v>64</v>
      </c>
      <c r="W3875" s="3" t="s">
        <v>3965</v>
      </c>
      <c r="X3875" s="10" t="s">
        <v>19521</v>
      </c>
      <c r="Y3875" s="6" t="s">
        <v>108</v>
      </c>
      <c r="Z3875" s="4">
        <v>5.87</v>
      </c>
      <c r="AA3875" s="4">
        <v>21.35</v>
      </c>
      <c r="AB3875" s="3" t="s">
        <v>43</v>
      </c>
      <c r="AC3875" s="3" t="s">
        <v>3967</v>
      </c>
      <c r="AD3875" s="9">
        <v>43970</v>
      </c>
      <c r="AE3875" s="3" t="s">
        <v>3134</v>
      </c>
      <c r="AF3875" s="3" t="s">
        <v>2363</v>
      </c>
      <c r="AG3875" s="3" t="s">
        <v>3968</v>
      </c>
      <c r="AH3875" s="11">
        <f>HYPERLINK("https://my.pitchbook.com?c=137849-23T","View Company Online")</f>
      </c>
    </row>
    <row r="3876">
      <c r="A3876" s="12" t="s">
        <v>19522</v>
      </c>
      <c r="B3876" s="12" t="s">
        <v>4763</v>
      </c>
      <c r="C3876" s="19">
        <v>20</v>
      </c>
      <c r="D3876" s="19">
        <v>97</v>
      </c>
      <c r="E3876" s="19">
        <v>70</v>
      </c>
      <c r="F3876" s="19">
        <v>130</v>
      </c>
      <c r="G3876" s="15" t="s">
        <v>326</v>
      </c>
      <c r="H3876" s="14">
        <v>2.2</v>
      </c>
      <c r="I3876" s="18">
        <v>17.35</v>
      </c>
      <c r="J3876" s="12" t="s">
        <v>521</v>
      </c>
      <c r="K3876" s="13" t="s">
        <v>36</v>
      </c>
      <c r="L3876" s="15" t="s">
        <v>3736</v>
      </c>
      <c r="M3876" s="12" t="s">
        <v>36</v>
      </c>
      <c r="N3876" s="12" t="s">
        <v>3736</v>
      </c>
      <c r="O3876" s="17" t="s">
        <v>36</v>
      </c>
      <c r="P3876" s="12" t="s">
        <v>36</v>
      </c>
      <c r="Q3876" s="12" t="s">
        <v>36</v>
      </c>
      <c r="R3876" s="12" t="s">
        <v>36</v>
      </c>
      <c r="S3876" s="12" t="s">
        <v>196</v>
      </c>
      <c r="T3876" s="12" t="s">
        <v>522</v>
      </c>
      <c r="U3876" s="12" t="s">
        <v>38</v>
      </c>
      <c r="V3876" s="12" t="s">
        <v>39</v>
      </c>
      <c r="W3876" s="12" t="s">
        <v>4764</v>
      </c>
      <c r="X3876" s="16" t="s">
        <v>19523</v>
      </c>
      <c r="Y3876" s="15" t="s">
        <v>166</v>
      </c>
      <c r="Z3876" s="14">
        <v>188.76</v>
      </c>
      <c r="AA3876" s="14">
        <v>772.22</v>
      </c>
      <c r="AB3876" s="12" t="s">
        <v>56</v>
      </c>
      <c r="AC3876" s="12" t="s">
        <v>4766</v>
      </c>
      <c r="AD3876" s="13">
        <v>43969</v>
      </c>
      <c r="AE3876" s="12" t="s">
        <v>110</v>
      </c>
      <c r="AF3876" s="12" t="s">
        <v>111</v>
      </c>
      <c r="AG3876" s="12" t="s">
        <v>81</v>
      </c>
      <c r="AH3876" s="1">
        <f>HYPERLINK("https://my.pitchbook.com?c=136795-06T","View Company Online")</f>
      </c>
    </row>
    <row r="3877">
      <c r="A3877" s="3" t="s">
        <v>19524</v>
      </c>
      <c r="B3877" s="3" t="s">
        <v>8823</v>
      </c>
      <c r="C3877" s="5" t="s">
        <v>36</v>
      </c>
      <c r="D3877" s="5" t="s">
        <v>36</v>
      </c>
      <c r="E3877" s="5" t="s">
        <v>36</v>
      </c>
      <c r="F3877" s="5" t="s">
        <v>36</v>
      </c>
      <c r="G3877" s="6" t="s">
        <v>36</v>
      </c>
      <c r="H3877" s="4">
        <v>13.84</v>
      </c>
      <c r="I3877" s="7">
        <v>33.33</v>
      </c>
      <c r="J3877" s="3" t="s">
        <v>521</v>
      </c>
      <c r="K3877" s="9" t="s">
        <v>36</v>
      </c>
      <c r="L3877" s="6" t="s">
        <v>36</v>
      </c>
      <c r="M3877" s="3" t="s">
        <v>36</v>
      </c>
      <c r="N3877" s="3" t="s">
        <v>36</v>
      </c>
      <c r="O3877" s="8" t="s">
        <v>36</v>
      </c>
      <c r="P3877" s="3" t="s">
        <v>36</v>
      </c>
      <c r="Q3877" s="3" t="s">
        <v>36</v>
      </c>
      <c r="R3877" s="3" t="s">
        <v>36</v>
      </c>
      <c r="S3877" s="3" t="s">
        <v>2699</v>
      </c>
      <c r="T3877" s="3" t="s">
        <v>8824</v>
      </c>
      <c r="U3877" s="3" t="s">
        <v>619</v>
      </c>
      <c r="V3877" s="3" t="s">
        <v>378</v>
      </c>
      <c r="W3877" s="3" t="s">
        <v>8825</v>
      </c>
      <c r="X3877" s="10" t="s">
        <v>19525</v>
      </c>
      <c r="Y3877" s="6" t="s">
        <v>42</v>
      </c>
      <c r="Z3877" s="4">
        <v>2.72</v>
      </c>
      <c r="AA3877" s="4">
        <v>6.52</v>
      </c>
      <c r="AB3877" s="3" t="s">
        <v>43</v>
      </c>
      <c r="AC3877" s="3" t="s">
        <v>8827</v>
      </c>
      <c r="AD3877" s="9">
        <v>43969</v>
      </c>
      <c r="AE3877" s="3" t="s">
        <v>623</v>
      </c>
      <c r="AF3877" s="3" t="s">
        <v>8828</v>
      </c>
      <c r="AG3877" s="3" t="s">
        <v>8829</v>
      </c>
      <c r="AH3877" s="11">
        <f>HYPERLINK("https://my.pitchbook.com?c=135952-57T","View Company Online")</f>
      </c>
    </row>
    <row r="3878">
      <c r="A3878" s="12" t="s">
        <v>19526</v>
      </c>
      <c r="B3878" s="12" t="s">
        <v>19527</v>
      </c>
      <c r="C3878" s="19">
        <v>1</v>
      </c>
      <c r="D3878" s="19">
        <v>7</v>
      </c>
      <c r="E3878" s="19">
        <v>3</v>
      </c>
      <c r="F3878" s="19">
        <v>10</v>
      </c>
      <c r="G3878" s="15" t="s">
        <v>36</v>
      </c>
      <c r="H3878" s="14">
        <v>24.73</v>
      </c>
      <c r="I3878" s="18">
        <v>37.5</v>
      </c>
      <c r="J3878" s="12" t="s">
        <v>521</v>
      </c>
      <c r="K3878" s="13" t="s">
        <v>36</v>
      </c>
      <c r="L3878" s="15" t="s">
        <v>36</v>
      </c>
      <c r="M3878" s="12" t="s">
        <v>36</v>
      </c>
      <c r="N3878" s="12" t="s">
        <v>36</v>
      </c>
      <c r="O3878" s="17" t="s">
        <v>36</v>
      </c>
      <c r="P3878" s="12" t="s">
        <v>36</v>
      </c>
      <c r="Q3878" s="12" t="s">
        <v>36</v>
      </c>
      <c r="R3878" s="12" t="s">
        <v>36</v>
      </c>
      <c r="S3878" s="12" t="s">
        <v>36</v>
      </c>
      <c r="T3878" s="12" t="s">
        <v>3729</v>
      </c>
      <c r="U3878" s="12" t="s">
        <v>219</v>
      </c>
      <c r="V3878" s="12" t="s">
        <v>75</v>
      </c>
      <c r="W3878" s="12" t="s">
        <v>19528</v>
      </c>
      <c r="X3878" s="16" t="s">
        <v>19529</v>
      </c>
      <c r="Y3878" s="15" t="s">
        <v>42</v>
      </c>
      <c r="Z3878" s="14">
        <v>0.33</v>
      </c>
      <c r="AA3878" s="14">
        <v>0.87</v>
      </c>
      <c r="AB3878" s="12" t="s">
        <v>43</v>
      </c>
      <c r="AC3878" s="12" t="s">
        <v>19530</v>
      </c>
      <c r="AD3878" s="13">
        <v>43969</v>
      </c>
      <c r="AE3878" s="12" t="s">
        <v>1032</v>
      </c>
      <c r="AF3878" s="12" t="s">
        <v>2915</v>
      </c>
      <c r="AG3878" s="12" t="s">
        <v>19531</v>
      </c>
      <c r="AH3878" s="1">
        <f>HYPERLINK("https://my.pitchbook.com?c=204508-45T","View Company Online")</f>
      </c>
    </row>
    <row r="3879">
      <c r="A3879" s="3" t="s">
        <v>19532</v>
      </c>
      <c r="B3879" s="3" t="s">
        <v>19533</v>
      </c>
      <c r="C3879" s="5" t="s">
        <v>36</v>
      </c>
      <c r="D3879" s="5" t="s">
        <v>36</v>
      </c>
      <c r="E3879" s="5" t="s">
        <v>36</v>
      </c>
      <c r="F3879" s="5" t="s">
        <v>36</v>
      </c>
      <c r="G3879" s="6" t="s">
        <v>36</v>
      </c>
      <c r="H3879" s="4" t="s">
        <v>36</v>
      </c>
      <c r="I3879" s="7" t="s">
        <v>36</v>
      </c>
      <c r="J3879" s="3" t="s">
        <v>36</v>
      </c>
      <c r="K3879" s="9" t="s">
        <v>36</v>
      </c>
      <c r="L3879" s="6" t="s">
        <v>36</v>
      </c>
      <c r="M3879" s="3" t="s">
        <v>36</v>
      </c>
      <c r="N3879" s="3" t="s">
        <v>36</v>
      </c>
      <c r="O3879" s="8" t="s">
        <v>36</v>
      </c>
      <c r="P3879" s="3" t="s">
        <v>36</v>
      </c>
      <c r="Q3879" s="3" t="s">
        <v>36</v>
      </c>
      <c r="R3879" s="3" t="s">
        <v>36</v>
      </c>
      <c r="S3879" s="3" t="s">
        <v>36</v>
      </c>
      <c r="T3879" s="3" t="s">
        <v>19534</v>
      </c>
      <c r="U3879" s="3" t="s">
        <v>9881</v>
      </c>
      <c r="V3879" s="3" t="s">
        <v>75</v>
      </c>
      <c r="W3879" s="3" t="s">
        <v>19535</v>
      </c>
      <c r="X3879" s="10" t="s">
        <v>19536</v>
      </c>
      <c r="Y3879" s="6" t="s">
        <v>108</v>
      </c>
      <c r="Z3879" s="4">
        <v>1.63</v>
      </c>
      <c r="AA3879" s="4" t="s">
        <v>36</v>
      </c>
      <c r="AB3879" s="3" t="s">
        <v>56</v>
      </c>
      <c r="AC3879" s="3" t="s">
        <v>19537</v>
      </c>
      <c r="AD3879" s="9">
        <v>43969</v>
      </c>
      <c r="AE3879" s="3" t="s">
        <v>12049</v>
      </c>
      <c r="AF3879" s="3" t="s">
        <v>19071</v>
      </c>
      <c r="AG3879" s="3" t="s">
        <v>81</v>
      </c>
      <c r="AH3879" s="11">
        <f>HYPERLINK("https://my.pitchbook.com?c=136682-11T","View Company Online")</f>
      </c>
    </row>
    <row r="3880">
      <c r="A3880" s="12" t="s">
        <v>19538</v>
      </c>
      <c r="B3880" s="12" t="s">
        <v>19539</v>
      </c>
      <c r="C3880" s="19" t="s">
        <v>36</v>
      </c>
      <c r="D3880" s="19">
        <v>14</v>
      </c>
      <c r="E3880" s="19">
        <v>6</v>
      </c>
      <c r="F3880" s="19">
        <v>22</v>
      </c>
      <c r="G3880" s="15" t="s">
        <v>36</v>
      </c>
      <c r="H3880" s="14" t="s">
        <v>36</v>
      </c>
      <c r="I3880" s="18" t="s">
        <v>36</v>
      </c>
      <c r="J3880" s="12" t="s">
        <v>36</v>
      </c>
      <c r="K3880" s="13" t="s">
        <v>36</v>
      </c>
      <c r="L3880" s="15" t="s">
        <v>36</v>
      </c>
      <c r="M3880" s="12" t="s">
        <v>36</v>
      </c>
      <c r="N3880" s="12" t="s">
        <v>36</v>
      </c>
      <c r="O3880" s="17" t="s">
        <v>36</v>
      </c>
      <c r="P3880" s="12" t="s">
        <v>36</v>
      </c>
      <c r="Q3880" s="12" t="s">
        <v>36</v>
      </c>
      <c r="R3880" s="12" t="s">
        <v>36</v>
      </c>
      <c r="S3880" s="12" t="s">
        <v>36</v>
      </c>
      <c r="T3880" s="12" t="s">
        <v>3264</v>
      </c>
      <c r="U3880" s="12" t="s">
        <v>96</v>
      </c>
      <c r="V3880" s="12" t="s">
        <v>52</v>
      </c>
      <c r="W3880" s="12" t="s">
        <v>19540</v>
      </c>
      <c r="X3880" s="16" t="s">
        <v>1840</v>
      </c>
      <c r="Y3880" s="15" t="s">
        <v>108</v>
      </c>
      <c r="Z3880" s="14" t="s">
        <v>36</v>
      </c>
      <c r="AA3880" s="14" t="s">
        <v>36</v>
      </c>
      <c r="AB3880" s="12" t="s">
        <v>43</v>
      </c>
      <c r="AC3880" s="12" t="s">
        <v>19541</v>
      </c>
      <c r="AD3880" s="13">
        <v>43966</v>
      </c>
      <c r="AE3880" s="12" t="s">
        <v>496</v>
      </c>
      <c r="AF3880" s="12" t="s">
        <v>36</v>
      </c>
      <c r="AG3880" s="12" t="s">
        <v>12568</v>
      </c>
      <c r="AH3880" s="1">
        <f>HYPERLINK("https://my.pitchbook.com?c=165868-93T","View Company Online")</f>
      </c>
    </row>
    <row r="3881">
      <c r="A3881" s="3" t="s">
        <v>19542</v>
      </c>
      <c r="B3881" s="3" t="s">
        <v>12134</v>
      </c>
      <c r="C3881" s="5" t="s">
        <v>36</v>
      </c>
      <c r="D3881" s="5" t="s">
        <v>36</v>
      </c>
      <c r="E3881" s="5" t="s">
        <v>36</v>
      </c>
      <c r="F3881" s="5" t="s">
        <v>36</v>
      </c>
      <c r="G3881" s="6" t="s">
        <v>36</v>
      </c>
      <c r="H3881" s="4">
        <v>397.25</v>
      </c>
      <c r="I3881" s="7">
        <v>10.01</v>
      </c>
      <c r="J3881" s="3" t="s">
        <v>521</v>
      </c>
      <c r="K3881" s="9" t="s">
        <v>36</v>
      </c>
      <c r="L3881" s="6" t="s">
        <v>36</v>
      </c>
      <c r="M3881" s="3" t="s">
        <v>36</v>
      </c>
      <c r="N3881" s="3" t="s">
        <v>36</v>
      </c>
      <c r="O3881" s="8" t="s">
        <v>36</v>
      </c>
      <c r="P3881" s="3" t="s">
        <v>36</v>
      </c>
      <c r="Q3881" s="3" t="s">
        <v>36</v>
      </c>
      <c r="R3881" s="3" t="s">
        <v>36</v>
      </c>
      <c r="S3881" s="3" t="s">
        <v>36</v>
      </c>
      <c r="T3881" s="3" t="s">
        <v>105</v>
      </c>
      <c r="U3881" s="3" t="s">
        <v>38</v>
      </c>
      <c r="V3881" s="3" t="s">
        <v>39</v>
      </c>
      <c r="W3881" s="3" t="s">
        <v>12135</v>
      </c>
      <c r="X3881" s="10" t="s">
        <v>19543</v>
      </c>
      <c r="Y3881" s="6" t="s">
        <v>42</v>
      </c>
      <c r="Z3881" s="4">
        <v>0.54</v>
      </c>
      <c r="AA3881" s="4">
        <v>5.44</v>
      </c>
      <c r="AB3881" s="3" t="s">
        <v>43</v>
      </c>
      <c r="AC3881" s="3" t="s">
        <v>12137</v>
      </c>
      <c r="AD3881" s="9">
        <v>43966</v>
      </c>
      <c r="AE3881" s="3" t="s">
        <v>110</v>
      </c>
      <c r="AF3881" s="3" t="s">
        <v>176</v>
      </c>
      <c r="AG3881" s="3" t="s">
        <v>2760</v>
      </c>
      <c r="AH3881" s="11">
        <f>HYPERLINK("https://my.pitchbook.com?c=153794-98T","View Company Online")</f>
      </c>
    </row>
    <row r="3882">
      <c r="A3882" s="12" t="s">
        <v>19544</v>
      </c>
      <c r="B3882" s="12" t="s">
        <v>19545</v>
      </c>
      <c r="C3882" s="19" t="s">
        <v>36</v>
      </c>
      <c r="D3882" s="19" t="s">
        <v>36</v>
      </c>
      <c r="E3882" s="19" t="s">
        <v>36</v>
      </c>
      <c r="F3882" s="19" t="s">
        <v>36</v>
      </c>
      <c r="G3882" s="15" t="s">
        <v>36</v>
      </c>
      <c r="H3882" s="14" t="s">
        <v>36</v>
      </c>
      <c r="I3882" s="18" t="s">
        <v>36</v>
      </c>
      <c r="J3882" s="12" t="s">
        <v>36</v>
      </c>
      <c r="K3882" s="13" t="s">
        <v>36</v>
      </c>
      <c r="L3882" s="15" t="s">
        <v>36</v>
      </c>
      <c r="M3882" s="12" t="s">
        <v>36</v>
      </c>
      <c r="N3882" s="12" t="s">
        <v>36</v>
      </c>
      <c r="O3882" s="17" t="s">
        <v>36</v>
      </c>
      <c r="P3882" s="12" t="s">
        <v>36</v>
      </c>
      <c r="Q3882" s="12" t="s">
        <v>36</v>
      </c>
      <c r="R3882" s="12" t="s">
        <v>36</v>
      </c>
      <c r="S3882" s="12" t="s">
        <v>6738</v>
      </c>
      <c r="T3882" s="12" t="s">
        <v>19546</v>
      </c>
      <c r="U3882" s="12" t="s">
        <v>833</v>
      </c>
      <c r="V3882" s="12" t="s">
        <v>64</v>
      </c>
      <c r="W3882" s="12" t="s">
        <v>19547</v>
      </c>
      <c r="X3882" s="16" t="s">
        <v>13572</v>
      </c>
      <c r="Y3882" s="15" t="s">
        <v>42</v>
      </c>
      <c r="Z3882" s="14">
        <v>1.09</v>
      </c>
      <c r="AA3882" s="14" t="s">
        <v>36</v>
      </c>
      <c r="AB3882" s="12" t="s">
        <v>56</v>
      </c>
      <c r="AC3882" s="12" t="s">
        <v>19548</v>
      </c>
      <c r="AD3882" s="13">
        <v>43966</v>
      </c>
      <c r="AE3882" s="12" t="s">
        <v>3615</v>
      </c>
      <c r="AF3882" s="12" t="s">
        <v>571</v>
      </c>
      <c r="AG3882" s="12" t="s">
        <v>81</v>
      </c>
      <c r="AH3882" s="1">
        <f>HYPERLINK("https://my.pitchbook.com?c=136684-36T","View Company Online")</f>
      </c>
    </row>
    <row r="3883">
      <c r="A3883" s="3" t="s">
        <v>19549</v>
      </c>
      <c r="B3883" s="3" t="s">
        <v>19550</v>
      </c>
      <c r="C3883" s="5" t="s">
        <v>36</v>
      </c>
      <c r="D3883" s="5" t="s">
        <v>36</v>
      </c>
      <c r="E3883" s="5" t="s">
        <v>36</v>
      </c>
      <c r="F3883" s="5" t="s">
        <v>36</v>
      </c>
      <c r="G3883" s="6" t="s">
        <v>36</v>
      </c>
      <c r="H3883" s="4">
        <v>29.67</v>
      </c>
      <c r="I3883" s="7">
        <v>22.31</v>
      </c>
      <c r="J3883" s="3" t="s">
        <v>521</v>
      </c>
      <c r="K3883" s="9" t="s">
        <v>36</v>
      </c>
      <c r="L3883" s="6" t="s">
        <v>36</v>
      </c>
      <c r="M3883" s="3" t="s">
        <v>36</v>
      </c>
      <c r="N3883" s="3" t="s">
        <v>36</v>
      </c>
      <c r="O3883" s="8" t="s">
        <v>36</v>
      </c>
      <c r="P3883" s="3" t="s">
        <v>36</v>
      </c>
      <c r="Q3883" s="3" t="s">
        <v>36</v>
      </c>
      <c r="R3883" s="3" t="s">
        <v>36</v>
      </c>
      <c r="S3883" s="3" t="s">
        <v>36</v>
      </c>
      <c r="T3883" s="3" t="s">
        <v>19551</v>
      </c>
      <c r="U3883" s="3" t="s">
        <v>180</v>
      </c>
      <c r="V3883" s="3" t="s">
        <v>52</v>
      </c>
      <c r="W3883" s="3" t="s">
        <v>19552</v>
      </c>
      <c r="X3883" s="10" t="s">
        <v>19553</v>
      </c>
      <c r="Y3883" s="6" t="s">
        <v>42</v>
      </c>
      <c r="Z3883" s="4">
        <v>0.63</v>
      </c>
      <c r="AA3883" s="4">
        <v>2.83</v>
      </c>
      <c r="AB3883" s="3" t="s">
        <v>43</v>
      </c>
      <c r="AC3883" s="3" t="s">
        <v>19554</v>
      </c>
      <c r="AD3883" s="9">
        <v>43965</v>
      </c>
      <c r="AE3883" s="3" t="s">
        <v>10539</v>
      </c>
      <c r="AF3883" s="3" t="s">
        <v>19555</v>
      </c>
      <c r="AG3883" s="3" t="s">
        <v>81</v>
      </c>
      <c r="AH3883" s="11">
        <f>HYPERLINK("https://my.pitchbook.com?c=125606-71T","View Company Online")</f>
      </c>
    </row>
    <row r="3884">
      <c r="A3884" s="12" t="s">
        <v>19556</v>
      </c>
      <c r="B3884" s="12" t="s">
        <v>19557</v>
      </c>
      <c r="C3884" s="19" t="s">
        <v>36</v>
      </c>
      <c r="D3884" s="19" t="s">
        <v>36</v>
      </c>
      <c r="E3884" s="19">
        <v>1</v>
      </c>
      <c r="F3884" s="19">
        <v>1</v>
      </c>
      <c r="G3884" s="15" t="s">
        <v>36</v>
      </c>
      <c r="H3884" s="14" t="s">
        <v>36</v>
      </c>
      <c r="I3884" s="18" t="s">
        <v>36</v>
      </c>
      <c r="J3884" s="12" t="s">
        <v>36</v>
      </c>
      <c r="K3884" s="13" t="s">
        <v>36</v>
      </c>
      <c r="L3884" s="15" t="s">
        <v>36</v>
      </c>
      <c r="M3884" s="12" t="s">
        <v>36</v>
      </c>
      <c r="N3884" s="12" t="s">
        <v>36</v>
      </c>
      <c r="O3884" s="17" t="s">
        <v>36</v>
      </c>
      <c r="P3884" s="12" t="s">
        <v>36</v>
      </c>
      <c r="Q3884" s="12" t="s">
        <v>36</v>
      </c>
      <c r="R3884" s="12" t="s">
        <v>36</v>
      </c>
      <c r="S3884" s="12" t="s">
        <v>36</v>
      </c>
      <c r="T3884" s="12" t="s">
        <v>19558</v>
      </c>
      <c r="U3884" s="12" t="s">
        <v>38</v>
      </c>
      <c r="V3884" s="12" t="s">
        <v>39</v>
      </c>
      <c r="W3884" s="12" t="s">
        <v>19559</v>
      </c>
      <c r="X3884" s="16" t="s">
        <v>19560</v>
      </c>
      <c r="Y3884" s="15" t="s">
        <v>192</v>
      </c>
      <c r="Z3884" s="14">
        <v>6.53</v>
      </c>
      <c r="AA3884" s="14" t="s">
        <v>36</v>
      </c>
      <c r="AB3884" s="12" t="s">
        <v>56</v>
      </c>
      <c r="AC3884" s="12" t="s">
        <v>19561</v>
      </c>
      <c r="AD3884" s="13">
        <v>43965</v>
      </c>
      <c r="AE3884" s="12" t="s">
        <v>110</v>
      </c>
      <c r="AF3884" s="12" t="s">
        <v>19562</v>
      </c>
      <c r="AG3884" s="12" t="s">
        <v>19563</v>
      </c>
      <c r="AH3884" s="1">
        <f>HYPERLINK("https://my.pitchbook.com?c=136512-28T","View Company Online")</f>
      </c>
    </row>
    <row r="3885">
      <c r="A3885" s="3" t="s">
        <v>19564</v>
      </c>
      <c r="B3885" s="3" t="s">
        <v>13491</v>
      </c>
      <c r="C3885" s="5" t="s">
        <v>36</v>
      </c>
      <c r="D3885" s="5" t="s">
        <v>36</v>
      </c>
      <c r="E3885" s="5" t="s">
        <v>36</v>
      </c>
      <c r="F3885" s="5" t="s">
        <v>36</v>
      </c>
      <c r="G3885" s="6" t="s">
        <v>326</v>
      </c>
      <c r="H3885" s="4">
        <v>33.91</v>
      </c>
      <c r="I3885" s="7">
        <v>23.8</v>
      </c>
      <c r="J3885" s="3" t="s">
        <v>521</v>
      </c>
      <c r="K3885" s="9" t="s">
        <v>36</v>
      </c>
      <c r="L3885" s="6" t="s">
        <v>122</v>
      </c>
      <c r="M3885" s="3" t="s">
        <v>36</v>
      </c>
      <c r="N3885" s="3" t="s">
        <v>122</v>
      </c>
      <c r="O3885" s="8" t="s">
        <v>36</v>
      </c>
      <c r="P3885" s="3" t="s">
        <v>36</v>
      </c>
      <c r="Q3885" s="3" t="s">
        <v>36</v>
      </c>
      <c r="R3885" s="3" t="s">
        <v>36</v>
      </c>
      <c r="S3885" s="3" t="s">
        <v>36</v>
      </c>
      <c r="T3885" s="3" t="s">
        <v>3545</v>
      </c>
      <c r="U3885" s="3" t="s">
        <v>38</v>
      </c>
      <c r="V3885" s="3" t="s">
        <v>39</v>
      </c>
      <c r="W3885" s="3" t="s">
        <v>13492</v>
      </c>
      <c r="X3885" s="10" t="s">
        <v>19565</v>
      </c>
      <c r="Y3885" s="6" t="s">
        <v>108</v>
      </c>
      <c r="Z3885" s="4">
        <v>10.82</v>
      </c>
      <c r="AA3885" s="4">
        <v>45.44</v>
      </c>
      <c r="AB3885" s="3" t="s">
        <v>43</v>
      </c>
      <c r="AC3885" s="3" t="s">
        <v>13494</v>
      </c>
      <c r="AD3885" s="9">
        <v>43963</v>
      </c>
      <c r="AE3885" s="3" t="s">
        <v>1945</v>
      </c>
      <c r="AF3885" s="3" t="s">
        <v>1401</v>
      </c>
      <c r="AG3885" s="3" t="s">
        <v>81</v>
      </c>
      <c r="AH3885" s="11">
        <f>HYPERLINK("https://my.pitchbook.com?c=136330-21T","View Company Online")</f>
      </c>
    </row>
    <row r="3886">
      <c r="A3886" s="12" t="s">
        <v>19566</v>
      </c>
      <c r="B3886" s="12" t="s">
        <v>11981</v>
      </c>
      <c r="C3886" s="19">
        <v>3</v>
      </c>
      <c r="D3886" s="19">
        <v>10</v>
      </c>
      <c r="E3886" s="19">
        <v>5</v>
      </c>
      <c r="F3886" s="19">
        <v>13</v>
      </c>
      <c r="G3886" s="15" t="s">
        <v>36</v>
      </c>
      <c r="H3886" s="14" t="s">
        <v>36</v>
      </c>
      <c r="I3886" s="18" t="s">
        <v>36</v>
      </c>
      <c r="J3886" s="12" t="s">
        <v>36</v>
      </c>
      <c r="K3886" s="13" t="s">
        <v>36</v>
      </c>
      <c r="L3886" s="15" t="s">
        <v>36</v>
      </c>
      <c r="M3886" s="12" t="s">
        <v>36</v>
      </c>
      <c r="N3886" s="12" t="s">
        <v>36</v>
      </c>
      <c r="O3886" s="17" t="s">
        <v>36</v>
      </c>
      <c r="P3886" s="12" t="s">
        <v>36</v>
      </c>
      <c r="Q3886" s="12" t="s">
        <v>36</v>
      </c>
      <c r="R3886" s="12" t="s">
        <v>36</v>
      </c>
      <c r="S3886" s="12" t="s">
        <v>36</v>
      </c>
      <c r="T3886" s="12" t="s">
        <v>1162</v>
      </c>
      <c r="U3886" s="12" t="s">
        <v>423</v>
      </c>
      <c r="V3886" s="12" t="s">
        <v>64</v>
      </c>
      <c r="W3886" s="12" t="s">
        <v>11982</v>
      </c>
      <c r="X3886" s="16" t="s">
        <v>19567</v>
      </c>
      <c r="Y3886" s="15" t="s">
        <v>42</v>
      </c>
      <c r="Z3886" s="14">
        <v>2.18</v>
      </c>
      <c r="AA3886" s="14" t="s">
        <v>36</v>
      </c>
      <c r="AB3886" s="12" t="s">
        <v>43</v>
      </c>
      <c r="AC3886" s="12" t="s">
        <v>11984</v>
      </c>
      <c r="AD3886" s="13">
        <v>43962</v>
      </c>
      <c r="AE3886" s="12" t="s">
        <v>562</v>
      </c>
      <c r="AF3886" s="12" t="s">
        <v>1612</v>
      </c>
      <c r="AG3886" s="12" t="s">
        <v>81</v>
      </c>
      <c r="AH3886" s="1">
        <f>HYPERLINK("https://my.pitchbook.com?c=132849-01T","View Company Online")</f>
      </c>
    </row>
    <row r="3887">
      <c r="A3887" s="3" t="s">
        <v>19568</v>
      </c>
      <c r="B3887" s="3" t="s">
        <v>19569</v>
      </c>
      <c r="C3887" s="5" t="s">
        <v>36</v>
      </c>
      <c r="D3887" s="5" t="s">
        <v>36</v>
      </c>
      <c r="E3887" s="5" t="s">
        <v>36</v>
      </c>
      <c r="F3887" s="5" t="s">
        <v>36</v>
      </c>
      <c r="G3887" s="6" t="s">
        <v>326</v>
      </c>
      <c r="H3887" s="4">
        <v>492.08</v>
      </c>
      <c r="I3887" s="7">
        <v>20.64</v>
      </c>
      <c r="J3887" s="3" t="s">
        <v>521</v>
      </c>
      <c r="K3887" s="9" t="s">
        <v>36</v>
      </c>
      <c r="L3887" s="6" t="s">
        <v>36</v>
      </c>
      <c r="M3887" s="3" t="s">
        <v>36</v>
      </c>
      <c r="N3887" s="3" t="s">
        <v>36</v>
      </c>
      <c r="O3887" s="8" t="s">
        <v>36</v>
      </c>
      <c r="P3887" s="3" t="s">
        <v>36</v>
      </c>
      <c r="Q3887" s="3" t="s">
        <v>36</v>
      </c>
      <c r="R3887" s="3" t="s">
        <v>36</v>
      </c>
      <c r="S3887" s="3" t="s">
        <v>36</v>
      </c>
      <c r="T3887" s="3" t="s">
        <v>7351</v>
      </c>
      <c r="U3887" s="3" t="s">
        <v>728</v>
      </c>
      <c r="V3887" s="3" t="s">
        <v>64</v>
      </c>
      <c r="W3887" s="3" t="s">
        <v>19570</v>
      </c>
      <c r="X3887" s="10" t="s">
        <v>19571</v>
      </c>
      <c r="Y3887" s="6" t="s">
        <v>55</v>
      </c>
      <c r="Z3887" s="4">
        <v>7.62</v>
      </c>
      <c r="AA3887" s="4">
        <v>36.93</v>
      </c>
      <c r="AB3887" s="3" t="s">
        <v>56</v>
      </c>
      <c r="AC3887" s="3" t="s">
        <v>19572</v>
      </c>
      <c r="AD3887" s="9">
        <v>43962</v>
      </c>
      <c r="AE3887" s="3" t="s">
        <v>1600</v>
      </c>
      <c r="AF3887" s="3" t="s">
        <v>90</v>
      </c>
      <c r="AG3887" s="3" t="s">
        <v>81</v>
      </c>
      <c r="AH3887" s="11">
        <f>HYPERLINK("https://my.pitchbook.com?c=207961-03T","View Company Online")</f>
      </c>
    </row>
    <row r="3888">
      <c r="A3888" s="12" t="s">
        <v>19573</v>
      </c>
      <c r="B3888" s="12" t="s">
        <v>19574</v>
      </c>
      <c r="C3888" s="19" t="s">
        <v>36</v>
      </c>
      <c r="D3888" s="19" t="s">
        <v>36</v>
      </c>
      <c r="E3888" s="19" t="s">
        <v>36</v>
      </c>
      <c r="F3888" s="19" t="s">
        <v>36</v>
      </c>
      <c r="G3888" s="15" t="s">
        <v>36</v>
      </c>
      <c r="H3888" s="14" t="s">
        <v>36</v>
      </c>
      <c r="I3888" s="18" t="s">
        <v>36</v>
      </c>
      <c r="J3888" s="12" t="s">
        <v>36</v>
      </c>
      <c r="K3888" s="13" t="s">
        <v>36</v>
      </c>
      <c r="L3888" s="15" t="s">
        <v>36</v>
      </c>
      <c r="M3888" s="12" t="s">
        <v>36</v>
      </c>
      <c r="N3888" s="12" t="s">
        <v>36</v>
      </c>
      <c r="O3888" s="17" t="s">
        <v>36</v>
      </c>
      <c r="P3888" s="12" t="s">
        <v>36</v>
      </c>
      <c r="Q3888" s="12" t="s">
        <v>36</v>
      </c>
      <c r="R3888" s="12" t="s">
        <v>36</v>
      </c>
      <c r="S3888" s="12" t="s">
        <v>36</v>
      </c>
      <c r="T3888" s="12" t="s">
        <v>19575</v>
      </c>
      <c r="U3888" s="12" t="s">
        <v>1357</v>
      </c>
      <c r="V3888" s="12" t="s">
        <v>52</v>
      </c>
      <c r="W3888" s="12" t="s">
        <v>19576</v>
      </c>
      <c r="X3888" s="16" t="s">
        <v>19577</v>
      </c>
      <c r="Y3888" s="15" t="s">
        <v>42</v>
      </c>
      <c r="Z3888" s="14">
        <v>1.31</v>
      </c>
      <c r="AA3888" s="14" t="s">
        <v>36</v>
      </c>
      <c r="AB3888" s="12" t="s">
        <v>43</v>
      </c>
      <c r="AC3888" s="12" t="s">
        <v>19578</v>
      </c>
      <c r="AD3888" s="13">
        <v>43962</v>
      </c>
      <c r="AE3888" s="12" t="s">
        <v>2808</v>
      </c>
      <c r="AF3888" s="12" t="s">
        <v>101</v>
      </c>
      <c r="AG3888" s="12" t="s">
        <v>81</v>
      </c>
      <c r="AH3888" s="1">
        <f>HYPERLINK("https://my.pitchbook.com?c=136731-25T","View Company Online")</f>
      </c>
    </row>
    <row r="3889">
      <c r="A3889" s="3" t="s">
        <v>19579</v>
      </c>
      <c r="B3889" s="3" t="s">
        <v>9918</v>
      </c>
      <c r="C3889" s="5" t="s">
        <v>36</v>
      </c>
      <c r="D3889" s="5" t="s">
        <v>36</v>
      </c>
      <c r="E3889" s="5" t="s">
        <v>36</v>
      </c>
      <c r="F3889" s="5" t="s">
        <v>36</v>
      </c>
      <c r="G3889" s="6" t="s">
        <v>36</v>
      </c>
      <c r="H3889" s="4" t="s">
        <v>36</v>
      </c>
      <c r="I3889" s="7" t="s">
        <v>36</v>
      </c>
      <c r="J3889" s="3" t="s">
        <v>36</v>
      </c>
      <c r="K3889" s="9" t="s">
        <v>36</v>
      </c>
      <c r="L3889" s="6" t="s">
        <v>36</v>
      </c>
      <c r="M3889" s="3" t="s">
        <v>36</v>
      </c>
      <c r="N3889" s="3" t="s">
        <v>36</v>
      </c>
      <c r="O3889" s="8" t="s">
        <v>36</v>
      </c>
      <c r="P3889" s="3" t="s">
        <v>36</v>
      </c>
      <c r="Q3889" s="3" t="s">
        <v>36</v>
      </c>
      <c r="R3889" s="3" t="s">
        <v>36</v>
      </c>
      <c r="S3889" s="3" t="s">
        <v>36</v>
      </c>
      <c r="T3889" s="3" t="s">
        <v>37</v>
      </c>
      <c r="U3889" s="3" t="s">
        <v>38</v>
      </c>
      <c r="V3889" s="3" t="s">
        <v>39</v>
      </c>
      <c r="W3889" s="3" t="s">
        <v>9919</v>
      </c>
      <c r="X3889" s="10" t="s">
        <v>19580</v>
      </c>
      <c r="Y3889" s="6" t="s">
        <v>42</v>
      </c>
      <c r="Z3889" s="4">
        <v>0.05</v>
      </c>
      <c r="AA3889" s="4" t="s">
        <v>36</v>
      </c>
      <c r="AB3889" s="3" t="s">
        <v>43</v>
      </c>
      <c r="AC3889" s="3" t="s">
        <v>9921</v>
      </c>
      <c r="AD3889" s="9">
        <v>43959</v>
      </c>
      <c r="AE3889" s="3" t="s">
        <v>45</v>
      </c>
      <c r="AF3889" s="3" t="s">
        <v>3187</v>
      </c>
      <c r="AG3889" s="3" t="s">
        <v>102</v>
      </c>
      <c r="AH3889" s="11">
        <f>HYPERLINK("https://my.pitchbook.com?c=223053-13T","View Company Online")</f>
      </c>
    </row>
    <row r="3890">
      <c r="A3890" s="12" t="s">
        <v>19581</v>
      </c>
      <c r="B3890" s="12" t="s">
        <v>12955</v>
      </c>
      <c r="C3890" s="19">
        <v>19</v>
      </c>
      <c r="D3890" s="19">
        <v>4</v>
      </c>
      <c r="E3890" s="19">
        <v>7</v>
      </c>
      <c r="F3890" s="19">
        <v>24</v>
      </c>
      <c r="G3890" s="15" t="s">
        <v>36</v>
      </c>
      <c r="H3890" s="14">
        <v>426.95</v>
      </c>
      <c r="I3890" s="18">
        <v>19.35</v>
      </c>
      <c r="J3890" s="12" t="s">
        <v>521</v>
      </c>
      <c r="K3890" s="13" t="s">
        <v>36</v>
      </c>
      <c r="L3890" s="15" t="s">
        <v>36</v>
      </c>
      <c r="M3890" s="12" t="s">
        <v>36</v>
      </c>
      <c r="N3890" s="12" t="s">
        <v>36</v>
      </c>
      <c r="O3890" s="17" t="s">
        <v>36</v>
      </c>
      <c r="P3890" s="12" t="s">
        <v>36</v>
      </c>
      <c r="Q3890" s="12" t="s">
        <v>36</v>
      </c>
      <c r="R3890" s="12" t="s">
        <v>36</v>
      </c>
      <c r="S3890" s="12" t="s">
        <v>3570</v>
      </c>
      <c r="T3890" s="12" t="s">
        <v>12956</v>
      </c>
      <c r="U3890" s="12" t="s">
        <v>1144</v>
      </c>
      <c r="V3890" s="12" t="s">
        <v>378</v>
      </c>
      <c r="W3890" s="12" t="s">
        <v>12957</v>
      </c>
      <c r="X3890" s="16" t="s">
        <v>19582</v>
      </c>
      <c r="Y3890" s="15" t="s">
        <v>42</v>
      </c>
      <c r="Z3890" s="14">
        <v>0.97</v>
      </c>
      <c r="AA3890" s="14">
        <v>5</v>
      </c>
      <c r="AB3890" s="12" t="s">
        <v>43</v>
      </c>
      <c r="AC3890" s="12" t="s">
        <v>12959</v>
      </c>
      <c r="AD3890" s="13">
        <v>43958</v>
      </c>
      <c r="AE3890" s="12" t="s">
        <v>12960</v>
      </c>
      <c r="AF3890" s="12" t="s">
        <v>982</v>
      </c>
      <c r="AG3890" s="12" t="s">
        <v>347</v>
      </c>
      <c r="AH3890" s="1">
        <f>HYPERLINK("https://my.pitchbook.com?c=136792-63T","View Company Online")</f>
      </c>
    </row>
    <row r="3891">
      <c r="A3891" s="3" t="s">
        <v>19583</v>
      </c>
      <c r="B3891" s="3" t="s">
        <v>14843</v>
      </c>
      <c r="C3891" s="5" t="s">
        <v>36</v>
      </c>
      <c r="D3891" s="5" t="s">
        <v>36</v>
      </c>
      <c r="E3891" s="5" t="s">
        <v>36</v>
      </c>
      <c r="F3891" s="5" t="s">
        <v>36</v>
      </c>
      <c r="G3891" s="6" t="s">
        <v>36</v>
      </c>
      <c r="H3891" s="4">
        <v>12.65</v>
      </c>
      <c r="I3891" s="7">
        <v>29.55</v>
      </c>
      <c r="J3891" s="3" t="s">
        <v>521</v>
      </c>
      <c r="K3891" s="9" t="s">
        <v>36</v>
      </c>
      <c r="L3891" s="6" t="s">
        <v>122</v>
      </c>
      <c r="M3891" s="3" t="s">
        <v>36</v>
      </c>
      <c r="N3891" s="3" t="s">
        <v>122</v>
      </c>
      <c r="O3891" s="8" t="s">
        <v>36</v>
      </c>
      <c r="P3891" s="3" t="s">
        <v>36</v>
      </c>
      <c r="Q3891" s="3" t="s">
        <v>36</v>
      </c>
      <c r="R3891" s="3" t="s">
        <v>36</v>
      </c>
      <c r="S3891" s="3" t="s">
        <v>36</v>
      </c>
      <c r="T3891" s="3" t="s">
        <v>14844</v>
      </c>
      <c r="U3891" s="3" t="s">
        <v>63</v>
      </c>
      <c r="V3891" s="3" t="s">
        <v>64</v>
      </c>
      <c r="W3891" s="3" t="s">
        <v>14845</v>
      </c>
      <c r="X3891" s="10" t="s">
        <v>19584</v>
      </c>
      <c r="Y3891" s="6" t="s">
        <v>55</v>
      </c>
      <c r="Z3891" s="4">
        <v>10.89</v>
      </c>
      <c r="AA3891" s="4">
        <v>25.8</v>
      </c>
      <c r="AB3891" s="3" t="s">
        <v>43</v>
      </c>
      <c r="AC3891" s="3" t="s">
        <v>14847</v>
      </c>
      <c r="AD3891" s="9">
        <v>43958</v>
      </c>
      <c r="AE3891" s="3" t="s">
        <v>68</v>
      </c>
      <c r="AF3891" s="3" t="s">
        <v>90</v>
      </c>
      <c r="AG3891" s="3" t="s">
        <v>332</v>
      </c>
      <c r="AH3891" s="11">
        <f>HYPERLINK("https://my.pitchbook.com?c=136149-40T","View Company Online")</f>
      </c>
    </row>
    <row r="3892">
      <c r="A3892" s="12" t="s">
        <v>19585</v>
      </c>
      <c r="B3892" s="12" t="s">
        <v>3922</v>
      </c>
      <c r="C3892" s="19" t="s">
        <v>36</v>
      </c>
      <c r="D3892" s="19" t="s">
        <v>36</v>
      </c>
      <c r="E3892" s="19" t="s">
        <v>36</v>
      </c>
      <c r="F3892" s="19" t="s">
        <v>36</v>
      </c>
      <c r="G3892" s="15" t="s">
        <v>36</v>
      </c>
      <c r="H3892" s="14" t="s">
        <v>36</v>
      </c>
      <c r="I3892" s="18">
        <v>11.87</v>
      </c>
      <c r="J3892" s="12" t="s">
        <v>327</v>
      </c>
      <c r="K3892" s="13" t="s">
        <v>36</v>
      </c>
      <c r="L3892" s="15" t="s">
        <v>36</v>
      </c>
      <c r="M3892" s="12" t="s">
        <v>36</v>
      </c>
      <c r="N3892" s="12" t="s">
        <v>36</v>
      </c>
      <c r="O3892" s="17" t="s">
        <v>36</v>
      </c>
      <c r="P3892" s="12" t="s">
        <v>36</v>
      </c>
      <c r="Q3892" s="12" t="s">
        <v>36</v>
      </c>
      <c r="R3892" s="12" t="s">
        <v>36</v>
      </c>
      <c r="S3892" s="12" t="s">
        <v>36</v>
      </c>
      <c r="T3892" s="12" t="s">
        <v>189</v>
      </c>
      <c r="U3892" s="12" t="s">
        <v>180</v>
      </c>
      <c r="V3892" s="12" t="s">
        <v>52</v>
      </c>
      <c r="W3892" s="12" t="s">
        <v>3923</v>
      </c>
      <c r="X3892" s="16" t="s">
        <v>19586</v>
      </c>
      <c r="Y3892" s="15" t="s">
        <v>108</v>
      </c>
      <c r="Z3892" s="14">
        <v>1.63</v>
      </c>
      <c r="AA3892" s="14">
        <v>13.76</v>
      </c>
      <c r="AB3892" s="12" t="s">
        <v>43</v>
      </c>
      <c r="AC3892" s="12" t="s">
        <v>3925</v>
      </c>
      <c r="AD3892" s="13">
        <v>43957</v>
      </c>
      <c r="AE3892" s="12" t="s">
        <v>184</v>
      </c>
      <c r="AF3892" s="12" t="s">
        <v>3926</v>
      </c>
      <c r="AG3892" s="12" t="s">
        <v>102</v>
      </c>
      <c r="AH3892" s="1">
        <f>HYPERLINK("https://my.pitchbook.com?c=138938-77T","View Company Online")</f>
      </c>
    </row>
    <row r="3893">
      <c r="A3893" s="3" t="s">
        <v>19587</v>
      </c>
      <c r="B3893" s="3" t="s">
        <v>1278</v>
      </c>
      <c r="C3893" s="5" t="s">
        <v>36</v>
      </c>
      <c r="D3893" s="5" t="s">
        <v>36</v>
      </c>
      <c r="E3893" s="5" t="s">
        <v>36</v>
      </c>
      <c r="F3893" s="5" t="s">
        <v>36</v>
      </c>
      <c r="G3893" s="6" t="s">
        <v>326</v>
      </c>
      <c r="H3893" s="4">
        <v>2221.34</v>
      </c>
      <c r="I3893" s="7">
        <v>25.67</v>
      </c>
      <c r="J3893" s="3" t="s">
        <v>521</v>
      </c>
      <c r="K3893" s="9" t="s">
        <v>36</v>
      </c>
      <c r="L3893" s="6" t="s">
        <v>122</v>
      </c>
      <c r="M3893" s="3" t="s">
        <v>36</v>
      </c>
      <c r="N3893" s="3" t="s">
        <v>122</v>
      </c>
      <c r="O3893" s="8" t="s">
        <v>36</v>
      </c>
      <c r="P3893" s="3" t="s">
        <v>36</v>
      </c>
      <c r="Q3893" s="3" t="s">
        <v>36</v>
      </c>
      <c r="R3893" s="3" t="s">
        <v>36</v>
      </c>
      <c r="S3893" s="3" t="s">
        <v>36</v>
      </c>
      <c r="T3893" s="3" t="s">
        <v>1280</v>
      </c>
      <c r="U3893" s="3" t="s">
        <v>38</v>
      </c>
      <c r="V3893" s="3" t="s">
        <v>39</v>
      </c>
      <c r="W3893" s="3" t="s">
        <v>1281</v>
      </c>
      <c r="X3893" s="10" t="s">
        <v>19588</v>
      </c>
      <c r="Y3893" s="6" t="s">
        <v>108</v>
      </c>
      <c r="Z3893" s="4">
        <v>16.33</v>
      </c>
      <c r="AA3893" s="4">
        <v>42.52</v>
      </c>
      <c r="AB3893" s="3" t="s">
        <v>43</v>
      </c>
      <c r="AC3893" s="3" t="s">
        <v>1283</v>
      </c>
      <c r="AD3893" s="9">
        <v>43956</v>
      </c>
      <c r="AE3893" s="3" t="s">
        <v>45</v>
      </c>
      <c r="AF3893" s="3" t="s">
        <v>615</v>
      </c>
      <c r="AG3893" s="3" t="s">
        <v>47</v>
      </c>
      <c r="AH3893" s="11">
        <f>HYPERLINK("https://my.pitchbook.com?c=136004-14T","View Company Online")</f>
      </c>
    </row>
    <row r="3894">
      <c r="A3894" s="12" t="s">
        <v>19589</v>
      </c>
      <c r="B3894" s="12" t="s">
        <v>19590</v>
      </c>
      <c r="C3894" s="19">
        <v>11</v>
      </c>
      <c r="D3894" s="19">
        <v>4</v>
      </c>
      <c r="E3894" s="19">
        <v>8</v>
      </c>
      <c r="F3894" s="19">
        <v>17</v>
      </c>
      <c r="G3894" s="15" t="s">
        <v>36</v>
      </c>
      <c r="H3894" s="14">
        <v>1.87</v>
      </c>
      <c r="I3894" s="18">
        <v>42.67</v>
      </c>
      <c r="J3894" s="12" t="s">
        <v>521</v>
      </c>
      <c r="K3894" s="13" t="s">
        <v>36</v>
      </c>
      <c r="L3894" s="15" t="s">
        <v>36</v>
      </c>
      <c r="M3894" s="12" t="s">
        <v>36</v>
      </c>
      <c r="N3894" s="12" t="s">
        <v>36</v>
      </c>
      <c r="O3894" s="17" t="s">
        <v>36</v>
      </c>
      <c r="P3894" s="12" t="s">
        <v>36</v>
      </c>
      <c r="Q3894" s="12" t="s">
        <v>36</v>
      </c>
      <c r="R3894" s="12" t="s">
        <v>36</v>
      </c>
      <c r="S3894" s="12" t="s">
        <v>36</v>
      </c>
      <c r="T3894" s="12" t="s">
        <v>1863</v>
      </c>
      <c r="U3894" s="12" t="s">
        <v>96</v>
      </c>
      <c r="V3894" s="12" t="s">
        <v>52</v>
      </c>
      <c r="W3894" s="12" t="s">
        <v>19591</v>
      </c>
      <c r="X3894" s="16" t="s">
        <v>19592</v>
      </c>
      <c r="Y3894" s="15" t="s">
        <v>108</v>
      </c>
      <c r="Z3894" s="14">
        <v>7.49</v>
      </c>
      <c r="AA3894" s="14">
        <v>17.55</v>
      </c>
      <c r="AB3894" s="12" t="s">
        <v>43</v>
      </c>
      <c r="AC3894" s="12" t="s">
        <v>19593</v>
      </c>
      <c r="AD3894" s="13">
        <v>43956</v>
      </c>
      <c r="AE3894" s="12" t="s">
        <v>1414</v>
      </c>
      <c r="AF3894" s="12" t="s">
        <v>3822</v>
      </c>
      <c r="AG3894" s="12" t="s">
        <v>81</v>
      </c>
      <c r="AH3894" s="1">
        <f>HYPERLINK("https://my.pitchbook.com?c=128038-51T","View Company Online")</f>
      </c>
    </row>
    <row r="3895">
      <c r="A3895" s="3" t="s">
        <v>19594</v>
      </c>
      <c r="B3895" s="3" t="s">
        <v>12610</v>
      </c>
      <c r="C3895" s="5" t="s">
        <v>36</v>
      </c>
      <c r="D3895" s="5" t="s">
        <v>36</v>
      </c>
      <c r="E3895" s="5" t="s">
        <v>36</v>
      </c>
      <c r="F3895" s="5" t="s">
        <v>36</v>
      </c>
      <c r="G3895" s="6" t="s">
        <v>36</v>
      </c>
      <c r="H3895" s="4">
        <v>104.16</v>
      </c>
      <c r="I3895" s="7">
        <v>35.91</v>
      </c>
      <c r="J3895" s="3" t="s">
        <v>521</v>
      </c>
      <c r="K3895" s="9" t="s">
        <v>36</v>
      </c>
      <c r="L3895" s="6" t="s">
        <v>36</v>
      </c>
      <c r="M3895" s="3" t="s">
        <v>36</v>
      </c>
      <c r="N3895" s="3" t="s">
        <v>36</v>
      </c>
      <c r="O3895" s="8" t="s">
        <v>36</v>
      </c>
      <c r="P3895" s="3" t="s">
        <v>36</v>
      </c>
      <c r="Q3895" s="3" t="s">
        <v>36</v>
      </c>
      <c r="R3895" s="3" t="s">
        <v>36</v>
      </c>
      <c r="S3895" s="3" t="s">
        <v>36</v>
      </c>
      <c r="T3895" s="3" t="s">
        <v>4692</v>
      </c>
      <c r="U3895" s="3" t="s">
        <v>85</v>
      </c>
      <c r="V3895" s="3" t="s">
        <v>64</v>
      </c>
      <c r="W3895" s="3" t="s">
        <v>12611</v>
      </c>
      <c r="X3895" s="10" t="s">
        <v>19595</v>
      </c>
      <c r="Y3895" s="6" t="s">
        <v>108</v>
      </c>
      <c r="Z3895" s="4">
        <v>2.18</v>
      </c>
      <c r="AA3895" s="4">
        <v>6.06</v>
      </c>
      <c r="AB3895" s="3" t="s">
        <v>56</v>
      </c>
      <c r="AC3895" s="3" t="s">
        <v>12613</v>
      </c>
      <c r="AD3895" s="9">
        <v>43956</v>
      </c>
      <c r="AE3895" s="3" t="s">
        <v>89</v>
      </c>
      <c r="AF3895" s="3" t="s">
        <v>12614</v>
      </c>
      <c r="AG3895" s="3" t="s">
        <v>186</v>
      </c>
      <c r="AH3895" s="11">
        <f>HYPERLINK("https://my.pitchbook.com?c=138103-39T","View Company Online")</f>
      </c>
    </row>
    <row r="3896">
      <c r="A3896" s="12" t="s">
        <v>19596</v>
      </c>
      <c r="B3896" s="12" t="s">
        <v>8393</v>
      </c>
      <c r="C3896" s="19" t="s">
        <v>36</v>
      </c>
      <c r="D3896" s="19" t="s">
        <v>36</v>
      </c>
      <c r="E3896" s="19" t="s">
        <v>36</v>
      </c>
      <c r="F3896" s="19" t="s">
        <v>36</v>
      </c>
      <c r="G3896" s="15" t="s">
        <v>36</v>
      </c>
      <c r="H3896" s="14" t="s">
        <v>36</v>
      </c>
      <c r="I3896" s="18" t="s">
        <v>36</v>
      </c>
      <c r="J3896" s="12" t="s">
        <v>36</v>
      </c>
      <c r="K3896" s="13" t="s">
        <v>36</v>
      </c>
      <c r="L3896" s="15" t="s">
        <v>122</v>
      </c>
      <c r="M3896" s="12" t="s">
        <v>36</v>
      </c>
      <c r="N3896" s="12" t="s">
        <v>122</v>
      </c>
      <c r="O3896" s="17" t="s">
        <v>36</v>
      </c>
      <c r="P3896" s="12" t="s">
        <v>36</v>
      </c>
      <c r="Q3896" s="12" t="s">
        <v>36</v>
      </c>
      <c r="R3896" s="12" t="s">
        <v>36</v>
      </c>
      <c r="S3896" s="12" t="s">
        <v>36</v>
      </c>
      <c r="T3896" s="12" t="s">
        <v>8394</v>
      </c>
      <c r="U3896" s="12" t="s">
        <v>85</v>
      </c>
      <c r="V3896" s="12" t="s">
        <v>64</v>
      </c>
      <c r="W3896" s="12" t="s">
        <v>8395</v>
      </c>
      <c r="X3896" s="16" t="s">
        <v>19597</v>
      </c>
      <c r="Y3896" s="15" t="s">
        <v>42</v>
      </c>
      <c r="Z3896" s="14">
        <v>16.33</v>
      </c>
      <c r="AA3896" s="14" t="s">
        <v>36</v>
      </c>
      <c r="AB3896" s="12" t="s">
        <v>43</v>
      </c>
      <c r="AC3896" s="12" t="s">
        <v>8397</v>
      </c>
      <c r="AD3896" s="13">
        <v>43956</v>
      </c>
      <c r="AE3896" s="12" t="s">
        <v>89</v>
      </c>
      <c r="AF3896" s="12" t="s">
        <v>8398</v>
      </c>
      <c r="AG3896" s="12" t="s">
        <v>81</v>
      </c>
      <c r="AH3896" s="1">
        <f>HYPERLINK("https://my.pitchbook.com?c=136262-26T","View Company Online")</f>
      </c>
    </row>
    <row r="3897">
      <c r="A3897" s="3" t="s">
        <v>19598</v>
      </c>
      <c r="B3897" s="3" t="s">
        <v>2113</v>
      </c>
      <c r="C3897" s="5" t="s">
        <v>36</v>
      </c>
      <c r="D3897" s="5">
        <v>2</v>
      </c>
      <c r="E3897" s="5">
        <v>1</v>
      </c>
      <c r="F3897" s="5">
        <v>2</v>
      </c>
      <c r="G3897" s="6" t="s">
        <v>326</v>
      </c>
      <c r="H3897" s="4">
        <v>203.75</v>
      </c>
      <c r="I3897" s="7">
        <v>8.25</v>
      </c>
      <c r="J3897" s="3" t="s">
        <v>521</v>
      </c>
      <c r="K3897" s="9" t="s">
        <v>36</v>
      </c>
      <c r="L3897" s="6" t="s">
        <v>1279</v>
      </c>
      <c r="M3897" s="3" t="s">
        <v>36</v>
      </c>
      <c r="N3897" s="3" t="s">
        <v>1279</v>
      </c>
      <c r="O3897" s="8" t="s">
        <v>36</v>
      </c>
      <c r="P3897" s="3" t="s">
        <v>36</v>
      </c>
      <c r="Q3897" s="3" t="s">
        <v>36</v>
      </c>
      <c r="R3897" s="3" t="s">
        <v>36</v>
      </c>
      <c r="S3897" s="3" t="s">
        <v>36</v>
      </c>
      <c r="T3897" s="3" t="s">
        <v>2114</v>
      </c>
      <c r="U3897" s="3" t="s">
        <v>289</v>
      </c>
      <c r="V3897" s="3" t="s">
        <v>64</v>
      </c>
      <c r="W3897" s="3" t="s">
        <v>2115</v>
      </c>
      <c r="X3897" s="10" t="s">
        <v>19599</v>
      </c>
      <c r="Y3897" s="6" t="s">
        <v>192</v>
      </c>
      <c r="Z3897" s="4">
        <v>105.02</v>
      </c>
      <c r="AA3897" s="4">
        <v>791.32</v>
      </c>
      <c r="AB3897" s="3" t="s">
        <v>56</v>
      </c>
      <c r="AC3897" s="3" t="s">
        <v>2117</v>
      </c>
      <c r="AD3897" s="9">
        <v>43955</v>
      </c>
      <c r="AE3897" s="3" t="s">
        <v>292</v>
      </c>
      <c r="AF3897" s="3" t="s">
        <v>2118</v>
      </c>
      <c r="AG3897" s="3" t="s">
        <v>81</v>
      </c>
      <c r="AH3897" s="11">
        <f>HYPERLINK("https://my.pitchbook.com?c=135987-67T","View Company Online")</f>
      </c>
    </row>
    <row r="3898">
      <c r="A3898" s="12" t="s">
        <v>19600</v>
      </c>
      <c r="B3898" s="12" t="s">
        <v>19601</v>
      </c>
      <c r="C3898" s="19" t="s">
        <v>36</v>
      </c>
      <c r="D3898" s="19">
        <v>5</v>
      </c>
      <c r="E3898" s="19">
        <v>1</v>
      </c>
      <c r="F3898" s="19">
        <v>5</v>
      </c>
      <c r="G3898" s="15" t="s">
        <v>36</v>
      </c>
      <c r="H3898" s="14">
        <v>13.09</v>
      </c>
      <c r="I3898" s="18">
        <v>12.13</v>
      </c>
      <c r="J3898" s="12" t="s">
        <v>521</v>
      </c>
      <c r="K3898" s="13" t="s">
        <v>36</v>
      </c>
      <c r="L3898" s="15" t="s">
        <v>36</v>
      </c>
      <c r="M3898" s="12" t="s">
        <v>36</v>
      </c>
      <c r="N3898" s="12" t="s">
        <v>36</v>
      </c>
      <c r="O3898" s="17" t="s">
        <v>36</v>
      </c>
      <c r="P3898" s="12" t="s">
        <v>36</v>
      </c>
      <c r="Q3898" s="12" t="s">
        <v>36</v>
      </c>
      <c r="R3898" s="12" t="s">
        <v>36</v>
      </c>
      <c r="S3898" s="12" t="s">
        <v>36</v>
      </c>
      <c r="T3898" s="12" t="s">
        <v>19602</v>
      </c>
      <c r="U3898" s="12" t="s">
        <v>619</v>
      </c>
      <c r="V3898" s="12" t="s">
        <v>378</v>
      </c>
      <c r="W3898" s="12" t="s">
        <v>19603</v>
      </c>
      <c r="X3898" s="16" t="s">
        <v>4852</v>
      </c>
      <c r="Y3898" s="15" t="s">
        <v>42</v>
      </c>
      <c r="Z3898" s="14">
        <v>0.38</v>
      </c>
      <c r="AA3898" s="14">
        <v>3.12</v>
      </c>
      <c r="AB3898" s="12" t="s">
        <v>43</v>
      </c>
      <c r="AC3898" s="12" t="s">
        <v>19604</v>
      </c>
      <c r="AD3898" s="13">
        <v>43955</v>
      </c>
      <c r="AE3898" s="12" t="s">
        <v>623</v>
      </c>
      <c r="AF3898" s="12" t="s">
        <v>36</v>
      </c>
      <c r="AG3898" s="12" t="s">
        <v>1353</v>
      </c>
      <c r="AH3898" s="1">
        <f>HYPERLINK("https://my.pitchbook.com?c=189408-16T","View Company Online")</f>
      </c>
    </row>
    <row r="3899">
      <c r="A3899" s="3" t="s">
        <v>19605</v>
      </c>
      <c r="B3899" s="3" t="s">
        <v>19606</v>
      </c>
      <c r="C3899" s="5" t="s">
        <v>36</v>
      </c>
      <c r="D3899" s="5" t="s">
        <v>36</v>
      </c>
      <c r="E3899" s="5" t="s">
        <v>36</v>
      </c>
      <c r="F3899" s="5" t="s">
        <v>36</v>
      </c>
      <c r="G3899" s="6" t="s">
        <v>326</v>
      </c>
      <c r="H3899" s="4">
        <v>286.87</v>
      </c>
      <c r="I3899" s="7">
        <v>30.36</v>
      </c>
      <c r="J3899" s="3" t="s">
        <v>521</v>
      </c>
      <c r="K3899" s="9" t="s">
        <v>36</v>
      </c>
      <c r="L3899" s="6" t="s">
        <v>36</v>
      </c>
      <c r="M3899" s="3" t="s">
        <v>36</v>
      </c>
      <c r="N3899" s="3" t="s">
        <v>36</v>
      </c>
      <c r="O3899" s="8" t="s">
        <v>36</v>
      </c>
      <c r="P3899" s="3" t="s">
        <v>36</v>
      </c>
      <c r="Q3899" s="3" t="s">
        <v>36</v>
      </c>
      <c r="R3899" s="3" t="s">
        <v>36</v>
      </c>
      <c r="S3899" s="3" t="s">
        <v>36</v>
      </c>
      <c r="T3899" s="3" t="s">
        <v>1596</v>
      </c>
      <c r="U3899" s="3" t="s">
        <v>728</v>
      </c>
      <c r="V3899" s="3" t="s">
        <v>64</v>
      </c>
      <c r="W3899" s="3" t="s">
        <v>19607</v>
      </c>
      <c r="X3899" s="10" t="s">
        <v>19608</v>
      </c>
      <c r="Y3899" s="6" t="s">
        <v>108</v>
      </c>
      <c r="Z3899" s="4">
        <v>7.07</v>
      </c>
      <c r="AA3899" s="4">
        <v>18.37</v>
      </c>
      <c r="AB3899" s="3" t="s">
        <v>56</v>
      </c>
      <c r="AC3899" s="3" t="s">
        <v>19609</v>
      </c>
      <c r="AD3899" s="9">
        <v>43955</v>
      </c>
      <c r="AE3899" s="3" t="s">
        <v>1600</v>
      </c>
      <c r="AF3899" s="3" t="s">
        <v>36</v>
      </c>
      <c r="AG3899" s="3" t="s">
        <v>81</v>
      </c>
      <c r="AH3899" s="11">
        <f>HYPERLINK("https://my.pitchbook.com?c=136912-06T","View Company Online")</f>
      </c>
    </row>
    <row r="3900">
      <c r="A3900" s="12" t="s">
        <v>19610</v>
      </c>
      <c r="B3900" s="12" t="s">
        <v>15060</v>
      </c>
      <c r="C3900" s="19">
        <v>2</v>
      </c>
      <c r="D3900" s="19">
        <v>24</v>
      </c>
      <c r="E3900" s="19">
        <v>7</v>
      </c>
      <c r="F3900" s="19">
        <v>32</v>
      </c>
      <c r="G3900" s="15" t="s">
        <v>683</v>
      </c>
      <c r="H3900" s="14">
        <v>191.1</v>
      </c>
      <c r="I3900" s="18">
        <v>8.52</v>
      </c>
      <c r="J3900" s="12" t="s">
        <v>521</v>
      </c>
      <c r="K3900" s="13">
        <v>43951</v>
      </c>
      <c r="L3900" s="15" t="s">
        <v>36</v>
      </c>
      <c r="M3900" s="12" t="s">
        <v>36</v>
      </c>
      <c r="N3900" s="12" t="s">
        <v>36</v>
      </c>
      <c r="O3900" s="17" t="s">
        <v>36</v>
      </c>
      <c r="P3900" s="12" t="s">
        <v>36</v>
      </c>
      <c r="Q3900" s="12" t="s">
        <v>36</v>
      </c>
      <c r="R3900" s="12" t="s">
        <v>36</v>
      </c>
      <c r="S3900" s="12" t="s">
        <v>36</v>
      </c>
      <c r="T3900" s="12" t="s">
        <v>139</v>
      </c>
      <c r="U3900" s="12" t="s">
        <v>96</v>
      </c>
      <c r="V3900" s="12" t="s">
        <v>52</v>
      </c>
      <c r="W3900" s="12" t="s">
        <v>15061</v>
      </c>
      <c r="X3900" s="16" t="s">
        <v>19611</v>
      </c>
      <c r="Y3900" s="15" t="s">
        <v>166</v>
      </c>
      <c r="Z3900" s="14">
        <v>1.96</v>
      </c>
      <c r="AA3900" s="14">
        <v>6.39</v>
      </c>
      <c r="AB3900" s="12" t="s">
        <v>56</v>
      </c>
      <c r="AC3900" s="12" t="s">
        <v>15062</v>
      </c>
      <c r="AD3900" s="13">
        <v>43955</v>
      </c>
      <c r="AE3900" s="12" t="s">
        <v>143</v>
      </c>
      <c r="AF3900" s="12" t="s">
        <v>159</v>
      </c>
      <c r="AG3900" s="12" t="s">
        <v>1276</v>
      </c>
      <c r="AH3900" s="1">
        <f>HYPERLINK("https://my.pitchbook.com?c=135966-97T","View Company Online")</f>
      </c>
    </row>
    <row r="3901">
      <c r="A3901" s="3" t="s">
        <v>19612</v>
      </c>
      <c r="B3901" s="3" t="s">
        <v>19613</v>
      </c>
      <c r="C3901" s="5" t="s">
        <v>36</v>
      </c>
      <c r="D3901" s="5" t="s">
        <v>36</v>
      </c>
      <c r="E3901" s="5" t="s">
        <v>36</v>
      </c>
      <c r="F3901" s="5" t="s">
        <v>36</v>
      </c>
      <c r="G3901" s="6" t="s">
        <v>326</v>
      </c>
      <c r="H3901" s="4" t="s">
        <v>36</v>
      </c>
      <c r="I3901" s="7">
        <v>26.73</v>
      </c>
      <c r="J3901" s="3" t="s">
        <v>521</v>
      </c>
      <c r="K3901" s="9" t="s">
        <v>36</v>
      </c>
      <c r="L3901" s="6" t="s">
        <v>36</v>
      </c>
      <c r="M3901" s="3" t="s">
        <v>36</v>
      </c>
      <c r="N3901" s="3" t="s">
        <v>36</v>
      </c>
      <c r="O3901" s="8" t="s">
        <v>36</v>
      </c>
      <c r="P3901" s="3" t="s">
        <v>36</v>
      </c>
      <c r="Q3901" s="3" t="s">
        <v>36</v>
      </c>
      <c r="R3901" s="3" t="s">
        <v>36</v>
      </c>
      <c r="S3901" s="3" t="s">
        <v>36</v>
      </c>
      <c r="T3901" s="3" t="s">
        <v>6462</v>
      </c>
      <c r="U3901" s="3" t="s">
        <v>1357</v>
      </c>
      <c r="V3901" s="3" t="s">
        <v>52</v>
      </c>
      <c r="W3901" s="3" t="s">
        <v>19614</v>
      </c>
      <c r="X3901" s="10" t="s">
        <v>19615</v>
      </c>
      <c r="Y3901" s="6" t="s">
        <v>55</v>
      </c>
      <c r="Z3901" s="4">
        <v>2.18</v>
      </c>
      <c r="AA3901" s="4">
        <v>9.37</v>
      </c>
      <c r="AB3901" s="3" t="s">
        <v>56</v>
      </c>
      <c r="AC3901" s="3" t="s">
        <v>19616</v>
      </c>
      <c r="AD3901" s="9">
        <v>43955</v>
      </c>
      <c r="AE3901" s="3" t="s">
        <v>2808</v>
      </c>
      <c r="AF3901" s="3" t="s">
        <v>19617</v>
      </c>
      <c r="AG3901" s="3" t="s">
        <v>81</v>
      </c>
      <c r="AH3901" s="11">
        <f>HYPERLINK("https://my.pitchbook.com?c=156351-61T","View Company Online")</f>
      </c>
    </row>
    <row r="3902">
      <c r="A3902" s="12" t="s">
        <v>19618</v>
      </c>
      <c r="B3902" s="12" t="s">
        <v>19619</v>
      </c>
      <c r="C3902" s="19" t="s">
        <v>36</v>
      </c>
      <c r="D3902" s="19" t="s">
        <v>36</v>
      </c>
      <c r="E3902" s="19" t="s">
        <v>36</v>
      </c>
      <c r="F3902" s="19" t="s">
        <v>36</v>
      </c>
      <c r="G3902" s="15" t="s">
        <v>326</v>
      </c>
      <c r="H3902" s="14">
        <v>132.92</v>
      </c>
      <c r="I3902" s="18">
        <v>16.69</v>
      </c>
      <c r="J3902" s="12" t="s">
        <v>521</v>
      </c>
      <c r="K3902" s="13" t="s">
        <v>36</v>
      </c>
      <c r="L3902" s="15" t="s">
        <v>36</v>
      </c>
      <c r="M3902" s="12" t="s">
        <v>36</v>
      </c>
      <c r="N3902" s="12" t="s">
        <v>36</v>
      </c>
      <c r="O3902" s="17" t="s">
        <v>36</v>
      </c>
      <c r="P3902" s="12" t="s">
        <v>36</v>
      </c>
      <c r="Q3902" s="12" t="s">
        <v>36</v>
      </c>
      <c r="R3902" s="12" t="s">
        <v>36</v>
      </c>
      <c r="S3902" s="12" t="s">
        <v>36</v>
      </c>
      <c r="T3902" s="12" t="s">
        <v>19620</v>
      </c>
      <c r="U3902" s="12" t="s">
        <v>279</v>
      </c>
      <c r="V3902" s="12" t="s">
        <v>64</v>
      </c>
      <c r="W3902" s="12" t="s">
        <v>19621</v>
      </c>
      <c r="X3902" s="16" t="s">
        <v>19622</v>
      </c>
      <c r="Y3902" s="15" t="s">
        <v>55</v>
      </c>
      <c r="Z3902" s="14">
        <v>3.27</v>
      </c>
      <c r="AA3902" s="14">
        <v>19.57</v>
      </c>
      <c r="AB3902" s="12" t="s">
        <v>56</v>
      </c>
      <c r="AC3902" s="12" t="s">
        <v>19623</v>
      </c>
      <c r="AD3902" s="13">
        <v>43955</v>
      </c>
      <c r="AE3902" s="12" t="s">
        <v>740</v>
      </c>
      <c r="AF3902" s="12" t="s">
        <v>118</v>
      </c>
      <c r="AG3902" s="12" t="s">
        <v>81</v>
      </c>
      <c r="AH3902" s="1">
        <f>HYPERLINK("https://my.pitchbook.com?c=188917-30T","View Company Online")</f>
      </c>
    </row>
    <row r="3903">
      <c r="A3903" s="3" t="s">
        <v>19624</v>
      </c>
      <c r="B3903" s="3" t="s">
        <v>19625</v>
      </c>
      <c r="C3903" s="5" t="s">
        <v>36</v>
      </c>
      <c r="D3903" s="5" t="s">
        <v>36</v>
      </c>
      <c r="E3903" s="5" t="s">
        <v>36</v>
      </c>
      <c r="F3903" s="5" t="s">
        <v>36</v>
      </c>
      <c r="G3903" s="6" t="s">
        <v>36</v>
      </c>
      <c r="H3903" s="4" t="s">
        <v>36</v>
      </c>
      <c r="I3903" s="7" t="s">
        <v>36</v>
      </c>
      <c r="J3903" s="3" t="s">
        <v>36</v>
      </c>
      <c r="K3903" s="9" t="s">
        <v>36</v>
      </c>
      <c r="L3903" s="6" t="s">
        <v>36</v>
      </c>
      <c r="M3903" s="3" t="s">
        <v>36</v>
      </c>
      <c r="N3903" s="3" t="s">
        <v>36</v>
      </c>
      <c r="O3903" s="8" t="s">
        <v>36</v>
      </c>
      <c r="P3903" s="3" t="s">
        <v>36</v>
      </c>
      <c r="Q3903" s="3" t="s">
        <v>36</v>
      </c>
      <c r="R3903" s="3" t="s">
        <v>36</v>
      </c>
      <c r="S3903" s="3" t="s">
        <v>36</v>
      </c>
      <c r="T3903" s="3" t="s">
        <v>342</v>
      </c>
      <c r="U3903" s="3" t="s">
        <v>38</v>
      </c>
      <c r="V3903" s="3" t="s">
        <v>39</v>
      </c>
      <c r="W3903" s="3" t="s">
        <v>19626</v>
      </c>
      <c r="X3903" s="10" t="s">
        <v>19627</v>
      </c>
      <c r="Y3903" s="6" t="s">
        <v>42</v>
      </c>
      <c r="Z3903" s="4" t="s">
        <v>36</v>
      </c>
      <c r="AA3903" s="4" t="s">
        <v>36</v>
      </c>
      <c r="AB3903" s="3" t="s">
        <v>43</v>
      </c>
      <c r="AC3903" s="3" t="s">
        <v>19628</v>
      </c>
      <c r="AD3903" s="9">
        <v>43952</v>
      </c>
      <c r="AE3903" s="3" t="s">
        <v>110</v>
      </c>
      <c r="AF3903" s="3" t="s">
        <v>1842</v>
      </c>
      <c r="AG3903" s="3" t="s">
        <v>81</v>
      </c>
      <c r="AH3903" s="11">
        <f>HYPERLINK("https://my.pitchbook.com?c=153788-95T","View Company Online")</f>
      </c>
    </row>
    <row r="3904">
      <c r="A3904" s="12" t="s">
        <v>19629</v>
      </c>
      <c r="B3904" s="12" t="s">
        <v>19630</v>
      </c>
      <c r="C3904" s="19" t="s">
        <v>36</v>
      </c>
      <c r="D3904" s="19" t="s">
        <v>36</v>
      </c>
      <c r="E3904" s="19" t="s">
        <v>36</v>
      </c>
      <c r="F3904" s="19" t="s">
        <v>36</v>
      </c>
      <c r="G3904" s="15" t="s">
        <v>36</v>
      </c>
      <c r="H3904" s="14" t="s">
        <v>36</v>
      </c>
      <c r="I3904" s="18" t="s">
        <v>36</v>
      </c>
      <c r="J3904" s="12" t="s">
        <v>36</v>
      </c>
      <c r="K3904" s="13" t="s">
        <v>36</v>
      </c>
      <c r="L3904" s="15" t="s">
        <v>36</v>
      </c>
      <c r="M3904" s="12" t="s">
        <v>36</v>
      </c>
      <c r="N3904" s="12" t="s">
        <v>36</v>
      </c>
      <c r="O3904" s="17" t="s">
        <v>36</v>
      </c>
      <c r="P3904" s="12" t="s">
        <v>36</v>
      </c>
      <c r="Q3904" s="12" t="s">
        <v>36</v>
      </c>
      <c r="R3904" s="12" t="s">
        <v>36</v>
      </c>
      <c r="S3904" s="12" t="s">
        <v>36</v>
      </c>
      <c r="T3904" s="12" t="s">
        <v>19631</v>
      </c>
      <c r="U3904" s="12" t="s">
        <v>74</v>
      </c>
      <c r="V3904" s="12" t="s">
        <v>75</v>
      </c>
      <c r="W3904" s="12" t="s">
        <v>19632</v>
      </c>
      <c r="X3904" s="16" t="s">
        <v>5661</v>
      </c>
      <c r="Y3904" s="15" t="s">
        <v>42</v>
      </c>
      <c r="Z3904" s="14" t="s">
        <v>36</v>
      </c>
      <c r="AA3904" s="14" t="s">
        <v>36</v>
      </c>
      <c r="AB3904" s="12" t="s">
        <v>43</v>
      </c>
      <c r="AC3904" s="12" t="s">
        <v>19633</v>
      </c>
      <c r="AD3904" s="13">
        <v>43952</v>
      </c>
      <c r="AE3904" s="12" t="s">
        <v>975</v>
      </c>
      <c r="AF3904" s="12" t="s">
        <v>571</v>
      </c>
      <c r="AG3904" s="12" t="s">
        <v>1823</v>
      </c>
      <c r="AH3904" s="1">
        <f>HYPERLINK("https://my.pitchbook.com?c=136793-53T","View Company Online")</f>
      </c>
    </row>
    <row r="3905">
      <c r="A3905" s="3" t="s">
        <v>19634</v>
      </c>
      <c r="B3905" s="3" t="s">
        <v>19635</v>
      </c>
      <c r="C3905" s="5" t="s">
        <v>36</v>
      </c>
      <c r="D3905" s="5" t="s">
        <v>36</v>
      </c>
      <c r="E3905" s="5" t="s">
        <v>36</v>
      </c>
      <c r="F3905" s="5" t="s">
        <v>36</v>
      </c>
      <c r="G3905" s="6" t="s">
        <v>36</v>
      </c>
      <c r="H3905" s="4" t="s">
        <v>36</v>
      </c>
      <c r="I3905" s="7" t="s">
        <v>36</v>
      </c>
      <c r="J3905" s="3" t="s">
        <v>36</v>
      </c>
      <c r="K3905" s="9" t="s">
        <v>36</v>
      </c>
      <c r="L3905" s="6" t="s">
        <v>36</v>
      </c>
      <c r="M3905" s="3" t="s">
        <v>36</v>
      </c>
      <c r="N3905" s="3" t="s">
        <v>36</v>
      </c>
      <c r="O3905" s="8" t="s">
        <v>36</v>
      </c>
      <c r="P3905" s="3" t="s">
        <v>36</v>
      </c>
      <c r="Q3905" s="3" t="s">
        <v>36</v>
      </c>
      <c r="R3905" s="3" t="s">
        <v>36</v>
      </c>
      <c r="S3905" s="3" t="s">
        <v>36</v>
      </c>
      <c r="T3905" s="3" t="s">
        <v>3754</v>
      </c>
      <c r="U3905" s="3" t="s">
        <v>1357</v>
      </c>
      <c r="V3905" s="3" t="s">
        <v>52</v>
      </c>
      <c r="W3905" s="3" t="s">
        <v>19636</v>
      </c>
      <c r="X3905" s="10" t="s">
        <v>4047</v>
      </c>
      <c r="Y3905" s="6" t="s">
        <v>42</v>
      </c>
      <c r="Z3905" s="4" t="s">
        <v>36</v>
      </c>
      <c r="AA3905" s="4" t="s">
        <v>36</v>
      </c>
      <c r="AB3905" s="3" t="s">
        <v>43</v>
      </c>
      <c r="AC3905" s="3" t="s">
        <v>19637</v>
      </c>
      <c r="AD3905" s="9">
        <v>43952</v>
      </c>
      <c r="AE3905" s="3" t="s">
        <v>3204</v>
      </c>
      <c r="AF3905" s="3" t="s">
        <v>36</v>
      </c>
      <c r="AG3905" s="3" t="s">
        <v>899</v>
      </c>
      <c r="AH3905" s="11">
        <f>HYPERLINK("https://my.pitchbook.com?c=226301-50T","View Company Online")</f>
      </c>
    </row>
    <row r="3906">
      <c r="A3906" s="12" t="s">
        <v>19638</v>
      </c>
      <c r="B3906" s="12" t="s">
        <v>19639</v>
      </c>
      <c r="C3906" s="19" t="s">
        <v>36</v>
      </c>
      <c r="D3906" s="19" t="s">
        <v>36</v>
      </c>
      <c r="E3906" s="19">
        <v>1</v>
      </c>
      <c r="F3906" s="19">
        <v>1</v>
      </c>
      <c r="G3906" s="15" t="s">
        <v>36</v>
      </c>
      <c r="H3906" s="14" t="s">
        <v>36</v>
      </c>
      <c r="I3906" s="18" t="s">
        <v>36</v>
      </c>
      <c r="J3906" s="12" t="s">
        <v>36</v>
      </c>
      <c r="K3906" s="13" t="s">
        <v>36</v>
      </c>
      <c r="L3906" s="15" t="s">
        <v>36</v>
      </c>
      <c r="M3906" s="12" t="s">
        <v>36</v>
      </c>
      <c r="N3906" s="12" t="s">
        <v>36</v>
      </c>
      <c r="O3906" s="17" t="s">
        <v>36</v>
      </c>
      <c r="P3906" s="12" t="s">
        <v>36</v>
      </c>
      <c r="Q3906" s="12" t="s">
        <v>36</v>
      </c>
      <c r="R3906" s="12" t="s">
        <v>36</v>
      </c>
      <c r="S3906" s="12" t="s">
        <v>36</v>
      </c>
      <c r="T3906" s="12" t="s">
        <v>19640</v>
      </c>
      <c r="U3906" s="12" t="s">
        <v>318</v>
      </c>
      <c r="V3906" s="12" t="s">
        <v>39</v>
      </c>
      <c r="W3906" s="12" t="s">
        <v>19641</v>
      </c>
      <c r="X3906" s="16" t="s">
        <v>19642</v>
      </c>
      <c r="Y3906" s="15" t="s">
        <v>108</v>
      </c>
      <c r="Z3906" s="14" t="s">
        <v>36</v>
      </c>
      <c r="AA3906" s="14" t="s">
        <v>36</v>
      </c>
      <c r="AB3906" s="12" t="s">
        <v>43</v>
      </c>
      <c r="AC3906" s="12" t="s">
        <v>19643</v>
      </c>
      <c r="AD3906" s="13">
        <v>43952</v>
      </c>
      <c r="AE3906" s="12" t="s">
        <v>763</v>
      </c>
      <c r="AF3906" s="12" t="s">
        <v>19644</v>
      </c>
      <c r="AG3906" s="12" t="s">
        <v>81</v>
      </c>
      <c r="AH3906" s="1">
        <f>HYPERLINK("https://my.pitchbook.com?c=136184-68T","View Company Online")</f>
      </c>
    </row>
    <row r="3907">
      <c r="A3907" s="3" t="s">
        <v>19645</v>
      </c>
      <c r="B3907" s="3" t="s">
        <v>19646</v>
      </c>
      <c r="C3907" s="5" t="s">
        <v>36</v>
      </c>
      <c r="D3907" s="5" t="s">
        <v>36</v>
      </c>
      <c r="E3907" s="5" t="s">
        <v>36</v>
      </c>
      <c r="F3907" s="5" t="s">
        <v>36</v>
      </c>
      <c r="G3907" s="6" t="s">
        <v>326</v>
      </c>
      <c r="H3907" s="4">
        <v>1618.09</v>
      </c>
      <c r="I3907" s="7">
        <v>6.54</v>
      </c>
      <c r="J3907" s="3" t="s">
        <v>521</v>
      </c>
      <c r="K3907" s="9" t="s">
        <v>36</v>
      </c>
      <c r="L3907" s="6" t="s">
        <v>36</v>
      </c>
      <c r="M3907" s="3" t="s">
        <v>36</v>
      </c>
      <c r="N3907" s="3" t="s">
        <v>36</v>
      </c>
      <c r="O3907" s="8" t="s">
        <v>36</v>
      </c>
      <c r="P3907" s="3" t="s">
        <v>36</v>
      </c>
      <c r="Q3907" s="3" t="s">
        <v>36</v>
      </c>
      <c r="R3907" s="3" t="s">
        <v>36</v>
      </c>
      <c r="S3907" s="3" t="s">
        <v>36</v>
      </c>
      <c r="T3907" s="3" t="s">
        <v>1973</v>
      </c>
      <c r="U3907" s="3" t="s">
        <v>728</v>
      </c>
      <c r="V3907" s="3" t="s">
        <v>64</v>
      </c>
      <c r="W3907" s="3" t="s">
        <v>19647</v>
      </c>
      <c r="X3907" s="10" t="s">
        <v>19648</v>
      </c>
      <c r="Y3907" s="6" t="s">
        <v>55</v>
      </c>
      <c r="Z3907" s="4">
        <v>0.33</v>
      </c>
      <c r="AA3907" s="4">
        <v>4.97</v>
      </c>
      <c r="AB3907" s="3" t="s">
        <v>56</v>
      </c>
      <c r="AC3907" s="3" t="s">
        <v>19649</v>
      </c>
      <c r="AD3907" s="9">
        <v>43951</v>
      </c>
      <c r="AE3907" s="3" t="s">
        <v>1600</v>
      </c>
      <c r="AF3907" s="3" t="s">
        <v>2118</v>
      </c>
      <c r="AG3907" s="3" t="s">
        <v>81</v>
      </c>
      <c r="AH3907" s="11">
        <f>HYPERLINK("https://my.pitchbook.com?c=276555-61T","View Company Online")</f>
      </c>
    </row>
    <row r="3908">
      <c r="A3908" s="12" t="s">
        <v>19650</v>
      </c>
      <c r="B3908" s="12" t="s">
        <v>5613</v>
      </c>
      <c r="C3908" s="19">
        <v>11</v>
      </c>
      <c r="D3908" s="19">
        <v>4</v>
      </c>
      <c r="E3908" s="19">
        <v>8</v>
      </c>
      <c r="F3908" s="19">
        <v>16</v>
      </c>
      <c r="G3908" s="15" t="s">
        <v>326</v>
      </c>
      <c r="H3908" s="14">
        <v>140.61</v>
      </c>
      <c r="I3908" s="18">
        <v>5</v>
      </c>
      <c r="J3908" s="12" t="s">
        <v>521</v>
      </c>
      <c r="K3908" s="13" t="s">
        <v>36</v>
      </c>
      <c r="L3908" s="15" t="s">
        <v>36</v>
      </c>
      <c r="M3908" s="12" t="s">
        <v>36</v>
      </c>
      <c r="N3908" s="12" t="s">
        <v>36</v>
      </c>
      <c r="O3908" s="17" t="s">
        <v>36</v>
      </c>
      <c r="P3908" s="12" t="s">
        <v>36</v>
      </c>
      <c r="Q3908" s="12" t="s">
        <v>36</v>
      </c>
      <c r="R3908" s="12" t="s">
        <v>36</v>
      </c>
      <c r="S3908" s="12" t="s">
        <v>316</v>
      </c>
      <c r="T3908" s="12" t="s">
        <v>5614</v>
      </c>
      <c r="U3908" s="12" t="s">
        <v>318</v>
      </c>
      <c r="V3908" s="12" t="s">
        <v>39</v>
      </c>
      <c r="W3908" s="12" t="s">
        <v>5615</v>
      </c>
      <c r="X3908" s="16" t="s">
        <v>19651</v>
      </c>
      <c r="Y3908" s="15" t="s">
        <v>42</v>
      </c>
      <c r="Z3908" s="14">
        <v>0.33</v>
      </c>
      <c r="AA3908" s="14">
        <v>6.52</v>
      </c>
      <c r="AB3908" s="12" t="s">
        <v>43</v>
      </c>
      <c r="AC3908" s="12" t="s">
        <v>5617</v>
      </c>
      <c r="AD3908" s="13">
        <v>43951</v>
      </c>
      <c r="AE3908" s="12" t="s">
        <v>417</v>
      </c>
      <c r="AF3908" s="12" t="s">
        <v>5618</v>
      </c>
      <c r="AG3908" s="12" t="s">
        <v>2542</v>
      </c>
      <c r="AH3908" s="1">
        <f>HYPERLINK("https://my.pitchbook.com?c=138513-43T","View Company Online")</f>
      </c>
    </row>
    <row r="3909">
      <c r="A3909" s="3" t="s">
        <v>19652</v>
      </c>
      <c r="B3909" s="3" t="s">
        <v>7991</v>
      </c>
      <c r="C3909" s="5" t="s">
        <v>36</v>
      </c>
      <c r="D3909" s="5">
        <v>2</v>
      </c>
      <c r="E3909" s="5">
        <v>1</v>
      </c>
      <c r="F3909" s="5">
        <v>2</v>
      </c>
      <c r="G3909" s="6" t="s">
        <v>36</v>
      </c>
      <c r="H3909" s="4" t="s">
        <v>36</v>
      </c>
      <c r="I3909" s="7" t="s">
        <v>36</v>
      </c>
      <c r="J3909" s="3" t="s">
        <v>36</v>
      </c>
      <c r="K3909" s="9" t="s">
        <v>36</v>
      </c>
      <c r="L3909" s="6" t="s">
        <v>36</v>
      </c>
      <c r="M3909" s="3" t="s">
        <v>36</v>
      </c>
      <c r="N3909" s="3" t="s">
        <v>36</v>
      </c>
      <c r="O3909" s="8" t="s">
        <v>36</v>
      </c>
      <c r="P3909" s="3" t="s">
        <v>36</v>
      </c>
      <c r="Q3909" s="3" t="s">
        <v>36</v>
      </c>
      <c r="R3909" s="3" t="s">
        <v>36</v>
      </c>
      <c r="S3909" s="3" t="s">
        <v>36</v>
      </c>
      <c r="T3909" s="3" t="s">
        <v>7992</v>
      </c>
      <c r="U3909" s="3" t="s">
        <v>38</v>
      </c>
      <c r="V3909" s="3" t="s">
        <v>39</v>
      </c>
      <c r="W3909" s="3" t="s">
        <v>7993</v>
      </c>
      <c r="X3909" s="10" t="s">
        <v>17039</v>
      </c>
      <c r="Y3909" s="6" t="s">
        <v>42</v>
      </c>
      <c r="Z3909" s="4" t="s">
        <v>36</v>
      </c>
      <c r="AA3909" s="4" t="s">
        <v>36</v>
      </c>
      <c r="AB3909" s="3" t="s">
        <v>43</v>
      </c>
      <c r="AC3909" s="3" t="s">
        <v>7995</v>
      </c>
      <c r="AD3909" s="9">
        <v>43950</v>
      </c>
      <c r="AE3909" s="3" t="s">
        <v>110</v>
      </c>
      <c r="AF3909" s="3" t="s">
        <v>7996</v>
      </c>
      <c r="AG3909" s="3" t="s">
        <v>144</v>
      </c>
      <c r="AH3909" s="11">
        <f>HYPERLINK("https://my.pitchbook.com?c=191437-57T","View Company Online")</f>
      </c>
    </row>
    <row r="3910">
      <c r="A3910" s="12" t="s">
        <v>19653</v>
      </c>
      <c r="B3910" s="12" t="s">
        <v>19654</v>
      </c>
      <c r="C3910" s="19" t="s">
        <v>36</v>
      </c>
      <c r="D3910" s="19" t="s">
        <v>36</v>
      </c>
      <c r="E3910" s="19">
        <v>1</v>
      </c>
      <c r="F3910" s="19">
        <v>1</v>
      </c>
      <c r="G3910" s="15" t="s">
        <v>326</v>
      </c>
      <c r="H3910" s="14">
        <v>10.29</v>
      </c>
      <c r="I3910" s="18">
        <v>43.7</v>
      </c>
      <c r="J3910" s="12" t="s">
        <v>521</v>
      </c>
      <c r="K3910" s="13" t="s">
        <v>36</v>
      </c>
      <c r="L3910" s="15" t="s">
        <v>94</v>
      </c>
      <c r="M3910" s="12" t="s">
        <v>36</v>
      </c>
      <c r="N3910" s="12" t="s">
        <v>94</v>
      </c>
      <c r="O3910" s="17" t="s">
        <v>36</v>
      </c>
      <c r="P3910" s="12" t="s">
        <v>36</v>
      </c>
      <c r="Q3910" s="12" t="s">
        <v>36</v>
      </c>
      <c r="R3910" s="12" t="s">
        <v>36</v>
      </c>
      <c r="S3910" s="12" t="s">
        <v>36</v>
      </c>
      <c r="T3910" s="12" t="s">
        <v>464</v>
      </c>
      <c r="U3910" s="12" t="s">
        <v>38</v>
      </c>
      <c r="V3910" s="12" t="s">
        <v>39</v>
      </c>
      <c r="W3910" s="12" t="s">
        <v>19655</v>
      </c>
      <c r="X3910" s="16" t="s">
        <v>19656</v>
      </c>
      <c r="Y3910" s="15" t="s">
        <v>55</v>
      </c>
      <c r="Z3910" s="14">
        <v>27.19</v>
      </c>
      <c r="AA3910" s="14">
        <v>51.33</v>
      </c>
      <c r="AB3910" s="12" t="s">
        <v>56</v>
      </c>
      <c r="AC3910" s="12" t="s">
        <v>19657</v>
      </c>
      <c r="AD3910" s="13">
        <v>43950</v>
      </c>
      <c r="AE3910" s="12" t="s">
        <v>110</v>
      </c>
      <c r="AF3910" s="12" t="s">
        <v>16517</v>
      </c>
      <c r="AG3910" s="12" t="s">
        <v>81</v>
      </c>
      <c r="AH3910" s="1">
        <f>HYPERLINK("https://my.pitchbook.com?c=135852-13T","View Company Online")</f>
      </c>
    </row>
    <row r="3911">
      <c r="A3911" s="3" t="s">
        <v>19658</v>
      </c>
      <c r="B3911" s="3" t="s">
        <v>13084</v>
      </c>
      <c r="C3911" s="5">
        <v>40</v>
      </c>
      <c r="D3911" s="5">
        <v>97</v>
      </c>
      <c r="E3911" s="5">
        <v>38</v>
      </c>
      <c r="F3911" s="5">
        <v>142</v>
      </c>
      <c r="G3911" s="6" t="s">
        <v>36</v>
      </c>
      <c r="H3911" s="4">
        <v>212.89</v>
      </c>
      <c r="I3911" s="7">
        <v>27.04</v>
      </c>
      <c r="J3911" s="3" t="s">
        <v>521</v>
      </c>
      <c r="K3911" s="9" t="s">
        <v>36</v>
      </c>
      <c r="L3911" s="6" t="s">
        <v>1279</v>
      </c>
      <c r="M3911" s="3" t="s">
        <v>36</v>
      </c>
      <c r="N3911" s="3" t="s">
        <v>1279</v>
      </c>
      <c r="O3911" s="8" t="s">
        <v>36</v>
      </c>
      <c r="P3911" s="3" t="s">
        <v>36</v>
      </c>
      <c r="Q3911" s="3" t="s">
        <v>36</v>
      </c>
      <c r="R3911" s="3" t="s">
        <v>36</v>
      </c>
      <c r="S3911" s="3" t="s">
        <v>36</v>
      </c>
      <c r="T3911" s="3" t="s">
        <v>13085</v>
      </c>
      <c r="U3911" s="3" t="s">
        <v>96</v>
      </c>
      <c r="V3911" s="3" t="s">
        <v>52</v>
      </c>
      <c r="W3911" s="3" t="s">
        <v>13086</v>
      </c>
      <c r="X3911" s="10" t="s">
        <v>19659</v>
      </c>
      <c r="Y3911" s="6" t="s">
        <v>166</v>
      </c>
      <c r="Z3911" s="4">
        <v>43.5</v>
      </c>
      <c r="AA3911" s="4">
        <v>88.67</v>
      </c>
      <c r="AB3911" s="3" t="s">
        <v>56</v>
      </c>
      <c r="AC3911" s="3" t="s">
        <v>13088</v>
      </c>
      <c r="AD3911" s="9">
        <v>43950</v>
      </c>
      <c r="AE3911" s="3" t="s">
        <v>496</v>
      </c>
      <c r="AF3911" s="3" t="s">
        <v>885</v>
      </c>
      <c r="AG3911" s="3" t="s">
        <v>1978</v>
      </c>
      <c r="AH3911" s="11">
        <f>HYPERLINK("https://my.pitchbook.com?c=135886-42T","View Company Online")</f>
      </c>
    </row>
    <row r="3912">
      <c r="A3912" s="12" t="s">
        <v>19660</v>
      </c>
      <c r="B3912" s="12" t="s">
        <v>19661</v>
      </c>
      <c r="C3912" s="19" t="s">
        <v>36</v>
      </c>
      <c r="D3912" s="19" t="s">
        <v>36</v>
      </c>
      <c r="E3912" s="19" t="s">
        <v>36</v>
      </c>
      <c r="F3912" s="19" t="s">
        <v>36</v>
      </c>
      <c r="G3912" s="15" t="s">
        <v>36</v>
      </c>
      <c r="H3912" s="14" t="s">
        <v>36</v>
      </c>
      <c r="I3912" s="18" t="s">
        <v>36</v>
      </c>
      <c r="J3912" s="12" t="s">
        <v>36</v>
      </c>
      <c r="K3912" s="13" t="s">
        <v>36</v>
      </c>
      <c r="L3912" s="15" t="s">
        <v>36</v>
      </c>
      <c r="M3912" s="12" t="s">
        <v>36</v>
      </c>
      <c r="N3912" s="12" t="s">
        <v>36</v>
      </c>
      <c r="O3912" s="17" t="s">
        <v>36</v>
      </c>
      <c r="P3912" s="12" t="s">
        <v>36</v>
      </c>
      <c r="Q3912" s="12" t="s">
        <v>36</v>
      </c>
      <c r="R3912" s="12" t="s">
        <v>36</v>
      </c>
      <c r="S3912" s="12" t="s">
        <v>36</v>
      </c>
      <c r="T3912" s="12" t="s">
        <v>123</v>
      </c>
      <c r="U3912" s="12" t="s">
        <v>38</v>
      </c>
      <c r="V3912" s="12" t="s">
        <v>39</v>
      </c>
      <c r="W3912" s="12" t="s">
        <v>19662</v>
      </c>
      <c r="X3912" s="16" t="s">
        <v>19663</v>
      </c>
      <c r="Y3912" s="15" t="s">
        <v>42</v>
      </c>
      <c r="Z3912" s="14">
        <v>2.17</v>
      </c>
      <c r="AA3912" s="14" t="s">
        <v>36</v>
      </c>
      <c r="AB3912" s="12" t="s">
        <v>43</v>
      </c>
      <c r="AC3912" s="12" t="s">
        <v>19664</v>
      </c>
      <c r="AD3912" s="13">
        <v>43950</v>
      </c>
      <c r="AE3912" s="12" t="s">
        <v>110</v>
      </c>
      <c r="AF3912" s="12" t="s">
        <v>3319</v>
      </c>
      <c r="AG3912" s="12" t="s">
        <v>81</v>
      </c>
      <c r="AH3912" s="1">
        <f>HYPERLINK("https://my.pitchbook.com?c=136712-17T","View Company Online")</f>
      </c>
    </row>
    <row r="3913">
      <c r="A3913" s="3" t="s">
        <v>19665</v>
      </c>
      <c r="B3913" s="3" t="s">
        <v>12746</v>
      </c>
      <c r="C3913" s="5" t="s">
        <v>36</v>
      </c>
      <c r="D3913" s="5" t="s">
        <v>36</v>
      </c>
      <c r="E3913" s="5" t="s">
        <v>36</v>
      </c>
      <c r="F3913" s="5" t="s">
        <v>36</v>
      </c>
      <c r="G3913" s="6" t="s">
        <v>36</v>
      </c>
      <c r="H3913" s="4" t="s">
        <v>36</v>
      </c>
      <c r="I3913" s="7" t="s">
        <v>36</v>
      </c>
      <c r="J3913" s="3" t="s">
        <v>36</v>
      </c>
      <c r="K3913" s="9" t="s">
        <v>36</v>
      </c>
      <c r="L3913" s="6" t="s">
        <v>122</v>
      </c>
      <c r="M3913" s="3" t="s">
        <v>36</v>
      </c>
      <c r="N3913" s="3" t="s">
        <v>122</v>
      </c>
      <c r="O3913" s="8" t="s">
        <v>36</v>
      </c>
      <c r="P3913" s="3" t="s">
        <v>36</v>
      </c>
      <c r="Q3913" s="3" t="s">
        <v>36</v>
      </c>
      <c r="R3913" s="3" t="s">
        <v>36</v>
      </c>
      <c r="S3913" s="3" t="s">
        <v>36</v>
      </c>
      <c r="T3913" s="3" t="s">
        <v>12747</v>
      </c>
      <c r="U3913" s="3" t="s">
        <v>648</v>
      </c>
      <c r="V3913" s="3" t="s">
        <v>64</v>
      </c>
      <c r="W3913" s="3" t="s">
        <v>12748</v>
      </c>
      <c r="X3913" s="10" t="s">
        <v>19666</v>
      </c>
      <c r="Y3913" s="6" t="s">
        <v>192</v>
      </c>
      <c r="Z3913" s="4">
        <v>7.61</v>
      </c>
      <c r="AA3913" s="4" t="s">
        <v>36</v>
      </c>
      <c r="AB3913" s="3" t="s">
        <v>56</v>
      </c>
      <c r="AC3913" s="3" t="s">
        <v>12750</v>
      </c>
      <c r="AD3913" s="9">
        <v>43950</v>
      </c>
      <c r="AE3913" s="3" t="s">
        <v>651</v>
      </c>
      <c r="AF3913" s="3" t="s">
        <v>546</v>
      </c>
      <c r="AG3913" s="3" t="s">
        <v>12751</v>
      </c>
      <c r="AH3913" s="11">
        <f>HYPERLINK("https://my.pitchbook.com?c=137857-78T","View Company Online")</f>
      </c>
    </row>
    <row r="3914">
      <c r="A3914" s="12" t="s">
        <v>19667</v>
      </c>
      <c r="B3914" s="12" t="s">
        <v>19668</v>
      </c>
      <c r="C3914" s="19">
        <v>1</v>
      </c>
      <c r="D3914" s="19">
        <v>2</v>
      </c>
      <c r="E3914" s="19">
        <v>5</v>
      </c>
      <c r="F3914" s="19">
        <v>8</v>
      </c>
      <c r="G3914" s="15" t="s">
        <v>36</v>
      </c>
      <c r="H3914" s="14">
        <v>0.87</v>
      </c>
      <c r="I3914" s="18">
        <v>26.03</v>
      </c>
      <c r="J3914" s="12" t="s">
        <v>521</v>
      </c>
      <c r="K3914" s="13" t="s">
        <v>36</v>
      </c>
      <c r="L3914" s="15" t="s">
        <v>36</v>
      </c>
      <c r="M3914" s="12" t="s">
        <v>36</v>
      </c>
      <c r="N3914" s="12" t="s">
        <v>36</v>
      </c>
      <c r="O3914" s="17" t="s">
        <v>36</v>
      </c>
      <c r="P3914" s="12" t="s">
        <v>36</v>
      </c>
      <c r="Q3914" s="12" t="s">
        <v>36</v>
      </c>
      <c r="R3914" s="12" t="s">
        <v>36</v>
      </c>
      <c r="S3914" s="12" t="s">
        <v>36</v>
      </c>
      <c r="T3914" s="12" t="s">
        <v>19669</v>
      </c>
      <c r="U3914" s="12" t="s">
        <v>3000</v>
      </c>
      <c r="V3914" s="12" t="s">
        <v>378</v>
      </c>
      <c r="W3914" s="12" t="s">
        <v>19670</v>
      </c>
      <c r="X3914" s="16" t="s">
        <v>15508</v>
      </c>
      <c r="Y3914" s="15" t="s">
        <v>108</v>
      </c>
      <c r="Z3914" s="14">
        <v>0.49</v>
      </c>
      <c r="AA3914" s="14">
        <v>1.85</v>
      </c>
      <c r="AB3914" s="12" t="s">
        <v>43</v>
      </c>
      <c r="AC3914" s="12" t="s">
        <v>19671</v>
      </c>
      <c r="AD3914" s="13">
        <v>43949</v>
      </c>
      <c r="AE3914" s="12" t="s">
        <v>3004</v>
      </c>
      <c r="AF3914" s="12" t="s">
        <v>703</v>
      </c>
      <c r="AG3914" s="12" t="s">
        <v>19672</v>
      </c>
      <c r="AH3914" s="1">
        <f>HYPERLINK("https://my.pitchbook.com?c=185471-74T","View Company Online")</f>
      </c>
    </row>
    <row r="3915">
      <c r="A3915" s="3" t="s">
        <v>19673</v>
      </c>
      <c r="B3915" s="3" t="s">
        <v>19674</v>
      </c>
      <c r="C3915" s="5" t="s">
        <v>36</v>
      </c>
      <c r="D3915" s="5">
        <v>1</v>
      </c>
      <c r="E3915" s="5">
        <v>1</v>
      </c>
      <c r="F3915" s="5">
        <v>2</v>
      </c>
      <c r="G3915" s="6" t="s">
        <v>36</v>
      </c>
      <c r="H3915" s="4" t="s">
        <v>36</v>
      </c>
      <c r="I3915" s="7" t="s">
        <v>36</v>
      </c>
      <c r="J3915" s="3" t="s">
        <v>36</v>
      </c>
      <c r="K3915" s="9" t="s">
        <v>36</v>
      </c>
      <c r="L3915" s="6" t="s">
        <v>36</v>
      </c>
      <c r="M3915" s="3" t="s">
        <v>36</v>
      </c>
      <c r="N3915" s="3" t="s">
        <v>36</v>
      </c>
      <c r="O3915" s="8" t="s">
        <v>36</v>
      </c>
      <c r="P3915" s="3" t="s">
        <v>36</v>
      </c>
      <c r="Q3915" s="3" t="s">
        <v>36</v>
      </c>
      <c r="R3915" s="3" t="s">
        <v>36</v>
      </c>
      <c r="S3915" s="3" t="s">
        <v>36</v>
      </c>
      <c r="T3915" s="3" t="s">
        <v>19675</v>
      </c>
      <c r="U3915" s="3" t="s">
        <v>728</v>
      </c>
      <c r="V3915" s="3" t="s">
        <v>64</v>
      </c>
      <c r="W3915" s="3" t="s">
        <v>19676</v>
      </c>
      <c r="X3915" s="10" t="s">
        <v>19677</v>
      </c>
      <c r="Y3915" s="6" t="s">
        <v>108</v>
      </c>
      <c r="Z3915" s="4" t="s">
        <v>36</v>
      </c>
      <c r="AA3915" s="4" t="s">
        <v>36</v>
      </c>
      <c r="AB3915" s="3" t="s">
        <v>43</v>
      </c>
      <c r="AC3915" s="3" t="s">
        <v>19678</v>
      </c>
      <c r="AD3915" s="9">
        <v>43948</v>
      </c>
      <c r="AE3915" s="3" t="s">
        <v>2154</v>
      </c>
      <c r="AF3915" s="3" t="s">
        <v>90</v>
      </c>
      <c r="AG3915" s="3" t="s">
        <v>1332</v>
      </c>
      <c r="AH3915" s="11">
        <f>HYPERLINK("https://my.pitchbook.com?c=136504-45T","View Company Online")</f>
      </c>
    </row>
    <row r="3916">
      <c r="A3916" s="12" t="s">
        <v>19679</v>
      </c>
      <c r="B3916" s="12" t="s">
        <v>4664</v>
      </c>
      <c r="C3916" s="19" t="s">
        <v>36</v>
      </c>
      <c r="D3916" s="19" t="s">
        <v>36</v>
      </c>
      <c r="E3916" s="19" t="s">
        <v>36</v>
      </c>
      <c r="F3916" s="19" t="s">
        <v>36</v>
      </c>
      <c r="G3916" s="15" t="s">
        <v>36</v>
      </c>
      <c r="H3916" s="14" t="s">
        <v>36</v>
      </c>
      <c r="I3916" s="18" t="s">
        <v>36</v>
      </c>
      <c r="J3916" s="12" t="s">
        <v>36</v>
      </c>
      <c r="K3916" s="13" t="s">
        <v>36</v>
      </c>
      <c r="L3916" s="15" t="s">
        <v>122</v>
      </c>
      <c r="M3916" s="12" t="s">
        <v>36</v>
      </c>
      <c r="N3916" s="12" t="s">
        <v>122</v>
      </c>
      <c r="O3916" s="17" t="s">
        <v>36</v>
      </c>
      <c r="P3916" s="12" t="s">
        <v>36</v>
      </c>
      <c r="Q3916" s="12" t="s">
        <v>36</v>
      </c>
      <c r="R3916" s="12" t="s">
        <v>36</v>
      </c>
      <c r="S3916" s="12" t="s">
        <v>36</v>
      </c>
      <c r="T3916" s="12" t="s">
        <v>855</v>
      </c>
      <c r="U3916" s="12" t="s">
        <v>648</v>
      </c>
      <c r="V3916" s="12" t="s">
        <v>64</v>
      </c>
      <c r="W3916" s="12" t="s">
        <v>4665</v>
      </c>
      <c r="X3916" s="16" t="s">
        <v>19680</v>
      </c>
      <c r="Y3916" s="15" t="s">
        <v>55</v>
      </c>
      <c r="Z3916" s="14">
        <v>1.09</v>
      </c>
      <c r="AA3916" s="14" t="s">
        <v>36</v>
      </c>
      <c r="AB3916" s="12" t="s">
        <v>43</v>
      </c>
      <c r="AC3916" s="12" t="s">
        <v>4667</v>
      </c>
      <c r="AD3916" s="13">
        <v>43944</v>
      </c>
      <c r="AE3916" s="12" t="s">
        <v>651</v>
      </c>
      <c r="AF3916" s="12" t="s">
        <v>4668</v>
      </c>
      <c r="AG3916" s="12" t="s">
        <v>81</v>
      </c>
      <c r="AH3916" s="1">
        <f>HYPERLINK("https://my.pitchbook.com?c=139871-26T","View Company Online")</f>
      </c>
    </row>
    <row r="3917">
      <c r="A3917" s="3" t="s">
        <v>19681</v>
      </c>
      <c r="B3917" s="3" t="s">
        <v>19682</v>
      </c>
      <c r="C3917" s="5" t="s">
        <v>36</v>
      </c>
      <c r="D3917" s="5" t="s">
        <v>36</v>
      </c>
      <c r="E3917" s="5" t="s">
        <v>36</v>
      </c>
      <c r="F3917" s="5" t="s">
        <v>36</v>
      </c>
      <c r="G3917" s="6" t="s">
        <v>36</v>
      </c>
      <c r="H3917" s="4">
        <v>94.61</v>
      </c>
      <c r="I3917" s="7">
        <v>24.12</v>
      </c>
      <c r="J3917" s="3" t="s">
        <v>521</v>
      </c>
      <c r="K3917" s="9" t="s">
        <v>36</v>
      </c>
      <c r="L3917" s="6" t="s">
        <v>36</v>
      </c>
      <c r="M3917" s="3" t="s">
        <v>36</v>
      </c>
      <c r="N3917" s="3" t="s">
        <v>36</v>
      </c>
      <c r="O3917" s="8" t="s">
        <v>36</v>
      </c>
      <c r="P3917" s="3" t="s">
        <v>36</v>
      </c>
      <c r="Q3917" s="3" t="s">
        <v>36</v>
      </c>
      <c r="R3917" s="3" t="s">
        <v>36</v>
      </c>
      <c r="S3917" s="3" t="s">
        <v>36</v>
      </c>
      <c r="T3917" s="3" t="s">
        <v>19683</v>
      </c>
      <c r="U3917" s="3" t="s">
        <v>38</v>
      </c>
      <c r="V3917" s="3" t="s">
        <v>39</v>
      </c>
      <c r="W3917" s="3" t="s">
        <v>19684</v>
      </c>
      <c r="X3917" s="10" t="s">
        <v>19685</v>
      </c>
      <c r="Y3917" s="6" t="s">
        <v>42</v>
      </c>
      <c r="Z3917" s="4">
        <v>0.34</v>
      </c>
      <c r="AA3917" s="4">
        <v>1.4</v>
      </c>
      <c r="AB3917" s="3" t="s">
        <v>43</v>
      </c>
      <c r="AC3917" s="3" t="s">
        <v>19686</v>
      </c>
      <c r="AD3917" s="9">
        <v>43943</v>
      </c>
      <c r="AE3917" s="3" t="s">
        <v>339</v>
      </c>
      <c r="AF3917" s="3" t="s">
        <v>1077</v>
      </c>
      <c r="AG3917" s="3" t="s">
        <v>81</v>
      </c>
      <c r="AH3917" s="11">
        <f>HYPERLINK("https://my.pitchbook.com?c=160121-08T","View Company Online")</f>
      </c>
    </row>
    <row r="3918">
      <c r="A3918" s="12" t="s">
        <v>19687</v>
      </c>
      <c r="B3918" s="12" t="s">
        <v>13583</v>
      </c>
      <c r="C3918" s="19" t="s">
        <v>36</v>
      </c>
      <c r="D3918" s="19" t="s">
        <v>36</v>
      </c>
      <c r="E3918" s="19" t="s">
        <v>36</v>
      </c>
      <c r="F3918" s="19" t="s">
        <v>36</v>
      </c>
      <c r="G3918" s="15" t="s">
        <v>36</v>
      </c>
      <c r="H3918" s="14">
        <v>642.87</v>
      </c>
      <c r="I3918" s="18">
        <v>22.54</v>
      </c>
      <c r="J3918" s="12" t="s">
        <v>521</v>
      </c>
      <c r="K3918" s="13" t="s">
        <v>36</v>
      </c>
      <c r="L3918" s="15" t="s">
        <v>36</v>
      </c>
      <c r="M3918" s="12" t="s">
        <v>36</v>
      </c>
      <c r="N3918" s="12" t="s">
        <v>36</v>
      </c>
      <c r="O3918" s="17" t="s">
        <v>36</v>
      </c>
      <c r="P3918" s="12" t="s">
        <v>36</v>
      </c>
      <c r="Q3918" s="12" t="s">
        <v>36</v>
      </c>
      <c r="R3918" s="12" t="s">
        <v>36</v>
      </c>
      <c r="S3918" s="12" t="s">
        <v>36</v>
      </c>
      <c r="T3918" s="12" t="s">
        <v>13584</v>
      </c>
      <c r="U3918" s="12" t="s">
        <v>63</v>
      </c>
      <c r="V3918" s="12" t="s">
        <v>64</v>
      </c>
      <c r="W3918" s="12" t="s">
        <v>13585</v>
      </c>
      <c r="X3918" s="16" t="s">
        <v>221</v>
      </c>
      <c r="Y3918" s="15" t="s">
        <v>42</v>
      </c>
      <c r="Z3918" s="14">
        <v>0.2</v>
      </c>
      <c r="AA3918" s="14">
        <v>0.87</v>
      </c>
      <c r="AB3918" s="12" t="s">
        <v>43</v>
      </c>
      <c r="AC3918" s="12" t="s">
        <v>13587</v>
      </c>
      <c r="AD3918" s="13">
        <v>43943</v>
      </c>
      <c r="AE3918" s="12" t="s">
        <v>68</v>
      </c>
      <c r="AF3918" s="12" t="s">
        <v>13588</v>
      </c>
      <c r="AG3918" s="12" t="s">
        <v>81</v>
      </c>
      <c r="AH3918" s="1">
        <f>HYPERLINK("https://my.pitchbook.com?c=171456-76T","View Company Online")</f>
      </c>
    </row>
    <row r="3919">
      <c r="A3919" s="3" t="s">
        <v>19688</v>
      </c>
      <c r="B3919" s="3" t="s">
        <v>14724</v>
      </c>
      <c r="C3919" s="5" t="s">
        <v>36</v>
      </c>
      <c r="D3919" s="5" t="s">
        <v>36</v>
      </c>
      <c r="E3919" s="5" t="s">
        <v>36</v>
      </c>
      <c r="F3919" s="5" t="s">
        <v>36</v>
      </c>
      <c r="G3919" s="6" t="s">
        <v>326</v>
      </c>
      <c r="H3919" s="4">
        <v>43.68</v>
      </c>
      <c r="I3919" s="7">
        <v>26.25</v>
      </c>
      <c r="J3919" s="3" t="s">
        <v>521</v>
      </c>
      <c r="K3919" s="9" t="s">
        <v>36</v>
      </c>
      <c r="L3919" s="6" t="s">
        <v>122</v>
      </c>
      <c r="M3919" s="3" t="s">
        <v>36</v>
      </c>
      <c r="N3919" s="3" t="s">
        <v>122</v>
      </c>
      <c r="O3919" s="8" t="s">
        <v>36</v>
      </c>
      <c r="P3919" s="3" t="s">
        <v>36</v>
      </c>
      <c r="Q3919" s="3" t="s">
        <v>36</v>
      </c>
      <c r="R3919" s="3" t="s">
        <v>36</v>
      </c>
      <c r="S3919" s="3" t="s">
        <v>36</v>
      </c>
      <c r="T3919" s="3" t="s">
        <v>14725</v>
      </c>
      <c r="U3919" s="3" t="s">
        <v>289</v>
      </c>
      <c r="V3919" s="3" t="s">
        <v>64</v>
      </c>
      <c r="W3919" s="3" t="s">
        <v>14726</v>
      </c>
      <c r="X3919" s="10" t="s">
        <v>19689</v>
      </c>
      <c r="Y3919" s="6" t="s">
        <v>108</v>
      </c>
      <c r="Z3919" s="4">
        <v>8.73</v>
      </c>
      <c r="AA3919" s="4">
        <v>22.87</v>
      </c>
      <c r="AB3919" s="3" t="s">
        <v>56</v>
      </c>
      <c r="AC3919" s="3" t="s">
        <v>14728</v>
      </c>
      <c r="AD3919" s="9">
        <v>43943</v>
      </c>
      <c r="AE3919" s="3" t="s">
        <v>292</v>
      </c>
      <c r="AF3919" s="3" t="s">
        <v>2118</v>
      </c>
      <c r="AG3919" s="3" t="s">
        <v>14729</v>
      </c>
      <c r="AH3919" s="11">
        <f>HYPERLINK("https://my.pitchbook.com?c=135492-31T","View Company Online")</f>
      </c>
    </row>
    <row r="3920">
      <c r="A3920" s="12" t="s">
        <v>19690</v>
      </c>
      <c r="B3920" s="12" t="s">
        <v>19691</v>
      </c>
      <c r="C3920" s="19" t="s">
        <v>36</v>
      </c>
      <c r="D3920" s="19" t="s">
        <v>36</v>
      </c>
      <c r="E3920" s="19" t="s">
        <v>36</v>
      </c>
      <c r="F3920" s="19" t="s">
        <v>36</v>
      </c>
      <c r="G3920" s="15" t="s">
        <v>683</v>
      </c>
      <c r="H3920" s="14">
        <v>6.89</v>
      </c>
      <c r="I3920" s="18">
        <v>15.8</v>
      </c>
      <c r="J3920" s="12" t="s">
        <v>521</v>
      </c>
      <c r="K3920" s="13" t="s">
        <v>36</v>
      </c>
      <c r="L3920" s="15" t="s">
        <v>36</v>
      </c>
      <c r="M3920" s="12" t="s">
        <v>36</v>
      </c>
      <c r="N3920" s="12" t="s">
        <v>36</v>
      </c>
      <c r="O3920" s="17" t="s">
        <v>36</v>
      </c>
      <c r="P3920" s="12" t="s">
        <v>36</v>
      </c>
      <c r="Q3920" s="12" t="s">
        <v>36</v>
      </c>
      <c r="R3920" s="12" t="s">
        <v>36</v>
      </c>
      <c r="S3920" s="12" t="s">
        <v>36</v>
      </c>
      <c r="T3920" s="12" t="s">
        <v>1260</v>
      </c>
      <c r="U3920" s="12" t="s">
        <v>38</v>
      </c>
      <c r="V3920" s="12" t="s">
        <v>39</v>
      </c>
      <c r="W3920" s="12" t="s">
        <v>19692</v>
      </c>
      <c r="X3920" s="16" t="s">
        <v>19693</v>
      </c>
      <c r="Y3920" s="15" t="s">
        <v>108</v>
      </c>
      <c r="Z3920" s="14">
        <v>0.79</v>
      </c>
      <c r="AA3920" s="14">
        <v>5.02</v>
      </c>
      <c r="AB3920" s="12" t="s">
        <v>56</v>
      </c>
      <c r="AC3920" s="12" t="s">
        <v>19694</v>
      </c>
      <c r="AD3920" s="13">
        <v>43943</v>
      </c>
      <c r="AE3920" s="12" t="s">
        <v>110</v>
      </c>
      <c r="AF3920" s="12" t="s">
        <v>4724</v>
      </c>
      <c r="AG3920" s="12" t="s">
        <v>81</v>
      </c>
      <c r="AH3920" s="1">
        <f>HYPERLINK("https://my.pitchbook.com?c=181487-26T","View Company Online")</f>
      </c>
    </row>
    <row r="3921">
      <c r="A3921" s="3" t="s">
        <v>19695</v>
      </c>
      <c r="B3921" s="3" t="s">
        <v>7156</v>
      </c>
      <c r="C3921" s="5" t="s">
        <v>36</v>
      </c>
      <c r="D3921" s="5" t="s">
        <v>36</v>
      </c>
      <c r="E3921" s="5" t="s">
        <v>36</v>
      </c>
      <c r="F3921" s="5" t="s">
        <v>36</v>
      </c>
      <c r="G3921" s="6" t="s">
        <v>326</v>
      </c>
      <c r="H3921" s="4">
        <v>27.29</v>
      </c>
      <c r="I3921" s="7">
        <v>31.18</v>
      </c>
      <c r="J3921" s="3" t="s">
        <v>521</v>
      </c>
      <c r="K3921" s="9" t="s">
        <v>36</v>
      </c>
      <c r="L3921" s="6" t="s">
        <v>122</v>
      </c>
      <c r="M3921" s="3" t="s">
        <v>36</v>
      </c>
      <c r="N3921" s="3" t="s">
        <v>122</v>
      </c>
      <c r="O3921" s="8" t="s">
        <v>36</v>
      </c>
      <c r="P3921" s="3" t="s">
        <v>36</v>
      </c>
      <c r="Q3921" s="3" t="s">
        <v>36</v>
      </c>
      <c r="R3921" s="3" t="s">
        <v>36</v>
      </c>
      <c r="S3921" s="3" t="s">
        <v>36</v>
      </c>
      <c r="T3921" s="3" t="s">
        <v>6032</v>
      </c>
      <c r="U3921" s="3" t="s">
        <v>318</v>
      </c>
      <c r="V3921" s="3" t="s">
        <v>39</v>
      </c>
      <c r="W3921" s="3" t="s">
        <v>7157</v>
      </c>
      <c r="X3921" s="10" t="s">
        <v>19696</v>
      </c>
      <c r="Y3921" s="6" t="s">
        <v>108</v>
      </c>
      <c r="Z3921" s="4">
        <v>2.18</v>
      </c>
      <c r="AA3921" s="4">
        <v>6.06</v>
      </c>
      <c r="AB3921" s="3" t="s">
        <v>56</v>
      </c>
      <c r="AC3921" s="3" t="s">
        <v>7159</v>
      </c>
      <c r="AD3921" s="9">
        <v>43943</v>
      </c>
      <c r="AE3921" s="3" t="s">
        <v>417</v>
      </c>
      <c r="AF3921" s="3" t="s">
        <v>592</v>
      </c>
      <c r="AG3921" s="3" t="s">
        <v>7160</v>
      </c>
      <c r="AH3921" s="11">
        <f>HYPERLINK("https://my.pitchbook.com?c=135479-26T","View Company Online")</f>
      </c>
    </row>
    <row r="3922">
      <c r="A3922" s="12" t="s">
        <v>19697</v>
      </c>
      <c r="B3922" s="12" t="s">
        <v>11539</v>
      </c>
      <c r="C3922" s="19" t="s">
        <v>36</v>
      </c>
      <c r="D3922" s="19" t="s">
        <v>36</v>
      </c>
      <c r="E3922" s="19" t="s">
        <v>36</v>
      </c>
      <c r="F3922" s="19" t="s">
        <v>36</v>
      </c>
      <c r="G3922" s="15" t="s">
        <v>36</v>
      </c>
      <c r="H3922" s="14">
        <v>37.69</v>
      </c>
      <c r="I3922" s="18">
        <v>23.32</v>
      </c>
      <c r="J3922" s="12" t="s">
        <v>521</v>
      </c>
      <c r="K3922" s="13" t="s">
        <v>36</v>
      </c>
      <c r="L3922" s="15" t="s">
        <v>36</v>
      </c>
      <c r="M3922" s="12" t="s">
        <v>36</v>
      </c>
      <c r="N3922" s="12" t="s">
        <v>36</v>
      </c>
      <c r="O3922" s="17" t="s">
        <v>36</v>
      </c>
      <c r="P3922" s="12" t="s">
        <v>36</v>
      </c>
      <c r="Q3922" s="12" t="s">
        <v>36</v>
      </c>
      <c r="R3922" s="12" t="s">
        <v>36</v>
      </c>
      <c r="S3922" s="12" t="s">
        <v>36</v>
      </c>
      <c r="T3922" s="12" t="s">
        <v>9243</v>
      </c>
      <c r="U3922" s="12" t="s">
        <v>423</v>
      </c>
      <c r="V3922" s="12" t="s">
        <v>64</v>
      </c>
      <c r="W3922" s="12" t="s">
        <v>11540</v>
      </c>
      <c r="X3922" s="16" t="s">
        <v>19698</v>
      </c>
      <c r="Y3922" s="15" t="s">
        <v>42</v>
      </c>
      <c r="Z3922" s="14">
        <v>0.43</v>
      </c>
      <c r="AA3922" s="14">
        <v>1.85</v>
      </c>
      <c r="AB3922" s="12" t="s">
        <v>43</v>
      </c>
      <c r="AC3922" s="12" t="s">
        <v>11542</v>
      </c>
      <c r="AD3922" s="13">
        <v>43943</v>
      </c>
      <c r="AE3922" s="12" t="s">
        <v>427</v>
      </c>
      <c r="AF3922" s="12" t="s">
        <v>90</v>
      </c>
      <c r="AG3922" s="12" t="s">
        <v>3774</v>
      </c>
      <c r="AH3922" s="1">
        <f>HYPERLINK("https://my.pitchbook.com?c=140716-27T","View Company Online")</f>
      </c>
    </row>
    <row r="3923">
      <c r="A3923" s="3" t="s">
        <v>19699</v>
      </c>
      <c r="B3923" s="3" t="s">
        <v>11932</v>
      </c>
      <c r="C3923" s="5" t="s">
        <v>36</v>
      </c>
      <c r="D3923" s="5" t="s">
        <v>36</v>
      </c>
      <c r="E3923" s="5" t="s">
        <v>36</v>
      </c>
      <c r="F3923" s="5" t="s">
        <v>36</v>
      </c>
      <c r="G3923" s="6" t="s">
        <v>326</v>
      </c>
      <c r="H3923" s="4">
        <v>81.06</v>
      </c>
      <c r="I3923" s="7">
        <v>29.15</v>
      </c>
      <c r="J3923" s="3" t="s">
        <v>521</v>
      </c>
      <c r="K3923" s="9" t="s">
        <v>36</v>
      </c>
      <c r="L3923" s="6" t="s">
        <v>36</v>
      </c>
      <c r="M3923" s="3" t="s">
        <v>36</v>
      </c>
      <c r="N3923" s="3" t="s">
        <v>36</v>
      </c>
      <c r="O3923" s="8" t="s">
        <v>36</v>
      </c>
      <c r="P3923" s="3" t="s">
        <v>36</v>
      </c>
      <c r="Q3923" s="3" t="s">
        <v>36</v>
      </c>
      <c r="R3923" s="3" t="s">
        <v>36</v>
      </c>
      <c r="S3923" s="3" t="s">
        <v>36</v>
      </c>
      <c r="T3923" s="3" t="s">
        <v>9522</v>
      </c>
      <c r="U3923" s="3" t="s">
        <v>423</v>
      </c>
      <c r="V3923" s="3" t="s">
        <v>64</v>
      </c>
      <c r="W3923" s="3" t="s">
        <v>11933</v>
      </c>
      <c r="X3923" s="10" t="s">
        <v>19700</v>
      </c>
      <c r="Y3923" s="6" t="s">
        <v>108</v>
      </c>
      <c r="Z3923" s="4">
        <v>0.96</v>
      </c>
      <c r="AA3923" s="4">
        <v>3.3</v>
      </c>
      <c r="AB3923" s="3" t="s">
        <v>43</v>
      </c>
      <c r="AC3923" s="3" t="s">
        <v>11935</v>
      </c>
      <c r="AD3923" s="9">
        <v>43943</v>
      </c>
      <c r="AE3923" s="3" t="s">
        <v>2871</v>
      </c>
      <c r="AF3923" s="3" t="s">
        <v>36</v>
      </c>
      <c r="AG3923" s="3" t="s">
        <v>11936</v>
      </c>
      <c r="AH3923" s="11">
        <f>HYPERLINK("https://my.pitchbook.com?c=196735-33T","View Company Online")</f>
      </c>
    </row>
    <row r="3924">
      <c r="A3924" s="12" t="s">
        <v>19701</v>
      </c>
      <c r="B3924" s="12" t="s">
        <v>5706</v>
      </c>
      <c r="C3924" s="19" t="s">
        <v>36</v>
      </c>
      <c r="D3924" s="19" t="s">
        <v>36</v>
      </c>
      <c r="E3924" s="19" t="s">
        <v>36</v>
      </c>
      <c r="F3924" s="19" t="s">
        <v>36</v>
      </c>
      <c r="G3924" s="15" t="s">
        <v>326</v>
      </c>
      <c r="H3924" s="14">
        <v>1.14</v>
      </c>
      <c r="I3924" s="18">
        <v>17.05</v>
      </c>
      <c r="J3924" s="12" t="s">
        <v>521</v>
      </c>
      <c r="K3924" s="13" t="s">
        <v>36</v>
      </c>
      <c r="L3924" s="15" t="s">
        <v>19702</v>
      </c>
      <c r="M3924" s="12" t="s">
        <v>36</v>
      </c>
      <c r="N3924" s="12" t="s">
        <v>19702</v>
      </c>
      <c r="O3924" s="17" t="s">
        <v>36</v>
      </c>
      <c r="P3924" s="12" t="s">
        <v>36</v>
      </c>
      <c r="Q3924" s="12" t="s">
        <v>36</v>
      </c>
      <c r="R3924" s="12" t="s">
        <v>36</v>
      </c>
      <c r="S3924" s="12" t="s">
        <v>36</v>
      </c>
      <c r="T3924" s="12" t="s">
        <v>5707</v>
      </c>
      <c r="U3924" s="12" t="s">
        <v>279</v>
      </c>
      <c r="V3924" s="12" t="s">
        <v>64</v>
      </c>
      <c r="W3924" s="12" t="s">
        <v>5708</v>
      </c>
      <c r="X3924" s="16" t="s">
        <v>19703</v>
      </c>
      <c r="Y3924" s="15" t="s">
        <v>1067</v>
      </c>
      <c r="Z3924" s="14">
        <v>64.37</v>
      </c>
      <c r="AA3924" s="14">
        <v>377.52</v>
      </c>
      <c r="AB3924" s="12" t="s">
        <v>56</v>
      </c>
      <c r="AC3924" s="12" t="s">
        <v>5711</v>
      </c>
      <c r="AD3924" s="13">
        <v>43942</v>
      </c>
      <c r="AE3924" s="12" t="s">
        <v>283</v>
      </c>
      <c r="AF3924" s="12" t="s">
        <v>2363</v>
      </c>
      <c r="AG3924" s="12" t="s">
        <v>81</v>
      </c>
      <c r="AH3924" s="1">
        <f>HYPERLINK("https://my.pitchbook.com?c=135384-85T","View Company Online")</f>
      </c>
    </row>
    <row r="3925">
      <c r="A3925" s="3" t="s">
        <v>19704</v>
      </c>
      <c r="B3925" s="3" t="s">
        <v>1845</v>
      </c>
      <c r="C3925" s="5" t="s">
        <v>36</v>
      </c>
      <c r="D3925" s="5" t="s">
        <v>36</v>
      </c>
      <c r="E3925" s="5" t="s">
        <v>36</v>
      </c>
      <c r="F3925" s="5" t="s">
        <v>36</v>
      </c>
      <c r="G3925" s="6" t="s">
        <v>326</v>
      </c>
      <c r="H3925" s="4">
        <v>30.17</v>
      </c>
      <c r="I3925" s="7">
        <v>8.23</v>
      </c>
      <c r="J3925" s="3" t="s">
        <v>521</v>
      </c>
      <c r="K3925" s="9" t="s">
        <v>36</v>
      </c>
      <c r="L3925" s="6" t="s">
        <v>1279</v>
      </c>
      <c r="M3925" s="3" t="s">
        <v>36</v>
      </c>
      <c r="N3925" s="3" t="s">
        <v>1279</v>
      </c>
      <c r="O3925" s="8" t="s">
        <v>36</v>
      </c>
      <c r="P3925" s="3" t="s">
        <v>36</v>
      </c>
      <c r="Q3925" s="3" t="s">
        <v>36</v>
      </c>
      <c r="R3925" s="3" t="s">
        <v>36</v>
      </c>
      <c r="S3925" s="3" t="s">
        <v>36</v>
      </c>
      <c r="T3925" s="3" t="s">
        <v>1847</v>
      </c>
      <c r="U3925" s="3" t="s">
        <v>956</v>
      </c>
      <c r="V3925" s="3" t="s">
        <v>405</v>
      </c>
      <c r="W3925" s="3" t="s">
        <v>1848</v>
      </c>
      <c r="X3925" s="10" t="s">
        <v>19705</v>
      </c>
      <c r="Y3925" s="6" t="s">
        <v>192</v>
      </c>
      <c r="Z3925" s="4">
        <v>54.53</v>
      </c>
      <c r="AA3925" s="4">
        <v>530.06</v>
      </c>
      <c r="AB3925" s="3" t="s">
        <v>56</v>
      </c>
      <c r="AC3925" s="3" t="s">
        <v>1850</v>
      </c>
      <c r="AD3925" s="9">
        <v>43941</v>
      </c>
      <c r="AE3925" s="3" t="s">
        <v>1851</v>
      </c>
      <c r="AF3925" s="3" t="s">
        <v>1852</v>
      </c>
      <c r="AG3925" s="3" t="s">
        <v>81</v>
      </c>
      <c r="AH3925" s="11">
        <f>HYPERLINK("https://my.pitchbook.com?c=135267-58T","View Company Online")</f>
      </c>
    </row>
    <row r="3926">
      <c r="A3926" s="12" t="s">
        <v>19706</v>
      </c>
      <c r="B3926" s="12" t="s">
        <v>19707</v>
      </c>
      <c r="C3926" s="19" t="s">
        <v>36</v>
      </c>
      <c r="D3926" s="19" t="s">
        <v>36</v>
      </c>
      <c r="E3926" s="19" t="s">
        <v>36</v>
      </c>
      <c r="F3926" s="19" t="s">
        <v>36</v>
      </c>
      <c r="G3926" s="15" t="s">
        <v>326</v>
      </c>
      <c r="H3926" s="14">
        <v>206.92</v>
      </c>
      <c r="I3926" s="18">
        <v>42.31</v>
      </c>
      <c r="J3926" s="12" t="s">
        <v>521</v>
      </c>
      <c r="K3926" s="13" t="s">
        <v>36</v>
      </c>
      <c r="L3926" s="15" t="s">
        <v>122</v>
      </c>
      <c r="M3926" s="12" t="s">
        <v>36</v>
      </c>
      <c r="N3926" s="12" t="s">
        <v>122</v>
      </c>
      <c r="O3926" s="17" t="s">
        <v>36</v>
      </c>
      <c r="P3926" s="12" t="s">
        <v>36</v>
      </c>
      <c r="Q3926" s="12" t="s">
        <v>36</v>
      </c>
      <c r="R3926" s="12" t="s">
        <v>36</v>
      </c>
      <c r="S3926" s="12" t="s">
        <v>36</v>
      </c>
      <c r="T3926" s="12" t="s">
        <v>11722</v>
      </c>
      <c r="U3926" s="12" t="s">
        <v>51</v>
      </c>
      <c r="V3926" s="12" t="s">
        <v>52</v>
      </c>
      <c r="W3926" s="12" t="s">
        <v>19708</v>
      </c>
      <c r="X3926" s="16" t="s">
        <v>19709</v>
      </c>
      <c r="Y3926" s="15" t="s">
        <v>42</v>
      </c>
      <c r="Z3926" s="14">
        <v>11.56</v>
      </c>
      <c r="AA3926" s="14">
        <v>27.32</v>
      </c>
      <c r="AB3926" s="12" t="s">
        <v>56</v>
      </c>
      <c r="AC3926" s="12" t="s">
        <v>19710</v>
      </c>
      <c r="AD3926" s="13">
        <v>43941</v>
      </c>
      <c r="AE3926" s="12" t="s">
        <v>58</v>
      </c>
      <c r="AF3926" s="12" t="s">
        <v>665</v>
      </c>
      <c r="AG3926" s="12" t="s">
        <v>652</v>
      </c>
      <c r="AH3926" s="1">
        <f>HYPERLINK("https://my.pitchbook.com?c=135553-06T","View Company Online")</f>
      </c>
    </row>
    <row r="3927">
      <c r="A3927" s="3" t="s">
        <v>19711</v>
      </c>
      <c r="B3927" s="3" t="s">
        <v>19712</v>
      </c>
      <c r="C3927" s="5" t="s">
        <v>36</v>
      </c>
      <c r="D3927" s="5" t="s">
        <v>36</v>
      </c>
      <c r="E3927" s="5" t="s">
        <v>36</v>
      </c>
      <c r="F3927" s="5" t="s">
        <v>36</v>
      </c>
      <c r="G3927" s="6" t="s">
        <v>36</v>
      </c>
      <c r="H3927" s="4">
        <v>2853.2</v>
      </c>
      <c r="I3927" s="7">
        <v>18.63</v>
      </c>
      <c r="J3927" s="3" t="s">
        <v>521</v>
      </c>
      <c r="K3927" s="9">
        <v>43101</v>
      </c>
      <c r="L3927" s="6" t="s">
        <v>36</v>
      </c>
      <c r="M3927" s="3" t="s">
        <v>36</v>
      </c>
      <c r="N3927" s="3" t="s">
        <v>36</v>
      </c>
      <c r="O3927" s="8" t="s">
        <v>36</v>
      </c>
      <c r="P3927" s="3" t="s">
        <v>36</v>
      </c>
      <c r="Q3927" s="3" t="s">
        <v>36</v>
      </c>
      <c r="R3927" s="3" t="s">
        <v>36</v>
      </c>
      <c r="S3927" s="3" t="s">
        <v>36</v>
      </c>
      <c r="T3927" s="3" t="s">
        <v>522</v>
      </c>
      <c r="U3927" s="3" t="s">
        <v>38</v>
      </c>
      <c r="V3927" s="3" t="s">
        <v>39</v>
      </c>
      <c r="W3927" s="3" t="s">
        <v>19713</v>
      </c>
      <c r="X3927" s="10" t="s">
        <v>19714</v>
      </c>
      <c r="Y3927" s="6" t="s">
        <v>42</v>
      </c>
      <c r="Z3927" s="4">
        <v>0.7</v>
      </c>
      <c r="AA3927" s="4">
        <v>3.76</v>
      </c>
      <c r="AB3927" s="3" t="s">
        <v>43</v>
      </c>
      <c r="AC3927" s="3" t="s">
        <v>19715</v>
      </c>
      <c r="AD3927" s="9">
        <v>43941</v>
      </c>
      <c r="AE3927" s="3" t="s">
        <v>110</v>
      </c>
      <c r="AF3927" s="3" t="s">
        <v>1103</v>
      </c>
      <c r="AG3927" s="3" t="s">
        <v>81</v>
      </c>
      <c r="AH3927" s="11">
        <f>HYPERLINK("https://my.pitchbook.com?c=155079-46T","View Company Online")</f>
      </c>
    </row>
    <row r="3928">
      <c r="A3928" s="12" t="s">
        <v>19716</v>
      </c>
      <c r="B3928" s="12" t="s">
        <v>19717</v>
      </c>
      <c r="C3928" s="19">
        <v>7</v>
      </c>
      <c r="D3928" s="19" t="s">
        <v>36</v>
      </c>
      <c r="E3928" s="19">
        <v>10</v>
      </c>
      <c r="F3928" s="19">
        <v>14</v>
      </c>
      <c r="G3928" s="15" t="s">
        <v>36</v>
      </c>
      <c r="H3928" s="14">
        <v>20.77</v>
      </c>
      <c r="I3928" s="18">
        <v>15.57</v>
      </c>
      <c r="J3928" s="12" t="s">
        <v>521</v>
      </c>
      <c r="K3928" s="13" t="s">
        <v>36</v>
      </c>
      <c r="L3928" s="15" t="s">
        <v>36</v>
      </c>
      <c r="M3928" s="12" t="s">
        <v>36</v>
      </c>
      <c r="N3928" s="12" t="s">
        <v>36</v>
      </c>
      <c r="O3928" s="17" t="s">
        <v>36</v>
      </c>
      <c r="P3928" s="12" t="s">
        <v>36</v>
      </c>
      <c r="Q3928" s="12" t="s">
        <v>36</v>
      </c>
      <c r="R3928" s="12" t="s">
        <v>36</v>
      </c>
      <c r="S3928" s="12" t="s">
        <v>19718</v>
      </c>
      <c r="T3928" s="12" t="s">
        <v>15345</v>
      </c>
      <c r="U3928" s="12" t="s">
        <v>318</v>
      </c>
      <c r="V3928" s="12" t="s">
        <v>39</v>
      </c>
      <c r="W3928" s="12" t="s">
        <v>19719</v>
      </c>
      <c r="X3928" s="16" t="s">
        <v>12909</v>
      </c>
      <c r="Y3928" s="15" t="s">
        <v>42</v>
      </c>
      <c r="Z3928" s="14">
        <v>0.82</v>
      </c>
      <c r="AA3928" s="14">
        <v>5.25</v>
      </c>
      <c r="AB3928" s="12" t="s">
        <v>43</v>
      </c>
      <c r="AC3928" s="12" t="s">
        <v>19720</v>
      </c>
      <c r="AD3928" s="13">
        <v>43938</v>
      </c>
      <c r="AE3928" s="12" t="s">
        <v>763</v>
      </c>
      <c r="AF3928" s="12" t="s">
        <v>571</v>
      </c>
      <c r="AG3928" s="12" t="s">
        <v>19721</v>
      </c>
      <c r="AH3928" s="1">
        <f>HYPERLINK("https://my.pitchbook.com?c=223960-51T","View Company Online")</f>
      </c>
    </row>
    <row r="3929">
      <c r="A3929" s="3" t="s">
        <v>19722</v>
      </c>
      <c r="B3929" s="3" t="s">
        <v>5313</v>
      </c>
      <c r="C3929" s="5" t="s">
        <v>36</v>
      </c>
      <c r="D3929" s="5" t="s">
        <v>36</v>
      </c>
      <c r="E3929" s="5" t="s">
        <v>36</v>
      </c>
      <c r="F3929" s="5" t="s">
        <v>36</v>
      </c>
      <c r="G3929" s="6" t="s">
        <v>36</v>
      </c>
      <c r="H3929" s="4" t="s">
        <v>36</v>
      </c>
      <c r="I3929" s="7" t="s">
        <v>36</v>
      </c>
      <c r="J3929" s="3" t="s">
        <v>36</v>
      </c>
      <c r="K3929" s="9" t="s">
        <v>36</v>
      </c>
      <c r="L3929" s="6" t="s">
        <v>36</v>
      </c>
      <c r="M3929" s="3" t="s">
        <v>36</v>
      </c>
      <c r="N3929" s="3" t="s">
        <v>36</v>
      </c>
      <c r="O3929" s="8" t="s">
        <v>36</v>
      </c>
      <c r="P3929" s="3" t="s">
        <v>36</v>
      </c>
      <c r="Q3929" s="3" t="s">
        <v>36</v>
      </c>
      <c r="R3929" s="3" t="s">
        <v>36</v>
      </c>
      <c r="S3929" s="3" t="s">
        <v>36</v>
      </c>
      <c r="T3929" s="3" t="s">
        <v>596</v>
      </c>
      <c r="U3929" s="3" t="s">
        <v>366</v>
      </c>
      <c r="V3929" s="3" t="s">
        <v>367</v>
      </c>
      <c r="W3929" s="3" t="s">
        <v>5314</v>
      </c>
      <c r="X3929" s="10" t="s">
        <v>19723</v>
      </c>
      <c r="Y3929" s="6" t="s">
        <v>55</v>
      </c>
      <c r="Z3929" s="4">
        <v>7.08</v>
      </c>
      <c r="AA3929" s="4" t="s">
        <v>36</v>
      </c>
      <c r="AB3929" s="3" t="s">
        <v>56</v>
      </c>
      <c r="AC3929" s="3" t="s">
        <v>5316</v>
      </c>
      <c r="AD3929" s="9">
        <v>43938</v>
      </c>
      <c r="AE3929" s="3" t="s">
        <v>600</v>
      </c>
      <c r="AF3929" s="3" t="s">
        <v>982</v>
      </c>
      <c r="AG3929" s="3" t="s">
        <v>5317</v>
      </c>
      <c r="AH3929" s="11">
        <f>HYPERLINK("https://my.pitchbook.com?c=137957-32T","View Company Online")</f>
      </c>
    </row>
    <row r="3930">
      <c r="A3930" s="12" t="s">
        <v>19724</v>
      </c>
      <c r="B3930" s="12" t="s">
        <v>6495</v>
      </c>
      <c r="C3930" s="19" t="s">
        <v>36</v>
      </c>
      <c r="D3930" s="19" t="s">
        <v>36</v>
      </c>
      <c r="E3930" s="19" t="s">
        <v>36</v>
      </c>
      <c r="F3930" s="19" t="s">
        <v>36</v>
      </c>
      <c r="G3930" s="15" t="s">
        <v>36</v>
      </c>
      <c r="H3930" s="14">
        <v>28.85</v>
      </c>
      <c r="I3930" s="18">
        <v>7.56</v>
      </c>
      <c r="J3930" s="12" t="s">
        <v>521</v>
      </c>
      <c r="K3930" s="13" t="s">
        <v>36</v>
      </c>
      <c r="L3930" s="15" t="s">
        <v>36</v>
      </c>
      <c r="M3930" s="12" t="s">
        <v>36</v>
      </c>
      <c r="N3930" s="12" t="s">
        <v>36</v>
      </c>
      <c r="O3930" s="17" t="s">
        <v>36</v>
      </c>
      <c r="P3930" s="12" t="s">
        <v>36</v>
      </c>
      <c r="Q3930" s="12" t="s">
        <v>36</v>
      </c>
      <c r="R3930" s="12" t="s">
        <v>36</v>
      </c>
      <c r="S3930" s="12" t="s">
        <v>36</v>
      </c>
      <c r="T3930" s="12" t="s">
        <v>6496</v>
      </c>
      <c r="U3930" s="12" t="s">
        <v>219</v>
      </c>
      <c r="V3930" s="12" t="s">
        <v>75</v>
      </c>
      <c r="W3930" s="12" t="s">
        <v>6497</v>
      </c>
      <c r="X3930" s="16" t="s">
        <v>19725</v>
      </c>
      <c r="Y3930" s="15" t="s">
        <v>42</v>
      </c>
      <c r="Z3930" s="14">
        <v>0.27</v>
      </c>
      <c r="AA3930" s="14">
        <v>3.54</v>
      </c>
      <c r="AB3930" s="12" t="s">
        <v>43</v>
      </c>
      <c r="AC3930" s="12" t="s">
        <v>6499</v>
      </c>
      <c r="AD3930" s="13">
        <v>43938</v>
      </c>
      <c r="AE3930" s="12" t="s">
        <v>223</v>
      </c>
      <c r="AF3930" s="12" t="s">
        <v>6500</v>
      </c>
      <c r="AG3930" s="12" t="s">
        <v>2542</v>
      </c>
      <c r="AH3930" s="1">
        <f>HYPERLINK("https://my.pitchbook.com?c=134802-82T","View Company Online")</f>
      </c>
    </row>
    <row r="3931">
      <c r="A3931" s="3" t="s">
        <v>19726</v>
      </c>
      <c r="B3931" s="3" t="s">
        <v>6336</v>
      </c>
      <c r="C3931" s="5">
        <v>12</v>
      </c>
      <c r="D3931" s="5">
        <v>6</v>
      </c>
      <c r="E3931" s="5">
        <v>4</v>
      </c>
      <c r="F3931" s="5">
        <v>18</v>
      </c>
      <c r="G3931" s="6" t="s">
        <v>36</v>
      </c>
      <c r="H3931" s="4">
        <v>2320.82</v>
      </c>
      <c r="I3931" s="7">
        <v>30.75</v>
      </c>
      <c r="J3931" s="3" t="s">
        <v>521</v>
      </c>
      <c r="K3931" s="9" t="s">
        <v>36</v>
      </c>
      <c r="L3931" s="6" t="s">
        <v>36</v>
      </c>
      <c r="M3931" s="3" t="s">
        <v>36</v>
      </c>
      <c r="N3931" s="3" t="s">
        <v>36</v>
      </c>
      <c r="O3931" s="8" t="s">
        <v>36</v>
      </c>
      <c r="P3931" s="3" t="s">
        <v>36</v>
      </c>
      <c r="Q3931" s="3" t="s">
        <v>36</v>
      </c>
      <c r="R3931" s="3" t="s">
        <v>36</v>
      </c>
      <c r="S3931" s="3" t="s">
        <v>36</v>
      </c>
      <c r="T3931" s="3" t="s">
        <v>4155</v>
      </c>
      <c r="U3931" s="3" t="s">
        <v>1082</v>
      </c>
      <c r="V3931" s="3" t="s">
        <v>378</v>
      </c>
      <c r="W3931" s="3" t="s">
        <v>6337</v>
      </c>
      <c r="X3931" s="10" t="s">
        <v>19727</v>
      </c>
      <c r="Y3931" s="6" t="s">
        <v>108</v>
      </c>
      <c r="Z3931" s="4">
        <v>1.16</v>
      </c>
      <c r="AA3931" s="4">
        <v>3.78</v>
      </c>
      <c r="AB3931" s="3" t="s">
        <v>43</v>
      </c>
      <c r="AC3931" s="3" t="s">
        <v>6339</v>
      </c>
      <c r="AD3931" s="9">
        <v>43938</v>
      </c>
      <c r="AE3931" s="3" t="s">
        <v>1086</v>
      </c>
      <c r="AF3931" s="3" t="s">
        <v>1781</v>
      </c>
      <c r="AG3931" s="3" t="s">
        <v>6340</v>
      </c>
      <c r="AH3931" s="11">
        <f>HYPERLINK("https://my.pitchbook.com?c=135841-06T","View Company Online")</f>
      </c>
    </row>
    <row r="3932">
      <c r="A3932" s="12" t="s">
        <v>19728</v>
      </c>
      <c r="B3932" s="12" t="s">
        <v>12994</v>
      </c>
      <c r="C3932" s="19" t="s">
        <v>36</v>
      </c>
      <c r="D3932" s="19" t="s">
        <v>36</v>
      </c>
      <c r="E3932" s="19" t="s">
        <v>36</v>
      </c>
      <c r="F3932" s="19" t="s">
        <v>36</v>
      </c>
      <c r="G3932" s="15" t="s">
        <v>36</v>
      </c>
      <c r="H3932" s="14">
        <v>69.71</v>
      </c>
      <c r="I3932" s="18">
        <v>14.87</v>
      </c>
      <c r="J3932" s="12" t="s">
        <v>521</v>
      </c>
      <c r="K3932" s="13" t="s">
        <v>36</v>
      </c>
      <c r="L3932" s="15" t="s">
        <v>36</v>
      </c>
      <c r="M3932" s="12" t="s">
        <v>36</v>
      </c>
      <c r="N3932" s="12" t="s">
        <v>36</v>
      </c>
      <c r="O3932" s="17" t="s">
        <v>36</v>
      </c>
      <c r="P3932" s="12" t="s">
        <v>36</v>
      </c>
      <c r="Q3932" s="12" t="s">
        <v>36</v>
      </c>
      <c r="R3932" s="12" t="s">
        <v>36</v>
      </c>
      <c r="S3932" s="12" t="s">
        <v>36</v>
      </c>
      <c r="T3932" s="12" t="s">
        <v>7415</v>
      </c>
      <c r="U3932" s="12" t="s">
        <v>38</v>
      </c>
      <c r="V3932" s="12" t="s">
        <v>39</v>
      </c>
      <c r="W3932" s="12" t="s">
        <v>12995</v>
      </c>
      <c r="X3932" s="16" t="s">
        <v>19729</v>
      </c>
      <c r="Y3932" s="15" t="s">
        <v>42</v>
      </c>
      <c r="Z3932" s="14">
        <v>6.11</v>
      </c>
      <c r="AA3932" s="14">
        <v>20.22</v>
      </c>
      <c r="AB3932" s="12" t="s">
        <v>56</v>
      </c>
      <c r="AC3932" s="12" t="s">
        <v>12997</v>
      </c>
      <c r="AD3932" s="13">
        <v>43937</v>
      </c>
      <c r="AE3932" s="12" t="s">
        <v>1422</v>
      </c>
      <c r="AF3932" s="12" t="s">
        <v>4284</v>
      </c>
      <c r="AG3932" s="12" t="s">
        <v>12998</v>
      </c>
      <c r="AH3932" s="1">
        <f>HYPERLINK("https://my.pitchbook.com?c=135548-56T","View Company Online")</f>
      </c>
    </row>
    <row r="3933">
      <c r="A3933" s="3" t="s">
        <v>19730</v>
      </c>
      <c r="B3933" s="3" t="s">
        <v>19731</v>
      </c>
      <c r="C3933" s="5" t="s">
        <v>36</v>
      </c>
      <c r="D3933" s="5" t="s">
        <v>36</v>
      </c>
      <c r="E3933" s="5" t="s">
        <v>36</v>
      </c>
      <c r="F3933" s="5" t="s">
        <v>36</v>
      </c>
      <c r="G3933" s="6" t="s">
        <v>36</v>
      </c>
      <c r="H3933" s="4">
        <v>31.16</v>
      </c>
      <c r="I3933" s="7">
        <v>28.57</v>
      </c>
      <c r="J3933" s="3" t="s">
        <v>521</v>
      </c>
      <c r="K3933" s="9" t="s">
        <v>36</v>
      </c>
      <c r="L3933" s="6" t="s">
        <v>36</v>
      </c>
      <c r="M3933" s="3" t="s">
        <v>36</v>
      </c>
      <c r="N3933" s="3" t="s">
        <v>36</v>
      </c>
      <c r="O3933" s="8" t="s">
        <v>36</v>
      </c>
      <c r="P3933" s="3" t="s">
        <v>36</v>
      </c>
      <c r="Q3933" s="3" t="s">
        <v>36</v>
      </c>
      <c r="R3933" s="3" t="s">
        <v>36</v>
      </c>
      <c r="S3933" s="3" t="s">
        <v>36</v>
      </c>
      <c r="T3933" s="3" t="s">
        <v>123</v>
      </c>
      <c r="U3933" s="3" t="s">
        <v>38</v>
      </c>
      <c r="V3933" s="3" t="s">
        <v>39</v>
      </c>
      <c r="W3933" s="3" t="s">
        <v>19732</v>
      </c>
      <c r="X3933" s="10" t="s">
        <v>19733</v>
      </c>
      <c r="Y3933" s="6" t="s">
        <v>42</v>
      </c>
      <c r="Z3933" s="4">
        <v>0.65</v>
      </c>
      <c r="AA3933" s="4">
        <v>2.29</v>
      </c>
      <c r="AB3933" s="3" t="s">
        <v>43</v>
      </c>
      <c r="AC3933" s="3" t="s">
        <v>19734</v>
      </c>
      <c r="AD3933" s="9">
        <v>43937</v>
      </c>
      <c r="AE3933" s="3" t="s">
        <v>110</v>
      </c>
      <c r="AF3933" s="3" t="s">
        <v>176</v>
      </c>
      <c r="AG3933" s="3" t="s">
        <v>81</v>
      </c>
      <c r="AH3933" s="11">
        <f>HYPERLINK("https://my.pitchbook.com?c=140333-50T","View Company Online")</f>
      </c>
    </row>
    <row r="3934">
      <c r="A3934" s="12" t="s">
        <v>19735</v>
      </c>
      <c r="B3934" s="12" t="s">
        <v>19736</v>
      </c>
      <c r="C3934" s="19" t="s">
        <v>36</v>
      </c>
      <c r="D3934" s="19" t="s">
        <v>36</v>
      </c>
      <c r="E3934" s="19">
        <v>1</v>
      </c>
      <c r="F3934" s="19">
        <v>1</v>
      </c>
      <c r="G3934" s="15" t="s">
        <v>326</v>
      </c>
      <c r="H3934" s="14">
        <v>70.62</v>
      </c>
      <c r="I3934" s="18">
        <v>38.52</v>
      </c>
      <c r="J3934" s="12" t="s">
        <v>521</v>
      </c>
      <c r="K3934" s="13" t="s">
        <v>36</v>
      </c>
      <c r="L3934" s="15" t="s">
        <v>94</v>
      </c>
      <c r="M3934" s="12" t="s">
        <v>36</v>
      </c>
      <c r="N3934" s="12" t="s">
        <v>94</v>
      </c>
      <c r="O3934" s="17" t="s">
        <v>36</v>
      </c>
      <c r="P3934" s="12" t="s">
        <v>36</v>
      </c>
      <c r="Q3934" s="12" t="s">
        <v>36</v>
      </c>
      <c r="R3934" s="12" t="s">
        <v>36</v>
      </c>
      <c r="S3934" s="12" t="s">
        <v>36</v>
      </c>
      <c r="T3934" s="12" t="s">
        <v>19737</v>
      </c>
      <c r="U3934" s="12" t="s">
        <v>38</v>
      </c>
      <c r="V3934" s="12" t="s">
        <v>39</v>
      </c>
      <c r="W3934" s="12" t="s">
        <v>19738</v>
      </c>
      <c r="X3934" s="16" t="s">
        <v>19739</v>
      </c>
      <c r="Y3934" s="15" t="s">
        <v>108</v>
      </c>
      <c r="Z3934" s="14">
        <v>3.38</v>
      </c>
      <c r="AA3934" s="14">
        <v>8.77</v>
      </c>
      <c r="AB3934" s="12" t="s">
        <v>56</v>
      </c>
      <c r="AC3934" s="12" t="s">
        <v>19740</v>
      </c>
      <c r="AD3934" s="13">
        <v>43937</v>
      </c>
      <c r="AE3934" s="12" t="s">
        <v>110</v>
      </c>
      <c r="AF3934" s="12" t="s">
        <v>275</v>
      </c>
      <c r="AG3934" s="12" t="s">
        <v>81</v>
      </c>
      <c r="AH3934" s="1">
        <f>HYPERLINK("https://my.pitchbook.com?c=135756-37T","View Company Online")</f>
      </c>
    </row>
    <row r="3935">
      <c r="A3935" s="3" t="s">
        <v>19741</v>
      </c>
      <c r="B3935" s="3" t="s">
        <v>19742</v>
      </c>
      <c r="C3935" s="5" t="s">
        <v>36</v>
      </c>
      <c r="D3935" s="5" t="s">
        <v>36</v>
      </c>
      <c r="E3935" s="5" t="s">
        <v>36</v>
      </c>
      <c r="F3935" s="5" t="s">
        <v>36</v>
      </c>
      <c r="G3935" s="6" t="s">
        <v>36</v>
      </c>
      <c r="H3935" s="4">
        <v>97.1</v>
      </c>
      <c r="I3935" s="7">
        <v>21.51</v>
      </c>
      <c r="J3935" s="3" t="s">
        <v>521</v>
      </c>
      <c r="K3935" s="9" t="s">
        <v>36</v>
      </c>
      <c r="L3935" s="6" t="s">
        <v>36</v>
      </c>
      <c r="M3935" s="3" t="s">
        <v>36</v>
      </c>
      <c r="N3935" s="3" t="s">
        <v>36</v>
      </c>
      <c r="O3935" s="8" t="s">
        <v>36</v>
      </c>
      <c r="P3935" s="3" t="s">
        <v>36</v>
      </c>
      <c r="Q3935" s="3" t="s">
        <v>36</v>
      </c>
      <c r="R3935" s="3" t="s">
        <v>36</v>
      </c>
      <c r="S3935" s="3" t="s">
        <v>36</v>
      </c>
      <c r="T3935" s="3" t="s">
        <v>19743</v>
      </c>
      <c r="U3935" s="3" t="s">
        <v>38</v>
      </c>
      <c r="V3935" s="3" t="s">
        <v>39</v>
      </c>
      <c r="W3935" s="3" t="s">
        <v>19744</v>
      </c>
      <c r="X3935" s="10" t="s">
        <v>19745</v>
      </c>
      <c r="Y3935" s="6" t="s">
        <v>42</v>
      </c>
      <c r="Z3935" s="4">
        <v>0.3</v>
      </c>
      <c r="AA3935" s="4">
        <v>1.39</v>
      </c>
      <c r="AB3935" s="3" t="s">
        <v>43</v>
      </c>
      <c r="AC3935" s="3" t="s">
        <v>19746</v>
      </c>
      <c r="AD3935" s="9">
        <v>43936</v>
      </c>
      <c r="AE3935" s="3" t="s">
        <v>45</v>
      </c>
      <c r="AF3935" s="3" t="s">
        <v>6316</v>
      </c>
      <c r="AG3935" s="3" t="s">
        <v>186</v>
      </c>
      <c r="AH3935" s="11">
        <f>HYPERLINK("https://my.pitchbook.com?c=136261-00T","View Company Online")</f>
      </c>
    </row>
    <row r="3936">
      <c r="A3936" s="12" t="s">
        <v>19747</v>
      </c>
      <c r="B3936" s="12" t="s">
        <v>15367</v>
      </c>
      <c r="C3936" s="19" t="s">
        <v>36</v>
      </c>
      <c r="D3936" s="19" t="s">
        <v>36</v>
      </c>
      <c r="E3936" s="19" t="s">
        <v>36</v>
      </c>
      <c r="F3936" s="19" t="s">
        <v>36</v>
      </c>
      <c r="G3936" s="15" t="s">
        <v>2497</v>
      </c>
      <c r="H3936" s="14">
        <v>8.11</v>
      </c>
      <c r="I3936" s="18">
        <v>27.65</v>
      </c>
      <c r="J3936" s="12" t="s">
        <v>521</v>
      </c>
      <c r="K3936" s="13" t="s">
        <v>36</v>
      </c>
      <c r="L3936" s="15" t="s">
        <v>36</v>
      </c>
      <c r="M3936" s="12" t="s">
        <v>36</v>
      </c>
      <c r="N3936" s="12" t="s">
        <v>36</v>
      </c>
      <c r="O3936" s="17" t="s">
        <v>36</v>
      </c>
      <c r="P3936" s="12" t="s">
        <v>36</v>
      </c>
      <c r="Q3936" s="12" t="s">
        <v>36</v>
      </c>
      <c r="R3936" s="12" t="s">
        <v>36</v>
      </c>
      <c r="S3936" s="12" t="s">
        <v>36</v>
      </c>
      <c r="T3936" s="12" t="s">
        <v>2044</v>
      </c>
      <c r="U3936" s="12" t="s">
        <v>74</v>
      </c>
      <c r="V3936" s="12" t="s">
        <v>75</v>
      </c>
      <c r="W3936" s="12" t="s">
        <v>15368</v>
      </c>
      <c r="X3936" s="16" t="s">
        <v>19748</v>
      </c>
      <c r="Y3936" s="15" t="s">
        <v>55</v>
      </c>
      <c r="Z3936" s="14">
        <v>1.63</v>
      </c>
      <c r="AA3936" s="14">
        <v>5.89</v>
      </c>
      <c r="AB3936" s="12" t="s">
        <v>56</v>
      </c>
      <c r="AC3936" s="12" t="s">
        <v>15370</v>
      </c>
      <c r="AD3936" s="13">
        <v>43935</v>
      </c>
      <c r="AE3936" s="12" t="s">
        <v>79</v>
      </c>
      <c r="AF3936" s="12" t="s">
        <v>80</v>
      </c>
      <c r="AG3936" s="12" t="s">
        <v>81</v>
      </c>
      <c r="AH3936" s="1">
        <f>HYPERLINK("https://my.pitchbook.com?c=135023-32T","View Company Online")</f>
      </c>
    </row>
    <row r="3937">
      <c r="A3937" s="3" t="s">
        <v>19749</v>
      </c>
      <c r="B3937" s="3" t="s">
        <v>10267</v>
      </c>
      <c r="C3937" s="5">
        <v>8</v>
      </c>
      <c r="D3937" s="5">
        <v>28</v>
      </c>
      <c r="E3937" s="5">
        <v>6</v>
      </c>
      <c r="F3937" s="5">
        <v>37</v>
      </c>
      <c r="G3937" s="6" t="s">
        <v>36</v>
      </c>
      <c r="H3937" s="4" t="s">
        <v>36</v>
      </c>
      <c r="I3937" s="7" t="s">
        <v>36</v>
      </c>
      <c r="J3937" s="3" t="s">
        <v>36</v>
      </c>
      <c r="K3937" s="9" t="s">
        <v>36</v>
      </c>
      <c r="L3937" s="6" t="s">
        <v>36</v>
      </c>
      <c r="M3937" s="3" t="s">
        <v>36</v>
      </c>
      <c r="N3937" s="3" t="s">
        <v>36</v>
      </c>
      <c r="O3937" s="8" t="s">
        <v>36</v>
      </c>
      <c r="P3937" s="3" t="s">
        <v>36</v>
      </c>
      <c r="Q3937" s="3" t="s">
        <v>36</v>
      </c>
      <c r="R3937" s="3" t="s">
        <v>36</v>
      </c>
      <c r="S3937" s="3" t="s">
        <v>36</v>
      </c>
      <c r="T3937" s="3" t="s">
        <v>10268</v>
      </c>
      <c r="U3937" s="3" t="s">
        <v>51</v>
      </c>
      <c r="V3937" s="3" t="s">
        <v>52</v>
      </c>
      <c r="W3937" s="3" t="s">
        <v>10269</v>
      </c>
      <c r="X3937" s="10" t="s">
        <v>19750</v>
      </c>
      <c r="Y3937" s="6" t="s">
        <v>42</v>
      </c>
      <c r="Z3937" s="4">
        <v>1.64</v>
      </c>
      <c r="AA3937" s="4" t="s">
        <v>36</v>
      </c>
      <c r="AB3937" s="3" t="s">
        <v>43</v>
      </c>
      <c r="AC3937" s="3" t="s">
        <v>10271</v>
      </c>
      <c r="AD3937" s="9">
        <v>43935</v>
      </c>
      <c r="AE3937" s="3" t="s">
        <v>6868</v>
      </c>
      <c r="AF3937" s="3" t="s">
        <v>101</v>
      </c>
      <c r="AG3937" s="3" t="s">
        <v>1276</v>
      </c>
      <c r="AH3937" s="11">
        <f>HYPERLINK("https://my.pitchbook.com?c=134997-31T","View Company Online")</f>
      </c>
    </row>
    <row r="3938">
      <c r="A3938" s="12" t="s">
        <v>19751</v>
      </c>
      <c r="B3938" s="12" t="s">
        <v>19752</v>
      </c>
      <c r="C3938" s="19" t="s">
        <v>36</v>
      </c>
      <c r="D3938" s="19" t="s">
        <v>36</v>
      </c>
      <c r="E3938" s="19" t="s">
        <v>36</v>
      </c>
      <c r="F3938" s="19" t="s">
        <v>36</v>
      </c>
      <c r="G3938" s="15" t="s">
        <v>36</v>
      </c>
      <c r="H3938" s="14">
        <v>82.05</v>
      </c>
      <c r="I3938" s="18">
        <v>14.57</v>
      </c>
      <c r="J3938" s="12" t="s">
        <v>521</v>
      </c>
      <c r="K3938" s="13" t="s">
        <v>36</v>
      </c>
      <c r="L3938" s="15" t="s">
        <v>36</v>
      </c>
      <c r="M3938" s="12" t="s">
        <v>36</v>
      </c>
      <c r="N3938" s="12" t="s">
        <v>36</v>
      </c>
      <c r="O3938" s="17" t="s">
        <v>36</v>
      </c>
      <c r="P3938" s="12" t="s">
        <v>36</v>
      </c>
      <c r="Q3938" s="12" t="s">
        <v>36</v>
      </c>
      <c r="R3938" s="12" t="s">
        <v>36</v>
      </c>
      <c r="S3938" s="12" t="s">
        <v>36</v>
      </c>
      <c r="T3938" s="12" t="s">
        <v>1048</v>
      </c>
      <c r="U3938" s="12" t="s">
        <v>423</v>
      </c>
      <c r="V3938" s="12" t="s">
        <v>64</v>
      </c>
      <c r="W3938" s="12" t="s">
        <v>19753</v>
      </c>
      <c r="X3938" s="16" t="s">
        <v>19754</v>
      </c>
      <c r="Y3938" s="15" t="s">
        <v>42</v>
      </c>
      <c r="Z3938" s="14">
        <v>0.15</v>
      </c>
      <c r="AA3938" s="14">
        <v>1.01</v>
      </c>
      <c r="AB3938" s="12" t="s">
        <v>56</v>
      </c>
      <c r="AC3938" s="12" t="s">
        <v>19755</v>
      </c>
      <c r="AD3938" s="13">
        <v>43935</v>
      </c>
      <c r="AE3938" s="12" t="s">
        <v>1051</v>
      </c>
      <c r="AF3938" s="12" t="s">
        <v>90</v>
      </c>
      <c r="AG3938" s="12" t="s">
        <v>19756</v>
      </c>
      <c r="AH3938" s="1">
        <f>HYPERLINK("https://my.pitchbook.com?c=155062-90T","View Company Online")</f>
      </c>
    </row>
    <row r="3939">
      <c r="A3939" s="3" t="s">
        <v>19757</v>
      </c>
      <c r="B3939" s="3" t="s">
        <v>15988</v>
      </c>
      <c r="C3939" s="5">
        <v>5</v>
      </c>
      <c r="D3939" s="5">
        <v>18</v>
      </c>
      <c r="E3939" s="5">
        <v>3</v>
      </c>
      <c r="F3939" s="5">
        <v>26</v>
      </c>
      <c r="G3939" s="6" t="s">
        <v>36</v>
      </c>
      <c r="H3939" s="4" t="s">
        <v>36</v>
      </c>
      <c r="I3939" s="7" t="s">
        <v>36</v>
      </c>
      <c r="J3939" s="3" t="s">
        <v>36</v>
      </c>
      <c r="K3939" s="9" t="s">
        <v>36</v>
      </c>
      <c r="L3939" s="6" t="s">
        <v>36</v>
      </c>
      <c r="M3939" s="3" t="s">
        <v>36</v>
      </c>
      <c r="N3939" s="3" t="s">
        <v>36</v>
      </c>
      <c r="O3939" s="8" t="s">
        <v>36</v>
      </c>
      <c r="P3939" s="3" t="s">
        <v>36</v>
      </c>
      <c r="Q3939" s="3" t="s">
        <v>36</v>
      </c>
      <c r="R3939" s="3" t="s">
        <v>36</v>
      </c>
      <c r="S3939" s="3" t="s">
        <v>36</v>
      </c>
      <c r="T3939" s="3" t="s">
        <v>1048</v>
      </c>
      <c r="U3939" s="3" t="s">
        <v>423</v>
      </c>
      <c r="V3939" s="3" t="s">
        <v>64</v>
      </c>
      <c r="W3939" s="3" t="s">
        <v>15989</v>
      </c>
      <c r="X3939" s="10" t="s">
        <v>12817</v>
      </c>
      <c r="Y3939" s="6" t="s">
        <v>42</v>
      </c>
      <c r="Z3939" s="4" t="s">
        <v>36</v>
      </c>
      <c r="AA3939" s="4" t="s">
        <v>36</v>
      </c>
      <c r="AB3939" s="3" t="s">
        <v>56</v>
      </c>
      <c r="AC3939" s="3" t="s">
        <v>15990</v>
      </c>
      <c r="AD3939" s="9">
        <v>43929</v>
      </c>
      <c r="AE3939" s="3" t="s">
        <v>1051</v>
      </c>
      <c r="AF3939" s="3" t="s">
        <v>15794</v>
      </c>
      <c r="AG3939" s="3" t="s">
        <v>15991</v>
      </c>
      <c r="AH3939" s="11">
        <f>HYPERLINK("https://my.pitchbook.com?c=178195-96T","View Company Online")</f>
      </c>
    </row>
    <row r="3940">
      <c r="A3940" s="12" t="s">
        <v>19758</v>
      </c>
      <c r="B3940" s="12" t="s">
        <v>19759</v>
      </c>
      <c r="C3940" s="19" t="s">
        <v>36</v>
      </c>
      <c r="D3940" s="19" t="s">
        <v>36</v>
      </c>
      <c r="E3940" s="19" t="s">
        <v>36</v>
      </c>
      <c r="F3940" s="19" t="s">
        <v>36</v>
      </c>
      <c r="G3940" s="15" t="s">
        <v>36</v>
      </c>
      <c r="H3940" s="14" t="s">
        <v>36</v>
      </c>
      <c r="I3940" s="18" t="s">
        <v>36</v>
      </c>
      <c r="J3940" s="12" t="s">
        <v>36</v>
      </c>
      <c r="K3940" s="13" t="s">
        <v>36</v>
      </c>
      <c r="L3940" s="15" t="s">
        <v>36</v>
      </c>
      <c r="M3940" s="12" t="s">
        <v>36</v>
      </c>
      <c r="N3940" s="12" t="s">
        <v>36</v>
      </c>
      <c r="O3940" s="17" t="s">
        <v>36</v>
      </c>
      <c r="P3940" s="12" t="s">
        <v>36</v>
      </c>
      <c r="Q3940" s="12" t="s">
        <v>36</v>
      </c>
      <c r="R3940" s="12" t="s">
        <v>36</v>
      </c>
      <c r="S3940" s="12" t="s">
        <v>36</v>
      </c>
      <c r="T3940" s="12" t="s">
        <v>3125</v>
      </c>
      <c r="U3940" s="12" t="s">
        <v>279</v>
      </c>
      <c r="V3940" s="12" t="s">
        <v>64</v>
      </c>
      <c r="W3940" s="12" t="s">
        <v>19760</v>
      </c>
      <c r="X3940" s="16" t="s">
        <v>12817</v>
      </c>
      <c r="Y3940" s="15" t="s">
        <v>42</v>
      </c>
      <c r="Z3940" s="14" t="s">
        <v>36</v>
      </c>
      <c r="AA3940" s="14" t="s">
        <v>36</v>
      </c>
      <c r="AB3940" s="12" t="s">
        <v>56</v>
      </c>
      <c r="AC3940" s="12" t="s">
        <v>19761</v>
      </c>
      <c r="AD3940" s="13">
        <v>43929</v>
      </c>
      <c r="AE3940" s="12" t="s">
        <v>283</v>
      </c>
      <c r="AF3940" s="12" t="s">
        <v>118</v>
      </c>
      <c r="AG3940" s="12" t="s">
        <v>18993</v>
      </c>
      <c r="AH3940" s="1">
        <f>HYPERLINK("https://my.pitchbook.com?c=178202-26T","View Company Online")</f>
      </c>
    </row>
    <row r="3941">
      <c r="A3941" s="3" t="s">
        <v>19762</v>
      </c>
      <c r="B3941" s="3" t="s">
        <v>19763</v>
      </c>
      <c r="C3941" s="5" t="s">
        <v>36</v>
      </c>
      <c r="D3941" s="5" t="s">
        <v>36</v>
      </c>
      <c r="E3941" s="5" t="s">
        <v>36</v>
      </c>
      <c r="F3941" s="5" t="s">
        <v>36</v>
      </c>
      <c r="G3941" s="6" t="s">
        <v>36</v>
      </c>
      <c r="H3941" s="4" t="s">
        <v>36</v>
      </c>
      <c r="I3941" s="7" t="s">
        <v>36</v>
      </c>
      <c r="J3941" s="3" t="s">
        <v>36</v>
      </c>
      <c r="K3941" s="9" t="s">
        <v>36</v>
      </c>
      <c r="L3941" s="6" t="s">
        <v>36</v>
      </c>
      <c r="M3941" s="3" t="s">
        <v>36</v>
      </c>
      <c r="N3941" s="3" t="s">
        <v>36</v>
      </c>
      <c r="O3941" s="8" t="s">
        <v>36</v>
      </c>
      <c r="P3941" s="3" t="s">
        <v>36</v>
      </c>
      <c r="Q3941" s="3" t="s">
        <v>36</v>
      </c>
      <c r="R3941" s="3" t="s">
        <v>36</v>
      </c>
      <c r="S3941" s="3" t="s">
        <v>36</v>
      </c>
      <c r="T3941" s="3" t="s">
        <v>1335</v>
      </c>
      <c r="U3941" s="3" t="s">
        <v>1336</v>
      </c>
      <c r="V3941" s="3" t="s">
        <v>367</v>
      </c>
      <c r="W3941" s="3" t="s">
        <v>19764</v>
      </c>
      <c r="X3941" s="10" t="s">
        <v>12817</v>
      </c>
      <c r="Y3941" s="6" t="s">
        <v>42</v>
      </c>
      <c r="Z3941" s="4" t="s">
        <v>36</v>
      </c>
      <c r="AA3941" s="4" t="s">
        <v>36</v>
      </c>
      <c r="AB3941" s="3" t="s">
        <v>56</v>
      </c>
      <c r="AC3941" s="3" t="s">
        <v>19765</v>
      </c>
      <c r="AD3941" s="9">
        <v>43929</v>
      </c>
      <c r="AE3941" s="3" t="s">
        <v>1339</v>
      </c>
      <c r="AF3941" s="3" t="s">
        <v>372</v>
      </c>
      <c r="AG3941" s="3" t="s">
        <v>19766</v>
      </c>
      <c r="AH3941" s="11">
        <f>HYPERLINK("https://my.pitchbook.com?c=179455-51T","View Company Online")</f>
      </c>
    </row>
    <row r="3942">
      <c r="A3942" s="12" t="s">
        <v>19767</v>
      </c>
      <c r="B3942" s="12" t="s">
        <v>19768</v>
      </c>
      <c r="C3942" s="19" t="s">
        <v>36</v>
      </c>
      <c r="D3942" s="19">
        <v>6</v>
      </c>
      <c r="E3942" s="19">
        <v>3</v>
      </c>
      <c r="F3942" s="19">
        <v>6</v>
      </c>
      <c r="G3942" s="15" t="s">
        <v>2497</v>
      </c>
      <c r="H3942" s="14">
        <v>5.17</v>
      </c>
      <c r="I3942" s="18">
        <v>14.61</v>
      </c>
      <c r="J3942" s="12" t="s">
        <v>521</v>
      </c>
      <c r="K3942" s="13" t="s">
        <v>36</v>
      </c>
      <c r="L3942" s="15" t="s">
        <v>36</v>
      </c>
      <c r="M3942" s="12" t="s">
        <v>36</v>
      </c>
      <c r="N3942" s="12" t="s">
        <v>36</v>
      </c>
      <c r="O3942" s="17" t="s">
        <v>36</v>
      </c>
      <c r="P3942" s="12" t="s">
        <v>36</v>
      </c>
      <c r="Q3942" s="12" t="s">
        <v>36</v>
      </c>
      <c r="R3942" s="12" t="s">
        <v>36</v>
      </c>
      <c r="S3942" s="12" t="s">
        <v>36</v>
      </c>
      <c r="T3942" s="12" t="s">
        <v>19769</v>
      </c>
      <c r="U3942" s="12" t="s">
        <v>423</v>
      </c>
      <c r="V3942" s="12" t="s">
        <v>64</v>
      </c>
      <c r="W3942" s="12" t="s">
        <v>19770</v>
      </c>
      <c r="X3942" s="16" t="s">
        <v>19771</v>
      </c>
      <c r="Y3942" s="15" t="s">
        <v>55</v>
      </c>
      <c r="Z3942" s="14">
        <v>0.05</v>
      </c>
      <c r="AA3942" s="14">
        <v>0.36</v>
      </c>
      <c r="AB3942" s="12" t="s">
        <v>56</v>
      </c>
      <c r="AC3942" s="12" t="s">
        <v>19772</v>
      </c>
      <c r="AD3942" s="13">
        <v>43928</v>
      </c>
      <c r="AE3942" s="12" t="s">
        <v>562</v>
      </c>
      <c r="AF3942" s="12" t="s">
        <v>19773</v>
      </c>
      <c r="AG3942" s="12" t="s">
        <v>19774</v>
      </c>
      <c r="AH3942" s="1">
        <f>HYPERLINK("https://my.pitchbook.com?c=204521-23T","View Company Online")</f>
      </c>
    </row>
    <row r="3943">
      <c r="A3943" s="3" t="s">
        <v>19775</v>
      </c>
      <c r="B3943" s="3" t="s">
        <v>19776</v>
      </c>
      <c r="C3943" s="5" t="s">
        <v>36</v>
      </c>
      <c r="D3943" s="5" t="s">
        <v>36</v>
      </c>
      <c r="E3943" s="5" t="s">
        <v>36</v>
      </c>
      <c r="F3943" s="5" t="s">
        <v>36</v>
      </c>
      <c r="G3943" s="6" t="s">
        <v>36</v>
      </c>
      <c r="H3943" s="4">
        <v>17.82</v>
      </c>
      <c r="I3943" s="7">
        <v>17.21</v>
      </c>
      <c r="J3943" s="3" t="s">
        <v>521</v>
      </c>
      <c r="K3943" s="9" t="s">
        <v>36</v>
      </c>
      <c r="L3943" s="6" t="s">
        <v>36</v>
      </c>
      <c r="M3943" s="3" t="s">
        <v>36</v>
      </c>
      <c r="N3943" s="3" t="s">
        <v>36</v>
      </c>
      <c r="O3943" s="8" t="s">
        <v>36</v>
      </c>
      <c r="P3943" s="3" t="s">
        <v>36</v>
      </c>
      <c r="Q3943" s="3" t="s">
        <v>36</v>
      </c>
      <c r="R3943" s="3" t="s">
        <v>36</v>
      </c>
      <c r="S3943" s="3" t="s">
        <v>36</v>
      </c>
      <c r="T3943" s="3" t="s">
        <v>19777</v>
      </c>
      <c r="U3943" s="3" t="s">
        <v>74</v>
      </c>
      <c r="V3943" s="3" t="s">
        <v>75</v>
      </c>
      <c r="W3943" s="3" t="s">
        <v>19778</v>
      </c>
      <c r="X3943" s="10" t="s">
        <v>11058</v>
      </c>
      <c r="Y3943" s="6" t="s">
        <v>42</v>
      </c>
      <c r="Z3943" s="4">
        <v>0.55</v>
      </c>
      <c r="AA3943" s="4">
        <v>3.19</v>
      </c>
      <c r="AB3943" s="3" t="s">
        <v>43</v>
      </c>
      <c r="AC3943" s="3" t="s">
        <v>19779</v>
      </c>
      <c r="AD3943" s="9">
        <v>43928</v>
      </c>
      <c r="AE3943" s="3" t="s">
        <v>1243</v>
      </c>
      <c r="AF3943" s="3" t="s">
        <v>7294</v>
      </c>
      <c r="AG3943" s="3" t="s">
        <v>81</v>
      </c>
      <c r="AH3943" s="11">
        <f>HYPERLINK("https://my.pitchbook.com?c=204496-93T","View Company Online")</f>
      </c>
    </row>
    <row r="3944">
      <c r="A3944" s="12" t="s">
        <v>19780</v>
      </c>
      <c r="B3944" s="12" t="s">
        <v>19781</v>
      </c>
      <c r="C3944" s="19" t="s">
        <v>36</v>
      </c>
      <c r="D3944" s="19">
        <v>4</v>
      </c>
      <c r="E3944" s="19">
        <v>2</v>
      </c>
      <c r="F3944" s="19">
        <v>9</v>
      </c>
      <c r="G3944" s="15" t="s">
        <v>36</v>
      </c>
      <c r="H3944" s="14" t="s">
        <v>36</v>
      </c>
      <c r="I3944" s="18" t="s">
        <v>36</v>
      </c>
      <c r="J3944" s="12" t="s">
        <v>36</v>
      </c>
      <c r="K3944" s="13" t="s">
        <v>36</v>
      </c>
      <c r="L3944" s="15" t="s">
        <v>36</v>
      </c>
      <c r="M3944" s="12" t="s">
        <v>36</v>
      </c>
      <c r="N3944" s="12" t="s">
        <v>36</v>
      </c>
      <c r="O3944" s="17" t="s">
        <v>36</v>
      </c>
      <c r="P3944" s="12" t="s">
        <v>36</v>
      </c>
      <c r="Q3944" s="12" t="s">
        <v>36</v>
      </c>
      <c r="R3944" s="12" t="s">
        <v>36</v>
      </c>
      <c r="S3944" s="12" t="s">
        <v>36</v>
      </c>
      <c r="T3944" s="12" t="s">
        <v>19782</v>
      </c>
      <c r="U3944" s="12" t="s">
        <v>1357</v>
      </c>
      <c r="V3944" s="12" t="s">
        <v>52</v>
      </c>
      <c r="W3944" s="12" t="s">
        <v>19783</v>
      </c>
      <c r="X3944" s="16" t="s">
        <v>19784</v>
      </c>
      <c r="Y3944" s="15" t="s">
        <v>108</v>
      </c>
      <c r="Z3944" s="14" t="s">
        <v>36</v>
      </c>
      <c r="AA3944" s="14" t="s">
        <v>36</v>
      </c>
      <c r="AB3944" s="12" t="s">
        <v>56</v>
      </c>
      <c r="AC3944" s="12" t="s">
        <v>19785</v>
      </c>
      <c r="AD3944" s="13">
        <v>43927</v>
      </c>
      <c r="AE3944" s="12" t="s">
        <v>10392</v>
      </c>
      <c r="AF3944" s="12" t="s">
        <v>159</v>
      </c>
      <c r="AG3944" s="12" t="s">
        <v>81</v>
      </c>
      <c r="AH3944" s="1">
        <f>HYPERLINK("https://my.pitchbook.com?c=180692-74T","View Company Online")</f>
      </c>
    </row>
    <row r="3945">
      <c r="A3945" s="3" t="s">
        <v>19786</v>
      </c>
      <c r="B3945" s="3" t="s">
        <v>13015</v>
      </c>
      <c r="C3945" s="5" t="s">
        <v>36</v>
      </c>
      <c r="D3945" s="5" t="s">
        <v>36</v>
      </c>
      <c r="E3945" s="5" t="s">
        <v>36</v>
      </c>
      <c r="F3945" s="5" t="s">
        <v>36</v>
      </c>
      <c r="G3945" s="6" t="s">
        <v>36</v>
      </c>
      <c r="H3945" s="4" t="s">
        <v>36</v>
      </c>
      <c r="I3945" s="7" t="s">
        <v>36</v>
      </c>
      <c r="J3945" s="3" t="s">
        <v>36</v>
      </c>
      <c r="K3945" s="9" t="s">
        <v>36</v>
      </c>
      <c r="L3945" s="6" t="s">
        <v>122</v>
      </c>
      <c r="M3945" s="3" t="s">
        <v>36</v>
      </c>
      <c r="N3945" s="3" t="s">
        <v>122</v>
      </c>
      <c r="O3945" s="8" t="s">
        <v>36</v>
      </c>
      <c r="P3945" s="3" t="s">
        <v>36</v>
      </c>
      <c r="Q3945" s="3" t="s">
        <v>36</v>
      </c>
      <c r="R3945" s="3" t="s">
        <v>36</v>
      </c>
      <c r="S3945" s="3" t="s">
        <v>36</v>
      </c>
      <c r="T3945" s="3" t="s">
        <v>9788</v>
      </c>
      <c r="U3945" s="3" t="s">
        <v>74</v>
      </c>
      <c r="V3945" s="3" t="s">
        <v>75</v>
      </c>
      <c r="W3945" s="3" t="s">
        <v>13016</v>
      </c>
      <c r="X3945" s="10" t="s">
        <v>19787</v>
      </c>
      <c r="Y3945" s="6" t="s">
        <v>108</v>
      </c>
      <c r="Z3945" s="4" t="s">
        <v>36</v>
      </c>
      <c r="AA3945" s="4" t="s">
        <v>36</v>
      </c>
      <c r="AB3945" s="3" t="s">
        <v>43</v>
      </c>
      <c r="AC3945" s="3" t="s">
        <v>13018</v>
      </c>
      <c r="AD3945" s="9">
        <v>43927</v>
      </c>
      <c r="AE3945" s="3" t="s">
        <v>3144</v>
      </c>
      <c r="AF3945" s="3" t="s">
        <v>5049</v>
      </c>
      <c r="AG3945" s="3" t="s">
        <v>81</v>
      </c>
      <c r="AH3945" s="11">
        <f>HYPERLINK("https://my.pitchbook.com?c=134849-98T","View Company Online")</f>
      </c>
    </row>
    <row r="3946">
      <c r="A3946" s="12" t="s">
        <v>19788</v>
      </c>
      <c r="B3946" s="12" t="s">
        <v>19789</v>
      </c>
      <c r="C3946" s="19" t="s">
        <v>36</v>
      </c>
      <c r="D3946" s="19" t="s">
        <v>36</v>
      </c>
      <c r="E3946" s="19" t="s">
        <v>36</v>
      </c>
      <c r="F3946" s="19" t="s">
        <v>36</v>
      </c>
      <c r="G3946" s="15" t="s">
        <v>36</v>
      </c>
      <c r="H3946" s="14">
        <v>48.47</v>
      </c>
      <c r="I3946" s="18">
        <v>7.72</v>
      </c>
      <c r="J3946" s="12" t="s">
        <v>521</v>
      </c>
      <c r="K3946" s="13" t="s">
        <v>36</v>
      </c>
      <c r="L3946" s="15" t="s">
        <v>36</v>
      </c>
      <c r="M3946" s="12" t="s">
        <v>36</v>
      </c>
      <c r="N3946" s="12" t="s">
        <v>36</v>
      </c>
      <c r="O3946" s="17" t="s">
        <v>36</v>
      </c>
      <c r="P3946" s="12" t="s">
        <v>36</v>
      </c>
      <c r="Q3946" s="12" t="s">
        <v>36</v>
      </c>
      <c r="R3946" s="12" t="s">
        <v>36</v>
      </c>
      <c r="S3946" s="12" t="s">
        <v>36</v>
      </c>
      <c r="T3946" s="12" t="s">
        <v>19790</v>
      </c>
      <c r="U3946" s="12" t="s">
        <v>1357</v>
      </c>
      <c r="V3946" s="12" t="s">
        <v>52</v>
      </c>
      <c r="W3946" s="12" t="s">
        <v>19791</v>
      </c>
      <c r="X3946" s="16" t="s">
        <v>19792</v>
      </c>
      <c r="Y3946" s="15" t="s">
        <v>42</v>
      </c>
      <c r="Z3946" s="14">
        <v>1.33</v>
      </c>
      <c r="AA3946" s="14">
        <v>5.01</v>
      </c>
      <c r="AB3946" s="12" t="s">
        <v>43</v>
      </c>
      <c r="AC3946" s="12" t="s">
        <v>19793</v>
      </c>
      <c r="AD3946" s="13">
        <v>43925</v>
      </c>
      <c r="AE3946" s="12" t="s">
        <v>2377</v>
      </c>
      <c r="AF3946" s="12" t="s">
        <v>19794</v>
      </c>
      <c r="AG3946" s="12" t="s">
        <v>765</v>
      </c>
      <c r="AH3946" s="1">
        <f>HYPERLINK("https://my.pitchbook.com?c=175151-62T","View Company Online")</f>
      </c>
    </row>
    <row r="3947">
      <c r="A3947" s="3" t="s">
        <v>19795</v>
      </c>
      <c r="B3947" s="3" t="s">
        <v>19796</v>
      </c>
      <c r="C3947" s="5" t="s">
        <v>36</v>
      </c>
      <c r="D3947" s="5" t="s">
        <v>36</v>
      </c>
      <c r="E3947" s="5" t="s">
        <v>36</v>
      </c>
      <c r="F3947" s="5" t="s">
        <v>36</v>
      </c>
      <c r="G3947" s="6" t="s">
        <v>36</v>
      </c>
      <c r="H3947" s="4">
        <v>2.1</v>
      </c>
      <c r="I3947" s="7">
        <v>27.95</v>
      </c>
      <c r="J3947" s="3" t="s">
        <v>521</v>
      </c>
      <c r="K3947" s="9">
        <v>43811</v>
      </c>
      <c r="L3947" s="6" t="s">
        <v>36</v>
      </c>
      <c r="M3947" s="3" t="s">
        <v>36</v>
      </c>
      <c r="N3947" s="3" t="s">
        <v>36</v>
      </c>
      <c r="O3947" s="8" t="s">
        <v>36</v>
      </c>
      <c r="P3947" s="3" t="s">
        <v>36</v>
      </c>
      <c r="Q3947" s="3" t="s">
        <v>36</v>
      </c>
      <c r="R3947" s="3" t="s">
        <v>36</v>
      </c>
      <c r="S3947" s="3" t="s">
        <v>36</v>
      </c>
      <c r="T3947" s="3" t="s">
        <v>1253</v>
      </c>
      <c r="U3947" s="3" t="s">
        <v>38</v>
      </c>
      <c r="V3947" s="3" t="s">
        <v>39</v>
      </c>
      <c r="W3947" s="3" t="s">
        <v>19797</v>
      </c>
      <c r="X3947" s="10" t="s">
        <v>19798</v>
      </c>
      <c r="Y3947" s="6" t="s">
        <v>42</v>
      </c>
      <c r="Z3947" s="4">
        <v>2.76</v>
      </c>
      <c r="AA3947" s="4">
        <v>9.89</v>
      </c>
      <c r="AB3947" s="3" t="s">
        <v>43</v>
      </c>
      <c r="AC3947" s="3" t="s">
        <v>19799</v>
      </c>
      <c r="AD3947" s="9">
        <v>43924</v>
      </c>
      <c r="AE3947" s="3" t="s">
        <v>45</v>
      </c>
      <c r="AF3947" s="3" t="s">
        <v>331</v>
      </c>
      <c r="AG3947" s="3" t="s">
        <v>81</v>
      </c>
      <c r="AH3947" s="11">
        <f>HYPERLINK("https://my.pitchbook.com?c=137229-67T","View Company Online")</f>
      </c>
    </row>
    <row r="3948">
      <c r="A3948" s="12" t="s">
        <v>19800</v>
      </c>
      <c r="B3948" s="12" t="s">
        <v>19801</v>
      </c>
      <c r="C3948" s="19" t="s">
        <v>36</v>
      </c>
      <c r="D3948" s="19" t="s">
        <v>36</v>
      </c>
      <c r="E3948" s="19" t="s">
        <v>36</v>
      </c>
      <c r="F3948" s="19" t="s">
        <v>36</v>
      </c>
      <c r="G3948" s="15" t="s">
        <v>683</v>
      </c>
      <c r="H3948" s="14">
        <v>15.26</v>
      </c>
      <c r="I3948" s="18">
        <v>17.23</v>
      </c>
      <c r="J3948" s="12" t="s">
        <v>521</v>
      </c>
      <c r="K3948" s="13" t="s">
        <v>36</v>
      </c>
      <c r="L3948" s="15" t="s">
        <v>36</v>
      </c>
      <c r="M3948" s="12" t="s">
        <v>36</v>
      </c>
      <c r="N3948" s="12" t="s">
        <v>36</v>
      </c>
      <c r="O3948" s="17" t="s">
        <v>36</v>
      </c>
      <c r="P3948" s="12" t="s">
        <v>36</v>
      </c>
      <c r="Q3948" s="12" t="s">
        <v>36</v>
      </c>
      <c r="R3948" s="12" t="s">
        <v>36</v>
      </c>
      <c r="S3948" s="12" t="s">
        <v>36</v>
      </c>
      <c r="T3948" s="12" t="s">
        <v>464</v>
      </c>
      <c r="U3948" s="12" t="s">
        <v>38</v>
      </c>
      <c r="V3948" s="12" t="s">
        <v>39</v>
      </c>
      <c r="W3948" s="12" t="s">
        <v>19802</v>
      </c>
      <c r="X3948" s="16" t="s">
        <v>19803</v>
      </c>
      <c r="Y3948" s="15" t="s">
        <v>108</v>
      </c>
      <c r="Z3948" s="14">
        <v>0.86</v>
      </c>
      <c r="AA3948" s="14">
        <v>4.98</v>
      </c>
      <c r="AB3948" s="12" t="s">
        <v>43</v>
      </c>
      <c r="AC3948" s="12" t="s">
        <v>19804</v>
      </c>
      <c r="AD3948" s="13">
        <v>43923</v>
      </c>
      <c r="AE3948" s="12" t="s">
        <v>110</v>
      </c>
      <c r="AF3948" s="12" t="s">
        <v>250</v>
      </c>
      <c r="AG3948" s="12" t="s">
        <v>81</v>
      </c>
      <c r="AH3948" s="1">
        <f>HYPERLINK("https://my.pitchbook.com?c=153867-07T","View Company Online")</f>
      </c>
    </row>
    <row r="3949">
      <c r="A3949" s="3" t="s">
        <v>19805</v>
      </c>
      <c r="B3949" s="3" t="s">
        <v>9944</v>
      </c>
      <c r="C3949" s="5" t="s">
        <v>36</v>
      </c>
      <c r="D3949" s="5" t="s">
        <v>36</v>
      </c>
      <c r="E3949" s="5" t="s">
        <v>36</v>
      </c>
      <c r="F3949" s="5" t="s">
        <v>36</v>
      </c>
      <c r="G3949" s="6" t="s">
        <v>326</v>
      </c>
      <c r="H3949" s="4">
        <v>12.48</v>
      </c>
      <c r="I3949" s="7">
        <v>26.01</v>
      </c>
      <c r="J3949" s="3" t="s">
        <v>521</v>
      </c>
      <c r="K3949" s="9" t="s">
        <v>36</v>
      </c>
      <c r="L3949" s="6" t="s">
        <v>1279</v>
      </c>
      <c r="M3949" s="3" t="s">
        <v>36</v>
      </c>
      <c r="N3949" s="3" t="s">
        <v>1279</v>
      </c>
      <c r="O3949" s="8" t="s">
        <v>36</v>
      </c>
      <c r="P3949" s="3" t="s">
        <v>36</v>
      </c>
      <c r="Q3949" s="3" t="s">
        <v>36</v>
      </c>
      <c r="R3949" s="3" t="s">
        <v>36</v>
      </c>
      <c r="S3949" s="3" t="s">
        <v>36</v>
      </c>
      <c r="T3949" s="3" t="s">
        <v>522</v>
      </c>
      <c r="U3949" s="3" t="s">
        <v>38</v>
      </c>
      <c r="V3949" s="3" t="s">
        <v>39</v>
      </c>
      <c r="W3949" s="3" t="s">
        <v>9945</v>
      </c>
      <c r="X3949" s="10" t="s">
        <v>19806</v>
      </c>
      <c r="Y3949" s="6" t="s">
        <v>192</v>
      </c>
      <c r="Z3949" s="4">
        <v>40.5</v>
      </c>
      <c r="AA3949" s="4">
        <v>130.68</v>
      </c>
      <c r="AB3949" s="3" t="s">
        <v>56</v>
      </c>
      <c r="AC3949" s="3" t="s">
        <v>9947</v>
      </c>
      <c r="AD3949" s="9">
        <v>43922</v>
      </c>
      <c r="AE3949" s="3" t="s">
        <v>110</v>
      </c>
      <c r="AF3949" s="3" t="s">
        <v>4552</v>
      </c>
      <c r="AG3949" s="3" t="s">
        <v>81</v>
      </c>
      <c r="AH3949" s="11">
        <f>HYPERLINK("https://my.pitchbook.com?c=140056-21T","View Company Online")</f>
      </c>
    </row>
    <row r="3950">
      <c r="A3950" s="12" t="s">
        <v>19807</v>
      </c>
      <c r="B3950" s="12" t="s">
        <v>19808</v>
      </c>
      <c r="C3950" s="19" t="s">
        <v>36</v>
      </c>
      <c r="D3950" s="19" t="s">
        <v>36</v>
      </c>
      <c r="E3950" s="19" t="s">
        <v>36</v>
      </c>
      <c r="F3950" s="19" t="s">
        <v>36</v>
      </c>
      <c r="G3950" s="15" t="s">
        <v>36</v>
      </c>
      <c r="H3950" s="14" t="s">
        <v>36</v>
      </c>
      <c r="I3950" s="18" t="s">
        <v>36</v>
      </c>
      <c r="J3950" s="12" t="s">
        <v>36</v>
      </c>
      <c r="K3950" s="13" t="s">
        <v>36</v>
      </c>
      <c r="L3950" s="15" t="s">
        <v>36</v>
      </c>
      <c r="M3950" s="12" t="s">
        <v>36</v>
      </c>
      <c r="N3950" s="12" t="s">
        <v>36</v>
      </c>
      <c r="O3950" s="17" t="s">
        <v>36</v>
      </c>
      <c r="P3950" s="12" t="s">
        <v>36</v>
      </c>
      <c r="Q3950" s="12" t="s">
        <v>36</v>
      </c>
      <c r="R3950" s="12" t="s">
        <v>36</v>
      </c>
      <c r="S3950" s="12" t="s">
        <v>36</v>
      </c>
      <c r="T3950" s="12" t="s">
        <v>522</v>
      </c>
      <c r="U3950" s="12" t="s">
        <v>38</v>
      </c>
      <c r="V3950" s="12" t="s">
        <v>39</v>
      </c>
      <c r="W3950" s="12" t="s">
        <v>19809</v>
      </c>
      <c r="X3950" s="16" t="s">
        <v>13518</v>
      </c>
      <c r="Y3950" s="15" t="s">
        <v>42</v>
      </c>
      <c r="Z3950" s="14">
        <v>5.54</v>
      </c>
      <c r="AA3950" s="14" t="s">
        <v>36</v>
      </c>
      <c r="AB3950" s="12" t="s">
        <v>56</v>
      </c>
      <c r="AC3950" s="12" t="s">
        <v>19810</v>
      </c>
      <c r="AD3950" s="13">
        <v>43922</v>
      </c>
      <c r="AE3950" s="12" t="s">
        <v>110</v>
      </c>
      <c r="AF3950" s="12" t="s">
        <v>17722</v>
      </c>
      <c r="AG3950" s="12" t="s">
        <v>81</v>
      </c>
      <c r="AH3950" s="1">
        <f>HYPERLINK("https://my.pitchbook.com?c=137495-26T","View Company Online")</f>
      </c>
    </row>
    <row r="3951">
      <c r="A3951" s="3" t="s">
        <v>19811</v>
      </c>
      <c r="B3951" s="3" t="s">
        <v>8252</v>
      </c>
      <c r="C3951" s="5" t="s">
        <v>36</v>
      </c>
      <c r="D3951" s="5" t="s">
        <v>36</v>
      </c>
      <c r="E3951" s="5" t="s">
        <v>36</v>
      </c>
      <c r="F3951" s="5" t="s">
        <v>36</v>
      </c>
      <c r="G3951" s="6" t="s">
        <v>36</v>
      </c>
      <c r="H3951" s="4">
        <v>23.37</v>
      </c>
      <c r="I3951" s="7">
        <v>10.89</v>
      </c>
      <c r="J3951" s="3" t="s">
        <v>521</v>
      </c>
      <c r="K3951" s="9" t="s">
        <v>36</v>
      </c>
      <c r="L3951" s="6" t="s">
        <v>36</v>
      </c>
      <c r="M3951" s="3" t="s">
        <v>36</v>
      </c>
      <c r="N3951" s="3" t="s">
        <v>36</v>
      </c>
      <c r="O3951" s="8" t="s">
        <v>36</v>
      </c>
      <c r="P3951" s="3" t="s">
        <v>36</v>
      </c>
      <c r="Q3951" s="3" t="s">
        <v>36</v>
      </c>
      <c r="R3951" s="3" t="s">
        <v>36</v>
      </c>
      <c r="S3951" s="3" t="s">
        <v>36</v>
      </c>
      <c r="T3951" s="3" t="s">
        <v>4917</v>
      </c>
      <c r="U3951" s="3" t="s">
        <v>38</v>
      </c>
      <c r="V3951" s="3" t="s">
        <v>39</v>
      </c>
      <c r="W3951" s="3" t="s">
        <v>8253</v>
      </c>
      <c r="X3951" s="10" t="s">
        <v>8712</v>
      </c>
      <c r="Y3951" s="6" t="s">
        <v>42</v>
      </c>
      <c r="Z3951" s="4">
        <v>0.61</v>
      </c>
      <c r="AA3951" s="4">
        <v>5.59</v>
      </c>
      <c r="AB3951" s="3" t="s">
        <v>43</v>
      </c>
      <c r="AC3951" s="3" t="s">
        <v>8255</v>
      </c>
      <c r="AD3951" s="9">
        <v>43922</v>
      </c>
      <c r="AE3951" s="3" t="s">
        <v>134</v>
      </c>
      <c r="AF3951" s="3" t="s">
        <v>8256</v>
      </c>
      <c r="AG3951" s="3" t="s">
        <v>81</v>
      </c>
      <c r="AH3951" s="11">
        <f>HYPERLINK("https://my.pitchbook.com?c=172898-47T","View Company Online")</f>
      </c>
    </row>
    <row r="3952">
      <c r="A3952" s="12" t="s">
        <v>19812</v>
      </c>
      <c r="B3952" s="12" t="s">
        <v>4684</v>
      </c>
      <c r="C3952" s="19" t="s">
        <v>36</v>
      </c>
      <c r="D3952" s="19" t="s">
        <v>36</v>
      </c>
      <c r="E3952" s="19" t="s">
        <v>36</v>
      </c>
      <c r="F3952" s="19" t="s">
        <v>36</v>
      </c>
      <c r="G3952" s="15" t="s">
        <v>326</v>
      </c>
      <c r="H3952" s="14">
        <v>3.85</v>
      </c>
      <c r="I3952" s="18">
        <v>25.8</v>
      </c>
      <c r="J3952" s="12" t="s">
        <v>521</v>
      </c>
      <c r="K3952" s="13" t="s">
        <v>36</v>
      </c>
      <c r="L3952" s="15" t="s">
        <v>122</v>
      </c>
      <c r="M3952" s="12" t="s">
        <v>36</v>
      </c>
      <c r="N3952" s="12" t="s">
        <v>122</v>
      </c>
      <c r="O3952" s="17" t="s">
        <v>36</v>
      </c>
      <c r="P3952" s="12" t="s">
        <v>36</v>
      </c>
      <c r="Q3952" s="12" t="s">
        <v>36</v>
      </c>
      <c r="R3952" s="12" t="s">
        <v>36</v>
      </c>
      <c r="S3952" s="12" t="s">
        <v>196</v>
      </c>
      <c r="T3952" s="12" t="s">
        <v>189</v>
      </c>
      <c r="U3952" s="12" t="s">
        <v>180</v>
      </c>
      <c r="V3952" s="12" t="s">
        <v>52</v>
      </c>
      <c r="W3952" s="12" t="s">
        <v>4685</v>
      </c>
      <c r="X3952" s="16" t="s">
        <v>19813</v>
      </c>
      <c r="Y3952" s="15" t="s">
        <v>108</v>
      </c>
      <c r="Z3952" s="14">
        <v>18.82</v>
      </c>
      <c r="AA3952" s="14">
        <v>64.38</v>
      </c>
      <c r="AB3952" s="12" t="s">
        <v>43</v>
      </c>
      <c r="AC3952" s="12" t="s">
        <v>4687</v>
      </c>
      <c r="AD3952" s="13">
        <v>43922</v>
      </c>
      <c r="AE3952" s="12" t="s">
        <v>184</v>
      </c>
      <c r="AF3952" s="12" t="s">
        <v>3024</v>
      </c>
      <c r="AG3952" s="12" t="s">
        <v>81</v>
      </c>
      <c r="AH3952" s="1">
        <f>HYPERLINK("https://my.pitchbook.com?c=170089-66T","View Company Online")</f>
      </c>
    </row>
    <row r="3953">
      <c r="A3953" s="3" t="s">
        <v>19814</v>
      </c>
      <c r="B3953" s="3" t="s">
        <v>188</v>
      </c>
      <c r="C3953" s="5">
        <v>7</v>
      </c>
      <c r="D3953" s="5">
        <v>8</v>
      </c>
      <c r="E3953" s="5">
        <v>7</v>
      </c>
      <c r="F3953" s="5">
        <v>18</v>
      </c>
      <c r="G3953" s="6" t="s">
        <v>683</v>
      </c>
      <c r="H3953" s="4">
        <v>1661.71</v>
      </c>
      <c r="I3953" s="7">
        <v>6.09</v>
      </c>
      <c r="J3953" s="3" t="s">
        <v>521</v>
      </c>
      <c r="K3953" s="9" t="s">
        <v>36</v>
      </c>
      <c r="L3953" s="6" t="s">
        <v>36</v>
      </c>
      <c r="M3953" s="3" t="s">
        <v>36</v>
      </c>
      <c r="N3953" s="3" t="s">
        <v>36</v>
      </c>
      <c r="O3953" s="8" t="s">
        <v>36</v>
      </c>
      <c r="P3953" s="3" t="s">
        <v>36</v>
      </c>
      <c r="Q3953" s="3" t="s">
        <v>36</v>
      </c>
      <c r="R3953" s="3" t="s">
        <v>36</v>
      </c>
      <c r="S3953" s="3" t="s">
        <v>36</v>
      </c>
      <c r="T3953" s="3" t="s">
        <v>189</v>
      </c>
      <c r="U3953" s="3" t="s">
        <v>180</v>
      </c>
      <c r="V3953" s="3" t="s">
        <v>52</v>
      </c>
      <c r="W3953" s="3" t="s">
        <v>190</v>
      </c>
      <c r="X3953" s="10" t="s">
        <v>19815</v>
      </c>
      <c r="Y3953" s="6" t="s">
        <v>42</v>
      </c>
      <c r="Z3953" s="4">
        <v>0.14</v>
      </c>
      <c r="AA3953" s="4">
        <v>2.36</v>
      </c>
      <c r="AB3953" s="3" t="s">
        <v>43</v>
      </c>
      <c r="AC3953" s="3" t="s">
        <v>193</v>
      </c>
      <c r="AD3953" s="9">
        <v>43922</v>
      </c>
      <c r="AE3953" s="3" t="s">
        <v>184</v>
      </c>
      <c r="AF3953" s="3" t="s">
        <v>59</v>
      </c>
      <c r="AG3953" s="3" t="s">
        <v>47</v>
      </c>
      <c r="AH3953" s="11">
        <f>HYPERLINK("https://my.pitchbook.com?c=193084-21T","View Company Online")</f>
      </c>
    </row>
    <row r="3954">
      <c r="A3954" s="12" t="s">
        <v>19816</v>
      </c>
      <c r="B3954" s="12" t="s">
        <v>13880</v>
      </c>
      <c r="C3954" s="19">
        <v>1</v>
      </c>
      <c r="D3954" s="19">
        <v>3</v>
      </c>
      <c r="E3954" s="19">
        <v>2</v>
      </c>
      <c r="F3954" s="19">
        <v>4</v>
      </c>
      <c r="G3954" s="15" t="s">
        <v>36</v>
      </c>
      <c r="H3954" s="14" t="s">
        <v>36</v>
      </c>
      <c r="I3954" s="18" t="s">
        <v>36</v>
      </c>
      <c r="J3954" s="12" t="s">
        <v>36</v>
      </c>
      <c r="K3954" s="13" t="s">
        <v>36</v>
      </c>
      <c r="L3954" s="15" t="s">
        <v>36</v>
      </c>
      <c r="M3954" s="12" t="s">
        <v>36</v>
      </c>
      <c r="N3954" s="12" t="s">
        <v>36</v>
      </c>
      <c r="O3954" s="17" t="s">
        <v>36</v>
      </c>
      <c r="P3954" s="12" t="s">
        <v>36</v>
      </c>
      <c r="Q3954" s="12" t="s">
        <v>36</v>
      </c>
      <c r="R3954" s="12" t="s">
        <v>36</v>
      </c>
      <c r="S3954" s="12" t="s">
        <v>36</v>
      </c>
      <c r="T3954" s="12" t="s">
        <v>13881</v>
      </c>
      <c r="U3954" s="12" t="s">
        <v>318</v>
      </c>
      <c r="V3954" s="12" t="s">
        <v>39</v>
      </c>
      <c r="W3954" s="12" t="s">
        <v>13882</v>
      </c>
      <c r="X3954" s="16" t="s">
        <v>1840</v>
      </c>
      <c r="Y3954" s="15" t="s">
        <v>42</v>
      </c>
      <c r="Z3954" s="14">
        <v>0.11</v>
      </c>
      <c r="AA3954" s="14" t="s">
        <v>36</v>
      </c>
      <c r="AB3954" s="12" t="s">
        <v>43</v>
      </c>
      <c r="AC3954" s="12" t="s">
        <v>13884</v>
      </c>
      <c r="AD3954" s="13">
        <v>43922</v>
      </c>
      <c r="AE3954" s="12" t="s">
        <v>763</v>
      </c>
      <c r="AF3954" s="12" t="s">
        <v>13885</v>
      </c>
      <c r="AG3954" s="12" t="s">
        <v>689</v>
      </c>
      <c r="AH3954" s="1">
        <f>HYPERLINK("https://my.pitchbook.com?c=164395-90T","View Company Online")</f>
      </c>
    </row>
    <row r="3955">
      <c r="A3955" s="3" t="s">
        <v>19817</v>
      </c>
      <c r="B3955" s="3" t="s">
        <v>14020</v>
      </c>
      <c r="C3955" s="5" t="s">
        <v>36</v>
      </c>
      <c r="D3955" s="5" t="s">
        <v>36</v>
      </c>
      <c r="E3955" s="5" t="s">
        <v>36</v>
      </c>
      <c r="F3955" s="5" t="s">
        <v>36</v>
      </c>
      <c r="G3955" s="6" t="s">
        <v>326</v>
      </c>
      <c r="H3955" s="4">
        <v>1.37</v>
      </c>
      <c r="I3955" s="7">
        <v>13.79</v>
      </c>
      <c r="J3955" s="3" t="s">
        <v>521</v>
      </c>
      <c r="K3955" s="9" t="s">
        <v>36</v>
      </c>
      <c r="L3955" s="6" t="s">
        <v>36</v>
      </c>
      <c r="M3955" s="3" t="s">
        <v>36</v>
      </c>
      <c r="N3955" s="3" t="s">
        <v>36</v>
      </c>
      <c r="O3955" s="8" t="s">
        <v>36</v>
      </c>
      <c r="P3955" s="3" t="s">
        <v>36</v>
      </c>
      <c r="Q3955" s="3" t="s">
        <v>36</v>
      </c>
      <c r="R3955" s="3" t="s">
        <v>36</v>
      </c>
      <c r="S3955" s="3" t="s">
        <v>36</v>
      </c>
      <c r="T3955" s="3" t="s">
        <v>1893</v>
      </c>
      <c r="U3955" s="3" t="s">
        <v>648</v>
      </c>
      <c r="V3955" s="3" t="s">
        <v>64</v>
      </c>
      <c r="W3955" s="3" t="s">
        <v>14021</v>
      </c>
      <c r="X3955" s="10" t="s">
        <v>19818</v>
      </c>
      <c r="Y3955" s="6" t="s">
        <v>192</v>
      </c>
      <c r="Z3955" s="4">
        <v>1.64</v>
      </c>
      <c r="AA3955" s="4">
        <v>11.91</v>
      </c>
      <c r="AB3955" s="3" t="s">
        <v>56</v>
      </c>
      <c r="AC3955" s="3" t="s">
        <v>14023</v>
      </c>
      <c r="AD3955" s="9">
        <v>43921</v>
      </c>
      <c r="AE3955" s="3" t="s">
        <v>1897</v>
      </c>
      <c r="AF3955" s="3" t="s">
        <v>36</v>
      </c>
      <c r="AG3955" s="3" t="s">
        <v>47</v>
      </c>
      <c r="AH3955" s="11">
        <f>HYPERLINK("https://my.pitchbook.com?c=181519-93T","View Company Online")</f>
      </c>
    </row>
    <row r="3956">
      <c r="A3956" s="12" t="s">
        <v>19819</v>
      </c>
      <c r="B3956" s="12" t="s">
        <v>7048</v>
      </c>
      <c r="C3956" s="19" t="s">
        <v>36</v>
      </c>
      <c r="D3956" s="19">
        <v>14</v>
      </c>
      <c r="E3956" s="19">
        <v>3</v>
      </c>
      <c r="F3956" s="19">
        <v>14</v>
      </c>
      <c r="G3956" s="15" t="s">
        <v>326</v>
      </c>
      <c r="H3956" s="14" t="s">
        <v>36</v>
      </c>
      <c r="I3956" s="18">
        <v>16.1</v>
      </c>
      <c r="J3956" s="12" t="s">
        <v>327</v>
      </c>
      <c r="K3956" s="13">
        <v>43862</v>
      </c>
      <c r="L3956" s="15" t="s">
        <v>122</v>
      </c>
      <c r="M3956" s="12" t="s">
        <v>36</v>
      </c>
      <c r="N3956" s="12" t="s">
        <v>122</v>
      </c>
      <c r="O3956" s="17" t="s">
        <v>36</v>
      </c>
      <c r="P3956" s="12" t="s">
        <v>36</v>
      </c>
      <c r="Q3956" s="12" t="s">
        <v>36</v>
      </c>
      <c r="R3956" s="12" t="s">
        <v>36</v>
      </c>
      <c r="S3956" s="12" t="s">
        <v>7049</v>
      </c>
      <c r="T3956" s="12" t="s">
        <v>7050</v>
      </c>
      <c r="U3956" s="12" t="s">
        <v>833</v>
      </c>
      <c r="V3956" s="12" t="s">
        <v>64</v>
      </c>
      <c r="W3956" s="12" t="s">
        <v>7051</v>
      </c>
      <c r="X3956" s="16" t="s">
        <v>19820</v>
      </c>
      <c r="Y3956" s="15" t="s">
        <v>55</v>
      </c>
      <c r="Z3956" s="14">
        <v>6.64</v>
      </c>
      <c r="AA3956" s="14">
        <v>41.26</v>
      </c>
      <c r="AB3956" s="12" t="s">
        <v>56</v>
      </c>
      <c r="AC3956" s="12" t="s">
        <v>7053</v>
      </c>
      <c r="AD3956" s="13">
        <v>43921</v>
      </c>
      <c r="AE3956" s="12" t="s">
        <v>1069</v>
      </c>
      <c r="AF3956" s="12" t="s">
        <v>7054</v>
      </c>
      <c r="AG3956" s="12" t="s">
        <v>1978</v>
      </c>
      <c r="AH3956" s="1">
        <f>HYPERLINK("https://my.pitchbook.com?c=134319-97T","View Company Online")</f>
      </c>
    </row>
    <row r="3957">
      <c r="A3957" s="3" t="s">
        <v>19821</v>
      </c>
      <c r="B3957" s="3" t="s">
        <v>19822</v>
      </c>
      <c r="C3957" s="5" t="s">
        <v>36</v>
      </c>
      <c r="D3957" s="5" t="s">
        <v>36</v>
      </c>
      <c r="E3957" s="5" t="s">
        <v>36</v>
      </c>
      <c r="F3957" s="5" t="s">
        <v>36</v>
      </c>
      <c r="G3957" s="6" t="s">
        <v>36</v>
      </c>
      <c r="H3957" s="4" t="s">
        <v>36</v>
      </c>
      <c r="I3957" s="7" t="s">
        <v>36</v>
      </c>
      <c r="J3957" s="3" t="s">
        <v>36</v>
      </c>
      <c r="K3957" s="9" t="s">
        <v>36</v>
      </c>
      <c r="L3957" s="6" t="s">
        <v>36</v>
      </c>
      <c r="M3957" s="3" t="s">
        <v>36</v>
      </c>
      <c r="N3957" s="3" t="s">
        <v>36</v>
      </c>
      <c r="O3957" s="8" t="s">
        <v>36</v>
      </c>
      <c r="P3957" s="3" t="s">
        <v>36</v>
      </c>
      <c r="Q3957" s="3" t="s">
        <v>36</v>
      </c>
      <c r="R3957" s="3" t="s">
        <v>36</v>
      </c>
      <c r="S3957" s="3" t="s">
        <v>36</v>
      </c>
      <c r="T3957" s="3" t="s">
        <v>19823</v>
      </c>
      <c r="U3957" s="3" t="s">
        <v>38</v>
      </c>
      <c r="V3957" s="3" t="s">
        <v>39</v>
      </c>
      <c r="W3957" s="3" t="s">
        <v>19824</v>
      </c>
      <c r="X3957" s="10" t="s">
        <v>19825</v>
      </c>
      <c r="Y3957" s="6" t="s">
        <v>42</v>
      </c>
      <c r="Z3957" s="4">
        <v>0.55</v>
      </c>
      <c r="AA3957" s="4" t="s">
        <v>36</v>
      </c>
      <c r="AB3957" s="3" t="s">
        <v>43</v>
      </c>
      <c r="AC3957" s="3" t="s">
        <v>19826</v>
      </c>
      <c r="AD3957" s="9">
        <v>43917</v>
      </c>
      <c r="AE3957" s="3" t="s">
        <v>110</v>
      </c>
      <c r="AF3957" s="3" t="s">
        <v>19827</v>
      </c>
      <c r="AG3957" s="3" t="s">
        <v>19828</v>
      </c>
      <c r="AH3957" s="11">
        <f>HYPERLINK("https://my.pitchbook.com?c=134313-85T","View Company Online")</f>
      </c>
    </row>
    <row r="3958">
      <c r="A3958" s="12" t="s">
        <v>19829</v>
      </c>
      <c r="B3958" s="12" t="s">
        <v>19830</v>
      </c>
      <c r="C3958" s="19" t="s">
        <v>36</v>
      </c>
      <c r="D3958" s="19" t="s">
        <v>36</v>
      </c>
      <c r="E3958" s="19" t="s">
        <v>36</v>
      </c>
      <c r="F3958" s="19" t="s">
        <v>36</v>
      </c>
      <c r="G3958" s="15" t="s">
        <v>326</v>
      </c>
      <c r="H3958" s="14">
        <v>93.06</v>
      </c>
      <c r="I3958" s="18">
        <v>22.22</v>
      </c>
      <c r="J3958" s="12" t="s">
        <v>521</v>
      </c>
      <c r="K3958" s="13" t="s">
        <v>36</v>
      </c>
      <c r="L3958" s="15" t="s">
        <v>36</v>
      </c>
      <c r="M3958" s="12" t="s">
        <v>36</v>
      </c>
      <c r="N3958" s="12" t="s">
        <v>36</v>
      </c>
      <c r="O3958" s="17" t="s">
        <v>36</v>
      </c>
      <c r="P3958" s="12" t="s">
        <v>36</v>
      </c>
      <c r="Q3958" s="12" t="s">
        <v>36</v>
      </c>
      <c r="R3958" s="12" t="s">
        <v>36</v>
      </c>
      <c r="S3958" s="12" t="s">
        <v>36</v>
      </c>
      <c r="T3958" s="12" t="s">
        <v>2925</v>
      </c>
      <c r="U3958" s="12" t="s">
        <v>38</v>
      </c>
      <c r="V3958" s="12" t="s">
        <v>39</v>
      </c>
      <c r="W3958" s="12" t="s">
        <v>19831</v>
      </c>
      <c r="X3958" s="16" t="s">
        <v>19832</v>
      </c>
      <c r="Y3958" s="15" t="s">
        <v>42</v>
      </c>
      <c r="Z3958" s="14">
        <v>0.88</v>
      </c>
      <c r="AA3958" s="14">
        <v>3.98</v>
      </c>
      <c r="AB3958" s="12" t="s">
        <v>56</v>
      </c>
      <c r="AC3958" s="12" t="s">
        <v>19833</v>
      </c>
      <c r="AD3958" s="13">
        <v>43916</v>
      </c>
      <c r="AE3958" s="12" t="s">
        <v>110</v>
      </c>
      <c r="AF3958" s="12" t="s">
        <v>19834</v>
      </c>
      <c r="AG3958" s="12" t="s">
        <v>19835</v>
      </c>
      <c r="AH3958" s="1">
        <f>HYPERLINK("https://my.pitchbook.com?c=218418-13T","View Company Online")</f>
      </c>
    </row>
    <row r="3959">
      <c r="A3959" s="3" t="s">
        <v>19836</v>
      </c>
      <c r="B3959" s="3" t="s">
        <v>19837</v>
      </c>
      <c r="C3959" s="5" t="s">
        <v>36</v>
      </c>
      <c r="D3959" s="5" t="s">
        <v>36</v>
      </c>
      <c r="E3959" s="5" t="s">
        <v>36</v>
      </c>
      <c r="F3959" s="5" t="s">
        <v>36</v>
      </c>
      <c r="G3959" s="6" t="s">
        <v>36</v>
      </c>
      <c r="H3959" s="4" t="s">
        <v>36</v>
      </c>
      <c r="I3959" s="7" t="s">
        <v>36</v>
      </c>
      <c r="J3959" s="3" t="s">
        <v>36</v>
      </c>
      <c r="K3959" s="9" t="s">
        <v>36</v>
      </c>
      <c r="L3959" s="6" t="s">
        <v>36</v>
      </c>
      <c r="M3959" s="3" t="s">
        <v>36</v>
      </c>
      <c r="N3959" s="3" t="s">
        <v>36</v>
      </c>
      <c r="O3959" s="8" t="s">
        <v>36</v>
      </c>
      <c r="P3959" s="3" t="s">
        <v>36</v>
      </c>
      <c r="Q3959" s="3" t="s">
        <v>36</v>
      </c>
      <c r="R3959" s="3" t="s">
        <v>36</v>
      </c>
      <c r="S3959" s="3" t="s">
        <v>36</v>
      </c>
      <c r="T3959" s="3" t="s">
        <v>19838</v>
      </c>
      <c r="U3959" s="3" t="s">
        <v>279</v>
      </c>
      <c r="V3959" s="3" t="s">
        <v>64</v>
      </c>
      <c r="W3959" s="3" t="s">
        <v>19839</v>
      </c>
      <c r="X3959" s="10" t="s">
        <v>19840</v>
      </c>
      <c r="Y3959" s="6" t="s">
        <v>108</v>
      </c>
      <c r="Z3959" s="4">
        <v>1.88</v>
      </c>
      <c r="AA3959" s="4" t="s">
        <v>36</v>
      </c>
      <c r="AB3959" s="3" t="s">
        <v>43</v>
      </c>
      <c r="AC3959" s="3" t="s">
        <v>19841</v>
      </c>
      <c r="AD3959" s="9">
        <v>43914</v>
      </c>
      <c r="AE3959" s="3" t="s">
        <v>283</v>
      </c>
      <c r="AF3959" s="3" t="s">
        <v>176</v>
      </c>
      <c r="AG3959" s="3" t="s">
        <v>81</v>
      </c>
      <c r="AH3959" s="11">
        <f>HYPERLINK("https://my.pitchbook.com?c=169227-01T","View Company Online")</f>
      </c>
    </row>
    <row r="3960">
      <c r="A3960" s="12" t="s">
        <v>19842</v>
      </c>
      <c r="B3960" s="12" t="s">
        <v>8300</v>
      </c>
      <c r="C3960" s="19" t="s">
        <v>36</v>
      </c>
      <c r="D3960" s="19" t="s">
        <v>36</v>
      </c>
      <c r="E3960" s="19" t="s">
        <v>36</v>
      </c>
      <c r="F3960" s="19" t="s">
        <v>36</v>
      </c>
      <c r="G3960" s="15" t="s">
        <v>36</v>
      </c>
      <c r="H3960" s="14" t="s">
        <v>36</v>
      </c>
      <c r="I3960" s="18" t="s">
        <v>36</v>
      </c>
      <c r="J3960" s="12" t="s">
        <v>36</v>
      </c>
      <c r="K3960" s="13" t="s">
        <v>36</v>
      </c>
      <c r="L3960" s="15" t="s">
        <v>36</v>
      </c>
      <c r="M3960" s="12" t="s">
        <v>36</v>
      </c>
      <c r="N3960" s="12" t="s">
        <v>36</v>
      </c>
      <c r="O3960" s="17" t="s">
        <v>36</v>
      </c>
      <c r="P3960" s="12" t="s">
        <v>36</v>
      </c>
      <c r="Q3960" s="12" t="s">
        <v>36</v>
      </c>
      <c r="R3960" s="12" t="s">
        <v>36</v>
      </c>
      <c r="S3960" s="12" t="s">
        <v>36</v>
      </c>
      <c r="T3960" s="12" t="s">
        <v>8301</v>
      </c>
      <c r="U3960" s="12" t="s">
        <v>423</v>
      </c>
      <c r="V3960" s="12" t="s">
        <v>64</v>
      </c>
      <c r="W3960" s="12" t="s">
        <v>8302</v>
      </c>
      <c r="X3960" s="16" t="s">
        <v>19843</v>
      </c>
      <c r="Y3960" s="15" t="s">
        <v>42</v>
      </c>
      <c r="Z3960" s="14">
        <v>1</v>
      </c>
      <c r="AA3960" s="14" t="s">
        <v>36</v>
      </c>
      <c r="AB3960" s="12" t="s">
        <v>56</v>
      </c>
      <c r="AC3960" s="12" t="s">
        <v>8304</v>
      </c>
      <c r="AD3960" s="13">
        <v>43914</v>
      </c>
      <c r="AE3960" s="12" t="s">
        <v>562</v>
      </c>
      <c r="AF3960" s="12" t="s">
        <v>2369</v>
      </c>
      <c r="AG3960" s="12" t="s">
        <v>81</v>
      </c>
      <c r="AH3960" s="1">
        <f>HYPERLINK("https://my.pitchbook.com?c=136657-45T","View Company Online")</f>
      </c>
    </row>
    <row r="3961">
      <c r="A3961" s="3" t="s">
        <v>19844</v>
      </c>
      <c r="B3961" s="3" t="s">
        <v>12903</v>
      </c>
      <c r="C3961" s="5" t="s">
        <v>36</v>
      </c>
      <c r="D3961" s="5" t="s">
        <v>36</v>
      </c>
      <c r="E3961" s="5" t="s">
        <v>36</v>
      </c>
      <c r="F3961" s="5" t="s">
        <v>36</v>
      </c>
      <c r="G3961" s="6" t="s">
        <v>326</v>
      </c>
      <c r="H3961" s="4">
        <v>220.67</v>
      </c>
      <c r="I3961" s="7">
        <v>49.7</v>
      </c>
      <c r="J3961" s="3" t="s">
        <v>521</v>
      </c>
      <c r="K3961" s="9" t="s">
        <v>36</v>
      </c>
      <c r="L3961" s="6" t="s">
        <v>36</v>
      </c>
      <c r="M3961" s="3" t="s">
        <v>36</v>
      </c>
      <c r="N3961" s="3" t="s">
        <v>36</v>
      </c>
      <c r="O3961" s="8" t="s">
        <v>36</v>
      </c>
      <c r="P3961" s="3" t="s">
        <v>36</v>
      </c>
      <c r="Q3961" s="3" t="s">
        <v>36</v>
      </c>
      <c r="R3961" s="3" t="s">
        <v>36</v>
      </c>
      <c r="S3961" s="3" t="s">
        <v>36</v>
      </c>
      <c r="T3961" s="3" t="s">
        <v>596</v>
      </c>
      <c r="U3961" s="3" t="s">
        <v>366</v>
      </c>
      <c r="V3961" s="3" t="s">
        <v>367</v>
      </c>
      <c r="W3961" s="3" t="s">
        <v>12904</v>
      </c>
      <c r="X3961" s="10" t="s">
        <v>19845</v>
      </c>
      <c r="Y3961" s="6" t="s">
        <v>108</v>
      </c>
      <c r="Z3961" s="4">
        <v>1.77</v>
      </c>
      <c r="AA3961" s="4">
        <v>3.56</v>
      </c>
      <c r="AB3961" s="3" t="s">
        <v>56</v>
      </c>
      <c r="AC3961" s="3" t="s">
        <v>12905</v>
      </c>
      <c r="AD3961" s="9">
        <v>43913</v>
      </c>
      <c r="AE3961" s="3" t="s">
        <v>600</v>
      </c>
      <c r="AF3961" s="3" t="s">
        <v>931</v>
      </c>
      <c r="AG3961" s="3" t="s">
        <v>186</v>
      </c>
      <c r="AH3961" s="11">
        <f>HYPERLINK("https://my.pitchbook.com?c=137867-14T","View Company Online")</f>
      </c>
    </row>
    <row r="3962">
      <c r="A3962" s="12" t="s">
        <v>19846</v>
      </c>
      <c r="B3962" s="12" t="s">
        <v>19847</v>
      </c>
      <c r="C3962" s="19" t="s">
        <v>36</v>
      </c>
      <c r="D3962" s="19" t="s">
        <v>36</v>
      </c>
      <c r="E3962" s="19" t="s">
        <v>36</v>
      </c>
      <c r="F3962" s="19" t="s">
        <v>36</v>
      </c>
      <c r="G3962" s="15" t="s">
        <v>326</v>
      </c>
      <c r="H3962" s="14">
        <v>561.45</v>
      </c>
      <c r="I3962" s="18">
        <v>10.08</v>
      </c>
      <c r="J3962" s="12" t="s">
        <v>521</v>
      </c>
      <c r="K3962" s="13" t="s">
        <v>36</v>
      </c>
      <c r="L3962" s="15" t="s">
        <v>122</v>
      </c>
      <c r="M3962" s="12" t="s">
        <v>36</v>
      </c>
      <c r="N3962" s="12" t="s">
        <v>122</v>
      </c>
      <c r="O3962" s="17" t="s">
        <v>36</v>
      </c>
      <c r="P3962" s="12" t="s">
        <v>36</v>
      </c>
      <c r="Q3962" s="12" t="s">
        <v>36</v>
      </c>
      <c r="R3962" s="12" t="s">
        <v>36</v>
      </c>
      <c r="S3962" s="12" t="s">
        <v>36</v>
      </c>
      <c r="T3962" s="12" t="s">
        <v>9193</v>
      </c>
      <c r="U3962" s="12" t="s">
        <v>74</v>
      </c>
      <c r="V3962" s="12" t="s">
        <v>75</v>
      </c>
      <c r="W3962" s="12" t="s">
        <v>19848</v>
      </c>
      <c r="X3962" s="16" t="s">
        <v>19849</v>
      </c>
      <c r="Y3962" s="15" t="s">
        <v>55</v>
      </c>
      <c r="Z3962" s="14">
        <v>0.6</v>
      </c>
      <c r="AA3962" s="14">
        <v>5.96</v>
      </c>
      <c r="AB3962" s="12" t="s">
        <v>43</v>
      </c>
      <c r="AC3962" s="12" t="s">
        <v>19850</v>
      </c>
      <c r="AD3962" s="13">
        <v>43913</v>
      </c>
      <c r="AE3962" s="12" t="s">
        <v>79</v>
      </c>
      <c r="AF3962" s="12" t="s">
        <v>19021</v>
      </c>
      <c r="AG3962" s="12" t="s">
        <v>81</v>
      </c>
      <c r="AH3962" s="1">
        <f>HYPERLINK("https://my.pitchbook.com?c=209353-96T","View Company Online")</f>
      </c>
    </row>
    <row r="3963">
      <c r="A3963" s="3" t="s">
        <v>19851</v>
      </c>
      <c r="B3963" s="3" t="s">
        <v>19852</v>
      </c>
      <c r="C3963" s="5" t="s">
        <v>36</v>
      </c>
      <c r="D3963" s="5" t="s">
        <v>36</v>
      </c>
      <c r="E3963" s="5" t="s">
        <v>36</v>
      </c>
      <c r="F3963" s="5" t="s">
        <v>36</v>
      </c>
      <c r="G3963" s="6" t="s">
        <v>36</v>
      </c>
      <c r="H3963" s="4">
        <v>670.04</v>
      </c>
      <c r="I3963" s="7">
        <v>5.29</v>
      </c>
      <c r="J3963" s="3" t="s">
        <v>521</v>
      </c>
      <c r="K3963" s="9" t="s">
        <v>36</v>
      </c>
      <c r="L3963" s="6" t="s">
        <v>36</v>
      </c>
      <c r="M3963" s="3" t="s">
        <v>36</v>
      </c>
      <c r="N3963" s="3" t="s">
        <v>36</v>
      </c>
      <c r="O3963" s="8" t="s">
        <v>36</v>
      </c>
      <c r="P3963" s="3" t="s">
        <v>36</v>
      </c>
      <c r="Q3963" s="3" t="s">
        <v>36</v>
      </c>
      <c r="R3963" s="3" t="s">
        <v>36</v>
      </c>
      <c r="S3963" s="3" t="s">
        <v>36</v>
      </c>
      <c r="T3963" s="3" t="s">
        <v>19853</v>
      </c>
      <c r="U3963" s="3" t="s">
        <v>956</v>
      </c>
      <c r="V3963" s="3" t="s">
        <v>405</v>
      </c>
      <c r="W3963" s="3" t="s">
        <v>19854</v>
      </c>
      <c r="X3963" s="10" t="s">
        <v>17425</v>
      </c>
      <c r="Y3963" s="6" t="s">
        <v>42</v>
      </c>
      <c r="Z3963" s="4">
        <v>0.2</v>
      </c>
      <c r="AA3963" s="4">
        <v>3.76</v>
      </c>
      <c r="AB3963" s="3" t="s">
        <v>56</v>
      </c>
      <c r="AC3963" s="3" t="s">
        <v>19855</v>
      </c>
      <c r="AD3963" s="9">
        <v>43913</v>
      </c>
      <c r="AE3963" s="3" t="s">
        <v>960</v>
      </c>
      <c r="AF3963" s="3" t="s">
        <v>1852</v>
      </c>
      <c r="AG3963" s="3" t="s">
        <v>81</v>
      </c>
      <c r="AH3963" s="11">
        <f>HYPERLINK("https://my.pitchbook.com?c=173357-56T","View Company Online")</f>
      </c>
    </row>
    <row r="3964">
      <c r="A3964" s="12" t="s">
        <v>19856</v>
      </c>
      <c r="B3964" s="12" t="s">
        <v>19857</v>
      </c>
      <c r="C3964" s="19" t="s">
        <v>36</v>
      </c>
      <c r="D3964" s="19" t="s">
        <v>36</v>
      </c>
      <c r="E3964" s="19" t="s">
        <v>36</v>
      </c>
      <c r="F3964" s="19" t="s">
        <v>36</v>
      </c>
      <c r="G3964" s="15" t="s">
        <v>326</v>
      </c>
      <c r="H3964" s="14">
        <v>1677.97</v>
      </c>
      <c r="I3964" s="18">
        <v>26.89</v>
      </c>
      <c r="J3964" s="12" t="s">
        <v>521</v>
      </c>
      <c r="K3964" s="13" t="s">
        <v>36</v>
      </c>
      <c r="L3964" s="15" t="s">
        <v>36</v>
      </c>
      <c r="M3964" s="12" t="s">
        <v>36</v>
      </c>
      <c r="N3964" s="12" t="s">
        <v>36</v>
      </c>
      <c r="O3964" s="17" t="s">
        <v>36</v>
      </c>
      <c r="P3964" s="12" t="s">
        <v>36</v>
      </c>
      <c r="Q3964" s="12" t="s">
        <v>36</v>
      </c>
      <c r="R3964" s="12" t="s">
        <v>36</v>
      </c>
      <c r="S3964" s="12" t="s">
        <v>36</v>
      </c>
      <c r="T3964" s="12" t="s">
        <v>15452</v>
      </c>
      <c r="U3964" s="12" t="s">
        <v>180</v>
      </c>
      <c r="V3964" s="12" t="s">
        <v>52</v>
      </c>
      <c r="W3964" s="12" t="s">
        <v>19858</v>
      </c>
      <c r="X3964" s="16" t="s">
        <v>19859</v>
      </c>
      <c r="Y3964" s="15" t="s">
        <v>108</v>
      </c>
      <c r="Z3964" s="14">
        <v>2.24</v>
      </c>
      <c r="AA3964" s="14">
        <v>8.33</v>
      </c>
      <c r="AB3964" s="12" t="s">
        <v>43</v>
      </c>
      <c r="AC3964" s="12" t="s">
        <v>19860</v>
      </c>
      <c r="AD3964" s="13">
        <v>43908</v>
      </c>
      <c r="AE3964" s="12" t="s">
        <v>184</v>
      </c>
      <c r="AF3964" s="12" t="s">
        <v>12554</v>
      </c>
      <c r="AG3964" s="12" t="s">
        <v>1498</v>
      </c>
      <c r="AH3964" s="1">
        <f>HYPERLINK("https://my.pitchbook.com?c=134374-15T","View Company Online")</f>
      </c>
    </row>
    <row r="3965">
      <c r="A3965" s="3" t="s">
        <v>19861</v>
      </c>
      <c r="B3965" s="3" t="s">
        <v>19862</v>
      </c>
      <c r="C3965" s="5" t="s">
        <v>36</v>
      </c>
      <c r="D3965" s="5" t="s">
        <v>36</v>
      </c>
      <c r="E3965" s="5" t="s">
        <v>36</v>
      </c>
      <c r="F3965" s="5" t="s">
        <v>36</v>
      </c>
      <c r="G3965" s="6" t="s">
        <v>2497</v>
      </c>
      <c r="H3965" s="4">
        <v>116.75</v>
      </c>
      <c r="I3965" s="7">
        <v>19.29</v>
      </c>
      <c r="J3965" s="3" t="s">
        <v>521</v>
      </c>
      <c r="K3965" s="9" t="s">
        <v>36</v>
      </c>
      <c r="L3965" s="6" t="s">
        <v>36</v>
      </c>
      <c r="M3965" s="3" t="s">
        <v>36</v>
      </c>
      <c r="N3965" s="3" t="s">
        <v>36</v>
      </c>
      <c r="O3965" s="8" t="s">
        <v>36</v>
      </c>
      <c r="P3965" s="3" t="s">
        <v>36</v>
      </c>
      <c r="Q3965" s="3" t="s">
        <v>36</v>
      </c>
      <c r="R3965" s="3" t="s">
        <v>36</v>
      </c>
      <c r="S3965" s="3" t="s">
        <v>36</v>
      </c>
      <c r="T3965" s="3" t="s">
        <v>11829</v>
      </c>
      <c r="U3965" s="3" t="s">
        <v>38</v>
      </c>
      <c r="V3965" s="3" t="s">
        <v>39</v>
      </c>
      <c r="W3965" s="3" t="s">
        <v>19863</v>
      </c>
      <c r="X3965" s="10" t="s">
        <v>19864</v>
      </c>
      <c r="Y3965" s="6" t="s">
        <v>166</v>
      </c>
      <c r="Z3965" s="4">
        <v>2.21</v>
      </c>
      <c r="AA3965" s="4">
        <v>11.46</v>
      </c>
      <c r="AB3965" s="3" t="s">
        <v>56</v>
      </c>
      <c r="AC3965" s="3" t="s">
        <v>19865</v>
      </c>
      <c r="AD3965" s="9">
        <v>43907</v>
      </c>
      <c r="AE3965" s="3" t="s">
        <v>110</v>
      </c>
      <c r="AF3965" s="3" t="s">
        <v>19866</v>
      </c>
      <c r="AG3965" s="3" t="s">
        <v>741</v>
      </c>
      <c r="AH3965" s="11">
        <f>HYPERLINK("https://my.pitchbook.com?c=195855-58T","View Company Online")</f>
      </c>
    </row>
    <row r="3966">
      <c r="A3966" s="12" t="s">
        <v>19867</v>
      </c>
      <c r="B3966" s="12" t="s">
        <v>12346</v>
      </c>
      <c r="C3966" s="19" t="s">
        <v>36</v>
      </c>
      <c r="D3966" s="19" t="s">
        <v>36</v>
      </c>
      <c r="E3966" s="19" t="s">
        <v>36</v>
      </c>
      <c r="F3966" s="19" t="s">
        <v>36</v>
      </c>
      <c r="G3966" s="15" t="s">
        <v>36</v>
      </c>
      <c r="H3966" s="14">
        <v>34.16</v>
      </c>
      <c r="I3966" s="18">
        <v>26.84</v>
      </c>
      <c r="J3966" s="12" t="s">
        <v>521</v>
      </c>
      <c r="K3966" s="13">
        <v>43895</v>
      </c>
      <c r="L3966" s="15" t="s">
        <v>36</v>
      </c>
      <c r="M3966" s="12" t="s">
        <v>36</v>
      </c>
      <c r="N3966" s="12" t="s">
        <v>36</v>
      </c>
      <c r="O3966" s="17" t="s">
        <v>36</v>
      </c>
      <c r="P3966" s="12" t="s">
        <v>36</v>
      </c>
      <c r="Q3966" s="12" t="s">
        <v>36</v>
      </c>
      <c r="R3966" s="12" t="s">
        <v>36</v>
      </c>
      <c r="S3966" s="12" t="s">
        <v>36</v>
      </c>
      <c r="T3966" s="12" t="s">
        <v>2498</v>
      </c>
      <c r="U3966" s="12" t="s">
        <v>956</v>
      </c>
      <c r="V3966" s="12" t="s">
        <v>405</v>
      </c>
      <c r="W3966" s="12" t="s">
        <v>12347</v>
      </c>
      <c r="X3966" s="16" t="s">
        <v>19868</v>
      </c>
      <c r="Y3966" s="15" t="s">
        <v>42</v>
      </c>
      <c r="Z3966" s="14">
        <v>1.33</v>
      </c>
      <c r="AA3966" s="14">
        <v>4.96</v>
      </c>
      <c r="AB3966" s="12" t="s">
        <v>43</v>
      </c>
      <c r="AC3966" s="12" t="s">
        <v>12348</v>
      </c>
      <c r="AD3966" s="13">
        <v>43906</v>
      </c>
      <c r="AE3966" s="12" t="s">
        <v>960</v>
      </c>
      <c r="AF3966" s="12" t="s">
        <v>2054</v>
      </c>
      <c r="AG3966" s="12" t="s">
        <v>12349</v>
      </c>
      <c r="AH3966" s="1">
        <f>HYPERLINK("https://my.pitchbook.com?c=133949-71T","View Company Online")</f>
      </c>
    </row>
    <row r="3967">
      <c r="A3967" s="3" t="s">
        <v>19869</v>
      </c>
      <c r="B3967" s="3" t="s">
        <v>19870</v>
      </c>
      <c r="C3967" s="5" t="s">
        <v>36</v>
      </c>
      <c r="D3967" s="5" t="s">
        <v>36</v>
      </c>
      <c r="E3967" s="5" t="s">
        <v>36</v>
      </c>
      <c r="F3967" s="5" t="s">
        <v>36</v>
      </c>
      <c r="G3967" s="6" t="s">
        <v>36</v>
      </c>
      <c r="H3967" s="4">
        <v>623.14</v>
      </c>
      <c r="I3967" s="7">
        <v>20</v>
      </c>
      <c r="J3967" s="3" t="s">
        <v>521</v>
      </c>
      <c r="K3967" s="9" t="s">
        <v>36</v>
      </c>
      <c r="L3967" s="6" t="s">
        <v>36</v>
      </c>
      <c r="M3967" s="3" t="s">
        <v>36</v>
      </c>
      <c r="N3967" s="3" t="s">
        <v>36</v>
      </c>
      <c r="O3967" s="8" t="s">
        <v>36</v>
      </c>
      <c r="P3967" s="3" t="s">
        <v>36</v>
      </c>
      <c r="Q3967" s="3" t="s">
        <v>36</v>
      </c>
      <c r="R3967" s="3" t="s">
        <v>36</v>
      </c>
      <c r="S3967" s="3" t="s">
        <v>36</v>
      </c>
      <c r="T3967" s="3" t="s">
        <v>19871</v>
      </c>
      <c r="U3967" s="3" t="s">
        <v>279</v>
      </c>
      <c r="V3967" s="3" t="s">
        <v>64</v>
      </c>
      <c r="W3967" s="3" t="s">
        <v>19872</v>
      </c>
      <c r="X3967" s="10" t="s">
        <v>19873</v>
      </c>
      <c r="Y3967" s="6" t="s">
        <v>42</v>
      </c>
      <c r="Z3967" s="4">
        <v>0.02</v>
      </c>
      <c r="AA3967" s="4">
        <v>0.08</v>
      </c>
      <c r="AB3967" s="3" t="s">
        <v>43</v>
      </c>
      <c r="AC3967" s="3" t="s">
        <v>19874</v>
      </c>
      <c r="AD3967" s="9">
        <v>43906</v>
      </c>
      <c r="AE3967" s="3" t="s">
        <v>283</v>
      </c>
      <c r="AF3967" s="3" t="s">
        <v>1331</v>
      </c>
      <c r="AG3967" s="3" t="s">
        <v>81</v>
      </c>
      <c r="AH3967" s="11">
        <f>HYPERLINK("https://my.pitchbook.com?c=186952-06T","View Company Online")</f>
      </c>
    </row>
    <row r="3968">
      <c r="A3968" s="12" t="s">
        <v>19875</v>
      </c>
      <c r="B3968" s="12" t="s">
        <v>19876</v>
      </c>
      <c r="C3968" s="19" t="s">
        <v>36</v>
      </c>
      <c r="D3968" s="19" t="s">
        <v>36</v>
      </c>
      <c r="E3968" s="19" t="s">
        <v>36</v>
      </c>
      <c r="F3968" s="19" t="s">
        <v>36</v>
      </c>
      <c r="G3968" s="15" t="s">
        <v>326</v>
      </c>
      <c r="H3968" s="14">
        <v>2.26</v>
      </c>
      <c r="I3968" s="18">
        <v>24.71</v>
      </c>
      <c r="J3968" s="12" t="s">
        <v>521</v>
      </c>
      <c r="K3968" s="13" t="s">
        <v>36</v>
      </c>
      <c r="L3968" s="15" t="s">
        <v>36</v>
      </c>
      <c r="M3968" s="12" t="s">
        <v>36</v>
      </c>
      <c r="N3968" s="12" t="s">
        <v>36</v>
      </c>
      <c r="O3968" s="17" t="s">
        <v>36</v>
      </c>
      <c r="P3968" s="12" t="s">
        <v>36</v>
      </c>
      <c r="Q3968" s="12" t="s">
        <v>36</v>
      </c>
      <c r="R3968" s="12" t="s">
        <v>36</v>
      </c>
      <c r="S3968" s="12" t="s">
        <v>10617</v>
      </c>
      <c r="T3968" s="12" t="s">
        <v>19877</v>
      </c>
      <c r="U3968" s="12" t="s">
        <v>38</v>
      </c>
      <c r="V3968" s="12" t="s">
        <v>39</v>
      </c>
      <c r="W3968" s="12" t="s">
        <v>19878</v>
      </c>
      <c r="X3968" s="16" t="s">
        <v>19879</v>
      </c>
      <c r="Y3968" s="15" t="s">
        <v>108</v>
      </c>
      <c r="Z3968" s="14">
        <v>8.81</v>
      </c>
      <c r="AA3968" s="14">
        <v>28.97</v>
      </c>
      <c r="AB3968" s="12" t="s">
        <v>43</v>
      </c>
      <c r="AC3968" s="12" t="s">
        <v>19880</v>
      </c>
      <c r="AD3968" s="13">
        <v>43903</v>
      </c>
      <c r="AE3968" s="12" t="s">
        <v>45</v>
      </c>
      <c r="AF3968" s="12" t="s">
        <v>7466</v>
      </c>
      <c r="AG3968" s="12" t="s">
        <v>443</v>
      </c>
      <c r="AH3968" s="1">
        <f>HYPERLINK("https://my.pitchbook.com?c=133514-83T","View Company Online")</f>
      </c>
    </row>
    <row r="3969">
      <c r="A3969" s="3" t="s">
        <v>19881</v>
      </c>
      <c r="B3969" s="3" t="s">
        <v>17356</v>
      </c>
      <c r="C3969" s="5" t="s">
        <v>36</v>
      </c>
      <c r="D3969" s="5" t="s">
        <v>36</v>
      </c>
      <c r="E3969" s="5" t="s">
        <v>36</v>
      </c>
      <c r="F3969" s="5" t="s">
        <v>36</v>
      </c>
      <c r="G3969" s="6" t="s">
        <v>326</v>
      </c>
      <c r="H3969" s="4">
        <v>16.27</v>
      </c>
      <c r="I3969" s="7">
        <v>25.54</v>
      </c>
      <c r="J3969" s="3" t="s">
        <v>521</v>
      </c>
      <c r="K3969" s="9" t="s">
        <v>36</v>
      </c>
      <c r="L3969" s="6" t="s">
        <v>36</v>
      </c>
      <c r="M3969" s="3" t="s">
        <v>36</v>
      </c>
      <c r="N3969" s="3" t="s">
        <v>36</v>
      </c>
      <c r="O3969" s="8" t="s">
        <v>36</v>
      </c>
      <c r="P3969" s="3" t="s">
        <v>36</v>
      </c>
      <c r="Q3969" s="3" t="s">
        <v>36</v>
      </c>
      <c r="R3969" s="3" t="s">
        <v>36</v>
      </c>
      <c r="S3969" s="3" t="s">
        <v>36</v>
      </c>
      <c r="T3969" s="3" t="s">
        <v>105</v>
      </c>
      <c r="U3969" s="3" t="s">
        <v>38</v>
      </c>
      <c r="V3969" s="3" t="s">
        <v>39</v>
      </c>
      <c r="W3969" s="3" t="s">
        <v>17357</v>
      </c>
      <c r="X3969" s="10" t="s">
        <v>19882</v>
      </c>
      <c r="Y3969" s="6" t="s">
        <v>42</v>
      </c>
      <c r="Z3969" s="4">
        <v>1.32</v>
      </c>
      <c r="AA3969" s="4">
        <v>5.18</v>
      </c>
      <c r="AB3969" s="3" t="s">
        <v>43</v>
      </c>
      <c r="AC3969" s="3" t="s">
        <v>17359</v>
      </c>
      <c r="AD3969" s="9">
        <v>43903</v>
      </c>
      <c r="AE3969" s="3" t="s">
        <v>110</v>
      </c>
      <c r="AF3969" s="3" t="s">
        <v>17360</v>
      </c>
      <c r="AG3969" s="3" t="s">
        <v>81</v>
      </c>
      <c r="AH3969" s="11">
        <f>HYPERLINK("https://my.pitchbook.com?c=153790-03T","View Company Online")</f>
      </c>
    </row>
    <row r="3970">
      <c r="A3970" s="12" t="s">
        <v>19883</v>
      </c>
      <c r="B3970" s="12" t="s">
        <v>1957</v>
      </c>
      <c r="C3970" s="19">
        <v>3</v>
      </c>
      <c r="D3970" s="19" t="s">
        <v>36</v>
      </c>
      <c r="E3970" s="19">
        <v>1</v>
      </c>
      <c r="F3970" s="19">
        <v>4</v>
      </c>
      <c r="G3970" s="15" t="s">
        <v>36</v>
      </c>
      <c r="H3970" s="14" t="s">
        <v>36</v>
      </c>
      <c r="I3970" s="18">
        <v>38.6</v>
      </c>
      <c r="J3970" s="12" t="s">
        <v>327</v>
      </c>
      <c r="K3970" s="13" t="s">
        <v>36</v>
      </c>
      <c r="L3970" s="15" t="s">
        <v>122</v>
      </c>
      <c r="M3970" s="12" t="s">
        <v>36</v>
      </c>
      <c r="N3970" s="12" t="s">
        <v>122</v>
      </c>
      <c r="O3970" s="17" t="s">
        <v>36</v>
      </c>
      <c r="P3970" s="12" t="s">
        <v>36</v>
      </c>
      <c r="Q3970" s="12" t="s">
        <v>36</v>
      </c>
      <c r="R3970" s="12" t="s">
        <v>36</v>
      </c>
      <c r="S3970" s="12" t="s">
        <v>36</v>
      </c>
      <c r="T3970" s="12" t="s">
        <v>1958</v>
      </c>
      <c r="U3970" s="12" t="s">
        <v>38</v>
      </c>
      <c r="V3970" s="12" t="s">
        <v>39</v>
      </c>
      <c r="W3970" s="12" t="s">
        <v>1959</v>
      </c>
      <c r="X3970" s="16" t="s">
        <v>19884</v>
      </c>
      <c r="Y3970" s="15" t="s">
        <v>108</v>
      </c>
      <c r="Z3970" s="14">
        <v>8.8</v>
      </c>
      <c r="AA3970" s="14">
        <v>22.81</v>
      </c>
      <c r="AB3970" s="12" t="s">
        <v>43</v>
      </c>
      <c r="AC3970" s="12" t="s">
        <v>1961</v>
      </c>
      <c r="AD3970" s="13">
        <v>43902</v>
      </c>
      <c r="AE3970" s="12" t="s">
        <v>45</v>
      </c>
      <c r="AF3970" s="12" t="s">
        <v>1962</v>
      </c>
      <c r="AG3970" s="12" t="s">
        <v>81</v>
      </c>
      <c r="AH3970" s="1">
        <f>HYPERLINK("https://my.pitchbook.com?c=133450-21T","View Company Online")</f>
      </c>
    </row>
    <row r="3971">
      <c r="A3971" s="3" t="s">
        <v>19885</v>
      </c>
      <c r="B3971" s="3" t="s">
        <v>19886</v>
      </c>
      <c r="C3971" s="5" t="s">
        <v>36</v>
      </c>
      <c r="D3971" s="5" t="s">
        <v>36</v>
      </c>
      <c r="E3971" s="5" t="s">
        <v>36</v>
      </c>
      <c r="F3971" s="5" t="s">
        <v>36</v>
      </c>
      <c r="G3971" s="6" t="s">
        <v>36</v>
      </c>
      <c r="H3971" s="4" t="s">
        <v>36</v>
      </c>
      <c r="I3971" s="7" t="s">
        <v>36</v>
      </c>
      <c r="J3971" s="3" t="s">
        <v>36</v>
      </c>
      <c r="K3971" s="9" t="s">
        <v>36</v>
      </c>
      <c r="L3971" s="6" t="s">
        <v>36</v>
      </c>
      <c r="M3971" s="3" t="s">
        <v>36</v>
      </c>
      <c r="N3971" s="3" t="s">
        <v>36</v>
      </c>
      <c r="O3971" s="8" t="s">
        <v>36</v>
      </c>
      <c r="P3971" s="3" t="s">
        <v>36</v>
      </c>
      <c r="Q3971" s="3" t="s">
        <v>36</v>
      </c>
      <c r="R3971" s="3" t="s">
        <v>36</v>
      </c>
      <c r="S3971" s="3" t="s">
        <v>36</v>
      </c>
      <c r="T3971" s="3" t="s">
        <v>19887</v>
      </c>
      <c r="U3971" s="3" t="s">
        <v>423</v>
      </c>
      <c r="V3971" s="3" t="s">
        <v>64</v>
      </c>
      <c r="W3971" s="3" t="s">
        <v>19888</v>
      </c>
      <c r="X3971" s="10" t="s">
        <v>19889</v>
      </c>
      <c r="Y3971" s="6" t="s">
        <v>42</v>
      </c>
      <c r="Z3971" s="4">
        <v>2.2</v>
      </c>
      <c r="AA3971" s="4" t="s">
        <v>36</v>
      </c>
      <c r="AB3971" s="3" t="s">
        <v>43</v>
      </c>
      <c r="AC3971" s="3" t="s">
        <v>19890</v>
      </c>
      <c r="AD3971" s="9">
        <v>43902</v>
      </c>
      <c r="AE3971" s="3" t="s">
        <v>562</v>
      </c>
      <c r="AF3971" s="3" t="s">
        <v>1061</v>
      </c>
      <c r="AG3971" s="3" t="s">
        <v>81</v>
      </c>
      <c r="AH3971" s="11">
        <f>HYPERLINK("https://my.pitchbook.com?c=131201-11T","View Company Online")</f>
      </c>
    </row>
    <row r="3972">
      <c r="A3972" s="12" t="s">
        <v>19891</v>
      </c>
      <c r="B3972" s="12" t="s">
        <v>19892</v>
      </c>
      <c r="C3972" s="19" t="s">
        <v>36</v>
      </c>
      <c r="D3972" s="19">
        <v>12</v>
      </c>
      <c r="E3972" s="19">
        <v>3</v>
      </c>
      <c r="F3972" s="19">
        <v>14</v>
      </c>
      <c r="G3972" s="15" t="s">
        <v>683</v>
      </c>
      <c r="H3972" s="14">
        <v>103.86</v>
      </c>
      <c r="I3972" s="18">
        <v>54.97</v>
      </c>
      <c r="J3972" s="12" t="s">
        <v>521</v>
      </c>
      <c r="K3972" s="13" t="s">
        <v>36</v>
      </c>
      <c r="L3972" s="15" t="s">
        <v>36</v>
      </c>
      <c r="M3972" s="12" t="s">
        <v>36</v>
      </c>
      <c r="N3972" s="12" t="s">
        <v>36</v>
      </c>
      <c r="O3972" s="17" t="s">
        <v>36</v>
      </c>
      <c r="P3972" s="12" t="s">
        <v>36</v>
      </c>
      <c r="Q3972" s="12" t="s">
        <v>36</v>
      </c>
      <c r="R3972" s="12" t="s">
        <v>36</v>
      </c>
      <c r="S3972" s="12" t="s">
        <v>36</v>
      </c>
      <c r="T3972" s="12" t="s">
        <v>17144</v>
      </c>
      <c r="U3972" s="12" t="s">
        <v>51</v>
      </c>
      <c r="V3972" s="12" t="s">
        <v>52</v>
      </c>
      <c r="W3972" s="12" t="s">
        <v>19893</v>
      </c>
      <c r="X3972" s="16" t="s">
        <v>19894</v>
      </c>
      <c r="Y3972" s="15" t="s">
        <v>108</v>
      </c>
      <c r="Z3972" s="14">
        <v>4.36</v>
      </c>
      <c r="AA3972" s="14">
        <v>7.93</v>
      </c>
      <c r="AB3972" s="12" t="s">
        <v>56</v>
      </c>
      <c r="AC3972" s="12" t="s">
        <v>19895</v>
      </c>
      <c r="AD3972" s="13">
        <v>43902</v>
      </c>
      <c r="AE3972" s="12" t="s">
        <v>1060</v>
      </c>
      <c r="AF3972" s="12" t="s">
        <v>665</v>
      </c>
      <c r="AG3972" s="12" t="s">
        <v>81</v>
      </c>
      <c r="AH3972" s="1">
        <f>HYPERLINK("https://my.pitchbook.com?c=192438-37T","View Company Online")</f>
      </c>
    </row>
    <row r="3973">
      <c r="A3973" s="3" t="s">
        <v>19896</v>
      </c>
      <c r="B3973" s="3" t="s">
        <v>2614</v>
      </c>
      <c r="C3973" s="5" t="s">
        <v>36</v>
      </c>
      <c r="D3973" s="5" t="s">
        <v>36</v>
      </c>
      <c r="E3973" s="5" t="s">
        <v>36</v>
      </c>
      <c r="F3973" s="5" t="s">
        <v>36</v>
      </c>
      <c r="G3973" s="6" t="s">
        <v>326</v>
      </c>
      <c r="H3973" s="4">
        <v>2</v>
      </c>
      <c r="I3973" s="7">
        <v>27.42</v>
      </c>
      <c r="J3973" s="3" t="s">
        <v>521</v>
      </c>
      <c r="K3973" s="9" t="s">
        <v>36</v>
      </c>
      <c r="L3973" s="6" t="s">
        <v>122</v>
      </c>
      <c r="M3973" s="3" t="s">
        <v>36</v>
      </c>
      <c r="N3973" s="3" t="s">
        <v>122</v>
      </c>
      <c r="O3973" s="8" t="s">
        <v>36</v>
      </c>
      <c r="P3973" s="3" t="s">
        <v>36</v>
      </c>
      <c r="Q3973" s="3" t="s">
        <v>36</v>
      </c>
      <c r="R3973" s="3" t="s">
        <v>36</v>
      </c>
      <c r="S3973" s="3" t="s">
        <v>36</v>
      </c>
      <c r="T3973" s="3" t="s">
        <v>1253</v>
      </c>
      <c r="U3973" s="3" t="s">
        <v>38</v>
      </c>
      <c r="V3973" s="3" t="s">
        <v>39</v>
      </c>
      <c r="W3973" s="3" t="s">
        <v>2615</v>
      </c>
      <c r="X3973" s="10" t="s">
        <v>19897</v>
      </c>
      <c r="Y3973" s="6" t="s">
        <v>55</v>
      </c>
      <c r="Z3973" s="4">
        <v>32.43</v>
      </c>
      <c r="AA3973" s="4">
        <v>50.16</v>
      </c>
      <c r="AB3973" s="3" t="s">
        <v>43</v>
      </c>
      <c r="AC3973" s="3" t="s">
        <v>2617</v>
      </c>
      <c r="AD3973" s="9">
        <v>43901</v>
      </c>
      <c r="AE3973" s="3" t="s">
        <v>45</v>
      </c>
      <c r="AF3973" s="3" t="s">
        <v>215</v>
      </c>
      <c r="AG3973" s="3" t="s">
        <v>2618</v>
      </c>
      <c r="AH3973" s="11">
        <f>HYPERLINK("https://my.pitchbook.com?c=133399-27T","View Company Online")</f>
      </c>
    </row>
    <row r="3974">
      <c r="A3974" s="12" t="s">
        <v>19898</v>
      </c>
      <c r="B3974" s="12" t="s">
        <v>10946</v>
      </c>
      <c r="C3974" s="19">
        <v>7</v>
      </c>
      <c r="D3974" s="19">
        <v>22</v>
      </c>
      <c r="E3974" s="19">
        <v>5</v>
      </c>
      <c r="F3974" s="19">
        <v>35</v>
      </c>
      <c r="G3974" s="15" t="s">
        <v>36</v>
      </c>
      <c r="H3974" s="14">
        <v>70.62</v>
      </c>
      <c r="I3974" s="18">
        <v>42.17</v>
      </c>
      <c r="J3974" s="12" t="s">
        <v>521</v>
      </c>
      <c r="K3974" s="13" t="s">
        <v>36</v>
      </c>
      <c r="L3974" s="15" t="s">
        <v>36</v>
      </c>
      <c r="M3974" s="12" t="s">
        <v>36</v>
      </c>
      <c r="N3974" s="12" t="s">
        <v>36</v>
      </c>
      <c r="O3974" s="17" t="s">
        <v>36</v>
      </c>
      <c r="P3974" s="12" t="s">
        <v>36</v>
      </c>
      <c r="Q3974" s="12" t="s">
        <v>36</v>
      </c>
      <c r="R3974" s="12" t="s">
        <v>36</v>
      </c>
      <c r="S3974" s="12" t="s">
        <v>36</v>
      </c>
      <c r="T3974" s="12" t="s">
        <v>4225</v>
      </c>
      <c r="U3974" s="12" t="s">
        <v>96</v>
      </c>
      <c r="V3974" s="12" t="s">
        <v>52</v>
      </c>
      <c r="W3974" s="12" t="s">
        <v>10947</v>
      </c>
      <c r="X3974" s="16" t="s">
        <v>10948</v>
      </c>
      <c r="Y3974" s="15" t="s">
        <v>108</v>
      </c>
      <c r="Z3974" s="14">
        <v>2.75</v>
      </c>
      <c r="AA3974" s="14">
        <v>6.52</v>
      </c>
      <c r="AB3974" s="12" t="s">
        <v>56</v>
      </c>
      <c r="AC3974" s="12" t="s">
        <v>10949</v>
      </c>
      <c r="AD3974" s="13">
        <v>43901</v>
      </c>
      <c r="AE3974" s="12" t="s">
        <v>143</v>
      </c>
      <c r="AF3974" s="12" t="s">
        <v>571</v>
      </c>
      <c r="AG3974" s="12" t="s">
        <v>392</v>
      </c>
      <c r="AH3974" s="1">
        <f>HYPERLINK("https://my.pitchbook.com?c=195651-91T","View Company Online")</f>
      </c>
    </row>
    <row r="3975">
      <c r="A3975" s="3" t="s">
        <v>19899</v>
      </c>
      <c r="B3975" s="3" t="s">
        <v>19900</v>
      </c>
      <c r="C3975" s="5" t="s">
        <v>36</v>
      </c>
      <c r="D3975" s="5" t="s">
        <v>36</v>
      </c>
      <c r="E3975" s="5" t="s">
        <v>36</v>
      </c>
      <c r="F3975" s="5" t="s">
        <v>36</v>
      </c>
      <c r="G3975" s="6" t="s">
        <v>36</v>
      </c>
      <c r="H3975" s="4" t="s">
        <v>36</v>
      </c>
      <c r="I3975" s="7" t="s">
        <v>36</v>
      </c>
      <c r="J3975" s="3" t="s">
        <v>36</v>
      </c>
      <c r="K3975" s="9" t="s">
        <v>36</v>
      </c>
      <c r="L3975" s="6" t="s">
        <v>36</v>
      </c>
      <c r="M3975" s="3" t="s">
        <v>36</v>
      </c>
      <c r="N3975" s="3" t="s">
        <v>36</v>
      </c>
      <c r="O3975" s="8" t="s">
        <v>36</v>
      </c>
      <c r="P3975" s="3" t="s">
        <v>36</v>
      </c>
      <c r="Q3975" s="3" t="s">
        <v>36</v>
      </c>
      <c r="R3975" s="3" t="s">
        <v>36</v>
      </c>
      <c r="S3975" s="3" t="s">
        <v>36</v>
      </c>
      <c r="T3975" s="3" t="s">
        <v>3445</v>
      </c>
      <c r="U3975" s="3" t="s">
        <v>38</v>
      </c>
      <c r="V3975" s="3" t="s">
        <v>39</v>
      </c>
      <c r="W3975" s="3" t="s">
        <v>19901</v>
      </c>
      <c r="X3975" s="10" t="s">
        <v>13670</v>
      </c>
      <c r="Y3975" s="6" t="s">
        <v>42</v>
      </c>
      <c r="Z3975" s="4" t="s">
        <v>36</v>
      </c>
      <c r="AA3975" s="4" t="s">
        <v>36</v>
      </c>
      <c r="AB3975" s="3" t="s">
        <v>43</v>
      </c>
      <c r="AC3975" s="3" t="s">
        <v>19902</v>
      </c>
      <c r="AD3975" s="9">
        <v>43900</v>
      </c>
      <c r="AE3975" s="3" t="s">
        <v>110</v>
      </c>
      <c r="AF3975" s="3" t="s">
        <v>799</v>
      </c>
      <c r="AG3975" s="3" t="s">
        <v>434</v>
      </c>
      <c r="AH3975" s="11">
        <f>HYPERLINK("https://my.pitchbook.com?c=135642-34T","View Company Online")</f>
      </c>
    </row>
    <row r="3976">
      <c r="A3976" s="12" t="s">
        <v>19903</v>
      </c>
      <c r="B3976" s="12" t="s">
        <v>14592</v>
      </c>
      <c r="C3976" s="19" t="s">
        <v>36</v>
      </c>
      <c r="D3976" s="19" t="s">
        <v>36</v>
      </c>
      <c r="E3976" s="19" t="s">
        <v>36</v>
      </c>
      <c r="F3976" s="19" t="s">
        <v>36</v>
      </c>
      <c r="G3976" s="15" t="s">
        <v>326</v>
      </c>
      <c r="H3976" s="14">
        <v>649.1</v>
      </c>
      <c r="I3976" s="18">
        <v>31.51</v>
      </c>
      <c r="J3976" s="12" t="s">
        <v>521</v>
      </c>
      <c r="K3976" s="13" t="s">
        <v>36</v>
      </c>
      <c r="L3976" s="15" t="s">
        <v>122</v>
      </c>
      <c r="M3976" s="12" t="s">
        <v>36</v>
      </c>
      <c r="N3976" s="12" t="s">
        <v>122</v>
      </c>
      <c r="O3976" s="17" t="s">
        <v>36</v>
      </c>
      <c r="P3976" s="12" t="s">
        <v>36</v>
      </c>
      <c r="Q3976" s="12" t="s">
        <v>36</v>
      </c>
      <c r="R3976" s="12" t="s">
        <v>36</v>
      </c>
      <c r="S3976" s="12" t="s">
        <v>36</v>
      </c>
      <c r="T3976" s="12" t="s">
        <v>14593</v>
      </c>
      <c r="U3976" s="12" t="s">
        <v>38</v>
      </c>
      <c r="V3976" s="12" t="s">
        <v>39</v>
      </c>
      <c r="W3976" s="12" t="s">
        <v>14594</v>
      </c>
      <c r="X3976" s="16" t="s">
        <v>19904</v>
      </c>
      <c r="Y3976" s="15" t="s">
        <v>55</v>
      </c>
      <c r="Z3976" s="14">
        <v>4.94</v>
      </c>
      <c r="AA3976" s="14">
        <v>8.21</v>
      </c>
      <c r="AB3976" s="12" t="s">
        <v>56</v>
      </c>
      <c r="AC3976" s="12" t="s">
        <v>14596</v>
      </c>
      <c r="AD3976" s="13">
        <v>43900</v>
      </c>
      <c r="AE3976" s="12" t="s">
        <v>110</v>
      </c>
      <c r="AF3976" s="12" t="s">
        <v>14597</v>
      </c>
      <c r="AG3976" s="12" t="s">
        <v>1078</v>
      </c>
      <c r="AH3976" s="1">
        <f>HYPERLINK("https://my.pitchbook.com?c=133303-33T","View Company Online")</f>
      </c>
    </row>
    <row r="3977">
      <c r="A3977" s="3" t="s">
        <v>19905</v>
      </c>
      <c r="B3977" s="3" t="s">
        <v>14886</v>
      </c>
      <c r="C3977" s="5" t="s">
        <v>36</v>
      </c>
      <c r="D3977" s="5" t="s">
        <v>36</v>
      </c>
      <c r="E3977" s="5" t="s">
        <v>36</v>
      </c>
      <c r="F3977" s="5" t="s">
        <v>36</v>
      </c>
      <c r="G3977" s="6" t="s">
        <v>36</v>
      </c>
      <c r="H3977" s="4">
        <v>9.55</v>
      </c>
      <c r="I3977" s="7">
        <v>15.08</v>
      </c>
      <c r="J3977" s="3" t="s">
        <v>521</v>
      </c>
      <c r="K3977" s="9" t="s">
        <v>36</v>
      </c>
      <c r="L3977" s="6" t="s">
        <v>36</v>
      </c>
      <c r="M3977" s="3" t="s">
        <v>36</v>
      </c>
      <c r="N3977" s="3" t="s">
        <v>36</v>
      </c>
      <c r="O3977" s="8" t="s">
        <v>36</v>
      </c>
      <c r="P3977" s="3" t="s">
        <v>36</v>
      </c>
      <c r="Q3977" s="3" t="s">
        <v>36</v>
      </c>
      <c r="R3977" s="3" t="s">
        <v>36</v>
      </c>
      <c r="S3977" s="3" t="s">
        <v>36</v>
      </c>
      <c r="T3977" s="3" t="s">
        <v>6392</v>
      </c>
      <c r="U3977" s="3" t="s">
        <v>289</v>
      </c>
      <c r="V3977" s="3" t="s">
        <v>64</v>
      </c>
      <c r="W3977" s="3" t="s">
        <v>14887</v>
      </c>
      <c r="X3977" s="10" t="s">
        <v>19906</v>
      </c>
      <c r="Y3977" s="6" t="s">
        <v>42</v>
      </c>
      <c r="Z3977" s="4">
        <v>0.82</v>
      </c>
      <c r="AA3977" s="4">
        <v>1.82</v>
      </c>
      <c r="AB3977" s="3" t="s">
        <v>43</v>
      </c>
      <c r="AC3977" s="3" t="s">
        <v>14889</v>
      </c>
      <c r="AD3977" s="9">
        <v>43900</v>
      </c>
      <c r="AE3977" s="3" t="s">
        <v>292</v>
      </c>
      <c r="AF3977" s="3" t="s">
        <v>90</v>
      </c>
      <c r="AG3977" s="3" t="s">
        <v>14890</v>
      </c>
      <c r="AH3977" s="11">
        <f>HYPERLINK("https://my.pitchbook.com?c=133885-27T","View Company Online")</f>
      </c>
    </row>
    <row r="3978">
      <c r="A3978" s="12" t="s">
        <v>19907</v>
      </c>
      <c r="B3978" s="12" t="s">
        <v>12086</v>
      </c>
      <c r="C3978" s="19">
        <v>4</v>
      </c>
      <c r="D3978" s="19">
        <v>5</v>
      </c>
      <c r="E3978" s="19">
        <v>2</v>
      </c>
      <c r="F3978" s="19">
        <v>10</v>
      </c>
      <c r="G3978" s="15" t="s">
        <v>36</v>
      </c>
      <c r="H3978" s="14" t="s">
        <v>36</v>
      </c>
      <c r="I3978" s="18" t="s">
        <v>36</v>
      </c>
      <c r="J3978" s="12" t="s">
        <v>36</v>
      </c>
      <c r="K3978" s="13" t="s">
        <v>36</v>
      </c>
      <c r="L3978" s="15" t="s">
        <v>36</v>
      </c>
      <c r="M3978" s="12" t="s">
        <v>36</v>
      </c>
      <c r="N3978" s="12" t="s">
        <v>36</v>
      </c>
      <c r="O3978" s="17" t="s">
        <v>36</v>
      </c>
      <c r="P3978" s="12" t="s">
        <v>36</v>
      </c>
      <c r="Q3978" s="12" t="s">
        <v>36</v>
      </c>
      <c r="R3978" s="12" t="s">
        <v>36</v>
      </c>
      <c r="S3978" s="12" t="s">
        <v>36</v>
      </c>
      <c r="T3978" s="12" t="s">
        <v>881</v>
      </c>
      <c r="U3978" s="12" t="s">
        <v>51</v>
      </c>
      <c r="V3978" s="12" t="s">
        <v>52</v>
      </c>
      <c r="W3978" s="12" t="s">
        <v>12087</v>
      </c>
      <c r="X3978" s="16" t="s">
        <v>1840</v>
      </c>
      <c r="Y3978" s="15" t="s">
        <v>108</v>
      </c>
      <c r="Z3978" s="14">
        <v>2.2</v>
      </c>
      <c r="AA3978" s="14" t="s">
        <v>36</v>
      </c>
      <c r="AB3978" s="12" t="s">
        <v>56</v>
      </c>
      <c r="AC3978" s="12" t="s">
        <v>12089</v>
      </c>
      <c r="AD3978" s="13">
        <v>43900</v>
      </c>
      <c r="AE3978" s="12" t="s">
        <v>504</v>
      </c>
      <c r="AF3978" s="12" t="s">
        <v>3193</v>
      </c>
      <c r="AG3978" s="12" t="s">
        <v>1276</v>
      </c>
      <c r="AH3978" s="1">
        <f>HYPERLINK("https://my.pitchbook.com?c=136007-74T","View Company Online")</f>
      </c>
    </row>
    <row r="3979">
      <c r="A3979" s="3" t="s">
        <v>19908</v>
      </c>
      <c r="B3979" s="3" t="s">
        <v>19909</v>
      </c>
      <c r="C3979" s="5">
        <v>1</v>
      </c>
      <c r="D3979" s="5">
        <v>1</v>
      </c>
      <c r="E3979" s="5">
        <v>1</v>
      </c>
      <c r="F3979" s="5">
        <v>2</v>
      </c>
      <c r="G3979" s="6" t="s">
        <v>36</v>
      </c>
      <c r="H3979" s="4" t="s">
        <v>36</v>
      </c>
      <c r="I3979" s="7" t="s">
        <v>36</v>
      </c>
      <c r="J3979" s="3" t="s">
        <v>36</v>
      </c>
      <c r="K3979" s="9" t="s">
        <v>36</v>
      </c>
      <c r="L3979" s="6" t="s">
        <v>36</v>
      </c>
      <c r="M3979" s="3" t="s">
        <v>36</v>
      </c>
      <c r="N3979" s="3" t="s">
        <v>36</v>
      </c>
      <c r="O3979" s="8" t="s">
        <v>36</v>
      </c>
      <c r="P3979" s="3" t="s">
        <v>36</v>
      </c>
      <c r="Q3979" s="3" t="s">
        <v>36</v>
      </c>
      <c r="R3979" s="3" t="s">
        <v>36</v>
      </c>
      <c r="S3979" s="3" t="s">
        <v>36</v>
      </c>
      <c r="T3979" s="3" t="s">
        <v>1725</v>
      </c>
      <c r="U3979" s="3" t="s">
        <v>318</v>
      </c>
      <c r="V3979" s="3" t="s">
        <v>39</v>
      </c>
      <c r="W3979" s="3" t="s">
        <v>19910</v>
      </c>
      <c r="X3979" s="10" t="s">
        <v>19911</v>
      </c>
      <c r="Y3979" s="6" t="s">
        <v>42</v>
      </c>
      <c r="Z3979" s="4">
        <v>0.82</v>
      </c>
      <c r="AA3979" s="4" t="s">
        <v>36</v>
      </c>
      <c r="AB3979" s="3" t="s">
        <v>43</v>
      </c>
      <c r="AC3979" s="3" t="s">
        <v>19912</v>
      </c>
      <c r="AD3979" s="9">
        <v>43899</v>
      </c>
      <c r="AE3979" s="3" t="s">
        <v>763</v>
      </c>
      <c r="AF3979" s="3" t="s">
        <v>4477</v>
      </c>
      <c r="AG3979" s="3" t="s">
        <v>186</v>
      </c>
      <c r="AH3979" s="11">
        <f>HYPERLINK("https://my.pitchbook.com?c=133333-39T","View Company Online")</f>
      </c>
    </row>
    <row r="3980">
      <c r="A3980" s="12" t="s">
        <v>19913</v>
      </c>
      <c r="B3980" s="12" t="s">
        <v>19914</v>
      </c>
      <c r="C3980" s="19" t="s">
        <v>36</v>
      </c>
      <c r="D3980" s="19" t="s">
        <v>36</v>
      </c>
      <c r="E3980" s="19" t="s">
        <v>36</v>
      </c>
      <c r="F3980" s="19" t="s">
        <v>36</v>
      </c>
      <c r="G3980" s="15" t="s">
        <v>2497</v>
      </c>
      <c r="H3980" s="14">
        <v>284.57</v>
      </c>
      <c r="I3980" s="18">
        <v>26.19</v>
      </c>
      <c r="J3980" s="12" t="s">
        <v>521</v>
      </c>
      <c r="K3980" s="13" t="s">
        <v>36</v>
      </c>
      <c r="L3980" s="15" t="s">
        <v>36</v>
      </c>
      <c r="M3980" s="12" t="s">
        <v>36</v>
      </c>
      <c r="N3980" s="12" t="s">
        <v>36</v>
      </c>
      <c r="O3980" s="17" t="s">
        <v>36</v>
      </c>
      <c r="P3980" s="12" t="s">
        <v>36</v>
      </c>
      <c r="Q3980" s="12" t="s">
        <v>36</v>
      </c>
      <c r="R3980" s="12" t="s">
        <v>36</v>
      </c>
      <c r="S3980" s="12" t="s">
        <v>36</v>
      </c>
      <c r="T3980" s="12" t="s">
        <v>17132</v>
      </c>
      <c r="U3980" s="12" t="s">
        <v>728</v>
      </c>
      <c r="V3980" s="12" t="s">
        <v>64</v>
      </c>
      <c r="W3980" s="12" t="s">
        <v>19915</v>
      </c>
      <c r="X3980" s="16" t="s">
        <v>11111</v>
      </c>
      <c r="Y3980" s="15" t="s">
        <v>108</v>
      </c>
      <c r="Z3980" s="14">
        <v>0.07</v>
      </c>
      <c r="AA3980" s="14">
        <v>0.25</v>
      </c>
      <c r="AB3980" s="12" t="s">
        <v>56</v>
      </c>
      <c r="AC3980" s="12" t="s">
        <v>19916</v>
      </c>
      <c r="AD3980" s="13">
        <v>43898</v>
      </c>
      <c r="AE3980" s="12" t="s">
        <v>1600</v>
      </c>
      <c r="AF3980" s="12" t="s">
        <v>90</v>
      </c>
      <c r="AG3980" s="12" t="s">
        <v>81</v>
      </c>
      <c r="AH3980" s="1">
        <f>HYPERLINK("https://my.pitchbook.com?c=82520-83T","View Company Online")</f>
      </c>
    </row>
    <row r="3981">
      <c r="A3981" s="3" t="s">
        <v>19917</v>
      </c>
      <c r="B3981" s="3" t="s">
        <v>9242</v>
      </c>
      <c r="C3981" s="5" t="s">
        <v>36</v>
      </c>
      <c r="D3981" s="5" t="s">
        <v>36</v>
      </c>
      <c r="E3981" s="5" t="s">
        <v>36</v>
      </c>
      <c r="F3981" s="5" t="s">
        <v>36</v>
      </c>
      <c r="G3981" s="6" t="s">
        <v>36</v>
      </c>
      <c r="H3981" s="4">
        <v>384.95</v>
      </c>
      <c r="I3981" s="7">
        <v>35.6</v>
      </c>
      <c r="J3981" s="3" t="s">
        <v>521</v>
      </c>
      <c r="K3981" s="9" t="s">
        <v>36</v>
      </c>
      <c r="L3981" s="6" t="s">
        <v>36</v>
      </c>
      <c r="M3981" s="3" t="s">
        <v>36</v>
      </c>
      <c r="N3981" s="3" t="s">
        <v>36</v>
      </c>
      <c r="O3981" s="8" t="s">
        <v>36</v>
      </c>
      <c r="P3981" s="3" t="s">
        <v>36</v>
      </c>
      <c r="Q3981" s="3" t="s">
        <v>36</v>
      </c>
      <c r="R3981" s="3" t="s">
        <v>36</v>
      </c>
      <c r="S3981" s="3" t="s">
        <v>36</v>
      </c>
      <c r="T3981" s="3" t="s">
        <v>9243</v>
      </c>
      <c r="U3981" s="3" t="s">
        <v>423</v>
      </c>
      <c r="V3981" s="3" t="s">
        <v>64</v>
      </c>
      <c r="W3981" s="3" t="s">
        <v>9244</v>
      </c>
      <c r="X3981" s="10" t="s">
        <v>19918</v>
      </c>
      <c r="Y3981" s="6" t="s">
        <v>42</v>
      </c>
      <c r="Z3981" s="4">
        <v>1.31</v>
      </c>
      <c r="AA3981" s="4">
        <v>3.14</v>
      </c>
      <c r="AB3981" s="3" t="s">
        <v>43</v>
      </c>
      <c r="AC3981" s="3" t="s">
        <v>9246</v>
      </c>
      <c r="AD3981" s="9">
        <v>43895</v>
      </c>
      <c r="AE3981" s="3" t="s">
        <v>427</v>
      </c>
      <c r="AF3981" s="3" t="s">
        <v>733</v>
      </c>
      <c r="AG3981" s="3" t="s">
        <v>47</v>
      </c>
      <c r="AH3981" s="11">
        <f>HYPERLINK("https://my.pitchbook.com?c=133570-54T","View Company Online")</f>
      </c>
    </row>
    <row r="3982">
      <c r="A3982" s="12" t="s">
        <v>19919</v>
      </c>
      <c r="B3982" s="12" t="s">
        <v>19920</v>
      </c>
      <c r="C3982" s="19" t="s">
        <v>36</v>
      </c>
      <c r="D3982" s="19" t="s">
        <v>36</v>
      </c>
      <c r="E3982" s="19" t="s">
        <v>36</v>
      </c>
      <c r="F3982" s="19" t="s">
        <v>36</v>
      </c>
      <c r="G3982" s="15" t="s">
        <v>326</v>
      </c>
      <c r="H3982" s="14">
        <v>385.98</v>
      </c>
      <c r="I3982" s="18">
        <v>29.39</v>
      </c>
      <c r="J3982" s="12" t="s">
        <v>521</v>
      </c>
      <c r="K3982" s="13" t="s">
        <v>36</v>
      </c>
      <c r="L3982" s="15" t="s">
        <v>122</v>
      </c>
      <c r="M3982" s="12" t="s">
        <v>36</v>
      </c>
      <c r="N3982" s="12" t="s">
        <v>122</v>
      </c>
      <c r="O3982" s="17" t="s">
        <v>36</v>
      </c>
      <c r="P3982" s="12" t="s">
        <v>36</v>
      </c>
      <c r="Q3982" s="12" t="s">
        <v>36</v>
      </c>
      <c r="R3982" s="12" t="s">
        <v>36</v>
      </c>
      <c r="S3982" s="12" t="s">
        <v>36</v>
      </c>
      <c r="T3982" s="12" t="s">
        <v>522</v>
      </c>
      <c r="U3982" s="12" t="s">
        <v>38</v>
      </c>
      <c r="V3982" s="12" t="s">
        <v>39</v>
      </c>
      <c r="W3982" s="12" t="s">
        <v>19921</v>
      </c>
      <c r="X3982" s="16" t="s">
        <v>19922</v>
      </c>
      <c r="Y3982" s="15" t="s">
        <v>55</v>
      </c>
      <c r="Z3982" s="14">
        <v>6.56</v>
      </c>
      <c r="AA3982" s="14">
        <v>15.24</v>
      </c>
      <c r="AB3982" s="12" t="s">
        <v>43</v>
      </c>
      <c r="AC3982" s="12" t="s">
        <v>19923</v>
      </c>
      <c r="AD3982" s="13">
        <v>43895</v>
      </c>
      <c r="AE3982" s="12" t="s">
        <v>110</v>
      </c>
      <c r="AF3982" s="12" t="s">
        <v>19924</v>
      </c>
      <c r="AG3982" s="12" t="s">
        <v>102</v>
      </c>
      <c r="AH3982" s="1">
        <f>HYPERLINK("https://my.pitchbook.com?c=133165-45T","View Company Online")</f>
      </c>
    </row>
    <row r="3983">
      <c r="A3983" s="3" t="s">
        <v>19925</v>
      </c>
      <c r="B3983" s="3" t="s">
        <v>13825</v>
      </c>
      <c r="C3983" s="5" t="s">
        <v>36</v>
      </c>
      <c r="D3983" s="5" t="s">
        <v>36</v>
      </c>
      <c r="E3983" s="5" t="s">
        <v>36</v>
      </c>
      <c r="F3983" s="5" t="s">
        <v>36</v>
      </c>
      <c r="G3983" s="6" t="s">
        <v>326</v>
      </c>
      <c r="H3983" s="4">
        <v>1215.12</v>
      </c>
      <c r="I3983" s="7">
        <v>33.21</v>
      </c>
      <c r="J3983" s="3" t="s">
        <v>521</v>
      </c>
      <c r="K3983" s="9" t="s">
        <v>36</v>
      </c>
      <c r="L3983" s="6" t="s">
        <v>36</v>
      </c>
      <c r="M3983" s="3" t="s">
        <v>36</v>
      </c>
      <c r="N3983" s="3" t="s">
        <v>36</v>
      </c>
      <c r="O3983" s="8" t="s">
        <v>36</v>
      </c>
      <c r="P3983" s="3" t="s">
        <v>36</v>
      </c>
      <c r="Q3983" s="3" t="s">
        <v>36</v>
      </c>
      <c r="R3983" s="3" t="s">
        <v>36</v>
      </c>
      <c r="S3983" s="3" t="s">
        <v>36</v>
      </c>
      <c r="T3983" s="3" t="s">
        <v>3330</v>
      </c>
      <c r="U3983" s="3" t="s">
        <v>438</v>
      </c>
      <c r="V3983" s="3" t="s">
        <v>405</v>
      </c>
      <c r="W3983" s="3" t="s">
        <v>13826</v>
      </c>
      <c r="X3983" s="10" t="s">
        <v>19926</v>
      </c>
      <c r="Y3983" s="6" t="s">
        <v>42</v>
      </c>
      <c r="Z3983" s="4">
        <v>1.09</v>
      </c>
      <c r="AA3983" s="4">
        <v>2.47</v>
      </c>
      <c r="AB3983" s="3" t="s">
        <v>43</v>
      </c>
      <c r="AC3983" s="3" t="s">
        <v>13828</v>
      </c>
      <c r="AD3983" s="9">
        <v>43895</v>
      </c>
      <c r="AE3983" s="3" t="s">
        <v>438</v>
      </c>
      <c r="AF3983" s="3" t="s">
        <v>215</v>
      </c>
      <c r="AG3983" s="3" t="s">
        <v>81</v>
      </c>
      <c r="AH3983" s="11">
        <f>HYPERLINK("https://my.pitchbook.com?c=133658-38T","View Company Online")</f>
      </c>
    </row>
    <row r="3984">
      <c r="A3984" s="12" t="s">
        <v>19927</v>
      </c>
      <c r="B3984" s="12" t="s">
        <v>19928</v>
      </c>
      <c r="C3984" s="19" t="s">
        <v>36</v>
      </c>
      <c r="D3984" s="19" t="s">
        <v>36</v>
      </c>
      <c r="E3984" s="19">
        <v>1</v>
      </c>
      <c r="F3984" s="19">
        <v>1</v>
      </c>
      <c r="G3984" s="15" t="s">
        <v>36</v>
      </c>
      <c r="H3984" s="14">
        <v>29.5</v>
      </c>
      <c r="I3984" s="18">
        <v>27.19</v>
      </c>
      <c r="J3984" s="12" t="s">
        <v>521</v>
      </c>
      <c r="K3984" s="13" t="s">
        <v>36</v>
      </c>
      <c r="L3984" s="15" t="s">
        <v>36</v>
      </c>
      <c r="M3984" s="12" t="s">
        <v>36</v>
      </c>
      <c r="N3984" s="12" t="s">
        <v>36</v>
      </c>
      <c r="O3984" s="17" t="s">
        <v>36</v>
      </c>
      <c r="P3984" s="12" t="s">
        <v>36</v>
      </c>
      <c r="Q3984" s="12" t="s">
        <v>36</v>
      </c>
      <c r="R3984" s="12" t="s">
        <v>36</v>
      </c>
      <c r="S3984" s="12" t="s">
        <v>36</v>
      </c>
      <c r="T3984" s="12" t="s">
        <v>19929</v>
      </c>
      <c r="U3984" s="12" t="s">
        <v>180</v>
      </c>
      <c r="V3984" s="12" t="s">
        <v>52</v>
      </c>
      <c r="W3984" s="12" t="s">
        <v>19930</v>
      </c>
      <c r="X3984" s="16" t="s">
        <v>19931</v>
      </c>
      <c r="Y3984" s="15" t="s">
        <v>55</v>
      </c>
      <c r="Z3984" s="14">
        <v>1.09</v>
      </c>
      <c r="AA3984" s="14">
        <v>4</v>
      </c>
      <c r="AB3984" s="12" t="s">
        <v>56</v>
      </c>
      <c r="AC3984" s="12" t="s">
        <v>19932</v>
      </c>
      <c r="AD3984" s="13">
        <v>43895</v>
      </c>
      <c r="AE3984" s="12" t="s">
        <v>184</v>
      </c>
      <c r="AF3984" s="12" t="s">
        <v>19933</v>
      </c>
      <c r="AG3984" s="12" t="s">
        <v>144</v>
      </c>
      <c r="AH3984" s="1">
        <f>HYPERLINK("https://my.pitchbook.com?c=133686-55T","View Company Online")</f>
      </c>
    </row>
    <row r="3985">
      <c r="A3985" s="3" t="s">
        <v>19934</v>
      </c>
      <c r="B3985" s="3" t="s">
        <v>6556</v>
      </c>
      <c r="C3985" s="5" t="s">
        <v>36</v>
      </c>
      <c r="D3985" s="5" t="s">
        <v>36</v>
      </c>
      <c r="E3985" s="5" t="s">
        <v>36</v>
      </c>
      <c r="F3985" s="5" t="s">
        <v>36</v>
      </c>
      <c r="G3985" s="6" t="s">
        <v>36</v>
      </c>
      <c r="H3985" s="4" t="s">
        <v>36</v>
      </c>
      <c r="I3985" s="7" t="s">
        <v>36</v>
      </c>
      <c r="J3985" s="3" t="s">
        <v>36</v>
      </c>
      <c r="K3985" s="9" t="s">
        <v>36</v>
      </c>
      <c r="L3985" s="6" t="s">
        <v>94</v>
      </c>
      <c r="M3985" s="3" t="s">
        <v>36</v>
      </c>
      <c r="N3985" s="3" t="s">
        <v>94</v>
      </c>
      <c r="O3985" s="8" t="s">
        <v>36</v>
      </c>
      <c r="P3985" s="3" t="s">
        <v>36</v>
      </c>
      <c r="Q3985" s="3" t="s">
        <v>36</v>
      </c>
      <c r="R3985" s="3" t="s">
        <v>36</v>
      </c>
      <c r="S3985" s="3" t="s">
        <v>36</v>
      </c>
      <c r="T3985" s="3" t="s">
        <v>6557</v>
      </c>
      <c r="U3985" s="3" t="s">
        <v>648</v>
      </c>
      <c r="V3985" s="3" t="s">
        <v>64</v>
      </c>
      <c r="W3985" s="3" t="s">
        <v>6558</v>
      </c>
      <c r="X3985" s="10" t="s">
        <v>19935</v>
      </c>
      <c r="Y3985" s="6" t="s">
        <v>55</v>
      </c>
      <c r="Z3985" s="4">
        <v>196.63</v>
      </c>
      <c r="AA3985" s="4" t="s">
        <v>36</v>
      </c>
      <c r="AB3985" s="3" t="s">
        <v>43</v>
      </c>
      <c r="AC3985" s="3" t="s">
        <v>6560</v>
      </c>
      <c r="AD3985" s="9">
        <v>43894</v>
      </c>
      <c r="AE3985" s="3" t="s">
        <v>1897</v>
      </c>
      <c r="AF3985" s="3" t="s">
        <v>1115</v>
      </c>
      <c r="AG3985" s="3" t="s">
        <v>81</v>
      </c>
      <c r="AH3985" s="11">
        <f>HYPERLINK("https://my.pitchbook.com?c=133020-01T","View Company Online")</f>
      </c>
    </row>
    <row r="3986">
      <c r="A3986" s="12" t="s">
        <v>19936</v>
      </c>
      <c r="B3986" s="12" t="s">
        <v>6330</v>
      </c>
      <c r="C3986" s="19" t="s">
        <v>36</v>
      </c>
      <c r="D3986" s="19" t="s">
        <v>36</v>
      </c>
      <c r="E3986" s="19" t="s">
        <v>36</v>
      </c>
      <c r="F3986" s="19" t="s">
        <v>36</v>
      </c>
      <c r="G3986" s="15" t="s">
        <v>36</v>
      </c>
      <c r="H3986" s="14" t="s">
        <v>36</v>
      </c>
      <c r="I3986" s="18" t="s">
        <v>36</v>
      </c>
      <c r="J3986" s="12" t="s">
        <v>36</v>
      </c>
      <c r="K3986" s="13" t="s">
        <v>36</v>
      </c>
      <c r="L3986" s="15" t="s">
        <v>122</v>
      </c>
      <c r="M3986" s="12" t="s">
        <v>36</v>
      </c>
      <c r="N3986" s="12" t="s">
        <v>122</v>
      </c>
      <c r="O3986" s="17" t="s">
        <v>36</v>
      </c>
      <c r="P3986" s="12" t="s">
        <v>36</v>
      </c>
      <c r="Q3986" s="12" t="s">
        <v>36</v>
      </c>
      <c r="R3986" s="12" t="s">
        <v>36</v>
      </c>
      <c r="S3986" s="12" t="s">
        <v>36</v>
      </c>
      <c r="T3986" s="12" t="s">
        <v>6331</v>
      </c>
      <c r="U3986" s="12" t="s">
        <v>728</v>
      </c>
      <c r="V3986" s="12" t="s">
        <v>64</v>
      </c>
      <c r="W3986" s="12" t="s">
        <v>6332</v>
      </c>
      <c r="X3986" s="16" t="s">
        <v>19937</v>
      </c>
      <c r="Y3986" s="15" t="s">
        <v>42</v>
      </c>
      <c r="Z3986" s="14">
        <v>5.46</v>
      </c>
      <c r="AA3986" s="14" t="s">
        <v>36</v>
      </c>
      <c r="AB3986" s="12" t="s">
        <v>56</v>
      </c>
      <c r="AC3986" s="12" t="s">
        <v>6334</v>
      </c>
      <c r="AD3986" s="13">
        <v>43894</v>
      </c>
      <c r="AE3986" s="12" t="s">
        <v>2154</v>
      </c>
      <c r="AF3986" s="12" t="s">
        <v>90</v>
      </c>
      <c r="AG3986" s="12" t="s">
        <v>81</v>
      </c>
      <c r="AH3986" s="1">
        <f>HYPERLINK("https://my.pitchbook.com?c=137851-93T","View Company Online")</f>
      </c>
    </row>
    <row r="3987">
      <c r="A3987" s="3" t="s">
        <v>19938</v>
      </c>
      <c r="B3987" s="3" t="s">
        <v>19939</v>
      </c>
      <c r="C3987" s="5" t="s">
        <v>36</v>
      </c>
      <c r="D3987" s="5" t="s">
        <v>36</v>
      </c>
      <c r="E3987" s="5" t="s">
        <v>36</v>
      </c>
      <c r="F3987" s="5" t="s">
        <v>36</v>
      </c>
      <c r="G3987" s="6" t="s">
        <v>36</v>
      </c>
      <c r="H3987" s="4">
        <v>297.53</v>
      </c>
      <c r="I3987" s="7">
        <v>22.41</v>
      </c>
      <c r="J3987" s="3" t="s">
        <v>521</v>
      </c>
      <c r="K3987" s="9" t="s">
        <v>36</v>
      </c>
      <c r="L3987" s="6" t="s">
        <v>36</v>
      </c>
      <c r="M3987" s="3" t="s">
        <v>36</v>
      </c>
      <c r="N3987" s="3" t="s">
        <v>36</v>
      </c>
      <c r="O3987" s="8" t="s">
        <v>36</v>
      </c>
      <c r="P3987" s="3" t="s">
        <v>36</v>
      </c>
      <c r="Q3987" s="3" t="s">
        <v>36</v>
      </c>
      <c r="R3987" s="3" t="s">
        <v>36</v>
      </c>
      <c r="S3987" s="3" t="s">
        <v>36</v>
      </c>
      <c r="T3987" s="3" t="s">
        <v>6989</v>
      </c>
      <c r="U3987" s="3" t="s">
        <v>63</v>
      </c>
      <c r="V3987" s="3" t="s">
        <v>64</v>
      </c>
      <c r="W3987" s="3" t="s">
        <v>19940</v>
      </c>
      <c r="X3987" s="10" t="s">
        <v>19941</v>
      </c>
      <c r="Y3987" s="6" t="s">
        <v>42</v>
      </c>
      <c r="Z3987" s="4">
        <v>0.92</v>
      </c>
      <c r="AA3987" s="4">
        <v>4.08</v>
      </c>
      <c r="AB3987" s="3" t="s">
        <v>43</v>
      </c>
      <c r="AC3987" s="3" t="s">
        <v>19942</v>
      </c>
      <c r="AD3987" s="9">
        <v>43894</v>
      </c>
      <c r="AE3987" s="3" t="s">
        <v>68</v>
      </c>
      <c r="AF3987" s="3" t="s">
        <v>36</v>
      </c>
      <c r="AG3987" s="3" t="s">
        <v>2760</v>
      </c>
      <c r="AH3987" s="11">
        <f>HYPERLINK("https://my.pitchbook.com?c=137392-66T","View Company Online")</f>
      </c>
    </row>
    <row r="3988">
      <c r="A3988" s="12" t="s">
        <v>19943</v>
      </c>
      <c r="B3988" s="12" t="s">
        <v>19944</v>
      </c>
      <c r="C3988" s="19" t="s">
        <v>36</v>
      </c>
      <c r="D3988" s="19" t="s">
        <v>36</v>
      </c>
      <c r="E3988" s="19" t="s">
        <v>36</v>
      </c>
      <c r="F3988" s="19" t="s">
        <v>36</v>
      </c>
      <c r="G3988" s="15" t="s">
        <v>36</v>
      </c>
      <c r="H3988" s="14" t="s">
        <v>36</v>
      </c>
      <c r="I3988" s="18">
        <v>20</v>
      </c>
      <c r="J3988" s="12" t="s">
        <v>36</v>
      </c>
      <c r="K3988" s="13" t="s">
        <v>36</v>
      </c>
      <c r="L3988" s="15" t="s">
        <v>36</v>
      </c>
      <c r="M3988" s="12" t="s">
        <v>36</v>
      </c>
      <c r="N3988" s="12" t="s">
        <v>36</v>
      </c>
      <c r="O3988" s="17" t="s">
        <v>36</v>
      </c>
      <c r="P3988" s="12" t="s">
        <v>36</v>
      </c>
      <c r="Q3988" s="12" t="s">
        <v>36</v>
      </c>
      <c r="R3988" s="12" t="s">
        <v>36</v>
      </c>
      <c r="S3988" s="12" t="s">
        <v>36</v>
      </c>
      <c r="T3988" s="12" t="s">
        <v>19945</v>
      </c>
      <c r="U3988" s="12" t="s">
        <v>63</v>
      </c>
      <c r="V3988" s="12" t="s">
        <v>64</v>
      </c>
      <c r="W3988" s="12" t="s">
        <v>19946</v>
      </c>
      <c r="X3988" s="16" t="s">
        <v>19947</v>
      </c>
      <c r="Y3988" s="15" t="s">
        <v>55</v>
      </c>
      <c r="Z3988" s="14" t="s">
        <v>36</v>
      </c>
      <c r="AA3988" s="14" t="s">
        <v>36</v>
      </c>
      <c r="AB3988" s="12" t="s">
        <v>56</v>
      </c>
      <c r="AC3988" s="12" t="s">
        <v>19948</v>
      </c>
      <c r="AD3988" s="13">
        <v>43893</v>
      </c>
      <c r="AE3988" s="12" t="s">
        <v>642</v>
      </c>
      <c r="AF3988" s="12" t="s">
        <v>36</v>
      </c>
      <c r="AG3988" s="12" t="s">
        <v>81</v>
      </c>
      <c r="AH3988" s="1">
        <f>HYPERLINK("https://my.pitchbook.com?c=225644-50T","View Company Online")</f>
      </c>
    </row>
    <row r="3989">
      <c r="A3989" s="3" t="s">
        <v>19949</v>
      </c>
      <c r="B3989" s="3" t="s">
        <v>19950</v>
      </c>
      <c r="C3989" s="5" t="s">
        <v>36</v>
      </c>
      <c r="D3989" s="5">
        <v>2</v>
      </c>
      <c r="E3989" s="5">
        <v>1</v>
      </c>
      <c r="F3989" s="5">
        <v>2</v>
      </c>
      <c r="G3989" s="6" t="s">
        <v>36</v>
      </c>
      <c r="H3989" s="4">
        <v>1077.29</v>
      </c>
      <c r="I3989" s="7">
        <v>10.46</v>
      </c>
      <c r="J3989" s="3" t="s">
        <v>521</v>
      </c>
      <c r="K3989" s="9" t="s">
        <v>36</v>
      </c>
      <c r="L3989" s="6" t="s">
        <v>94</v>
      </c>
      <c r="M3989" s="3" t="s">
        <v>36</v>
      </c>
      <c r="N3989" s="3" t="s">
        <v>94</v>
      </c>
      <c r="O3989" s="8" t="s">
        <v>36</v>
      </c>
      <c r="P3989" s="3" t="s">
        <v>36</v>
      </c>
      <c r="Q3989" s="3" t="s">
        <v>36</v>
      </c>
      <c r="R3989" s="3" t="s">
        <v>36</v>
      </c>
      <c r="S3989" s="3" t="s">
        <v>36</v>
      </c>
      <c r="T3989" s="3" t="s">
        <v>19951</v>
      </c>
      <c r="U3989" s="3" t="s">
        <v>38</v>
      </c>
      <c r="V3989" s="3" t="s">
        <v>39</v>
      </c>
      <c r="W3989" s="3" t="s">
        <v>19952</v>
      </c>
      <c r="X3989" s="10" t="s">
        <v>19953</v>
      </c>
      <c r="Y3989" s="6" t="s">
        <v>321</v>
      </c>
      <c r="Z3989" s="4">
        <v>54.63</v>
      </c>
      <c r="AA3989" s="4">
        <v>522.3</v>
      </c>
      <c r="AB3989" s="3" t="s">
        <v>56</v>
      </c>
      <c r="AC3989" s="3" t="s">
        <v>19954</v>
      </c>
      <c r="AD3989" s="9">
        <v>43893</v>
      </c>
      <c r="AE3989" s="3" t="s">
        <v>1945</v>
      </c>
      <c r="AF3989" s="3" t="s">
        <v>19955</v>
      </c>
      <c r="AG3989" s="3" t="s">
        <v>81</v>
      </c>
      <c r="AH3989" s="11">
        <f>HYPERLINK("https://my.pitchbook.com?c=132992-74T","View Company Online")</f>
      </c>
    </row>
    <row r="3990">
      <c r="A3990" s="12" t="s">
        <v>19956</v>
      </c>
      <c r="B3990" s="12" t="s">
        <v>19957</v>
      </c>
      <c r="C3990" s="19" t="s">
        <v>36</v>
      </c>
      <c r="D3990" s="19" t="s">
        <v>36</v>
      </c>
      <c r="E3990" s="19" t="s">
        <v>36</v>
      </c>
      <c r="F3990" s="19" t="s">
        <v>36</v>
      </c>
      <c r="G3990" s="15" t="s">
        <v>36</v>
      </c>
      <c r="H3990" s="14" t="s">
        <v>36</v>
      </c>
      <c r="I3990" s="18" t="s">
        <v>36</v>
      </c>
      <c r="J3990" s="12" t="s">
        <v>36</v>
      </c>
      <c r="K3990" s="13" t="s">
        <v>36</v>
      </c>
      <c r="L3990" s="15" t="s">
        <v>36</v>
      </c>
      <c r="M3990" s="12" t="s">
        <v>36</v>
      </c>
      <c r="N3990" s="12" t="s">
        <v>36</v>
      </c>
      <c r="O3990" s="17" t="s">
        <v>36</v>
      </c>
      <c r="P3990" s="12" t="s">
        <v>36</v>
      </c>
      <c r="Q3990" s="12" t="s">
        <v>36</v>
      </c>
      <c r="R3990" s="12" t="s">
        <v>36</v>
      </c>
      <c r="S3990" s="12" t="s">
        <v>36</v>
      </c>
      <c r="T3990" s="12" t="s">
        <v>19958</v>
      </c>
      <c r="U3990" s="12" t="s">
        <v>96</v>
      </c>
      <c r="V3990" s="12" t="s">
        <v>52</v>
      </c>
      <c r="W3990" s="12" t="s">
        <v>19959</v>
      </c>
      <c r="X3990" s="16" t="s">
        <v>19960</v>
      </c>
      <c r="Y3990" s="15" t="s">
        <v>42</v>
      </c>
      <c r="Z3990" s="14">
        <v>1.09</v>
      </c>
      <c r="AA3990" s="14" t="s">
        <v>36</v>
      </c>
      <c r="AB3990" s="12" t="s">
        <v>43</v>
      </c>
      <c r="AC3990" s="12" t="s">
        <v>19961</v>
      </c>
      <c r="AD3990" s="13">
        <v>43893</v>
      </c>
      <c r="AE3990" s="12" t="s">
        <v>755</v>
      </c>
      <c r="AF3990" s="12" t="s">
        <v>6389</v>
      </c>
      <c r="AG3990" s="12" t="s">
        <v>1078</v>
      </c>
      <c r="AH3990" s="1">
        <f>HYPERLINK("https://my.pitchbook.com?c=134918-65T","View Company Online")</f>
      </c>
    </row>
    <row r="3991">
      <c r="A3991" s="3" t="s">
        <v>19962</v>
      </c>
      <c r="B3991" s="3" t="s">
        <v>7030</v>
      </c>
      <c r="C3991" s="5">
        <v>2</v>
      </c>
      <c r="D3991" s="5">
        <v>6</v>
      </c>
      <c r="E3991" s="5">
        <v>4</v>
      </c>
      <c r="F3991" s="5">
        <v>8</v>
      </c>
      <c r="G3991" s="6" t="s">
        <v>326</v>
      </c>
      <c r="H3991" s="4">
        <v>111.13</v>
      </c>
      <c r="I3991" s="7">
        <v>42.34</v>
      </c>
      <c r="J3991" s="3" t="s">
        <v>521</v>
      </c>
      <c r="K3991" s="9" t="s">
        <v>36</v>
      </c>
      <c r="L3991" s="6" t="s">
        <v>36</v>
      </c>
      <c r="M3991" s="3" t="s">
        <v>36</v>
      </c>
      <c r="N3991" s="3" t="s">
        <v>36</v>
      </c>
      <c r="O3991" s="8" t="s">
        <v>36</v>
      </c>
      <c r="P3991" s="3" t="s">
        <v>36</v>
      </c>
      <c r="Q3991" s="3" t="s">
        <v>36</v>
      </c>
      <c r="R3991" s="3" t="s">
        <v>36</v>
      </c>
      <c r="S3991" s="3" t="s">
        <v>36</v>
      </c>
      <c r="T3991" s="3" t="s">
        <v>2213</v>
      </c>
      <c r="U3991" s="3" t="s">
        <v>219</v>
      </c>
      <c r="V3991" s="3" t="s">
        <v>75</v>
      </c>
      <c r="W3991" s="3" t="s">
        <v>7031</v>
      </c>
      <c r="X3991" s="10" t="s">
        <v>19963</v>
      </c>
      <c r="Y3991" s="6" t="s">
        <v>42</v>
      </c>
      <c r="Z3991" s="4">
        <v>1.29</v>
      </c>
      <c r="AA3991" s="4">
        <v>3.04</v>
      </c>
      <c r="AB3991" s="3" t="s">
        <v>43</v>
      </c>
      <c r="AC3991" s="3" t="s">
        <v>7033</v>
      </c>
      <c r="AD3991" s="9">
        <v>43893</v>
      </c>
      <c r="AE3991" s="3" t="s">
        <v>1912</v>
      </c>
      <c r="AF3991" s="3" t="s">
        <v>1619</v>
      </c>
      <c r="AG3991" s="3" t="s">
        <v>652</v>
      </c>
      <c r="AH3991" s="11">
        <f>HYPERLINK("https://my.pitchbook.com?c=133643-53T","View Company Online")</f>
      </c>
    </row>
    <row r="3992">
      <c r="A3992" s="12" t="s">
        <v>19964</v>
      </c>
      <c r="B3992" s="12" t="s">
        <v>19965</v>
      </c>
      <c r="C3992" s="19" t="s">
        <v>36</v>
      </c>
      <c r="D3992" s="19" t="s">
        <v>36</v>
      </c>
      <c r="E3992" s="19" t="s">
        <v>36</v>
      </c>
      <c r="F3992" s="19" t="s">
        <v>36</v>
      </c>
      <c r="G3992" s="15" t="s">
        <v>36</v>
      </c>
      <c r="H3992" s="14" t="s">
        <v>36</v>
      </c>
      <c r="I3992" s="18" t="s">
        <v>36</v>
      </c>
      <c r="J3992" s="12" t="s">
        <v>36</v>
      </c>
      <c r="K3992" s="13" t="s">
        <v>36</v>
      </c>
      <c r="L3992" s="15" t="s">
        <v>36</v>
      </c>
      <c r="M3992" s="12" t="s">
        <v>36</v>
      </c>
      <c r="N3992" s="12" t="s">
        <v>36</v>
      </c>
      <c r="O3992" s="17" t="s">
        <v>36</v>
      </c>
      <c r="P3992" s="12" t="s">
        <v>36</v>
      </c>
      <c r="Q3992" s="12" t="s">
        <v>36</v>
      </c>
      <c r="R3992" s="12" t="s">
        <v>36</v>
      </c>
      <c r="S3992" s="12" t="s">
        <v>36</v>
      </c>
      <c r="T3992" s="12" t="s">
        <v>464</v>
      </c>
      <c r="U3992" s="12" t="s">
        <v>38</v>
      </c>
      <c r="V3992" s="12" t="s">
        <v>39</v>
      </c>
      <c r="W3992" s="12" t="s">
        <v>19966</v>
      </c>
      <c r="X3992" s="16" t="s">
        <v>19967</v>
      </c>
      <c r="Y3992" s="15" t="s">
        <v>42</v>
      </c>
      <c r="Z3992" s="14">
        <v>2.18</v>
      </c>
      <c r="AA3992" s="14" t="s">
        <v>36</v>
      </c>
      <c r="AB3992" s="12" t="s">
        <v>56</v>
      </c>
      <c r="AC3992" s="12" t="s">
        <v>19968</v>
      </c>
      <c r="AD3992" s="13">
        <v>43892</v>
      </c>
      <c r="AE3992" s="12" t="s">
        <v>110</v>
      </c>
      <c r="AF3992" s="12" t="s">
        <v>4651</v>
      </c>
      <c r="AG3992" s="12" t="s">
        <v>741</v>
      </c>
      <c r="AH3992" s="1">
        <f>HYPERLINK("https://my.pitchbook.com?c=133012-09T","View Company Online")</f>
      </c>
    </row>
    <row r="3993">
      <c r="A3993" s="3" t="s">
        <v>19969</v>
      </c>
      <c r="B3993" s="3" t="s">
        <v>19970</v>
      </c>
      <c r="C3993" s="5" t="s">
        <v>36</v>
      </c>
      <c r="D3993" s="5" t="s">
        <v>36</v>
      </c>
      <c r="E3993" s="5" t="s">
        <v>36</v>
      </c>
      <c r="F3993" s="5" t="s">
        <v>36</v>
      </c>
      <c r="G3993" s="6" t="s">
        <v>36</v>
      </c>
      <c r="H3993" s="4" t="s">
        <v>36</v>
      </c>
      <c r="I3993" s="7" t="s">
        <v>36</v>
      </c>
      <c r="J3993" s="3" t="s">
        <v>36</v>
      </c>
      <c r="K3993" s="9" t="s">
        <v>36</v>
      </c>
      <c r="L3993" s="6" t="s">
        <v>122</v>
      </c>
      <c r="M3993" s="3" t="s">
        <v>36</v>
      </c>
      <c r="N3993" s="3" t="s">
        <v>122</v>
      </c>
      <c r="O3993" s="8" t="s">
        <v>36</v>
      </c>
      <c r="P3993" s="3" t="s">
        <v>36</v>
      </c>
      <c r="Q3993" s="3" t="s">
        <v>36</v>
      </c>
      <c r="R3993" s="3" t="s">
        <v>36</v>
      </c>
      <c r="S3993" s="3" t="s">
        <v>36</v>
      </c>
      <c r="T3993" s="3" t="s">
        <v>2653</v>
      </c>
      <c r="U3993" s="3" t="s">
        <v>74</v>
      </c>
      <c r="V3993" s="3" t="s">
        <v>75</v>
      </c>
      <c r="W3993" s="3" t="s">
        <v>19971</v>
      </c>
      <c r="X3993" s="10" t="s">
        <v>19972</v>
      </c>
      <c r="Y3993" s="6" t="s">
        <v>42</v>
      </c>
      <c r="Z3993" s="4">
        <v>18.56</v>
      </c>
      <c r="AA3993" s="4" t="s">
        <v>36</v>
      </c>
      <c r="AB3993" s="3" t="s">
        <v>56</v>
      </c>
      <c r="AC3993" s="3" t="s">
        <v>19973</v>
      </c>
      <c r="AD3993" s="9">
        <v>43892</v>
      </c>
      <c r="AE3993" s="3" t="s">
        <v>696</v>
      </c>
      <c r="AF3993" s="3" t="s">
        <v>4284</v>
      </c>
      <c r="AG3993" s="3" t="s">
        <v>81</v>
      </c>
      <c r="AH3993" s="11">
        <f>HYPERLINK("https://my.pitchbook.com?c=132943-33T","View Company Online")</f>
      </c>
    </row>
    <row r="3994">
      <c r="A3994" s="12" t="s">
        <v>19974</v>
      </c>
      <c r="B3994" s="12" t="s">
        <v>19975</v>
      </c>
      <c r="C3994" s="19" t="s">
        <v>36</v>
      </c>
      <c r="D3994" s="19" t="s">
        <v>36</v>
      </c>
      <c r="E3994" s="19" t="s">
        <v>36</v>
      </c>
      <c r="F3994" s="19" t="s">
        <v>36</v>
      </c>
      <c r="G3994" s="15" t="s">
        <v>36</v>
      </c>
      <c r="H3994" s="14" t="s">
        <v>36</v>
      </c>
      <c r="I3994" s="18" t="s">
        <v>36</v>
      </c>
      <c r="J3994" s="12" t="s">
        <v>36</v>
      </c>
      <c r="K3994" s="13" t="s">
        <v>36</v>
      </c>
      <c r="L3994" s="15" t="s">
        <v>36</v>
      </c>
      <c r="M3994" s="12" t="s">
        <v>36</v>
      </c>
      <c r="N3994" s="12" t="s">
        <v>36</v>
      </c>
      <c r="O3994" s="17" t="s">
        <v>36</v>
      </c>
      <c r="P3994" s="12" t="s">
        <v>36</v>
      </c>
      <c r="Q3994" s="12" t="s">
        <v>36</v>
      </c>
      <c r="R3994" s="12" t="s">
        <v>36</v>
      </c>
      <c r="S3994" s="12" t="s">
        <v>36</v>
      </c>
      <c r="T3994" s="12" t="s">
        <v>19976</v>
      </c>
      <c r="U3994" s="12" t="s">
        <v>74</v>
      </c>
      <c r="V3994" s="12" t="s">
        <v>75</v>
      </c>
      <c r="W3994" s="12" t="s">
        <v>19977</v>
      </c>
      <c r="X3994" s="16" t="s">
        <v>9701</v>
      </c>
      <c r="Y3994" s="15" t="s">
        <v>108</v>
      </c>
      <c r="Z3994" s="14">
        <v>0.67</v>
      </c>
      <c r="AA3994" s="14" t="s">
        <v>36</v>
      </c>
      <c r="AB3994" s="12" t="s">
        <v>56</v>
      </c>
      <c r="AC3994" s="12" t="s">
        <v>19978</v>
      </c>
      <c r="AD3994" s="13">
        <v>43891</v>
      </c>
      <c r="AE3994" s="12" t="s">
        <v>696</v>
      </c>
      <c r="AF3994" s="12" t="s">
        <v>4284</v>
      </c>
      <c r="AG3994" s="12" t="s">
        <v>81</v>
      </c>
      <c r="AH3994" s="1">
        <f>HYPERLINK("https://my.pitchbook.com?c=203158-09T","View Company Online")</f>
      </c>
    </row>
    <row r="3995">
      <c r="A3995" s="3" t="s">
        <v>19979</v>
      </c>
      <c r="B3995" s="3" t="s">
        <v>12765</v>
      </c>
      <c r="C3995" s="5" t="s">
        <v>36</v>
      </c>
      <c r="D3995" s="5" t="s">
        <v>36</v>
      </c>
      <c r="E3995" s="5" t="s">
        <v>36</v>
      </c>
      <c r="F3995" s="5" t="s">
        <v>36</v>
      </c>
      <c r="G3995" s="6" t="s">
        <v>326</v>
      </c>
      <c r="H3995" s="4">
        <v>44.8</v>
      </c>
      <c r="I3995" s="7">
        <v>18.59</v>
      </c>
      <c r="J3995" s="3" t="s">
        <v>521</v>
      </c>
      <c r="K3995" s="9" t="s">
        <v>36</v>
      </c>
      <c r="L3995" s="6" t="s">
        <v>36</v>
      </c>
      <c r="M3995" s="3" t="s">
        <v>36</v>
      </c>
      <c r="N3995" s="3" t="s">
        <v>36</v>
      </c>
      <c r="O3995" s="8" t="s">
        <v>36</v>
      </c>
      <c r="P3995" s="3" t="s">
        <v>36</v>
      </c>
      <c r="Q3995" s="3" t="s">
        <v>36</v>
      </c>
      <c r="R3995" s="3" t="s">
        <v>36</v>
      </c>
      <c r="S3995" s="3" t="s">
        <v>6677</v>
      </c>
      <c r="T3995" s="3" t="s">
        <v>6288</v>
      </c>
      <c r="U3995" s="3" t="s">
        <v>85</v>
      </c>
      <c r="V3995" s="3" t="s">
        <v>64</v>
      </c>
      <c r="W3995" s="3" t="s">
        <v>12766</v>
      </c>
      <c r="X3995" s="10" t="s">
        <v>19980</v>
      </c>
      <c r="Y3995" s="6" t="s">
        <v>108</v>
      </c>
      <c r="Z3995" s="4">
        <v>2.73</v>
      </c>
      <c r="AA3995" s="4">
        <v>8.81</v>
      </c>
      <c r="AB3995" s="3" t="s">
        <v>56</v>
      </c>
      <c r="AC3995" s="3" t="s">
        <v>12768</v>
      </c>
      <c r="AD3995" s="9">
        <v>43891</v>
      </c>
      <c r="AE3995" s="3" t="s">
        <v>89</v>
      </c>
      <c r="AF3995" s="3" t="s">
        <v>12769</v>
      </c>
      <c r="AG3995" s="3" t="s">
        <v>81</v>
      </c>
      <c r="AH3995" s="11">
        <f>HYPERLINK("https://my.pitchbook.com?c=136125-73T","View Company Online")</f>
      </c>
    </row>
    <row r="3996">
      <c r="A3996" s="12" t="s">
        <v>19981</v>
      </c>
      <c r="B3996" s="12" t="s">
        <v>19982</v>
      </c>
      <c r="C3996" s="19" t="s">
        <v>36</v>
      </c>
      <c r="D3996" s="19" t="s">
        <v>36</v>
      </c>
      <c r="E3996" s="19" t="s">
        <v>36</v>
      </c>
      <c r="F3996" s="19" t="s">
        <v>36</v>
      </c>
      <c r="G3996" s="15" t="s">
        <v>36</v>
      </c>
      <c r="H3996" s="14">
        <v>623.14</v>
      </c>
      <c r="I3996" s="18">
        <v>30.65</v>
      </c>
      <c r="J3996" s="12" t="s">
        <v>521</v>
      </c>
      <c r="K3996" s="13" t="s">
        <v>36</v>
      </c>
      <c r="L3996" s="15" t="s">
        <v>36</v>
      </c>
      <c r="M3996" s="12" t="s">
        <v>36</v>
      </c>
      <c r="N3996" s="12" t="s">
        <v>36</v>
      </c>
      <c r="O3996" s="17" t="s">
        <v>36</v>
      </c>
      <c r="P3996" s="12" t="s">
        <v>36</v>
      </c>
      <c r="Q3996" s="12" t="s">
        <v>36</v>
      </c>
      <c r="R3996" s="12" t="s">
        <v>36</v>
      </c>
      <c r="S3996" s="12" t="s">
        <v>36</v>
      </c>
      <c r="T3996" s="12" t="s">
        <v>19983</v>
      </c>
      <c r="U3996" s="12" t="s">
        <v>219</v>
      </c>
      <c r="V3996" s="12" t="s">
        <v>75</v>
      </c>
      <c r="W3996" s="12" t="s">
        <v>19984</v>
      </c>
      <c r="X3996" s="16" t="s">
        <v>19985</v>
      </c>
      <c r="Y3996" s="15" t="s">
        <v>42</v>
      </c>
      <c r="Z3996" s="14">
        <v>0.29</v>
      </c>
      <c r="AA3996" s="14">
        <v>0.94</v>
      </c>
      <c r="AB3996" s="12" t="s">
        <v>43</v>
      </c>
      <c r="AC3996" s="12" t="s">
        <v>19986</v>
      </c>
      <c r="AD3996" s="13">
        <v>43891</v>
      </c>
      <c r="AE3996" s="12" t="s">
        <v>2914</v>
      </c>
      <c r="AF3996" s="12" t="s">
        <v>19987</v>
      </c>
      <c r="AG3996" s="12" t="s">
        <v>19988</v>
      </c>
      <c r="AH3996" s="1">
        <f>HYPERLINK("https://my.pitchbook.com?c=156517-39T","View Company Online")</f>
      </c>
    </row>
    <row r="3997">
      <c r="A3997" s="3" t="s">
        <v>19989</v>
      </c>
      <c r="B3997" s="3" t="s">
        <v>19990</v>
      </c>
      <c r="C3997" s="5">
        <v>2</v>
      </c>
      <c r="D3997" s="5">
        <v>7</v>
      </c>
      <c r="E3997" s="5">
        <v>5</v>
      </c>
      <c r="F3997" s="5">
        <v>13</v>
      </c>
      <c r="G3997" s="6" t="s">
        <v>36</v>
      </c>
      <c r="H3997" s="4" t="s">
        <v>36</v>
      </c>
      <c r="I3997" s="7" t="s">
        <v>36</v>
      </c>
      <c r="J3997" s="3" t="s">
        <v>36</v>
      </c>
      <c r="K3997" s="9" t="s">
        <v>36</v>
      </c>
      <c r="L3997" s="6" t="s">
        <v>36</v>
      </c>
      <c r="M3997" s="3" t="s">
        <v>36</v>
      </c>
      <c r="N3997" s="3" t="s">
        <v>36</v>
      </c>
      <c r="O3997" s="8" t="s">
        <v>36</v>
      </c>
      <c r="P3997" s="3" t="s">
        <v>36</v>
      </c>
      <c r="Q3997" s="3" t="s">
        <v>36</v>
      </c>
      <c r="R3997" s="3" t="s">
        <v>36</v>
      </c>
      <c r="S3997" s="3" t="s">
        <v>19991</v>
      </c>
      <c r="T3997" s="3" t="s">
        <v>19992</v>
      </c>
      <c r="U3997" s="3" t="s">
        <v>833</v>
      </c>
      <c r="V3997" s="3" t="s">
        <v>64</v>
      </c>
      <c r="W3997" s="3" t="s">
        <v>19993</v>
      </c>
      <c r="X3997" s="10" t="s">
        <v>19994</v>
      </c>
      <c r="Y3997" s="6" t="s">
        <v>108</v>
      </c>
      <c r="Z3997" s="4">
        <v>5</v>
      </c>
      <c r="AA3997" s="4" t="s">
        <v>36</v>
      </c>
      <c r="AB3997" s="3" t="s">
        <v>43</v>
      </c>
      <c r="AC3997" s="3" t="s">
        <v>19995</v>
      </c>
      <c r="AD3997" s="9">
        <v>43891</v>
      </c>
      <c r="AE3997" s="3" t="s">
        <v>1069</v>
      </c>
      <c r="AF3997" s="3" t="s">
        <v>19996</v>
      </c>
      <c r="AG3997" s="3" t="s">
        <v>19997</v>
      </c>
      <c r="AH3997" s="11">
        <f>HYPERLINK("https://my.pitchbook.com?c=172331-83T","View Company Online")</f>
      </c>
    </row>
    <row r="3998">
      <c r="A3998" s="12" t="s">
        <v>19998</v>
      </c>
      <c r="B3998" s="12" t="s">
        <v>19999</v>
      </c>
      <c r="C3998" s="19">
        <v>2</v>
      </c>
      <c r="D3998" s="19">
        <v>2</v>
      </c>
      <c r="E3998" s="19">
        <v>2</v>
      </c>
      <c r="F3998" s="19">
        <v>4</v>
      </c>
      <c r="G3998" s="15" t="s">
        <v>36</v>
      </c>
      <c r="H3998" s="14" t="s">
        <v>36</v>
      </c>
      <c r="I3998" s="18" t="s">
        <v>36</v>
      </c>
      <c r="J3998" s="12" t="s">
        <v>36</v>
      </c>
      <c r="K3998" s="13" t="s">
        <v>36</v>
      </c>
      <c r="L3998" s="15" t="s">
        <v>122</v>
      </c>
      <c r="M3998" s="12" t="s">
        <v>36</v>
      </c>
      <c r="N3998" s="12" t="s">
        <v>122</v>
      </c>
      <c r="O3998" s="17" t="s">
        <v>36</v>
      </c>
      <c r="P3998" s="12" t="s">
        <v>36</v>
      </c>
      <c r="Q3998" s="12" t="s">
        <v>36</v>
      </c>
      <c r="R3998" s="12" t="s">
        <v>36</v>
      </c>
      <c r="S3998" s="12" t="s">
        <v>36</v>
      </c>
      <c r="T3998" s="12" t="s">
        <v>855</v>
      </c>
      <c r="U3998" s="12" t="s">
        <v>648</v>
      </c>
      <c r="V3998" s="12" t="s">
        <v>64</v>
      </c>
      <c r="W3998" s="12" t="s">
        <v>20000</v>
      </c>
      <c r="X3998" s="16" t="s">
        <v>20001</v>
      </c>
      <c r="Y3998" s="15" t="s">
        <v>42</v>
      </c>
      <c r="Z3998" s="14" t="s">
        <v>36</v>
      </c>
      <c r="AA3998" s="14" t="s">
        <v>36</v>
      </c>
      <c r="AB3998" s="12" t="s">
        <v>43</v>
      </c>
      <c r="AC3998" s="12" t="s">
        <v>20002</v>
      </c>
      <c r="AD3998" s="13">
        <v>43891</v>
      </c>
      <c r="AE3998" s="12" t="s">
        <v>651</v>
      </c>
      <c r="AF3998" s="12" t="s">
        <v>118</v>
      </c>
      <c r="AG3998" s="12" t="s">
        <v>81</v>
      </c>
      <c r="AH3998" s="1">
        <f>HYPERLINK("https://my.pitchbook.com?c=133865-02T","View Company Online")</f>
      </c>
    </row>
    <row r="3999">
      <c r="A3999" s="3" t="s">
        <v>20003</v>
      </c>
      <c r="B3999" s="3" t="s">
        <v>8490</v>
      </c>
      <c r="C3999" s="5" t="s">
        <v>36</v>
      </c>
      <c r="D3999" s="5" t="s">
        <v>36</v>
      </c>
      <c r="E3999" s="5" t="s">
        <v>36</v>
      </c>
      <c r="F3999" s="5" t="s">
        <v>36</v>
      </c>
      <c r="G3999" s="6" t="s">
        <v>36</v>
      </c>
      <c r="H3999" s="4" t="s">
        <v>36</v>
      </c>
      <c r="I3999" s="7" t="s">
        <v>36</v>
      </c>
      <c r="J3999" s="3" t="s">
        <v>36</v>
      </c>
      <c r="K3999" s="9" t="s">
        <v>36</v>
      </c>
      <c r="L3999" s="6" t="s">
        <v>36</v>
      </c>
      <c r="M3999" s="3" t="s">
        <v>36</v>
      </c>
      <c r="N3999" s="3" t="s">
        <v>36</v>
      </c>
      <c r="O3999" s="8" t="s">
        <v>36</v>
      </c>
      <c r="P3999" s="3" t="s">
        <v>36</v>
      </c>
      <c r="Q3999" s="3" t="s">
        <v>36</v>
      </c>
      <c r="R3999" s="3" t="s">
        <v>36</v>
      </c>
      <c r="S3999" s="3" t="s">
        <v>36</v>
      </c>
      <c r="T3999" s="3" t="s">
        <v>8491</v>
      </c>
      <c r="U3999" s="3" t="s">
        <v>289</v>
      </c>
      <c r="V3999" s="3" t="s">
        <v>64</v>
      </c>
      <c r="W3999" s="3" t="s">
        <v>8492</v>
      </c>
      <c r="X3999" s="10" t="s">
        <v>20004</v>
      </c>
      <c r="Y3999" s="6" t="s">
        <v>42</v>
      </c>
      <c r="Z3999" s="4">
        <v>5.46</v>
      </c>
      <c r="AA3999" s="4" t="s">
        <v>36</v>
      </c>
      <c r="AB3999" s="3" t="s">
        <v>56</v>
      </c>
      <c r="AC3999" s="3" t="s">
        <v>8494</v>
      </c>
      <c r="AD3999" s="9">
        <v>43891</v>
      </c>
      <c r="AE3999" s="3" t="s">
        <v>292</v>
      </c>
      <c r="AF3999" s="3" t="s">
        <v>90</v>
      </c>
      <c r="AG3999" s="3" t="s">
        <v>332</v>
      </c>
      <c r="AH3999" s="11">
        <f>HYPERLINK("https://my.pitchbook.com?c=135528-13T","View Company Online")</f>
      </c>
    </row>
    <row r="4000">
      <c r="A4000" s="12" t="s">
        <v>20005</v>
      </c>
      <c r="B4000" s="12" t="s">
        <v>20006</v>
      </c>
      <c r="C4000" s="19" t="s">
        <v>36</v>
      </c>
      <c r="D4000" s="19" t="s">
        <v>36</v>
      </c>
      <c r="E4000" s="19" t="s">
        <v>36</v>
      </c>
      <c r="F4000" s="19" t="s">
        <v>36</v>
      </c>
      <c r="G4000" s="15" t="s">
        <v>36</v>
      </c>
      <c r="H4000" s="14">
        <v>2.69</v>
      </c>
      <c r="I4000" s="18">
        <v>16.66</v>
      </c>
      <c r="J4000" s="12" t="s">
        <v>521</v>
      </c>
      <c r="K4000" s="13" t="s">
        <v>36</v>
      </c>
      <c r="L4000" s="15" t="s">
        <v>36</v>
      </c>
      <c r="M4000" s="12" t="s">
        <v>36</v>
      </c>
      <c r="N4000" s="12" t="s">
        <v>36</v>
      </c>
      <c r="O4000" s="17" t="s">
        <v>36</v>
      </c>
      <c r="P4000" s="12" t="s">
        <v>36</v>
      </c>
      <c r="Q4000" s="12" t="s">
        <v>36</v>
      </c>
      <c r="R4000" s="12" t="s">
        <v>36</v>
      </c>
      <c r="S4000" s="12" t="s">
        <v>36</v>
      </c>
      <c r="T4000" s="12" t="s">
        <v>16266</v>
      </c>
      <c r="U4000" s="12" t="s">
        <v>423</v>
      </c>
      <c r="V4000" s="12" t="s">
        <v>64</v>
      </c>
      <c r="W4000" s="12" t="s">
        <v>20007</v>
      </c>
      <c r="X4000" s="16" t="s">
        <v>14564</v>
      </c>
      <c r="Y4000" s="15" t="s">
        <v>42</v>
      </c>
      <c r="Z4000" s="14">
        <v>0.76</v>
      </c>
      <c r="AA4000" s="14">
        <v>4.59</v>
      </c>
      <c r="AB4000" s="12" t="s">
        <v>43</v>
      </c>
      <c r="AC4000" s="12" t="s">
        <v>20008</v>
      </c>
      <c r="AD4000" s="13">
        <v>43891</v>
      </c>
      <c r="AE4000" s="12" t="s">
        <v>562</v>
      </c>
      <c r="AF4000" s="12" t="s">
        <v>1061</v>
      </c>
      <c r="AG4000" s="12" t="s">
        <v>20009</v>
      </c>
      <c r="AH4000" s="1">
        <f>HYPERLINK("https://my.pitchbook.com?c=137886-31T","View Company Online")</f>
      </c>
    </row>
    <row r="4001">
      <c r="A4001" s="3" t="s">
        <v>20010</v>
      </c>
      <c r="B4001" s="3" t="s">
        <v>20011</v>
      </c>
      <c r="C4001" s="5" t="s">
        <v>36</v>
      </c>
      <c r="D4001" s="5">
        <v>2</v>
      </c>
      <c r="E4001" s="5">
        <v>1</v>
      </c>
      <c r="F4001" s="5">
        <v>2</v>
      </c>
      <c r="G4001" s="6" t="s">
        <v>36</v>
      </c>
      <c r="H4001" s="4">
        <v>168.41</v>
      </c>
      <c r="I4001" s="7">
        <v>40.01</v>
      </c>
      <c r="J4001" s="3" t="s">
        <v>521</v>
      </c>
      <c r="K4001" s="9" t="s">
        <v>36</v>
      </c>
      <c r="L4001" s="6" t="s">
        <v>36</v>
      </c>
      <c r="M4001" s="3" t="s">
        <v>36</v>
      </c>
      <c r="N4001" s="3" t="s">
        <v>36</v>
      </c>
      <c r="O4001" s="8" t="s">
        <v>36</v>
      </c>
      <c r="P4001" s="3" t="s">
        <v>36</v>
      </c>
      <c r="Q4001" s="3" t="s">
        <v>36</v>
      </c>
      <c r="R4001" s="3" t="s">
        <v>36</v>
      </c>
      <c r="S4001" s="3" t="s">
        <v>36</v>
      </c>
      <c r="T4001" s="3" t="s">
        <v>20012</v>
      </c>
      <c r="U4001" s="3" t="s">
        <v>833</v>
      </c>
      <c r="V4001" s="3" t="s">
        <v>64</v>
      </c>
      <c r="W4001" s="3" t="s">
        <v>20013</v>
      </c>
      <c r="X4001" s="10" t="s">
        <v>13436</v>
      </c>
      <c r="Y4001" s="6" t="s">
        <v>42</v>
      </c>
      <c r="Z4001" s="4">
        <v>0.44</v>
      </c>
      <c r="AA4001" s="4">
        <v>1.09</v>
      </c>
      <c r="AB4001" s="3" t="s">
        <v>56</v>
      </c>
      <c r="AC4001" s="3" t="s">
        <v>20014</v>
      </c>
      <c r="AD4001" s="9">
        <v>43891</v>
      </c>
      <c r="AE4001" s="3" t="s">
        <v>1769</v>
      </c>
      <c r="AF4001" s="3" t="s">
        <v>20015</v>
      </c>
      <c r="AG4001" s="3" t="s">
        <v>9648</v>
      </c>
      <c r="AH4001" s="11">
        <f>HYPERLINK("https://my.pitchbook.com?c=126672-40T","View Company Online")</f>
      </c>
    </row>
    <row r="4002">
      <c r="A4002" s="12" t="s">
        <v>20016</v>
      </c>
      <c r="B4002" s="12" t="s">
        <v>9293</v>
      </c>
      <c r="C4002" s="19">
        <v>15</v>
      </c>
      <c r="D4002" s="19">
        <v>24</v>
      </c>
      <c r="E4002" s="19">
        <v>8</v>
      </c>
      <c r="F4002" s="19">
        <v>40</v>
      </c>
      <c r="G4002" s="15" t="s">
        <v>36</v>
      </c>
      <c r="H4002" s="14" t="s">
        <v>36</v>
      </c>
      <c r="I4002" s="18" t="s">
        <v>36</v>
      </c>
      <c r="J4002" s="12" t="s">
        <v>36</v>
      </c>
      <c r="K4002" s="13" t="s">
        <v>36</v>
      </c>
      <c r="L4002" s="15" t="s">
        <v>36</v>
      </c>
      <c r="M4002" s="12" t="s">
        <v>36</v>
      </c>
      <c r="N4002" s="12" t="s">
        <v>36</v>
      </c>
      <c r="O4002" s="17" t="s">
        <v>36</v>
      </c>
      <c r="P4002" s="12" t="s">
        <v>36</v>
      </c>
      <c r="Q4002" s="12" t="s">
        <v>36</v>
      </c>
      <c r="R4002" s="12" t="s">
        <v>36</v>
      </c>
      <c r="S4002" s="12" t="s">
        <v>36</v>
      </c>
      <c r="T4002" s="12" t="s">
        <v>1188</v>
      </c>
      <c r="U4002" s="12" t="s">
        <v>180</v>
      </c>
      <c r="V4002" s="12" t="s">
        <v>52</v>
      </c>
      <c r="W4002" s="12" t="s">
        <v>9294</v>
      </c>
      <c r="X4002" s="16" t="s">
        <v>1840</v>
      </c>
      <c r="Y4002" s="15" t="s">
        <v>108</v>
      </c>
      <c r="Z4002" s="14">
        <v>1.64</v>
      </c>
      <c r="AA4002" s="14" t="s">
        <v>36</v>
      </c>
      <c r="AB4002" s="12" t="s">
        <v>43</v>
      </c>
      <c r="AC4002" s="12" t="s">
        <v>9296</v>
      </c>
      <c r="AD4002" s="13">
        <v>43891</v>
      </c>
      <c r="AE4002" s="12" t="s">
        <v>1192</v>
      </c>
      <c r="AF4002" s="12" t="s">
        <v>7424</v>
      </c>
      <c r="AG4002" s="12" t="s">
        <v>899</v>
      </c>
      <c r="AH4002" s="1">
        <f>HYPERLINK("https://my.pitchbook.com?c=133259-50T","View Company Online")</f>
      </c>
    </row>
    <row r="4003">
      <c r="A4003" s="3" t="s">
        <v>20017</v>
      </c>
      <c r="B4003" s="3" t="s">
        <v>20018</v>
      </c>
      <c r="C4003" s="5" t="s">
        <v>36</v>
      </c>
      <c r="D4003" s="5" t="s">
        <v>36</v>
      </c>
      <c r="E4003" s="5" t="s">
        <v>36</v>
      </c>
      <c r="F4003" s="5" t="s">
        <v>36</v>
      </c>
      <c r="G4003" s="6" t="s">
        <v>36</v>
      </c>
      <c r="H4003" s="4" t="s">
        <v>36</v>
      </c>
      <c r="I4003" s="7" t="s">
        <v>36</v>
      </c>
      <c r="J4003" s="3" t="s">
        <v>36</v>
      </c>
      <c r="K4003" s="9" t="s">
        <v>36</v>
      </c>
      <c r="L4003" s="6" t="s">
        <v>36</v>
      </c>
      <c r="M4003" s="3" t="s">
        <v>36</v>
      </c>
      <c r="N4003" s="3" t="s">
        <v>36</v>
      </c>
      <c r="O4003" s="8" t="s">
        <v>36</v>
      </c>
      <c r="P4003" s="3" t="s">
        <v>36</v>
      </c>
      <c r="Q4003" s="3" t="s">
        <v>36</v>
      </c>
      <c r="R4003" s="3" t="s">
        <v>36</v>
      </c>
      <c r="S4003" s="3" t="s">
        <v>36</v>
      </c>
      <c r="T4003" s="3" t="s">
        <v>20019</v>
      </c>
      <c r="U4003" s="3" t="s">
        <v>289</v>
      </c>
      <c r="V4003" s="3" t="s">
        <v>64</v>
      </c>
      <c r="W4003" s="3" t="s">
        <v>20020</v>
      </c>
      <c r="X4003" s="10" t="s">
        <v>20021</v>
      </c>
      <c r="Y4003" s="6" t="s">
        <v>42</v>
      </c>
      <c r="Z4003" s="4">
        <v>0.55</v>
      </c>
      <c r="AA4003" s="4" t="s">
        <v>36</v>
      </c>
      <c r="AB4003" s="3" t="s">
        <v>56</v>
      </c>
      <c r="AC4003" s="3" t="s">
        <v>20022</v>
      </c>
      <c r="AD4003" s="9">
        <v>43890</v>
      </c>
      <c r="AE4003" s="3" t="s">
        <v>292</v>
      </c>
      <c r="AF4003" s="3" t="s">
        <v>12003</v>
      </c>
      <c r="AG4003" s="3" t="s">
        <v>81</v>
      </c>
      <c r="AH4003" s="11">
        <f>HYPERLINK("https://my.pitchbook.com?c=169831-90T","View Company Online")</f>
      </c>
    </row>
    <row r="4004">
      <c r="A4004" s="12" t="s">
        <v>20023</v>
      </c>
      <c r="B4004" s="12" t="s">
        <v>10855</v>
      </c>
      <c r="C4004" s="19">
        <v>6</v>
      </c>
      <c r="D4004" s="19">
        <v>64</v>
      </c>
      <c r="E4004" s="19">
        <v>12</v>
      </c>
      <c r="F4004" s="19">
        <v>81</v>
      </c>
      <c r="G4004" s="15" t="s">
        <v>326</v>
      </c>
      <c r="H4004" s="14">
        <v>33.17</v>
      </c>
      <c r="I4004" s="18">
        <v>36.42</v>
      </c>
      <c r="J4004" s="12" t="s">
        <v>521</v>
      </c>
      <c r="K4004" s="13">
        <v>43636</v>
      </c>
      <c r="L4004" s="15" t="s">
        <v>122</v>
      </c>
      <c r="M4004" s="12" t="s">
        <v>36</v>
      </c>
      <c r="N4004" s="12" t="s">
        <v>122</v>
      </c>
      <c r="O4004" s="17" t="s">
        <v>36</v>
      </c>
      <c r="P4004" s="12" t="s">
        <v>36</v>
      </c>
      <c r="Q4004" s="12" t="s">
        <v>36</v>
      </c>
      <c r="R4004" s="12" t="s">
        <v>36</v>
      </c>
      <c r="S4004" s="12" t="s">
        <v>36</v>
      </c>
      <c r="T4004" s="12" t="s">
        <v>10856</v>
      </c>
      <c r="U4004" s="12" t="s">
        <v>833</v>
      </c>
      <c r="V4004" s="12" t="s">
        <v>64</v>
      </c>
      <c r="W4004" s="12" t="s">
        <v>10857</v>
      </c>
      <c r="X4004" s="16" t="s">
        <v>20024</v>
      </c>
      <c r="Y4004" s="15" t="s">
        <v>55</v>
      </c>
      <c r="Z4004" s="14">
        <v>5.46</v>
      </c>
      <c r="AA4004" s="14">
        <v>10.6</v>
      </c>
      <c r="AB4004" s="12" t="s">
        <v>43</v>
      </c>
      <c r="AC4004" s="12" t="s">
        <v>10858</v>
      </c>
      <c r="AD4004" s="13">
        <v>43890</v>
      </c>
      <c r="AE4004" s="12" t="s">
        <v>1069</v>
      </c>
      <c r="AF4004" s="12" t="s">
        <v>10859</v>
      </c>
      <c r="AG4004" s="12" t="s">
        <v>969</v>
      </c>
      <c r="AH4004" s="1">
        <f>HYPERLINK("https://my.pitchbook.com?c=124503-85T","View Company Online")</f>
      </c>
    </row>
    <row r="4005">
      <c r="A4005" s="3" t="s">
        <v>20025</v>
      </c>
      <c r="B4005" s="3" t="s">
        <v>5782</v>
      </c>
      <c r="C4005" s="5" t="s">
        <v>36</v>
      </c>
      <c r="D4005" s="5">
        <v>2</v>
      </c>
      <c r="E4005" s="5">
        <v>1</v>
      </c>
      <c r="F4005" s="5">
        <v>3</v>
      </c>
      <c r="G4005" s="6" t="s">
        <v>36</v>
      </c>
      <c r="H4005" s="4">
        <v>48.46</v>
      </c>
      <c r="I4005" s="7">
        <v>12.5</v>
      </c>
      <c r="J4005" s="3" t="s">
        <v>521</v>
      </c>
      <c r="K4005" s="9" t="s">
        <v>36</v>
      </c>
      <c r="L4005" s="6" t="s">
        <v>36</v>
      </c>
      <c r="M4005" s="3" t="s">
        <v>36</v>
      </c>
      <c r="N4005" s="3" t="s">
        <v>36</v>
      </c>
      <c r="O4005" s="8" t="s">
        <v>36</v>
      </c>
      <c r="P4005" s="3" t="s">
        <v>36</v>
      </c>
      <c r="Q4005" s="3" t="s">
        <v>36</v>
      </c>
      <c r="R4005" s="3" t="s">
        <v>36</v>
      </c>
      <c r="S4005" s="3" t="s">
        <v>36</v>
      </c>
      <c r="T4005" s="3" t="s">
        <v>5783</v>
      </c>
      <c r="U4005" s="3" t="s">
        <v>366</v>
      </c>
      <c r="V4005" s="3" t="s">
        <v>367</v>
      </c>
      <c r="W4005" s="3" t="s">
        <v>5784</v>
      </c>
      <c r="X4005" s="10" t="s">
        <v>20026</v>
      </c>
      <c r="Y4005" s="6" t="s">
        <v>42</v>
      </c>
      <c r="Z4005" s="4">
        <v>0.22</v>
      </c>
      <c r="AA4005" s="4">
        <v>1.75</v>
      </c>
      <c r="AB4005" s="3" t="s">
        <v>43</v>
      </c>
      <c r="AC4005" s="3" t="s">
        <v>5786</v>
      </c>
      <c r="AD4005" s="9">
        <v>43889</v>
      </c>
      <c r="AE4005" s="3" t="s">
        <v>600</v>
      </c>
      <c r="AF4005" s="3" t="s">
        <v>1340</v>
      </c>
      <c r="AG4005" s="3" t="s">
        <v>81</v>
      </c>
      <c r="AH4005" s="11">
        <f>HYPERLINK("https://my.pitchbook.com?c=138508-66T","View Company Online")</f>
      </c>
    </row>
    <row r="4006">
      <c r="A4006" s="12" t="s">
        <v>20027</v>
      </c>
      <c r="B4006" s="12" t="s">
        <v>11062</v>
      </c>
      <c r="C4006" s="19" t="s">
        <v>36</v>
      </c>
      <c r="D4006" s="19" t="s">
        <v>36</v>
      </c>
      <c r="E4006" s="19" t="s">
        <v>36</v>
      </c>
      <c r="F4006" s="19" t="s">
        <v>36</v>
      </c>
      <c r="G4006" s="15" t="s">
        <v>36</v>
      </c>
      <c r="H4006" s="14">
        <v>135.01</v>
      </c>
      <c r="I4006" s="18">
        <v>18.77</v>
      </c>
      <c r="J4006" s="12" t="s">
        <v>521</v>
      </c>
      <c r="K4006" s="13" t="s">
        <v>36</v>
      </c>
      <c r="L4006" s="15" t="s">
        <v>36</v>
      </c>
      <c r="M4006" s="12" t="s">
        <v>36</v>
      </c>
      <c r="N4006" s="12" t="s">
        <v>36</v>
      </c>
      <c r="O4006" s="17" t="s">
        <v>36</v>
      </c>
      <c r="P4006" s="12" t="s">
        <v>36</v>
      </c>
      <c r="Q4006" s="12" t="s">
        <v>36</v>
      </c>
      <c r="R4006" s="12" t="s">
        <v>36</v>
      </c>
      <c r="S4006" s="12" t="s">
        <v>36</v>
      </c>
      <c r="T4006" s="12" t="s">
        <v>1701</v>
      </c>
      <c r="U4006" s="12" t="s">
        <v>74</v>
      </c>
      <c r="V4006" s="12" t="s">
        <v>75</v>
      </c>
      <c r="W4006" s="12" t="s">
        <v>11063</v>
      </c>
      <c r="X4006" s="16" t="s">
        <v>10625</v>
      </c>
      <c r="Y4006" s="15" t="s">
        <v>42</v>
      </c>
      <c r="Z4006" s="14">
        <v>0.16</v>
      </c>
      <c r="AA4006" s="14">
        <v>0.87</v>
      </c>
      <c r="AB4006" s="12" t="s">
        <v>56</v>
      </c>
      <c r="AC4006" s="12" t="s">
        <v>11064</v>
      </c>
      <c r="AD4006" s="13">
        <v>43888</v>
      </c>
      <c r="AE4006" s="12" t="s">
        <v>79</v>
      </c>
      <c r="AF4006" s="12" t="s">
        <v>11065</v>
      </c>
      <c r="AG4006" s="12" t="s">
        <v>81</v>
      </c>
      <c r="AH4006" s="1">
        <f>HYPERLINK("https://my.pitchbook.com?c=204137-65T","View Company Online")</f>
      </c>
    </row>
    <row r="4007">
      <c r="A4007" s="3" t="s">
        <v>20028</v>
      </c>
      <c r="B4007" s="3" t="s">
        <v>20029</v>
      </c>
      <c r="C4007" s="5">
        <v>9</v>
      </c>
      <c r="D4007" s="5">
        <v>41</v>
      </c>
      <c r="E4007" s="5">
        <v>9</v>
      </c>
      <c r="F4007" s="5">
        <v>51</v>
      </c>
      <c r="G4007" s="6" t="s">
        <v>326</v>
      </c>
      <c r="H4007" s="4">
        <v>299.96</v>
      </c>
      <c r="I4007" s="7">
        <v>22.26</v>
      </c>
      <c r="J4007" s="3" t="s">
        <v>521</v>
      </c>
      <c r="K4007" s="9" t="s">
        <v>36</v>
      </c>
      <c r="L4007" s="6" t="s">
        <v>36</v>
      </c>
      <c r="M4007" s="3" t="s">
        <v>36</v>
      </c>
      <c r="N4007" s="3" t="s">
        <v>36</v>
      </c>
      <c r="O4007" s="8" t="s">
        <v>36</v>
      </c>
      <c r="P4007" s="3" t="s">
        <v>36</v>
      </c>
      <c r="Q4007" s="3" t="s">
        <v>36</v>
      </c>
      <c r="R4007" s="3" t="s">
        <v>36</v>
      </c>
      <c r="S4007" s="3" t="s">
        <v>36</v>
      </c>
      <c r="T4007" s="3" t="s">
        <v>20030</v>
      </c>
      <c r="U4007" s="3" t="s">
        <v>1082</v>
      </c>
      <c r="V4007" s="3" t="s">
        <v>378</v>
      </c>
      <c r="W4007" s="3" t="s">
        <v>20031</v>
      </c>
      <c r="X4007" s="10" t="s">
        <v>20032</v>
      </c>
      <c r="Y4007" s="6" t="s">
        <v>166</v>
      </c>
      <c r="Z4007" s="4">
        <v>2.73</v>
      </c>
      <c r="AA4007" s="4">
        <v>12.27</v>
      </c>
      <c r="AB4007" s="3" t="s">
        <v>56</v>
      </c>
      <c r="AC4007" s="3" t="s">
        <v>20033</v>
      </c>
      <c r="AD4007" s="9">
        <v>43888</v>
      </c>
      <c r="AE4007" s="3" t="s">
        <v>20034</v>
      </c>
      <c r="AF4007" s="3" t="s">
        <v>36</v>
      </c>
      <c r="AG4007" s="3" t="s">
        <v>741</v>
      </c>
      <c r="AH4007" s="11">
        <f>HYPERLINK("https://my.pitchbook.com?c=132703-57T","View Company Online")</f>
      </c>
    </row>
    <row r="4008">
      <c r="A4008" s="12" t="s">
        <v>20035</v>
      </c>
      <c r="B4008" s="12" t="s">
        <v>13371</v>
      </c>
      <c r="C4008" s="19" t="s">
        <v>36</v>
      </c>
      <c r="D4008" s="19" t="s">
        <v>36</v>
      </c>
      <c r="E4008" s="19" t="s">
        <v>36</v>
      </c>
      <c r="F4008" s="19" t="s">
        <v>36</v>
      </c>
      <c r="G4008" s="15" t="s">
        <v>683</v>
      </c>
      <c r="H4008" s="14">
        <v>12.88</v>
      </c>
      <c r="I4008" s="18">
        <v>33.23</v>
      </c>
      <c r="J4008" s="12" t="s">
        <v>521</v>
      </c>
      <c r="K4008" s="13" t="s">
        <v>36</v>
      </c>
      <c r="L4008" s="15" t="s">
        <v>36</v>
      </c>
      <c r="M4008" s="12" t="s">
        <v>36</v>
      </c>
      <c r="N4008" s="12" t="s">
        <v>36</v>
      </c>
      <c r="O4008" s="17" t="s">
        <v>36</v>
      </c>
      <c r="P4008" s="12" t="s">
        <v>36</v>
      </c>
      <c r="Q4008" s="12" t="s">
        <v>36</v>
      </c>
      <c r="R4008" s="12" t="s">
        <v>36</v>
      </c>
      <c r="S4008" s="12" t="s">
        <v>36</v>
      </c>
      <c r="T4008" s="12" t="s">
        <v>13372</v>
      </c>
      <c r="U4008" s="12" t="s">
        <v>438</v>
      </c>
      <c r="V4008" s="12" t="s">
        <v>405</v>
      </c>
      <c r="W4008" s="12" t="s">
        <v>13373</v>
      </c>
      <c r="X4008" s="16" t="s">
        <v>20036</v>
      </c>
      <c r="Y4008" s="15" t="s">
        <v>166</v>
      </c>
      <c r="Z4008" s="14">
        <v>13.09</v>
      </c>
      <c r="AA4008" s="14">
        <v>39.39</v>
      </c>
      <c r="AB4008" s="12" t="s">
        <v>56</v>
      </c>
      <c r="AC4008" s="12" t="s">
        <v>13375</v>
      </c>
      <c r="AD4008" s="13">
        <v>43888</v>
      </c>
      <c r="AE4008" s="12" t="s">
        <v>442</v>
      </c>
      <c r="AF4008" s="12" t="s">
        <v>9736</v>
      </c>
      <c r="AG4008" s="12" t="s">
        <v>81</v>
      </c>
      <c r="AH4008" s="1">
        <f>HYPERLINK("https://my.pitchbook.com?c=139143-52T","View Company Online")</f>
      </c>
    </row>
    <row r="4009">
      <c r="A4009" s="3" t="s">
        <v>20037</v>
      </c>
      <c r="B4009" s="3" t="s">
        <v>20038</v>
      </c>
      <c r="C4009" s="5" t="s">
        <v>36</v>
      </c>
      <c r="D4009" s="5" t="s">
        <v>36</v>
      </c>
      <c r="E4009" s="5" t="s">
        <v>36</v>
      </c>
      <c r="F4009" s="5" t="s">
        <v>36</v>
      </c>
      <c r="G4009" s="6" t="s">
        <v>326</v>
      </c>
      <c r="H4009" s="4">
        <v>11359.32</v>
      </c>
      <c r="I4009" s="7">
        <v>18.37</v>
      </c>
      <c r="J4009" s="3" t="s">
        <v>521</v>
      </c>
      <c r="K4009" s="9" t="s">
        <v>36</v>
      </c>
      <c r="L4009" s="6" t="s">
        <v>36</v>
      </c>
      <c r="M4009" s="3" t="s">
        <v>36</v>
      </c>
      <c r="N4009" s="3" t="s">
        <v>36</v>
      </c>
      <c r="O4009" s="8" t="s">
        <v>36</v>
      </c>
      <c r="P4009" s="3" t="s">
        <v>36</v>
      </c>
      <c r="Q4009" s="3" t="s">
        <v>36</v>
      </c>
      <c r="R4009" s="3" t="s">
        <v>36</v>
      </c>
      <c r="S4009" s="3" t="s">
        <v>2699</v>
      </c>
      <c r="T4009" s="3" t="s">
        <v>20039</v>
      </c>
      <c r="U4009" s="3" t="s">
        <v>619</v>
      </c>
      <c r="V4009" s="3" t="s">
        <v>378</v>
      </c>
      <c r="W4009" s="3" t="s">
        <v>20040</v>
      </c>
      <c r="X4009" s="10" t="s">
        <v>20041</v>
      </c>
      <c r="Y4009" s="6" t="s">
        <v>42</v>
      </c>
      <c r="Z4009" s="4">
        <v>0.86</v>
      </c>
      <c r="AA4009" s="4">
        <v>4.68</v>
      </c>
      <c r="AB4009" s="3" t="s">
        <v>43</v>
      </c>
      <c r="AC4009" s="3" t="s">
        <v>20042</v>
      </c>
      <c r="AD4009" s="9">
        <v>43887</v>
      </c>
      <c r="AE4009" s="3" t="s">
        <v>2040</v>
      </c>
      <c r="AF4009" s="3" t="s">
        <v>8828</v>
      </c>
      <c r="AG4009" s="3" t="s">
        <v>81</v>
      </c>
      <c r="AH4009" s="11">
        <f>HYPERLINK("https://my.pitchbook.com?c=180005-86T","View Company Online")</f>
      </c>
    </row>
    <row r="4010">
      <c r="A4010" s="12" t="s">
        <v>20043</v>
      </c>
      <c r="B4010" s="12" t="s">
        <v>8665</v>
      </c>
      <c r="C4010" s="19">
        <v>12</v>
      </c>
      <c r="D4010" s="19">
        <v>31</v>
      </c>
      <c r="E4010" s="19">
        <v>11</v>
      </c>
      <c r="F4010" s="19">
        <v>49</v>
      </c>
      <c r="G4010" s="15" t="s">
        <v>326</v>
      </c>
      <c r="H4010" s="14">
        <v>95.51</v>
      </c>
      <c r="I4010" s="18">
        <v>24.69</v>
      </c>
      <c r="J4010" s="12" t="s">
        <v>521</v>
      </c>
      <c r="K4010" s="13" t="s">
        <v>36</v>
      </c>
      <c r="L4010" s="15" t="s">
        <v>36</v>
      </c>
      <c r="M4010" s="12" t="s">
        <v>36</v>
      </c>
      <c r="N4010" s="12" t="s">
        <v>36</v>
      </c>
      <c r="O4010" s="17" t="s">
        <v>36</v>
      </c>
      <c r="P4010" s="12" t="s">
        <v>36</v>
      </c>
      <c r="Q4010" s="12" t="s">
        <v>36</v>
      </c>
      <c r="R4010" s="12" t="s">
        <v>36</v>
      </c>
      <c r="S4010" s="12" t="s">
        <v>36</v>
      </c>
      <c r="T4010" s="12" t="s">
        <v>881</v>
      </c>
      <c r="U4010" s="12" t="s">
        <v>51</v>
      </c>
      <c r="V4010" s="12" t="s">
        <v>52</v>
      </c>
      <c r="W4010" s="12" t="s">
        <v>8666</v>
      </c>
      <c r="X4010" s="16" t="s">
        <v>8667</v>
      </c>
      <c r="Y4010" s="15" t="s">
        <v>108</v>
      </c>
      <c r="Z4010" s="14">
        <v>10.07</v>
      </c>
      <c r="AA4010" s="14">
        <v>40.77</v>
      </c>
      <c r="AB4010" s="12" t="s">
        <v>56</v>
      </c>
      <c r="AC4010" s="12" t="s">
        <v>8668</v>
      </c>
      <c r="AD4010" s="13">
        <v>43886</v>
      </c>
      <c r="AE4010" s="12" t="s">
        <v>504</v>
      </c>
      <c r="AF4010" s="12" t="s">
        <v>3193</v>
      </c>
      <c r="AG4010" s="12" t="s">
        <v>8669</v>
      </c>
      <c r="AH4010" s="1">
        <f>HYPERLINK("https://my.pitchbook.com?c=132597-10T","View Company Online")</f>
      </c>
    </row>
    <row r="4011">
      <c r="A4011" s="3" t="s">
        <v>20044</v>
      </c>
      <c r="B4011" s="3" t="s">
        <v>20045</v>
      </c>
      <c r="C4011" s="5" t="s">
        <v>36</v>
      </c>
      <c r="D4011" s="5" t="s">
        <v>36</v>
      </c>
      <c r="E4011" s="5">
        <v>1</v>
      </c>
      <c r="F4011" s="5">
        <v>1</v>
      </c>
      <c r="G4011" s="6" t="s">
        <v>36</v>
      </c>
      <c r="H4011" s="4">
        <v>207.71</v>
      </c>
      <c r="I4011" s="7">
        <v>38.46</v>
      </c>
      <c r="J4011" s="3" t="s">
        <v>521</v>
      </c>
      <c r="K4011" s="9" t="s">
        <v>36</v>
      </c>
      <c r="L4011" s="6" t="s">
        <v>36</v>
      </c>
      <c r="M4011" s="3" t="s">
        <v>36</v>
      </c>
      <c r="N4011" s="3" t="s">
        <v>36</v>
      </c>
      <c r="O4011" s="8" t="s">
        <v>36</v>
      </c>
      <c r="P4011" s="3" t="s">
        <v>36</v>
      </c>
      <c r="Q4011" s="3" t="s">
        <v>36</v>
      </c>
      <c r="R4011" s="3" t="s">
        <v>36</v>
      </c>
      <c r="S4011" s="3" t="s">
        <v>36</v>
      </c>
      <c r="T4011" s="3" t="s">
        <v>20046</v>
      </c>
      <c r="U4011" s="3" t="s">
        <v>74</v>
      </c>
      <c r="V4011" s="3" t="s">
        <v>75</v>
      </c>
      <c r="W4011" s="3" t="s">
        <v>20047</v>
      </c>
      <c r="X4011" s="10" t="s">
        <v>20048</v>
      </c>
      <c r="Y4011" s="6" t="s">
        <v>42</v>
      </c>
      <c r="Z4011" s="4">
        <v>2.73</v>
      </c>
      <c r="AA4011" s="4">
        <v>3.55</v>
      </c>
      <c r="AB4011" s="3" t="s">
        <v>56</v>
      </c>
      <c r="AC4011" s="3" t="s">
        <v>20049</v>
      </c>
      <c r="AD4011" s="9">
        <v>43886</v>
      </c>
      <c r="AE4011" s="3" t="s">
        <v>79</v>
      </c>
      <c r="AF4011" s="3" t="s">
        <v>8607</v>
      </c>
      <c r="AG4011" s="3" t="s">
        <v>186</v>
      </c>
      <c r="AH4011" s="11">
        <f>HYPERLINK("https://my.pitchbook.com?c=132809-32T","View Company Online")</f>
      </c>
    </row>
    <row r="4012">
      <c r="A4012" s="12" t="s">
        <v>20050</v>
      </c>
      <c r="B4012" s="12" t="s">
        <v>20051</v>
      </c>
      <c r="C4012" s="19" t="s">
        <v>36</v>
      </c>
      <c r="D4012" s="19" t="s">
        <v>36</v>
      </c>
      <c r="E4012" s="19" t="s">
        <v>36</v>
      </c>
      <c r="F4012" s="19" t="s">
        <v>36</v>
      </c>
      <c r="G4012" s="15" t="s">
        <v>36</v>
      </c>
      <c r="H4012" s="14">
        <v>247.52</v>
      </c>
      <c r="I4012" s="18">
        <v>33.97</v>
      </c>
      <c r="J4012" s="12" t="s">
        <v>521</v>
      </c>
      <c r="K4012" s="13">
        <v>43831</v>
      </c>
      <c r="L4012" s="15" t="s">
        <v>94</v>
      </c>
      <c r="M4012" s="12" t="s">
        <v>36</v>
      </c>
      <c r="N4012" s="12" t="s">
        <v>94</v>
      </c>
      <c r="O4012" s="17" t="s">
        <v>36</v>
      </c>
      <c r="P4012" s="12" t="s">
        <v>36</v>
      </c>
      <c r="Q4012" s="12" t="s">
        <v>36</v>
      </c>
      <c r="R4012" s="12" t="s">
        <v>36</v>
      </c>
      <c r="S4012" s="12" t="s">
        <v>36</v>
      </c>
      <c r="T4012" s="12" t="s">
        <v>105</v>
      </c>
      <c r="U4012" s="12" t="s">
        <v>38</v>
      </c>
      <c r="V4012" s="12" t="s">
        <v>39</v>
      </c>
      <c r="W4012" s="12" t="s">
        <v>20052</v>
      </c>
      <c r="X4012" s="16" t="s">
        <v>20053</v>
      </c>
      <c r="Y4012" s="15" t="s">
        <v>55</v>
      </c>
      <c r="Z4012" s="14">
        <v>18.58</v>
      </c>
      <c r="AA4012" s="14">
        <v>38.65</v>
      </c>
      <c r="AB4012" s="12" t="s">
        <v>56</v>
      </c>
      <c r="AC4012" s="12" t="s">
        <v>20054</v>
      </c>
      <c r="AD4012" s="13">
        <v>43886</v>
      </c>
      <c r="AE4012" s="12" t="s">
        <v>110</v>
      </c>
      <c r="AF4012" s="12" t="s">
        <v>36</v>
      </c>
      <c r="AG4012" s="12" t="s">
        <v>2542</v>
      </c>
      <c r="AH4012" s="1">
        <f>HYPERLINK("https://my.pitchbook.com?c=133010-11T","View Company Online")</f>
      </c>
    </row>
    <row r="4013">
      <c r="A4013" s="3" t="s">
        <v>20055</v>
      </c>
      <c r="B4013" s="3" t="s">
        <v>810</v>
      </c>
      <c r="C4013" s="5" t="s">
        <v>36</v>
      </c>
      <c r="D4013" s="5" t="s">
        <v>36</v>
      </c>
      <c r="E4013" s="5" t="s">
        <v>36</v>
      </c>
      <c r="F4013" s="5" t="s">
        <v>36</v>
      </c>
      <c r="G4013" s="6" t="s">
        <v>326</v>
      </c>
      <c r="H4013" s="4">
        <v>253.8</v>
      </c>
      <c r="I4013" s="7">
        <v>5.28</v>
      </c>
      <c r="J4013" s="3" t="s">
        <v>521</v>
      </c>
      <c r="K4013" s="9" t="s">
        <v>36</v>
      </c>
      <c r="L4013" s="6" t="s">
        <v>36</v>
      </c>
      <c r="M4013" s="3" t="s">
        <v>36</v>
      </c>
      <c r="N4013" s="3" t="s">
        <v>36</v>
      </c>
      <c r="O4013" s="8" t="s">
        <v>36</v>
      </c>
      <c r="P4013" s="3" t="s">
        <v>36</v>
      </c>
      <c r="Q4013" s="3" t="s">
        <v>36</v>
      </c>
      <c r="R4013" s="3" t="s">
        <v>36</v>
      </c>
      <c r="S4013" s="3" t="s">
        <v>36</v>
      </c>
      <c r="T4013" s="3" t="s">
        <v>811</v>
      </c>
      <c r="U4013" s="3" t="s">
        <v>38</v>
      </c>
      <c r="V4013" s="3" t="s">
        <v>39</v>
      </c>
      <c r="W4013" s="3" t="s">
        <v>812</v>
      </c>
      <c r="X4013" s="10" t="s">
        <v>20056</v>
      </c>
      <c r="Y4013" s="6" t="s">
        <v>108</v>
      </c>
      <c r="Z4013" s="4">
        <v>0.17</v>
      </c>
      <c r="AA4013" s="4">
        <v>3.28</v>
      </c>
      <c r="AB4013" s="3" t="s">
        <v>43</v>
      </c>
      <c r="AC4013" s="3" t="s">
        <v>814</v>
      </c>
      <c r="AD4013" s="9">
        <v>43886</v>
      </c>
      <c r="AE4013" s="3" t="s">
        <v>339</v>
      </c>
      <c r="AF4013" s="3" t="s">
        <v>815</v>
      </c>
      <c r="AG4013" s="3" t="s">
        <v>81</v>
      </c>
      <c r="AH4013" s="11">
        <f>HYPERLINK("https://my.pitchbook.com?c=153797-23T","View Company Online")</f>
      </c>
    </row>
    <row r="4014">
      <c r="A4014" s="12" t="s">
        <v>20057</v>
      </c>
      <c r="B4014" s="12" t="s">
        <v>20058</v>
      </c>
      <c r="C4014" s="19" t="s">
        <v>36</v>
      </c>
      <c r="D4014" s="19" t="s">
        <v>36</v>
      </c>
      <c r="E4014" s="19" t="s">
        <v>36</v>
      </c>
      <c r="F4014" s="19" t="s">
        <v>36</v>
      </c>
      <c r="G4014" s="15" t="s">
        <v>36</v>
      </c>
      <c r="H4014" s="14" t="s">
        <v>36</v>
      </c>
      <c r="I4014" s="18" t="s">
        <v>36</v>
      </c>
      <c r="J4014" s="12" t="s">
        <v>36</v>
      </c>
      <c r="K4014" s="13" t="s">
        <v>36</v>
      </c>
      <c r="L4014" s="15" t="s">
        <v>36</v>
      </c>
      <c r="M4014" s="12" t="s">
        <v>36</v>
      </c>
      <c r="N4014" s="12" t="s">
        <v>36</v>
      </c>
      <c r="O4014" s="17" t="s">
        <v>36</v>
      </c>
      <c r="P4014" s="12" t="s">
        <v>36</v>
      </c>
      <c r="Q4014" s="12" t="s">
        <v>36</v>
      </c>
      <c r="R4014" s="12" t="s">
        <v>36</v>
      </c>
      <c r="S4014" s="12" t="s">
        <v>36</v>
      </c>
      <c r="T4014" s="12" t="s">
        <v>20059</v>
      </c>
      <c r="U4014" s="12" t="s">
        <v>38</v>
      </c>
      <c r="V4014" s="12" t="s">
        <v>39</v>
      </c>
      <c r="W4014" s="12" t="s">
        <v>20060</v>
      </c>
      <c r="X4014" s="16" t="s">
        <v>20061</v>
      </c>
      <c r="Y4014" s="15" t="s">
        <v>42</v>
      </c>
      <c r="Z4014" s="14">
        <v>1.64</v>
      </c>
      <c r="AA4014" s="14" t="s">
        <v>36</v>
      </c>
      <c r="AB4014" s="12" t="s">
        <v>43</v>
      </c>
      <c r="AC4014" s="12" t="s">
        <v>20062</v>
      </c>
      <c r="AD4014" s="13">
        <v>43886</v>
      </c>
      <c r="AE4014" s="12" t="s">
        <v>110</v>
      </c>
      <c r="AF4014" s="12" t="s">
        <v>10927</v>
      </c>
      <c r="AG4014" s="12" t="s">
        <v>1453</v>
      </c>
      <c r="AH4014" s="1">
        <f>HYPERLINK("https://my.pitchbook.com?c=175485-52T","View Company Online")</f>
      </c>
    </row>
    <row r="4015">
      <c r="A4015" s="3" t="s">
        <v>20063</v>
      </c>
      <c r="B4015" s="3" t="s">
        <v>20064</v>
      </c>
      <c r="C4015" s="5" t="s">
        <v>36</v>
      </c>
      <c r="D4015" s="5" t="s">
        <v>36</v>
      </c>
      <c r="E4015" s="5" t="s">
        <v>36</v>
      </c>
      <c r="F4015" s="5" t="s">
        <v>36</v>
      </c>
      <c r="G4015" s="6" t="s">
        <v>36</v>
      </c>
      <c r="H4015" s="4">
        <v>12.46</v>
      </c>
      <c r="I4015" s="7">
        <v>39.12</v>
      </c>
      <c r="J4015" s="3" t="s">
        <v>521</v>
      </c>
      <c r="K4015" s="9" t="s">
        <v>36</v>
      </c>
      <c r="L4015" s="6" t="s">
        <v>36</v>
      </c>
      <c r="M4015" s="3" t="s">
        <v>36</v>
      </c>
      <c r="N4015" s="3" t="s">
        <v>36</v>
      </c>
      <c r="O4015" s="8" t="s">
        <v>36</v>
      </c>
      <c r="P4015" s="3" t="s">
        <v>36</v>
      </c>
      <c r="Q4015" s="3" t="s">
        <v>36</v>
      </c>
      <c r="R4015" s="3" t="s">
        <v>36</v>
      </c>
      <c r="S4015" s="3" t="s">
        <v>36</v>
      </c>
      <c r="T4015" s="3" t="s">
        <v>20065</v>
      </c>
      <c r="U4015" s="3" t="s">
        <v>38</v>
      </c>
      <c r="V4015" s="3" t="s">
        <v>39</v>
      </c>
      <c r="W4015" s="3" t="s">
        <v>20066</v>
      </c>
      <c r="X4015" s="10" t="s">
        <v>20067</v>
      </c>
      <c r="Y4015" s="6" t="s">
        <v>42</v>
      </c>
      <c r="Z4015" s="4">
        <v>0.84</v>
      </c>
      <c r="AA4015" s="4">
        <v>2.15</v>
      </c>
      <c r="AB4015" s="3" t="s">
        <v>43</v>
      </c>
      <c r="AC4015" s="3" t="s">
        <v>20068</v>
      </c>
      <c r="AD4015" s="9">
        <v>43886</v>
      </c>
      <c r="AE4015" s="3" t="s">
        <v>134</v>
      </c>
      <c r="AF4015" s="3" t="s">
        <v>2752</v>
      </c>
      <c r="AG4015" s="3" t="s">
        <v>20069</v>
      </c>
      <c r="AH4015" s="11">
        <f>HYPERLINK("https://my.pitchbook.com?c=179612-47T","View Company Online")</f>
      </c>
    </row>
    <row r="4016">
      <c r="A4016" s="12" t="s">
        <v>20070</v>
      </c>
      <c r="B4016" s="12" t="s">
        <v>20071</v>
      </c>
      <c r="C4016" s="19" t="s">
        <v>36</v>
      </c>
      <c r="D4016" s="19" t="s">
        <v>36</v>
      </c>
      <c r="E4016" s="19" t="s">
        <v>36</v>
      </c>
      <c r="F4016" s="19" t="s">
        <v>36</v>
      </c>
      <c r="G4016" s="15" t="s">
        <v>326</v>
      </c>
      <c r="H4016" s="14">
        <v>2.52</v>
      </c>
      <c r="I4016" s="18">
        <v>17.15</v>
      </c>
      <c r="J4016" s="12" t="s">
        <v>521</v>
      </c>
      <c r="K4016" s="13" t="s">
        <v>36</v>
      </c>
      <c r="L4016" s="15" t="s">
        <v>36</v>
      </c>
      <c r="M4016" s="12" t="s">
        <v>36</v>
      </c>
      <c r="N4016" s="12" t="s">
        <v>36</v>
      </c>
      <c r="O4016" s="17" t="s">
        <v>36</v>
      </c>
      <c r="P4016" s="12" t="s">
        <v>36</v>
      </c>
      <c r="Q4016" s="12" t="s">
        <v>36</v>
      </c>
      <c r="R4016" s="12" t="s">
        <v>36</v>
      </c>
      <c r="S4016" s="12" t="s">
        <v>36</v>
      </c>
      <c r="T4016" s="12" t="s">
        <v>20072</v>
      </c>
      <c r="U4016" s="12" t="s">
        <v>279</v>
      </c>
      <c r="V4016" s="12" t="s">
        <v>64</v>
      </c>
      <c r="W4016" s="12" t="s">
        <v>20073</v>
      </c>
      <c r="X4016" s="16" t="s">
        <v>8174</v>
      </c>
      <c r="Y4016" s="15" t="s">
        <v>108</v>
      </c>
      <c r="Z4016" s="14">
        <v>0.39</v>
      </c>
      <c r="AA4016" s="14">
        <v>2.28</v>
      </c>
      <c r="AB4016" s="12" t="s">
        <v>56</v>
      </c>
      <c r="AC4016" s="12" t="s">
        <v>20074</v>
      </c>
      <c r="AD4016" s="13">
        <v>43885</v>
      </c>
      <c r="AE4016" s="12" t="s">
        <v>851</v>
      </c>
      <c r="AF4016" s="12" t="s">
        <v>2363</v>
      </c>
      <c r="AG4016" s="12" t="s">
        <v>5504</v>
      </c>
      <c r="AH4016" s="1">
        <f>HYPERLINK("https://my.pitchbook.com?c=181160-83T","View Company Online")</f>
      </c>
    </row>
    <row r="4017">
      <c r="A4017" s="3" t="s">
        <v>20075</v>
      </c>
      <c r="B4017" s="3" t="s">
        <v>11130</v>
      </c>
      <c r="C4017" s="5" t="s">
        <v>36</v>
      </c>
      <c r="D4017" s="5" t="s">
        <v>36</v>
      </c>
      <c r="E4017" s="5" t="s">
        <v>36</v>
      </c>
      <c r="F4017" s="5" t="s">
        <v>36</v>
      </c>
      <c r="G4017" s="6" t="s">
        <v>326</v>
      </c>
      <c r="H4017" s="4">
        <v>3994.48</v>
      </c>
      <c r="I4017" s="7">
        <v>24.09</v>
      </c>
      <c r="J4017" s="3" t="s">
        <v>521</v>
      </c>
      <c r="K4017" s="9" t="s">
        <v>36</v>
      </c>
      <c r="L4017" s="6" t="s">
        <v>36</v>
      </c>
      <c r="M4017" s="3" t="s">
        <v>36</v>
      </c>
      <c r="N4017" s="3" t="s">
        <v>36</v>
      </c>
      <c r="O4017" s="8" t="s">
        <v>36</v>
      </c>
      <c r="P4017" s="3" t="s">
        <v>36</v>
      </c>
      <c r="Q4017" s="3" t="s">
        <v>36</v>
      </c>
      <c r="R4017" s="3" t="s">
        <v>36</v>
      </c>
      <c r="S4017" s="3" t="s">
        <v>36</v>
      </c>
      <c r="T4017" s="3" t="s">
        <v>9211</v>
      </c>
      <c r="U4017" s="3" t="s">
        <v>74</v>
      </c>
      <c r="V4017" s="3" t="s">
        <v>75</v>
      </c>
      <c r="W4017" s="3" t="s">
        <v>11131</v>
      </c>
      <c r="X4017" s="10" t="s">
        <v>20076</v>
      </c>
      <c r="Y4017" s="6" t="s">
        <v>42</v>
      </c>
      <c r="Z4017" s="4">
        <v>0.28</v>
      </c>
      <c r="AA4017" s="4">
        <v>1.15</v>
      </c>
      <c r="AB4017" s="3" t="s">
        <v>56</v>
      </c>
      <c r="AC4017" s="3" t="s">
        <v>11133</v>
      </c>
      <c r="AD4017" s="9">
        <v>43885</v>
      </c>
      <c r="AE4017" s="3" t="s">
        <v>9215</v>
      </c>
      <c r="AF4017" s="3" t="s">
        <v>36</v>
      </c>
      <c r="AG4017" s="3" t="s">
        <v>1978</v>
      </c>
      <c r="AH4017" s="11">
        <f>HYPERLINK("https://my.pitchbook.com?c=204718-51T","View Company Online")</f>
      </c>
    </row>
    <row r="4018">
      <c r="A4018" s="12" t="s">
        <v>20077</v>
      </c>
      <c r="B4018" s="12" t="s">
        <v>20078</v>
      </c>
      <c r="C4018" s="19" t="s">
        <v>36</v>
      </c>
      <c r="D4018" s="19" t="s">
        <v>36</v>
      </c>
      <c r="E4018" s="19" t="s">
        <v>36</v>
      </c>
      <c r="F4018" s="19" t="s">
        <v>36</v>
      </c>
      <c r="G4018" s="15" t="s">
        <v>326</v>
      </c>
      <c r="H4018" s="14">
        <v>183.85</v>
      </c>
      <c r="I4018" s="18">
        <v>25.02</v>
      </c>
      <c r="J4018" s="12" t="s">
        <v>521</v>
      </c>
      <c r="K4018" s="13" t="s">
        <v>36</v>
      </c>
      <c r="L4018" s="15" t="s">
        <v>36</v>
      </c>
      <c r="M4018" s="12" t="s">
        <v>36</v>
      </c>
      <c r="N4018" s="12" t="s">
        <v>36</v>
      </c>
      <c r="O4018" s="17" t="s">
        <v>36</v>
      </c>
      <c r="P4018" s="12" t="s">
        <v>36</v>
      </c>
      <c r="Q4018" s="12" t="s">
        <v>36</v>
      </c>
      <c r="R4018" s="12" t="s">
        <v>36</v>
      </c>
      <c r="S4018" s="12" t="s">
        <v>36</v>
      </c>
      <c r="T4018" s="12" t="s">
        <v>20079</v>
      </c>
      <c r="U4018" s="12" t="s">
        <v>74</v>
      </c>
      <c r="V4018" s="12" t="s">
        <v>75</v>
      </c>
      <c r="W4018" s="12" t="s">
        <v>20080</v>
      </c>
      <c r="X4018" s="16" t="s">
        <v>20081</v>
      </c>
      <c r="Y4018" s="15" t="s">
        <v>55</v>
      </c>
      <c r="Z4018" s="14">
        <v>1.83</v>
      </c>
      <c r="AA4018" s="14">
        <v>7.31</v>
      </c>
      <c r="AB4018" s="12" t="s">
        <v>56</v>
      </c>
      <c r="AC4018" s="12" t="s">
        <v>20082</v>
      </c>
      <c r="AD4018" s="13">
        <v>43882</v>
      </c>
      <c r="AE4018" s="12" t="s">
        <v>975</v>
      </c>
      <c r="AF4018" s="12" t="s">
        <v>36</v>
      </c>
      <c r="AG4018" s="12" t="s">
        <v>102</v>
      </c>
      <c r="AH4018" s="1">
        <f>HYPERLINK("https://my.pitchbook.com?c=132534-91T","View Company Online")</f>
      </c>
    </row>
    <row r="4019">
      <c r="A4019" s="3" t="s">
        <v>20083</v>
      </c>
      <c r="B4019" s="3" t="s">
        <v>20084</v>
      </c>
      <c r="C4019" s="5" t="s">
        <v>36</v>
      </c>
      <c r="D4019" s="5" t="s">
        <v>36</v>
      </c>
      <c r="E4019" s="5" t="s">
        <v>36</v>
      </c>
      <c r="F4019" s="5" t="s">
        <v>36</v>
      </c>
      <c r="G4019" s="6" t="s">
        <v>36</v>
      </c>
      <c r="H4019" s="4" t="s">
        <v>36</v>
      </c>
      <c r="I4019" s="7" t="s">
        <v>36</v>
      </c>
      <c r="J4019" s="3" t="s">
        <v>36</v>
      </c>
      <c r="K4019" s="9">
        <v>43671</v>
      </c>
      <c r="L4019" s="6" t="s">
        <v>36</v>
      </c>
      <c r="M4019" s="3" t="s">
        <v>36</v>
      </c>
      <c r="N4019" s="3" t="s">
        <v>36</v>
      </c>
      <c r="O4019" s="8" t="s">
        <v>36</v>
      </c>
      <c r="P4019" s="3" t="s">
        <v>36</v>
      </c>
      <c r="Q4019" s="3" t="s">
        <v>36</v>
      </c>
      <c r="R4019" s="3" t="s">
        <v>36</v>
      </c>
      <c r="S4019" s="3" t="s">
        <v>36</v>
      </c>
      <c r="T4019" s="3" t="s">
        <v>522</v>
      </c>
      <c r="U4019" s="3" t="s">
        <v>38</v>
      </c>
      <c r="V4019" s="3" t="s">
        <v>39</v>
      </c>
      <c r="W4019" s="3" t="s">
        <v>20085</v>
      </c>
      <c r="X4019" s="10" t="s">
        <v>20086</v>
      </c>
      <c r="Y4019" s="6" t="s">
        <v>42</v>
      </c>
      <c r="Z4019" s="4" t="s">
        <v>36</v>
      </c>
      <c r="AA4019" s="4" t="s">
        <v>36</v>
      </c>
      <c r="AB4019" s="3" t="s">
        <v>43</v>
      </c>
      <c r="AC4019" s="3" t="s">
        <v>20087</v>
      </c>
      <c r="AD4019" s="9">
        <v>43882</v>
      </c>
      <c r="AE4019" s="3" t="s">
        <v>110</v>
      </c>
      <c r="AF4019" s="3" t="s">
        <v>111</v>
      </c>
      <c r="AG4019" s="3" t="s">
        <v>18815</v>
      </c>
      <c r="AH4019" s="11">
        <f>HYPERLINK("https://my.pitchbook.com?c=134410-42T","View Company Online")</f>
      </c>
    </row>
    <row r="4020">
      <c r="A4020" s="12" t="s">
        <v>20088</v>
      </c>
      <c r="B4020" s="12" t="s">
        <v>14087</v>
      </c>
      <c r="C4020" s="19" t="s">
        <v>36</v>
      </c>
      <c r="D4020" s="19" t="s">
        <v>36</v>
      </c>
      <c r="E4020" s="19" t="s">
        <v>36</v>
      </c>
      <c r="F4020" s="19" t="s">
        <v>36</v>
      </c>
      <c r="G4020" s="15" t="s">
        <v>36</v>
      </c>
      <c r="H4020" s="14">
        <v>16.62</v>
      </c>
      <c r="I4020" s="18">
        <v>14.63</v>
      </c>
      <c r="J4020" s="12" t="s">
        <v>521</v>
      </c>
      <c r="K4020" s="13" t="s">
        <v>36</v>
      </c>
      <c r="L4020" s="15" t="s">
        <v>36</v>
      </c>
      <c r="M4020" s="12" t="s">
        <v>36</v>
      </c>
      <c r="N4020" s="12" t="s">
        <v>36</v>
      </c>
      <c r="O4020" s="17" t="s">
        <v>36</v>
      </c>
      <c r="P4020" s="12" t="s">
        <v>36</v>
      </c>
      <c r="Q4020" s="12" t="s">
        <v>36</v>
      </c>
      <c r="R4020" s="12" t="s">
        <v>36</v>
      </c>
      <c r="S4020" s="12" t="s">
        <v>36</v>
      </c>
      <c r="T4020" s="12" t="s">
        <v>888</v>
      </c>
      <c r="U4020" s="12" t="s">
        <v>387</v>
      </c>
      <c r="V4020" s="12" t="s">
        <v>367</v>
      </c>
      <c r="W4020" s="12" t="s">
        <v>14088</v>
      </c>
      <c r="X4020" s="16" t="s">
        <v>20089</v>
      </c>
      <c r="Y4020" s="15" t="s">
        <v>42</v>
      </c>
      <c r="Z4020" s="14">
        <v>0.2</v>
      </c>
      <c r="AA4020" s="14">
        <v>1.35</v>
      </c>
      <c r="AB4020" s="12" t="s">
        <v>43</v>
      </c>
      <c r="AC4020" s="12" t="s">
        <v>14089</v>
      </c>
      <c r="AD4020" s="13">
        <v>43881</v>
      </c>
      <c r="AE4020" s="12" t="s">
        <v>391</v>
      </c>
      <c r="AF4020" s="12" t="s">
        <v>372</v>
      </c>
      <c r="AG4020" s="12" t="s">
        <v>14090</v>
      </c>
      <c r="AH4020" s="1">
        <f>HYPERLINK("https://my.pitchbook.com?c=226862-74T","View Company Online")</f>
      </c>
    </row>
    <row r="4021">
      <c r="A4021" s="3" t="s">
        <v>20090</v>
      </c>
      <c r="B4021" s="3" t="s">
        <v>6840</v>
      </c>
      <c r="C4021" s="5" t="s">
        <v>36</v>
      </c>
      <c r="D4021" s="5" t="s">
        <v>36</v>
      </c>
      <c r="E4021" s="5" t="s">
        <v>36</v>
      </c>
      <c r="F4021" s="5" t="s">
        <v>36</v>
      </c>
      <c r="G4021" s="6" t="s">
        <v>36</v>
      </c>
      <c r="H4021" s="4" t="s">
        <v>36</v>
      </c>
      <c r="I4021" s="7">
        <v>34.52</v>
      </c>
      <c r="J4021" s="3" t="s">
        <v>327</v>
      </c>
      <c r="K4021" s="9" t="s">
        <v>36</v>
      </c>
      <c r="L4021" s="6" t="s">
        <v>36</v>
      </c>
      <c r="M4021" s="3" t="s">
        <v>36</v>
      </c>
      <c r="N4021" s="3" t="s">
        <v>36</v>
      </c>
      <c r="O4021" s="8" t="s">
        <v>36</v>
      </c>
      <c r="P4021" s="3" t="s">
        <v>36</v>
      </c>
      <c r="Q4021" s="3" t="s">
        <v>36</v>
      </c>
      <c r="R4021" s="3" t="s">
        <v>36</v>
      </c>
      <c r="S4021" s="3" t="s">
        <v>36</v>
      </c>
      <c r="T4021" s="3" t="s">
        <v>522</v>
      </c>
      <c r="U4021" s="3" t="s">
        <v>38</v>
      </c>
      <c r="V4021" s="3" t="s">
        <v>39</v>
      </c>
      <c r="W4021" s="3" t="s">
        <v>6841</v>
      </c>
      <c r="X4021" s="10" t="s">
        <v>20091</v>
      </c>
      <c r="Y4021" s="6" t="s">
        <v>192</v>
      </c>
      <c r="Z4021" s="4">
        <v>1.86</v>
      </c>
      <c r="AA4021" s="4">
        <v>5.4</v>
      </c>
      <c r="AB4021" s="3" t="s">
        <v>56</v>
      </c>
      <c r="AC4021" s="3" t="s">
        <v>6843</v>
      </c>
      <c r="AD4021" s="9">
        <v>43881</v>
      </c>
      <c r="AE4021" s="3" t="s">
        <v>110</v>
      </c>
      <c r="AF4021" s="3" t="s">
        <v>3860</v>
      </c>
      <c r="AG4021" s="3" t="s">
        <v>47</v>
      </c>
      <c r="AH4021" s="11">
        <f>HYPERLINK("https://my.pitchbook.com?c=132322-15T","View Company Online")</f>
      </c>
    </row>
    <row r="4022">
      <c r="A4022" s="12" t="s">
        <v>20092</v>
      </c>
      <c r="B4022" s="12" t="s">
        <v>20093</v>
      </c>
      <c r="C4022" s="19" t="s">
        <v>36</v>
      </c>
      <c r="D4022" s="19" t="s">
        <v>36</v>
      </c>
      <c r="E4022" s="19" t="s">
        <v>36</v>
      </c>
      <c r="F4022" s="19" t="s">
        <v>36</v>
      </c>
      <c r="G4022" s="15" t="s">
        <v>36</v>
      </c>
      <c r="H4022" s="14">
        <v>38.26</v>
      </c>
      <c r="I4022" s="18">
        <v>22.3</v>
      </c>
      <c r="J4022" s="12" t="s">
        <v>521</v>
      </c>
      <c r="K4022" s="13" t="s">
        <v>36</v>
      </c>
      <c r="L4022" s="15" t="s">
        <v>36</v>
      </c>
      <c r="M4022" s="12" t="s">
        <v>36</v>
      </c>
      <c r="N4022" s="12" t="s">
        <v>36</v>
      </c>
      <c r="O4022" s="17" t="s">
        <v>36</v>
      </c>
      <c r="P4022" s="12" t="s">
        <v>36</v>
      </c>
      <c r="Q4022" s="12" t="s">
        <v>36</v>
      </c>
      <c r="R4022" s="12" t="s">
        <v>36</v>
      </c>
      <c r="S4022" s="12" t="s">
        <v>36</v>
      </c>
      <c r="T4022" s="12" t="s">
        <v>1162</v>
      </c>
      <c r="U4022" s="12" t="s">
        <v>423</v>
      </c>
      <c r="V4022" s="12" t="s">
        <v>64</v>
      </c>
      <c r="W4022" s="12" t="s">
        <v>20094</v>
      </c>
      <c r="X4022" s="16" t="s">
        <v>20095</v>
      </c>
      <c r="Y4022" s="15" t="s">
        <v>108</v>
      </c>
      <c r="Z4022" s="14">
        <v>0.65</v>
      </c>
      <c r="AA4022" s="14">
        <v>2.9</v>
      </c>
      <c r="AB4022" s="12" t="s">
        <v>56</v>
      </c>
      <c r="AC4022" s="12" t="s">
        <v>20096</v>
      </c>
      <c r="AD4022" s="13">
        <v>43880</v>
      </c>
      <c r="AE4022" s="12" t="s">
        <v>562</v>
      </c>
      <c r="AF4022" s="12" t="s">
        <v>938</v>
      </c>
      <c r="AG4022" s="12" t="s">
        <v>102</v>
      </c>
      <c r="AH4022" s="1">
        <f>HYPERLINK("https://my.pitchbook.com?c=181037-26T","View Company Online")</f>
      </c>
    </row>
    <row r="4023">
      <c r="A4023" s="3" t="s">
        <v>20097</v>
      </c>
      <c r="B4023" s="3" t="s">
        <v>20098</v>
      </c>
      <c r="C4023" s="5" t="s">
        <v>36</v>
      </c>
      <c r="D4023" s="5" t="s">
        <v>36</v>
      </c>
      <c r="E4023" s="5" t="s">
        <v>36</v>
      </c>
      <c r="F4023" s="5" t="s">
        <v>36</v>
      </c>
      <c r="G4023" s="6" t="s">
        <v>36</v>
      </c>
      <c r="H4023" s="4" t="s">
        <v>36</v>
      </c>
      <c r="I4023" s="7" t="s">
        <v>36</v>
      </c>
      <c r="J4023" s="3" t="s">
        <v>36</v>
      </c>
      <c r="K4023" s="9" t="s">
        <v>36</v>
      </c>
      <c r="L4023" s="6" t="s">
        <v>122</v>
      </c>
      <c r="M4023" s="3" t="s">
        <v>36</v>
      </c>
      <c r="N4023" s="3" t="s">
        <v>122</v>
      </c>
      <c r="O4023" s="8" t="s">
        <v>36</v>
      </c>
      <c r="P4023" s="3" t="s">
        <v>36</v>
      </c>
      <c r="Q4023" s="3" t="s">
        <v>36</v>
      </c>
      <c r="R4023" s="3" t="s">
        <v>36</v>
      </c>
      <c r="S4023" s="3" t="s">
        <v>36</v>
      </c>
      <c r="T4023" s="3" t="s">
        <v>522</v>
      </c>
      <c r="U4023" s="3" t="s">
        <v>38</v>
      </c>
      <c r="V4023" s="3" t="s">
        <v>39</v>
      </c>
      <c r="W4023" s="3" t="s">
        <v>20099</v>
      </c>
      <c r="X4023" s="10" t="s">
        <v>20100</v>
      </c>
      <c r="Y4023" s="6" t="s">
        <v>108</v>
      </c>
      <c r="Z4023" s="4">
        <v>2.75</v>
      </c>
      <c r="AA4023" s="4" t="s">
        <v>36</v>
      </c>
      <c r="AB4023" s="3" t="s">
        <v>56</v>
      </c>
      <c r="AC4023" s="3" t="s">
        <v>20101</v>
      </c>
      <c r="AD4023" s="9">
        <v>43879</v>
      </c>
      <c r="AE4023" s="3" t="s">
        <v>110</v>
      </c>
      <c r="AF4023" s="3" t="s">
        <v>111</v>
      </c>
      <c r="AG4023" s="3" t="s">
        <v>652</v>
      </c>
      <c r="AH4023" s="11">
        <f>HYPERLINK("https://my.pitchbook.com?c=136927-72T","View Company Online")</f>
      </c>
    </row>
    <row r="4024">
      <c r="A4024" s="12" t="s">
        <v>20102</v>
      </c>
      <c r="B4024" s="12" t="s">
        <v>12210</v>
      </c>
      <c r="C4024" s="19" t="s">
        <v>36</v>
      </c>
      <c r="D4024" s="19" t="s">
        <v>36</v>
      </c>
      <c r="E4024" s="19" t="s">
        <v>36</v>
      </c>
      <c r="F4024" s="19" t="s">
        <v>36</v>
      </c>
      <c r="G4024" s="15" t="s">
        <v>36</v>
      </c>
      <c r="H4024" s="14">
        <v>630.74</v>
      </c>
      <c r="I4024" s="18">
        <v>14.89</v>
      </c>
      <c r="J4024" s="12" t="s">
        <v>521</v>
      </c>
      <c r="K4024" s="13" t="s">
        <v>36</v>
      </c>
      <c r="L4024" s="15" t="s">
        <v>36</v>
      </c>
      <c r="M4024" s="12" t="s">
        <v>36</v>
      </c>
      <c r="N4024" s="12" t="s">
        <v>36</v>
      </c>
      <c r="O4024" s="17" t="s">
        <v>36</v>
      </c>
      <c r="P4024" s="12" t="s">
        <v>36</v>
      </c>
      <c r="Q4024" s="12" t="s">
        <v>36</v>
      </c>
      <c r="R4024" s="12" t="s">
        <v>36</v>
      </c>
      <c r="S4024" s="12" t="s">
        <v>36</v>
      </c>
      <c r="T4024" s="12" t="s">
        <v>12211</v>
      </c>
      <c r="U4024" s="12" t="s">
        <v>38</v>
      </c>
      <c r="V4024" s="12" t="s">
        <v>39</v>
      </c>
      <c r="W4024" s="12" t="s">
        <v>12212</v>
      </c>
      <c r="X4024" s="16" t="s">
        <v>10887</v>
      </c>
      <c r="Y4024" s="15" t="s">
        <v>42</v>
      </c>
      <c r="Z4024" s="14">
        <v>0.12</v>
      </c>
      <c r="AA4024" s="14">
        <v>0.78</v>
      </c>
      <c r="AB4024" s="12" t="s">
        <v>43</v>
      </c>
      <c r="AC4024" s="12" t="s">
        <v>12214</v>
      </c>
      <c r="AD4024" s="13">
        <v>43879</v>
      </c>
      <c r="AE4024" s="12" t="s">
        <v>785</v>
      </c>
      <c r="AF4024" s="12" t="s">
        <v>111</v>
      </c>
      <c r="AG4024" s="12" t="s">
        <v>580</v>
      </c>
      <c r="AH4024" s="1">
        <f>HYPERLINK("https://my.pitchbook.com?c=207917-65T","View Company Online")</f>
      </c>
    </row>
    <row r="4025">
      <c r="A4025" s="3" t="s">
        <v>20103</v>
      </c>
      <c r="B4025" s="3" t="s">
        <v>13855</v>
      </c>
      <c r="C4025" s="5" t="s">
        <v>36</v>
      </c>
      <c r="D4025" s="5">
        <v>2</v>
      </c>
      <c r="E4025" s="5">
        <v>2</v>
      </c>
      <c r="F4025" s="5">
        <v>2</v>
      </c>
      <c r="G4025" s="6" t="s">
        <v>683</v>
      </c>
      <c r="H4025" s="4">
        <v>95.03</v>
      </c>
      <c r="I4025" s="7">
        <v>17.5</v>
      </c>
      <c r="J4025" s="3" t="s">
        <v>521</v>
      </c>
      <c r="K4025" s="9" t="s">
        <v>36</v>
      </c>
      <c r="L4025" s="6" t="s">
        <v>94</v>
      </c>
      <c r="M4025" s="3" t="s">
        <v>36</v>
      </c>
      <c r="N4025" s="3" t="s">
        <v>94</v>
      </c>
      <c r="O4025" s="8" t="s">
        <v>36</v>
      </c>
      <c r="P4025" s="3" t="s">
        <v>36</v>
      </c>
      <c r="Q4025" s="3" t="s">
        <v>36</v>
      </c>
      <c r="R4025" s="3" t="s">
        <v>36</v>
      </c>
      <c r="S4025" s="3" t="s">
        <v>36</v>
      </c>
      <c r="T4025" s="3" t="s">
        <v>2213</v>
      </c>
      <c r="U4025" s="3" t="s">
        <v>219</v>
      </c>
      <c r="V4025" s="3" t="s">
        <v>75</v>
      </c>
      <c r="W4025" s="3" t="s">
        <v>13856</v>
      </c>
      <c r="X4025" s="10" t="s">
        <v>20104</v>
      </c>
      <c r="Y4025" s="6" t="s">
        <v>192</v>
      </c>
      <c r="Z4025" s="4">
        <v>14.28</v>
      </c>
      <c r="AA4025" s="4">
        <v>28.57</v>
      </c>
      <c r="AB4025" s="3" t="s">
        <v>56</v>
      </c>
      <c r="AC4025" s="3" t="s">
        <v>13858</v>
      </c>
      <c r="AD4025" s="9">
        <v>43879</v>
      </c>
      <c r="AE4025" s="3" t="s">
        <v>1912</v>
      </c>
      <c r="AF4025" s="3" t="s">
        <v>982</v>
      </c>
      <c r="AG4025" s="3" t="s">
        <v>2246</v>
      </c>
      <c r="AH4025" s="11">
        <f>HYPERLINK("https://my.pitchbook.com?c=132431-50T","View Company Online")</f>
      </c>
    </row>
    <row r="4026">
      <c r="A4026" s="12" t="s">
        <v>20105</v>
      </c>
      <c r="B4026" s="12" t="s">
        <v>11544</v>
      </c>
      <c r="C4026" s="19" t="s">
        <v>36</v>
      </c>
      <c r="D4026" s="19" t="s">
        <v>36</v>
      </c>
      <c r="E4026" s="19" t="s">
        <v>36</v>
      </c>
      <c r="F4026" s="19" t="s">
        <v>36</v>
      </c>
      <c r="G4026" s="15" t="s">
        <v>36</v>
      </c>
      <c r="H4026" s="14">
        <v>1213.1</v>
      </c>
      <c r="I4026" s="18">
        <v>13.37</v>
      </c>
      <c r="J4026" s="12" t="s">
        <v>521</v>
      </c>
      <c r="K4026" s="13" t="s">
        <v>36</v>
      </c>
      <c r="L4026" s="15" t="s">
        <v>36</v>
      </c>
      <c r="M4026" s="12" t="s">
        <v>36</v>
      </c>
      <c r="N4026" s="12" t="s">
        <v>36</v>
      </c>
      <c r="O4026" s="17" t="s">
        <v>36</v>
      </c>
      <c r="P4026" s="12" t="s">
        <v>36</v>
      </c>
      <c r="Q4026" s="12" t="s">
        <v>36</v>
      </c>
      <c r="R4026" s="12" t="s">
        <v>36</v>
      </c>
      <c r="S4026" s="12" t="s">
        <v>36</v>
      </c>
      <c r="T4026" s="12" t="s">
        <v>62</v>
      </c>
      <c r="U4026" s="12" t="s">
        <v>63</v>
      </c>
      <c r="V4026" s="12" t="s">
        <v>64</v>
      </c>
      <c r="W4026" s="12" t="s">
        <v>11545</v>
      </c>
      <c r="X4026" s="16" t="s">
        <v>20106</v>
      </c>
      <c r="Y4026" s="15" t="s">
        <v>55</v>
      </c>
      <c r="Z4026" s="14">
        <v>2.2</v>
      </c>
      <c r="AA4026" s="14">
        <v>10.11</v>
      </c>
      <c r="AB4026" s="12" t="s">
        <v>56</v>
      </c>
      <c r="AC4026" s="12" t="s">
        <v>11547</v>
      </c>
      <c r="AD4026" s="13">
        <v>43878</v>
      </c>
      <c r="AE4026" s="12" t="s">
        <v>68</v>
      </c>
      <c r="AF4026" s="12" t="s">
        <v>36</v>
      </c>
      <c r="AG4026" s="12" t="s">
        <v>81</v>
      </c>
      <c r="AH4026" s="1">
        <f>HYPERLINK("https://my.pitchbook.com?c=132121-90T","View Company Online")</f>
      </c>
    </row>
    <row r="4027">
      <c r="A4027" s="3" t="s">
        <v>20107</v>
      </c>
      <c r="B4027" s="3" t="s">
        <v>11842</v>
      </c>
      <c r="C4027" s="5" t="s">
        <v>36</v>
      </c>
      <c r="D4027" s="5" t="s">
        <v>36</v>
      </c>
      <c r="E4027" s="5" t="s">
        <v>36</v>
      </c>
      <c r="F4027" s="5" t="s">
        <v>36</v>
      </c>
      <c r="G4027" s="6" t="s">
        <v>36</v>
      </c>
      <c r="H4027" s="4" t="s">
        <v>36</v>
      </c>
      <c r="I4027" s="7">
        <v>24.87</v>
      </c>
      <c r="J4027" s="3" t="s">
        <v>327</v>
      </c>
      <c r="K4027" s="9" t="s">
        <v>36</v>
      </c>
      <c r="L4027" s="6" t="s">
        <v>36</v>
      </c>
      <c r="M4027" s="3" t="s">
        <v>36</v>
      </c>
      <c r="N4027" s="3" t="s">
        <v>36</v>
      </c>
      <c r="O4027" s="8" t="s">
        <v>36</v>
      </c>
      <c r="P4027" s="3" t="s">
        <v>36</v>
      </c>
      <c r="Q4027" s="3" t="s">
        <v>36</v>
      </c>
      <c r="R4027" s="3" t="s">
        <v>36</v>
      </c>
      <c r="S4027" s="3" t="s">
        <v>36</v>
      </c>
      <c r="T4027" s="3" t="s">
        <v>1048</v>
      </c>
      <c r="U4027" s="3" t="s">
        <v>423</v>
      </c>
      <c r="V4027" s="3" t="s">
        <v>64</v>
      </c>
      <c r="W4027" s="3" t="s">
        <v>11843</v>
      </c>
      <c r="X4027" s="10" t="s">
        <v>20108</v>
      </c>
      <c r="Y4027" s="6" t="s">
        <v>42</v>
      </c>
      <c r="Z4027" s="4">
        <v>1.65</v>
      </c>
      <c r="AA4027" s="4">
        <v>6.63</v>
      </c>
      <c r="AB4027" s="3" t="s">
        <v>56</v>
      </c>
      <c r="AC4027" s="3" t="s">
        <v>11845</v>
      </c>
      <c r="AD4027" s="9">
        <v>43878</v>
      </c>
      <c r="AE4027" s="3" t="s">
        <v>1051</v>
      </c>
      <c r="AF4027" s="3" t="s">
        <v>4397</v>
      </c>
      <c r="AG4027" s="3" t="s">
        <v>11846</v>
      </c>
      <c r="AH4027" s="11">
        <f>HYPERLINK("https://my.pitchbook.com?c=138359-62T","View Company Online")</f>
      </c>
    </row>
    <row r="4028">
      <c r="A4028" s="12" t="s">
        <v>20109</v>
      </c>
      <c r="B4028" s="12" t="s">
        <v>10801</v>
      </c>
      <c r="C4028" s="19" t="s">
        <v>36</v>
      </c>
      <c r="D4028" s="19" t="s">
        <v>36</v>
      </c>
      <c r="E4028" s="19">
        <v>1</v>
      </c>
      <c r="F4028" s="19">
        <v>1</v>
      </c>
      <c r="G4028" s="15" t="s">
        <v>326</v>
      </c>
      <c r="H4028" s="14">
        <v>166.17</v>
      </c>
      <c r="I4028" s="18">
        <v>17.07</v>
      </c>
      <c r="J4028" s="12" t="s">
        <v>521</v>
      </c>
      <c r="K4028" s="13" t="s">
        <v>36</v>
      </c>
      <c r="L4028" s="15" t="s">
        <v>36</v>
      </c>
      <c r="M4028" s="12" t="s">
        <v>36</v>
      </c>
      <c r="N4028" s="12" t="s">
        <v>36</v>
      </c>
      <c r="O4028" s="17" t="s">
        <v>36</v>
      </c>
      <c r="P4028" s="12" t="s">
        <v>36</v>
      </c>
      <c r="Q4028" s="12" t="s">
        <v>36</v>
      </c>
      <c r="R4028" s="12" t="s">
        <v>36</v>
      </c>
      <c r="S4028" s="12" t="s">
        <v>36</v>
      </c>
      <c r="T4028" s="12" t="s">
        <v>10802</v>
      </c>
      <c r="U4028" s="12" t="s">
        <v>438</v>
      </c>
      <c r="V4028" s="12" t="s">
        <v>405</v>
      </c>
      <c r="W4028" s="12" t="s">
        <v>10803</v>
      </c>
      <c r="X4028" s="16" t="s">
        <v>87</v>
      </c>
      <c r="Y4028" s="15" t="s">
        <v>108</v>
      </c>
      <c r="Z4028" s="14">
        <v>2.61</v>
      </c>
      <c r="AA4028" s="14">
        <v>15.29</v>
      </c>
      <c r="AB4028" s="12" t="s">
        <v>43</v>
      </c>
      <c r="AC4028" s="12" t="s">
        <v>10804</v>
      </c>
      <c r="AD4028" s="13">
        <v>43875</v>
      </c>
      <c r="AE4028" s="12" t="s">
        <v>438</v>
      </c>
      <c r="AF4028" s="12" t="s">
        <v>331</v>
      </c>
      <c r="AG4028" s="12" t="s">
        <v>81</v>
      </c>
      <c r="AH4028" s="1">
        <f>HYPERLINK("https://my.pitchbook.com?c=224566-57T","View Company Online")</f>
      </c>
    </row>
    <row r="4029">
      <c r="A4029" s="3" t="s">
        <v>20110</v>
      </c>
      <c r="B4029" s="3" t="s">
        <v>20111</v>
      </c>
      <c r="C4029" s="5" t="s">
        <v>36</v>
      </c>
      <c r="D4029" s="5" t="s">
        <v>36</v>
      </c>
      <c r="E4029" s="5" t="s">
        <v>36</v>
      </c>
      <c r="F4029" s="5" t="s">
        <v>36</v>
      </c>
      <c r="G4029" s="6" t="s">
        <v>36</v>
      </c>
      <c r="H4029" s="4">
        <v>1.03</v>
      </c>
      <c r="I4029" s="7">
        <v>28.77</v>
      </c>
      <c r="J4029" s="3" t="s">
        <v>521</v>
      </c>
      <c r="K4029" s="9" t="s">
        <v>36</v>
      </c>
      <c r="L4029" s="6" t="s">
        <v>36</v>
      </c>
      <c r="M4029" s="3" t="s">
        <v>36</v>
      </c>
      <c r="N4029" s="3" t="s">
        <v>36</v>
      </c>
      <c r="O4029" s="8" t="s">
        <v>36</v>
      </c>
      <c r="P4029" s="3" t="s">
        <v>36</v>
      </c>
      <c r="Q4029" s="3" t="s">
        <v>36</v>
      </c>
      <c r="R4029" s="3" t="s">
        <v>36</v>
      </c>
      <c r="S4029" s="3" t="s">
        <v>36</v>
      </c>
      <c r="T4029" s="3" t="s">
        <v>1560</v>
      </c>
      <c r="U4029" s="3" t="s">
        <v>438</v>
      </c>
      <c r="V4029" s="3" t="s">
        <v>405</v>
      </c>
      <c r="W4029" s="3" t="s">
        <v>20112</v>
      </c>
      <c r="X4029" s="10" t="s">
        <v>221</v>
      </c>
      <c r="Y4029" s="6" t="s">
        <v>42</v>
      </c>
      <c r="Z4029" s="4">
        <v>0.04</v>
      </c>
      <c r="AA4029" s="4">
        <v>0.15</v>
      </c>
      <c r="AB4029" s="3" t="s">
        <v>43</v>
      </c>
      <c r="AC4029" s="3" t="s">
        <v>20113</v>
      </c>
      <c r="AD4029" s="9">
        <v>43874</v>
      </c>
      <c r="AE4029" s="3" t="s">
        <v>438</v>
      </c>
      <c r="AF4029" s="3" t="s">
        <v>176</v>
      </c>
      <c r="AG4029" s="3" t="s">
        <v>20114</v>
      </c>
      <c r="AH4029" s="11">
        <f>HYPERLINK("https://my.pitchbook.com?c=160339-33T","View Company Online")</f>
      </c>
    </row>
    <row r="4030">
      <c r="A4030" s="12" t="s">
        <v>20115</v>
      </c>
      <c r="B4030" s="12" t="s">
        <v>20116</v>
      </c>
      <c r="C4030" s="19">
        <v>1</v>
      </c>
      <c r="D4030" s="19">
        <v>2</v>
      </c>
      <c r="E4030" s="19">
        <v>1</v>
      </c>
      <c r="F4030" s="19">
        <v>3</v>
      </c>
      <c r="G4030" s="15" t="s">
        <v>36</v>
      </c>
      <c r="H4030" s="14" t="s">
        <v>36</v>
      </c>
      <c r="I4030" s="18" t="s">
        <v>36</v>
      </c>
      <c r="J4030" s="12" t="s">
        <v>36</v>
      </c>
      <c r="K4030" s="13" t="s">
        <v>36</v>
      </c>
      <c r="L4030" s="15" t="s">
        <v>94</v>
      </c>
      <c r="M4030" s="12" t="s">
        <v>36</v>
      </c>
      <c r="N4030" s="12" t="s">
        <v>94</v>
      </c>
      <c r="O4030" s="17" t="s">
        <v>36</v>
      </c>
      <c r="P4030" s="12" t="s">
        <v>36</v>
      </c>
      <c r="Q4030" s="12" t="s">
        <v>36</v>
      </c>
      <c r="R4030" s="12" t="s">
        <v>36</v>
      </c>
      <c r="S4030" s="12" t="s">
        <v>36</v>
      </c>
      <c r="T4030" s="12" t="s">
        <v>4917</v>
      </c>
      <c r="U4030" s="12" t="s">
        <v>38</v>
      </c>
      <c r="V4030" s="12" t="s">
        <v>39</v>
      </c>
      <c r="W4030" s="12" t="s">
        <v>20117</v>
      </c>
      <c r="X4030" s="16" t="s">
        <v>20118</v>
      </c>
      <c r="Y4030" s="15" t="s">
        <v>192</v>
      </c>
      <c r="Z4030" s="14">
        <v>36</v>
      </c>
      <c r="AA4030" s="14" t="s">
        <v>36</v>
      </c>
      <c r="AB4030" s="12" t="s">
        <v>56</v>
      </c>
      <c r="AC4030" s="12" t="s">
        <v>20119</v>
      </c>
      <c r="AD4030" s="13">
        <v>43873</v>
      </c>
      <c r="AE4030" s="12" t="s">
        <v>134</v>
      </c>
      <c r="AF4030" s="12" t="s">
        <v>7730</v>
      </c>
      <c r="AG4030" s="12" t="s">
        <v>81</v>
      </c>
      <c r="AH4030" s="1">
        <f>HYPERLINK("https://my.pitchbook.com?c=131761-63T","View Company Online")</f>
      </c>
    </row>
    <row r="4031">
      <c r="A4031" s="3" t="s">
        <v>20120</v>
      </c>
      <c r="B4031" s="3" t="s">
        <v>13165</v>
      </c>
      <c r="C4031" s="5">
        <v>1</v>
      </c>
      <c r="D4031" s="5">
        <v>10</v>
      </c>
      <c r="E4031" s="5">
        <v>3</v>
      </c>
      <c r="F4031" s="5">
        <v>11</v>
      </c>
      <c r="G4031" s="6" t="s">
        <v>326</v>
      </c>
      <c r="H4031" s="4">
        <v>99.81</v>
      </c>
      <c r="I4031" s="7">
        <v>10.42</v>
      </c>
      <c r="J4031" s="3" t="s">
        <v>521</v>
      </c>
      <c r="K4031" s="9" t="s">
        <v>36</v>
      </c>
      <c r="L4031" s="6" t="s">
        <v>36</v>
      </c>
      <c r="M4031" s="3" t="s">
        <v>36</v>
      </c>
      <c r="N4031" s="3" t="s">
        <v>36</v>
      </c>
      <c r="O4031" s="8" t="s">
        <v>36</v>
      </c>
      <c r="P4031" s="3" t="s">
        <v>36</v>
      </c>
      <c r="Q4031" s="3" t="s">
        <v>36</v>
      </c>
      <c r="R4031" s="3" t="s">
        <v>36</v>
      </c>
      <c r="S4031" s="3" t="s">
        <v>36</v>
      </c>
      <c r="T4031" s="3" t="s">
        <v>13166</v>
      </c>
      <c r="U4031" s="3" t="s">
        <v>85</v>
      </c>
      <c r="V4031" s="3" t="s">
        <v>64</v>
      </c>
      <c r="W4031" s="3" t="s">
        <v>13167</v>
      </c>
      <c r="X4031" s="10" t="s">
        <v>20121</v>
      </c>
      <c r="Y4031" s="6" t="s">
        <v>192</v>
      </c>
      <c r="Z4031" s="4">
        <v>1.94</v>
      </c>
      <c r="AA4031" s="4">
        <v>18.66</v>
      </c>
      <c r="AB4031" s="3" t="s">
        <v>43</v>
      </c>
      <c r="AC4031" s="3" t="s">
        <v>13169</v>
      </c>
      <c r="AD4031" s="9">
        <v>43873</v>
      </c>
      <c r="AE4031" s="3" t="s">
        <v>89</v>
      </c>
      <c r="AF4031" s="3" t="s">
        <v>13170</v>
      </c>
      <c r="AG4031" s="3" t="s">
        <v>81</v>
      </c>
      <c r="AH4031" s="11">
        <f>HYPERLINK("https://my.pitchbook.com?c=223991-29T","View Company Online")</f>
      </c>
    </row>
    <row r="4032">
      <c r="A4032" s="12" t="s">
        <v>20122</v>
      </c>
      <c r="B4032" s="12" t="s">
        <v>20123</v>
      </c>
      <c r="C4032" s="19" t="s">
        <v>36</v>
      </c>
      <c r="D4032" s="19" t="s">
        <v>36</v>
      </c>
      <c r="E4032" s="19" t="s">
        <v>36</v>
      </c>
      <c r="F4032" s="19" t="s">
        <v>36</v>
      </c>
      <c r="G4032" s="15" t="s">
        <v>36</v>
      </c>
      <c r="H4032" s="14">
        <v>246.14</v>
      </c>
      <c r="I4032" s="18">
        <v>11.28</v>
      </c>
      <c r="J4032" s="12" t="s">
        <v>521</v>
      </c>
      <c r="K4032" s="13" t="s">
        <v>36</v>
      </c>
      <c r="L4032" s="15" t="s">
        <v>36</v>
      </c>
      <c r="M4032" s="12" t="s">
        <v>36</v>
      </c>
      <c r="N4032" s="12" t="s">
        <v>36</v>
      </c>
      <c r="O4032" s="17" t="s">
        <v>36</v>
      </c>
      <c r="P4032" s="12" t="s">
        <v>36</v>
      </c>
      <c r="Q4032" s="12" t="s">
        <v>36</v>
      </c>
      <c r="R4032" s="12" t="s">
        <v>36</v>
      </c>
      <c r="S4032" s="12" t="s">
        <v>36</v>
      </c>
      <c r="T4032" s="12" t="s">
        <v>11802</v>
      </c>
      <c r="U4032" s="12" t="s">
        <v>74</v>
      </c>
      <c r="V4032" s="12" t="s">
        <v>75</v>
      </c>
      <c r="W4032" s="12" t="s">
        <v>20124</v>
      </c>
      <c r="X4032" s="16" t="s">
        <v>7099</v>
      </c>
      <c r="Y4032" s="15" t="s">
        <v>42</v>
      </c>
      <c r="Z4032" s="14">
        <v>0.13</v>
      </c>
      <c r="AA4032" s="14">
        <v>1.12</v>
      </c>
      <c r="AB4032" s="12" t="s">
        <v>56</v>
      </c>
      <c r="AC4032" s="12" t="s">
        <v>20125</v>
      </c>
      <c r="AD4032" s="13">
        <v>43873</v>
      </c>
      <c r="AE4032" s="12" t="s">
        <v>1888</v>
      </c>
      <c r="AF4032" s="12" t="s">
        <v>36</v>
      </c>
      <c r="AG4032" s="12" t="s">
        <v>20126</v>
      </c>
      <c r="AH4032" s="1">
        <f>HYPERLINK("https://my.pitchbook.com?c=204505-30T","View Company Online")</f>
      </c>
    </row>
    <row r="4033">
      <c r="A4033" s="3" t="s">
        <v>20127</v>
      </c>
      <c r="B4033" s="3" t="s">
        <v>18541</v>
      </c>
      <c r="C4033" s="5" t="s">
        <v>36</v>
      </c>
      <c r="D4033" s="5" t="s">
        <v>36</v>
      </c>
      <c r="E4033" s="5" t="s">
        <v>36</v>
      </c>
      <c r="F4033" s="5" t="s">
        <v>36</v>
      </c>
      <c r="G4033" s="6" t="s">
        <v>36</v>
      </c>
      <c r="H4033" s="4">
        <v>220.18</v>
      </c>
      <c r="I4033" s="7">
        <v>13.04</v>
      </c>
      <c r="J4033" s="3" t="s">
        <v>521</v>
      </c>
      <c r="K4033" s="9" t="s">
        <v>36</v>
      </c>
      <c r="L4033" s="6" t="s">
        <v>36</v>
      </c>
      <c r="M4033" s="3" t="s">
        <v>36</v>
      </c>
      <c r="N4033" s="3" t="s">
        <v>36</v>
      </c>
      <c r="O4033" s="8" t="s">
        <v>36</v>
      </c>
      <c r="P4033" s="3" t="s">
        <v>36</v>
      </c>
      <c r="Q4033" s="3" t="s">
        <v>36</v>
      </c>
      <c r="R4033" s="3" t="s">
        <v>36</v>
      </c>
      <c r="S4033" s="3" t="s">
        <v>36</v>
      </c>
      <c r="T4033" s="3" t="s">
        <v>522</v>
      </c>
      <c r="U4033" s="3" t="s">
        <v>38</v>
      </c>
      <c r="V4033" s="3" t="s">
        <v>39</v>
      </c>
      <c r="W4033" s="3" t="s">
        <v>18542</v>
      </c>
      <c r="X4033" s="10" t="s">
        <v>20128</v>
      </c>
      <c r="Y4033" s="6" t="s">
        <v>192</v>
      </c>
      <c r="Z4033" s="4">
        <v>8.73</v>
      </c>
      <c r="AA4033" s="4">
        <v>66.94</v>
      </c>
      <c r="AB4033" s="3" t="s">
        <v>56</v>
      </c>
      <c r="AC4033" s="3" t="s">
        <v>18544</v>
      </c>
      <c r="AD4033" s="9">
        <v>43872</v>
      </c>
      <c r="AE4033" s="3" t="s">
        <v>110</v>
      </c>
      <c r="AF4033" s="3" t="s">
        <v>6214</v>
      </c>
      <c r="AG4033" s="3" t="s">
        <v>81</v>
      </c>
      <c r="AH4033" s="11">
        <f>HYPERLINK("https://my.pitchbook.com?c=173921-95T","View Company Online")</f>
      </c>
    </row>
    <row r="4034">
      <c r="A4034" s="12" t="s">
        <v>20129</v>
      </c>
      <c r="B4034" s="12" t="s">
        <v>9275</v>
      </c>
      <c r="C4034" s="19">
        <v>17</v>
      </c>
      <c r="D4034" s="19">
        <v>10</v>
      </c>
      <c r="E4034" s="19">
        <v>6</v>
      </c>
      <c r="F4034" s="19">
        <v>29</v>
      </c>
      <c r="G4034" s="15" t="s">
        <v>326</v>
      </c>
      <c r="H4034" s="14">
        <v>82.91</v>
      </c>
      <c r="I4034" s="18">
        <v>47.41</v>
      </c>
      <c r="J4034" s="12" t="s">
        <v>521</v>
      </c>
      <c r="K4034" s="13">
        <v>43720</v>
      </c>
      <c r="L4034" s="15" t="s">
        <v>94</v>
      </c>
      <c r="M4034" s="12" t="s">
        <v>36</v>
      </c>
      <c r="N4034" s="12" t="s">
        <v>94</v>
      </c>
      <c r="O4034" s="17" t="s">
        <v>36</v>
      </c>
      <c r="P4034" s="12" t="s">
        <v>36</v>
      </c>
      <c r="Q4034" s="12" t="s">
        <v>36</v>
      </c>
      <c r="R4034" s="12" t="s">
        <v>36</v>
      </c>
      <c r="S4034" s="12" t="s">
        <v>36</v>
      </c>
      <c r="T4034" s="12" t="s">
        <v>881</v>
      </c>
      <c r="U4034" s="12" t="s">
        <v>51</v>
      </c>
      <c r="V4034" s="12" t="s">
        <v>52</v>
      </c>
      <c r="W4034" s="12" t="s">
        <v>9276</v>
      </c>
      <c r="X4034" s="16" t="s">
        <v>20130</v>
      </c>
      <c r="Y4034" s="15" t="s">
        <v>55</v>
      </c>
      <c r="Z4034" s="14">
        <v>64.09</v>
      </c>
      <c r="AA4034" s="14">
        <v>61.91</v>
      </c>
      <c r="AB4034" s="12" t="s">
        <v>56</v>
      </c>
      <c r="AC4034" s="12" t="s">
        <v>9278</v>
      </c>
      <c r="AD4034" s="13">
        <v>43872</v>
      </c>
      <c r="AE4034" s="12" t="s">
        <v>504</v>
      </c>
      <c r="AF4034" s="12" t="s">
        <v>159</v>
      </c>
      <c r="AG4034" s="12" t="s">
        <v>81</v>
      </c>
      <c r="AH4034" s="1">
        <f>HYPERLINK("https://my.pitchbook.com?c=123286-87T","View Company Online")</f>
      </c>
    </row>
    <row r="4035">
      <c r="A4035" s="3" t="s">
        <v>20131</v>
      </c>
      <c r="B4035" s="3" t="s">
        <v>20132</v>
      </c>
      <c r="C4035" s="5">
        <v>1</v>
      </c>
      <c r="D4035" s="5">
        <v>1</v>
      </c>
      <c r="E4035" s="5">
        <v>1</v>
      </c>
      <c r="F4035" s="5">
        <v>5</v>
      </c>
      <c r="G4035" s="6" t="s">
        <v>326</v>
      </c>
      <c r="H4035" s="4">
        <v>789.31</v>
      </c>
      <c r="I4035" s="7">
        <v>28.56</v>
      </c>
      <c r="J4035" s="3" t="s">
        <v>521</v>
      </c>
      <c r="K4035" s="9" t="s">
        <v>36</v>
      </c>
      <c r="L4035" s="6" t="s">
        <v>36</v>
      </c>
      <c r="M4035" s="3" t="s">
        <v>36</v>
      </c>
      <c r="N4035" s="3" t="s">
        <v>36</v>
      </c>
      <c r="O4035" s="8" t="s">
        <v>36</v>
      </c>
      <c r="P4035" s="3" t="s">
        <v>36</v>
      </c>
      <c r="Q4035" s="3" t="s">
        <v>36</v>
      </c>
      <c r="R4035" s="3" t="s">
        <v>36</v>
      </c>
      <c r="S4035" s="3" t="s">
        <v>36</v>
      </c>
      <c r="T4035" s="3" t="s">
        <v>20133</v>
      </c>
      <c r="U4035" s="3" t="s">
        <v>219</v>
      </c>
      <c r="V4035" s="3" t="s">
        <v>75</v>
      </c>
      <c r="W4035" s="3" t="s">
        <v>20134</v>
      </c>
      <c r="X4035" s="10" t="s">
        <v>20135</v>
      </c>
      <c r="Y4035" s="6" t="s">
        <v>108</v>
      </c>
      <c r="Z4035" s="4">
        <v>0.44</v>
      </c>
      <c r="AA4035" s="4">
        <v>1.55</v>
      </c>
      <c r="AB4035" s="3" t="s">
        <v>43</v>
      </c>
      <c r="AC4035" s="3" t="s">
        <v>20136</v>
      </c>
      <c r="AD4035" s="9">
        <v>43872</v>
      </c>
      <c r="AE4035" s="3" t="s">
        <v>223</v>
      </c>
      <c r="AF4035" s="3" t="s">
        <v>11839</v>
      </c>
      <c r="AG4035" s="3" t="s">
        <v>20137</v>
      </c>
      <c r="AH4035" s="11">
        <f>HYPERLINK("https://my.pitchbook.com?c=204499-00T","View Company Online")</f>
      </c>
    </row>
    <row r="4036">
      <c r="A4036" s="12" t="s">
        <v>20138</v>
      </c>
      <c r="B4036" s="12" t="s">
        <v>20139</v>
      </c>
      <c r="C4036" s="19" t="s">
        <v>36</v>
      </c>
      <c r="D4036" s="19" t="s">
        <v>36</v>
      </c>
      <c r="E4036" s="19" t="s">
        <v>36</v>
      </c>
      <c r="F4036" s="19" t="s">
        <v>36</v>
      </c>
      <c r="G4036" s="15" t="s">
        <v>326</v>
      </c>
      <c r="H4036" s="14">
        <v>22.13</v>
      </c>
      <c r="I4036" s="18">
        <v>8.3</v>
      </c>
      <c r="J4036" s="12" t="s">
        <v>521</v>
      </c>
      <c r="K4036" s="13" t="s">
        <v>36</v>
      </c>
      <c r="L4036" s="15" t="s">
        <v>36</v>
      </c>
      <c r="M4036" s="12" t="s">
        <v>36</v>
      </c>
      <c r="N4036" s="12" t="s">
        <v>36</v>
      </c>
      <c r="O4036" s="17" t="s">
        <v>36</v>
      </c>
      <c r="P4036" s="12" t="s">
        <v>36</v>
      </c>
      <c r="Q4036" s="12" t="s">
        <v>36</v>
      </c>
      <c r="R4036" s="12" t="s">
        <v>36</v>
      </c>
      <c r="S4036" s="12" t="s">
        <v>36</v>
      </c>
      <c r="T4036" s="12" t="s">
        <v>20140</v>
      </c>
      <c r="U4036" s="12" t="s">
        <v>38</v>
      </c>
      <c r="V4036" s="12" t="s">
        <v>39</v>
      </c>
      <c r="W4036" s="12" t="s">
        <v>20141</v>
      </c>
      <c r="X4036" s="16" t="s">
        <v>20142</v>
      </c>
      <c r="Y4036" s="15" t="s">
        <v>55</v>
      </c>
      <c r="Z4036" s="14">
        <v>0.72</v>
      </c>
      <c r="AA4036" s="14">
        <v>8.68</v>
      </c>
      <c r="AB4036" s="12" t="s">
        <v>56</v>
      </c>
      <c r="AC4036" s="12" t="s">
        <v>20143</v>
      </c>
      <c r="AD4036" s="13">
        <v>43872</v>
      </c>
      <c r="AE4036" s="12" t="s">
        <v>1330</v>
      </c>
      <c r="AF4036" s="12" t="s">
        <v>815</v>
      </c>
      <c r="AG4036" s="12" t="s">
        <v>144</v>
      </c>
      <c r="AH4036" s="1">
        <f>HYPERLINK("https://my.pitchbook.com?c=189796-78T","View Company Online")</f>
      </c>
    </row>
    <row r="4037">
      <c r="A4037" s="3" t="s">
        <v>20144</v>
      </c>
      <c r="B4037" s="3" t="s">
        <v>20145</v>
      </c>
      <c r="C4037" s="5">
        <v>1</v>
      </c>
      <c r="D4037" s="5" t="s">
        <v>36</v>
      </c>
      <c r="E4037" s="5">
        <v>1</v>
      </c>
      <c r="F4037" s="5">
        <v>1</v>
      </c>
      <c r="G4037" s="6" t="s">
        <v>36</v>
      </c>
      <c r="H4037" s="4">
        <v>83.76</v>
      </c>
      <c r="I4037" s="7">
        <v>27.1</v>
      </c>
      <c r="J4037" s="3" t="s">
        <v>521</v>
      </c>
      <c r="K4037" s="9" t="s">
        <v>36</v>
      </c>
      <c r="L4037" s="6" t="s">
        <v>36</v>
      </c>
      <c r="M4037" s="3" t="s">
        <v>36</v>
      </c>
      <c r="N4037" s="3" t="s">
        <v>36</v>
      </c>
      <c r="O4037" s="8" t="s">
        <v>36</v>
      </c>
      <c r="P4037" s="3" t="s">
        <v>36</v>
      </c>
      <c r="Q4037" s="3" t="s">
        <v>36</v>
      </c>
      <c r="R4037" s="3" t="s">
        <v>36</v>
      </c>
      <c r="S4037" s="3" t="s">
        <v>36</v>
      </c>
      <c r="T4037" s="3" t="s">
        <v>20146</v>
      </c>
      <c r="U4037" s="3" t="s">
        <v>318</v>
      </c>
      <c r="V4037" s="3" t="s">
        <v>39</v>
      </c>
      <c r="W4037" s="3" t="s">
        <v>20147</v>
      </c>
      <c r="X4037" s="10" t="s">
        <v>20148</v>
      </c>
      <c r="Y4037" s="6" t="s">
        <v>108</v>
      </c>
      <c r="Z4037" s="4">
        <v>1.66</v>
      </c>
      <c r="AA4037" s="4">
        <v>4.51</v>
      </c>
      <c r="AB4037" s="3" t="s">
        <v>43</v>
      </c>
      <c r="AC4037" s="3" t="s">
        <v>20149</v>
      </c>
      <c r="AD4037" s="9">
        <v>43872</v>
      </c>
      <c r="AE4037" s="3" t="s">
        <v>763</v>
      </c>
      <c r="AF4037" s="3" t="s">
        <v>20150</v>
      </c>
      <c r="AG4037" s="3" t="s">
        <v>1843</v>
      </c>
      <c r="AH4037" s="11">
        <f>HYPERLINK("https://my.pitchbook.com?c=136480-69T","View Company Online")</f>
      </c>
    </row>
    <row r="4038">
      <c r="A4038" s="12" t="s">
        <v>20151</v>
      </c>
      <c r="B4038" s="12" t="s">
        <v>470</v>
      </c>
      <c r="C4038" s="19" t="s">
        <v>36</v>
      </c>
      <c r="D4038" s="19" t="s">
        <v>36</v>
      </c>
      <c r="E4038" s="19" t="s">
        <v>36</v>
      </c>
      <c r="F4038" s="19" t="s">
        <v>36</v>
      </c>
      <c r="G4038" s="15" t="s">
        <v>36</v>
      </c>
      <c r="H4038" s="14">
        <v>23.96</v>
      </c>
      <c r="I4038" s="18">
        <v>33.33</v>
      </c>
      <c r="J4038" s="12" t="s">
        <v>521</v>
      </c>
      <c r="K4038" s="13">
        <v>43818</v>
      </c>
      <c r="L4038" s="15" t="s">
        <v>94</v>
      </c>
      <c r="M4038" s="12" t="s">
        <v>36</v>
      </c>
      <c r="N4038" s="12" t="s">
        <v>94</v>
      </c>
      <c r="O4038" s="17" t="s">
        <v>36</v>
      </c>
      <c r="P4038" s="12" t="s">
        <v>36</v>
      </c>
      <c r="Q4038" s="12" t="s">
        <v>36</v>
      </c>
      <c r="R4038" s="12" t="s">
        <v>36</v>
      </c>
      <c r="S4038" s="12" t="s">
        <v>36</v>
      </c>
      <c r="T4038" s="12" t="s">
        <v>472</v>
      </c>
      <c r="U4038" s="12" t="s">
        <v>38</v>
      </c>
      <c r="V4038" s="12" t="s">
        <v>39</v>
      </c>
      <c r="W4038" s="12" t="s">
        <v>473</v>
      </c>
      <c r="X4038" s="16" t="s">
        <v>20152</v>
      </c>
      <c r="Y4038" s="15" t="s">
        <v>55</v>
      </c>
      <c r="Z4038" s="14">
        <v>21.12</v>
      </c>
      <c r="AA4038" s="14">
        <v>63.36</v>
      </c>
      <c r="AB4038" s="12" t="s">
        <v>56</v>
      </c>
      <c r="AC4038" s="12" t="s">
        <v>476</v>
      </c>
      <c r="AD4038" s="13">
        <v>43872</v>
      </c>
      <c r="AE4038" s="12" t="s">
        <v>110</v>
      </c>
      <c r="AF4038" s="12" t="s">
        <v>477</v>
      </c>
      <c r="AG4038" s="12" t="s">
        <v>81</v>
      </c>
      <c r="AH4038" s="1">
        <f>HYPERLINK("https://my.pitchbook.com?c=131029-93T","View Company Online")</f>
      </c>
    </row>
    <row r="4039">
      <c r="A4039" s="3" t="s">
        <v>20153</v>
      </c>
      <c r="B4039" s="3" t="s">
        <v>4174</v>
      </c>
      <c r="C4039" s="5">
        <v>19</v>
      </c>
      <c r="D4039" s="5">
        <v>18</v>
      </c>
      <c r="E4039" s="5">
        <v>11</v>
      </c>
      <c r="F4039" s="5">
        <v>39</v>
      </c>
      <c r="G4039" s="6" t="s">
        <v>326</v>
      </c>
      <c r="H4039" s="4">
        <v>249.26</v>
      </c>
      <c r="I4039" s="7">
        <v>34.56</v>
      </c>
      <c r="J4039" s="3" t="s">
        <v>521</v>
      </c>
      <c r="K4039" s="9" t="s">
        <v>36</v>
      </c>
      <c r="L4039" s="6" t="s">
        <v>94</v>
      </c>
      <c r="M4039" s="3" t="s">
        <v>36</v>
      </c>
      <c r="N4039" s="3" t="s">
        <v>94</v>
      </c>
      <c r="O4039" s="8" t="s">
        <v>36</v>
      </c>
      <c r="P4039" s="3" t="s">
        <v>36</v>
      </c>
      <c r="Q4039" s="3" t="s">
        <v>36</v>
      </c>
      <c r="R4039" s="3" t="s">
        <v>36</v>
      </c>
      <c r="S4039" s="3" t="s">
        <v>36</v>
      </c>
      <c r="T4039" s="3" t="s">
        <v>4175</v>
      </c>
      <c r="U4039" s="3" t="s">
        <v>51</v>
      </c>
      <c r="V4039" s="3" t="s">
        <v>52</v>
      </c>
      <c r="W4039" s="3" t="s">
        <v>4176</v>
      </c>
      <c r="X4039" s="10" t="s">
        <v>20154</v>
      </c>
      <c r="Y4039" s="6" t="s">
        <v>55</v>
      </c>
      <c r="Z4039" s="4">
        <v>22.1</v>
      </c>
      <c r="AA4039" s="4">
        <v>63.94</v>
      </c>
      <c r="AB4039" s="3" t="s">
        <v>56</v>
      </c>
      <c r="AC4039" s="3" t="s">
        <v>4178</v>
      </c>
      <c r="AD4039" s="9">
        <v>43872</v>
      </c>
      <c r="AE4039" s="3" t="s">
        <v>58</v>
      </c>
      <c r="AF4039" s="3" t="s">
        <v>3193</v>
      </c>
      <c r="AG4039" s="3" t="s">
        <v>4179</v>
      </c>
      <c r="AH4039" s="11">
        <f>HYPERLINK("https://my.pitchbook.com?c=131703-76T","View Company Online")</f>
      </c>
    </row>
    <row r="4040">
      <c r="A4040" s="12" t="s">
        <v>20155</v>
      </c>
      <c r="B4040" s="12" t="s">
        <v>15351</v>
      </c>
      <c r="C4040" s="19" t="s">
        <v>36</v>
      </c>
      <c r="D4040" s="19" t="s">
        <v>36</v>
      </c>
      <c r="E4040" s="19" t="s">
        <v>36</v>
      </c>
      <c r="F4040" s="19" t="s">
        <v>36</v>
      </c>
      <c r="G4040" s="15" t="s">
        <v>36</v>
      </c>
      <c r="H4040" s="14">
        <v>129.82</v>
      </c>
      <c r="I4040" s="18">
        <v>16.67</v>
      </c>
      <c r="J4040" s="12" t="s">
        <v>521</v>
      </c>
      <c r="K4040" s="13" t="s">
        <v>36</v>
      </c>
      <c r="L4040" s="15" t="s">
        <v>36</v>
      </c>
      <c r="M4040" s="12" t="s">
        <v>36</v>
      </c>
      <c r="N4040" s="12" t="s">
        <v>36</v>
      </c>
      <c r="O4040" s="17" t="s">
        <v>36</v>
      </c>
      <c r="P4040" s="12" t="s">
        <v>36</v>
      </c>
      <c r="Q4040" s="12" t="s">
        <v>36</v>
      </c>
      <c r="R4040" s="12" t="s">
        <v>36</v>
      </c>
      <c r="S4040" s="12" t="s">
        <v>36</v>
      </c>
      <c r="T4040" s="12" t="s">
        <v>2986</v>
      </c>
      <c r="U4040" s="12" t="s">
        <v>38</v>
      </c>
      <c r="V4040" s="12" t="s">
        <v>39</v>
      </c>
      <c r="W4040" s="12" t="s">
        <v>15352</v>
      </c>
      <c r="X4040" s="16" t="s">
        <v>20156</v>
      </c>
      <c r="Y4040" s="15" t="s">
        <v>42</v>
      </c>
      <c r="Z4040" s="14">
        <v>0.22</v>
      </c>
      <c r="AA4040" s="14">
        <v>1.33</v>
      </c>
      <c r="AB4040" s="12" t="s">
        <v>43</v>
      </c>
      <c r="AC4040" s="12" t="s">
        <v>15354</v>
      </c>
      <c r="AD4040" s="13">
        <v>43871</v>
      </c>
      <c r="AE4040" s="12" t="s">
        <v>45</v>
      </c>
      <c r="AF4040" s="12" t="s">
        <v>1986</v>
      </c>
      <c r="AG4040" s="12" t="s">
        <v>5718</v>
      </c>
      <c r="AH4040" s="1">
        <f>HYPERLINK("https://my.pitchbook.com?c=244762-03T","View Company Online")</f>
      </c>
    </row>
    <row r="4041">
      <c r="A4041" s="3" t="s">
        <v>20157</v>
      </c>
      <c r="B4041" s="3" t="s">
        <v>20158</v>
      </c>
      <c r="C4041" s="5" t="s">
        <v>36</v>
      </c>
      <c r="D4041" s="5">
        <v>6</v>
      </c>
      <c r="E4041" s="5">
        <v>3</v>
      </c>
      <c r="F4041" s="5">
        <v>6</v>
      </c>
      <c r="G4041" s="6" t="s">
        <v>326</v>
      </c>
      <c r="H4041" s="4">
        <v>521.14</v>
      </c>
      <c r="I4041" s="7">
        <v>23.13</v>
      </c>
      <c r="J4041" s="3" t="s">
        <v>521</v>
      </c>
      <c r="K4041" s="9" t="s">
        <v>36</v>
      </c>
      <c r="L4041" s="6" t="s">
        <v>122</v>
      </c>
      <c r="M4041" s="3" t="s">
        <v>36</v>
      </c>
      <c r="N4041" s="3" t="s">
        <v>122</v>
      </c>
      <c r="O4041" s="8" t="s">
        <v>36</v>
      </c>
      <c r="P4041" s="3" t="s">
        <v>36</v>
      </c>
      <c r="Q4041" s="3" t="s">
        <v>36</v>
      </c>
      <c r="R4041" s="3" t="s">
        <v>36</v>
      </c>
      <c r="S4041" s="3" t="s">
        <v>36</v>
      </c>
      <c r="T4041" s="3" t="s">
        <v>20159</v>
      </c>
      <c r="U4041" s="3" t="s">
        <v>318</v>
      </c>
      <c r="V4041" s="3" t="s">
        <v>39</v>
      </c>
      <c r="W4041" s="3" t="s">
        <v>20160</v>
      </c>
      <c r="X4041" s="10" t="s">
        <v>20161</v>
      </c>
      <c r="Y4041" s="6" t="s">
        <v>108</v>
      </c>
      <c r="Z4041" s="4">
        <v>3.32</v>
      </c>
      <c r="AA4041" s="4">
        <v>9.56</v>
      </c>
      <c r="AB4041" s="3" t="s">
        <v>43</v>
      </c>
      <c r="AC4041" s="3" t="s">
        <v>20162</v>
      </c>
      <c r="AD4041" s="9">
        <v>43871</v>
      </c>
      <c r="AE4041" s="3" t="s">
        <v>417</v>
      </c>
      <c r="AF4041" s="3" t="s">
        <v>12243</v>
      </c>
      <c r="AG4041" s="3" t="s">
        <v>81</v>
      </c>
      <c r="AH4041" s="11">
        <f>HYPERLINK("https://my.pitchbook.com?c=131727-07T","View Company Online")</f>
      </c>
    </row>
    <row r="4042">
      <c r="A4042" s="12" t="s">
        <v>20163</v>
      </c>
      <c r="B4042" s="12" t="s">
        <v>10718</v>
      </c>
      <c r="C4042" s="19">
        <v>5</v>
      </c>
      <c r="D4042" s="19">
        <v>6</v>
      </c>
      <c r="E4042" s="19">
        <v>7</v>
      </c>
      <c r="F4042" s="19">
        <v>14</v>
      </c>
      <c r="G4042" s="15" t="s">
        <v>326</v>
      </c>
      <c r="H4042" s="14">
        <v>1.8</v>
      </c>
      <c r="I4042" s="18">
        <v>9.77</v>
      </c>
      <c r="J4042" s="12" t="s">
        <v>521</v>
      </c>
      <c r="K4042" s="13" t="s">
        <v>36</v>
      </c>
      <c r="L4042" s="15" t="s">
        <v>122</v>
      </c>
      <c r="M4042" s="12" t="s">
        <v>36</v>
      </c>
      <c r="N4042" s="12" t="s">
        <v>122</v>
      </c>
      <c r="O4042" s="17" t="s">
        <v>36</v>
      </c>
      <c r="P4042" s="12" t="s">
        <v>36</v>
      </c>
      <c r="Q4042" s="12" t="s">
        <v>36</v>
      </c>
      <c r="R4042" s="12" t="s">
        <v>36</v>
      </c>
      <c r="S4042" s="12" t="s">
        <v>36</v>
      </c>
      <c r="T4042" s="12" t="s">
        <v>818</v>
      </c>
      <c r="U4042" s="12" t="s">
        <v>74</v>
      </c>
      <c r="V4042" s="12" t="s">
        <v>75</v>
      </c>
      <c r="W4042" s="12" t="s">
        <v>10719</v>
      </c>
      <c r="X4042" s="16" t="s">
        <v>20164</v>
      </c>
      <c r="Y4042" s="15" t="s">
        <v>192</v>
      </c>
      <c r="Z4042" s="14">
        <v>4.98</v>
      </c>
      <c r="AA4042" s="14">
        <v>50.91</v>
      </c>
      <c r="AB4042" s="12" t="s">
        <v>56</v>
      </c>
      <c r="AC4042" s="12" t="s">
        <v>10721</v>
      </c>
      <c r="AD4042" s="13">
        <v>43871</v>
      </c>
      <c r="AE4042" s="12" t="s">
        <v>570</v>
      </c>
      <c r="AF4042" s="12" t="s">
        <v>10722</v>
      </c>
      <c r="AG4042" s="12" t="s">
        <v>81</v>
      </c>
      <c r="AH4042" s="1">
        <f>HYPERLINK("https://my.pitchbook.com?c=131634-55T","View Company Online")</f>
      </c>
    </row>
    <row r="4043">
      <c r="A4043" s="3" t="s">
        <v>20165</v>
      </c>
      <c r="B4043" s="3" t="s">
        <v>20166</v>
      </c>
      <c r="C4043" s="5" t="s">
        <v>36</v>
      </c>
      <c r="D4043" s="5" t="s">
        <v>36</v>
      </c>
      <c r="E4043" s="5" t="s">
        <v>36</v>
      </c>
      <c r="F4043" s="5" t="s">
        <v>36</v>
      </c>
      <c r="G4043" s="6" t="s">
        <v>36</v>
      </c>
      <c r="H4043" s="4">
        <v>13.85</v>
      </c>
      <c r="I4043" s="7">
        <v>20.31</v>
      </c>
      <c r="J4043" s="3" t="s">
        <v>521</v>
      </c>
      <c r="K4043" s="9" t="s">
        <v>36</v>
      </c>
      <c r="L4043" s="6" t="s">
        <v>36</v>
      </c>
      <c r="M4043" s="3" t="s">
        <v>36</v>
      </c>
      <c r="N4043" s="3" t="s">
        <v>36</v>
      </c>
      <c r="O4043" s="8" t="s">
        <v>36</v>
      </c>
      <c r="P4043" s="3" t="s">
        <v>36</v>
      </c>
      <c r="Q4043" s="3" t="s">
        <v>36</v>
      </c>
      <c r="R4043" s="3" t="s">
        <v>36</v>
      </c>
      <c r="S4043" s="3" t="s">
        <v>36</v>
      </c>
      <c r="T4043" s="3" t="s">
        <v>10642</v>
      </c>
      <c r="U4043" s="3" t="s">
        <v>833</v>
      </c>
      <c r="V4043" s="3" t="s">
        <v>64</v>
      </c>
      <c r="W4043" s="3" t="s">
        <v>20167</v>
      </c>
      <c r="X4043" s="10" t="s">
        <v>20168</v>
      </c>
      <c r="Y4043" s="6" t="s">
        <v>42</v>
      </c>
      <c r="Z4043" s="4">
        <v>0.56</v>
      </c>
      <c r="AA4043" s="4">
        <v>2.78</v>
      </c>
      <c r="AB4043" s="3" t="s">
        <v>43</v>
      </c>
      <c r="AC4043" s="3" t="s">
        <v>20169</v>
      </c>
      <c r="AD4043" s="9">
        <v>43871</v>
      </c>
      <c r="AE4043" s="3" t="s">
        <v>1687</v>
      </c>
      <c r="AF4043" s="3" t="s">
        <v>90</v>
      </c>
      <c r="AG4043" s="3" t="s">
        <v>81</v>
      </c>
      <c r="AH4043" s="11">
        <f>HYPERLINK("https://my.pitchbook.com?c=132820-30T","View Company Online")</f>
      </c>
    </row>
    <row r="4044">
      <c r="A4044" s="12" t="s">
        <v>20170</v>
      </c>
      <c r="B4044" s="12" t="s">
        <v>17088</v>
      </c>
      <c r="C4044" s="19" t="s">
        <v>36</v>
      </c>
      <c r="D4044" s="19" t="s">
        <v>36</v>
      </c>
      <c r="E4044" s="19" t="s">
        <v>36</v>
      </c>
      <c r="F4044" s="19" t="s">
        <v>36</v>
      </c>
      <c r="G4044" s="15" t="s">
        <v>36</v>
      </c>
      <c r="H4044" s="14">
        <v>1924.15</v>
      </c>
      <c r="I4044" s="18">
        <v>42.1</v>
      </c>
      <c r="J4044" s="12" t="s">
        <v>521</v>
      </c>
      <c r="K4044" s="13" t="s">
        <v>36</v>
      </c>
      <c r="L4044" s="15" t="s">
        <v>36</v>
      </c>
      <c r="M4044" s="12" t="s">
        <v>36</v>
      </c>
      <c r="N4044" s="12" t="s">
        <v>36</v>
      </c>
      <c r="O4044" s="17" t="s">
        <v>36</v>
      </c>
      <c r="P4044" s="12" t="s">
        <v>36</v>
      </c>
      <c r="Q4044" s="12" t="s">
        <v>36</v>
      </c>
      <c r="R4044" s="12" t="s">
        <v>36</v>
      </c>
      <c r="S4044" s="12" t="s">
        <v>36</v>
      </c>
      <c r="T4044" s="12" t="s">
        <v>1701</v>
      </c>
      <c r="U4044" s="12" t="s">
        <v>74</v>
      </c>
      <c r="V4044" s="12" t="s">
        <v>75</v>
      </c>
      <c r="W4044" s="12" t="s">
        <v>17089</v>
      </c>
      <c r="X4044" s="16" t="s">
        <v>20171</v>
      </c>
      <c r="Y4044" s="15" t="s">
        <v>42</v>
      </c>
      <c r="Z4044" s="14">
        <v>2.21</v>
      </c>
      <c r="AA4044" s="14">
        <v>3.54</v>
      </c>
      <c r="AB4044" s="12" t="s">
        <v>43</v>
      </c>
      <c r="AC4044" s="12" t="s">
        <v>17091</v>
      </c>
      <c r="AD4044" s="13">
        <v>43871</v>
      </c>
      <c r="AE4044" s="12" t="s">
        <v>79</v>
      </c>
      <c r="AF4044" s="12" t="s">
        <v>80</v>
      </c>
      <c r="AG4044" s="12" t="s">
        <v>1843</v>
      </c>
      <c r="AH4044" s="1">
        <f>HYPERLINK("https://my.pitchbook.com?c=132241-96T","View Company Online")</f>
      </c>
    </row>
    <row r="4045">
      <c r="A4045" s="3" t="s">
        <v>20172</v>
      </c>
      <c r="B4045" s="3" t="s">
        <v>20173</v>
      </c>
      <c r="C4045" s="5">
        <v>1</v>
      </c>
      <c r="D4045" s="5">
        <v>2</v>
      </c>
      <c r="E4045" s="5">
        <v>3</v>
      </c>
      <c r="F4045" s="5">
        <v>7</v>
      </c>
      <c r="G4045" s="6" t="s">
        <v>326</v>
      </c>
      <c r="H4045" s="4">
        <v>40.5</v>
      </c>
      <c r="I4045" s="7">
        <v>33.52</v>
      </c>
      <c r="J4045" s="3" t="s">
        <v>521</v>
      </c>
      <c r="K4045" s="9" t="s">
        <v>36</v>
      </c>
      <c r="L4045" s="6" t="s">
        <v>36</v>
      </c>
      <c r="M4045" s="3" t="s">
        <v>36</v>
      </c>
      <c r="N4045" s="3" t="s">
        <v>36</v>
      </c>
      <c r="O4045" s="8" t="s">
        <v>36</v>
      </c>
      <c r="P4045" s="3" t="s">
        <v>36</v>
      </c>
      <c r="Q4045" s="3" t="s">
        <v>36</v>
      </c>
      <c r="R4045" s="3" t="s">
        <v>36</v>
      </c>
      <c r="S4045" s="3" t="s">
        <v>36</v>
      </c>
      <c r="T4045" s="3" t="s">
        <v>2241</v>
      </c>
      <c r="U4045" s="3" t="s">
        <v>318</v>
      </c>
      <c r="V4045" s="3" t="s">
        <v>39</v>
      </c>
      <c r="W4045" s="3" t="s">
        <v>20174</v>
      </c>
      <c r="X4045" s="10" t="s">
        <v>20175</v>
      </c>
      <c r="Y4045" s="6" t="s">
        <v>42</v>
      </c>
      <c r="Z4045" s="4">
        <v>2.16</v>
      </c>
      <c r="AA4045" s="4">
        <v>6.44</v>
      </c>
      <c r="AB4045" s="3" t="s">
        <v>56</v>
      </c>
      <c r="AC4045" s="3" t="s">
        <v>20176</v>
      </c>
      <c r="AD4045" s="9">
        <v>43868</v>
      </c>
      <c r="AE4045" s="3" t="s">
        <v>763</v>
      </c>
      <c r="AF4045" s="3" t="s">
        <v>90</v>
      </c>
      <c r="AG4045" s="3" t="s">
        <v>3733</v>
      </c>
      <c r="AH4045" s="11">
        <f>HYPERLINK("https://my.pitchbook.com?c=133150-69T","View Company Online")</f>
      </c>
    </row>
    <row r="4046">
      <c r="A4046" s="12" t="s">
        <v>20177</v>
      </c>
      <c r="B4046" s="12" t="s">
        <v>8816</v>
      </c>
      <c r="C4046" s="19" t="s">
        <v>36</v>
      </c>
      <c r="D4046" s="19" t="s">
        <v>36</v>
      </c>
      <c r="E4046" s="19" t="s">
        <v>36</v>
      </c>
      <c r="F4046" s="19" t="s">
        <v>36</v>
      </c>
      <c r="G4046" s="15" t="s">
        <v>36</v>
      </c>
      <c r="H4046" s="14" t="s">
        <v>36</v>
      </c>
      <c r="I4046" s="18" t="s">
        <v>36</v>
      </c>
      <c r="J4046" s="12" t="s">
        <v>36</v>
      </c>
      <c r="K4046" s="13" t="s">
        <v>36</v>
      </c>
      <c r="L4046" s="15" t="s">
        <v>36</v>
      </c>
      <c r="M4046" s="12" t="s">
        <v>36</v>
      </c>
      <c r="N4046" s="12" t="s">
        <v>36</v>
      </c>
      <c r="O4046" s="17" t="s">
        <v>36</v>
      </c>
      <c r="P4046" s="12" t="s">
        <v>36</v>
      </c>
      <c r="Q4046" s="12" t="s">
        <v>36</v>
      </c>
      <c r="R4046" s="12" t="s">
        <v>36</v>
      </c>
      <c r="S4046" s="12" t="s">
        <v>36</v>
      </c>
      <c r="T4046" s="12" t="s">
        <v>8817</v>
      </c>
      <c r="U4046" s="12" t="s">
        <v>366</v>
      </c>
      <c r="V4046" s="12" t="s">
        <v>367</v>
      </c>
      <c r="W4046" s="12" t="s">
        <v>8818</v>
      </c>
      <c r="X4046" s="16" t="s">
        <v>18277</v>
      </c>
      <c r="Y4046" s="15" t="s">
        <v>108</v>
      </c>
      <c r="Z4046" s="14">
        <v>6</v>
      </c>
      <c r="AA4046" s="14" t="s">
        <v>36</v>
      </c>
      <c r="AB4046" s="12" t="s">
        <v>43</v>
      </c>
      <c r="AC4046" s="12" t="s">
        <v>8820</v>
      </c>
      <c r="AD4046" s="13">
        <v>43868</v>
      </c>
      <c r="AE4046" s="12" t="s">
        <v>600</v>
      </c>
      <c r="AF4046" s="12" t="s">
        <v>982</v>
      </c>
      <c r="AG4046" s="12" t="s">
        <v>8821</v>
      </c>
      <c r="AH4046" s="1">
        <f>HYPERLINK("https://my.pitchbook.com?c=214976-44T","View Company Online")</f>
      </c>
    </row>
    <row r="4047">
      <c r="A4047" s="3" t="s">
        <v>20178</v>
      </c>
      <c r="B4047" s="3" t="s">
        <v>20179</v>
      </c>
      <c r="C4047" s="5" t="s">
        <v>36</v>
      </c>
      <c r="D4047" s="5" t="s">
        <v>36</v>
      </c>
      <c r="E4047" s="5" t="s">
        <v>36</v>
      </c>
      <c r="F4047" s="5" t="s">
        <v>36</v>
      </c>
      <c r="G4047" s="6" t="s">
        <v>326</v>
      </c>
      <c r="H4047" s="4">
        <v>454.65</v>
      </c>
      <c r="I4047" s="7">
        <v>31.04</v>
      </c>
      <c r="J4047" s="3" t="s">
        <v>521</v>
      </c>
      <c r="K4047" s="9">
        <v>43709</v>
      </c>
      <c r="L4047" s="6" t="s">
        <v>36</v>
      </c>
      <c r="M4047" s="3" t="s">
        <v>36</v>
      </c>
      <c r="N4047" s="3" t="s">
        <v>36</v>
      </c>
      <c r="O4047" s="8" t="s">
        <v>36</v>
      </c>
      <c r="P4047" s="3" t="s">
        <v>36</v>
      </c>
      <c r="Q4047" s="3" t="s">
        <v>36</v>
      </c>
      <c r="R4047" s="3" t="s">
        <v>36</v>
      </c>
      <c r="S4047" s="3" t="s">
        <v>20180</v>
      </c>
      <c r="T4047" s="3" t="s">
        <v>2490</v>
      </c>
      <c r="U4047" s="3" t="s">
        <v>318</v>
      </c>
      <c r="V4047" s="3" t="s">
        <v>39</v>
      </c>
      <c r="W4047" s="3" t="s">
        <v>20181</v>
      </c>
      <c r="X4047" s="10" t="s">
        <v>20182</v>
      </c>
      <c r="Y4047" s="6" t="s">
        <v>55</v>
      </c>
      <c r="Z4047" s="4">
        <v>6.13</v>
      </c>
      <c r="AA4047" s="4">
        <v>19.75</v>
      </c>
      <c r="AB4047" s="3" t="s">
        <v>56</v>
      </c>
      <c r="AC4047" s="3" t="s">
        <v>20183</v>
      </c>
      <c r="AD4047" s="9">
        <v>43867</v>
      </c>
      <c r="AE4047" s="3" t="s">
        <v>417</v>
      </c>
      <c r="AF4047" s="3" t="s">
        <v>6234</v>
      </c>
      <c r="AG4047" s="3" t="s">
        <v>8217</v>
      </c>
      <c r="AH4047" s="11">
        <f>HYPERLINK("https://my.pitchbook.com?c=131463-82T","View Company Online")</f>
      </c>
    </row>
    <row r="4048">
      <c r="A4048" s="12" t="s">
        <v>20184</v>
      </c>
      <c r="B4048" s="12" t="s">
        <v>20185</v>
      </c>
      <c r="C4048" s="19" t="s">
        <v>36</v>
      </c>
      <c r="D4048" s="19">
        <v>2</v>
      </c>
      <c r="E4048" s="19">
        <v>1</v>
      </c>
      <c r="F4048" s="19">
        <v>3</v>
      </c>
      <c r="G4048" s="15" t="s">
        <v>326</v>
      </c>
      <c r="H4048" s="14">
        <v>202.52</v>
      </c>
      <c r="I4048" s="18">
        <v>7.43</v>
      </c>
      <c r="J4048" s="12" t="s">
        <v>521</v>
      </c>
      <c r="K4048" s="13" t="s">
        <v>36</v>
      </c>
      <c r="L4048" s="15" t="s">
        <v>36</v>
      </c>
      <c r="M4048" s="12" t="s">
        <v>36</v>
      </c>
      <c r="N4048" s="12" t="s">
        <v>36</v>
      </c>
      <c r="O4048" s="17" t="s">
        <v>36</v>
      </c>
      <c r="P4048" s="12" t="s">
        <v>36</v>
      </c>
      <c r="Q4048" s="12" t="s">
        <v>36</v>
      </c>
      <c r="R4048" s="12" t="s">
        <v>36</v>
      </c>
      <c r="S4048" s="12" t="s">
        <v>36</v>
      </c>
      <c r="T4048" s="12" t="s">
        <v>20186</v>
      </c>
      <c r="U4048" s="12" t="s">
        <v>833</v>
      </c>
      <c r="V4048" s="12" t="s">
        <v>64</v>
      </c>
      <c r="W4048" s="12" t="s">
        <v>20187</v>
      </c>
      <c r="X4048" s="16" t="s">
        <v>15311</v>
      </c>
      <c r="Y4048" s="15" t="s">
        <v>42</v>
      </c>
      <c r="Z4048" s="14">
        <v>0.14</v>
      </c>
      <c r="AA4048" s="14">
        <v>1.91</v>
      </c>
      <c r="AB4048" s="12" t="s">
        <v>56</v>
      </c>
      <c r="AC4048" s="12" t="s">
        <v>20188</v>
      </c>
      <c r="AD4048" s="13">
        <v>43867</v>
      </c>
      <c r="AE4048" s="12" t="s">
        <v>1069</v>
      </c>
      <c r="AF4048" s="12" t="s">
        <v>20189</v>
      </c>
      <c r="AG4048" s="12" t="s">
        <v>81</v>
      </c>
      <c r="AH4048" s="1">
        <f>HYPERLINK("https://my.pitchbook.com?c=190279-99T","View Company Online")</f>
      </c>
    </row>
    <row r="4049">
      <c r="A4049" s="3" t="s">
        <v>20190</v>
      </c>
      <c r="B4049" s="3" t="s">
        <v>20191</v>
      </c>
      <c r="C4049" s="5" t="s">
        <v>36</v>
      </c>
      <c r="D4049" s="5" t="s">
        <v>36</v>
      </c>
      <c r="E4049" s="5" t="s">
        <v>36</v>
      </c>
      <c r="F4049" s="5" t="s">
        <v>36</v>
      </c>
      <c r="G4049" s="6" t="s">
        <v>326</v>
      </c>
      <c r="H4049" s="4">
        <v>1695.62</v>
      </c>
      <c r="I4049" s="7">
        <v>14.48</v>
      </c>
      <c r="J4049" s="3" t="s">
        <v>521</v>
      </c>
      <c r="K4049" s="9" t="s">
        <v>36</v>
      </c>
      <c r="L4049" s="6" t="s">
        <v>36</v>
      </c>
      <c r="M4049" s="3" t="s">
        <v>36</v>
      </c>
      <c r="N4049" s="3" t="s">
        <v>36</v>
      </c>
      <c r="O4049" s="8" t="s">
        <v>36</v>
      </c>
      <c r="P4049" s="3" t="s">
        <v>36</v>
      </c>
      <c r="Q4049" s="3" t="s">
        <v>36</v>
      </c>
      <c r="R4049" s="3" t="s">
        <v>36</v>
      </c>
      <c r="S4049" s="3" t="s">
        <v>36</v>
      </c>
      <c r="T4049" s="3" t="s">
        <v>20192</v>
      </c>
      <c r="U4049" s="3" t="s">
        <v>279</v>
      </c>
      <c r="V4049" s="3" t="s">
        <v>64</v>
      </c>
      <c r="W4049" s="3" t="s">
        <v>20193</v>
      </c>
      <c r="X4049" s="10" t="s">
        <v>20194</v>
      </c>
      <c r="Y4049" s="6" t="s">
        <v>42</v>
      </c>
      <c r="Z4049" s="4">
        <v>0.33</v>
      </c>
      <c r="AA4049" s="4">
        <v>2.3</v>
      </c>
      <c r="AB4049" s="3" t="s">
        <v>43</v>
      </c>
      <c r="AC4049" s="3" t="s">
        <v>20195</v>
      </c>
      <c r="AD4049" s="9">
        <v>43866</v>
      </c>
      <c r="AE4049" s="3" t="s">
        <v>8519</v>
      </c>
      <c r="AF4049" s="3" t="s">
        <v>1077</v>
      </c>
      <c r="AG4049" s="3" t="s">
        <v>81</v>
      </c>
      <c r="AH4049" s="11">
        <f>HYPERLINK("https://my.pitchbook.com?c=190676-71T","View Company Online")</f>
      </c>
    </row>
    <row r="4050">
      <c r="A4050" s="12" t="s">
        <v>20196</v>
      </c>
      <c r="B4050" s="12" t="s">
        <v>20197</v>
      </c>
      <c r="C4050" s="19" t="s">
        <v>36</v>
      </c>
      <c r="D4050" s="19">
        <v>3</v>
      </c>
      <c r="E4050" s="19">
        <v>1</v>
      </c>
      <c r="F4050" s="19">
        <v>6</v>
      </c>
      <c r="G4050" s="15" t="s">
        <v>2497</v>
      </c>
      <c r="H4050" s="14">
        <v>28.59</v>
      </c>
      <c r="I4050" s="18">
        <v>50.75</v>
      </c>
      <c r="J4050" s="12" t="s">
        <v>521</v>
      </c>
      <c r="K4050" s="13" t="s">
        <v>36</v>
      </c>
      <c r="L4050" s="15" t="s">
        <v>36</v>
      </c>
      <c r="M4050" s="12" t="s">
        <v>36</v>
      </c>
      <c r="N4050" s="12" t="s">
        <v>36</v>
      </c>
      <c r="O4050" s="17" t="s">
        <v>36</v>
      </c>
      <c r="P4050" s="12" t="s">
        <v>36</v>
      </c>
      <c r="Q4050" s="12" t="s">
        <v>36</v>
      </c>
      <c r="R4050" s="12" t="s">
        <v>36</v>
      </c>
      <c r="S4050" s="12" t="s">
        <v>36</v>
      </c>
      <c r="T4050" s="12" t="s">
        <v>20198</v>
      </c>
      <c r="U4050" s="12" t="s">
        <v>51</v>
      </c>
      <c r="V4050" s="12" t="s">
        <v>52</v>
      </c>
      <c r="W4050" s="12" t="s">
        <v>20199</v>
      </c>
      <c r="X4050" s="16" t="s">
        <v>20200</v>
      </c>
      <c r="Y4050" s="15" t="s">
        <v>192</v>
      </c>
      <c r="Z4050" s="14">
        <v>9.48</v>
      </c>
      <c r="AA4050" s="14">
        <v>18.68</v>
      </c>
      <c r="AB4050" s="12" t="s">
        <v>56</v>
      </c>
      <c r="AC4050" s="12" t="s">
        <v>20201</v>
      </c>
      <c r="AD4050" s="13">
        <v>43866</v>
      </c>
      <c r="AE4050" s="12" t="s">
        <v>158</v>
      </c>
      <c r="AF4050" s="12" t="s">
        <v>579</v>
      </c>
      <c r="AG4050" s="12" t="s">
        <v>47</v>
      </c>
      <c r="AH4050" s="1">
        <f>HYPERLINK("https://my.pitchbook.com?c=131722-75T","View Company Online")</f>
      </c>
    </row>
    <row r="4051">
      <c r="A4051" s="3" t="s">
        <v>20202</v>
      </c>
      <c r="B4051" s="3" t="s">
        <v>20203</v>
      </c>
      <c r="C4051" s="5" t="s">
        <v>36</v>
      </c>
      <c r="D4051" s="5" t="s">
        <v>36</v>
      </c>
      <c r="E4051" s="5" t="s">
        <v>36</v>
      </c>
      <c r="F4051" s="5" t="s">
        <v>36</v>
      </c>
      <c r="G4051" s="6" t="s">
        <v>36</v>
      </c>
      <c r="H4051" s="4">
        <v>8.57</v>
      </c>
      <c r="I4051" s="7">
        <v>10.84</v>
      </c>
      <c r="J4051" s="3" t="s">
        <v>521</v>
      </c>
      <c r="K4051" s="9" t="s">
        <v>36</v>
      </c>
      <c r="L4051" s="6" t="s">
        <v>36</v>
      </c>
      <c r="M4051" s="3" t="s">
        <v>36</v>
      </c>
      <c r="N4051" s="3" t="s">
        <v>36</v>
      </c>
      <c r="O4051" s="8" t="s">
        <v>36</v>
      </c>
      <c r="P4051" s="3" t="s">
        <v>36</v>
      </c>
      <c r="Q4051" s="3" t="s">
        <v>36</v>
      </c>
      <c r="R4051" s="3" t="s">
        <v>36</v>
      </c>
      <c r="S4051" s="3" t="s">
        <v>36</v>
      </c>
      <c r="T4051" s="3" t="s">
        <v>20204</v>
      </c>
      <c r="U4051" s="3" t="s">
        <v>1580</v>
      </c>
      <c r="V4051" s="3" t="s">
        <v>39</v>
      </c>
      <c r="W4051" s="3" t="s">
        <v>20205</v>
      </c>
      <c r="X4051" s="10" t="s">
        <v>20206</v>
      </c>
      <c r="Y4051" s="6" t="s">
        <v>42</v>
      </c>
      <c r="Z4051" s="4">
        <v>0.25</v>
      </c>
      <c r="AA4051" s="4">
        <v>2.3</v>
      </c>
      <c r="AB4051" s="3" t="s">
        <v>43</v>
      </c>
      <c r="AC4051" s="3" t="s">
        <v>20207</v>
      </c>
      <c r="AD4051" s="9">
        <v>43866</v>
      </c>
      <c r="AE4051" s="3" t="s">
        <v>4086</v>
      </c>
      <c r="AF4051" s="3" t="s">
        <v>7294</v>
      </c>
      <c r="AG4051" s="3" t="s">
        <v>12901</v>
      </c>
      <c r="AH4051" s="11">
        <f>HYPERLINK("https://my.pitchbook.com?c=135793-09T","View Company Online")</f>
      </c>
    </row>
    <row r="4052">
      <c r="A4052" s="12" t="s">
        <v>20208</v>
      </c>
      <c r="B4052" s="12" t="s">
        <v>20209</v>
      </c>
      <c r="C4052" s="19">
        <v>9</v>
      </c>
      <c r="D4052" s="19">
        <v>20</v>
      </c>
      <c r="E4052" s="19">
        <v>7</v>
      </c>
      <c r="F4052" s="19">
        <v>29</v>
      </c>
      <c r="G4052" s="15" t="s">
        <v>36</v>
      </c>
      <c r="H4052" s="14">
        <v>47.16</v>
      </c>
      <c r="I4052" s="18">
        <v>23</v>
      </c>
      <c r="J4052" s="12" t="s">
        <v>521</v>
      </c>
      <c r="K4052" s="13" t="s">
        <v>36</v>
      </c>
      <c r="L4052" s="15" t="s">
        <v>36</v>
      </c>
      <c r="M4052" s="12" t="s">
        <v>36</v>
      </c>
      <c r="N4052" s="12" t="s">
        <v>36</v>
      </c>
      <c r="O4052" s="17" t="s">
        <v>36</v>
      </c>
      <c r="P4052" s="12" t="s">
        <v>36</v>
      </c>
      <c r="Q4052" s="12" t="s">
        <v>36</v>
      </c>
      <c r="R4052" s="12" t="s">
        <v>36</v>
      </c>
      <c r="S4052" s="12" t="s">
        <v>36</v>
      </c>
      <c r="T4052" s="12" t="s">
        <v>20210</v>
      </c>
      <c r="U4052" s="12" t="s">
        <v>619</v>
      </c>
      <c r="V4052" s="12" t="s">
        <v>378</v>
      </c>
      <c r="W4052" s="12" t="s">
        <v>20211</v>
      </c>
      <c r="X4052" s="16" t="s">
        <v>20212</v>
      </c>
      <c r="Y4052" s="15" t="s">
        <v>42</v>
      </c>
      <c r="Z4052" s="14">
        <v>1.66</v>
      </c>
      <c r="AA4052" s="14">
        <v>7.23</v>
      </c>
      <c r="AB4052" s="12" t="s">
        <v>43</v>
      </c>
      <c r="AC4052" s="12" t="s">
        <v>20213</v>
      </c>
      <c r="AD4052" s="13">
        <v>43866</v>
      </c>
      <c r="AE4052" s="12" t="s">
        <v>623</v>
      </c>
      <c r="AF4052" s="12" t="s">
        <v>20214</v>
      </c>
      <c r="AG4052" s="12" t="s">
        <v>186</v>
      </c>
      <c r="AH4052" s="1">
        <f>HYPERLINK("https://my.pitchbook.com?c=133635-52T","View Company Online")</f>
      </c>
    </row>
    <row r="4053">
      <c r="A4053" s="3" t="s">
        <v>20215</v>
      </c>
      <c r="B4053" s="3" t="s">
        <v>20216</v>
      </c>
      <c r="C4053" s="5" t="s">
        <v>36</v>
      </c>
      <c r="D4053" s="5" t="s">
        <v>36</v>
      </c>
      <c r="E4053" s="5" t="s">
        <v>36</v>
      </c>
      <c r="F4053" s="5" t="s">
        <v>36</v>
      </c>
      <c r="G4053" s="6" t="s">
        <v>36</v>
      </c>
      <c r="H4053" s="4">
        <v>155.78</v>
      </c>
      <c r="I4053" s="7">
        <v>31.79</v>
      </c>
      <c r="J4053" s="3" t="s">
        <v>521</v>
      </c>
      <c r="K4053" s="9" t="s">
        <v>36</v>
      </c>
      <c r="L4053" s="6" t="s">
        <v>36</v>
      </c>
      <c r="M4053" s="3" t="s">
        <v>36</v>
      </c>
      <c r="N4053" s="3" t="s">
        <v>36</v>
      </c>
      <c r="O4053" s="8" t="s">
        <v>36</v>
      </c>
      <c r="P4053" s="3" t="s">
        <v>36</v>
      </c>
      <c r="Q4053" s="3" t="s">
        <v>36</v>
      </c>
      <c r="R4053" s="3" t="s">
        <v>36</v>
      </c>
      <c r="S4053" s="3" t="s">
        <v>36</v>
      </c>
      <c r="T4053" s="3" t="s">
        <v>2044</v>
      </c>
      <c r="U4053" s="3" t="s">
        <v>74</v>
      </c>
      <c r="V4053" s="3" t="s">
        <v>75</v>
      </c>
      <c r="W4053" s="3" t="s">
        <v>20217</v>
      </c>
      <c r="X4053" s="10" t="s">
        <v>1872</v>
      </c>
      <c r="Y4053" s="6" t="s">
        <v>42</v>
      </c>
      <c r="Z4053" s="4">
        <v>0.08</v>
      </c>
      <c r="AA4053" s="4">
        <v>0.24</v>
      </c>
      <c r="AB4053" s="3" t="s">
        <v>56</v>
      </c>
      <c r="AC4053" s="3" t="s">
        <v>20218</v>
      </c>
      <c r="AD4053" s="9">
        <v>43866</v>
      </c>
      <c r="AE4053" s="3" t="s">
        <v>79</v>
      </c>
      <c r="AF4053" s="3" t="s">
        <v>3904</v>
      </c>
      <c r="AG4053" s="3" t="s">
        <v>741</v>
      </c>
      <c r="AH4053" s="11">
        <f>HYPERLINK("https://my.pitchbook.com?c=207180-01T","View Company Online")</f>
      </c>
    </row>
    <row r="4054">
      <c r="A4054" s="12" t="s">
        <v>20219</v>
      </c>
      <c r="B4054" s="12" t="s">
        <v>20220</v>
      </c>
      <c r="C4054" s="19" t="s">
        <v>36</v>
      </c>
      <c r="D4054" s="19" t="s">
        <v>36</v>
      </c>
      <c r="E4054" s="19" t="s">
        <v>36</v>
      </c>
      <c r="F4054" s="19" t="s">
        <v>36</v>
      </c>
      <c r="G4054" s="15" t="s">
        <v>2497</v>
      </c>
      <c r="H4054" s="14">
        <v>33.23</v>
      </c>
      <c r="I4054" s="18">
        <v>10.64</v>
      </c>
      <c r="J4054" s="12" t="s">
        <v>521</v>
      </c>
      <c r="K4054" s="13" t="s">
        <v>36</v>
      </c>
      <c r="L4054" s="15" t="s">
        <v>36</v>
      </c>
      <c r="M4054" s="12" t="s">
        <v>36</v>
      </c>
      <c r="N4054" s="12" t="s">
        <v>36</v>
      </c>
      <c r="O4054" s="17" t="s">
        <v>36</v>
      </c>
      <c r="P4054" s="12" t="s">
        <v>36</v>
      </c>
      <c r="Q4054" s="12" t="s">
        <v>36</v>
      </c>
      <c r="R4054" s="12" t="s">
        <v>36</v>
      </c>
      <c r="S4054" s="12" t="s">
        <v>36</v>
      </c>
      <c r="T4054" s="12" t="s">
        <v>2044</v>
      </c>
      <c r="U4054" s="12" t="s">
        <v>74</v>
      </c>
      <c r="V4054" s="12" t="s">
        <v>75</v>
      </c>
      <c r="W4054" s="12" t="s">
        <v>20221</v>
      </c>
      <c r="X4054" s="16" t="s">
        <v>20222</v>
      </c>
      <c r="Y4054" s="15" t="s">
        <v>108</v>
      </c>
      <c r="Z4054" s="14">
        <v>0.55</v>
      </c>
      <c r="AA4054" s="14">
        <v>5.21</v>
      </c>
      <c r="AB4054" s="12" t="s">
        <v>43</v>
      </c>
      <c r="AC4054" s="12" t="s">
        <v>20223</v>
      </c>
      <c r="AD4054" s="13">
        <v>43866</v>
      </c>
      <c r="AE4054" s="12" t="s">
        <v>79</v>
      </c>
      <c r="AF4054" s="12" t="s">
        <v>3063</v>
      </c>
      <c r="AG4054" s="12" t="s">
        <v>899</v>
      </c>
      <c r="AH4054" s="1">
        <f>HYPERLINK("https://my.pitchbook.com?c=155956-42T","View Company Online")</f>
      </c>
    </row>
    <row r="4055">
      <c r="A4055" s="3" t="s">
        <v>20224</v>
      </c>
      <c r="B4055" s="3" t="s">
        <v>13248</v>
      </c>
      <c r="C4055" s="5" t="s">
        <v>36</v>
      </c>
      <c r="D4055" s="5" t="s">
        <v>36</v>
      </c>
      <c r="E4055" s="5" t="s">
        <v>36</v>
      </c>
      <c r="F4055" s="5" t="s">
        <v>36</v>
      </c>
      <c r="G4055" s="6" t="s">
        <v>326</v>
      </c>
      <c r="H4055" s="4" t="s">
        <v>36</v>
      </c>
      <c r="I4055" s="7">
        <v>27.42</v>
      </c>
      <c r="J4055" s="3" t="s">
        <v>327</v>
      </c>
      <c r="K4055" s="9">
        <v>43587</v>
      </c>
      <c r="L4055" s="6" t="s">
        <v>122</v>
      </c>
      <c r="M4055" s="3" t="s">
        <v>36</v>
      </c>
      <c r="N4055" s="3" t="s">
        <v>122</v>
      </c>
      <c r="O4055" s="8" t="s">
        <v>36</v>
      </c>
      <c r="P4055" s="3" t="s">
        <v>36</v>
      </c>
      <c r="Q4055" s="3" t="s">
        <v>36</v>
      </c>
      <c r="R4055" s="3" t="s">
        <v>36</v>
      </c>
      <c r="S4055" s="3" t="s">
        <v>36</v>
      </c>
      <c r="T4055" s="3" t="s">
        <v>13249</v>
      </c>
      <c r="U4055" s="3" t="s">
        <v>74</v>
      </c>
      <c r="V4055" s="3" t="s">
        <v>75</v>
      </c>
      <c r="W4055" s="3" t="s">
        <v>13250</v>
      </c>
      <c r="X4055" s="10" t="s">
        <v>20225</v>
      </c>
      <c r="Y4055" s="6" t="s">
        <v>108</v>
      </c>
      <c r="Z4055" s="4">
        <v>10.09</v>
      </c>
      <c r="AA4055" s="4">
        <v>36.8</v>
      </c>
      <c r="AB4055" s="3" t="s">
        <v>43</v>
      </c>
      <c r="AC4055" s="3" t="s">
        <v>13252</v>
      </c>
      <c r="AD4055" s="9">
        <v>43865</v>
      </c>
      <c r="AE4055" s="3" t="s">
        <v>3144</v>
      </c>
      <c r="AF4055" s="3" t="s">
        <v>168</v>
      </c>
      <c r="AG4055" s="3" t="s">
        <v>81</v>
      </c>
      <c r="AH4055" s="11">
        <f>HYPERLINK("https://my.pitchbook.com?c=131242-15T","View Company Online")</f>
      </c>
    </row>
    <row r="4056">
      <c r="A4056" s="12" t="s">
        <v>20226</v>
      </c>
      <c r="B4056" s="12" t="s">
        <v>8400</v>
      </c>
      <c r="C4056" s="19" t="s">
        <v>36</v>
      </c>
      <c r="D4056" s="19" t="s">
        <v>36</v>
      </c>
      <c r="E4056" s="19" t="s">
        <v>36</v>
      </c>
      <c r="F4056" s="19" t="s">
        <v>36</v>
      </c>
      <c r="G4056" s="15" t="s">
        <v>36</v>
      </c>
      <c r="H4056" s="14">
        <v>2023.68</v>
      </c>
      <c r="I4056" s="18">
        <v>31.76</v>
      </c>
      <c r="J4056" s="12" t="s">
        <v>521</v>
      </c>
      <c r="K4056" s="13">
        <v>43742</v>
      </c>
      <c r="L4056" s="15" t="s">
        <v>122</v>
      </c>
      <c r="M4056" s="12" t="s">
        <v>36</v>
      </c>
      <c r="N4056" s="12" t="s">
        <v>122</v>
      </c>
      <c r="O4056" s="17" t="s">
        <v>36</v>
      </c>
      <c r="P4056" s="12" t="s">
        <v>36</v>
      </c>
      <c r="Q4056" s="12" t="s">
        <v>36</v>
      </c>
      <c r="R4056" s="12" t="s">
        <v>36</v>
      </c>
      <c r="S4056" s="12" t="s">
        <v>36</v>
      </c>
      <c r="T4056" s="12" t="s">
        <v>3843</v>
      </c>
      <c r="U4056" s="12" t="s">
        <v>180</v>
      </c>
      <c r="V4056" s="12" t="s">
        <v>52</v>
      </c>
      <c r="W4056" s="12" t="s">
        <v>8401</v>
      </c>
      <c r="X4056" s="16" t="s">
        <v>20227</v>
      </c>
      <c r="Y4056" s="15" t="s">
        <v>55</v>
      </c>
      <c r="Z4056" s="14">
        <v>13.81</v>
      </c>
      <c r="AA4056" s="14">
        <v>39.43</v>
      </c>
      <c r="AB4056" s="12" t="s">
        <v>43</v>
      </c>
      <c r="AC4056" s="12" t="s">
        <v>8403</v>
      </c>
      <c r="AD4056" s="13">
        <v>43865</v>
      </c>
      <c r="AE4056" s="12" t="s">
        <v>3847</v>
      </c>
      <c r="AF4056" s="12" t="s">
        <v>7424</v>
      </c>
      <c r="AG4056" s="12" t="s">
        <v>81</v>
      </c>
      <c r="AH4056" s="1">
        <f>HYPERLINK("https://my.pitchbook.com?c=131315-23T","View Company Online")</f>
      </c>
    </row>
    <row r="4057">
      <c r="A4057" s="3" t="s">
        <v>20228</v>
      </c>
      <c r="B4057" s="3" t="s">
        <v>20229</v>
      </c>
      <c r="C4057" s="5" t="s">
        <v>36</v>
      </c>
      <c r="D4057" s="5">
        <v>1</v>
      </c>
      <c r="E4057" s="5">
        <v>1</v>
      </c>
      <c r="F4057" s="5">
        <v>1</v>
      </c>
      <c r="G4057" s="6" t="s">
        <v>36</v>
      </c>
      <c r="H4057" s="4" t="s">
        <v>36</v>
      </c>
      <c r="I4057" s="7" t="s">
        <v>36</v>
      </c>
      <c r="J4057" s="3" t="s">
        <v>36</v>
      </c>
      <c r="K4057" s="9">
        <v>43153</v>
      </c>
      <c r="L4057" s="6" t="s">
        <v>94</v>
      </c>
      <c r="M4057" s="3" t="s">
        <v>36</v>
      </c>
      <c r="N4057" s="3" t="s">
        <v>94</v>
      </c>
      <c r="O4057" s="8" t="s">
        <v>36</v>
      </c>
      <c r="P4057" s="3" t="s">
        <v>36</v>
      </c>
      <c r="Q4057" s="3" t="s">
        <v>36</v>
      </c>
      <c r="R4057" s="3" t="s">
        <v>36</v>
      </c>
      <c r="S4057" s="3" t="s">
        <v>36</v>
      </c>
      <c r="T4057" s="3" t="s">
        <v>9281</v>
      </c>
      <c r="U4057" s="3" t="s">
        <v>38</v>
      </c>
      <c r="V4057" s="3" t="s">
        <v>39</v>
      </c>
      <c r="W4057" s="3" t="s">
        <v>20230</v>
      </c>
      <c r="X4057" s="10" t="s">
        <v>20231</v>
      </c>
      <c r="Y4057" s="6" t="s">
        <v>55</v>
      </c>
      <c r="Z4057" s="4">
        <v>23</v>
      </c>
      <c r="AA4057" s="4" t="s">
        <v>36</v>
      </c>
      <c r="AB4057" s="3" t="s">
        <v>56</v>
      </c>
      <c r="AC4057" s="3" t="s">
        <v>20232</v>
      </c>
      <c r="AD4057" s="9">
        <v>43865</v>
      </c>
      <c r="AE4057" s="3" t="s">
        <v>1945</v>
      </c>
      <c r="AF4057" s="3" t="s">
        <v>7844</v>
      </c>
      <c r="AG4057" s="3" t="s">
        <v>81</v>
      </c>
      <c r="AH4057" s="11">
        <f>HYPERLINK("https://my.pitchbook.com?c=101819-53T","View Company Online")</f>
      </c>
    </row>
    <row r="4058">
      <c r="A4058" s="12" t="s">
        <v>20233</v>
      </c>
      <c r="B4058" s="12" t="s">
        <v>4614</v>
      </c>
      <c r="C4058" s="19">
        <v>10</v>
      </c>
      <c r="D4058" s="19">
        <v>6</v>
      </c>
      <c r="E4058" s="19">
        <v>6</v>
      </c>
      <c r="F4058" s="19">
        <v>16</v>
      </c>
      <c r="G4058" s="15" t="s">
        <v>36</v>
      </c>
      <c r="H4058" s="14" t="s">
        <v>36</v>
      </c>
      <c r="I4058" s="18" t="s">
        <v>36</v>
      </c>
      <c r="J4058" s="12" t="s">
        <v>36</v>
      </c>
      <c r="K4058" s="13" t="s">
        <v>36</v>
      </c>
      <c r="L4058" s="15" t="s">
        <v>36</v>
      </c>
      <c r="M4058" s="12" t="s">
        <v>36</v>
      </c>
      <c r="N4058" s="12" t="s">
        <v>36</v>
      </c>
      <c r="O4058" s="17" t="s">
        <v>36</v>
      </c>
      <c r="P4058" s="12" t="s">
        <v>36</v>
      </c>
      <c r="Q4058" s="12" t="s">
        <v>36</v>
      </c>
      <c r="R4058" s="12" t="s">
        <v>36</v>
      </c>
      <c r="S4058" s="12" t="s">
        <v>36</v>
      </c>
      <c r="T4058" s="12" t="s">
        <v>4615</v>
      </c>
      <c r="U4058" s="12" t="s">
        <v>219</v>
      </c>
      <c r="V4058" s="12" t="s">
        <v>75</v>
      </c>
      <c r="W4058" s="12" t="s">
        <v>4616</v>
      </c>
      <c r="X4058" s="16" t="s">
        <v>20234</v>
      </c>
      <c r="Y4058" s="15" t="s">
        <v>42</v>
      </c>
      <c r="Z4058" s="14">
        <v>4.99</v>
      </c>
      <c r="AA4058" s="14" t="s">
        <v>36</v>
      </c>
      <c r="AB4058" s="12" t="s">
        <v>43</v>
      </c>
      <c r="AC4058" s="12" t="s">
        <v>4618</v>
      </c>
      <c r="AD4058" s="13">
        <v>43865</v>
      </c>
      <c r="AE4058" s="12" t="s">
        <v>2914</v>
      </c>
      <c r="AF4058" s="12" t="s">
        <v>571</v>
      </c>
      <c r="AG4058" s="12" t="s">
        <v>4619</v>
      </c>
      <c r="AH4058" s="1">
        <f>HYPERLINK("https://my.pitchbook.com?c=137007-10T","View Company Online")</f>
      </c>
    </row>
    <row r="4059">
      <c r="A4059" s="3" t="s">
        <v>20235</v>
      </c>
      <c r="B4059" s="3" t="s">
        <v>4344</v>
      </c>
      <c r="C4059" s="5" t="s">
        <v>36</v>
      </c>
      <c r="D4059" s="5" t="s">
        <v>36</v>
      </c>
      <c r="E4059" s="5" t="s">
        <v>36</v>
      </c>
      <c r="F4059" s="5" t="s">
        <v>36</v>
      </c>
      <c r="G4059" s="6" t="s">
        <v>326</v>
      </c>
      <c r="H4059" s="4">
        <v>267.15</v>
      </c>
      <c r="I4059" s="7">
        <v>28.46</v>
      </c>
      <c r="J4059" s="3" t="s">
        <v>521</v>
      </c>
      <c r="K4059" s="9">
        <v>43800</v>
      </c>
      <c r="L4059" s="6" t="s">
        <v>36</v>
      </c>
      <c r="M4059" s="3" t="s">
        <v>36</v>
      </c>
      <c r="N4059" s="3" t="s">
        <v>36</v>
      </c>
      <c r="O4059" s="8" t="s">
        <v>36</v>
      </c>
      <c r="P4059" s="3" t="s">
        <v>36</v>
      </c>
      <c r="Q4059" s="3" t="s">
        <v>36</v>
      </c>
      <c r="R4059" s="3" t="s">
        <v>36</v>
      </c>
      <c r="S4059" s="3" t="s">
        <v>36</v>
      </c>
      <c r="T4059" s="3" t="s">
        <v>4345</v>
      </c>
      <c r="U4059" s="3" t="s">
        <v>1357</v>
      </c>
      <c r="V4059" s="3" t="s">
        <v>52</v>
      </c>
      <c r="W4059" s="3" t="s">
        <v>4346</v>
      </c>
      <c r="X4059" s="10" t="s">
        <v>20236</v>
      </c>
      <c r="Y4059" s="6" t="s">
        <v>108</v>
      </c>
      <c r="Z4059" s="4">
        <v>4.44</v>
      </c>
      <c r="AA4059" s="4">
        <v>15.59</v>
      </c>
      <c r="AB4059" s="3" t="s">
        <v>56</v>
      </c>
      <c r="AC4059" s="3" t="s">
        <v>4348</v>
      </c>
      <c r="AD4059" s="9">
        <v>43864</v>
      </c>
      <c r="AE4059" s="3" t="s">
        <v>2377</v>
      </c>
      <c r="AF4059" s="3" t="s">
        <v>4349</v>
      </c>
      <c r="AG4059" s="3" t="s">
        <v>4350</v>
      </c>
      <c r="AH4059" s="11">
        <f>HYPERLINK("https://my.pitchbook.com?c=131231-26T","View Company Online")</f>
      </c>
    </row>
    <row r="4060">
      <c r="A4060" s="12" t="s">
        <v>20237</v>
      </c>
      <c r="B4060" s="12" t="s">
        <v>20238</v>
      </c>
      <c r="C4060" s="19" t="s">
        <v>36</v>
      </c>
      <c r="D4060" s="19" t="s">
        <v>36</v>
      </c>
      <c r="E4060" s="19" t="s">
        <v>36</v>
      </c>
      <c r="F4060" s="19" t="s">
        <v>36</v>
      </c>
      <c r="G4060" s="15" t="s">
        <v>36</v>
      </c>
      <c r="H4060" s="14">
        <v>8.28</v>
      </c>
      <c r="I4060" s="18">
        <v>79.98</v>
      </c>
      <c r="J4060" s="12" t="s">
        <v>521</v>
      </c>
      <c r="K4060" s="13" t="s">
        <v>36</v>
      </c>
      <c r="L4060" s="15" t="s">
        <v>36</v>
      </c>
      <c r="M4060" s="12" t="s">
        <v>36</v>
      </c>
      <c r="N4060" s="12" t="s">
        <v>36</v>
      </c>
      <c r="O4060" s="17" t="s">
        <v>36</v>
      </c>
      <c r="P4060" s="12" t="s">
        <v>36</v>
      </c>
      <c r="Q4060" s="12" t="s">
        <v>36</v>
      </c>
      <c r="R4060" s="12" t="s">
        <v>36</v>
      </c>
      <c r="S4060" s="12" t="s">
        <v>36</v>
      </c>
      <c r="T4060" s="12" t="s">
        <v>20239</v>
      </c>
      <c r="U4060" s="12" t="s">
        <v>318</v>
      </c>
      <c r="V4060" s="12" t="s">
        <v>39</v>
      </c>
      <c r="W4060" s="12" t="s">
        <v>20240</v>
      </c>
      <c r="X4060" s="16" t="s">
        <v>20241</v>
      </c>
      <c r="Y4060" s="15" t="s">
        <v>42</v>
      </c>
      <c r="Z4060" s="14">
        <v>110.94</v>
      </c>
      <c r="AA4060" s="14">
        <v>138.71</v>
      </c>
      <c r="AB4060" s="12" t="s">
        <v>43</v>
      </c>
      <c r="AC4060" s="12" t="s">
        <v>20242</v>
      </c>
      <c r="AD4060" s="13">
        <v>43864</v>
      </c>
      <c r="AE4060" s="12" t="s">
        <v>763</v>
      </c>
      <c r="AF4060" s="12" t="s">
        <v>20243</v>
      </c>
      <c r="AG4060" s="12" t="s">
        <v>144</v>
      </c>
      <c r="AH4060" s="1">
        <f>HYPERLINK("https://my.pitchbook.com?c=131371-21T","View Company Online")</f>
      </c>
    </row>
    <row r="4061">
      <c r="A4061" s="3" t="s">
        <v>20244</v>
      </c>
      <c r="B4061" s="3" t="s">
        <v>20245</v>
      </c>
      <c r="C4061" s="5" t="s">
        <v>36</v>
      </c>
      <c r="D4061" s="5" t="s">
        <v>36</v>
      </c>
      <c r="E4061" s="5" t="s">
        <v>36</v>
      </c>
      <c r="F4061" s="5" t="s">
        <v>36</v>
      </c>
      <c r="G4061" s="6" t="s">
        <v>36</v>
      </c>
      <c r="H4061" s="4">
        <v>28.56</v>
      </c>
      <c r="I4061" s="7">
        <v>19.51</v>
      </c>
      <c r="J4061" s="3" t="s">
        <v>521</v>
      </c>
      <c r="K4061" s="9" t="s">
        <v>36</v>
      </c>
      <c r="L4061" s="6" t="s">
        <v>36</v>
      </c>
      <c r="M4061" s="3" t="s">
        <v>36</v>
      </c>
      <c r="N4061" s="3" t="s">
        <v>36</v>
      </c>
      <c r="O4061" s="8" t="s">
        <v>36</v>
      </c>
      <c r="P4061" s="3" t="s">
        <v>36</v>
      </c>
      <c r="Q4061" s="3" t="s">
        <v>36</v>
      </c>
      <c r="R4061" s="3" t="s">
        <v>36</v>
      </c>
      <c r="S4061" s="3" t="s">
        <v>36</v>
      </c>
      <c r="T4061" s="3" t="s">
        <v>3729</v>
      </c>
      <c r="U4061" s="3" t="s">
        <v>219</v>
      </c>
      <c r="V4061" s="3" t="s">
        <v>75</v>
      </c>
      <c r="W4061" s="3" t="s">
        <v>20246</v>
      </c>
      <c r="X4061" s="10" t="s">
        <v>7099</v>
      </c>
      <c r="Y4061" s="6" t="s">
        <v>42</v>
      </c>
      <c r="Z4061" s="4">
        <v>0.15</v>
      </c>
      <c r="AA4061" s="4">
        <v>0.76</v>
      </c>
      <c r="AB4061" s="3" t="s">
        <v>56</v>
      </c>
      <c r="AC4061" s="3" t="s">
        <v>20247</v>
      </c>
      <c r="AD4061" s="9">
        <v>43864</v>
      </c>
      <c r="AE4061" s="3" t="s">
        <v>1032</v>
      </c>
      <c r="AF4061" s="3" t="s">
        <v>13707</v>
      </c>
      <c r="AG4061" s="3" t="s">
        <v>20248</v>
      </c>
      <c r="AH4061" s="11">
        <f>HYPERLINK("https://my.pitchbook.com?c=204504-22T","View Company Online")</f>
      </c>
    </row>
    <row r="4062">
      <c r="A4062" s="12" t="s">
        <v>20249</v>
      </c>
      <c r="B4062" s="12" t="s">
        <v>20250</v>
      </c>
      <c r="C4062" s="19" t="s">
        <v>36</v>
      </c>
      <c r="D4062" s="19" t="s">
        <v>36</v>
      </c>
      <c r="E4062" s="19" t="s">
        <v>36</v>
      </c>
      <c r="F4062" s="19" t="s">
        <v>36</v>
      </c>
      <c r="G4062" s="15" t="s">
        <v>36</v>
      </c>
      <c r="H4062" s="14">
        <v>13.36</v>
      </c>
      <c r="I4062" s="18">
        <v>32.78</v>
      </c>
      <c r="J4062" s="12" t="s">
        <v>327</v>
      </c>
      <c r="K4062" s="13" t="s">
        <v>36</v>
      </c>
      <c r="L4062" s="15" t="s">
        <v>36</v>
      </c>
      <c r="M4062" s="12" t="s">
        <v>36</v>
      </c>
      <c r="N4062" s="12" t="s">
        <v>36</v>
      </c>
      <c r="O4062" s="17" t="s">
        <v>36</v>
      </c>
      <c r="P4062" s="12" t="s">
        <v>36</v>
      </c>
      <c r="Q4062" s="12" t="s">
        <v>36</v>
      </c>
      <c r="R4062" s="12" t="s">
        <v>36</v>
      </c>
      <c r="S4062" s="12" t="s">
        <v>36</v>
      </c>
      <c r="T4062" s="12" t="s">
        <v>522</v>
      </c>
      <c r="U4062" s="12" t="s">
        <v>38</v>
      </c>
      <c r="V4062" s="12" t="s">
        <v>39</v>
      </c>
      <c r="W4062" s="12" t="s">
        <v>20251</v>
      </c>
      <c r="X4062" s="16" t="s">
        <v>20252</v>
      </c>
      <c r="Y4062" s="15" t="s">
        <v>42</v>
      </c>
      <c r="Z4062" s="14">
        <v>1.11</v>
      </c>
      <c r="AA4062" s="14">
        <v>1.69</v>
      </c>
      <c r="AB4062" s="12" t="s">
        <v>43</v>
      </c>
      <c r="AC4062" s="12" t="s">
        <v>20253</v>
      </c>
      <c r="AD4062" s="13">
        <v>43862</v>
      </c>
      <c r="AE4062" s="12" t="s">
        <v>110</v>
      </c>
      <c r="AF4062" s="12" t="s">
        <v>905</v>
      </c>
      <c r="AG4062" s="12" t="s">
        <v>47</v>
      </c>
      <c r="AH4062" s="1">
        <f>HYPERLINK("https://my.pitchbook.com?c=134730-64T","View Company Online")</f>
      </c>
    </row>
    <row r="4063">
      <c r="A4063" s="3" t="s">
        <v>20254</v>
      </c>
      <c r="B4063" s="3" t="s">
        <v>4229</v>
      </c>
      <c r="C4063" s="5" t="s">
        <v>36</v>
      </c>
      <c r="D4063" s="5" t="s">
        <v>36</v>
      </c>
      <c r="E4063" s="5" t="s">
        <v>36</v>
      </c>
      <c r="F4063" s="5" t="s">
        <v>36</v>
      </c>
      <c r="G4063" s="6" t="s">
        <v>326</v>
      </c>
      <c r="H4063" s="4">
        <v>22.99</v>
      </c>
      <c r="I4063" s="7">
        <v>26.58</v>
      </c>
      <c r="J4063" s="3" t="s">
        <v>521</v>
      </c>
      <c r="K4063" s="9" t="s">
        <v>36</v>
      </c>
      <c r="L4063" s="6" t="s">
        <v>4010</v>
      </c>
      <c r="M4063" s="3" t="s">
        <v>36</v>
      </c>
      <c r="N4063" s="3" t="s">
        <v>4010</v>
      </c>
      <c r="O4063" s="8" t="s">
        <v>36</v>
      </c>
      <c r="P4063" s="3" t="s">
        <v>36</v>
      </c>
      <c r="Q4063" s="3" t="s">
        <v>36</v>
      </c>
      <c r="R4063" s="3" t="s">
        <v>36</v>
      </c>
      <c r="S4063" s="3" t="s">
        <v>36</v>
      </c>
      <c r="T4063" s="3" t="s">
        <v>4230</v>
      </c>
      <c r="U4063" s="3" t="s">
        <v>38</v>
      </c>
      <c r="V4063" s="3" t="s">
        <v>39</v>
      </c>
      <c r="W4063" s="3" t="s">
        <v>4231</v>
      </c>
      <c r="X4063" s="10" t="s">
        <v>20255</v>
      </c>
      <c r="Y4063" s="6" t="s">
        <v>108</v>
      </c>
      <c r="Z4063" s="4">
        <v>1.33</v>
      </c>
      <c r="AA4063" s="4">
        <v>3.47</v>
      </c>
      <c r="AB4063" s="3" t="s">
        <v>43</v>
      </c>
      <c r="AC4063" s="3" t="s">
        <v>4233</v>
      </c>
      <c r="AD4063" s="9">
        <v>43862</v>
      </c>
      <c r="AE4063" s="3" t="s">
        <v>110</v>
      </c>
      <c r="AF4063" s="3" t="s">
        <v>982</v>
      </c>
      <c r="AG4063" s="3" t="s">
        <v>47</v>
      </c>
      <c r="AH4063" s="11">
        <f>HYPERLINK("https://my.pitchbook.com?c=164982-97T","View Company Online")</f>
      </c>
    </row>
    <row r="4064">
      <c r="A4064" s="12" t="s">
        <v>20256</v>
      </c>
      <c r="B4064" s="12" t="s">
        <v>20257</v>
      </c>
      <c r="C4064" s="19" t="s">
        <v>36</v>
      </c>
      <c r="D4064" s="19" t="s">
        <v>36</v>
      </c>
      <c r="E4064" s="19" t="s">
        <v>36</v>
      </c>
      <c r="F4064" s="19" t="s">
        <v>36</v>
      </c>
      <c r="G4064" s="15" t="s">
        <v>36</v>
      </c>
      <c r="H4064" s="14">
        <v>623.14</v>
      </c>
      <c r="I4064" s="18">
        <v>10.76</v>
      </c>
      <c r="J4064" s="12" t="s">
        <v>521</v>
      </c>
      <c r="K4064" s="13" t="s">
        <v>36</v>
      </c>
      <c r="L4064" s="15" t="s">
        <v>36</v>
      </c>
      <c r="M4064" s="12" t="s">
        <v>36</v>
      </c>
      <c r="N4064" s="12" t="s">
        <v>36</v>
      </c>
      <c r="O4064" s="17" t="s">
        <v>36</v>
      </c>
      <c r="P4064" s="12" t="s">
        <v>36</v>
      </c>
      <c r="Q4064" s="12" t="s">
        <v>36</v>
      </c>
      <c r="R4064" s="12" t="s">
        <v>36</v>
      </c>
      <c r="S4064" s="12" t="s">
        <v>36</v>
      </c>
      <c r="T4064" s="12" t="s">
        <v>20258</v>
      </c>
      <c r="U4064" s="12" t="s">
        <v>38</v>
      </c>
      <c r="V4064" s="12" t="s">
        <v>39</v>
      </c>
      <c r="W4064" s="12" t="s">
        <v>20259</v>
      </c>
      <c r="X4064" s="16" t="s">
        <v>20260</v>
      </c>
      <c r="Y4064" s="15" t="s">
        <v>108</v>
      </c>
      <c r="Z4064" s="14">
        <v>1.39</v>
      </c>
      <c r="AA4064" s="14">
        <v>12.9</v>
      </c>
      <c r="AB4064" s="12" t="s">
        <v>43</v>
      </c>
      <c r="AC4064" s="12" t="s">
        <v>20261</v>
      </c>
      <c r="AD4064" s="13">
        <v>43862</v>
      </c>
      <c r="AE4064" s="12" t="s">
        <v>110</v>
      </c>
      <c r="AF4064" s="12" t="s">
        <v>20262</v>
      </c>
      <c r="AG4064" s="12" t="s">
        <v>127</v>
      </c>
      <c r="AH4064" s="1">
        <f>HYPERLINK("https://my.pitchbook.com?c=155439-01T","View Company Online")</f>
      </c>
    </row>
    <row r="4065">
      <c r="A4065" s="3" t="s">
        <v>20263</v>
      </c>
      <c r="B4065" s="3" t="s">
        <v>9031</v>
      </c>
      <c r="C4065" s="5" t="s">
        <v>36</v>
      </c>
      <c r="D4065" s="5" t="s">
        <v>36</v>
      </c>
      <c r="E4065" s="5" t="s">
        <v>36</v>
      </c>
      <c r="F4065" s="5" t="s">
        <v>36</v>
      </c>
      <c r="G4065" s="6" t="s">
        <v>326</v>
      </c>
      <c r="H4065" s="4">
        <v>265.87</v>
      </c>
      <c r="I4065" s="7">
        <v>26.64</v>
      </c>
      <c r="J4065" s="3" t="s">
        <v>521</v>
      </c>
      <c r="K4065" s="9" t="s">
        <v>36</v>
      </c>
      <c r="L4065" s="6" t="s">
        <v>36</v>
      </c>
      <c r="M4065" s="3" t="s">
        <v>36</v>
      </c>
      <c r="N4065" s="3" t="s">
        <v>36</v>
      </c>
      <c r="O4065" s="8" t="s">
        <v>36</v>
      </c>
      <c r="P4065" s="3" t="s">
        <v>36</v>
      </c>
      <c r="Q4065" s="3" t="s">
        <v>36</v>
      </c>
      <c r="R4065" s="3" t="s">
        <v>36</v>
      </c>
      <c r="S4065" s="3" t="s">
        <v>36</v>
      </c>
      <c r="T4065" s="3" t="s">
        <v>942</v>
      </c>
      <c r="U4065" s="3" t="s">
        <v>38</v>
      </c>
      <c r="V4065" s="3" t="s">
        <v>39</v>
      </c>
      <c r="W4065" s="3" t="s">
        <v>9032</v>
      </c>
      <c r="X4065" s="10" t="s">
        <v>20264</v>
      </c>
      <c r="Y4065" s="6" t="s">
        <v>108</v>
      </c>
      <c r="Z4065" s="4">
        <v>1.66</v>
      </c>
      <c r="AA4065" s="4">
        <v>4.17</v>
      </c>
      <c r="AB4065" s="3" t="s">
        <v>56</v>
      </c>
      <c r="AC4065" s="3" t="s">
        <v>9034</v>
      </c>
      <c r="AD4065" s="9">
        <v>43862</v>
      </c>
      <c r="AE4065" s="3" t="s">
        <v>45</v>
      </c>
      <c r="AF4065" s="3" t="s">
        <v>5816</v>
      </c>
      <c r="AG4065" s="3" t="s">
        <v>81</v>
      </c>
      <c r="AH4065" s="11">
        <f>HYPERLINK("https://my.pitchbook.com?c=138162-52T","View Company Online")</f>
      </c>
    </row>
    <row r="4066">
      <c r="A4066" s="12" t="s">
        <v>20265</v>
      </c>
      <c r="B4066" s="12" t="s">
        <v>20266</v>
      </c>
      <c r="C4066" s="19" t="s">
        <v>36</v>
      </c>
      <c r="D4066" s="19" t="s">
        <v>36</v>
      </c>
      <c r="E4066" s="19" t="s">
        <v>36</v>
      </c>
      <c r="F4066" s="19" t="s">
        <v>36</v>
      </c>
      <c r="G4066" s="15" t="s">
        <v>36</v>
      </c>
      <c r="H4066" s="14" t="s">
        <v>36</v>
      </c>
      <c r="I4066" s="18" t="s">
        <v>36</v>
      </c>
      <c r="J4066" s="12" t="s">
        <v>36</v>
      </c>
      <c r="K4066" s="13" t="s">
        <v>36</v>
      </c>
      <c r="L4066" s="15" t="s">
        <v>36</v>
      </c>
      <c r="M4066" s="12" t="s">
        <v>36</v>
      </c>
      <c r="N4066" s="12" t="s">
        <v>36</v>
      </c>
      <c r="O4066" s="17" t="s">
        <v>36</v>
      </c>
      <c r="P4066" s="12" t="s">
        <v>36</v>
      </c>
      <c r="Q4066" s="12" t="s">
        <v>36</v>
      </c>
      <c r="R4066" s="12" t="s">
        <v>36</v>
      </c>
      <c r="S4066" s="12" t="s">
        <v>36</v>
      </c>
      <c r="T4066" s="12" t="s">
        <v>20267</v>
      </c>
      <c r="U4066" s="12" t="s">
        <v>38</v>
      </c>
      <c r="V4066" s="12" t="s">
        <v>39</v>
      </c>
      <c r="W4066" s="12" t="s">
        <v>20268</v>
      </c>
      <c r="X4066" s="16" t="s">
        <v>7099</v>
      </c>
      <c r="Y4066" s="15" t="s">
        <v>42</v>
      </c>
      <c r="Z4066" s="14">
        <v>0.67</v>
      </c>
      <c r="AA4066" s="14" t="s">
        <v>36</v>
      </c>
      <c r="AB4066" s="12" t="s">
        <v>56</v>
      </c>
      <c r="AC4066" s="12" t="s">
        <v>20269</v>
      </c>
      <c r="AD4066" s="13">
        <v>43862</v>
      </c>
      <c r="AE4066" s="12" t="s">
        <v>45</v>
      </c>
      <c r="AF4066" s="12" t="s">
        <v>215</v>
      </c>
      <c r="AG4066" s="12" t="s">
        <v>969</v>
      </c>
      <c r="AH4066" s="1">
        <f>HYPERLINK("https://my.pitchbook.com?c=204493-69T","View Company Online")</f>
      </c>
    </row>
    <row r="4067">
      <c r="A4067" s="3" t="s">
        <v>20270</v>
      </c>
      <c r="B4067" s="3" t="s">
        <v>14006</v>
      </c>
      <c r="C4067" s="5" t="s">
        <v>36</v>
      </c>
      <c r="D4067" s="5" t="s">
        <v>36</v>
      </c>
      <c r="E4067" s="5" t="s">
        <v>36</v>
      </c>
      <c r="F4067" s="5" t="s">
        <v>36</v>
      </c>
      <c r="G4067" s="6" t="s">
        <v>36</v>
      </c>
      <c r="H4067" s="4">
        <v>142.28</v>
      </c>
      <c r="I4067" s="7">
        <v>14.83</v>
      </c>
      <c r="J4067" s="3" t="s">
        <v>521</v>
      </c>
      <c r="K4067" s="9" t="s">
        <v>36</v>
      </c>
      <c r="L4067" s="6" t="s">
        <v>36</v>
      </c>
      <c r="M4067" s="3" t="s">
        <v>36</v>
      </c>
      <c r="N4067" s="3" t="s">
        <v>36</v>
      </c>
      <c r="O4067" s="8" t="s">
        <v>36</v>
      </c>
      <c r="P4067" s="3" t="s">
        <v>36</v>
      </c>
      <c r="Q4067" s="3" t="s">
        <v>36</v>
      </c>
      <c r="R4067" s="3" t="s">
        <v>36</v>
      </c>
      <c r="S4067" s="3" t="s">
        <v>36</v>
      </c>
      <c r="T4067" s="3" t="s">
        <v>522</v>
      </c>
      <c r="U4067" s="3" t="s">
        <v>38</v>
      </c>
      <c r="V4067" s="3" t="s">
        <v>39</v>
      </c>
      <c r="W4067" s="3" t="s">
        <v>14007</v>
      </c>
      <c r="X4067" s="10" t="s">
        <v>87</v>
      </c>
      <c r="Y4067" s="6" t="s">
        <v>42</v>
      </c>
      <c r="Z4067" s="4">
        <v>0.62</v>
      </c>
      <c r="AA4067" s="4">
        <v>4.15</v>
      </c>
      <c r="AB4067" s="3" t="s">
        <v>43</v>
      </c>
      <c r="AC4067" s="3" t="s">
        <v>14008</v>
      </c>
      <c r="AD4067" s="9">
        <v>43862</v>
      </c>
      <c r="AE4067" s="3" t="s">
        <v>110</v>
      </c>
      <c r="AF4067" s="3" t="s">
        <v>14009</v>
      </c>
      <c r="AG4067" s="3" t="s">
        <v>81</v>
      </c>
      <c r="AH4067" s="11">
        <f>HYPERLINK("https://my.pitchbook.com?c=133151-32T","View Company Online")</f>
      </c>
    </row>
    <row r="4068">
      <c r="A4068" s="12" t="s">
        <v>20271</v>
      </c>
      <c r="B4068" s="12" t="s">
        <v>20272</v>
      </c>
      <c r="C4068" s="19" t="s">
        <v>36</v>
      </c>
      <c r="D4068" s="19" t="s">
        <v>36</v>
      </c>
      <c r="E4068" s="19" t="s">
        <v>36</v>
      </c>
      <c r="F4068" s="19" t="s">
        <v>36</v>
      </c>
      <c r="G4068" s="15" t="s">
        <v>36</v>
      </c>
      <c r="H4068" s="14" t="s">
        <v>36</v>
      </c>
      <c r="I4068" s="18" t="s">
        <v>36</v>
      </c>
      <c r="J4068" s="12" t="s">
        <v>36</v>
      </c>
      <c r="K4068" s="13" t="s">
        <v>36</v>
      </c>
      <c r="L4068" s="15" t="s">
        <v>36</v>
      </c>
      <c r="M4068" s="12" t="s">
        <v>36</v>
      </c>
      <c r="N4068" s="12" t="s">
        <v>36</v>
      </c>
      <c r="O4068" s="17" t="s">
        <v>36</v>
      </c>
      <c r="P4068" s="12" t="s">
        <v>36</v>
      </c>
      <c r="Q4068" s="12" t="s">
        <v>36</v>
      </c>
      <c r="R4068" s="12" t="s">
        <v>36</v>
      </c>
      <c r="S4068" s="12" t="s">
        <v>13741</v>
      </c>
      <c r="T4068" s="12" t="s">
        <v>1701</v>
      </c>
      <c r="U4068" s="12" t="s">
        <v>74</v>
      </c>
      <c r="V4068" s="12" t="s">
        <v>75</v>
      </c>
      <c r="W4068" s="12" t="s">
        <v>20273</v>
      </c>
      <c r="X4068" s="16" t="s">
        <v>20274</v>
      </c>
      <c r="Y4068" s="15" t="s">
        <v>42</v>
      </c>
      <c r="Z4068" s="14">
        <v>0.47</v>
      </c>
      <c r="AA4068" s="14" t="s">
        <v>36</v>
      </c>
      <c r="AB4068" s="12" t="s">
        <v>43</v>
      </c>
      <c r="AC4068" s="12" t="s">
        <v>20275</v>
      </c>
      <c r="AD4068" s="13">
        <v>43862</v>
      </c>
      <c r="AE4068" s="12" t="s">
        <v>79</v>
      </c>
      <c r="AF4068" s="12" t="s">
        <v>36</v>
      </c>
      <c r="AG4068" s="12" t="s">
        <v>144</v>
      </c>
      <c r="AH4068" s="1">
        <f>HYPERLINK("https://my.pitchbook.com?c=135609-67T","View Company Online")</f>
      </c>
    </row>
    <row r="4069">
      <c r="A4069" s="3" t="s">
        <v>20276</v>
      </c>
      <c r="B4069" s="3" t="s">
        <v>20277</v>
      </c>
      <c r="C4069" s="5" t="s">
        <v>36</v>
      </c>
      <c r="D4069" s="5" t="s">
        <v>36</v>
      </c>
      <c r="E4069" s="5" t="s">
        <v>36</v>
      </c>
      <c r="F4069" s="5" t="s">
        <v>36</v>
      </c>
      <c r="G4069" s="6" t="s">
        <v>36</v>
      </c>
      <c r="H4069" s="4">
        <v>13.85</v>
      </c>
      <c r="I4069" s="7">
        <v>28.64</v>
      </c>
      <c r="J4069" s="3" t="s">
        <v>327</v>
      </c>
      <c r="K4069" s="9" t="s">
        <v>36</v>
      </c>
      <c r="L4069" s="6" t="s">
        <v>36</v>
      </c>
      <c r="M4069" s="3" t="s">
        <v>36</v>
      </c>
      <c r="N4069" s="3" t="s">
        <v>36</v>
      </c>
      <c r="O4069" s="8" t="s">
        <v>36</v>
      </c>
      <c r="P4069" s="3" t="s">
        <v>36</v>
      </c>
      <c r="Q4069" s="3" t="s">
        <v>36</v>
      </c>
      <c r="R4069" s="3" t="s">
        <v>36</v>
      </c>
      <c r="S4069" s="3" t="s">
        <v>36</v>
      </c>
      <c r="T4069" s="3" t="s">
        <v>9021</v>
      </c>
      <c r="U4069" s="3" t="s">
        <v>38</v>
      </c>
      <c r="V4069" s="3" t="s">
        <v>39</v>
      </c>
      <c r="W4069" s="3" t="s">
        <v>20278</v>
      </c>
      <c r="X4069" s="10" t="s">
        <v>20279</v>
      </c>
      <c r="Y4069" s="6" t="s">
        <v>42</v>
      </c>
      <c r="Z4069" s="4">
        <v>1.78</v>
      </c>
      <c r="AA4069" s="4">
        <v>3.1</v>
      </c>
      <c r="AB4069" s="3" t="s">
        <v>43</v>
      </c>
      <c r="AC4069" s="3" t="s">
        <v>20280</v>
      </c>
      <c r="AD4069" s="9">
        <v>43861</v>
      </c>
      <c r="AE4069" s="3" t="s">
        <v>554</v>
      </c>
      <c r="AF4069" s="3" t="s">
        <v>20281</v>
      </c>
      <c r="AG4069" s="3" t="s">
        <v>741</v>
      </c>
      <c r="AH4069" s="11">
        <f>HYPERLINK("https://my.pitchbook.com?c=155618-65T","View Company Online")</f>
      </c>
    </row>
    <row r="4070">
      <c r="A4070" s="12" t="s">
        <v>20282</v>
      </c>
      <c r="B4070" s="12" t="s">
        <v>20283</v>
      </c>
      <c r="C4070" s="19">
        <v>8</v>
      </c>
      <c r="D4070" s="19" t="s">
        <v>36</v>
      </c>
      <c r="E4070" s="19">
        <v>4</v>
      </c>
      <c r="F4070" s="19">
        <v>8</v>
      </c>
      <c r="G4070" s="15" t="s">
        <v>36</v>
      </c>
      <c r="H4070" s="14">
        <v>463.91</v>
      </c>
      <c r="I4070" s="18">
        <v>21.71</v>
      </c>
      <c r="J4070" s="12" t="s">
        <v>521</v>
      </c>
      <c r="K4070" s="13" t="s">
        <v>36</v>
      </c>
      <c r="L4070" s="15" t="s">
        <v>36</v>
      </c>
      <c r="M4070" s="12" t="s">
        <v>36</v>
      </c>
      <c r="N4070" s="12" t="s">
        <v>36</v>
      </c>
      <c r="O4070" s="17" t="s">
        <v>36</v>
      </c>
      <c r="P4070" s="12" t="s">
        <v>36</v>
      </c>
      <c r="Q4070" s="12" t="s">
        <v>36</v>
      </c>
      <c r="R4070" s="12" t="s">
        <v>36</v>
      </c>
      <c r="S4070" s="12" t="s">
        <v>36</v>
      </c>
      <c r="T4070" s="12" t="s">
        <v>15660</v>
      </c>
      <c r="U4070" s="12" t="s">
        <v>38</v>
      </c>
      <c r="V4070" s="12" t="s">
        <v>39</v>
      </c>
      <c r="W4070" s="12" t="s">
        <v>20284</v>
      </c>
      <c r="X4070" s="16" t="s">
        <v>20285</v>
      </c>
      <c r="Y4070" s="15" t="s">
        <v>42</v>
      </c>
      <c r="Z4070" s="14">
        <v>1.23</v>
      </c>
      <c r="AA4070" s="14">
        <v>5.67</v>
      </c>
      <c r="AB4070" s="12" t="s">
        <v>43</v>
      </c>
      <c r="AC4070" s="12" t="s">
        <v>20286</v>
      </c>
      <c r="AD4070" s="13">
        <v>43861</v>
      </c>
      <c r="AE4070" s="12" t="s">
        <v>110</v>
      </c>
      <c r="AF4070" s="12" t="s">
        <v>526</v>
      </c>
      <c r="AG4070" s="12" t="s">
        <v>81</v>
      </c>
      <c r="AH4070" s="1">
        <f>HYPERLINK("https://my.pitchbook.com?c=137448-91T","View Company Online")</f>
      </c>
    </row>
    <row r="4071">
      <c r="A4071" s="3" t="s">
        <v>20287</v>
      </c>
      <c r="B4071" s="3" t="s">
        <v>20288</v>
      </c>
      <c r="C4071" s="5">
        <v>2</v>
      </c>
      <c r="D4071" s="5">
        <v>3</v>
      </c>
      <c r="E4071" s="5">
        <v>5</v>
      </c>
      <c r="F4071" s="5">
        <v>7</v>
      </c>
      <c r="G4071" s="6" t="s">
        <v>36</v>
      </c>
      <c r="H4071" s="4" t="s">
        <v>36</v>
      </c>
      <c r="I4071" s="7" t="s">
        <v>36</v>
      </c>
      <c r="J4071" s="3" t="s">
        <v>36</v>
      </c>
      <c r="K4071" s="9" t="s">
        <v>36</v>
      </c>
      <c r="L4071" s="6" t="s">
        <v>36</v>
      </c>
      <c r="M4071" s="3" t="s">
        <v>36</v>
      </c>
      <c r="N4071" s="3" t="s">
        <v>36</v>
      </c>
      <c r="O4071" s="8" t="s">
        <v>36</v>
      </c>
      <c r="P4071" s="3" t="s">
        <v>36</v>
      </c>
      <c r="Q4071" s="3" t="s">
        <v>36</v>
      </c>
      <c r="R4071" s="3" t="s">
        <v>36</v>
      </c>
      <c r="S4071" s="3" t="s">
        <v>36</v>
      </c>
      <c r="T4071" s="3" t="s">
        <v>20289</v>
      </c>
      <c r="U4071" s="3" t="s">
        <v>318</v>
      </c>
      <c r="V4071" s="3" t="s">
        <v>39</v>
      </c>
      <c r="W4071" s="3" t="s">
        <v>20290</v>
      </c>
      <c r="X4071" s="10" t="s">
        <v>20291</v>
      </c>
      <c r="Y4071" s="6" t="s">
        <v>55</v>
      </c>
      <c r="Z4071" s="4">
        <v>2.22</v>
      </c>
      <c r="AA4071" s="4" t="s">
        <v>36</v>
      </c>
      <c r="AB4071" s="3" t="s">
        <v>56</v>
      </c>
      <c r="AC4071" s="3" t="s">
        <v>20292</v>
      </c>
      <c r="AD4071" s="9">
        <v>43861</v>
      </c>
      <c r="AE4071" s="3" t="s">
        <v>763</v>
      </c>
      <c r="AF4071" s="3" t="s">
        <v>20293</v>
      </c>
      <c r="AG4071" s="3" t="s">
        <v>765</v>
      </c>
      <c r="AH4071" s="11">
        <f>HYPERLINK("https://my.pitchbook.com?c=175317-94T","View Company Online")</f>
      </c>
    </row>
    <row r="4072">
      <c r="A4072" s="12" t="s">
        <v>20294</v>
      </c>
      <c r="B4072" s="12" t="s">
        <v>20295</v>
      </c>
      <c r="C4072" s="19" t="s">
        <v>36</v>
      </c>
      <c r="D4072" s="19" t="s">
        <v>36</v>
      </c>
      <c r="E4072" s="19" t="s">
        <v>36</v>
      </c>
      <c r="F4072" s="19" t="s">
        <v>36</v>
      </c>
      <c r="G4072" s="15" t="s">
        <v>326</v>
      </c>
      <c r="H4072" s="14">
        <v>30.58</v>
      </c>
      <c r="I4072" s="18">
        <v>29.59</v>
      </c>
      <c r="J4072" s="12" t="s">
        <v>521</v>
      </c>
      <c r="K4072" s="13" t="s">
        <v>36</v>
      </c>
      <c r="L4072" s="15" t="s">
        <v>94</v>
      </c>
      <c r="M4072" s="12" t="s">
        <v>36</v>
      </c>
      <c r="N4072" s="12" t="s">
        <v>94</v>
      </c>
      <c r="O4072" s="17" t="s">
        <v>36</v>
      </c>
      <c r="P4072" s="12" t="s">
        <v>36</v>
      </c>
      <c r="Q4072" s="12" t="s">
        <v>36</v>
      </c>
      <c r="R4072" s="12" t="s">
        <v>36</v>
      </c>
      <c r="S4072" s="12" t="s">
        <v>36</v>
      </c>
      <c r="T4072" s="12" t="s">
        <v>105</v>
      </c>
      <c r="U4072" s="12" t="s">
        <v>38</v>
      </c>
      <c r="V4072" s="12" t="s">
        <v>39</v>
      </c>
      <c r="W4072" s="12" t="s">
        <v>20296</v>
      </c>
      <c r="X4072" s="16" t="s">
        <v>20297</v>
      </c>
      <c r="Y4072" s="15" t="s">
        <v>108</v>
      </c>
      <c r="Z4072" s="14">
        <v>7.78</v>
      </c>
      <c r="AA4072" s="14">
        <v>23.04</v>
      </c>
      <c r="AB4072" s="12" t="s">
        <v>56</v>
      </c>
      <c r="AC4072" s="12" t="s">
        <v>20298</v>
      </c>
      <c r="AD4072" s="13">
        <v>43860</v>
      </c>
      <c r="AE4072" s="12" t="s">
        <v>110</v>
      </c>
      <c r="AF4072" s="12" t="s">
        <v>4552</v>
      </c>
      <c r="AG4072" s="12" t="s">
        <v>81</v>
      </c>
      <c r="AH4072" s="1">
        <f>HYPERLINK("https://my.pitchbook.com?c=129346-93T","View Company Online")</f>
      </c>
    </row>
    <row r="4073">
      <c r="A4073" s="3" t="s">
        <v>20299</v>
      </c>
      <c r="B4073" s="3" t="s">
        <v>20300</v>
      </c>
      <c r="C4073" s="5" t="s">
        <v>36</v>
      </c>
      <c r="D4073" s="5" t="s">
        <v>36</v>
      </c>
      <c r="E4073" s="5" t="s">
        <v>36</v>
      </c>
      <c r="F4073" s="5" t="s">
        <v>36</v>
      </c>
      <c r="G4073" s="6" t="s">
        <v>36</v>
      </c>
      <c r="H4073" s="4" t="s">
        <v>36</v>
      </c>
      <c r="I4073" s="7" t="s">
        <v>36</v>
      </c>
      <c r="J4073" s="3" t="s">
        <v>36</v>
      </c>
      <c r="K4073" s="9" t="s">
        <v>36</v>
      </c>
      <c r="L4073" s="6" t="s">
        <v>122</v>
      </c>
      <c r="M4073" s="3" t="s">
        <v>36</v>
      </c>
      <c r="N4073" s="3" t="s">
        <v>122</v>
      </c>
      <c r="O4073" s="8" t="s">
        <v>36</v>
      </c>
      <c r="P4073" s="3" t="s">
        <v>36</v>
      </c>
      <c r="Q4073" s="3" t="s">
        <v>36</v>
      </c>
      <c r="R4073" s="3" t="s">
        <v>36</v>
      </c>
      <c r="S4073" s="3" t="s">
        <v>36</v>
      </c>
      <c r="T4073" s="3" t="s">
        <v>522</v>
      </c>
      <c r="U4073" s="3" t="s">
        <v>38</v>
      </c>
      <c r="V4073" s="3" t="s">
        <v>39</v>
      </c>
      <c r="W4073" s="3" t="s">
        <v>20301</v>
      </c>
      <c r="X4073" s="10" t="s">
        <v>20302</v>
      </c>
      <c r="Y4073" s="6" t="s">
        <v>321</v>
      </c>
      <c r="Z4073" s="4">
        <v>1.11</v>
      </c>
      <c r="AA4073" s="4" t="s">
        <v>36</v>
      </c>
      <c r="AB4073" s="3" t="s">
        <v>56</v>
      </c>
      <c r="AC4073" s="3" t="s">
        <v>20303</v>
      </c>
      <c r="AD4073" s="9">
        <v>43860</v>
      </c>
      <c r="AE4073" s="3" t="s">
        <v>110</v>
      </c>
      <c r="AF4073" s="3" t="s">
        <v>6214</v>
      </c>
      <c r="AG4073" s="3" t="s">
        <v>81</v>
      </c>
      <c r="AH4073" s="11">
        <f>HYPERLINK("https://my.pitchbook.com?c=136658-26T","View Company Online")</f>
      </c>
    </row>
    <row r="4074">
      <c r="A4074" s="12" t="s">
        <v>20304</v>
      </c>
      <c r="B4074" s="12" t="s">
        <v>20305</v>
      </c>
      <c r="C4074" s="19" t="s">
        <v>36</v>
      </c>
      <c r="D4074" s="19">
        <v>2</v>
      </c>
      <c r="E4074" s="19">
        <v>1</v>
      </c>
      <c r="F4074" s="19">
        <v>3</v>
      </c>
      <c r="G4074" s="15" t="s">
        <v>36</v>
      </c>
      <c r="H4074" s="14" t="s">
        <v>36</v>
      </c>
      <c r="I4074" s="18" t="s">
        <v>36</v>
      </c>
      <c r="J4074" s="12" t="s">
        <v>36</v>
      </c>
      <c r="K4074" s="13" t="s">
        <v>36</v>
      </c>
      <c r="L4074" s="15" t="s">
        <v>122</v>
      </c>
      <c r="M4074" s="12" t="s">
        <v>36</v>
      </c>
      <c r="N4074" s="12" t="s">
        <v>122</v>
      </c>
      <c r="O4074" s="17" t="s">
        <v>36</v>
      </c>
      <c r="P4074" s="12" t="s">
        <v>36</v>
      </c>
      <c r="Q4074" s="12" t="s">
        <v>36</v>
      </c>
      <c r="R4074" s="12" t="s">
        <v>36</v>
      </c>
      <c r="S4074" s="12" t="s">
        <v>36</v>
      </c>
      <c r="T4074" s="12" t="s">
        <v>522</v>
      </c>
      <c r="U4074" s="12" t="s">
        <v>38</v>
      </c>
      <c r="V4074" s="12" t="s">
        <v>39</v>
      </c>
      <c r="W4074" s="12" t="s">
        <v>20306</v>
      </c>
      <c r="X4074" s="16" t="s">
        <v>20307</v>
      </c>
      <c r="Y4074" s="15" t="s">
        <v>42</v>
      </c>
      <c r="Z4074" s="14">
        <v>16</v>
      </c>
      <c r="AA4074" s="14" t="s">
        <v>36</v>
      </c>
      <c r="AB4074" s="12" t="s">
        <v>56</v>
      </c>
      <c r="AC4074" s="12" t="s">
        <v>20308</v>
      </c>
      <c r="AD4074" s="13">
        <v>43860</v>
      </c>
      <c r="AE4074" s="12" t="s">
        <v>110</v>
      </c>
      <c r="AF4074" s="12" t="s">
        <v>526</v>
      </c>
      <c r="AG4074" s="12" t="s">
        <v>81</v>
      </c>
      <c r="AH4074" s="1">
        <f>HYPERLINK("https://my.pitchbook.com?c=131173-84T","View Company Online")</f>
      </c>
    </row>
    <row r="4075">
      <c r="A4075" s="3" t="s">
        <v>20309</v>
      </c>
      <c r="B4075" s="3" t="s">
        <v>20310</v>
      </c>
      <c r="C4075" s="5" t="s">
        <v>36</v>
      </c>
      <c r="D4075" s="5" t="s">
        <v>36</v>
      </c>
      <c r="E4075" s="5" t="s">
        <v>36</v>
      </c>
      <c r="F4075" s="5" t="s">
        <v>36</v>
      </c>
      <c r="G4075" s="6" t="s">
        <v>36</v>
      </c>
      <c r="H4075" s="4">
        <v>10.39</v>
      </c>
      <c r="I4075" s="7">
        <v>29.41</v>
      </c>
      <c r="J4075" s="3" t="s">
        <v>521</v>
      </c>
      <c r="K4075" s="9" t="s">
        <v>36</v>
      </c>
      <c r="L4075" s="6" t="s">
        <v>36</v>
      </c>
      <c r="M4075" s="3" t="s">
        <v>36</v>
      </c>
      <c r="N4075" s="3" t="s">
        <v>36</v>
      </c>
      <c r="O4075" s="8" t="s">
        <v>36</v>
      </c>
      <c r="P4075" s="3" t="s">
        <v>36</v>
      </c>
      <c r="Q4075" s="3" t="s">
        <v>36</v>
      </c>
      <c r="R4075" s="3" t="s">
        <v>36</v>
      </c>
      <c r="S4075" s="3" t="s">
        <v>36</v>
      </c>
      <c r="T4075" s="3" t="s">
        <v>20311</v>
      </c>
      <c r="U4075" s="3" t="s">
        <v>219</v>
      </c>
      <c r="V4075" s="3" t="s">
        <v>75</v>
      </c>
      <c r="W4075" s="3" t="s">
        <v>20312</v>
      </c>
      <c r="X4075" s="10" t="s">
        <v>20313</v>
      </c>
      <c r="Y4075" s="6" t="s">
        <v>42</v>
      </c>
      <c r="Z4075" s="4">
        <v>0.89</v>
      </c>
      <c r="AA4075" s="4">
        <v>1.89</v>
      </c>
      <c r="AB4075" s="3" t="s">
        <v>43</v>
      </c>
      <c r="AC4075" s="3" t="s">
        <v>20314</v>
      </c>
      <c r="AD4075" s="9">
        <v>43859</v>
      </c>
      <c r="AE4075" s="3" t="s">
        <v>2914</v>
      </c>
      <c r="AF4075" s="3" t="s">
        <v>90</v>
      </c>
      <c r="AG4075" s="3" t="s">
        <v>1353</v>
      </c>
      <c r="AH4075" s="11">
        <f>HYPERLINK("https://my.pitchbook.com?c=168800-59T","View Company Online")</f>
      </c>
    </row>
    <row r="4076">
      <c r="A4076" s="12" t="s">
        <v>20315</v>
      </c>
      <c r="B4076" s="12" t="s">
        <v>12266</v>
      </c>
      <c r="C4076" s="19" t="s">
        <v>36</v>
      </c>
      <c r="D4076" s="19" t="s">
        <v>36</v>
      </c>
      <c r="E4076" s="19" t="s">
        <v>36</v>
      </c>
      <c r="F4076" s="19" t="s">
        <v>36</v>
      </c>
      <c r="G4076" s="15" t="s">
        <v>326</v>
      </c>
      <c r="H4076" s="14">
        <v>163.36</v>
      </c>
      <c r="I4076" s="18">
        <v>21.99</v>
      </c>
      <c r="J4076" s="12" t="s">
        <v>521</v>
      </c>
      <c r="K4076" s="13" t="s">
        <v>36</v>
      </c>
      <c r="L4076" s="15" t="s">
        <v>36</v>
      </c>
      <c r="M4076" s="12" t="s">
        <v>36</v>
      </c>
      <c r="N4076" s="12" t="s">
        <v>36</v>
      </c>
      <c r="O4076" s="17" t="s">
        <v>36</v>
      </c>
      <c r="P4076" s="12" t="s">
        <v>36</v>
      </c>
      <c r="Q4076" s="12" t="s">
        <v>36</v>
      </c>
      <c r="R4076" s="12" t="s">
        <v>36</v>
      </c>
      <c r="S4076" s="12" t="s">
        <v>36</v>
      </c>
      <c r="T4076" s="12" t="s">
        <v>6159</v>
      </c>
      <c r="U4076" s="12" t="s">
        <v>648</v>
      </c>
      <c r="V4076" s="12" t="s">
        <v>64</v>
      </c>
      <c r="W4076" s="12" t="s">
        <v>12267</v>
      </c>
      <c r="X4076" s="16" t="s">
        <v>20316</v>
      </c>
      <c r="Y4076" s="15" t="s">
        <v>42</v>
      </c>
      <c r="Z4076" s="14">
        <v>0.62</v>
      </c>
      <c r="AA4076" s="14">
        <v>2.83</v>
      </c>
      <c r="AB4076" s="12" t="s">
        <v>43</v>
      </c>
      <c r="AC4076" s="12" t="s">
        <v>12269</v>
      </c>
      <c r="AD4076" s="13">
        <v>43859</v>
      </c>
      <c r="AE4076" s="12" t="s">
        <v>3988</v>
      </c>
      <c r="AF4076" s="12" t="s">
        <v>12201</v>
      </c>
      <c r="AG4076" s="12" t="s">
        <v>2760</v>
      </c>
      <c r="AH4076" s="1">
        <f>HYPERLINK("https://my.pitchbook.com?c=202598-38T","View Company Online")</f>
      </c>
    </row>
    <row r="4077">
      <c r="A4077" s="3" t="s">
        <v>20317</v>
      </c>
      <c r="B4077" s="3" t="s">
        <v>8319</v>
      </c>
      <c r="C4077" s="5" t="s">
        <v>36</v>
      </c>
      <c r="D4077" s="5" t="s">
        <v>36</v>
      </c>
      <c r="E4077" s="5" t="s">
        <v>36</v>
      </c>
      <c r="F4077" s="5" t="s">
        <v>36</v>
      </c>
      <c r="G4077" s="6" t="s">
        <v>36</v>
      </c>
      <c r="H4077" s="4">
        <v>1959.56</v>
      </c>
      <c r="I4077" s="7">
        <v>11.13</v>
      </c>
      <c r="J4077" s="3" t="s">
        <v>521</v>
      </c>
      <c r="K4077" s="9" t="s">
        <v>36</v>
      </c>
      <c r="L4077" s="6" t="s">
        <v>36</v>
      </c>
      <c r="M4077" s="3" t="s">
        <v>36</v>
      </c>
      <c r="N4077" s="3" t="s">
        <v>36</v>
      </c>
      <c r="O4077" s="8" t="s">
        <v>36</v>
      </c>
      <c r="P4077" s="3" t="s">
        <v>36</v>
      </c>
      <c r="Q4077" s="3" t="s">
        <v>36</v>
      </c>
      <c r="R4077" s="3" t="s">
        <v>36</v>
      </c>
      <c r="S4077" s="3" t="s">
        <v>36</v>
      </c>
      <c r="T4077" s="3" t="s">
        <v>2967</v>
      </c>
      <c r="U4077" s="3" t="s">
        <v>38</v>
      </c>
      <c r="V4077" s="3" t="s">
        <v>39</v>
      </c>
      <c r="W4077" s="3" t="s">
        <v>8320</v>
      </c>
      <c r="X4077" s="10" t="s">
        <v>2229</v>
      </c>
      <c r="Y4077" s="6" t="s">
        <v>55</v>
      </c>
      <c r="Z4077" s="4">
        <v>1.11</v>
      </c>
      <c r="AA4077" s="4">
        <v>10.01</v>
      </c>
      <c r="AB4077" s="3" t="s">
        <v>43</v>
      </c>
      <c r="AC4077" s="3" t="s">
        <v>8322</v>
      </c>
      <c r="AD4077" s="9">
        <v>43859</v>
      </c>
      <c r="AE4077" s="3" t="s">
        <v>110</v>
      </c>
      <c r="AF4077" s="3" t="s">
        <v>4276</v>
      </c>
      <c r="AG4077" s="3" t="s">
        <v>81</v>
      </c>
      <c r="AH4077" s="11">
        <f>HYPERLINK("https://my.pitchbook.com?c=132049-90T","View Company Online")</f>
      </c>
    </row>
    <row r="4078">
      <c r="A4078" s="12" t="s">
        <v>20318</v>
      </c>
      <c r="B4078" s="12" t="s">
        <v>20319</v>
      </c>
      <c r="C4078" s="19" t="s">
        <v>36</v>
      </c>
      <c r="D4078" s="19" t="s">
        <v>36</v>
      </c>
      <c r="E4078" s="19" t="s">
        <v>36</v>
      </c>
      <c r="F4078" s="19" t="s">
        <v>36</v>
      </c>
      <c r="G4078" s="15" t="s">
        <v>36</v>
      </c>
      <c r="H4078" s="14">
        <v>15.58</v>
      </c>
      <c r="I4078" s="18">
        <v>25.93</v>
      </c>
      <c r="J4078" s="12" t="s">
        <v>521</v>
      </c>
      <c r="K4078" s="13" t="s">
        <v>36</v>
      </c>
      <c r="L4078" s="15" t="s">
        <v>36</v>
      </c>
      <c r="M4078" s="12" t="s">
        <v>36</v>
      </c>
      <c r="N4078" s="12" t="s">
        <v>36</v>
      </c>
      <c r="O4078" s="17" t="s">
        <v>36</v>
      </c>
      <c r="P4078" s="12" t="s">
        <v>36</v>
      </c>
      <c r="Q4078" s="12" t="s">
        <v>36</v>
      </c>
      <c r="R4078" s="12" t="s">
        <v>36</v>
      </c>
      <c r="S4078" s="12" t="s">
        <v>36</v>
      </c>
      <c r="T4078" s="12" t="s">
        <v>1162</v>
      </c>
      <c r="U4078" s="12" t="s">
        <v>423</v>
      </c>
      <c r="V4078" s="12" t="s">
        <v>64</v>
      </c>
      <c r="W4078" s="12" t="s">
        <v>20320</v>
      </c>
      <c r="X4078" s="16" t="s">
        <v>20321</v>
      </c>
      <c r="Y4078" s="15" t="s">
        <v>42</v>
      </c>
      <c r="Z4078" s="14">
        <v>0.89</v>
      </c>
      <c r="AA4078" s="14">
        <v>2.25</v>
      </c>
      <c r="AB4078" s="12" t="s">
        <v>43</v>
      </c>
      <c r="AC4078" s="12" t="s">
        <v>20322</v>
      </c>
      <c r="AD4078" s="13">
        <v>43859</v>
      </c>
      <c r="AE4078" s="12" t="s">
        <v>562</v>
      </c>
      <c r="AF4078" s="12" t="s">
        <v>938</v>
      </c>
      <c r="AG4078" s="12" t="s">
        <v>102</v>
      </c>
      <c r="AH4078" s="1">
        <f>HYPERLINK("https://my.pitchbook.com?c=159047-29T","View Company Online")</f>
      </c>
    </row>
    <row r="4079">
      <c r="A4079" s="3" t="s">
        <v>20323</v>
      </c>
      <c r="B4079" s="3" t="s">
        <v>16650</v>
      </c>
      <c r="C4079" s="5" t="s">
        <v>36</v>
      </c>
      <c r="D4079" s="5" t="s">
        <v>36</v>
      </c>
      <c r="E4079" s="5">
        <v>4</v>
      </c>
      <c r="F4079" s="5">
        <v>4</v>
      </c>
      <c r="G4079" s="6" t="s">
        <v>36</v>
      </c>
      <c r="H4079" s="4">
        <v>1.84</v>
      </c>
      <c r="I4079" s="7">
        <v>41.06</v>
      </c>
      <c r="J4079" s="3" t="s">
        <v>521</v>
      </c>
      <c r="K4079" s="9" t="s">
        <v>36</v>
      </c>
      <c r="L4079" s="6" t="s">
        <v>36</v>
      </c>
      <c r="M4079" s="3" t="s">
        <v>36</v>
      </c>
      <c r="N4079" s="3" t="s">
        <v>36</v>
      </c>
      <c r="O4079" s="8" t="s">
        <v>36</v>
      </c>
      <c r="P4079" s="3" t="s">
        <v>36</v>
      </c>
      <c r="Q4079" s="3" t="s">
        <v>36</v>
      </c>
      <c r="R4079" s="3" t="s">
        <v>36</v>
      </c>
      <c r="S4079" s="3" t="s">
        <v>36</v>
      </c>
      <c r="T4079" s="3" t="s">
        <v>522</v>
      </c>
      <c r="U4079" s="3" t="s">
        <v>38</v>
      </c>
      <c r="V4079" s="3" t="s">
        <v>39</v>
      </c>
      <c r="W4079" s="3" t="s">
        <v>16651</v>
      </c>
      <c r="X4079" s="10" t="s">
        <v>20324</v>
      </c>
      <c r="Y4079" s="6" t="s">
        <v>42</v>
      </c>
      <c r="Z4079" s="4">
        <v>1.65</v>
      </c>
      <c r="AA4079" s="4">
        <v>4.02</v>
      </c>
      <c r="AB4079" s="3" t="s">
        <v>43</v>
      </c>
      <c r="AC4079" s="3" t="s">
        <v>16653</v>
      </c>
      <c r="AD4079" s="9">
        <v>43859</v>
      </c>
      <c r="AE4079" s="3" t="s">
        <v>110</v>
      </c>
      <c r="AF4079" s="3" t="s">
        <v>905</v>
      </c>
      <c r="AG4079" s="3" t="s">
        <v>81</v>
      </c>
      <c r="AH4079" s="11">
        <f>HYPERLINK("https://my.pitchbook.com?c=133245-91T","View Company Online")</f>
      </c>
    </row>
    <row r="4080">
      <c r="A4080" s="12" t="s">
        <v>20325</v>
      </c>
      <c r="B4080" s="12" t="s">
        <v>14337</v>
      </c>
      <c r="C4080" s="19" t="s">
        <v>36</v>
      </c>
      <c r="D4080" s="19">
        <v>15</v>
      </c>
      <c r="E4080" s="19">
        <v>6</v>
      </c>
      <c r="F4080" s="19">
        <v>26</v>
      </c>
      <c r="G4080" s="15" t="s">
        <v>36</v>
      </c>
      <c r="H4080" s="14">
        <v>19.58</v>
      </c>
      <c r="I4080" s="18">
        <v>9.19</v>
      </c>
      <c r="J4080" s="12" t="s">
        <v>521</v>
      </c>
      <c r="K4080" s="13" t="s">
        <v>36</v>
      </c>
      <c r="L4080" s="15" t="s">
        <v>36</v>
      </c>
      <c r="M4080" s="12" t="s">
        <v>36</v>
      </c>
      <c r="N4080" s="12" t="s">
        <v>36</v>
      </c>
      <c r="O4080" s="17" t="s">
        <v>36</v>
      </c>
      <c r="P4080" s="12" t="s">
        <v>36</v>
      </c>
      <c r="Q4080" s="12" t="s">
        <v>36</v>
      </c>
      <c r="R4080" s="12" t="s">
        <v>36</v>
      </c>
      <c r="S4080" s="12" t="s">
        <v>36</v>
      </c>
      <c r="T4080" s="12" t="s">
        <v>14338</v>
      </c>
      <c r="U4080" s="12" t="s">
        <v>423</v>
      </c>
      <c r="V4080" s="12" t="s">
        <v>64</v>
      </c>
      <c r="W4080" s="12" t="s">
        <v>14339</v>
      </c>
      <c r="X4080" s="16" t="s">
        <v>20326</v>
      </c>
      <c r="Y4080" s="15" t="s">
        <v>108</v>
      </c>
      <c r="Z4080" s="14">
        <v>5</v>
      </c>
      <c r="AA4080" s="14">
        <v>54.44</v>
      </c>
      <c r="AB4080" s="12" t="s">
        <v>56</v>
      </c>
      <c r="AC4080" s="12" t="s">
        <v>14341</v>
      </c>
      <c r="AD4080" s="13">
        <v>43858</v>
      </c>
      <c r="AE4080" s="12" t="s">
        <v>1051</v>
      </c>
      <c r="AF4080" s="12" t="s">
        <v>14342</v>
      </c>
      <c r="AG4080" s="12" t="s">
        <v>81</v>
      </c>
      <c r="AH4080" s="1">
        <f>HYPERLINK("https://my.pitchbook.com?c=39406-78T","View Company Online")</f>
      </c>
    </row>
    <row r="4081">
      <c r="A4081" s="3" t="s">
        <v>20327</v>
      </c>
      <c r="B4081" s="3" t="s">
        <v>1080</v>
      </c>
      <c r="C4081" s="5" t="s">
        <v>36</v>
      </c>
      <c r="D4081" s="5" t="s">
        <v>36</v>
      </c>
      <c r="E4081" s="5" t="s">
        <v>36</v>
      </c>
      <c r="F4081" s="5" t="s">
        <v>36</v>
      </c>
      <c r="G4081" s="6" t="s">
        <v>36</v>
      </c>
      <c r="H4081" s="4" t="s">
        <v>36</v>
      </c>
      <c r="I4081" s="7" t="s">
        <v>36</v>
      </c>
      <c r="J4081" s="3" t="s">
        <v>36</v>
      </c>
      <c r="K4081" s="9" t="s">
        <v>36</v>
      </c>
      <c r="L4081" s="6" t="s">
        <v>36</v>
      </c>
      <c r="M4081" s="3" t="s">
        <v>36</v>
      </c>
      <c r="N4081" s="3" t="s">
        <v>36</v>
      </c>
      <c r="O4081" s="8" t="s">
        <v>36</v>
      </c>
      <c r="P4081" s="3" t="s">
        <v>36</v>
      </c>
      <c r="Q4081" s="3" t="s">
        <v>36</v>
      </c>
      <c r="R4081" s="3" t="s">
        <v>36</v>
      </c>
      <c r="S4081" s="3" t="s">
        <v>36</v>
      </c>
      <c r="T4081" s="3" t="s">
        <v>1081</v>
      </c>
      <c r="U4081" s="3" t="s">
        <v>1082</v>
      </c>
      <c r="V4081" s="3" t="s">
        <v>378</v>
      </c>
      <c r="W4081" s="3" t="s">
        <v>1083</v>
      </c>
      <c r="X4081" s="10" t="s">
        <v>20328</v>
      </c>
      <c r="Y4081" s="6" t="s">
        <v>108</v>
      </c>
      <c r="Z4081" s="4">
        <v>1.11</v>
      </c>
      <c r="AA4081" s="4" t="s">
        <v>36</v>
      </c>
      <c r="AB4081" s="3" t="s">
        <v>43</v>
      </c>
      <c r="AC4081" s="3" t="s">
        <v>1085</v>
      </c>
      <c r="AD4081" s="9">
        <v>43858</v>
      </c>
      <c r="AE4081" s="3" t="s">
        <v>1086</v>
      </c>
      <c r="AF4081" s="3" t="s">
        <v>1087</v>
      </c>
      <c r="AG4081" s="3" t="s">
        <v>102</v>
      </c>
      <c r="AH4081" s="11">
        <f>HYPERLINK("https://my.pitchbook.com?c=177299-02T","View Company Online")</f>
      </c>
    </row>
    <row r="4082">
      <c r="A4082" s="12" t="s">
        <v>20329</v>
      </c>
      <c r="B4082" s="12" t="s">
        <v>15953</v>
      </c>
      <c r="C4082" s="19" t="s">
        <v>36</v>
      </c>
      <c r="D4082" s="19" t="s">
        <v>36</v>
      </c>
      <c r="E4082" s="19" t="s">
        <v>36</v>
      </c>
      <c r="F4082" s="19" t="s">
        <v>36</v>
      </c>
      <c r="G4082" s="15" t="s">
        <v>36</v>
      </c>
      <c r="H4082" s="14">
        <v>27.58</v>
      </c>
      <c r="I4082" s="18">
        <v>21.82</v>
      </c>
      <c r="J4082" s="12" t="s">
        <v>521</v>
      </c>
      <c r="K4082" s="13" t="s">
        <v>36</v>
      </c>
      <c r="L4082" s="15" t="s">
        <v>12462</v>
      </c>
      <c r="M4082" s="12" t="s">
        <v>36</v>
      </c>
      <c r="N4082" s="12" t="s">
        <v>12462</v>
      </c>
      <c r="O4082" s="17" t="s">
        <v>36</v>
      </c>
      <c r="P4082" s="12" t="s">
        <v>36</v>
      </c>
      <c r="Q4082" s="12" t="s">
        <v>36</v>
      </c>
      <c r="R4082" s="12" t="s">
        <v>36</v>
      </c>
      <c r="S4082" s="12" t="s">
        <v>36</v>
      </c>
      <c r="T4082" s="12" t="s">
        <v>3168</v>
      </c>
      <c r="U4082" s="12" t="s">
        <v>289</v>
      </c>
      <c r="V4082" s="12" t="s">
        <v>64</v>
      </c>
      <c r="W4082" s="12" t="s">
        <v>15954</v>
      </c>
      <c r="X4082" s="16" t="s">
        <v>20330</v>
      </c>
      <c r="Y4082" s="15" t="s">
        <v>166</v>
      </c>
      <c r="Z4082" s="14">
        <v>139.18</v>
      </c>
      <c r="AA4082" s="14">
        <v>637.76</v>
      </c>
      <c r="AB4082" s="12" t="s">
        <v>56</v>
      </c>
      <c r="AC4082" s="12" t="s">
        <v>15956</v>
      </c>
      <c r="AD4082" s="13">
        <v>43858</v>
      </c>
      <c r="AE4082" s="12" t="s">
        <v>3134</v>
      </c>
      <c r="AF4082" s="12" t="s">
        <v>90</v>
      </c>
      <c r="AG4082" s="12" t="s">
        <v>81</v>
      </c>
      <c r="AH4082" s="1">
        <f>HYPERLINK("https://my.pitchbook.com?c=130777-12T","View Company Online")</f>
      </c>
    </row>
    <row r="4083">
      <c r="A4083" s="3" t="s">
        <v>20331</v>
      </c>
      <c r="B4083" s="3" t="s">
        <v>19950</v>
      </c>
      <c r="C4083" s="5" t="s">
        <v>36</v>
      </c>
      <c r="D4083" s="5">
        <v>2</v>
      </c>
      <c r="E4083" s="5">
        <v>1</v>
      </c>
      <c r="F4083" s="5">
        <v>2</v>
      </c>
      <c r="G4083" s="6" t="s">
        <v>36</v>
      </c>
      <c r="H4083" s="4" t="s">
        <v>36</v>
      </c>
      <c r="I4083" s="7" t="s">
        <v>36</v>
      </c>
      <c r="J4083" s="3" t="s">
        <v>36</v>
      </c>
      <c r="K4083" s="9" t="s">
        <v>36</v>
      </c>
      <c r="L4083" s="6" t="s">
        <v>36</v>
      </c>
      <c r="M4083" s="3" t="s">
        <v>36</v>
      </c>
      <c r="N4083" s="3" t="s">
        <v>36</v>
      </c>
      <c r="O4083" s="8" t="s">
        <v>36</v>
      </c>
      <c r="P4083" s="3" t="s">
        <v>36</v>
      </c>
      <c r="Q4083" s="3" t="s">
        <v>36</v>
      </c>
      <c r="R4083" s="3" t="s">
        <v>36</v>
      </c>
      <c r="S4083" s="3" t="s">
        <v>36</v>
      </c>
      <c r="T4083" s="3" t="s">
        <v>19951</v>
      </c>
      <c r="U4083" s="3" t="s">
        <v>38</v>
      </c>
      <c r="V4083" s="3" t="s">
        <v>39</v>
      </c>
      <c r="W4083" s="3" t="s">
        <v>19952</v>
      </c>
      <c r="X4083" s="10" t="s">
        <v>20332</v>
      </c>
      <c r="Y4083" s="6" t="s">
        <v>166</v>
      </c>
      <c r="Z4083" s="4" t="s">
        <v>36</v>
      </c>
      <c r="AA4083" s="4" t="s">
        <v>36</v>
      </c>
      <c r="AB4083" s="3" t="s">
        <v>56</v>
      </c>
      <c r="AC4083" s="3" t="s">
        <v>19954</v>
      </c>
      <c r="AD4083" s="9">
        <v>43858</v>
      </c>
      <c r="AE4083" s="3" t="s">
        <v>1945</v>
      </c>
      <c r="AF4083" s="3" t="s">
        <v>19955</v>
      </c>
      <c r="AG4083" s="3" t="s">
        <v>81</v>
      </c>
      <c r="AH4083" s="11">
        <f>HYPERLINK("https://my.pitchbook.com?c=168769-27T","View Company Online")</f>
      </c>
    </row>
    <row r="4084">
      <c r="A4084" s="12" t="s">
        <v>20333</v>
      </c>
      <c r="B4084" s="12" t="s">
        <v>13475</v>
      </c>
      <c r="C4084" s="19" t="s">
        <v>36</v>
      </c>
      <c r="D4084" s="19" t="s">
        <v>36</v>
      </c>
      <c r="E4084" s="19" t="s">
        <v>36</v>
      </c>
      <c r="F4084" s="19" t="s">
        <v>36</v>
      </c>
      <c r="G4084" s="15" t="s">
        <v>36</v>
      </c>
      <c r="H4084" s="14" t="s">
        <v>36</v>
      </c>
      <c r="I4084" s="18" t="s">
        <v>36</v>
      </c>
      <c r="J4084" s="12" t="s">
        <v>36</v>
      </c>
      <c r="K4084" s="13" t="s">
        <v>36</v>
      </c>
      <c r="L4084" s="15" t="s">
        <v>36</v>
      </c>
      <c r="M4084" s="12" t="s">
        <v>36</v>
      </c>
      <c r="N4084" s="12" t="s">
        <v>36</v>
      </c>
      <c r="O4084" s="17" t="s">
        <v>36</v>
      </c>
      <c r="P4084" s="12" t="s">
        <v>36</v>
      </c>
      <c r="Q4084" s="12" t="s">
        <v>36</v>
      </c>
      <c r="R4084" s="12" t="s">
        <v>36</v>
      </c>
      <c r="S4084" s="12" t="s">
        <v>36</v>
      </c>
      <c r="T4084" s="12" t="s">
        <v>13476</v>
      </c>
      <c r="U4084" s="12" t="s">
        <v>648</v>
      </c>
      <c r="V4084" s="12" t="s">
        <v>64</v>
      </c>
      <c r="W4084" s="12" t="s">
        <v>13477</v>
      </c>
      <c r="X4084" s="16" t="s">
        <v>20334</v>
      </c>
      <c r="Y4084" s="15" t="s">
        <v>55</v>
      </c>
      <c r="Z4084" s="14">
        <v>2.22</v>
      </c>
      <c r="AA4084" s="14" t="s">
        <v>36</v>
      </c>
      <c r="AB4084" s="12" t="s">
        <v>43</v>
      </c>
      <c r="AC4084" s="12" t="s">
        <v>13479</v>
      </c>
      <c r="AD4084" s="13">
        <v>43858</v>
      </c>
      <c r="AE4084" s="12" t="s">
        <v>651</v>
      </c>
      <c r="AF4084" s="12" t="s">
        <v>36</v>
      </c>
      <c r="AG4084" s="12" t="s">
        <v>81</v>
      </c>
      <c r="AH4084" s="1">
        <f>HYPERLINK("https://my.pitchbook.com?c=135535-15T","View Company Online")</f>
      </c>
    </row>
    <row r="4085">
      <c r="A4085" s="3" t="s">
        <v>20335</v>
      </c>
      <c r="B4085" s="3" t="s">
        <v>20336</v>
      </c>
      <c r="C4085" s="5" t="s">
        <v>36</v>
      </c>
      <c r="D4085" s="5" t="s">
        <v>36</v>
      </c>
      <c r="E4085" s="5" t="s">
        <v>36</v>
      </c>
      <c r="F4085" s="5" t="s">
        <v>36</v>
      </c>
      <c r="G4085" s="6" t="s">
        <v>36</v>
      </c>
      <c r="H4085" s="4" t="s">
        <v>36</v>
      </c>
      <c r="I4085" s="7" t="s">
        <v>36</v>
      </c>
      <c r="J4085" s="3" t="s">
        <v>36</v>
      </c>
      <c r="K4085" s="9" t="s">
        <v>36</v>
      </c>
      <c r="L4085" s="6" t="s">
        <v>36</v>
      </c>
      <c r="M4085" s="3" t="s">
        <v>36</v>
      </c>
      <c r="N4085" s="3" t="s">
        <v>36</v>
      </c>
      <c r="O4085" s="8" t="s">
        <v>36</v>
      </c>
      <c r="P4085" s="3" t="s">
        <v>36</v>
      </c>
      <c r="Q4085" s="3" t="s">
        <v>36</v>
      </c>
      <c r="R4085" s="3" t="s">
        <v>36</v>
      </c>
      <c r="S4085" s="3" t="s">
        <v>36</v>
      </c>
      <c r="T4085" s="3" t="s">
        <v>8394</v>
      </c>
      <c r="U4085" s="3" t="s">
        <v>85</v>
      </c>
      <c r="V4085" s="3" t="s">
        <v>64</v>
      </c>
      <c r="W4085" s="3" t="s">
        <v>20337</v>
      </c>
      <c r="X4085" s="10" t="s">
        <v>19677</v>
      </c>
      <c r="Y4085" s="6" t="s">
        <v>55</v>
      </c>
      <c r="Z4085" s="4" t="s">
        <v>36</v>
      </c>
      <c r="AA4085" s="4" t="s">
        <v>36</v>
      </c>
      <c r="AB4085" s="3" t="s">
        <v>43</v>
      </c>
      <c r="AC4085" s="3" t="s">
        <v>20338</v>
      </c>
      <c r="AD4085" s="9">
        <v>43858</v>
      </c>
      <c r="AE4085" s="3" t="s">
        <v>89</v>
      </c>
      <c r="AF4085" s="3" t="s">
        <v>20339</v>
      </c>
      <c r="AG4085" s="3" t="s">
        <v>20340</v>
      </c>
      <c r="AH4085" s="11">
        <f>HYPERLINK("https://my.pitchbook.com?c=139231-36T","View Company Online")</f>
      </c>
    </row>
    <row r="4086">
      <c r="A4086" s="12" t="s">
        <v>20341</v>
      </c>
      <c r="B4086" s="12" t="s">
        <v>12033</v>
      </c>
      <c r="C4086" s="19" t="s">
        <v>36</v>
      </c>
      <c r="D4086" s="19" t="s">
        <v>36</v>
      </c>
      <c r="E4086" s="19" t="s">
        <v>36</v>
      </c>
      <c r="F4086" s="19" t="s">
        <v>36</v>
      </c>
      <c r="G4086" s="15" t="s">
        <v>36</v>
      </c>
      <c r="H4086" s="14" t="s">
        <v>36</v>
      </c>
      <c r="I4086" s="18" t="s">
        <v>36</v>
      </c>
      <c r="J4086" s="12" t="s">
        <v>36</v>
      </c>
      <c r="K4086" s="13" t="s">
        <v>36</v>
      </c>
      <c r="L4086" s="15" t="s">
        <v>36</v>
      </c>
      <c r="M4086" s="12" t="s">
        <v>36</v>
      </c>
      <c r="N4086" s="12" t="s">
        <v>36</v>
      </c>
      <c r="O4086" s="17" t="s">
        <v>36</v>
      </c>
      <c r="P4086" s="12" t="s">
        <v>36</v>
      </c>
      <c r="Q4086" s="12" t="s">
        <v>36</v>
      </c>
      <c r="R4086" s="12" t="s">
        <v>36</v>
      </c>
      <c r="S4086" s="12" t="s">
        <v>36</v>
      </c>
      <c r="T4086" s="12" t="s">
        <v>4648</v>
      </c>
      <c r="U4086" s="12" t="s">
        <v>74</v>
      </c>
      <c r="V4086" s="12" t="s">
        <v>75</v>
      </c>
      <c r="W4086" s="12" t="s">
        <v>12034</v>
      </c>
      <c r="X4086" s="16" t="s">
        <v>8450</v>
      </c>
      <c r="Y4086" s="15" t="s">
        <v>55</v>
      </c>
      <c r="Z4086" s="14" t="s">
        <v>36</v>
      </c>
      <c r="AA4086" s="14" t="s">
        <v>36</v>
      </c>
      <c r="AB4086" s="12" t="s">
        <v>43</v>
      </c>
      <c r="AC4086" s="12" t="s">
        <v>12036</v>
      </c>
      <c r="AD4086" s="13">
        <v>43857</v>
      </c>
      <c r="AE4086" s="12" t="s">
        <v>362</v>
      </c>
      <c r="AF4086" s="12" t="s">
        <v>12037</v>
      </c>
      <c r="AG4086" s="12" t="s">
        <v>81</v>
      </c>
      <c r="AH4086" s="1">
        <f>HYPERLINK("https://my.pitchbook.com?c=226109-35T","View Company Online")</f>
      </c>
    </row>
    <row r="4087">
      <c r="A4087" s="3" t="s">
        <v>20342</v>
      </c>
      <c r="B4087" s="3" t="s">
        <v>20343</v>
      </c>
      <c r="C4087" s="5" t="s">
        <v>36</v>
      </c>
      <c r="D4087" s="5" t="s">
        <v>36</v>
      </c>
      <c r="E4087" s="5" t="s">
        <v>36</v>
      </c>
      <c r="F4087" s="5" t="s">
        <v>36</v>
      </c>
      <c r="G4087" s="6" t="s">
        <v>683</v>
      </c>
      <c r="H4087" s="4">
        <v>14.54</v>
      </c>
      <c r="I4087" s="7">
        <v>23.83</v>
      </c>
      <c r="J4087" s="3" t="s">
        <v>521</v>
      </c>
      <c r="K4087" s="9" t="s">
        <v>36</v>
      </c>
      <c r="L4087" s="6" t="s">
        <v>36</v>
      </c>
      <c r="M4087" s="3" t="s">
        <v>36</v>
      </c>
      <c r="N4087" s="3" t="s">
        <v>36</v>
      </c>
      <c r="O4087" s="8" t="s">
        <v>36</v>
      </c>
      <c r="P4087" s="3" t="s">
        <v>36</v>
      </c>
      <c r="Q4087" s="3" t="s">
        <v>36</v>
      </c>
      <c r="R4087" s="3" t="s">
        <v>36</v>
      </c>
      <c r="S4087" s="3" t="s">
        <v>36</v>
      </c>
      <c r="T4087" s="3" t="s">
        <v>522</v>
      </c>
      <c r="U4087" s="3" t="s">
        <v>38</v>
      </c>
      <c r="V4087" s="3" t="s">
        <v>39</v>
      </c>
      <c r="W4087" s="3" t="s">
        <v>20344</v>
      </c>
      <c r="X4087" s="10" t="s">
        <v>20345</v>
      </c>
      <c r="Y4087" s="6" t="s">
        <v>192</v>
      </c>
      <c r="Z4087" s="4">
        <v>1.67</v>
      </c>
      <c r="AA4087" s="4">
        <v>7</v>
      </c>
      <c r="AB4087" s="3" t="s">
        <v>56</v>
      </c>
      <c r="AC4087" s="3" t="s">
        <v>20346</v>
      </c>
      <c r="AD4087" s="9">
        <v>43857</v>
      </c>
      <c r="AE4087" s="3" t="s">
        <v>110</v>
      </c>
      <c r="AF4087" s="3" t="s">
        <v>2759</v>
      </c>
      <c r="AG4087" s="3" t="s">
        <v>186</v>
      </c>
      <c r="AH4087" s="11">
        <f>HYPERLINK("https://my.pitchbook.com?c=180455-32T","View Company Online")</f>
      </c>
    </row>
    <row r="4088">
      <c r="A4088" s="12" t="s">
        <v>20347</v>
      </c>
      <c r="B4088" s="12" t="s">
        <v>20348</v>
      </c>
      <c r="C4088" s="19" t="s">
        <v>36</v>
      </c>
      <c r="D4088" s="19" t="s">
        <v>36</v>
      </c>
      <c r="E4088" s="19">
        <v>4</v>
      </c>
      <c r="F4088" s="19">
        <v>4</v>
      </c>
      <c r="G4088" s="15" t="s">
        <v>36</v>
      </c>
      <c r="H4088" s="14">
        <v>118.23</v>
      </c>
      <c r="I4088" s="18">
        <v>4.3</v>
      </c>
      <c r="J4088" s="12" t="s">
        <v>521</v>
      </c>
      <c r="K4088" s="13" t="s">
        <v>36</v>
      </c>
      <c r="L4088" s="15" t="s">
        <v>36</v>
      </c>
      <c r="M4088" s="12" t="s">
        <v>36</v>
      </c>
      <c r="N4088" s="12" t="s">
        <v>36</v>
      </c>
      <c r="O4088" s="17" t="s">
        <v>36</v>
      </c>
      <c r="P4088" s="12" t="s">
        <v>36</v>
      </c>
      <c r="Q4088" s="12" t="s">
        <v>36</v>
      </c>
      <c r="R4088" s="12" t="s">
        <v>36</v>
      </c>
      <c r="S4088" s="12" t="s">
        <v>36</v>
      </c>
      <c r="T4088" s="12" t="s">
        <v>6002</v>
      </c>
      <c r="U4088" s="12" t="s">
        <v>619</v>
      </c>
      <c r="V4088" s="12" t="s">
        <v>378</v>
      </c>
      <c r="W4088" s="12" t="s">
        <v>20349</v>
      </c>
      <c r="X4088" s="16" t="s">
        <v>20350</v>
      </c>
      <c r="Y4088" s="15" t="s">
        <v>108</v>
      </c>
      <c r="Z4088" s="14">
        <v>22.25</v>
      </c>
      <c r="AA4088" s="14">
        <v>517.27</v>
      </c>
      <c r="AB4088" s="12" t="s">
        <v>56</v>
      </c>
      <c r="AC4088" s="12" t="s">
        <v>20351</v>
      </c>
      <c r="AD4088" s="13">
        <v>43857</v>
      </c>
      <c r="AE4088" s="12" t="s">
        <v>623</v>
      </c>
      <c r="AF4088" s="12" t="s">
        <v>2703</v>
      </c>
      <c r="AG4088" s="12" t="s">
        <v>20352</v>
      </c>
      <c r="AH4088" s="1">
        <f>HYPERLINK("https://my.pitchbook.com?c=137593-36T","View Company Online")</f>
      </c>
    </row>
    <row r="4089">
      <c r="A4089" s="3" t="s">
        <v>20353</v>
      </c>
      <c r="B4089" s="3" t="s">
        <v>13808</v>
      </c>
      <c r="C4089" s="5" t="s">
        <v>36</v>
      </c>
      <c r="D4089" s="5" t="s">
        <v>36</v>
      </c>
      <c r="E4089" s="5" t="s">
        <v>36</v>
      </c>
      <c r="F4089" s="5" t="s">
        <v>36</v>
      </c>
      <c r="G4089" s="6" t="s">
        <v>326</v>
      </c>
      <c r="H4089" s="4">
        <v>368.35</v>
      </c>
      <c r="I4089" s="7">
        <v>29.47</v>
      </c>
      <c r="J4089" s="3" t="s">
        <v>521</v>
      </c>
      <c r="K4089" s="9" t="s">
        <v>36</v>
      </c>
      <c r="L4089" s="6" t="s">
        <v>36</v>
      </c>
      <c r="M4089" s="3" t="s">
        <v>36</v>
      </c>
      <c r="N4089" s="3" t="s">
        <v>36</v>
      </c>
      <c r="O4089" s="8" t="s">
        <v>36</v>
      </c>
      <c r="P4089" s="3" t="s">
        <v>36</v>
      </c>
      <c r="Q4089" s="3" t="s">
        <v>36</v>
      </c>
      <c r="R4089" s="3" t="s">
        <v>36</v>
      </c>
      <c r="S4089" s="3" t="s">
        <v>36</v>
      </c>
      <c r="T4089" s="3" t="s">
        <v>2950</v>
      </c>
      <c r="U4089" s="3" t="s">
        <v>38</v>
      </c>
      <c r="V4089" s="3" t="s">
        <v>39</v>
      </c>
      <c r="W4089" s="3" t="s">
        <v>13809</v>
      </c>
      <c r="X4089" s="10" t="s">
        <v>20354</v>
      </c>
      <c r="Y4089" s="6" t="s">
        <v>108</v>
      </c>
      <c r="Z4089" s="4">
        <v>2.23</v>
      </c>
      <c r="AA4089" s="4">
        <v>6.52</v>
      </c>
      <c r="AB4089" s="3" t="s">
        <v>56</v>
      </c>
      <c r="AC4089" s="3" t="s">
        <v>13811</v>
      </c>
      <c r="AD4089" s="9">
        <v>43857</v>
      </c>
      <c r="AE4089" s="3" t="s">
        <v>134</v>
      </c>
      <c r="AF4089" s="3" t="s">
        <v>13812</v>
      </c>
      <c r="AG4089" s="3" t="s">
        <v>7647</v>
      </c>
      <c r="AH4089" s="11">
        <f>HYPERLINK("https://my.pitchbook.com?c=137616-49T","View Company Online")</f>
      </c>
    </row>
    <row r="4090">
      <c r="A4090" s="12" t="s">
        <v>20355</v>
      </c>
      <c r="B4090" s="12" t="s">
        <v>20356</v>
      </c>
      <c r="C4090" s="19" t="s">
        <v>36</v>
      </c>
      <c r="D4090" s="19">
        <v>2</v>
      </c>
      <c r="E4090" s="19">
        <v>1</v>
      </c>
      <c r="F4090" s="19">
        <v>2</v>
      </c>
      <c r="G4090" s="15" t="s">
        <v>36</v>
      </c>
      <c r="H4090" s="14" t="s">
        <v>36</v>
      </c>
      <c r="I4090" s="18" t="s">
        <v>36</v>
      </c>
      <c r="J4090" s="12" t="s">
        <v>36</v>
      </c>
      <c r="K4090" s="13" t="s">
        <v>36</v>
      </c>
      <c r="L4090" s="15" t="s">
        <v>122</v>
      </c>
      <c r="M4090" s="12" t="s">
        <v>36</v>
      </c>
      <c r="N4090" s="12" t="s">
        <v>122</v>
      </c>
      <c r="O4090" s="17" t="s">
        <v>36</v>
      </c>
      <c r="P4090" s="12" t="s">
        <v>36</v>
      </c>
      <c r="Q4090" s="12" t="s">
        <v>36</v>
      </c>
      <c r="R4090" s="12" t="s">
        <v>36</v>
      </c>
      <c r="S4090" s="12" t="s">
        <v>36</v>
      </c>
      <c r="T4090" s="12" t="s">
        <v>20357</v>
      </c>
      <c r="U4090" s="12" t="s">
        <v>233</v>
      </c>
      <c r="V4090" s="12" t="s">
        <v>39</v>
      </c>
      <c r="W4090" s="12" t="s">
        <v>20358</v>
      </c>
      <c r="X4090" s="16" t="s">
        <v>20359</v>
      </c>
      <c r="Y4090" s="15" t="s">
        <v>42</v>
      </c>
      <c r="Z4090" s="14">
        <v>5.57</v>
      </c>
      <c r="AA4090" s="14" t="s">
        <v>36</v>
      </c>
      <c r="AB4090" s="12" t="s">
        <v>43</v>
      </c>
      <c r="AC4090" s="12" t="s">
        <v>20360</v>
      </c>
      <c r="AD4090" s="13">
        <v>43854</v>
      </c>
      <c r="AE4090" s="12" t="s">
        <v>236</v>
      </c>
      <c r="AF4090" s="12" t="s">
        <v>2830</v>
      </c>
      <c r="AG4090" s="12" t="s">
        <v>81</v>
      </c>
      <c r="AH4090" s="1">
        <f>HYPERLINK("https://my.pitchbook.com?c=130557-88T","View Company Online")</f>
      </c>
    </row>
    <row r="4091">
      <c r="A4091" s="3" t="s">
        <v>20361</v>
      </c>
      <c r="B4091" s="3" t="s">
        <v>20362</v>
      </c>
      <c r="C4091" s="5" t="s">
        <v>36</v>
      </c>
      <c r="D4091" s="5" t="s">
        <v>36</v>
      </c>
      <c r="E4091" s="5" t="s">
        <v>36</v>
      </c>
      <c r="F4091" s="5" t="s">
        <v>36</v>
      </c>
      <c r="G4091" s="6" t="s">
        <v>326</v>
      </c>
      <c r="H4091" s="4">
        <v>63.74</v>
      </c>
      <c r="I4091" s="7">
        <v>7.69</v>
      </c>
      <c r="J4091" s="3" t="s">
        <v>521</v>
      </c>
      <c r="K4091" s="9" t="s">
        <v>36</v>
      </c>
      <c r="L4091" s="6" t="s">
        <v>36</v>
      </c>
      <c r="M4091" s="3" t="s">
        <v>36</v>
      </c>
      <c r="N4091" s="3" t="s">
        <v>36</v>
      </c>
      <c r="O4091" s="8" t="s">
        <v>36</v>
      </c>
      <c r="P4091" s="3" t="s">
        <v>36</v>
      </c>
      <c r="Q4091" s="3" t="s">
        <v>36</v>
      </c>
      <c r="R4091" s="3" t="s">
        <v>36</v>
      </c>
      <c r="S4091" s="3" t="s">
        <v>36</v>
      </c>
      <c r="T4091" s="3" t="s">
        <v>522</v>
      </c>
      <c r="U4091" s="3" t="s">
        <v>38</v>
      </c>
      <c r="V4091" s="3" t="s">
        <v>39</v>
      </c>
      <c r="W4091" s="3" t="s">
        <v>20363</v>
      </c>
      <c r="X4091" s="10" t="s">
        <v>20364</v>
      </c>
      <c r="Y4091" s="6" t="s">
        <v>55</v>
      </c>
      <c r="Z4091" s="4">
        <v>1.67</v>
      </c>
      <c r="AA4091" s="4">
        <v>21.72</v>
      </c>
      <c r="AB4091" s="3" t="s">
        <v>56</v>
      </c>
      <c r="AC4091" s="3" t="s">
        <v>20365</v>
      </c>
      <c r="AD4091" s="9">
        <v>43854</v>
      </c>
      <c r="AE4091" s="3" t="s">
        <v>110</v>
      </c>
      <c r="AF4091" s="3" t="s">
        <v>4552</v>
      </c>
      <c r="AG4091" s="3" t="s">
        <v>81</v>
      </c>
      <c r="AH4091" s="11">
        <f>HYPERLINK("https://my.pitchbook.com?c=199333-45T","View Company Online")</f>
      </c>
    </row>
    <row r="4092">
      <c r="A4092" s="12" t="s">
        <v>20366</v>
      </c>
      <c r="B4092" s="12" t="s">
        <v>20367</v>
      </c>
      <c r="C4092" s="19" t="s">
        <v>36</v>
      </c>
      <c r="D4092" s="19" t="s">
        <v>36</v>
      </c>
      <c r="E4092" s="19" t="s">
        <v>36</v>
      </c>
      <c r="F4092" s="19" t="s">
        <v>36</v>
      </c>
      <c r="G4092" s="15" t="s">
        <v>36</v>
      </c>
      <c r="H4092" s="14">
        <v>103.86</v>
      </c>
      <c r="I4092" s="18">
        <v>9.99</v>
      </c>
      <c r="J4092" s="12" t="s">
        <v>521</v>
      </c>
      <c r="K4092" s="13" t="s">
        <v>36</v>
      </c>
      <c r="L4092" s="15" t="s">
        <v>36</v>
      </c>
      <c r="M4092" s="12" t="s">
        <v>36</v>
      </c>
      <c r="N4092" s="12" t="s">
        <v>36</v>
      </c>
      <c r="O4092" s="17" t="s">
        <v>36</v>
      </c>
      <c r="P4092" s="12" t="s">
        <v>36</v>
      </c>
      <c r="Q4092" s="12" t="s">
        <v>36</v>
      </c>
      <c r="R4092" s="12" t="s">
        <v>36</v>
      </c>
      <c r="S4092" s="12" t="s">
        <v>36</v>
      </c>
      <c r="T4092" s="12" t="s">
        <v>9494</v>
      </c>
      <c r="U4092" s="12" t="s">
        <v>38</v>
      </c>
      <c r="V4092" s="12" t="s">
        <v>39</v>
      </c>
      <c r="W4092" s="12" t="s">
        <v>20368</v>
      </c>
      <c r="X4092" s="16" t="s">
        <v>20369</v>
      </c>
      <c r="Y4092" s="15" t="s">
        <v>42</v>
      </c>
      <c r="Z4092" s="14">
        <v>0.62</v>
      </c>
      <c r="AA4092" s="14">
        <v>6.19</v>
      </c>
      <c r="AB4092" s="12" t="s">
        <v>43</v>
      </c>
      <c r="AC4092" s="12" t="s">
        <v>20370</v>
      </c>
      <c r="AD4092" s="13">
        <v>43853</v>
      </c>
      <c r="AE4092" s="12" t="s">
        <v>554</v>
      </c>
      <c r="AF4092" s="12" t="s">
        <v>1296</v>
      </c>
      <c r="AG4092" s="12" t="s">
        <v>382</v>
      </c>
      <c r="AH4092" s="1">
        <f>HYPERLINK("https://my.pitchbook.com?c=160342-93T","View Company Online")</f>
      </c>
    </row>
    <row r="4093">
      <c r="A4093" s="3" t="s">
        <v>20371</v>
      </c>
      <c r="B4093" s="3" t="s">
        <v>3610</v>
      </c>
      <c r="C4093" s="5" t="s">
        <v>36</v>
      </c>
      <c r="D4093" s="5" t="s">
        <v>36</v>
      </c>
      <c r="E4093" s="5" t="s">
        <v>36</v>
      </c>
      <c r="F4093" s="5" t="s">
        <v>36</v>
      </c>
      <c r="G4093" s="6" t="s">
        <v>36</v>
      </c>
      <c r="H4093" s="4" t="s">
        <v>36</v>
      </c>
      <c r="I4093" s="7" t="s">
        <v>36</v>
      </c>
      <c r="J4093" s="3" t="s">
        <v>36</v>
      </c>
      <c r="K4093" s="9" t="s">
        <v>36</v>
      </c>
      <c r="L4093" s="6" t="s">
        <v>94</v>
      </c>
      <c r="M4093" s="3" t="s">
        <v>36</v>
      </c>
      <c r="N4093" s="3" t="s">
        <v>94</v>
      </c>
      <c r="O4093" s="8" t="s">
        <v>36</v>
      </c>
      <c r="P4093" s="3" t="s">
        <v>36</v>
      </c>
      <c r="Q4093" s="3" t="s">
        <v>36</v>
      </c>
      <c r="R4093" s="3" t="s">
        <v>36</v>
      </c>
      <c r="S4093" s="3" t="s">
        <v>36</v>
      </c>
      <c r="T4093" s="3" t="s">
        <v>3611</v>
      </c>
      <c r="U4093" s="3" t="s">
        <v>833</v>
      </c>
      <c r="V4093" s="3" t="s">
        <v>64</v>
      </c>
      <c r="W4093" s="3" t="s">
        <v>3612</v>
      </c>
      <c r="X4093" s="10" t="s">
        <v>20372</v>
      </c>
      <c r="Y4093" s="6" t="s">
        <v>55</v>
      </c>
      <c r="Z4093" s="4">
        <v>11.14</v>
      </c>
      <c r="AA4093" s="4" t="s">
        <v>36</v>
      </c>
      <c r="AB4093" s="3" t="s">
        <v>56</v>
      </c>
      <c r="AC4093" s="3" t="s">
        <v>3614</v>
      </c>
      <c r="AD4093" s="9">
        <v>43853</v>
      </c>
      <c r="AE4093" s="3" t="s">
        <v>3615</v>
      </c>
      <c r="AF4093" s="3" t="s">
        <v>2118</v>
      </c>
      <c r="AG4093" s="3" t="s">
        <v>3616</v>
      </c>
      <c r="AH4093" s="11">
        <f>HYPERLINK("https://my.pitchbook.com?c=130638-70T","View Company Online")</f>
      </c>
    </row>
    <row r="4094">
      <c r="A4094" s="12" t="s">
        <v>20373</v>
      </c>
      <c r="B4094" s="12" t="s">
        <v>20374</v>
      </c>
      <c r="C4094" s="19" t="s">
        <v>36</v>
      </c>
      <c r="D4094" s="19" t="s">
        <v>36</v>
      </c>
      <c r="E4094" s="19" t="s">
        <v>36</v>
      </c>
      <c r="F4094" s="19" t="s">
        <v>36</v>
      </c>
      <c r="G4094" s="15" t="s">
        <v>36</v>
      </c>
      <c r="H4094" s="14" t="s">
        <v>36</v>
      </c>
      <c r="I4094" s="18" t="s">
        <v>36</v>
      </c>
      <c r="J4094" s="12" t="s">
        <v>36</v>
      </c>
      <c r="K4094" s="13" t="s">
        <v>36</v>
      </c>
      <c r="L4094" s="15" t="s">
        <v>36</v>
      </c>
      <c r="M4094" s="12" t="s">
        <v>36</v>
      </c>
      <c r="N4094" s="12" t="s">
        <v>36</v>
      </c>
      <c r="O4094" s="17" t="s">
        <v>36</v>
      </c>
      <c r="P4094" s="12" t="s">
        <v>36</v>
      </c>
      <c r="Q4094" s="12" t="s">
        <v>36</v>
      </c>
      <c r="R4094" s="12" t="s">
        <v>36</v>
      </c>
      <c r="S4094" s="12" t="s">
        <v>36</v>
      </c>
      <c r="T4094" s="12" t="s">
        <v>1701</v>
      </c>
      <c r="U4094" s="12" t="s">
        <v>74</v>
      </c>
      <c r="V4094" s="12" t="s">
        <v>75</v>
      </c>
      <c r="W4094" s="12" t="s">
        <v>20375</v>
      </c>
      <c r="X4094" s="16" t="s">
        <v>20376</v>
      </c>
      <c r="Y4094" s="15" t="s">
        <v>108</v>
      </c>
      <c r="Z4094" s="14">
        <v>2.45</v>
      </c>
      <c r="AA4094" s="14" t="s">
        <v>36</v>
      </c>
      <c r="AB4094" s="12" t="s">
        <v>43</v>
      </c>
      <c r="AC4094" s="12" t="s">
        <v>20377</v>
      </c>
      <c r="AD4094" s="13">
        <v>43852</v>
      </c>
      <c r="AE4094" s="12" t="s">
        <v>79</v>
      </c>
      <c r="AF4094" s="12" t="s">
        <v>815</v>
      </c>
      <c r="AG4094" s="12" t="s">
        <v>4796</v>
      </c>
      <c r="AH4094" s="1">
        <f>HYPERLINK("https://my.pitchbook.com?c=130731-94T","View Company Online")</f>
      </c>
    </row>
    <row r="4095">
      <c r="A4095" s="3" t="s">
        <v>20378</v>
      </c>
      <c r="B4095" s="3" t="s">
        <v>10976</v>
      </c>
      <c r="C4095" s="5">
        <v>4</v>
      </c>
      <c r="D4095" s="5" t="s">
        <v>36</v>
      </c>
      <c r="E4095" s="5">
        <v>4</v>
      </c>
      <c r="F4095" s="5">
        <v>7</v>
      </c>
      <c r="G4095" s="6" t="s">
        <v>683</v>
      </c>
      <c r="H4095" s="4">
        <v>1.37</v>
      </c>
      <c r="I4095" s="7">
        <v>34.16</v>
      </c>
      <c r="J4095" s="3" t="s">
        <v>521</v>
      </c>
      <c r="K4095" s="9" t="s">
        <v>36</v>
      </c>
      <c r="L4095" s="6" t="s">
        <v>36</v>
      </c>
      <c r="M4095" s="3" t="s">
        <v>36</v>
      </c>
      <c r="N4095" s="3" t="s">
        <v>36</v>
      </c>
      <c r="O4095" s="8" t="s">
        <v>36</v>
      </c>
      <c r="P4095" s="3" t="s">
        <v>36</v>
      </c>
      <c r="Q4095" s="3" t="s">
        <v>36</v>
      </c>
      <c r="R4095" s="3" t="s">
        <v>36</v>
      </c>
      <c r="S4095" s="3" t="s">
        <v>36</v>
      </c>
      <c r="T4095" s="3" t="s">
        <v>10977</v>
      </c>
      <c r="U4095" s="3" t="s">
        <v>74</v>
      </c>
      <c r="V4095" s="3" t="s">
        <v>75</v>
      </c>
      <c r="W4095" s="3" t="s">
        <v>10978</v>
      </c>
      <c r="X4095" s="10" t="s">
        <v>20379</v>
      </c>
      <c r="Y4095" s="6" t="s">
        <v>55</v>
      </c>
      <c r="Z4095" s="4">
        <v>12.25</v>
      </c>
      <c r="AA4095" s="4">
        <v>35.86</v>
      </c>
      <c r="AB4095" s="3" t="s">
        <v>56</v>
      </c>
      <c r="AC4095" s="3" t="s">
        <v>10980</v>
      </c>
      <c r="AD4095" s="9">
        <v>43852</v>
      </c>
      <c r="AE4095" s="3" t="s">
        <v>362</v>
      </c>
      <c r="AF4095" s="3" t="s">
        <v>468</v>
      </c>
      <c r="AG4095" s="3" t="s">
        <v>392</v>
      </c>
      <c r="AH4095" s="11">
        <f>HYPERLINK("https://my.pitchbook.com?c=130393-18T","View Company Online")</f>
      </c>
    </row>
    <row r="4096">
      <c r="A4096" s="12" t="s">
        <v>20380</v>
      </c>
      <c r="B4096" s="12" t="s">
        <v>20381</v>
      </c>
      <c r="C4096" s="19" t="s">
        <v>36</v>
      </c>
      <c r="D4096" s="19" t="s">
        <v>36</v>
      </c>
      <c r="E4096" s="19" t="s">
        <v>36</v>
      </c>
      <c r="F4096" s="19" t="s">
        <v>36</v>
      </c>
      <c r="G4096" s="15" t="s">
        <v>326</v>
      </c>
      <c r="H4096" s="14" t="s">
        <v>36</v>
      </c>
      <c r="I4096" s="18">
        <v>27.42</v>
      </c>
      <c r="J4096" s="12" t="s">
        <v>327</v>
      </c>
      <c r="K4096" s="13" t="s">
        <v>36</v>
      </c>
      <c r="L4096" s="15" t="s">
        <v>1279</v>
      </c>
      <c r="M4096" s="12" t="s">
        <v>36</v>
      </c>
      <c r="N4096" s="12" t="s">
        <v>1279</v>
      </c>
      <c r="O4096" s="17" t="s">
        <v>36</v>
      </c>
      <c r="P4096" s="12" t="s">
        <v>36</v>
      </c>
      <c r="Q4096" s="12" t="s">
        <v>36</v>
      </c>
      <c r="R4096" s="12" t="s">
        <v>36</v>
      </c>
      <c r="S4096" s="12" t="s">
        <v>36</v>
      </c>
      <c r="T4096" s="12" t="s">
        <v>105</v>
      </c>
      <c r="U4096" s="12" t="s">
        <v>38</v>
      </c>
      <c r="V4096" s="12" t="s">
        <v>39</v>
      </c>
      <c r="W4096" s="12" t="s">
        <v>20382</v>
      </c>
      <c r="X4096" s="16" t="s">
        <v>20383</v>
      </c>
      <c r="Y4096" s="15" t="s">
        <v>192</v>
      </c>
      <c r="Z4096" s="14">
        <v>70</v>
      </c>
      <c r="AA4096" s="14">
        <v>255.31</v>
      </c>
      <c r="AB4096" s="12" t="s">
        <v>56</v>
      </c>
      <c r="AC4096" s="12" t="s">
        <v>20384</v>
      </c>
      <c r="AD4096" s="13">
        <v>43852</v>
      </c>
      <c r="AE4096" s="12" t="s">
        <v>110</v>
      </c>
      <c r="AF4096" s="12" t="s">
        <v>176</v>
      </c>
      <c r="AG4096" s="12" t="s">
        <v>47</v>
      </c>
      <c r="AH4096" s="1">
        <f>HYPERLINK("https://my.pitchbook.com?c=130346-65T","View Company Online")</f>
      </c>
    </row>
    <row r="4097">
      <c r="A4097" s="3" t="s">
        <v>20385</v>
      </c>
      <c r="B4097" s="3" t="s">
        <v>16230</v>
      </c>
      <c r="C4097" s="5" t="s">
        <v>36</v>
      </c>
      <c r="D4097" s="5" t="s">
        <v>36</v>
      </c>
      <c r="E4097" s="5" t="s">
        <v>36</v>
      </c>
      <c r="F4097" s="5" t="s">
        <v>36</v>
      </c>
      <c r="G4097" s="6" t="s">
        <v>36</v>
      </c>
      <c r="H4097" s="4" t="s">
        <v>36</v>
      </c>
      <c r="I4097" s="7" t="s">
        <v>36</v>
      </c>
      <c r="J4097" s="3" t="s">
        <v>36</v>
      </c>
      <c r="K4097" s="9" t="s">
        <v>36</v>
      </c>
      <c r="L4097" s="6" t="s">
        <v>36</v>
      </c>
      <c r="M4097" s="3" t="s">
        <v>36</v>
      </c>
      <c r="N4097" s="3" t="s">
        <v>36</v>
      </c>
      <c r="O4097" s="8" t="s">
        <v>36</v>
      </c>
      <c r="P4097" s="3" t="s">
        <v>36</v>
      </c>
      <c r="Q4097" s="3" t="s">
        <v>36</v>
      </c>
      <c r="R4097" s="3" t="s">
        <v>36</v>
      </c>
      <c r="S4097" s="3" t="s">
        <v>36</v>
      </c>
      <c r="T4097" s="3" t="s">
        <v>16231</v>
      </c>
      <c r="U4097" s="3" t="s">
        <v>16232</v>
      </c>
      <c r="V4097" s="3" t="s">
        <v>405</v>
      </c>
      <c r="W4097" s="3" t="s">
        <v>16233</v>
      </c>
      <c r="X4097" s="10" t="s">
        <v>8450</v>
      </c>
      <c r="Y4097" s="6" t="s">
        <v>108</v>
      </c>
      <c r="Z4097" s="4" t="s">
        <v>36</v>
      </c>
      <c r="AA4097" s="4" t="s">
        <v>36</v>
      </c>
      <c r="AB4097" s="3" t="s">
        <v>43</v>
      </c>
      <c r="AC4097" s="3" t="s">
        <v>16235</v>
      </c>
      <c r="AD4097" s="9">
        <v>43852</v>
      </c>
      <c r="AE4097" s="3" t="s">
        <v>16236</v>
      </c>
      <c r="AF4097" s="3" t="s">
        <v>215</v>
      </c>
      <c r="AG4097" s="3" t="s">
        <v>81</v>
      </c>
      <c r="AH4097" s="11">
        <f>HYPERLINK("https://my.pitchbook.com?c=226109-71T","View Company Online")</f>
      </c>
    </row>
    <row r="4098">
      <c r="A4098" s="12" t="s">
        <v>20386</v>
      </c>
      <c r="B4098" s="12" t="s">
        <v>14509</v>
      </c>
      <c r="C4098" s="19" t="s">
        <v>36</v>
      </c>
      <c r="D4098" s="19" t="s">
        <v>36</v>
      </c>
      <c r="E4098" s="19" t="s">
        <v>36</v>
      </c>
      <c r="F4098" s="19" t="s">
        <v>36</v>
      </c>
      <c r="G4098" s="15" t="s">
        <v>36</v>
      </c>
      <c r="H4098" s="14" t="s">
        <v>36</v>
      </c>
      <c r="I4098" s="18" t="s">
        <v>36</v>
      </c>
      <c r="J4098" s="12" t="s">
        <v>36</v>
      </c>
      <c r="K4098" s="13" t="s">
        <v>36</v>
      </c>
      <c r="L4098" s="15" t="s">
        <v>94</v>
      </c>
      <c r="M4098" s="12" t="s">
        <v>36</v>
      </c>
      <c r="N4098" s="12" t="s">
        <v>94</v>
      </c>
      <c r="O4098" s="17" t="s">
        <v>36</v>
      </c>
      <c r="P4098" s="12" t="s">
        <v>36</v>
      </c>
      <c r="Q4098" s="12" t="s">
        <v>36</v>
      </c>
      <c r="R4098" s="12" t="s">
        <v>36</v>
      </c>
      <c r="S4098" s="12" t="s">
        <v>36</v>
      </c>
      <c r="T4098" s="12" t="s">
        <v>881</v>
      </c>
      <c r="U4098" s="12" t="s">
        <v>51</v>
      </c>
      <c r="V4098" s="12" t="s">
        <v>52</v>
      </c>
      <c r="W4098" s="12" t="s">
        <v>14510</v>
      </c>
      <c r="X4098" s="16" t="s">
        <v>20387</v>
      </c>
      <c r="Y4098" s="15" t="s">
        <v>108</v>
      </c>
      <c r="Z4098" s="14">
        <v>22.27</v>
      </c>
      <c r="AA4098" s="14" t="s">
        <v>36</v>
      </c>
      <c r="AB4098" s="12" t="s">
        <v>56</v>
      </c>
      <c r="AC4098" s="12" t="s">
        <v>14512</v>
      </c>
      <c r="AD4098" s="13">
        <v>43852</v>
      </c>
      <c r="AE4098" s="12" t="s">
        <v>504</v>
      </c>
      <c r="AF4098" s="12" t="s">
        <v>665</v>
      </c>
      <c r="AG4098" s="12" t="s">
        <v>7425</v>
      </c>
      <c r="AH4098" s="1">
        <f>HYPERLINK("https://my.pitchbook.com?c=130365-73T","View Company Online")</f>
      </c>
    </row>
    <row r="4099">
      <c r="A4099" s="3" t="s">
        <v>20388</v>
      </c>
      <c r="B4099" s="3" t="s">
        <v>20389</v>
      </c>
      <c r="C4099" s="5" t="s">
        <v>36</v>
      </c>
      <c r="D4099" s="5" t="s">
        <v>36</v>
      </c>
      <c r="E4099" s="5" t="s">
        <v>36</v>
      </c>
      <c r="F4099" s="5" t="s">
        <v>36</v>
      </c>
      <c r="G4099" s="6" t="s">
        <v>36</v>
      </c>
      <c r="H4099" s="4" t="s">
        <v>36</v>
      </c>
      <c r="I4099" s="7" t="s">
        <v>36</v>
      </c>
      <c r="J4099" s="3" t="s">
        <v>36</v>
      </c>
      <c r="K4099" s="9" t="s">
        <v>36</v>
      </c>
      <c r="L4099" s="6" t="s">
        <v>36</v>
      </c>
      <c r="M4099" s="3" t="s">
        <v>36</v>
      </c>
      <c r="N4099" s="3" t="s">
        <v>36</v>
      </c>
      <c r="O4099" s="8" t="s">
        <v>36</v>
      </c>
      <c r="P4099" s="3" t="s">
        <v>36</v>
      </c>
      <c r="Q4099" s="3" t="s">
        <v>36</v>
      </c>
      <c r="R4099" s="3" t="s">
        <v>36</v>
      </c>
      <c r="S4099" s="3" t="s">
        <v>36</v>
      </c>
      <c r="T4099" s="3" t="s">
        <v>3843</v>
      </c>
      <c r="U4099" s="3" t="s">
        <v>180</v>
      </c>
      <c r="V4099" s="3" t="s">
        <v>52</v>
      </c>
      <c r="W4099" s="3" t="s">
        <v>20390</v>
      </c>
      <c r="X4099" s="10" t="s">
        <v>12944</v>
      </c>
      <c r="Y4099" s="6" t="s">
        <v>42</v>
      </c>
      <c r="Z4099" s="4">
        <v>1.11</v>
      </c>
      <c r="AA4099" s="4" t="s">
        <v>36</v>
      </c>
      <c r="AB4099" s="3" t="s">
        <v>56</v>
      </c>
      <c r="AC4099" s="3" t="s">
        <v>20391</v>
      </c>
      <c r="AD4099" s="9">
        <v>43852</v>
      </c>
      <c r="AE4099" s="3" t="s">
        <v>3847</v>
      </c>
      <c r="AF4099" s="3" t="s">
        <v>4552</v>
      </c>
      <c r="AG4099" s="3" t="s">
        <v>741</v>
      </c>
      <c r="AH4099" s="11">
        <f>HYPERLINK("https://my.pitchbook.com?c=155642-86T","View Company Online")</f>
      </c>
    </row>
    <row r="4100">
      <c r="A4100" s="12" t="s">
        <v>20392</v>
      </c>
      <c r="B4100" s="12" t="s">
        <v>20393</v>
      </c>
      <c r="C4100" s="19" t="s">
        <v>36</v>
      </c>
      <c r="D4100" s="19" t="s">
        <v>36</v>
      </c>
      <c r="E4100" s="19" t="s">
        <v>36</v>
      </c>
      <c r="F4100" s="19" t="s">
        <v>36</v>
      </c>
      <c r="G4100" s="15" t="s">
        <v>36</v>
      </c>
      <c r="H4100" s="14" t="s">
        <v>36</v>
      </c>
      <c r="I4100" s="18" t="s">
        <v>36</v>
      </c>
      <c r="J4100" s="12" t="s">
        <v>36</v>
      </c>
      <c r="K4100" s="13" t="s">
        <v>36</v>
      </c>
      <c r="L4100" s="15" t="s">
        <v>36</v>
      </c>
      <c r="M4100" s="12" t="s">
        <v>36</v>
      </c>
      <c r="N4100" s="12" t="s">
        <v>36</v>
      </c>
      <c r="O4100" s="17" t="s">
        <v>36</v>
      </c>
      <c r="P4100" s="12" t="s">
        <v>36</v>
      </c>
      <c r="Q4100" s="12" t="s">
        <v>36</v>
      </c>
      <c r="R4100" s="12" t="s">
        <v>36</v>
      </c>
      <c r="S4100" s="12" t="s">
        <v>36</v>
      </c>
      <c r="T4100" s="12" t="s">
        <v>942</v>
      </c>
      <c r="U4100" s="12" t="s">
        <v>38</v>
      </c>
      <c r="V4100" s="12" t="s">
        <v>39</v>
      </c>
      <c r="W4100" s="12" t="s">
        <v>20394</v>
      </c>
      <c r="X4100" s="16" t="s">
        <v>20395</v>
      </c>
      <c r="Y4100" s="15" t="s">
        <v>108</v>
      </c>
      <c r="Z4100" s="14">
        <v>0.72</v>
      </c>
      <c r="AA4100" s="14" t="s">
        <v>36</v>
      </c>
      <c r="AB4100" s="12" t="s">
        <v>56</v>
      </c>
      <c r="AC4100" s="12" t="s">
        <v>20396</v>
      </c>
      <c r="AD4100" s="13">
        <v>43851</v>
      </c>
      <c r="AE4100" s="12" t="s">
        <v>45</v>
      </c>
      <c r="AF4100" s="12" t="s">
        <v>20397</v>
      </c>
      <c r="AG4100" s="12" t="s">
        <v>652</v>
      </c>
      <c r="AH4100" s="1">
        <f>HYPERLINK("https://my.pitchbook.com?c=130895-38T","View Company Online")</f>
      </c>
    </row>
    <row r="4101">
      <c r="A4101" s="3" t="s">
        <v>20398</v>
      </c>
      <c r="B4101" s="3" t="s">
        <v>20399</v>
      </c>
      <c r="C4101" s="5" t="s">
        <v>36</v>
      </c>
      <c r="D4101" s="5">
        <v>27</v>
      </c>
      <c r="E4101" s="5">
        <v>4</v>
      </c>
      <c r="F4101" s="5">
        <v>30</v>
      </c>
      <c r="G4101" s="6" t="s">
        <v>326</v>
      </c>
      <c r="H4101" s="4">
        <v>34.24</v>
      </c>
      <c r="I4101" s="7">
        <v>22.22</v>
      </c>
      <c r="J4101" s="3" t="s">
        <v>521</v>
      </c>
      <c r="K4101" s="9" t="s">
        <v>36</v>
      </c>
      <c r="L4101" s="6" t="s">
        <v>94</v>
      </c>
      <c r="M4101" s="3" t="s">
        <v>36</v>
      </c>
      <c r="N4101" s="3" t="s">
        <v>94</v>
      </c>
      <c r="O4101" s="8" t="s">
        <v>36</v>
      </c>
      <c r="P4101" s="3" t="s">
        <v>36</v>
      </c>
      <c r="Q4101" s="3" t="s">
        <v>36</v>
      </c>
      <c r="R4101" s="3" t="s">
        <v>36</v>
      </c>
      <c r="S4101" s="3" t="s">
        <v>36</v>
      </c>
      <c r="T4101" s="3" t="s">
        <v>105</v>
      </c>
      <c r="U4101" s="3" t="s">
        <v>38</v>
      </c>
      <c r="V4101" s="3" t="s">
        <v>39</v>
      </c>
      <c r="W4101" s="3" t="s">
        <v>20400</v>
      </c>
      <c r="X4101" s="10" t="s">
        <v>20401</v>
      </c>
      <c r="Y4101" s="6" t="s">
        <v>321</v>
      </c>
      <c r="Z4101" s="4">
        <v>11.81</v>
      </c>
      <c r="AA4101" s="4">
        <v>28.55</v>
      </c>
      <c r="AB4101" s="3" t="s">
        <v>56</v>
      </c>
      <c r="AC4101" s="3" t="s">
        <v>20402</v>
      </c>
      <c r="AD4101" s="9">
        <v>43851</v>
      </c>
      <c r="AE4101" s="3" t="s">
        <v>110</v>
      </c>
      <c r="AF4101" s="3" t="s">
        <v>4552</v>
      </c>
      <c r="AG4101" s="3" t="s">
        <v>2542</v>
      </c>
      <c r="AH4101" s="11">
        <f>HYPERLINK("https://my.pitchbook.com?c=133123-87T","View Company Online")</f>
      </c>
    </row>
    <row r="4102">
      <c r="A4102" s="12" t="s">
        <v>20403</v>
      </c>
      <c r="B4102" s="12" t="s">
        <v>6652</v>
      </c>
      <c r="C4102" s="19">
        <v>7</v>
      </c>
      <c r="D4102" s="19">
        <v>7</v>
      </c>
      <c r="E4102" s="19">
        <v>3</v>
      </c>
      <c r="F4102" s="19">
        <v>16</v>
      </c>
      <c r="G4102" s="15" t="s">
        <v>326</v>
      </c>
      <c r="H4102" s="14">
        <v>535.7</v>
      </c>
      <c r="I4102" s="18">
        <v>43.37</v>
      </c>
      <c r="J4102" s="12" t="s">
        <v>521</v>
      </c>
      <c r="K4102" s="13" t="s">
        <v>36</v>
      </c>
      <c r="L4102" s="15" t="s">
        <v>122</v>
      </c>
      <c r="M4102" s="12" t="s">
        <v>36</v>
      </c>
      <c r="N4102" s="12" t="s">
        <v>122</v>
      </c>
      <c r="O4102" s="17" t="s">
        <v>36</v>
      </c>
      <c r="P4102" s="12" t="s">
        <v>36</v>
      </c>
      <c r="Q4102" s="12" t="s">
        <v>36</v>
      </c>
      <c r="R4102" s="12" t="s">
        <v>36</v>
      </c>
      <c r="S4102" s="12" t="s">
        <v>36</v>
      </c>
      <c r="T4102" s="12" t="s">
        <v>154</v>
      </c>
      <c r="U4102" s="12" t="s">
        <v>51</v>
      </c>
      <c r="V4102" s="12" t="s">
        <v>52</v>
      </c>
      <c r="W4102" s="12" t="s">
        <v>6653</v>
      </c>
      <c r="X4102" s="16" t="s">
        <v>20404</v>
      </c>
      <c r="Y4102" s="15" t="s">
        <v>108</v>
      </c>
      <c r="Z4102" s="14">
        <v>6.68</v>
      </c>
      <c r="AA4102" s="14">
        <v>15.41</v>
      </c>
      <c r="AB4102" s="12" t="s">
        <v>43</v>
      </c>
      <c r="AC4102" s="12" t="s">
        <v>6654</v>
      </c>
      <c r="AD4102" s="13">
        <v>43851</v>
      </c>
      <c r="AE4102" s="12" t="s">
        <v>158</v>
      </c>
      <c r="AF4102" s="12" t="s">
        <v>159</v>
      </c>
      <c r="AG4102" s="12" t="s">
        <v>81</v>
      </c>
      <c r="AH4102" s="1">
        <f>HYPERLINK("https://my.pitchbook.com?c=132602-05T","View Company Online")</f>
      </c>
    </row>
    <row r="4103">
      <c r="A4103" s="3" t="s">
        <v>20405</v>
      </c>
      <c r="B4103" s="3" t="s">
        <v>20406</v>
      </c>
      <c r="C4103" s="5" t="s">
        <v>36</v>
      </c>
      <c r="D4103" s="5">
        <v>26</v>
      </c>
      <c r="E4103" s="5">
        <v>7</v>
      </c>
      <c r="F4103" s="5">
        <v>28</v>
      </c>
      <c r="G4103" s="6" t="s">
        <v>36</v>
      </c>
      <c r="H4103" s="4">
        <v>122.55</v>
      </c>
      <c r="I4103" s="7">
        <v>30.4</v>
      </c>
      <c r="J4103" s="3" t="s">
        <v>521</v>
      </c>
      <c r="K4103" s="9" t="s">
        <v>36</v>
      </c>
      <c r="L4103" s="6" t="s">
        <v>36</v>
      </c>
      <c r="M4103" s="3" t="s">
        <v>36</v>
      </c>
      <c r="N4103" s="3" t="s">
        <v>36</v>
      </c>
      <c r="O4103" s="8" t="s">
        <v>36</v>
      </c>
      <c r="P4103" s="3" t="s">
        <v>36</v>
      </c>
      <c r="Q4103" s="3" t="s">
        <v>36</v>
      </c>
      <c r="R4103" s="3" t="s">
        <v>36</v>
      </c>
      <c r="S4103" s="3" t="s">
        <v>36</v>
      </c>
      <c r="T4103" s="3" t="s">
        <v>20407</v>
      </c>
      <c r="U4103" s="3" t="s">
        <v>1580</v>
      </c>
      <c r="V4103" s="3" t="s">
        <v>39</v>
      </c>
      <c r="W4103" s="3" t="s">
        <v>20408</v>
      </c>
      <c r="X4103" s="10" t="s">
        <v>20409</v>
      </c>
      <c r="Y4103" s="6" t="s">
        <v>42</v>
      </c>
      <c r="Z4103" s="4">
        <v>3.34</v>
      </c>
      <c r="AA4103" s="4">
        <v>6.04</v>
      </c>
      <c r="AB4103" s="3" t="s">
        <v>43</v>
      </c>
      <c r="AC4103" s="3" t="s">
        <v>20410</v>
      </c>
      <c r="AD4103" s="9">
        <v>43851</v>
      </c>
      <c r="AE4103" s="3" t="s">
        <v>4086</v>
      </c>
      <c r="AF4103" s="3" t="s">
        <v>1619</v>
      </c>
      <c r="AG4103" s="3" t="s">
        <v>512</v>
      </c>
      <c r="AH4103" s="11">
        <f>HYPERLINK("https://my.pitchbook.com?c=130874-14T","View Company Online")</f>
      </c>
    </row>
    <row r="4104">
      <c r="A4104" s="12" t="s">
        <v>20411</v>
      </c>
      <c r="B4104" s="12" t="s">
        <v>20412</v>
      </c>
      <c r="C4104" s="19" t="s">
        <v>36</v>
      </c>
      <c r="D4104" s="19" t="s">
        <v>36</v>
      </c>
      <c r="E4104" s="19" t="s">
        <v>36</v>
      </c>
      <c r="F4104" s="19" t="s">
        <v>36</v>
      </c>
      <c r="G4104" s="15" t="s">
        <v>683</v>
      </c>
      <c r="H4104" s="14">
        <v>680.84</v>
      </c>
      <c r="I4104" s="18">
        <v>20.49</v>
      </c>
      <c r="J4104" s="12" t="s">
        <v>521</v>
      </c>
      <c r="K4104" s="13" t="s">
        <v>36</v>
      </c>
      <c r="L4104" s="15" t="s">
        <v>36</v>
      </c>
      <c r="M4104" s="12" t="s">
        <v>36</v>
      </c>
      <c r="N4104" s="12" t="s">
        <v>36</v>
      </c>
      <c r="O4104" s="17" t="s">
        <v>36</v>
      </c>
      <c r="P4104" s="12" t="s">
        <v>36</v>
      </c>
      <c r="Q4104" s="12" t="s">
        <v>36</v>
      </c>
      <c r="R4104" s="12" t="s">
        <v>36</v>
      </c>
      <c r="S4104" s="12" t="s">
        <v>36</v>
      </c>
      <c r="T4104" s="12" t="s">
        <v>20413</v>
      </c>
      <c r="U4104" s="12" t="s">
        <v>96</v>
      </c>
      <c r="V4104" s="12" t="s">
        <v>52</v>
      </c>
      <c r="W4104" s="12" t="s">
        <v>20414</v>
      </c>
      <c r="X4104" s="16" t="s">
        <v>15809</v>
      </c>
      <c r="Y4104" s="15" t="s">
        <v>108</v>
      </c>
      <c r="Z4104" s="14">
        <v>0.79</v>
      </c>
      <c r="AA4104" s="14">
        <v>3.85</v>
      </c>
      <c r="AB4104" s="12" t="s">
        <v>56</v>
      </c>
      <c r="AC4104" s="12" t="s">
        <v>20415</v>
      </c>
      <c r="AD4104" s="13">
        <v>43850</v>
      </c>
      <c r="AE4104" s="12" t="s">
        <v>755</v>
      </c>
      <c r="AF4104" s="12" t="s">
        <v>19428</v>
      </c>
      <c r="AG4104" s="12" t="s">
        <v>3406</v>
      </c>
      <c r="AH4104" s="1">
        <f>HYPERLINK("https://my.pitchbook.com?c=135798-40T","View Company Online")</f>
      </c>
    </row>
    <row r="4105">
      <c r="A4105" s="3" t="s">
        <v>20416</v>
      </c>
      <c r="B4105" s="3" t="s">
        <v>20417</v>
      </c>
      <c r="C4105" s="5" t="s">
        <v>36</v>
      </c>
      <c r="D4105" s="5" t="s">
        <v>36</v>
      </c>
      <c r="E4105" s="5" t="s">
        <v>36</v>
      </c>
      <c r="F4105" s="5" t="s">
        <v>36</v>
      </c>
      <c r="G4105" s="6" t="s">
        <v>36</v>
      </c>
      <c r="H4105" s="4">
        <v>1647.37</v>
      </c>
      <c r="I4105" s="7">
        <v>26.93</v>
      </c>
      <c r="J4105" s="3" t="s">
        <v>521</v>
      </c>
      <c r="K4105" s="9">
        <v>43466</v>
      </c>
      <c r="L4105" s="6" t="s">
        <v>36</v>
      </c>
      <c r="M4105" s="3" t="s">
        <v>36</v>
      </c>
      <c r="N4105" s="3" t="s">
        <v>36</v>
      </c>
      <c r="O4105" s="8" t="s">
        <v>36</v>
      </c>
      <c r="P4105" s="3" t="s">
        <v>36</v>
      </c>
      <c r="Q4105" s="3" t="s">
        <v>36</v>
      </c>
      <c r="R4105" s="3" t="s">
        <v>36</v>
      </c>
      <c r="S4105" s="3" t="s">
        <v>36</v>
      </c>
      <c r="T4105" s="3" t="s">
        <v>5929</v>
      </c>
      <c r="U4105" s="3" t="s">
        <v>38</v>
      </c>
      <c r="V4105" s="3" t="s">
        <v>39</v>
      </c>
      <c r="W4105" s="3" t="s">
        <v>20418</v>
      </c>
      <c r="X4105" s="10" t="s">
        <v>20419</v>
      </c>
      <c r="Y4105" s="6" t="s">
        <v>55</v>
      </c>
      <c r="Z4105" s="4">
        <v>1.89</v>
      </c>
      <c r="AA4105" s="4">
        <v>3.31</v>
      </c>
      <c r="AB4105" s="3" t="s">
        <v>56</v>
      </c>
      <c r="AC4105" s="3" t="s">
        <v>20420</v>
      </c>
      <c r="AD4105" s="9">
        <v>43850</v>
      </c>
      <c r="AE4105" s="3" t="s">
        <v>110</v>
      </c>
      <c r="AF4105" s="3" t="s">
        <v>3076</v>
      </c>
      <c r="AG4105" s="3" t="s">
        <v>81</v>
      </c>
      <c r="AH4105" s="11">
        <f>HYPERLINK("https://my.pitchbook.com?c=131082-22T","View Company Online")</f>
      </c>
    </row>
    <row r="4106">
      <c r="A4106" s="12" t="s">
        <v>20421</v>
      </c>
      <c r="B4106" s="12" t="s">
        <v>14000</v>
      </c>
      <c r="C4106" s="19" t="s">
        <v>36</v>
      </c>
      <c r="D4106" s="19">
        <v>1</v>
      </c>
      <c r="E4106" s="19">
        <v>1</v>
      </c>
      <c r="F4106" s="19">
        <v>2</v>
      </c>
      <c r="G4106" s="15" t="s">
        <v>326</v>
      </c>
      <c r="H4106" s="14">
        <v>27.43</v>
      </c>
      <c r="I4106" s="18">
        <v>10.53</v>
      </c>
      <c r="J4106" s="12" t="s">
        <v>521</v>
      </c>
      <c r="K4106" s="13" t="s">
        <v>36</v>
      </c>
      <c r="L4106" s="15" t="s">
        <v>1279</v>
      </c>
      <c r="M4106" s="12" t="s">
        <v>36</v>
      </c>
      <c r="N4106" s="12" t="s">
        <v>1279</v>
      </c>
      <c r="O4106" s="17" t="s">
        <v>36</v>
      </c>
      <c r="P4106" s="12" t="s">
        <v>36</v>
      </c>
      <c r="Q4106" s="12" t="s">
        <v>36</v>
      </c>
      <c r="R4106" s="12" t="s">
        <v>36</v>
      </c>
      <c r="S4106" s="12" t="s">
        <v>36</v>
      </c>
      <c r="T4106" s="12" t="s">
        <v>37</v>
      </c>
      <c r="U4106" s="12" t="s">
        <v>38</v>
      </c>
      <c r="V4106" s="12" t="s">
        <v>39</v>
      </c>
      <c r="W4106" s="12" t="s">
        <v>14001</v>
      </c>
      <c r="X4106" s="16" t="s">
        <v>20422</v>
      </c>
      <c r="Y4106" s="15" t="s">
        <v>192</v>
      </c>
      <c r="Z4106" s="14">
        <v>115.83</v>
      </c>
      <c r="AA4106" s="14">
        <v>903.7</v>
      </c>
      <c r="AB4106" s="12" t="s">
        <v>56</v>
      </c>
      <c r="AC4106" s="12" t="s">
        <v>14003</v>
      </c>
      <c r="AD4106" s="13">
        <v>43847</v>
      </c>
      <c r="AE4106" s="12" t="s">
        <v>45</v>
      </c>
      <c r="AF4106" s="12" t="s">
        <v>14004</v>
      </c>
      <c r="AG4106" s="12" t="s">
        <v>81</v>
      </c>
      <c r="AH4106" s="1">
        <f>HYPERLINK("https://my.pitchbook.com?c=129376-99T","View Company Online")</f>
      </c>
    </row>
    <row r="4107">
      <c r="A4107" s="3" t="s">
        <v>20423</v>
      </c>
      <c r="B4107" s="3" t="s">
        <v>20424</v>
      </c>
      <c r="C4107" s="5" t="s">
        <v>36</v>
      </c>
      <c r="D4107" s="5" t="s">
        <v>36</v>
      </c>
      <c r="E4107" s="5" t="s">
        <v>36</v>
      </c>
      <c r="F4107" s="5" t="s">
        <v>36</v>
      </c>
      <c r="G4107" s="6" t="s">
        <v>36</v>
      </c>
      <c r="H4107" s="4">
        <v>121.13</v>
      </c>
      <c r="I4107" s="7">
        <v>22.23</v>
      </c>
      <c r="J4107" s="3" t="s">
        <v>521</v>
      </c>
      <c r="K4107" s="9" t="s">
        <v>36</v>
      </c>
      <c r="L4107" s="6" t="s">
        <v>36</v>
      </c>
      <c r="M4107" s="3" t="s">
        <v>36</v>
      </c>
      <c r="N4107" s="3" t="s">
        <v>36</v>
      </c>
      <c r="O4107" s="8" t="s">
        <v>36</v>
      </c>
      <c r="P4107" s="3" t="s">
        <v>36</v>
      </c>
      <c r="Q4107" s="3" t="s">
        <v>36</v>
      </c>
      <c r="R4107" s="3" t="s">
        <v>36</v>
      </c>
      <c r="S4107" s="3" t="s">
        <v>36</v>
      </c>
      <c r="T4107" s="3" t="s">
        <v>2084</v>
      </c>
      <c r="U4107" s="3" t="s">
        <v>74</v>
      </c>
      <c r="V4107" s="3" t="s">
        <v>75</v>
      </c>
      <c r="W4107" s="3" t="s">
        <v>20425</v>
      </c>
      <c r="X4107" s="10" t="s">
        <v>20426</v>
      </c>
      <c r="Y4107" s="6" t="s">
        <v>55</v>
      </c>
      <c r="Z4107" s="4">
        <v>1.67</v>
      </c>
      <c r="AA4107" s="4">
        <v>5.39</v>
      </c>
      <c r="AB4107" s="3" t="s">
        <v>56</v>
      </c>
      <c r="AC4107" s="3" t="s">
        <v>20427</v>
      </c>
      <c r="AD4107" s="9">
        <v>43846</v>
      </c>
      <c r="AE4107" s="3" t="s">
        <v>362</v>
      </c>
      <c r="AF4107" s="3" t="s">
        <v>20428</v>
      </c>
      <c r="AG4107" s="3" t="s">
        <v>81</v>
      </c>
      <c r="AH4107" s="11">
        <f>HYPERLINK("https://my.pitchbook.com?c=129994-57T","View Company Online")</f>
      </c>
    </row>
    <row r="4108">
      <c r="A4108" s="12" t="s">
        <v>20429</v>
      </c>
      <c r="B4108" s="12" t="s">
        <v>14140</v>
      </c>
      <c r="C4108" s="19" t="s">
        <v>36</v>
      </c>
      <c r="D4108" s="19" t="s">
        <v>36</v>
      </c>
      <c r="E4108" s="19" t="s">
        <v>36</v>
      </c>
      <c r="F4108" s="19" t="s">
        <v>36</v>
      </c>
      <c r="G4108" s="15" t="s">
        <v>326</v>
      </c>
      <c r="H4108" s="14">
        <v>1067.94</v>
      </c>
      <c r="I4108" s="18">
        <v>24.24</v>
      </c>
      <c r="J4108" s="12" t="s">
        <v>521</v>
      </c>
      <c r="K4108" s="13" t="s">
        <v>36</v>
      </c>
      <c r="L4108" s="15" t="s">
        <v>36</v>
      </c>
      <c r="M4108" s="12" t="s">
        <v>36</v>
      </c>
      <c r="N4108" s="12" t="s">
        <v>36</v>
      </c>
      <c r="O4108" s="17" t="s">
        <v>36</v>
      </c>
      <c r="P4108" s="12" t="s">
        <v>36</v>
      </c>
      <c r="Q4108" s="12" t="s">
        <v>36</v>
      </c>
      <c r="R4108" s="12" t="s">
        <v>36</v>
      </c>
      <c r="S4108" s="12" t="s">
        <v>36</v>
      </c>
      <c r="T4108" s="12" t="s">
        <v>11657</v>
      </c>
      <c r="U4108" s="12" t="s">
        <v>289</v>
      </c>
      <c r="V4108" s="12" t="s">
        <v>64</v>
      </c>
      <c r="W4108" s="12" t="s">
        <v>14141</v>
      </c>
      <c r="X4108" s="16" t="s">
        <v>20430</v>
      </c>
      <c r="Y4108" s="15" t="s">
        <v>55</v>
      </c>
      <c r="Z4108" s="14">
        <v>1.57</v>
      </c>
      <c r="AA4108" s="14">
        <v>6.47</v>
      </c>
      <c r="AB4108" s="12" t="s">
        <v>56</v>
      </c>
      <c r="AC4108" s="12" t="s">
        <v>14143</v>
      </c>
      <c r="AD4108" s="13">
        <v>43846</v>
      </c>
      <c r="AE4108" s="12" t="s">
        <v>292</v>
      </c>
      <c r="AF4108" s="12" t="s">
        <v>90</v>
      </c>
      <c r="AG4108" s="12" t="s">
        <v>1705</v>
      </c>
      <c r="AH4108" s="1">
        <f>HYPERLINK("https://my.pitchbook.com?c=133143-31T","View Company Online")</f>
      </c>
    </row>
    <row r="4109">
      <c r="A4109" s="3" t="s">
        <v>20431</v>
      </c>
      <c r="B4109" s="3" t="s">
        <v>20432</v>
      </c>
      <c r="C4109" s="5" t="s">
        <v>36</v>
      </c>
      <c r="D4109" s="5" t="s">
        <v>36</v>
      </c>
      <c r="E4109" s="5" t="s">
        <v>36</v>
      </c>
      <c r="F4109" s="5" t="s">
        <v>36</v>
      </c>
      <c r="G4109" s="6" t="s">
        <v>36</v>
      </c>
      <c r="H4109" s="4">
        <v>249.26</v>
      </c>
      <c r="I4109" s="7">
        <v>20</v>
      </c>
      <c r="J4109" s="3" t="s">
        <v>521</v>
      </c>
      <c r="K4109" s="9" t="s">
        <v>36</v>
      </c>
      <c r="L4109" s="6" t="s">
        <v>36</v>
      </c>
      <c r="M4109" s="3" t="s">
        <v>36</v>
      </c>
      <c r="N4109" s="3" t="s">
        <v>36</v>
      </c>
      <c r="O4109" s="8" t="s">
        <v>36</v>
      </c>
      <c r="P4109" s="3" t="s">
        <v>36</v>
      </c>
      <c r="Q4109" s="3" t="s">
        <v>36</v>
      </c>
      <c r="R4109" s="3" t="s">
        <v>36</v>
      </c>
      <c r="S4109" s="3" t="s">
        <v>36</v>
      </c>
      <c r="T4109" s="3" t="s">
        <v>1344</v>
      </c>
      <c r="U4109" s="3" t="s">
        <v>38</v>
      </c>
      <c r="V4109" s="3" t="s">
        <v>39</v>
      </c>
      <c r="W4109" s="3" t="s">
        <v>20433</v>
      </c>
      <c r="X4109" s="10" t="s">
        <v>20434</v>
      </c>
      <c r="Y4109" s="6" t="s">
        <v>108</v>
      </c>
      <c r="Z4109" s="4">
        <v>0.67</v>
      </c>
      <c r="AA4109" s="4">
        <v>3.34</v>
      </c>
      <c r="AB4109" s="3" t="s">
        <v>43</v>
      </c>
      <c r="AC4109" s="3" t="s">
        <v>20435</v>
      </c>
      <c r="AD4109" s="9">
        <v>43846</v>
      </c>
      <c r="AE4109" s="3" t="s">
        <v>110</v>
      </c>
      <c r="AF4109" s="3" t="s">
        <v>16414</v>
      </c>
      <c r="AG4109" s="3" t="s">
        <v>81</v>
      </c>
      <c r="AH4109" s="11">
        <f>HYPERLINK("https://my.pitchbook.com?c=129994-66T","View Company Online")</f>
      </c>
    </row>
    <row r="4110">
      <c r="A4110" s="12" t="s">
        <v>20436</v>
      </c>
      <c r="B4110" s="12" t="s">
        <v>20437</v>
      </c>
      <c r="C4110" s="19" t="s">
        <v>36</v>
      </c>
      <c r="D4110" s="19" t="s">
        <v>36</v>
      </c>
      <c r="E4110" s="19" t="s">
        <v>36</v>
      </c>
      <c r="F4110" s="19" t="s">
        <v>36</v>
      </c>
      <c r="G4110" s="15" t="s">
        <v>36</v>
      </c>
      <c r="H4110" s="14" t="s">
        <v>36</v>
      </c>
      <c r="I4110" s="18" t="s">
        <v>36</v>
      </c>
      <c r="J4110" s="12" t="s">
        <v>36</v>
      </c>
      <c r="K4110" s="13" t="s">
        <v>36</v>
      </c>
      <c r="L4110" s="15" t="s">
        <v>36</v>
      </c>
      <c r="M4110" s="12" t="s">
        <v>36</v>
      </c>
      <c r="N4110" s="12" t="s">
        <v>36</v>
      </c>
      <c r="O4110" s="17" t="s">
        <v>36</v>
      </c>
      <c r="P4110" s="12" t="s">
        <v>36</v>
      </c>
      <c r="Q4110" s="12" t="s">
        <v>36</v>
      </c>
      <c r="R4110" s="12" t="s">
        <v>36</v>
      </c>
      <c r="S4110" s="12" t="s">
        <v>36</v>
      </c>
      <c r="T4110" s="12" t="s">
        <v>342</v>
      </c>
      <c r="U4110" s="12" t="s">
        <v>38</v>
      </c>
      <c r="V4110" s="12" t="s">
        <v>39</v>
      </c>
      <c r="W4110" s="12" t="s">
        <v>20438</v>
      </c>
      <c r="X4110" s="16" t="s">
        <v>20439</v>
      </c>
      <c r="Y4110" s="15" t="s">
        <v>42</v>
      </c>
      <c r="Z4110" s="14">
        <v>1.11</v>
      </c>
      <c r="AA4110" s="14" t="s">
        <v>36</v>
      </c>
      <c r="AB4110" s="12" t="s">
        <v>43</v>
      </c>
      <c r="AC4110" s="12" t="s">
        <v>20440</v>
      </c>
      <c r="AD4110" s="13">
        <v>43846</v>
      </c>
      <c r="AE4110" s="12" t="s">
        <v>110</v>
      </c>
      <c r="AF4110" s="12" t="s">
        <v>815</v>
      </c>
      <c r="AG4110" s="12" t="s">
        <v>47</v>
      </c>
      <c r="AH4110" s="1">
        <f>HYPERLINK("https://my.pitchbook.com?c=200191-87T","View Company Online")</f>
      </c>
    </row>
    <row r="4111">
      <c r="A4111" s="3" t="s">
        <v>20441</v>
      </c>
      <c r="B4111" s="3" t="s">
        <v>20442</v>
      </c>
      <c r="C4111" s="5" t="s">
        <v>36</v>
      </c>
      <c r="D4111" s="5" t="s">
        <v>36</v>
      </c>
      <c r="E4111" s="5" t="s">
        <v>36</v>
      </c>
      <c r="F4111" s="5" t="s">
        <v>36</v>
      </c>
      <c r="G4111" s="6" t="s">
        <v>36</v>
      </c>
      <c r="H4111" s="4" t="s">
        <v>36</v>
      </c>
      <c r="I4111" s="7" t="s">
        <v>36</v>
      </c>
      <c r="J4111" s="3" t="s">
        <v>36</v>
      </c>
      <c r="K4111" s="9" t="s">
        <v>36</v>
      </c>
      <c r="L4111" s="6" t="s">
        <v>36</v>
      </c>
      <c r="M4111" s="3" t="s">
        <v>36</v>
      </c>
      <c r="N4111" s="3" t="s">
        <v>36</v>
      </c>
      <c r="O4111" s="8" t="s">
        <v>36</v>
      </c>
      <c r="P4111" s="3" t="s">
        <v>36</v>
      </c>
      <c r="Q4111" s="3" t="s">
        <v>36</v>
      </c>
      <c r="R4111" s="3" t="s">
        <v>36</v>
      </c>
      <c r="S4111" s="3" t="s">
        <v>36</v>
      </c>
      <c r="T4111" s="3" t="s">
        <v>20443</v>
      </c>
      <c r="U4111" s="3" t="s">
        <v>38</v>
      </c>
      <c r="V4111" s="3" t="s">
        <v>39</v>
      </c>
      <c r="W4111" s="3" t="s">
        <v>20444</v>
      </c>
      <c r="X4111" s="10" t="s">
        <v>20445</v>
      </c>
      <c r="Y4111" s="6" t="s">
        <v>108</v>
      </c>
      <c r="Z4111" s="4">
        <v>13.37</v>
      </c>
      <c r="AA4111" s="4" t="s">
        <v>36</v>
      </c>
      <c r="AB4111" s="3" t="s">
        <v>56</v>
      </c>
      <c r="AC4111" s="3" t="s">
        <v>20446</v>
      </c>
      <c r="AD4111" s="9">
        <v>43846</v>
      </c>
      <c r="AE4111" s="3" t="s">
        <v>6012</v>
      </c>
      <c r="AF4111" s="3" t="s">
        <v>176</v>
      </c>
      <c r="AG4111" s="3" t="s">
        <v>81</v>
      </c>
      <c r="AH4111" s="11">
        <f>HYPERLINK("https://my.pitchbook.com?c=136152-46T","View Company Online")</f>
      </c>
    </row>
    <row r="4112">
      <c r="A4112" s="12" t="s">
        <v>20447</v>
      </c>
      <c r="B4112" s="12" t="s">
        <v>20448</v>
      </c>
      <c r="C4112" s="19" t="s">
        <v>36</v>
      </c>
      <c r="D4112" s="19" t="s">
        <v>36</v>
      </c>
      <c r="E4112" s="19" t="s">
        <v>36</v>
      </c>
      <c r="F4112" s="19" t="s">
        <v>36</v>
      </c>
      <c r="G4112" s="15" t="s">
        <v>36</v>
      </c>
      <c r="H4112" s="14">
        <v>29.08</v>
      </c>
      <c r="I4112" s="18">
        <v>26.32</v>
      </c>
      <c r="J4112" s="12" t="s">
        <v>521</v>
      </c>
      <c r="K4112" s="13" t="s">
        <v>36</v>
      </c>
      <c r="L4112" s="15" t="s">
        <v>36</v>
      </c>
      <c r="M4112" s="12" t="s">
        <v>36</v>
      </c>
      <c r="N4112" s="12" t="s">
        <v>36</v>
      </c>
      <c r="O4112" s="17" t="s">
        <v>36</v>
      </c>
      <c r="P4112" s="12" t="s">
        <v>36</v>
      </c>
      <c r="Q4112" s="12" t="s">
        <v>36</v>
      </c>
      <c r="R4112" s="12" t="s">
        <v>36</v>
      </c>
      <c r="S4112" s="12" t="s">
        <v>36</v>
      </c>
      <c r="T4112" s="12" t="s">
        <v>20449</v>
      </c>
      <c r="U4112" s="12" t="s">
        <v>74</v>
      </c>
      <c r="V4112" s="12" t="s">
        <v>75</v>
      </c>
      <c r="W4112" s="12" t="s">
        <v>20450</v>
      </c>
      <c r="X4112" s="16" t="s">
        <v>1427</v>
      </c>
      <c r="Y4112" s="15" t="s">
        <v>42</v>
      </c>
      <c r="Z4112" s="14">
        <v>1.11</v>
      </c>
      <c r="AA4112" s="14">
        <v>2.12</v>
      </c>
      <c r="AB4112" s="12" t="s">
        <v>43</v>
      </c>
      <c r="AC4112" s="12" t="s">
        <v>20451</v>
      </c>
      <c r="AD4112" s="13">
        <v>43845</v>
      </c>
      <c r="AE4112" s="12" t="s">
        <v>79</v>
      </c>
      <c r="AF4112" s="12" t="s">
        <v>176</v>
      </c>
      <c r="AG4112" s="12" t="s">
        <v>6068</v>
      </c>
      <c r="AH4112" s="1">
        <f>HYPERLINK("https://my.pitchbook.com?c=129891-88T","View Company Online")</f>
      </c>
    </row>
    <row r="4113">
      <c r="A4113" s="3" t="s">
        <v>20452</v>
      </c>
      <c r="B4113" s="3" t="s">
        <v>8502</v>
      </c>
      <c r="C4113" s="5" t="s">
        <v>36</v>
      </c>
      <c r="D4113" s="5" t="s">
        <v>36</v>
      </c>
      <c r="E4113" s="5" t="s">
        <v>36</v>
      </c>
      <c r="F4113" s="5" t="s">
        <v>36</v>
      </c>
      <c r="G4113" s="6" t="s">
        <v>326</v>
      </c>
      <c r="H4113" s="4">
        <v>7.26</v>
      </c>
      <c r="I4113" s="7">
        <v>27.72</v>
      </c>
      <c r="J4113" s="3" t="s">
        <v>521</v>
      </c>
      <c r="K4113" s="9" t="s">
        <v>36</v>
      </c>
      <c r="L4113" s="6" t="s">
        <v>122</v>
      </c>
      <c r="M4113" s="3" t="s">
        <v>36</v>
      </c>
      <c r="N4113" s="3" t="s">
        <v>122</v>
      </c>
      <c r="O4113" s="8" t="s">
        <v>36</v>
      </c>
      <c r="P4113" s="3" t="s">
        <v>36</v>
      </c>
      <c r="Q4113" s="3" t="s">
        <v>36</v>
      </c>
      <c r="R4113" s="3" t="s">
        <v>36</v>
      </c>
      <c r="S4113" s="3" t="s">
        <v>36</v>
      </c>
      <c r="T4113" s="3" t="s">
        <v>2967</v>
      </c>
      <c r="U4113" s="3" t="s">
        <v>38</v>
      </c>
      <c r="V4113" s="3" t="s">
        <v>39</v>
      </c>
      <c r="W4113" s="3" t="s">
        <v>8503</v>
      </c>
      <c r="X4113" s="10" t="s">
        <v>20453</v>
      </c>
      <c r="Y4113" s="6" t="s">
        <v>108</v>
      </c>
      <c r="Z4113" s="4">
        <v>11.14</v>
      </c>
      <c r="AA4113" s="4">
        <v>34.55</v>
      </c>
      <c r="AB4113" s="3" t="s">
        <v>43</v>
      </c>
      <c r="AC4113" s="3" t="s">
        <v>8505</v>
      </c>
      <c r="AD4113" s="9">
        <v>43845</v>
      </c>
      <c r="AE4113" s="3" t="s">
        <v>110</v>
      </c>
      <c r="AF4113" s="3" t="s">
        <v>8506</v>
      </c>
      <c r="AG4113" s="3" t="s">
        <v>81</v>
      </c>
      <c r="AH4113" s="11">
        <f>HYPERLINK("https://my.pitchbook.com?c=129879-91T","View Company Online")</f>
      </c>
    </row>
    <row r="4114">
      <c r="A4114" s="12" t="s">
        <v>20454</v>
      </c>
      <c r="B4114" s="12" t="s">
        <v>14642</v>
      </c>
      <c r="C4114" s="19" t="s">
        <v>36</v>
      </c>
      <c r="D4114" s="19" t="s">
        <v>36</v>
      </c>
      <c r="E4114" s="19" t="s">
        <v>36</v>
      </c>
      <c r="F4114" s="19" t="s">
        <v>36</v>
      </c>
      <c r="G4114" s="15" t="s">
        <v>36</v>
      </c>
      <c r="H4114" s="14" t="s">
        <v>36</v>
      </c>
      <c r="I4114" s="18" t="s">
        <v>36</v>
      </c>
      <c r="J4114" s="12" t="s">
        <v>36</v>
      </c>
      <c r="K4114" s="13" t="s">
        <v>36</v>
      </c>
      <c r="L4114" s="15" t="s">
        <v>36</v>
      </c>
      <c r="M4114" s="12" t="s">
        <v>36</v>
      </c>
      <c r="N4114" s="12" t="s">
        <v>36</v>
      </c>
      <c r="O4114" s="17" t="s">
        <v>36</v>
      </c>
      <c r="P4114" s="12" t="s">
        <v>36</v>
      </c>
      <c r="Q4114" s="12" t="s">
        <v>36</v>
      </c>
      <c r="R4114" s="12" t="s">
        <v>36</v>
      </c>
      <c r="S4114" s="12" t="s">
        <v>36</v>
      </c>
      <c r="T4114" s="12" t="s">
        <v>14643</v>
      </c>
      <c r="U4114" s="12" t="s">
        <v>74</v>
      </c>
      <c r="V4114" s="12" t="s">
        <v>75</v>
      </c>
      <c r="W4114" s="12" t="s">
        <v>14644</v>
      </c>
      <c r="X4114" s="16" t="s">
        <v>20455</v>
      </c>
      <c r="Y4114" s="15" t="s">
        <v>55</v>
      </c>
      <c r="Z4114" s="14">
        <v>4.45</v>
      </c>
      <c r="AA4114" s="14" t="s">
        <v>36</v>
      </c>
      <c r="AB4114" s="12" t="s">
        <v>56</v>
      </c>
      <c r="AC4114" s="12" t="s">
        <v>14646</v>
      </c>
      <c r="AD4114" s="13">
        <v>43844</v>
      </c>
      <c r="AE4114" s="12" t="s">
        <v>975</v>
      </c>
      <c r="AF4114" s="12" t="s">
        <v>36</v>
      </c>
      <c r="AG4114" s="12" t="s">
        <v>186</v>
      </c>
      <c r="AH4114" s="1">
        <f>HYPERLINK("https://my.pitchbook.com?c=133651-18T","View Company Online")</f>
      </c>
    </row>
    <row r="4115">
      <c r="A4115" s="3" t="s">
        <v>20456</v>
      </c>
      <c r="B4115" s="3" t="s">
        <v>7614</v>
      </c>
      <c r="C4115" s="5" t="s">
        <v>36</v>
      </c>
      <c r="D4115" s="5" t="s">
        <v>36</v>
      </c>
      <c r="E4115" s="5" t="s">
        <v>36</v>
      </c>
      <c r="F4115" s="5" t="s">
        <v>36</v>
      </c>
      <c r="G4115" s="6" t="s">
        <v>36</v>
      </c>
      <c r="H4115" s="4">
        <v>1246.28</v>
      </c>
      <c r="I4115" s="7" t="s">
        <v>36</v>
      </c>
      <c r="J4115" s="3" t="s">
        <v>521</v>
      </c>
      <c r="K4115" s="9" t="s">
        <v>36</v>
      </c>
      <c r="L4115" s="6" t="s">
        <v>36</v>
      </c>
      <c r="M4115" s="3" t="s">
        <v>36</v>
      </c>
      <c r="N4115" s="3" t="s">
        <v>36</v>
      </c>
      <c r="O4115" s="8" t="s">
        <v>36</v>
      </c>
      <c r="P4115" s="3" t="s">
        <v>36</v>
      </c>
      <c r="Q4115" s="3" t="s">
        <v>36</v>
      </c>
      <c r="R4115" s="3" t="s">
        <v>36</v>
      </c>
      <c r="S4115" s="3" t="s">
        <v>4990</v>
      </c>
      <c r="T4115" s="3" t="s">
        <v>7615</v>
      </c>
      <c r="U4115" s="3" t="s">
        <v>74</v>
      </c>
      <c r="V4115" s="3" t="s">
        <v>75</v>
      </c>
      <c r="W4115" s="3" t="s">
        <v>7616</v>
      </c>
      <c r="X4115" s="10" t="s">
        <v>20457</v>
      </c>
      <c r="Y4115" s="6" t="s">
        <v>42</v>
      </c>
      <c r="Z4115" s="4">
        <v>1.44</v>
      </c>
      <c r="AA4115" s="4">
        <v>4.11</v>
      </c>
      <c r="AB4115" s="3" t="s">
        <v>43</v>
      </c>
      <c r="AC4115" s="3" t="s">
        <v>7618</v>
      </c>
      <c r="AD4115" s="9">
        <v>43844</v>
      </c>
      <c r="AE4115" s="3" t="s">
        <v>696</v>
      </c>
      <c r="AF4115" s="3" t="s">
        <v>7619</v>
      </c>
      <c r="AG4115" s="3" t="s">
        <v>1078</v>
      </c>
      <c r="AH4115" s="11">
        <f>HYPERLINK("https://my.pitchbook.com?c=131285-53T","View Company Online")</f>
      </c>
    </row>
    <row r="4116">
      <c r="A4116" s="12" t="s">
        <v>20458</v>
      </c>
      <c r="B4116" s="12" t="s">
        <v>20459</v>
      </c>
      <c r="C4116" s="19" t="s">
        <v>36</v>
      </c>
      <c r="D4116" s="19" t="s">
        <v>36</v>
      </c>
      <c r="E4116" s="19" t="s">
        <v>36</v>
      </c>
      <c r="F4116" s="19" t="s">
        <v>36</v>
      </c>
      <c r="G4116" s="15" t="s">
        <v>36</v>
      </c>
      <c r="H4116" s="14" t="s">
        <v>36</v>
      </c>
      <c r="I4116" s="18" t="s">
        <v>36</v>
      </c>
      <c r="J4116" s="12" t="s">
        <v>36</v>
      </c>
      <c r="K4116" s="13" t="s">
        <v>36</v>
      </c>
      <c r="L4116" s="15" t="s">
        <v>36</v>
      </c>
      <c r="M4116" s="12" t="s">
        <v>36</v>
      </c>
      <c r="N4116" s="12" t="s">
        <v>36</v>
      </c>
      <c r="O4116" s="17" t="s">
        <v>36</v>
      </c>
      <c r="P4116" s="12" t="s">
        <v>36</v>
      </c>
      <c r="Q4116" s="12" t="s">
        <v>36</v>
      </c>
      <c r="R4116" s="12" t="s">
        <v>36</v>
      </c>
      <c r="S4116" s="12" t="s">
        <v>36</v>
      </c>
      <c r="T4116" s="12" t="s">
        <v>20460</v>
      </c>
      <c r="U4116" s="12" t="s">
        <v>1580</v>
      </c>
      <c r="V4116" s="12" t="s">
        <v>39</v>
      </c>
      <c r="W4116" s="12" t="s">
        <v>20461</v>
      </c>
      <c r="X4116" s="16" t="s">
        <v>20462</v>
      </c>
      <c r="Y4116" s="15" t="s">
        <v>166</v>
      </c>
      <c r="Z4116" s="14">
        <v>1.45</v>
      </c>
      <c r="AA4116" s="14" t="s">
        <v>36</v>
      </c>
      <c r="AB4116" s="12" t="s">
        <v>56</v>
      </c>
      <c r="AC4116" s="12" t="s">
        <v>20463</v>
      </c>
      <c r="AD4116" s="13">
        <v>43844</v>
      </c>
      <c r="AE4116" s="12" t="s">
        <v>4086</v>
      </c>
      <c r="AF4116" s="12" t="s">
        <v>1077</v>
      </c>
      <c r="AG4116" s="12" t="s">
        <v>969</v>
      </c>
      <c r="AH4116" s="1">
        <f>HYPERLINK("https://my.pitchbook.com?c=135771-04T","View Company Online")</f>
      </c>
    </row>
    <row r="4117">
      <c r="A4117" s="3" t="s">
        <v>20464</v>
      </c>
      <c r="B4117" s="3" t="s">
        <v>20465</v>
      </c>
      <c r="C4117" s="5" t="s">
        <v>36</v>
      </c>
      <c r="D4117" s="5" t="s">
        <v>36</v>
      </c>
      <c r="E4117" s="5" t="s">
        <v>36</v>
      </c>
      <c r="F4117" s="5" t="s">
        <v>36</v>
      </c>
      <c r="G4117" s="6" t="s">
        <v>326</v>
      </c>
      <c r="H4117" s="4">
        <v>148.39</v>
      </c>
      <c r="I4117" s="7">
        <v>11.11</v>
      </c>
      <c r="J4117" s="3" t="s">
        <v>521</v>
      </c>
      <c r="K4117" s="9" t="s">
        <v>36</v>
      </c>
      <c r="L4117" s="6" t="s">
        <v>36</v>
      </c>
      <c r="M4117" s="3" t="s">
        <v>36</v>
      </c>
      <c r="N4117" s="3" t="s">
        <v>36</v>
      </c>
      <c r="O4117" s="8" t="s">
        <v>36</v>
      </c>
      <c r="P4117" s="3" t="s">
        <v>36</v>
      </c>
      <c r="Q4117" s="3" t="s">
        <v>36</v>
      </c>
      <c r="R4117" s="3" t="s">
        <v>36</v>
      </c>
      <c r="S4117" s="3" t="s">
        <v>36</v>
      </c>
      <c r="T4117" s="3" t="s">
        <v>4827</v>
      </c>
      <c r="U4117" s="3" t="s">
        <v>648</v>
      </c>
      <c r="V4117" s="3" t="s">
        <v>64</v>
      </c>
      <c r="W4117" s="3" t="s">
        <v>20466</v>
      </c>
      <c r="X4117" s="10" t="s">
        <v>20467</v>
      </c>
      <c r="Y4117" s="6" t="s">
        <v>42</v>
      </c>
      <c r="Z4117" s="4">
        <v>1.23</v>
      </c>
      <c r="AA4117" s="4">
        <v>7.52</v>
      </c>
      <c r="AB4117" s="3" t="s">
        <v>43</v>
      </c>
      <c r="AC4117" s="3" t="s">
        <v>20468</v>
      </c>
      <c r="AD4117" s="9">
        <v>43844</v>
      </c>
      <c r="AE4117" s="3" t="s">
        <v>3988</v>
      </c>
      <c r="AF4117" s="3" t="s">
        <v>4284</v>
      </c>
      <c r="AG4117" s="3" t="s">
        <v>81</v>
      </c>
      <c r="AH4117" s="11">
        <f>HYPERLINK("https://my.pitchbook.com?c=156152-44T","View Company Online")</f>
      </c>
    </row>
    <row r="4118">
      <c r="A4118" s="12" t="s">
        <v>20469</v>
      </c>
      <c r="B4118" s="12" t="s">
        <v>3917</v>
      </c>
      <c r="C4118" s="19" t="s">
        <v>36</v>
      </c>
      <c r="D4118" s="19" t="s">
        <v>36</v>
      </c>
      <c r="E4118" s="19" t="s">
        <v>36</v>
      </c>
      <c r="F4118" s="19" t="s">
        <v>36</v>
      </c>
      <c r="G4118" s="15" t="s">
        <v>36</v>
      </c>
      <c r="H4118" s="14">
        <v>3.37</v>
      </c>
      <c r="I4118" s="18">
        <v>34.71</v>
      </c>
      <c r="J4118" s="12" t="s">
        <v>521</v>
      </c>
      <c r="K4118" s="13">
        <v>43800</v>
      </c>
      <c r="L4118" s="15" t="s">
        <v>36</v>
      </c>
      <c r="M4118" s="12" t="s">
        <v>36</v>
      </c>
      <c r="N4118" s="12" t="s">
        <v>36</v>
      </c>
      <c r="O4118" s="17" t="s">
        <v>36</v>
      </c>
      <c r="P4118" s="12" t="s">
        <v>36</v>
      </c>
      <c r="Q4118" s="12" t="s">
        <v>36</v>
      </c>
      <c r="R4118" s="12" t="s">
        <v>36</v>
      </c>
      <c r="S4118" s="12" t="s">
        <v>36</v>
      </c>
      <c r="T4118" s="12" t="s">
        <v>818</v>
      </c>
      <c r="U4118" s="12" t="s">
        <v>74</v>
      </c>
      <c r="V4118" s="12" t="s">
        <v>75</v>
      </c>
      <c r="W4118" s="12" t="s">
        <v>3918</v>
      </c>
      <c r="X4118" s="16" t="s">
        <v>20470</v>
      </c>
      <c r="Y4118" s="15" t="s">
        <v>42</v>
      </c>
      <c r="Z4118" s="14">
        <v>2.73</v>
      </c>
      <c r="AA4118" s="14">
        <v>7.86</v>
      </c>
      <c r="AB4118" s="12" t="s">
        <v>43</v>
      </c>
      <c r="AC4118" s="12" t="s">
        <v>3920</v>
      </c>
      <c r="AD4118" s="13">
        <v>43843</v>
      </c>
      <c r="AE4118" s="12" t="s">
        <v>570</v>
      </c>
      <c r="AF4118" s="12" t="s">
        <v>1340</v>
      </c>
      <c r="AG4118" s="12" t="s">
        <v>81</v>
      </c>
      <c r="AH4118" s="1">
        <f>HYPERLINK("https://my.pitchbook.com?c=130108-96T","View Company Online")</f>
      </c>
    </row>
    <row r="4119">
      <c r="A4119" s="3" t="s">
        <v>20471</v>
      </c>
      <c r="B4119" s="3" t="s">
        <v>20472</v>
      </c>
      <c r="C4119" s="5">
        <v>14</v>
      </c>
      <c r="D4119" s="5">
        <v>21</v>
      </c>
      <c r="E4119" s="5">
        <v>8</v>
      </c>
      <c r="F4119" s="5">
        <v>38</v>
      </c>
      <c r="G4119" s="6" t="s">
        <v>683</v>
      </c>
      <c r="H4119" s="4">
        <v>3.56</v>
      </c>
      <c r="I4119" s="7">
        <v>27.36</v>
      </c>
      <c r="J4119" s="3" t="s">
        <v>521</v>
      </c>
      <c r="K4119" s="9" t="s">
        <v>36</v>
      </c>
      <c r="L4119" s="6" t="s">
        <v>94</v>
      </c>
      <c r="M4119" s="3" t="s">
        <v>36</v>
      </c>
      <c r="N4119" s="3" t="s">
        <v>94</v>
      </c>
      <c r="O4119" s="8" t="s">
        <v>36</v>
      </c>
      <c r="P4119" s="3" t="s">
        <v>36</v>
      </c>
      <c r="Q4119" s="3" t="s">
        <v>36</v>
      </c>
      <c r="R4119" s="3" t="s">
        <v>36</v>
      </c>
      <c r="S4119" s="3" t="s">
        <v>36</v>
      </c>
      <c r="T4119" s="3" t="s">
        <v>2992</v>
      </c>
      <c r="U4119" s="3" t="s">
        <v>96</v>
      </c>
      <c r="V4119" s="3" t="s">
        <v>52</v>
      </c>
      <c r="W4119" s="3" t="s">
        <v>20473</v>
      </c>
      <c r="X4119" s="10" t="s">
        <v>20474</v>
      </c>
      <c r="Y4119" s="6" t="s">
        <v>192</v>
      </c>
      <c r="Z4119" s="4">
        <v>9</v>
      </c>
      <c r="AA4119" s="4">
        <v>28.68</v>
      </c>
      <c r="AB4119" s="3" t="s">
        <v>56</v>
      </c>
      <c r="AC4119" s="3" t="s">
        <v>20475</v>
      </c>
      <c r="AD4119" s="9">
        <v>43843</v>
      </c>
      <c r="AE4119" s="3" t="s">
        <v>100</v>
      </c>
      <c r="AF4119" s="3" t="s">
        <v>20476</v>
      </c>
      <c r="AG4119" s="3" t="s">
        <v>2542</v>
      </c>
      <c r="AH4119" s="11">
        <f>HYPERLINK("https://my.pitchbook.com?c=129700-36T","View Company Online")</f>
      </c>
    </row>
    <row r="4120">
      <c r="A4120" s="12" t="s">
        <v>20477</v>
      </c>
      <c r="B4120" s="12" t="s">
        <v>4905</v>
      </c>
      <c r="C4120" s="19" t="s">
        <v>36</v>
      </c>
      <c r="D4120" s="19" t="s">
        <v>36</v>
      </c>
      <c r="E4120" s="19" t="s">
        <v>36</v>
      </c>
      <c r="F4120" s="19" t="s">
        <v>36</v>
      </c>
      <c r="G4120" s="15" t="s">
        <v>326</v>
      </c>
      <c r="H4120" s="14">
        <v>116.26</v>
      </c>
      <c r="I4120" s="18">
        <v>30.95</v>
      </c>
      <c r="J4120" s="12" t="s">
        <v>521</v>
      </c>
      <c r="K4120" s="13" t="s">
        <v>36</v>
      </c>
      <c r="L4120" s="15" t="s">
        <v>122</v>
      </c>
      <c r="M4120" s="12" t="s">
        <v>36</v>
      </c>
      <c r="N4120" s="12" t="s">
        <v>122</v>
      </c>
      <c r="O4120" s="17" t="s">
        <v>36</v>
      </c>
      <c r="P4120" s="12" t="s">
        <v>36</v>
      </c>
      <c r="Q4120" s="12" t="s">
        <v>36</v>
      </c>
      <c r="R4120" s="12" t="s">
        <v>36</v>
      </c>
      <c r="S4120" s="12" t="s">
        <v>36</v>
      </c>
      <c r="T4120" s="12" t="s">
        <v>105</v>
      </c>
      <c r="U4120" s="12" t="s">
        <v>38</v>
      </c>
      <c r="V4120" s="12" t="s">
        <v>39</v>
      </c>
      <c r="W4120" s="12" t="s">
        <v>4906</v>
      </c>
      <c r="X4120" s="16" t="s">
        <v>20478</v>
      </c>
      <c r="Y4120" s="15" t="s">
        <v>55</v>
      </c>
      <c r="Z4120" s="14">
        <v>10.6</v>
      </c>
      <c r="AA4120" s="14">
        <v>34.24</v>
      </c>
      <c r="AB4120" s="12" t="s">
        <v>43</v>
      </c>
      <c r="AC4120" s="12" t="s">
        <v>4908</v>
      </c>
      <c r="AD4120" s="13">
        <v>43843</v>
      </c>
      <c r="AE4120" s="12" t="s">
        <v>110</v>
      </c>
      <c r="AF4120" s="12" t="s">
        <v>3762</v>
      </c>
      <c r="AG4120" s="12" t="s">
        <v>47</v>
      </c>
      <c r="AH4120" s="1">
        <f>HYPERLINK("https://my.pitchbook.com?c=129708-28T","View Company Online")</f>
      </c>
    </row>
    <row r="4121">
      <c r="A4121" s="3" t="s">
        <v>20479</v>
      </c>
      <c r="B4121" s="3" t="s">
        <v>4423</v>
      </c>
      <c r="C4121" s="5" t="s">
        <v>36</v>
      </c>
      <c r="D4121" s="5" t="s">
        <v>36</v>
      </c>
      <c r="E4121" s="5" t="s">
        <v>36</v>
      </c>
      <c r="F4121" s="5" t="s">
        <v>36</v>
      </c>
      <c r="G4121" s="6" t="s">
        <v>36</v>
      </c>
      <c r="H4121" s="4">
        <v>893.17</v>
      </c>
      <c r="I4121" s="7">
        <v>16.88</v>
      </c>
      <c r="J4121" s="3" t="s">
        <v>521</v>
      </c>
      <c r="K4121" s="9" t="s">
        <v>36</v>
      </c>
      <c r="L4121" s="6" t="s">
        <v>36</v>
      </c>
      <c r="M4121" s="3" t="s">
        <v>36</v>
      </c>
      <c r="N4121" s="3" t="s">
        <v>36</v>
      </c>
      <c r="O4121" s="8" t="s">
        <v>36</v>
      </c>
      <c r="P4121" s="3" t="s">
        <v>36</v>
      </c>
      <c r="Q4121" s="3" t="s">
        <v>36</v>
      </c>
      <c r="R4121" s="3" t="s">
        <v>36</v>
      </c>
      <c r="S4121" s="3" t="s">
        <v>36</v>
      </c>
      <c r="T4121" s="3" t="s">
        <v>395</v>
      </c>
      <c r="U4121" s="3" t="s">
        <v>63</v>
      </c>
      <c r="V4121" s="3" t="s">
        <v>64</v>
      </c>
      <c r="W4121" s="3" t="s">
        <v>4424</v>
      </c>
      <c r="X4121" s="10" t="s">
        <v>20480</v>
      </c>
      <c r="Y4121" s="6" t="s">
        <v>42</v>
      </c>
      <c r="Z4121" s="4">
        <v>0.4</v>
      </c>
      <c r="AA4121" s="4">
        <v>2.39</v>
      </c>
      <c r="AB4121" s="3" t="s">
        <v>43</v>
      </c>
      <c r="AC4121" s="3" t="s">
        <v>4426</v>
      </c>
      <c r="AD4121" s="9">
        <v>43842</v>
      </c>
      <c r="AE4121" s="3" t="s">
        <v>399</v>
      </c>
      <c r="AF4121" s="3" t="s">
        <v>36</v>
      </c>
      <c r="AG4121" s="3" t="s">
        <v>81</v>
      </c>
      <c r="AH4121" s="11">
        <f>HYPERLINK("https://my.pitchbook.com?c=256584-25T","View Company Online")</f>
      </c>
    </row>
    <row r="4122">
      <c r="A4122" s="12" t="s">
        <v>20481</v>
      </c>
      <c r="B4122" s="12" t="s">
        <v>20482</v>
      </c>
      <c r="C4122" s="19" t="s">
        <v>36</v>
      </c>
      <c r="D4122" s="19" t="s">
        <v>36</v>
      </c>
      <c r="E4122" s="19" t="s">
        <v>36</v>
      </c>
      <c r="F4122" s="19" t="s">
        <v>36</v>
      </c>
      <c r="G4122" s="15" t="s">
        <v>36</v>
      </c>
      <c r="H4122" s="14" t="s">
        <v>36</v>
      </c>
      <c r="I4122" s="18" t="s">
        <v>36</v>
      </c>
      <c r="J4122" s="12" t="s">
        <v>36</v>
      </c>
      <c r="K4122" s="13" t="s">
        <v>36</v>
      </c>
      <c r="L4122" s="15" t="s">
        <v>36</v>
      </c>
      <c r="M4122" s="12" t="s">
        <v>36</v>
      </c>
      <c r="N4122" s="12" t="s">
        <v>36</v>
      </c>
      <c r="O4122" s="17" t="s">
        <v>36</v>
      </c>
      <c r="P4122" s="12" t="s">
        <v>36</v>
      </c>
      <c r="Q4122" s="12" t="s">
        <v>36</v>
      </c>
      <c r="R4122" s="12" t="s">
        <v>36</v>
      </c>
      <c r="S4122" s="12" t="s">
        <v>36</v>
      </c>
      <c r="T4122" s="12" t="s">
        <v>20483</v>
      </c>
      <c r="U4122" s="12" t="s">
        <v>38</v>
      </c>
      <c r="V4122" s="12" t="s">
        <v>39</v>
      </c>
      <c r="W4122" s="12" t="s">
        <v>20484</v>
      </c>
      <c r="X4122" s="16" t="s">
        <v>20485</v>
      </c>
      <c r="Y4122" s="15" t="s">
        <v>108</v>
      </c>
      <c r="Z4122" s="14" t="s">
        <v>36</v>
      </c>
      <c r="AA4122" s="14" t="s">
        <v>36</v>
      </c>
      <c r="AB4122" s="12" t="s">
        <v>56</v>
      </c>
      <c r="AC4122" s="12" t="s">
        <v>20486</v>
      </c>
      <c r="AD4122" s="13">
        <v>43840</v>
      </c>
      <c r="AE4122" s="12" t="s">
        <v>339</v>
      </c>
      <c r="AF4122" s="12" t="s">
        <v>20487</v>
      </c>
      <c r="AG4122" s="12" t="s">
        <v>186</v>
      </c>
      <c r="AH4122" s="1">
        <f>HYPERLINK("https://my.pitchbook.com?c=158826-34T","View Company Online")</f>
      </c>
    </row>
    <row r="4123">
      <c r="A4123" s="3" t="s">
        <v>20488</v>
      </c>
      <c r="B4123" s="3" t="s">
        <v>20489</v>
      </c>
      <c r="C4123" s="5" t="s">
        <v>36</v>
      </c>
      <c r="D4123" s="5">
        <v>7</v>
      </c>
      <c r="E4123" s="5">
        <v>2</v>
      </c>
      <c r="F4123" s="5">
        <v>7</v>
      </c>
      <c r="G4123" s="6" t="s">
        <v>36</v>
      </c>
      <c r="H4123" s="4">
        <v>857.4</v>
      </c>
      <c r="I4123" s="7">
        <v>30</v>
      </c>
      <c r="J4123" s="3" t="s">
        <v>521</v>
      </c>
      <c r="K4123" s="9">
        <v>43840</v>
      </c>
      <c r="L4123" s="6" t="s">
        <v>122</v>
      </c>
      <c r="M4123" s="3" t="s">
        <v>36</v>
      </c>
      <c r="N4123" s="3" t="s">
        <v>122</v>
      </c>
      <c r="O4123" s="8" t="s">
        <v>36</v>
      </c>
      <c r="P4123" s="3" t="s">
        <v>36</v>
      </c>
      <c r="Q4123" s="3" t="s">
        <v>36</v>
      </c>
      <c r="R4123" s="3" t="s">
        <v>36</v>
      </c>
      <c r="S4123" s="3" t="s">
        <v>36</v>
      </c>
      <c r="T4123" s="3" t="s">
        <v>20490</v>
      </c>
      <c r="U4123" s="3" t="s">
        <v>180</v>
      </c>
      <c r="V4123" s="3" t="s">
        <v>52</v>
      </c>
      <c r="W4123" s="3" t="s">
        <v>20491</v>
      </c>
      <c r="X4123" s="10" t="s">
        <v>20492</v>
      </c>
      <c r="Y4123" s="6" t="s">
        <v>55</v>
      </c>
      <c r="Z4123" s="4">
        <v>16.71</v>
      </c>
      <c r="AA4123" s="4">
        <v>37.16</v>
      </c>
      <c r="AB4123" s="3" t="s">
        <v>56</v>
      </c>
      <c r="AC4123" s="3" t="s">
        <v>20493</v>
      </c>
      <c r="AD4123" s="9">
        <v>43840</v>
      </c>
      <c r="AE4123" s="3" t="s">
        <v>1192</v>
      </c>
      <c r="AF4123" s="3" t="s">
        <v>20494</v>
      </c>
      <c r="AG4123" s="3" t="s">
        <v>81</v>
      </c>
      <c r="AH4123" s="11">
        <f>HYPERLINK("https://my.pitchbook.com?c=129584-35T","View Company Online")</f>
      </c>
    </row>
    <row r="4124">
      <c r="A4124" s="12" t="s">
        <v>20495</v>
      </c>
      <c r="B4124" s="12" t="s">
        <v>20496</v>
      </c>
      <c r="C4124" s="19">
        <v>9</v>
      </c>
      <c r="D4124" s="19" t="s">
        <v>36</v>
      </c>
      <c r="E4124" s="19">
        <v>4</v>
      </c>
      <c r="F4124" s="19">
        <v>9</v>
      </c>
      <c r="G4124" s="15" t="s">
        <v>36</v>
      </c>
      <c r="H4124" s="14" t="s">
        <v>36</v>
      </c>
      <c r="I4124" s="18" t="s">
        <v>36</v>
      </c>
      <c r="J4124" s="12" t="s">
        <v>36</v>
      </c>
      <c r="K4124" s="13" t="s">
        <v>36</v>
      </c>
      <c r="L4124" s="15" t="s">
        <v>122</v>
      </c>
      <c r="M4124" s="12" t="s">
        <v>36</v>
      </c>
      <c r="N4124" s="12" t="s">
        <v>122</v>
      </c>
      <c r="O4124" s="17" t="s">
        <v>36</v>
      </c>
      <c r="P4124" s="12" t="s">
        <v>36</v>
      </c>
      <c r="Q4124" s="12" t="s">
        <v>36</v>
      </c>
      <c r="R4124" s="12" t="s">
        <v>36</v>
      </c>
      <c r="S4124" s="12" t="s">
        <v>36</v>
      </c>
      <c r="T4124" s="12" t="s">
        <v>881</v>
      </c>
      <c r="U4124" s="12" t="s">
        <v>51</v>
      </c>
      <c r="V4124" s="12" t="s">
        <v>52</v>
      </c>
      <c r="W4124" s="12" t="s">
        <v>20497</v>
      </c>
      <c r="X4124" s="16" t="s">
        <v>20498</v>
      </c>
      <c r="Y4124" s="15" t="s">
        <v>108</v>
      </c>
      <c r="Z4124" s="14">
        <v>20.61</v>
      </c>
      <c r="AA4124" s="14" t="s">
        <v>36</v>
      </c>
      <c r="AB4124" s="12" t="s">
        <v>43</v>
      </c>
      <c r="AC4124" s="12" t="s">
        <v>20499</v>
      </c>
      <c r="AD4124" s="13">
        <v>43839</v>
      </c>
      <c r="AE4124" s="12" t="s">
        <v>504</v>
      </c>
      <c r="AF4124" s="12" t="s">
        <v>665</v>
      </c>
      <c r="AG4124" s="12" t="s">
        <v>81</v>
      </c>
      <c r="AH4124" s="1">
        <f>HYPERLINK("https://my.pitchbook.com?c=129527-83T","View Company Online")</f>
      </c>
    </row>
    <row r="4125">
      <c r="A4125" s="3" t="s">
        <v>20500</v>
      </c>
      <c r="B4125" s="3" t="s">
        <v>17664</v>
      </c>
      <c r="C4125" s="5">
        <v>4</v>
      </c>
      <c r="D4125" s="5" t="s">
        <v>36</v>
      </c>
      <c r="E4125" s="5">
        <v>2</v>
      </c>
      <c r="F4125" s="5">
        <v>4</v>
      </c>
      <c r="G4125" s="6" t="s">
        <v>36</v>
      </c>
      <c r="H4125" s="4" t="s">
        <v>36</v>
      </c>
      <c r="I4125" s="7" t="s">
        <v>36</v>
      </c>
      <c r="J4125" s="3" t="s">
        <v>36</v>
      </c>
      <c r="K4125" s="9" t="s">
        <v>36</v>
      </c>
      <c r="L4125" s="6" t="s">
        <v>122</v>
      </c>
      <c r="M4125" s="3" t="s">
        <v>36</v>
      </c>
      <c r="N4125" s="3" t="s">
        <v>122</v>
      </c>
      <c r="O4125" s="8" t="s">
        <v>36</v>
      </c>
      <c r="P4125" s="3" t="s">
        <v>36</v>
      </c>
      <c r="Q4125" s="3" t="s">
        <v>36</v>
      </c>
      <c r="R4125" s="3" t="s">
        <v>36</v>
      </c>
      <c r="S4125" s="3" t="s">
        <v>36</v>
      </c>
      <c r="T4125" s="3" t="s">
        <v>881</v>
      </c>
      <c r="U4125" s="3" t="s">
        <v>51</v>
      </c>
      <c r="V4125" s="3" t="s">
        <v>52</v>
      </c>
      <c r="W4125" s="3" t="s">
        <v>17665</v>
      </c>
      <c r="X4125" s="10" t="s">
        <v>20501</v>
      </c>
      <c r="Y4125" s="6" t="s">
        <v>42</v>
      </c>
      <c r="Z4125" s="4" t="s">
        <v>36</v>
      </c>
      <c r="AA4125" s="4" t="s">
        <v>36</v>
      </c>
      <c r="AB4125" s="3" t="s">
        <v>43</v>
      </c>
      <c r="AC4125" s="3" t="s">
        <v>17667</v>
      </c>
      <c r="AD4125" s="9">
        <v>43839</v>
      </c>
      <c r="AE4125" s="3" t="s">
        <v>504</v>
      </c>
      <c r="AF4125" s="3" t="s">
        <v>159</v>
      </c>
      <c r="AG4125" s="3" t="s">
        <v>81</v>
      </c>
      <c r="AH4125" s="11">
        <f>HYPERLINK("https://my.pitchbook.com?c=178317-64T","View Company Online")</f>
      </c>
    </row>
    <row r="4126">
      <c r="A4126" s="12" t="s">
        <v>20502</v>
      </c>
      <c r="B4126" s="12" t="s">
        <v>8443</v>
      </c>
      <c r="C4126" s="19" t="s">
        <v>36</v>
      </c>
      <c r="D4126" s="19" t="s">
        <v>36</v>
      </c>
      <c r="E4126" s="19" t="s">
        <v>36</v>
      </c>
      <c r="F4126" s="19" t="s">
        <v>36</v>
      </c>
      <c r="G4126" s="15" t="s">
        <v>36</v>
      </c>
      <c r="H4126" s="14" t="s">
        <v>36</v>
      </c>
      <c r="I4126" s="18" t="s">
        <v>36</v>
      </c>
      <c r="J4126" s="12" t="s">
        <v>36</v>
      </c>
      <c r="K4126" s="13" t="s">
        <v>36</v>
      </c>
      <c r="L4126" s="15" t="s">
        <v>36</v>
      </c>
      <c r="M4126" s="12" t="s">
        <v>36</v>
      </c>
      <c r="N4126" s="12" t="s">
        <v>36</v>
      </c>
      <c r="O4126" s="17" t="s">
        <v>36</v>
      </c>
      <c r="P4126" s="12" t="s">
        <v>36</v>
      </c>
      <c r="Q4126" s="12" t="s">
        <v>36</v>
      </c>
      <c r="R4126" s="12" t="s">
        <v>36</v>
      </c>
      <c r="S4126" s="12" t="s">
        <v>36</v>
      </c>
      <c r="T4126" s="12" t="s">
        <v>4827</v>
      </c>
      <c r="U4126" s="12" t="s">
        <v>648</v>
      </c>
      <c r="V4126" s="12" t="s">
        <v>64</v>
      </c>
      <c r="W4126" s="12" t="s">
        <v>8444</v>
      </c>
      <c r="X4126" s="16" t="s">
        <v>14013</v>
      </c>
      <c r="Y4126" s="15" t="s">
        <v>108</v>
      </c>
      <c r="Z4126" s="14" t="s">
        <v>36</v>
      </c>
      <c r="AA4126" s="14" t="s">
        <v>36</v>
      </c>
      <c r="AB4126" s="12" t="s">
        <v>43</v>
      </c>
      <c r="AC4126" s="12" t="s">
        <v>8446</v>
      </c>
      <c r="AD4126" s="13">
        <v>43839</v>
      </c>
      <c r="AE4126" s="12" t="s">
        <v>3988</v>
      </c>
      <c r="AF4126" s="12" t="s">
        <v>4284</v>
      </c>
      <c r="AG4126" s="12" t="s">
        <v>81</v>
      </c>
      <c r="AH4126" s="1">
        <f>HYPERLINK("https://my.pitchbook.com?c=218459-17T","View Company Online")</f>
      </c>
    </row>
    <row r="4127">
      <c r="A4127" s="3" t="s">
        <v>20503</v>
      </c>
      <c r="B4127" s="3" t="s">
        <v>20504</v>
      </c>
      <c r="C4127" s="5">
        <v>10</v>
      </c>
      <c r="D4127" s="5">
        <v>16</v>
      </c>
      <c r="E4127" s="5">
        <v>8</v>
      </c>
      <c r="F4127" s="5">
        <v>26</v>
      </c>
      <c r="G4127" s="6" t="s">
        <v>36</v>
      </c>
      <c r="H4127" s="4">
        <v>7.77</v>
      </c>
      <c r="I4127" s="7">
        <v>38.42</v>
      </c>
      <c r="J4127" s="3" t="s">
        <v>521</v>
      </c>
      <c r="K4127" s="9" t="s">
        <v>36</v>
      </c>
      <c r="L4127" s="6" t="s">
        <v>122</v>
      </c>
      <c r="M4127" s="3" t="s">
        <v>36</v>
      </c>
      <c r="N4127" s="3" t="s">
        <v>122</v>
      </c>
      <c r="O4127" s="8" t="s">
        <v>36</v>
      </c>
      <c r="P4127" s="3" t="s">
        <v>36</v>
      </c>
      <c r="Q4127" s="3" t="s">
        <v>36</v>
      </c>
      <c r="R4127" s="3" t="s">
        <v>36</v>
      </c>
      <c r="S4127" s="3" t="s">
        <v>36</v>
      </c>
      <c r="T4127" s="3" t="s">
        <v>3729</v>
      </c>
      <c r="U4127" s="3" t="s">
        <v>219</v>
      </c>
      <c r="V4127" s="3" t="s">
        <v>75</v>
      </c>
      <c r="W4127" s="3" t="s">
        <v>20505</v>
      </c>
      <c r="X4127" s="10" t="s">
        <v>20506</v>
      </c>
      <c r="Y4127" s="6" t="s">
        <v>55</v>
      </c>
      <c r="Z4127" s="4">
        <v>15.59</v>
      </c>
      <c r="AA4127" s="4">
        <v>26.1</v>
      </c>
      <c r="AB4127" s="3" t="s">
        <v>56</v>
      </c>
      <c r="AC4127" s="3" t="s">
        <v>20507</v>
      </c>
      <c r="AD4127" s="9">
        <v>43839</v>
      </c>
      <c r="AE4127" s="3" t="s">
        <v>1032</v>
      </c>
      <c r="AF4127" s="3" t="s">
        <v>20508</v>
      </c>
      <c r="AG4127" s="3" t="s">
        <v>20509</v>
      </c>
      <c r="AH4127" s="11">
        <f>HYPERLINK("https://my.pitchbook.com?c=129464-74T","View Company Online")</f>
      </c>
    </row>
    <row r="4128">
      <c r="A4128" s="12" t="s">
        <v>20510</v>
      </c>
      <c r="B4128" s="12" t="s">
        <v>17268</v>
      </c>
      <c r="C4128" s="19" t="s">
        <v>36</v>
      </c>
      <c r="D4128" s="19" t="s">
        <v>36</v>
      </c>
      <c r="E4128" s="19">
        <v>1</v>
      </c>
      <c r="F4128" s="19">
        <v>5</v>
      </c>
      <c r="G4128" s="15" t="s">
        <v>326</v>
      </c>
      <c r="H4128" s="14">
        <v>103.44</v>
      </c>
      <c r="I4128" s="18">
        <v>23.51</v>
      </c>
      <c r="J4128" s="12" t="s">
        <v>521</v>
      </c>
      <c r="K4128" s="13" t="s">
        <v>36</v>
      </c>
      <c r="L4128" s="15" t="s">
        <v>122</v>
      </c>
      <c r="M4128" s="12" t="s">
        <v>36</v>
      </c>
      <c r="N4128" s="12" t="s">
        <v>122</v>
      </c>
      <c r="O4128" s="17" t="s">
        <v>36</v>
      </c>
      <c r="P4128" s="12" t="s">
        <v>36</v>
      </c>
      <c r="Q4128" s="12" t="s">
        <v>36</v>
      </c>
      <c r="R4128" s="12" t="s">
        <v>36</v>
      </c>
      <c r="S4128" s="12" t="s">
        <v>36</v>
      </c>
      <c r="T4128" s="12" t="s">
        <v>17269</v>
      </c>
      <c r="U4128" s="12" t="s">
        <v>51</v>
      </c>
      <c r="V4128" s="12" t="s">
        <v>52</v>
      </c>
      <c r="W4128" s="12" t="s">
        <v>17270</v>
      </c>
      <c r="X4128" s="16" t="s">
        <v>20511</v>
      </c>
      <c r="Y4128" s="15" t="s">
        <v>55</v>
      </c>
      <c r="Z4128" s="14">
        <v>5.57</v>
      </c>
      <c r="AA4128" s="14">
        <v>14.45</v>
      </c>
      <c r="AB4128" s="12" t="s">
        <v>56</v>
      </c>
      <c r="AC4128" s="12" t="s">
        <v>17272</v>
      </c>
      <c r="AD4128" s="13">
        <v>43839</v>
      </c>
      <c r="AE4128" s="12" t="s">
        <v>58</v>
      </c>
      <c r="AF4128" s="12" t="s">
        <v>17273</v>
      </c>
      <c r="AG4128" s="12" t="s">
        <v>47</v>
      </c>
      <c r="AH4128" s="1">
        <f>HYPERLINK("https://my.pitchbook.com?c=129486-34T","View Company Online")</f>
      </c>
    </row>
    <row r="4129">
      <c r="A4129" s="3" t="s">
        <v>20512</v>
      </c>
      <c r="B4129" s="3" t="s">
        <v>20513</v>
      </c>
      <c r="C4129" s="5" t="s">
        <v>36</v>
      </c>
      <c r="D4129" s="5" t="s">
        <v>36</v>
      </c>
      <c r="E4129" s="5" t="s">
        <v>36</v>
      </c>
      <c r="F4129" s="5" t="s">
        <v>36</v>
      </c>
      <c r="G4129" s="6" t="s">
        <v>2497</v>
      </c>
      <c r="H4129" s="4">
        <v>498.29</v>
      </c>
      <c r="I4129" s="7">
        <v>25.94</v>
      </c>
      <c r="J4129" s="3" t="s">
        <v>521</v>
      </c>
      <c r="K4129" s="9" t="s">
        <v>36</v>
      </c>
      <c r="L4129" s="6" t="s">
        <v>5639</v>
      </c>
      <c r="M4129" s="3" t="s">
        <v>36</v>
      </c>
      <c r="N4129" s="3" t="s">
        <v>5639</v>
      </c>
      <c r="O4129" s="8" t="s">
        <v>36</v>
      </c>
      <c r="P4129" s="3" t="s">
        <v>36</v>
      </c>
      <c r="Q4129" s="3" t="s">
        <v>36</v>
      </c>
      <c r="R4129" s="3" t="s">
        <v>36</v>
      </c>
      <c r="S4129" s="3" t="s">
        <v>36</v>
      </c>
      <c r="T4129" s="3" t="s">
        <v>2558</v>
      </c>
      <c r="U4129" s="3" t="s">
        <v>38</v>
      </c>
      <c r="V4129" s="3" t="s">
        <v>39</v>
      </c>
      <c r="W4129" s="3" t="s">
        <v>20514</v>
      </c>
      <c r="X4129" s="10" t="s">
        <v>20515</v>
      </c>
      <c r="Y4129" s="6" t="s">
        <v>108</v>
      </c>
      <c r="Z4129" s="4">
        <v>4.45</v>
      </c>
      <c r="AA4129" s="4">
        <v>10.64</v>
      </c>
      <c r="AB4129" s="3" t="s">
        <v>43</v>
      </c>
      <c r="AC4129" s="3" t="s">
        <v>20516</v>
      </c>
      <c r="AD4129" s="9">
        <v>43838</v>
      </c>
      <c r="AE4129" s="3" t="s">
        <v>110</v>
      </c>
      <c r="AF4129" s="3" t="s">
        <v>905</v>
      </c>
      <c r="AG4129" s="3" t="s">
        <v>81</v>
      </c>
      <c r="AH4129" s="11">
        <f>HYPERLINK("https://my.pitchbook.com?c=129503-08T","View Company Online")</f>
      </c>
    </row>
    <row r="4130">
      <c r="A4130" s="12" t="s">
        <v>20517</v>
      </c>
      <c r="B4130" s="12" t="s">
        <v>20518</v>
      </c>
      <c r="C4130" s="19" t="s">
        <v>36</v>
      </c>
      <c r="D4130" s="19" t="s">
        <v>36</v>
      </c>
      <c r="E4130" s="19">
        <v>1</v>
      </c>
      <c r="F4130" s="19">
        <v>1</v>
      </c>
      <c r="G4130" s="15" t="s">
        <v>326</v>
      </c>
      <c r="H4130" s="14">
        <v>1.6</v>
      </c>
      <c r="I4130" s="18">
        <v>7.71</v>
      </c>
      <c r="J4130" s="12" t="s">
        <v>521</v>
      </c>
      <c r="K4130" s="13" t="s">
        <v>36</v>
      </c>
      <c r="L4130" s="15" t="s">
        <v>36</v>
      </c>
      <c r="M4130" s="12" t="s">
        <v>36</v>
      </c>
      <c r="N4130" s="12" t="s">
        <v>36</v>
      </c>
      <c r="O4130" s="17" t="s">
        <v>36</v>
      </c>
      <c r="P4130" s="12" t="s">
        <v>36</v>
      </c>
      <c r="Q4130" s="12" t="s">
        <v>36</v>
      </c>
      <c r="R4130" s="12" t="s">
        <v>36</v>
      </c>
      <c r="S4130" s="12" t="s">
        <v>36</v>
      </c>
      <c r="T4130" s="12" t="s">
        <v>20519</v>
      </c>
      <c r="U4130" s="12" t="s">
        <v>74</v>
      </c>
      <c r="V4130" s="12" t="s">
        <v>75</v>
      </c>
      <c r="W4130" s="12" t="s">
        <v>20520</v>
      </c>
      <c r="X4130" s="16" t="s">
        <v>20521</v>
      </c>
      <c r="Y4130" s="15" t="s">
        <v>108</v>
      </c>
      <c r="Z4130" s="14">
        <v>0.5</v>
      </c>
      <c r="AA4130" s="14">
        <v>6.5</v>
      </c>
      <c r="AB4130" s="12" t="s">
        <v>43</v>
      </c>
      <c r="AC4130" s="12" t="s">
        <v>20522</v>
      </c>
      <c r="AD4130" s="13">
        <v>43838</v>
      </c>
      <c r="AE4130" s="12" t="s">
        <v>79</v>
      </c>
      <c r="AF4130" s="12" t="s">
        <v>6417</v>
      </c>
      <c r="AG4130" s="12" t="s">
        <v>20523</v>
      </c>
      <c r="AH4130" s="1">
        <f>HYPERLINK("https://my.pitchbook.com?c=203013-73T","View Company Online")</f>
      </c>
    </row>
    <row r="4131">
      <c r="A4131" s="3" t="s">
        <v>20524</v>
      </c>
      <c r="B4131" s="3" t="s">
        <v>20525</v>
      </c>
      <c r="C4131" s="5" t="s">
        <v>36</v>
      </c>
      <c r="D4131" s="5" t="s">
        <v>36</v>
      </c>
      <c r="E4131" s="5" t="s">
        <v>36</v>
      </c>
      <c r="F4131" s="5" t="s">
        <v>36</v>
      </c>
      <c r="G4131" s="6" t="s">
        <v>2497</v>
      </c>
      <c r="H4131" s="4">
        <v>239.91</v>
      </c>
      <c r="I4131" s="7">
        <v>9.63</v>
      </c>
      <c r="J4131" s="3" t="s">
        <v>521</v>
      </c>
      <c r="K4131" s="9" t="s">
        <v>36</v>
      </c>
      <c r="L4131" s="6" t="s">
        <v>36</v>
      </c>
      <c r="M4131" s="3" t="s">
        <v>36</v>
      </c>
      <c r="N4131" s="3" t="s">
        <v>36</v>
      </c>
      <c r="O4131" s="8" t="s">
        <v>36</v>
      </c>
      <c r="P4131" s="3" t="s">
        <v>36</v>
      </c>
      <c r="Q4131" s="3" t="s">
        <v>36</v>
      </c>
      <c r="R4131" s="3" t="s">
        <v>36</v>
      </c>
      <c r="S4131" s="3" t="s">
        <v>36</v>
      </c>
      <c r="T4131" s="3" t="s">
        <v>522</v>
      </c>
      <c r="U4131" s="3" t="s">
        <v>38</v>
      </c>
      <c r="V4131" s="3" t="s">
        <v>39</v>
      </c>
      <c r="W4131" s="3" t="s">
        <v>20526</v>
      </c>
      <c r="X4131" s="10" t="s">
        <v>20527</v>
      </c>
      <c r="Y4131" s="6" t="s">
        <v>108</v>
      </c>
      <c r="Z4131" s="4">
        <v>0.39</v>
      </c>
      <c r="AA4131" s="4">
        <v>4.04</v>
      </c>
      <c r="AB4131" s="3" t="s">
        <v>56</v>
      </c>
      <c r="AC4131" s="3" t="s">
        <v>20528</v>
      </c>
      <c r="AD4131" s="9">
        <v>43837</v>
      </c>
      <c r="AE4131" s="3" t="s">
        <v>110</v>
      </c>
      <c r="AF4131" s="3" t="s">
        <v>2343</v>
      </c>
      <c r="AG4131" s="3" t="s">
        <v>12062</v>
      </c>
      <c r="AH4131" s="11">
        <f>HYPERLINK("https://my.pitchbook.com?c=135337-60T","View Company Online")</f>
      </c>
    </row>
    <row r="4132">
      <c r="A4132" s="12" t="s">
        <v>20529</v>
      </c>
      <c r="B4132" s="12" t="s">
        <v>3544</v>
      </c>
      <c r="C4132" s="19" t="s">
        <v>36</v>
      </c>
      <c r="D4132" s="19" t="s">
        <v>36</v>
      </c>
      <c r="E4132" s="19" t="s">
        <v>36</v>
      </c>
      <c r="F4132" s="19" t="s">
        <v>36</v>
      </c>
      <c r="G4132" s="15" t="s">
        <v>36</v>
      </c>
      <c r="H4132" s="14" t="s">
        <v>36</v>
      </c>
      <c r="I4132" s="18" t="s">
        <v>36</v>
      </c>
      <c r="J4132" s="12" t="s">
        <v>36</v>
      </c>
      <c r="K4132" s="13" t="s">
        <v>36</v>
      </c>
      <c r="L4132" s="15" t="s">
        <v>36</v>
      </c>
      <c r="M4132" s="12" t="s">
        <v>36</v>
      </c>
      <c r="N4132" s="12" t="s">
        <v>36</v>
      </c>
      <c r="O4132" s="17" t="s">
        <v>36</v>
      </c>
      <c r="P4132" s="12" t="s">
        <v>36</v>
      </c>
      <c r="Q4132" s="12" t="s">
        <v>36</v>
      </c>
      <c r="R4132" s="12" t="s">
        <v>36</v>
      </c>
      <c r="S4132" s="12" t="s">
        <v>36</v>
      </c>
      <c r="T4132" s="12" t="s">
        <v>3545</v>
      </c>
      <c r="U4132" s="12" t="s">
        <v>38</v>
      </c>
      <c r="V4132" s="12" t="s">
        <v>39</v>
      </c>
      <c r="W4132" s="12" t="s">
        <v>3546</v>
      </c>
      <c r="X4132" s="16" t="s">
        <v>14013</v>
      </c>
      <c r="Y4132" s="15" t="s">
        <v>42</v>
      </c>
      <c r="Z4132" s="14" t="s">
        <v>36</v>
      </c>
      <c r="AA4132" s="14" t="s">
        <v>36</v>
      </c>
      <c r="AB4132" s="12" t="s">
        <v>43</v>
      </c>
      <c r="AC4132" s="12" t="s">
        <v>3548</v>
      </c>
      <c r="AD4132" s="13">
        <v>43836</v>
      </c>
      <c r="AE4132" s="12" t="s">
        <v>1945</v>
      </c>
      <c r="AF4132" s="12" t="s">
        <v>1331</v>
      </c>
      <c r="AG4132" s="12" t="s">
        <v>81</v>
      </c>
      <c r="AH4132" s="1">
        <f>HYPERLINK("https://my.pitchbook.com?c=218460-07T","View Company Online")</f>
      </c>
    </row>
    <row r="4133">
      <c r="A4133" s="3" t="s">
        <v>20530</v>
      </c>
      <c r="B4133" s="3" t="s">
        <v>20531</v>
      </c>
      <c r="C4133" s="5" t="s">
        <v>36</v>
      </c>
      <c r="D4133" s="5" t="s">
        <v>36</v>
      </c>
      <c r="E4133" s="5" t="s">
        <v>36</v>
      </c>
      <c r="F4133" s="5" t="s">
        <v>36</v>
      </c>
      <c r="G4133" s="6" t="s">
        <v>36</v>
      </c>
      <c r="H4133" s="4">
        <v>363.5</v>
      </c>
      <c r="I4133" s="7">
        <v>32.18</v>
      </c>
      <c r="J4133" s="3" t="s">
        <v>521</v>
      </c>
      <c r="K4133" s="9">
        <v>43819</v>
      </c>
      <c r="L4133" s="6" t="s">
        <v>36</v>
      </c>
      <c r="M4133" s="3" t="s">
        <v>36</v>
      </c>
      <c r="N4133" s="3" t="s">
        <v>36</v>
      </c>
      <c r="O4133" s="8" t="s">
        <v>36</v>
      </c>
      <c r="P4133" s="3" t="s">
        <v>36</v>
      </c>
      <c r="Q4133" s="3" t="s">
        <v>36</v>
      </c>
      <c r="R4133" s="3" t="s">
        <v>36</v>
      </c>
      <c r="S4133" s="3" t="s">
        <v>36</v>
      </c>
      <c r="T4133" s="3" t="s">
        <v>20532</v>
      </c>
      <c r="U4133" s="3" t="s">
        <v>1357</v>
      </c>
      <c r="V4133" s="3" t="s">
        <v>52</v>
      </c>
      <c r="W4133" s="3" t="s">
        <v>20533</v>
      </c>
      <c r="X4133" s="10" t="s">
        <v>20534</v>
      </c>
      <c r="Y4133" s="6" t="s">
        <v>42</v>
      </c>
      <c r="Z4133" s="4">
        <v>0.61</v>
      </c>
      <c r="AA4133" s="4">
        <v>1.89</v>
      </c>
      <c r="AB4133" s="3" t="s">
        <v>43</v>
      </c>
      <c r="AC4133" s="3" t="s">
        <v>20535</v>
      </c>
      <c r="AD4133" s="9">
        <v>43832</v>
      </c>
      <c r="AE4133" s="3" t="s">
        <v>2808</v>
      </c>
      <c r="AF4133" s="3" t="s">
        <v>20536</v>
      </c>
      <c r="AG4133" s="3" t="s">
        <v>969</v>
      </c>
      <c r="AH4133" s="11">
        <f>HYPERLINK("https://my.pitchbook.com?c=133561-81T","View Company Online")</f>
      </c>
    </row>
    <row r="4134">
      <c r="A4134" s="12" t="s">
        <v>20537</v>
      </c>
      <c r="B4134" s="12" t="s">
        <v>20459</v>
      </c>
      <c r="C4134" s="19" t="s">
        <v>36</v>
      </c>
      <c r="D4134" s="19" t="s">
        <v>36</v>
      </c>
      <c r="E4134" s="19" t="s">
        <v>36</v>
      </c>
      <c r="F4134" s="19" t="s">
        <v>36</v>
      </c>
      <c r="G4134" s="15" t="s">
        <v>326</v>
      </c>
      <c r="H4134" s="14" t="s">
        <v>36</v>
      </c>
      <c r="I4134" s="18">
        <v>25.12</v>
      </c>
      <c r="J4134" s="12" t="s">
        <v>327</v>
      </c>
      <c r="K4134" s="13" t="s">
        <v>36</v>
      </c>
      <c r="L4134" s="15" t="s">
        <v>36</v>
      </c>
      <c r="M4134" s="12" t="s">
        <v>36</v>
      </c>
      <c r="N4134" s="12" t="s">
        <v>36</v>
      </c>
      <c r="O4134" s="17" t="s">
        <v>36</v>
      </c>
      <c r="P4134" s="12" t="s">
        <v>36</v>
      </c>
      <c r="Q4134" s="12" t="s">
        <v>36</v>
      </c>
      <c r="R4134" s="12" t="s">
        <v>36</v>
      </c>
      <c r="S4134" s="12" t="s">
        <v>36</v>
      </c>
      <c r="T4134" s="12" t="s">
        <v>20460</v>
      </c>
      <c r="U4134" s="12" t="s">
        <v>1580</v>
      </c>
      <c r="V4134" s="12" t="s">
        <v>39</v>
      </c>
      <c r="W4134" s="12" t="s">
        <v>20461</v>
      </c>
      <c r="X4134" s="16" t="s">
        <v>20538</v>
      </c>
      <c r="Y4134" s="15" t="s">
        <v>192</v>
      </c>
      <c r="Z4134" s="14">
        <v>0.72</v>
      </c>
      <c r="AA4134" s="14">
        <v>2.88</v>
      </c>
      <c r="AB4134" s="12" t="s">
        <v>56</v>
      </c>
      <c r="AC4134" s="12" t="s">
        <v>20463</v>
      </c>
      <c r="AD4134" s="13">
        <v>43832</v>
      </c>
      <c r="AE4134" s="12" t="s">
        <v>4086</v>
      </c>
      <c r="AF4134" s="12" t="s">
        <v>1077</v>
      </c>
      <c r="AG4134" s="12" t="s">
        <v>969</v>
      </c>
      <c r="AH4134" s="1">
        <f>HYPERLINK("https://my.pitchbook.com?c=135770-32T","View Company Online")</f>
      </c>
    </row>
    <row r="4135">
      <c r="A4135" s="3" t="s">
        <v>20539</v>
      </c>
      <c r="B4135" s="3" t="s">
        <v>20540</v>
      </c>
      <c r="C4135" s="5" t="s">
        <v>36</v>
      </c>
      <c r="D4135" s="5">
        <v>9</v>
      </c>
      <c r="E4135" s="5">
        <v>9</v>
      </c>
      <c r="F4135" s="5">
        <v>19</v>
      </c>
      <c r="G4135" s="6" t="s">
        <v>36</v>
      </c>
      <c r="H4135" s="4">
        <v>58.16</v>
      </c>
      <c r="I4135" s="7">
        <v>33.01</v>
      </c>
      <c r="J4135" s="3" t="s">
        <v>521</v>
      </c>
      <c r="K4135" s="9" t="s">
        <v>36</v>
      </c>
      <c r="L4135" s="6" t="s">
        <v>36</v>
      </c>
      <c r="M4135" s="3" t="s">
        <v>36</v>
      </c>
      <c r="N4135" s="3" t="s">
        <v>36</v>
      </c>
      <c r="O4135" s="8" t="s">
        <v>36</v>
      </c>
      <c r="P4135" s="3" t="s">
        <v>36</v>
      </c>
      <c r="Q4135" s="3" t="s">
        <v>36</v>
      </c>
      <c r="R4135" s="3" t="s">
        <v>36</v>
      </c>
      <c r="S4135" s="3" t="s">
        <v>36</v>
      </c>
      <c r="T4135" s="3" t="s">
        <v>1125</v>
      </c>
      <c r="U4135" s="3" t="s">
        <v>74</v>
      </c>
      <c r="V4135" s="3" t="s">
        <v>75</v>
      </c>
      <c r="W4135" s="3" t="s">
        <v>20541</v>
      </c>
      <c r="X4135" s="10" t="s">
        <v>20542</v>
      </c>
      <c r="Y4135" s="6" t="s">
        <v>42</v>
      </c>
      <c r="Z4135" s="4">
        <v>1</v>
      </c>
      <c r="AA4135" s="4">
        <v>3.03</v>
      </c>
      <c r="AB4135" s="3" t="s">
        <v>56</v>
      </c>
      <c r="AC4135" s="3" t="s">
        <v>20543</v>
      </c>
      <c r="AD4135" s="9">
        <v>43831</v>
      </c>
      <c r="AE4135" s="3" t="s">
        <v>975</v>
      </c>
      <c r="AF4135" s="3" t="s">
        <v>546</v>
      </c>
      <c r="AG4135" s="3" t="s">
        <v>186</v>
      </c>
      <c r="AH4135" s="11">
        <f>HYPERLINK("https://my.pitchbook.com?c=138717-37T","View Company Online")</f>
      </c>
    </row>
    <row r="4136">
      <c r="A4136" s="12" t="s">
        <v>20544</v>
      </c>
      <c r="B4136" s="12" t="s">
        <v>20545</v>
      </c>
      <c r="C4136" s="19" t="s">
        <v>36</v>
      </c>
      <c r="D4136" s="19" t="s">
        <v>36</v>
      </c>
      <c r="E4136" s="19" t="s">
        <v>36</v>
      </c>
      <c r="F4136" s="19" t="s">
        <v>36</v>
      </c>
      <c r="G4136" s="15" t="s">
        <v>36</v>
      </c>
      <c r="H4136" s="14" t="s">
        <v>36</v>
      </c>
      <c r="I4136" s="18" t="s">
        <v>36</v>
      </c>
      <c r="J4136" s="12" t="s">
        <v>36</v>
      </c>
      <c r="K4136" s="13" t="s">
        <v>36</v>
      </c>
      <c r="L4136" s="15" t="s">
        <v>36</v>
      </c>
      <c r="M4136" s="12" t="s">
        <v>36</v>
      </c>
      <c r="N4136" s="12" t="s">
        <v>36</v>
      </c>
      <c r="O4136" s="17" t="s">
        <v>36</v>
      </c>
      <c r="P4136" s="12" t="s">
        <v>36</v>
      </c>
      <c r="Q4136" s="12" t="s">
        <v>36</v>
      </c>
      <c r="R4136" s="12" t="s">
        <v>36</v>
      </c>
      <c r="S4136" s="12" t="s">
        <v>36</v>
      </c>
      <c r="T4136" s="12" t="s">
        <v>522</v>
      </c>
      <c r="U4136" s="12" t="s">
        <v>38</v>
      </c>
      <c r="V4136" s="12" t="s">
        <v>39</v>
      </c>
      <c r="W4136" s="12" t="s">
        <v>20546</v>
      </c>
      <c r="X4136" s="16" t="s">
        <v>8765</v>
      </c>
      <c r="Y4136" s="15" t="s">
        <v>42</v>
      </c>
      <c r="Z4136" s="14" t="s">
        <v>36</v>
      </c>
      <c r="AA4136" s="14" t="s">
        <v>36</v>
      </c>
      <c r="AB4136" s="12" t="s">
        <v>43</v>
      </c>
      <c r="AC4136" s="12" t="s">
        <v>20547</v>
      </c>
      <c r="AD4136" s="13">
        <v>43831</v>
      </c>
      <c r="AE4136" s="12" t="s">
        <v>110</v>
      </c>
      <c r="AF4136" s="12" t="s">
        <v>20548</v>
      </c>
      <c r="AG4136" s="12" t="s">
        <v>3115</v>
      </c>
      <c r="AH4136" s="1">
        <f>HYPERLINK("https://my.pitchbook.com?c=190090-72T","View Company Online")</f>
      </c>
    </row>
    <row r="4137">
      <c r="A4137" s="3" t="s">
        <v>20549</v>
      </c>
      <c r="B4137" s="3" t="s">
        <v>20550</v>
      </c>
      <c r="C4137" s="5" t="s">
        <v>36</v>
      </c>
      <c r="D4137" s="5" t="s">
        <v>36</v>
      </c>
      <c r="E4137" s="5" t="s">
        <v>36</v>
      </c>
      <c r="F4137" s="5" t="s">
        <v>36</v>
      </c>
      <c r="G4137" s="6" t="s">
        <v>36</v>
      </c>
      <c r="H4137" s="4" t="s">
        <v>36</v>
      </c>
      <c r="I4137" s="7" t="s">
        <v>36</v>
      </c>
      <c r="J4137" s="3" t="s">
        <v>36</v>
      </c>
      <c r="K4137" s="9" t="s">
        <v>36</v>
      </c>
      <c r="L4137" s="6" t="s">
        <v>36</v>
      </c>
      <c r="M4137" s="3" t="s">
        <v>36</v>
      </c>
      <c r="N4137" s="3" t="s">
        <v>36</v>
      </c>
      <c r="O4137" s="8" t="s">
        <v>36</v>
      </c>
      <c r="P4137" s="3" t="s">
        <v>36</v>
      </c>
      <c r="Q4137" s="3" t="s">
        <v>36</v>
      </c>
      <c r="R4137" s="3" t="s">
        <v>36</v>
      </c>
      <c r="S4137" s="3" t="s">
        <v>36</v>
      </c>
      <c r="T4137" s="3" t="s">
        <v>6959</v>
      </c>
      <c r="U4137" s="3" t="s">
        <v>289</v>
      </c>
      <c r="V4137" s="3" t="s">
        <v>64</v>
      </c>
      <c r="W4137" s="3" t="s">
        <v>20551</v>
      </c>
      <c r="X4137" s="10" t="s">
        <v>11535</v>
      </c>
      <c r="Y4137" s="6" t="s">
        <v>55</v>
      </c>
      <c r="Z4137" s="4" t="s">
        <v>36</v>
      </c>
      <c r="AA4137" s="4" t="s">
        <v>36</v>
      </c>
      <c r="AB4137" s="3" t="s">
        <v>56</v>
      </c>
      <c r="AC4137" s="3" t="s">
        <v>20552</v>
      </c>
      <c r="AD4137" s="9">
        <v>43831</v>
      </c>
      <c r="AE4137" s="3" t="s">
        <v>292</v>
      </c>
      <c r="AF4137" s="3" t="s">
        <v>90</v>
      </c>
      <c r="AG4137" s="3" t="s">
        <v>81</v>
      </c>
      <c r="AH4137" s="11">
        <f>HYPERLINK("https://my.pitchbook.com?c=180573-13T","View Company Online")</f>
      </c>
    </row>
    <row r="4138">
      <c r="A4138" s="12" t="s">
        <v>20553</v>
      </c>
      <c r="B4138" s="12" t="s">
        <v>12139</v>
      </c>
      <c r="C4138" s="19" t="s">
        <v>36</v>
      </c>
      <c r="D4138" s="19">
        <v>2</v>
      </c>
      <c r="E4138" s="19">
        <v>1</v>
      </c>
      <c r="F4138" s="19">
        <v>2</v>
      </c>
      <c r="G4138" s="15" t="s">
        <v>36</v>
      </c>
      <c r="H4138" s="14" t="s">
        <v>36</v>
      </c>
      <c r="I4138" s="18" t="s">
        <v>36</v>
      </c>
      <c r="J4138" s="12" t="s">
        <v>36</v>
      </c>
      <c r="K4138" s="13" t="s">
        <v>36</v>
      </c>
      <c r="L4138" s="15" t="s">
        <v>36</v>
      </c>
      <c r="M4138" s="12" t="s">
        <v>36</v>
      </c>
      <c r="N4138" s="12" t="s">
        <v>36</v>
      </c>
      <c r="O4138" s="17" t="s">
        <v>36</v>
      </c>
      <c r="P4138" s="12" t="s">
        <v>36</v>
      </c>
      <c r="Q4138" s="12" t="s">
        <v>36</v>
      </c>
      <c r="R4138" s="12" t="s">
        <v>36</v>
      </c>
      <c r="S4138" s="12" t="s">
        <v>36</v>
      </c>
      <c r="T4138" s="12" t="s">
        <v>12140</v>
      </c>
      <c r="U4138" s="12" t="s">
        <v>7149</v>
      </c>
      <c r="V4138" s="12" t="s">
        <v>378</v>
      </c>
      <c r="W4138" s="12" t="s">
        <v>12141</v>
      </c>
      <c r="X4138" s="16" t="s">
        <v>577</v>
      </c>
      <c r="Y4138" s="15" t="s">
        <v>42</v>
      </c>
      <c r="Z4138" s="14" t="s">
        <v>36</v>
      </c>
      <c r="AA4138" s="14" t="s">
        <v>36</v>
      </c>
      <c r="AB4138" s="12" t="s">
        <v>56</v>
      </c>
      <c r="AC4138" s="12" t="s">
        <v>12143</v>
      </c>
      <c r="AD4138" s="13">
        <v>43831</v>
      </c>
      <c r="AE4138" s="12" t="s">
        <v>7153</v>
      </c>
      <c r="AF4138" s="12" t="s">
        <v>12144</v>
      </c>
      <c r="AG4138" s="12" t="s">
        <v>12145</v>
      </c>
      <c r="AH4138" s="1">
        <f>HYPERLINK("https://my.pitchbook.com?c=274962-07T","View Company Online")</f>
      </c>
    </row>
    <row r="4139">
      <c r="A4139" s="3" t="s">
        <v>20554</v>
      </c>
      <c r="B4139" s="3" t="s">
        <v>20555</v>
      </c>
      <c r="C4139" s="5" t="s">
        <v>36</v>
      </c>
      <c r="D4139" s="5" t="s">
        <v>36</v>
      </c>
      <c r="E4139" s="5" t="s">
        <v>36</v>
      </c>
      <c r="F4139" s="5" t="s">
        <v>36</v>
      </c>
      <c r="G4139" s="6" t="s">
        <v>36</v>
      </c>
      <c r="H4139" s="4" t="s">
        <v>36</v>
      </c>
      <c r="I4139" s="7" t="s">
        <v>36</v>
      </c>
      <c r="J4139" s="3" t="s">
        <v>36</v>
      </c>
      <c r="K4139" s="9" t="s">
        <v>36</v>
      </c>
      <c r="L4139" s="6" t="s">
        <v>36</v>
      </c>
      <c r="M4139" s="3" t="s">
        <v>36</v>
      </c>
      <c r="N4139" s="3" t="s">
        <v>36</v>
      </c>
      <c r="O4139" s="8" t="s">
        <v>36</v>
      </c>
      <c r="P4139" s="3" t="s">
        <v>36</v>
      </c>
      <c r="Q4139" s="3" t="s">
        <v>36</v>
      </c>
      <c r="R4139" s="3" t="s">
        <v>36</v>
      </c>
      <c r="S4139" s="3" t="s">
        <v>36</v>
      </c>
      <c r="T4139" s="3" t="s">
        <v>1973</v>
      </c>
      <c r="U4139" s="3" t="s">
        <v>728</v>
      </c>
      <c r="V4139" s="3" t="s">
        <v>64</v>
      </c>
      <c r="W4139" s="3" t="s">
        <v>20556</v>
      </c>
      <c r="X4139" s="10" t="s">
        <v>13431</v>
      </c>
      <c r="Y4139" s="6" t="s">
        <v>42</v>
      </c>
      <c r="Z4139" s="4" t="s">
        <v>36</v>
      </c>
      <c r="AA4139" s="4" t="s">
        <v>36</v>
      </c>
      <c r="AB4139" s="3" t="s">
        <v>43</v>
      </c>
      <c r="AC4139" s="3" t="s">
        <v>20557</v>
      </c>
      <c r="AD4139" s="9">
        <v>43831</v>
      </c>
      <c r="AE4139" s="3" t="s">
        <v>1600</v>
      </c>
      <c r="AF4139" s="3" t="s">
        <v>90</v>
      </c>
      <c r="AG4139" s="3" t="s">
        <v>81</v>
      </c>
      <c r="AH4139" s="11">
        <f>HYPERLINK("https://my.pitchbook.com?c=181054-00T","View Company Online")</f>
      </c>
    </row>
    <row r="4140">
      <c r="A4140" s="12" t="s">
        <v>20558</v>
      </c>
      <c r="B4140" s="12" t="s">
        <v>520</v>
      </c>
      <c r="C4140" s="19">
        <v>3</v>
      </c>
      <c r="D4140" s="19">
        <v>2</v>
      </c>
      <c r="E4140" s="19">
        <v>4</v>
      </c>
      <c r="F4140" s="19">
        <v>5</v>
      </c>
      <c r="G4140" s="15" t="s">
        <v>36</v>
      </c>
      <c r="H4140" s="14" t="s">
        <v>36</v>
      </c>
      <c r="I4140" s="18" t="s">
        <v>36</v>
      </c>
      <c r="J4140" s="12" t="s">
        <v>36</v>
      </c>
      <c r="K4140" s="13" t="s">
        <v>36</v>
      </c>
      <c r="L4140" s="15" t="s">
        <v>122</v>
      </c>
      <c r="M4140" s="12" t="s">
        <v>36</v>
      </c>
      <c r="N4140" s="12" t="s">
        <v>122</v>
      </c>
      <c r="O4140" s="17" t="s">
        <v>36</v>
      </c>
      <c r="P4140" s="12" t="s">
        <v>36</v>
      </c>
      <c r="Q4140" s="12" t="s">
        <v>36</v>
      </c>
      <c r="R4140" s="12" t="s">
        <v>36</v>
      </c>
      <c r="S4140" s="12" t="s">
        <v>196</v>
      </c>
      <c r="T4140" s="12" t="s">
        <v>522</v>
      </c>
      <c r="U4140" s="12" t="s">
        <v>38</v>
      </c>
      <c r="V4140" s="12" t="s">
        <v>39</v>
      </c>
      <c r="W4140" s="12" t="s">
        <v>523</v>
      </c>
      <c r="X4140" s="16" t="s">
        <v>20559</v>
      </c>
      <c r="Y4140" s="15" t="s">
        <v>108</v>
      </c>
      <c r="Z4140" s="14">
        <v>11.11</v>
      </c>
      <c r="AA4140" s="14" t="s">
        <v>36</v>
      </c>
      <c r="AB4140" s="12" t="s">
        <v>56</v>
      </c>
      <c r="AC4140" s="12" t="s">
        <v>525</v>
      </c>
      <c r="AD4140" s="13">
        <v>43831</v>
      </c>
      <c r="AE4140" s="12" t="s">
        <v>110</v>
      </c>
      <c r="AF4140" s="12" t="s">
        <v>526</v>
      </c>
      <c r="AG4140" s="12" t="s">
        <v>81</v>
      </c>
      <c r="AH4140" s="1">
        <f>HYPERLINK("https://my.pitchbook.com?c=213480-64T","View Company Online")</f>
      </c>
    </row>
    <row r="4141">
      <c r="A4141" s="3" t="s">
        <v>20560</v>
      </c>
      <c r="B4141" s="3" t="s">
        <v>20561</v>
      </c>
      <c r="C4141" s="5" t="s">
        <v>36</v>
      </c>
      <c r="D4141" s="5" t="s">
        <v>36</v>
      </c>
      <c r="E4141" s="5" t="s">
        <v>36</v>
      </c>
      <c r="F4141" s="5" t="s">
        <v>36</v>
      </c>
      <c r="G4141" s="6" t="s">
        <v>36</v>
      </c>
      <c r="H4141" s="4" t="s">
        <v>36</v>
      </c>
      <c r="I4141" s="7" t="s">
        <v>36</v>
      </c>
      <c r="J4141" s="3" t="s">
        <v>36</v>
      </c>
      <c r="K4141" s="9" t="s">
        <v>36</v>
      </c>
      <c r="L4141" s="6" t="s">
        <v>36</v>
      </c>
      <c r="M4141" s="3" t="s">
        <v>36</v>
      </c>
      <c r="N4141" s="3" t="s">
        <v>36</v>
      </c>
      <c r="O4141" s="8" t="s">
        <v>36</v>
      </c>
      <c r="P4141" s="3" t="s">
        <v>36</v>
      </c>
      <c r="Q4141" s="3" t="s">
        <v>36</v>
      </c>
      <c r="R4141" s="3" t="s">
        <v>36</v>
      </c>
      <c r="S4141" s="3" t="s">
        <v>36</v>
      </c>
      <c r="T4141" s="3" t="s">
        <v>8309</v>
      </c>
      <c r="U4141" s="3" t="s">
        <v>387</v>
      </c>
      <c r="V4141" s="3" t="s">
        <v>367</v>
      </c>
      <c r="W4141" s="3" t="s">
        <v>20562</v>
      </c>
      <c r="X4141" s="10" t="s">
        <v>20563</v>
      </c>
      <c r="Y4141" s="6" t="s">
        <v>42</v>
      </c>
      <c r="Z4141" s="4" t="s">
        <v>36</v>
      </c>
      <c r="AA4141" s="4" t="s">
        <v>36</v>
      </c>
      <c r="AB4141" s="3" t="s">
        <v>43</v>
      </c>
      <c r="AC4141" s="3" t="s">
        <v>20564</v>
      </c>
      <c r="AD4141" s="9">
        <v>43831</v>
      </c>
      <c r="AE4141" s="3" t="s">
        <v>391</v>
      </c>
      <c r="AF4141" s="3" t="s">
        <v>372</v>
      </c>
      <c r="AG4141" s="3" t="s">
        <v>20565</v>
      </c>
      <c r="AH4141" s="11">
        <f>HYPERLINK("https://my.pitchbook.com?c=264847-87T","View Company Online")</f>
      </c>
    </row>
    <row r="4142">
      <c r="A4142" s="12" t="s">
        <v>20566</v>
      </c>
      <c r="B4142" s="12" t="s">
        <v>1063</v>
      </c>
      <c r="C4142" s="19">
        <v>23</v>
      </c>
      <c r="D4142" s="19">
        <v>334</v>
      </c>
      <c r="E4142" s="19">
        <v>107</v>
      </c>
      <c r="F4142" s="19">
        <v>391</v>
      </c>
      <c r="G4142" s="15" t="s">
        <v>36</v>
      </c>
      <c r="H4142" s="14" t="s">
        <v>36</v>
      </c>
      <c r="I4142" s="18" t="s">
        <v>36</v>
      </c>
      <c r="J4142" s="12" t="s">
        <v>36</v>
      </c>
      <c r="K4142" s="13" t="s">
        <v>36</v>
      </c>
      <c r="L4142" s="15" t="s">
        <v>36</v>
      </c>
      <c r="M4142" s="12" t="s">
        <v>36</v>
      </c>
      <c r="N4142" s="12" t="s">
        <v>36</v>
      </c>
      <c r="O4142" s="17" t="s">
        <v>36</v>
      </c>
      <c r="P4142" s="12" t="s">
        <v>36</v>
      </c>
      <c r="Q4142" s="12" t="s">
        <v>36</v>
      </c>
      <c r="R4142" s="12" t="s">
        <v>36</v>
      </c>
      <c r="S4142" s="12" t="s">
        <v>36</v>
      </c>
      <c r="T4142" s="12" t="s">
        <v>1064</v>
      </c>
      <c r="U4142" s="12" t="s">
        <v>833</v>
      </c>
      <c r="V4142" s="12" t="s">
        <v>64</v>
      </c>
      <c r="W4142" s="12" t="s">
        <v>1065</v>
      </c>
      <c r="X4142" s="16" t="s">
        <v>20567</v>
      </c>
      <c r="Y4142" s="15" t="s">
        <v>321</v>
      </c>
      <c r="Z4142" s="14">
        <v>55.57</v>
      </c>
      <c r="AA4142" s="14" t="s">
        <v>36</v>
      </c>
      <c r="AB4142" s="12" t="s">
        <v>56</v>
      </c>
      <c r="AC4142" s="12" t="s">
        <v>1068</v>
      </c>
      <c r="AD4142" s="13">
        <v>43831</v>
      </c>
      <c r="AE4142" s="12" t="s">
        <v>1069</v>
      </c>
      <c r="AF4142" s="12" t="s">
        <v>1070</v>
      </c>
      <c r="AG4142" s="12" t="s">
        <v>81</v>
      </c>
      <c r="AH4142" s="1">
        <f>HYPERLINK("https://my.pitchbook.com?c=157352-41T","View Company Online")</f>
      </c>
    </row>
    <row r="4143">
      <c r="A4143" s="3" t="s">
        <v>20568</v>
      </c>
      <c r="B4143" s="3" t="s">
        <v>20569</v>
      </c>
      <c r="C4143" s="5" t="s">
        <v>36</v>
      </c>
      <c r="D4143" s="5" t="s">
        <v>36</v>
      </c>
      <c r="E4143" s="5" t="s">
        <v>36</v>
      </c>
      <c r="F4143" s="5" t="s">
        <v>36</v>
      </c>
      <c r="G4143" s="6" t="s">
        <v>36</v>
      </c>
      <c r="H4143" s="4" t="s">
        <v>36</v>
      </c>
      <c r="I4143" s="7" t="s">
        <v>36</v>
      </c>
      <c r="J4143" s="3" t="s">
        <v>36</v>
      </c>
      <c r="K4143" s="9" t="s">
        <v>36</v>
      </c>
      <c r="L4143" s="6" t="s">
        <v>36</v>
      </c>
      <c r="M4143" s="3" t="s">
        <v>36</v>
      </c>
      <c r="N4143" s="3" t="s">
        <v>36</v>
      </c>
      <c r="O4143" s="8" t="s">
        <v>36</v>
      </c>
      <c r="P4143" s="3" t="s">
        <v>36</v>
      </c>
      <c r="Q4143" s="3" t="s">
        <v>36</v>
      </c>
      <c r="R4143" s="3" t="s">
        <v>36</v>
      </c>
      <c r="S4143" s="3" t="s">
        <v>36</v>
      </c>
      <c r="T4143" s="3" t="s">
        <v>20570</v>
      </c>
      <c r="U4143" s="3" t="s">
        <v>233</v>
      </c>
      <c r="V4143" s="3" t="s">
        <v>39</v>
      </c>
      <c r="W4143" s="3" t="s">
        <v>20571</v>
      </c>
      <c r="X4143" s="10" t="s">
        <v>14013</v>
      </c>
      <c r="Y4143" s="6" t="s">
        <v>108</v>
      </c>
      <c r="Z4143" s="4" t="s">
        <v>36</v>
      </c>
      <c r="AA4143" s="4" t="s">
        <v>36</v>
      </c>
      <c r="AB4143" s="3" t="s">
        <v>56</v>
      </c>
      <c r="AC4143" s="3" t="s">
        <v>20572</v>
      </c>
      <c r="AD4143" s="9">
        <v>43831</v>
      </c>
      <c r="AE4143" s="3" t="s">
        <v>236</v>
      </c>
      <c r="AF4143" s="3" t="s">
        <v>12243</v>
      </c>
      <c r="AG4143" s="3" t="s">
        <v>4520</v>
      </c>
      <c r="AH4143" s="11">
        <f>HYPERLINK("https://my.pitchbook.com?c=218460-79T","View Company Online")</f>
      </c>
    </row>
    <row r="4144">
      <c r="A4144" s="12" t="s">
        <v>20573</v>
      </c>
      <c r="B4144" s="12" t="s">
        <v>3105</v>
      </c>
      <c r="C4144" s="19" t="s">
        <v>36</v>
      </c>
      <c r="D4144" s="19" t="s">
        <v>36</v>
      </c>
      <c r="E4144" s="19" t="s">
        <v>36</v>
      </c>
      <c r="F4144" s="19" t="s">
        <v>36</v>
      </c>
      <c r="G4144" s="15" t="s">
        <v>36</v>
      </c>
      <c r="H4144" s="14">
        <v>1.22</v>
      </c>
      <c r="I4144" s="18">
        <v>51.28</v>
      </c>
      <c r="J4144" s="12" t="s">
        <v>521</v>
      </c>
      <c r="K4144" s="13" t="s">
        <v>36</v>
      </c>
      <c r="L4144" s="15" t="s">
        <v>36</v>
      </c>
      <c r="M4144" s="12" t="s">
        <v>36</v>
      </c>
      <c r="N4144" s="12" t="s">
        <v>36</v>
      </c>
      <c r="O4144" s="17" t="s">
        <v>36</v>
      </c>
      <c r="P4144" s="12" t="s">
        <v>36</v>
      </c>
      <c r="Q4144" s="12" t="s">
        <v>3530</v>
      </c>
      <c r="R4144" s="12" t="s">
        <v>12841</v>
      </c>
      <c r="S4144" s="12" t="s">
        <v>36</v>
      </c>
      <c r="T4144" s="12" t="s">
        <v>189</v>
      </c>
      <c r="U4144" s="12" t="s">
        <v>180</v>
      </c>
      <c r="V4144" s="12" t="s">
        <v>52</v>
      </c>
      <c r="W4144" s="12" t="s">
        <v>3106</v>
      </c>
      <c r="X4144" s="16" t="s">
        <v>20574</v>
      </c>
      <c r="Y4144" s="15" t="s">
        <v>42</v>
      </c>
      <c r="Z4144" s="14">
        <v>2.75</v>
      </c>
      <c r="AA4144" s="14">
        <v>5.36</v>
      </c>
      <c r="AB4144" s="12" t="s">
        <v>43</v>
      </c>
      <c r="AC4144" s="12" t="s">
        <v>3108</v>
      </c>
      <c r="AD4144" s="13">
        <v>43831</v>
      </c>
      <c r="AE4144" s="12" t="s">
        <v>184</v>
      </c>
      <c r="AF4144" s="12" t="s">
        <v>917</v>
      </c>
      <c r="AG4144" s="12" t="s">
        <v>1479</v>
      </c>
      <c r="AH4144" s="1">
        <f>HYPERLINK("https://my.pitchbook.com?c=160305-49T","View Company Online")</f>
      </c>
    </row>
    <row r="4145">
      <c r="A4145" s="3" t="s">
        <v>20575</v>
      </c>
      <c r="B4145" s="3" t="s">
        <v>20576</v>
      </c>
      <c r="C4145" s="5" t="s">
        <v>36</v>
      </c>
      <c r="D4145" s="5" t="s">
        <v>36</v>
      </c>
      <c r="E4145" s="5" t="s">
        <v>36</v>
      </c>
      <c r="F4145" s="5" t="s">
        <v>36</v>
      </c>
      <c r="G4145" s="6" t="s">
        <v>36</v>
      </c>
      <c r="H4145" s="4" t="s">
        <v>36</v>
      </c>
      <c r="I4145" s="7" t="s">
        <v>36</v>
      </c>
      <c r="J4145" s="3" t="s">
        <v>36</v>
      </c>
      <c r="K4145" s="9" t="s">
        <v>36</v>
      </c>
      <c r="L4145" s="6" t="s">
        <v>36</v>
      </c>
      <c r="M4145" s="3" t="s">
        <v>36</v>
      </c>
      <c r="N4145" s="3" t="s">
        <v>36</v>
      </c>
      <c r="O4145" s="8" t="s">
        <v>36</v>
      </c>
      <c r="P4145" s="3" t="s">
        <v>36</v>
      </c>
      <c r="Q4145" s="3" t="s">
        <v>36</v>
      </c>
      <c r="R4145" s="3" t="s">
        <v>36</v>
      </c>
      <c r="S4145" s="3" t="s">
        <v>36</v>
      </c>
      <c r="T4145" s="3" t="s">
        <v>5490</v>
      </c>
      <c r="U4145" s="3" t="s">
        <v>648</v>
      </c>
      <c r="V4145" s="3" t="s">
        <v>64</v>
      </c>
      <c r="W4145" s="3" t="s">
        <v>36</v>
      </c>
      <c r="X4145" s="10" t="s">
        <v>20577</v>
      </c>
      <c r="Y4145" s="6" t="s">
        <v>42</v>
      </c>
      <c r="Z4145" s="4" t="s">
        <v>36</v>
      </c>
      <c r="AA4145" s="4" t="s">
        <v>36</v>
      </c>
      <c r="AB4145" s="3" t="s">
        <v>56</v>
      </c>
      <c r="AC4145" s="3" t="s">
        <v>36</v>
      </c>
      <c r="AD4145" s="9">
        <v>43831</v>
      </c>
      <c r="AE4145" s="3" t="s">
        <v>3988</v>
      </c>
      <c r="AF4145" s="3" t="s">
        <v>36</v>
      </c>
      <c r="AG4145" s="3" t="s">
        <v>81</v>
      </c>
      <c r="AH4145" s="11">
        <f>HYPERLINK("https://my.pitchbook.com?c=200211-22T","View Company Online")</f>
      </c>
    </row>
    <row r="4146">
      <c r="A4146" s="12" t="s">
        <v>20578</v>
      </c>
      <c r="B4146" s="12" t="s">
        <v>20579</v>
      </c>
      <c r="C4146" s="19" t="s">
        <v>36</v>
      </c>
      <c r="D4146" s="19" t="s">
        <v>36</v>
      </c>
      <c r="E4146" s="19" t="s">
        <v>36</v>
      </c>
      <c r="F4146" s="19" t="s">
        <v>36</v>
      </c>
      <c r="G4146" s="15" t="s">
        <v>36</v>
      </c>
      <c r="H4146" s="14" t="s">
        <v>36</v>
      </c>
      <c r="I4146" s="18" t="s">
        <v>36</v>
      </c>
      <c r="J4146" s="12" t="s">
        <v>36</v>
      </c>
      <c r="K4146" s="13" t="s">
        <v>36</v>
      </c>
      <c r="L4146" s="15" t="s">
        <v>36</v>
      </c>
      <c r="M4146" s="12" t="s">
        <v>36</v>
      </c>
      <c r="N4146" s="12" t="s">
        <v>36</v>
      </c>
      <c r="O4146" s="17" t="s">
        <v>36</v>
      </c>
      <c r="P4146" s="12" t="s">
        <v>36</v>
      </c>
      <c r="Q4146" s="12" t="s">
        <v>36</v>
      </c>
      <c r="R4146" s="12" t="s">
        <v>36</v>
      </c>
      <c r="S4146" s="12" t="s">
        <v>36</v>
      </c>
      <c r="T4146" s="12" t="s">
        <v>20580</v>
      </c>
      <c r="U4146" s="12" t="s">
        <v>423</v>
      </c>
      <c r="V4146" s="12" t="s">
        <v>64</v>
      </c>
      <c r="W4146" s="12" t="s">
        <v>20581</v>
      </c>
      <c r="X4146" s="16" t="s">
        <v>20582</v>
      </c>
      <c r="Y4146" s="15" t="s">
        <v>42</v>
      </c>
      <c r="Z4146" s="14" t="s">
        <v>36</v>
      </c>
      <c r="AA4146" s="14" t="s">
        <v>36</v>
      </c>
      <c r="AB4146" s="12" t="s">
        <v>56</v>
      </c>
      <c r="AC4146" s="12" t="s">
        <v>20583</v>
      </c>
      <c r="AD4146" s="13">
        <v>43831</v>
      </c>
      <c r="AE4146" s="12" t="s">
        <v>562</v>
      </c>
      <c r="AF4146" s="12" t="s">
        <v>20584</v>
      </c>
      <c r="AG4146" s="12" t="s">
        <v>81</v>
      </c>
      <c r="AH4146" s="1">
        <f>HYPERLINK("https://my.pitchbook.com?c=166759-39T","View Company Online")</f>
      </c>
    </row>
    <row r="4147">
      <c r="A4147" s="3" t="s">
        <v>20585</v>
      </c>
      <c r="B4147" s="3" t="s">
        <v>20586</v>
      </c>
      <c r="C4147" s="5" t="s">
        <v>36</v>
      </c>
      <c r="D4147" s="5" t="s">
        <v>36</v>
      </c>
      <c r="E4147" s="5" t="s">
        <v>36</v>
      </c>
      <c r="F4147" s="5" t="s">
        <v>36</v>
      </c>
      <c r="G4147" s="6" t="s">
        <v>36</v>
      </c>
      <c r="H4147" s="4" t="s">
        <v>36</v>
      </c>
      <c r="I4147" s="7" t="s">
        <v>36</v>
      </c>
      <c r="J4147" s="3" t="s">
        <v>36</v>
      </c>
      <c r="K4147" s="9" t="s">
        <v>36</v>
      </c>
      <c r="L4147" s="6" t="s">
        <v>36</v>
      </c>
      <c r="M4147" s="3" t="s">
        <v>36</v>
      </c>
      <c r="N4147" s="3" t="s">
        <v>36</v>
      </c>
      <c r="O4147" s="8" t="s">
        <v>36</v>
      </c>
      <c r="P4147" s="3" t="s">
        <v>36</v>
      </c>
      <c r="Q4147" s="3" t="s">
        <v>36</v>
      </c>
      <c r="R4147" s="3" t="s">
        <v>36</v>
      </c>
      <c r="S4147" s="3" t="s">
        <v>36</v>
      </c>
      <c r="T4147" s="3" t="s">
        <v>20587</v>
      </c>
      <c r="U4147" s="3" t="s">
        <v>74</v>
      </c>
      <c r="V4147" s="3" t="s">
        <v>75</v>
      </c>
      <c r="W4147" s="3" t="s">
        <v>20588</v>
      </c>
      <c r="X4147" s="10" t="s">
        <v>20589</v>
      </c>
      <c r="Y4147" s="6" t="s">
        <v>55</v>
      </c>
      <c r="Z4147" s="4" t="s">
        <v>36</v>
      </c>
      <c r="AA4147" s="4" t="s">
        <v>36</v>
      </c>
      <c r="AB4147" s="3" t="s">
        <v>56</v>
      </c>
      <c r="AC4147" s="3" t="s">
        <v>20590</v>
      </c>
      <c r="AD4147" s="9">
        <v>43831</v>
      </c>
      <c r="AE4147" s="3" t="s">
        <v>79</v>
      </c>
      <c r="AF4147" s="3" t="s">
        <v>3904</v>
      </c>
      <c r="AG4147" s="3" t="s">
        <v>186</v>
      </c>
      <c r="AH4147" s="11">
        <f>HYPERLINK("https://my.pitchbook.com?c=184963-96T","View Company Online")</f>
      </c>
    </row>
    <row r="4148">
      <c r="A4148" s="12" t="s">
        <v>20591</v>
      </c>
      <c r="B4148" s="12" t="s">
        <v>20592</v>
      </c>
      <c r="C4148" s="19" t="s">
        <v>36</v>
      </c>
      <c r="D4148" s="19" t="s">
        <v>36</v>
      </c>
      <c r="E4148" s="19" t="s">
        <v>36</v>
      </c>
      <c r="F4148" s="19" t="s">
        <v>36</v>
      </c>
      <c r="G4148" s="15" t="s">
        <v>36</v>
      </c>
      <c r="H4148" s="14" t="s">
        <v>36</v>
      </c>
      <c r="I4148" s="18" t="s">
        <v>36</v>
      </c>
      <c r="J4148" s="12" t="s">
        <v>36</v>
      </c>
      <c r="K4148" s="13" t="s">
        <v>36</v>
      </c>
      <c r="L4148" s="15" t="s">
        <v>36</v>
      </c>
      <c r="M4148" s="12" t="s">
        <v>36</v>
      </c>
      <c r="N4148" s="12" t="s">
        <v>36</v>
      </c>
      <c r="O4148" s="17" t="s">
        <v>36</v>
      </c>
      <c r="P4148" s="12" t="s">
        <v>36</v>
      </c>
      <c r="Q4148" s="12" t="s">
        <v>36</v>
      </c>
      <c r="R4148" s="12" t="s">
        <v>36</v>
      </c>
      <c r="S4148" s="12" t="s">
        <v>36</v>
      </c>
      <c r="T4148" s="12" t="s">
        <v>20593</v>
      </c>
      <c r="U4148" s="12" t="s">
        <v>423</v>
      </c>
      <c r="V4148" s="12" t="s">
        <v>64</v>
      </c>
      <c r="W4148" s="12" t="s">
        <v>20594</v>
      </c>
      <c r="X4148" s="16" t="s">
        <v>20595</v>
      </c>
      <c r="Y4148" s="15" t="s">
        <v>55</v>
      </c>
      <c r="Z4148" s="14" t="s">
        <v>36</v>
      </c>
      <c r="AA4148" s="14" t="s">
        <v>36</v>
      </c>
      <c r="AB4148" s="12" t="s">
        <v>56</v>
      </c>
      <c r="AC4148" s="12" t="s">
        <v>20596</v>
      </c>
      <c r="AD4148" s="13">
        <v>43831</v>
      </c>
      <c r="AE4148" s="12" t="s">
        <v>562</v>
      </c>
      <c r="AF4148" s="12" t="s">
        <v>36</v>
      </c>
      <c r="AG4148" s="12" t="s">
        <v>382</v>
      </c>
      <c r="AH4148" s="1">
        <f>HYPERLINK("https://my.pitchbook.com?c=174070-18T","View Company Online")</f>
      </c>
    </row>
    <row r="4149">
      <c r="A4149" s="3" t="s">
        <v>20597</v>
      </c>
      <c r="B4149" s="3" t="s">
        <v>7878</v>
      </c>
      <c r="C4149" s="5" t="s">
        <v>36</v>
      </c>
      <c r="D4149" s="5" t="s">
        <v>36</v>
      </c>
      <c r="E4149" s="5" t="s">
        <v>36</v>
      </c>
      <c r="F4149" s="5" t="s">
        <v>36</v>
      </c>
      <c r="G4149" s="6" t="s">
        <v>36</v>
      </c>
      <c r="H4149" s="4" t="s">
        <v>36</v>
      </c>
      <c r="I4149" s="7" t="s">
        <v>36</v>
      </c>
      <c r="J4149" s="3" t="s">
        <v>36</v>
      </c>
      <c r="K4149" s="9" t="s">
        <v>36</v>
      </c>
      <c r="L4149" s="6" t="s">
        <v>36</v>
      </c>
      <c r="M4149" s="3" t="s">
        <v>36</v>
      </c>
      <c r="N4149" s="3" t="s">
        <v>36</v>
      </c>
      <c r="O4149" s="8" t="s">
        <v>36</v>
      </c>
      <c r="P4149" s="3" t="s">
        <v>36</v>
      </c>
      <c r="Q4149" s="3" t="s">
        <v>36</v>
      </c>
      <c r="R4149" s="3" t="s">
        <v>36</v>
      </c>
      <c r="S4149" s="3" t="s">
        <v>36</v>
      </c>
      <c r="T4149" s="3" t="s">
        <v>7126</v>
      </c>
      <c r="U4149" s="3" t="s">
        <v>38</v>
      </c>
      <c r="V4149" s="3" t="s">
        <v>39</v>
      </c>
      <c r="W4149" s="3" t="s">
        <v>7879</v>
      </c>
      <c r="X4149" s="10" t="s">
        <v>820</v>
      </c>
      <c r="Y4149" s="6" t="s">
        <v>42</v>
      </c>
      <c r="Z4149" s="4" t="s">
        <v>36</v>
      </c>
      <c r="AA4149" s="4" t="s">
        <v>36</v>
      </c>
      <c r="AB4149" s="3" t="s">
        <v>43</v>
      </c>
      <c r="AC4149" s="3" t="s">
        <v>7881</v>
      </c>
      <c r="AD4149" s="9">
        <v>43831</v>
      </c>
      <c r="AE4149" s="3" t="s">
        <v>110</v>
      </c>
      <c r="AF4149" s="3" t="s">
        <v>1115</v>
      </c>
      <c r="AG4149" s="3" t="s">
        <v>7882</v>
      </c>
      <c r="AH4149" s="11">
        <f>HYPERLINK("https://my.pitchbook.com?c=241191-46T","View Company Online")</f>
      </c>
    </row>
    <row r="4150">
      <c r="A4150" s="12" t="s">
        <v>20598</v>
      </c>
      <c r="B4150" s="12" t="s">
        <v>7342</v>
      </c>
      <c r="C4150" s="19" t="s">
        <v>36</v>
      </c>
      <c r="D4150" s="19" t="s">
        <v>36</v>
      </c>
      <c r="E4150" s="19" t="s">
        <v>36</v>
      </c>
      <c r="F4150" s="19" t="s">
        <v>36</v>
      </c>
      <c r="G4150" s="15" t="s">
        <v>36</v>
      </c>
      <c r="H4150" s="14">
        <v>138.13</v>
      </c>
      <c r="I4150" s="18">
        <v>20.14</v>
      </c>
      <c r="J4150" s="12" t="s">
        <v>521</v>
      </c>
      <c r="K4150" s="13" t="s">
        <v>36</v>
      </c>
      <c r="L4150" s="15" t="s">
        <v>36</v>
      </c>
      <c r="M4150" s="12" t="s">
        <v>36</v>
      </c>
      <c r="N4150" s="12" t="s">
        <v>36</v>
      </c>
      <c r="O4150" s="17" t="s">
        <v>36</v>
      </c>
      <c r="P4150" s="12" t="s">
        <v>36</v>
      </c>
      <c r="Q4150" s="12" t="s">
        <v>36</v>
      </c>
      <c r="R4150" s="12" t="s">
        <v>36</v>
      </c>
      <c r="S4150" s="12" t="s">
        <v>36</v>
      </c>
      <c r="T4150" s="12" t="s">
        <v>3958</v>
      </c>
      <c r="U4150" s="12" t="s">
        <v>38</v>
      </c>
      <c r="V4150" s="12" t="s">
        <v>39</v>
      </c>
      <c r="W4150" s="12" t="s">
        <v>7343</v>
      </c>
      <c r="X4150" s="16" t="s">
        <v>20599</v>
      </c>
      <c r="Y4150" s="15" t="s">
        <v>42</v>
      </c>
      <c r="Z4150" s="14">
        <v>0.5</v>
      </c>
      <c r="AA4150" s="14">
        <v>2.47</v>
      </c>
      <c r="AB4150" s="12" t="s">
        <v>56</v>
      </c>
      <c r="AC4150" s="12" t="s">
        <v>7345</v>
      </c>
      <c r="AD4150" s="13">
        <v>43831</v>
      </c>
      <c r="AE4150" s="12" t="s">
        <v>110</v>
      </c>
      <c r="AF4150" s="12" t="s">
        <v>7346</v>
      </c>
      <c r="AG4150" s="12" t="s">
        <v>81</v>
      </c>
      <c r="AH4150" s="1">
        <f>HYPERLINK("https://my.pitchbook.com?c=160121-26T","View Company Online")</f>
      </c>
    </row>
    <row r="4151">
      <c r="A4151" s="3" t="s">
        <v>20600</v>
      </c>
      <c r="B4151" s="3" t="s">
        <v>20601</v>
      </c>
      <c r="C4151" s="5" t="s">
        <v>36</v>
      </c>
      <c r="D4151" s="5" t="s">
        <v>36</v>
      </c>
      <c r="E4151" s="5" t="s">
        <v>36</v>
      </c>
      <c r="F4151" s="5" t="s">
        <v>36</v>
      </c>
      <c r="G4151" s="6" t="s">
        <v>36</v>
      </c>
      <c r="H4151" s="4" t="s">
        <v>36</v>
      </c>
      <c r="I4151" s="7" t="s">
        <v>36</v>
      </c>
      <c r="J4151" s="3" t="s">
        <v>36</v>
      </c>
      <c r="K4151" s="9" t="s">
        <v>36</v>
      </c>
      <c r="L4151" s="6" t="s">
        <v>36</v>
      </c>
      <c r="M4151" s="3" t="s">
        <v>36</v>
      </c>
      <c r="N4151" s="3" t="s">
        <v>36</v>
      </c>
      <c r="O4151" s="8" t="s">
        <v>36</v>
      </c>
      <c r="P4151" s="3" t="s">
        <v>36</v>
      </c>
      <c r="Q4151" s="3" t="s">
        <v>36</v>
      </c>
      <c r="R4151" s="3" t="s">
        <v>36</v>
      </c>
      <c r="S4151" s="3" t="s">
        <v>1651</v>
      </c>
      <c r="T4151" s="3" t="s">
        <v>20602</v>
      </c>
      <c r="U4151" s="3" t="s">
        <v>423</v>
      </c>
      <c r="V4151" s="3" t="s">
        <v>64</v>
      </c>
      <c r="W4151" s="3" t="s">
        <v>20603</v>
      </c>
      <c r="X4151" s="10" t="s">
        <v>17134</v>
      </c>
      <c r="Y4151" s="6" t="s">
        <v>108</v>
      </c>
      <c r="Z4151" s="4" t="s">
        <v>36</v>
      </c>
      <c r="AA4151" s="4" t="s">
        <v>36</v>
      </c>
      <c r="AB4151" s="3" t="s">
        <v>56</v>
      </c>
      <c r="AC4151" s="3" t="s">
        <v>20604</v>
      </c>
      <c r="AD4151" s="9">
        <v>43831</v>
      </c>
      <c r="AE4151" s="3" t="s">
        <v>562</v>
      </c>
      <c r="AF4151" s="3" t="s">
        <v>4270</v>
      </c>
      <c r="AG4151" s="3" t="s">
        <v>81</v>
      </c>
      <c r="AH4151" s="11">
        <f>HYPERLINK("https://my.pitchbook.com?c=266180-32T","View Company Online")</f>
      </c>
    </row>
    <row r="4152">
      <c r="A4152" s="12" t="s">
        <v>20605</v>
      </c>
      <c r="B4152" s="12" t="s">
        <v>6544</v>
      </c>
      <c r="C4152" s="19" t="s">
        <v>36</v>
      </c>
      <c r="D4152" s="19" t="s">
        <v>36</v>
      </c>
      <c r="E4152" s="19" t="s">
        <v>36</v>
      </c>
      <c r="F4152" s="19" t="s">
        <v>36</v>
      </c>
      <c r="G4152" s="15" t="s">
        <v>36</v>
      </c>
      <c r="H4152" s="14" t="s">
        <v>36</v>
      </c>
      <c r="I4152" s="18" t="s">
        <v>36</v>
      </c>
      <c r="J4152" s="12" t="s">
        <v>36</v>
      </c>
      <c r="K4152" s="13" t="s">
        <v>36</v>
      </c>
      <c r="L4152" s="15" t="s">
        <v>36</v>
      </c>
      <c r="M4152" s="12" t="s">
        <v>36</v>
      </c>
      <c r="N4152" s="12" t="s">
        <v>36</v>
      </c>
      <c r="O4152" s="17" t="s">
        <v>36</v>
      </c>
      <c r="P4152" s="12" t="s">
        <v>36</v>
      </c>
      <c r="Q4152" s="12" t="s">
        <v>36</v>
      </c>
      <c r="R4152" s="12" t="s">
        <v>36</v>
      </c>
      <c r="S4152" s="12" t="s">
        <v>36</v>
      </c>
      <c r="T4152" s="12" t="s">
        <v>37</v>
      </c>
      <c r="U4152" s="12" t="s">
        <v>38</v>
      </c>
      <c r="V4152" s="12" t="s">
        <v>39</v>
      </c>
      <c r="W4152" s="12" t="s">
        <v>6545</v>
      </c>
      <c r="X4152" s="16" t="s">
        <v>20606</v>
      </c>
      <c r="Y4152" s="15" t="s">
        <v>42</v>
      </c>
      <c r="Z4152" s="14" t="s">
        <v>36</v>
      </c>
      <c r="AA4152" s="14" t="s">
        <v>36</v>
      </c>
      <c r="AB4152" s="12" t="s">
        <v>43</v>
      </c>
      <c r="AC4152" s="12" t="s">
        <v>6547</v>
      </c>
      <c r="AD4152" s="13">
        <v>43831</v>
      </c>
      <c r="AE4152" s="12" t="s">
        <v>45</v>
      </c>
      <c r="AF4152" s="12" t="s">
        <v>215</v>
      </c>
      <c r="AG4152" s="12" t="s">
        <v>81</v>
      </c>
      <c r="AH4152" s="1">
        <f>HYPERLINK("https://my.pitchbook.com?c=167586-13T","View Company Online")</f>
      </c>
    </row>
    <row r="4153">
      <c r="A4153" s="3" t="s">
        <v>20607</v>
      </c>
      <c r="B4153" s="3" t="s">
        <v>20608</v>
      </c>
      <c r="C4153" s="5" t="s">
        <v>36</v>
      </c>
      <c r="D4153" s="5" t="s">
        <v>36</v>
      </c>
      <c r="E4153" s="5" t="s">
        <v>36</v>
      </c>
      <c r="F4153" s="5" t="s">
        <v>36</v>
      </c>
      <c r="G4153" s="6" t="s">
        <v>36</v>
      </c>
      <c r="H4153" s="4" t="s">
        <v>36</v>
      </c>
      <c r="I4153" s="7" t="s">
        <v>36</v>
      </c>
      <c r="J4153" s="3" t="s">
        <v>36</v>
      </c>
      <c r="K4153" s="9" t="s">
        <v>36</v>
      </c>
      <c r="L4153" s="6" t="s">
        <v>36</v>
      </c>
      <c r="M4153" s="3" t="s">
        <v>36</v>
      </c>
      <c r="N4153" s="3" t="s">
        <v>36</v>
      </c>
      <c r="O4153" s="8" t="s">
        <v>36</v>
      </c>
      <c r="P4153" s="3" t="s">
        <v>36</v>
      </c>
      <c r="Q4153" s="3" t="s">
        <v>36</v>
      </c>
      <c r="R4153" s="3" t="s">
        <v>36</v>
      </c>
      <c r="S4153" s="3" t="s">
        <v>36</v>
      </c>
      <c r="T4153" s="3" t="s">
        <v>20609</v>
      </c>
      <c r="U4153" s="3" t="s">
        <v>648</v>
      </c>
      <c r="V4153" s="3" t="s">
        <v>64</v>
      </c>
      <c r="W4153" s="3" t="s">
        <v>20610</v>
      </c>
      <c r="X4153" s="10" t="s">
        <v>20611</v>
      </c>
      <c r="Y4153" s="6" t="s">
        <v>42</v>
      </c>
      <c r="Z4153" s="4">
        <v>1.22</v>
      </c>
      <c r="AA4153" s="4" t="s">
        <v>36</v>
      </c>
      <c r="AB4153" s="3" t="s">
        <v>43</v>
      </c>
      <c r="AC4153" s="3" t="s">
        <v>20612</v>
      </c>
      <c r="AD4153" s="9">
        <v>43831</v>
      </c>
      <c r="AE4153" s="3" t="s">
        <v>12653</v>
      </c>
      <c r="AF4153" s="3" t="s">
        <v>20613</v>
      </c>
      <c r="AG4153" s="3" t="s">
        <v>81</v>
      </c>
      <c r="AH4153" s="11">
        <f>HYPERLINK("https://my.pitchbook.com?c=170800-93T","View Company Online")</f>
      </c>
    </row>
    <row r="4154">
      <c r="A4154" s="12" t="s">
        <v>20614</v>
      </c>
      <c r="B4154" s="12" t="s">
        <v>20615</v>
      </c>
      <c r="C4154" s="19" t="s">
        <v>36</v>
      </c>
      <c r="D4154" s="19" t="s">
        <v>36</v>
      </c>
      <c r="E4154" s="19" t="s">
        <v>36</v>
      </c>
      <c r="F4154" s="19" t="s">
        <v>36</v>
      </c>
      <c r="G4154" s="15" t="s">
        <v>36</v>
      </c>
      <c r="H4154" s="14" t="s">
        <v>36</v>
      </c>
      <c r="I4154" s="18" t="s">
        <v>36</v>
      </c>
      <c r="J4154" s="12" t="s">
        <v>36</v>
      </c>
      <c r="K4154" s="13" t="s">
        <v>36</v>
      </c>
      <c r="L4154" s="15" t="s">
        <v>36</v>
      </c>
      <c r="M4154" s="12" t="s">
        <v>36</v>
      </c>
      <c r="N4154" s="12" t="s">
        <v>36</v>
      </c>
      <c r="O4154" s="17" t="s">
        <v>36</v>
      </c>
      <c r="P4154" s="12" t="s">
        <v>36</v>
      </c>
      <c r="Q4154" s="12" t="s">
        <v>36</v>
      </c>
      <c r="R4154" s="12" t="s">
        <v>36</v>
      </c>
      <c r="S4154" s="12" t="s">
        <v>36</v>
      </c>
      <c r="T4154" s="12" t="s">
        <v>20616</v>
      </c>
      <c r="U4154" s="12" t="s">
        <v>438</v>
      </c>
      <c r="V4154" s="12" t="s">
        <v>405</v>
      </c>
      <c r="W4154" s="12" t="s">
        <v>20617</v>
      </c>
      <c r="X4154" s="16" t="s">
        <v>20618</v>
      </c>
      <c r="Y4154" s="15" t="s">
        <v>42</v>
      </c>
      <c r="Z4154" s="14" t="s">
        <v>36</v>
      </c>
      <c r="AA4154" s="14" t="s">
        <v>36</v>
      </c>
      <c r="AB4154" s="12" t="s">
        <v>43</v>
      </c>
      <c r="AC4154" s="12" t="s">
        <v>20619</v>
      </c>
      <c r="AD4154" s="13">
        <v>43831</v>
      </c>
      <c r="AE4154" s="12" t="s">
        <v>442</v>
      </c>
      <c r="AF4154" s="12" t="s">
        <v>215</v>
      </c>
      <c r="AG4154" s="12" t="s">
        <v>81</v>
      </c>
      <c r="AH4154" s="1">
        <f>HYPERLINK("https://my.pitchbook.com?c=130133-35T","View Company Online")</f>
      </c>
    </row>
    <row r="4155">
      <c r="A4155" s="3" t="s">
        <v>20620</v>
      </c>
      <c r="B4155" s="3" t="s">
        <v>20621</v>
      </c>
      <c r="C4155" s="5" t="s">
        <v>36</v>
      </c>
      <c r="D4155" s="5" t="s">
        <v>36</v>
      </c>
      <c r="E4155" s="5" t="s">
        <v>36</v>
      </c>
      <c r="F4155" s="5" t="s">
        <v>36</v>
      </c>
      <c r="G4155" s="6" t="s">
        <v>36</v>
      </c>
      <c r="H4155" s="4" t="s">
        <v>36</v>
      </c>
      <c r="I4155" s="7" t="s">
        <v>36</v>
      </c>
      <c r="J4155" s="3" t="s">
        <v>36</v>
      </c>
      <c r="K4155" s="9" t="s">
        <v>36</v>
      </c>
      <c r="L4155" s="6" t="s">
        <v>36</v>
      </c>
      <c r="M4155" s="3" t="s">
        <v>36</v>
      </c>
      <c r="N4155" s="3" t="s">
        <v>36</v>
      </c>
      <c r="O4155" s="8" t="s">
        <v>36</v>
      </c>
      <c r="P4155" s="3" t="s">
        <v>36</v>
      </c>
      <c r="Q4155" s="3" t="s">
        <v>36</v>
      </c>
      <c r="R4155" s="3" t="s">
        <v>36</v>
      </c>
      <c r="S4155" s="3" t="s">
        <v>36</v>
      </c>
      <c r="T4155" s="3" t="s">
        <v>20622</v>
      </c>
      <c r="U4155" s="3" t="s">
        <v>38</v>
      </c>
      <c r="V4155" s="3" t="s">
        <v>39</v>
      </c>
      <c r="W4155" s="3" t="s">
        <v>20623</v>
      </c>
      <c r="X4155" s="10" t="s">
        <v>20624</v>
      </c>
      <c r="Y4155" s="6" t="s">
        <v>42</v>
      </c>
      <c r="Z4155" s="4" t="s">
        <v>36</v>
      </c>
      <c r="AA4155" s="4" t="s">
        <v>36</v>
      </c>
      <c r="AB4155" s="3" t="s">
        <v>43</v>
      </c>
      <c r="AC4155" s="3" t="s">
        <v>20625</v>
      </c>
      <c r="AD4155" s="9">
        <v>43831</v>
      </c>
      <c r="AE4155" s="3" t="s">
        <v>110</v>
      </c>
      <c r="AF4155" s="3" t="s">
        <v>14112</v>
      </c>
      <c r="AG4155" s="3" t="s">
        <v>741</v>
      </c>
      <c r="AH4155" s="11">
        <f>HYPERLINK("https://my.pitchbook.com?c=199164-16T","View Company Online")</f>
      </c>
    </row>
    <row r="4156">
      <c r="A4156" s="12" t="s">
        <v>20626</v>
      </c>
      <c r="B4156" s="12" t="s">
        <v>20627</v>
      </c>
      <c r="C4156" s="19" t="s">
        <v>36</v>
      </c>
      <c r="D4156" s="19" t="s">
        <v>36</v>
      </c>
      <c r="E4156" s="19" t="s">
        <v>36</v>
      </c>
      <c r="F4156" s="19" t="s">
        <v>36</v>
      </c>
      <c r="G4156" s="15" t="s">
        <v>36</v>
      </c>
      <c r="H4156" s="14" t="s">
        <v>36</v>
      </c>
      <c r="I4156" s="18" t="s">
        <v>36</v>
      </c>
      <c r="J4156" s="12" t="s">
        <v>36</v>
      </c>
      <c r="K4156" s="13" t="s">
        <v>36</v>
      </c>
      <c r="L4156" s="15" t="s">
        <v>36</v>
      </c>
      <c r="M4156" s="12" t="s">
        <v>36</v>
      </c>
      <c r="N4156" s="12" t="s">
        <v>36</v>
      </c>
      <c r="O4156" s="17" t="s">
        <v>36</v>
      </c>
      <c r="P4156" s="12" t="s">
        <v>36</v>
      </c>
      <c r="Q4156" s="12" t="s">
        <v>36</v>
      </c>
      <c r="R4156" s="12" t="s">
        <v>36</v>
      </c>
      <c r="S4156" s="12" t="s">
        <v>36</v>
      </c>
      <c r="T4156" s="12" t="s">
        <v>20628</v>
      </c>
      <c r="U4156" s="12" t="s">
        <v>38</v>
      </c>
      <c r="V4156" s="12" t="s">
        <v>39</v>
      </c>
      <c r="W4156" s="12" t="s">
        <v>20629</v>
      </c>
      <c r="X4156" s="16" t="s">
        <v>20630</v>
      </c>
      <c r="Y4156" s="15" t="s">
        <v>42</v>
      </c>
      <c r="Z4156" s="14" t="s">
        <v>36</v>
      </c>
      <c r="AA4156" s="14" t="s">
        <v>36</v>
      </c>
      <c r="AB4156" s="12" t="s">
        <v>43</v>
      </c>
      <c r="AC4156" s="12" t="s">
        <v>20631</v>
      </c>
      <c r="AD4156" s="13">
        <v>43831</v>
      </c>
      <c r="AE4156" s="12" t="s">
        <v>45</v>
      </c>
      <c r="AF4156" s="12" t="s">
        <v>331</v>
      </c>
      <c r="AG4156" s="12" t="s">
        <v>47</v>
      </c>
      <c r="AH4156" s="1">
        <f>HYPERLINK("https://my.pitchbook.com?c=171301-06T","View Company Online")</f>
      </c>
    </row>
    <row r="4157">
      <c r="A4157" s="3" t="s">
        <v>20632</v>
      </c>
      <c r="B4157" s="3" t="s">
        <v>9482</v>
      </c>
      <c r="C4157" s="5" t="s">
        <v>36</v>
      </c>
      <c r="D4157" s="5" t="s">
        <v>36</v>
      </c>
      <c r="E4157" s="5" t="s">
        <v>36</v>
      </c>
      <c r="F4157" s="5" t="s">
        <v>36</v>
      </c>
      <c r="G4157" s="6" t="s">
        <v>36</v>
      </c>
      <c r="H4157" s="4" t="s">
        <v>36</v>
      </c>
      <c r="I4157" s="7" t="s">
        <v>36</v>
      </c>
      <c r="J4157" s="3" t="s">
        <v>36</v>
      </c>
      <c r="K4157" s="9" t="s">
        <v>36</v>
      </c>
      <c r="L4157" s="6" t="s">
        <v>36</v>
      </c>
      <c r="M4157" s="3" t="s">
        <v>36</v>
      </c>
      <c r="N4157" s="3" t="s">
        <v>36</v>
      </c>
      <c r="O4157" s="8" t="s">
        <v>36</v>
      </c>
      <c r="P4157" s="3" t="s">
        <v>36</v>
      </c>
      <c r="Q4157" s="3" t="s">
        <v>36</v>
      </c>
      <c r="R4157" s="3" t="s">
        <v>36</v>
      </c>
      <c r="S4157" s="3" t="s">
        <v>36</v>
      </c>
      <c r="T4157" s="3" t="s">
        <v>522</v>
      </c>
      <c r="U4157" s="3" t="s">
        <v>38</v>
      </c>
      <c r="V4157" s="3" t="s">
        <v>39</v>
      </c>
      <c r="W4157" s="3" t="s">
        <v>9483</v>
      </c>
      <c r="X4157" s="10" t="s">
        <v>20633</v>
      </c>
      <c r="Y4157" s="6" t="s">
        <v>42</v>
      </c>
      <c r="Z4157" s="4" t="s">
        <v>36</v>
      </c>
      <c r="AA4157" s="4" t="s">
        <v>36</v>
      </c>
      <c r="AB4157" s="3" t="s">
        <v>56</v>
      </c>
      <c r="AC4157" s="3" t="s">
        <v>9485</v>
      </c>
      <c r="AD4157" s="9">
        <v>43831</v>
      </c>
      <c r="AE4157" s="3" t="s">
        <v>110</v>
      </c>
      <c r="AF4157" s="3" t="s">
        <v>1401</v>
      </c>
      <c r="AG4157" s="3" t="s">
        <v>392</v>
      </c>
      <c r="AH4157" s="11">
        <f>HYPERLINK("https://my.pitchbook.com?c=207088-57T","View Company Online")</f>
      </c>
    </row>
    <row r="4158">
      <c r="A4158" s="12" t="s">
        <v>20634</v>
      </c>
      <c r="B4158" s="12" t="s">
        <v>20635</v>
      </c>
      <c r="C4158" s="19" t="s">
        <v>36</v>
      </c>
      <c r="D4158" s="19" t="s">
        <v>36</v>
      </c>
      <c r="E4158" s="19" t="s">
        <v>36</v>
      </c>
      <c r="F4158" s="19" t="s">
        <v>36</v>
      </c>
      <c r="G4158" s="15" t="s">
        <v>36</v>
      </c>
      <c r="H4158" s="14" t="s">
        <v>36</v>
      </c>
      <c r="I4158" s="18" t="s">
        <v>36</v>
      </c>
      <c r="J4158" s="12" t="s">
        <v>36</v>
      </c>
      <c r="K4158" s="13" t="s">
        <v>36</v>
      </c>
      <c r="L4158" s="15" t="s">
        <v>36</v>
      </c>
      <c r="M4158" s="12" t="s">
        <v>36</v>
      </c>
      <c r="N4158" s="12" t="s">
        <v>36</v>
      </c>
      <c r="O4158" s="17" t="s">
        <v>36</v>
      </c>
      <c r="P4158" s="12" t="s">
        <v>36</v>
      </c>
      <c r="Q4158" s="12" t="s">
        <v>36</v>
      </c>
      <c r="R4158" s="12" t="s">
        <v>36</v>
      </c>
      <c r="S4158" s="12" t="s">
        <v>36</v>
      </c>
      <c r="T4158" s="12" t="s">
        <v>1125</v>
      </c>
      <c r="U4158" s="12" t="s">
        <v>74</v>
      </c>
      <c r="V4158" s="12" t="s">
        <v>75</v>
      </c>
      <c r="W4158" s="12" t="s">
        <v>20636</v>
      </c>
      <c r="X4158" s="16" t="s">
        <v>5661</v>
      </c>
      <c r="Y4158" s="15" t="s">
        <v>42</v>
      </c>
      <c r="Z4158" s="14" t="s">
        <v>36</v>
      </c>
      <c r="AA4158" s="14" t="s">
        <v>36</v>
      </c>
      <c r="AB4158" s="12" t="s">
        <v>56</v>
      </c>
      <c r="AC4158" s="12" t="s">
        <v>20637</v>
      </c>
      <c r="AD4158" s="13">
        <v>43831</v>
      </c>
      <c r="AE4158" s="12" t="s">
        <v>975</v>
      </c>
      <c r="AF4158" s="12" t="s">
        <v>36</v>
      </c>
      <c r="AG4158" s="12" t="s">
        <v>20638</v>
      </c>
      <c r="AH4158" s="1">
        <f>HYPERLINK("https://my.pitchbook.com?c=213241-15T","View Company Online")</f>
      </c>
    </row>
    <row r="4159">
      <c r="A4159" s="3" t="s">
        <v>20639</v>
      </c>
      <c r="B4159" s="3" t="s">
        <v>14994</v>
      </c>
      <c r="C4159" s="5" t="s">
        <v>36</v>
      </c>
      <c r="D4159" s="5" t="s">
        <v>36</v>
      </c>
      <c r="E4159" s="5" t="s">
        <v>36</v>
      </c>
      <c r="F4159" s="5" t="s">
        <v>36</v>
      </c>
      <c r="G4159" s="6" t="s">
        <v>36</v>
      </c>
      <c r="H4159" s="4" t="s">
        <v>36</v>
      </c>
      <c r="I4159" s="7" t="s">
        <v>36</v>
      </c>
      <c r="J4159" s="3" t="s">
        <v>36</v>
      </c>
      <c r="K4159" s="9" t="s">
        <v>36</v>
      </c>
      <c r="L4159" s="6" t="s">
        <v>36</v>
      </c>
      <c r="M4159" s="3" t="s">
        <v>36</v>
      </c>
      <c r="N4159" s="3" t="s">
        <v>36</v>
      </c>
      <c r="O4159" s="8" t="s">
        <v>36</v>
      </c>
      <c r="P4159" s="3" t="s">
        <v>36</v>
      </c>
      <c r="Q4159" s="3" t="s">
        <v>36</v>
      </c>
      <c r="R4159" s="3" t="s">
        <v>36</v>
      </c>
      <c r="S4159" s="3" t="s">
        <v>36</v>
      </c>
      <c r="T4159" s="3" t="s">
        <v>14995</v>
      </c>
      <c r="U4159" s="3" t="s">
        <v>38</v>
      </c>
      <c r="V4159" s="3" t="s">
        <v>39</v>
      </c>
      <c r="W4159" s="3" t="s">
        <v>14996</v>
      </c>
      <c r="X4159" s="10" t="s">
        <v>17750</v>
      </c>
      <c r="Y4159" s="6" t="s">
        <v>42</v>
      </c>
      <c r="Z4159" s="4" t="s">
        <v>36</v>
      </c>
      <c r="AA4159" s="4" t="s">
        <v>36</v>
      </c>
      <c r="AB4159" s="3" t="s">
        <v>43</v>
      </c>
      <c r="AC4159" s="3" t="s">
        <v>14998</v>
      </c>
      <c r="AD4159" s="9">
        <v>43831</v>
      </c>
      <c r="AE4159" s="3" t="s">
        <v>110</v>
      </c>
      <c r="AF4159" s="3" t="s">
        <v>3319</v>
      </c>
      <c r="AG4159" s="3" t="s">
        <v>47</v>
      </c>
      <c r="AH4159" s="11">
        <f>HYPERLINK("https://my.pitchbook.com?c=165707-38T","View Company Online")</f>
      </c>
    </row>
    <row r="4160">
      <c r="A4160" s="12" t="s">
        <v>20640</v>
      </c>
      <c r="B4160" s="12" t="s">
        <v>20641</v>
      </c>
      <c r="C4160" s="19" t="s">
        <v>36</v>
      </c>
      <c r="D4160" s="19" t="s">
        <v>36</v>
      </c>
      <c r="E4160" s="19" t="s">
        <v>36</v>
      </c>
      <c r="F4160" s="19" t="s">
        <v>36</v>
      </c>
      <c r="G4160" s="15" t="s">
        <v>36</v>
      </c>
      <c r="H4160" s="14" t="s">
        <v>36</v>
      </c>
      <c r="I4160" s="18" t="s">
        <v>36</v>
      </c>
      <c r="J4160" s="12" t="s">
        <v>36</v>
      </c>
      <c r="K4160" s="13" t="s">
        <v>36</v>
      </c>
      <c r="L4160" s="15" t="s">
        <v>36</v>
      </c>
      <c r="M4160" s="12" t="s">
        <v>36</v>
      </c>
      <c r="N4160" s="12" t="s">
        <v>36</v>
      </c>
      <c r="O4160" s="17" t="s">
        <v>36</v>
      </c>
      <c r="P4160" s="12" t="s">
        <v>36</v>
      </c>
      <c r="Q4160" s="12" t="s">
        <v>36</v>
      </c>
      <c r="R4160" s="12" t="s">
        <v>36</v>
      </c>
      <c r="S4160" s="12" t="s">
        <v>36</v>
      </c>
      <c r="T4160" s="12" t="s">
        <v>522</v>
      </c>
      <c r="U4160" s="12" t="s">
        <v>38</v>
      </c>
      <c r="V4160" s="12" t="s">
        <v>39</v>
      </c>
      <c r="W4160" s="12" t="s">
        <v>20642</v>
      </c>
      <c r="X4160" s="16" t="s">
        <v>221</v>
      </c>
      <c r="Y4160" s="15" t="s">
        <v>42</v>
      </c>
      <c r="Z4160" s="14" t="s">
        <v>36</v>
      </c>
      <c r="AA4160" s="14" t="s">
        <v>36</v>
      </c>
      <c r="AB4160" s="12" t="s">
        <v>43</v>
      </c>
      <c r="AC4160" s="12" t="s">
        <v>20643</v>
      </c>
      <c r="AD4160" s="13">
        <v>43831</v>
      </c>
      <c r="AE4160" s="12" t="s">
        <v>110</v>
      </c>
      <c r="AF4160" s="12" t="s">
        <v>36</v>
      </c>
      <c r="AG4160" s="12" t="s">
        <v>5504</v>
      </c>
      <c r="AH4160" s="1">
        <f>HYPERLINK("https://my.pitchbook.com?c=160289-38T","View Company Online")</f>
      </c>
    </row>
    <row r="4161">
      <c r="A4161" s="3" t="s">
        <v>20644</v>
      </c>
      <c r="B4161" s="3" t="s">
        <v>20645</v>
      </c>
      <c r="C4161" s="5" t="s">
        <v>36</v>
      </c>
      <c r="D4161" s="5" t="s">
        <v>36</v>
      </c>
      <c r="E4161" s="5" t="s">
        <v>36</v>
      </c>
      <c r="F4161" s="5" t="s">
        <v>36</v>
      </c>
      <c r="G4161" s="6" t="s">
        <v>36</v>
      </c>
      <c r="H4161" s="4" t="s">
        <v>36</v>
      </c>
      <c r="I4161" s="7" t="s">
        <v>36</v>
      </c>
      <c r="J4161" s="3" t="s">
        <v>36</v>
      </c>
      <c r="K4161" s="9" t="s">
        <v>36</v>
      </c>
      <c r="L4161" s="6" t="s">
        <v>36</v>
      </c>
      <c r="M4161" s="3" t="s">
        <v>36</v>
      </c>
      <c r="N4161" s="3" t="s">
        <v>36</v>
      </c>
      <c r="O4161" s="8" t="s">
        <v>36</v>
      </c>
      <c r="P4161" s="3" t="s">
        <v>36</v>
      </c>
      <c r="Q4161" s="3" t="s">
        <v>36</v>
      </c>
      <c r="R4161" s="3" t="s">
        <v>36</v>
      </c>
      <c r="S4161" s="3" t="s">
        <v>36</v>
      </c>
      <c r="T4161" s="3" t="s">
        <v>20646</v>
      </c>
      <c r="U4161" s="3" t="s">
        <v>38</v>
      </c>
      <c r="V4161" s="3" t="s">
        <v>39</v>
      </c>
      <c r="W4161" s="3" t="s">
        <v>20647</v>
      </c>
      <c r="X4161" s="10" t="s">
        <v>1322</v>
      </c>
      <c r="Y4161" s="6" t="s">
        <v>42</v>
      </c>
      <c r="Z4161" s="4" t="s">
        <v>36</v>
      </c>
      <c r="AA4161" s="4" t="s">
        <v>36</v>
      </c>
      <c r="AB4161" s="3" t="s">
        <v>43</v>
      </c>
      <c r="AC4161" s="3" t="s">
        <v>20648</v>
      </c>
      <c r="AD4161" s="9">
        <v>43831</v>
      </c>
      <c r="AE4161" s="3" t="s">
        <v>110</v>
      </c>
      <c r="AF4161" s="3" t="s">
        <v>1507</v>
      </c>
      <c r="AG4161" s="3" t="s">
        <v>347</v>
      </c>
      <c r="AH4161" s="11">
        <f>HYPERLINK("https://my.pitchbook.com?c=269447-50T","View Company Online")</f>
      </c>
    </row>
    <row r="4162">
      <c r="A4162" s="12" t="s">
        <v>20649</v>
      </c>
      <c r="B4162" s="12" t="s">
        <v>20650</v>
      </c>
      <c r="C4162" s="19">
        <v>4</v>
      </c>
      <c r="D4162" s="19">
        <v>3</v>
      </c>
      <c r="E4162" s="19">
        <v>4</v>
      </c>
      <c r="F4162" s="19">
        <v>11</v>
      </c>
      <c r="G4162" s="15" t="s">
        <v>36</v>
      </c>
      <c r="H4162" s="14" t="s">
        <v>36</v>
      </c>
      <c r="I4162" s="18" t="s">
        <v>36</v>
      </c>
      <c r="J4162" s="12" t="s">
        <v>36</v>
      </c>
      <c r="K4162" s="13" t="s">
        <v>36</v>
      </c>
      <c r="L4162" s="15" t="s">
        <v>36</v>
      </c>
      <c r="M4162" s="12" t="s">
        <v>36</v>
      </c>
      <c r="N4162" s="12" t="s">
        <v>36</v>
      </c>
      <c r="O4162" s="17" t="s">
        <v>36</v>
      </c>
      <c r="P4162" s="12" t="s">
        <v>36</v>
      </c>
      <c r="Q4162" s="12" t="s">
        <v>36</v>
      </c>
      <c r="R4162" s="12" t="s">
        <v>36</v>
      </c>
      <c r="S4162" s="12" t="s">
        <v>36</v>
      </c>
      <c r="T4162" s="12" t="s">
        <v>20651</v>
      </c>
      <c r="U4162" s="12" t="s">
        <v>377</v>
      </c>
      <c r="V4162" s="12" t="s">
        <v>378</v>
      </c>
      <c r="W4162" s="12" t="s">
        <v>20652</v>
      </c>
      <c r="X4162" s="16" t="s">
        <v>20653</v>
      </c>
      <c r="Y4162" s="15" t="s">
        <v>55</v>
      </c>
      <c r="Z4162" s="14" t="s">
        <v>36</v>
      </c>
      <c r="AA4162" s="14" t="s">
        <v>36</v>
      </c>
      <c r="AB4162" s="12" t="s">
        <v>56</v>
      </c>
      <c r="AC4162" s="12" t="s">
        <v>20654</v>
      </c>
      <c r="AD4162" s="13">
        <v>43831</v>
      </c>
      <c r="AE4162" s="12" t="s">
        <v>377</v>
      </c>
      <c r="AF4162" s="12" t="s">
        <v>20655</v>
      </c>
      <c r="AG4162" s="12" t="s">
        <v>20656</v>
      </c>
      <c r="AH4162" s="1">
        <f>HYPERLINK("https://my.pitchbook.com?c=180693-19T","View Company Online")</f>
      </c>
    </row>
    <row r="4163">
      <c r="A4163" s="3" t="s">
        <v>20657</v>
      </c>
      <c r="B4163" s="3" t="s">
        <v>20658</v>
      </c>
      <c r="C4163" s="5" t="s">
        <v>36</v>
      </c>
      <c r="D4163" s="5" t="s">
        <v>36</v>
      </c>
      <c r="E4163" s="5" t="s">
        <v>36</v>
      </c>
      <c r="F4163" s="5" t="s">
        <v>36</v>
      </c>
      <c r="G4163" s="6" t="s">
        <v>36</v>
      </c>
      <c r="H4163" s="4" t="s">
        <v>36</v>
      </c>
      <c r="I4163" s="7" t="s">
        <v>36</v>
      </c>
      <c r="J4163" s="3" t="s">
        <v>36</v>
      </c>
      <c r="K4163" s="9" t="s">
        <v>36</v>
      </c>
      <c r="L4163" s="6" t="s">
        <v>36</v>
      </c>
      <c r="M4163" s="3" t="s">
        <v>36</v>
      </c>
      <c r="N4163" s="3" t="s">
        <v>36</v>
      </c>
      <c r="O4163" s="8" t="s">
        <v>36</v>
      </c>
      <c r="P4163" s="3" t="s">
        <v>36</v>
      </c>
      <c r="Q4163" s="3" t="s">
        <v>36</v>
      </c>
      <c r="R4163" s="3" t="s">
        <v>36</v>
      </c>
      <c r="S4163" s="3" t="s">
        <v>36</v>
      </c>
      <c r="T4163" s="3" t="s">
        <v>8858</v>
      </c>
      <c r="U4163" s="3" t="s">
        <v>619</v>
      </c>
      <c r="V4163" s="3" t="s">
        <v>378</v>
      </c>
      <c r="W4163" s="3" t="s">
        <v>20659</v>
      </c>
      <c r="X4163" s="10" t="s">
        <v>10625</v>
      </c>
      <c r="Y4163" s="6" t="s">
        <v>42</v>
      </c>
      <c r="Z4163" s="4" t="s">
        <v>36</v>
      </c>
      <c r="AA4163" s="4" t="s">
        <v>36</v>
      </c>
      <c r="AB4163" s="3" t="s">
        <v>43</v>
      </c>
      <c r="AC4163" s="3" t="s">
        <v>20660</v>
      </c>
      <c r="AD4163" s="9">
        <v>43831</v>
      </c>
      <c r="AE4163" s="3" t="s">
        <v>2040</v>
      </c>
      <c r="AF4163" s="3" t="s">
        <v>20661</v>
      </c>
      <c r="AG4163" s="3" t="s">
        <v>10708</v>
      </c>
      <c r="AH4163" s="11">
        <f>HYPERLINK("https://my.pitchbook.com?c=203015-80T","View Company Online")</f>
      </c>
    </row>
    <row r="4164">
      <c r="A4164" s="12" t="s">
        <v>20662</v>
      </c>
      <c r="B4164" s="12" t="s">
        <v>2372</v>
      </c>
      <c r="C4164" s="19" t="s">
        <v>36</v>
      </c>
      <c r="D4164" s="19" t="s">
        <v>36</v>
      </c>
      <c r="E4164" s="19" t="s">
        <v>36</v>
      </c>
      <c r="F4164" s="19" t="s">
        <v>36</v>
      </c>
      <c r="G4164" s="15" t="s">
        <v>683</v>
      </c>
      <c r="H4164" s="14">
        <v>73.76</v>
      </c>
      <c r="I4164" s="18">
        <v>37.83</v>
      </c>
      <c r="J4164" s="12" t="s">
        <v>521</v>
      </c>
      <c r="K4164" s="13" t="s">
        <v>36</v>
      </c>
      <c r="L4164" s="15" t="s">
        <v>36</v>
      </c>
      <c r="M4164" s="12" t="s">
        <v>36</v>
      </c>
      <c r="N4164" s="12" t="s">
        <v>36</v>
      </c>
      <c r="O4164" s="17" t="s">
        <v>36</v>
      </c>
      <c r="P4164" s="12" t="s">
        <v>36</v>
      </c>
      <c r="Q4164" s="12" t="s">
        <v>36</v>
      </c>
      <c r="R4164" s="12" t="s">
        <v>36</v>
      </c>
      <c r="S4164" s="12" t="s">
        <v>36</v>
      </c>
      <c r="T4164" s="12" t="s">
        <v>2373</v>
      </c>
      <c r="U4164" s="12" t="s">
        <v>1357</v>
      </c>
      <c r="V4164" s="12" t="s">
        <v>52</v>
      </c>
      <c r="W4164" s="12" t="s">
        <v>2374</v>
      </c>
      <c r="X4164" s="16" t="s">
        <v>20663</v>
      </c>
      <c r="Y4164" s="15" t="s">
        <v>55</v>
      </c>
      <c r="Z4164" s="14">
        <v>0.75</v>
      </c>
      <c r="AA4164" s="14">
        <v>1.97</v>
      </c>
      <c r="AB4164" s="12" t="s">
        <v>56</v>
      </c>
      <c r="AC4164" s="12" t="s">
        <v>2376</v>
      </c>
      <c r="AD4164" s="13">
        <v>43831</v>
      </c>
      <c r="AE4164" s="12" t="s">
        <v>2377</v>
      </c>
      <c r="AF4164" s="12" t="s">
        <v>2378</v>
      </c>
      <c r="AG4164" s="12" t="s">
        <v>2379</v>
      </c>
      <c r="AH4164" s="1">
        <f>HYPERLINK("https://my.pitchbook.com?c=187648-03T","View Company Online")</f>
      </c>
    </row>
    <row r="4165">
      <c r="A4165" s="3" t="s">
        <v>20664</v>
      </c>
      <c r="B4165" s="3" t="s">
        <v>20665</v>
      </c>
      <c r="C4165" s="5" t="s">
        <v>36</v>
      </c>
      <c r="D4165" s="5" t="s">
        <v>36</v>
      </c>
      <c r="E4165" s="5" t="s">
        <v>36</v>
      </c>
      <c r="F4165" s="5" t="s">
        <v>36</v>
      </c>
      <c r="G4165" s="6" t="s">
        <v>36</v>
      </c>
      <c r="H4165" s="4" t="s">
        <v>36</v>
      </c>
      <c r="I4165" s="7" t="s">
        <v>36</v>
      </c>
      <c r="J4165" s="3" t="s">
        <v>36</v>
      </c>
      <c r="K4165" s="9" t="s">
        <v>36</v>
      </c>
      <c r="L4165" s="6" t="s">
        <v>36</v>
      </c>
      <c r="M4165" s="3" t="s">
        <v>36</v>
      </c>
      <c r="N4165" s="3" t="s">
        <v>36</v>
      </c>
      <c r="O4165" s="8" t="s">
        <v>36</v>
      </c>
      <c r="P4165" s="3" t="s">
        <v>36</v>
      </c>
      <c r="Q4165" s="3" t="s">
        <v>36</v>
      </c>
      <c r="R4165" s="3" t="s">
        <v>36</v>
      </c>
      <c r="S4165" s="3" t="s">
        <v>36</v>
      </c>
      <c r="T4165" s="3" t="s">
        <v>105</v>
      </c>
      <c r="U4165" s="3" t="s">
        <v>38</v>
      </c>
      <c r="V4165" s="3" t="s">
        <v>39</v>
      </c>
      <c r="W4165" s="3" t="s">
        <v>20666</v>
      </c>
      <c r="X4165" s="10" t="s">
        <v>11111</v>
      </c>
      <c r="Y4165" s="6" t="s">
        <v>321</v>
      </c>
      <c r="Z4165" s="4" t="s">
        <v>36</v>
      </c>
      <c r="AA4165" s="4" t="s">
        <v>36</v>
      </c>
      <c r="AB4165" s="3" t="s">
        <v>56</v>
      </c>
      <c r="AC4165" s="3" t="s">
        <v>20667</v>
      </c>
      <c r="AD4165" s="9">
        <v>43831</v>
      </c>
      <c r="AE4165" s="3" t="s">
        <v>110</v>
      </c>
      <c r="AF4165" s="3" t="s">
        <v>20668</v>
      </c>
      <c r="AG4165" s="3" t="s">
        <v>81</v>
      </c>
      <c r="AH4165" s="11">
        <f>HYPERLINK("https://my.pitchbook.com?c=126279-28T","View Company Online")</f>
      </c>
    </row>
    <row r="4166">
      <c r="A4166" s="12" t="s">
        <v>20669</v>
      </c>
      <c r="B4166" s="12" t="s">
        <v>20670</v>
      </c>
      <c r="C4166" s="19" t="s">
        <v>36</v>
      </c>
      <c r="D4166" s="19" t="s">
        <v>36</v>
      </c>
      <c r="E4166" s="19" t="s">
        <v>36</v>
      </c>
      <c r="F4166" s="19" t="s">
        <v>36</v>
      </c>
      <c r="G4166" s="15" t="s">
        <v>36</v>
      </c>
      <c r="H4166" s="14" t="s">
        <v>36</v>
      </c>
      <c r="I4166" s="18" t="s">
        <v>36</v>
      </c>
      <c r="J4166" s="12" t="s">
        <v>36</v>
      </c>
      <c r="K4166" s="13" t="s">
        <v>36</v>
      </c>
      <c r="L4166" s="15" t="s">
        <v>36</v>
      </c>
      <c r="M4166" s="12" t="s">
        <v>36</v>
      </c>
      <c r="N4166" s="12" t="s">
        <v>36</v>
      </c>
      <c r="O4166" s="17" t="s">
        <v>36</v>
      </c>
      <c r="P4166" s="12" t="s">
        <v>36</v>
      </c>
      <c r="Q4166" s="12" t="s">
        <v>36</v>
      </c>
      <c r="R4166" s="12" t="s">
        <v>36</v>
      </c>
      <c r="S4166" s="12" t="s">
        <v>36</v>
      </c>
      <c r="T4166" s="12" t="s">
        <v>1162</v>
      </c>
      <c r="U4166" s="12" t="s">
        <v>423</v>
      </c>
      <c r="V4166" s="12" t="s">
        <v>64</v>
      </c>
      <c r="W4166" s="12" t="s">
        <v>20671</v>
      </c>
      <c r="X4166" s="16" t="s">
        <v>20672</v>
      </c>
      <c r="Y4166" s="15" t="s">
        <v>42</v>
      </c>
      <c r="Z4166" s="14" t="s">
        <v>36</v>
      </c>
      <c r="AA4166" s="14" t="s">
        <v>36</v>
      </c>
      <c r="AB4166" s="12" t="s">
        <v>56</v>
      </c>
      <c r="AC4166" s="12" t="s">
        <v>20673</v>
      </c>
      <c r="AD4166" s="13">
        <v>43831</v>
      </c>
      <c r="AE4166" s="12" t="s">
        <v>562</v>
      </c>
      <c r="AF4166" s="12" t="s">
        <v>36</v>
      </c>
      <c r="AG4166" s="12" t="s">
        <v>20674</v>
      </c>
      <c r="AH4166" s="1">
        <f>HYPERLINK("https://my.pitchbook.com?c=189703-00T","View Company Online")</f>
      </c>
    </row>
    <row r="4167">
      <c r="A4167" s="3" t="s">
        <v>20675</v>
      </c>
      <c r="B4167" s="3" t="s">
        <v>11733</v>
      </c>
      <c r="C4167" s="5" t="s">
        <v>36</v>
      </c>
      <c r="D4167" s="5" t="s">
        <v>36</v>
      </c>
      <c r="E4167" s="5" t="s">
        <v>36</v>
      </c>
      <c r="F4167" s="5" t="s">
        <v>36</v>
      </c>
      <c r="G4167" s="6" t="s">
        <v>36</v>
      </c>
      <c r="H4167" s="4" t="s">
        <v>36</v>
      </c>
      <c r="I4167" s="7" t="s">
        <v>36</v>
      </c>
      <c r="J4167" s="3" t="s">
        <v>36</v>
      </c>
      <c r="K4167" s="9" t="s">
        <v>36</v>
      </c>
      <c r="L4167" s="6" t="s">
        <v>36</v>
      </c>
      <c r="M4167" s="3" t="s">
        <v>36</v>
      </c>
      <c r="N4167" s="3" t="s">
        <v>36</v>
      </c>
      <c r="O4167" s="8" t="s">
        <v>36</v>
      </c>
      <c r="P4167" s="3" t="s">
        <v>36</v>
      </c>
      <c r="Q4167" s="3" t="s">
        <v>36</v>
      </c>
      <c r="R4167" s="3" t="s">
        <v>36</v>
      </c>
      <c r="S4167" s="3" t="s">
        <v>36</v>
      </c>
      <c r="T4167" s="3" t="s">
        <v>5929</v>
      </c>
      <c r="U4167" s="3" t="s">
        <v>38</v>
      </c>
      <c r="V4167" s="3" t="s">
        <v>39</v>
      </c>
      <c r="W4167" s="3" t="s">
        <v>11734</v>
      </c>
      <c r="X4167" s="10" t="s">
        <v>14212</v>
      </c>
      <c r="Y4167" s="6" t="s">
        <v>42</v>
      </c>
      <c r="Z4167" s="4" t="s">
        <v>36</v>
      </c>
      <c r="AA4167" s="4" t="s">
        <v>36</v>
      </c>
      <c r="AB4167" s="3" t="s">
        <v>43</v>
      </c>
      <c r="AC4167" s="3" t="s">
        <v>11736</v>
      </c>
      <c r="AD4167" s="9">
        <v>43831</v>
      </c>
      <c r="AE4167" s="3" t="s">
        <v>110</v>
      </c>
      <c r="AF4167" s="3" t="s">
        <v>11737</v>
      </c>
      <c r="AG4167" s="3" t="s">
        <v>741</v>
      </c>
      <c r="AH4167" s="11">
        <f>HYPERLINK("https://my.pitchbook.com?c=234156-70T","View Company Online")</f>
      </c>
    </row>
    <row r="4168">
      <c r="A4168" s="12" t="s">
        <v>20676</v>
      </c>
      <c r="B4168" s="12" t="s">
        <v>4653</v>
      </c>
      <c r="C4168" s="19">
        <v>2</v>
      </c>
      <c r="D4168" s="19">
        <v>12</v>
      </c>
      <c r="E4168" s="19">
        <v>4</v>
      </c>
      <c r="F4168" s="19">
        <v>15</v>
      </c>
      <c r="G4168" s="15" t="s">
        <v>36</v>
      </c>
      <c r="H4168" s="14" t="s">
        <v>36</v>
      </c>
      <c r="I4168" s="18" t="s">
        <v>36</v>
      </c>
      <c r="J4168" s="12" t="s">
        <v>36</v>
      </c>
      <c r="K4168" s="13" t="s">
        <v>36</v>
      </c>
      <c r="L4168" s="15" t="s">
        <v>36</v>
      </c>
      <c r="M4168" s="12" t="s">
        <v>36</v>
      </c>
      <c r="N4168" s="12" t="s">
        <v>36</v>
      </c>
      <c r="O4168" s="17" t="s">
        <v>36</v>
      </c>
      <c r="P4168" s="12" t="s">
        <v>36</v>
      </c>
      <c r="Q4168" s="12" t="s">
        <v>36</v>
      </c>
      <c r="R4168" s="12" t="s">
        <v>36</v>
      </c>
      <c r="S4168" s="12" t="s">
        <v>36</v>
      </c>
      <c r="T4168" s="12" t="s">
        <v>4654</v>
      </c>
      <c r="U4168" s="12" t="s">
        <v>1580</v>
      </c>
      <c r="V4168" s="12" t="s">
        <v>39</v>
      </c>
      <c r="W4168" s="12" t="s">
        <v>4655</v>
      </c>
      <c r="X4168" s="16" t="s">
        <v>9445</v>
      </c>
      <c r="Y4168" s="15" t="s">
        <v>42</v>
      </c>
      <c r="Z4168" s="14" t="s">
        <v>36</v>
      </c>
      <c r="AA4168" s="14" t="s">
        <v>36</v>
      </c>
      <c r="AB4168" s="12" t="s">
        <v>56</v>
      </c>
      <c r="AC4168" s="12" t="s">
        <v>4657</v>
      </c>
      <c r="AD4168" s="13">
        <v>43831</v>
      </c>
      <c r="AE4168" s="12" t="s">
        <v>4086</v>
      </c>
      <c r="AF4168" s="12" t="s">
        <v>36</v>
      </c>
      <c r="AG4168" s="12" t="s">
        <v>81</v>
      </c>
      <c r="AH4168" s="1">
        <f>HYPERLINK("https://my.pitchbook.com?c=223072-03T","View Company Online")</f>
      </c>
    </row>
    <row r="4169">
      <c r="A4169" s="3" t="s">
        <v>20677</v>
      </c>
      <c r="B4169" s="3" t="s">
        <v>9773</v>
      </c>
      <c r="C4169" s="5" t="s">
        <v>36</v>
      </c>
      <c r="D4169" s="5" t="s">
        <v>36</v>
      </c>
      <c r="E4169" s="5" t="s">
        <v>36</v>
      </c>
      <c r="F4169" s="5" t="s">
        <v>36</v>
      </c>
      <c r="G4169" s="6" t="s">
        <v>36</v>
      </c>
      <c r="H4169" s="4">
        <v>14.59</v>
      </c>
      <c r="I4169" s="7">
        <v>14.89</v>
      </c>
      <c r="J4169" s="3" t="s">
        <v>521</v>
      </c>
      <c r="K4169" s="9" t="s">
        <v>36</v>
      </c>
      <c r="L4169" s="6" t="s">
        <v>36</v>
      </c>
      <c r="M4169" s="3" t="s">
        <v>36</v>
      </c>
      <c r="N4169" s="3" t="s">
        <v>36</v>
      </c>
      <c r="O4169" s="8" t="s">
        <v>36</v>
      </c>
      <c r="P4169" s="3" t="s">
        <v>36</v>
      </c>
      <c r="Q4169" s="3" t="s">
        <v>36</v>
      </c>
      <c r="R4169" s="3" t="s">
        <v>36</v>
      </c>
      <c r="S4169" s="3" t="s">
        <v>36</v>
      </c>
      <c r="T4169" s="3" t="s">
        <v>1188</v>
      </c>
      <c r="U4169" s="3" t="s">
        <v>180</v>
      </c>
      <c r="V4169" s="3" t="s">
        <v>52</v>
      </c>
      <c r="W4169" s="3" t="s">
        <v>9774</v>
      </c>
      <c r="X4169" s="10" t="s">
        <v>20678</v>
      </c>
      <c r="Y4169" s="6" t="s">
        <v>42</v>
      </c>
      <c r="Z4169" s="4">
        <v>1.09</v>
      </c>
      <c r="AA4169" s="4">
        <v>7.3</v>
      </c>
      <c r="AB4169" s="3" t="s">
        <v>43</v>
      </c>
      <c r="AC4169" s="3" t="s">
        <v>9776</v>
      </c>
      <c r="AD4169" s="9">
        <v>43831</v>
      </c>
      <c r="AE4169" s="3" t="s">
        <v>1192</v>
      </c>
      <c r="AF4169" s="3" t="s">
        <v>3514</v>
      </c>
      <c r="AG4169" s="3" t="s">
        <v>81</v>
      </c>
      <c r="AH4169" s="11">
        <f>HYPERLINK("https://my.pitchbook.com?c=210561-58T","View Company Online")</f>
      </c>
    </row>
    <row r="4170">
      <c r="A4170" s="12" t="s">
        <v>20679</v>
      </c>
      <c r="B4170" s="12" t="s">
        <v>20680</v>
      </c>
      <c r="C4170" s="19">
        <v>2</v>
      </c>
      <c r="D4170" s="19" t="s">
        <v>36</v>
      </c>
      <c r="E4170" s="19">
        <v>2</v>
      </c>
      <c r="F4170" s="19">
        <v>4</v>
      </c>
      <c r="G4170" s="15" t="s">
        <v>36</v>
      </c>
      <c r="H4170" s="14">
        <v>233.68</v>
      </c>
      <c r="I4170" s="18">
        <v>12.1</v>
      </c>
      <c r="J4170" s="12" t="s">
        <v>521</v>
      </c>
      <c r="K4170" s="13" t="s">
        <v>36</v>
      </c>
      <c r="L4170" s="15" t="s">
        <v>36</v>
      </c>
      <c r="M4170" s="12" t="s">
        <v>36</v>
      </c>
      <c r="N4170" s="12" t="s">
        <v>36</v>
      </c>
      <c r="O4170" s="17" t="s">
        <v>36</v>
      </c>
      <c r="P4170" s="12" t="s">
        <v>36</v>
      </c>
      <c r="Q4170" s="12" t="s">
        <v>36</v>
      </c>
      <c r="R4170" s="12" t="s">
        <v>36</v>
      </c>
      <c r="S4170" s="12" t="s">
        <v>36</v>
      </c>
      <c r="T4170" s="12" t="s">
        <v>20681</v>
      </c>
      <c r="U4170" s="12" t="s">
        <v>51</v>
      </c>
      <c r="V4170" s="12" t="s">
        <v>52</v>
      </c>
      <c r="W4170" s="12" t="s">
        <v>20682</v>
      </c>
      <c r="X4170" s="16" t="s">
        <v>20683</v>
      </c>
      <c r="Y4170" s="15" t="s">
        <v>42</v>
      </c>
      <c r="Z4170" s="14">
        <v>0.17</v>
      </c>
      <c r="AA4170" s="14">
        <v>1.42</v>
      </c>
      <c r="AB4170" s="12" t="s">
        <v>43</v>
      </c>
      <c r="AC4170" s="12" t="s">
        <v>20684</v>
      </c>
      <c r="AD4170" s="13">
        <v>43831</v>
      </c>
      <c r="AE4170" s="12" t="s">
        <v>158</v>
      </c>
      <c r="AF4170" s="12" t="s">
        <v>101</v>
      </c>
      <c r="AG4170" s="12" t="s">
        <v>1276</v>
      </c>
      <c r="AH4170" s="1">
        <f>HYPERLINK("https://my.pitchbook.com?c=190296-91T","View Company Online")</f>
      </c>
    </row>
    <row r="4171">
      <c r="A4171" s="3" t="s">
        <v>20685</v>
      </c>
      <c r="B4171" s="3" t="s">
        <v>20686</v>
      </c>
      <c r="C4171" s="5" t="s">
        <v>36</v>
      </c>
      <c r="D4171" s="5" t="s">
        <v>36</v>
      </c>
      <c r="E4171" s="5">
        <v>1</v>
      </c>
      <c r="F4171" s="5">
        <v>1</v>
      </c>
      <c r="G4171" s="6" t="s">
        <v>36</v>
      </c>
      <c r="H4171" s="4" t="s">
        <v>36</v>
      </c>
      <c r="I4171" s="7" t="s">
        <v>36</v>
      </c>
      <c r="J4171" s="3" t="s">
        <v>36</v>
      </c>
      <c r="K4171" s="9" t="s">
        <v>36</v>
      </c>
      <c r="L4171" s="6" t="s">
        <v>1279</v>
      </c>
      <c r="M4171" s="3" t="s">
        <v>36</v>
      </c>
      <c r="N4171" s="3" t="s">
        <v>1279</v>
      </c>
      <c r="O4171" s="8" t="s">
        <v>36</v>
      </c>
      <c r="P4171" s="3" t="s">
        <v>36</v>
      </c>
      <c r="Q4171" s="3" t="s">
        <v>36</v>
      </c>
      <c r="R4171" s="3" t="s">
        <v>36</v>
      </c>
      <c r="S4171" s="3" t="s">
        <v>36</v>
      </c>
      <c r="T4171" s="3" t="s">
        <v>105</v>
      </c>
      <c r="U4171" s="3" t="s">
        <v>38</v>
      </c>
      <c r="V4171" s="3" t="s">
        <v>39</v>
      </c>
      <c r="W4171" s="3" t="s">
        <v>20687</v>
      </c>
      <c r="X4171" s="10" t="s">
        <v>20688</v>
      </c>
      <c r="Y4171" s="6" t="s">
        <v>192</v>
      </c>
      <c r="Z4171" s="4" t="s">
        <v>36</v>
      </c>
      <c r="AA4171" s="4" t="s">
        <v>36</v>
      </c>
      <c r="AB4171" s="3" t="s">
        <v>56</v>
      </c>
      <c r="AC4171" s="3" t="s">
        <v>20689</v>
      </c>
      <c r="AD4171" s="9">
        <v>43831</v>
      </c>
      <c r="AE4171" s="3" t="s">
        <v>110</v>
      </c>
      <c r="AF4171" s="3" t="s">
        <v>615</v>
      </c>
      <c r="AG4171" s="3" t="s">
        <v>81</v>
      </c>
      <c r="AH4171" s="11">
        <f>HYPERLINK("https://my.pitchbook.com?c=192887-74T","View Company Online")</f>
      </c>
    </row>
    <row r="4172">
      <c r="A4172" s="12" t="s">
        <v>20690</v>
      </c>
      <c r="B4172" s="12" t="s">
        <v>20691</v>
      </c>
      <c r="C4172" s="19" t="s">
        <v>36</v>
      </c>
      <c r="D4172" s="19" t="s">
        <v>36</v>
      </c>
      <c r="E4172" s="19" t="s">
        <v>36</v>
      </c>
      <c r="F4172" s="19" t="s">
        <v>36</v>
      </c>
      <c r="G4172" s="15" t="s">
        <v>36</v>
      </c>
      <c r="H4172" s="14" t="s">
        <v>36</v>
      </c>
      <c r="I4172" s="18" t="s">
        <v>36</v>
      </c>
      <c r="J4172" s="12" t="s">
        <v>36</v>
      </c>
      <c r="K4172" s="13" t="s">
        <v>36</v>
      </c>
      <c r="L4172" s="15" t="s">
        <v>122</v>
      </c>
      <c r="M4172" s="12" t="s">
        <v>36</v>
      </c>
      <c r="N4172" s="12" t="s">
        <v>122</v>
      </c>
      <c r="O4172" s="17" t="s">
        <v>36</v>
      </c>
      <c r="P4172" s="12" t="s">
        <v>36</v>
      </c>
      <c r="Q4172" s="12" t="s">
        <v>36</v>
      </c>
      <c r="R4172" s="12" t="s">
        <v>36</v>
      </c>
      <c r="S4172" s="12" t="s">
        <v>36</v>
      </c>
      <c r="T4172" s="12" t="s">
        <v>20692</v>
      </c>
      <c r="U4172" s="12" t="s">
        <v>38</v>
      </c>
      <c r="V4172" s="12" t="s">
        <v>39</v>
      </c>
      <c r="W4172" s="12" t="s">
        <v>20693</v>
      </c>
      <c r="X4172" s="16" t="s">
        <v>9424</v>
      </c>
      <c r="Y4172" s="15" t="s">
        <v>55</v>
      </c>
      <c r="Z4172" s="14" t="s">
        <v>36</v>
      </c>
      <c r="AA4172" s="14" t="s">
        <v>36</v>
      </c>
      <c r="AB4172" s="12" t="s">
        <v>56</v>
      </c>
      <c r="AC4172" s="12" t="s">
        <v>20694</v>
      </c>
      <c r="AD4172" s="13">
        <v>43831</v>
      </c>
      <c r="AE4172" s="12" t="s">
        <v>134</v>
      </c>
      <c r="AF4172" s="12" t="s">
        <v>20695</v>
      </c>
      <c r="AG4172" s="12" t="s">
        <v>580</v>
      </c>
      <c r="AH4172" s="1">
        <f>HYPERLINK("https://my.pitchbook.com?c=158663-53T","View Company Online")</f>
      </c>
    </row>
    <row r="4173">
      <c r="A4173" s="3" t="s">
        <v>20696</v>
      </c>
      <c r="B4173" s="3" t="s">
        <v>20697</v>
      </c>
      <c r="C4173" s="5" t="s">
        <v>36</v>
      </c>
      <c r="D4173" s="5" t="s">
        <v>36</v>
      </c>
      <c r="E4173" s="5" t="s">
        <v>36</v>
      </c>
      <c r="F4173" s="5" t="s">
        <v>36</v>
      </c>
      <c r="G4173" s="6" t="s">
        <v>36</v>
      </c>
      <c r="H4173" s="4">
        <v>1095.53</v>
      </c>
      <c r="I4173" s="7">
        <v>5.46</v>
      </c>
      <c r="J4173" s="3" t="s">
        <v>521</v>
      </c>
      <c r="K4173" s="9">
        <v>43822</v>
      </c>
      <c r="L4173" s="6" t="s">
        <v>36</v>
      </c>
      <c r="M4173" s="3" t="s">
        <v>36</v>
      </c>
      <c r="N4173" s="3" t="s">
        <v>36</v>
      </c>
      <c r="O4173" s="8" t="s">
        <v>36</v>
      </c>
      <c r="P4173" s="3" t="s">
        <v>36</v>
      </c>
      <c r="Q4173" s="3" t="s">
        <v>36</v>
      </c>
      <c r="R4173" s="3" t="s">
        <v>36</v>
      </c>
      <c r="S4173" s="3" t="s">
        <v>36</v>
      </c>
      <c r="T4173" s="3" t="s">
        <v>522</v>
      </c>
      <c r="U4173" s="3" t="s">
        <v>38</v>
      </c>
      <c r="V4173" s="3" t="s">
        <v>39</v>
      </c>
      <c r="W4173" s="3" t="s">
        <v>20698</v>
      </c>
      <c r="X4173" s="10" t="s">
        <v>20699</v>
      </c>
      <c r="Y4173" s="6" t="s">
        <v>108</v>
      </c>
      <c r="Z4173" s="4">
        <v>0.56</v>
      </c>
      <c r="AA4173" s="4">
        <v>10.18</v>
      </c>
      <c r="AB4173" s="3" t="s">
        <v>56</v>
      </c>
      <c r="AC4173" s="3" t="s">
        <v>20700</v>
      </c>
      <c r="AD4173" s="9">
        <v>43831</v>
      </c>
      <c r="AE4173" s="3" t="s">
        <v>110</v>
      </c>
      <c r="AF4173" s="3" t="s">
        <v>20701</v>
      </c>
      <c r="AG4173" s="3" t="s">
        <v>81</v>
      </c>
      <c r="AH4173" s="11">
        <f>HYPERLINK("https://my.pitchbook.com?c=136492-84T","View Company Online")</f>
      </c>
    </row>
    <row r="4174">
      <c r="A4174" s="12" t="s">
        <v>20702</v>
      </c>
      <c r="B4174" s="12" t="s">
        <v>20703</v>
      </c>
      <c r="C4174" s="19" t="s">
        <v>36</v>
      </c>
      <c r="D4174" s="19" t="s">
        <v>36</v>
      </c>
      <c r="E4174" s="19" t="s">
        <v>36</v>
      </c>
      <c r="F4174" s="19" t="s">
        <v>36</v>
      </c>
      <c r="G4174" s="15" t="s">
        <v>36</v>
      </c>
      <c r="H4174" s="14" t="s">
        <v>36</v>
      </c>
      <c r="I4174" s="18" t="s">
        <v>36</v>
      </c>
      <c r="J4174" s="12" t="s">
        <v>36</v>
      </c>
      <c r="K4174" s="13" t="s">
        <v>36</v>
      </c>
      <c r="L4174" s="15" t="s">
        <v>36</v>
      </c>
      <c r="M4174" s="12" t="s">
        <v>36</v>
      </c>
      <c r="N4174" s="12" t="s">
        <v>36</v>
      </c>
      <c r="O4174" s="17" t="s">
        <v>36</v>
      </c>
      <c r="P4174" s="12" t="s">
        <v>36</v>
      </c>
      <c r="Q4174" s="12" t="s">
        <v>36</v>
      </c>
      <c r="R4174" s="12" t="s">
        <v>36</v>
      </c>
      <c r="S4174" s="12" t="s">
        <v>36</v>
      </c>
      <c r="T4174" s="12" t="s">
        <v>20704</v>
      </c>
      <c r="U4174" s="12" t="s">
        <v>279</v>
      </c>
      <c r="V4174" s="12" t="s">
        <v>64</v>
      </c>
      <c r="W4174" s="12" t="s">
        <v>20705</v>
      </c>
      <c r="X4174" s="16" t="s">
        <v>20706</v>
      </c>
      <c r="Y4174" s="15" t="s">
        <v>42</v>
      </c>
      <c r="Z4174" s="14" t="s">
        <v>36</v>
      </c>
      <c r="AA4174" s="14" t="s">
        <v>36</v>
      </c>
      <c r="AB4174" s="12" t="s">
        <v>43</v>
      </c>
      <c r="AC4174" s="12" t="s">
        <v>20707</v>
      </c>
      <c r="AD4174" s="13">
        <v>43831</v>
      </c>
      <c r="AE4174" s="12" t="s">
        <v>740</v>
      </c>
      <c r="AF4174" s="12" t="s">
        <v>20708</v>
      </c>
      <c r="AG4174" s="12" t="s">
        <v>8183</v>
      </c>
      <c r="AH4174" s="1">
        <f>HYPERLINK("https://my.pitchbook.com?c=199135-18T","View Company Online")</f>
      </c>
    </row>
    <row r="4175">
      <c r="A4175" s="3" t="s">
        <v>20709</v>
      </c>
      <c r="B4175" s="3" t="s">
        <v>20710</v>
      </c>
      <c r="C4175" s="5" t="s">
        <v>36</v>
      </c>
      <c r="D4175" s="5" t="s">
        <v>36</v>
      </c>
      <c r="E4175" s="5" t="s">
        <v>36</v>
      </c>
      <c r="F4175" s="5" t="s">
        <v>36</v>
      </c>
      <c r="G4175" s="6" t="s">
        <v>36</v>
      </c>
      <c r="H4175" s="4" t="s">
        <v>36</v>
      </c>
      <c r="I4175" s="7" t="s">
        <v>36</v>
      </c>
      <c r="J4175" s="3" t="s">
        <v>36</v>
      </c>
      <c r="K4175" s="9" t="s">
        <v>36</v>
      </c>
      <c r="L4175" s="6" t="s">
        <v>36</v>
      </c>
      <c r="M4175" s="3" t="s">
        <v>36</v>
      </c>
      <c r="N4175" s="3" t="s">
        <v>36</v>
      </c>
      <c r="O4175" s="8" t="s">
        <v>36</v>
      </c>
      <c r="P4175" s="3" t="s">
        <v>36</v>
      </c>
      <c r="Q4175" s="3" t="s">
        <v>36</v>
      </c>
      <c r="R4175" s="3" t="s">
        <v>36</v>
      </c>
      <c r="S4175" s="3" t="s">
        <v>36</v>
      </c>
      <c r="T4175" s="3" t="s">
        <v>20711</v>
      </c>
      <c r="U4175" s="3" t="s">
        <v>74</v>
      </c>
      <c r="V4175" s="3" t="s">
        <v>75</v>
      </c>
      <c r="W4175" s="3" t="s">
        <v>20712</v>
      </c>
      <c r="X4175" s="10" t="s">
        <v>20713</v>
      </c>
      <c r="Y4175" s="6" t="s">
        <v>42</v>
      </c>
      <c r="Z4175" s="4" t="s">
        <v>36</v>
      </c>
      <c r="AA4175" s="4" t="s">
        <v>36</v>
      </c>
      <c r="AB4175" s="3" t="s">
        <v>43</v>
      </c>
      <c r="AC4175" s="3" t="s">
        <v>20714</v>
      </c>
      <c r="AD4175" s="9">
        <v>43831</v>
      </c>
      <c r="AE4175" s="3" t="s">
        <v>362</v>
      </c>
      <c r="AF4175" s="3" t="s">
        <v>20715</v>
      </c>
      <c r="AG4175" s="3" t="s">
        <v>20716</v>
      </c>
      <c r="AH4175" s="11">
        <f>HYPERLINK("https://my.pitchbook.com?c=165403-18T","View Company Online")</f>
      </c>
    </row>
    <row r="4176">
      <c r="A4176" s="12" t="s">
        <v>20717</v>
      </c>
      <c r="B4176" s="12" t="s">
        <v>20718</v>
      </c>
      <c r="C4176" s="19" t="s">
        <v>36</v>
      </c>
      <c r="D4176" s="19">
        <v>2</v>
      </c>
      <c r="E4176" s="19">
        <v>3</v>
      </c>
      <c r="F4176" s="19">
        <v>5</v>
      </c>
      <c r="G4176" s="15" t="s">
        <v>36</v>
      </c>
      <c r="H4176" s="14">
        <v>26.17</v>
      </c>
      <c r="I4176" s="18">
        <v>34.77</v>
      </c>
      <c r="J4176" s="12" t="s">
        <v>521</v>
      </c>
      <c r="K4176" s="13" t="s">
        <v>36</v>
      </c>
      <c r="L4176" s="15" t="s">
        <v>36</v>
      </c>
      <c r="M4176" s="12" t="s">
        <v>36</v>
      </c>
      <c r="N4176" s="12" t="s">
        <v>36</v>
      </c>
      <c r="O4176" s="17" t="s">
        <v>36</v>
      </c>
      <c r="P4176" s="12" t="s">
        <v>36</v>
      </c>
      <c r="Q4176" s="12" t="s">
        <v>36</v>
      </c>
      <c r="R4176" s="12" t="s">
        <v>36</v>
      </c>
      <c r="S4176" s="12" t="s">
        <v>36</v>
      </c>
      <c r="T4176" s="12" t="s">
        <v>20719</v>
      </c>
      <c r="U4176" s="12" t="s">
        <v>51</v>
      </c>
      <c r="V4176" s="12" t="s">
        <v>52</v>
      </c>
      <c r="W4176" s="12" t="s">
        <v>20720</v>
      </c>
      <c r="X4176" s="16" t="s">
        <v>20721</v>
      </c>
      <c r="Y4176" s="15" t="s">
        <v>55</v>
      </c>
      <c r="Z4176" s="14">
        <v>3.33</v>
      </c>
      <c r="AA4176" s="14">
        <v>9.58</v>
      </c>
      <c r="AB4176" s="12" t="s">
        <v>56</v>
      </c>
      <c r="AC4176" s="12" t="s">
        <v>20722</v>
      </c>
      <c r="AD4176" s="13">
        <v>43830</v>
      </c>
      <c r="AE4176" s="12" t="s">
        <v>58</v>
      </c>
      <c r="AF4176" s="12" t="s">
        <v>12792</v>
      </c>
      <c r="AG4176" s="12" t="s">
        <v>81</v>
      </c>
      <c r="AH4176" s="1">
        <f>HYPERLINK("https://my.pitchbook.com?c=180699-94T","View Company Online")</f>
      </c>
    </row>
    <row r="4177">
      <c r="A4177" s="3" t="s">
        <v>20723</v>
      </c>
      <c r="B4177" s="3" t="s">
        <v>20724</v>
      </c>
      <c r="C4177" s="5" t="s">
        <v>36</v>
      </c>
      <c r="D4177" s="5" t="s">
        <v>36</v>
      </c>
      <c r="E4177" s="5" t="s">
        <v>36</v>
      </c>
      <c r="F4177" s="5" t="s">
        <v>36</v>
      </c>
      <c r="G4177" s="6" t="s">
        <v>36</v>
      </c>
      <c r="H4177" s="4" t="s">
        <v>36</v>
      </c>
      <c r="I4177" s="7" t="s">
        <v>36</v>
      </c>
      <c r="J4177" s="3" t="s">
        <v>36</v>
      </c>
      <c r="K4177" s="9" t="s">
        <v>36</v>
      </c>
      <c r="L4177" s="6" t="s">
        <v>36</v>
      </c>
      <c r="M4177" s="3" t="s">
        <v>36</v>
      </c>
      <c r="N4177" s="3" t="s">
        <v>36</v>
      </c>
      <c r="O4177" s="8" t="s">
        <v>36</v>
      </c>
      <c r="P4177" s="3" t="s">
        <v>36</v>
      </c>
      <c r="Q4177" s="3" t="s">
        <v>36</v>
      </c>
      <c r="R4177" s="3" t="s">
        <v>36</v>
      </c>
      <c r="S4177" s="3" t="s">
        <v>36</v>
      </c>
      <c r="T4177" s="3" t="s">
        <v>20725</v>
      </c>
      <c r="U4177" s="3" t="s">
        <v>38</v>
      </c>
      <c r="V4177" s="3" t="s">
        <v>39</v>
      </c>
      <c r="W4177" s="3" t="s">
        <v>20726</v>
      </c>
      <c r="X4177" s="10" t="s">
        <v>20727</v>
      </c>
      <c r="Y4177" s="6" t="s">
        <v>42</v>
      </c>
      <c r="Z4177" s="4" t="s">
        <v>36</v>
      </c>
      <c r="AA4177" s="4" t="s">
        <v>36</v>
      </c>
      <c r="AB4177" s="3" t="s">
        <v>56</v>
      </c>
      <c r="AC4177" s="3" t="s">
        <v>20728</v>
      </c>
      <c r="AD4177" s="9">
        <v>43830</v>
      </c>
      <c r="AE4177" s="3" t="s">
        <v>45</v>
      </c>
      <c r="AF4177" s="3" t="s">
        <v>615</v>
      </c>
      <c r="AG4177" s="3" t="s">
        <v>81</v>
      </c>
      <c r="AH4177" s="11">
        <f>HYPERLINK("https://my.pitchbook.com?c=195571-09T","View Company Online")</f>
      </c>
    </row>
    <row r="4178">
      <c r="A4178" s="12" t="s">
        <v>20729</v>
      </c>
      <c r="B4178" s="12" t="s">
        <v>19407</v>
      </c>
      <c r="C4178" s="19" t="s">
        <v>36</v>
      </c>
      <c r="D4178" s="19" t="s">
        <v>36</v>
      </c>
      <c r="E4178" s="19" t="s">
        <v>36</v>
      </c>
      <c r="F4178" s="19" t="s">
        <v>36</v>
      </c>
      <c r="G4178" s="15" t="s">
        <v>326</v>
      </c>
      <c r="H4178" s="14">
        <v>11.64</v>
      </c>
      <c r="I4178" s="18">
        <v>18.94</v>
      </c>
      <c r="J4178" s="12" t="s">
        <v>521</v>
      </c>
      <c r="K4178" s="13" t="s">
        <v>36</v>
      </c>
      <c r="L4178" s="15" t="s">
        <v>36</v>
      </c>
      <c r="M4178" s="12" t="s">
        <v>36</v>
      </c>
      <c r="N4178" s="12" t="s">
        <v>36</v>
      </c>
      <c r="O4178" s="17" t="s">
        <v>36</v>
      </c>
      <c r="P4178" s="12" t="s">
        <v>36</v>
      </c>
      <c r="Q4178" s="12" t="s">
        <v>36</v>
      </c>
      <c r="R4178" s="12" t="s">
        <v>36</v>
      </c>
      <c r="S4178" s="12" t="s">
        <v>36</v>
      </c>
      <c r="T4178" s="12" t="s">
        <v>2285</v>
      </c>
      <c r="U4178" s="12" t="s">
        <v>38</v>
      </c>
      <c r="V4178" s="12" t="s">
        <v>39</v>
      </c>
      <c r="W4178" s="12" t="s">
        <v>19408</v>
      </c>
      <c r="X4178" s="16" t="s">
        <v>8727</v>
      </c>
      <c r="Y4178" s="15" t="s">
        <v>166</v>
      </c>
      <c r="Z4178" s="14">
        <v>10.45</v>
      </c>
      <c r="AA4178" s="14">
        <v>55.18</v>
      </c>
      <c r="AB4178" s="12" t="s">
        <v>56</v>
      </c>
      <c r="AC4178" s="12" t="s">
        <v>19410</v>
      </c>
      <c r="AD4178" s="13">
        <v>43829</v>
      </c>
      <c r="AE4178" s="12" t="s">
        <v>110</v>
      </c>
      <c r="AF4178" s="12" t="s">
        <v>526</v>
      </c>
      <c r="AG4178" s="12" t="s">
        <v>19411</v>
      </c>
      <c r="AH4178" s="1">
        <f>HYPERLINK("https://my.pitchbook.com?c=138868-57T","View Company Online")</f>
      </c>
    </row>
    <row r="4179">
      <c r="A4179" s="3" t="s">
        <v>20730</v>
      </c>
      <c r="B4179" s="3" t="s">
        <v>20731</v>
      </c>
      <c r="C4179" s="5" t="s">
        <v>36</v>
      </c>
      <c r="D4179" s="5" t="s">
        <v>36</v>
      </c>
      <c r="E4179" s="5" t="s">
        <v>36</v>
      </c>
      <c r="F4179" s="5" t="s">
        <v>36</v>
      </c>
      <c r="G4179" s="6" t="s">
        <v>36</v>
      </c>
      <c r="H4179" s="4" t="s">
        <v>36</v>
      </c>
      <c r="I4179" s="7" t="s">
        <v>36</v>
      </c>
      <c r="J4179" s="3" t="s">
        <v>36</v>
      </c>
      <c r="K4179" s="9" t="s">
        <v>36</v>
      </c>
      <c r="L4179" s="6" t="s">
        <v>36</v>
      </c>
      <c r="M4179" s="3" t="s">
        <v>36</v>
      </c>
      <c r="N4179" s="3" t="s">
        <v>36</v>
      </c>
      <c r="O4179" s="8" t="s">
        <v>36</v>
      </c>
      <c r="P4179" s="3" t="s">
        <v>36</v>
      </c>
      <c r="Q4179" s="3" t="s">
        <v>36</v>
      </c>
      <c r="R4179" s="3" t="s">
        <v>36</v>
      </c>
      <c r="S4179" s="3" t="s">
        <v>36</v>
      </c>
      <c r="T4179" s="3" t="s">
        <v>14916</v>
      </c>
      <c r="U4179" s="3" t="s">
        <v>74</v>
      </c>
      <c r="V4179" s="3" t="s">
        <v>75</v>
      </c>
      <c r="W4179" s="3" t="s">
        <v>20732</v>
      </c>
      <c r="X4179" s="10" t="s">
        <v>10053</v>
      </c>
      <c r="Y4179" s="6" t="s">
        <v>42</v>
      </c>
      <c r="Z4179" s="4">
        <v>92.56</v>
      </c>
      <c r="AA4179" s="4" t="s">
        <v>36</v>
      </c>
      <c r="AB4179" s="3" t="s">
        <v>56</v>
      </c>
      <c r="AC4179" s="3" t="s">
        <v>20733</v>
      </c>
      <c r="AD4179" s="9">
        <v>43826</v>
      </c>
      <c r="AE4179" s="3" t="s">
        <v>1243</v>
      </c>
      <c r="AF4179" s="3" t="s">
        <v>546</v>
      </c>
      <c r="AG4179" s="3" t="s">
        <v>20734</v>
      </c>
      <c r="AH4179" s="11">
        <f>HYPERLINK("https://my.pitchbook.com?c=129565-99T","View Company Online")</f>
      </c>
    </row>
    <row r="4180">
      <c r="A4180" s="12" t="s">
        <v>20735</v>
      </c>
      <c r="B4180" s="12" t="s">
        <v>20736</v>
      </c>
      <c r="C4180" s="19" t="s">
        <v>36</v>
      </c>
      <c r="D4180" s="19" t="s">
        <v>36</v>
      </c>
      <c r="E4180" s="19" t="s">
        <v>36</v>
      </c>
      <c r="F4180" s="19" t="s">
        <v>36</v>
      </c>
      <c r="G4180" s="15" t="s">
        <v>36</v>
      </c>
      <c r="H4180" s="14">
        <v>21.43</v>
      </c>
      <c r="I4180" s="18">
        <v>23.27</v>
      </c>
      <c r="J4180" s="12" t="s">
        <v>521</v>
      </c>
      <c r="K4180" s="13" t="s">
        <v>36</v>
      </c>
      <c r="L4180" s="15" t="s">
        <v>94</v>
      </c>
      <c r="M4180" s="12" t="s">
        <v>36</v>
      </c>
      <c r="N4180" s="12" t="s">
        <v>94</v>
      </c>
      <c r="O4180" s="17" t="s">
        <v>36</v>
      </c>
      <c r="P4180" s="12" t="s">
        <v>36</v>
      </c>
      <c r="Q4180" s="12" t="s">
        <v>36</v>
      </c>
      <c r="R4180" s="12" t="s">
        <v>36</v>
      </c>
      <c r="S4180" s="12" t="s">
        <v>36</v>
      </c>
      <c r="T4180" s="12" t="s">
        <v>2609</v>
      </c>
      <c r="U4180" s="12" t="s">
        <v>423</v>
      </c>
      <c r="V4180" s="12" t="s">
        <v>64</v>
      </c>
      <c r="W4180" s="12" t="s">
        <v>20737</v>
      </c>
      <c r="X4180" s="16" t="s">
        <v>20738</v>
      </c>
      <c r="Y4180" s="15" t="s">
        <v>166</v>
      </c>
      <c r="Z4180" s="14">
        <v>12.14</v>
      </c>
      <c r="AA4180" s="14">
        <v>52.17</v>
      </c>
      <c r="AB4180" s="12" t="s">
        <v>56</v>
      </c>
      <c r="AC4180" s="12" t="s">
        <v>20739</v>
      </c>
      <c r="AD4180" s="13">
        <v>43826</v>
      </c>
      <c r="AE4180" s="12" t="s">
        <v>562</v>
      </c>
      <c r="AF4180" s="12" t="s">
        <v>1061</v>
      </c>
      <c r="AG4180" s="12" t="s">
        <v>81</v>
      </c>
      <c r="AH4180" s="1">
        <f>HYPERLINK("https://my.pitchbook.com?c=133534-27T","View Company Online")</f>
      </c>
    </row>
    <row r="4181">
      <c r="A4181" s="3" t="s">
        <v>20740</v>
      </c>
      <c r="B4181" s="3" t="s">
        <v>20741</v>
      </c>
      <c r="C4181" s="5" t="s">
        <v>36</v>
      </c>
      <c r="D4181" s="5" t="s">
        <v>36</v>
      </c>
      <c r="E4181" s="5" t="s">
        <v>36</v>
      </c>
      <c r="F4181" s="5" t="s">
        <v>36</v>
      </c>
      <c r="G4181" s="6" t="s">
        <v>326</v>
      </c>
      <c r="H4181" s="4">
        <v>100.09</v>
      </c>
      <c r="I4181" s="7">
        <v>21.51</v>
      </c>
      <c r="J4181" s="3" t="s">
        <v>521</v>
      </c>
      <c r="K4181" s="9">
        <v>43520</v>
      </c>
      <c r="L4181" s="6" t="s">
        <v>1279</v>
      </c>
      <c r="M4181" s="3" t="s">
        <v>36</v>
      </c>
      <c r="N4181" s="3" t="s">
        <v>1279</v>
      </c>
      <c r="O4181" s="8" t="s">
        <v>36</v>
      </c>
      <c r="P4181" s="3" t="s">
        <v>36</v>
      </c>
      <c r="Q4181" s="3" t="s">
        <v>36</v>
      </c>
      <c r="R4181" s="3" t="s">
        <v>36</v>
      </c>
      <c r="S4181" s="3" t="s">
        <v>36</v>
      </c>
      <c r="T4181" s="3" t="s">
        <v>8394</v>
      </c>
      <c r="U4181" s="3" t="s">
        <v>85</v>
      </c>
      <c r="V4181" s="3" t="s">
        <v>64</v>
      </c>
      <c r="W4181" s="3" t="s">
        <v>20742</v>
      </c>
      <c r="X4181" s="10" t="s">
        <v>20743</v>
      </c>
      <c r="Y4181" s="6" t="s">
        <v>55</v>
      </c>
      <c r="Z4181" s="4">
        <v>32.81</v>
      </c>
      <c r="AA4181" s="4">
        <v>129.86</v>
      </c>
      <c r="AB4181" s="3" t="s">
        <v>56</v>
      </c>
      <c r="AC4181" s="3" t="s">
        <v>20744</v>
      </c>
      <c r="AD4181" s="9">
        <v>43825</v>
      </c>
      <c r="AE4181" s="3" t="s">
        <v>89</v>
      </c>
      <c r="AF4181" s="3" t="s">
        <v>20745</v>
      </c>
      <c r="AG4181" s="3" t="s">
        <v>81</v>
      </c>
      <c r="AH4181" s="11">
        <f>HYPERLINK("https://my.pitchbook.com?c=132677-74T","View Company Online")</f>
      </c>
    </row>
    <row r="4182">
      <c r="A4182" s="12" t="s">
        <v>20746</v>
      </c>
      <c r="B4182" s="12" t="s">
        <v>20747</v>
      </c>
      <c r="C4182" s="19" t="s">
        <v>36</v>
      </c>
      <c r="D4182" s="19" t="s">
        <v>36</v>
      </c>
      <c r="E4182" s="19" t="s">
        <v>36</v>
      </c>
      <c r="F4182" s="19" t="s">
        <v>36</v>
      </c>
      <c r="G4182" s="15" t="s">
        <v>36</v>
      </c>
      <c r="H4182" s="14">
        <v>138.64</v>
      </c>
      <c r="I4182" s="18">
        <v>27.28</v>
      </c>
      <c r="J4182" s="12" t="s">
        <v>521</v>
      </c>
      <c r="K4182" s="13" t="s">
        <v>36</v>
      </c>
      <c r="L4182" s="15" t="s">
        <v>36</v>
      </c>
      <c r="M4182" s="12" t="s">
        <v>36</v>
      </c>
      <c r="N4182" s="12" t="s">
        <v>36</v>
      </c>
      <c r="O4182" s="17" t="s">
        <v>36</v>
      </c>
      <c r="P4182" s="12" t="s">
        <v>36</v>
      </c>
      <c r="Q4182" s="12" t="s">
        <v>36</v>
      </c>
      <c r="R4182" s="12" t="s">
        <v>36</v>
      </c>
      <c r="S4182" s="12" t="s">
        <v>36</v>
      </c>
      <c r="T4182" s="12" t="s">
        <v>4822</v>
      </c>
      <c r="U4182" s="12" t="s">
        <v>38</v>
      </c>
      <c r="V4182" s="12" t="s">
        <v>39</v>
      </c>
      <c r="W4182" s="12" t="s">
        <v>20748</v>
      </c>
      <c r="X4182" s="16" t="s">
        <v>20749</v>
      </c>
      <c r="Y4182" s="15" t="s">
        <v>108</v>
      </c>
      <c r="Z4182" s="14">
        <v>2.22</v>
      </c>
      <c r="AA4182" s="14">
        <v>6.09</v>
      </c>
      <c r="AB4182" s="12" t="s">
        <v>43</v>
      </c>
      <c r="AC4182" s="12" t="s">
        <v>20750</v>
      </c>
      <c r="AD4182" s="13">
        <v>43823</v>
      </c>
      <c r="AE4182" s="12" t="s">
        <v>110</v>
      </c>
      <c r="AF4182" s="12" t="s">
        <v>36</v>
      </c>
      <c r="AG4182" s="12" t="s">
        <v>81</v>
      </c>
      <c r="AH4182" s="1">
        <f>HYPERLINK("https://my.pitchbook.com?c=133779-25T","View Company Online")</f>
      </c>
    </row>
    <row r="4183">
      <c r="A4183" s="3" t="s">
        <v>20751</v>
      </c>
      <c r="B4183" s="3" t="s">
        <v>20752</v>
      </c>
      <c r="C4183" s="5" t="s">
        <v>36</v>
      </c>
      <c r="D4183" s="5" t="s">
        <v>36</v>
      </c>
      <c r="E4183" s="5" t="s">
        <v>36</v>
      </c>
      <c r="F4183" s="5" t="s">
        <v>36</v>
      </c>
      <c r="G4183" s="6" t="s">
        <v>326</v>
      </c>
      <c r="H4183" s="4">
        <v>16.08</v>
      </c>
      <c r="I4183" s="7">
        <v>19.12</v>
      </c>
      <c r="J4183" s="3" t="s">
        <v>521</v>
      </c>
      <c r="K4183" s="9" t="s">
        <v>36</v>
      </c>
      <c r="L4183" s="6" t="s">
        <v>36</v>
      </c>
      <c r="M4183" s="3" t="s">
        <v>36</v>
      </c>
      <c r="N4183" s="3" t="s">
        <v>36</v>
      </c>
      <c r="O4183" s="8" t="s">
        <v>36</v>
      </c>
      <c r="P4183" s="3" t="s">
        <v>36</v>
      </c>
      <c r="Q4183" s="3" t="s">
        <v>36</v>
      </c>
      <c r="R4183" s="3" t="s">
        <v>36</v>
      </c>
      <c r="S4183" s="3" t="s">
        <v>36</v>
      </c>
      <c r="T4183" s="3" t="s">
        <v>105</v>
      </c>
      <c r="U4183" s="3" t="s">
        <v>38</v>
      </c>
      <c r="V4183" s="3" t="s">
        <v>39</v>
      </c>
      <c r="W4183" s="3" t="s">
        <v>20753</v>
      </c>
      <c r="X4183" s="10" t="s">
        <v>20754</v>
      </c>
      <c r="Y4183" s="6" t="s">
        <v>108</v>
      </c>
      <c r="Z4183" s="4">
        <v>0.32</v>
      </c>
      <c r="AA4183" s="4">
        <v>1.66</v>
      </c>
      <c r="AB4183" s="3" t="s">
        <v>43</v>
      </c>
      <c r="AC4183" s="3" t="s">
        <v>20755</v>
      </c>
      <c r="AD4183" s="9">
        <v>43822</v>
      </c>
      <c r="AE4183" s="3" t="s">
        <v>110</v>
      </c>
      <c r="AF4183" s="3" t="s">
        <v>20756</v>
      </c>
      <c r="AG4183" s="3" t="s">
        <v>20757</v>
      </c>
      <c r="AH4183" s="11">
        <f>HYPERLINK("https://my.pitchbook.com?c=191216-80T","View Company Online")</f>
      </c>
    </row>
    <row r="4184">
      <c r="A4184" s="12" t="s">
        <v>20758</v>
      </c>
      <c r="B4184" s="12" t="s">
        <v>20759</v>
      </c>
      <c r="C4184" s="19" t="s">
        <v>36</v>
      </c>
      <c r="D4184" s="19">
        <v>3</v>
      </c>
      <c r="E4184" s="19">
        <v>1</v>
      </c>
      <c r="F4184" s="19">
        <v>4</v>
      </c>
      <c r="G4184" s="15" t="s">
        <v>2497</v>
      </c>
      <c r="H4184" s="14">
        <v>394.66</v>
      </c>
      <c r="I4184" s="18">
        <v>33.05</v>
      </c>
      <c r="J4184" s="12" t="s">
        <v>521</v>
      </c>
      <c r="K4184" s="13" t="s">
        <v>36</v>
      </c>
      <c r="L4184" s="15" t="s">
        <v>36</v>
      </c>
      <c r="M4184" s="12" t="s">
        <v>36</v>
      </c>
      <c r="N4184" s="12" t="s">
        <v>36</v>
      </c>
      <c r="O4184" s="17" t="s">
        <v>36</v>
      </c>
      <c r="P4184" s="12" t="s">
        <v>36</v>
      </c>
      <c r="Q4184" s="12" t="s">
        <v>36</v>
      </c>
      <c r="R4184" s="12" t="s">
        <v>36</v>
      </c>
      <c r="S4184" s="12" t="s">
        <v>36</v>
      </c>
      <c r="T4184" s="12" t="s">
        <v>20760</v>
      </c>
      <c r="U4184" s="12" t="s">
        <v>38</v>
      </c>
      <c r="V4184" s="12" t="s">
        <v>39</v>
      </c>
      <c r="W4184" s="12" t="s">
        <v>20761</v>
      </c>
      <c r="X4184" s="16" t="s">
        <v>13138</v>
      </c>
      <c r="Y4184" s="15" t="s">
        <v>108</v>
      </c>
      <c r="Z4184" s="14">
        <v>0.28</v>
      </c>
      <c r="AA4184" s="14">
        <v>0.84</v>
      </c>
      <c r="AB4184" s="12" t="s">
        <v>56</v>
      </c>
      <c r="AC4184" s="12" t="s">
        <v>20762</v>
      </c>
      <c r="AD4184" s="13">
        <v>43819</v>
      </c>
      <c r="AE4184" s="12" t="s">
        <v>1945</v>
      </c>
      <c r="AF4184" s="12" t="s">
        <v>20763</v>
      </c>
      <c r="AG4184" s="12" t="s">
        <v>20764</v>
      </c>
      <c r="AH4184" s="1">
        <f>HYPERLINK("https://my.pitchbook.com?c=188041-69T","View Company Online")</f>
      </c>
    </row>
    <row r="4185">
      <c r="A4185" s="3" t="s">
        <v>20765</v>
      </c>
      <c r="B4185" s="3" t="s">
        <v>20766</v>
      </c>
      <c r="C4185" s="5" t="s">
        <v>36</v>
      </c>
      <c r="D4185" s="5" t="s">
        <v>36</v>
      </c>
      <c r="E4185" s="5" t="s">
        <v>36</v>
      </c>
      <c r="F4185" s="5" t="s">
        <v>36</v>
      </c>
      <c r="G4185" s="6" t="s">
        <v>326</v>
      </c>
      <c r="H4185" s="4">
        <v>160.46</v>
      </c>
      <c r="I4185" s="7">
        <v>25.37</v>
      </c>
      <c r="J4185" s="3" t="s">
        <v>521</v>
      </c>
      <c r="K4185" s="9" t="s">
        <v>36</v>
      </c>
      <c r="L4185" s="6" t="s">
        <v>36</v>
      </c>
      <c r="M4185" s="3" t="s">
        <v>36</v>
      </c>
      <c r="N4185" s="3" t="s">
        <v>36</v>
      </c>
      <c r="O4185" s="8" t="s">
        <v>36</v>
      </c>
      <c r="P4185" s="3" t="s">
        <v>36</v>
      </c>
      <c r="Q4185" s="3" t="s">
        <v>36</v>
      </c>
      <c r="R4185" s="3" t="s">
        <v>36</v>
      </c>
      <c r="S4185" s="3" t="s">
        <v>36</v>
      </c>
      <c r="T4185" s="3" t="s">
        <v>3523</v>
      </c>
      <c r="U4185" s="3" t="s">
        <v>74</v>
      </c>
      <c r="V4185" s="3" t="s">
        <v>75</v>
      </c>
      <c r="W4185" s="3" t="s">
        <v>20767</v>
      </c>
      <c r="X4185" s="10" t="s">
        <v>20768</v>
      </c>
      <c r="Y4185" s="6" t="s">
        <v>55</v>
      </c>
      <c r="Z4185" s="4">
        <v>4.43</v>
      </c>
      <c r="AA4185" s="4">
        <v>12.57</v>
      </c>
      <c r="AB4185" s="3" t="s">
        <v>56</v>
      </c>
      <c r="AC4185" s="3" t="s">
        <v>20769</v>
      </c>
      <c r="AD4185" s="9">
        <v>43819</v>
      </c>
      <c r="AE4185" s="3" t="s">
        <v>3144</v>
      </c>
      <c r="AF4185" s="3" t="s">
        <v>20770</v>
      </c>
      <c r="AG4185" s="3" t="s">
        <v>332</v>
      </c>
      <c r="AH4185" s="11">
        <f>HYPERLINK("https://my.pitchbook.com?c=132785-38T","View Company Online")</f>
      </c>
    </row>
    <row r="4186">
      <c r="A4186" s="12" t="s">
        <v>20771</v>
      </c>
      <c r="B4186" s="12" t="s">
        <v>20772</v>
      </c>
      <c r="C4186" s="19" t="s">
        <v>36</v>
      </c>
      <c r="D4186" s="19" t="s">
        <v>36</v>
      </c>
      <c r="E4186" s="19" t="s">
        <v>36</v>
      </c>
      <c r="F4186" s="19" t="s">
        <v>36</v>
      </c>
      <c r="G4186" s="15" t="s">
        <v>36</v>
      </c>
      <c r="H4186" s="14" t="s">
        <v>36</v>
      </c>
      <c r="I4186" s="18" t="s">
        <v>36</v>
      </c>
      <c r="J4186" s="12" t="s">
        <v>36</v>
      </c>
      <c r="K4186" s="13" t="s">
        <v>36</v>
      </c>
      <c r="L4186" s="15" t="s">
        <v>36</v>
      </c>
      <c r="M4186" s="12" t="s">
        <v>36</v>
      </c>
      <c r="N4186" s="12" t="s">
        <v>36</v>
      </c>
      <c r="O4186" s="17" t="s">
        <v>36</v>
      </c>
      <c r="P4186" s="12" t="s">
        <v>36</v>
      </c>
      <c r="Q4186" s="12" t="s">
        <v>36</v>
      </c>
      <c r="R4186" s="12" t="s">
        <v>36</v>
      </c>
      <c r="S4186" s="12" t="s">
        <v>36</v>
      </c>
      <c r="T4186" s="12" t="s">
        <v>1260</v>
      </c>
      <c r="U4186" s="12" t="s">
        <v>38</v>
      </c>
      <c r="V4186" s="12" t="s">
        <v>39</v>
      </c>
      <c r="W4186" s="12" t="s">
        <v>20773</v>
      </c>
      <c r="X4186" s="16" t="s">
        <v>20774</v>
      </c>
      <c r="Y4186" s="15" t="s">
        <v>42</v>
      </c>
      <c r="Z4186" s="14">
        <v>3.32</v>
      </c>
      <c r="AA4186" s="14" t="s">
        <v>36</v>
      </c>
      <c r="AB4186" s="12" t="s">
        <v>43</v>
      </c>
      <c r="AC4186" s="12" t="s">
        <v>20775</v>
      </c>
      <c r="AD4186" s="13">
        <v>43819</v>
      </c>
      <c r="AE4186" s="12" t="s">
        <v>110</v>
      </c>
      <c r="AF4186" s="12" t="s">
        <v>526</v>
      </c>
      <c r="AG4186" s="12" t="s">
        <v>81</v>
      </c>
      <c r="AH4186" s="1">
        <f>HYPERLINK("https://my.pitchbook.com?c=135106-48T","View Company Online")</f>
      </c>
    </row>
    <row r="4187">
      <c r="A4187" s="3" t="s">
        <v>20776</v>
      </c>
      <c r="B4187" s="3" t="s">
        <v>20777</v>
      </c>
      <c r="C4187" s="5" t="s">
        <v>36</v>
      </c>
      <c r="D4187" s="5">
        <v>6</v>
      </c>
      <c r="E4187" s="5">
        <v>3</v>
      </c>
      <c r="F4187" s="5">
        <v>6</v>
      </c>
      <c r="G4187" s="6" t="s">
        <v>326</v>
      </c>
      <c r="H4187" s="4">
        <v>0.35</v>
      </c>
      <c r="I4187" s="7">
        <v>26.49</v>
      </c>
      <c r="J4187" s="3" t="s">
        <v>521</v>
      </c>
      <c r="K4187" s="9" t="s">
        <v>36</v>
      </c>
      <c r="L4187" s="6" t="s">
        <v>36</v>
      </c>
      <c r="M4187" s="3" t="s">
        <v>36</v>
      </c>
      <c r="N4187" s="3" t="s">
        <v>36</v>
      </c>
      <c r="O4187" s="8" t="s">
        <v>36</v>
      </c>
      <c r="P4187" s="3" t="s">
        <v>36</v>
      </c>
      <c r="Q4187" s="3" t="s">
        <v>36</v>
      </c>
      <c r="R4187" s="3" t="s">
        <v>36</v>
      </c>
      <c r="S4187" s="3" t="s">
        <v>36</v>
      </c>
      <c r="T4187" s="3" t="s">
        <v>10014</v>
      </c>
      <c r="U4187" s="3" t="s">
        <v>438</v>
      </c>
      <c r="V4187" s="3" t="s">
        <v>405</v>
      </c>
      <c r="W4187" s="3" t="s">
        <v>20778</v>
      </c>
      <c r="X4187" s="10" t="s">
        <v>20779</v>
      </c>
      <c r="Y4187" s="6" t="s">
        <v>108</v>
      </c>
      <c r="Z4187" s="4">
        <v>16.61</v>
      </c>
      <c r="AA4187" s="4">
        <v>62.7</v>
      </c>
      <c r="AB4187" s="3" t="s">
        <v>56</v>
      </c>
      <c r="AC4187" s="3" t="s">
        <v>20780</v>
      </c>
      <c r="AD4187" s="9">
        <v>43819</v>
      </c>
      <c r="AE4187" s="3" t="s">
        <v>10018</v>
      </c>
      <c r="AF4187" s="3" t="s">
        <v>331</v>
      </c>
      <c r="AG4187" s="3" t="s">
        <v>81</v>
      </c>
      <c r="AH4187" s="11">
        <f>HYPERLINK("https://my.pitchbook.com?c=133641-91T","View Company Online")</f>
      </c>
    </row>
    <row r="4188">
      <c r="A4188" s="12" t="s">
        <v>20781</v>
      </c>
      <c r="B4188" s="12" t="s">
        <v>20782</v>
      </c>
      <c r="C4188" s="19" t="s">
        <v>36</v>
      </c>
      <c r="D4188" s="19" t="s">
        <v>36</v>
      </c>
      <c r="E4188" s="19" t="s">
        <v>36</v>
      </c>
      <c r="F4188" s="19" t="s">
        <v>36</v>
      </c>
      <c r="G4188" s="15" t="s">
        <v>683</v>
      </c>
      <c r="H4188" s="14">
        <v>113.4</v>
      </c>
      <c r="I4188" s="18">
        <v>26</v>
      </c>
      <c r="J4188" s="12" t="s">
        <v>521</v>
      </c>
      <c r="K4188" s="13" t="s">
        <v>36</v>
      </c>
      <c r="L4188" s="15" t="s">
        <v>36</v>
      </c>
      <c r="M4188" s="12" t="s">
        <v>36</v>
      </c>
      <c r="N4188" s="12" t="s">
        <v>36</v>
      </c>
      <c r="O4188" s="17" t="s">
        <v>36</v>
      </c>
      <c r="P4188" s="12" t="s">
        <v>36</v>
      </c>
      <c r="Q4188" s="12" t="s">
        <v>36</v>
      </c>
      <c r="R4188" s="12" t="s">
        <v>36</v>
      </c>
      <c r="S4188" s="12" t="s">
        <v>36</v>
      </c>
      <c r="T4188" s="12" t="s">
        <v>9021</v>
      </c>
      <c r="U4188" s="12" t="s">
        <v>38</v>
      </c>
      <c r="V4188" s="12" t="s">
        <v>39</v>
      </c>
      <c r="W4188" s="12" t="s">
        <v>20783</v>
      </c>
      <c r="X4188" s="16" t="s">
        <v>20784</v>
      </c>
      <c r="Y4188" s="15" t="s">
        <v>108</v>
      </c>
      <c r="Z4188" s="14">
        <v>6.6</v>
      </c>
      <c r="AA4188" s="14">
        <v>21.92</v>
      </c>
      <c r="AB4188" s="12" t="s">
        <v>43</v>
      </c>
      <c r="AC4188" s="12" t="s">
        <v>20785</v>
      </c>
      <c r="AD4188" s="13">
        <v>43819</v>
      </c>
      <c r="AE4188" s="12" t="s">
        <v>554</v>
      </c>
      <c r="AF4188" s="12" t="s">
        <v>118</v>
      </c>
      <c r="AG4188" s="12" t="s">
        <v>81</v>
      </c>
      <c r="AH4188" s="1">
        <f>HYPERLINK("https://my.pitchbook.com?c=128559-52T","View Company Online")</f>
      </c>
    </row>
    <row r="4189">
      <c r="A4189" s="3" t="s">
        <v>20786</v>
      </c>
      <c r="B4189" s="3" t="s">
        <v>19619</v>
      </c>
      <c r="C4189" s="5" t="s">
        <v>36</v>
      </c>
      <c r="D4189" s="5" t="s">
        <v>36</v>
      </c>
      <c r="E4189" s="5" t="s">
        <v>36</v>
      </c>
      <c r="F4189" s="5" t="s">
        <v>36</v>
      </c>
      <c r="G4189" s="6" t="s">
        <v>36</v>
      </c>
      <c r="H4189" s="4">
        <v>47.32</v>
      </c>
      <c r="I4189" s="7">
        <v>44.62</v>
      </c>
      <c r="J4189" s="3" t="s">
        <v>521</v>
      </c>
      <c r="K4189" s="9" t="s">
        <v>36</v>
      </c>
      <c r="L4189" s="6" t="s">
        <v>36</v>
      </c>
      <c r="M4189" s="3" t="s">
        <v>36</v>
      </c>
      <c r="N4189" s="3" t="s">
        <v>36</v>
      </c>
      <c r="O4189" s="8" t="s">
        <v>36</v>
      </c>
      <c r="P4189" s="3" t="s">
        <v>36</v>
      </c>
      <c r="Q4189" s="3" t="s">
        <v>36</v>
      </c>
      <c r="R4189" s="3" t="s">
        <v>36</v>
      </c>
      <c r="S4189" s="3" t="s">
        <v>36</v>
      </c>
      <c r="T4189" s="3" t="s">
        <v>19620</v>
      </c>
      <c r="U4189" s="3" t="s">
        <v>279</v>
      </c>
      <c r="V4189" s="3" t="s">
        <v>64</v>
      </c>
      <c r="W4189" s="3" t="s">
        <v>19621</v>
      </c>
      <c r="X4189" s="10" t="s">
        <v>20787</v>
      </c>
      <c r="Y4189" s="6" t="s">
        <v>108</v>
      </c>
      <c r="Z4189" s="4">
        <v>2.64</v>
      </c>
      <c r="AA4189" s="4">
        <v>5.91</v>
      </c>
      <c r="AB4189" s="3" t="s">
        <v>56</v>
      </c>
      <c r="AC4189" s="3" t="s">
        <v>19623</v>
      </c>
      <c r="AD4189" s="9">
        <v>43819</v>
      </c>
      <c r="AE4189" s="3" t="s">
        <v>740</v>
      </c>
      <c r="AF4189" s="3" t="s">
        <v>118</v>
      </c>
      <c r="AG4189" s="3" t="s">
        <v>81</v>
      </c>
      <c r="AH4189" s="11">
        <f>HYPERLINK("https://my.pitchbook.com?c=136020-61T","View Company Online")</f>
      </c>
    </row>
    <row r="4190">
      <c r="A4190" s="12" t="s">
        <v>20788</v>
      </c>
      <c r="B4190" s="12" t="s">
        <v>20789</v>
      </c>
      <c r="C4190" s="19" t="s">
        <v>36</v>
      </c>
      <c r="D4190" s="19" t="s">
        <v>36</v>
      </c>
      <c r="E4190" s="19" t="s">
        <v>36</v>
      </c>
      <c r="F4190" s="19" t="s">
        <v>36</v>
      </c>
      <c r="G4190" s="15" t="s">
        <v>36</v>
      </c>
      <c r="H4190" s="14" t="s">
        <v>36</v>
      </c>
      <c r="I4190" s="18" t="s">
        <v>36</v>
      </c>
      <c r="J4190" s="12" t="s">
        <v>36</v>
      </c>
      <c r="K4190" s="13" t="s">
        <v>36</v>
      </c>
      <c r="L4190" s="15" t="s">
        <v>36</v>
      </c>
      <c r="M4190" s="12" t="s">
        <v>36</v>
      </c>
      <c r="N4190" s="12" t="s">
        <v>36</v>
      </c>
      <c r="O4190" s="17" t="s">
        <v>36</v>
      </c>
      <c r="P4190" s="12" t="s">
        <v>36</v>
      </c>
      <c r="Q4190" s="12" t="s">
        <v>36</v>
      </c>
      <c r="R4190" s="12" t="s">
        <v>36</v>
      </c>
      <c r="S4190" s="12" t="s">
        <v>36</v>
      </c>
      <c r="T4190" s="12" t="s">
        <v>105</v>
      </c>
      <c r="U4190" s="12" t="s">
        <v>38</v>
      </c>
      <c r="V4190" s="12" t="s">
        <v>39</v>
      </c>
      <c r="W4190" s="12" t="s">
        <v>20790</v>
      </c>
      <c r="X4190" s="16" t="s">
        <v>20791</v>
      </c>
      <c r="Y4190" s="15" t="s">
        <v>108</v>
      </c>
      <c r="Z4190" s="14">
        <v>1.88</v>
      </c>
      <c r="AA4190" s="14" t="s">
        <v>36</v>
      </c>
      <c r="AB4190" s="12" t="s">
        <v>43</v>
      </c>
      <c r="AC4190" s="12" t="s">
        <v>20792</v>
      </c>
      <c r="AD4190" s="13">
        <v>43819</v>
      </c>
      <c r="AE4190" s="12" t="s">
        <v>110</v>
      </c>
      <c r="AF4190" s="12" t="s">
        <v>1077</v>
      </c>
      <c r="AG4190" s="12" t="s">
        <v>741</v>
      </c>
      <c r="AH4190" s="1">
        <f>HYPERLINK("https://my.pitchbook.com?c=135725-32T","View Company Online")</f>
      </c>
    </row>
    <row r="4191">
      <c r="A4191" s="3" t="s">
        <v>20793</v>
      </c>
      <c r="B4191" s="3" t="s">
        <v>14955</v>
      </c>
      <c r="C4191" s="5">
        <v>13</v>
      </c>
      <c r="D4191" s="5">
        <v>42</v>
      </c>
      <c r="E4191" s="5">
        <v>10</v>
      </c>
      <c r="F4191" s="5">
        <v>56</v>
      </c>
      <c r="G4191" s="6" t="s">
        <v>326</v>
      </c>
      <c r="H4191" s="4">
        <v>61.82</v>
      </c>
      <c r="I4191" s="7">
        <v>15.41</v>
      </c>
      <c r="J4191" s="3" t="s">
        <v>521</v>
      </c>
      <c r="K4191" s="9" t="s">
        <v>36</v>
      </c>
      <c r="L4191" s="6" t="s">
        <v>36</v>
      </c>
      <c r="M4191" s="3" t="s">
        <v>36</v>
      </c>
      <c r="N4191" s="3" t="s">
        <v>36</v>
      </c>
      <c r="O4191" s="8" t="s">
        <v>36</v>
      </c>
      <c r="P4191" s="3" t="s">
        <v>36</v>
      </c>
      <c r="Q4191" s="3" t="s">
        <v>36</v>
      </c>
      <c r="R4191" s="3" t="s">
        <v>36</v>
      </c>
      <c r="S4191" s="3" t="s">
        <v>36</v>
      </c>
      <c r="T4191" s="3" t="s">
        <v>14956</v>
      </c>
      <c r="U4191" s="3" t="s">
        <v>318</v>
      </c>
      <c r="V4191" s="3" t="s">
        <v>39</v>
      </c>
      <c r="W4191" s="3" t="s">
        <v>14957</v>
      </c>
      <c r="X4191" s="10" t="s">
        <v>20794</v>
      </c>
      <c r="Y4191" s="6" t="s">
        <v>55</v>
      </c>
      <c r="Z4191" s="4">
        <v>3.32</v>
      </c>
      <c r="AA4191" s="4">
        <v>21.55</v>
      </c>
      <c r="AB4191" s="3" t="s">
        <v>43</v>
      </c>
      <c r="AC4191" s="3" t="s">
        <v>14959</v>
      </c>
      <c r="AD4191" s="9">
        <v>43819</v>
      </c>
      <c r="AE4191" s="3" t="s">
        <v>417</v>
      </c>
      <c r="AF4191" s="3" t="s">
        <v>592</v>
      </c>
      <c r="AG4191" s="3" t="s">
        <v>81</v>
      </c>
      <c r="AH4191" s="11">
        <f>HYPERLINK("https://my.pitchbook.com?c=195816-16T","View Company Online")</f>
      </c>
    </row>
    <row r="4192">
      <c r="A4192" s="12" t="s">
        <v>20795</v>
      </c>
      <c r="B4192" s="12" t="s">
        <v>12151</v>
      </c>
      <c r="C4192" s="19" t="s">
        <v>36</v>
      </c>
      <c r="D4192" s="19">
        <v>4</v>
      </c>
      <c r="E4192" s="19">
        <v>2</v>
      </c>
      <c r="F4192" s="19">
        <v>4</v>
      </c>
      <c r="G4192" s="15" t="s">
        <v>36</v>
      </c>
      <c r="H4192" s="14">
        <v>9.87</v>
      </c>
      <c r="I4192" s="18">
        <v>5.38</v>
      </c>
      <c r="J4192" s="12" t="s">
        <v>521</v>
      </c>
      <c r="K4192" s="13" t="s">
        <v>36</v>
      </c>
      <c r="L4192" s="15" t="s">
        <v>36</v>
      </c>
      <c r="M4192" s="12" t="s">
        <v>36</v>
      </c>
      <c r="N4192" s="12" t="s">
        <v>36</v>
      </c>
      <c r="O4192" s="17" t="s">
        <v>36</v>
      </c>
      <c r="P4192" s="12" t="s">
        <v>36</v>
      </c>
      <c r="Q4192" s="12" t="s">
        <v>3530</v>
      </c>
      <c r="R4192" s="12" t="s">
        <v>36</v>
      </c>
      <c r="S4192" s="12" t="s">
        <v>36</v>
      </c>
      <c r="T4192" s="12" t="s">
        <v>4692</v>
      </c>
      <c r="U4192" s="12" t="s">
        <v>85</v>
      </c>
      <c r="V4192" s="12" t="s">
        <v>64</v>
      </c>
      <c r="W4192" s="12" t="s">
        <v>12152</v>
      </c>
      <c r="X4192" s="16" t="s">
        <v>20796</v>
      </c>
      <c r="Y4192" s="15" t="s">
        <v>475</v>
      </c>
      <c r="Z4192" s="14">
        <v>81.78</v>
      </c>
      <c r="AA4192" s="14">
        <v>1520.69</v>
      </c>
      <c r="AB4192" s="12" t="s">
        <v>56</v>
      </c>
      <c r="AC4192" s="12" t="s">
        <v>12155</v>
      </c>
      <c r="AD4192" s="13">
        <v>43818</v>
      </c>
      <c r="AE4192" s="12" t="s">
        <v>89</v>
      </c>
      <c r="AF4192" s="12" t="s">
        <v>12156</v>
      </c>
      <c r="AG4192" s="12" t="s">
        <v>81</v>
      </c>
      <c r="AH4192" s="1">
        <f>HYPERLINK("https://my.pitchbook.com?c=219331-36T","View Company Online")</f>
      </c>
    </row>
    <row r="4193">
      <c r="A4193" s="3" t="s">
        <v>20797</v>
      </c>
      <c r="B4193" s="3" t="s">
        <v>20798</v>
      </c>
      <c r="C4193" s="5">
        <v>1</v>
      </c>
      <c r="D4193" s="5">
        <v>9</v>
      </c>
      <c r="E4193" s="5">
        <v>4</v>
      </c>
      <c r="F4193" s="5">
        <v>10</v>
      </c>
      <c r="G4193" s="6" t="s">
        <v>683</v>
      </c>
      <c r="H4193" s="4">
        <v>14.17</v>
      </c>
      <c r="I4193" s="7">
        <v>4.36</v>
      </c>
      <c r="J4193" s="3" t="s">
        <v>521</v>
      </c>
      <c r="K4193" s="9" t="s">
        <v>36</v>
      </c>
      <c r="L4193" s="6" t="s">
        <v>36</v>
      </c>
      <c r="M4193" s="3" t="s">
        <v>36</v>
      </c>
      <c r="N4193" s="3" t="s">
        <v>36</v>
      </c>
      <c r="O4193" s="8" t="s">
        <v>36</v>
      </c>
      <c r="P4193" s="3" t="s">
        <v>36</v>
      </c>
      <c r="Q4193" s="3" t="s">
        <v>36</v>
      </c>
      <c r="R4193" s="3" t="s">
        <v>36</v>
      </c>
      <c r="S4193" s="3" t="s">
        <v>36</v>
      </c>
      <c r="T4193" s="3" t="s">
        <v>20799</v>
      </c>
      <c r="U4193" s="3" t="s">
        <v>619</v>
      </c>
      <c r="V4193" s="3" t="s">
        <v>378</v>
      </c>
      <c r="W4193" s="3" t="s">
        <v>20800</v>
      </c>
      <c r="X4193" s="10" t="s">
        <v>20801</v>
      </c>
      <c r="Y4193" s="6" t="s">
        <v>108</v>
      </c>
      <c r="Z4193" s="4">
        <v>0.49</v>
      </c>
      <c r="AA4193" s="4">
        <v>1.15</v>
      </c>
      <c r="AB4193" s="3" t="s">
        <v>43</v>
      </c>
      <c r="AC4193" s="3" t="s">
        <v>20802</v>
      </c>
      <c r="AD4193" s="9">
        <v>43818</v>
      </c>
      <c r="AE4193" s="3" t="s">
        <v>20803</v>
      </c>
      <c r="AF4193" s="3" t="s">
        <v>931</v>
      </c>
      <c r="AG4193" s="3" t="s">
        <v>20804</v>
      </c>
      <c r="AH4193" s="11">
        <f>HYPERLINK("https://my.pitchbook.com?c=180024-85T","View Company Online")</f>
      </c>
    </row>
    <row r="4194">
      <c r="A4194" s="12" t="s">
        <v>20805</v>
      </c>
      <c r="B4194" s="12" t="s">
        <v>20806</v>
      </c>
      <c r="C4194" s="19" t="s">
        <v>36</v>
      </c>
      <c r="D4194" s="19">
        <v>2</v>
      </c>
      <c r="E4194" s="19">
        <v>1</v>
      </c>
      <c r="F4194" s="19">
        <v>2</v>
      </c>
      <c r="G4194" s="15" t="s">
        <v>326</v>
      </c>
      <c r="H4194" s="14">
        <v>7936.25</v>
      </c>
      <c r="I4194" s="18">
        <v>31.06</v>
      </c>
      <c r="J4194" s="12" t="s">
        <v>521</v>
      </c>
      <c r="K4194" s="13" t="s">
        <v>36</v>
      </c>
      <c r="L4194" s="15" t="s">
        <v>36</v>
      </c>
      <c r="M4194" s="12" t="s">
        <v>36</v>
      </c>
      <c r="N4194" s="12" t="s">
        <v>36</v>
      </c>
      <c r="O4194" s="17" t="s">
        <v>36</v>
      </c>
      <c r="P4194" s="12" t="s">
        <v>36</v>
      </c>
      <c r="Q4194" s="12" t="s">
        <v>36</v>
      </c>
      <c r="R4194" s="12" t="s">
        <v>36</v>
      </c>
      <c r="S4194" s="12" t="s">
        <v>36</v>
      </c>
      <c r="T4194" s="12" t="s">
        <v>2241</v>
      </c>
      <c r="U4194" s="12" t="s">
        <v>318</v>
      </c>
      <c r="V4194" s="12" t="s">
        <v>39</v>
      </c>
      <c r="W4194" s="12" t="s">
        <v>20807</v>
      </c>
      <c r="X4194" s="16" t="s">
        <v>20808</v>
      </c>
      <c r="Y4194" s="15" t="s">
        <v>55</v>
      </c>
      <c r="Z4194" s="14">
        <v>7.75</v>
      </c>
      <c r="AA4194" s="14">
        <v>23.18</v>
      </c>
      <c r="AB4194" s="12" t="s">
        <v>43</v>
      </c>
      <c r="AC4194" s="12" t="s">
        <v>20809</v>
      </c>
      <c r="AD4194" s="13">
        <v>43818</v>
      </c>
      <c r="AE4194" s="12" t="s">
        <v>763</v>
      </c>
      <c r="AF4194" s="12" t="s">
        <v>8789</v>
      </c>
      <c r="AG4194" s="12" t="s">
        <v>144</v>
      </c>
      <c r="AH4194" s="1">
        <f>HYPERLINK("https://my.pitchbook.com?c=130029-22T","View Company Online")</f>
      </c>
    </row>
    <row r="4195">
      <c r="A4195" s="3" t="s">
        <v>20810</v>
      </c>
      <c r="B4195" s="3" t="s">
        <v>20811</v>
      </c>
      <c r="C4195" s="5" t="s">
        <v>36</v>
      </c>
      <c r="D4195" s="5" t="s">
        <v>36</v>
      </c>
      <c r="E4195" s="5" t="s">
        <v>36</v>
      </c>
      <c r="F4195" s="5" t="s">
        <v>36</v>
      </c>
      <c r="G4195" s="6" t="s">
        <v>326</v>
      </c>
      <c r="H4195" s="4">
        <v>108.84</v>
      </c>
      <c r="I4195" s="7">
        <v>11.55</v>
      </c>
      <c r="J4195" s="3" t="s">
        <v>521</v>
      </c>
      <c r="K4195" s="9" t="s">
        <v>36</v>
      </c>
      <c r="L4195" s="6" t="s">
        <v>36</v>
      </c>
      <c r="M4195" s="3" t="s">
        <v>36</v>
      </c>
      <c r="N4195" s="3" t="s">
        <v>36</v>
      </c>
      <c r="O4195" s="8" t="s">
        <v>36</v>
      </c>
      <c r="P4195" s="3" t="s">
        <v>36</v>
      </c>
      <c r="Q4195" s="3" t="s">
        <v>36</v>
      </c>
      <c r="R4195" s="3" t="s">
        <v>36</v>
      </c>
      <c r="S4195" s="3" t="s">
        <v>36</v>
      </c>
      <c r="T4195" s="3" t="s">
        <v>1701</v>
      </c>
      <c r="U4195" s="3" t="s">
        <v>74</v>
      </c>
      <c r="V4195" s="3" t="s">
        <v>75</v>
      </c>
      <c r="W4195" s="3" t="s">
        <v>20812</v>
      </c>
      <c r="X4195" s="10" t="s">
        <v>20813</v>
      </c>
      <c r="Y4195" s="6" t="s">
        <v>108</v>
      </c>
      <c r="Z4195" s="4">
        <v>0.26</v>
      </c>
      <c r="AA4195" s="4">
        <v>2.2</v>
      </c>
      <c r="AB4195" s="3" t="s">
        <v>56</v>
      </c>
      <c r="AC4195" s="3" t="s">
        <v>20814</v>
      </c>
      <c r="AD4195" s="9">
        <v>43818</v>
      </c>
      <c r="AE4195" s="3" t="s">
        <v>79</v>
      </c>
      <c r="AF4195" s="3" t="s">
        <v>1401</v>
      </c>
      <c r="AG4195" s="3" t="s">
        <v>81</v>
      </c>
      <c r="AH4195" s="11">
        <f>HYPERLINK("https://my.pitchbook.com?c=133573-42T","View Company Online")</f>
      </c>
    </row>
    <row r="4196">
      <c r="A4196" s="12" t="s">
        <v>20815</v>
      </c>
      <c r="B4196" s="12" t="s">
        <v>20816</v>
      </c>
      <c r="C4196" s="19" t="s">
        <v>36</v>
      </c>
      <c r="D4196" s="19" t="s">
        <v>36</v>
      </c>
      <c r="E4196" s="19" t="s">
        <v>36</v>
      </c>
      <c r="F4196" s="19" t="s">
        <v>36</v>
      </c>
      <c r="G4196" s="15" t="s">
        <v>36</v>
      </c>
      <c r="H4196" s="14">
        <v>103.83</v>
      </c>
      <c r="I4196" s="18">
        <v>20</v>
      </c>
      <c r="J4196" s="12" t="s">
        <v>521</v>
      </c>
      <c r="K4196" s="13" t="s">
        <v>36</v>
      </c>
      <c r="L4196" s="15" t="s">
        <v>36</v>
      </c>
      <c r="M4196" s="12" t="s">
        <v>36</v>
      </c>
      <c r="N4196" s="12" t="s">
        <v>36</v>
      </c>
      <c r="O4196" s="17" t="s">
        <v>36</v>
      </c>
      <c r="P4196" s="12" t="s">
        <v>36</v>
      </c>
      <c r="Q4196" s="12" t="s">
        <v>36</v>
      </c>
      <c r="R4196" s="12" t="s">
        <v>36</v>
      </c>
      <c r="S4196" s="12" t="s">
        <v>36</v>
      </c>
      <c r="T4196" s="12" t="s">
        <v>20817</v>
      </c>
      <c r="U4196" s="12" t="s">
        <v>423</v>
      </c>
      <c r="V4196" s="12" t="s">
        <v>64</v>
      </c>
      <c r="W4196" s="12" t="s">
        <v>20818</v>
      </c>
      <c r="X4196" s="16" t="s">
        <v>560</v>
      </c>
      <c r="Y4196" s="15" t="s">
        <v>42</v>
      </c>
      <c r="Z4196" s="14">
        <v>2.21</v>
      </c>
      <c r="AA4196" s="14">
        <v>11.07</v>
      </c>
      <c r="AB4196" s="12" t="s">
        <v>56</v>
      </c>
      <c r="AC4196" s="12" t="s">
        <v>20819</v>
      </c>
      <c r="AD4196" s="13">
        <v>43817</v>
      </c>
      <c r="AE4196" s="12" t="s">
        <v>1051</v>
      </c>
      <c r="AF4196" s="12" t="s">
        <v>90</v>
      </c>
      <c r="AG4196" s="12" t="s">
        <v>20820</v>
      </c>
      <c r="AH4196" s="1">
        <f>HYPERLINK("https://my.pitchbook.com?c=159957-73T","View Company Online")</f>
      </c>
    </row>
    <row r="4197">
      <c r="A4197" s="3" t="s">
        <v>20821</v>
      </c>
      <c r="B4197" s="3" t="s">
        <v>20822</v>
      </c>
      <c r="C4197" s="5" t="s">
        <v>36</v>
      </c>
      <c r="D4197" s="5" t="s">
        <v>36</v>
      </c>
      <c r="E4197" s="5" t="s">
        <v>36</v>
      </c>
      <c r="F4197" s="5" t="s">
        <v>36</v>
      </c>
      <c r="G4197" s="6" t="s">
        <v>36</v>
      </c>
      <c r="H4197" s="4">
        <v>57.12</v>
      </c>
      <c r="I4197" s="7">
        <v>21.45</v>
      </c>
      <c r="J4197" s="3" t="s">
        <v>521</v>
      </c>
      <c r="K4197" s="9" t="s">
        <v>36</v>
      </c>
      <c r="L4197" s="6" t="s">
        <v>36</v>
      </c>
      <c r="M4197" s="3" t="s">
        <v>36</v>
      </c>
      <c r="N4197" s="3" t="s">
        <v>36</v>
      </c>
      <c r="O4197" s="8" t="s">
        <v>36</v>
      </c>
      <c r="P4197" s="3" t="s">
        <v>36</v>
      </c>
      <c r="Q4197" s="3" t="s">
        <v>36</v>
      </c>
      <c r="R4197" s="3" t="s">
        <v>36</v>
      </c>
      <c r="S4197" s="3" t="s">
        <v>1461</v>
      </c>
      <c r="T4197" s="3" t="s">
        <v>20823</v>
      </c>
      <c r="U4197" s="3" t="s">
        <v>63</v>
      </c>
      <c r="V4197" s="3" t="s">
        <v>64</v>
      </c>
      <c r="W4197" s="3" t="s">
        <v>20824</v>
      </c>
      <c r="X4197" s="10" t="s">
        <v>20825</v>
      </c>
      <c r="Y4197" s="6" t="s">
        <v>42</v>
      </c>
      <c r="Z4197" s="4">
        <v>0.33</v>
      </c>
      <c r="AA4197" s="4">
        <v>0.77</v>
      </c>
      <c r="AB4197" s="3" t="s">
        <v>43</v>
      </c>
      <c r="AC4197" s="3" t="s">
        <v>20826</v>
      </c>
      <c r="AD4197" s="9">
        <v>43816</v>
      </c>
      <c r="AE4197" s="3" t="s">
        <v>4310</v>
      </c>
      <c r="AF4197" s="3" t="s">
        <v>36</v>
      </c>
      <c r="AG4197" s="3" t="s">
        <v>16271</v>
      </c>
      <c r="AH4197" s="11">
        <f>HYPERLINK("https://my.pitchbook.com?c=133737-13T","View Company Online")</f>
      </c>
    </row>
    <row r="4198">
      <c r="A4198" s="12" t="s">
        <v>20827</v>
      </c>
      <c r="B4198" s="12" t="s">
        <v>9197</v>
      </c>
      <c r="C4198" s="19" t="s">
        <v>36</v>
      </c>
      <c r="D4198" s="19">
        <v>6</v>
      </c>
      <c r="E4198" s="19">
        <v>2</v>
      </c>
      <c r="F4198" s="19">
        <v>6</v>
      </c>
      <c r="G4198" s="15" t="s">
        <v>36</v>
      </c>
      <c r="H4198" s="14">
        <v>53.78</v>
      </c>
      <c r="I4198" s="18">
        <v>16</v>
      </c>
      <c r="J4198" s="12" t="s">
        <v>521</v>
      </c>
      <c r="K4198" s="13" t="s">
        <v>36</v>
      </c>
      <c r="L4198" s="15" t="s">
        <v>36</v>
      </c>
      <c r="M4198" s="12" t="s">
        <v>36</v>
      </c>
      <c r="N4198" s="12" t="s">
        <v>36</v>
      </c>
      <c r="O4198" s="17" t="s">
        <v>36</v>
      </c>
      <c r="P4198" s="12" t="s">
        <v>36</v>
      </c>
      <c r="Q4198" s="12" t="s">
        <v>36</v>
      </c>
      <c r="R4198" s="12" t="s">
        <v>36</v>
      </c>
      <c r="S4198" s="12" t="s">
        <v>36</v>
      </c>
      <c r="T4198" s="12" t="s">
        <v>9198</v>
      </c>
      <c r="U4198" s="12" t="s">
        <v>318</v>
      </c>
      <c r="V4198" s="12" t="s">
        <v>39</v>
      </c>
      <c r="W4198" s="12" t="s">
        <v>9199</v>
      </c>
      <c r="X4198" s="16" t="s">
        <v>20828</v>
      </c>
      <c r="Y4198" s="15" t="s">
        <v>42</v>
      </c>
      <c r="Z4198" s="14">
        <v>1.59</v>
      </c>
      <c r="AA4198" s="14">
        <v>9.95</v>
      </c>
      <c r="AB4198" s="12" t="s">
        <v>43</v>
      </c>
      <c r="AC4198" s="12" t="s">
        <v>9201</v>
      </c>
      <c r="AD4198" s="13">
        <v>43815</v>
      </c>
      <c r="AE4198" s="12" t="s">
        <v>417</v>
      </c>
      <c r="AF4198" s="12" t="s">
        <v>5236</v>
      </c>
      <c r="AG4198" s="12" t="s">
        <v>3595</v>
      </c>
      <c r="AH4198" s="1">
        <f>HYPERLINK("https://my.pitchbook.com?c=135820-72T","View Company Online")</f>
      </c>
    </row>
    <row r="4199">
      <c r="A4199" s="3" t="s">
        <v>20829</v>
      </c>
      <c r="B4199" s="3" t="s">
        <v>20830</v>
      </c>
      <c r="C4199" s="5">
        <v>4</v>
      </c>
      <c r="D4199" s="5">
        <v>16</v>
      </c>
      <c r="E4199" s="5">
        <v>2</v>
      </c>
      <c r="F4199" s="5">
        <v>21</v>
      </c>
      <c r="G4199" s="6" t="s">
        <v>36</v>
      </c>
      <c r="H4199" s="4" t="s">
        <v>36</v>
      </c>
      <c r="I4199" s="7" t="s">
        <v>36</v>
      </c>
      <c r="J4199" s="3" t="s">
        <v>36</v>
      </c>
      <c r="K4199" s="9" t="s">
        <v>36</v>
      </c>
      <c r="L4199" s="6" t="s">
        <v>36</v>
      </c>
      <c r="M4199" s="3" t="s">
        <v>36</v>
      </c>
      <c r="N4199" s="3" t="s">
        <v>36</v>
      </c>
      <c r="O4199" s="8" t="s">
        <v>36</v>
      </c>
      <c r="P4199" s="3" t="s">
        <v>36</v>
      </c>
      <c r="Q4199" s="3" t="s">
        <v>36</v>
      </c>
      <c r="R4199" s="3" t="s">
        <v>36</v>
      </c>
      <c r="S4199" s="3" t="s">
        <v>36</v>
      </c>
      <c r="T4199" s="3" t="s">
        <v>881</v>
      </c>
      <c r="U4199" s="3" t="s">
        <v>51</v>
      </c>
      <c r="V4199" s="3" t="s">
        <v>52</v>
      </c>
      <c r="W4199" s="3" t="s">
        <v>20831</v>
      </c>
      <c r="X4199" s="10" t="s">
        <v>20832</v>
      </c>
      <c r="Y4199" s="6" t="s">
        <v>166</v>
      </c>
      <c r="Z4199" s="4">
        <v>12.16</v>
      </c>
      <c r="AA4199" s="4" t="s">
        <v>36</v>
      </c>
      <c r="AB4199" s="3" t="s">
        <v>56</v>
      </c>
      <c r="AC4199" s="3" t="s">
        <v>20833</v>
      </c>
      <c r="AD4199" s="9">
        <v>43812</v>
      </c>
      <c r="AE4199" s="3" t="s">
        <v>504</v>
      </c>
      <c r="AF4199" s="3" t="s">
        <v>2858</v>
      </c>
      <c r="AG4199" s="3" t="s">
        <v>102</v>
      </c>
      <c r="AH4199" s="11">
        <f>HYPERLINK("https://my.pitchbook.com?c=128245-33T","View Company Online")</f>
      </c>
    </row>
    <row r="4200">
      <c r="A4200" s="12" t="s">
        <v>20834</v>
      </c>
      <c r="B4200" s="12" t="s">
        <v>20835</v>
      </c>
      <c r="C4200" s="19">
        <v>3</v>
      </c>
      <c r="D4200" s="19">
        <v>7</v>
      </c>
      <c r="E4200" s="19">
        <v>5</v>
      </c>
      <c r="F4200" s="19">
        <v>14</v>
      </c>
      <c r="G4200" s="15" t="s">
        <v>36</v>
      </c>
      <c r="H4200" s="14">
        <v>31.97</v>
      </c>
      <c r="I4200" s="18">
        <v>16.67</v>
      </c>
      <c r="J4200" s="12" t="s">
        <v>521</v>
      </c>
      <c r="K4200" s="13" t="s">
        <v>36</v>
      </c>
      <c r="L4200" s="15" t="s">
        <v>36</v>
      </c>
      <c r="M4200" s="12" t="s">
        <v>36</v>
      </c>
      <c r="N4200" s="12" t="s">
        <v>36</v>
      </c>
      <c r="O4200" s="17" t="s">
        <v>36</v>
      </c>
      <c r="P4200" s="12" t="s">
        <v>36</v>
      </c>
      <c r="Q4200" s="12" t="s">
        <v>36</v>
      </c>
      <c r="R4200" s="12" t="s">
        <v>36</v>
      </c>
      <c r="S4200" s="12" t="s">
        <v>36</v>
      </c>
      <c r="T4200" s="12" t="s">
        <v>20836</v>
      </c>
      <c r="U4200" s="12" t="s">
        <v>96</v>
      </c>
      <c r="V4200" s="12" t="s">
        <v>52</v>
      </c>
      <c r="W4200" s="12" t="s">
        <v>20837</v>
      </c>
      <c r="X4200" s="16" t="s">
        <v>7209</v>
      </c>
      <c r="Y4200" s="15" t="s">
        <v>42</v>
      </c>
      <c r="Z4200" s="14">
        <v>1.55</v>
      </c>
      <c r="AA4200" s="14">
        <v>6.63</v>
      </c>
      <c r="AB4200" s="12" t="s">
        <v>43</v>
      </c>
      <c r="AC4200" s="12" t="s">
        <v>20838</v>
      </c>
      <c r="AD4200" s="13">
        <v>43812</v>
      </c>
      <c r="AE4200" s="12" t="s">
        <v>12392</v>
      </c>
      <c r="AF4200" s="12" t="s">
        <v>20839</v>
      </c>
      <c r="AG4200" s="12" t="s">
        <v>81</v>
      </c>
      <c r="AH4200" s="1">
        <f>HYPERLINK("https://my.pitchbook.com?c=128425-96T","View Company Online")</f>
      </c>
    </row>
    <row r="4201">
      <c r="A4201" s="3" t="s">
        <v>20840</v>
      </c>
      <c r="B4201" s="3" t="s">
        <v>20841</v>
      </c>
      <c r="C4201" s="5">
        <v>3</v>
      </c>
      <c r="D4201" s="5" t="s">
        <v>36</v>
      </c>
      <c r="E4201" s="5">
        <v>2</v>
      </c>
      <c r="F4201" s="5">
        <v>5</v>
      </c>
      <c r="G4201" s="6" t="s">
        <v>683</v>
      </c>
      <c r="H4201" s="4">
        <v>8.96</v>
      </c>
      <c r="I4201" s="7">
        <v>46.8</v>
      </c>
      <c r="J4201" s="3" t="s">
        <v>521</v>
      </c>
      <c r="K4201" s="9" t="s">
        <v>36</v>
      </c>
      <c r="L4201" s="6" t="s">
        <v>94</v>
      </c>
      <c r="M4201" s="3" t="s">
        <v>36</v>
      </c>
      <c r="N4201" s="3" t="s">
        <v>94</v>
      </c>
      <c r="O4201" s="8" t="s">
        <v>36</v>
      </c>
      <c r="P4201" s="3" t="s">
        <v>36</v>
      </c>
      <c r="Q4201" s="3" t="s">
        <v>36</v>
      </c>
      <c r="R4201" s="3" t="s">
        <v>36</v>
      </c>
      <c r="S4201" s="3" t="s">
        <v>36</v>
      </c>
      <c r="T4201" s="3" t="s">
        <v>5401</v>
      </c>
      <c r="U4201" s="3" t="s">
        <v>38</v>
      </c>
      <c r="V4201" s="3" t="s">
        <v>39</v>
      </c>
      <c r="W4201" s="3" t="s">
        <v>20842</v>
      </c>
      <c r="X4201" s="10" t="s">
        <v>20843</v>
      </c>
      <c r="Y4201" s="6" t="s">
        <v>55</v>
      </c>
      <c r="Z4201" s="4">
        <v>15.48</v>
      </c>
      <c r="AA4201" s="4">
        <v>28.63</v>
      </c>
      <c r="AB4201" s="3" t="s">
        <v>56</v>
      </c>
      <c r="AC4201" s="3" t="s">
        <v>20844</v>
      </c>
      <c r="AD4201" s="9">
        <v>43812</v>
      </c>
      <c r="AE4201" s="3" t="s">
        <v>110</v>
      </c>
      <c r="AF4201" s="3" t="s">
        <v>16365</v>
      </c>
      <c r="AG4201" s="3" t="s">
        <v>81</v>
      </c>
      <c r="AH4201" s="11">
        <f>HYPERLINK("https://my.pitchbook.com?c=128160-82T","View Company Online")</f>
      </c>
    </row>
    <row r="4202">
      <c r="A4202" s="12" t="s">
        <v>20845</v>
      </c>
      <c r="B4202" s="12" t="s">
        <v>20846</v>
      </c>
      <c r="C4202" s="19" t="s">
        <v>36</v>
      </c>
      <c r="D4202" s="19" t="s">
        <v>36</v>
      </c>
      <c r="E4202" s="19" t="s">
        <v>36</v>
      </c>
      <c r="F4202" s="19" t="s">
        <v>36</v>
      </c>
      <c r="G4202" s="15" t="s">
        <v>36</v>
      </c>
      <c r="H4202" s="14" t="s">
        <v>36</v>
      </c>
      <c r="I4202" s="18" t="s">
        <v>36</v>
      </c>
      <c r="J4202" s="12" t="s">
        <v>36</v>
      </c>
      <c r="K4202" s="13" t="s">
        <v>36</v>
      </c>
      <c r="L4202" s="15" t="s">
        <v>36</v>
      </c>
      <c r="M4202" s="12" t="s">
        <v>36</v>
      </c>
      <c r="N4202" s="12" t="s">
        <v>36</v>
      </c>
      <c r="O4202" s="17" t="s">
        <v>36</v>
      </c>
      <c r="P4202" s="12" t="s">
        <v>36</v>
      </c>
      <c r="Q4202" s="12" t="s">
        <v>36</v>
      </c>
      <c r="R4202" s="12" t="s">
        <v>36</v>
      </c>
      <c r="S4202" s="12" t="s">
        <v>36</v>
      </c>
      <c r="T4202" s="12" t="s">
        <v>37</v>
      </c>
      <c r="U4202" s="12" t="s">
        <v>38</v>
      </c>
      <c r="V4202" s="12" t="s">
        <v>39</v>
      </c>
      <c r="W4202" s="12" t="s">
        <v>20847</v>
      </c>
      <c r="X4202" s="16" t="s">
        <v>20848</v>
      </c>
      <c r="Y4202" s="15" t="s">
        <v>42</v>
      </c>
      <c r="Z4202" s="14">
        <v>0.1</v>
      </c>
      <c r="AA4202" s="14" t="s">
        <v>36</v>
      </c>
      <c r="AB4202" s="12" t="s">
        <v>43</v>
      </c>
      <c r="AC4202" s="12" t="s">
        <v>20849</v>
      </c>
      <c r="AD4202" s="13">
        <v>43812</v>
      </c>
      <c r="AE4202" s="12" t="s">
        <v>45</v>
      </c>
      <c r="AF4202" s="12" t="s">
        <v>13922</v>
      </c>
      <c r="AG4202" s="12" t="s">
        <v>81</v>
      </c>
      <c r="AH4202" s="1">
        <f>HYPERLINK("https://my.pitchbook.com?c=190036-27T","View Company Online")</f>
      </c>
    </row>
    <row r="4203">
      <c r="A4203" s="3" t="s">
        <v>20850</v>
      </c>
      <c r="B4203" s="3" t="s">
        <v>20851</v>
      </c>
      <c r="C4203" s="5" t="s">
        <v>36</v>
      </c>
      <c r="D4203" s="5" t="s">
        <v>36</v>
      </c>
      <c r="E4203" s="5" t="s">
        <v>36</v>
      </c>
      <c r="F4203" s="5" t="s">
        <v>36</v>
      </c>
      <c r="G4203" s="6" t="s">
        <v>36</v>
      </c>
      <c r="H4203" s="4">
        <v>725.19</v>
      </c>
      <c r="I4203" s="7">
        <v>21.72</v>
      </c>
      <c r="J4203" s="3" t="s">
        <v>521</v>
      </c>
      <c r="K4203" s="9" t="s">
        <v>36</v>
      </c>
      <c r="L4203" s="6" t="s">
        <v>36</v>
      </c>
      <c r="M4203" s="3" t="s">
        <v>36</v>
      </c>
      <c r="N4203" s="3" t="s">
        <v>36</v>
      </c>
      <c r="O4203" s="8" t="s">
        <v>36</v>
      </c>
      <c r="P4203" s="3" t="s">
        <v>36</v>
      </c>
      <c r="Q4203" s="3" t="s">
        <v>36</v>
      </c>
      <c r="R4203" s="3" t="s">
        <v>36</v>
      </c>
      <c r="S4203" s="3" t="s">
        <v>36</v>
      </c>
      <c r="T4203" s="3" t="s">
        <v>1162</v>
      </c>
      <c r="U4203" s="3" t="s">
        <v>423</v>
      </c>
      <c r="V4203" s="3" t="s">
        <v>64</v>
      </c>
      <c r="W4203" s="3" t="s">
        <v>20852</v>
      </c>
      <c r="X4203" s="10" t="s">
        <v>20853</v>
      </c>
      <c r="Y4203" s="6" t="s">
        <v>55</v>
      </c>
      <c r="Z4203" s="4">
        <v>3.55</v>
      </c>
      <c r="AA4203" s="4">
        <v>16.35</v>
      </c>
      <c r="AB4203" s="3" t="s">
        <v>56</v>
      </c>
      <c r="AC4203" s="3" t="s">
        <v>20854</v>
      </c>
      <c r="AD4203" s="9">
        <v>43812</v>
      </c>
      <c r="AE4203" s="3" t="s">
        <v>562</v>
      </c>
      <c r="AF4203" s="3" t="s">
        <v>7222</v>
      </c>
      <c r="AG4203" s="3" t="s">
        <v>47</v>
      </c>
      <c r="AH4203" s="11">
        <f>HYPERLINK("https://my.pitchbook.com?c=133766-20T","View Company Online")</f>
      </c>
    </row>
    <row r="4204">
      <c r="A4204" s="12" t="s">
        <v>20855</v>
      </c>
      <c r="B4204" s="12" t="s">
        <v>20856</v>
      </c>
      <c r="C4204" s="19" t="s">
        <v>36</v>
      </c>
      <c r="D4204" s="19" t="s">
        <v>36</v>
      </c>
      <c r="E4204" s="19">
        <v>1</v>
      </c>
      <c r="F4204" s="19">
        <v>1</v>
      </c>
      <c r="G4204" s="15" t="s">
        <v>36</v>
      </c>
      <c r="H4204" s="14" t="s">
        <v>36</v>
      </c>
      <c r="I4204" s="18" t="s">
        <v>36</v>
      </c>
      <c r="J4204" s="12" t="s">
        <v>36</v>
      </c>
      <c r="K4204" s="13" t="s">
        <v>36</v>
      </c>
      <c r="L4204" s="15" t="s">
        <v>36</v>
      </c>
      <c r="M4204" s="12" t="s">
        <v>36</v>
      </c>
      <c r="N4204" s="12" t="s">
        <v>36</v>
      </c>
      <c r="O4204" s="17" t="s">
        <v>36</v>
      </c>
      <c r="P4204" s="12" t="s">
        <v>36</v>
      </c>
      <c r="Q4204" s="12" t="s">
        <v>36</v>
      </c>
      <c r="R4204" s="12" t="s">
        <v>36</v>
      </c>
      <c r="S4204" s="12" t="s">
        <v>36</v>
      </c>
      <c r="T4204" s="12" t="s">
        <v>522</v>
      </c>
      <c r="U4204" s="12" t="s">
        <v>38</v>
      </c>
      <c r="V4204" s="12" t="s">
        <v>39</v>
      </c>
      <c r="W4204" s="12" t="s">
        <v>20857</v>
      </c>
      <c r="X4204" s="16" t="s">
        <v>20858</v>
      </c>
      <c r="Y4204" s="15" t="s">
        <v>192</v>
      </c>
      <c r="Z4204" s="14" t="s">
        <v>36</v>
      </c>
      <c r="AA4204" s="14" t="s">
        <v>36</v>
      </c>
      <c r="AB4204" s="12" t="s">
        <v>43</v>
      </c>
      <c r="AC4204" s="12" t="s">
        <v>20859</v>
      </c>
      <c r="AD4204" s="13">
        <v>43811</v>
      </c>
      <c r="AE4204" s="12" t="s">
        <v>110</v>
      </c>
      <c r="AF4204" s="12" t="s">
        <v>905</v>
      </c>
      <c r="AG4204" s="12" t="s">
        <v>81</v>
      </c>
      <c r="AH4204" s="1">
        <f>HYPERLINK("https://my.pitchbook.com?c=168995-26T","View Company Online")</f>
      </c>
    </row>
    <row r="4205">
      <c r="A4205" s="3" t="s">
        <v>20860</v>
      </c>
      <c r="B4205" s="3" t="s">
        <v>20861</v>
      </c>
      <c r="C4205" s="5" t="s">
        <v>36</v>
      </c>
      <c r="D4205" s="5" t="s">
        <v>36</v>
      </c>
      <c r="E4205" s="5" t="s">
        <v>36</v>
      </c>
      <c r="F4205" s="5" t="s">
        <v>36</v>
      </c>
      <c r="G4205" s="6" t="s">
        <v>326</v>
      </c>
      <c r="H4205" s="4">
        <v>1138.78</v>
      </c>
      <c r="I4205" s="7">
        <v>25.29</v>
      </c>
      <c r="J4205" s="3" t="s">
        <v>521</v>
      </c>
      <c r="K4205" s="9" t="s">
        <v>36</v>
      </c>
      <c r="L4205" s="6" t="s">
        <v>36</v>
      </c>
      <c r="M4205" s="3" t="s">
        <v>36</v>
      </c>
      <c r="N4205" s="3" t="s">
        <v>36</v>
      </c>
      <c r="O4205" s="8" t="s">
        <v>36</v>
      </c>
      <c r="P4205" s="3" t="s">
        <v>36</v>
      </c>
      <c r="Q4205" s="3" t="s">
        <v>36</v>
      </c>
      <c r="R4205" s="3" t="s">
        <v>36</v>
      </c>
      <c r="S4205" s="3" t="s">
        <v>11233</v>
      </c>
      <c r="T4205" s="3" t="s">
        <v>1596</v>
      </c>
      <c r="U4205" s="3" t="s">
        <v>728</v>
      </c>
      <c r="V4205" s="3" t="s">
        <v>64</v>
      </c>
      <c r="W4205" s="3" t="s">
        <v>20862</v>
      </c>
      <c r="X4205" s="10" t="s">
        <v>20863</v>
      </c>
      <c r="Y4205" s="6" t="s">
        <v>108</v>
      </c>
      <c r="Z4205" s="4">
        <v>0.56</v>
      </c>
      <c r="AA4205" s="4">
        <v>2.22</v>
      </c>
      <c r="AB4205" s="3" t="s">
        <v>56</v>
      </c>
      <c r="AC4205" s="3" t="s">
        <v>20864</v>
      </c>
      <c r="AD4205" s="9">
        <v>43811</v>
      </c>
      <c r="AE4205" s="3" t="s">
        <v>1600</v>
      </c>
      <c r="AF4205" s="3" t="s">
        <v>20865</v>
      </c>
      <c r="AG4205" s="3" t="s">
        <v>47</v>
      </c>
      <c r="AH4205" s="11">
        <f>HYPERLINK("https://my.pitchbook.com?c=181410-58T","View Company Online")</f>
      </c>
    </row>
    <row r="4206">
      <c r="A4206" s="12" t="s">
        <v>20866</v>
      </c>
      <c r="B4206" s="12" t="s">
        <v>20867</v>
      </c>
      <c r="C4206" s="19" t="s">
        <v>36</v>
      </c>
      <c r="D4206" s="19">
        <v>2</v>
      </c>
      <c r="E4206" s="19">
        <v>1</v>
      </c>
      <c r="F4206" s="19">
        <v>2</v>
      </c>
      <c r="G4206" s="15" t="s">
        <v>326</v>
      </c>
      <c r="H4206" s="14">
        <v>903.67</v>
      </c>
      <c r="I4206" s="18">
        <v>29.64</v>
      </c>
      <c r="J4206" s="12" t="s">
        <v>521</v>
      </c>
      <c r="K4206" s="13" t="s">
        <v>36</v>
      </c>
      <c r="L4206" s="15" t="s">
        <v>36</v>
      </c>
      <c r="M4206" s="12" t="s">
        <v>36</v>
      </c>
      <c r="N4206" s="12" t="s">
        <v>36</v>
      </c>
      <c r="O4206" s="17" t="s">
        <v>36</v>
      </c>
      <c r="P4206" s="12" t="s">
        <v>36</v>
      </c>
      <c r="Q4206" s="12" t="s">
        <v>36</v>
      </c>
      <c r="R4206" s="12" t="s">
        <v>36</v>
      </c>
      <c r="S4206" s="12" t="s">
        <v>36</v>
      </c>
      <c r="T4206" s="12" t="s">
        <v>20868</v>
      </c>
      <c r="U4206" s="12" t="s">
        <v>1357</v>
      </c>
      <c r="V4206" s="12" t="s">
        <v>52</v>
      </c>
      <c r="W4206" s="12" t="s">
        <v>20869</v>
      </c>
      <c r="X4206" s="16" t="s">
        <v>18222</v>
      </c>
      <c r="Y4206" s="15" t="s">
        <v>108</v>
      </c>
      <c r="Z4206" s="14">
        <v>0.66</v>
      </c>
      <c r="AA4206" s="14">
        <v>2.21</v>
      </c>
      <c r="AB4206" s="12" t="s">
        <v>43</v>
      </c>
      <c r="AC4206" s="12" t="s">
        <v>20870</v>
      </c>
      <c r="AD4206" s="13">
        <v>43811</v>
      </c>
      <c r="AE4206" s="12" t="s">
        <v>3204</v>
      </c>
      <c r="AF4206" s="12" t="s">
        <v>20871</v>
      </c>
      <c r="AG4206" s="12" t="s">
        <v>186</v>
      </c>
      <c r="AH4206" s="1">
        <f>HYPERLINK("https://my.pitchbook.com?c=138447-19T","View Company Online")</f>
      </c>
    </row>
    <row r="4207">
      <c r="A4207" s="3" t="s">
        <v>20872</v>
      </c>
      <c r="B4207" s="3" t="s">
        <v>2301</v>
      </c>
      <c r="C4207" s="5">
        <v>2</v>
      </c>
      <c r="D4207" s="5" t="s">
        <v>36</v>
      </c>
      <c r="E4207" s="5">
        <v>1</v>
      </c>
      <c r="F4207" s="5">
        <v>2</v>
      </c>
      <c r="G4207" s="6" t="s">
        <v>36</v>
      </c>
      <c r="H4207" s="4">
        <v>29.98</v>
      </c>
      <c r="I4207" s="7">
        <v>48.91</v>
      </c>
      <c r="J4207" s="3" t="s">
        <v>521</v>
      </c>
      <c r="K4207" s="9" t="s">
        <v>36</v>
      </c>
      <c r="L4207" s="6" t="s">
        <v>122</v>
      </c>
      <c r="M4207" s="3" t="s">
        <v>36</v>
      </c>
      <c r="N4207" s="3" t="s">
        <v>122</v>
      </c>
      <c r="O4207" s="8" t="s">
        <v>36</v>
      </c>
      <c r="P4207" s="3" t="s">
        <v>3530</v>
      </c>
      <c r="Q4207" s="3" t="s">
        <v>3530</v>
      </c>
      <c r="R4207" s="3" t="s">
        <v>3531</v>
      </c>
      <c r="S4207" s="3" t="s">
        <v>2302</v>
      </c>
      <c r="T4207" s="3" t="s">
        <v>1344</v>
      </c>
      <c r="U4207" s="3" t="s">
        <v>38</v>
      </c>
      <c r="V4207" s="3" t="s">
        <v>39</v>
      </c>
      <c r="W4207" s="3" t="s">
        <v>2303</v>
      </c>
      <c r="X4207" s="10" t="s">
        <v>20873</v>
      </c>
      <c r="Y4207" s="6" t="s">
        <v>42</v>
      </c>
      <c r="Z4207" s="4">
        <v>19.71</v>
      </c>
      <c r="AA4207" s="4">
        <v>79.71</v>
      </c>
      <c r="AB4207" s="3" t="s">
        <v>43</v>
      </c>
      <c r="AC4207" s="3" t="s">
        <v>2305</v>
      </c>
      <c r="AD4207" s="9">
        <v>43811</v>
      </c>
      <c r="AE4207" s="3" t="s">
        <v>110</v>
      </c>
      <c r="AF4207" s="3" t="s">
        <v>111</v>
      </c>
      <c r="AG4207" s="3" t="s">
        <v>81</v>
      </c>
      <c r="AH4207" s="11">
        <f>HYPERLINK("https://my.pitchbook.com?c=128044-27T","View Company Online")</f>
      </c>
    </row>
    <row r="4208">
      <c r="A4208" s="12" t="s">
        <v>20874</v>
      </c>
      <c r="B4208" s="12" t="s">
        <v>20875</v>
      </c>
      <c r="C4208" s="19" t="s">
        <v>36</v>
      </c>
      <c r="D4208" s="19" t="s">
        <v>36</v>
      </c>
      <c r="E4208" s="19" t="s">
        <v>36</v>
      </c>
      <c r="F4208" s="19" t="s">
        <v>36</v>
      </c>
      <c r="G4208" s="15" t="s">
        <v>2497</v>
      </c>
      <c r="H4208" s="14" t="s">
        <v>36</v>
      </c>
      <c r="I4208" s="18">
        <v>28.16</v>
      </c>
      <c r="J4208" s="12" t="s">
        <v>327</v>
      </c>
      <c r="K4208" s="13" t="s">
        <v>36</v>
      </c>
      <c r="L4208" s="15" t="s">
        <v>36</v>
      </c>
      <c r="M4208" s="12" t="s">
        <v>36</v>
      </c>
      <c r="N4208" s="12" t="s">
        <v>36</v>
      </c>
      <c r="O4208" s="17" t="s">
        <v>36</v>
      </c>
      <c r="P4208" s="12" t="s">
        <v>36</v>
      </c>
      <c r="Q4208" s="12" t="s">
        <v>36</v>
      </c>
      <c r="R4208" s="12" t="s">
        <v>36</v>
      </c>
      <c r="S4208" s="12" t="s">
        <v>36</v>
      </c>
      <c r="T4208" s="12" t="s">
        <v>20876</v>
      </c>
      <c r="U4208" s="12" t="s">
        <v>233</v>
      </c>
      <c r="V4208" s="12" t="s">
        <v>39</v>
      </c>
      <c r="W4208" s="12" t="s">
        <v>20877</v>
      </c>
      <c r="X4208" s="16" t="s">
        <v>20878</v>
      </c>
      <c r="Y4208" s="15" t="s">
        <v>42</v>
      </c>
      <c r="Z4208" s="14">
        <v>0.55</v>
      </c>
      <c r="AA4208" s="14">
        <v>1.96</v>
      </c>
      <c r="AB4208" s="12" t="s">
        <v>56</v>
      </c>
      <c r="AC4208" s="12" t="s">
        <v>20879</v>
      </c>
      <c r="AD4208" s="13">
        <v>43811</v>
      </c>
      <c r="AE4208" s="12" t="s">
        <v>236</v>
      </c>
      <c r="AF4208" s="12" t="s">
        <v>4284</v>
      </c>
      <c r="AG4208" s="12" t="s">
        <v>20880</v>
      </c>
      <c r="AH4208" s="1">
        <f>HYPERLINK("https://my.pitchbook.com?c=170132-32T","View Company Online")</f>
      </c>
    </row>
    <row r="4209">
      <c r="A4209" s="3" t="s">
        <v>20881</v>
      </c>
      <c r="B4209" s="3" t="s">
        <v>18901</v>
      </c>
      <c r="C4209" s="5" t="s">
        <v>36</v>
      </c>
      <c r="D4209" s="5" t="s">
        <v>36</v>
      </c>
      <c r="E4209" s="5" t="s">
        <v>36</v>
      </c>
      <c r="F4209" s="5" t="s">
        <v>36</v>
      </c>
      <c r="G4209" s="6" t="s">
        <v>326</v>
      </c>
      <c r="H4209" s="4">
        <v>1075.99</v>
      </c>
      <c r="I4209" s="7">
        <v>23.85</v>
      </c>
      <c r="J4209" s="3" t="s">
        <v>521</v>
      </c>
      <c r="K4209" s="9">
        <v>43726</v>
      </c>
      <c r="L4209" s="6" t="s">
        <v>122</v>
      </c>
      <c r="M4209" s="3" t="s">
        <v>36</v>
      </c>
      <c r="N4209" s="3" t="s">
        <v>122</v>
      </c>
      <c r="O4209" s="8" t="s">
        <v>36</v>
      </c>
      <c r="P4209" s="3" t="s">
        <v>36</v>
      </c>
      <c r="Q4209" s="3" t="s">
        <v>36</v>
      </c>
      <c r="R4209" s="3" t="s">
        <v>36</v>
      </c>
      <c r="S4209" s="3" t="s">
        <v>36</v>
      </c>
      <c r="T4209" s="3" t="s">
        <v>3591</v>
      </c>
      <c r="U4209" s="3" t="s">
        <v>38</v>
      </c>
      <c r="V4209" s="3" t="s">
        <v>39</v>
      </c>
      <c r="W4209" s="3" t="s">
        <v>18902</v>
      </c>
      <c r="X4209" s="10" t="s">
        <v>20882</v>
      </c>
      <c r="Y4209" s="6" t="s">
        <v>108</v>
      </c>
      <c r="Z4209" s="4">
        <v>12.34</v>
      </c>
      <c r="AA4209" s="4">
        <v>51.75</v>
      </c>
      <c r="AB4209" s="3" t="s">
        <v>43</v>
      </c>
      <c r="AC4209" s="3" t="s">
        <v>18904</v>
      </c>
      <c r="AD4209" s="9">
        <v>43811</v>
      </c>
      <c r="AE4209" s="3" t="s">
        <v>688</v>
      </c>
      <c r="AF4209" s="3" t="s">
        <v>815</v>
      </c>
      <c r="AG4209" s="3" t="s">
        <v>81</v>
      </c>
      <c r="AH4209" s="11">
        <f>HYPERLINK("https://my.pitchbook.com?c=127952-20T","View Company Online")</f>
      </c>
    </row>
    <row r="4210">
      <c r="A4210" s="12" t="s">
        <v>20883</v>
      </c>
      <c r="B4210" s="12" t="s">
        <v>11501</v>
      </c>
      <c r="C4210" s="19">
        <v>5</v>
      </c>
      <c r="D4210" s="19">
        <v>16</v>
      </c>
      <c r="E4210" s="19">
        <v>8</v>
      </c>
      <c r="F4210" s="19">
        <v>21</v>
      </c>
      <c r="G4210" s="15" t="s">
        <v>36</v>
      </c>
      <c r="H4210" s="14" t="s">
        <v>36</v>
      </c>
      <c r="I4210" s="18" t="s">
        <v>36</v>
      </c>
      <c r="J4210" s="12" t="s">
        <v>36</v>
      </c>
      <c r="K4210" s="13" t="s">
        <v>36</v>
      </c>
      <c r="L4210" s="15" t="s">
        <v>122</v>
      </c>
      <c r="M4210" s="12" t="s">
        <v>36</v>
      </c>
      <c r="N4210" s="12" t="s">
        <v>122</v>
      </c>
      <c r="O4210" s="17" t="s">
        <v>36</v>
      </c>
      <c r="P4210" s="12" t="s">
        <v>36</v>
      </c>
      <c r="Q4210" s="12" t="s">
        <v>36</v>
      </c>
      <c r="R4210" s="12" t="s">
        <v>36</v>
      </c>
      <c r="S4210" s="12" t="s">
        <v>36</v>
      </c>
      <c r="T4210" s="12" t="s">
        <v>10606</v>
      </c>
      <c r="U4210" s="12" t="s">
        <v>377</v>
      </c>
      <c r="V4210" s="12" t="s">
        <v>378</v>
      </c>
      <c r="W4210" s="12" t="s">
        <v>11502</v>
      </c>
      <c r="X4210" s="16" t="s">
        <v>20884</v>
      </c>
      <c r="Y4210" s="15" t="s">
        <v>108</v>
      </c>
      <c r="Z4210" s="14">
        <v>1.66</v>
      </c>
      <c r="AA4210" s="14" t="s">
        <v>36</v>
      </c>
      <c r="AB4210" s="12" t="s">
        <v>43</v>
      </c>
      <c r="AC4210" s="12" t="s">
        <v>11504</v>
      </c>
      <c r="AD4210" s="13">
        <v>43810</v>
      </c>
      <c r="AE4210" s="12" t="s">
        <v>377</v>
      </c>
      <c r="AF4210" s="12" t="s">
        <v>822</v>
      </c>
      <c r="AG4210" s="12" t="s">
        <v>144</v>
      </c>
      <c r="AH4210" s="1">
        <f>HYPERLINK("https://my.pitchbook.com?c=135401-50T","View Company Online")</f>
      </c>
    </row>
    <row r="4211">
      <c r="A4211" s="3" t="s">
        <v>20885</v>
      </c>
      <c r="B4211" s="3" t="s">
        <v>13481</v>
      </c>
      <c r="C4211" s="5" t="s">
        <v>36</v>
      </c>
      <c r="D4211" s="5">
        <v>1</v>
      </c>
      <c r="E4211" s="5">
        <v>1</v>
      </c>
      <c r="F4211" s="5">
        <v>4</v>
      </c>
      <c r="G4211" s="6" t="s">
        <v>683</v>
      </c>
      <c r="H4211" s="4">
        <v>54.74</v>
      </c>
      <c r="I4211" s="7">
        <v>46.39</v>
      </c>
      <c r="J4211" s="3" t="s">
        <v>521</v>
      </c>
      <c r="K4211" s="9" t="s">
        <v>36</v>
      </c>
      <c r="L4211" s="6" t="s">
        <v>1279</v>
      </c>
      <c r="M4211" s="3" t="s">
        <v>36</v>
      </c>
      <c r="N4211" s="3" t="s">
        <v>1279</v>
      </c>
      <c r="O4211" s="8" t="s">
        <v>36</v>
      </c>
      <c r="P4211" s="3" t="s">
        <v>36</v>
      </c>
      <c r="Q4211" s="3" t="s">
        <v>36</v>
      </c>
      <c r="R4211" s="3" t="s">
        <v>36</v>
      </c>
      <c r="S4211" s="3" t="s">
        <v>36</v>
      </c>
      <c r="T4211" s="3" t="s">
        <v>13482</v>
      </c>
      <c r="U4211" s="3" t="s">
        <v>38</v>
      </c>
      <c r="V4211" s="3" t="s">
        <v>39</v>
      </c>
      <c r="W4211" s="3" t="s">
        <v>13483</v>
      </c>
      <c r="X4211" s="10" t="s">
        <v>20886</v>
      </c>
      <c r="Y4211" s="6" t="s">
        <v>55</v>
      </c>
      <c r="Z4211" s="4">
        <v>24.29</v>
      </c>
      <c r="AA4211" s="4">
        <v>48.15</v>
      </c>
      <c r="AB4211" s="3" t="s">
        <v>56</v>
      </c>
      <c r="AC4211" s="3" t="s">
        <v>13485</v>
      </c>
      <c r="AD4211" s="9">
        <v>43809</v>
      </c>
      <c r="AE4211" s="3" t="s">
        <v>110</v>
      </c>
      <c r="AF4211" s="3" t="s">
        <v>176</v>
      </c>
      <c r="AG4211" s="3" t="s">
        <v>81</v>
      </c>
      <c r="AH4211" s="11">
        <f>HYPERLINK("https://my.pitchbook.com?c=127859-86T","View Company Online")</f>
      </c>
    </row>
    <row r="4212">
      <c r="A4212" s="12" t="s">
        <v>20887</v>
      </c>
      <c r="B4212" s="12" t="s">
        <v>12086</v>
      </c>
      <c r="C4212" s="19">
        <v>4</v>
      </c>
      <c r="D4212" s="19">
        <v>5</v>
      </c>
      <c r="E4212" s="19">
        <v>2</v>
      </c>
      <c r="F4212" s="19">
        <v>10</v>
      </c>
      <c r="G4212" s="15" t="s">
        <v>36</v>
      </c>
      <c r="H4212" s="14">
        <v>855.78</v>
      </c>
      <c r="I4212" s="18">
        <v>14.28</v>
      </c>
      <c r="J4212" s="12" t="s">
        <v>327</v>
      </c>
      <c r="K4212" s="13" t="s">
        <v>36</v>
      </c>
      <c r="L4212" s="15" t="s">
        <v>36</v>
      </c>
      <c r="M4212" s="12" t="s">
        <v>36</v>
      </c>
      <c r="N4212" s="12" t="s">
        <v>36</v>
      </c>
      <c r="O4212" s="17" t="s">
        <v>36</v>
      </c>
      <c r="P4212" s="12" t="s">
        <v>36</v>
      </c>
      <c r="Q4212" s="12" t="s">
        <v>36</v>
      </c>
      <c r="R4212" s="12" t="s">
        <v>36</v>
      </c>
      <c r="S4212" s="12" t="s">
        <v>36</v>
      </c>
      <c r="T4212" s="12" t="s">
        <v>881</v>
      </c>
      <c r="U4212" s="12" t="s">
        <v>51</v>
      </c>
      <c r="V4212" s="12" t="s">
        <v>52</v>
      </c>
      <c r="W4212" s="12" t="s">
        <v>12087</v>
      </c>
      <c r="X4212" s="16" t="s">
        <v>20888</v>
      </c>
      <c r="Y4212" s="15" t="s">
        <v>42</v>
      </c>
      <c r="Z4212" s="14">
        <v>1.1</v>
      </c>
      <c r="AA4212" s="14">
        <v>3.87</v>
      </c>
      <c r="AB4212" s="12" t="s">
        <v>56</v>
      </c>
      <c r="AC4212" s="12" t="s">
        <v>12089</v>
      </c>
      <c r="AD4212" s="13">
        <v>43809</v>
      </c>
      <c r="AE4212" s="12" t="s">
        <v>504</v>
      </c>
      <c r="AF4212" s="12" t="s">
        <v>3193</v>
      </c>
      <c r="AG4212" s="12" t="s">
        <v>1276</v>
      </c>
      <c r="AH4212" s="1">
        <f>HYPERLINK("https://my.pitchbook.com?c=127869-85T","View Company Online")</f>
      </c>
    </row>
    <row r="4213">
      <c r="A4213" s="3" t="s">
        <v>20889</v>
      </c>
      <c r="B4213" s="3" t="s">
        <v>20890</v>
      </c>
      <c r="C4213" s="5" t="s">
        <v>36</v>
      </c>
      <c r="D4213" s="5">
        <v>2</v>
      </c>
      <c r="E4213" s="5">
        <v>1</v>
      </c>
      <c r="F4213" s="5">
        <v>2</v>
      </c>
      <c r="G4213" s="6" t="s">
        <v>326</v>
      </c>
      <c r="H4213" s="4">
        <v>6.11</v>
      </c>
      <c r="I4213" s="7">
        <v>29.52</v>
      </c>
      <c r="J4213" s="3" t="s">
        <v>521</v>
      </c>
      <c r="K4213" s="9" t="s">
        <v>36</v>
      </c>
      <c r="L4213" s="6" t="s">
        <v>36</v>
      </c>
      <c r="M4213" s="3" t="s">
        <v>36</v>
      </c>
      <c r="N4213" s="3" t="s">
        <v>36</v>
      </c>
      <c r="O4213" s="8" t="s">
        <v>36</v>
      </c>
      <c r="P4213" s="3" t="s">
        <v>36</v>
      </c>
      <c r="Q4213" s="3" t="s">
        <v>36</v>
      </c>
      <c r="R4213" s="3" t="s">
        <v>36</v>
      </c>
      <c r="S4213" s="3" t="s">
        <v>36</v>
      </c>
      <c r="T4213" s="3" t="s">
        <v>20891</v>
      </c>
      <c r="U4213" s="3" t="s">
        <v>289</v>
      </c>
      <c r="V4213" s="3" t="s">
        <v>64</v>
      </c>
      <c r="W4213" s="3" t="s">
        <v>20892</v>
      </c>
      <c r="X4213" s="10" t="s">
        <v>20893</v>
      </c>
      <c r="Y4213" s="6" t="s">
        <v>42</v>
      </c>
      <c r="Z4213" s="4">
        <v>0.58</v>
      </c>
      <c r="AA4213" s="4">
        <v>1.98</v>
      </c>
      <c r="AB4213" s="3" t="s">
        <v>43</v>
      </c>
      <c r="AC4213" s="3" t="s">
        <v>20894</v>
      </c>
      <c r="AD4213" s="9">
        <v>43809</v>
      </c>
      <c r="AE4213" s="3" t="s">
        <v>3134</v>
      </c>
      <c r="AF4213" s="3" t="s">
        <v>4270</v>
      </c>
      <c r="AG4213" s="3" t="s">
        <v>47</v>
      </c>
      <c r="AH4213" s="11">
        <f>HYPERLINK("https://my.pitchbook.com?c=194260-60T","View Company Online")</f>
      </c>
    </row>
    <row r="4214">
      <c r="A4214" s="12" t="s">
        <v>20895</v>
      </c>
      <c r="B4214" s="12" t="s">
        <v>12282</v>
      </c>
      <c r="C4214" s="19" t="s">
        <v>36</v>
      </c>
      <c r="D4214" s="19" t="s">
        <v>36</v>
      </c>
      <c r="E4214" s="19" t="s">
        <v>36</v>
      </c>
      <c r="F4214" s="19" t="s">
        <v>36</v>
      </c>
      <c r="G4214" s="15" t="s">
        <v>36</v>
      </c>
      <c r="H4214" s="14">
        <v>5795.2</v>
      </c>
      <c r="I4214" s="18">
        <v>25.17</v>
      </c>
      <c r="J4214" s="12" t="s">
        <v>521</v>
      </c>
      <c r="K4214" s="13" t="s">
        <v>36</v>
      </c>
      <c r="L4214" s="15" t="s">
        <v>36</v>
      </c>
      <c r="M4214" s="12" t="s">
        <v>36</v>
      </c>
      <c r="N4214" s="12" t="s">
        <v>36</v>
      </c>
      <c r="O4214" s="17" t="s">
        <v>36</v>
      </c>
      <c r="P4214" s="12" t="s">
        <v>36</v>
      </c>
      <c r="Q4214" s="12" t="s">
        <v>36</v>
      </c>
      <c r="R4214" s="12" t="s">
        <v>36</v>
      </c>
      <c r="S4214" s="12" t="s">
        <v>36</v>
      </c>
      <c r="T4214" s="12" t="s">
        <v>2490</v>
      </c>
      <c r="U4214" s="12" t="s">
        <v>318</v>
      </c>
      <c r="V4214" s="12" t="s">
        <v>39</v>
      </c>
      <c r="W4214" s="12" t="s">
        <v>12283</v>
      </c>
      <c r="X4214" s="16" t="s">
        <v>20896</v>
      </c>
      <c r="Y4214" s="15" t="s">
        <v>42</v>
      </c>
      <c r="Z4214" s="14">
        <v>0.22</v>
      </c>
      <c r="AA4214" s="14">
        <v>0.88</v>
      </c>
      <c r="AB4214" s="12" t="s">
        <v>56</v>
      </c>
      <c r="AC4214" s="12" t="s">
        <v>12285</v>
      </c>
      <c r="AD4214" s="13">
        <v>43808</v>
      </c>
      <c r="AE4214" s="12" t="s">
        <v>417</v>
      </c>
      <c r="AF4214" s="12" t="s">
        <v>592</v>
      </c>
      <c r="AG4214" s="12" t="s">
        <v>12286</v>
      </c>
      <c r="AH4214" s="1">
        <f>HYPERLINK("https://my.pitchbook.com?c=160151-05T","View Company Online")</f>
      </c>
    </row>
    <row r="4215">
      <c r="A4215" s="3" t="s">
        <v>20897</v>
      </c>
      <c r="B4215" s="3" t="s">
        <v>20898</v>
      </c>
      <c r="C4215" s="5" t="s">
        <v>36</v>
      </c>
      <c r="D4215" s="5">
        <v>2</v>
      </c>
      <c r="E4215" s="5">
        <v>6</v>
      </c>
      <c r="F4215" s="5">
        <v>8</v>
      </c>
      <c r="G4215" s="6" t="s">
        <v>326</v>
      </c>
      <c r="H4215" s="4">
        <v>1241.09</v>
      </c>
      <c r="I4215" s="7">
        <v>25.39</v>
      </c>
      <c r="J4215" s="3" t="s">
        <v>521</v>
      </c>
      <c r="K4215" s="9" t="s">
        <v>36</v>
      </c>
      <c r="L4215" s="6" t="s">
        <v>36</v>
      </c>
      <c r="M4215" s="3" t="s">
        <v>36</v>
      </c>
      <c r="N4215" s="3" t="s">
        <v>36</v>
      </c>
      <c r="O4215" s="8" t="s">
        <v>36</v>
      </c>
      <c r="P4215" s="3" t="s">
        <v>36</v>
      </c>
      <c r="Q4215" s="3" t="s">
        <v>36</v>
      </c>
      <c r="R4215" s="3" t="s">
        <v>36</v>
      </c>
      <c r="S4215" s="3" t="s">
        <v>36</v>
      </c>
      <c r="T4215" s="3" t="s">
        <v>20899</v>
      </c>
      <c r="U4215" s="3" t="s">
        <v>38</v>
      </c>
      <c r="V4215" s="3" t="s">
        <v>39</v>
      </c>
      <c r="W4215" s="3" t="s">
        <v>20900</v>
      </c>
      <c r="X4215" s="10" t="s">
        <v>20901</v>
      </c>
      <c r="Y4215" s="6" t="s">
        <v>108</v>
      </c>
      <c r="Z4215" s="4">
        <v>7.29</v>
      </c>
      <c r="AA4215" s="4">
        <v>28.72</v>
      </c>
      <c r="AB4215" s="3" t="s">
        <v>56</v>
      </c>
      <c r="AC4215" s="3" t="s">
        <v>20902</v>
      </c>
      <c r="AD4215" s="9">
        <v>43808</v>
      </c>
      <c r="AE4215" s="3" t="s">
        <v>7316</v>
      </c>
      <c r="AF4215" s="3" t="s">
        <v>815</v>
      </c>
      <c r="AG4215" s="3" t="s">
        <v>20903</v>
      </c>
      <c r="AH4215" s="11">
        <f>HYPERLINK("https://my.pitchbook.com?c=136418-23T","View Company Online")</f>
      </c>
    </row>
    <row r="4216">
      <c r="A4216" s="12" t="s">
        <v>20904</v>
      </c>
      <c r="B4216" s="12" t="s">
        <v>20905</v>
      </c>
      <c r="C4216" s="19" t="s">
        <v>36</v>
      </c>
      <c r="D4216" s="19" t="s">
        <v>36</v>
      </c>
      <c r="E4216" s="19" t="s">
        <v>36</v>
      </c>
      <c r="F4216" s="19" t="s">
        <v>36</v>
      </c>
      <c r="G4216" s="15" t="s">
        <v>36</v>
      </c>
      <c r="H4216" s="14">
        <v>29.24</v>
      </c>
      <c r="I4216" s="18">
        <v>24</v>
      </c>
      <c r="J4216" s="12" t="s">
        <v>521</v>
      </c>
      <c r="K4216" s="13" t="s">
        <v>36</v>
      </c>
      <c r="L4216" s="15" t="s">
        <v>36</v>
      </c>
      <c r="M4216" s="12" t="s">
        <v>36</v>
      </c>
      <c r="N4216" s="12" t="s">
        <v>36</v>
      </c>
      <c r="O4216" s="17" t="s">
        <v>36</v>
      </c>
      <c r="P4216" s="12" t="s">
        <v>36</v>
      </c>
      <c r="Q4216" s="12" t="s">
        <v>36</v>
      </c>
      <c r="R4216" s="12" t="s">
        <v>36</v>
      </c>
      <c r="S4216" s="12" t="s">
        <v>36</v>
      </c>
      <c r="T4216" s="12" t="s">
        <v>1162</v>
      </c>
      <c r="U4216" s="12" t="s">
        <v>423</v>
      </c>
      <c r="V4216" s="12" t="s">
        <v>64</v>
      </c>
      <c r="W4216" s="12" t="s">
        <v>20906</v>
      </c>
      <c r="X4216" s="16" t="s">
        <v>20907</v>
      </c>
      <c r="Y4216" s="15" t="s">
        <v>42</v>
      </c>
      <c r="Z4216" s="14">
        <v>1.33</v>
      </c>
      <c r="AA4216" s="14">
        <v>5.52</v>
      </c>
      <c r="AB4216" s="12" t="s">
        <v>43</v>
      </c>
      <c r="AC4216" s="12" t="s">
        <v>20908</v>
      </c>
      <c r="AD4216" s="13">
        <v>43805</v>
      </c>
      <c r="AE4216" s="12" t="s">
        <v>562</v>
      </c>
      <c r="AF4216" s="12" t="s">
        <v>36</v>
      </c>
      <c r="AG4216" s="12" t="s">
        <v>20909</v>
      </c>
      <c r="AH4216" s="1">
        <f>HYPERLINK("https://my.pitchbook.com?c=120157-66T","View Company Online")</f>
      </c>
    </row>
    <row r="4217">
      <c r="A4217" s="3" t="s">
        <v>20910</v>
      </c>
      <c r="B4217" s="3" t="s">
        <v>20911</v>
      </c>
      <c r="C4217" s="5">
        <v>1</v>
      </c>
      <c r="D4217" s="5">
        <v>6</v>
      </c>
      <c r="E4217" s="5">
        <v>3</v>
      </c>
      <c r="F4217" s="5">
        <v>9</v>
      </c>
      <c r="G4217" s="6" t="s">
        <v>683</v>
      </c>
      <c r="H4217" s="4">
        <v>34.63</v>
      </c>
      <c r="I4217" s="7">
        <v>32.31</v>
      </c>
      <c r="J4217" s="3" t="s">
        <v>521</v>
      </c>
      <c r="K4217" s="9" t="s">
        <v>36</v>
      </c>
      <c r="L4217" s="6" t="s">
        <v>36</v>
      </c>
      <c r="M4217" s="3" t="s">
        <v>36</v>
      </c>
      <c r="N4217" s="3" t="s">
        <v>36</v>
      </c>
      <c r="O4217" s="8" t="s">
        <v>36</v>
      </c>
      <c r="P4217" s="3" t="s">
        <v>36</v>
      </c>
      <c r="Q4217" s="3" t="s">
        <v>36</v>
      </c>
      <c r="R4217" s="3" t="s">
        <v>36</v>
      </c>
      <c r="S4217" s="3" t="s">
        <v>36</v>
      </c>
      <c r="T4217" s="3" t="s">
        <v>2255</v>
      </c>
      <c r="U4217" s="3" t="s">
        <v>833</v>
      </c>
      <c r="V4217" s="3" t="s">
        <v>64</v>
      </c>
      <c r="W4217" s="3" t="s">
        <v>20912</v>
      </c>
      <c r="X4217" s="10" t="s">
        <v>20913</v>
      </c>
      <c r="Y4217" s="6" t="s">
        <v>166</v>
      </c>
      <c r="Z4217" s="4">
        <v>0.51</v>
      </c>
      <c r="AA4217" s="4">
        <v>1.59</v>
      </c>
      <c r="AB4217" s="3" t="s">
        <v>56</v>
      </c>
      <c r="AC4217" s="3" t="s">
        <v>20914</v>
      </c>
      <c r="AD4217" s="9">
        <v>43805</v>
      </c>
      <c r="AE4217" s="3" t="s">
        <v>1769</v>
      </c>
      <c r="AF4217" s="3" t="s">
        <v>571</v>
      </c>
      <c r="AG4217" s="3" t="s">
        <v>741</v>
      </c>
      <c r="AH4217" s="11">
        <f>HYPERLINK("https://my.pitchbook.com?c=207553-69T","View Company Online")</f>
      </c>
    </row>
    <row r="4218">
      <c r="A4218" s="12" t="s">
        <v>20915</v>
      </c>
      <c r="B4218" s="12" t="s">
        <v>20916</v>
      </c>
      <c r="C4218" s="19" t="s">
        <v>36</v>
      </c>
      <c r="D4218" s="19" t="s">
        <v>36</v>
      </c>
      <c r="E4218" s="19" t="s">
        <v>36</v>
      </c>
      <c r="F4218" s="19" t="s">
        <v>36</v>
      </c>
      <c r="G4218" s="15" t="s">
        <v>326</v>
      </c>
      <c r="H4218" s="14">
        <v>12.11</v>
      </c>
      <c r="I4218" s="18">
        <v>17.79</v>
      </c>
      <c r="J4218" s="12" t="s">
        <v>521</v>
      </c>
      <c r="K4218" s="13" t="s">
        <v>36</v>
      </c>
      <c r="L4218" s="15" t="s">
        <v>36</v>
      </c>
      <c r="M4218" s="12" t="s">
        <v>36</v>
      </c>
      <c r="N4218" s="12" t="s">
        <v>36</v>
      </c>
      <c r="O4218" s="17" t="s">
        <v>36</v>
      </c>
      <c r="P4218" s="12" t="s">
        <v>36</v>
      </c>
      <c r="Q4218" s="12" t="s">
        <v>36</v>
      </c>
      <c r="R4218" s="12" t="s">
        <v>36</v>
      </c>
      <c r="S4218" s="12" t="s">
        <v>36</v>
      </c>
      <c r="T4218" s="12" t="s">
        <v>1106</v>
      </c>
      <c r="U4218" s="12" t="s">
        <v>38</v>
      </c>
      <c r="V4218" s="12" t="s">
        <v>39</v>
      </c>
      <c r="W4218" s="12" t="s">
        <v>20917</v>
      </c>
      <c r="X4218" s="16" t="s">
        <v>20918</v>
      </c>
      <c r="Y4218" s="15" t="s">
        <v>108</v>
      </c>
      <c r="Z4218" s="14">
        <v>1.38</v>
      </c>
      <c r="AA4218" s="14">
        <v>7.76</v>
      </c>
      <c r="AB4218" s="12" t="s">
        <v>43</v>
      </c>
      <c r="AC4218" s="12" t="s">
        <v>20919</v>
      </c>
      <c r="AD4218" s="13">
        <v>43805</v>
      </c>
      <c r="AE4218" s="12" t="s">
        <v>110</v>
      </c>
      <c r="AF4218" s="12" t="s">
        <v>468</v>
      </c>
      <c r="AG4218" s="12" t="s">
        <v>332</v>
      </c>
      <c r="AH4218" s="1">
        <f>HYPERLINK("https://my.pitchbook.com?c=180127-72T","View Company Online")</f>
      </c>
    </row>
    <row r="4219">
      <c r="A4219" s="3" t="s">
        <v>20920</v>
      </c>
      <c r="B4219" s="3" t="s">
        <v>20139</v>
      </c>
      <c r="C4219" s="5" t="s">
        <v>36</v>
      </c>
      <c r="D4219" s="5" t="s">
        <v>36</v>
      </c>
      <c r="E4219" s="5" t="s">
        <v>36</v>
      </c>
      <c r="F4219" s="5" t="s">
        <v>36</v>
      </c>
      <c r="G4219" s="6" t="s">
        <v>326</v>
      </c>
      <c r="H4219" s="4">
        <v>25.32</v>
      </c>
      <c r="I4219" s="7">
        <v>12.09</v>
      </c>
      <c r="J4219" s="3" t="s">
        <v>521</v>
      </c>
      <c r="K4219" s="9" t="s">
        <v>36</v>
      </c>
      <c r="L4219" s="6" t="s">
        <v>36</v>
      </c>
      <c r="M4219" s="3" t="s">
        <v>36</v>
      </c>
      <c r="N4219" s="3" t="s">
        <v>36</v>
      </c>
      <c r="O4219" s="8" t="s">
        <v>36</v>
      </c>
      <c r="P4219" s="3" t="s">
        <v>36</v>
      </c>
      <c r="Q4219" s="3" t="s">
        <v>36</v>
      </c>
      <c r="R4219" s="3" t="s">
        <v>36</v>
      </c>
      <c r="S4219" s="3" t="s">
        <v>36</v>
      </c>
      <c r="T4219" s="3" t="s">
        <v>20140</v>
      </c>
      <c r="U4219" s="3" t="s">
        <v>38</v>
      </c>
      <c r="V4219" s="3" t="s">
        <v>39</v>
      </c>
      <c r="W4219" s="3" t="s">
        <v>20141</v>
      </c>
      <c r="X4219" s="10" t="s">
        <v>20921</v>
      </c>
      <c r="Y4219" s="6" t="s">
        <v>108</v>
      </c>
      <c r="Z4219" s="4">
        <v>0.55</v>
      </c>
      <c r="AA4219" s="4">
        <v>4.57</v>
      </c>
      <c r="AB4219" s="3" t="s">
        <v>56</v>
      </c>
      <c r="AC4219" s="3" t="s">
        <v>20143</v>
      </c>
      <c r="AD4219" s="9">
        <v>43805</v>
      </c>
      <c r="AE4219" s="3" t="s">
        <v>1330</v>
      </c>
      <c r="AF4219" s="3" t="s">
        <v>815</v>
      </c>
      <c r="AG4219" s="3" t="s">
        <v>144</v>
      </c>
      <c r="AH4219" s="11">
        <f>HYPERLINK("https://my.pitchbook.com?c=189796-60T","View Company Online")</f>
      </c>
    </row>
    <row r="4220">
      <c r="A4220" s="12" t="s">
        <v>20922</v>
      </c>
      <c r="B4220" s="12" t="s">
        <v>12849</v>
      </c>
      <c r="C4220" s="19">
        <v>21</v>
      </c>
      <c r="D4220" s="19">
        <v>52</v>
      </c>
      <c r="E4220" s="19">
        <v>7</v>
      </c>
      <c r="F4220" s="19">
        <v>73</v>
      </c>
      <c r="G4220" s="15" t="s">
        <v>683</v>
      </c>
      <c r="H4220" s="14">
        <v>237.52</v>
      </c>
      <c r="I4220" s="18">
        <v>10.31</v>
      </c>
      <c r="J4220" s="12" t="s">
        <v>521</v>
      </c>
      <c r="K4220" s="13" t="s">
        <v>36</v>
      </c>
      <c r="L4220" s="15" t="s">
        <v>1279</v>
      </c>
      <c r="M4220" s="12" t="s">
        <v>36</v>
      </c>
      <c r="N4220" s="12" t="s">
        <v>1279</v>
      </c>
      <c r="O4220" s="17" t="s">
        <v>36</v>
      </c>
      <c r="P4220" s="12" t="s">
        <v>36</v>
      </c>
      <c r="Q4220" s="12" t="s">
        <v>36</v>
      </c>
      <c r="R4220" s="12" t="s">
        <v>3531</v>
      </c>
      <c r="S4220" s="12" t="s">
        <v>36</v>
      </c>
      <c r="T4220" s="12" t="s">
        <v>4225</v>
      </c>
      <c r="U4220" s="12" t="s">
        <v>96</v>
      </c>
      <c r="V4220" s="12" t="s">
        <v>52</v>
      </c>
      <c r="W4220" s="12" t="s">
        <v>12850</v>
      </c>
      <c r="X4220" s="16" t="s">
        <v>19224</v>
      </c>
      <c r="Y4220" s="15" t="s">
        <v>321</v>
      </c>
      <c r="Z4220" s="14">
        <v>7.29</v>
      </c>
      <c r="AA4220" s="14">
        <v>70.72</v>
      </c>
      <c r="AB4220" s="12" t="s">
        <v>56</v>
      </c>
      <c r="AC4220" s="12" t="s">
        <v>12852</v>
      </c>
      <c r="AD4220" s="13">
        <v>43805</v>
      </c>
      <c r="AE4220" s="12" t="s">
        <v>143</v>
      </c>
      <c r="AF4220" s="12" t="s">
        <v>6285</v>
      </c>
      <c r="AG4220" s="12" t="s">
        <v>81</v>
      </c>
      <c r="AH4220" s="1">
        <f>HYPERLINK("https://my.pitchbook.com?c=165166-75T","View Company Online")</f>
      </c>
    </row>
    <row r="4221">
      <c r="A4221" s="3" t="s">
        <v>20923</v>
      </c>
      <c r="B4221" s="3" t="s">
        <v>8979</v>
      </c>
      <c r="C4221" s="5">
        <v>1</v>
      </c>
      <c r="D4221" s="5">
        <v>13</v>
      </c>
      <c r="E4221" s="5">
        <v>3</v>
      </c>
      <c r="F4221" s="5">
        <v>18</v>
      </c>
      <c r="G4221" s="6" t="s">
        <v>326</v>
      </c>
      <c r="H4221" s="4">
        <v>3</v>
      </c>
      <c r="I4221" s="7">
        <v>18.01</v>
      </c>
      <c r="J4221" s="3" t="s">
        <v>521</v>
      </c>
      <c r="K4221" s="9" t="s">
        <v>36</v>
      </c>
      <c r="L4221" s="6" t="s">
        <v>36</v>
      </c>
      <c r="M4221" s="3" t="s">
        <v>36</v>
      </c>
      <c r="N4221" s="3" t="s">
        <v>36</v>
      </c>
      <c r="O4221" s="8" t="s">
        <v>36</v>
      </c>
      <c r="P4221" s="3" t="s">
        <v>36</v>
      </c>
      <c r="Q4221" s="3" t="s">
        <v>36</v>
      </c>
      <c r="R4221" s="3" t="s">
        <v>36</v>
      </c>
      <c r="S4221" s="3" t="s">
        <v>36</v>
      </c>
      <c r="T4221" s="3" t="s">
        <v>8980</v>
      </c>
      <c r="U4221" s="3" t="s">
        <v>366</v>
      </c>
      <c r="V4221" s="3" t="s">
        <v>367</v>
      </c>
      <c r="W4221" s="3" t="s">
        <v>8981</v>
      </c>
      <c r="X4221" s="10" t="s">
        <v>5892</v>
      </c>
      <c r="Y4221" s="6" t="s">
        <v>108</v>
      </c>
      <c r="Z4221" s="4">
        <v>1.21</v>
      </c>
      <c r="AA4221" s="4">
        <v>6.74</v>
      </c>
      <c r="AB4221" s="3" t="s">
        <v>56</v>
      </c>
      <c r="AC4221" s="3" t="s">
        <v>8983</v>
      </c>
      <c r="AD4221" s="9">
        <v>43804</v>
      </c>
      <c r="AE4221" s="3" t="s">
        <v>7565</v>
      </c>
      <c r="AF4221" s="3" t="s">
        <v>3274</v>
      </c>
      <c r="AG4221" s="3" t="s">
        <v>81</v>
      </c>
      <c r="AH4221" s="11">
        <f>HYPERLINK("https://my.pitchbook.com?c=181357-66T","View Company Online")</f>
      </c>
    </row>
    <row r="4222">
      <c r="A4222" s="12" t="s">
        <v>20924</v>
      </c>
      <c r="B4222" s="12" t="s">
        <v>20925</v>
      </c>
      <c r="C4222" s="19">
        <v>1</v>
      </c>
      <c r="D4222" s="19">
        <v>1</v>
      </c>
      <c r="E4222" s="19">
        <v>2</v>
      </c>
      <c r="F4222" s="19">
        <v>4</v>
      </c>
      <c r="G4222" s="15" t="s">
        <v>36</v>
      </c>
      <c r="H4222" s="14" t="s">
        <v>36</v>
      </c>
      <c r="I4222" s="18" t="s">
        <v>36</v>
      </c>
      <c r="J4222" s="12" t="s">
        <v>36</v>
      </c>
      <c r="K4222" s="13" t="s">
        <v>36</v>
      </c>
      <c r="L4222" s="15" t="s">
        <v>36</v>
      </c>
      <c r="M4222" s="12" t="s">
        <v>36</v>
      </c>
      <c r="N4222" s="12" t="s">
        <v>36</v>
      </c>
      <c r="O4222" s="17" t="s">
        <v>36</v>
      </c>
      <c r="P4222" s="12" t="s">
        <v>36</v>
      </c>
      <c r="Q4222" s="12" t="s">
        <v>36</v>
      </c>
      <c r="R4222" s="12" t="s">
        <v>36</v>
      </c>
      <c r="S4222" s="12" t="s">
        <v>36</v>
      </c>
      <c r="T4222" s="12" t="s">
        <v>20926</v>
      </c>
      <c r="U4222" s="12" t="s">
        <v>728</v>
      </c>
      <c r="V4222" s="12" t="s">
        <v>64</v>
      </c>
      <c r="W4222" s="12" t="s">
        <v>20927</v>
      </c>
      <c r="X4222" s="16" t="s">
        <v>20928</v>
      </c>
      <c r="Y4222" s="15" t="s">
        <v>42</v>
      </c>
      <c r="Z4222" s="14">
        <v>2.76</v>
      </c>
      <c r="AA4222" s="14" t="s">
        <v>36</v>
      </c>
      <c r="AB4222" s="12" t="s">
        <v>43</v>
      </c>
      <c r="AC4222" s="12" t="s">
        <v>20929</v>
      </c>
      <c r="AD4222" s="13">
        <v>43804</v>
      </c>
      <c r="AE4222" s="12" t="s">
        <v>2154</v>
      </c>
      <c r="AF4222" s="12" t="s">
        <v>90</v>
      </c>
      <c r="AG4222" s="12" t="s">
        <v>20930</v>
      </c>
      <c r="AH4222" s="1">
        <f>HYPERLINK("https://my.pitchbook.com?c=128412-91T","View Company Online")</f>
      </c>
    </row>
    <row r="4223">
      <c r="A4223" s="3" t="s">
        <v>20931</v>
      </c>
      <c r="B4223" s="3" t="s">
        <v>14478</v>
      </c>
      <c r="C4223" s="5" t="s">
        <v>36</v>
      </c>
      <c r="D4223" s="5" t="s">
        <v>36</v>
      </c>
      <c r="E4223" s="5" t="s">
        <v>36</v>
      </c>
      <c r="F4223" s="5" t="s">
        <v>36</v>
      </c>
      <c r="G4223" s="6" t="s">
        <v>326</v>
      </c>
      <c r="H4223" s="4">
        <v>202.52</v>
      </c>
      <c r="I4223" s="7">
        <v>24.6</v>
      </c>
      <c r="J4223" s="3" t="s">
        <v>521</v>
      </c>
      <c r="K4223" s="9" t="s">
        <v>36</v>
      </c>
      <c r="L4223" s="6" t="s">
        <v>122</v>
      </c>
      <c r="M4223" s="3" t="s">
        <v>36</v>
      </c>
      <c r="N4223" s="3" t="s">
        <v>122</v>
      </c>
      <c r="O4223" s="8" t="s">
        <v>36</v>
      </c>
      <c r="P4223" s="3" t="s">
        <v>36</v>
      </c>
      <c r="Q4223" s="3" t="s">
        <v>36</v>
      </c>
      <c r="R4223" s="3" t="s">
        <v>36</v>
      </c>
      <c r="S4223" s="3" t="s">
        <v>14479</v>
      </c>
      <c r="T4223" s="3" t="s">
        <v>14480</v>
      </c>
      <c r="U4223" s="3" t="s">
        <v>38</v>
      </c>
      <c r="V4223" s="3" t="s">
        <v>39</v>
      </c>
      <c r="W4223" s="3" t="s">
        <v>14481</v>
      </c>
      <c r="X4223" s="10" t="s">
        <v>20932</v>
      </c>
      <c r="Y4223" s="6" t="s">
        <v>108</v>
      </c>
      <c r="Z4223" s="4">
        <v>11.93</v>
      </c>
      <c r="AA4223" s="4">
        <v>42.64</v>
      </c>
      <c r="AB4223" s="3" t="s">
        <v>43</v>
      </c>
      <c r="AC4223" s="3" t="s">
        <v>14483</v>
      </c>
      <c r="AD4223" s="9">
        <v>43803</v>
      </c>
      <c r="AE4223" s="3" t="s">
        <v>134</v>
      </c>
      <c r="AF4223" s="3" t="s">
        <v>7989</v>
      </c>
      <c r="AG4223" s="3" t="s">
        <v>81</v>
      </c>
      <c r="AH4223" s="11">
        <f>HYPERLINK("https://my.pitchbook.com?c=127448-38T","View Company Online")</f>
      </c>
    </row>
    <row r="4224">
      <c r="A4224" s="12" t="s">
        <v>20933</v>
      </c>
      <c r="B4224" s="12" t="s">
        <v>20934</v>
      </c>
      <c r="C4224" s="19" t="s">
        <v>36</v>
      </c>
      <c r="D4224" s="19" t="s">
        <v>36</v>
      </c>
      <c r="E4224" s="19">
        <v>3</v>
      </c>
      <c r="F4224" s="19">
        <v>3</v>
      </c>
      <c r="G4224" s="15" t="s">
        <v>326</v>
      </c>
      <c r="H4224" s="14">
        <v>523.23</v>
      </c>
      <c r="I4224" s="18">
        <v>22.79</v>
      </c>
      <c r="J4224" s="12" t="s">
        <v>521</v>
      </c>
      <c r="K4224" s="13" t="s">
        <v>36</v>
      </c>
      <c r="L4224" s="15" t="s">
        <v>36</v>
      </c>
      <c r="M4224" s="12" t="s">
        <v>36</v>
      </c>
      <c r="N4224" s="12" t="s">
        <v>36</v>
      </c>
      <c r="O4224" s="17" t="s">
        <v>36</v>
      </c>
      <c r="P4224" s="12" t="s">
        <v>36</v>
      </c>
      <c r="Q4224" s="12" t="s">
        <v>36</v>
      </c>
      <c r="R4224" s="12" t="s">
        <v>36</v>
      </c>
      <c r="S4224" s="12" t="s">
        <v>36</v>
      </c>
      <c r="T4224" s="12" t="s">
        <v>3843</v>
      </c>
      <c r="U4224" s="12" t="s">
        <v>180</v>
      </c>
      <c r="V4224" s="12" t="s">
        <v>52</v>
      </c>
      <c r="W4224" s="12" t="s">
        <v>20935</v>
      </c>
      <c r="X4224" s="16" t="s">
        <v>20936</v>
      </c>
      <c r="Y4224" s="15" t="s">
        <v>108</v>
      </c>
      <c r="Z4224" s="14">
        <v>5.52</v>
      </c>
      <c r="AA4224" s="14">
        <v>14.31</v>
      </c>
      <c r="AB4224" s="12" t="s">
        <v>56</v>
      </c>
      <c r="AC4224" s="12" t="s">
        <v>20937</v>
      </c>
      <c r="AD4224" s="13">
        <v>43802</v>
      </c>
      <c r="AE4224" s="12" t="s">
        <v>3847</v>
      </c>
      <c r="AF4224" s="12" t="s">
        <v>20938</v>
      </c>
      <c r="AG4224" s="12" t="s">
        <v>47</v>
      </c>
      <c r="AH4224" s="1">
        <f>HYPERLINK("https://my.pitchbook.com?c=127457-02T","View Company Online")</f>
      </c>
    </row>
    <row r="4225">
      <c r="A4225" s="3" t="s">
        <v>20939</v>
      </c>
      <c r="B4225" s="3" t="s">
        <v>20940</v>
      </c>
      <c r="C4225" s="5" t="s">
        <v>36</v>
      </c>
      <c r="D4225" s="5" t="s">
        <v>36</v>
      </c>
      <c r="E4225" s="5" t="s">
        <v>36</v>
      </c>
      <c r="F4225" s="5" t="s">
        <v>36</v>
      </c>
      <c r="G4225" s="6" t="s">
        <v>683</v>
      </c>
      <c r="H4225" s="4">
        <v>245.82</v>
      </c>
      <c r="I4225" s="7">
        <v>6.39</v>
      </c>
      <c r="J4225" s="3" t="s">
        <v>521</v>
      </c>
      <c r="K4225" s="9" t="s">
        <v>36</v>
      </c>
      <c r="L4225" s="6" t="s">
        <v>36</v>
      </c>
      <c r="M4225" s="3" t="s">
        <v>36</v>
      </c>
      <c r="N4225" s="3" t="s">
        <v>36</v>
      </c>
      <c r="O4225" s="8" t="s">
        <v>36</v>
      </c>
      <c r="P4225" s="3" t="s">
        <v>36</v>
      </c>
      <c r="Q4225" s="3" t="s">
        <v>36</v>
      </c>
      <c r="R4225" s="3" t="s">
        <v>36</v>
      </c>
      <c r="S4225" s="3" t="s">
        <v>36</v>
      </c>
      <c r="T4225" s="3" t="s">
        <v>20941</v>
      </c>
      <c r="U4225" s="3" t="s">
        <v>74</v>
      </c>
      <c r="V4225" s="3" t="s">
        <v>75</v>
      </c>
      <c r="W4225" s="3" t="s">
        <v>20942</v>
      </c>
      <c r="X4225" s="10" t="s">
        <v>20943</v>
      </c>
      <c r="Y4225" s="6" t="s">
        <v>108</v>
      </c>
      <c r="Z4225" s="4">
        <v>0.2</v>
      </c>
      <c r="AA4225" s="4">
        <v>3.07</v>
      </c>
      <c r="AB4225" s="3" t="s">
        <v>43</v>
      </c>
      <c r="AC4225" s="3" t="s">
        <v>20944</v>
      </c>
      <c r="AD4225" s="9">
        <v>43802</v>
      </c>
      <c r="AE4225" s="3" t="s">
        <v>79</v>
      </c>
      <c r="AF4225" s="3" t="s">
        <v>1201</v>
      </c>
      <c r="AG4225" s="3" t="s">
        <v>81</v>
      </c>
      <c r="AH4225" s="11">
        <f>HYPERLINK("https://my.pitchbook.com?c=131106-97T","View Company Online")</f>
      </c>
    </row>
    <row r="4226">
      <c r="A4226" s="12" t="s">
        <v>20945</v>
      </c>
      <c r="B4226" s="12" t="s">
        <v>8354</v>
      </c>
      <c r="C4226" s="19" t="s">
        <v>36</v>
      </c>
      <c r="D4226" s="19" t="s">
        <v>36</v>
      </c>
      <c r="E4226" s="19">
        <v>1</v>
      </c>
      <c r="F4226" s="19">
        <v>1</v>
      </c>
      <c r="G4226" s="15" t="s">
        <v>36</v>
      </c>
      <c r="H4226" s="14" t="s">
        <v>36</v>
      </c>
      <c r="I4226" s="18" t="s">
        <v>36</v>
      </c>
      <c r="J4226" s="12" t="s">
        <v>36</v>
      </c>
      <c r="K4226" s="13" t="s">
        <v>36</v>
      </c>
      <c r="L4226" s="15" t="s">
        <v>36</v>
      </c>
      <c r="M4226" s="12" t="s">
        <v>36</v>
      </c>
      <c r="N4226" s="12" t="s">
        <v>36</v>
      </c>
      <c r="O4226" s="17" t="s">
        <v>36</v>
      </c>
      <c r="P4226" s="12" t="s">
        <v>36</v>
      </c>
      <c r="Q4226" s="12" t="s">
        <v>36</v>
      </c>
      <c r="R4226" s="12" t="s">
        <v>36</v>
      </c>
      <c r="S4226" s="12" t="s">
        <v>36</v>
      </c>
      <c r="T4226" s="12" t="s">
        <v>2811</v>
      </c>
      <c r="U4226" s="12" t="s">
        <v>219</v>
      </c>
      <c r="V4226" s="12" t="s">
        <v>75</v>
      </c>
      <c r="W4226" s="12" t="s">
        <v>8355</v>
      </c>
      <c r="X4226" s="16" t="s">
        <v>221</v>
      </c>
      <c r="Y4226" s="15" t="s">
        <v>42</v>
      </c>
      <c r="Z4226" s="14">
        <v>1.66</v>
      </c>
      <c r="AA4226" s="14" t="s">
        <v>36</v>
      </c>
      <c r="AB4226" s="12" t="s">
        <v>43</v>
      </c>
      <c r="AC4226" s="12" t="s">
        <v>8357</v>
      </c>
      <c r="AD4226" s="13">
        <v>43802</v>
      </c>
      <c r="AE4226" s="12" t="s">
        <v>223</v>
      </c>
      <c r="AF4226" s="12" t="s">
        <v>571</v>
      </c>
      <c r="AG4226" s="12" t="s">
        <v>539</v>
      </c>
      <c r="AH4226" s="1">
        <f>HYPERLINK("https://my.pitchbook.com?c=127534-15T","View Company Online")</f>
      </c>
    </row>
    <row r="4227">
      <c r="A4227" s="3" t="s">
        <v>20946</v>
      </c>
      <c r="B4227" s="3" t="s">
        <v>20947</v>
      </c>
      <c r="C4227" s="5" t="s">
        <v>36</v>
      </c>
      <c r="D4227" s="5">
        <v>1</v>
      </c>
      <c r="E4227" s="5">
        <v>2</v>
      </c>
      <c r="F4227" s="5">
        <v>2</v>
      </c>
      <c r="G4227" s="6" t="s">
        <v>36</v>
      </c>
      <c r="H4227" s="4" t="s">
        <v>36</v>
      </c>
      <c r="I4227" s="7" t="s">
        <v>36</v>
      </c>
      <c r="J4227" s="3" t="s">
        <v>36</v>
      </c>
      <c r="K4227" s="9" t="s">
        <v>36</v>
      </c>
      <c r="L4227" s="6" t="s">
        <v>36</v>
      </c>
      <c r="M4227" s="3" t="s">
        <v>36</v>
      </c>
      <c r="N4227" s="3" t="s">
        <v>36</v>
      </c>
      <c r="O4227" s="8" t="s">
        <v>36</v>
      </c>
      <c r="P4227" s="3" t="s">
        <v>36</v>
      </c>
      <c r="Q4227" s="3" t="s">
        <v>36</v>
      </c>
      <c r="R4227" s="3" t="s">
        <v>36</v>
      </c>
      <c r="S4227" s="3" t="s">
        <v>36</v>
      </c>
      <c r="T4227" s="3" t="s">
        <v>20948</v>
      </c>
      <c r="U4227" s="3" t="s">
        <v>85</v>
      </c>
      <c r="V4227" s="3" t="s">
        <v>64</v>
      </c>
      <c r="W4227" s="3" t="s">
        <v>20949</v>
      </c>
      <c r="X4227" s="10" t="s">
        <v>20950</v>
      </c>
      <c r="Y4227" s="6" t="s">
        <v>55</v>
      </c>
      <c r="Z4227" s="4" t="s">
        <v>36</v>
      </c>
      <c r="AA4227" s="4" t="s">
        <v>36</v>
      </c>
      <c r="AB4227" s="3" t="s">
        <v>56</v>
      </c>
      <c r="AC4227" s="3" t="s">
        <v>20951</v>
      </c>
      <c r="AD4227" s="9">
        <v>43802</v>
      </c>
      <c r="AE4227" s="3" t="s">
        <v>89</v>
      </c>
      <c r="AF4227" s="3" t="s">
        <v>20952</v>
      </c>
      <c r="AG4227" s="3" t="s">
        <v>20953</v>
      </c>
      <c r="AH4227" s="11">
        <f>HYPERLINK("https://my.pitchbook.com?c=138020-50T","View Company Online")</f>
      </c>
    </row>
    <row r="4228">
      <c r="A4228" s="12" t="s">
        <v>20954</v>
      </c>
      <c r="B4228" s="12" t="s">
        <v>20955</v>
      </c>
      <c r="C4228" s="19">
        <v>1</v>
      </c>
      <c r="D4228" s="19" t="s">
        <v>36</v>
      </c>
      <c r="E4228" s="19">
        <v>2</v>
      </c>
      <c r="F4228" s="19">
        <v>2</v>
      </c>
      <c r="G4228" s="15" t="s">
        <v>36</v>
      </c>
      <c r="H4228" s="14">
        <v>35.85</v>
      </c>
      <c r="I4228" s="18">
        <v>26.11</v>
      </c>
      <c r="J4228" s="12" t="s">
        <v>521</v>
      </c>
      <c r="K4228" s="13" t="s">
        <v>36</v>
      </c>
      <c r="L4228" s="15" t="s">
        <v>122</v>
      </c>
      <c r="M4228" s="12" t="s">
        <v>36</v>
      </c>
      <c r="N4228" s="12" t="s">
        <v>122</v>
      </c>
      <c r="O4228" s="17" t="s">
        <v>36</v>
      </c>
      <c r="P4228" s="12" t="s">
        <v>36</v>
      </c>
      <c r="Q4228" s="12" t="s">
        <v>36</v>
      </c>
      <c r="R4228" s="12" t="s">
        <v>36</v>
      </c>
      <c r="S4228" s="12" t="s">
        <v>36</v>
      </c>
      <c r="T4228" s="12" t="s">
        <v>5772</v>
      </c>
      <c r="U4228" s="12" t="s">
        <v>96</v>
      </c>
      <c r="V4228" s="12" t="s">
        <v>52</v>
      </c>
      <c r="W4228" s="12" t="s">
        <v>20956</v>
      </c>
      <c r="X4228" s="16" t="s">
        <v>20957</v>
      </c>
      <c r="Y4228" s="15" t="s">
        <v>55</v>
      </c>
      <c r="Z4228" s="14">
        <v>2.51</v>
      </c>
      <c r="AA4228" s="14">
        <v>9.61</v>
      </c>
      <c r="AB4228" s="12" t="s">
        <v>43</v>
      </c>
      <c r="AC4228" s="12" t="s">
        <v>20958</v>
      </c>
      <c r="AD4228" s="13">
        <v>43800</v>
      </c>
      <c r="AE4228" s="12" t="s">
        <v>755</v>
      </c>
      <c r="AF4228" s="12" t="s">
        <v>885</v>
      </c>
      <c r="AG4228" s="12" t="s">
        <v>899</v>
      </c>
      <c r="AH4228" s="1">
        <f>HYPERLINK("https://my.pitchbook.com?c=137407-96T","View Company Online")</f>
      </c>
    </row>
    <row r="4229">
      <c r="A4229" s="3" t="s">
        <v>20959</v>
      </c>
      <c r="B4229" s="3" t="s">
        <v>12883</v>
      </c>
      <c r="C4229" s="5">
        <v>1</v>
      </c>
      <c r="D4229" s="5">
        <v>4</v>
      </c>
      <c r="E4229" s="5">
        <v>1</v>
      </c>
      <c r="F4229" s="5">
        <v>6</v>
      </c>
      <c r="G4229" s="6" t="s">
        <v>326</v>
      </c>
      <c r="H4229" s="4">
        <v>135.93</v>
      </c>
      <c r="I4229" s="7">
        <v>33.5</v>
      </c>
      <c r="J4229" s="3" t="s">
        <v>521</v>
      </c>
      <c r="K4229" s="9" t="s">
        <v>36</v>
      </c>
      <c r="L4229" s="6" t="s">
        <v>36</v>
      </c>
      <c r="M4229" s="3" t="s">
        <v>36</v>
      </c>
      <c r="N4229" s="3" t="s">
        <v>36</v>
      </c>
      <c r="O4229" s="8" t="s">
        <v>36</v>
      </c>
      <c r="P4229" s="3" t="s">
        <v>36</v>
      </c>
      <c r="Q4229" s="3" t="s">
        <v>36</v>
      </c>
      <c r="R4229" s="3" t="s">
        <v>36</v>
      </c>
      <c r="S4229" s="3" t="s">
        <v>36</v>
      </c>
      <c r="T4229" s="3" t="s">
        <v>12884</v>
      </c>
      <c r="U4229" s="3" t="s">
        <v>318</v>
      </c>
      <c r="V4229" s="3" t="s">
        <v>39</v>
      </c>
      <c r="W4229" s="3" t="s">
        <v>12885</v>
      </c>
      <c r="X4229" s="10" t="s">
        <v>20960</v>
      </c>
      <c r="Y4229" s="6" t="s">
        <v>108</v>
      </c>
      <c r="Z4229" s="4">
        <v>3.5</v>
      </c>
      <c r="AA4229" s="4">
        <v>10.45</v>
      </c>
      <c r="AB4229" s="3" t="s">
        <v>43</v>
      </c>
      <c r="AC4229" s="3" t="s">
        <v>12887</v>
      </c>
      <c r="AD4229" s="9">
        <v>43800</v>
      </c>
      <c r="AE4229" s="3" t="s">
        <v>763</v>
      </c>
      <c r="AF4229" s="3" t="s">
        <v>36</v>
      </c>
      <c r="AG4229" s="3" t="s">
        <v>81</v>
      </c>
      <c r="AH4229" s="11">
        <f>HYPERLINK("https://my.pitchbook.com?c=126017-56T","View Company Online")</f>
      </c>
    </row>
    <row r="4230">
      <c r="A4230" s="12" t="s">
        <v>20961</v>
      </c>
      <c r="B4230" s="12" t="s">
        <v>20962</v>
      </c>
      <c r="C4230" s="19" t="s">
        <v>36</v>
      </c>
      <c r="D4230" s="19" t="s">
        <v>36</v>
      </c>
      <c r="E4230" s="19" t="s">
        <v>36</v>
      </c>
      <c r="F4230" s="19" t="s">
        <v>36</v>
      </c>
      <c r="G4230" s="15" t="s">
        <v>36</v>
      </c>
      <c r="H4230" s="14" t="s">
        <v>36</v>
      </c>
      <c r="I4230" s="18" t="s">
        <v>36</v>
      </c>
      <c r="J4230" s="12" t="s">
        <v>36</v>
      </c>
      <c r="K4230" s="13" t="s">
        <v>36</v>
      </c>
      <c r="L4230" s="15" t="s">
        <v>36</v>
      </c>
      <c r="M4230" s="12" t="s">
        <v>36</v>
      </c>
      <c r="N4230" s="12" t="s">
        <v>36</v>
      </c>
      <c r="O4230" s="17" t="s">
        <v>36</v>
      </c>
      <c r="P4230" s="12" t="s">
        <v>36</v>
      </c>
      <c r="Q4230" s="12" t="s">
        <v>36</v>
      </c>
      <c r="R4230" s="12" t="s">
        <v>36</v>
      </c>
      <c r="S4230" s="12" t="s">
        <v>36</v>
      </c>
      <c r="T4230" s="12" t="s">
        <v>20963</v>
      </c>
      <c r="U4230" s="12" t="s">
        <v>85</v>
      </c>
      <c r="V4230" s="12" t="s">
        <v>64</v>
      </c>
      <c r="W4230" s="12" t="s">
        <v>20964</v>
      </c>
      <c r="X4230" s="16" t="s">
        <v>820</v>
      </c>
      <c r="Y4230" s="15" t="s">
        <v>42</v>
      </c>
      <c r="Z4230" s="14" t="s">
        <v>36</v>
      </c>
      <c r="AA4230" s="14" t="s">
        <v>36</v>
      </c>
      <c r="AB4230" s="12" t="s">
        <v>56</v>
      </c>
      <c r="AC4230" s="12" t="s">
        <v>20965</v>
      </c>
      <c r="AD4230" s="13">
        <v>43800</v>
      </c>
      <c r="AE4230" s="12" t="s">
        <v>89</v>
      </c>
      <c r="AF4230" s="12" t="s">
        <v>1969</v>
      </c>
      <c r="AG4230" s="12" t="s">
        <v>20966</v>
      </c>
      <c r="AH4230" s="1">
        <f>HYPERLINK("https://my.pitchbook.com?c=241356-97T","View Company Online")</f>
      </c>
    </row>
    <row r="4231">
      <c r="A4231" s="3" t="s">
        <v>20967</v>
      </c>
      <c r="B4231" s="3" t="s">
        <v>20968</v>
      </c>
      <c r="C4231" s="5" t="s">
        <v>36</v>
      </c>
      <c r="D4231" s="5">
        <v>1</v>
      </c>
      <c r="E4231" s="5">
        <v>2</v>
      </c>
      <c r="F4231" s="5">
        <v>4</v>
      </c>
      <c r="G4231" s="6" t="s">
        <v>36</v>
      </c>
      <c r="H4231" s="4" t="s">
        <v>36</v>
      </c>
      <c r="I4231" s="7" t="s">
        <v>36</v>
      </c>
      <c r="J4231" s="3" t="s">
        <v>36</v>
      </c>
      <c r="K4231" s="9" t="s">
        <v>36</v>
      </c>
      <c r="L4231" s="6" t="s">
        <v>36</v>
      </c>
      <c r="M4231" s="3" t="s">
        <v>36</v>
      </c>
      <c r="N4231" s="3" t="s">
        <v>36</v>
      </c>
      <c r="O4231" s="8" t="s">
        <v>36</v>
      </c>
      <c r="P4231" s="3" t="s">
        <v>36</v>
      </c>
      <c r="Q4231" s="3" t="s">
        <v>36</v>
      </c>
      <c r="R4231" s="3" t="s">
        <v>36</v>
      </c>
      <c r="S4231" s="3" t="s">
        <v>36</v>
      </c>
      <c r="T4231" s="3" t="s">
        <v>1701</v>
      </c>
      <c r="U4231" s="3" t="s">
        <v>74</v>
      </c>
      <c r="V4231" s="3" t="s">
        <v>75</v>
      </c>
      <c r="W4231" s="3" t="s">
        <v>20969</v>
      </c>
      <c r="X4231" s="10" t="s">
        <v>20970</v>
      </c>
      <c r="Y4231" s="6" t="s">
        <v>166</v>
      </c>
      <c r="Z4231" s="4" t="s">
        <v>36</v>
      </c>
      <c r="AA4231" s="4" t="s">
        <v>36</v>
      </c>
      <c r="AB4231" s="3" t="s">
        <v>56</v>
      </c>
      <c r="AC4231" s="3" t="s">
        <v>20971</v>
      </c>
      <c r="AD4231" s="9">
        <v>43800</v>
      </c>
      <c r="AE4231" s="3" t="s">
        <v>79</v>
      </c>
      <c r="AF4231" s="3" t="s">
        <v>3172</v>
      </c>
      <c r="AG4231" s="3" t="s">
        <v>81</v>
      </c>
      <c r="AH4231" s="11">
        <f>HYPERLINK("https://my.pitchbook.com?c=133617-16T","View Company Online")</f>
      </c>
    </row>
    <row r="4232">
      <c r="A4232" s="12" t="s">
        <v>20972</v>
      </c>
      <c r="B4232" s="12" t="s">
        <v>20973</v>
      </c>
      <c r="C4232" s="19" t="s">
        <v>36</v>
      </c>
      <c r="D4232" s="19" t="s">
        <v>36</v>
      </c>
      <c r="E4232" s="19" t="s">
        <v>36</v>
      </c>
      <c r="F4232" s="19" t="s">
        <v>36</v>
      </c>
      <c r="G4232" s="15" t="s">
        <v>36</v>
      </c>
      <c r="H4232" s="14" t="s">
        <v>36</v>
      </c>
      <c r="I4232" s="18" t="s">
        <v>36</v>
      </c>
      <c r="J4232" s="12" t="s">
        <v>36</v>
      </c>
      <c r="K4232" s="13" t="s">
        <v>36</v>
      </c>
      <c r="L4232" s="15" t="s">
        <v>36</v>
      </c>
      <c r="M4232" s="12" t="s">
        <v>36</v>
      </c>
      <c r="N4232" s="12" t="s">
        <v>36</v>
      </c>
      <c r="O4232" s="17" t="s">
        <v>36</v>
      </c>
      <c r="P4232" s="12" t="s">
        <v>36</v>
      </c>
      <c r="Q4232" s="12" t="s">
        <v>36</v>
      </c>
      <c r="R4232" s="12" t="s">
        <v>36</v>
      </c>
      <c r="S4232" s="12" t="s">
        <v>36</v>
      </c>
      <c r="T4232" s="12" t="s">
        <v>2647</v>
      </c>
      <c r="U4232" s="12" t="s">
        <v>85</v>
      </c>
      <c r="V4232" s="12" t="s">
        <v>64</v>
      </c>
      <c r="W4232" s="12" t="s">
        <v>20974</v>
      </c>
      <c r="X4232" s="16" t="s">
        <v>20975</v>
      </c>
      <c r="Y4232" s="15" t="s">
        <v>42</v>
      </c>
      <c r="Z4232" s="14" t="s">
        <v>36</v>
      </c>
      <c r="AA4232" s="14" t="s">
        <v>36</v>
      </c>
      <c r="AB4232" s="12" t="s">
        <v>56</v>
      </c>
      <c r="AC4232" s="12" t="s">
        <v>20976</v>
      </c>
      <c r="AD4232" s="13">
        <v>43800</v>
      </c>
      <c r="AE4232" s="12" t="s">
        <v>1822</v>
      </c>
      <c r="AF4232" s="12" t="s">
        <v>571</v>
      </c>
      <c r="AG4232" s="12" t="s">
        <v>1601</v>
      </c>
      <c r="AH4232" s="1">
        <f>HYPERLINK("https://my.pitchbook.com?c=184188-52T","View Company Online")</f>
      </c>
    </row>
    <row r="4233">
      <c r="A4233" s="3" t="s">
        <v>20977</v>
      </c>
      <c r="B4233" s="3" t="s">
        <v>20978</v>
      </c>
      <c r="C4233" s="5">
        <v>1</v>
      </c>
      <c r="D4233" s="5" t="s">
        <v>36</v>
      </c>
      <c r="E4233" s="5">
        <v>4</v>
      </c>
      <c r="F4233" s="5">
        <v>4</v>
      </c>
      <c r="G4233" s="6" t="s">
        <v>326</v>
      </c>
      <c r="H4233" s="4">
        <v>80.29</v>
      </c>
      <c r="I4233" s="7">
        <v>24.65</v>
      </c>
      <c r="J4233" s="3" t="s">
        <v>521</v>
      </c>
      <c r="K4233" s="9" t="s">
        <v>36</v>
      </c>
      <c r="L4233" s="6" t="s">
        <v>122</v>
      </c>
      <c r="M4233" s="3" t="s">
        <v>36</v>
      </c>
      <c r="N4233" s="3" t="s">
        <v>122</v>
      </c>
      <c r="O4233" s="8" t="s">
        <v>36</v>
      </c>
      <c r="P4233" s="3" t="s">
        <v>36</v>
      </c>
      <c r="Q4233" s="3" t="s">
        <v>36</v>
      </c>
      <c r="R4233" s="3" t="s">
        <v>36</v>
      </c>
      <c r="S4233" s="3" t="s">
        <v>36</v>
      </c>
      <c r="T4233" s="3" t="s">
        <v>760</v>
      </c>
      <c r="U4233" s="3" t="s">
        <v>318</v>
      </c>
      <c r="V4233" s="3" t="s">
        <v>39</v>
      </c>
      <c r="W4233" s="3" t="s">
        <v>20979</v>
      </c>
      <c r="X4233" s="10" t="s">
        <v>20980</v>
      </c>
      <c r="Y4233" s="6" t="s">
        <v>108</v>
      </c>
      <c r="Z4233" s="4">
        <v>3.87</v>
      </c>
      <c r="AA4233" s="4">
        <v>15.71</v>
      </c>
      <c r="AB4233" s="3" t="s">
        <v>56</v>
      </c>
      <c r="AC4233" s="3" t="s">
        <v>20981</v>
      </c>
      <c r="AD4233" s="9">
        <v>43798</v>
      </c>
      <c r="AE4233" s="3" t="s">
        <v>763</v>
      </c>
      <c r="AF4233" s="3" t="s">
        <v>6006</v>
      </c>
      <c r="AG4233" s="3" t="s">
        <v>1843</v>
      </c>
      <c r="AH4233" s="11">
        <f>HYPERLINK("https://my.pitchbook.com?c=133412-23T","View Company Online")</f>
      </c>
    </row>
    <row r="4234">
      <c r="A4234" s="12" t="s">
        <v>20982</v>
      </c>
      <c r="B4234" s="12" t="s">
        <v>20983</v>
      </c>
      <c r="C4234" s="19" t="s">
        <v>36</v>
      </c>
      <c r="D4234" s="19" t="s">
        <v>36</v>
      </c>
      <c r="E4234" s="19" t="s">
        <v>36</v>
      </c>
      <c r="F4234" s="19" t="s">
        <v>36</v>
      </c>
      <c r="G4234" s="15" t="s">
        <v>36</v>
      </c>
      <c r="H4234" s="14" t="s">
        <v>36</v>
      </c>
      <c r="I4234" s="18">
        <v>15.84</v>
      </c>
      <c r="J4234" s="12" t="s">
        <v>521</v>
      </c>
      <c r="K4234" s="13" t="s">
        <v>36</v>
      </c>
      <c r="L4234" s="15" t="s">
        <v>36</v>
      </c>
      <c r="M4234" s="12" t="s">
        <v>36</v>
      </c>
      <c r="N4234" s="12" t="s">
        <v>36</v>
      </c>
      <c r="O4234" s="17" t="s">
        <v>36</v>
      </c>
      <c r="P4234" s="12" t="s">
        <v>36</v>
      </c>
      <c r="Q4234" s="12" t="s">
        <v>36</v>
      </c>
      <c r="R4234" s="12" t="s">
        <v>36</v>
      </c>
      <c r="S4234" s="12" t="s">
        <v>36</v>
      </c>
      <c r="T4234" s="12" t="s">
        <v>15412</v>
      </c>
      <c r="U4234" s="12" t="s">
        <v>38</v>
      </c>
      <c r="V4234" s="12" t="s">
        <v>39</v>
      </c>
      <c r="W4234" s="12" t="s">
        <v>20984</v>
      </c>
      <c r="X4234" s="16" t="s">
        <v>20599</v>
      </c>
      <c r="Y4234" s="15" t="s">
        <v>42</v>
      </c>
      <c r="Z4234" s="14">
        <v>1.11</v>
      </c>
      <c r="AA4234" s="14">
        <v>6.99</v>
      </c>
      <c r="AB4234" s="12" t="s">
        <v>43</v>
      </c>
      <c r="AC4234" s="12" t="s">
        <v>20985</v>
      </c>
      <c r="AD4234" s="13">
        <v>43797</v>
      </c>
      <c r="AE4234" s="12" t="s">
        <v>110</v>
      </c>
      <c r="AF4234" s="12" t="s">
        <v>20986</v>
      </c>
      <c r="AG4234" s="12" t="s">
        <v>81</v>
      </c>
      <c r="AH4234" s="1">
        <f>HYPERLINK("https://my.pitchbook.com?c=160136-38T","View Company Online")</f>
      </c>
    </row>
    <row r="4235">
      <c r="A4235" s="3" t="s">
        <v>20987</v>
      </c>
      <c r="B4235" s="3" t="s">
        <v>20988</v>
      </c>
      <c r="C4235" s="5" t="s">
        <v>36</v>
      </c>
      <c r="D4235" s="5" t="s">
        <v>36</v>
      </c>
      <c r="E4235" s="5" t="s">
        <v>36</v>
      </c>
      <c r="F4235" s="5" t="s">
        <v>36</v>
      </c>
      <c r="G4235" s="6" t="s">
        <v>36</v>
      </c>
      <c r="H4235" s="4">
        <v>19.43</v>
      </c>
      <c r="I4235" s="7">
        <v>16.52</v>
      </c>
      <c r="J4235" s="3" t="s">
        <v>521</v>
      </c>
      <c r="K4235" s="9" t="s">
        <v>36</v>
      </c>
      <c r="L4235" s="6" t="s">
        <v>122</v>
      </c>
      <c r="M4235" s="3" t="s">
        <v>36</v>
      </c>
      <c r="N4235" s="3" t="s">
        <v>122</v>
      </c>
      <c r="O4235" s="8" t="s">
        <v>36</v>
      </c>
      <c r="P4235" s="3" t="s">
        <v>36</v>
      </c>
      <c r="Q4235" s="3" t="s">
        <v>36</v>
      </c>
      <c r="R4235" s="3" t="s">
        <v>36</v>
      </c>
      <c r="S4235" s="3" t="s">
        <v>36</v>
      </c>
      <c r="T4235" s="3" t="s">
        <v>123</v>
      </c>
      <c r="U4235" s="3" t="s">
        <v>38</v>
      </c>
      <c r="V4235" s="3" t="s">
        <v>39</v>
      </c>
      <c r="W4235" s="3" t="s">
        <v>20989</v>
      </c>
      <c r="X4235" s="10" t="s">
        <v>20990</v>
      </c>
      <c r="Y4235" s="6" t="s">
        <v>42</v>
      </c>
      <c r="Z4235" s="4">
        <v>13.28</v>
      </c>
      <c r="AA4235" s="4">
        <v>53.57</v>
      </c>
      <c r="AB4235" s="3" t="s">
        <v>56</v>
      </c>
      <c r="AC4235" s="3" t="s">
        <v>20991</v>
      </c>
      <c r="AD4235" s="9">
        <v>43797</v>
      </c>
      <c r="AE4235" s="3" t="s">
        <v>110</v>
      </c>
      <c r="AF4235" s="3" t="s">
        <v>176</v>
      </c>
      <c r="AG4235" s="3" t="s">
        <v>81</v>
      </c>
      <c r="AH4235" s="11">
        <f>HYPERLINK("https://my.pitchbook.com?c=126626-95T","View Company Online")</f>
      </c>
    </row>
    <row r="4236">
      <c r="A4236" s="12" t="s">
        <v>20992</v>
      </c>
      <c r="B4236" s="12" t="s">
        <v>20993</v>
      </c>
      <c r="C4236" s="19">
        <v>2</v>
      </c>
      <c r="D4236" s="19">
        <v>23</v>
      </c>
      <c r="E4236" s="19">
        <v>6</v>
      </c>
      <c r="F4236" s="19">
        <v>29</v>
      </c>
      <c r="G4236" s="15" t="s">
        <v>36</v>
      </c>
      <c r="H4236" s="14">
        <v>0.39</v>
      </c>
      <c r="I4236" s="18">
        <v>36.79</v>
      </c>
      <c r="J4236" s="12" t="s">
        <v>521</v>
      </c>
      <c r="K4236" s="13" t="s">
        <v>36</v>
      </c>
      <c r="L4236" s="15" t="s">
        <v>36</v>
      </c>
      <c r="M4236" s="12" t="s">
        <v>36</v>
      </c>
      <c r="N4236" s="12" t="s">
        <v>36</v>
      </c>
      <c r="O4236" s="17" t="s">
        <v>36</v>
      </c>
      <c r="P4236" s="12" t="s">
        <v>36</v>
      </c>
      <c r="Q4236" s="12" t="s">
        <v>36</v>
      </c>
      <c r="R4236" s="12" t="s">
        <v>36</v>
      </c>
      <c r="S4236" s="12" t="s">
        <v>20994</v>
      </c>
      <c r="T4236" s="12" t="s">
        <v>20995</v>
      </c>
      <c r="U4236" s="12" t="s">
        <v>38</v>
      </c>
      <c r="V4236" s="12" t="s">
        <v>39</v>
      </c>
      <c r="W4236" s="12" t="s">
        <v>20996</v>
      </c>
      <c r="X4236" s="16" t="s">
        <v>20997</v>
      </c>
      <c r="Y4236" s="15" t="s">
        <v>42</v>
      </c>
      <c r="Z4236" s="14">
        <v>2.21</v>
      </c>
      <c r="AA4236" s="14">
        <v>4.51</v>
      </c>
      <c r="AB4236" s="12" t="s">
        <v>43</v>
      </c>
      <c r="AC4236" s="12" t="s">
        <v>20998</v>
      </c>
      <c r="AD4236" s="13">
        <v>43795</v>
      </c>
      <c r="AE4236" s="12" t="s">
        <v>339</v>
      </c>
      <c r="AF4236" s="12" t="s">
        <v>4605</v>
      </c>
      <c r="AG4236" s="12" t="s">
        <v>1525</v>
      </c>
      <c r="AH4236" s="1">
        <f>HYPERLINK("https://my.pitchbook.com?c=135413-74T","View Company Online")</f>
      </c>
    </row>
    <row r="4237">
      <c r="A4237" s="3" t="s">
        <v>20999</v>
      </c>
      <c r="B4237" s="3" t="s">
        <v>3831</v>
      </c>
      <c r="C4237" s="5">
        <v>9</v>
      </c>
      <c r="D4237" s="5">
        <v>10</v>
      </c>
      <c r="E4237" s="5">
        <v>5</v>
      </c>
      <c r="F4237" s="5">
        <v>19</v>
      </c>
      <c r="G4237" s="6" t="s">
        <v>36</v>
      </c>
      <c r="H4237" s="4" t="s">
        <v>36</v>
      </c>
      <c r="I4237" s="7" t="s">
        <v>36</v>
      </c>
      <c r="J4237" s="3" t="s">
        <v>36</v>
      </c>
      <c r="K4237" s="9" t="s">
        <v>36</v>
      </c>
      <c r="L4237" s="6" t="s">
        <v>36</v>
      </c>
      <c r="M4237" s="3" t="s">
        <v>36</v>
      </c>
      <c r="N4237" s="3" t="s">
        <v>36</v>
      </c>
      <c r="O4237" s="8" t="s">
        <v>36</v>
      </c>
      <c r="P4237" s="3" t="s">
        <v>36</v>
      </c>
      <c r="Q4237" s="3" t="s">
        <v>36</v>
      </c>
      <c r="R4237" s="3" t="s">
        <v>36</v>
      </c>
      <c r="S4237" s="3" t="s">
        <v>36</v>
      </c>
      <c r="T4237" s="3" t="s">
        <v>2213</v>
      </c>
      <c r="U4237" s="3" t="s">
        <v>219</v>
      </c>
      <c r="V4237" s="3" t="s">
        <v>75</v>
      </c>
      <c r="W4237" s="3" t="s">
        <v>3832</v>
      </c>
      <c r="X4237" s="10" t="s">
        <v>21000</v>
      </c>
      <c r="Y4237" s="6" t="s">
        <v>108</v>
      </c>
      <c r="Z4237" s="4">
        <v>6.64</v>
      </c>
      <c r="AA4237" s="4" t="s">
        <v>36</v>
      </c>
      <c r="AB4237" s="3" t="s">
        <v>43</v>
      </c>
      <c r="AC4237" s="3" t="s">
        <v>3834</v>
      </c>
      <c r="AD4237" s="9">
        <v>43795</v>
      </c>
      <c r="AE4237" s="3" t="s">
        <v>1912</v>
      </c>
      <c r="AF4237" s="3" t="s">
        <v>372</v>
      </c>
      <c r="AG4237" s="3" t="s">
        <v>3835</v>
      </c>
      <c r="AH4237" s="11">
        <f>HYPERLINK("https://my.pitchbook.com?c=208284-67T","View Company Online")</f>
      </c>
    </row>
    <row r="4238">
      <c r="A4238" s="12" t="s">
        <v>21001</v>
      </c>
      <c r="B4238" s="12" t="s">
        <v>11196</v>
      </c>
      <c r="C4238" s="19" t="s">
        <v>36</v>
      </c>
      <c r="D4238" s="19" t="s">
        <v>36</v>
      </c>
      <c r="E4238" s="19" t="s">
        <v>36</v>
      </c>
      <c r="F4238" s="19" t="s">
        <v>36</v>
      </c>
      <c r="G4238" s="15" t="s">
        <v>36</v>
      </c>
      <c r="H4238" s="14">
        <v>658.84</v>
      </c>
      <c r="I4238" s="18">
        <v>12.02</v>
      </c>
      <c r="J4238" s="12" t="s">
        <v>521</v>
      </c>
      <c r="K4238" s="13" t="s">
        <v>36</v>
      </c>
      <c r="L4238" s="15" t="s">
        <v>36</v>
      </c>
      <c r="M4238" s="12" t="s">
        <v>36</v>
      </c>
      <c r="N4238" s="12" t="s">
        <v>36</v>
      </c>
      <c r="O4238" s="17" t="s">
        <v>36</v>
      </c>
      <c r="P4238" s="12" t="s">
        <v>36</v>
      </c>
      <c r="Q4238" s="12" t="s">
        <v>36</v>
      </c>
      <c r="R4238" s="12" t="s">
        <v>36</v>
      </c>
      <c r="S4238" s="12" t="s">
        <v>36</v>
      </c>
      <c r="T4238" s="12" t="s">
        <v>5302</v>
      </c>
      <c r="U4238" s="12" t="s">
        <v>74</v>
      </c>
      <c r="V4238" s="12" t="s">
        <v>75</v>
      </c>
      <c r="W4238" s="12" t="s">
        <v>11197</v>
      </c>
      <c r="X4238" s="16" t="s">
        <v>10894</v>
      </c>
      <c r="Y4238" s="15" t="s">
        <v>42</v>
      </c>
      <c r="Z4238" s="14">
        <v>0.17</v>
      </c>
      <c r="AA4238" s="14">
        <v>1.38</v>
      </c>
      <c r="AB4238" s="12" t="s">
        <v>43</v>
      </c>
      <c r="AC4238" s="12" t="s">
        <v>11199</v>
      </c>
      <c r="AD4238" s="13">
        <v>43795</v>
      </c>
      <c r="AE4238" s="12" t="s">
        <v>362</v>
      </c>
      <c r="AF4238" s="12" t="s">
        <v>250</v>
      </c>
      <c r="AG4238" s="12" t="s">
        <v>1479</v>
      </c>
      <c r="AH4238" s="1">
        <f>HYPERLINK("https://my.pitchbook.com?c=132331-60T","View Company Online")</f>
      </c>
    </row>
    <row r="4239">
      <c r="A4239" s="3" t="s">
        <v>21002</v>
      </c>
      <c r="B4239" s="3" t="s">
        <v>21003</v>
      </c>
      <c r="C4239" s="5" t="s">
        <v>36</v>
      </c>
      <c r="D4239" s="5" t="s">
        <v>36</v>
      </c>
      <c r="E4239" s="5" t="s">
        <v>36</v>
      </c>
      <c r="F4239" s="5" t="s">
        <v>36</v>
      </c>
      <c r="G4239" s="6" t="s">
        <v>326</v>
      </c>
      <c r="H4239" s="4">
        <v>243.6</v>
      </c>
      <c r="I4239" s="7">
        <v>38.46</v>
      </c>
      <c r="J4239" s="3" t="s">
        <v>521</v>
      </c>
      <c r="K4239" s="9" t="s">
        <v>36</v>
      </c>
      <c r="L4239" s="6" t="s">
        <v>36</v>
      </c>
      <c r="M4239" s="3" t="s">
        <v>36</v>
      </c>
      <c r="N4239" s="3" t="s">
        <v>36</v>
      </c>
      <c r="O4239" s="8" t="s">
        <v>36</v>
      </c>
      <c r="P4239" s="3" t="s">
        <v>36</v>
      </c>
      <c r="Q4239" s="3" t="s">
        <v>36</v>
      </c>
      <c r="R4239" s="3" t="s">
        <v>36</v>
      </c>
      <c r="S4239" s="3" t="s">
        <v>36</v>
      </c>
      <c r="T4239" s="3" t="s">
        <v>21004</v>
      </c>
      <c r="U4239" s="3" t="s">
        <v>74</v>
      </c>
      <c r="V4239" s="3" t="s">
        <v>75</v>
      </c>
      <c r="W4239" s="3" t="s">
        <v>21005</v>
      </c>
      <c r="X4239" s="10" t="s">
        <v>21006</v>
      </c>
      <c r="Y4239" s="6" t="s">
        <v>42</v>
      </c>
      <c r="Z4239" s="4">
        <v>2.77</v>
      </c>
      <c r="AA4239" s="4">
        <v>5.92</v>
      </c>
      <c r="AB4239" s="3" t="s">
        <v>43</v>
      </c>
      <c r="AC4239" s="3" t="s">
        <v>21007</v>
      </c>
      <c r="AD4239" s="9">
        <v>43795</v>
      </c>
      <c r="AE4239" s="3" t="s">
        <v>1243</v>
      </c>
      <c r="AF4239" s="3" t="s">
        <v>1115</v>
      </c>
      <c r="AG4239" s="3" t="s">
        <v>81</v>
      </c>
      <c r="AH4239" s="11">
        <f>HYPERLINK("https://my.pitchbook.com?c=125304-58T","View Company Online")</f>
      </c>
    </row>
    <row r="4240">
      <c r="A4240" s="12" t="s">
        <v>21008</v>
      </c>
      <c r="B4240" s="12" t="s">
        <v>15332</v>
      </c>
      <c r="C4240" s="19" t="s">
        <v>36</v>
      </c>
      <c r="D4240" s="19" t="s">
        <v>36</v>
      </c>
      <c r="E4240" s="19" t="s">
        <v>36</v>
      </c>
      <c r="F4240" s="19" t="s">
        <v>36</v>
      </c>
      <c r="G4240" s="15" t="s">
        <v>326</v>
      </c>
      <c r="H4240" s="14">
        <v>518.51</v>
      </c>
      <c r="I4240" s="18">
        <v>37.89</v>
      </c>
      <c r="J4240" s="12" t="s">
        <v>521</v>
      </c>
      <c r="K4240" s="13" t="s">
        <v>36</v>
      </c>
      <c r="L4240" s="15" t="s">
        <v>36</v>
      </c>
      <c r="M4240" s="12" t="s">
        <v>36</v>
      </c>
      <c r="N4240" s="12" t="s">
        <v>36</v>
      </c>
      <c r="O4240" s="17" t="s">
        <v>36</v>
      </c>
      <c r="P4240" s="12" t="s">
        <v>36</v>
      </c>
      <c r="Q4240" s="12" t="s">
        <v>36</v>
      </c>
      <c r="R4240" s="12" t="s">
        <v>36</v>
      </c>
      <c r="S4240" s="12" t="s">
        <v>6677</v>
      </c>
      <c r="T4240" s="12" t="s">
        <v>6288</v>
      </c>
      <c r="U4240" s="12" t="s">
        <v>85</v>
      </c>
      <c r="V4240" s="12" t="s">
        <v>64</v>
      </c>
      <c r="W4240" s="12" t="s">
        <v>15333</v>
      </c>
      <c r="X4240" s="16" t="s">
        <v>21009</v>
      </c>
      <c r="Y4240" s="15" t="s">
        <v>108</v>
      </c>
      <c r="Z4240" s="14">
        <v>5.54</v>
      </c>
      <c r="AA4240" s="14">
        <v>13.2</v>
      </c>
      <c r="AB4240" s="12" t="s">
        <v>43</v>
      </c>
      <c r="AC4240" s="12" t="s">
        <v>15335</v>
      </c>
      <c r="AD4240" s="13">
        <v>43794</v>
      </c>
      <c r="AE4240" s="12" t="s">
        <v>89</v>
      </c>
      <c r="AF4240" s="12" t="s">
        <v>15336</v>
      </c>
      <c r="AG4240" s="12" t="s">
        <v>81</v>
      </c>
      <c r="AH4240" s="1">
        <f>HYPERLINK("https://my.pitchbook.com?c=126978-40T","View Company Online")</f>
      </c>
    </row>
    <row r="4241">
      <c r="A4241" s="3" t="s">
        <v>21010</v>
      </c>
      <c r="B4241" s="3" t="s">
        <v>21011</v>
      </c>
      <c r="C4241" s="5" t="s">
        <v>36</v>
      </c>
      <c r="D4241" s="5" t="s">
        <v>36</v>
      </c>
      <c r="E4241" s="5" t="s">
        <v>36</v>
      </c>
      <c r="F4241" s="5" t="s">
        <v>36</v>
      </c>
      <c r="G4241" s="6" t="s">
        <v>36</v>
      </c>
      <c r="H4241" s="4" t="s">
        <v>36</v>
      </c>
      <c r="I4241" s="7" t="s">
        <v>36</v>
      </c>
      <c r="J4241" s="3" t="s">
        <v>36</v>
      </c>
      <c r="K4241" s="9" t="s">
        <v>36</v>
      </c>
      <c r="L4241" s="6" t="s">
        <v>36</v>
      </c>
      <c r="M4241" s="3" t="s">
        <v>36</v>
      </c>
      <c r="N4241" s="3" t="s">
        <v>36</v>
      </c>
      <c r="O4241" s="8" t="s">
        <v>36</v>
      </c>
      <c r="P4241" s="3" t="s">
        <v>36</v>
      </c>
      <c r="Q4241" s="3" t="s">
        <v>36</v>
      </c>
      <c r="R4241" s="3" t="s">
        <v>36</v>
      </c>
      <c r="S4241" s="3" t="s">
        <v>36</v>
      </c>
      <c r="T4241" s="3" t="s">
        <v>123</v>
      </c>
      <c r="U4241" s="3" t="s">
        <v>38</v>
      </c>
      <c r="V4241" s="3" t="s">
        <v>39</v>
      </c>
      <c r="W4241" s="3" t="s">
        <v>21012</v>
      </c>
      <c r="X4241" s="10" t="s">
        <v>21013</v>
      </c>
      <c r="Y4241" s="6" t="s">
        <v>108</v>
      </c>
      <c r="Z4241" s="4">
        <v>0.78</v>
      </c>
      <c r="AA4241" s="4" t="s">
        <v>36</v>
      </c>
      <c r="AB4241" s="3" t="s">
        <v>43</v>
      </c>
      <c r="AC4241" s="3" t="s">
        <v>21014</v>
      </c>
      <c r="AD4241" s="9">
        <v>43794</v>
      </c>
      <c r="AE4241" s="3" t="s">
        <v>110</v>
      </c>
      <c r="AF4241" s="3" t="s">
        <v>815</v>
      </c>
      <c r="AG4241" s="3" t="s">
        <v>21015</v>
      </c>
      <c r="AH4241" s="11">
        <f>HYPERLINK("https://my.pitchbook.com?c=138801-88T","View Company Online")</f>
      </c>
    </row>
    <row r="4242">
      <c r="A4242" s="12" t="s">
        <v>21016</v>
      </c>
      <c r="B4242" s="12" t="s">
        <v>8699</v>
      </c>
      <c r="C4242" s="19">
        <v>2</v>
      </c>
      <c r="D4242" s="19">
        <v>10</v>
      </c>
      <c r="E4242" s="19">
        <v>4</v>
      </c>
      <c r="F4242" s="19">
        <v>12</v>
      </c>
      <c r="G4242" s="15" t="s">
        <v>683</v>
      </c>
      <c r="H4242" s="14">
        <v>456.47</v>
      </c>
      <c r="I4242" s="18">
        <v>16.47</v>
      </c>
      <c r="J4242" s="12" t="s">
        <v>521</v>
      </c>
      <c r="K4242" s="13" t="s">
        <v>36</v>
      </c>
      <c r="L4242" s="15" t="s">
        <v>36</v>
      </c>
      <c r="M4242" s="12" t="s">
        <v>36</v>
      </c>
      <c r="N4242" s="12" t="s">
        <v>36</v>
      </c>
      <c r="O4242" s="17" t="s">
        <v>36</v>
      </c>
      <c r="P4242" s="12" t="s">
        <v>36</v>
      </c>
      <c r="Q4242" s="12" t="s">
        <v>36</v>
      </c>
      <c r="R4242" s="12" t="s">
        <v>36</v>
      </c>
      <c r="S4242" s="12" t="s">
        <v>36</v>
      </c>
      <c r="T4242" s="12" t="s">
        <v>8700</v>
      </c>
      <c r="U4242" s="12" t="s">
        <v>833</v>
      </c>
      <c r="V4242" s="12" t="s">
        <v>64</v>
      </c>
      <c r="W4242" s="12" t="s">
        <v>8701</v>
      </c>
      <c r="X4242" s="16" t="s">
        <v>8702</v>
      </c>
      <c r="Y4242" s="15" t="s">
        <v>55</v>
      </c>
      <c r="Z4242" s="14">
        <v>0.89</v>
      </c>
      <c r="AA4242" s="14">
        <v>5.38</v>
      </c>
      <c r="AB4242" s="12" t="s">
        <v>56</v>
      </c>
      <c r="AC4242" s="12" t="s">
        <v>8703</v>
      </c>
      <c r="AD4242" s="13">
        <v>43794</v>
      </c>
      <c r="AE4242" s="12" t="s">
        <v>1069</v>
      </c>
      <c r="AF4242" s="12" t="s">
        <v>36</v>
      </c>
      <c r="AG4242" s="12" t="s">
        <v>81</v>
      </c>
      <c r="AH4242" s="1">
        <f>HYPERLINK("https://my.pitchbook.com?c=186058-09T","View Company Online")</f>
      </c>
    </row>
    <row r="4243">
      <c r="A4243" s="3" t="s">
        <v>21017</v>
      </c>
      <c r="B4243" s="3" t="s">
        <v>14635</v>
      </c>
      <c r="C4243" s="5" t="s">
        <v>36</v>
      </c>
      <c r="D4243" s="5" t="s">
        <v>36</v>
      </c>
      <c r="E4243" s="5" t="s">
        <v>36</v>
      </c>
      <c r="F4243" s="5" t="s">
        <v>36</v>
      </c>
      <c r="G4243" s="6" t="s">
        <v>36</v>
      </c>
      <c r="H4243" s="4">
        <v>55.28</v>
      </c>
      <c r="I4243" s="7">
        <v>28.08</v>
      </c>
      <c r="J4243" s="3" t="s">
        <v>521</v>
      </c>
      <c r="K4243" s="9" t="s">
        <v>36</v>
      </c>
      <c r="L4243" s="6" t="s">
        <v>36</v>
      </c>
      <c r="M4243" s="3" t="s">
        <v>36</v>
      </c>
      <c r="N4243" s="3" t="s">
        <v>36</v>
      </c>
      <c r="O4243" s="8" t="s">
        <v>36</v>
      </c>
      <c r="P4243" s="3" t="s">
        <v>36</v>
      </c>
      <c r="Q4243" s="3" t="s">
        <v>36</v>
      </c>
      <c r="R4243" s="3" t="s">
        <v>36</v>
      </c>
      <c r="S4243" s="3" t="s">
        <v>36</v>
      </c>
      <c r="T4243" s="3" t="s">
        <v>14636</v>
      </c>
      <c r="U4243" s="3" t="s">
        <v>423</v>
      </c>
      <c r="V4243" s="3" t="s">
        <v>64</v>
      </c>
      <c r="W4243" s="3" t="s">
        <v>14637</v>
      </c>
      <c r="X4243" s="10" t="s">
        <v>21018</v>
      </c>
      <c r="Y4243" s="6" t="s">
        <v>42</v>
      </c>
      <c r="Z4243" s="4">
        <v>3.88</v>
      </c>
      <c r="AA4243" s="4">
        <v>10.16</v>
      </c>
      <c r="AB4243" s="3" t="s">
        <v>43</v>
      </c>
      <c r="AC4243" s="3" t="s">
        <v>14639</v>
      </c>
      <c r="AD4243" s="9">
        <v>43794</v>
      </c>
      <c r="AE4243" s="3" t="s">
        <v>562</v>
      </c>
      <c r="AF4243" s="3" t="s">
        <v>1977</v>
      </c>
      <c r="AG4243" s="3" t="s">
        <v>5504</v>
      </c>
      <c r="AH4243" s="11">
        <f>HYPERLINK("https://my.pitchbook.com?c=128518-21T","View Company Online")</f>
      </c>
    </row>
    <row r="4244">
      <c r="A4244" s="12" t="s">
        <v>21019</v>
      </c>
      <c r="B4244" s="12" t="s">
        <v>15068</v>
      </c>
      <c r="C4244" s="19">
        <v>1</v>
      </c>
      <c r="D4244" s="19">
        <v>3</v>
      </c>
      <c r="E4244" s="19">
        <v>4</v>
      </c>
      <c r="F4244" s="19">
        <v>4</v>
      </c>
      <c r="G4244" s="15" t="s">
        <v>36</v>
      </c>
      <c r="H4244" s="14">
        <v>970.62</v>
      </c>
      <c r="I4244" s="18">
        <v>9.48</v>
      </c>
      <c r="J4244" s="12" t="s">
        <v>521</v>
      </c>
      <c r="K4244" s="13" t="s">
        <v>36</v>
      </c>
      <c r="L4244" s="15" t="s">
        <v>36</v>
      </c>
      <c r="M4244" s="12" t="s">
        <v>36</v>
      </c>
      <c r="N4244" s="12" t="s">
        <v>36</v>
      </c>
      <c r="O4244" s="17" t="s">
        <v>36</v>
      </c>
      <c r="P4244" s="12" t="s">
        <v>36</v>
      </c>
      <c r="Q4244" s="12" t="s">
        <v>36</v>
      </c>
      <c r="R4244" s="12" t="s">
        <v>36</v>
      </c>
      <c r="S4244" s="12" t="s">
        <v>36</v>
      </c>
      <c r="T4244" s="12" t="s">
        <v>15069</v>
      </c>
      <c r="U4244" s="12" t="s">
        <v>38</v>
      </c>
      <c r="V4244" s="12" t="s">
        <v>39</v>
      </c>
      <c r="W4244" s="12" t="s">
        <v>15070</v>
      </c>
      <c r="X4244" s="16" t="s">
        <v>20599</v>
      </c>
      <c r="Y4244" s="15" t="s">
        <v>192</v>
      </c>
      <c r="Z4244" s="14">
        <v>0.23</v>
      </c>
      <c r="AA4244" s="14">
        <v>2.45</v>
      </c>
      <c r="AB4244" s="12" t="s">
        <v>43</v>
      </c>
      <c r="AC4244" s="12" t="s">
        <v>15072</v>
      </c>
      <c r="AD4244" s="13">
        <v>43792</v>
      </c>
      <c r="AE4244" s="12" t="s">
        <v>554</v>
      </c>
      <c r="AF4244" s="12" t="s">
        <v>15073</v>
      </c>
      <c r="AG4244" s="12" t="s">
        <v>81</v>
      </c>
      <c r="AH4244" s="1">
        <f>HYPERLINK("https://my.pitchbook.com?c=140490-73T","View Company Online")</f>
      </c>
    </row>
    <row r="4245">
      <c r="A4245" s="3" t="s">
        <v>21020</v>
      </c>
      <c r="B4245" s="3" t="s">
        <v>4202</v>
      </c>
      <c r="C4245" s="5" t="s">
        <v>36</v>
      </c>
      <c r="D4245" s="5" t="s">
        <v>36</v>
      </c>
      <c r="E4245" s="5" t="s">
        <v>36</v>
      </c>
      <c r="F4245" s="5" t="s">
        <v>36</v>
      </c>
      <c r="G4245" s="6" t="s">
        <v>326</v>
      </c>
      <c r="H4245" s="4">
        <v>192.08</v>
      </c>
      <c r="I4245" s="7">
        <v>28.15</v>
      </c>
      <c r="J4245" s="3" t="s">
        <v>521</v>
      </c>
      <c r="K4245" s="9" t="s">
        <v>36</v>
      </c>
      <c r="L4245" s="6" t="s">
        <v>36</v>
      </c>
      <c r="M4245" s="3" t="s">
        <v>36</v>
      </c>
      <c r="N4245" s="3" t="s">
        <v>36</v>
      </c>
      <c r="O4245" s="8" t="s">
        <v>36</v>
      </c>
      <c r="P4245" s="3" t="s">
        <v>36</v>
      </c>
      <c r="Q4245" s="3" t="s">
        <v>36</v>
      </c>
      <c r="R4245" s="3" t="s">
        <v>36</v>
      </c>
      <c r="S4245" s="3" t="s">
        <v>36</v>
      </c>
      <c r="T4245" s="3" t="s">
        <v>818</v>
      </c>
      <c r="U4245" s="3" t="s">
        <v>74</v>
      </c>
      <c r="V4245" s="3" t="s">
        <v>75</v>
      </c>
      <c r="W4245" s="3" t="s">
        <v>4203</v>
      </c>
      <c r="X4245" s="10" t="s">
        <v>21021</v>
      </c>
      <c r="Y4245" s="6" t="s">
        <v>108</v>
      </c>
      <c r="Z4245" s="4">
        <v>1.11</v>
      </c>
      <c r="AA4245" s="4">
        <v>3.51</v>
      </c>
      <c r="AB4245" s="3" t="s">
        <v>43</v>
      </c>
      <c r="AC4245" s="3" t="s">
        <v>4205</v>
      </c>
      <c r="AD4245" s="9">
        <v>43791</v>
      </c>
      <c r="AE4245" s="3" t="s">
        <v>570</v>
      </c>
      <c r="AF4245" s="3" t="s">
        <v>982</v>
      </c>
      <c r="AG4245" s="3" t="s">
        <v>81</v>
      </c>
      <c r="AH4245" s="11">
        <f>HYPERLINK("https://my.pitchbook.com?c=131504-41T","View Company Online")</f>
      </c>
    </row>
    <row r="4246">
      <c r="A4246" s="12" t="s">
        <v>21022</v>
      </c>
      <c r="B4246" s="12" t="s">
        <v>21023</v>
      </c>
      <c r="C4246" s="19" t="s">
        <v>36</v>
      </c>
      <c r="D4246" s="19" t="s">
        <v>36</v>
      </c>
      <c r="E4246" s="19" t="s">
        <v>36</v>
      </c>
      <c r="F4246" s="19" t="s">
        <v>36</v>
      </c>
      <c r="G4246" s="15" t="s">
        <v>36</v>
      </c>
      <c r="H4246" s="14">
        <v>71.92</v>
      </c>
      <c r="I4246" s="18">
        <v>21.18</v>
      </c>
      <c r="J4246" s="12" t="s">
        <v>521</v>
      </c>
      <c r="K4246" s="13" t="s">
        <v>36</v>
      </c>
      <c r="L4246" s="15" t="s">
        <v>36</v>
      </c>
      <c r="M4246" s="12" t="s">
        <v>36</v>
      </c>
      <c r="N4246" s="12" t="s">
        <v>36</v>
      </c>
      <c r="O4246" s="17" t="s">
        <v>36</v>
      </c>
      <c r="P4246" s="12" t="s">
        <v>36</v>
      </c>
      <c r="Q4246" s="12" t="s">
        <v>36</v>
      </c>
      <c r="R4246" s="12" t="s">
        <v>36</v>
      </c>
      <c r="S4246" s="12" t="s">
        <v>36</v>
      </c>
      <c r="T4246" s="12" t="s">
        <v>1701</v>
      </c>
      <c r="U4246" s="12" t="s">
        <v>74</v>
      </c>
      <c r="V4246" s="12" t="s">
        <v>75</v>
      </c>
      <c r="W4246" s="12" t="s">
        <v>21024</v>
      </c>
      <c r="X4246" s="16" t="s">
        <v>2455</v>
      </c>
      <c r="Y4246" s="15" t="s">
        <v>42</v>
      </c>
      <c r="Z4246" s="14">
        <v>3.32</v>
      </c>
      <c r="AA4246" s="14">
        <v>15.69</v>
      </c>
      <c r="AB4246" s="12" t="s">
        <v>43</v>
      </c>
      <c r="AC4246" s="12" t="s">
        <v>21025</v>
      </c>
      <c r="AD4246" s="13">
        <v>43791</v>
      </c>
      <c r="AE4246" s="12" t="s">
        <v>79</v>
      </c>
      <c r="AF4246" s="12" t="s">
        <v>2759</v>
      </c>
      <c r="AG4246" s="12" t="s">
        <v>81</v>
      </c>
      <c r="AH4246" s="1">
        <f>HYPERLINK("https://my.pitchbook.com?c=127013-50T","View Company Online")</f>
      </c>
    </row>
    <row r="4247">
      <c r="A4247" s="3" t="s">
        <v>21026</v>
      </c>
      <c r="B4247" s="3" t="s">
        <v>21027</v>
      </c>
      <c r="C4247" s="5" t="s">
        <v>36</v>
      </c>
      <c r="D4247" s="5">
        <v>1</v>
      </c>
      <c r="E4247" s="5">
        <v>1</v>
      </c>
      <c r="F4247" s="5">
        <v>2</v>
      </c>
      <c r="G4247" s="6" t="s">
        <v>36</v>
      </c>
      <c r="H4247" s="4">
        <v>49.27</v>
      </c>
      <c r="I4247" s="7">
        <v>21.45</v>
      </c>
      <c r="J4247" s="3" t="s">
        <v>521</v>
      </c>
      <c r="K4247" s="9" t="s">
        <v>36</v>
      </c>
      <c r="L4247" s="6" t="s">
        <v>36</v>
      </c>
      <c r="M4247" s="3" t="s">
        <v>36</v>
      </c>
      <c r="N4247" s="3" t="s">
        <v>36</v>
      </c>
      <c r="O4247" s="8" t="s">
        <v>36</v>
      </c>
      <c r="P4247" s="3" t="s">
        <v>36</v>
      </c>
      <c r="Q4247" s="3" t="s">
        <v>36</v>
      </c>
      <c r="R4247" s="3" t="s">
        <v>36</v>
      </c>
      <c r="S4247" s="3" t="s">
        <v>10617</v>
      </c>
      <c r="T4247" s="3" t="s">
        <v>2308</v>
      </c>
      <c r="U4247" s="3" t="s">
        <v>38</v>
      </c>
      <c r="V4247" s="3" t="s">
        <v>39</v>
      </c>
      <c r="W4247" s="3" t="s">
        <v>21028</v>
      </c>
      <c r="X4247" s="10" t="s">
        <v>21029</v>
      </c>
      <c r="Y4247" s="6" t="s">
        <v>42</v>
      </c>
      <c r="Z4247" s="4">
        <v>1.11</v>
      </c>
      <c r="AA4247" s="4">
        <v>5.17</v>
      </c>
      <c r="AB4247" s="3" t="s">
        <v>43</v>
      </c>
      <c r="AC4247" s="3" t="s">
        <v>21030</v>
      </c>
      <c r="AD4247" s="9">
        <v>43790</v>
      </c>
      <c r="AE4247" s="3" t="s">
        <v>45</v>
      </c>
      <c r="AF4247" s="3" t="s">
        <v>21031</v>
      </c>
      <c r="AG4247" s="3" t="s">
        <v>81</v>
      </c>
      <c r="AH4247" s="11">
        <f>HYPERLINK("https://my.pitchbook.com?c=167057-11T","View Company Online")</f>
      </c>
    </row>
    <row r="4248">
      <c r="A4248" s="12" t="s">
        <v>21032</v>
      </c>
      <c r="B4248" s="12" t="s">
        <v>7498</v>
      </c>
      <c r="C4248" s="19">
        <v>39</v>
      </c>
      <c r="D4248" s="19">
        <v>26</v>
      </c>
      <c r="E4248" s="19">
        <v>15</v>
      </c>
      <c r="F4248" s="19">
        <v>72</v>
      </c>
      <c r="G4248" s="15" t="s">
        <v>326</v>
      </c>
      <c r="H4248" s="14">
        <v>70.1</v>
      </c>
      <c r="I4248" s="18">
        <v>40.94</v>
      </c>
      <c r="J4248" s="12" t="s">
        <v>521</v>
      </c>
      <c r="K4248" s="13" t="s">
        <v>36</v>
      </c>
      <c r="L4248" s="15" t="s">
        <v>94</v>
      </c>
      <c r="M4248" s="12" t="s">
        <v>36</v>
      </c>
      <c r="N4248" s="12" t="s">
        <v>94</v>
      </c>
      <c r="O4248" s="17" t="s">
        <v>36</v>
      </c>
      <c r="P4248" s="12" t="s">
        <v>36</v>
      </c>
      <c r="Q4248" s="12" t="s">
        <v>36</v>
      </c>
      <c r="R4248" s="12" t="s">
        <v>36</v>
      </c>
      <c r="S4248" s="12" t="s">
        <v>36</v>
      </c>
      <c r="T4248" s="12" t="s">
        <v>1863</v>
      </c>
      <c r="U4248" s="12" t="s">
        <v>96</v>
      </c>
      <c r="V4248" s="12" t="s">
        <v>52</v>
      </c>
      <c r="W4248" s="12" t="s">
        <v>7499</v>
      </c>
      <c r="X4248" s="16" t="s">
        <v>21033</v>
      </c>
      <c r="Y4248" s="15" t="s">
        <v>55</v>
      </c>
      <c r="Z4248" s="14">
        <v>42.96</v>
      </c>
      <c r="AA4248" s="14">
        <v>104.94</v>
      </c>
      <c r="AB4248" s="12" t="s">
        <v>56</v>
      </c>
      <c r="AC4248" s="12" t="s">
        <v>7501</v>
      </c>
      <c r="AD4248" s="13">
        <v>43789</v>
      </c>
      <c r="AE4248" s="12" t="s">
        <v>1414</v>
      </c>
      <c r="AF4248" s="12" t="s">
        <v>159</v>
      </c>
      <c r="AG4248" s="12" t="s">
        <v>81</v>
      </c>
      <c r="AH4248" s="1">
        <f>HYPERLINK("https://my.pitchbook.com?c=126677-35T","View Company Online")</f>
      </c>
    </row>
    <row r="4249">
      <c r="A4249" s="3" t="s">
        <v>21034</v>
      </c>
      <c r="B4249" s="3" t="s">
        <v>8526</v>
      </c>
      <c r="C4249" s="5">
        <v>15</v>
      </c>
      <c r="D4249" s="5">
        <v>73</v>
      </c>
      <c r="E4249" s="5">
        <v>25</v>
      </c>
      <c r="F4249" s="5">
        <v>97</v>
      </c>
      <c r="G4249" s="6" t="s">
        <v>326</v>
      </c>
      <c r="H4249" s="4" t="s">
        <v>36</v>
      </c>
      <c r="I4249" s="7">
        <v>17.28</v>
      </c>
      <c r="J4249" s="3" t="s">
        <v>327</v>
      </c>
      <c r="K4249" s="9" t="s">
        <v>36</v>
      </c>
      <c r="L4249" s="6" t="s">
        <v>36</v>
      </c>
      <c r="M4249" s="3" t="s">
        <v>36</v>
      </c>
      <c r="N4249" s="3" t="s">
        <v>36</v>
      </c>
      <c r="O4249" s="8" t="s">
        <v>36</v>
      </c>
      <c r="P4249" s="3" t="s">
        <v>36</v>
      </c>
      <c r="Q4249" s="3" t="s">
        <v>36</v>
      </c>
      <c r="R4249" s="3" t="s">
        <v>36</v>
      </c>
      <c r="S4249" s="3" t="s">
        <v>36</v>
      </c>
      <c r="T4249" s="3" t="s">
        <v>8527</v>
      </c>
      <c r="U4249" s="3" t="s">
        <v>180</v>
      </c>
      <c r="V4249" s="3" t="s">
        <v>52</v>
      </c>
      <c r="W4249" s="3" t="s">
        <v>8528</v>
      </c>
      <c r="X4249" s="10" t="s">
        <v>21035</v>
      </c>
      <c r="Y4249" s="6" t="s">
        <v>166</v>
      </c>
      <c r="Z4249" s="4">
        <v>33.27</v>
      </c>
      <c r="AA4249" s="4">
        <v>192.54</v>
      </c>
      <c r="AB4249" s="3" t="s">
        <v>56</v>
      </c>
      <c r="AC4249" s="3" t="s">
        <v>8530</v>
      </c>
      <c r="AD4249" s="9">
        <v>43788</v>
      </c>
      <c r="AE4249" s="3" t="s">
        <v>184</v>
      </c>
      <c r="AF4249" s="3" t="s">
        <v>3193</v>
      </c>
      <c r="AG4249" s="3" t="s">
        <v>8531</v>
      </c>
      <c r="AH4249" s="11">
        <f>HYPERLINK("https://my.pitchbook.com?c=126624-88T","View Company Online")</f>
      </c>
    </row>
    <row r="4250">
      <c r="A4250" s="12" t="s">
        <v>21036</v>
      </c>
      <c r="B4250" s="12" t="s">
        <v>7335</v>
      </c>
      <c r="C4250" s="19" t="s">
        <v>36</v>
      </c>
      <c r="D4250" s="19" t="s">
        <v>36</v>
      </c>
      <c r="E4250" s="19" t="s">
        <v>36</v>
      </c>
      <c r="F4250" s="19" t="s">
        <v>36</v>
      </c>
      <c r="G4250" s="15" t="s">
        <v>326</v>
      </c>
      <c r="H4250" s="14">
        <v>36.87</v>
      </c>
      <c r="I4250" s="18">
        <v>14.32</v>
      </c>
      <c r="J4250" s="12" t="s">
        <v>521</v>
      </c>
      <c r="K4250" s="13" t="s">
        <v>36</v>
      </c>
      <c r="L4250" s="15" t="s">
        <v>94</v>
      </c>
      <c r="M4250" s="12" t="s">
        <v>36</v>
      </c>
      <c r="N4250" s="12" t="s">
        <v>94</v>
      </c>
      <c r="O4250" s="17" t="s">
        <v>36</v>
      </c>
      <c r="P4250" s="12" t="s">
        <v>36</v>
      </c>
      <c r="Q4250" s="12" t="s">
        <v>36</v>
      </c>
      <c r="R4250" s="12" t="s">
        <v>36</v>
      </c>
      <c r="S4250" s="12" t="s">
        <v>36</v>
      </c>
      <c r="T4250" s="12" t="s">
        <v>7336</v>
      </c>
      <c r="U4250" s="12" t="s">
        <v>85</v>
      </c>
      <c r="V4250" s="12" t="s">
        <v>64</v>
      </c>
      <c r="W4250" s="12" t="s">
        <v>7337</v>
      </c>
      <c r="X4250" s="16" t="s">
        <v>21037</v>
      </c>
      <c r="Y4250" s="15" t="s">
        <v>166</v>
      </c>
      <c r="Z4250" s="14">
        <v>42.28</v>
      </c>
      <c r="AA4250" s="14">
        <v>150.73</v>
      </c>
      <c r="AB4250" s="12" t="s">
        <v>56</v>
      </c>
      <c r="AC4250" s="12" t="s">
        <v>7339</v>
      </c>
      <c r="AD4250" s="13">
        <v>43787</v>
      </c>
      <c r="AE4250" s="12" t="s">
        <v>89</v>
      </c>
      <c r="AF4250" s="12" t="s">
        <v>7340</v>
      </c>
      <c r="AG4250" s="12" t="s">
        <v>81</v>
      </c>
      <c r="AH4250" s="1">
        <f>HYPERLINK("https://my.pitchbook.com?c=118737-10T","View Company Online")</f>
      </c>
    </row>
    <row r="4251">
      <c r="A4251" s="3" t="s">
        <v>21038</v>
      </c>
      <c r="B4251" s="3" t="s">
        <v>20586</v>
      </c>
      <c r="C4251" s="5" t="s">
        <v>36</v>
      </c>
      <c r="D4251" s="5" t="s">
        <v>36</v>
      </c>
      <c r="E4251" s="5" t="s">
        <v>36</v>
      </c>
      <c r="F4251" s="5" t="s">
        <v>36</v>
      </c>
      <c r="G4251" s="6" t="s">
        <v>36</v>
      </c>
      <c r="H4251" s="4">
        <v>95.51</v>
      </c>
      <c r="I4251" s="7">
        <v>20.47</v>
      </c>
      <c r="J4251" s="3" t="s">
        <v>521</v>
      </c>
      <c r="K4251" s="9" t="s">
        <v>36</v>
      </c>
      <c r="L4251" s="6" t="s">
        <v>122</v>
      </c>
      <c r="M4251" s="3" t="s">
        <v>36</v>
      </c>
      <c r="N4251" s="3" t="s">
        <v>122</v>
      </c>
      <c r="O4251" s="8" t="s">
        <v>36</v>
      </c>
      <c r="P4251" s="3" t="s">
        <v>36</v>
      </c>
      <c r="Q4251" s="3" t="s">
        <v>36</v>
      </c>
      <c r="R4251" s="3" t="s">
        <v>36</v>
      </c>
      <c r="S4251" s="3" t="s">
        <v>36</v>
      </c>
      <c r="T4251" s="3" t="s">
        <v>20587</v>
      </c>
      <c r="U4251" s="3" t="s">
        <v>74</v>
      </c>
      <c r="V4251" s="3" t="s">
        <v>75</v>
      </c>
      <c r="W4251" s="3" t="s">
        <v>20588</v>
      </c>
      <c r="X4251" s="10" t="s">
        <v>21039</v>
      </c>
      <c r="Y4251" s="6" t="s">
        <v>108</v>
      </c>
      <c r="Z4251" s="4">
        <v>3.33</v>
      </c>
      <c r="AA4251" s="4">
        <v>16.26</v>
      </c>
      <c r="AB4251" s="3" t="s">
        <v>56</v>
      </c>
      <c r="AC4251" s="3" t="s">
        <v>20590</v>
      </c>
      <c r="AD4251" s="9">
        <v>43786</v>
      </c>
      <c r="AE4251" s="3" t="s">
        <v>79</v>
      </c>
      <c r="AF4251" s="3" t="s">
        <v>3904</v>
      </c>
      <c r="AG4251" s="3" t="s">
        <v>186</v>
      </c>
      <c r="AH4251" s="11">
        <f>HYPERLINK("https://my.pitchbook.com?c=132836-14T","View Company Online")</f>
      </c>
    </row>
    <row r="4252">
      <c r="A4252" s="12" t="s">
        <v>21040</v>
      </c>
      <c r="B4252" s="12" t="s">
        <v>21041</v>
      </c>
      <c r="C4252" s="19" t="s">
        <v>36</v>
      </c>
      <c r="D4252" s="19" t="s">
        <v>36</v>
      </c>
      <c r="E4252" s="19" t="s">
        <v>36</v>
      </c>
      <c r="F4252" s="19" t="s">
        <v>36</v>
      </c>
      <c r="G4252" s="15" t="s">
        <v>36</v>
      </c>
      <c r="H4252" s="14">
        <v>12.41</v>
      </c>
      <c r="I4252" s="18">
        <v>14.4</v>
      </c>
      <c r="J4252" s="12" t="s">
        <v>521</v>
      </c>
      <c r="K4252" s="13" t="s">
        <v>36</v>
      </c>
      <c r="L4252" s="15" t="s">
        <v>36</v>
      </c>
      <c r="M4252" s="12" t="s">
        <v>36</v>
      </c>
      <c r="N4252" s="12" t="s">
        <v>36</v>
      </c>
      <c r="O4252" s="17" t="s">
        <v>36</v>
      </c>
      <c r="P4252" s="12" t="s">
        <v>36</v>
      </c>
      <c r="Q4252" s="12" t="s">
        <v>36</v>
      </c>
      <c r="R4252" s="12" t="s">
        <v>36</v>
      </c>
      <c r="S4252" s="12" t="s">
        <v>36</v>
      </c>
      <c r="T4252" s="12" t="s">
        <v>189</v>
      </c>
      <c r="U4252" s="12" t="s">
        <v>180</v>
      </c>
      <c r="V4252" s="12" t="s">
        <v>52</v>
      </c>
      <c r="W4252" s="12" t="s">
        <v>21042</v>
      </c>
      <c r="X4252" s="16" t="s">
        <v>21043</v>
      </c>
      <c r="Y4252" s="15" t="s">
        <v>42</v>
      </c>
      <c r="Z4252" s="14">
        <v>1.11</v>
      </c>
      <c r="AA4252" s="14">
        <v>3.1</v>
      </c>
      <c r="AB4252" s="12" t="s">
        <v>43</v>
      </c>
      <c r="AC4252" s="12" t="s">
        <v>21044</v>
      </c>
      <c r="AD4252" s="13">
        <v>43783</v>
      </c>
      <c r="AE4252" s="12" t="s">
        <v>184</v>
      </c>
      <c r="AF4252" s="12" t="s">
        <v>2635</v>
      </c>
      <c r="AG4252" s="12" t="s">
        <v>924</v>
      </c>
      <c r="AH4252" s="1">
        <f>HYPERLINK("https://my.pitchbook.com?c=130891-96T","View Company Online")</f>
      </c>
    </row>
    <row r="4253">
      <c r="A4253" s="3" t="s">
        <v>21045</v>
      </c>
      <c r="B4253" s="3" t="s">
        <v>21046</v>
      </c>
      <c r="C4253" s="5" t="s">
        <v>36</v>
      </c>
      <c r="D4253" s="5" t="s">
        <v>36</v>
      </c>
      <c r="E4253" s="5" t="s">
        <v>36</v>
      </c>
      <c r="F4253" s="5" t="s">
        <v>36</v>
      </c>
      <c r="G4253" s="6" t="s">
        <v>683</v>
      </c>
      <c r="H4253" s="4">
        <v>27</v>
      </c>
      <c r="I4253" s="7">
        <v>35.86</v>
      </c>
      <c r="J4253" s="3" t="s">
        <v>521</v>
      </c>
      <c r="K4253" s="9" t="s">
        <v>36</v>
      </c>
      <c r="L4253" s="6" t="s">
        <v>36</v>
      </c>
      <c r="M4253" s="3" t="s">
        <v>36</v>
      </c>
      <c r="N4253" s="3" t="s">
        <v>36</v>
      </c>
      <c r="O4253" s="8" t="s">
        <v>36</v>
      </c>
      <c r="P4253" s="3" t="s">
        <v>36</v>
      </c>
      <c r="Q4253" s="3" t="s">
        <v>36</v>
      </c>
      <c r="R4253" s="3" t="s">
        <v>36</v>
      </c>
      <c r="S4253" s="3" t="s">
        <v>36</v>
      </c>
      <c r="T4253" s="3" t="s">
        <v>17385</v>
      </c>
      <c r="U4253" s="3" t="s">
        <v>423</v>
      </c>
      <c r="V4253" s="3" t="s">
        <v>64</v>
      </c>
      <c r="W4253" s="3" t="s">
        <v>21047</v>
      </c>
      <c r="X4253" s="10" t="s">
        <v>21048</v>
      </c>
      <c r="Y4253" s="6" t="s">
        <v>108</v>
      </c>
      <c r="Z4253" s="4">
        <v>2.02</v>
      </c>
      <c r="AA4253" s="4">
        <v>5.64</v>
      </c>
      <c r="AB4253" s="3" t="s">
        <v>56</v>
      </c>
      <c r="AC4253" s="3" t="s">
        <v>21049</v>
      </c>
      <c r="AD4253" s="9">
        <v>43783</v>
      </c>
      <c r="AE4253" s="3" t="s">
        <v>562</v>
      </c>
      <c r="AF4253" s="3" t="s">
        <v>1061</v>
      </c>
      <c r="AG4253" s="3" t="s">
        <v>652</v>
      </c>
      <c r="AH4253" s="11">
        <f>HYPERLINK("https://my.pitchbook.com?c=134322-94T","View Company Online")</f>
      </c>
    </row>
    <row r="4254">
      <c r="A4254" s="12" t="s">
        <v>21050</v>
      </c>
      <c r="B4254" s="12" t="s">
        <v>15997</v>
      </c>
      <c r="C4254" s="19" t="s">
        <v>36</v>
      </c>
      <c r="D4254" s="19" t="s">
        <v>36</v>
      </c>
      <c r="E4254" s="19" t="s">
        <v>36</v>
      </c>
      <c r="F4254" s="19" t="s">
        <v>36</v>
      </c>
      <c r="G4254" s="15" t="s">
        <v>36</v>
      </c>
      <c r="H4254" s="14">
        <v>22.14</v>
      </c>
      <c r="I4254" s="18">
        <v>27.19</v>
      </c>
      <c r="J4254" s="12" t="s">
        <v>521</v>
      </c>
      <c r="K4254" s="13" t="s">
        <v>36</v>
      </c>
      <c r="L4254" s="15" t="s">
        <v>36</v>
      </c>
      <c r="M4254" s="12" t="s">
        <v>36</v>
      </c>
      <c r="N4254" s="12" t="s">
        <v>36</v>
      </c>
      <c r="O4254" s="17" t="s">
        <v>36</v>
      </c>
      <c r="P4254" s="12" t="s">
        <v>36</v>
      </c>
      <c r="Q4254" s="12" t="s">
        <v>36</v>
      </c>
      <c r="R4254" s="12" t="s">
        <v>36</v>
      </c>
      <c r="S4254" s="12" t="s">
        <v>36</v>
      </c>
      <c r="T4254" s="12" t="s">
        <v>4529</v>
      </c>
      <c r="U4254" s="12" t="s">
        <v>38</v>
      </c>
      <c r="V4254" s="12" t="s">
        <v>39</v>
      </c>
      <c r="W4254" s="12" t="s">
        <v>15998</v>
      </c>
      <c r="X4254" s="16" t="s">
        <v>21051</v>
      </c>
      <c r="Y4254" s="15" t="s">
        <v>55</v>
      </c>
      <c r="Z4254" s="14">
        <v>2.22</v>
      </c>
      <c r="AA4254" s="14">
        <v>8.16</v>
      </c>
      <c r="AB4254" s="12" t="s">
        <v>56</v>
      </c>
      <c r="AC4254" s="12" t="s">
        <v>16000</v>
      </c>
      <c r="AD4254" s="13">
        <v>43783</v>
      </c>
      <c r="AE4254" s="12" t="s">
        <v>1422</v>
      </c>
      <c r="AF4254" s="12" t="s">
        <v>4842</v>
      </c>
      <c r="AG4254" s="12" t="s">
        <v>81</v>
      </c>
      <c r="AH4254" s="1">
        <f>HYPERLINK("https://my.pitchbook.com?c=135738-28T","View Company Online")</f>
      </c>
    </row>
    <row r="4255">
      <c r="A4255" s="3" t="s">
        <v>21052</v>
      </c>
      <c r="B4255" s="3" t="s">
        <v>14988</v>
      </c>
      <c r="C4255" s="5">
        <v>17</v>
      </c>
      <c r="D4255" s="5">
        <v>14</v>
      </c>
      <c r="E4255" s="5">
        <v>11</v>
      </c>
      <c r="F4255" s="5">
        <v>36</v>
      </c>
      <c r="G4255" s="6" t="s">
        <v>683</v>
      </c>
      <c r="H4255" s="4">
        <v>67.97</v>
      </c>
      <c r="I4255" s="7">
        <v>12.87</v>
      </c>
      <c r="J4255" s="3" t="s">
        <v>521</v>
      </c>
      <c r="K4255" s="9" t="s">
        <v>36</v>
      </c>
      <c r="L4255" s="6" t="s">
        <v>36</v>
      </c>
      <c r="M4255" s="3" t="s">
        <v>36</v>
      </c>
      <c r="N4255" s="3" t="s">
        <v>36</v>
      </c>
      <c r="O4255" s="8" t="s">
        <v>36</v>
      </c>
      <c r="P4255" s="3" t="s">
        <v>36</v>
      </c>
      <c r="Q4255" s="3" t="s">
        <v>36</v>
      </c>
      <c r="R4255" s="3" t="s">
        <v>36</v>
      </c>
      <c r="S4255" s="3" t="s">
        <v>36</v>
      </c>
      <c r="T4255" s="3" t="s">
        <v>14989</v>
      </c>
      <c r="U4255" s="3" t="s">
        <v>51</v>
      </c>
      <c r="V4255" s="3" t="s">
        <v>52</v>
      </c>
      <c r="W4255" s="3" t="s">
        <v>14990</v>
      </c>
      <c r="X4255" s="10" t="s">
        <v>21053</v>
      </c>
      <c r="Y4255" s="6" t="s">
        <v>42</v>
      </c>
      <c r="Z4255" s="4">
        <v>1.71</v>
      </c>
      <c r="AA4255" s="4">
        <v>13.32</v>
      </c>
      <c r="AB4255" s="3" t="s">
        <v>56</v>
      </c>
      <c r="AC4255" s="3" t="s">
        <v>14992</v>
      </c>
      <c r="AD4255" s="9">
        <v>43783</v>
      </c>
      <c r="AE4255" s="3" t="s">
        <v>158</v>
      </c>
      <c r="AF4255" s="3" t="s">
        <v>159</v>
      </c>
      <c r="AG4255" s="3" t="s">
        <v>81</v>
      </c>
      <c r="AH4255" s="11">
        <f>HYPERLINK("https://my.pitchbook.com?c=200500-75T","View Company Online")</f>
      </c>
    </row>
    <row r="4256">
      <c r="A4256" s="12" t="s">
        <v>21054</v>
      </c>
      <c r="B4256" s="12" t="s">
        <v>11099</v>
      </c>
      <c r="C4256" s="19" t="s">
        <v>36</v>
      </c>
      <c r="D4256" s="19" t="s">
        <v>36</v>
      </c>
      <c r="E4256" s="19" t="s">
        <v>36</v>
      </c>
      <c r="F4256" s="19" t="s">
        <v>36</v>
      </c>
      <c r="G4256" s="15" t="s">
        <v>36</v>
      </c>
      <c r="H4256" s="14">
        <v>109.33</v>
      </c>
      <c r="I4256" s="18">
        <v>23.75</v>
      </c>
      <c r="J4256" s="12" t="s">
        <v>521</v>
      </c>
      <c r="K4256" s="13" t="s">
        <v>36</v>
      </c>
      <c r="L4256" s="15" t="s">
        <v>36</v>
      </c>
      <c r="M4256" s="12" t="s">
        <v>36</v>
      </c>
      <c r="N4256" s="12" t="s">
        <v>36</v>
      </c>
      <c r="O4256" s="17" t="s">
        <v>36</v>
      </c>
      <c r="P4256" s="12" t="s">
        <v>36</v>
      </c>
      <c r="Q4256" s="12" t="s">
        <v>36</v>
      </c>
      <c r="R4256" s="12" t="s">
        <v>36</v>
      </c>
      <c r="S4256" s="12" t="s">
        <v>36</v>
      </c>
      <c r="T4256" s="12" t="s">
        <v>5039</v>
      </c>
      <c r="U4256" s="12" t="s">
        <v>74</v>
      </c>
      <c r="V4256" s="12" t="s">
        <v>75</v>
      </c>
      <c r="W4256" s="12" t="s">
        <v>11100</v>
      </c>
      <c r="X4256" s="16" t="s">
        <v>21055</v>
      </c>
      <c r="Y4256" s="15" t="s">
        <v>42</v>
      </c>
      <c r="Z4256" s="14">
        <v>2.38</v>
      </c>
      <c r="AA4256" s="14">
        <v>10.01</v>
      </c>
      <c r="AB4256" s="12" t="s">
        <v>43</v>
      </c>
      <c r="AC4256" s="12" t="s">
        <v>11102</v>
      </c>
      <c r="AD4256" s="13">
        <v>43782</v>
      </c>
      <c r="AE4256" s="12" t="s">
        <v>1243</v>
      </c>
      <c r="AF4256" s="12" t="s">
        <v>36</v>
      </c>
      <c r="AG4256" s="12" t="s">
        <v>81</v>
      </c>
      <c r="AH4256" s="1">
        <f>HYPERLINK("https://my.pitchbook.com?c=234101-53T","View Company Online")</f>
      </c>
    </row>
    <row r="4257">
      <c r="A4257" s="3" t="s">
        <v>21056</v>
      </c>
      <c r="B4257" s="3" t="s">
        <v>14402</v>
      </c>
      <c r="C4257" s="5" t="s">
        <v>36</v>
      </c>
      <c r="D4257" s="5" t="s">
        <v>36</v>
      </c>
      <c r="E4257" s="5" t="s">
        <v>36</v>
      </c>
      <c r="F4257" s="5" t="s">
        <v>36</v>
      </c>
      <c r="G4257" s="6" t="s">
        <v>36</v>
      </c>
      <c r="H4257" s="4" t="s">
        <v>36</v>
      </c>
      <c r="I4257" s="7" t="s">
        <v>36</v>
      </c>
      <c r="J4257" s="3" t="s">
        <v>36</v>
      </c>
      <c r="K4257" s="9" t="s">
        <v>36</v>
      </c>
      <c r="L4257" s="6" t="s">
        <v>36</v>
      </c>
      <c r="M4257" s="3" t="s">
        <v>36</v>
      </c>
      <c r="N4257" s="3" t="s">
        <v>36</v>
      </c>
      <c r="O4257" s="8" t="s">
        <v>36</v>
      </c>
      <c r="P4257" s="3" t="s">
        <v>36</v>
      </c>
      <c r="Q4257" s="3" t="s">
        <v>36</v>
      </c>
      <c r="R4257" s="3" t="s">
        <v>36</v>
      </c>
      <c r="S4257" s="3" t="s">
        <v>36</v>
      </c>
      <c r="T4257" s="3" t="s">
        <v>3397</v>
      </c>
      <c r="U4257" s="3" t="s">
        <v>423</v>
      </c>
      <c r="V4257" s="3" t="s">
        <v>64</v>
      </c>
      <c r="W4257" s="3" t="s">
        <v>14403</v>
      </c>
      <c r="X4257" s="10" t="s">
        <v>21057</v>
      </c>
      <c r="Y4257" s="6" t="s">
        <v>108</v>
      </c>
      <c r="Z4257" s="4" t="s">
        <v>36</v>
      </c>
      <c r="AA4257" s="4" t="s">
        <v>36</v>
      </c>
      <c r="AB4257" s="3" t="s">
        <v>43</v>
      </c>
      <c r="AC4257" s="3" t="s">
        <v>14405</v>
      </c>
      <c r="AD4257" s="9">
        <v>43782</v>
      </c>
      <c r="AE4257" s="3" t="s">
        <v>562</v>
      </c>
      <c r="AF4257" s="3" t="s">
        <v>4270</v>
      </c>
      <c r="AG4257" s="3" t="s">
        <v>81</v>
      </c>
      <c r="AH4257" s="11">
        <f>HYPERLINK("https://my.pitchbook.com?c=203723-29T","View Company Online")</f>
      </c>
    </row>
    <row r="4258">
      <c r="A4258" s="12" t="s">
        <v>21058</v>
      </c>
      <c r="B4258" s="12" t="s">
        <v>14745</v>
      </c>
      <c r="C4258" s="19" t="s">
        <v>36</v>
      </c>
      <c r="D4258" s="19" t="s">
        <v>36</v>
      </c>
      <c r="E4258" s="19" t="s">
        <v>36</v>
      </c>
      <c r="F4258" s="19" t="s">
        <v>36</v>
      </c>
      <c r="G4258" s="15" t="s">
        <v>36</v>
      </c>
      <c r="H4258" s="14">
        <v>10.39</v>
      </c>
      <c r="I4258" s="18">
        <v>60.54</v>
      </c>
      <c r="J4258" s="12" t="s">
        <v>36</v>
      </c>
      <c r="K4258" s="13" t="s">
        <v>36</v>
      </c>
      <c r="L4258" s="15" t="s">
        <v>36</v>
      </c>
      <c r="M4258" s="12" t="s">
        <v>36</v>
      </c>
      <c r="N4258" s="12" t="s">
        <v>36</v>
      </c>
      <c r="O4258" s="17" t="s">
        <v>36</v>
      </c>
      <c r="P4258" s="12" t="s">
        <v>36</v>
      </c>
      <c r="Q4258" s="12" t="s">
        <v>36</v>
      </c>
      <c r="R4258" s="12" t="s">
        <v>36</v>
      </c>
      <c r="S4258" s="12" t="s">
        <v>36</v>
      </c>
      <c r="T4258" s="12" t="s">
        <v>522</v>
      </c>
      <c r="U4258" s="12" t="s">
        <v>38</v>
      </c>
      <c r="V4258" s="12" t="s">
        <v>39</v>
      </c>
      <c r="W4258" s="12" t="s">
        <v>14746</v>
      </c>
      <c r="X4258" s="16" t="s">
        <v>12589</v>
      </c>
      <c r="Y4258" s="15" t="s">
        <v>108</v>
      </c>
      <c r="Z4258" s="14">
        <v>35.51</v>
      </c>
      <c r="AA4258" s="14" t="s">
        <v>36</v>
      </c>
      <c r="AB4258" s="12" t="s">
        <v>56</v>
      </c>
      <c r="AC4258" s="12" t="s">
        <v>14748</v>
      </c>
      <c r="AD4258" s="13">
        <v>43781</v>
      </c>
      <c r="AE4258" s="12" t="s">
        <v>110</v>
      </c>
      <c r="AF4258" s="12" t="s">
        <v>111</v>
      </c>
      <c r="AG4258" s="12" t="s">
        <v>899</v>
      </c>
      <c r="AH4258" s="1">
        <f>HYPERLINK("https://my.pitchbook.com?c=182977-03T","View Company Online")</f>
      </c>
    </row>
    <row r="4259">
      <c r="A4259" s="3" t="s">
        <v>21059</v>
      </c>
      <c r="B4259" s="3" t="s">
        <v>21060</v>
      </c>
      <c r="C4259" s="5" t="s">
        <v>36</v>
      </c>
      <c r="D4259" s="5" t="s">
        <v>36</v>
      </c>
      <c r="E4259" s="5" t="s">
        <v>36</v>
      </c>
      <c r="F4259" s="5" t="s">
        <v>36</v>
      </c>
      <c r="G4259" s="6" t="s">
        <v>2497</v>
      </c>
      <c r="H4259" s="4">
        <v>102.3</v>
      </c>
      <c r="I4259" s="7">
        <v>14.31</v>
      </c>
      <c r="J4259" s="3" t="s">
        <v>521</v>
      </c>
      <c r="K4259" s="9" t="s">
        <v>36</v>
      </c>
      <c r="L4259" s="6" t="s">
        <v>36</v>
      </c>
      <c r="M4259" s="3" t="s">
        <v>36</v>
      </c>
      <c r="N4259" s="3" t="s">
        <v>36</v>
      </c>
      <c r="O4259" s="8" t="s">
        <v>36</v>
      </c>
      <c r="P4259" s="3" t="s">
        <v>36</v>
      </c>
      <c r="Q4259" s="3" t="s">
        <v>36</v>
      </c>
      <c r="R4259" s="3" t="s">
        <v>36</v>
      </c>
      <c r="S4259" s="3" t="s">
        <v>36</v>
      </c>
      <c r="T4259" s="3" t="s">
        <v>464</v>
      </c>
      <c r="U4259" s="3" t="s">
        <v>38</v>
      </c>
      <c r="V4259" s="3" t="s">
        <v>39</v>
      </c>
      <c r="W4259" s="3" t="s">
        <v>21061</v>
      </c>
      <c r="X4259" s="10" t="s">
        <v>21062</v>
      </c>
      <c r="Y4259" s="6" t="s">
        <v>42</v>
      </c>
      <c r="Z4259" s="4">
        <v>0.55</v>
      </c>
      <c r="AA4259" s="4">
        <v>3.5</v>
      </c>
      <c r="AB4259" s="3" t="s">
        <v>56</v>
      </c>
      <c r="AC4259" s="3" t="s">
        <v>21063</v>
      </c>
      <c r="AD4259" s="9">
        <v>43781</v>
      </c>
      <c r="AE4259" s="3" t="s">
        <v>110</v>
      </c>
      <c r="AF4259" s="3" t="s">
        <v>176</v>
      </c>
      <c r="AG4259" s="3" t="s">
        <v>81</v>
      </c>
      <c r="AH4259" s="11">
        <f>HYPERLINK("https://my.pitchbook.com?c=126847-27T","View Company Online")</f>
      </c>
    </row>
    <row r="4260">
      <c r="A4260" s="12" t="s">
        <v>21064</v>
      </c>
      <c r="B4260" s="12" t="s">
        <v>21065</v>
      </c>
      <c r="C4260" s="19" t="s">
        <v>36</v>
      </c>
      <c r="D4260" s="19" t="s">
        <v>36</v>
      </c>
      <c r="E4260" s="19" t="s">
        <v>36</v>
      </c>
      <c r="F4260" s="19" t="s">
        <v>36</v>
      </c>
      <c r="G4260" s="15" t="s">
        <v>326</v>
      </c>
      <c r="H4260" s="14">
        <v>1026.12</v>
      </c>
      <c r="I4260" s="18">
        <v>26.63</v>
      </c>
      <c r="J4260" s="12" t="s">
        <v>327</v>
      </c>
      <c r="K4260" s="13" t="s">
        <v>36</v>
      </c>
      <c r="L4260" s="15" t="s">
        <v>122</v>
      </c>
      <c r="M4260" s="12" t="s">
        <v>36</v>
      </c>
      <c r="N4260" s="12" t="s">
        <v>122</v>
      </c>
      <c r="O4260" s="17" t="s">
        <v>36</v>
      </c>
      <c r="P4260" s="12" t="s">
        <v>36</v>
      </c>
      <c r="Q4260" s="12" t="s">
        <v>36</v>
      </c>
      <c r="R4260" s="12" t="s">
        <v>36</v>
      </c>
      <c r="S4260" s="12" t="s">
        <v>36</v>
      </c>
      <c r="T4260" s="12" t="s">
        <v>7415</v>
      </c>
      <c r="U4260" s="12" t="s">
        <v>38</v>
      </c>
      <c r="V4260" s="12" t="s">
        <v>39</v>
      </c>
      <c r="W4260" s="12" t="s">
        <v>21066</v>
      </c>
      <c r="X4260" s="16" t="s">
        <v>21067</v>
      </c>
      <c r="Y4260" s="15" t="s">
        <v>108</v>
      </c>
      <c r="Z4260" s="14">
        <v>5.5</v>
      </c>
      <c r="AA4260" s="14">
        <v>20.58</v>
      </c>
      <c r="AB4260" s="12" t="s">
        <v>43</v>
      </c>
      <c r="AC4260" s="12" t="s">
        <v>21068</v>
      </c>
      <c r="AD4260" s="13">
        <v>43780</v>
      </c>
      <c r="AE4260" s="12" t="s">
        <v>1422</v>
      </c>
      <c r="AF4260" s="12" t="s">
        <v>4284</v>
      </c>
      <c r="AG4260" s="12" t="s">
        <v>81</v>
      </c>
      <c r="AH4260" s="1">
        <f>HYPERLINK("https://my.pitchbook.com?c=126355-78T","View Company Online")</f>
      </c>
    </row>
    <row r="4261">
      <c r="A4261" s="3" t="s">
        <v>21069</v>
      </c>
      <c r="B4261" s="3" t="s">
        <v>21070</v>
      </c>
      <c r="C4261" s="5" t="s">
        <v>36</v>
      </c>
      <c r="D4261" s="5" t="s">
        <v>36</v>
      </c>
      <c r="E4261" s="5" t="s">
        <v>36</v>
      </c>
      <c r="F4261" s="5" t="s">
        <v>36</v>
      </c>
      <c r="G4261" s="6" t="s">
        <v>36</v>
      </c>
      <c r="H4261" s="4">
        <v>249.26</v>
      </c>
      <c r="I4261" s="7">
        <v>22.58</v>
      </c>
      <c r="J4261" s="3" t="s">
        <v>327</v>
      </c>
      <c r="K4261" s="9" t="s">
        <v>36</v>
      </c>
      <c r="L4261" s="6" t="s">
        <v>36</v>
      </c>
      <c r="M4261" s="3" t="s">
        <v>36</v>
      </c>
      <c r="N4261" s="3" t="s">
        <v>36</v>
      </c>
      <c r="O4261" s="8" t="s">
        <v>36</v>
      </c>
      <c r="P4261" s="3" t="s">
        <v>36</v>
      </c>
      <c r="Q4261" s="3" t="s">
        <v>36</v>
      </c>
      <c r="R4261" s="3" t="s">
        <v>36</v>
      </c>
      <c r="S4261" s="3" t="s">
        <v>36</v>
      </c>
      <c r="T4261" s="3" t="s">
        <v>21071</v>
      </c>
      <c r="U4261" s="3" t="s">
        <v>63</v>
      </c>
      <c r="V4261" s="3" t="s">
        <v>64</v>
      </c>
      <c r="W4261" s="3" t="s">
        <v>21072</v>
      </c>
      <c r="X4261" s="10" t="s">
        <v>1840</v>
      </c>
      <c r="Y4261" s="6" t="s">
        <v>108</v>
      </c>
      <c r="Z4261" s="4">
        <v>3.88</v>
      </c>
      <c r="AA4261" s="4">
        <v>17.19</v>
      </c>
      <c r="AB4261" s="3" t="s">
        <v>56</v>
      </c>
      <c r="AC4261" s="3" t="s">
        <v>21073</v>
      </c>
      <c r="AD4261" s="9">
        <v>43777</v>
      </c>
      <c r="AE4261" s="3" t="s">
        <v>642</v>
      </c>
      <c r="AF4261" s="3" t="s">
        <v>546</v>
      </c>
      <c r="AG4261" s="3" t="s">
        <v>21074</v>
      </c>
      <c r="AH4261" s="11">
        <f>HYPERLINK("https://my.pitchbook.com?c=131953-06T","View Company Online")</f>
      </c>
    </row>
    <row r="4262">
      <c r="A4262" s="12" t="s">
        <v>21075</v>
      </c>
      <c r="B4262" s="12" t="s">
        <v>21076</v>
      </c>
      <c r="C4262" s="19" t="s">
        <v>36</v>
      </c>
      <c r="D4262" s="19">
        <v>6</v>
      </c>
      <c r="E4262" s="19">
        <v>4</v>
      </c>
      <c r="F4262" s="19">
        <v>7</v>
      </c>
      <c r="G4262" s="15" t="s">
        <v>36</v>
      </c>
      <c r="H4262" s="14" t="s">
        <v>36</v>
      </c>
      <c r="I4262" s="18" t="s">
        <v>36</v>
      </c>
      <c r="J4262" s="12" t="s">
        <v>36</v>
      </c>
      <c r="K4262" s="13" t="s">
        <v>36</v>
      </c>
      <c r="L4262" s="15" t="s">
        <v>36</v>
      </c>
      <c r="M4262" s="12" t="s">
        <v>36</v>
      </c>
      <c r="N4262" s="12" t="s">
        <v>36</v>
      </c>
      <c r="O4262" s="17" t="s">
        <v>36</v>
      </c>
      <c r="P4262" s="12" t="s">
        <v>36</v>
      </c>
      <c r="Q4262" s="12" t="s">
        <v>36</v>
      </c>
      <c r="R4262" s="12" t="s">
        <v>36</v>
      </c>
      <c r="S4262" s="12" t="s">
        <v>36</v>
      </c>
      <c r="T4262" s="12" t="s">
        <v>3843</v>
      </c>
      <c r="U4262" s="12" t="s">
        <v>180</v>
      </c>
      <c r="V4262" s="12" t="s">
        <v>52</v>
      </c>
      <c r="W4262" s="12" t="s">
        <v>21077</v>
      </c>
      <c r="X4262" s="16" t="s">
        <v>21078</v>
      </c>
      <c r="Y4262" s="15" t="s">
        <v>55</v>
      </c>
      <c r="Z4262" s="14">
        <v>35.49</v>
      </c>
      <c r="AA4262" s="14" t="s">
        <v>36</v>
      </c>
      <c r="AB4262" s="12" t="s">
        <v>56</v>
      </c>
      <c r="AC4262" s="12" t="s">
        <v>21079</v>
      </c>
      <c r="AD4262" s="13">
        <v>43776</v>
      </c>
      <c r="AE4262" s="12" t="s">
        <v>3847</v>
      </c>
      <c r="AF4262" s="12" t="s">
        <v>3514</v>
      </c>
      <c r="AG4262" s="12" t="s">
        <v>21080</v>
      </c>
      <c r="AH4262" s="1">
        <f>HYPERLINK("https://my.pitchbook.com?c=126047-35T","View Company Online")</f>
      </c>
    </row>
    <row r="4263">
      <c r="A4263" s="3" t="s">
        <v>21081</v>
      </c>
      <c r="B4263" s="3" t="s">
        <v>21082</v>
      </c>
      <c r="C4263" s="5" t="s">
        <v>36</v>
      </c>
      <c r="D4263" s="5" t="s">
        <v>36</v>
      </c>
      <c r="E4263" s="5" t="s">
        <v>36</v>
      </c>
      <c r="F4263" s="5" t="s">
        <v>36</v>
      </c>
      <c r="G4263" s="6" t="s">
        <v>36</v>
      </c>
      <c r="H4263" s="4" t="s">
        <v>36</v>
      </c>
      <c r="I4263" s="7" t="s">
        <v>36</v>
      </c>
      <c r="J4263" s="3" t="s">
        <v>36</v>
      </c>
      <c r="K4263" s="9" t="s">
        <v>36</v>
      </c>
      <c r="L4263" s="6" t="s">
        <v>36</v>
      </c>
      <c r="M4263" s="3" t="s">
        <v>36</v>
      </c>
      <c r="N4263" s="3" t="s">
        <v>36</v>
      </c>
      <c r="O4263" s="8" t="s">
        <v>36</v>
      </c>
      <c r="P4263" s="3" t="s">
        <v>36</v>
      </c>
      <c r="Q4263" s="3" t="s">
        <v>36</v>
      </c>
      <c r="R4263" s="3" t="s">
        <v>36</v>
      </c>
      <c r="S4263" s="3" t="s">
        <v>36</v>
      </c>
      <c r="T4263" s="3" t="s">
        <v>21083</v>
      </c>
      <c r="U4263" s="3" t="s">
        <v>38</v>
      </c>
      <c r="V4263" s="3" t="s">
        <v>39</v>
      </c>
      <c r="W4263" s="3" t="s">
        <v>21084</v>
      </c>
      <c r="X4263" s="10" t="s">
        <v>21085</v>
      </c>
      <c r="Y4263" s="6" t="s">
        <v>192</v>
      </c>
      <c r="Z4263" s="4">
        <v>15.53</v>
      </c>
      <c r="AA4263" s="4" t="s">
        <v>36</v>
      </c>
      <c r="AB4263" s="3" t="s">
        <v>56</v>
      </c>
      <c r="AC4263" s="3" t="s">
        <v>21086</v>
      </c>
      <c r="AD4263" s="9">
        <v>43776</v>
      </c>
      <c r="AE4263" s="3" t="s">
        <v>110</v>
      </c>
      <c r="AF4263" s="3" t="s">
        <v>21087</v>
      </c>
      <c r="AG4263" s="3" t="s">
        <v>392</v>
      </c>
      <c r="AH4263" s="11">
        <f>HYPERLINK("https://my.pitchbook.com?c=126824-23T","View Company Online")</f>
      </c>
    </row>
    <row r="4264">
      <c r="A4264" s="12" t="s">
        <v>21088</v>
      </c>
      <c r="B4264" s="12" t="s">
        <v>21089</v>
      </c>
      <c r="C4264" s="19" t="s">
        <v>36</v>
      </c>
      <c r="D4264" s="19" t="s">
        <v>36</v>
      </c>
      <c r="E4264" s="19" t="s">
        <v>36</v>
      </c>
      <c r="F4264" s="19" t="s">
        <v>36</v>
      </c>
      <c r="G4264" s="15" t="s">
        <v>683</v>
      </c>
      <c r="H4264" s="14">
        <v>102.78</v>
      </c>
      <c r="I4264" s="18">
        <v>36.92</v>
      </c>
      <c r="J4264" s="12" t="s">
        <v>521</v>
      </c>
      <c r="K4264" s="13">
        <v>43760</v>
      </c>
      <c r="L4264" s="15" t="s">
        <v>36</v>
      </c>
      <c r="M4264" s="12" t="s">
        <v>36</v>
      </c>
      <c r="N4264" s="12" t="s">
        <v>36</v>
      </c>
      <c r="O4264" s="17" t="s">
        <v>36</v>
      </c>
      <c r="P4264" s="12" t="s">
        <v>36</v>
      </c>
      <c r="Q4264" s="12" t="s">
        <v>36</v>
      </c>
      <c r="R4264" s="12" t="s">
        <v>36</v>
      </c>
      <c r="S4264" s="12" t="s">
        <v>14479</v>
      </c>
      <c r="T4264" s="12" t="s">
        <v>4917</v>
      </c>
      <c r="U4264" s="12" t="s">
        <v>38</v>
      </c>
      <c r="V4264" s="12" t="s">
        <v>39</v>
      </c>
      <c r="W4264" s="12" t="s">
        <v>21090</v>
      </c>
      <c r="X4264" s="16" t="s">
        <v>21091</v>
      </c>
      <c r="Y4264" s="15" t="s">
        <v>108</v>
      </c>
      <c r="Z4264" s="14">
        <v>5.54</v>
      </c>
      <c r="AA4264" s="14">
        <v>15.02</v>
      </c>
      <c r="AB4264" s="12" t="s">
        <v>56</v>
      </c>
      <c r="AC4264" s="12" t="s">
        <v>21092</v>
      </c>
      <c r="AD4264" s="13">
        <v>43776</v>
      </c>
      <c r="AE4264" s="12" t="s">
        <v>134</v>
      </c>
      <c r="AF4264" s="12" t="s">
        <v>9319</v>
      </c>
      <c r="AG4264" s="12" t="s">
        <v>81</v>
      </c>
      <c r="AH4264" s="1">
        <f>HYPERLINK("https://my.pitchbook.com?c=125737-21T","View Company Online")</f>
      </c>
    </row>
    <row r="4265">
      <c r="A4265" s="3" t="s">
        <v>21093</v>
      </c>
      <c r="B4265" s="3" t="s">
        <v>15515</v>
      </c>
      <c r="C4265" s="5">
        <v>6</v>
      </c>
      <c r="D4265" s="5">
        <v>15</v>
      </c>
      <c r="E4265" s="5">
        <v>3</v>
      </c>
      <c r="F4265" s="5">
        <v>23</v>
      </c>
      <c r="G4265" s="6" t="s">
        <v>326</v>
      </c>
      <c r="H4265" s="4">
        <v>114.24</v>
      </c>
      <c r="I4265" s="7">
        <v>67.8</v>
      </c>
      <c r="J4265" s="3" t="s">
        <v>521</v>
      </c>
      <c r="K4265" s="9">
        <v>43391</v>
      </c>
      <c r="L4265" s="6" t="s">
        <v>94</v>
      </c>
      <c r="M4265" s="3" t="s">
        <v>36</v>
      </c>
      <c r="N4265" s="3" t="s">
        <v>94</v>
      </c>
      <c r="O4265" s="8" t="s">
        <v>36</v>
      </c>
      <c r="P4265" s="3" t="s">
        <v>36</v>
      </c>
      <c r="Q4265" s="3" t="s">
        <v>36</v>
      </c>
      <c r="R4265" s="3" t="s">
        <v>36</v>
      </c>
      <c r="S4265" s="3" t="s">
        <v>36</v>
      </c>
      <c r="T4265" s="3" t="s">
        <v>661</v>
      </c>
      <c r="U4265" s="3" t="s">
        <v>51</v>
      </c>
      <c r="V4265" s="3" t="s">
        <v>52</v>
      </c>
      <c r="W4265" s="3" t="s">
        <v>15516</v>
      </c>
      <c r="X4265" s="10" t="s">
        <v>21094</v>
      </c>
      <c r="Y4265" s="6" t="s">
        <v>192</v>
      </c>
      <c r="Z4265" s="4">
        <v>26.29</v>
      </c>
      <c r="AA4265" s="4">
        <v>38.77</v>
      </c>
      <c r="AB4265" s="3" t="s">
        <v>56</v>
      </c>
      <c r="AC4265" s="3" t="s">
        <v>15517</v>
      </c>
      <c r="AD4265" s="9">
        <v>43775</v>
      </c>
      <c r="AE4265" s="3" t="s">
        <v>158</v>
      </c>
      <c r="AF4265" s="3" t="s">
        <v>159</v>
      </c>
      <c r="AG4265" s="3" t="s">
        <v>81</v>
      </c>
      <c r="AH4265" s="11">
        <f>HYPERLINK("https://my.pitchbook.com?c=99598-24T","View Company Online")</f>
      </c>
    </row>
    <row r="4266">
      <c r="A4266" s="12" t="s">
        <v>21095</v>
      </c>
      <c r="B4266" s="12" t="s">
        <v>21096</v>
      </c>
      <c r="C4266" s="19" t="s">
        <v>36</v>
      </c>
      <c r="D4266" s="19" t="s">
        <v>36</v>
      </c>
      <c r="E4266" s="19" t="s">
        <v>36</v>
      </c>
      <c r="F4266" s="19" t="s">
        <v>36</v>
      </c>
      <c r="G4266" s="15" t="s">
        <v>36</v>
      </c>
      <c r="H4266" s="14">
        <v>13.96</v>
      </c>
      <c r="I4266" s="18">
        <v>33.52</v>
      </c>
      <c r="J4266" s="12" t="s">
        <v>521</v>
      </c>
      <c r="K4266" s="13" t="s">
        <v>36</v>
      </c>
      <c r="L4266" s="15" t="s">
        <v>36</v>
      </c>
      <c r="M4266" s="12" t="s">
        <v>36</v>
      </c>
      <c r="N4266" s="12" t="s">
        <v>36</v>
      </c>
      <c r="O4266" s="17" t="s">
        <v>36</v>
      </c>
      <c r="P4266" s="12" t="s">
        <v>36</v>
      </c>
      <c r="Q4266" s="12" t="s">
        <v>36</v>
      </c>
      <c r="R4266" s="12" t="s">
        <v>36</v>
      </c>
      <c r="S4266" s="12" t="s">
        <v>36</v>
      </c>
      <c r="T4266" s="12" t="s">
        <v>21097</v>
      </c>
      <c r="U4266" s="12" t="s">
        <v>96</v>
      </c>
      <c r="V4266" s="12" t="s">
        <v>52</v>
      </c>
      <c r="W4266" s="12" t="s">
        <v>21098</v>
      </c>
      <c r="X4266" s="16" t="s">
        <v>21099</v>
      </c>
      <c r="Y4266" s="15" t="s">
        <v>42</v>
      </c>
      <c r="Z4266" s="14">
        <v>1.68</v>
      </c>
      <c r="AA4266" s="14">
        <v>2.51</v>
      </c>
      <c r="AB4266" s="12" t="s">
        <v>43</v>
      </c>
      <c r="AC4266" s="12" t="s">
        <v>21100</v>
      </c>
      <c r="AD4266" s="13">
        <v>43775</v>
      </c>
      <c r="AE4266" s="12" t="s">
        <v>143</v>
      </c>
      <c r="AF4266" s="12" t="s">
        <v>2416</v>
      </c>
      <c r="AG4266" s="12" t="s">
        <v>4416</v>
      </c>
      <c r="AH4266" s="1">
        <f>HYPERLINK("https://my.pitchbook.com?c=133701-40T","View Company Online")</f>
      </c>
    </row>
    <row r="4267">
      <c r="A4267" s="3" t="s">
        <v>21101</v>
      </c>
      <c r="B4267" s="3" t="s">
        <v>2284</v>
      </c>
      <c r="C4267" s="5" t="s">
        <v>36</v>
      </c>
      <c r="D4267" s="5" t="s">
        <v>36</v>
      </c>
      <c r="E4267" s="5" t="s">
        <v>36</v>
      </c>
      <c r="F4267" s="5" t="s">
        <v>36</v>
      </c>
      <c r="G4267" s="6" t="s">
        <v>326</v>
      </c>
      <c r="H4267" s="4">
        <v>75.72</v>
      </c>
      <c r="I4267" s="7">
        <v>27.66</v>
      </c>
      <c r="J4267" s="3" t="s">
        <v>521</v>
      </c>
      <c r="K4267" s="9" t="s">
        <v>36</v>
      </c>
      <c r="L4267" s="6" t="s">
        <v>122</v>
      </c>
      <c r="M4267" s="3" t="s">
        <v>36</v>
      </c>
      <c r="N4267" s="3" t="s">
        <v>122</v>
      </c>
      <c r="O4267" s="8" t="s">
        <v>36</v>
      </c>
      <c r="P4267" s="3" t="s">
        <v>36</v>
      </c>
      <c r="Q4267" s="3" t="s">
        <v>36</v>
      </c>
      <c r="R4267" s="3" t="s">
        <v>36</v>
      </c>
      <c r="S4267" s="3" t="s">
        <v>36</v>
      </c>
      <c r="T4267" s="3" t="s">
        <v>2285</v>
      </c>
      <c r="U4267" s="3" t="s">
        <v>38</v>
      </c>
      <c r="V4267" s="3" t="s">
        <v>39</v>
      </c>
      <c r="W4267" s="3" t="s">
        <v>2286</v>
      </c>
      <c r="X4267" s="10" t="s">
        <v>21102</v>
      </c>
      <c r="Y4267" s="6" t="s">
        <v>166</v>
      </c>
      <c r="Z4267" s="4">
        <v>19.95</v>
      </c>
      <c r="AA4267" s="4">
        <v>50.1</v>
      </c>
      <c r="AB4267" s="3" t="s">
        <v>43</v>
      </c>
      <c r="AC4267" s="3" t="s">
        <v>2288</v>
      </c>
      <c r="AD4267" s="9">
        <v>43775</v>
      </c>
      <c r="AE4267" s="3" t="s">
        <v>110</v>
      </c>
      <c r="AF4267" s="3" t="s">
        <v>815</v>
      </c>
      <c r="AG4267" s="3" t="s">
        <v>81</v>
      </c>
      <c r="AH4267" s="11">
        <f>HYPERLINK("https://my.pitchbook.com?c=130446-64T","View Company Online")</f>
      </c>
    </row>
    <row r="4268">
      <c r="A4268" s="12" t="s">
        <v>21103</v>
      </c>
      <c r="B4268" s="12" t="s">
        <v>5536</v>
      </c>
      <c r="C4268" s="19">
        <v>22</v>
      </c>
      <c r="D4268" s="19">
        <v>59</v>
      </c>
      <c r="E4268" s="19">
        <v>32</v>
      </c>
      <c r="F4268" s="19">
        <v>116</v>
      </c>
      <c r="G4268" s="15" t="s">
        <v>36</v>
      </c>
      <c r="H4268" s="14" t="s">
        <v>36</v>
      </c>
      <c r="I4268" s="18" t="s">
        <v>36</v>
      </c>
      <c r="J4268" s="12" t="s">
        <v>36</v>
      </c>
      <c r="K4268" s="13" t="s">
        <v>36</v>
      </c>
      <c r="L4268" s="15" t="s">
        <v>36</v>
      </c>
      <c r="M4268" s="12" t="s">
        <v>36</v>
      </c>
      <c r="N4268" s="12" t="s">
        <v>36</v>
      </c>
      <c r="O4268" s="17" t="s">
        <v>36</v>
      </c>
      <c r="P4268" s="12" t="s">
        <v>36</v>
      </c>
      <c r="Q4268" s="12" t="s">
        <v>36</v>
      </c>
      <c r="R4268" s="12" t="s">
        <v>36</v>
      </c>
      <c r="S4268" s="12" t="s">
        <v>36</v>
      </c>
      <c r="T4268" s="12" t="s">
        <v>5537</v>
      </c>
      <c r="U4268" s="12" t="s">
        <v>96</v>
      </c>
      <c r="V4268" s="12" t="s">
        <v>52</v>
      </c>
      <c r="W4268" s="12" t="s">
        <v>5538</v>
      </c>
      <c r="X4268" s="16" t="s">
        <v>21104</v>
      </c>
      <c r="Y4268" s="15" t="s">
        <v>166</v>
      </c>
      <c r="Z4268" s="14" t="s">
        <v>36</v>
      </c>
      <c r="AA4268" s="14" t="s">
        <v>36</v>
      </c>
      <c r="AB4268" s="12" t="s">
        <v>56</v>
      </c>
      <c r="AC4268" s="12" t="s">
        <v>5540</v>
      </c>
      <c r="AD4268" s="13">
        <v>43774</v>
      </c>
      <c r="AE4268" s="12" t="s">
        <v>100</v>
      </c>
      <c r="AF4268" s="12" t="s">
        <v>5541</v>
      </c>
      <c r="AG4268" s="12" t="s">
        <v>81</v>
      </c>
      <c r="AH4268" s="1">
        <f>HYPERLINK("https://my.pitchbook.com?c=128702-35T","View Company Online")</f>
      </c>
    </row>
    <row r="4269">
      <c r="A4269" s="3" t="s">
        <v>21105</v>
      </c>
      <c r="B4269" s="3" t="s">
        <v>19357</v>
      </c>
      <c r="C4269" s="5" t="s">
        <v>36</v>
      </c>
      <c r="D4269" s="5">
        <v>28</v>
      </c>
      <c r="E4269" s="5">
        <v>7</v>
      </c>
      <c r="F4269" s="5">
        <v>34</v>
      </c>
      <c r="G4269" s="6" t="s">
        <v>326</v>
      </c>
      <c r="H4269" s="4">
        <v>55.6</v>
      </c>
      <c r="I4269" s="7">
        <v>8.72</v>
      </c>
      <c r="J4269" s="3" t="s">
        <v>521</v>
      </c>
      <c r="K4269" s="9" t="s">
        <v>36</v>
      </c>
      <c r="L4269" s="6" t="s">
        <v>36</v>
      </c>
      <c r="M4269" s="3" t="s">
        <v>36</v>
      </c>
      <c r="N4269" s="3" t="s">
        <v>36</v>
      </c>
      <c r="O4269" s="8" t="s">
        <v>36</v>
      </c>
      <c r="P4269" s="3" t="s">
        <v>36</v>
      </c>
      <c r="Q4269" s="3" t="s">
        <v>36</v>
      </c>
      <c r="R4269" s="3" t="s">
        <v>36</v>
      </c>
      <c r="S4269" s="3" t="s">
        <v>36</v>
      </c>
      <c r="T4269" s="3" t="s">
        <v>19358</v>
      </c>
      <c r="U4269" s="3" t="s">
        <v>96</v>
      </c>
      <c r="V4269" s="3" t="s">
        <v>52</v>
      </c>
      <c r="W4269" s="3" t="s">
        <v>19359</v>
      </c>
      <c r="X4269" s="10" t="s">
        <v>21106</v>
      </c>
      <c r="Y4269" s="6" t="s">
        <v>108</v>
      </c>
      <c r="Z4269" s="4">
        <v>0.62</v>
      </c>
      <c r="AA4269" s="4">
        <v>7.11</v>
      </c>
      <c r="AB4269" s="3" t="s">
        <v>56</v>
      </c>
      <c r="AC4269" s="3" t="s">
        <v>19361</v>
      </c>
      <c r="AD4269" s="9">
        <v>43773</v>
      </c>
      <c r="AE4269" s="3" t="s">
        <v>755</v>
      </c>
      <c r="AF4269" s="3" t="s">
        <v>2416</v>
      </c>
      <c r="AG4269" s="3" t="s">
        <v>969</v>
      </c>
      <c r="AH4269" s="11">
        <f>HYPERLINK("https://my.pitchbook.com?c=106523-56T","View Company Online")</f>
      </c>
    </row>
    <row r="4270">
      <c r="A4270" s="12" t="s">
        <v>21107</v>
      </c>
      <c r="B4270" s="12" t="s">
        <v>13217</v>
      </c>
      <c r="C4270" s="19" t="s">
        <v>36</v>
      </c>
      <c r="D4270" s="19">
        <v>3</v>
      </c>
      <c r="E4270" s="19">
        <v>4</v>
      </c>
      <c r="F4270" s="19">
        <v>11</v>
      </c>
      <c r="G4270" s="15" t="s">
        <v>36</v>
      </c>
      <c r="H4270" s="14">
        <v>48.44</v>
      </c>
      <c r="I4270" s="18">
        <v>17.76</v>
      </c>
      <c r="J4270" s="12" t="s">
        <v>521</v>
      </c>
      <c r="K4270" s="13" t="s">
        <v>36</v>
      </c>
      <c r="L4270" s="15" t="s">
        <v>36</v>
      </c>
      <c r="M4270" s="12" t="s">
        <v>36</v>
      </c>
      <c r="N4270" s="12" t="s">
        <v>36</v>
      </c>
      <c r="O4270" s="17" t="s">
        <v>36</v>
      </c>
      <c r="P4270" s="12" t="s">
        <v>36</v>
      </c>
      <c r="Q4270" s="12" t="s">
        <v>36</v>
      </c>
      <c r="R4270" s="12" t="s">
        <v>36</v>
      </c>
      <c r="S4270" s="12" t="s">
        <v>13218</v>
      </c>
      <c r="T4270" s="12" t="s">
        <v>522</v>
      </c>
      <c r="U4270" s="12" t="s">
        <v>38</v>
      </c>
      <c r="V4270" s="12" t="s">
        <v>39</v>
      </c>
      <c r="W4270" s="12" t="s">
        <v>13219</v>
      </c>
      <c r="X4270" s="16" t="s">
        <v>21108</v>
      </c>
      <c r="Y4270" s="15" t="s">
        <v>42</v>
      </c>
      <c r="Z4270" s="14">
        <v>1.2</v>
      </c>
      <c r="AA4270" s="14">
        <v>6.74</v>
      </c>
      <c r="AB4270" s="12" t="s">
        <v>43</v>
      </c>
      <c r="AC4270" s="12" t="s">
        <v>13221</v>
      </c>
      <c r="AD4270" s="13">
        <v>43773</v>
      </c>
      <c r="AE4270" s="12" t="s">
        <v>110</v>
      </c>
      <c r="AF4270" s="12" t="s">
        <v>7996</v>
      </c>
      <c r="AG4270" s="12" t="s">
        <v>924</v>
      </c>
      <c r="AH4270" s="1">
        <f>HYPERLINK("https://my.pitchbook.com?c=131487-49T","View Company Online")</f>
      </c>
    </row>
    <row r="4271">
      <c r="A4271" s="3" t="s">
        <v>21109</v>
      </c>
      <c r="B4271" s="3" t="s">
        <v>21110</v>
      </c>
      <c r="C4271" s="5" t="s">
        <v>36</v>
      </c>
      <c r="D4271" s="5" t="s">
        <v>36</v>
      </c>
      <c r="E4271" s="5" t="s">
        <v>36</v>
      </c>
      <c r="F4271" s="5" t="s">
        <v>36</v>
      </c>
      <c r="G4271" s="6" t="s">
        <v>326</v>
      </c>
      <c r="H4271" s="4">
        <v>15.47</v>
      </c>
      <c r="I4271" s="7">
        <v>9.45</v>
      </c>
      <c r="J4271" s="3" t="s">
        <v>521</v>
      </c>
      <c r="K4271" s="9" t="s">
        <v>36</v>
      </c>
      <c r="L4271" s="6" t="s">
        <v>36</v>
      </c>
      <c r="M4271" s="3" t="s">
        <v>36</v>
      </c>
      <c r="N4271" s="3" t="s">
        <v>36</v>
      </c>
      <c r="O4271" s="8" t="s">
        <v>36</v>
      </c>
      <c r="P4271" s="3" t="s">
        <v>36</v>
      </c>
      <c r="Q4271" s="3" t="s">
        <v>36</v>
      </c>
      <c r="R4271" s="3" t="s">
        <v>36</v>
      </c>
      <c r="S4271" s="3" t="s">
        <v>36</v>
      </c>
      <c r="T4271" s="3" t="s">
        <v>2925</v>
      </c>
      <c r="U4271" s="3" t="s">
        <v>38</v>
      </c>
      <c r="V4271" s="3" t="s">
        <v>39</v>
      </c>
      <c r="W4271" s="3" t="s">
        <v>21111</v>
      </c>
      <c r="X4271" s="10" t="s">
        <v>21112</v>
      </c>
      <c r="Y4271" s="6" t="s">
        <v>55</v>
      </c>
      <c r="Z4271" s="4">
        <v>2.22</v>
      </c>
      <c r="AA4271" s="4">
        <v>23.45</v>
      </c>
      <c r="AB4271" s="3" t="s">
        <v>56</v>
      </c>
      <c r="AC4271" s="3" t="s">
        <v>21113</v>
      </c>
      <c r="AD4271" s="9">
        <v>43773</v>
      </c>
      <c r="AE4271" s="3" t="s">
        <v>110</v>
      </c>
      <c r="AF4271" s="3" t="s">
        <v>21114</v>
      </c>
      <c r="AG4271" s="3" t="s">
        <v>924</v>
      </c>
      <c r="AH4271" s="11">
        <f>HYPERLINK("https://my.pitchbook.com?c=181572-04T","View Company Online")</f>
      </c>
    </row>
    <row r="4272">
      <c r="A4272" s="12" t="s">
        <v>21115</v>
      </c>
      <c r="B4272" s="12" t="s">
        <v>14058</v>
      </c>
      <c r="C4272" s="19" t="s">
        <v>36</v>
      </c>
      <c r="D4272" s="19" t="s">
        <v>36</v>
      </c>
      <c r="E4272" s="19" t="s">
        <v>36</v>
      </c>
      <c r="F4272" s="19" t="s">
        <v>36</v>
      </c>
      <c r="G4272" s="15" t="s">
        <v>36</v>
      </c>
      <c r="H4272" s="14">
        <v>1228.8</v>
      </c>
      <c r="I4272" s="18">
        <v>23.19</v>
      </c>
      <c r="J4272" s="12" t="s">
        <v>521</v>
      </c>
      <c r="K4272" s="13" t="s">
        <v>36</v>
      </c>
      <c r="L4272" s="15" t="s">
        <v>36</v>
      </c>
      <c r="M4272" s="12" t="s">
        <v>36</v>
      </c>
      <c r="N4272" s="12" t="s">
        <v>36</v>
      </c>
      <c r="O4272" s="17" t="s">
        <v>36</v>
      </c>
      <c r="P4272" s="12" t="s">
        <v>36</v>
      </c>
      <c r="Q4272" s="12" t="s">
        <v>36</v>
      </c>
      <c r="R4272" s="12" t="s">
        <v>36</v>
      </c>
      <c r="S4272" s="12" t="s">
        <v>36</v>
      </c>
      <c r="T4272" s="12" t="s">
        <v>14059</v>
      </c>
      <c r="U4272" s="12" t="s">
        <v>63</v>
      </c>
      <c r="V4272" s="12" t="s">
        <v>64</v>
      </c>
      <c r="W4272" s="12" t="s">
        <v>14060</v>
      </c>
      <c r="X4272" s="16" t="s">
        <v>21116</v>
      </c>
      <c r="Y4272" s="15" t="s">
        <v>55</v>
      </c>
      <c r="Z4272" s="14">
        <v>15.51</v>
      </c>
      <c r="AA4272" s="14">
        <v>47.78</v>
      </c>
      <c r="AB4272" s="12" t="s">
        <v>56</v>
      </c>
      <c r="AC4272" s="12" t="s">
        <v>14062</v>
      </c>
      <c r="AD4272" s="13">
        <v>43773</v>
      </c>
      <c r="AE4272" s="12" t="s">
        <v>68</v>
      </c>
      <c r="AF4272" s="12" t="s">
        <v>5769</v>
      </c>
      <c r="AG4272" s="12" t="s">
        <v>81</v>
      </c>
      <c r="AH4272" s="1">
        <f>HYPERLINK("https://my.pitchbook.com?c=125878-51T","View Company Online")</f>
      </c>
    </row>
    <row r="4273">
      <c r="A4273" s="3" t="s">
        <v>21117</v>
      </c>
      <c r="B4273" s="3" t="s">
        <v>21118</v>
      </c>
      <c r="C4273" s="5" t="s">
        <v>36</v>
      </c>
      <c r="D4273" s="5" t="s">
        <v>36</v>
      </c>
      <c r="E4273" s="5" t="s">
        <v>36</v>
      </c>
      <c r="F4273" s="5" t="s">
        <v>36</v>
      </c>
      <c r="G4273" s="6" t="s">
        <v>36</v>
      </c>
      <c r="H4273" s="4">
        <v>207.71</v>
      </c>
      <c r="I4273" s="7">
        <v>20</v>
      </c>
      <c r="J4273" s="3" t="s">
        <v>521</v>
      </c>
      <c r="K4273" s="9" t="s">
        <v>36</v>
      </c>
      <c r="L4273" s="6" t="s">
        <v>36</v>
      </c>
      <c r="M4273" s="3" t="s">
        <v>36</v>
      </c>
      <c r="N4273" s="3" t="s">
        <v>36</v>
      </c>
      <c r="O4273" s="8" t="s">
        <v>36</v>
      </c>
      <c r="P4273" s="3" t="s">
        <v>36</v>
      </c>
      <c r="Q4273" s="3" t="s">
        <v>36</v>
      </c>
      <c r="R4273" s="3" t="s">
        <v>36</v>
      </c>
      <c r="S4273" s="3" t="s">
        <v>36</v>
      </c>
      <c r="T4273" s="3" t="s">
        <v>21119</v>
      </c>
      <c r="U4273" s="3" t="s">
        <v>728</v>
      </c>
      <c r="V4273" s="3" t="s">
        <v>64</v>
      </c>
      <c r="W4273" s="3" t="s">
        <v>21120</v>
      </c>
      <c r="X4273" s="10" t="s">
        <v>21121</v>
      </c>
      <c r="Y4273" s="6" t="s">
        <v>42</v>
      </c>
      <c r="Z4273" s="4">
        <v>0.28</v>
      </c>
      <c r="AA4273" s="4">
        <v>1.38</v>
      </c>
      <c r="AB4273" s="3" t="s">
        <v>43</v>
      </c>
      <c r="AC4273" s="3" t="s">
        <v>21122</v>
      </c>
      <c r="AD4273" s="9">
        <v>43771</v>
      </c>
      <c r="AE4273" s="3" t="s">
        <v>21123</v>
      </c>
      <c r="AF4273" s="3" t="s">
        <v>733</v>
      </c>
      <c r="AG4273" s="3" t="s">
        <v>81</v>
      </c>
      <c r="AH4273" s="11">
        <f>HYPERLINK("https://my.pitchbook.com?c=135409-78T","View Company Online")</f>
      </c>
    </row>
    <row r="4274">
      <c r="A4274" s="12" t="s">
        <v>21124</v>
      </c>
      <c r="B4274" s="12" t="s">
        <v>21125</v>
      </c>
      <c r="C4274" s="19" t="s">
        <v>36</v>
      </c>
      <c r="D4274" s="19" t="s">
        <v>36</v>
      </c>
      <c r="E4274" s="19" t="s">
        <v>36</v>
      </c>
      <c r="F4274" s="19" t="s">
        <v>36</v>
      </c>
      <c r="G4274" s="15" t="s">
        <v>36</v>
      </c>
      <c r="H4274" s="14">
        <v>25.74</v>
      </c>
      <c r="I4274" s="18">
        <v>42.54</v>
      </c>
      <c r="J4274" s="12" t="s">
        <v>521</v>
      </c>
      <c r="K4274" s="13" t="s">
        <v>36</v>
      </c>
      <c r="L4274" s="15" t="s">
        <v>36</v>
      </c>
      <c r="M4274" s="12" t="s">
        <v>36</v>
      </c>
      <c r="N4274" s="12" t="s">
        <v>36</v>
      </c>
      <c r="O4274" s="17" t="s">
        <v>36</v>
      </c>
      <c r="P4274" s="12" t="s">
        <v>36</v>
      </c>
      <c r="Q4274" s="12" t="s">
        <v>36</v>
      </c>
      <c r="R4274" s="12" t="s">
        <v>36</v>
      </c>
      <c r="S4274" s="12" t="s">
        <v>36</v>
      </c>
      <c r="T4274" s="12" t="s">
        <v>21126</v>
      </c>
      <c r="U4274" s="12" t="s">
        <v>3000</v>
      </c>
      <c r="V4274" s="12" t="s">
        <v>378</v>
      </c>
      <c r="W4274" s="12" t="s">
        <v>21127</v>
      </c>
      <c r="X4274" s="16" t="s">
        <v>9721</v>
      </c>
      <c r="Y4274" s="15" t="s">
        <v>42</v>
      </c>
      <c r="Z4274" s="14">
        <v>31.41</v>
      </c>
      <c r="AA4274" s="14">
        <v>73.82</v>
      </c>
      <c r="AB4274" s="12" t="s">
        <v>43</v>
      </c>
      <c r="AC4274" s="12" t="s">
        <v>21128</v>
      </c>
      <c r="AD4274" s="13">
        <v>43770</v>
      </c>
      <c r="AE4274" s="12" t="s">
        <v>3004</v>
      </c>
      <c r="AF4274" s="12" t="s">
        <v>1969</v>
      </c>
      <c r="AG4274" s="12" t="s">
        <v>186</v>
      </c>
      <c r="AH4274" s="1">
        <f>HYPERLINK("https://my.pitchbook.com?c=133488-01T","View Company Online")</f>
      </c>
    </row>
    <row r="4275">
      <c r="A4275" s="3" t="s">
        <v>21129</v>
      </c>
      <c r="B4275" s="3" t="s">
        <v>21130</v>
      </c>
      <c r="C4275" s="5" t="s">
        <v>36</v>
      </c>
      <c r="D4275" s="5" t="s">
        <v>36</v>
      </c>
      <c r="E4275" s="5" t="s">
        <v>36</v>
      </c>
      <c r="F4275" s="5" t="s">
        <v>36</v>
      </c>
      <c r="G4275" s="6" t="s">
        <v>326</v>
      </c>
      <c r="H4275" s="4">
        <v>374.03</v>
      </c>
      <c r="I4275" s="7">
        <v>38.11</v>
      </c>
      <c r="J4275" s="3" t="s">
        <v>521</v>
      </c>
      <c r="K4275" s="9" t="s">
        <v>36</v>
      </c>
      <c r="L4275" s="6" t="s">
        <v>94</v>
      </c>
      <c r="M4275" s="3" t="s">
        <v>36</v>
      </c>
      <c r="N4275" s="3" t="s">
        <v>94</v>
      </c>
      <c r="O4275" s="8" t="s">
        <v>36</v>
      </c>
      <c r="P4275" s="3" t="s">
        <v>36</v>
      </c>
      <c r="Q4275" s="3" t="s">
        <v>36</v>
      </c>
      <c r="R4275" s="3" t="s">
        <v>36</v>
      </c>
      <c r="S4275" s="3" t="s">
        <v>36</v>
      </c>
      <c r="T4275" s="3" t="s">
        <v>6288</v>
      </c>
      <c r="U4275" s="3" t="s">
        <v>85</v>
      </c>
      <c r="V4275" s="3" t="s">
        <v>64</v>
      </c>
      <c r="W4275" s="3" t="s">
        <v>21131</v>
      </c>
      <c r="X4275" s="10" t="s">
        <v>21132</v>
      </c>
      <c r="Y4275" s="6" t="s">
        <v>55</v>
      </c>
      <c r="Z4275" s="4">
        <v>6.25</v>
      </c>
      <c r="AA4275" s="4">
        <v>16.39</v>
      </c>
      <c r="AB4275" s="3" t="s">
        <v>56</v>
      </c>
      <c r="AC4275" s="3" t="s">
        <v>21133</v>
      </c>
      <c r="AD4275" s="9">
        <v>43770</v>
      </c>
      <c r="AE4275" s="3" t="s">
        <v>89</v>
      </c>
      <c r="AF4275" s="3" t="s">
        <v>5529</v>
      </c>
      <c r="AG4275" s="3" t="s">
        <v>81</v>
      </c>
      <c r="AH4275" s="11">
        <f>HYPERLINK("https://my.pitchbook.com?c=132819-13T","View Company Online")</f>
      </c>
    </row>
    <row r="4276">
      <c r="A4276" s="12" t="s">
        <v>21134</v>
      </c>
      <c r="B4276" s="12" t="s">
        <v>21135</v>
      </c>
      <c r="C4276" s="19">
        <v>13</v>
      </c>
      <c r="D4276" s="19">
        <v>12</v>
      </c>
      <c r="E4276" s="19">
        <v>11</v>
      </c>
      <c r="F4276" s="19">
        <v>33</v>
      </c>
      <c r="G4276" s="15" t="s">
        <v>683</v>
      </c>
      <c r="H4276" s="14">
        <v>1.56</v>
      </c>
      <c r="I4276" s="18">
        <v>8.3</v>
      </c>
      <c r="J4276" s="12" t="s">
        <v>521</v>
      </c>
      <c r="K4276" s="13" t="s">
        <v>36</v>
      </c>
      <c r="L4276" s="15" t="s">
        <v>36</v>
      </c>
      <c r="M4276" s="12" t="s">
        <v>36</v>
      </c>
      <c r="N4276" s="12" t="s">
        <v>36</v>
      </c>
      <c r="O4276" s="17" t="s">
        <v>36</v>
      </c>
      <c r="P4276" s="12" t="s">
        <v>36</v>
      </c>
      <c r="Q4276" s="12" t="s">
        <v>36</v>
      </c>
      <c r="R4276" s="12" t="s">
        <v>36</v>
      </c>
      <c r="S4276" s="12" t="s">
        <v>36</v>
      </c>
      <c r="T4276" s="12" t="s">
        <v>154</v>
      </c>
      <c r="U4276" s="12" t="s">
        <v>51</v>
      </c>
      <c r="V4276" s="12" t="s">
        <v>52</v>
      </c>
      <c r="W4276" s="12" t="s">
        <v>21136</v>
      </c>
      <c r="X4276" s="16" t="s">
        <v>21137</v>
      </c>
      <c r="Y4276" s="15" t="s">
        <v>108</v>
      </c>
      <c r="Z4276" s="14">
        <v>1.71</v>
      </c>
      <c r="AA4276" s="14">
        <v>20.58</v>
      </c>
      <c r="AB4276" s="12" t="s">
        <v>56</v>
      </c>
      <c r="AC4276" s="12" t="s">
        <v>21138</v>
      </c>
      <c r="AD4276" s="13">
        <v>43770</v>
      </c>
      <c r="AE4276" s="12" t="s">
        <v>158</v>
      </c>
      <c r="AF4276" s="12" t="s">
        <v>159</v>
      </c>
      <c r="AG4276" s="12" t="s">
        <v>21139</v>
      </c>
      <c r="AH4276" s="1">
        <f>HYPERLINK("https://my.pitchbook.com?c=132552-10T","View Company Online")</f>
      </c>
    </row>
    <row r="4277">
      <c r="A4277" s="3" t="s">
        <v>21140</v>
      </c>
      <c r="B4277" s="3" t="s">
        <v>21141</v>
      </c>
      <c r="C4277" s="5" t="s">
        <v>36</v>
      </c>
      <c r="D4277" s="5" t="s">
        <v>36</v>
      </c>
      <c r="E4277" s="5" t="s">
        <v>36</v>
      </c>
      <c r="F4277" s="5" t="s">
        <v>36</v>
      </c>
      <c r="G4277" s="6" t="s">
        <v>36</v>
      </c>
      <c r="H4277" s="4" t="s">
        <v>36</v>
      </c>
      <c r="I4277" s="7" t="s">
        <v>36</v>
      </c>
      <c r="J4277" s="3" t="s">
        <v>36</v>
      </c>
      <c r="K4277" s="9" t="s">
        <v>36</v>
      </c>
      <c r="L4277" s="6" t="s">
        <v>36</v>
      </c>
      <c r="M4277" s="3" t="s">
        <v>36</v>
      </c>
      <c r="N4277" s="3" t="s">
        <v>36</v>
      </c>
      <c r="O4277" s="8" t="s">
        <v>36</v>
      </c>
      <c r="P4277" s="3" t="s">
        <v>36</v>
      </c>
      <c r="Q4277" s="3" t="s">
        <v>36</v>
      </c>
      <c r="R4277" s="3" t="s">
        <v>36</v>
      </c>
      <c r="S4277" s="3" t="s">
        <v>36</v>
      </c>
      <c r="T4277" s="3" t="s">
        <v>6159</v>
      </c>
      <c r="U4277" s="3" t="s">
        <v>648</v>
      </c>
      <c r="V4277" s="3" t="s">
        <v>64</v>
      </c>
      <c r="W4277" s="3" t="s">
        <v>21142</v>
      </c>
      <c r="X4277" s="10" t="s">
        <v>21143</v>
      </c>
      <c r="Y4277" s="6" t="s">
        <v>42</v>
      </c>
      <c r="Z4277" s="4" t="s">
        <v>36</v>
      </c>
      <c r="AA4277" s="4" t="s">
        <v>36</v>
      </c>
      <c r="AB4277" s="3" t="s">
        <v>43</v>
      </c>
      <c r="AC4277" s="3" t="s">
        <v>21144</v>
      </c>
      <c r="AD4277" s="9">
        <v>43770</v>
      </c>
      <c r="AE4277" s="3" t="s">
        <v>3988</v>
      </c>
      <c r="AF4277" s="3" t="s">
        <v>4284</v>
      </c>
      <c r="AG4277" s="3" t="s">
        <v>1978</v>
      </c>
      <c r="AH4277" s="11">
        <f>HYPERLINK("https://my.pitchbook.com?c=166358-80T","View Company Online")</f>
      </c>
    </row>
    <row r="4278">
      <c r="A4278" s="12" t="s">
        <v>21145</v>
      </c>
      <c r="B4278" s="12" t="s">
        <v>21146</v>
      </c>
      <c r="C4278" s="19" t="s">
        <v>36</v>
      </c>
      <c r="D4278" s="19" t="s">
        <v>36</v>
      </c>
      <c r="E4278" s="19" t="s">
        <v>36</v>
      </c>
      <c r="F4278" s="19" t="s">
        <v>36</v>
      </c>
      <c r="G4278" s="15" t="s">
        <v>36</v>
      </c>
      <c r="H4278" s="14">
        <v>103.86</v>
      </c>
      <c r="I4278" s="18">
        <v>20</v>
      </c>
      <c r="J4278" s="12" t="s">
        <v>521</v>
      </c>
      <c r="K4278" s="13" t="s">
        <v>36</v>
      </c>
      <c r="L4278" s="15" t="s">
        <v>36</v>
      </c>
      <c r="M4278" s="12" t="s">
        <v>36</v>
      </c>
      <c r="N4278" s="12" t="s">
        <v>36</v>
      </c>
      <c r="O4278" s="17" t="s">
        <v>36</v>
      </c>
      <c r="P4278" s="12" t="s">
        <v>36</v>
      </c>
      <c r="Q4278" s="12" t="s">
        <v>36</v>
      </c>
      <c r="R4278" s="12" t="s">
        <v>36</v>
      </c>
      <c r="S4278" s="12" t="s">
        <v>36</v>
      </c>
      <c r="T4278" s="12" t="s">
        <v>21147</v>
      </c>
      <c r="U4278" s="12" t="s">
        <v>219</v>
      </c>
      <c r="V4278" s="12" t="s">
        <v>75</v>
      </c>
      <c r="W4278" s="12" t="s">
        <v>21148</v>
      </c>
      <c r="X4278" s="16" t="s">
        <v>13436</v>
      </c>
      <c r="Y4278" s="15" t="s">
        <v>42</v>
      </c>
      <c r="Z4278" s="14">
        <v>0.44</v>
      </c>
      <c r="AA4278" s="14">
        <v>2.21</v>
      </c>
      <c r="AB4278" s="12" t="s">
        <v>56</v>
      </c>
      <c r="AC4278" s="12" t="s">
        <v>21149</v>
      </c>
      <c r="AD4278" s="13">
        <v>43770</v>
      </c>
      <c r="AE4278" s="12" t="s">
        <v>1007</v>
      </c>
      <c r="AF4278" s="12" t="s">
        <v>90</v>
      </c>
      <c r="AG4278" s="12" t="s">
        <v>3774</v>
      </c>
      <c r="AH4278" s="1">
        <f>HYPERLINK("https://my.pitchbook.com?c=138797-65T","View Company Online")</f>
      </c>
    </row>
    <row r="4279">
      <c r="A4279" s="3" t="s">
        <v>21150</v>
      </c>
      <c r="B4279" s="3" t="s">
        <v>21151</v>
      </c>
      <c r="C4279" s="5" t="s">
        <v>36</v>
      </c>
      <c r="D4279" s="5" t="s">
        <v>36</v>
      </c>
      <c r="E4279" s="5" t="s">
        <v>36</v>
      </c>
      <c r="F4279" s="5" t="s">
        <v>36</v>
      </c>
      <c r="G4279" s="6" t="s">
        <v>326</v>
      </c>
      <c r="H4279" s="4" t="s">
        <v>36</v>
      </c>
      <c r="I4279" s="7">
        <v>4.95</v>
      </c>
      <c r="J4279" s="3" t="s">
        <v>521</v>
      </c>
      <c r="K4279" s="9" t="s">
        <v>36</v>
      </c>
      <c r="L4279" s="6" t="s">
        <v>36</v>
      </c>
      <c r="M4279" s="3" t="s">
        <v>36</v>
      </c>
      <c r="N4279" s="3" t="s">
        <v>36</v>
      </c>
      <c r="O4279" s="8" t="s">
        <v>36</v>
      </c>
      <c r="P4279" s="3" t="s">
        <v>36</v>
      </c>
      <c r="Q4279" s="3" t="s">
        <v>36</v>
      </c>
      <c r="R4279" s="3" t="s">
        <v>36</v>
      </c>
      <c r="S4279" s="3" t="s">
        <v>7049</v>
      </c>
      <c r="T4279" s="3" t="s">
        <v>105</v>
      </c>
      <c r="U4279" s="3" t="s">
        <v>38</v>
      </c>
      <c r="V4279" s="3" t="s">
        <v>39</v>
      </c>
      <c r="W4279" s="3" t="s">
        <v>21152</v>
      </c>
      <c r="X4279" s="10" t="s">
        <v>21153</v>
      </c>
      <c r="Y4279" s="6" t="s">
        <v>192</v>
      </c>
      <c r="Z4279" s="4">
        <v>0.51</v>
      </c>
      <c r="AA4279" s="4">
        <v>10.31</v>
      </c>
      <c r="AB4279" s="3" t="s">
        <v>43</v>
      </c>
      <c r="AC4279" s="3" t="s">
        <v>21154</v>
      </c>
      <c r="AD4279" s="9">
        <v>43769</v>
      </c>
      <c r="AE4279" s="3" t="s">
        <v>110</v>
      </c>
      <c r="AF4279" s="3" t="s">
        <v>5901</v>
      </c>
      <c r="AG4279" s="3" t="s">
        <v>81</v>
      </c>
      <c r="AH4279" s="11">
        <f>HYPERLINK("https://my.pitchbook.com?c=135090-73T","View Company Online")</f>
      </c>
    </row>
    <row r="4280">
      <c r="A4280" s="12" t="s">
        <v>21155</v>
      </c>
      <c r="B4280" s="12" t="s">
        <v>21156</v>
      </c>
      <c r="C4280" s="19" t="s">
        <v>36</v>
      </c>
      <c r="D4280" s="19" t="s">
        <v>36</v>
      </c>
      <c r="E4280" s="19" t="s">
        <v>36</v>
      </c>
      <c r="F4280" s="19" t="s">
        <v>36</v>
      </c>
      <c r="G4280" s="15" t="s">
        <v>2497</v>
      </c>
      <c r="H4280" s="14">
        <v>5.7</v>
      </c>
      <c r="I4280" s="18">
        <v>30.68</v>
      </c>
      <c r="J4280" s="12" t="s">
        <v>521</v>
      </c>
      <c r="K4280" s="13" t="s">
        <v>36</v>
      </c>
      <c r="L4280" s="15" t="s">
        <v>36</v>
      </c>
      <c r="M4280" s="12" t="s">
        <v>36</v>
      </c>
      <c r="N4280" s="12" t="s">
        <v>36</v>
      </c>
      <c r="O4280" s="17" t="s">
        <v>36</v>
      </c>
      <c r="P4280" s="12" t="s">
        <v>36</v>
      </c>
      <c r="Q4280" s="12" t="s">
        <v>36</v>
      </c>
      <c r="R4280" s="12" t="s">
        <v>36</v>
      </c>
      <c r="S4280" s="12" t="s">
        <v>36</v>
      </c>
      <c r="T4280" s="12" t="s">
        <v>17694</v>
      </c>
      <c r="U4280" s="12" t="s">
        <v>38</v>
      </c>
      <c r="V4280" s="12" t="s">
        <v>39</v>
      </c>
      <c r="W4280" s="12" t="s">
        <v>21157</v>
      </c>
      <c r="X4280" s="16" t="s">
        <v>21158</v>
      </c>
      <c r="Y4280" s="15" t="s">
        <v>55</v>
      </c>
      <c r="Z4280" s="14">
        <v>0.49</v>
      </c>
      <c r="AA4280" s="14">
        <v>1.59</v>
      </c>
      <c r="AB4280" s="12" t="s">
        <v>43</v>
      </c>
      <c r="AC4280" s="12" t="s">
        <v>21159</v>
      </c>
      <c r="AD4280" s="13">
        <v>43769</v>
      </c>
      <c r="AE4280" s="12" t="s">
        <v>688</v>
      </c>
      <c r="AF4280" s="12" t="s">
        <v>21160</v>
      </c>
      <c r="AG4280" s="12" t="s">
        <v>81</v>
      </c>
      <c r="AH4280" s="1">
        <f>HYPERLINK("https://my.pitchbook.com?c=252708-13T","View Company Online")</f>
      </c>
    </row>
    <row r="4281">
      <c r="A4281" s="3" t="s">
        <v>21161</v>
      </c>
      <c r="B4281" s="3" t="s">
        <v>21162</v>
      </c>
      <c r="C4281" s="5" t="s">
        <v>36</v>
      </c>
      <c r="D4281" s="5" t="s">
        <v>36</v>
      </c>
      <c r="E4281" s="5" t="s">
        <v>36</v>
      </c>
      <c r="F4281" s="5" t="s">
        <v>36</v>
      </c>
      <c r="G4281" s="6" t="s">
        <v>36</v>
      </c>
      <c r="H4281" s="4" t="s">
        <v>36</v>
      </c>
      <c r="I4281" s="7" t="s">
        <v>36</v>
      </c>
      <c r="J4281" s="3" t="s">
        <v>36</v>
      </c>
      <c r="K4281" s="9" t="s">
        <v>36</v>
      </c>
      <c r="L4281" s="6" t="s">
        <v>36</v>
      </c>
      <c r="M4281" s="3" t="s">
        <v>36</v>
      </c>
      <c r="N4281" s="3" t="s">
        <v>36</v>
      </c>
      <c r="O4281" s="8" t="s">
        <v>36</v>
      </c>
      <c r="P4281" s="3" t="s">
        <v>36</v>
      </c>
      <c r="Q4281" s="3" t="s">
        <v>36</v>
      </c>
      <c r="R4281" s="3" t="s">
        <v>36</v>
      </c>
      <c r="S4281" s="3" t="s">
        <v>36</v>
      </c>
      <c r="T4281" s="3" t="s">
        <v>21163</v>
      </c>
      <c r="U4281" s="3" t="s">
        <v>438</v>
      </c>
      <c r="V4281" s="3" t="s">
        <v>405</v>
      </c>
      <c r="W4281" s="3" t="s">
        <v>21164</v>
      </c>
      <c r="X4281" s="10" t="s">
        <v>857</v>
      </c>
      <c r="Y4281" s="6" t="s">
        <v>42</v>
      </c>
      <c r="Z4281" s="4">
        <v>2.21</v>
      </c>
      <c r="AA4281" s="4" t="s">
        <v>36</v>
      </c>
      <c r="AB4281" s="3" t="s">
        <v>56</v>
      </c>
      <c r="AC4281" s="3" t="s">
        <v>21165</v>
      </c>
      <c r="AD4281" s="9">
        <v>43769</v>
      </c>
      <c r="AE4281" s="3" t="s">
        <v>438</v>
      </c>
      <c r="AF4281" s="3" t="s">
        <v>1636</v>
      </c>
      <c r="AG4281" s="3" t="s">
        <v>7681</v>
      </c>
      <c r="AH4281" s="11">
        <f>HYPERLINK("https://my.pitchbook.com?c=202825-45T","View Company Online")</f>
      </c>
    </row>
    <row r="4282">
      <c r="A4282" s="12" t="s">
        <v>21166</v>
      </c>
      <c r="B4282" s="12" t="s">
        <v>21167</v>
      </c>
      <c r="C4282" s="19" t="s">
        <v>36</v>
      </c>
      <c r="D4282" s="19" t="s">
        <v>36</v>
      </c>
      <c r="E4282" s="19" t="s">
        <v>36</v>
      </c>
      <c r="F4282" s="19" t="s">
        <v>36</v>
      </c>
      <c r="G4282" s="15" t="s">
        <v>36</v>
      </c>
      <c r="H4282" s="14">
        <v>31.16</v>
      </c>
      <c r="I4282" s="18">
        <v>10</v>
      </c>
      <c r="J4282" s="12" t="s">
        <v>521</v>
      </c>
      <c r="K4282" s="13" t="s">
        <v>36</v>
      </c>
      <c r="L4282" s="15" t="s">
        <v>36</v>
      </c>
      <c r="M4282" s="12" t="s">
        <v>36</v>
      </c>
      <c r="N4282" s="12" t="s">
        <v>36</v>
      </c>
      <c r="O4282" s="17" t="s">
        <v>36</v>
      </c>
      <c r="P4282" s="12" t="s">
        <v>36</v>
      </c>
      <c r="Q4282" s="12" t="s">
        <v>36</v>
      </c>
      <c r="R4282" s="12" t="s">
        <v>36</v>
      </c>
      <c r="S4282" s="12" t="s">
        <v>36</v>
      </c>
      <c r="T4282" s="12" t="s">
        <v>21168</v>
      </c>
      <c r="U4282" s="12" t="s">
        <v>279</v>
      </c>
      <c r="V4282" s="12" t="s">
        <v>64</v>
      </c>
      <c r="W4282" s="12" t="s">
        <v>21169</v>
      </c>
      <c r="X4282" s="16" t="s">
        <v>21170</v>
      </c>
      <c r="Y4282" s="15" t="s">
        <v>42</v>
      </c>
      <c r="Z4282" s="14">
        <v>0.11</v>
      </c>
      <c r="AA4282" s="14">
        <v>1.11</v>
      </c>
      <c r="AB4282" s="12" t="s">
        <v>43</v>
      </c>
      <c r="AC4282" s="12" t="s">
        <v>21171</v>
      </c>
      <c r="AD4282" s="13">
        <v>43769</v>
      </c>
      <c r="AE4282" s="12" t="s">
        <v>283</v>
      </c>
      <c r="AF4282" s="12" t="s">
        <v>815</v>
      </c>
      <c r="AG4282" s="12" t="s">
        <v>652</v>
      </c>
      <c r="AH4282" s="1">
        <f>HYPERLINK("https://my.pitchbook.com?c=155854-00T","View Company Online")</f>
      </c>
    </row>
    <row r="4283">
      <c r="A4283" s="3" t="s">
        <v>21172</v>
      </c>
      <c r="B4283" s="3" t="s">
        <v>21173</v>
      </c>
      <c r="C4283" s="5" t="s">
        <v>36</v>
      </c>
      <c r="D4283" s="5" t="s">
        <v>36</v>
      </c>
      <c r="E4283" s="5" t="s">
        <v>36</v>
      </c>
      <c r="F4283" s="5" t="s">
        <v>36</v>
      </c>
      <c r="G4283" s="6" t="s">
        <v>36</v>
      </c>
      <c r="H4283" s="4">
        <v>1.64</v>
      </c>
      <c r="I4283" s="7">
        <v>18.59</v>
      </c>
      <c r="J4283" s="3" t="s">
        <v>521</v>
      </c>
      <c r="K4283" s="9" t="s">
        <v>36</v>
      </c>
      <c r="L4283" s="6" t="s">
        <v>36</v>
      </c>
      <c r="M4283" s="3" t="s">
        <v>36</v>
      </c>
      <c r="N4283" s="3" t="s">
        <v>36</v>
      </c>
      <c r="O4283" s="8" t="s">
        <v>36</v>
      </c>
      <c r="P4283" s="3" t="s">
        <v>36</v>
      </c>
      <c r="Q4283" s="3" t="s">
        <v>36</v>
      </c>
      <c r="R4283" s="3" t="s">
        <v>36</v>
      </c>
      <c r="S4283" s="3" t="s">
        <v>36</v>
      </c>
      <c r="T4283" s="3" t="s">
        <v>3445</v>
      </c>
      <c r="U4283" s="3" t="s">
        <v>38</v>
      </c>
      <c r="V4283" s="3" t="s">
        <v>39</v>
      </c>
      <c r="W4283" s="3" t="s">
        <v>21174</v>
      </c>
      <c r="X4283" s="10" t="s">
        <v>10196</v>
      </c>
      <c r="Y4283" s="6" t="s">
        <v>42</v>
      </c>
      <c r="Z4283" s="4">
        <v>0.4</v>
      </c>
      <c r="AA4283" s="4">
        <v>2.14</v>
      </c>
      <c r="AB4283" s="3" t="s">
        <v>43</v>
      </c>
      <c r="AC4283" s="3" t="s">
        <v>21175</v>
      </c>
      <c r="AD4283" s="9">
        <v>43769</v>
      </c>
      <c r="AE4283" s="3" t="s">
        <v>110</v>
      </c>
      <c r="AF4283" s="3" t="s">
        <v>8607</v>
      </c>
      <c r="AG4283" s="3" t="s">
        <v>81</v>
      </c>
      <c r="AH4283" s="11">
        <f>HYPERLINK("https://my.pitchbook.com?c=227391-22T","View Company Online")</f>
      </c>
    </row>
    <row r="4284">
      <c r="A4284" s="12" t="s">
        <v>21176</v>
      </c>
      <c r="B4284" s="12" t="s">
        <v>8040</v>
      </c>
      <c r="C4284" s="19" t="s">
        <v>36</v>
      </c>
      <c r="D4284" s="19" t="s">
        <v>36</v>
      </c>
      <c r="E4284" s="19" t="s">
        <v>36</v>
      </c>
      <c r="F4284" s="19" t="s">
        <v>36</v>
      </c>
      <c r="G4284" s="15" t="s">
        <v>326</v>
      </c>
      <c r="H4284" s="14">
        <v>568.78</v>
      </c>
      <c r="I4284" s="18">
        <v>36.7</v>
      </c>
      <c r="J4284" s="12" t="s">
        <v>521</v>
      </c>
      <c r="K4284" s="13">
        <v>43656</v>
      </c>
      <c r="L4284" s="15" t="s">
        <v>94</v>
      </c>
      <c r="M4284" s="12" t="s">
        <v>36</v>
      </c>
      <c r="N4284" s="12" t="s">
        <v>94</v>
      </c>
      <c r="O4284" s="17" t="s">
        <v>36</v>
      </c>
      <c r="P4284" s="12" t="s">
        <v>36</v>
      </c>
      <c r="Q4284" s="12" t="s">
        <v>36</v>
      </c>
      <c r="R4284" s="12" t="s">
        <v>36</v>
      </c>
      <c r="S4284" s="12" t="s">
        <v>36</v>
      </c>
      <c r="T4284" s="12" t="s">
        <v>8041</v>
      </c>
      <c r="U4284" s="12" t="s">
        <v>279</v>
      </c>
      <c r="V4284" s="12" t="s">
        <v>64</v>
      </c>
      <c r="W4284" s="12" t="s">
        <v>8042</v>
      </c>
      <c r="X4284" s="16" t="s">
        <v>21177</v>
      </c>
      <c r="Y4284" s="15" t="s">
        <v>108</v>
      </c>
      <c r="Z4284" s="14">
        <v>39.72</v>
      </c>
      <c r="AA4284" s="14">
        <v>93.93</v>
      </c>
      <c r="AB4284" s="12" t="s">
        <v>43</v>
      </c>
      <c r="AC4284" s="12" t="s">
        <v>8044</v>
      </c>
      <c r="AD4284" s="13">
        <v>43768</v>
      </c>
      <c r="AE4284" s="12" t="s">
        <v>851</v>
      </c>
      <c r="AF4284" s="12" t="s">
        <v>815</v>
      </c>
      <c r="AG4284" s="12" t="s">
        <v>81</v>
      </c>
      <c r="AH4284" s="1">
        <f>HYPERLINK("https://my.pitchbook.com?c=125505-64T","View Company Online")</f>
      </c>
    </row>
    <row r="4285">
      <c r="A4285" s="3" t="s">
        <v>21178</v>
      </c>
      <c r="B4285" s="3" t="s">
        <v>21179</v>
      </c>
      <c r="C4285" s="5" t="s">
        <v>36</v>
      </c>
      <c r="D4285" s="5" t="s">
        <v>36</v>
      </c>
      <c r="E4285" s="5" t="s">
        <v>36</v>
      </c>
      <c r="F4285" s="5" t="s">
        <v>36</v>
      </c>
      <c r="G4285" s="6" t="s">
        <v>326</v>
      </c>
      <c r="H4285" s="4">
        <v>362.2</v>
      </c>
      <c r="I4285" s="7">
        <v>27.71</v>
      </c>
      <c r="J4285" s="3" t="s">
        <v>521</v>
      </c>
      <c r="K4285" s="9">
        <v>43709</v>
      </c>
      <c r="L4285" s="6" t="s">
        <v>122</v>
      </c>
      <c r="M4285" s="3" t="s">
        <v>36</v>
      </c>
      <c r="N4285" s="3" t="s">
        <v>122</v>
      </c>
      <c r="O4285" s="8" t="s">
        <v>36</v>
      </c>
      <c r="P4285" s="3" t="s">
        <v>36</v>
      </c>
      <c r="Q4285" s="3" t="s">
        <v>36</v>
      </c>
      <c r="R4285" s="3" t="s">
        <v>36</v>
      </c>
      <c r="S4285" s="3" t="s">
        <v>36</v>
      </c>
      <c r="T4285" s="3" t="s">
        <v>5196</v>
      </c>
      <c r="U4285" s="3" t="s">
        <v>38</v>
      </c>
      <c r="V4285" s="3" t="s">
        <v>39</v>
      </c>
      <c r="W4285" s="3" t="s">
        <v>21180</v>
      </c>
      <c r="X4285" s="10" t="s">
        <v>21181</v>
      </c>
      <c r="Y4285" s="6" t="s">
        <v>108</v>
      </c>
      <c r="Z4285" s="4">
        <v>0.94</v>
      </c>
      <c r="AA4285" s="4">
        <v>3.4</v>
      </c>
      <c r="AB4285" s="3" t="s">
        <v>43</v>
      </c>
      <c r="AC4285" s="3" t="s">
        <v>21182</v>
      </c>
      <c r="AD4285" s="9">
        <v>43768</v>
      </c>
      <c r="AE4285" s="3" t="s">
        <v>1422</v>
      </c>
      <c r="AF4285" s="3" t="s">
        <v>5177</v>
      </c>
      <c r="AG4285" s="3" t="s">
        <v>81</v>
      </c>
      <c r="AH4285" s="11">
        <f>HYPERLINK("https://my.pitchbook.com?c=131157-73T","View Company Online")</f>
      </c>
    </row>
    <row r="4286">
      <c r="A4286" s="12" t="s">
        <v>21183</v>
      </c>
      <c r="B4286" s="12" t="s">
        <v>21184</v>
      </c>
      <c r="C4286" s="19" t="s">
        <v>36</v>
      </c>
      <c r="D4286" s="19" t="s">
        <v>36</v>
      </c>
      <c r="E4286" s="19" t="s">
        <v>36</v>
      </c>
      <c r="F4286" s="19" t="s">
        <v>36</v>
      </c>
      <c r="G4286" s="15" t="s">
        <v>2497</v>
      </c>
      <c r="H4286" s="14">
        <v>3.88</v>
      </c>
      <c r="I4286" s="18">
        <v>36.02</v>
      </c>
      <c r="J4286" s="12" t="s">
        <v>521</v>
      </c>
      <c r="K4286" s="13" t="s">
        <v>36</v>
      </c>
      <c r="L4286" s="15" t="s">
        <v>36</v>
      </c>
      <c r="M4286" s="12" t="s">
        <v>36</v>
      </c>
      <c r="N4286" s="12" t="s">
        <v>36</v>
      </c>
      <c r="O4286" s="17" t="s">
        <v>36</v>
      </c>
      <c r="P4286" s="12" t="s">
        <v>36</v>
      </c>
      <c r="Q4286" s="12" t="s">
        <v>36</v>
      </c>
      <c r="R4286" s="12" t="s">
        <v>36</v>
      </c>
      <c r="S4286" s="12" t="s">
        <v>36</v>
      </c>
      <c r="T4286" s="12" t="s">
        <v>881</v>
      </c>
      <c r="U4286" s="12" t="s">
        <v>51</v>
      </c>
      <c r="V4286" s="12" t="s">
        <v>52</v>
      </c>
      <c r="W4286" s="12" t="s">
        <v>21185</v>
      </c>
      <c r="X4286" s="16" t="s">
        <v>21186</v>
      </c>
      <c r="Y4286" s="15" t="s">
        <v>55</v>
      </c>
      <c r="Z4286" s="14">
        <v>5.2</v>
      </c>
      <c r="AA4286" s="14">
        <v>14.44</v>
      </c>
      <c r="AB4286" s="12" t="s">
        <v>56</v>
      </c>
      <c r="AC4286" s="12" t="s">
        <v>21187</v>
      </c>
      <c r="AD4286" s="13">
        <v>43768</v>
      </c>
      <c r="AE4286" s="12" t="s">
        <v>504</v>
      </c>
      <c r="AF4286" s="12" t="s">
        <v>159</v>
      </c>
      <c r="AG4286" s="12" t="s">
        <v>186</v>
      </c>
      <c r="AH4286" s="1">
        <f>HYPERLINK("https://my.pitchbook.com?c=181228-96T","View Company Online")</f>
      </c>
    </row>
    <row r="4287">
      <c r="A4287" s="3" t="s">
        <v>21188</v>
      </c>
      <c r="B4287" s="3" t="s">
        <v>21189</v>
      </c>
      <c r="C4287" s="5" t="s">
        <v>36</v>
      </c>
      <c r="D4287" s="5" t="s">
        <v>36</v>
      </c>
      <c r="E4287" s="5" t="s">
        <v>36</v>
      </c>
      <c r="F4287" s="5" t="s">
        <v>36</v>
      </c>
      <c r="G4287" s="6" t="s">
        <v>326</v>
      </c>
      <c r="H4287" s="4">
        <v>96.59</v>
      </c>
      <c r="I4287" s="7">
        <v>9.13</v>
      </c>
      <c r="J4287" s="3" t="s">
        <v>521</v>
      </c>
      <c r="K4287" s="9" t="s">
        <v>36</v>
      </c>
      <c r="L4287" s="6" t="s">
        <v>36</v>
      </c>
      <c r="M4287" s="3" t="s">
        <v>36</v>
      </c>
      <c r="N4287" s="3" t="s">
        <v>36</v>
      </c>
      <c r="O4287" s="8" t="s">
        <v>36</v>
      </c>
      <c r="P4287" s="3" t="s">
        <v>36</v>
      </c>
      <c r="Q4287" s="3" t="s">
        <v>36</v>
      </c>
      <c r="R4287" s="3" t="s">
        <v>36</v>
      </c>
      <c r="S4287" s="3" t="s">
        <v>36</v>
      </c>
      <c r="T4287" s="3" t="s">
        <v>1701</v>
      </c>
      <c r="U4287" s="3" t="s">
        <v>74</v>
      </c>
      <c r="V4287" s="3" t="s">
        <v>75</v>
      </c>
      <c r="W4287" s="3" t="s">
        <v>21190</v>
      </c>
      <c r="X4287" s="10" t="s">
        <v>21191</v>
      </c>
      <c r="Y4287" s="6" t="s">
        <v>42</v>
      </c>
      <c r="Z4287" s="4">
        <v>0.17</v>
      </c>
      <c r="AA4287" s="4">
        <v>1.82</v>
      </c>
      <c r="AB4287" s="3" t="s">
        <v>43</v>
      </c>
      <c r="AC4287" s="3" t="s">
        <v>21192</v>
      </c>
      <c r="AD4287" s="9">
        <v>43768</v>
      </c>
      <c r="AE4287" s="3" t="s">
        <v>79</v>
      </c>
      <c r="AF4287" s="3" t="s">
        <v>90</v>
      </c>
      <c r="AG4287" s="3" t="s">
        <v>81</v>
      </c>
      <c r="AH4287" s="11">
        <f>HYPERLINK("https://my.pitchbook.com?c=192459-79T","View Company Online")</f>
      </c>
    </row>
    <row r="4288">
      <c r="A4288" s="12" t="s">
        <v>21193</v>
      </c>
      <c r="B4288" s="12" t="s">
        <v>21194</v>
      </c>
      <c r="C4288" s="19" t="s">
        <v>36</v>
      </c>
      <c r="D4288" s="19" t="s">
        <v>36</v>
      </c>
      <c r="E4288" s="19" t="s">
        <v>36</v>
      </c>
      <c r="F4288" s="19" t="s">
        <v>36</v>
      </c>
      <c r="G4288" s="15" t="s">
        <v>326</v>
      </c>
      <c r="H4288" s="14">
        <v>18.21</v>
      </c>
      <c r="I4288" s="18">
        <v>19.87</v>
      </c>
      <c r="J4288" s="12" t="s">
        <v>521</v>
      </c>
      <c r="K4288" s="13" t="s">
        <v>36</v>
      </c>
      <c r="L4288" s="15" t="s">
        <v>1279</v>
      </c>
      <c r="M4288" s="12" t="s">
        <v>36</v>
      </c>
      <c r="N4288" s="12" t="s">
        <v>1279</v>
      </c>
      <c r="O4288" s="17" t="s">
        <v>36</v>
      </c>
      <c r="P4288" s="12" t="s">
        <v>36</v>
      </c>
      <c r="Q4288" s="12" t="s">
        <v>36</v>
      </c>
      <c r="R4288" s="12" t="s">
        <v>36</v>
      </c>
      <c r="S4288" s="12" t="s">
        <v>36</v>
      </c>
      <c r="T4288" s="12" t="s">
        <v>21195</v>
      </c>
      <c r="U4288" s="12" t="s">
        <v>38</v>
      </c>
      <c r="V4288" s="12" t="s">
        <v>39</v>
      </c>
      <c r="W4288" s="12" t="s">
        <v>21196</v>
      </c>
      <c r="X4288" s="16" t="s">
        <v>21197</v>
      </c>
      <c r="Y4288" s="15" t="s">
        <v>192</v>
      </c>
      <c r="Z4288" s="14">
        <v>14.93</v>
      </c>
      <c r="AA4288" s="14">
        <v>74.83</v>
      </c>
      <c r="AB4288" s="12" t="s">
        <v>56</v>
      </c>
      <c r="AC4288" s="12" t="s">
        <v>21198</v>
      </c>
      <c r="AD4288" s="13">
        <v>43767</v>
      </c>
      <c r="AE4288" s="12" t="s">
        <v>688</v>
      </c>
      <c r="AF4288" s="12" t="s">
        <v>815</v>
      </c>
      <c r="AG4288" s="12" t="s">
        <v>81</v>
      </c>
      <c r="AH4288" s="1">
        <f>HYPERLINK("https://my.pitchbook.com?c=133536-16T","View Company Online")</f>
      </c>
    </row>
    <row r="4289">
      <c r="A4289" s="3" t="s">
        <v>21199</v>
      </c>
      <c r="B4289" s="3" t="s">
        <v>11681</v>
      </c>
      <c r="C4289" s="5" t="s">
        <v>36</v>
      </c>
      <c r="D4289" s="5" t="s">
        <v>36</v>
      </c>
      <c r="E4289" s="5" t="s">
        <v>36</v>
      </c>
      <c r="F4289" s="5" t="s">
        <v>36</v>
      </c>
      <c r="G4289" s="6" t="s">
        <v>2497</v>
      </c>
      <c r="H4289" s="4">
        <v>45.54</v>
      </c>
      <c r="I4289" s="7">
        <v>27.27</v>
      </c>
      <c r="J4289" s="3" t="s">
        <v>521</v>
      </c>
      <c r="K4289" s="9" t="s">
        <v>36</v>
      </c>
      <c r="L4289" s="6" t="s">
        <v>36</v>
      </c>
      <c r="M4289" s="3" t="s">
        <v>36</v>
      </c>
      <c r="N4289" s="3" t="s">
        <v>36</v>
      </c>
      <c r="O4289" s="8" t="s">
        <v>36</v>
      </c>
      <c r="P4289" s="3" t="s">
        <v>36</v>
      </c>
      <c r="Q4289" s="3" t="s">
        <v>36</v>
      </c>
      <c r="R4289" s="3" t="s">
        <v>36</v>
      </c>
      <c r="S4289" s="3" t="s">
        <v>36</v>
      </c>
      <c r="T4289" s="3" t="s">
        <v>1162</v>
      </c>
      <c r="U4289" s="3" t="s">
        <v>423</v>
      </c>
      <c r="V4289" s="3" t="s">
        <v>64</v>
      </c>
      <c r="W4289" s="3" t="s">
        <v>11682</v>
      </c>
      <c r="X4289" s="10" t="s">
        <v>21200</v>
      </c>
      <c r="Y4289" s="6" t="s">
        <v>108</v>
      </c>
      <c r="Z4289" s="4">
        <v>0.25</v>
      </c>
      <c r="AA4289" s="4">
        <v>0.91</v>
      </c>
      <c r="AB4289" s="3" t="s">
        <v>43</v>
      </c>
      <c r="AC4289" s="3" t="s">
        <v>11684</v>
      </c>
      <c r="AD4289" s="9">
        <v>43766</v>
      </c>
      <c r="AE4289" s="3" t="s">
        <v>562</v>
      </c>
      <c r="AF4289" s="3" t="s">
        <v>1977</v>
      </c>
      <c r="AG4289" s="3" t="s">
        <v>11685</v>
      </c>
      <c r="AH4289" s="11">
        <f>HYPERLINK("https://my.pitchbook.com?c=204705-91T","View Company Online")</f>
      </c>
    </row>
    <row r="4290">
      <c r="A4290" s="12" t="s">
        <v>21201</v>
      </c>
      <c r="B4290" s="12" t="s">
        <v>21202</v>
      </c>
      <c r="C4290" s="19" t="s">
        <v>36</v>
      </c>
      <c r="D4290" s="19" t="s">
        <v>36</v>
      </c>
      <c r="E4290" s="19" t="s">
        <v>36</v>
      </c>
      <c r="F4290" s="19" t="s">
        <v>36</v>
      </c>
      <c r="G4290" s="15" t="s">
        <v>36</v>
      </c>
      <c r="H4290" s="14" t="s">
        <v>36</v>
      </c>
      <c r="I4290" s="18" t="s">
        <v>36</v>
      </c>
      <c r="J4290" s="12" t="s">
        <v>36</v>
      </c>
      <c r="K4290" s="13" t="s">
        <v>36</v>
      </c>
      <c r="L4290" s="15" t="s">
        <v>36</v>
      </c>
      <c r="M4290" s="12" t="s">
        <v>36</v>
      </c>
      <c r="N4290" s="12" t="s">
        <v>36</v>
      </c>
      <c r="O4290" s="17" t="s">
        <v>36</v>
      </c>
      <c r="P4290" s="12" t="s">
        <v>36</v>
      </c>
      <c r="Q4290" s="12" t="s">
        <v>36</v>
      </c>
      <c r="R4290" s="12" t="s">
        <v>36</v>
      </c>
      <c r="S4290" s="12" t="s">
        <v>36</v>
      </c>
      <c r="T4290" s="12" t="s">
        <v>2044</v>
      </c>
      <c r="U4290" s="12" t="s">
        <v>74</v>
      </c>
      <c r="V4290" s="12" t="s">
        <v>75</v>
      </c>
      <c r="W4290" s="12" t="s">
        <v>21203</v>
      </c>
      <c r="X4290" s="16" t="s">
        <v>21204</v>
      </c>
      <c r="Y4290" s="15" t="s">
        <v>42</v>
      </c>
      <c r="Z4290" s="14">
        <v>0.55</v>
      </c>
      <c r="AA4290" s="14" t="s">
        <v>36</v>
      </c>
      <c r="AB4290" s="12" t="s">
        <v>56</v>
      </c>
      <c r="AC4290" s="12" t="s">
        <v>21205</v>
      </c>
      <c r="AD4290" s="13">
        <v>43766</v>
      </c>
      <c r="AE4290" s="12" t="s">
        <v>79</v>
      </c>
      <c r="AF4290" s="12" t="s">
        <v>80</v>
      </c>
      <c r="AG4290" s="12" t="s">
        <v>81</v>
      </c>
      <c r="AH4290" s="1">
        <f>HYPERLINK("https://my.pitchbook.com?c=164294-20T","View Company Online")</f>
      </c>
    </row>
    <row r="4291">
      <c r="A4291" s="3" t="s">
        <v>21206</v>
      </c>
      <c r="B4291" s="3" t="s">
        <v>21207</v>
      </c>
      <c r="C4291" s="5" t="s">
        <v>36</v>
      </c>
      <c r="D4291" s="5" t="s">
        <v>36</v>
      </c>
      <c r="E4291" s="5" t="s">
        <v>36</v>
      </c>
      <c r="F4291" s="5" t="s">
        <v>36</v>
      </c>
      <c r="G4291" s="6" t="s">
        <v>683</v>
      </c>
      <c r="H4291" s="4">
        <v>7.01</v>
      </c>
      <c r="I4291" s="7">
        <v>14.21</v>
      </c>
      <c r="J4291" s="3" t="s">
        <v>521</v>
      </c>
      <c r="K4291" s="9" t="s">
        <v>36</v>
      </c>
      <c r="L4291" s="6" t="s">
        <v>36</v>
      </c>
      <c r="M4291" s="3" t="s">
        <v>36</v>
      </c>
      <c r="N4291" s="3" t="s">
        <v>36</v>
      </c>
      <c r="O4291" s="8" t="s">
        <v>36</v>
      </c>
      <c r="P4291" s="3" t="s">
        <v>36</v>
      </c>
      <c r="Q4291" s="3" t="s">
        <v>36</v>
      </c>
      <c r="R4291" s="3" t="s">
        <v>36</v>
      </c>
      <c r="S4291" s="3" t="s">
        <v>36</v>
      </c>
      <c r="T4291" s="3" t="s">
        <v>630</v>
      </c>
      <c r="U4291" s="3" t="s">
        <v>38</v>
      </c>
      <c r="V4291" s="3" t="s">
        <v>39</v>
      </c>
      <c r="W4291" s="3" t="s">
        <v>21208</v>
      </c>
      <c r="X4291" s="10" t="s">
        <v>20599</v>
      </c>
      <c r="Y4291" s="6" t="s">
        <v>55</v>
      </c>
      <c r="Z4291" s="4">
        <v>0.58</v>
      </c>
      <c r="AA4291" s="4">
        <v>4.11</v>
      </c>
      <c r="AB4291" s="3" t="s">
        <v>43</v>
      </c>
      <c r="AC4291" s="3" t="s">
        <v>21209</v>
      </c>
      <c r="AD4291" s="9">
        <v>43766</v>
      </c>
      <c r="AE4291" s="3" t="s">
        <v>110</v>
      </c>
      <c r="AF4291" s="3" t="s">
        <v>36</v>
      </c>
      <c r="AG4291" s="3" t="s">
        <v>5504</v>
      </c>
      <c r="AH4291" s="11">
        <f>HYPERLINK("https://my.pitchbook.com?c=135045-55T","View Company Online")</f>
      </c>
    </row>
    <row r="4292">
      <c r="A4292" s="12" t="s">
        <v>21210</v>
      </c>
      <c r="B4292" s="12" t="s">
        <v>10770</v>
      </c>
      <c r="C4292" s="19">
        <v>45</v>
      </c>
      <c r="D4292" s="19">
        <v>96</v>
      </c>
      <c r="E4292" s="19">
        <v>38</v>
      </c>
      <c r="F4292" s="19">
        <v>154</v>
      </c>
      <c r="G4292" s="15" t="s">
        <v>683</v>
      </c>
      <c r="H4292" s="14">
        <v>0.37</v>
      </c>
      <c r="I4292" s="18">
        <v>27.52</v>
      </c>
      <c r="J4292" s="12" t="s">
        <v>521</v>
      </c>
      <c r="K4292" s="13" t="s">
        <v>36</v>
      </c>
      <c r="L4292" s="15" t="s">
        <v>36</v>
      </c>
      <c r="M4292" s="12" t="s">
        <v>36</v>
      </c>
      <c r="N4292" s="12" t="s">
        <v>36</v>
      </c>
      <c r="O4292" s="17" t="s">
        <v>36</v>
      </c>
      <c r="P4292" s="12" t="s">
        <v>36</v>
      </c>
      <c r="Q4292" s="12" t="s">
        <v>36</v>
      </c>
      <c r="R4292" s="12" t="s">
        <v>36</v>
      </c>
      <c r="S4292" s="12" t="s">
        <v>36</v>
      </c>
      <c r="T4292" s="12" t="s">
        <v>10771</v>
      </c>
      <c r="U4292" s="12" t="s">
        <v>318</v>
      </c>
      <c r="V4292" s="12" t="s">
        <v>39</v>
      </c>
      <c r="W4292" s="12" t="s">
        <v>10772</v>
      </c>
      <c r="X4292" s="16" t="s">
        <v>21211</v>
      </c>
      <c r="Y4292" s="15" t="s">
        <v>166</v>
      </c>
      <c r="Z4292" s="14">
        <v>27.86</v>
      </c>
      <c r="AA4292" s="14">
        <v>63.43</v>
      </c>
      <c r="AB4292" s="12" t="s">
        <v>56</v>
      </c>
      <c r="AC4292" s="12" t="s">
        <v>10774</v>
      </c>
      <c r="AD4292" s="13">
        <v>43766</v>
      </c>
      <c r="AE4292" s="12" t="s">
        <v>763</v>
      </c>
      <c r="AF4292" s="12" t="s">
        <v>10775</v>
      </c>
      <c r="AG4292" s="12" t="s">
        <v>81</v>
      </c>
      <c r="AH4292" s="1">
        <f>HYPERLINK("https://my.pitchbook.com?c=125429-86T","View Company Online")</f>
      </c>
    </row>
    <row r="4293">
      <c r="A4293" s="3" t="s">
        <v>21212</v>
      </c>
      <c r="B4293" s="3" t="s">
        <v>21213</v>
      </c>
      <c r="C4293" s="5">
        <v>1</v>
      </c>
      <c r="D4293" s="5">
        <v>8</v>
      </c>
      <c r="E4293" s="5">
        <v>6</v>
      </c>
      <c r="F4293" s="5">
        <v>10</v>
      </c>
      <c r="G4293" s="6" t="s">
        <v>2497</v>
      </c>
      <c r="H4293" s="4">
        <v>530.65</v>
      </c>
      <c r="I4293" s="7">
        <v>25.4</v>
      </c>
      <c r="J4293" s="3" t="s">
        <v>521</v>
      </c>
      <c r="K4293" s="9" t="s">
        <v>36</v>
      </c>
      <c r="L4293" s="6" t="s">
        <v>36</v>
      </c>
      <c r="M4293" s="3" t="s">
        <v>36</v>
      </c>
      <c r="N4293" s="3" t="s">
        <v>36</v>
      </c>
      <c r="O4293" s="8" t="s">
        <v>36</v>
      </c>
      <c r="P4293" s="3" t="s">
        <v>36</v>
      </c>
      <c r="Q4293" s="3" t="s">
        <v>36</v>
      </c>
      <c r="R4293" s="3" t="s">
        <v>36</v>
      </c>
      <c r="S4293" s="3" t="s">
        <v>3895</v>
      </c>
      <c r="T4293" s="3" t="s">
        <v>21214</v>
      </c>
      <c r="U4293" s="3" t="s">
        <v>38</v>
      </c>
      <c r="V4293" s="3" t="s">
        <v>39</v>
      </c>
      <c r="W4293" s="3" t="s">
        <v>21215</v>
      </c>
      <c r="X4293" s="10" t="s">
        <v>21216</v>
      </c>
      <c r="Y4293" s="6" t="s">
        <v>192</v>
      </c>
      <c r="Z4293" s="4">
        <v>57.92</v>
      </c>
      <c r="AA4293" s="4">
        <v>228</v>
      </c>
      <c r="AB4293" s="3" t="s">
        <v>43</v>
      </c>
      <c r="AC4293" s="3" t="s">
        <v>21217</v>
      </c>
      <c r="AD4293" s="9">
        <v>43766</v>
      </c>
      <c r="AE4293" s="3" t="s">
        <v>1330</v>
      </c>
      <c r="AF4293" s="3" t="s">
        <v>1380</v>
      </c>
      <c r="AG4293" s="3" t="s">
        <v>81</v>
      </c>
      <c r="AH4293" s="11">
        <f>HYPERLINK("https://my.pitchbook.com?c=125622-91T","View Company Online")</f>
      </c>
    </row>
    <row r="4294">
      <c r="A4294" s="12" t="s">
        <v>21218</v>
      </c>
      <c r="B4294" s="12" t="s">
        <v>2860</v>
      </c>
      <c r="C4294" s="19" t="s">
        <v>36</v>
      </c>
      <c r="D4294" s="19" t="s">
        <v>36</v>
      </c>
      <c r="E4294" s="19" t="s">
        <v>36</v>
      </c>
      <c r="F4294" s="19" t="s">
        <v>36</v>
      </c>
      <c r="G4294" s="15" t="s">
        <v>326</v>
      </c>
      <c r="H4294" s="14">
        <v>107.79</v>
      </c>
      <c r="I4294" s="18">
        <v>20.72</v>
      </c>
      <c r="J4294" s="12" t="s">
        <v>521</v>
      </c>
      <c r="K4294" s="13" t="s">
        <v>36</v>
      </c>
      <c r="L4294" s="15" t="s">
        <v>94</v>
      </c>
      <c r="M4294" s="12" t="s">
        <v>36</v>
      </c>
      <c r="N4294" s="12" t="s">
        <v>94</v>
      </c>
      <c r="O4294" s="17" t="s">
        <v>36</v>
      </c>
      <c r="P4294" s="12" t="s">
        <v>36</v>
      </c>
      <c r="Q4294" s="12" t="s">
        <v>36</v>
      </c>
      <c r="R4294" s="12" t="s">
        <v>36</v>
      </c>
      <c r="S4294" s="12" t="s">
        <v>36</v>
      </c>
      <c r="T4294" s="12" t="s">
        <v>2861</v>
      </c>
      <c r="U4294" s="12" t="s">
        <v>74</v>
      </c>
      <c r="V4294" s="12" t="s">
        <v>75</v>
      </c>
      <c r="W4294" s="12" t="s">
        <v>2862</v>
      </c>
      <c r="X4294" s="16" t="s">
        <v>21219</v>
      </c>
      <c r="Y4294" s="15" t="s">
        <v>166</v>
      </c>
      <c r="Z4294" s="14">
        <v>22.06</v>
      </c>
      <c r="AA4294" s="14">
        <v>79.84</v>
      </c>
      <c r="AB4294" s="12" t="s">
        <v>56</v>
      </c>
      <c r="AC4294" s="12" t="s">
        <v>2864</v>
      </c>
      <c r="AD4294" s="13">
        <v>43766</v>
      </c>
      <c r="AE4294" s="12" t="s">
        <v>362</v>
      </c>
      <c r="AF4294" s="12" t="s">
        <v>250</v>
      </c>
      <c r="AG4294" s="12" t="s">
        <v>81</v>
      </c>
      <c r="AH4294" s="1">
        <f>HYPERLINK("https://my.pitchbook.com?c=125414-29T","View Company Online")</f>
      </c>
    </row>
    <row r="4295">
      <c r="A4295" s="3" t="s">
        <v>21220</v>
      </c>
      <c r="B4295" s="3" t="s">
        <v>21221</v>
      </c>
      <c r="C4295" s="5" t="s">
        <v>36</v>
      </c>
      <c r="D4295" s="5" t="s">
        <v>36</v>
      </c>
      <c r="E4295" s="5" t="s">
        <v>36</v>
      </c>
      <c r="F4295" s="5" t="s">
        <v>36</v>
      </c>
      <c r="G4295" s="6" t="s">
        <v>326</v>
      </c>
      <c r="H4295" s="4">
        <v>199.4</v>
      </c>
      <c r="I4295" s="7">
        <v>10.18</v>
      </c>
      <c r="J4295" s="3" t="s">
        <v>521</v>
      </c>
      <c r="K4295" s="9">
        <v>43756</v>
      </c>
      <c r="L4295" s="6" t="s">
        <v>122</v>
      </c>
      <c r="M4295" s="3" t="s">
        <v>36</v>
      </c>
      <c r="N4295" s="3" t="s">
        <v>122</v>
      </c>
      <c r="O4295" s="8" t="s">
        <v>36</v>
      </c>
      <c r="P4295" s="3" t="s">
        <v>36</v>
      </c>
      <c r="Q4295" s="3" t="s">
        <v>36</v>
      </c>
      <c r="R4295" s="3" t="s">
        <v>36</v>
      </c>
      <c r="S4295" s="3" t="s">
        <v>36</v>
      </c>
      <c r="T4295" s="3" t="s">
        <v>9494</v>
      </c>
      <c r="U4295" s="3" t="s">
        <v>38</v>
      </c>
      <c r="V4295" s="3" t="s">
        <v>39</v>
      </c>
      <c r="W4295" s="3" t="s">
        <v>21222</v>
      </c>
      <c r="X4295" s="10" t="s">
        <v>21223</v>
      </c>
      <c r="Y4295" s="6" t="s">
        <v>108</v>
      </c>
      <c r="Z4295" s="4">
        <v>16.52</v>
      </c>
      <c r="AA4295" s="4">
        <v>81.13</v>
      </c>
      <c r="AB4295" s="3" t="s">
        <v>56</v>
      </c>
      <c r="AC4295" s="3" t="s">
        <v>21224</v>
      </c>
      <c r="AD4295" s="9">
        <v>43763</v>
      </c>
      <c r="AE4295" s="3" t="s">
        <v>554</v>
      </c>
      <c r="AF4295" s="3" t="s">
        <v>1296</v>
      </c>
      <c r="AG4295" s="3" t="s">
        <v>81</v>
      </c>
      <c r="AH4295" s="11">
        <f>HYPERLINK("https://my.pitchbook.com?c=124959-16T","View Company Online")</f>
      </c>
    </row>
    <row r="4296">
      <c r="A4296" s="12" t="s">
        <v>21225</v>
      </c>
      <c r="B4296" s="12" t="s">
        <v>4785</v>
      </c>
      <c r="C4296" s="19">
        <v>2</v>
      </c>
      <c r="D4296" s="19" t="s">
        <v>36</v>
      </c>
      <c r="E4296" s="19">
        <v>1</v>
      </c>
      <c r="F4296" s="19">
        <v>2</v>
      </c>
      <c r="G4296" s="15" t="s">
        <v>36</v>
      </c>
      <c r="H4296" s="14" t="s">
        <v>36</v>
      </c>
      <c r="I4296" s="18">
        <v>26.57</v>
      </c>
      <c r="J4296" s="12" t="s">
        <v>327</v>
      </c>
      <c r="K4296" s="13" t="s">
        <v>36</v>
      </c>
      <c r="L4296" s="15" t="s">
        <v>36</v>
      </c>
      <c r="M4296" s="12" t="s">
        <v>36</v>
      </c>
      <c r="N4296" s="12" t="s">
        <v>36</v>
      </c>
      <c r="O4296" s="17" t="s">
        <v>36</v>
      </c>
      <c r="P4296" s="12" t="s">
        <v>36</v>
      </c>
      <c r="Q4296" s="12" t="s">
        <v>36</v>
      </c>
      <c r="R4296" s="12" t="s">
        <v>36</v>
      </c>
      <c r="S4296" s="12" t="s">
        <v>36</v>
      </c>
      <c r="T4296" s="12" t="s">
        <v>4786</v>
      </c>
      <c r="U4296" s="12" t="s">
        <v>74</v>
      </c>
      <c r="V4296" s="12" t="s">
        <v>75</v>
      </c>
      <c r="W4296" s="12" t="s">
        <v>4787</v>
      </c>
      <c r="X4296" s="16" t="s">
        <v>21226</v>
      </c>
      <c r="Y4296" s="15" t="s">
        <v>42</v>
      </c>
      <c r="Z4296" s="14">
        <v>3.3</v>
      </c>
      <c r="AA4296" s="14">
        <v>12.43</v>
      </c>
      <c r="AB4296" s="12" t="s">
        <v>56</v>
      </c>
      <c r="AC4296" s="12" t="s">
        <v>4789</v>
      </c>
      <c r="AD4296" s="13">
        <v>43762</v>
      </c>
      <c r="AE4296" s="12" t="s">
        <v>79</v>
      </c>
      <c r="AF4296" s="12" t="s">
        <v>1115</v>
      </c>
      <c r="AG4296" s="12" t="s">
        <v>144</v>
      </c>
      <c r="AH4296" s="1">
        <f>HYPERLINK("https://my.pitchbook.com?c=139207-69T","View Company Online")</f>
      </c>
    </row>
    <row r="4297">
      <c r="A4297" s="3" t="s">
        <v>21227</v>
      </c>
      <c r="B4297" s="3" t="s">
        <v>21228</v>
      </c>
      <c r="C4297" s="5" t="s">
        <v>36</v>
      </c>
      <c r="D4297" s="5" t="s">
        <v>36</v>
      </c>
      <c r="E4297" s="5" t="s">
        <v>36</v>
      </c>
      <c r="F4297" s="5" t="s">
        <v>36</v>
      </c>
      <c r="G4297" s="6" t="s">
        <v>2497</v>
      </c>
      <c r="H4297" s="4">
        <v>0.52</v>
      </c>
      <c r="I4297" s="7">
        <v>43.05</v>
      </c>
      <c r="J4297" s="3" t="s">
        <v>521</v>
      </c>
      <c r="K4297" s="9" t="s">
        <v>36</v>
      </c>
      <c r="L4297" s="6" t="s">
        <v>36</v>
      </c>
      <c r="M4297" s="3" t="s">
        <v>36</v>
      </c>
      <c r="N4297" s="3" t="s">
        <v>36</v>
      </c>
      <c r="O4297" s="8" t="s">
        <v>36</v>
      </c>
      <c r="P4297" s="3" t="s">
        <v>36</v>
      </c>
      <c r="Q4297" s="3" t="s">
        <v>36</v>
      </c>
      <c r="R4297" s="3" t="s">
        <v>36</v>
      </c>
      <c r="S4297" s="3" t="s">
        <v>36</v>
      </c>
      <c r="T4297" s="3" t="s">
        <v>472</v>
      </c>
      <c r="U4297" s="3" t="s">
        <v>38</v>
      </c>
      <c r="V4297" s="3" t="s">
        <v>39</v>
      </c>
      <c r="W4297" s="3" t="s">
        <v>21229</v>
      </c>
      <c r="X4297" s="10" t="s">
        <v>21230</v>
      </c>
      <c r="Y4297" s="6" t="s">
        <v>192</v>
      </c>
      <c r="Z4297" s="4">
        <v>2.31</v>
      </c>
      <c r="AA4297" s="4">
        <v>5.37</v>
      </c>
      <c r="AB4297" s="3" t="s">
        <v>56</v>
      </c>
      <c r="AC4297" s="3" t="s">
        <v>21231</v>
      </c>
      <c r="AD4297" s="9">
        <v>43761</v>
      </c>
      <c r="AE4297" s="3" t="s">
        <v>110</v>
      </c>
      <c r="AF4297" s="3" t="s">
        <v>21232</v>
      </c>
      <c r="AG4297" s="3" t="s">
        <v>81</v>
      </c>
      <c r="AH4297" s="11">
        <f>HYPERLINK("https://my.pitchbook.com?c=181686-97T","View Company Online")</f>
      </c>
    </row>
    <row r="4298">
      <c r="A4298" s="12" t="s">
        <v>21233</v>
      </c>
      <c r="B4298" s="12" t="s">
        <v>2595</v>
      </c>
      <c r="C4298" s="19" t="s">
        <v>36</v>
      </c>
      <c r="D4298" s="19" t="s">
        <v>36</v>
      </c>
      <c r="E4298" s="19" t="s">
        <v>36</v>
      </c>
      <c r="F4298" s="19" t="s">
        <v>36</v>
      </c>
      <c r="G4298" s="15" t="s">
        <v>326</v>
      </c>
      <c r="H4298" s="14">
        <v>915.2</v>
      </c>
      <c r="I4298" s="18">
        <v>24.44</v>
      </c>
      <c r="J4298" s="12" t="s">
        <v>521</v>
      </c>
      <c r="K4298" s="13" t="s">
        <v>36</v>
      </c>
      <c r="L4298" s="15" t="s">
        <v>36</v>
      </c>
      <c r="M4298" s="12" t="s">
        <v>36</v>
      </c>
      <c r="N4298" s="12" t="s">
        <v>36</v>
      </c>
      <c r="O4298" s="17" t="s">
        <v>36</v>
      </c>
      <c r="P4298" s="12" t="s">
        <v>36</v>
      </c>
      <c r="Q4298" s="12" t="s">
        <v>36</v>
      </c>
      <c r="R4298" s="12" t="s">
        <v>36</v>
      </c>
      <c r="S4298" s="12" t="s">
        <v>36</v>
      </c>
      <c r="T4298" s="12" t="s">
        <v>105</v>
      </c>
      <c r="U4298" s="12" t="s">
        <v>38</v>
      </c>
      <c r="V4298" s="12" t="s">
        <v>39</v>
      </c>
      <c r="W4298" s="12" t="s">
        <v>2596</v>
      </c>
      <c r="X4298" s="16" t="s">
        <v>21234</v>
      </c>
      <c r="Y4298" s="15" t="s">
        <v>42</v>
      </c>
      <c r="Z4298" s="14">
        <v>2.64</v>
      </c>
      <c r="AA4298" s="14">
        <v>7.28</v>
      </c>
      <c r="AB4298" s="12" t="s">
        <v>43</v>
      </c>
      <c r="AC4298" s="12" t="s">
        <v>2598</v>
      </c>
      <c r="AD4298" s="13">
        <v>43760</v>
      </c>
      <c r="AE4298" s="12" t="s">
        <v>110</v>
      </c>
      <c r="AF4298" s="12" t="s">
        <v>176</v>
      </c>
      <c r="AG4298" s="12" t="s">
        <v>144</v>
      </c>
      <c r="AH4298" s="1">
        <f>HYPERLINK("https://my.pitchbook.com?c=134784-01T","View Company Online")</f>
      </c>
    </row>
    <row r="4299">
      <c r="A4299" s="3" t="s">
        <v>21235</v>
      </c>
      <c r="B4299" s="3" t="s">
        <v>21236</v>
      </c>
      <c r="C4299" s="5" t="s">
        <v>36</v>
      </c>
      <c r="D4299" s="5" t="s">
        <v>36</v>
      </c>
      <c r="E4299" s="5" t="s">
        <v>36</v>
      </c>
      <c r="F4299" s="5" t="s">
        <v>36</v>
      </c>
      <c r="G4299" s="6" t="s">
        <v>36</v>
      </c>
      <c r="H4299" s="4">
        <v>178.84</v>
      </c>
      <c r="I4299" s="7">
        <v>30.77</v>
      </c>
      <c r="J4299" s="3" t="s">
        <v>521</v>
      </c>
      <c r="K4299" s="9" t="s">
        <v>36</v>
      </c>
      <c r="L4299" s="6" t="s">
        <v>36</v>
      </c>
      <c r="M4299" s="3" t="s">
        <v>36</v>
      </c>
      <c r="N4299" s="3" t="s">
        <v>36</v>
      </c>
      <c r="O4299" s="8" t="s">
        <v>36</v>
      </c>
      <c r="P4299" s="3" t="s">
        <v>36</v>
      </c>
      <c r="Q4299" s="3" t="s">
        <v>36</v>
      </c>
      <c r="R4299" s="3" t="s">
        <v>36</v>
      </c>
      <c r="S4299" s="3" t="s">
        <v>36</v>
      </c>
      <c r="T4299" s="3" t="s">
        <v>21237</v>
      </c>
      <c r="U4299" s="3" t="s">
        <v>74</v>
      </c>
      <c r="V4299" s="3" t="s">
        <v>75</v>
      </c>
      <c r="W4299" s="3" t="s">
        <v>21238</v>
      </c>
      <c r="X4299" s="10" t="s">
        <v>5892</v>
      </c>
      <c r="Y4299" s="6" t="s">
        <v>42</v>
      </c>
      <c r="Z4299" s="4">
        <v>1.69</v>
      </c>
      <c r="AA4299" s="4">
        <v>3.22</v>
      </c>
      <c r="AB4299" s="3" t="s">
        <v>43</v>
      </c>
      <c r="AC4299" s="3" t="s">
        <v>21239</v>
      </c>
      <c r="AD4299" s="9">
        <v>43760</v>
      </c>
      <c r="AE4299" s="3" t="s">
        <v>362</v>
      </c>
      <c r="AF4299" s="3" t="s">
        <v>2087</v>
      </c>
      <c r="AG4299" s="3" t="s">
        <v>47</v>
      </c>
      <c r="AH4299" s="11">
        <f>HYPERLINK("https://my.pitchbook.com?c=128744-11T","View Company Online")</f>
      </c>
    </row>
    <row r="4300">
      <c r="A4300" s="12" t="s">
        <v>21240</v>
      </c>
      <c r="B4300" s="12" t="s">
        <v>4582</v>
      </c>
      <c r="C4300" s="19">
        <v>4</v>
      </c>
      <c r="D4300" s="19">
        <v>4</v>
      </c>
      <c r="E4300" s="19">
        <v>4</v>
      </c>
      <c r="F4300" s="19">
        <v>8</v>
      </c>
      <c r="G4300" s="15" t="s">
        <v>36</v>
      </c>
      <c r="H4300" s="14" t="s">
        <v>36</v>
      </c>
      <c r="I4300" s="18" t="s">
        <v>36</v>
      </c>
      <c r="J4300" s="12" t="s">
        <v>36</v>
      </c>
      <c r="K4300" s="13" t="s">
        <v>36</v>
      </c>
      <c r="L4300" s="15" t="s">
        <v>36</v>
      </c>
      <c r="M4300" s="12" t="s">
        <v>36</v>
      </c>
      <c r="N4300" s="12" t="s">
        <v>36</v>
      </c>
      <c r="O4300" s="17" t="s">
        <v>36</v>
      </c>
      <c r="P4300" s="12" t="s">
        <v>36</v>
      </c>
      <c r="Q4300" s="12" t="s">
        <v>36</v>
      </c>
      <c r="R4300" s="12" t="s">
        <v>36</v>
      </c>
      <c r="S4300" s="12" t="s">
        <v>36</v>
      </c>
      <c r="T4300" s="12" t="s">
        <v>4583</v>
      </c>
      <c r="U4300" s="12" t="s">
        <v>96</v>
      </c>
      <c r="V4300" s="12" t="s">
        <v>52</v>
      </c>
      <c r="W4300" s="12" t="s">
        <v>4584</v>
      </c>
      <c r="X4300" s="16" t="s">
        <v>21241</v>
      </c>
      <c r="Y4300" s="15" t="s">
        <v>108</v>
      </c>
      <c r="Z4300" s="14">
        <v>1.1</v>
      </c>
      <c r="AA4300" s="14" t="s">
        <v>36</v>
      </c>
      <c r="AB4300" s="12" t="s">
        <v>43</v>
      </c>
      <c r="AC4300" s="12" t="s">
        <v>4586</v>
      </c>
      <c r="AD4300" s="13">
        <v>43760</v>
      </c>
      <c r="AE4300" s="12" t="s">
        <v>100</v>
      </c>
      <c r="AF4300" s="12" t="s">
        <v>4587</v>
      </c>
      <c r="AG4300" s="12" t="s">
        <v>652</v>
      </c>
      <c r="AH4300" s="1">
        <f>HYPERLINK("https://my.pitchbook.com?c=161144-02T","View Company Online")</f>
      </c>
    </row>
    <row r="4301">
      <c r="A4301" s="3" t="s">
        <v>21242</v>
      </c>
      <c r="B4301" s="3" t="s">
        <v>14000</v>
      </c>
      <c r="C4301" s="5" t="s">
        <v>36</v>
      </c>
      <c r="D4301" s="5">
        <v>1</v>
      </c>
      <c r="E4301" s="5">
        <v>1</v>
      </c>
      <c r="F4301" s="5">
        <v>2</v>
      </c>
      <c r="G4301" s="6" t="s">
        <v>326</v>
      </c>
      <c r="H4301" s="4">
        <v>653.59</v>
      </c>
      <c r="I4301" s="7">
        <v>14.64</v>
      </c>
      <c r="J4301" s="3" t="s">
        <v>521</v>
      </c>
      <c r="K4301" s="9">
        <v>43312</v>
      </c>
      <c r="L4301" s="6" t="s">
        <v>94</v>
      </c>
      <c r="M4301" s="3" t="s">
        <v>36</v>
      </c>
      <c r="N4301" s="3" t="s">
        <v>94</v>
      </c>
      <c r="O4301" s="8" t="s">
        <v>36</v>
      </c>
      <c r="P4301" s="3" t="s">
        <v>36</v>
      </c>
      <c r="Q4301" s="3" t="s">
        <v>36</v>
      </c>
      <c r="R4301" s="3" t="s">
        <v>36</v>
      </c>
      <c r="S4301" s="3" t="s">
        <v>36</v>
      </c>
      <c r="T4301" s="3" t="s">
        <v>37</v>
      </c>
      <c r="U4301" s="3" t="s">
        <v>38</v>
      </c>
      <c r="V4301" s="3" t="s">
        <v>39</v>
      </c>
      <c r="W4301" s="3" t="s">
        <v>14001</v>
      </c>
      <c r="X4301" s="10" t="s">
        <v>21243</v>
      </c>
      <c r="Y4301" s="6" t="s">
        <v>55</v>
      </c>
      <c r="Z4301" s="4">
        <v>22.01</v>
      </c>
      <c r="AA4301" s="4">
        <v>150.28</v>
      </c>
      <c r="AB4301" s="3" t="s">
        <v>43</v>
      </c>
      <c r="AC4301" s="3" t="s">
        <v>14003</v>
      </c>
      <c r="AD4301" s="9">
        <v>43760</v>
      </c>
      <c r="AE4301" s="3" t="s">
        <v>45</v>
      </c>
      <c r="AF4301" s="3" t="s">
        <v>14004</v>
      </c>
      <c r="AG4301" s="3" t="s">
        <v>81</v>
      </c>
      <c r="AH4301" s="11">
        <f>HYPERLINK("https://my.pitchbook.com?c=112050-10T","View Company Online")</f>
      </c>
    </row>
    <row r="4302">
      <c r="A4302" s="12" t="s">
        <v>21244</v>
      </c>
      <c r="B4302" s="12" t="s">
        <v>21245</v>
      </c>
      <c r="C4302" s="19" t="s">
        <v>36</v>
      </c>
      <c r="D4302" s="19" t="s">
        <v>36</v>
      </c>
      <c r="E4302" s="19" t="s">
        <v>36</v>
      </c>
      <c r="F4302" s="19" t="s">
        <v>36</v>
      </c>
      <c r="G4302" s="15" t="s">
        <v>36</v>
      </c>
      <c r="H4302" s="14">
        <v>255.49</v>
      </c>
      <c r="I4302" s="18">
        <v>16.86</v>
      </c>
      <c r="J4302" s="12" t="s">
        <v>521</v>
      </c>
      <c r="K4302" s="13" t="s">
        <v>36</v>
      </c>
      <c r="L4302" s="15" t="s">
        <v>36</v>
      </c>
      <c r="M4302" s="12" t="s">
        <v>36</v>
      </c>
      <c r="N4302" s="12" t="s">
        <v>36</v>
      </c>
      <c r="O4302" s="17" t="s">
        <v>36</v>
      </c>
      <c r="P4302" s="12" t="s">
        <v>36</v>
      </c>
      <c r="Q4302" s="12" t="s">
        <v>36</v>
      </c>
      <c r="R4302" s="12" t="s">
        <v>36</v>
      </c>
      <c r="S4302" s="12" t="s">
        <v>36</v>
      </c>
      <c r="T4302" s="12" t="s">
        <v>21246</v>
      </c>
      <c r="U4302" s="12" t="s">
        <v>833</v>
      </c>
      <c r="V4302" s="12" t="s">
        <v>64</v>
      </c>
      <c r="W4302" s="12" t="s">
        <v>21247</v>
      </c>
      <c r="X4302" s="16" t="s">
        <v>21248</v>
      </c>
      <c r="Y4302" s="15" t="s">
        <v>42</v>
      </c>
      <c r="Z4302" s="14">
        <v>4.4</v>
      </c>
      <c r="AA4302" s="14">
        <v>13.14</v>
      </c>
      <c r="AB4302" s="12" t="s">
        <v>56</v>
      </c>
      <c r="AC4302" s="12" t="s">
        <v>21249</v>
      </c>
      <c r="AD4302" s="13">
        <v>43760</v>
      </c>
      <c r="AE4302" s="12" t="s">
        <v>1069</v>
      </c>
      <c r="AF4302" s="12" t="s">
        <v>118</v>
      </c>
      <c r="AG4302" s="12" t="s">
        <v>21250</v>
      </c>
      <c r="AH4302" s="1">
        <f>HYPERLINK("https://my.pitchbook.com?c=139521-07T","View Company Online")</f>
      </c>
    </row>
    <row r="4303">
      <c r="A4303" s="3" t="s">
        <v>21251</v>
      </c>
      <c r="B4303" s="3" t="s">
        <v>21252</v>
      </c>
      <c r="C4303" s="5" t="s">
        <v>36</v>
      </c>
      <c r="D4303" s="5" t="s">
        <v>36</v>
      </c>
      <c r="E4303" s="5" t="s">
        <v>36</v>
      </c>
      <c r="F4303" s="5" t="s">
        <v>36</v>
      </c>
      <c r="G4303" s="6" t="s">
        <v>326</v>
      </c>
      <c r="H4303" s="4">
        <v>153.15</v>
      </c>
      <c r="I4303" s="7">
        <v>27.98</v>
      </c>
      <c r="J4303" s="3" t="s">
        <v>521</v>
      </c>
      <c r="K4303" s="9" t="s">
        <v>36</v>
      </c>
      <c r="L4303" s="6" t="s">
        <v>122</v>
      </c>
      <c r="M4303" s="3" t="s">
        <v>36</v>
      </c>
      <c r="N4303" s="3" t="s">
        <v>122</v>
      </c>
      <c r="O4303" s="8" t="s">
        <v>36</v>
      </c>
      <c r="P4303" s="3" t="s">
        <v>36</v>
      </c>
      <c r="Q4303" s="3" t="s">
        <v>36</v>
      </c>
      <c r="R4303" s="3" t="s">
        <v>36</v>
      </c>
      <c r="S4303" s="3" t="s">
        <v>36</v>
      </c>
      <c r="T4303" s="3" t="s">
        <v>21253</v>
      </c>
      <c r="U4303" s="3" t="s">
        <v>833</v>
      </c>
      <c r="V4303" s="3" t="s">
        <v>64</v>
      </c>
      <c r="W4303" s="3" t="s">
        <v>21254</v>
      </c>
      <c r="X4303" s="10" t="s">
        <v>21255</v>
      </c>
      <c r="Y4303" s="6" t="s">
        <v>108</v>
      </c>
      <c r="Z4303" s="4">
        <v>3.85</v>
      </c>
      <c r="AA4303" s="4">
        <v>13.76</v>
      </c>
      <c r="AB4303" s="3" t="s">
        <v>43</v>
      </c>
      <c r="AC4303" s="3" t="s">
        <v>21256</v>
      </c>
      <c r="AD4303" s="9">
        <v>43759</v>
      </c>
      <c r="AE4303" s="3" t="s">
        <v>1687</v>
      </c>
      <c r="AF4303" s="3" t="s">
        <v>10633</v>
      </c>
      <c r="AG4303" s="3" t="s">
        <v>81</v>
      </c>
      <c r="AH4303" s="11">
        <f>HYPERLINK("https://my.pitchbook.com?c=125027-47T","View Company Online")</f>
      </c>
    </row>
    <row r="4304">
      <c r="A4304" s="12" t="s">
        <v>21257</v>
      </c>
      <c r="B4304" s="12" t="s">
        <v>21258</v>
      </c>
      <c r="C4304" s="19" t="s">
        <v>36</v>
      </c>
      <c r="D4304" s="19" t="s">
        <v>36</v>
      </c>
      <c r="E4304" s="19" t="s">
        <v>36</v>
      </c>
      <c r="F4304" s="19" t="s">
        <v>36</v>
      </c>
      <c r="G4304" s="15" t="s">
        <v>683</v>
      </c>
      <c r="H4304" s="14">
        <v>3.19</v>
      </c>
      <c r="I4304" s="18">
        <v>16.84</v>
      </c>
      <c r="J4304" s="12" t="s">
        <v>521</v>
      </c>
      <c r="K4304" s="13" t="s">
        <v>36</v>
      </c>
      <c r="L4304" s="15" t="s">
        <v>36</v>
      </c>
      <c r="M4304" s="12" t="s">
        <v>36</v>
      </c>
      <c r="N4304" s="12" t="s">
        <v>36</v>
      </c>
      <c r="O4304" s="17" t="s">
        <v>36</v>
      </c>
      <c r="P4304" s="12" t="s">
        <v>36</v>
      </c>
      <c r="Q4304" s="12" t="s">
        <v>36</v>
      </c>
      <c r="R4304" s="12" t="s">
        <v>36</v>
      </c>
      <c r="S4304" s="12" t="s">
        <v>36</v>
      </c>
      <c r="T4304" s="12" t="s">
        <v>8186</v>
      </c>
      <c r="U4304" s="12" t="s">
        <v>38</v>
      </c>
      <c r="V4304" s="12" t="s">
        <v>39</v>
      </c>
      <c r="W4304" s="12" t="s">
        <v>21259</v>
      </c>
      <c r="X4304" s="16" t="s">
        <v>21260</v>
      </c>
      <c r="Y4304" s="15" t="s">
        <v>192</v>
      </c>
      <c r="Z4304" s="14">
        <v>2.75</v>
      </c>
      <c r="AA4304" s="14">
        <v>16.32</v>
      </c>
      <c r="AB4304" s="12" t="s">
        <v>43</v>
      </c>
      <c r="AC4304" s="12" t="s">
        <v>21261</v>
      </c>
      <c r="AD4304" s="13">
        <v>43756</v>
      </c>
      <c r="AE4304" s="12" t="s">
        <v>1945</v>
      </c>
      <c r="AF4304" s="12" t="s">
        <v>1115</v>
      </c>
      <c r="AG4304" s="12" t="s">
        <v>81</v>
      </c>
      <c r="AH4304" s="1">
        <f>HYPERLINK("https://my.pitchbook.com?c=194730-94T","View Company Online")</f>
      </c>
    </row>
    <row r="4305">
      <c r="A4305" s="3" t="s">
        <v>21262</v>
      </c>
      <c r="B4305" s="3" t="s">
        <v>21263</v>
      </c>
      <c r="C4305" s="5" t="s">
        <v>36</v>
      </c>
      <c r="D4305" s="5" t="s">
        <v>36</v>
      </c>
      <c r="E4305" s="5" t="s">
        <v>36</v>
      </c>
      <c r="F4305" s="5" t="s">
        <v>36</v>
      </c>
      <c r="G4305" s="6" t="s">
        <v>326</v>
      </c>
      <c r="H4305" s="4">
        <v>2.35</v>
      </c>
      <c r="I4305" s="7">
        <v>13.53</v>
      </c>
      <c r="J4305" s="3" t="s">
        <v>521</v>
      </c>
      <c r="K4305" s="9" t="s">
        <v>36</v>
      </c>
      <c r="L4305" s="6" t="s">
        <v>36</v>
      </c>
      <c r="M4305" s="3" t="s">
        <v>36</v>
      </c>
      <c r="N4305" s="3" t="s">
        <v>36</v>
      </c>
      <c r="O4305" s="8" t="s">
        <v>36</v>
      </c>
      <c r="P4305" s="3" t="s">
        <v>36</v>
      </c>
      <c r="Q4305" s="3" t="s">
        <v>36</v>
      </c>
      <c r="R4305" s="3" t="s">
        <v>36</v>
      </c>
      <c r="S4305" s="3" t="s">
        <v>36</v>
      </c>
      <c r="T4305" s="3" t="s">
        <v>1701</v>
      </c>
      <c r="U4305" s="3" t="s">
        <v>74</v>
      </c>
      <c r="V4305" s="3" t="s">
        <v>75</v>
      </c>
      <c r="W4305" s="3" t="s">
        <v>21264</v>
      </c>
      <c r="X4305" s="10" t="s">
        <v>9011</v>
      </c>
      <c r="Y4305" s="6" t="s">
        <v>108</v>
      </c>
      <c r="Z4305" s="4">
        <v>1.43</v>
      </c>
      <c r="AA4305" s="4">
        <v>5.29</v>
      </c>
      <c r="AB4305" s="3" t="s">
        <v>43</v>
      </c>
      <c r="AC4305" s="3" t="s">
        <v>21265</v>
      </c>
      <c r="AD4305" s="9">
        <v>43756</v>
      </c>
      <c r="AE4305" s="3" t="s">
        <v>79</v>
      </c>
      <c r="AF4305" s="3" t="s">
        <v>2759</v>
      </c>
      <c r="AG4305" s="3" t="s">
        <v>81</v>
      </c>
      <c r="AH4305" s="11">
        <f>HYPERLINK("https://my.pitchbook.com?c=181573-03T","View Company Online")</f>
      </c>
    </row>
    <row r="4306">
      <c r="A4306" s="12" t="s">
        <v>21266</v>
      </c>
      <c r="B4306" s="12" t="s">
        <v>13126</v>
      </c>
      <c r="C4306" s="19" t="s">
        <v>36</v>
      </c>
      <c r="D4306" s="19" t="s">
        <v>36</v>
      </c>
      <c r="E4306" s="19" t="s">
        <v>36</v>
      </c>
      <c r="F4306" s="19" t="s">
        <v>36</v>
      </c>
      <c r="G4306" s="15" t="s">
        <v>326</v>
      </c>
      <c r="H4306" s="14">
        <v>193.28</v>
      </c>
      <c r="I4306" s="18">
        <v>29.4</v>
      </c>
      <c r="J4306" s="12" t="s">
        <v>521</v>
      </c>
      <c r="K4306" s="13" t="s">
        <v>36</v>
      </c>
      <c r="L4306" s="15" t="s">
        <v>122</v>
      </c>
      <c r="M4306" s="12" t="s">
        <v>36</v>
      </c>
      <c r="N4306" s="12" t="s">
        <v>122</v>
      </c>
      <c r="O4306" s="17" t="s">
        <v>36</v>
      </c>
      <c r="P4306" s="12" t="s">
        <v>36</v>
      </c>
      <c r="Q4306" s="12" t="s">
        <v>36</v>
      </c>
      <c r="R4306" s="12" t="s">
        <v>36</v>
      </c>
      <c r="S4306" s="12" t="s">
        <v>36</v>
      </c>
      <c r="T4306" s="12" t="s">
        <v>3790</v>
      </c>
      <c r="U4306" s="12" t="s">
        <v>318</v>
      </c>
      <c r="V4306" s="12" t="s">
        <v>39</v>
      </c>
      <c r="W4306" s="12" t="s">
        <v>13127</v>
      </c>
      <c r="X4306" s="16" t="s">
        <v>21267</v>
      </c>
      <c r="Y4306" s="15" t="s">
        <v>55</v>
      </c>
      <c r="Z4306" s="14">
        <v>7.69</v>
      </c>
      <c r="AA4306" s="14">
        <v>22.43</v>
      </c>
      <c r="AB4306" s="12" t="s">
        <v>43</v>
      </c>
      <c r="AC4306" s="12" t="s">
        <v>13129</v>
      </c>
      <c r="AD4306" s="13">
        <v>43755</v>
      </c>
      <c r="AE4306" s="12" t="s">
        <v>763</v>
      </c>
      <c r="AF4306" s="12" t="s">
        <v>4668</v>
      </c>
      <c r="AG4306" s="12" t="s">
        <v>81</v>
      </c>
      <c r="AH4306" s="1">
        <f>HYPERLINK("https://my.pitchbook.com?c=124868-89T","View Company Online")</f>
      </c>
    </row>
    <row r="4307">
      <c r="A4307" s="3" t="s">
        <v>21268</v>
      </c>
      <c r="B4307" s="3" t="s">
        <v>21269</v>
      </c>
      <c r="C4307" s="5" t="s">
        <v>36</v>
      </c>
      <c r="D4307" s="5" t="s">
        <v>36</v>
      </c>
      <c r="E4307" s="5" t="s">
        <v>36</v>
      </c>
      <c r="F4307" s="5" t="s">
        <v>36</v>
      </c>
      <c r="G4307" s="6" t="s">
        <v>326</v>
      </c>
      <c r="H4307" s="4">
        <v>1564.08</v>
      </c>
      <c r="I4307" s="7">
        <v>27.27</v>
      </c>
      <c r="J4307" s="3" t="s">
        <v>521</v>
      </c>
      <c r="K4307" s="9" t="s">
        <v>36</v>
      </c>
      <c r="L4307" s="6" t="s">
        <v>36</v>
      </c>
      <c r="M4307" s="3" t="s">
        <v>36</v>
      </c>
      <c r="N4307" s="3" t="s">
        <v>36</v>
      </c>
      <c r="O4307" s="8" t="s">
        <v>36</v>
      </c>
      <c r="P4307" s="3" t="s">
        <v>36</v>
      </c>
      <c r="Q4307" s="3" t="s">
        <v>36</v>
      </c>
      <c r="R4307" s="3" t="s">
        <v>36</v>
      </c>
      <c r="S4307" s="3" t="s">
        <v>36</v>
      </c>
      <c r="T4307" s="3" t="s">
        <v>3843</v>
      </c>
      <c r="U4307" s="3" t="s">
        <v>180</v>
      </c>
      <c r="V4307" s="3" t="s">
        <v>52</v>
      </c>
      <c r="W4307" s="3" t="s">
        <v>21270</v>
      </c>
      <c r="X4307" s="10" t="s">
        <v>21271</v>
      </c>
      <c r="Y4307" s="6" t="s">
        <v>42</v>
      </c>
      <c r="Z4307" s="4">
        <v>0.82</v>
      </c>
      <c r="AA4307" s="4">
        <v>3.02</v>
      </c>
      <c r="AB4307" s="3" t="s">
        <v>43</v>
      </c>
      <c r="AC4307" s="3" t="s">
        <v>21272</v>
      </c>
      <c r="AD4307" s="9">
        <v>43754</v>
      </c>
      <c r="AE4307" s="3" t="s">
        <v>3847</v>
      </c>
      <c r="AF4307" s="3" t="s">
        <v>101</v>
      </c>
      <c r="AG4307" s="3" t="s">
        <v>355</v>
      </c>
      <c r="AH4307" s="11">
        <f>HYPERLINK("https://my.pitchbook.com?c=119228-05T","View Company Online")</f>
      </c>
    </row>
    <row r="4308">
      <c r="A4308" s="12" t="s">
        <v>21273</v>
      </c>
      <c r="B4308" s="12" t="s">
        <v>18256</v>
      </c>
      <c r="C4308" s="19" t="s">
        <v>36</v>
      </c>
      <c r="D4308" s="19" t="s">
        <v>36</v>
      </c>
      <c r="E4308" s="19" t="s">
        <v>36</v>
      </c>
      <c r="F4308" s="19" t="s">
        <v>36</v>
      </c>
      <c r="G4308" s="15" t="s">
        <v>36</v>
      </c>
      <c r="H4308" s="14" t="s">
        <v>36</v>
      </c>
      <c r="I4308" s="18">
        <v>18.6</v>
      </c>
      <c r="J4308" s="12" t="s">
        <v>36</v>
      </c>
      <c r="K4308" s="13" t="s">
        <v>36</v>
      </c>
      <c r="L4308" s="15" t="s">
        <v>36</v>
      </c>
      <c r="M4308" s="12" t="s">
        <v>36</v>
      </c>
      <c r="N4308" s="12" t="s">
        <v>36</v>
      </c>
      <c r="O4308" s="17" t="s">
        <v>36</v>
      </c>
      <c r="P4308" s="12" t="s">
        <v>36</v>
      </c>
      <c r="Q4308" s="12" t="s">
        <v>36</v>
      </c>
      <c r="R4308" s="12" t="s">
        <v>36</v>
      </c>
      <c r="S4308" s="12" t="s">
        <v>36</v>
      </c>
      <c r="T4308" s="12" t="s">
        <v>18257</v>
      </c>
      <c r="U4308" s="12" t="s">
        <v>289</v>
      </c>
      <c r="V4308" s="12" t="s">
        <v>64</v>
      </c>
      <c r="W4308" s="12" t="s">
        <v>18258</v>
      </c>
      <c r="X4308" s="16" t="s">
        <v>21274</v>
      </c>
      <c r="Y4308" s="15" t="s">
        <v>42</v>
      </c>
      <c r="Z4308" s="14">
        <v>0.4</v>
      </c>
      <c r="AA4308" s="14" t="s">
        <v>36</v>
      </c>
      <c r="AB4308" s="12" t="s">
        <v>43</v>
      </c>
      <c r="AC4308" s="12" t="s">
        <v>18260</v>
      </c>
      <c r="AD4308" s="13">
        <v>43754</v>
      </c>
      <c r="AE4308" s="12" t="s">
        <v>292</v>
      </c>
      <c r="AF4308" s="12" t="s">
        <v>90</v>
      </c>
      <c r="AG4308" s="12" t="s">
        <v>741</v>
      </c>
      <c r="AH4308" s="1">
        <f>HYPERLINK("https://my.pitchbook.com?c=155412-73T","View Company Online")</f>
      </c>
    </row>
    <row r="4309">
      <c r="A4309" s="3" t="s">
        <v>21275</v>
      </c>
      <c r="B4309" s="3" t="s">
        <v>21276</v>
      </c>
      <c r="C4309" s="5" t="s">
        <v>36</v>
      </c>
      <c r="D4309" s="5" t="s">
        <v>36</v>
      </c>
      <c r="E4309" s="5" t="s">
        <v>36</v>
      </c>
      <c r="F4309" s="5" t="s">
        <v>36</v>
      </c>
      <c r="G4309" s="6" t="s">
        <v>36</v>
      </c>
      <c r="H4309" s="4">
        <v>1.87</v>
      </c>
      <c r="I4309" s="7">
        <v>19.52</v>
      </c>
      <c r="J4309" s="3" t="s">
        <v>521</v>
      </c>
      <c r="K4309" s="9" t="s">
        <v>36</v>
      </c>
      <c r="L4309" s="6" t="s">
        <v>36</v>
      </c>
      <c r="M4309" s="3" t="s">
        <v>36</v>
      </c>
      <c r="N4309" s="3" t="s">
        <v>36</v>
      </c>
      <c r="O4309" s="8" t="s">
        <v>36</v>
      </c>
      <c r="P4309" s="3" t="s">
        <v>36</v>
      </c>
      <c r="Q4309" s="3" t="s">
        <v>36</v>
      </c>
      <c r="R4309" s="3" t="s">
        <v>36</v>
      </c>
      <c r="S4309" s="3" t="s">
        <v>36</v>
      </c>
      <c r="T4309" s="3" t="s">
        <v>21277</v>
      </c>
      <c r="U4309" s="3" t="s">
        <v>833</v>
      </c>
      <c r="V4309" s="3" t="s">
        <v>64</v>
      </c>
      <c r="W4309" s="3" t="s">
        <v>21278</v>
      </c>
      <c r="X4309" s="10" t="s">
        <v>7099</v>
      </c>
      <c r="Y4309" s="6" t="s">
        <v>42</v>
      </c>
      <c r="Z4309" s="4">
        <v>0.48</v>
      </c>
      <c r="AA4309" s="4">
        <v>2.46</v>
      </c>
      <c r="AB4309" s="3" t="s">
        <v>43</v>
      </c>
      <c r="AC4309" s="3" t="s">
        <v>21279</v>
      </c>
      <c r="AD4309" s="9">
        <v>43754</v>
      </c>
      <c r="AE4309" s="3" t="s">
        <v>1687</v>
      </c>
      <c r="AF4309" s="3" t="s">
        <v>36</v>
      </c>
      <c r="AG4309" s="3" t="s">
        <v>1705</v>
      </c>
      <c r="AH4309" s="11">
        <f>HYPERLINK("https://my.pitchbook.com?c=204507-28T","View Company Online")</f>
      </c>
    </row>
    <row r="4310">
      <c r="A4310" s="12" t="s">
        <v>21280</v>
      </c>
      <c r="B4310" s="12" t="s">
        <v>15760</v>
      </c>
      <c r="C4310" s="19" t="s">
        <v>36</v>
      </c>
      <c r="D4310" s="19" t="s">
        <v>36</v>
      </c>
      <c r="E4310" s="19" t="s">
        <v>36</v>
      </c>
      <c r="F4310" s="19" t="s">
        <v>36</v>
      </c>
      <c r="G4310" s="15" t="s">
        <v>36</v>
      </c>
      <c r="H4310" s="14">
        <v>72.7</v>
      </c>
      <c r="I4310" s="18">
        <v>17.52</v>
      </c>
      <c r="J4310" s="12" t="s">
        <v>521</v>
      </c>
      <c r="K4310" s="13">
        <v>43193</v>
      </c>
      <c r="L4310" s="15" t="s">
        <v>36</v>
      </c>
      <c r="M4310" s="12" t="s">
        <v>36</v>
      </c>
      <c r="N4310" s="12" t="s">
        <v>36</v>
      </c>
      <c r="O4310" s="17" t="s">
        <v>36</v>
      </c>
      <c r="P4310" s="12" t="s">
        <v>36</v>
      </c>
      <c r="Q4310" s="12" t="s">
        <v>36</v>
      </c>
      <c r="R4310" s="12" t="s">
        <v>36</v>
      </c>
      <c r="S4310" s="12" t="s">
        <v>36</v>
      </c>
      <c r="T4310" s="12" t="s">
        <v>1125</v>
      </c>
      <c r="U4310" s="12" t="s">
        <v>74</v>
      </c>
      <c r="V4310" s="12" t="s">
        <v>75</v>
      </c>
      <c r="W4310" s="12" t="s">
        <v>15761</v>
      </c>
      <c r="X4310" s="16" t="s">
        <v>21281</v>
      </c>
      <c r="Y4310" s="15" t="s">
        <v>42</v>
      </c>
      <c r="Z4310" s="14">
        <v>1.98</v>
      </c>
      <c r="AA4310" s="14">
        <v>11.3</v>
      </c>
      <c r="AB4310" s="12" t="s">
        <v>56</v>
      </c>
      <c r="AC4310" s="12" t="s">
        <v>15762</v>
      </c>
      <c r="AD4310" s="13">
        <v>43753</v>
      </c>
      <c r="AE4310" s="12" t="s">
        <v>975</v>
      </c>
      <c r="AF4310" s="12" t="s">
        <v>36</v>
      </c>
      <c r="AG4310" s="12" t="s">
        <v>12751</v>
      </c>
      <c r="AH4310" s="1">
        <f>HYPERLINK("https://my.pitchbook.com?c=118285-39T","View Company Online")</f>
      </c>
    </row>
    <row r="4311">
      <c r="A4311" s="3" t="s">
        <v>21282</v>
      </c>
      <c r="B4311" s="3" t="s">
        <v>21283</v>
      </c>
      <c r="C4311" s="5" t="s">
        <v>36</v>
      </c>
      <c r="D4311" s="5">
        <v>4</v>
      </c>
      <c r="E4311" s="5">
        <v>2</v>
      </c>
      <c r="F4311" s="5">
        <v>7</v>
      </c>
      <c r="G4311" s="6" t="s">
        <v>36</v>
      </c>
      <c r="H4311" s="4" t="s">
        <v>36</v>
      </c>
      <c r="I4311" s="7" t="s">
        <v>36</v>
      </c>
      <c r="J4311" s="3" t="s">
        <v>36</v>
      </c>
      <c r="K4311" s="9" t="s">
        <v>36</v>
      </c>
      <c r="L4311" s="6" t="s">
        <v>94</v>
      </c>
      <c r="M4311" s="3" t="s">
        <v>36</v>
      </c>
      <c r="N4311" s="3" t="s">
        <v>94</v>
      </c>
      <c r="O4311" s="8" t="s">
        <v>36</v>
      </c>
      <c r="P4311" s="3" t="s">
        <v>36</v>
      </c>
      <c r="Q4311" s="3" t="s">
        <v>36</v>
      </c>
      <c r="R4311" s="3" t="s">
        <v>36</v>
      </c>
      <c r="S4311" s="3" t="s">
        <v>36</v>
      </c>
      <c r="T4311" s="3" t="s">
        <v>522</v>
      </c>
      <c r="U4311" s="3" t="s">
        <v>38</v>
      </c>
      <c r="V4311" s="3" t="s">
        <v>39</v>
      </c>
      <c r="W4311" s="3" t="s">
        <v>21284</v>
      </c>
      <c r="X4311" s="10" t="s">
        <v>21285</v>
      </c>
      <c r="Y4311" s="6" t="s">
        <v>55</v>
      </c>
      <c r="Z4311" s="4">
        <v>18.6</v>
      </c>
      <c r="AA4311" s="4" t="s">
        <v>36</v>
      </c>
      <c r="AB4311" s="3" t="s">
        <v>56</v>
      </c>
      <c r="AC4311" s="3" t="s">
        <v>21286</v>
      </c>
      <c r="AD4311" s="9">
        <v>43753</v>
      </c>
      <c r="AE4311" s="3" t="s">
        <v>110</v>
      </c>
      <c r="AF4311" s="3" t="s">
        <v>21287</v>
      </c>
      <c r="AG4311" s="3" t="s">
        <v>81</v>
      </c>
      <c r="AH4311" s="11">
        <f>HYPERLINK("https://my.pitchbook.com?c=124717-69T","View Company Online")</f>
      </c>
    </row>
    <row r="4312">
      <c r="A4312" s="12" t="s">
        <v>21288</v>
      </c>
      <c r="B4312" s="12" t="s">
        <v>21289</v>
      </c>
      <c r="C4312" s="19" t="s">
        <v>36</v>
      </c>
      <c r="D4312" s="19" t="s">
        <v>36</v>
      </c>
      <c r="E4312" s="19" t="s">
        <v>36</v>
      </c>
      <c r="F4312" s="19" t="s">
        <v>36</v>
      </c>
      <c r="G4312" s="15" t="s">
        <v>683</v>
      </c>
      <c r="H4312" s="14">
        <v>121.86</v>
      </c>
      <c r="I4312" s="18">
        <v>15.55</v>
      </c>
      <c r="J4312" s="12" t="s">
        <v>521</v>
      </c>
      <c r="K4312" s="13" t="s">
        <v>36</v>
      </c>
      <c r="L4312" s="15" t="s">
        <v>36</v>
      </c>
      <c r="M4312" s="12" t="s">
        <v>36</v>
      </c>
      <c r="N4312" s="12" t="s">
        <v>36</v>
      </c>
      <c r="O4312" s="17" t="s">
        <v>36</v>
      </c>
      <c r="P4312" s="12" t="s">
        <v>36</v>
      </c>
      <c r="Q4312" s="12" t="s">
        <v>36</v>
      </c>
      <c r="R4312" s="12" t="s">
        <v>36</v>
      </c>
      <c r="S4312" s="12" t="s">
        <v>36</v>
      </c>
      <c r="T4312" s="12" t="s">
        <v>21237</v>
      </c>
      <c r="U4312" s="12" t="s">
        <v>74</v>
      </c>
      <c r="V4312" s="12" t="s">
        <v>75</v>
      </c>
      <c r="W4312" s="12" t="s">
        <v>21290</v>
      </c>
      <c r="X4312" s="16" t="s">
        <v>21291</v>
      </c>
      <c r="Y4312" s="15" t="s">
        <v>55</v>
      </c>
      <c r="Z4312" s="14">
        <v>0.4</v>
      </c>
      <c r="AA4312" s="14">
        <v>2.6</v>
      </c>
      <c r="AB4312" s="12" t="s">
        <v>43</v>
      </c>
      <c r="AC4312" s="12" t="s">
        <v>21292</v>
      </c>
      <c r="AD4312" s="13">
        <v>43753</v>
      </c>
      <c r="AE4312" s="12" t="s">
        <v>362</v>
      </c>
      <c r="AF4312" s="12" t="s">
        <v>21293</v>
      </c>
      <c r="AG4312" s="12" t="s">
        <v>6068</v>
      </c>
      <c r="AH4312" s="1">
        <f>HYPERLINK("https://my.pitchbook.com?c=149103-82T","View Company Online")</f>
      </c>
    </row>
    <row r="4313">
      <c r="A4313" s="3" t="s">
        <v>21294</v>
      </c>
      <c r="B4313" s="3" t="s">
        <v>21295</v>
      </c>
      <c r="C4313" s="5">
        <v>12</v>
      </c>
      <c r="D4313" s="5">
        <v>40</v>
      </c>
      <c r="E4313" s="5">
        <v>8</v>
      </c>
      <c r="F4313" s="5">
        <v>52</v>
      </c>
      <c r="G4313" s="6" t="s">
        <v>36</v>
      </c>
      <c r="H4313" s="4">
        <v>5.43</v>
      </c>
      <c r="I4313" s="7">
        <v>31.69</v>
      </c>
      <c r="J4313" s="3" t="s">
        <v>521</v>
      </c>
      <c r="K4313" s="9">
        <v>43634</v>
      </c>
      <c r="L4313" s="6" t="s">
        <v>36</v>
      </c>
      <c r="M4313" s="3" t="s">
        <v>36</v>
      </c>
      <c r="N4313" s="3" t="s">
        <v>36</v>
      </c>
      <c r="O4313" s="8" t="s">
        <v>36</v>
      </c>
      <c r="P4313" s="3" t="s">
        <v>36</v>
      </c>
      <c r="Q4313" s="3" t="s">
        <v>36</v>
      </c>
      <c r="R4313" s="3" t="s">
        <v>36</v>
      </c>
      <c r="S4313" s="3" t="s">
        <v>36</v>
      </c>
      <c r="T4313" s="3" t="s">
        <v>13085</v>
      </c>
      <c r="U4313" s="3" t="s">
        <v>96</v>
      </c>
      <c r="V4313" s="3" t="s">
        <v>52</v>
      </c>
      <c r="W4313" s="3" t="s">
        <v>21296</v>
      </c>
      <c r="X4313" s="10" t="s">
        <v>21297</v>
      </c>
      <c r="Y4313" s="6" t="s">
        <v>192</v>
      </c>
      <c r="Z4313" s="4">
        <v>2.75</v>
      </c>
      <c r="AA4313" s="4">
        <v>7.4</v>
      </c>
      <c r="AB4313" s="3" t="s">
        <v>43</v>
      </c>
      <c r="AC4313" s="3" t="s">
        <v>21298</v>
      </c>
      <c r="AD4313" s="9">
        <v>43752</v>
      </c>
      <c r="AE4313" s="3" t="s">
        <v>496</v>
      </c>
      <c r="AF4313" s="3" t="s">
        <v>579</v>
      </c>
      <c r="AG4313" s="3" t="s">
        <v>186</v>
      </c>
      <c r="AH4313" s="11">
        <f>HYPERLINK("https://my.pitchbook.com?c=125679-43T","View Company Online")</f>
      </c>
    </row>
    <row r="4314">
      <c r="A4314" s="12" t="s">
        <v>21299</v>
      </c>
      <c r="B4314" s="12" t="s">
        <v>21300</v>
      </c>
      <c r="C4314" s="19" t="s">
        <v>36</v>
      </c>
      <c r="D4314" s="19" t="s">
        <v>36</v>
      </c>
      <c r="E4314" s="19" t="s">
        <v>36</v>
      </c>
      <c r="F4314" s="19" t="s">
        <v>36</v>
      </c>
      <c r="G4314" s="15" t="s">
        <v>36</v>
      </c>
      <c r="H4314" s="14" t="s">
        <v>36</v>
      </c>
      <c r="I4314" s="18" t="s">
        <v>36</v>
      </c>
      <c r="J4314" s="12" t="s">
        <v>36</v>
      </c>
      <c r="K4314" s="13" t="s">
        <v>36</v>
      </c>
      <c r="L4314" s="15" t="s">
        <v>36</v>
      </c>
      <c r="M4314" s="12" t="s">
        <v>36</v>
      </c>
      <c r="N4314" s="12" t="s">
        <v>36</v>
      </c>
      <c r="O4314" s="17" t="s">
        <v>36</v>
      </c>
      <c r="P4314" s="12" t="s">
        <v>36</v>
      </c>
      <c r="Q4314" s="12" t="s">
        <v>36</v>
      </c>
      <c r="R4314" s="12" t="s">
        <v>36</v>
      </c>
      <c r="S4314" s="12" t="s">
        <v>36</v>
      </c>
      <c r="T4314" s="12" t="s">
        <v>21301</v>
      </c>
      <c r="U4314" s="12" t="s">
        <v>438</v>
      </c>
      <c r="V4314" s="12" t="s">
        <v>405</v>
      </c>
      <c r="W4314" s="12" t="s">
        <v>21302</v>
      </c>
      <c r="X4314" s="16" t="s">
        <v>21303</v>
      </c>
      <c r="Y4314" s="15" t="s">
        <v>42</v>
      </c>
      <c r="Z4314" s="14" t="s">
        <v>36</v>
      </c>
      <c r="AA4314" s="14" t="s">
        <v>36</v>
      </c>
      <c r="AB4314" s="12" t="s">
        <v>43</v>
      </c>
      <c r="AC4314" s="12" t="s">
        <v>21304</v>
      </c>
      <c r="AD4314" s="13">
        <v>43752</v>
      </c>
      <c r="AE4314" s="12" t="s">
        <v>442</v>
      </c>
      <c r="AF4314" s="12" t="s">
        <v>36</v>
      </c>
      <c r="AG4314" s="12" t="s">
        <v>81</v>
      </c>
      <c r="AH4314" s="1">
        <f>HYPERLINK("https://my.pitchbook.com?c=140973-76T","View Company Online")</f>
      </c>
    </row>
    <row r="4315">
      <c r="A4315" s="3" t="s">
        <v>21305</v>
      </c>
      <c r="B4315" s="3" t="s">
        <v>10680</v>
      </c>
      <c r="C4315" s="5" t="s">
        <v>36</v>
      </c>
      <c r="D4315" s="5" t="s">
        <v>36</v>
      </c>
      <c r="E4315" s="5" t="s">
        <v>36</v>
      </c>
      <c r="F4315" s="5" t="s">
        <v>36</v>
      </c>
      <c r="G4315" s="6" t="s">
        <v>36</v>
      </c>
      <c r="H4315" s="4">
        <v>7.89</v>
      </c>
      <c r="I4315" s="7">
        <v>20</v>
      </c>
      <c r="J4315" s="3" t="s">
        <v>521</v>
      </c>
      <c r="K4315" s="9" t="s">
        <v>36</v>
      </c>
      <c r="L4315" s="6" t="s">
        <v>36</v>
      </c>
      <c r="M4315" s="3" t="s">
        <v>36</v>
      </c>
      <c r="N4315" s="3" t="s">
        <v>36</v>
      </c>
      <c r="O4315" s="8" t="s">
        <v>36</v>
      </c>
      <c r="P4315" s="3" t="s">
        <v>36</v>
      </c>
      <c r="Q4315" s="3" t="s">
        <v>36</v>
      </c>
      <c r="R4315" s="3" t="s">
        <v>36</v>
      </c>
      <c r="S4315" s="3" t="s">
        <v>36</v>
      </c>
      <c r="T4315" s="3" t="s">
        <v>10681</v>
      </c>
      <c r="U4315" s="3" t="s">
        <v>423</v>
      </c>
      <c r="V4315" s="3" t="s">
        <v>64</v>
      </c>
      <c r="W4315" s="3" t="s">
        <v>10682</v>
      </c>
      <c r="X4315" s="10" t="s">
        <v>21306</v>
      </c>
      <c r="Y4315" s="6" t="s">
        <v>42</v>
      </c>
      <c r="Z4315" s="4">
        <v>0.1</v>
      </c>
      <c r="AA4315" s="4">
        <v>0.52</v>
      </c>
      <c r="AB4315" s="3" t="s">
        <v>43</v>
      </c>
      <c r="AC4315" s="3" t="s">
        <v>10684</v>
      </c>
      <c r="AD4315" s="9">
        <v>43749</v>
      </c>
      <c r="AE4315" s="3" t="s">
        <v>427</v>
      </c>
      <c r="AF4315" s="3" t="s">
        <v>36</v>
      </c>
      <c r="AG4315" s="3" t="s">
        <v>102</v>
      </c>
      <c r="AH4315" s="11">
        <f>HYPERLINK("https://my.pitchbook.com?c=214460-56T","View Company Online")</f>
      </c>
    </row>
    <row r="4316">
      <c r="A4316" s="12" t="s">
        <v>21307</v>
      </c>
      <c r="B4316" s="12" t="s">
        <v>1187</v>
      </c>
      <c r="C4316" s="19" t="s">
        <v>36</v>
      </c>
      <c r="D4316" s="19" t="s">
        <v>36</v>
      </c>
      <c r="E4316" s="19" t="s">
        <v>36</v>
      </c>
      <c r="F4316" s="19" t="s">
        <v>36</v>
      </c>
      <c r="G4316" s="15" t="s">
        <v>36</v>
      </c>
      <c r="H4316" s="14">
        <v>9.35</v>
      </c>
      <c r="I4316" s="18">
        <v>30.68</v>
      </c>
      <c r="J4316" s="12" t="s">
        <v>521</v>
      </c>
      <c r="K4316" s="13" t="s">
        <v>36</v>
      </c>
      <c r="L4316" s="15" t="s">
        <v>122</v>
      </c>
      <c r="M4316" s="12" t="s">
        <v>36</v>
      </c>
      <c r="N4316" s="12" t="s">
        <v>122</v>
      </c>
      <c r="O4316" s="17" t="s">
        <v>36</v>
      </c>
      <c r="P4316" s="12" t="s">
        <v>36</v>
      </c>
      <c r="Q4316" s="12" t="s">
        <v>36</v>
      </c>
      <c r="R4316" s="12" t="s">
        <v>36</v>
      </c>
      <c r="S4316" s="12" t="s">
        <v>36</v>
      </c>
      <c r="T4316" s="12" t="s">
        <v>1188</v>
      </c>
      <c r="U4316" s="12" t="s">
        <v>180</v>
      </c>
      <c r="V4316" s="12" t="s">
        <v>52</v>
      </c>
      <c r="W4316" s="12" t="s">
        <v>1189</v>
      </c>
      <c r="X4316" s="16" t="s">
        <v>21308</v>
      </c>
      <c r="Y4316" s="15" t="s">
        <v>42</v>
      </c>
      <c r="Z4316" s="14">
        <v>2.2</v>
      </c>
      <c r="AA4316" s="14">
        <v>4.28</v>
      </c>
      <c r="AB4316" s="12" t="s">
        <v>43</v>
      </c>
      <c r="AC4316" s="12" t="s">
        <v>1191</v>
      </c>
      <c r="AD4316" s="13">
        <v>43749</v>
      </c>
      <c r="AE4316" s="12" t="s">
        <v>1192</v>
      </c>
      <c r="AF4316" s="12" t="s">
        <v>756</v>
      </c>
      <c r="AG4316" s="12" t="s">
        <v>1193</v>
      </c>
      <c r="AH4316" s="1">
        <f>HYPERLINK("https://my.pitchbook.com?c=124714-00T","View Company Online")</f>
      </c>
    </row>
    <row r="4317">
      <c r="A4317" s="3" t="s">
        <v>21309</v>
      </c>
      <c r="B4317" s="3" t="s">
        <v>21310</v>
      </c>
      <c r="C4317" s="5" t="s">
        <v>36</v>
      </c>
      <c r="D4317" s="5" t="s">
        <v>36</v>
      </c>
      <c r="E4317" s="5" t="s">
        <v>36</v>
      </c>
      <c r="F4317" s="5" t="s">
        <v>36</v>
      </c>
      <c r="G4317" s="6" t="s">
        <v>36</v>
      </c>
      <c r="H4317" s="4">
        <v>167.75</v>
      </c>
      <c r="I4317" s="7">
        <v>22.73</v>
      </c>
      <c r="J4317" s="3" t="s">
        <v>521</v>
      </c>
      <c r="K4317" s="9" t="s">
        <v>36</v>
      </c>
      <c r="L4317" s="6" t="s">
        <v>36</v>
      </c>
      <c r="M4317" s="3" t="s">
        <v>36</v>
      </c>
      <c r="N4317" s="3" t="s">
        <v>36</v>
      </c>
      <c r="O4317" s="8" t="s">
        <v>36</v>
      </c>
      <c r="P4317" s="3" t="s">
        <v>36</v>
      </c>
      <c r="Q4317" s="3" t="s">
        <v>36</v>
      </c>
      <c r="R4317" s="3" t="s">
        <v>36</v>
      </c>
      <c r="S4317" s="3" t="s">
        <v>36</v>
      </c>
      <c r="T4317" s="3" t="s">
        <v>21311</v>
      </c>
      <c r="U4317" s="3" t="s">
        <v>74</v>
      </c>
      <c r="V4317" s="3" t="s">
        <v>75</v>
      </c>
      <c r="W4317" s="3" t="s">
        <v>21312</v>
      </c>
      <c r="X4317" s="10" t="s">
        <v>21313</v>
      </c>
      <c r="Y4317" s="6" t="s">
        <v>42</v>
      </c>
      <c r="Z4317" s="4">
        <v>1.65</v>
      </c>
      <c r="AA4317" s="4">
        <v>8.25</v>
      </c>
      <c r="AB4317" s="3" t="s">
        <v>43</v>
      </c>
      <c r="AC4317" s="3" t="s">
        <v>21314</v>
      </c>
      <c r="AD4317" s="9">
        <v>43749</v>
      </c>
      <c r="AE4317" s="3" t="s">
        <v>79</v>
      </c>
      <c r="AF4317" s="3" t="s">
        <v>2759</v>
      </c>
      <c r="AG4317" s="3" t="s">
        <v>81</v>
      </c>
      <c r="AH4317" s="11">
        <f>HYPERLINK("https://my.pitchbook.com?c=124795-54T","View Company Online")</f>
      </c>
    </row>
    <row r="4318">
      <c r="A4318" s="12" t="s">
        <v>21315</v>
      </c>
      <c r="B4318" s="12" t="s">
        <v>10320</v>
      </c>
      <c r="C4318" s="19" t="s">
        <v>36</v>
      </c>
      <c r="D4318" s="19" t="s">
        <v>36</v>
      </c>
      <c r="E4318" s="19" t="s">
        <v>36</v>
      </c>
      <c r="F4318" s="19" t="s">
        <v>36</v>
      </c>
      <c r="G4318" s="15" t="s">
        <v>36</v>
      </c>
      <c r="H4318" s="14" t="s">
        <v>36</v>
      </c>
      <c r="I4318" s="18">
        <v>24.67</v>
      </c>
      <c r="J4318" s="12" t="s">
        <v>327</v>
      </c>
      <c r="K4318" s="13" t="s">
        <v>36</v>
      </c>
      <c r="L4318" s="15" t="s">
        <v>36</v>
      </c>
      <c r="M4318" s="12" t="s">
        <v>36</v>
      </c>
      <c r="N4318" s="12" t="s">
        <v>36</v>
      </c>
      <c r="O4318" s="17" t="s">
        <v>36</v>
      </c>
      <c r="P4318" s="12" t="s">
        <v>36</v>
      </c>
      <c r="Q4318" s="12" t="s">
        <v>36</v>
      </c>
      <c r="R4318" s="12" t="s">
        <v>36</v>
      </c>
      <c r="S4318" s="12" t="s">
        <v>36</v>
      </c>
      <c r="T4318" s="12" t="s">
        <v>10321</v>
      </c>
      <c r="U4318" s="12" t="s">
        <v>423</v>
      </c>
      <c r="V4318" s="12" t="s">
        <v>64</v>
      </c>
      <c r="W4318" s="12" t="s">
        <v>10322</v>
      </c>
      <c r="X4318" s="16" t="s">
        <v>21316</v>
      </c>
      <c r="Y4318" s="15" t="s">
        <v>42</v>
      </c>
      <c r="Z4318" s="14">
        <v>1.1</v>
      </c>
      <c r="AA4318" s="14">
        <v>4.46</v>
      </c>
      <c r="AB4318" s="12" t="s">
        <v>43</v>
      </c>
      <c r="AC4318" s="12" t="s">
        <v>10324</v>
      </c>
      <c r="AD4318" s="13">
        <v>43748</v>
      </c>
      <c r="AE4318" s="12" t="s">
        <v>427</v>
      </c>
      <c r="AF4318" s="12" t="s">
        <v>733</v>
      </c>
      <c r="AG4318" s="12" t="s">
        <v>81</v>
      </c>
      <c r="AH4318" s="1">
        <f>HYPERLINK("https://my.pitchbook.com?c=202595-59T","View Company Online")</f>
      </c>
    </row>
    <row r="4319">
      <c r="A4319" s="3" t="s">
        <v>21317</v>
      </c>
      <c r="B4319" s="3" t="s">
        <v>21318</v>
      </c>
      <c r="C4319" s="5" t="s">
        <v>36</v>
      </c>
      <c r="D4319" s="5" t="s">
        <v>36</v>
      </c>
      <c r="E4319" s="5" t="s">
        <v>36</v>
      </c>
      <c r="F4319" s="5" t="s">
        <v>36</v>
      </c>
      <c r="G4319" s="6" t="s">
        <v>36</v>
      </c>
      <c r="H4319" s="4">
        <v>136.24</v>
      </c>
      <c r="I4319" s="7">
        <v>22.68</v>
      </c>
      <c r="J4319" s="3" t="s">
        <v>521</v>
      </c>
      <c r="K4319" s="9">
        <v>43556</v>
      </c>
      <c r="L4319" s="6" t="s">
        <v>36</v>
      </c>
      <c r="M4319" s="3" t="s">
        <v>36</v>
      </c>
      <c r="N4319" s="3" t="s">
        <v>36</v>
      </c>
      <c r="O4319" s="8" t="s">
        <v>36</v>
      </c>
      <c r="P4319" s="3" t="s">
        <v>36</v>
      </c>
      <c r="Q4319" s="3" t="s">
        <v>36</v>
      </c>
      <c r="R4319" s="3" t="s">
        <v>36</v>
      </c>
      <c r="S4319" s="3" t="s">
        <v>36</v>
      </c>
      <c r="T4319" s="3" t="s">
        <v>21319</v>
      </c>
      <c r="U4319" s="3" t="s">
        <v>38</v>
      </c>
      <c r="V4319" s="3" t="s">
        <v>39</v>
      </c>
      <c r="W4319" s="3" t="s">
        <v>21320</v>
      </c>
      <c r="X4319" s="10" t="s">
        <v>21321</v>
      </c>
      <c r="Y4319" s="6" t="s">
        <v>55</v>
      </c>
      <c r="Z4319" s="4">
        <v>6.05</v>
      </c>
      <c r="AA4319" s="4">
        <v>26.68</v>
      </c>
      <c r="AB4319" s="3" t="s">
        <v>43</v>
      </c>
      <c r="AC4319" s="3" t="s">
        <v>21322</v>
      </c>
      <c r="AD4319" s="9">
        <v>43748</v>
      </c>
      <c r="AE4319" s="3" t="s">
        <v>1200</v>
      </c>
      <c r="AF4319" s="3" t="s">
        <v>21323</v>
      </c>
      <c r="AG4319" s="3" t="s">
        <v>47</v>
      </c>
      <c r="AH4319" s="11">
        <f>HYPERLINK("https://my.pitchbook.com?c=119133-55T","View Company Online")</f>
      </c>
    </row>
    <row r="4320">
      <c r="A4320" s="12" t="s">
        <v>21324</v>
      </c>
      <c r="B4320" s="12" t="s">
        <v>21325</v>
      </c>
      <c r="C4320" s="19">
        <v>1</v>
      </c>
      <c r="D4320" s="19">
        <v>6</v>
      </c>
      <c r="E4320" s="19">
        <v>1</v>
      </c>
      <c r="F4320" s="19">
        <v>8</v>
      </c>
      <c r="G4320" s="15" t="s">
        <v>326</v>
      </c>
      <c r="H4320" s="14">
        <v>57.12</v>
      </c>
      <c r="I4320" s="18">
        <v>29.12</v>
      </c>
      <c r="J4320" s="12" t="s">
        <v>521</v>
      </c>
      <c r="K4320" s="13" t="s">
        <v>36</v>
      </c>
      <c r="L4320" s="15" t="s">
        <v>36</v>
      </c>
      <c r="M4320" s="12" t="s">
        <v>36</v>
      </c>
      <c r="N4320" s="12" t="s">
        <v>36</v>
      </c>
      <c r="O4320" s="17" t="s">
        <v>36</v>
      </c>
      <c r="P4320" s="12" t="s">
        <v>36</v>
      </c>
      <c r="Q4320" s="12" t="s">
        <v>36</v>
      </c>
      <c r="R4320" s="12" t="s">
        <v>36</v>
      </c>
      <c r="S4320" s="12" t="s">
        <v>36</v>
      </c>
      <c r="T4320" s="12" t="s">
        <v>139</v>
      </c>
      <c r="U4320" s="12" t="s">
        <v>96</v>
      </c>
      <c r="V4320" s="12" t="s">
        <v>52</v>
      </c>
      <c r="W4320" s="12" t="s">
        <v>21326</v>
      </c>
      <c r="X4320" s="16" t="s">
        <v>21327</v>
      </c>
      <c r="Y4320" s="15" t="s">
        <v>42</v>
      </c>
      <c r="Z4320" s="14">
        <v>1.65</v>
      </c>
      <c r="AA4320" s="14">
        <v>3.88</v>
      </c>
      <c r="AB4320" s="12" t="s">
        <v>43</v>
      </c>
      <c r="AC4320" s="12" t="s">
        <v>21328</v>
      </c>
      <c r="AD4320" s="13">
        <v>43748</v>
      </c>
      <c r="AE4320" s="12" t="s">
        <v>143</v>
      </c>
      <c r="AF4320" s="12" t="s">
        <v>21329</v>
      </c>
      <c r="AG4320" s="12" t="s">
        <v>1276</v>
      </c>
      <c r="AH4320" s="1">
        <f>HYPERLINK("https://my.pitchbook.com?c=158999-14T","View Company Online")</f>
      </c>
    </row>
    <row r="4321">
      <c r="A4321" s="3" t="s">
        <v>21330</v>
      </c>
      <c r="B4321" s="3" t="s">
        <v>21331</v>
      </c>
      <c r="C4321" s="5" t="s">
        <v>36</v>
      </c>
      <c r="D4321" s="5" t="s">
        <v>36</v>
      </c>
      <c r="E4321" s="5" t="s">
        <v>36</v>
      </c>
      <c r="F4321" s="5" t="s">
        <v>36</v>
      </c>
      <c r="G4321" s="6" t="s">
        <v>326</v>
      </c>
      <c r="H4321" s="4">
        <v>59.36</v>
      </c>
      <c r="I4321" s="7">
        <v>11.11</v>
      </c>
      <c r="J4321" s="3" t="s">
        <v>521</v>
      </c>
      <c r="K4321" s="9" t="s">
        <v>36</v>
      </c>
      <c r="L4321" s="6" t="s">
        <v>36</v>
      </c>
      <c r="M4321" s="3" t="s">
        <v>36</v>
      </c>
      <c r="N4321" s="3" t="s">
        <v>36</v>
      </c>
      <c r="O4321" s="8" t="s">
        <v>36</v>
      </c>
      <c r="P4321" s="3" t="s">
        <v>36</v>
      </c>
      <c r="Q4321" s="3" t="s">
        <v>36</v>
      </c>
      <c r="R4321" s="3" t="s">
        <v>36</v>
      </c>
      <c r="S4321" s="3" t="s">
        <v>36</v>
      </c>
      <c r="T4321" s="3" t="s">
        <v>18061</v>
      </c>
      <c r="U4321" s="3" t="s">
        <v>74</v>
      </c>
      <c r="V4321" s="3" t="s">
        <v>75</v>
      </c>
      <c r="W4321" s="3" t="s">
        <v>21332</v>
      </c>
      <c r="X4321" s="10" t="s">
        <v>21333</v>
      </c>
      <c r="Y4321" s="6" t="s">
        <v>42</v>
      </c>
      <c r="Z4321" s="4">
        <v>3.3</v>
      </c>
      <c r="AA4321" s="4">
        <v>14.86</v>
      </c>
      <c r="AB4321" s="3" t="s">
        <v>43</v>
      </c>
      <c r="AC4321" s="3" t="s">
        <v>21334</v>
      </c>
      <c r="AD4321" s="9">
        <v>43748</v>
      </c>
      <c r="AE4321" s="3" t="s">
        <v>975</v>
      </c>
      <c r="AF4321" s="3" t="s">
        <v>21335</v>
      </c>
      <c r="AG4321" s="3" t="s">
        <v>382</v>
      </c>
      <c r="AH4321" s="11">
        <f>HYPERLINK("https://my.pitchbook.com?c=135220-06T","View Company Online")</f>
      </c>
    </row>
    <row r="4322">
      <c r="A4322" s="12" t="s">
        <v>21336</v>
      </c>
      <c r="B4322" s="12" t="s">
        <v>12109</v>
      </c>
      <c r="C4322" s="19" t="s">
        <v>36</v>
      </c>
      <c r="D4322" s="19" t="s">
        <v>36</v>
      </c>
      <c r="E4322" s="19" t="s">
        <v>36</v>
      </c>
      <c r="F4322" s="19" t="s">
        <v>36</v>
      </c>
      <c r="G4322" s="15" t="s">
        <v>36</v>
      </c>
      <c r="H4322" s="14">
        <v>4.55</v>
      </c>
      <c r="I4322" s="18">
        <v>21.12</v>
      </c>
      <c r="J4322" s="12" t="s">
        <v>521</v>
      </c>
      <c r="K4322" s="13">
        <v>43556</v>
      </c>
      <c r="L4322" s="15" t="s">
        <v>36</v>
      </c>
      <c r="M4322" s="12" t="s">
        <v>36</v>
      </c>
      <c r="N4322" s="12" t="s">
        <v>36</v>
      </c>
      <c r="O4322" s="17" t="s">
        <v>36</v>
      </c>
      <c r="P4322" s="12" t="s">
        <v>36</v>
      </c>
      <c r="Q4322" s="12" t="s">
        <v>36</v>
      </c>
      <c r="R4322" s="12" t="s">
        <v>36</v>
      </c>
      <c r="S4322" s="12" t="s">
        <v>36</v>
      </c>
      <c r="T4322" s="12" t="s">
        <v>9281</v>
      </c>
      <c r="U4322" s="12" t="s">
        <v>38</v>
      </c>
      <c r="V4322" s="12" t="s">
        <v>39</v>
      </c>
      <c r="W4322" s="12" t="s">
        <v>12110</v>
      </c>
      <c r="X4322" s="16" t="s">
        <v>21337</v>
      </c>
      <c r="Y4322" s="15" t="s">
        <v>55</v>
      </c>
      <c r="Z4322" s="14">
        <v>3.52</v>
      </c>
      <c r="AA4322" s="14">
        <v>13.8</v>
      </c>
      <c r="AB4322" s="12" t="s">
        <v>43</v>
      </c>
      <c r="AC4322" s="12" t="s">
        <v>12112</v>
      </c>
      <c r="AD4322" s="13">
        <v>43748</v>
      </c>
      <c r="AE4322" s="12" t="s">
        <v>1945</v>
      </c>
      <c r="AF4322" s="12" t="s">
        <v>1401</v>
      </c>
      <c r="AG4322" s="12" t="s">
        <v>102</v>
      </c>
      <c r="AH4322" s="1">
        <f>HYPERLINK("https://my.pitchbook.com?c=125809-21T","View Company Online")</f>
      </c>
    </row>
    <row r="4323">
      <c r="A4323" s="3" t="s">
        <v>21338</v>
      </c>
      <c r="B4323" s="3" t="s">
        <v>21339</v>
      </c>
      <c r="C4323" s="5" t="s">
        <v>36</v>
      </c>
      <c r="D4323" s="5">
        <v>6</v>
      </c>
      <c r="E4323" s="5">
        <v>1</v>
      </c>
      <c r="F4323" s="5">
        <v>6</v>
      </c>
      <c r="G4323" s="6" t="s">
        <v>326</v>
      </c>
      <c r="H4323" s="4" t="s">
        <v>36</v>
      </c>
      <c r="I4323" s="7">
        <v>46.67</v>
      </c>
      <c r="J4323" s="3" t="s">
        <v>521</v>
      </c>
      <c r="K4323" s="9" t="s">
        <v>36</v>
      </c>
      <c r="L4323" s="6" t="s">
        <v>122</v>
      </c>
      <c r="M4323" s="3" t="s">
        <v>36</v>
      </c>
      <c r="N4323" s="3" t="s">
        <v>122</v>
      </c>
      <c r="O4323" s="8" t="s">
        <v>36</v>
      </c>
      <c r="P4323" s="3" t="s">
        <v>36</v>
      </c>
      <c r="Q4323" s="3" t="s">
        <v>36</v>
      </c>
      <c r="R4323" s="3" t="s">
        <v>36</v>
      </c>
      <c r="S4323" s="3" t="s">
        <v>36</v>
      </c>
      <c r="T4323" s="3" t="s">
        <v>21340</v>
      </c>
      <c r="U4323" s="3" t="s">
        <v>318</v>
      </c>
      <c r="V4323" s="3" t="s">
        <v>39</v>
      </c>
      <c r="W4323" s="3" t="s">
        <v>21341</v>
      </c>
      <c r="X4323" s="10" t="s">
        <v>21342</v>
      </c>
      <c r="Y4323" s="6" t="s">
        <v>108</v>
      </c>
      <c r="Z4323" s="4">
        <v>3.3</v>
      </c>
      <c r="AA4323" s="4">
        <v>7.07</v>
      </c>
      <c r="AB4323" s="3" t="s">
        <v>43</v>
      </c>
      <c r="AC4323" s="3" t="s">
        <v>21343</v>
      </c>
      <c r="AD4323" s="9">
        <v>43748</v>
      </c>
      <c r="AE4323" s="3" t="s">
        <v>763</v>
      </c>
      <c r="AF4323" s="3" t="s">
        <v>21344</v>
      </c>
      <c r="AG4323" s="3" t="s">
        <v>3520</v>
      </c>
      <c r="AH4323" s="11">
        <f>HYPERLINK("https://my.pitchbook.com?c=124599-34T","View Company Online")</f>
      </c>
    </row>
    <row r="4324">
      <c r="A4324" s="12" t="s">
        <v>21345</v>
      </c>
      <c r="B4324" s="12" t="s">
        <v>18684</v>
      </c>
      <c r="C4324" s="19" t="s">
        <v>36</v>
      </c>
      <c r="D4324" s="19" t="s">
        <v>36</v>
      </c>
      <c r="E4324" s="19" t="s">
        <v>36</v>
      </c>
      <c r="F4324" s="19" t="s">
        <v>36</v>
      </c>
      <c r="G4324" s="15" t="s">
        <v>36</v>
      </c>
      <c r="H4324" s="14">
        <v>73.74</v>
      </c>
      <c r="I4324" s="18">
        <v>42.27</v>
      </c>
      <c r="J4324" s="12" t="s">
        <v>521</v>
      </c>
      <c r="K4324" s="13" t="s">
        <v>36</v>
      </c>
      <c r="L4324" s="15" t="s">
        <v>36</v>
      </c>
      <c r="M4324" s="12" t="s">
        <v>36</v>
      </c>
      <c r="N4324" s="12" t="s">
        <v>36</v>
      </c>
      <c r="O4324" s="17" t="s">
        <v>36</v>
      </c>
      <c r="P4324" s="12" t="s">
        <v>36</v>
      </c>
      <c r="Q4324" s="12" t="s">
        <v>36</v>
      </c>
      <c r="R4324" s="12" t="s">
        <v>36</v>
      </c>
      <c r="S4324" s="12" t="s">
        <v>36</v>
      </c>
      <c r="T4324" s="12" t="s">
        <v>1227</v>
      </c>
      <c r="U4324" s="12" t="s">
        <v>74</v>
      </c>
      <c r="V4324" s="12" t="s">
        <v>75</v>
      </c>
      <c r="W4324" s="12" t="s">
        <v>18685</v>
      </c>
      <c r="X4324" s="16" t="s">
        <v>21346</v>
      </c>
      <c r="Y4324" s="15" t="s">
        <v>108</v>
      </c>
      <c r="Z4324" s="14">
        <v>2.38</v>
      </c>
      <c r="AA4324" s="14">
        <v>4.79</v>
      </c>
      <c r="AB4324" s="12" t="s">
        <v>43</v>
      </c>
      <c r="AC4324" s="12" t="s">
        <v>18687</v>
      </c>
      <c r="AD4324" s="13">
        <v>43747</v>
      </c>
      <c r="AE4324" s="12" t="s">
        <v>570</v>
      </c>
      <c r="AF4324" s="12" t="s">
        <v>36</v>
      </c>
      <c r="AG4324" s="12" t="s">
        <v>18688</v>
      </c>
      <c r="AH4324" s="1">
        <f>HYPERLINK("https://my.pitchbook.com?c=253045-54T","View Company Online")</f>
      </c>
    </row>
    <row r="4325">
      <c r="A4325" s="3" t="s">
        <v>21347</v>
      </c>
      <c r="B4325" s="3" t="s">
        <v>21348</v>
      </c>
      <c r="C4325" s="5" t="s">
        <v>36</v>
      </c>
      <c r="D4325" s="5" t="s">
        <v>36</v>
      </c>
      <c r="E4325" s="5">
        <v>2</v>
      </c>
      <c r="F4325" s="5">
        <v>2</v>
      </c>
      <c r="G4325" s="6" t="s">
        <v>36</v>
      </c>
      <c r="H4325" s="4" t="s">
        <v>36</v>
      </c>
      <c r="I4325" s="7">
        <v>28.31</v>
      </c>
      <c r="J4325" s="3" t="s">
        <v>327</v>
      </c>
      <c r="K4325" s="9" t="s">
        <v>36</v>
      </c>
      <c r="L4325" s="6" t="s">
        <v>36</v>
      </c>
      <c r="M4325" s="3" t="s">
        <v>36</v>
      </c>
      <c r="N4325" s="3" t="s">
        <v>36</v>
      </c>
      <c r="O4325" s="8" t="s">
        <v>36</v>
      </c>
      <c r="P4325" s="3" t="s">
        <v>36</v>
      </c>
      <c r="Q4325" s="3" t="s">
        <v>36</v>
      </c>
      <c r="R4325" s="3" t="s">
        <v>36</v>
      </c>
      <c r="S4325" s="3" t="s">
        <v>21349</v>
      </c>
      <c r="T4325" s="3" t="s">
        <v>123</v>
      </c>
      <c r="U4325" s="3" t="s">
        <v>38</v>
      </c>
      <c r="V4325" s="3" t="s">
        <v>39</v>
      </c>
      <c r="W4325" s="3" t="s">
        <v>21350</v>
      </c>
      <c r="X4325" s="10" t="s">
        <v>21351</v>
      </c>
      <c r="Y4325" s="6" t="s">
        <v>42</v>
      </c>
      <c r="Z4325" s="4">
        <v>2.31</v>
      </c>
      <c r="AA4325" s="4">
        <v>8.16</v>
      </c>
      <c r="AB4325" s="3" t="s">
        <v>43</v>
      </c>
      <c r="AC4325" s="3" t="s">
        <v>21352</v>
      </c>
      <c r="AD4325" s="9">
        <v>43747</v>
      </c>
      <c r="AE4325" s="3" t="s">
        <v>110</v>
      </c>
      <c r="AF4325" s="3" t="s">
        <v>1331</v>
      </c>
      <c r="AG4325" s="3" t="s">
        <v>81</v>
      </c>
      <c r="AH4325" s="11">
        <f>HYPERLINK("https://my.pitchbook.com?c=124633-90T","View Company Online")</f>
      </c>
    </row>
    <row r="4326">
      <c r="A4326" s="12" t="s">
        <v>21353</v>
      </c>
      <c r="B4326" s="12" t="s">
        <v>21354</v>
      </c>
      <c r="C4326" s="19" t="s">
        <v>36</v>
      </c>
      <c r="D4326" s="19" t="s">
        <v>36</v>
      </c>
      <c r="E4326" s="19" t="s">
        <v>36</v>
      </c>
      <c r="F4326" s="19" t="s">
        <v>36</v>
      </c>
      <c r="G4326" s="15" t="s">
        <v>326</v>
      </c>
      <c r="H4326" s="14">
        <v>385.4</v>
      </c>
      <c r="I4326" s="18">
        <v>22.36</v>
      </c>
      <c r="J4326" s="12" t="s">
        <v>521</v>
      </c>
      <c r="K4326" s="13" t="s">
        <v>36</v>
      </c>
      <c r="L4326" s="15" t="s">
        <v>122</v>
      </c>
      <c r="M4326" s="12" t="s">
        <v>36</v>
      </c>
      <c r="N4326" s="12" t="s">
        <v>122</v>
      </c>
      <c r="O4326" s="17" t="s">
        <v>36</v>
      </c>
      <c r="P4326" s="12" t="s">
        <v>36</v>
      </c>
      <c r="Q4326" s="12" t="s">
        <v>36</v>
      </c>
      <c r="R4326" s="12" t="s">
        <v>36</v>
      </c>
      <c r="S4326" s="12" t="s">
        <v>36</v>
      </c>
      <c r="T4326" s="12" t="s">
        <v>37</v>
      </c>
      <c r="U4326" s="12" t="s">
        <v>38</v>
      </c>
      <c r="V4326" s="12" t="s">
        <v>39</v>
      </c>
      <c r="W4326" s="12" t="s">
        <v>21355</v>
      </c>
      <c r="X4326" s="16" t="s">
        <v>21356</v>
      </c>
      <c r="Y4326" s="15" t="s">
        <v>108</v>
      </c>
      <c r="Z4326" s="14">
        <v>7.7</v>
      </c>
      <c r="AA4326" s="14">
        <v>34.45</v>
      </c>
      <c r="AB4326" s="12" t="s">
        <v>56</v>
      </c>
      <c r="AC4326" s="12" t="s">
        <v>21357</v>
      </c>
      <c r="AD4326" s="13">
        <v>43746</v>
      </c>
      <c r="AE4326" s="12" t="s">
        <v>45</v>
      </c>
      <c r="AF4326" s="12" t="s">
        <v>799</v>
      </c>
      <c r="AG4326" s="12" t="s">
        <v>81</v>
      </c>
      <c r="AH4326" s="1">
        <f>HYPERLINK("https://my.pitchbook.com?c=124427-98T","View Company Online")</f>
      </c>
    </row>
    <row r="4327">
      <c r="A4327" s="3" t="s">
        <v>21358</v>
      </c>
      <c r="B4327" s="3" t="s">
        <v>21359</v>
      </c>
      <c r="C4327" s="5" t="s">
        <v>36</v>
      </c>
      <c r="D4327" s="5" t="s">
        <v>36</v>
      </c>
      <c r="E4327" s="5" t="s">
        <v>36</v>
      </c>
      <c r="F4327" s="5" t="s">
        <v>36</v>
      </c>
      <c r="G4327" s="6" t="s">
        <v>683</v>
      </c>
      <c r="H4327" s="4">
        <v>59.2</v>
      </c>
      <c r="I4327" s="7">
        <v>17.04</v>
      </c>
      <c r="J4327" s="3" t="s">
        <v>521</v>
      </c>
      <c r="K4327" s="9" t="s">
        <v>36</v>
      </c>
      <c r="L4327" s="6" t="s">
        <v>36</v>
      </c>
      <c r="M4327" s="3" t="s">
        <v>36</v>
      </c>
      <c r="N4327" s="3" t="s">
        <v>36</v>
      </c>
      <c r="O4327" s="8" t="s">
        <v>36</v>
      </c>
      <c r="P4327" s="3" t="s">
        <v>36</v>
      </c>
      <c r="Q4327" s="3" t="s">
        <v>36</v>
      </c>
      <c r="R4327" s="3" t="s">
        <v>36</v>
      </c>
      <c r="S4327" s="3" t="s">
        <v>36</v>
      </c>
      <c r="T4327" s="3" t="s">
        <v>3887</v>
      </c>
      <c r="U4327" s="3" t="s">
        <v>619</v>
      </c>
      <c r="V4327" s="3" t="s">
        <v>378</v>
      </c>
      <c r="W4327" s="3" t="s">
        <v>21360</v>
      </c>
      <c r="X4327" s="10" t="s">
        <v>21361</v>
      </c>
      <c r="Y4327" s="6" t="s">
        <v>192</v>
      </c>
      <c r="Z4327" s="4">
        <v>2.7</v>
      </c>
      <c r="AA4327" s="4">
        <v>15.87</v>
      </c>
      <c r="AB4327" s="3" t="s">
        <v>56</v>
      </c>
      <c r="AC4327" s="3" t="s">
        <v>21362</v>
      </c>
      <c r="AD4327" s="9">
        <v>43746</v>
      </c>
      <c r="AE4327" s="3" t="s">
        <v>3891</v>
      </c>
      <c r="AF4327" s="3" t="s">
        <v>21363</v>
      </c>
      <c r="AG4327" s="3" t="s">
        <v>21364</v>
      </c>
      <c r="AH4327" s="11">
        <f>HYPERLINK("https://my.pitchbook.com?c=180054-73T","View Company Online")</f>
      </c>
    </row>
    <row r="4328">
      <c r="A4328" s="12" t="s">
        <v>21365</v>
      </c>
      <c r="B4328" s="12" t="s">
        <v>21366</v>
      </c>
      <c r="C4328" s="19" t="s">
        <v>36</v>
      </c>
      <c r="D4328" s="19" t="s">
        <v>36</v>
      </c>
      <c r="E4328" s="19" t="s">
        <v>36</v>
      </c>
      <c r="F4328" s="19" t="s">
        <v>36</v>
      </c>
      <c r="G4328" s="15" t="s">
        <v>36</v>
      </c>
      <c r="H4328" s="14">
        <v>3634.98</v>
      </c>
      <c r="I4328" s="18">
        <v>22.3</v>
      </c>
      <c r="J4328" s="12" t="s">
        <v>521</v>
      </c>
      <c r="K4328" s="13" t="s">
        <v>36</v>
      </c>
      <c r="L4328" s="15" t="s">
        <v>36</v>
      </c>
      <c r="M4328" s="12" t="s">
        <v>36</v>
      </c>
      <c r="N4328" s="12" t="s">
        <v>36</v>
      </c>
      <c r="O4328" s="17" t="s">
        <v>36</v>
      </c>
      <c r="P4328" s="12" t="s">
        <v>36</v>
      </c>
      <c r="Q4328" s="12" t="s">
        <v>36</v>
      </c>
      <c r="R4328" s="12" t="s">
        <v>36</v>
      </c>
      <c r="S4328" s="12" t="s">
        <v>36</v>
      </c>
      <c r="T4328" s="12" t="s">
        <v>21367</v>
      </c>
      <c r="U4328" s="12" t="s">
        <v>38</v>
      </c>
      <c r="V4328" s="12" t="s">
        <v>39</v>
      </c>
      <c r="W4328" s="12" t="s">
        <v>21368</v>
      </c>
      <c r="X4328" s="16" t="s">
        <v>21369</v>
      </c>
      <c r="Y4328" s="15" t="s">
        <v>42</v>
      </c>
      <c r="Z4328" s="14">
        <v>1.11</v>
      </c>
      <c r="AA4328" s="14">
        <v>4.96</v>
      </c>
      <c r="AB4328" s="12" t="s">
        <v>43</v>
      </c>
      <c r="AC4328" s="12" t="s">
        <v>21370</v>
      </c>
      <c r="AD4328" s="13">
        <v>43746</v>
      </c>
      <c r="AE4328" s="12" t="s">
        <v>110</v>
      </c>
      <c r="AF4328" s="12" t="s">
        <v>815</v>
      </c>
      <c r="AG4328" s="12" t="s">
        <v>4291</v>
      </c>
      <c r="AH4328" s="1">
        <f>HYPERLINK("https://my.pitchbook.com?c=136275-58T","View Company Online")</f>
      </c>
    </row>
    <row r="4329">
      <c r="A4329" s="3" t="s">
        <v>21371</v>
      </c>
      <c r="B4329" s="3" t="s">
        <v>21372</v>
      </c>
      <c r="C4329" s="5" t="s">
        <v>36</v>
      </c>
      <c r="D4329" s="5" t="s">
        <v>36</v>
      </c>
      <c r="E4329" s="5" t="s">
        <v>36</v>
      </c>
      <c r="F4329" s="5" t="s">
        <v>36</v>
      </c>
      <c r="G4329" s="6" t="s">
        <v>326</v>
      </c>
      <c r="H4329" s="4">
        <v>2985.43</v>
      </c>
      <c r="I4329" s="7">
        <v>33.95</v>
      </c>
      <c r="J4329" s="3" t="s">
        <v>521</v>
      </c>
      <c r="K4329" s="9" t="s">
        <v>36</v>
      </c>
      <c r="L4329" s="6" t="s">
        <v>94</v>
      </c>
      <c r="M4329" s="3" t="s">
        <v>36</v>
      </c>
      <c r="N4329" s="3" t="s">
        <v>94</v>
      </c>
      <c r="O4329" s="8" t="s">
        <v>36</v>
      </c>
      <c r="P4329" s="3" t="s">
        <v>36</v>
      </c>
      <c r="Q4329" s="3" t="s">
        <v>36</v>
      </c>
      <c r="R4329" s="3" t="s">
        <v>36</v>
      </c>
      <c r="S4329" s="3" t="s">
        <v>36</v>
      </c>
      <c r="T4329" s="3" t="s">
        <v>522</v>
      </c>
      <c r="U4329" s="3" t="s">
        <v>38</v>
      </c>
      <c r="V4329" s="3" t="s">
        <v>39</v>
      </c>
      <c r="W4329" s="3" t="s">
        <v>21373</v>
      </c>
      <c r="X4329" s="10" t="s">
        <v>21374</v>
      </c>
      <c r="Y4329" s="6" t="s">
        <v>166</v>
      </c>
      <c r="Z4329" s="4">
        <v>16.51</v>
      </c>
      <c r="AA4329" s="4">
        <v>44.51</v>
      </c>
      <c r="AB4329" s="3" t="s">
        <v>56</v>
      </c>
      <c r="AC4329" s="3" t="s">
        <v>21375</v>
      </c>
      <c r="AD4329" s="9">
        <v>43746</v>
      </c>
      <c r="AE4329" s="3" t="s">
        <v>110</v>
      </c>
      <c r="AF4329" s="3" t="s">
        <v>176</v>
      </c>
      <c r="AG4329" s="3" t="s">
        <v>741</v>
      </c>
      <c r="AH4329" s="11">
        <f>HYPERLINK("https://my.pitchbook.com?c=124419-97T","View Company Online")</f>
      </c>
    </row>
    <row r="4330">
      <c r="A4330" s="12" t="s">
        <v>21376</v>
      </c>
      <c r="B4330" s="12" t="s">
        <v>7548</v>
      </c>
      <c r="C4330" s="19" t="s">
        <v>36</v>
      </c>
      <c r="D4330" s="19" t="s">
        <v>36</v>
      </c>
      <c r="E4330" s="19" t="s">
        <v>36</v>
      </c>
      <c r="F4330" s="19" t="s">
        <v>36</v>
      </c>
      <c r="G4330" s="15" t="s">
        <v>36</v>
      </c>
      <c r="H4330" s="14">
        <v>1.04</v>
      </c>
      <c r="I4330" s="18">
        <v>56.52</v>
      </c>
      <c r="J4330" s="12" t="s">
        <v>521</v>
      </c>
      <c r="K4330" s="13" t="s">
        <v>36</v>
      </c>
      <c r="L4330" s="15" t="s">
        <v>122</v>
      </c>
      <c r="M4330" s="12" t="s">
        <v>36</v>
      </c>
      <c r="N4330" s="12" t="s">
        <v>122</v>
      </c>
      <c r="O4330" s="17" t="s">
        <v>36</v>
      </c>
      <c r="P4330" s="12" t="s">
        <v>36</v>
      </c>
      <c r="Q4330" s="12" t="s">
        <v>36</v>
      </c>
      <c r="R4330" s="12" t="s">
        <v>36</v>
      </c>
      <c r="S4330" s="12" t="s">
        <v>36</v>
      </c>
      <c r="T4330" s="12" t="s">
        <v>5302</v>
      </c>
      <c r="U4330" s="12" t="s">
        <v>74</v>
      </c>
      <c r="V4330" s="12" t="s">
        <v>75</v>
      </c>
      <c r="W4330" s="12" t="s">
        <v>7549</v>
      </c>
      <c r="X4330" s="16" t="s">
        <v>21377</v>
      </c>
      <c r="Y4330" s="15" t="s">
        <v>108</v>
      </c>
      <c r="Z4330" s="14">
        <v>14.31</v>
      </c>
      <c r="AA4330" s="14">
        <v>25.31</v>
      </c>
      <c r="AB4330" s="12" t="s">
        <v>43</v>
      </c>
      <c r="AC4330" s="12" t="s">
        <v>7551</v>
      </c>
      <c r="AD4330" s="13">
        <v>43746</v>
      </c>
      <c r="AE4330" s="12" t="s">
        <v>362</v>
      </c>
      <c r="AF4330" s="12" t="s">
        <v>250</v>
      </c>
      <c r="AG4330" s="12" t="s">
        <v>81</v>
      </c>
      <c r="AH4330" s="1">
        <f>HYPERLINK("https://my.pitchbook.com?c=124430-32T","View Company Online")</f>
      </c>
    </row>
    <row r="4331">
      <c r="A4331" s="3" t="s">
        <v>21378</v>
      </c>
      <c r="B4331" s="3" t="s">
        <v>10875</v>
      </c>
      <c r="C4331" s="5" t="s">
        <v>36</v>
      </c>
      <c r="D4331" s="5" t="s">
        <v>36</v>
      </c>
      <c r="E4331" s="5" t="s">
        <v>36</v>
      </c>
      <c r="F4331" s="5" t="s">
        <v>36</v>
      </c>
      <c r="G4331" s="6" t="s">
        <v>326</v>
      </c>
      <c r="H4331" s="4">
        <v>51.1</v>
      </c>
      <c r="I4331" s="7">
        <v>46.5</v>
      </c>
      <c r="J4331" s="3" t="s">
        <v>521</v>
      </c>
      <c r="K4331" s="9" t="s">
        <v>36</v>
      </c>
      <c r="L4331" s="6" t="s">
        <v>122</v>
      </c>
      <c r="M4331" s="3" t="s">
        <v>36</v>
      </c>
      <c r="N4331" s="3" t="s">
        <v>122</v>
      </c>
      <c r="O4331" s="8" t="s">
        <v>36</v>
      </c>
      <c r="P4331" s="3" t="s">
        <v>36</v>
      </c>
      <c r="Q4331" s="3" t="s">
        <v>36</v>
      </c>
      <c r="R4331" s="3" t="s">
        <v>36</v>
      </c>
      <c r="S4331" s="3" t="s">
        <v>36</v>
      </c>
      <c r="T4331" s="3" t="s">
        <v>1188</v>
      </c>
      <c r="U4331" s="3" t="s">
        <v>180</v>
      </c>
      <c r="V4331" s="3" t="s">
        <v>52</v>
      </c>
      <c r="W4331" s="3" t="s">
        <v>10876</v>
      </c>
      <c r="X4331" s="10" t="s">
        <v>21379</v>
      </c>
      <c r="Y4331" s="6" t="s">
        <v>42</v>
      </c>
      <c r="Z4331" s="4">
        <v>6.18</v>
      </c>
      <c r="AA4331" s="4">
        <v>13.29</v>
      </c>
      <c r="AB4331" s="3" t="s">
        <v>43</v>
      </c>
      <c r="AC4331" s="3" t="s">
        <v>10878</v>
      </c>
      <c r="AD4331" s="9">
        <v>43745</v>
      </c>
      <c r="AE4331" s="3" t="s">
        <v>1192</v>
      </c>
      <c r="AF4331" s="3" t="s">
        <v>756</v>
      </c>
      <c r="AG4331" s="3" t="s">
        <v>81</v>
      </c>
      <c r="AH4331" s="11">
        <f>HYPERLINK("https://my.pitchbook.com?c=125307-10T","View Company Online")</f>
      </c>
    </row>
    <row r="4332">
      <c r="A4332" s="12" t="s">
        <v>21380</v>
      </c>
      <c r="B4332" s="12" t="s">
        <v>3036</v>
      </c>
      <c r="C4332" s="19" t="s">
        <v>36</v>
      </c>
      <c r="D4332" s="19" t="s">
        <v>36</v>
      </c>
      <c r="E4332" s="19" t="s">
        <v>36</v>
      </c>
      <c r="F4332" s="19" t="s">
        <v>36</v>
      </c>
      <c r="G4332" s="15" t="s">
        <v>36</v>
      </c>
      <c r="H4332" s="14">
        <v>143.58</v>
      </c>
      <c r="I4332" s="18">
        <v>16.44</v>
      </c>
      <c r="J4332" s="12" t="s">
        <v>521</v>
      </c>
      <c r="K4332" s="13" t="s">
        <v>36</v>
      </c>
      <c r="L4332" s="15" t="s">
        <v>36</v>
      </c>
      <c r="M4332" s="12" t="s">
        <v>36</v>
      </c>
      <c r="N4332" s="12" t="s">
        <v>36</v>
      </c>
      <c r="O4332" s="17" t="s">
        <v>36</v>
      </c>
      <c r="P4332" s="12" t="s">
        <v>36</v>
      </c>
      <c r="Q4332" s="12" t="s">
        <v>36</v>
      </c>
      <c r="R4332" s="12" t="s">
        <v>36</v>
      </c>
      <c r="S4332" s="12" t="s">
        <v>36</v>
      </c>
      <c r="T4332" s="12" t="s">
        <v>105</v>
      </c>
      <c r="U4332" s="12" t="s">
        <v>38</v>
      </c>
      <c r="V4332" s="12" t="s">
        <v>39</v>
      </c>
      <c r="W4332" s="12" t="s">
        <v>3037</v>
      </c>
      <c r="X4332" s="16" t="s">
        <v>21381</v>
      </c>
      <c r="Y4332" s="15" t="s">
        <v>42</v>
      </c>
      <c r="Z4332" s="14">
        <v>0.68</v>
      </c>
      <c r="AA4332" s="14">
        <v>4.15</v>
      </c>
      <c r="AB4332" s="12" t="s">
        <v>43</v>
      </c>
      <c r="AC4332" s="12" t="s">
        <v>3039</v>
      </c>
      <c r="AD4332" s="13">
        <v>43745</v>
      </c>
      <c r="AE4332" s="12" t="s">
        <v>110</v>
      </c>
      <c r="AF4332" s="12" t="s">
        <v>3040</v>
      </c>
      <c r="AG4332" s="12" t="s">
        <v>81</v>
      </c>
      <c r="AH4332" s="1">
        <f>HYPERLINK("https://my.pitchbook.com?c=187322-68T","View Company Online")</f>
      </c>
    </row>
    <row r="4333">
      <c r="A4333" s="3" t="s">
        <v>21382</v>
      </c>
      <c r="B4333" s="3" t="s">
        <v>21383</v>
      </c>
      <c r="C4333" s="5" t="s">
        <v>36</v>
      </c>
      <c r="D4333" s="5" t="s">
        <v>36</v>
      </c>
      <c r="E4333" s="5" t="s">
        <v>36</v>
      </c>
      <c r="F4333" s="5" t="s">
        <v>36</v>
      </c>
      <c r="G4333" s="6" t="s">
        <v>326</v>
      </c>
      <c r="H4333" s="4">
        <v>612.86</v>
      </c>
      <c r="I4333" s="7">
        <v>32.51</v>
      </c>
      <c r="J4333" s="3" t="s">
        <v>521</v>
      </c>
      <c r="K4333" s="9" t="s">
        <v>36</v>
      </c>
      <c r="L4333" s="6" t="s">
        <v>36</v>
      </c>
      <c r="M4333" s="3" t="s">
        <v>36</v>
      </c>
      <c r="N4333" s="3" t="s">
        <v>36</v>
      </c>
      <c r="O4333" s="8" t="s">
        <v>36</v>
      </c>
      <c r="P4333" s="3" t="s">
        <v>36</v>
      </c>
      <c r="Q4333" s="3" t="s">
        <v>36</v>
      </c>
      <c r="R4333" s="3" t="s">
        <v>36</v>
      </c>
      <c r="S4333" s="3" t="s">
        <v>36</v>
      </c>
      <c r="T4333" s="3" t="s">
        <v>855</v>
      </c>
      <c r="U4333" s="3" t="s">
        <v>648</v>
      </c>
      <c r="V4333" s="3" t="s">
        <v>64</v>
      </c>
      <c r="W4333" s="3" t="s">
        <v>21384</v>
      </c>
      <c r="X4333" s="10" t="s">
        <v>21385</v>
      </c>
      <c r="Y4333" s="6" t="s">
        <v>55</v>
      </c>
      <c r="Z4333" s="4">
        <v>4.41</v>
      </c>
      <c r="AA4333" s="4">
        <v>7.2</v>
      </c>
      <c r="AB4333" s="3" t="s">
        <v>56</v>
      </c>
      <c r="AC4333" s="3" t="s">
        <v>21386</v>
      </c>
      <c r="AD4333" s="9">
        <v>43742</v>
      </c>
      <c r="AE4333" s="3" t="s">
        <v>651</v>
      </c>
      <c r="AF4333" s="3" t="s">
        <v>4552</v>
      </c>
      <c r="AG4333" s="3" t="s">
        <v>81</v>
      </c>
      <c r="AH4333" s="11">
        <f>HYPERLINK("https://my.pitchbook.com?c=124443-10T","View Company Online")</f>
      </c>
    </row>
    <row r="4334">
      <c r="A4334" s="12" t="s">
        <v>21387</v>
      </c>
      <c r="B4334" s="12" t="s">
        <v>21388</v>
      </c>
      <c r="C4334" s="19" t="s">
        <v>36</v>
      </c>
      <c r="D4334" s="19" t="s">
        <v>36</v>
      </c>
      <c r="E4334" s="19" t="s">
        <v>36</v>
      </c>
      <c r="F4334" s="19" t="s">
        <v>36</v>
      </c>
      <c r="G4334" s="15" t="s">
        <v>36</v>
      </c>
      <c r="H4334" s="14" t="s">
        <v>36</v>
      </c>
      <c r="I4334" s="18" t="s">
        <v>36</v>
      </c>
      <c r="J4334" s="12" t="s">
        <v>36</v>
      </c>
      <c r="K4334" s="13" t="s">
        <v>36</v>
      </c>
      <c r="L4334" s="15" t="s">
        <v>36</v>
      </c>
      <c r="M4334" s="12" t="s">
        <v>36</v>
      </c>
      <c r="N4334" s="12" t="s">
        <v>36</v>
      </c>
      <c r="O4334" s="17" t="s">
        <v>36</v>
      </c>
      <c r="P4334" s="12" t="s">
        <v>36</v>
      </c>
      <c r="Q4334" s="12" t="s">
        <v>36</v>
      </c>
      <c r="R4334" s="12" t="s">
        <v>36</v>
      </c>
      <c r="S4334" s="12" t="s">
        <v>36</v>
      </c>
      <c r="T4334" s="12" t="s">
        <v>105</v>
      </c>
      <c r="U4334" s="12" t="s">
        <v>38</v>
      </c>
      <c r="V4334" s="12" t="s">
        <v>39</v>
      </c>
      <c r="W4334" s="12" t="s">
        <v>21389</v>
      </c>
      <c r="X4334" s="16" t="s">
        <v>21390</v>
      </c>
      <c r="Y4334" s="15" t="s">
        <v>42</v>
      </c>
      <c r="Z4334" s="14">
        <v>4.52</v>
      </c>
      <c r="AA4334" s="14" t="s">
        <v>36</v>
      </c>
      <c r="AB4334" s="12" t="s">
        <v>43</v>
      </c>
      <c r="AC4334" s="12" t="s">
        <v>21391</v>
      </c>
      <c r="AD4334" s="13">
        <v>43742</v>
      </c>
      <c r="AE4334" s="12" t="s">
        <v>110</v>
      </c>
      <c r="AF4334" s="12" t="s">
        <v>6383</v>
      </c>
      <c r="AG4334" s="12" t="s">
        <v>10521</v>
      </c>
      <c r="AH4334" s="1">
        <f>HYPERLINK("https://my.pitchbook.com?c=131309-92T","View Company Online")</f>
      </c>
    </row>
    <row r="4335">
      <c r="A4335" s="3" t="s">
        <v>21392</v>
      </c>
      <c r="B4335" s="3" t="s">
        <v>5743</v>
      </c>
      <c r="C4335" s="5" t="s">
        <v>36</v>
      </c>
      <c r="D4335" s="5" t="s">
        <v>36</v>
      </c>
      <c r="E4335" s="5" t="s">
        <v>36</v>
      </c>
      <c r="F4335" s="5" t="s">
        <v>36</v>
      </c>
      <c r="G4335" s="6" t="s">
        <v>36</v>
      </c>
      <c r="H4335" s="4">
        <v>3383.81</v>
      </c>
      <c r="I4335" s="7">
        <v>27.79</v>
      </c>
      <c r="J4335" s="3" t="s">
        <v>521</v>
      </c>
      <c r="K4335" s="9">
        <v>43676</v>
      </c>
      <c r="L4335" s="6" t="s">
        <v>36</v>
      </c>
      <c r="M4335" s="3" t="s">
        <v>36</v>
      </c>
      <c r="N4335" s="3" t="s">
        <v>36</v>
      </c>
      <c r="O4335" s="8" t="s">
        <v>36</v>
      </c>
      <c r="P4335" s="3" t="s">
        <v>36</v>
      </c>
      <c r="Q4335" s="3" t="s">
        <v>36</v>
      </c>
      <c r="R4335" s="3" t="s">
        <v>36</v>
      </c>
      <c r="S4335" s="3" t="s">
        <v>36</v>
      </c>
      <c r="T4335" s="3" t="s">
        <v>5744</v>
      </c>
      <c r="U4335" s="3" t="s">
        <v>74</v>
      </c>
      <c r="V4335" s="3" t="s">
        <v>75</v>
      </c>
      <c r="W4335" s="3" t="s">
        <v>5745</v>
      </c>
      <c r="X4335" s="10" t="s">
        <v>5746</v>
      </c>
      <c r="Y4335" s="6" t="s">
        <v>42</v>
      </c>
      <c r="Z4335" s="4">
        <v>1.43</v>
      </c>
      <c r="AA4335" s="4">
        <v>5.15</v>
      </c>
      <c r="AB4335" s="3" t="s">
        <v>43</v>
      </c>
      <c r="AC4335" s="3" t="s">
        <v>5747</v>
      </c>
      <c r="AD4335" s="9">
        <v>43741</v>
      </c>
      <c r="AE4335" s="3" t="s">
        <v>975</v>
      </c>
      <c r="AF4335" s="3" t="s">
        <v>1115</v>
      </c>
      <c r="AG4335" s="3" t="s">
        <v>81</v>
      </c>
      <c r="AH4335" s="11">
        <f>HYPERLINK("https://my.pitchbook.com?c=124262-29T","View Company Online")</f>
      </c>
    </row>
    <row r="4336">
      <c r="A4336" s="12" t="s">
        <v>21393</v>
      </c>
      <c r="B4336" s="12" t="s">
        <v>21394</v>
      </c>
      <c r="C4336" s="19" t="s">
        <v>36</v>
      </c>
      <c r="D4336" s="19" t="s">
        <v>36</v>
      </c>
      <c r="E4336" s="19" t="s">
        <v>36</v>
      </c>
      <c r="F4336" s="19" t="s">
        <v>36</v>
      </c>
      <c r="G4336" s="15" t="s">
        <v>36</v>
      </c>
      <c r="H4336" s="14" t="s">
        <v>36</v>
      </c>
      <c r="I4336" s="18">
        <v>29.63</v>
      </c>
      <c r="J4336" s="12" t="s">
        <v>521</v>
      </c>
      <c r="K4336" s="13" t="s">
        <v>36</v>
      </c>
      <c r="L4336" s="15" t="s">
        <v>36</v>
      </c>
      <c r="M4336" s="12" t="s">
        <v>36</v>
      </c>
      <c r="N4336" s="12" t="s">
        <v>36</v>
      </c>
      <c r="O4336" s="17" t="s">
        <v>36</v>
      </c>
      <c r="P4336" s="12" t="s">
        <v>36</v>
      </c>
      <c r="Q4336" s="12" t="s">
        <v>36</v>
      </c>
      <c r="R4336" s="12" t="s">
        <v>36</v>
      </c>
      <c r="S4336" s="12" t="s">
        <v>36</v>
      </c>
      <c r="T4336" s="12" t="s">
        <v>1838</v>
      </c>
      <c r="U4336" s="12" t="s">
        <v>38</v>
      </c>
      <c r="V4336" s="12" t="s">
        <v>39</v>
      </c>
      <c r="W4336" s="12" t="s">
        <v>21395</v>
      </c>
      <c r="X4336" s="16" t="s">
        <v>21396</v>
      </c>
      <c r="Y4336" s="15" t="s">
        <v>42</v>
      </c>
      <c r="Z4336" s="14">
        <v>2.75</v>
      </c>
      <c r="AA4336" s="14">
        <v>9.29</v>
      </c>
      <c r="AB4336" s="12" t="s">
        <v>56</v>
      </c>
      <c r="AC4336" s="12" t="s">
        <v>21397</v>
      </c>
      <c r="AD4336" s="13">
        <v>43741</v>
      </c>
      <c r="AE4336" s="12" t="s">
        <v>110</v>
      </c>
      <c r="AF4336" s="12" t="s">
        <v>748</v>
      </c>
      <c r="AG4336" s="12" t="s">
        <v>81</v>
      </c>
      <c r="AH4336" s="1">
        <f>HYPERLINK("https://my.pitchbook.com?c=171487-72T","View Company Online")</f>
      </c>
    </row>
    <row r="4337">
      <c r="A4337" s="3" t="s">
        <v>21398</v>
      </c>
      <c r="B4337" s="3" t="s">
        <v>11625</v>
      </c>
      <c r="C4337" s="5" t="s">
        <v>36</v>
      </c>
      <c r="D4337" s="5" t="s">
        <v>36</v>
      </c>
      <c r="E4337" s="5" t="s">
        <v>36</v>
      </c>
      <c r="F4337" s="5" t="s">
        <v>36</v>
      </c>
      <c r="G4337" s="6" t="s">
        <v>36</v>
      </c>
      <c r="H4337" s="4">
        <v>346.19</v>
      </c>
      <c r="I4337" s="7">
        <v>18.7</v>
      </c>
      <c r="J4337" s="3" t="s">
        <v>521</v>
      </c>
      <c r="K4337" s="9" t="s">
        <v>36</v>
      </c>
      <c r="L4337" s="6" t="s">
        <v>36</v>
      </c>
      <c r="M4337" s="3" t="s">
        <v>36</v>
      </c>
      <c r="N4337" s="3" t="s">
        <v>36</v>
      </c>
      <c r="O4337" s="8" t="s">
        <v>36</v>
      </c>
      <c r="P4337" s="3" t="s">
        <v>36</v>
      </c>
      <c r="Q4337" s="3" t="s">
        <v>36</v>
      </c>
      <c r="R4337" s="3" t="s">
        <v>36</v>
      </c>
      <c r="S4337" s="3" t="s">
        <v>36</v>
      </c>
      <c r="T4337" s="3" t="s">
        <v>9390</v>
      </c>
      <c r="U4337" s="3" t="s">
        <v>63</v>
      </c>
      <c r="V4337" s="3" t="s">
        <v>64</v>
      </c>
      <c r="W4337" s="3" t="s">
        <v>11626</v>
      </c>
      <c r="X4337" s="10" t="s">
        <v>21399</v>
      </c>
      <c r="Y4337" s="6" t="s">
        <v>42</v>
      </c>
      <c r="Z4337" s="4">
        <v>0.63</v>
      </c>
      <c r="AA4337" s="4">
        <v>3.39</v>
      </c>
      <c r="AB4337" s="3" t="s">
        <v>43</v>
      </c>
      <c r="AC4337" s="3" t="s">
        <v>11628</v>
      </c>
      <c r="AD4337" s="9">
        <v>43740</v>
      </c>
      <c r="AE4337" s="3" t="s">
        <v>399</v>
      </c>
      <c r="AF4337" s="3" t="s">
        <v>938</v>
      </c>
      <c r="AG4337" s="3" t="s">
        <v>81</v>
      </c>
      <c r="AH4337" s="11">
        <f>HYPERLINK("https://my.pitchbook.com?c=199663-75T","View Company Online")</f>
      </c>
    </row>
    <row r="4338">
      <c r="A4338" s="12" t="s">
        <v>21400</v>
      </c>
      <c r="B4338" s="12" t="s">
        <v>21401</v>
      </c>
      <c r="C4338" s="19" t="s">
        <v>36</v>
      </c>
      <c r="D4338" s="19" t="s">
        <v>36</v>
      </c>
      <c r="E4338" s="19" t="s">
        <v>36</v>
      </c>
      <c r="F4338" s="19" t="s">
        <v>36</v>
      </c>
      <c r="G4338" s="15" t="s">
        <v>36</v>
      </c>
      <c r="H4338" s="14" t="s">
        <v>36</v>
      </c>
      <c r="I4338" s="18" t="s">
        <v>36</v>
      </c>
      <c r="J4338" s="12" t="s">
        <v>36</v>
      </c>
      <c r="K4338" s="13" t="s">
        <v>36</v>
      </c>
      <c r="L4338" s="15" t="s">
        <v>36</v>
      </c>
      <c r="M4338" s="12" t="s">
        <v>36</v>
      </c>
      <c r="N4338" s="12" t="s">
        <v>36</v>
      </c>
      <c r="O4338" s="17" t="s">
        <v>36</v>
      </c>
      <c r="P4338" s="12" t="s">
        <v>36</v>
      </c>
      <c r="Q4338" s="12" t="s">
        <v>36</v>
      </c>
      <c r="R4338" s="12" t="s">
        <v>36</v>
      </c>
      <c r="S4338" s="12" t="s">
        <v>36</v>
      </c>
      <c r="T4338" s="12" t="s">
        <v>6557</v>
      </c>
      <c r="U4338" s="12" t="s">
        <v>648</v>
      </c>
      <c r="V4338" s="12" t="s">
        <v>64</v>
      </c>
      <c r="W4338" s="12" t="s">
        <v>21402</v>
      </c>
      <c r="X4338" s="16" t="s">
        <v>21403</v>
      </c>
      <c r="Y4338" s="15" t="s">
        <v>42</v>
      </c>
      <c r="Z4338" s="14">
        <v>3.3</v>
      </c>
      <c r="AA4338" s="14" t="s">
        <v>36</v>
      </c>
      <c r="AB4338" s="12" t="s">
        <v>56</v>
      </c>
      <c r="AC4338" s="12" t="s">
        <v>21404</v>
      </c>
      <c r="AD4338" s="13">
        <v>43740</v>
      </c>
      <c r="AE4338" s="12" t="s">
        <v>1897</v>
      </c>
      <c r="AF4338" s="12" t="s">
        <v>1115</v>
      </c>
      <c r="AG4338" s="12" t="s">
        <v>81</v>
      </c>
      <c r="AH4338" s="1">
        <f>HYPERLINK("https://my.pitchbook.com?c=124553-80T","View Company Online")</f>
      </c>
    </row>
    <row r="4339">
      <c r="A4339" s="3" t="s">
        <v>21405</v>
      </c>
      <c r="B4339" s="3" t="s">
        <v>21406</v>
      </c>
      <c r="C4339" s="5" t="s">
        <v>36</v>
      </c>
      <c r="D4339" s="5" t="s">
        <v>36</v>
      </c>
      <c r="E4339" s="5" t="s">
        <v>36</v>
      </c>
      <c r="F4339" s="5" t="s">
        <v>36</v>
      </c>
      <c r="G4339" s="6" t="s">
        <v>326</v>
      </c>
      <c r="H4339" s="4">
        <v>64.08</v>
      </c>
      <c r="I4339" s="7">
        <v>36.84</v>
      </c>
      <c r="J4339" s="3" t="s">
        <v>521</v>
      </c>
      <c r="K4339" s="9" t="s">
        <v>36</v>
      </c>
      <c r="L4339" s="6" t="s">
        <v>36</v>
      </c>
      <c r="M4339" s="3" t="s">
        <v>36</v>
      </c>
      <c r="N4339" s="3" t="s">
        <v>36</v>
      </c>
      <c r="O4339" s="8" t="s">
        <v>36</v>
      </c>
      <c r="P4339" s="3" t="s">
        <v>36</v>
      </c>
      <c r="Q4339" s="3" t="s">
        <v>36</v>
      </c>
      <c r="R4339" s="3" t="s">
        <v>36</v>
      </c>
      <c r="S4339" s="3" t="s">
        <v>36</v>
      </c>
      <c r="T4339" s="3" t="s">
        <v>2490</v>
      </c>
      <c r="U4339" s="3" t="s">
        <v>318</v>
      </c>
      <c r="V4339" s="3" t="s">
        <v>39</v>
      </c>
      <c r="W4339" s="3" t="s">
        <v>21407</v>
      </c>
      <c r="X4339" s="10" t="s">
        <v>21408</v>
      </c>
      <c r="Y4339" s="6" t="s">
        <v>108</v>
      </c>
      <c r="Z4339" s="4">
        <v>3.19</v>
      </c>
      <c r="AA4339" s="4">
        <v>5.38</v>
      </c>
      <c r="AB4339" s="3" t="s">
        <v>43</v>
      </c>
      <c r="AC4339" s="3" t="s">
        <v>21409</v>
      </c>
      <c r="AD4339" s="9">
        <v>43740</v>
      </c>
      <c r="AE4339" s="3" t="s">
        <v>417</v>
      </c>
      <c r="AF4339" s="3" t="s">
        <v>5522</v>
      </c>
      <c r="AG4339" s="3" t="s">
        <v>21410</v>
      </c>
      <c r="AH4339" s="11">
        <f>HYPERLINK("https://my.pitchbook.com?c=124444-54T","View Company Online")</f>
      </c>
    </row>
    <row r="4340">
      <c r="A4340" s="12" t="s">
        <v>21411</v>
      </c>
      <c r="B4340" s="12" t="s">
        <v>21412</v>
      </c>
      <c r="C4340" s="19">
        <v>9</v>
      </c>
      <c r="D4340" s="19">
        <v>7</v>
      </c>
      <c r="E4340" s="19">
        <v>8</v>
      </c>
      <c r="F4340" s="19">
        <v>19</v>
      </c>
      <c r="G4340" s="15" t="s">
        <v>36</v>
      </c>
      <c r="H4340" s="14">
        <v>0.15</v>
      </c>
      <c r="I4340" s="18">
        <v>38.01</v>
      </c>
      <c r="J4340" s="12" t="s">
        <v>521</v>
      </c>
      <c r="K4340" s="13" t="s">
        <v>36</v>
      </c>
      <c r="L4340" s="15" t="s">
        <v>122</v>
      </c>
      <c r="M4340" s="12" t="s">
        <v>36</v>
      </c>
      <c r="N4340" s="12" t="s">
        <v>122</v>
      </c>
      <c r="O4340" s="17" t="s">
        <v>36</v>
      </c>
      <c r="P4340" s="12" t="s">
        <v>36</v>
      </c>
      <c r="Q4340" s="12" t="s">
        <v>36</v>
      </c>
      <c r="R4340" s="12" t="s">
        <v>36</v>
      </c>
      <c r="S4340" s="12" t="s">
        <v>36</v>
      </c>
      <c r="T4340" s="12" t="s">
        <v>21413</v>
      </c>
      <c r="U4340" s="12" t="s">
        <v>1798</v>
      </c>
      <c r="V4340" s="12" t="s">
        <v>39</v>
      </c>
      <c r="W4340" s="12" t="s">
        <v>21414</v>
      </c>
      <c r="X4340" s="16" t="s">
        <v>21415</v>
      </c>
      <c r="Y4340" s="15" t="s">
        <v>108</v>
      </c>
      <c r="Z4340" s="14">
        <v>24.37</v>
      </c>
      <c r="AA4340" s="14">
        <v>64.1</v>
      </c>
      <c r="AB4340" s="12" t="s">
        <v>43</v>
      </c>
      <c r="AC4340" s="12" t="s">
        <v>21416</v>
      </c>
      <c r="AD4340" s="13">
        <v>43739</v>
      </c>
      <c r="AE4340" s="12" t="s">
        <v>1802</v>
      </c>
      <c r="AF4340" s="12" t="s">
        <v>7680</v>
      </c>
      <c r="AG4340" s="12" t="s">
        <v>81</v>
      </c>
      <c r="AH4340" s="1">
        <f>HYPERLINK("https://my.pitchbook.com?c=124122-16T","View Company Online")</f>
      </c>
    </row>
    <row r="4341">
      <c r="A4341" s="3" t="s">
        <v>21417</v>
      </c>
      <c r="B4341" s="3" t="s">
        <v>21418</v>
      </c>
      <c r="C4341" s="5" t="s">
        <v>36</v>
      </c>
      <c r="D4341" s="5" t="s">
        <v>36</v>
      </c>
      <c r="E4341" s="5" t="s">
        <v>36</v>
      </c>
      <c r="F4341" s="5" t="s">
        <v>36</v>
      </c>
      <c r="G4341" s="6" t="s">
        <v>36</v>
      </c>
      <c r="H4341" s="4" t="s">
        <v>36</v>
      </c>
      <c r="I4341" s="7" t="s">
        <v>36</v>
      </c>
      <c r="J4341" s="3" t="s">
        <v>36</v>
      </c>
      <c r="K4341" s="9" t="s">
        <v>36</v>
      </c>
      <c r="L4341" s="6" t="s">
        <v>36</v>
      </c>
      <c r="M4341" s="3" t="s">
        <v>36</v>
      </c>
      <c r="N4341" s="3" t="s">
        <v>36</v>
      </c>
      <c r="O4341" s="8" t="s">
        <v>36</v>
      </c>
      <c r="P4341" s="3" t="s">
        <v>36</v>
      </c>
      <c r="Q4341" s="3" t="s">
        <v>36</v>
      </c>
      <c r="R4341" s="3" t="s">
        <v>36</v>
      </c>
      <c r="S4341" s="3" t="s">
        <v>36</v>
      </c>
      <c r="T4341" s="3" t="s">
        <v>21419</v>
      </c>
      <c r="U4341" s="3" t="s">
        <v>956</v>
      </c>
      <c r="V4341" s="3" t="s">
        <v>405</v>
      </c>
      <c r="W4341" s="3" t="s">
        <v>21420</v>
      </c>
      <c r="X4341" s="10" t="s">
        <v>3098</v>
      </c>
      <c r="Y4341" s="6" t="s">
        <v>42</v>
      </c>
      <c r="Z4341" s="4" t="s">
        <v>36</v>
      </c>
      <c r="AA4341" s="4" t="s">
        <v>36</v>
      </c>
      <c r="AB4341" s="3" t="s">
        <v>56</v>
      </c>
      <c r="AC4341" s="3" t="s">
        <v>21421</v>
      </c>
      <c r="AD4341" s="9">
        <v>43739</v>
      </c>
      <c r="AE4341" s="3" t="s">
        <v>14526</v>
      </c>
      <c r="AF4341" s="3" t="s">
        <v>2054</v>
      </c>
      <c r="AG4341" s="3" t="s">
        <v>47</v>
      </c>
      <c r="AH4341" s="11">
        <f>HYPERLINK("https://my.pitchbook.com?c=157905-01T","View Company Online")</f>
      </c>
    </row>
    <row r="4342">
      <c r="A4342" s="12" t="s">
        <v>21422</v>
      </c>
      <c r="B4342" s="12" t="s">
        <v>21423</v>
      </c>
      <c r="C4342" s="19" t="s">
        <v>36</v>
      </c>
      <c r="D4342" s="19" t="s">
        <v>36</v>
      </c>
      <c r="E4342" s="19" t="s">
        <v>36</v>
      </c>
      <c r="F4342" s="19" t="s">
        <v>36</v>
      </c>
      <c r="G4342" s="15" t="s">
        <v>36</v>
      </c>
      <c r="H4342" s="14">
        <v>5.19</v>
      </c>
      <c r="I4342" s="18">
        <v>68.28</v>
      </c>
      <c r="J4342" s="12" t="s">
        <v>521</v>
      </c>
      <c r="K4342" s="13" t="s">
        <v>36</v>
      </c>
      <c r="L4342" s="15" t="s">
        <v>36</v>
      </c>
      <c r="M4342" s="12" t="s">
        <v>36</v>
      </c>
      <c r="N4342" s="12" t="s">
        <v>36</v>
      </c>
      <c r="O4342" s="17" t="s">
        <v>36</v>
      </c>
      <c r="P4342" s="12" t="s">
        <v>36</v>
      </c>
      <c r="Q4342" s="12" t="s">
        <v>36</v>
      </c>
      <c r="R4342" s="12" t="s">
        <v>36</v>
      </c>
      <c r="S4342" s="12" t="s">
        <v>36</v>
      </c>
      <c r="T4342" s="12" t="s">
        <v>1628</v>
      </c>
      <c r="U4342" s="12" t="s">
        <v>96</v>
      </c>
      <c r="V4342" s="12" t="s">
        <v>52</v>
      </c>
      <c r="W4342" s="12" t="s">
        <v>21424</v>
      </c>
      <c r="X4342" s="16" t="s">
        <v>21425</v>
      </c>
      <c r="Y4342" s="15" t="s">
        <v>42</v>
      </c>
      <c r="Z4342" s="14">
        <v>0.53</v>
      </c>
      <c r="AA4342" s="14">
        <v>0.78</v>
      </c>
      <c r="AB4342" s="12" t="s">
        <v>43</v>
      </c>
      <c r="AC4342" s="12" t="s">
        <v>21426</v>
      </c>
      <c r="AD4342" s="13">
        <v>43739</v>
      </c>
      <c r="AE4342" s="12" t="s">
        <v>755</v>
      </c>
      <c r="AF4342" s="12" t="s">
        <v>36</v>
      </c>
      <c r="AG4342" s="12" t="s">
        <v>3733</v>
      </c>
      <c r="AH4342" s="1">
        <f>HYPERLINK("https://my.pitchbook.com?c=125920-27T","View Company Online")</f>
      </c>
    </row>
    <row r="4343">
      <c r="A4343" s="3" t="s">
        <v>21427</v>
      </c>
      <c r="B4343" s="3" t="s">
        <v>15200</v>
      </c>
      <c r="C4343" s="5" t="s">
        <v>36</v>
      </c>
      <c r="D4343" s="5" t="s">
        <v>36</v>
      </c>
      <c r="E4343" s="5" t="s">
        <v>36</v>
      </c>
      <c r="F4343" s="5" t="s">
        <v>36</v>
      </c>
      <c r="G4343" s="6" t="s">
        <v>36</v>
      </c>
      <c r="H4343" s="4" t="s">
        <v>36</v>
      </c>
      <c r="I4343" s="7">
        <v>22.61</v>
      </c>
      <c r="J4343" s="3" t="s">
        <v>327</v>
      </c>
      <c r="K4343" s="9" t="s">
        <v>36</v>
      </c>
      <c r="L4343" s="6" t="s">
        <v>36</v>
      </c>
      <c r="M4343" s="3" t="s">
        <v>36</v>
      </c>
      <c r="N4343" s="3" t="s">
        <v>36</v>
      </c>
      <c r="O4343" s="8" t="s">
        <v>36</v>
      </c>
      <c r="P4343" s="3" t="s">
        <v>36</v>
      </c>
      <c r="Q4343" s="3" t="s">
        <v>36</v>
      </c>
      <c r="R4343" s="3" t="s">
        <v>36</v>
      </c>
      <c r="S4343" s="3" t="s">
        <v>36</v>
      </c>
      <c r="T4343" s="3" t="s">
        <v>4529</v>
      </c>
      <c r="U4343" s="3" t="s">
        <v>38</v>
      </c>
      <c r="V4343" s="3" t="s">
        <v>39</v>
      </c>
      <c r="W4343" s="3" t="s">
        <v>15201</v>
      </c>
      <c r="X4343" s="10" t="s">
        <v>19985</v>
      </c>
      <c r="Y4343" s="6" t="s">
        <v>42</v>
      </c>
      <c r="Z4343" s="4">
        <v>0.17</v>
      </c>
      <c r="AA4343" s="4">
        <v>0.73</v>
      </c>
      <c r="AB4343" s="3" t="s">
        <v>43</v>
      </c>
      <c r="AC4343" s="3" t="s">
        <v>15203</v>
      </c>
      <c r="AD4343" s="9">
        <v>43739</v>
      </c>
      <c r="AE4343" s="3" t="s">
        <v>1422</v>
      </c>
      <c r="AF4343" s="3" t="s">
        <v>15204</v>
      </c>
      <c r="AG4343" s="3" t="s">
        <v>6628</v>
      </c>
      <c r="AH4343" s="11">
        <f>HYPERLINK("https://my.pitchbook.com?c=128484-55T","View Company Online")</f>
      </c>
    </row>
    <row r="4344">
      <c r="A4344" s="12" t="s">
        <v>21428</v>
      </c>
      <c r="B4344" s="12" t="s">
        <v>21429</v>
      </c>
      <c r="C4344" s="19" t="s">
        <v>36</v>
      </c>
      <c r="D4344" s="19" t="s">
        <v>36</v>
      </c>
      <c r="E4344" s="19" t="s">
        <v>36</v>
      </c>
      <c r="F4344" s="19" t="s">
        <v>36</v>
      </c>
      <c r="G4344" s="15" t="s">
        <v>36</v>
      </c>
      <c r="H4344" s="14" t="s">
        <v>36</v>
      </c>
      <c r="I4344" s="18" t="s">
        <v>36</v>
      </c>
      <c r="J4344" s="12" t="s">
        <v>36</v>
      </c>
      <c r="K4344" s="13" t="s">
        <v>36</v>
      </c>
      <c r="L4344" s="15" t="s">
        <v>36</v>
      </c>
      <c r="M4344" s="12" t="s">
        <v>36</v>
      </c>
      <c r="N4344" s="12" t="s">
        <v>36</v>
      </c>
      <c r="O4344" s="17" t="s">
        <v>36</v>
      </c>
      <c r="P4344" s="12" t="s">
        <v>36</v>
      </c>
      <c r="Q4344" s="12" t="s">
        <v>36</v>
      </c>
      <c r="R4344" s="12" t="s">
        <v>36</v>
      </c>
      <c r="S4344" s="12" t="s">
        <v>36</v>
      </c>
      <c r="T4344" s="12" t="s">
        <v>21430</v>
      </c>
      <c r="U4344" s="12" t="s">
        <v>1580</v>
      </c>
      <c r="V4344" s="12" t="s">
        <v>39</v>
      </c>
      <c r="W4344" s="12" t="s">
        <v>21431</v>
      </c>
      <c r="X4344" s="16" t="s">
        <v>2414</v>
      </c>
      <c r="Y4344" s="15" t="s">
        <v>42</v>
      </c>
      <c r="Z4344" s="14">
        <v>4.41</v>
      </c>
      <c r="AA4344" s="14" t="s">
        <v>36</v>
      </c>
      <c r="AB4344" s="12" t="s">
        <v>56</v>
      </c>
      <c r="AC4344" s="12" t="s">
        <v>21432</v>
      </c>
      <c r="AD4344" s="13">
        <v>43739</v>
      </c>
      <c r="AE4344" s="12" t="s">
        <v>3854</v>
      </c>
      <c r="AF4344" s="12" t="s">
        <v>4552</v>
      </c>
      <c r="AG4344" s="12" t="s">
        <v>539</v>
      </c>
      <c r="AH4344" s="1">
        <f>HYPERLINK("https://my.pitchbook.com?c=130412-08T","View Company Online")</f>
      </c>
    </row>
    <row r="4345">
      <c r="A4345" s="3" t="s">
        <v>21433</v>
      </c>
      <c r="B4345" s="3" t="s">
        <v>21434</v>
      </c>
      <c r="C4345" s="5">
        <v>1</v>
      </c>
      <c r="D4345" s="5" t="s">
        <v>36</v>
      </c>
      <c r="E4345" s="5">
        <v>1</v>
      </c>
      <c r="F4345" s="5">
        <v>1</v>
      </c>
      <c r="G4345" s="6" t="s">
        <v>36</v>
      </c>
      <c r="H4345" s="4" t="s">
        <v>36</v>
      </c>
      <c r="I4345" s="7">
        <v>37.12</v>
      </c>
      <c r="J4345" s="3" t="s">
        <v>521</v>
      </c>
      <c r="K4345" s="9" t="s">
        <v>36</v>
      </c>
      <c r="L4345" s="6" t="s">
        <v>36</v>
      </c>
      <c r="M4345" s="3" t="s">
        <v>36</v>
      </c>
      <c r="N4345" s="3" t="s">
        <v>36</v>
      </c>
      <c r="O4345" s="8" t="s">
        <v>36</v>
      </c>
      <c r="P4345" s="3" t="s">
        <v>36</v>
      </c>
      <c r="Q4345" s="3" t="s">
        <v>36</v>
      </c>
      <c r="R4345" s="3" t="s">
        <v>36</v>
      </c>
      <c r="S4345" s="3" t="s">
        <v>36</v>
      </c>
      <c r="T4345" s="3" t="s">
        <v>21435</v>
      </c>
      <c r="U4345" s="3" t="s">
        <v>74</v>
      </c>
      <c r="V4345" s="3" t="s">
        <v>75</v>
      </c>
      <c r="W4345" s="3" t="s">
        <v>21436</v>
      </c>
      <c r="X4345" s="10" t="s">
        <v>21437</v>
      </c>
      <c r="Y4345" s="6" t="s">
        <v>108</v>
      </c>
      <c r="Z4345" s="4">
        <v>1.43</v>
      </c>
      <c r="AA4345" s="4">
        <v>3.86</v>
      </c>
      <c r="AB4345" s="3" t="s">
        <v>56</v>
      </c>
      <c r="AC4345" s="3" t="s">
        <v>21438</v>
      </c>
      <c r="AD4345" s="9">
        <v>43739</v>
      </c>
      <c r="AE4345" s="3" t="s">
        <v>570</v>
      </c>
      <c r="AF4345" s="3" t="s">
        <v>12003</v>
      </c>
      <c r="AG4345" s="3" t="s">
        <v>21439</v>
      </c>
      <c r="AH4345" s="11">
        <f>HYPERLINK("https://my.pitchbook.com?c=101003-23T","View Company Online")</f>
      </c>
    </row>
    <row r="4346">
      <c r="A4346" s="12" t="s">
        <v>21440</v>
      </c>
      <c r="B4346" s="12" t="s">
        <v>9064</v>
      </c>
      <c r="C4346" s="19" t="s">
        <v>36</v>
      </c>
      <c r="D4346" s="19" t="s">
        <v>36</v>
      </c>
      <c r="E4346" s="19" t="s">
        <v>36</v>
      </c>
      <c r="F4346" s="19" t="s">
        <v>36</v>
      </c>
      <c r="G4346" s="15" t="s">
        <v>36</v>
      </c>
      <c r="H4346" s="14" t="s">
        <v>36</v>
      </c>
      <c r="I4346" s="18" t="s">
        <v>36</v>
      </c>
      <c r="J4346" s="12" t="s">
        <v>36</v>
      </c>
      <c r="K4346" s="13" t="s">
        <v>36</v>
      </c>
      <c r="L4346" s="15" t="s">
        <v>122</v>
      </c>
      <c r="M4346" s="12" t="s">
        <v>36</v>
      </c>
      <c r="N4346" s="12" t="s">
        <v>122</v>
      </c>
      <c r="O4346" s="17" t="s">
        <v>36</v>
      </c>
      <c r="P4346" s="12" t="s">
        <v>36</v>
      </c>
      <c r="Q4346" s="12" t="s">
        <v>36</v>
      </c>
      <c r="R4346" s="12" t="s">
        <v>36</v>
      </c>
      <c r="S4346" s="12" t="s">
        <v>36</v>
      </c>
      <c r="T4346" s="12" t="s">
        <v>9065</v>
      </c>
      <c r="U4346" s="12" t="s">
        <v>648</v>
      </c>
      <c r="V4346" s="12" t="s">
        <v>64</v>
      </c>
      <c r="W4346" s="12" t="s">
        <v>9066</v>
      </c>
      <c r="X4346" s="16" t="s">
        <v>21441</v>
      </c>
      <c r="Y4346" s="15" t="s">
        <v>192</v>
      </c>
      <c r="Z4346" s="14">
        <v>5.51</v>
      </c>
      <c r="AA4346" s="14" t="s">
        <v>36</v>
      </c>
      <c r="AB4346" s="12" t="s">
        <v>43</v>
      </c>
      <c r="AC4346" s="12" t="s">
        <v>9068</v>
      </c>
      <c r="AD4346" s="13">
        <v>43739</v>
      </c>
      <c r="AE4346" s="12" t="s">
        <v>1897</v>
      </c>
      <c r="AF4346" s="12" t="s">
        <v>2409</v>
      </c>
      <c r="AG4346" s="12" t="s">
        <v>2618</v>
      </c>
      <c r="AH4346" s="1">
        <f>HYPERLINK("https://my.pitchbook.com?c=125340-13T","View Company Online")</f>
      </c>
    </row>
    <row r="4347">
      <c r="A4347" s="3" t="s">
        <v>21442</v>
      </c>
      <c r="B4347" s="3" t="s">
        <v>21443</v>
      </c>
      <c r="C4347" s="5" t="s">
        <v>36</v>
      </c>
      <c r="D4347" s="5" t="s">
        <v>36</v>
      </c>
      <c r="E4347" s="5" t="s">
        <v>36</v>
      </c>
      <c r="F4347" s="5" t="s">
        <v>36</v>
      </c>
      <c r="G4347" s="6" t="s">
        <v>36</v>
      </c>
      <c r="H4347" s="4" t="s">
        <v>36</v>
      </c>
      <c r="I4347" s="7" t="s">
        <v>36</v>
      </c>
      <c r="J4347" s="3" t="s">
        <v>36</v>
      </c>
      <c r="K4347" s="9" t="s">
        <v>36</v>
      </c>
      <c r="L4347" s="6" t="s">
        <v>36</v>
      </c>
      <c r="M4347" s="3" t="s">
        <v>36</v>
      </c>
      <c r="N4347" s="3" t="s">
        <v>36</v>
      </c>
      <c r="O4347" s="8" t="s">
        <v>36</v>
      </c>
      <c r="P4347" s="3" t="s">
        <v>36</v>
      </c>
      <c r="Q4347" s="3" t="s">
        <v>36</v>
      </c>
      <c r="R4347" s="3" t="s">
        <v>36</v>
      </c>
      <c r="S4347" s="3" t="s">
        <v>36</v>
      </c>
      <c r="T4347" s="3" t="s">
        <v>21444</v>
      </c>
      <c r="U4347" s="3" t="s">
        <v>38</v>
      </c>
      <c r="V4347" s="3" t="s">
        <v>39</v>
      </c>
      <c r="W4347" s="3" t="s">
        <v>21445</v>
      </c>
      <c r="X4347" s="10" t="s">
        <v>21446</v>
      </c>
      <c r="Y4347" s="6" t="s">
        <v>42</v>
      </c>
      <c r="Z4347" s="4" t="s">
        <v>36</v>
      </c>
      <c r="AA4347" s="4" t="s">
        <v>36</v>
      </c>
      <c r="AB4347" s="3" t="s">
        <v>56</v>
      </c>
      <c r="AC4347" s="3" t="s">
        <v>21447</v>
      </c>
      <c r="AD4347" s="9">
        <v>43739</v>
      </c>
      <c r="AE4347" s="3" t="s">
        <v>1945</v>
      </c>
      <c r="AF4347" s="3" t="s">
        <v>21448</v>
      </c>
      <c r="AG4347" s="3" t="s">
        <v>2299</v>
      </c>
      <c r="AH4347" s="11">
        <f>HYPERLINK("https://my.pitchbook.com?c=160906-60T","View Company Online")</f>
      </c>
    </row>
    <row r="4348">
      <c r="A4348" s="12" t="s">
        <v>21449</v>
      </c>
      <c r="B4348" s="12" t="s">
        <v>10710</v>
      </c>
      <c r="C4348" s="19">
        <v>3</v>
      </c>
      <c r="D4348" s="19">
        <v>12</v>
      </c>
      <c r="E4348" s="19">
        <v>4</v>
      </c>
      <c r="F4348" s="19">
        <v>15</v>
      </c>
      <c r="G4348" s="15" t="s">
        <v>326</v>
      </c>
      <c r="H4348" s="14">
        <v>283.53</v>
      </c>
      <c r="I4348" s="18">
        <v>30.13</v>
      </c>
      <c r="J4348" s="12" t="s">
        <v>521</v>
      </c>
      <c r="K4348" s="13">
        <v>43647</v>
      </c>
      <c r="L4348" s="15" t="s">
        <v>36</v>
      </c>
      <c r="M4348" s="12" t="s">
        <v>36</v>
      </c>
      <c r="N4348" s="12" t="s">
        <v>36</v>
      </c>
      <c r="O4348" s="17" t="s">
        <v>36</v>
      </c>
      <c r="P4348" s="12" t="s">
        <v>36</v>
      </c>
      <c r="Q4348" s="12" t="s">
        <v>36</v>
      </c>
      <c r="R4348" s="12" t="s">
        <v>36</v>
      </c>
      <c r="S4348" s="12" t="s">
        <v>36</v>
      </c>
      <c r="T4348" s="12" t="s">
        <v>10711</v>
      </c>
      <c r="U4348" s="12" t="s">
        <v>423</v>
      </c>
      <c r="V4348" s="12" t="s">
        <v>64</v>
      </c>
      <c r="W4348" s="12" t="s">
        <v>10712</v>
      </c>
      <c r="X4348" s="16" t="s">
        <v>21450</v>
      </c>
      <c r="Y4348" s="15" t="s">
        <v>108</v>
      </c>
      <c r="Z4348" s="14">
        <v>1.98</v>
      </c>
      <c r="AA4348" s="14">
        <v>4.61</v>
      </c>
      <c r="AB4348" s="12" t="s">
        <v>43</v>
      </c>
      <c r="AC4348" s="12" t="s">
        <v>10714</v>
      </c>
      <c r="AD4348" s="13">
        <v>43739</v>
      </c>
      <c r="AE4348" s="12" t="s">
        <v>2871</v>
      </c>
      <c r="AF4348" s="12" t="s">
        <v>10715</v>
      </c>
      <c r="AG4348" s="12" t="s">
        <v>10716</v>
      </c>
      <c r="AH4348" s="1">
        <f>HYPERLINK("https://my.pitchbook.com?c=165168-28T","View Company Online")</f>
      </c>
    </row>
    <row r="4349">
      <c r="A4349" s="3" t="s">
        <v>21451</v>
      </c>
      <c r="B4349" s="3" t="s">
        <v>21452</v>
      </c>
      <c r="C4349" s="5" t="s">
        <v>36</v>
      </c>
      <c r="D4349" s="5" t="s">
        <v>36</v>
      </c>
      <c r="E4349" s="5" t="s">
        <v>36</v>
      </c>
      <c r="F4349" s="5" t="s">
        <v>36</v>
      </c>
      <c r="G4349" s="6" t="s">
        <v>36</v>
      </c>
      <c r="H4349" s="4" t="s">
        <v>36</v>
      </c>
      <c r="I4349" s="7" t="s">
        <v>36</v>
      </c>
      <c r="J4349" s="3" t="s">
        <v>36</v>
      </c>
      <c r="K4349" s="9" t="s">
        <v>36</v>
      </c>
      <c r="L4349" s="6" t="s">
        <v>36</v>
      </c>
      <c r="M4349" s="3" t="s">
        <v>36</v>
      </c>
      <c r="N4349" s="3" t="s">
        <v>36</v>
      </c>
      <c r="O4349" s="8" t="s">
        <v>36</v>
      </c>
      <c r="P4349" s="3" t="s">
        <v>36</v>
      </c>
      <c r="Q4349" s="3" t="s">
        <v>36</v>
      </c>
      <c r="R4349" s="3" t="s">
        <v>36</v>
      </c>
      <c r="S4349" s="3" t="s">
        <v>36</v>
      </c>
      <c r="T4349" s="3" t="s">
        <v>2925</v>
      </c>
      <c r="U4349" s="3" t="s">
        <v>38</v>
      </c>
      <c r="V4349" s="3" t="s">
        <v>39</v>
      </c>
      <c r="W4349" s="3" t="s">
        <v>21453</v>
      </c>
      <c r="X4349" s="10" t="s">
        <v>21454</v>
      </c>
      <c r="Y4349" s="6" t="s">
        <v>42</v>
      </c>
      <c r="Z4349" s="4" t="s">
        <v>36</v>
      </c>
      <c r="AA4349" s="4" t="s">
        <v>36</v>
      </c>
      <c r="AB4349" s="3" t="s">
        <v>43</v>
      </c>
      <c r="AC4349" s="3" t="s">
        <v>21455</v>
      </c>
      <c r="AD4349" s="9">
        <v>43739</v>
      </c>
      <c r="AE4349" s="3" t="s">
        <v>110</v>
      </c>
      <c r="AF4349" s="3" t="s">
        <v>118</v>
      </c>
      <c r="AG4349" s="3" t="s">
        <v>392</v>
      </c>
      <c r="AH4349" s="11">
        <f>HYPERLINK("https://my.pitchbook.com?c=122272-21T","View Company Online")</f>
      </c>
    </row>
    <row r="4350">
      <c r="A4350" s="12" t="s">
        <v>21456</v>
      </c>
      <c r="B4350" s="12" t="s">
        <v>21457</v>
      </c>
      <c r="C4350" s="19" t="s">
        <v>36</v>
      </c>
      <c r="D4350" s="19" t="s">
        <v>36</v>
      </c>
      <c r="E4350" s="19" t="s">
        <v>36</v>
      </c>
      <c r="F4350" s="19" t="s">
        <v>36</v>
      </c>
      <c r="G4350" s="15" t="s">
        <v>36</v>
      </c>
      <c r="H4350" s="14" t="s">
        <v>36</v>
      </c>
      <c r="I4350" s="18" t="s">
        <v>36</v>
      </c>
      <c r="J4350" s="12" t="s">
        <v>36</v>
      </c>
      <c r="K4350" s="13" t="s">
        <v>36</v>
      </c>
      <c r="L4350" s="15" t="s">
        <v>36</v>
      </c>
      <c r="M4350" s="12" t="s">
        <v>36</v>
      </c>
      <c r="N4350" s="12" t="s">
        <v>36</v>
      </c>
      <c r="O4350" s="17" t="s">
        <v>36</v>
      </c>
      <c r="P4350" s="12" t="s">
        <v>36</v>
      </c>
      <c r="Q4350" s="12" t="s">
        <v>36</v>
      </c>
      <c r="R4350" s="12" t="s">
        <v>36</v>
      </c>
      <c r="S4350" s="12" t="s">
        <v>36</v>
      </c>
      <c r="T4350" s="12" t="s">
        <v>21458</v>
      </c>
      <c r="U4350" s="12" t="s">
        <v>833</v>
      </c>
      <c r="V4350" s="12" t="s">
        <v>64</v>
      </c>
      <c r="W4350" s="12" t="s">
        <v>21459</v>
      </c>
      <c r="X4350" s="16" t="s">
        <v>20713</v>
      </c>
      <c r="Y4350" s="15" t="s">
        <v>42</v>
      </c>
      <c r="Z4350" s="14" t="s">
        <v>36</v>
      </c>
      <c r="AA4350" s="14" t="s">
        <v>36</v>
      </c>
      <c r="AB4350" s="12" t="s">
        <v>43</v>
      </c>
      <c r="AC4350" s="12" t="s">
        <v>21460</v>
      </c>
      <c r="AD4350" s="13">
        <v>43739</v>
      </c>
      <c r="AE4350" s="12" t="s">
        <v>1069</v>
      </c>
      <c r="AF4350" s="12" t="s">
        <v>36</v>
      </c>
      <c r="AG4350" s="12" t="s">
        <v>21461</v>
      </c>
      <c r="AH4350" s="1">
        <f>HYPERLINK("https://my.pitchbook.com?c=165406-87T","View Company Online")</f>
      </c>
    </row>
    <row r="4351">
      <c r="A4351" s="3" t="s">
        <v>21462</v>
      </c>
      <c r="B4351" s="3" t="s">
        <v>21463</v>
      </c>
      <c r="C4351" s="5" t="s">
        <v>36</v>
      </c>
      <c r="D4351" s="5">
        <v>1</v>
      </c>
      <c r="E4351" s="5">
        <v>1</v>
      </c>
      <c r="F4351" s="5">
        <v>3</v>
      </c>
      <c r="G4351" s="6" t="s">
        <v>36</v>
      </c>
      <c r="H4351" s="4" t="s">
        <v>36</v>
      </c>
      <c r="I4351" s="7" t="s">
        <v>36</v>
      </c>
      <c r="J4351" s="3" t="s">
        <v>36</v>
      </c>
      <c r="K4351" s="9" t="s">
        <v>36</v>
      </c>
      <c r="L4351" s="6" t="s">
        <v>36</v>
      </c>
      <c r="M4351" s="3" t="s">
        <v>36</v>
      </c>
      <c r="N4351" s="3" t="s">
        <v>36</v>
      </c>
      <c r="O4351" s="8" t="s">
        <v>36</v>
      </c>
      <c r="P4351" s="3" t="s">
        <v>36</v>
      </c>
      <c r="Q4351" s="3" t="s">
        <v>36</v>
      </c>
      <c r="R4351" s="3" t="s">
        <v>36</v>
      </c>
      <c r="S4351" s="3" t="s">
        <v>36</v>
      </c>
      <c r="T4351" s="3" t="s">
        <v>21464</v>
      </c>
      <c r="U4351" s="3" t="s">
        <v>289</v>
      </c>
      <c r="V4351" s="3" t="s">
        <v>64</v>
      </c>
      <c r="W4351" s="3" t="s">
        <v>21465</v>
      </c>
      <c r="X4351" s="10" t="s">
        <v>1399</v>
      </c>
      <c r="Y4351" s="6" t="s">
        <v>42</v>
      </c>
      <c r="Z4351" s="4" t="s">
        <v>36</v>
      </c>
      <c r="AA4351" s="4" t="s">
        <v>36</v>
      </c>
      <c r="AB4351" s="3" t="s">
        <v>56</v>
      </c>
      <c r="AC4351" s="3" t="s">
        <v>21466</v>
      </c>
      <c r="AD4351" s="9">
        <v>43739</v>
      </c>
      <c r="AE4351" s="3" t="s">
        <v>292</v>
      </c>
      <c r="AF4351" s="3" t="s">
        <v>90</v>
      </c>
      <c r="AG4351" s="3" t="s">
        <v>382</v>
      </c>
      <c r="AH4351" s="11">
        <f>HYPERLINK("https://my.pitchbook.com?c=218412-82T","View Company Online")</f>
      </c>
    </row>
    <row r="4352">
      <c r="A4352" s="12" t="s">
        <v>21467</v>
      </c>
      <c r="B4352" s="12" t="s">
        <v>4258</v>
      </c>
      <c r="C4352" s="19">
        <v>7</v>
      </c>
      <c r="D4352" s="19">
        <v>4</v>
      </c>
      <c r="E4352" s="19">
        <v>5</v>
      </c>
      <c r="F4352" s="19">
        <v>11</v>
      </c>
      <c r="G4352" s="15" t="s">
        <v>36</v>
      </c>
      <c r="H4352" s="14">
        <v>208.21</v>
      </c>
      <c r="I4352" s="18">
        <v>55.49</v>
      </c>
      <c r="J4352" s="12" t="s">
        <v>521</v>
      </c>
      <c r="K4352" s="13" t="s">
        <v>36</v>
      </c>
      <c r="L4352" s="15" t="s">
        <v>36</v>
      </c>
      <c r="M4352" s="12" t="s">
        <v>36</v>
      </c>
      <c r="N4352" s="12" t="s">
        <v>36</v>
      </c>
      <c r="O4352" s="17" t="s">
        <v>36</v>
      </c>
      <c r="P4352" s="12" t="s">
        <v>36</v>
      </c>
      <c r="Q4352" s="12" t="s">
        <v>36</v>
      </c>
      <c r="R4352" s="12" t="s">
        <v>36</v>
      </c>
      <c r="S4352" s="12" t="s">
        <v>36</v>
      </c>
      <c r="T4352" s="12" t="s">
        <v>4259</v>
      </c>
      <c r="U4352" s="12" t="s">
        <v>96</v>
      </c>
      <c r="V4352" s="12" t="s">
        <v>52</v>
      </c>
      <c r="W4352" s="12" t="s">
        <v>4260</v>
      </c>
      <c r="X4352" s="16" t="s">
        <v>21468</v>
      </c>
      <c r="Y4352" s="15" t="s">
        <v>42</v>
      </c>
      <c r="Z4352" s="14">
        <v>2.75</v>
      </c>
      <c r="AA4352" s="14">
        <v>4.96</v>
      </c>
      <c r="AB4352" s="12" t="s">
        <v>43</v>
      </c>
      <c r="AC4352" s="12" t="s">
        <v>4262</v>
      </c>
      <c r="AD4352" s="13">
        <v>43739</v>
      </c>
      <c r="AE4352" s="12" t="s">
        <v>496</v>
      </c>
      <c r="AF4352" s="12" t="s">
        <v>4263</v>
      </c>
      <c r="AG4352" s="12" t="s">
        <v>2636</v>
      </c>
      <c r="AH4352" s="1">
        <f>HYPERLINK("https://my.pitchbook.com?c=138186-91T","View Company Online")</f>
      </c>
    </row>
    <row r="4353">
      <c r="A4353" s="3" t="s">
        <v>21469</v>
      </c>
      <c r="B4353" s="3" t="s">
        <v>21470</v>
      </c>
      <c r="C4353" s="5" t="s">
        <v>36</v>
      </c>
      <c r="D4353" s="5">
        <v>4</v>
      </c>
      <c r="E4353" s="5">
        <v>2</v>
      </c>
      <c r="F4353" s="5">
        <v>6</v>
      </c>
      <c r="G4353" s="6" t="s">
        <v>36</v>
      </c>
      <c r="H4353" s="4">
        <v>4343.8</v>
      </c>
      <c r="I4353" s="7">
        <v>37.36</v>
      </c>
      <c r="J4353" s="3" t="s">
        <v>521</v>
      </c>
      <c r="K4353" s="9" t="s">
        <v>36</v>
      </c>
      <c r="L4353" s="6" t="s">
        <v>36</v>
      </c>
      <c r="M4353" s="3" t="s">
        <v>36</v>
      </c>
      <c r="N4353" s="3" t="s">
        <v>36</v>
      </c>
      <c r="O4353" s="8" t="s">
        <v>36</v>
      </c>
      <c r="P4353" s="3" t="s">
        <v>36</v>
      </c>
      <c r="Q4353" s="3" t="s">
        <v>36</v>
      </c>
      <c r="R4353" s="3" t="s">
        <v>36</v>
      </c>
      <c r="S4353" s="3" t="s">
        <v>36</v>
      </c>
      <c r="T4353" s="3" t="s">
        <v>21471</v>
      </c>
      <c r="U4353" s="3" t="s">
        <v>96</v>
      </c>
      <c r="V4353" s="3" t="s">
        <v>52</v>
      </c>
      <c r="W4353" s="3" t="s">
        <v>21472</v>
      </c>
      <c r="X4353" s="10" t="s">
        <v>10637</v>
      </c>
      <c r="Y4353" s="6" t="s">
        <v>42</v>
      </c>
      <c r="Z4353" s="4">
        <v>0.78</v>
      </c>
      <c r="AA4353" s="4">
        <v>2.1</v>
      </c>
      <c r="AB4353" s="3" t="s">
        <v>56</v>
      </c>
      <c r="AC4353" s="3" t="s">
        <v>21473</v>
      </c>
      <c r="AD4353" s="9">
        <v>43739</v>
      </c>
      <c r="AE4353" s="3" t="s">
        <v>755</v>
      </c>
      <c r="AF4353" s="3" t="s">
        <v>17897</v>
      </c>
      <c r="AG4353" s="3" t="s">
        <v>899</v>
      </c>
      <c r="AH4353" s="11">
        <f>HYPERLINK("https://my.pitchbook.com?c=179614-18T","View Company Online")</f>
      </c>
    </row>
    <row r="4354">
      <c r="A4354" s="12" t="s">
        <v>21474</v>
      </c>
      <c r="B4354" s="12" t="s">
        <v>21475</v>
      </c>
      <c r="C4354" s="19" t="s">
        <v>36</v>
      </c>
      <c r="D4354" s="19" t="s">
        <v>36</v>
      </c>
      <c r="E4354" s="19" t="s">
        <v>36</v>
      </c>
      <c r="F4354" s="19" t="s">
        <v>36</v>
      </c>
      <c r="G4354" s="15" t="s">
        <v>326</v>
      </c>
      <c r="H4354" s="14">
        <v>21.19</v>
      </c>
      <c r="I4354" s="18">
        <v>37.04</v>
      </c>
      <c r="J4354" s="12" t="s">
        <v>521</v>
      </c>
      <c r="K4354" s="13" t="s">
        <v>36</v>
      </c>
      <c r="L4354" s="15" t="s">
        <v>36</v>
      </c>
      <c r="M4354" s="12" t="s">
        <v>36</v>
      </c>
      <c r="N4354" s="12" t="s">
        <v>36</v>
      </c>
      <c r="O4354" s="17" t="s">
        <v>36</v>
      </c>
      <c r="P4354" s="12" t="s">
        <v>36</v>
      </c>
      <c r="Q4354" s="12" t="s">
        <v>36</v>
      </c>
      <c r="R4354" s="12" t="s">
        <v>36</v>
      </c>
      <c r="S4354" s="12" t="s">
        <v>36</v>
      </c>
      <c r="T4354" s="12" t="s">
        <v>5589</v>
      </c>
      <c r="U4354" s="12" t="s">
        <v>38</v>
      </c>
      <c r="V4354" s="12" t="s">
        <v>39</v>
      </c>
      <c r="W4354" s="12" t="s">
        <v>21476</v>
      </c>
      <c r="X4354" s="16" t="s">
        <v>21477</v>
      </c>
      <c r="Y4354" s="15" t="s">
        <v>42</v>
      </c>
      <c r="Z4354" s="14">
        <v>1.32</v>
      </c>
      <c r="AA4354" s="14">
        <v>2.97</v>
      </c>
      <c r="AB4354" s="12" t="s">
        <v>43</v>
      </c>
      <c r="AC4354" s="12" t="s">
        <v>21478</v>
      </c>
      <c r="AD4354" s="13">
        <v>43739</v>
      </c>
      <c r="AE4354" s="12" t="s">
        <v>110</v>
      </c>
      <c r="AF4354" s="12" t="s">
        <v>1115</v>
      </c>
      <c r="AG4354" s="12" t="s">
        <v>47</v>
      </c>
      <c r="AH4354" s="1">
        <f>HYPERLINK("https://my.pitchbook.com?c=133561-27T","View Company Online")</f>
      </c>
    </row>
    <row r="4355">
      <c r="A4355" s="3" t="s">
        <v>21479</v>
      </c>
      <c r="B4355" s="3" t="s">
        <v>21480</v>
      </c>
      <c r="C4355" s="5">
        <v>6</v>
      </c>
      <c r="D4355" s="5">
        <v>10</v>
      </c>
      <c r="E4355" s="5">
        <v>4</v>
      </c>
      <c r="F4355" s="5">
        <v>16</v>
      </c>
      <c r="G4355" s="6" t="s">
        <v>36</v>
      </c>
      <c r="H4355" s="4" t="s">
        <v>36</v>
      </c>
      <c r="I4355" s="7" t="s">
        <v>36</v>
      </c>
      <c r="J4355" s="3" t="s">
        <v>36</v>
      </c>
      <c r="K4355" s="9" t="s">
        <v>36</v>
      </c>
      <c r="L4355" s="6" t="s">
        <v>36</v>
      </c>
      <c r="M4355" s="3" t="s">
        <v>36</v>
      </c>
      <c r="N4355" s="3" t="s">
        <v>36</v>
      </c>
      <c r="O4355" s="8" t="s">
        <v>36</v>
      </c>
      <c r="P4355" s="3" t="s">
        <v>36</v>
      </c>
      <c r="Q4355" s="3" t="s">
        <v>36</v>
      </c>
      <c r="R4355" s="3" t="s">
        <v>36</v>
      </c>
      <c r="S4355" s="3" t="s">
        <v>36</v>
      </c>
      <c r="T4355" s="3" t="s">
        <v>21481</v>
      </c>
      <c r="U4355" s="3" t="s">
        <v>74</v>
      </c>
      <c r="V4355" s="3" t="s">
        <v>75</v>
      </c>
      <c r="W4355" s="3" t="s">
        <v>21482</v>
      </c>
      <c r="X4355" s="10" t="s">
        <v>2442</v>
      </c>
      <c r="Y4355" s="6" t="s">
        <v>42</v>
      </c>
      <c r="Z4355" s="4" t="s">
        <v>36</v>
      </c>
      <c r="AA4355" s="4" t="s">
        <v>36</v>
      </c>
      <c r="AB4355" s="3" t="s">
        <v>43</v>
      </c>
      <c r="AC4355" s="3" t="s">
        <v>21483</v>
      </c>
      <c r="AD4355" s="9">
        <v>43739</v>
      </c>
      <c r="AE4355" s="3" t="s">
        <v>79</v>
      </c>
      <c r="AF4355" s="3" t="s">
        <v>275</v>
      </c>
      <c r="AG4355" s="3" t="s">
        <v>969</v>
      </c>
      <c r="AH4355" s="11">
        <f>HYPERLINK("https://my.pitchbook.com?c=245298-43T","View Company Online")</f>
      </c>
    </row>
    <row r="4356">
      <c r="A4356" s="12" t="s">
        <v>21484</v>
      </c>
      <c r="B4356" s="12" t="s">
        <v>15939</v>
      </c>
      <c r="C4356" s="19" t="s">
        <v>36</v>
      </c>
      <c r="D4356" s="19" t="s">
        <v>36</v>
      </c>
      <c r="E4356" s="19" t="s">
        <v>36</v>
      </c>
      <c r="F4356" s="19" t="s">
        <v>36</v>
      </c>
      <c r="G4356" s="15" t="s">
        <v>683</v>
      </c>
      <c r="H4356" s="14">
        <v>123.59</v>
      </c>
      <c r="I4356" s="18">
        <v>8.46</v>
      </c>
      <c r="J4356" s="12" t="s">
        <v>521</v>
      </c>
      <c r="K4356" s="13" t="s">
        <v>36</v>
      </c>
      <c r="L4356" s="15" t="s">
        <v>36</v>
      </c>
      <c r="M4356" s="12" t="s">
        <v>36</v>
      </c>
      <c r="N4356" s="12" t="s">
        <v>21485</v>
      </c>
      <c r="O4356" s="17" t="s">
        <v>36</v>
      </c>
      <c r="P4356" s="12" t="s">
        <v>36</v>
      </c>
      <c r="Q4356" s="12" t="s">
        <v>36</v>
      </c>
      <c r="R4356" s="12" t="s">
        <v>36</v>
      </c>
      <c r="S4356" s="12" t="s">
        <v>36</v>
      </c>
      <c r="T4356" s="12" t="s">
        <v>15940</v>
      </c>
      <c r="U4356" s="12" t="s">
        <v>279</v>
      </c>
      <c r="V4356" s="12" t="s">
        <v>64</v>
      </c>
      <c r="W4356" s="12" t="s">
        <v>15941</v>
      </c>
      <c r="X4356" s="16" t="s">
        <v>21486</v>
      </c>
      <c r="Y4356" s="15" t="s">
        <v>108</v>
      </c>
      <c r="Z4356" s="14">
        <v>9.36</v>
      </c>
      <c r="AA4356" s="14">
        <v>13.67</v>
      </c>
      <c r="AB4356" s="12" t="s">
        <v>43</v>
      </c>
      <c r="AC4356" s="12" t="s">
        <v>15942</v>
      </c>
      <c r="AD4356" s="13">
        <v>43739</v>
      </c>
      <c r="AE4356" s="12" t="s">
        <v>851</v>
      </c>
      <c r="AF4356" s="12" t="s">
        <v>36</v>
      </c>
      <c r="AG4356" s="12" t="s">
        <v>7046</v>
      </c>
      <c r="AH4356" s="1">
        <f>HYPERLINK("https://my.pitchbook.com?c=130799-71T","View Company Online")</f>
      </c>
    </row>
    <row r="4357">
      <c r="A4357" s="3" t="s">
        <v>21487</v>
      </c>
      <c r="B4357" s="3" t="s">
        <v>9254</v>
      </c>
      <c r="C4357" s="5" t="s">
        <v>36</v>
      </c>
      <c r="D4357" s="5" t="s">
        <v>36</v>
      </c>
      <c r="E4357" s="5" t="s">
        <v>36</v>
      </c>
      <c r="F4357" s="5" t="s">
        <v>36</v>
      </c>
      <c r="G4357" s="6" t="s">
        <v>36</v>
      </c>
      <c r="H4357" s="4" t="s">
        <v>36</v>
      </c>
      <c r="I4357" s="7" t="s">
        <v>36</v>
      </c>
      <c r="J4357" s="3" t="s">
        <v>36</v>
      </c>
      <c r="K4357" s="9" t="s">
        <v>36</v>
      </c>
      <c r="L4357" s="6" t="s">
        <v>36</v>
      </c>
      <c r="M4357" s="3" t="s">
        <v>36</v>
      </c>
      <c r="N4357" s="3" t="s">
        <v>36</v>
      </c>
      <c r="O4357" s="8" t="s">
        <v>36</v>
      </c>
      <c r="P4357" s="3" t="s">
        <v>36</v>
      </c>
      <c r="Q4357" s="3" t="s">
        <v>36</v>
      </c>
      <c r="R4357" s="3" t="s">
        <v>36</v>
      </c>
      <c r="S4357" s="3" t="s">
        <v>36</v>
      </c>
      <c r="T4357" s="3" t="s">
        <v>7351</v>
      </c>
      <c r="U4357" s="3" t="s">
        <v>728</v>
      </c>
      <c r="V4357" s="3" t="s">
        <v>64</v>
      </c>
      <c r="W4357" s="3" t="s">
        <v>9255</v>
      </c>
      <c r="X4357" s="10" t="s">
        <v>21488</v>
      </c>
      <c r="Y4357" s="6" t="s">
        <v>55</v>
      </c>
      <c r="Z4357" s="4">
        <v>1.1</v>
      </c>
      <c r="AA4357" s="4" t="s">
        <v>36</v>
      </c>
      <c r="AB4357" s="3" t="s">
        <v>43</v>
      </c>
      <c r="AC4357" s="3" t="s">
        <v>9257</v>
      </c>
      <c r="AD4357" s="9">
        <v>43739</v>
      </c>
      <c r="AE4357" s="3" t="s">
        <v>1600</v>
      </c>
      <c r="AF4357" s="3" t="s">
        <v>90</v>
      </c>
      <c r="AG4357" s="3" t="s">
        <v>382</v>
      </c>
      <c r="AH4357" s="11">
        <f>HYPERLINK("https://my.pitchbook.com?c=156853-09T","View Company Online")</f>
      </c>
    </row>
    <row r="4358">
      <c r="A4358" s="12" t="s">
        <v>21489</v>
      </c>
      <c r="B4358" s="12" t="s">
        <v>9586</v>
      </c>
      <c r="C4358" s="19">
        <v>18</v>
      </c>
      <c r="D4358" s="19">
        <v>85</v>
      </c>
      <c r="E4358" s="19">
        <v>26</v>
      </c>
      <c r="F4358" s="19">
        <v>111</v>
      </c>
      <c r="G4358" s="15" t="s">
        <v>326</v>
      </c>
      <c r="H4358" s="14">
        <v>41.85</v>
      </c>
      <c r="I4358" s="18">
        <v>29.88</v>
      </c>
      <c r="J4358" s="12" t="s">
        <v>327</v>
      </c>
      <c r="K4358" s="13" t="s">
        <v>36</v>
      </c>
      <c r="L4358" s="15" t="s">
        <v>94</v>
      </c>
      <c r="M4358" s="12" t="s">
        <v>36</v>
      </c>
      <c r="N4358" s="12" t="s">
        <v>94</v>
      </c>
      <c r="O4358" s="17" t="s">
        <v>36</v>
      </c>
      <c r="P4358" s="12" t="s">
        <v>36</v>
      </c>
      <c r="Q4358" s="12" t="s">
        <v>36</v>
      </c>
      <c r="R4358" s="12" t="s">
        <v>36</v>
      </c>
      <c r="S4358" s="12" t="s">
        <v>36</v>
      </c>
      <c r="T4358" s="12" t="s">
        <v>9587</v>
      </c>
      <c r="U4358" s="12" t="s">
        <v>1580</v>
      </c>
      <c r="V4358" s="12" t="s">
        <v>39</v>
      </c>
      <c r="W4358" s="12" t="s">
        <v>9588</v>
      </c>
      <c r="X4358" s="16" t="s">
        <v>21490</v>
      </c>
      <c r="Y4358" s="15" t="s">
        <v>321</v>
      </c>
      <c r="Z4358" s="14">
        <v>8.71</v>
      </c>
      <c r="AA4358" s="14">
        <v>29.14</v>
      </c>
      <c r="AB4358" s="12" t="s">
        <v>56</v>
      </c>
      <c r="AC4358" s="12" t="s">
        <v>9590</v>
      </c>
      <c r="AD4358" s="13">
        <v>43738</v>
      </c>
      <c r="AE4358" s="12" t="s">
        <v>9591</v>
      </c>
      <c r="AF4358" s="12" t="s">
        <v>571</v>
      </c>
      <c r="AG4358" s="12" t="s">
        <v>1078</v>
      </c>
      <c r="AH4358" s="1">
        <f>HYPERLINK("https://my.pitchbook.com?c=124314-94T","View Company Online")</f>
      </c>
    </row>
    <row r="4359">
      <c r="A4359" s="3" t="s">
        <v>21491</v>
      </c>
      <c r="B4359" s="3" t="s">
        <v>18342</v>
      </c>
      <c r="C4359" s="5">
        <v>9</v>
      </c>
      <c r="D4359" s="5">
        <v>25</v>
      </c>
      <c r="E4359" s="5">
        <v>6</v>
      </c>
      <c r="F4359" s="5">
        <v>34</v>
      </c>
      <c r="G4359" s="6" t="s">
        <v>326</v>
      </c>
      <c r="H4359" s="4">
        <v>4</v>
      </c>
      <c r="I4359" s="7">
        <v>30.96</v>
      </c>
      <c r="J4359" s="3" t="s">
        <v>521</v>
      </c>
      <c r="K4359" s="9" t="s">
        <v>36</v>
      </c>
      <c r="L4359" s="6" t="s">
        <v>36</v>
      </c>
      <c r="M4359" s="3" t="s">
        <v>36</v>
      </c>
      <c r="N4359" s="3" t="s">
        <v>36</v>
      </c>
      <c r="O4359" s="8" t="s">
        <v>36</v>
      </c>
      <c r="P4359" s="3" t="s">
        <v>36</v>
      </c>
      <c r="Q4359" s="3" t="s">
        <v>36</v>
      </c>
      <c r="R4359" s="3" t="s">
        <v>36</v>
      </c>
      <c r="S4359" s="3" t="s">
        <v>36</v>
      </c>
      <c r="T4359" s="3" t="s">
        <v>7561</v>
      </c>
      <c r="U4359" s="3" t="s">
        <v>366</v>
      </c>
      <c r="V4359" s="3" t="s">
        <v>367</v>
      </c>
      <c r="W4359" s="3" t="s">
        <v>18343</v>
      </c>
      <c r="X4359" s="10" t="s">
        <v>8529</v>
      </c>
      <c r="Y4359" s="6" t="s">
        <v>55</v>
      </c>
      <c r="Z4359" s="4">
        <v>7.57</v>
      </c>
      <c r="AA4359" s="4">
        <v>24.47</v>
      </c>
      <c r="AB4359" s="3" t="s">
        <v>43</v>
      </c>
      <c r="AC4359" s="3" t="s">
        <v>18345</v>
      </c>
      <c r="AD4359" s="9">
        <v>43738</v>
      </c>
      <c r="AE4359" s="3" t="s">
        <v>7565</v>
      </c>
      <c r="AF4359" s="3" t="s">
        <v>18346</v>
      </c>
      <c r="AG4359" s="3" t="s">
        <v>9060</v>
      </c>
      <c r="AH4359" s="11">
        <f>HYPERLINK("https://my.pitchbook.com?c=139347-37T","View Company Online")</f>
      </c>
    </row>
    <row r="4360">
      <c r="A4360" s="12" t="s">
        <v>21492</v>
      </c>
      <c r="B4360" s="12" t="s">
        <v>21493</v>
      </c>
      <c r="C4360" s="19" t="s">
        <v>36</v>
      </c>
      <c r="D4360" s="19" t="s">
        <v>36</v>
      </c>
      <c r="E4360" s="19" t="s">
        <v>36</v>
      </c>
      <c r="F4360" s="19" t="s">
        <v>36</v>
      </c>
      <c r="G4360" s="15" t="s">
        <v>36</v>
      </c>
      <c r="H4360" s="14" t="s">
        <v>36</v>
      </c>
      <c r="I4360" s="18">
        <v>6.74</v>
      </c>
      <c r="J4360" s="12" t="s">
        <v>327</v>
      </c>
      <c r="K4360" s="13" t="s">
        <v>36</v>
      </c>
      <c r="L4360" s="15" t="s">
        <v>36</v>
      </c>
      <c r="M4360" s="12" t="s">
        <v>36</v>
      </c>
      <c r="N4360" s="12" t="s">
        <v>36</v>
      </c>
      <c r="O4360" s="17" t="s">
        <v>36</v>
      </c>
      <c r="P4360" s="12" t="s">
        <v>36</v>
      </c>
      <c r="Q4360" s="12" t="s">
        <v>36</v>
      </c>
      <c r="R4360" s="12" t="s">
        <v>36</v>
      </c>
      <c r="S4360" s="12" t="s">
        <v>36</v>
      </c>
      <c r="T4360" s="12" t="s">
        <v>21494</v>
      </c>
      <c r="U4360" s="12" t="s">
        <v>728</v>
      </c>
      <c r="V4360" s="12" t="s">
        <v>64</v>
      </c>
      <c r="W4360" s="12" t="s">
        <v>21495</v>
      </c>
      <c r="X4360" s="16" t="s">
        <v>21496</v>
      </c>
      <c r="Y4360" s="15" t="s">
        <v>42</v>
      </c>
      <c r="Z4360" s="14">
        <v>1.65</v>
      </c>
      <c r="AA4360" s="14">
        <v>24.53</v>
      </c>
      <c r="AB4360" s="12" t="s">
        <v>43</v>
      </c>
      <c r="AC4360" s="12" t="s">
        <v>21497</v>
      </c>
      <c r="AD4360" s="13">
        <v>43738</v>
      </c>
      <c r="AE4360" s="12" t="s">
        <v>1600</v>
      </c>
      <c r="AF4360" s="12" t="s">
        <v>90</v>
      </c>
      <c r="AG4360" s="12" t="s">
        <v>81</v>
      </c>
      <c r="AH4360" s="1">
        <f>HYPERLINK("https://my.pitchbook.com?c=132680-71T","View Company Online")</f>
      </c>
    </row>
    <row r="4361">
      <c r="A4361" s="3" t="s">
        <v>21498</v>
      </c>
      <c r="B4361" s="3" t="s">
        <v>5131</v>
      </c>
      <c r="C4361" s="5" t="s">
        <v>36</v>
      </c>
      <c r="D4361" s="5" t="s">
        <v>36</v>
      </c>
      <c r="E4361" s="5" t="s">
        <v>36</v>
      </c>
      <c r="F4361" s="5" t="s">
        <v>36</v>
      </c>
      <c r="G4361" s="6" t="s">
        <v>36</v>
      </c>
      <c r="H4361" s="4">
        <v>3.45</v>
      </c>
      <c r="I4361" s="7">
        <v>42.68</v>
      </c>
      <c r="J4361" s="3" t="s">
        <v>521</v>
      </c>
      <c r="K4361" s="9" t="s">
        <v>36</v>
      </c>
      <c r="L4361" s="6" t="s">
        <v>36</v>
      </c>
      <c r="M4361" s="3" t="s">
        <v>36</v>
      </c>
      <c r="N4361" s="3" t="s">
        <v>36</v>
      </c>
      <c r="O4361" s="8" t="s">
        <v>36</v>
      </c>
      <c r="P4361" s="3" t="s">
        <v>36</v>
      </c>
      <c r="Q4361" s="3" t="s">
        <v>36</v>
      </c>
      <c r="R4361" s="3" t="s">
        <v>36</v>
      </c>
      <c r="S4361" s="3" t="s">
        <v>36</v>
      </c>
      <c r="T4361" s="3" t="s">
        <v>5132</v>
      </c>
      <c r="U4361" s="3" t="s">
        <v>38</v>
      </c>
      <c r="V4361" s="3" t="s">
        <v>39</v>
      </c>
      <c r="W4361" s="3" t="s">
        <v>5133</v>
      </c>
      <c r="X4361" s="10" t="s">
        <v>21499</v>
      </c>
      <c r="Y4361" s="6" t="s">
        <v>42</v>
      </c>
      <c r="Z4361" s="4">
        <v>2.2</v>
      </c>
      <c r="AA4361" s="4">
        <v>3.47</v>
      </c>
      <c r="AB4361" s="3" t="s">
        <v>43</v>
      </c>
      <c r="AC4361" s="3" t="s">
        <v>5135</v>
      </c>
      <c r="AD4361" s="9">
        <v>43738</v>
      </c>
      <c r="AE4361" s="3" t="s">
        <v>110</v>
      </c>
      <c r="AF4361" s="3" t="s">
        <v>176</v>
      </c>
      <c r="AG4361" s="3" t="s">
        <v>757</v>
      </c>
      <c r="AH4361" s="11">
        <f>HYPERLINK("https://my.pitchbook.com?c=124156-72T","View Company Online")</f>
      </c>
    </row>
    <row r="4362">
      <c r="A4362" s="12" t="s">
        <v>21500</v>
      </c>
      <c r="B4362" s="12" t="s">
        <v>21501</v>
      </c>
      <c r="C4362" s="19" t="s">
        <v>36</v>
      </c>
      <c r="D4362" s="19">
        <v>1</v>
      </c>
      <c r="E4362" s="19">
        <v>1</v>
      </c>
      <c r="F4362" s="19">
        <v>2</v>
      </c>
      <c r="G4362" s="15" t="s">
        <v>683</v>
      </c>
      <c r="H4362" s="14">
        <v>57.12</v>
      </c>
      <c r="I4362" s="18">
        <v>17.31</v>
      </c>
      <c r="J4362" s="12" t="s">
        <v>521</v>
      </c>
      <c r="K4362" s="13" t="s">
        <v>36</v>
      </c>
      <c r="L4362" s="15" t="s">
        <v>36</v>
      </c>
      <c r="M4362" s="12" t="s">
        <v>36</v>
      </c>
      <c r="N4362" s="12" t="s">
        <v>36</v>
      </c>
      <c r="O4362" s="17" t="s">
        <v>36</v>
      </c>
      <c r="P4362" s="12" t="s">
        <v>36</v>
      </c>
      <c r="Q4362" s="12" t="s">
        <v>36</v>
      </c>
      <c r="R4362" s="12" t="s">
        <v>36</v>
      </c>
      <c r="S4362" s="12" t="s">
        <v>36</v>
      </c>
      <c r="T4362" s="12" t="s">
        <v>21502</v>
      </c>
      <c r="U4362" s="12" t="s">
        <v>96</v>
      </c>
      <c r="V4362" s="12" t="s">
        <v>52</v>
      </c>
      <c r="W4362" s="12" t="s">
        <v>21503</v>
      </c>
      <c r="X4362" s="16" t="s">
        <v>21504</v>
      </c>
      <c r="Y4362" s="15" t="s">
        <v>108</v>
      </c>
      <c r="Z4362" s="14">
        <v>0.92</v>
      </c>
      <c r="AA4362" s="14">
        <v>3.7</v>
      </c>
      <c r="AB4362" s="12" t="s">
        <v>43</v>
      </c>
      <c r="AC4362" s="12" t="s">
        <v>21505</v>
      </c>
      <c r="AD4362" s="13">
        <v>43735</v>
      </c>
      <c r="AE4362" s="12" t="s">
        <v>755</v>
      </c>
      <c r="AF4362" s="12" t="s">
        <v>101</v>
      </c>
      <c r="AG4362" s="12" t="s">
        <v>580</v>
      </c>
      <c r="AH4362" s="1">
        <f>HYPERLINK("https://my.pitchbook.com?c=131742-10T","View Company Online")</f>
      </c>
    </row>
    <row r="4363">
      <c r="A4363" s="3" t="s">
        <v>21506</v>
      </c>
      <c r="B4363" s="3" t="s">
        <v>2825</v>
      </c>
      <c r="C4363" s="5" t="s">
        <v>36</v>
      </c>
      <c r="D4363" s="5" t="s">
        <v>36</v>
      </c>
      <c r="E4363" s="5" t="s">
        <v>36</v>
      </c>
      <c r="F4363" s="5" t="s">
        <v>36</v>
      </c>
      <c r="G4363" s="6" t="s">
        <v>683</v>
      </c>
      <c r="H4363" s="4">
        <v>8.96</v>
      </c>
      <c r="I4363" s="7">
        <v>22.08</v>
      </c>
      <c r="J4363" s="3" t="s">
        <v>521</v>
      </c>
      <c r="K4363" s="9">
        <v>43306</v>
      </c>
      <c r="L4363" s="6" t="s">
        <v>36</v>
      </c>
      <c r="M4363" s="3" t="s">
        <v>36</v>
      </c>
      <c r="N4363" s="3" t="s">
        <v>36</v>
      </c>
      <c r="O4363" s="8" t="s">
        <v>36</v>
      </c>
      <c r="P4363" s="3" t="s">
        <v>36</v>
      </c>
      <c r="Q4363" s="3" t="s">
        <v>36</v>
      </c>
      <c r="R4363" s="3" t="s">
        <v>36</v>
      </c>
      <c r="S4363" s="3" t="s">
        <v>1588</v>
      </c>
      <c r="T4363" s="3" t="s">
        <v>2826</v>
      </c>
      <c r="U4363" s="3" t="s">
        <v>38</v>
      </c>
      <c r="V4363" s="3" t="s">
        <v>39</v>
      </c>
      <c r="W4363" s="3" t="s">
        <v>2827</v>
      </c>
      <c r="X4363" s="10" t="s">
        <v>21507</v>
      </c>
      <c r="Y4363" s="6" t="s">
        <v>192</v>
      </c>
      <c r="Z4363" s="4">
        <v>1.66</v>
      </c>
      <c r="AA4363" s="4">
        <v>7.5</v>
      </c>
      <c r="AB4363" s="3" t="s">
        <v>56</v>
      </c>
      <c r="AC4363" s="3" t="s">
        <v>2829</v>
      </c>
      <c r="AD4363" s="9">
        <v>43735</v>
      </c>
      <c r="AE4363" s="3" t="s">
        <v>1200</v>
      </c>
      <c r="AF4363" s="3" t="s">
        <v>2830</v>
      </c>
      <c r="AG4363" s="3" t="s">
        <v>2831</v>
      </c>
      <c r="AH4363" s="11">
        <f>HYPERLINK("https://my.pitchbook.com?c=109479-16T","View Company Online")</f>
      </c>
    </row>
    <row r="4364">
      <c r="A4364" s="12" t="s">
        <v>21508</v>
      </c>
      <c r="B4364" s="12" t="s">
        <v>21509</v>
      </c>
      <c r="C4364" s="19" t="s">
        <v>36</v>
      </c>
      <c r="D4364" s="19" t="s">
        <v>36</v>
      </c>
      <c r="E4364" s="19" t="s">
        <v>36</v>
      </c>
      <c r="F4364" s="19" t="s">
        <v>36</v>
      </c>
      <c r="G4364" s="15" t="s">
        <v>326</v>
      </c>
      <c r="H4364" s="14">
        <v>519.28</v>
      </c>
      <c r="I4364" s="18">
        <v>26.02</v>
      </c>
      <c r="J4364" s="12" t="s">
        <v>521</v>
      </c>
      <c r="K4364" s="13" t="s">
        <v>36</v>
      </c>
      <c r="L4364" s="15" t="s">
        <v>36</v>
      </c>
      <c r="M4364" s="12" t="s">
        <v>36</v>
      </c>
      <c r="N4364" s="12" t="s">
        <v>36</v>
      </c>
      <c r="O4364" s="17" t="s">
        <v>36</v>
      </c>
      <c r="P4364" s="12" t="s">
        <v>36</v>
      </c>
      <c r="Q4364" s="12" t="s">
        <v>36</v>
      </c>
      <c r="R4364" s="12" t="s">
        <v>36</v>
      </c>
      <c r="S4364" s="12" t="s">
        <v>36</v>
      </c>
      <c r="T4364" s="12" t="s">
        <v>4911</v>
      </c>
      <c r="U4364" s="12" t="s">
        <v>63</v>
      </c>
      <c r="V4364" s="12" t="s">
        <v>64</v>
      </c>
      <c r="W4364" s="12" t="s">
        <v>21510</v>
      </c>
      <c r="X4364" s="16" t="s">
        <v>9641</v>
      </c>
      <c r="Y4364" s="15" t="s">
        <v>55</v>
      </c>
      <c r="Z4364" s="14">
        <v>2.72</v>
      </c>
      <c r="AA4364" s="14">
        <v>10.45</v>
      </c>
      <c r="AB4364" s="12" t="s">
        <v>56</v>
      </c>
      <c r="AC4364" s="12" t="s">
        <v>21511</v>
      </c>
      <c r="AD4364" s="13">
        <v>43735</v>
      </c>
      <c r="AE4364" s="12" t="s">
        <v>399</v>
      </c>
      <c r="AF4364" s="12" t="s">
        <v>21512</v>
      </c>
      <c r="AG4364" s="12" t="s">
        <v>81</v>
      </c>
      <c r="AH4364" s="1">
        <f>HYPERLINK("https://my.pitchbook.com?c=181406-89T","View Company Online")</f>
      </c>
    </row>
    <row r="4365">
      <c r="A4365" s="3" t="s">
        <v>21513</v>
      </c>
      <c r="B4365" s="3" t="s">
        <v>21514</v>
      </c>
      <c r="C4365" s="5" t="s">
        <v>36</v>
      </c>
      <c r="D4365" s="5">
        <v>4</v>
      </c>
      <c r="E4365" s="5">
        <v>3</v>
      </c>
      <c r="F4365" s="5">
        <v>7</v>
      </c>
      <c r="G4365" s="6" t="s">
        <v>36</v>
      </c>
      <c r="H4365" s="4" t="s">
        <v>36</v>
      </c>
      <c r="I4365" s="7" t="s">
        <v>36</v>
      </c>
      <c r="J4365" s="3" t="s">
        <v>36</v>
      </c>
      <c r="K4365" s="9" t="s">
        <v>36</v>
      </c>
      <c r="L4365" s="6" t="s">
        <v>36</v>
      </c>
      <c r="M4365" s="3" t="s">
        <v>36</v>
      </c>
      <c r="N4365" s="3" t="s">
        <v>36</v>
      </c>
      <c r="O4365" s="8" t="s">
        <v>36</v>
      </c>
      <c r="P4365" s="3" t="s">
        <v>36</v>
      </c>
      <c r="Q4365" s="3" t="s">
        <v>36</v>
      </c>
      <c r="R4365" s="3" t="s">
        <v>36</v>
      </c>
      <c r="S4365" s="3" t="s">
        <v>36</v>
      </c>
      <c r="T4365" s="3" t="s">
        <v>596</v>
      </c>
      <c r="U4365" s="3" t="s">
        <v>366</v>
      </c>
      <c r="V4365" s="3" t="s">
        <v>367</v>
      </c>
      <c r="W4365" s="3" t="s">
        <v>21515</v>
      </c>
      <c r="X4365" s="10" t="s">
        <v>980</v>
      </c>
      <c r="Y4365" s="6" t="s">
        <v>42</v>
      </c>
      <c r="Z4365" s="4">
        <v>2.21</v>
      </c>
      <c r="AA4365" s="4" t="s">
        <v>36</v>
      </c>
      <c r="AB4365" s="3" t="s">
        <v>43</v>
      </c>
      <c r="AC4365" s="3" t="s">
        <v>21516</v>
      </c>
      <c r="AD4365" s="9">
        <v>43735</v>
      </c>
      <c r="AE4365" s="3" t="s">
        <v>600</v>
      </c>
      <c r="AF4365" s="3" t="s">
        <v>703</v>
      </c>
      <c r="AG4365" s="3" t="s">
        <v>983</v>
      </c>
      <c r="AH4365" s="11">
        <f>HYPERLINK("https://my.pitchbook.com?c=138498-31T","View Company Online")</f>
      </c>
    </row>
    <row r="4366">
      <c r="A4366" s="12" t="s">
        <v>21517</v>
      </c>
      <c r="B4366" s="12" t="s">
        <v>21518</v>
      </c>
      <c r="C4366" s="19">
        <v>1</v>
      </c>
      <c r="D4366" s="19">
        <v>12</v>
      </c>
      <c r="E4366" s="19">
        <v>5</v>
      </c>
      <c r="F4366" s="19">
        <v>13</v>
      </c>
      <c r="G4366" s="15" t="s">
        <v>36</v>
      </c>
      <c r="H4366" s="14" t="s">
        <v>36</v>
      </c>
      <c r="I4366" s="18" t="s">
        <v>36</v>
      </c>
      <c r="J4366" s="12" t="s">
        <v>36</v>
      </c>
      <c r="K4366" s="13" t="s">
        <v>36</v>
      </c>
      <c r="L4366" s="15" t="s">
        <v>36</v>
      </c>
      <c r="M4366" s="12" t="s">
        <v>36</v>
      </c>
      <c r="N4366" s="12" t="s">
        <v>36</v>
      </c>
      <c r="O4366" s="17" t="s">
        <v>36</v>
      </c>
      <c r="P4366" s="12" t="s">
        <v>36</v>
      </c>
      <c r="Q4366" s="12" t="s">
        <v>36</v>
      </c>
      <c r="R4366" s="12" t="s">
        <v>36</v>
      </c>
      <c r="S4366" s="12" t="s">
        <v>36</v>
      </c>
      <c r="T4366" s="12" t="s">
        <v>7701</v>
      </c>
      <c r="U4366" s="12" t="s">
        <v>833</v>
      </c>
      <c r="V4366" s="12" t="s">
        <v>64</v>
      </c>
      <c r="W4366" s="12" t="s">
        <v>21519</v>
      </c>
      <c r="X4366" s="16" t="s">
        <v>21520</v>
      </c>
      <c r="Y4366" s="15" t="s">
        <v>42</v>
      </c>
      <c r="Z4366" s="14">
        <v>1.66</v>
      </c>
      <c r="AA4366" s="14" t="s">
        <v>36</v>
      </c>
      <c r="AB4366" s="12" t="s">
        <v>56</v>
      </c>
      <c r="AC4366" s="12" t="s">
        <v>21521</v>
      </c>
      <c r="AD4366" s="13">
        <v>43735</v>
      </c>
      <c r="AE4366" s="12" t="s">
        <v>1069</v>
      </c>
      <c r="AF4366" s="12" t="s">
        <v>11238</v>
      </c>
      <c r="AG4366" s="12" t="s">
        <v>13897</v>
      </c>
      <c r="AH4366" s="1">
        <f>HYPERLINK("https://my.pitchbook.com?c=136756-36T","View Company Online")</f>
      </c>
    </row>
    <row r="4367">
      <c r="A4367" s="3" t="s">
        <v>21522</v>
      </c>
      <c r="B4367" s="3" t="s">
        <v>21523</v>
      </c>
      <c r="C4367" s="5" t="s">
        <v>36</v>
      </c>
      <c r="D4367" s="5" t="s">
        <v>36</v>
      </c>
      <c r="E4367" s="5" t="s">
        <v>36</v>
      </c>
      <c r="F4367" s="5" t="s">
        <v>36</v>
      </c>
      <c r="G4367" s="6" t="s">
        <v>683</v>
      </c>
      <c r="H4367" s="4">
        <v>5.24</v>
      </c>
      <c r="I4367" s="7">
        <v>23.82</v>
      </c>
      <c r="J4367" s="3" t="s">
        <v>521</v>
      </c>
      <c r="K4367" s="9" t="s">
        <v>36</v>
      </c>
      <c r="L4367" s="6" t="s">
        <v>36</v>
      </c>
      <c r="M4367" s="3" t="s">
        <v>36</v>
      </c>
      <c r="N4367" s="3" t="s">
        <v>36</v>
      </c>
      <c r="O4367" s="8" t="s">
        <v>36</v>
      </c>
      <c r="P4367" s="3" t="s">
        <v>36</v>
      </c>
      <c r="Q4367" s="3" t="s">
        <v>36</v>
      </c>
      <c r="R4367" s="3" t="s">
        <v>36</v>
      </c>
      <c r="S4367" s="3" t="s">
        <v>36</v>
      </c>
      <c r="T4367" s="3" t="s">
        <v>1106</v>
      </c>
      <c r="U4367" s="3" t="s">
        <v>38</v>
      </c>
      <c r="V4367" s="3" t="s">
        <v>39</v>
      </c>
      <c r="W4367" s="3" t="s">
        <v>21524</v>
      </c>
      <c r="X4367" s="10" t="s">
        <v>21525</v>
      </c>
      <c r="Y4367" s="6" t="s">
        <v>192</v>
      </c>
      <c r="Z4367" s="4">
        <v>2.21</v>
      </c>
      <c r="AA4367" s="4">
        <v>9.29</v>
      </c>
      <c r="AB4367" s="3" t="s">
        <v>43</v>
      </c>
      <c r="AC4367" s="3" t="s">
        <v>21526</v>
      </c>
      <c r="AD4367" s="9">
        <v>43734</v>
      </c>
      <c r="AE4367" s="3" t="s">
        <v>110</v>
      </c>
      <c r="AF4367" s="3" t="s">
        <v>8063</v>
      </c>
      <c r="AG4367" s="3" t="s">
        <v>21527</v>
      </c>
      <c r="AH4367" s="11">
        <f>HYPERLINK("https://my.pitchbook.com?c=138919-06T","View Company Online")</f>
      </c>
    </row>
    <row r="4368">
      <c r="A4368" s="12" t="s">
        <v>21528</v>
      </c>
      <c r="B4368" s="12" t="s">
        <v>21529</v>
      </c>
      <c r="C4368" s="19">
        <v>1</v>
      </c>
      <c r="D4368" s="19">
        <v>13</v>
      </c>
      <c r="E4368" s="19">
        <v>5</v>
      </c>
      <c r="F4368" s="19">
        <v>16</v>
      </c>
      <c r="G4368" s="15" t="s">
        <v>36</v>
      </c>
      <c r="H4368" s="14" t="s">
        <v>36</v>
      </c>
      <c r="I4368" s="18" t="s">
        <v>36</v>
      </c>
      <c r="J4368" s="12" t="s">
        <v>36</v>
      </c>
      <c r="K4368" s="13" t="s">
        <v>36</v>
      </c>
      <c r="L4368" s="15" t="s">
        <v>36</v>
      </c>
      <c r="M4368" s="12" t="s">
        <v>36</v>
      </c>
      <c r="N4368" s="12" t="s">
        <v>36</v>
      </c>
      <c r="O4368" s="17" t="s">
        <v>36</v>
      </c>
      <c r="P4368" s="12" t="s">
        <v>36</v>
      </c>
      <c r="Q4368" s="12" t="s">
        <v>36</v>
      </c>
      <c r="R4368" s="12" t="s">
        <v>36</v>
      </c>
      <c r="S4368" s="12" t="s">
        <v>36</v>
      </c>
      <c r="T4368" s="12" t="s">
        <v>596</v>
      </c>
      <c r="U4368" s="12" t="s">
        <v>366</v>
      </c>
      <c r="V4368" s="12" t="s">
        <v>367</v>
      </c>
      <c r="W4368" s="12" t="s">
        <v>21530</v>
      </c>
      <c r="X4368" s="16" t="s">
        <v>21531</v>
      </c>
      <c r="Y4368" s="15" t="s">
        <v>42</v>
      </c>
      <c r="Z4368" s="14" t="s">
        <v>36</v>
      </c>
      <c r="AA4368" s="14" t="s">
        <v>36</v>
      </c>
      <c r="AB4368" s="12" t="s">
        <v>56</v>
      </c>
      <c r="AC4368" s="12" t="s">
        <v>21532</v>
      </c>
      <c r="AD4368" s="13">
        <v>43733</v>
      </c>
      <c r="AE4368" s="12" t="s">
        <v>600</v>
      </c>
      <c r="AF4368" s="12" t="s">
        <v>21533</v>
      </c>
      <c r="AG4368" s="12" t="s">
        <v>21534</v>
      </c>
      <c r="AH4368" s="1">
        <f>HYPERLINK("https://my.pitchbook.com?c=135940-51T","View Company Online")</f>
      </c>
    </row>
    <row r="4369">
      <c r="A4369" s="3" t="s">
        <v>21535</v>
      </c>
      <c r="B4369" s="3" t="s">
        <v>9829</v>
      </c>
      <c r="C4369" s="5" t="s">
        <v>36</v>
      </c>
      <c r="D4369" s="5">
        <v>6</v>
      </c>
      <c r="E4369" s="5">
        <v>1</v>
      </c>
      <c r="F4369" s="5">
        <v>6</v>
      </c>
      <c r="G4369" s="6" t="s">
        <v>36</v>
      </c>
      <c r="H4369" s="4">
        <v>16.62</v>
      </c>
      <c r="I4369" s="7">
        <v>31.91</v>
      </c>
      <c r="J4369" s="3" t="s">
        <v>521</v>
      </c>
      <c r="K4369" s="9" t="s">
        <v>36</v>
      </c>
      <c r="L4369" s="6" t="s">
        <v>122</v>
      </c>
      <c r="M4369" s="3" t="s">
        <v>36</v>
      </c>
      <c r="N4369" s="3" t="s">
        <v>122</v>
      </c>
      <c r="O4369" s="8" t="s">
        <v>36</v>
      </c>
      <c r="P4369" s="3" t="s">
        <v>36</v>
      </c>
      <c r="Q4369" s="3" t="s">
        <v>36</v>
      </c>
      <c r="R4369" s="3" t="s">
        <v>36</v>
      </c>
      <c r="S4369" s="3" t="s">
        <v>36</v>
      </c>
      <c r="T4369" s="3" t="s">
        <v>9830</v>
      </c>
      <c r="U4369" s="3" t="s">
        <v>1082</v>
      </c>
      <c r="V4369" s="3" t="s">
        <v>378</v>
      </c>
      <c r="W4369" s="3" t="s">
        <v>9831</v>
      </c>
      <c r="X4369" s="10" t="s">
        <v>21536</v>
      </c>
      <c r="Y4369" s="6" t="s">
        <v>42</v>
      </c>
      <c r="Z4369" s="4">
        <v>1.55</v>
      </c>
      <c r="AA4369" s="4">
        <v>2.6</v>
      </c>
      <c r="AB4369" s="3" t="s">
        <v>43</v>
      </c>
      <c r="AC4369" s="3" t="s">
        <v>9833</v>
      </c>
      <c r="AD4369" s="9">
        <v>43733</v>
      </c>
      <c r="AE4369" s="3" t="s">
        <v>1086</v>
      </c>
      <c r="AF4369" s="3" t="s">
        <v>2673</v>
      </c>
      <c r="AG4369" s="3" t="s">
        <v>8790</v>
      </c>
      <c r="AH4369" s="11">
        <f>HYPERLINK("https://my.pitchbook.com?c=123957-73T","View Company Online")</f>
      </c>
    </row>
    <row r="4370">
      <c r="A4370" s="12" t="s">
        <v>21537</v>
      </c>
      <c r="B4370" s="12" t="s">
        <v>21538</v>
      </c>
      <c r="C4370" s="19" t="s">
        <v>36</v>
      </c>
      <c r="D4370" s="19" t="s">
        <v>36</v>
      </c>
      <c r="E4370" s="19" t="s">
        <v>36</v>
      </c>
      <c r="F4370" s="19" t="s">
        <v>36</v>
      </c>
      <c r="G4370" s="15" t="s">
        <v>36</v>
      </c>
      <c r="H4370" s="14">
        <v>203.56</v>
      </c>
      <c r="I4370" s="18">
        <v>32.5</v>
      </c>
      <c r="J4370" s="12" t="s">
        <v>521</v>
      </c>
      <c r="K4370" s="13" t="s">
        <v>36</v>
      </c>
      <c r="L4370" s="15" t="s">
        <v>36</v>
      </c>
      <c r="M4370" s="12" t="s">
        <v>36</v>
      </c>
      <c r="N4370" s="12" t="s">
        <v>36</v>
      </c>
      <c r="O4370" s="17" t="s">
        <v>36</v>
      </c>
      <c r="P4370" s="12" t="s">
        <v>36</v>
      </c>
      <c r="Q4370" s="12" t="s">
        <v>36</v>
      </c>
      <c r="R4370" s="12" t="s">
        <v>36</v>
      </c>
      <c r="S4370" s="12" t="s">
        <v>36</v>
      </c>
      <c r="T4370" s="12" t="s">
        <v>1941</v>
      </c>
      <c r="U4370" s="12" t="s">
        <v>38</v>
      </c>
      <c r="V4370" s="12" t="s">
        <v>39</v>
      </c>
      <c r="W4370" s="12" t="s">
        <v>21539</v>
      </c>
      <c r="X4370" s="16" t="s">
        <v>21540</v>
      </c>
      <c r="Y4370" s="15" t="s">
        <v>42</v>
      </c>
      <c r="Z4370" s="14">
        <v>1.66</v>
      </c>
      <c r="AA4370" s="14">
        <v>5.1</v>
      </c>
      <c r="AB4370" s="12" t="s">
        <v>43</v>
      </c>
      <c r="AC4370" s="12" t="s">
        <v>21541</v>
      </c>
      <c r="AD4370" s="13">
        <v>43733</v>
      </c>
      <c r="AE4370" s="12" t="s">
        <v>1945</v>
      </c>
      <c r="AF4370" s="12" t="s">
        <v>2105</v>
      </c>
      <c r="AG4370" s="12" t="s">
        <v>102</v>
      </c>
      <c r="AH4370" s="1">
        <f>HYPERLINK("https://my.pitchbook.com?c=124455-61T","View Company Online")</f>
      </c>
    </row>
    <row r="4371">
      <c r="A4371" s="3" t="s">
        <v>21542</v>
      </c>
      <c r="B4371" s="3" t="s">
        <v>2991</v>
      </c>
      <c r="C4371" s="5">
        <v>13</v>
      </c>
      <c r="D4371" s="5">
        <v>21</v>
      </c>
      <c r="E4371" s="5">
        <v>14</v>
      </c>
      <c r="F4371" s="5">
        <v>36</v>
      </c>
      <c r="G4371" s="6" t="s">
        <v>326</v>
      </c>
      <c r="H4371" s="4">
        <v>2.34</v>
      </c>
      <c r="I4371" s="7">
        <v>53.62</v>
      </c>
      <c r="J4371" s="3" t="s">
        <v>521</v>
      </c>
      <c r="K4371" s="9" t="s">
        <v>36</v>
      </c>
      <c r="L4371" s="6" t="s">
        <v>122</v>
      </c>
      <c r="M4371" s="3" t="s">
        <v>36</v>
      </c>
      <c r="N4371" s="3" t="s">
        <v>122</v>
      </c>
      <c r="O4371" s="8" t="s">
        <v>36</v>
      </c>
      <c r="P4371" s="3" t="s">
        <v>36</v>
      </c>
      <c r="Q4371" s="3" t="s">
        <v>36</v>
      </c>
      <c r="R4371" s="3" t="s">
        <v>36</v>
      </c>
      <c r="S4371" s="3" t="s">
        <v>36</v>
      </c>
      <c r="T4371" s="3" t="s">
        <v>2992</v>
      </c>
      <c r="U4371" s="3" t="s">
        <v>96</v>
      </c>
      <c r="V4371" s="3" t="s">
        <v>52</v>
      </c>
      <c r="W4371" s="3" t="s">
        <v>2993</v>
      </c>
      <c r="X4371" s="10" t="s">
        <v>21543</v>
      </c>
      <c r="Y4371" s="6" t="s">
        <v>108</v>
      </c>
      <c r="Z4371" s="4">
        <v>10.43</v>
      </c>
      <c r="AA4371" s="4">
        <v>19.46</v>
      </c>
      <c r="AB4371" s="3" t="s">
        <v>56</v>
      </c>
      <c r="AC4371" s="3" t="s">
        <v>2995</v>
      </c>
      <c r="AD4371" s="9">
        <v>43732</v>
      </c>
      <c r="AE4371" s="3" t="s">
        <v>100</v>
      </c>
      <c r="AF4371" s="3" t="s">
        <v>2996</v>
      </c>
      <c r="AG4371" s="3" t="s">
        <v>81</v>
      </c>
      <c r="AH4371" s="11">
        <f>HYPERLINK("https://my.pitchbook.com?c=123817-51T","View Company Online")</f>
      </c>
    </row>
    <row r="4372">
      <c r="A4372" s="12" t="s">
        <v>21544</v>
      </c>
      <c r="B4372" s="12" t="s">
        <v>21545</v>
      </c>
      <c r="C4372" s="19" t="s">
        <v>36</v>
      </c>
      <c r="D4372" s="19" t="s">
        <v>36</v>
      </c>
      <c r="E4372" s="19" t="s">
        <v>36</v>
      </c>
      <c r="F4372" s="19" t="s">
        <v>36</v>
      </c>
      <c r="G4372" s="15" t="s">
        <v>36</v>
      </c>
      <c r="H4372" s="14">
        <v>2.14</v>
      </c>
      <c r="I4372" s="18">
        <v>44.98</v>
      </c>
      <c r="J4372" s="12" t="s">
        <v>521</v>
      </c>
      <c r="K4372" s="13" t="s">
        <v>36</v>
      </c>
      <c r="L4372" s="15" t="s">
        <v>36</v>
      </c>
      <c r="M4372" s="12" t="s">
        <v>36</v>
      </c>
      <c r="N4372" s="12" t="s">
        <v>36</v>
      </c>
      <c r="O4372" s="17" t="s">
        <v>36</v>
      </c>
      <c r="P4372" s="12" t="s">
        <v>36</v>
      </c>
      <c r="Q4372" s="12" t="s">
        <v>36</v>
      </c>
      <c r="R4372" s="12" t="s">
        <v>36</v>
      </c>
      <c r="S4372" s="12" t="s">
        <v>36</v>
      </c>
      <c r="T4372" s="12" t="s">
        <v>1162</v>
      </c>
      <c r="U4372" s="12" t="s">
        <v>423</v>
      </c>
      <c r="V4372" s="12" t="s">
        <v>64</v>
      </c>
      <c r="W4372" s="12" t="s">
        <v>21546</v>
      </c>
      <c r="X4372" s="16" t="s">
        <v>21547</v>
      </c>
      <c r="Y4372" s="15" t="s">
        <v>42</v>
      </c>
      <c r="Z4372" s="14">
        <v>1.49</v>
      </c>
      <c r="AA4372" s="14">
        <v>3.31</v>
      </c>
      <c r="AB4372" s="12" t="s">
        <v>43</v>
      </c>
      <c r="AC4372" s="12" t="s">
        <v>21548</v>
      </c>
      <c r="AD4372" s="13">
        <v>43732</v>
      </c>
      <c r="AE4372" s="12" t="s">
        <v>562</v>
      </c>
      <c r="AF4372" s="12" t="s">
        <v>90</v>
      </c>
      <c r="AG4372" s="12" t="s">
        <v>21549</v>
      </c>
      <c r="AH4372" s="1">
        <f>HYPERLINK("https://my.pitchbook.com?c=126940-33T","View Company Online")</f>
      </c>
    </row>
    <row r="4373">
      <c r="A4373" s="3" t="s">
        <v>21550</v>
      </c>
      <c r="B4373" s="3" t="s">
        <v>21551</v>
      </c>
      <c r="C4373" s="5" t="s">
        <v>36</v>
      </c>
      <c r="D4373" s="5" t="s">
        <v>36</v>
      </c>
      <c r="E4373" s="5" t="s">
        <v>36</v>
      </c>
      <c r="F4373" s="5" t="s">
        <v>36</v>
      </c>
      <c r="G4373" s="6" t="s">
        <v>36</v>
      </c>
      <c r="H4373" s="4" t="s">
        <v>36</v>
      </c>
      <c r="I4373" s="7" t="s">
        <v>36</v>
      </c>
      <c r="J4373" s="3" t="s">
        <v>36</v>
      </c>
      <c r="K4373" s="9" t="s">
        <v>36</v>
      </c>
      <c r="L4373" s="6" t="s">
        <v>36</v>
      </c>
      <c r="M4373" s="3" t="s">
        <v>36</v>
      </c>
      <c r="N4373" s="3" t="s">
        <v>36</v>
      </c>
      <c r="O4373" s="8" t="s">
        <v>36</v>
      </c>
      <c r="P4373" s="3" t="s">
        <v>36</v>
      </c>
      <c r="Q4373" s="3" t="s">
        <v>36</v>
      </c>
      <c r="R4373" s="3" t="s">
        <v>36</v>
      </c>
      <c r="S4373" s="3" t="s">
        <v>36</v>
      </c>
      <c r="T4373" s="3" t="s">
        <v>972</v>
      </c>
      <c r="U4373" s="3" t="s">
        <v>74</v>
      </c>
      <c r="V4373" s="3" t="s">
        <v>75</v>
      </c>
      <c r="W4373" s="3" t="s">
        <v>21552</v>
      </c>
      <c r="X4373" s="10" t="s">
        <v>20021</v>
      </c>
      <c r="Y4373" s="6" t="s">
        <v>42</v>
      </c>
      <c r="Z4373" s="4" t="s">
        <v>36</v>
      </c>
      <c r="AA4373" s="4" t="s">
        <v>36</v>
      </c>
      <c r="AB4373" s="3" t="s">
        <v>56</v>
      </c>
      <c r="AC4373" s="3" t="s">
        <v>21553</v>
      </c>
      <c r="AD4373" s="9">
        <v>43732</v>
      </c>
      <c r="AE4373" s="3" t="s">
        <v>975</v>
      </c>
      <c r="AF4373" s="3" t="s">
        <v>36</v>
      </c>
      <c r="AG4373" s="3" t="s">
        <v>81</v>
      </c>
      <c r="AH4373" s="11">
        <f>HYPERLINK("https://my.pitchbook.com?c=169830-01T","View Company Online")</f>
      </c>
    </row>
    <row r="4374">
      <c r="A4374" s="12" t="s">
        <v>21554</v>
      </c>
      <c r="B4374" s="12" t="s">
        <v>21555</v>
      </c>
      <c r="C4374" s="19" t="s">
        <v>36</v>
      </c>
      <c r="D4374" s="19" t="s">
        <v>36</v>
      </c>
      <c r="E4374" s="19" t="s">
        <v>36</v>
      </c>
      <c r="F4374" s="19" t="s">
        <v>36</v>
      </c>
      <c r="G4374" s="15" t="s">
        <v>36</v>
      </c>
      <c r="H4374" s="14">
        <v>34.62</v>
      </c>
      <c r="I4374" s="18">
        <v>25</v>
      </c>
      <c r="J4374" s="12" t="s">
        <v>521</v>
      </c>
      <c r="K4374" s="13" t="s">
        <v>36</v>
      </c>
      <c r="L4374" s="15" t="s">
        <v>36</v>
      </c>
      <c r="M4374" s="12" t="s">
        <v>36</v>
      </c>
      <c r="N4374" s="12" t="s">
        <v>36</v>
      </c>
      <c r="O4374" s="17" t="s">
        <v>36</v>
      </c>
      <c r="P4374" s="12" t="s">
        <v>36</v>
      </c>
      <c r="Q4374" s="12" t="s">
        <v>36</v>
      </c>
      <c r="R4374" s="12" t="s">
        <v>36</v>
      </c>
      <c r="S4374" s="12" t="s">
        <v>36</v>
      </c>
      <c r="T4374" s="12" t="s">
        <v>139</v>
      </c>
      <c r="U4374" s="12" t="s">
        <v>96</v>
      </c>
      <c r="V4374" s="12" t="s">
        <v>52</v>
      </c>
      <c r="W4374" s="12" t="s">
        <v>21556</v>
      </c>
      <c r="X4374" s="16" t="s">
        <v>2553</v>
      </c>
      <c r="Y4374" s="15" t="s">
        <v>42</v>
      </c>
      <c r="Z4374" s="14">
        <v>1.11</v>
      </c>
      <c r="AA4374" s="14">
        <v>4.42</v>
      </c>
      <c r="AB4374" s="12" t="s">
        <v>43</v>
      </c>
      <c r="AC4374" s="12" t="s">
        <v>21557</v>
      </c>
      <c r="AD4374" s="13">
        <v>43731</v>
      </c>
      <c r="AE4374" s="12" t="s">
        <v>143</v>
      </c>
      <c r="AF4374" s="12" t="s">
        <v>36</v>
      </c>
      <c r="AG4374" s="12" t="s">
        <v>21558</v>
      </c>
      <c r="AH4374" s="1">
        <f>HYPERLINK("https://my.pitchbook.com?c=269315-47T","View Company Online")</f>
      </c>
    </row>
    <row r="4375">
      <c r="A4375" s="3" t="s">
        <v>21559</v>
      </c>
      <c r="B4375" s="3" t="s">
        <v>21560</v>
      </c>
      <c r="C4375" s="5" t="s">
        <v>36</v>
      </c>
      <c r="D4375" s="5" t="s">
        <v>36</v>
      </c>
      <c r="E4375" s="5" t="s">
        <v>36</v>
      </c>
      <c r="F4375" s="5" t="s">
        <v>36</v>
      </c>
      <c r="G4375" s="6" t="s">
        <v>36</v>
      </c>
      <c r="H4375" s="4">
        <v>8.18</v>
      </c>
      <c r="I4375" s="7">
        <v>25.3</v>
      </c>
      <c r="J4375" s="3" t="s">
        <v>521</v>
      </c>
      <c r="K4375" s="9" t="s">
        <v>36</v>
      </c>
      <c r="L4375" s="6" t="s">
        <v>122</v>
      </c>
      <c r="M4375" s="3" t="s">
        <v>36</v>
      </c>
      <c r="N4375" s="3" t="s">
        <v>122</v>
      </c>
      <c r="O4375" s="8" t="s">
        <v>36</v>
      </c>
      <c r="P4375" s="3" t="s">
        <v>36</v>
      </c>
      <c r="Q4375" s="3" t="s">
        <v>36</v>
      </c>
      <c r="R4375" s="3" t="s">
        <v>36</v>
      </c>
      <c r="S4375" s="3" t="s">
        <v>36</v>
      </c>
      <c r="T4375" s="3" t="s">
        <v>1935</v>
      </c>
      <c r="U4375" s="3" t="s">
        <v>38</v>
      </c>
      <c r="V4375" s="3" t="s">
        <v>39</v>
      </c>
      <c r="W4375" s="3" t="s">
        <v>21561</v>
      </c>
      <c r="X4375" s="10" t="s">
        <v>21562</v>
      </c>
      <c r="Y4375" s="6" t="s">
        <v>55</v>
      </c>
      <c r="Z4375" s="4">
        <v>6.63</v>
      </c>
      <c r="AA4375" s="4">
        <v>15.29</v>
      </c>
      <c r="AB4375" s="3" t="s">
        <v>56</v>
      </c>
      <c r="AC4375" s="3" t="s">
        <v>21563</v>
      </c>
      <c r="AD4375" s="9">
        <v>43731</v>
      </c>
      <c r="AE4375" s="3" t="s">
        <v>45</v>
      </c>
      <c r="AF4375" s="3" t="s">
        <v>21564</v>
      </c>
      <c r="AG4375" s="3" t="s">
        <v>81</v>
      </c>
      <c r="AH4375" s="11">
        <f>HYPERLINK("https://my.pitchbook.com?c=123765-49T","View Company Online")</f>
      </c>
    </row>
    <row r="4376">
      <c r="A4376" s="12" t="s">
        <v>21565</v>
      </c>
      <c r="B4376" s="12" t="s">
        <v>4748</v>
      </c>
      <c r="C4376" s="19" t="s">
        <v>36</v>
      </c>
      <c r="D4376" s="19" t="s">
        <v>36</v>
      </c>
      <c r="E4376" s="19" t="s">
        <v>36</v>
      </c>
      <c r="F4376" s="19" t="s">
        <v>36</v>
      </c>
      <c r="G4376" s="15" t="s">
        <v>683</v>
      </c>
      <c r="H4376" s="14">
        <v>6.93</v>
      </c>
      <c r="I4376" s="18">
        <v>44.42</v>
      </c>
      <c r="J4376" s="12" t="s">
        <v>521</v>
      </c>
      <c r="K4376" s="13" t="s">
        <v>36</v>
      </c>
      <c r="L4376" s="15" t="s">
        <v>36</v>
      </c>
      <c r="M4376" s="12" t="s">
        <v>36</v>
      </c>
      <c r="N4376" s="12" t="s">
        <v>36</v>
      </c>
      <c r="O4376" s="17" t="s">
        <v>36</v>
      </c>
      <c r="P4376" s="12" t="s">
        <v>36</v>
      </c>
      <c r="Q4376" s="12" t="s">
        <v>36</v>
      </c>
      <c r="R4376" s="12" t="s">
        <v>36</v>
      </c>
      <c r="S4376" s="12" t="s">
        <v>36</v>
      </c>
      <c r="T4376" s="12" t="s">
        <v>881</v>
      </c>
      <c r="U4376" s="12" t="s">
        <v>51</v>
      </c>
      <c r="V4376" s="12" t="s">
        <v>52</v>
      </c>
      <c r="W4376" s="12" t="s">
        <v>4749</v>
      </c>
      <c r="X4376" s="16" t="s">
        <v>21566</v>
      </c>
      <c r="Y4376" s="15" t="s">
        <v>55</v>
      </c>
      <c r="Z4376" s="14">
        <v>12.61</v>
      </c>
      <c r="AA4376" s="14">
        <v>28.39</v>
      </c>
      <c r="AB4376" s="12" t="s">
        <v>43</v>
      </c>
      <c r="AC4376" s="12" t="s">
        <v>4751</v>
      </c>
      <c r="AD4376" s="13">
        <v>43730</v>
      </c>
      <c r="AE4376" s="12" t="s">
        <v>504</v>
      </c>
      <c r="AF4376" s="12" t="s">
        <v>159</v>
      </c>
      <c r="AG4376" s="12" t="s">
        <v>81</v>
      </c>
      <c r="AH4376" s="1">
        <f>HYPERLINK("https://my.pitchbook.com?c=140064-22T","View Company Online")</f>
      </c>
    </row>
    <row r="4377">
      <c r="A4377" s="3" t="s">
        <v>21567</v>
      </c>
      <c r="B4377" s="3" t="s">
        <v>19202</v>
      </c>
      <c r="C4377" s="5" t="s">
        <v>36</v>
      </c>
      <c r="D4377" s="5">
        <v>2</v>
      </c>
      <c r="E4377" s="5">
        <v>1</v>
      </c>
      <c r="F4377" s="5">
        <v>3</v>
      </c>
      <c r="G4377" s="6" t="s">
        <v>36</v>
      </c>
      <c r="H4377" s="4" t="s">
        <v>36</v>
      </c>
      <c r="I4377" s="7" t="s">
        <v>36</v>
      </c>
      <c r="J4377" s="3" t="s">
        <v>36</v>
      </c>
      <c r="K4377" s="9" t="s">
        <v>36</v>
      </c>
      <c r="L4377" s="6" t="s">
        <v>36</v>
      </c>
      <c r="M4377" s="3" t="s">
        <v>36</v>
      </c>
      <c r="N4377" s="3" t="s">
        <v>36</v>
      </c>
      <c r="O4377" s="8" t="s">
        <v>36</v>
      </c>
      <c r="P4377" s="3" t="s">
        <v>36</v>
      </c>
      <c r="Q4377" s="3" t="s">
        <v>36</v>
      </c>
      <c r="R4377" s="3" t="s">
        <v>36</v>
      </c>
      <c r="S4377" s="3" t="s">
        <v>36</v>
      </c>
      <c r="T4377" s="3" t="s">
        <v>6192</v>
      </c>
      <c r="U4377" s="3" t="s">
        <v>1357</v>
      </c>
      <c r="V4377" s="3" t="s">
        <v>52</v>
      </c>
      <c r="W4377" s="3" t="s">
        <v>19203</v>
      </c>
      <c r="X4377" s="10" t="s">
        <v>21568</v>
      </c>
      <c r="Y4377" s="6" t="s">
        <v>42</v>
      </c>
      <c r="Z4377" s="4">
        <v>1.44</v>
      </c>
      <c r="AA4377" s="4" t="s">
        <v>36</v>
      </c>
      <c r="AB4377" s="3" t="s">
        <v>43</v>
      </c>
      <c r="AC4377" s="3" t="s">
        <v>19204</v>
      </c>
      <c r="AD4377" s="9">
        <v>43729</v>
      </c>
      <c r="AE4377" s="3" t="s">
        <v>2377</v>
      </c>
      <c r="AF4377" s="3" t="s">
        <v>36</v>
      </c>
      <c r="AG4377" s="3" t="s">
        <v>7745</v>
      </c>
      <c r="AH4377" s="11">
        <f>HYPERLINK("https://my.pitchbook.com?c=125079-85T","View Company Online")</f>
      </c>
    </row>
    <row r="4378">
      <c r="A4378" s="12" t="s">
        <v>21569</v>
      </c>
      <c r="B4378" s="12" t="s">
        <v>21570</v>
      </c>
      <c r="C4378" s="19" t="s">
        <v>36</v>
      </c>
      <c r="D4378" s="19" t="s">
        <v>36</v>
      </c>
      <c r="E4378" s="19" t="s">
        <v>36</v>
      </c>
      <c r="F4378" s="19" t="s">
        <v>36</v>
      </c>
      <c r="G4378" s="15" t="s">
        <v>683</v>
      </c>
      <c r="H4378" s="14">
        <v>17.76</v>
      </c>
      <c r="I4378" s="18">
        <v>18.41</v>
      </c>
      <c r="J4378" s="12" t="s">
        <v>521</v>
      </c>
      <c r="K4378" s="13" t="s">
        <v>36</v>
      </c>
      <c r="L4378" s="15" t="s">
        <v>36</v>
      </c>
      <c r="M4378" s="12" t="s">
        <v>36</v>
      </c>
      <c r="N4378" s="12" t="s">
        <v>36</v>
      </c>
      <c r="O4378" s="17" t="s">
        <v>36</v>
      </c>
      <c r="P4378" s="12" t="s">
        <v>36</v>
      </c>
      <c r="Q4378" s="12" t="s">
        <v>36</v>
      </c>
      <c r="R4378" s="12" t="s">
        <v>36</v>
      </c>
      <c r="S4378" s="12" t="s">
        <v>36</v>
      </c>
      <c r="T4378" s="12" t="s">
        <v>21571</v>
      </c>
      <c r="U4378" s="12" t="s">
        <v>74</v>
      </c>
      <c r="V4378" s="12" t="s">
        <v>75</v>
      </c>
      <c r="W4378" s="12" t="s">
        <v>21572</v>
      </c>
      <c r="X4378" s="16" t="s">
        <v>21573</v>
      </c>
      <c r="Y4378" s="15" t="s">
        <v>55</v>
      </c>
      <c r="Z4378" s="14">
        <v>1.33</v>
      </c>
      <c r="AA4378" s="14">
        <v>7.21</v>
      </c>
      <c r="AB4378" s="12" t="s">
        <v>43</v>
      </c>
      <c r="AC4378" s="12" t="s">
        <v>21574</v>
      </c>
      <c r="AD4378" s="13">
        <v>43728</v>
      </c>
      <c r="AE4378" s="12" t="s">
        <v>79</v>
      </c>
      <c r="AF4378" s="12" t="s">
        <v>21575</v>
      </c>
      <c r="AG4378" s="12" t="s">
        <v>144</v>
      </c>
      <c r="AH4378" s="1">
        <f>HYPERLINK("https://my.pitchbook.com?c=123693-85T","View Company Online")</f>
      </c>
    </row>
    <row r="4379">
      <c r="A4379" s="3" t="s">
        <v>21576</v>
      </c>
      <c r="B4379" s="3" t="s">
        <v>4670</v>
      </c>
      <c r="C4379" s="5" t="s">
        <v>36</v>
      </c>
      <c r="D4379" s="5" t="s">
        <v>36</v>
      </c>
      <c r="E4379" s="5" t="s">
        <v>36</v>
      </c>
      <c r="F4379" s="5" t="s">
        <v>36</v>
      </c>
      <c r="G4379" s="6" t="s">
        <v>36</v>
      </c>
      <c r="H4379" s="4">
        <v>569.38</v>
      </c>
      <c r="I4379" s="7">
        <v>20.49</v>
      </c>
      <c r="J4379" s="3" t="s">
        <v>521</v>
      </c>
      <c r="K4379" s="9" t="s">
        <v>36</v>
      </c>
      <c r="L4379" s="6" t="s">
        <v>36</v>
      </c>
      <c r="M4379" s="3" t="s">
        <v>36</v>
      </c>
      <c r="N4379" s="3" t="s">
        <v>36</v>
      </c>
      <c r="O4379" s="8" t="s">
        <v>36</v>
      </c>
      <c r="P4379" s="3" t="s">
        <v>36</v>
      </c>
      <c r="Q4379" s="3" t="s">
        <v>36</v>
      </c>
      <c r="R4379" s="3" t="s">
        <v>36</v>
      </c>
      <c r="S4379" s="3" t="s">
        <v>36</v>
      </c>
      <c r="T4379" s="3" t="s">
        <v>1701</v>
      </c>
      <c r="U4379" s="3" t="s">
        <v>74</v>
      </c>
      <c r="V4379" s="3" t="s">
        <v>75</v>
      </c>
      <c r="W4379" s="3" t="s">
        <v>4671</v>
      </c>
      <c r="X4379" s="10" t="s">
        <v>21577</v>
      </c>
      <c r="Y4379" s="6" t="s">
        <v>42</v>
      </c>
      <c r="Z4379" s="4">
        <v>1.44</v>
      </c>
      <c r="AA4379" s="4">
        <v>4.87</v>
      </c>
      <c r="AB4379" s="3" t="s">
        <v>43</v>
      </c>
      <c r="AC4379" s="3" t="s">
        <v>4673</v>
      </c>
      <c r="AD4379" s="9">
        <v>43728</v>
      </c>
      <c r="AE4379" s="3" t="s">
        <v>79</v>
      </c>
      <c r="AF4379" s="3" t="s">
        <v>4674</v>
      </c>
      <c r="AG4379" s="3" t="s">
        <v>4675</v>
      </c>
      <c r="AH4379" s="11">
        <f>HYPERLINK("https://my.pitchbook.com?c=128956-60T","View Company Online")</f>
      </c>
    </row>
    <row r="4380">
      <c r="A4380" s="12" t="s">
        <v>21578</v>
      </c>
      <c r="B4380" s="12" t="s">
        <v>21579</v>
      </c>
      <c r="C4380" s="19" t="s">
        <v>36</v>
      </c>
      <c r="D4380" s="19" t="s">
        <v>36</v>
      </c>
      <c r="E4380" s="19" t="s">
        <v>36</v>
      </c>
      <c r="F4380" s="19" t="s">
        <v>36</v>
      </c>
      <c r="G4380" s="15" t="s">
        <v>36</v>
      </c>
      <c r="H4380" s="14">
        <v>122.78</v>
      </c>
      <c r="I4380" s="18">
        <v>29.4</v>
      </c>
      <c r="J4380" s="12" t="s">
        <v>521</v>
      </c>
      <c r="K4380" s="13" t="s">
        <v>36</v>
      </c>
      <c r="L4380" s="15" t="s">
        <v>122</v>
      </c>
      <c r="M4380" s="12" t="s">
        <v>36</v>
      </c>
      <c r="N4380" s="12" t="s">
        <v>122</v>
      </c>
      <c r="O4380" s="17" t="s">
        <v>36</v>
      </c>
      <c r="P4380" s="12" t="s">
        <v>36</v>
      </c>
      <c r="Q4380" s="12" t="s">
        <v>36</v>
      </c>
      <c r="R4380" s="12" t="s">
        <v>36</v>
      </c>
      <c r="S4380" s="12" t="s">
        <v>36</v>
      </c>
      <c r="T4380" s="12" t="s">
        <v>21580</v>
      </c>
      <c r="U4380" s="12" t="s">
        <v>1357</v>
      </c>
      <c r="V4380" s="12" t="s">
        <v>52</v>
      </c>
      <c r="W4380" s="12" t="s">
        <v>21581</v>
      </c>
      <c r="X4380" s="16" t="s">
        <v>21582</v>
      </c>
      <c r="Y4380" s="15" t="s">
        <v>108</v>
      </c>
      <c r="Z4380" s="14">
        <v>3.32</v>
      </c>
      <c r="AA4380" s="14">
        <v>7.9</v>
      </c>
      <c r="AB4380" s="12" t="s">
        <v>56</v>
      </c>
      <c r="AC4380" s="12" t="s">
        <v>21583</v>
      </c>
      <c r="AD4380" s="13">
        <v>43727</v>
      </c>
      <c r="AE4380" s="12" t="s">
        <v>3204</v>
      </c>
      <c r="AF4380" s="12" t="s">
        <v>20871</v>
      </c>
      <c r="AG4380" s="12" t="s">
        <v>102</v>
      </c>
      <c r="AH4380" s="1">
        <f>HYPERLINK("https://my.pitchbook.com?c=126567-10T","View Company Online")</f>
      </c>
    </row>
    <row r="4381">
      <c r="A4381" s="3" t="s">
        <v>21584</v>
      </c>
      <c r="B4381" s="3" t="s">
        <v>7017</v>
      </c>
      <c r="C4381" s="5">
        <v>22</v>
      </c>
      <c r="D4381" s="5">
        <v>31</v>
      </c>
      <c r="E4381" s="5">
        <v>17</v>
      </c>
      <c r="F4381" s="5">
        <v>53</v>
      </c>
      <c r="G4381" s="6" t="s">
        <v>36</v>
      </c>
      <c r="H4381" s="4">
        <v>115.25</v>
      </c>
      <c r="I4381" s="7">
        <v>48.5</v>
      </c>
      <c r="J4381" s="3" t="s">
        <v>521</v>
      </c>
      <c r="K4381" s="9" t="s">
        <v>36</v>
      </c>
      <c r="L4381" s="6" t="s">
        <v>36</v>
      </c>
      <c r="M4381" s="3" t="s">
        <v>36</v>
      </c>
      <c r="N4381" s="3" t="s">
        <v>36</v>
      </c>
      <c r="O4381" s="8" t="s">
        <v>36</v>
      </c>
      <c r="P4381" s="3" t="s">
        <v>36</v>
      </c>
      <c r="Q4381" s="3" t="s">
        <v>36</v>
      </c>
      <c r="R4381" s="3" t="s">
        <v>36</v>
      </c>
      <c r="S4381" s="3" t="s">
        <v>7018</v>
      </c>
      <c r="T4381" s="3" t="s">
        <v>7019</v>
      </c>
      <c r="U4381" s="3" t="s">
        <v>1798</v>
      </c>
      <c r="V4381" s="3" t="s">
        <v>39</v>
      </c>
      <c r="W4381" s="3" t="s">
        <v>7020</v>
      </c>
      <c r="X4381" s="10" t="s">
        <v>21585</v>
      </c>
      <c r="Y4381" s="6" t="s">
        <v>42</v>
      </c>
      <c r="Z4381" s="4">
        <v>4.48</v>
      </c>
      <c r="AA4381" s="4">
        <v>9.24</v>
      </c>
      <c r="AB4381" s="3" t="s">
        <v>43</v>
      </c>
      <c r="AC4381" s="3" t="s">
        <v>7021</v>
      </c>
      <c r="AD4381" s="9">
        <v>43726</v>
      </c>
      <c r="AE4381" s="3" t="s">
        <v>4247</v>
      </c>
      <c r="AF4381" s="3" t="s">
        <v>36</v>
      </c>
      <c r="AG4381" s="3" t="s">
        <v>969</v>
      </c>
      <c r="AH4381" s="11">
        <f>HYPERLINK("https://my.pitchbook.com?c=123554-71T","View Company Online")</f>
      </c>
    </row>
    <row r="4382">
      <c r="A4382" s="12" t="s">
        <v>21586</v>
      </c>
      <c r="B4382" s="12" t="s">
        <v>21587</v>
      </c>
      <c r="C4382" s="19" t="s">
        <v>36</v>
      </c>
      <c r="D4382" s="19" t="s">
        <v>36</v>
      </c>
      <c r="E4382" s="19" t="s">
        <v>36</v>
      </c>
      <c r="F4382" s="19" t="s">
        <v>36</v>
      </c>
      <c r="G4382" s="15" t="s">
        <v>36</v>
      </c>
      <c r="H4382" s="14" t="s">
        <v>36</v>
      </c>
      <c r="I4382" s="18" t="s">
        <v>36</v>
      </c>
      <c r="J4382" s="12" t="s">
        <v>36</v>
      </c>
      <c r="K4382" s="13" t="s">
        <v>36</v>
      </c>
      <c r="L4382" s="15" t="s">
        <v>36</v>
      </c>
      <c r="M4382" s="12" t="s">
        <v>36</v>
      </c>
      <c r="N4382" s="12" t="s">
        <v>36</v>
      </c>
      <c r="O4382" s="17" t="s">
        <v>36</v>
      </c>
      <c r="P4382" s="12" t="s">
        <v>36</v>
      </c>
      <c r="Q4382" s="12" t="s">
        <v>36</v>
      </c>
      <c r="R4382" s="12" t="s">
        <v>36</v>
      </c>
      <c r="S4382" s="12" t="s">
        <v>36</v>
      </c>
      <c r="T4382" s="12" t="s">
        <v>21588</v>
      </c>
      <c r="U4382" s="12" t="s">
        <v>63</v>
      </c>
      <c r="V4382" s="12" t="s">
        <v>64</v>
      </c>
      <c r="W4382" s="12" t="s">
        <v>21589</v>
      </c>
      <c r="X4382" s="16" t="s">
        <v>20021</v>
      </c>
      <c r="Y4382" s="15" t="s">
        <v>42</v>
      </c>
      <c r="Z4382" s="14">
        <v>1.66</v>
      </c>
      <c r="AA4382" s="14" t="s">
        <v>36</v>
      </c>
      <c r="AB4382" s="12" t="s">
        <v>56</v>
      </c>
      <c r="AC4382" s="12" t="s">
        <v>21590</v>
      </c>
      <c r="AD4382" s="13">
        <v>43725</v>
      </c>
      <c r="AE4382" s="12" t="s">
        <v>68</v>
      </c>
      <c r="AF4382" s="12" t="s">
        <v>36</v>
      </c>
      <c r="AG4382" s="12" t="s">
        <v>21591</v>
      </c>
      <c r="AH4382" s="1">
        <f>HYPERLINK("https://my.pitchbook.com?c=170491-87T","View Company Online")</f>
      </c>
    </row>
    <row r="4383">
      <c r="A4383" s="3" t="s">
        <v>21592</v>
      </c>
      <c r="B4383" s="3" t="s">
        <v>21593</v>
      </c>
      <c r="C4383" s="5" t="s">
        <v>36</v>
      </c>
      <c r="D4383" s="5">
        <v>1</v>
      </c>
      <c r="E4383" s="5">
        <v>1</v>
      </c>
      <c r="F4383" s="5">
        <v>2</v>
      </c>
      <c r="G4383" s="6" t="s">
        <v>36</v>
      </c>
      <c r="H4383" s="4">
        <v>161.1</v>
      </c>
      <c r="I4383" s="7">
        <v>18.95</v>
      </c>
      <c r="J4383" s="3" t="s">
        <v>521</v>
      </c>
      <c r="K4383" s="9" t="s">
        <v>36</v>
      </c>
      <c r="L4383" s="6" t="s">
        <v>36</v>
      </c>
      <c r="M4383" s="3" t="s">
        <v>36</v>
      </c>
      <c r="N4383" s="3" t="s">
        <v>36</v>
      </c>
      <c r="O4383" s="8" t="s">
        <v>36</v>
      </c>
      <c r="P4383" s="3" t="s">
        <v>36</v>
      </c>
      <c r="Q4383" s="3" t="s">
        <v>36</v>
      </c>
      <c r="R4383" s="3" t="s">
        <v>36</v>
      </c>
      <c r="S4383" s="3" t="s">
        <v>36</v>
      </c>
      <c r="T4383" s="3" t="s">
        <v>21594</v>
      </c>
      <c r="U4383" s="3" t="s">
        <v>233</v>
      </c>
      <c r="V4383" s="3" t="s">
        <v>39</v>
      </c>
      <c r="W4383" s="3" t="s">
        <v>21595</v>
      </c>
      <c r="X4383" s="10" t="s">
        <v>9323</v>
      </c>
      <c r="Y4383" s="6" t="s">
        <v>42</v>
      </c>
      <c r="Z4383" s="4">
        <v>0.64</v>
      </c>
      <c r="AA4383" s="4">
        <v>3.39</v>
      </c>
      <c r="AB4383" s="3" t="s">
        <v>56</v>
      </c>
      <c r="AC4383" s="3" t="s">
        <v>21596</v>
      </c>
      <c r="AD4383" s="9">
        <v>43724</v>
      </c>
      <c r="AE4383" s="3" t="s">
        <v>236</v>
      </c>
      <c r="AF4383" s="3" t="s">
        <v>118</v>
      </c>
      <c r="AG4383" s="3" t="s">
        <v>21597</v>
      </c>
      <c r="AH4383" s="11">
        <f>HYPERLINK("https://my.pitchbook.com?c=212930-65T","View Company Online")</f>
      </c>
    </row>
    <row r="4384">
      <c r="A4384" s="12" t="s">
        <v>21598</v>
      </c>
      <c r="B4384" s="12" t="s">
        <v>21599</v>
      </c>
      <c r="C4384" s="19" t="s">
        <v>36</v>
      </c>
      <c r="D4384" s="19" t="s">
        <v>36</v>
      </c>
      <c r="E4384" s="19" t="s">
        <v>36</v>
      </c>
      <c r="F4384" s="19" t="s">
        <v>36</v>
      </c>
      <c r="G4384" s="15" t="s">
        <v>36</v>
      </c>
      <c r="H4384" s="14" t="s">
        <v>36</v>
      </c>
      <c r="I4384" s="18" t="s">
        <v>36</v>
      </c>
      <c r="J4384" s="12" t="s">
        <v>36</v>
      </c>
      <c r="K4384" s="13" t="s">
        <v>36</v>
      </c>
      <c r="L4384" s="15" t="s">
        <v>36</v>
      </c>
      <c r="M4384" s="12" t="s">
        <v>36</v>
      </c>
      <c r="N4384" s="12" t="s">
        <v>36</v>
      </c>
      <c r="O4384" s="17" t="s">
        <v>36</v>
      </c>
      <c r="P4384" s="12" t="s">
        <v>36</v>
      </c>
      <c r="Q4384" s="12" t="s">
        <v>36</v>
      </c>
      <c r="R4384" s="12" t="s">
        <v>36</v>
      </c>
      <c r="S4384" s="12" t="s">
        <v>36</v>
      </c>
      <c r="T4384" s="12" t="s">
        <v>2558</v>
      </c>
      <c r="U4384" s="12" t="s">
        <v>38</v>
      </c>
      <c r="V4384" s="12" t="s">
        <v>39</v>
      </c>
      <c r="W4384" s="12" t="s">
        <v>21600</v>
      </c>
      <c r="X4384" s="16" t="s">
        <v>2229</v>
      </c>
      <c r="Y4384" s="15" t="s">
        <v>108</v>
      </c>
      <c r="Z4384" s="14" t="s">
        <v>36</v>
      </c>
      <c r="AA4384" s="14" t="s">
        <v>36</v>
      </c>
      <c r="AB4384" s="12" t="s">
        <v>43</v>
      </c>
      <c r="AC4384" s="12" t="s">
        <v>21601</v>
      </c>
      <c r="AD4384" s="13">
        <v>43724</v>
      </c>
      <c r="AE4384" s="12" t="s">
        <v>110</v>
      </c>
      <c r="AF4384" s="12" t="s">
        <v>21602</v>
      </c>
      <c r="AG4384" s="12" t="s">
        <v>81</v>
      </c>
      <c r="AH4384" s="1">
        <f>HYPERLINK("https://my.pitchbook.com?c=132562-90T","View Company Online")</f>
      </c>
    </row>
    <row r="4385">
      <c r="A4385" s="3" t="s">
        <v>21603</v>
      </c>
      <c r="B4385" s="3" t="s">
        <v>11651</v>
      </c>
      <c r="C4385" s="5" t="s">
        <v>36</v>
      </c>
      <c r="D4385" s="5" t="s">
        <v>36</v>
      </c>
      <c r="E4385" s="5" t="s">
        <v>36</v>
      </c>
      <c r="F4385" s="5" t="s">
        <v>36</v>
      </c>
      <c r="G4385" s="6" t="s">
        <v>36</v>
      </c>
      <c r="H4385" s="4">
        <v>21.81</v>
      </c>
      <c r="I4385" s="7">
        <v>24.72</v>
      </c>
      <c r="J4385" s="3" t="s">
        <v>521</v>
      </c>
      <c r="K4385" s="9" t="s">
        <v>36</v>
      </c>
      <c r="L4385" s="6" t="s">
        <v>36</v>
      </c>
      <c r="M4385" s="3" t="s">
        <v>36</v>
      </c>
      <c r="N4385" s="3" t="s">
        <v>36</v>
      </c>
      <c r="O4385" s="8" t="s">
        <v>36</v>
      </c>
      <c r="P4385" s="3" t="s">
        <v>36</v>
      </c>
      <c r="Q4385" s="3" t="s">
        <v>36</v>
      </c>
      <c r="R4385" s="3" t="s">
        <v>36</v>
      </c>
      <c r="S4385" s="3" t="s">
        <v>36</v>
      </c>
      <c r="T4385" s="3" t="s">
        <v>1922</v>
      </c>
      <c r="U4385" s="3" t="s">
        <v>38</v>
      </c>
      <c r="V4385" s="3" t="s">
        <v>39</v>
      </c>
      <c r="W4385" s="3" t="s">
        <v>11652</v>
      </c>
      <c r="X4385" s="10" t="s">
        <v>21604</v>
      </c>
      <c r="Y4385" s="6" t="s">
        <v>42</v>
      </c>
      <c r="Z4385" s="4">
        <v>1.11</v>
      </c>
      <c r="AA4385" s="4">
        <v>3.09</v>
      </c>
      <c r="AB4385" s="3" t="s">
        <v>43</v>
      </c>
      <c r="AC4385" s="3" t="s">
        <v>11654</v>
      </c>
      <c r="AD4385" s="9">
        <v>43724</v>
      </c>
      <c r="AE4385" s="3" t="s">
        <v>1422</v>
      </c>
      <c r="AF4385" s="3" t="s">
        <v>4200</v>
      </c>
      <c r="AG4385" s="3" t="s">
        <v>6068</v>
      </c>
      <c r="AH4385" s="11">
        <f>HYPERLINK("https://my.pitchbook.com?c=132816-52T","View Company Online")</f>
      </c>
    </row>
    <row r="4386">
      <c r="A4386" s="12" t="s">
        <v>21605</v>
      </c>
      <c r="B4386" s="12" t="s">
        <v>21606</v>
      </c>
      <c r="C4386" s="19" t="s">
        <v>36</v>
      </c>
      <c r="D4386" s="19" t="s">
        <v>36</v>
      </c>
      <c r="E4386" s="19" t="s">
        <v>36</v>
      </c>
      <c r="F4386" s="19" t="s">
        <v>36</v>
      </c>
      <c r="G4386" s="15" t="s">
        <v>36</v>
      </c>
      <c r="H4386" s="14">
        <v>31.16</v>
      </c>
      <c r="I4386" s="18">
        <v>27.14</v>
      </c>
      <c r="J4386" s="12" t="s">
        <v>521</v>
      </c>
      <c r="K4386" s="13" t="s">
        <v>36</v>
      </c>
      <c r="L4386" s="15" t="s">
        <v>36</v>
      </c>
      <c r="M4386" s="12" t="s">
        <v>36</v>
      </c>
      <c r="N4386" s="12" t="s">
        <v>36</v>
      </c>
      <c r="O4386" s="17" t="s">
        <v>36</v>
      </c>
      <c r="P4386" s="12" t="s">
        <v>36</v>
      </c>
      <c r="Q4386" s="12" t="s">
        <v>36</v>
      </c>
      <c r="R4386" s="12" t="s">
        <v>36</v>
      </c>
      <c r="S4386" s="12" t="s">
        <v>36</v>
      </c>
      <c r="T4386" s="12" t="s">
        <v>21607</v>
      </c>
      <c r="U4386" s="12" t="s">
        <v>38</v>
      </c>
      <c r="V4386" s="12" t="s">
        <v>39</v>
      </c>
      <c r="W4386" s="12" t="s">
        <v>21608</v>
      </c>
      <c r="X4386" s="16" t="s">
        <v>21609</v>
      </c>
      <c r="Y4386" s="15" t="s">
        <v>42</v>
      </c>
      <c r="Z4386" s="14">
        <v>2.21</v>
      </c>
      <c r="AA4386" s="14">
        <v>4.65</v>
      </c>
      <c r="AB4386" s="12" t="s">
        <v>43</v>
      </c>
      <c r="AC4386" s="12" t="s">
        <v>21610</v>
      </c>
      <c r="AD4386" s="13">
        <v>43724</v>
      </c>
      <c r="AE4386" s="12" t="s">
        <v>45</v>
      </c>
      <c r="AF4386" s="12" t="s">
        <v>14056</v>
      </c>
      <c r="AG4386" s="12" t="s">
        <v>81</v>
      </c>
      <c r="AH4386" s="1">
        <f>HYPERLINK("https://my.pitchbook.com?c=123407-38T","View Company Online")</f>
      </c>
    </row>
    <row r="4387">
      <c r="A4387" s="3" t="s">
        <v>21611</v>
      </c>
      <c r="B4387" s="3" t="s">
        <v>1150</v>
      </c>
      <c r="C4387" s="5" t="s">
        <v>36</v>
      </c>
      <c r="D4387" s="5" t="s">
        <v>36</v>
      </c>
      <c r="E4387" s="5" t="s">
        <v>36</v>
      </c>
      <c r="F4387" s="5" t="s">
        <v>36</v>
      </c>
      <c r="G4387" s="6" t="s">
        <v>326</v>
      </c>
      <c r="H4387" s="4">
        <v>87.55</v>
      </c>
      <c r="I4387" s="7">
        <v>11.14</v>
      </c>
      <c r="J4387" s="3" t="s">
        <v>521</v>
      </c>
      <c r="K4387" s="9" t="s">
        <v>36</v>
      </c>
      <c r="L4387" s="6" t="s">
        <v>122</v>
      </c>
      <c r="M4387" s="3" t="s">
        <v>36</v>
      </c>
      <c r="N4387" s="3" t="s">
        <v>122</v>
      </c>
      <c r="O4387" s="8" t="s">
        <v>36</v>
      </c>
      <c r="P4387" s="3" t="s">
        <v>36</v>
      </c>
      <c r="Q4387" s="3" t="s">
        <v>36</v>
      </c>
      <c r="R4387" s="3" t="s">
        <v>36</v>
      </c>
      <c r="S4387" s="3" t="s">
        <v>36</v>
      </c>
      <c r="T4387" s="3" t="s">
        <v>522</v>
      </c>
      <c r="U4387" s="3" t="s">
        <v>38</v>
      </c>
      <c r="V4387" s="3" t="s">
        <v>39</v>
      </c>
      <c r="W4387" s="3" t="s">
        <v>1151</v>
      </c>
      <c r="X4387" s="10" t="s">
        <v>21612</v>
      </c>
      <c r="Y4387" s="6" t="s">
        <v>42</v>
      </c>
      <c r="Z4387" s="4">
        <v>2.26</v>
      </c>
      <c r="AA4387" s="4">
        <v>20.24</v>
      </c>
      <c r="AB4387" s="3" t="s">
        <v>56</v>
      </c>
      <c r="AC4387" s="3" t="s">
        <v>1153</v>
      </c>
      <c r="AD4387" s="9">
        <v>43724</v>
      </c>
      <c r="AE4387" s="3" t="s">
        <v>110</v>
      </c>
      <c r="AF4387" s="3" t="s">
        <v>111</v>
      </c>
      <c r="AG4387" s="3" t="s">
        <v>81</v>
      </c>
      <c r="AH4387" s="11">
        <f>HYPERLINK("https://my.pitchbook.com?c=169533-19T","View Company Online")</f>
      </c>
    </row>
    <row r="4388">
      <c r="A4388" s="12" t="s">
        <v>21613</v>
      </c>
      <c r="B4388" s="12" t="s">
        <v>8846</v>
      </c>
      <c r="C4388" s="19">
        <v>3</v>
      </c>
      <c r="D4388" s="19">
        <v>2</v>
      </c>
      <c r="E4388" s="19">
        <v>5</v>
      </c>
      <c r="F4388" s="19">
        <v>7</v>
      </c>
      <c r="G4388" s="15" t="s">
        <v>326</v>
      </c>
      <c r="H4388" s="14">
        <v>97.37</v>
      </c>
      <c r="I4388" s="18">
        <v>37.82</v>
      </c>
      <c r="J4388" s="12" t="s">
        <v>521</v>
      </c>
      <c r="K4388" s="13" t="s">
        <v>36</v>
      </c>
      <c r="L4388" s="15" t="s">
        <v>36</v>
      </c>
      <c r="M4388" s="12" t="s">
        <v>36</v>
      </c>
      <c r="N4388" s="12" t="s">
        <v>36</v>
      </c>
      <c r="O4388" s="17" t="s">
        <v>36</v>
      </c>
      <c r="P4388" s="12" t="s">
        <v>36</v>
      </c>
      <c r="Q4388" s="12" t="s">
        <v>36</v>
      </c>
      <c r="R4388" s="12" t="s">
        <v>36</v>
      </c>
      <c r="S4388" s="12" t="s">
        <v>36</v>
      </c>
      <c r="T4388" s="12" t="s">
        <v>1188</v>
      </c>
      <c r="U4388" s="12" t="s">
        <v>180</v>
      </c>
      <c r="V4388" s="12" t="s">
        <v>52</v>
      </c>
      <c r="W4388" s="12" t="s">
        <v>8847</v>
      </c>
      <c r="X4388" s="16" t="s">
        <v>8848</v>
      </c>
      <c r="Y4388" s="15" t="s">
        <v>42</v>
      </c>
      <c r="Z4388" s="14">
        <v>3.03</v>
      </c>
      <c r="AA4388" s="14">
        <v>8.01</v>
      </c>
      <c r="AB4388" s="12" t="s">
        <v>43</v>
      </c>
      <c r="AC4388" s="12" t="s">
        <v>8849</v>
      </c>
      <c r="AD4388" s="13">
        <v>43723</v>
      </c>
      <c r="AE4388" s="12" t="s">
        <v>1192</v>
      </c>
      <c r="AF4388" s="12" t="s">
        <v>261</v>
      </c>
      <c r="AG4388" s="12" t="s">
        <v>8850</v>
      </c>
      <c r="AH4388" s="1">
        <f>HYPERLINK("https://my.pitchbook.com?c=136781-74T","View Company Online")</f>
      </c>
    </row>
    <row r="4389">
      <c r="A4389" s="3" t="s">
        <v>21614</v>
      </c>
      <c r="B4389" s="3" t="s">
        <v>21615</v>
      </c>
      <c r="C4389" s="5" t="s">
        <v>36</v>
      </c>
      <c r="D4389" s="5" t="s">
        <v>36</v>
      </c>
      <c r="E4389" s="5" t="s">
        <v>36</v>
      </c>
      <c r="F4389" s="5" t="s">
        <v>36</v>
      </c>
      <c r="G4389" s="6" t="s">
        <v>36</v>
      </c>
      <c r="H4389" s="4">
        <v>10.39</v>
      </c>
      <c r="I4389" s="7">
        <v>30.66</v>
      </c>
      <c r="J4389" s="3" t="s">
        <v>521</v>
      </c>
      <c r="K4389" s="9">
        <v>43706</v>
      </c>
      <c r="L4389" s="6" t="s">
        <v>94</v>
      </c>
      <c r="M4389" s="3" t="s">
        <v>36</v>
      </c>
      <c r="N4389" s="3" t="s">
        <v>94</v>
      </c>
      <c r="O4389" s="8" t="s">
        <v>36</v>
      </c>
      <c r="P4389" s="3" t="s">
        <v>36</v>
      </c>
      <c r="Q4389" s="3" t="s">
        <v>36</v>
      </c>
      <c r="R4389" s="3" t="s">
        <v>36</v>
      </c>
      <c r="S4389" s="3" t="s">
        <v>2699</v>
      </c>
      <c r="T4389" s="3" t="s">
        <v>21616</v>
      </c>
      <c r="U4389" s="3" t="s">
        <v>619</v>
      </c>
      <c r="V4389" s="3" t="s">
        <v>378</v>
      </c>
      <c r="W4389" s="3" t="s">
        <v>21617</v>
      </c>
      <c r="X4389" s="10" t="s">
        <v>21618</v>
      </c>
      <c r="Y4389" s="6" t="s">
        <v>108</v>
      </c>
      <c r="Z4389" s="4">
        <v>4.98</v>
      </c>
      <c r="AA4389" s="4">
        <v>16.24</v>
      </c>
      <c r="AB4389" s="3" t="s">
        <v>56</v>
      </c>
      <c r="AC4389" s="3" t="s">
        <v>21619</v>
      </c>
      <c r="AD4389" s="9">
        <v>43721</v>
      </c>
      <c r="AE4389" s="3" t="s">
        <v>3891</v>
      </c>
      <c r="AF4389" s="3" t="s">
        <v>3892</v>
      </c>
      <c r="AG4389" s="3" t="s">
        <v>5504</v>
      </c>
      <c r="AH4389" s="11">
        <f>HYPERLINK("https://my.pitchbook.com?c=123344-02T","View Company Online")</f>
      </c>
    </row>
    <row r="4390">
      <c r="A4390" s="12" t="s">
        <v>21620</v>
      </c>
      <c r="B4390" s="12" t="s">
        <v>21621</v>
      </c>
      <c r="C4390" s="19" t="s">
        <v>36</v>
      </c>
      <c r="D4390" s="19" t="s">
        <v>36</v>
      </c>
      <c r="E4390" s="19">
        <v>1</v>
      </c>
      <c r="F4390" s="19">
        <v>1</v>
      </c>
      <c r="G4390" s="15" t="s">
        <v>36</v>
      </c>
      <c r="H4390" s="14" t="s">
        <v>36</v>
      </c>
      <c r="I4390" s="18" t="s">
        <v>36</v>
      </c>
      <c r="J4390" s="12" t="s">
        <v>36</v>
      </c>
      <c r="K4390" s="13" t="s">
        <v>36</v>
      </c>
      <c r="L4390" s="15" t="s">
        <v>36</v>
      </c>
      <c r="M4390" s="12" t="s">
        <v>36</v>
      </c>
      <c r="N4390" s="12" t="s">
        <v>36</v>
      </c>
      <c r="O4390" s="17" t="s">
        <v>36</v>
      </c>
      <c r="P4390" s="12" t="s">
        <v>36</v>
      </c>
      <c r="Q4390" s="12" t="s">
        <v>36</v>
      </c>
      <c r="R4390" s="12" t="s">
        <v>36</v>
      </c>
      <c r="S4390" s="12" t="s">
        <v>36</v>
      </c>
      <c r="T4390" s="12" t="s">
        <v>21622</v>
      </c>
      <c r="U4390" s="12" t="s">
        <v>38</v>
      </c>
      <c r="V4390" s="12" t="s">
        <v>39</v>
      </c>
      <c r="W4390" s="12" t="s">
        <v>21623</v>
      </c>
      <c r="X4390" s="16" t="s">
        <v>21624</v>
      </c>
      <c r="Y4390" s="15" t="s">
        <v>42</v>
      </c>
      <c r="Z4390" s="14">
        <v>1.22</v>
      </c>
      <c r="AA4390" s="14" t="s">
        <v>36</v>
      </c>
      <c r="AB4390" s="12" t="s">
        <v>43</v>
      </c>
      <c r="AC4390" s="12" t="s">
        <v>21625</v>
      </c>
      <c r="AD4390" s="13">
        <v>43721</v>
      </c>
      <c r="AE4390" s="12" t="s">
        <v>688</v>
      </c>
      <c r="AF4390" s="12" t="s">
        <v>1077</v>
      </c>
      <c r="AG4390" s="12" t="s">
        <v>81</v>
      </c>
      <c r="AH4390" s="1">
        <f>HYPERLINK("https://my.pitchbook.com?c=123586-93T","View Company Online")</f>
      </c>
    </row>
    <row r="4391">
      <c r="A4391" s="3" t="s">
        <v>21626</v>
      </c>
      <c r="B4391" s="3" t="s">
        <v>21627</v>
      </c>
      <c r="C4391" s="5" t="s">
        <v>36</v>
      </c>
      <c r="D4391" s="5">
        <v>2</v>
      </c>
      <c r="E4391" s="5">
        <v>2</v>
      </c>
      <c r="F4391" s="5">
        <v>3</v>
      </c>
      <c r="G4391" s="6" t="s">
        <v>36</v>
      </c>
      <c r="H4391" s="4" t="s">
        <v>36</v>
      </c>
      <c r="I4391" s="7" t="s">
        <v>36</v>
      </c>
      <c r="J4391" s="3" t="s">
        <v>36</v>
      </c>
      <c r="K4391" s="9" t="s">
        <v>36</v>
      </c>
      <c r="L4391" s="6" t="s">
        <v>36</v>
      </c>
      <c r="M4391" s="3" t="s">
        <v>36</v>
      </c>
      <c r="N4391" s="3" t="s">
        <v>36</v>
      </c>
      <c r="O4391" s="8" t="s">
        <v>36</v>
      </c>
      <c r="P4391" s="3" t="s">
        <v>36</v>
      </c>
      <c r="Q4391" s="3" t="s">
        <v>36</v>
      </c>
      <c r="R4391" s="3" t="s">
        <v>36</v>
      </c>
      <c r="S4391" s="3" t="s">
        <v>2699</v>
      </c>
      <c r="T4391" s="3" t="s">
        <v>13798</v>
      </c>
      <c r="U4391" s="3" t="s">
        <v>619</v>
      </c>
      <c r="V4391" s="3" t="s">
        <v>378</v>
      </c>
      <c r="W4391" s="3" t="s">
        <v>21628</v>
      </c>
      <c r="X4391" s="10" t="s">
        <v>21629</v>
      </c>
      <c r="Y4391" s="6" t="s">
        <v>55</v>
      </c>
      <c r="Z4391" s="4">
        <v>4.76</v>
      </c>
      <c r="AA4391" s="4" t="s">
        <v>36</v>
      </c>
      <c r="AB4391" s="3" t="s">
        <v>56</v>
      </c>
      <c r="AC4391" s="3" t="s">
        <v>21630</v>
      </c>
      <c r="AD4391" s="9">
        <v>43721</v>
      </c>
      <c r="AE4391" s="3" t="s">
        <v>2040</v>
      </c>
      <c r="AF4391" s="3" t="s">
        <v>21631</v>
      </c>
      <c r="AG4391" s="3" t="s">
        <v>21632</v>
      </c>
      <c r="AH4391" s="11">
        <f>HYPERLINK("https://my.pitchbook.com?c=138166-03T","View Company Online")</f>
      </c>
    </row>
    <row r="4392">
      <c r="A4392" s="12" t="s">
        <v>21633</v>
      </c>
      <c r="B4392" s="12" t="s">
        <v>21634</v>
      </c>
      <c r="C4392" s="19" t="s">
        <v>36</v>
      </c>
      <c r="D4392" s="19" t="s">
        <v>36</v>
      </c>
      <c r="E4392" s="19" t="s">
        <v>36</v>
      </c>
      <c r="F4392" s="19" t="s">
        <v>36</v>
      </c>
      <c r="G4392" s="15" t="s">
        <v>326</v>
      </c>
      <c r="H4392" s="14">
        <v>86.59</v>
      </c>
      <c r="I4392" s="18">
        <v>23.56</v>
      </c>
      <c r="J4392" s="12" t="s">
        <v>521</v>
      </c>
      <c r="K4392" s="13" t="s">
        <v>36</v>
      </c>
      <c r="L4392" s="15" t="s">
        <v>36</v>
      </c>
      <c r="M4392" s="12" t="s">
        <v>36</v>
      </c>
      <c r="N4392" s="12" t="s">
        <v>36</v>
      </c>
      <c r="O4392" s="17" t="s">
        <v>36</v>
      </c>
      <c r="P4392" s="12" t="s">
        <v>36</v>
      </c>
      <c r="Q4392" s="12" t="s">
        <v>36</v>
      </c>
      <c r="R4392" s="12" t="s">
        <v>36</v>
      </c>
      <c r="S4392" s="12" t="s">
        <v>36</v>
      </c>
      <c r="T4392" s="12" t="s">
        <v>3397</v>
      </c>
      <c r="U4392" s="12" t="s">
        <v>423</v>
      </c>
      <c r="V4392" s="12" t="s">
        <v>64</v>
      </c>
      <c r="W4392" s="12" t="s">
        <v>21635</v>
      </c>
      <c r="X4392" s="16" t="s">
        <v>21636</v>
      </c>
      <c r="Y4392" s="15" t="s">
        <v>55</v>
      </c>
      <c r="Z4392" s="14">
        <v>1.99</v>
      </c>
      <c r="AA4392" s="14">
        <v>4.34</v>
      </c>
      <c r="AB4392" s="12" t="s">
        <v>43</v>
      </c>
      <c r="AC4392" s="12" t="s">
        <v>21637</v>
      </c>
      <c r="AD4392" s="13">
        <v>43721</v>
      </c>
      <c r="AE4392" s="12" t="s">
        <v>562</v>
      </c>
      <c r="AF4392" s="12" t="s">
        <v>21638</v>
      </c>
      <c r="AG4392" s="12" t="s">
        <v>81</v>
      </c>
      <c r="AH4392" s="1">
        <f>HYPERLINK("https://my.pitchbook.com?c=139521-52T","View Company Online")</f>
      </c>
    </row>
    <row r="4393">
      <c r="A4393" s="3" t="s">
        <v>21639</v>
      </c>
      <c r="B4393" s="3" t="s">
        <v>13155</v>
      </c>
      <c r="C4393" s="5" t="s">
        <v>36</v>
      </c>
      <c r="D4393" s="5" t="s">
        <v>36</v>
      </c>
      <c r="E4393" s="5" t="s">
        <v>36</v>
      </c>
      <c r="F4393" s="5" t="s">
        <v>36</v>
      </c>
      <c r="G4393" s="6" t="s">
        <v>326</v>
      </c>
      <c r="H4393" s="4">
        <v>8.12</v>
      </c>
      <c r="I4393" s="7">
        <v>35.83</v>
      </c>
      <c r="J4393" s="3" t="s">
        <v>521</v>
      </c>
      <c r="K4393" s="9" t="s">
        <v>36</v>
      </c>
      <c r="L4393" s="6" t="s">
        <v>1279</v>
      </c>
      <c r="M4393" s="3" t="s">
        <v>36</v>
      </c>
      <c r="N4393" s="3" t="s">
        <v>1279</v>
      </c>
      <c r="O4393" s="8" t="s">
        <v>36</v>
      </c>
      <c r="P4393" s="3" t="s">
        <v>36</v>
      </c>
      <c r="Q4393" s="3" t="s">
        <v>36</v>
      </c>
      <c r="R4393" s="3" t="s">
        <v>36</v>
      </c>
      <c r="S4393" s="3" t="s">
        <v>36</v>
      </c>
      <c r="T4393" s="3" t="s">
        <v>522</v>
      </c>
      <c r="U4393" s="3" t="s">
        <v>38</v>
      </c>
      <c r="V4393" s="3" t="s">
        <v>39</v>
      </c>
      <c r="W4393" s="3" t="s">
        <v>13156</v>
      </c>
      <c r="X4393" s="10" t="s">
        <v>21640</v>
      </c>
      <c r="Y4393" s="6" t="s">
        <v>166</v>
      </c>
      <c r="Z4393" s="4">
        <v>50.91</v>
      </c>
      <c r="AA4393" s="4">
        <v>126.63</v>
      </c>
      <c r="AB4393" s="3" t="s">
        <v>56</v>
      </c>
      <c r="AC4393" s="3" t="s">
        <v>13158</v>
      </c>
      <c r="AD4393" s="9">
        <v>43720</v>
      </c>
      <c r="AE4393" s="3" t="s">
        <v>110</v>
      </c>
      <c r="AF4393" s="3" t="s">
        <v>4552</v>
      </c>
      <c r="AG4393" s="3" t="s">
        <v>186</v>
      </c>
      <c r="AH4393" s="11">
        <f>HYPERLINK("https://my.pitchbook.com?c=123267-34T","View Company Online")</f>
      </c>
    </row>
    <row r="4394">
      <c r="A4394" s="12" t="s">
        <v>21641</v>
      </c>
      <c r="B4394" s="12" t="s">
        <v>9264</v>
      </c>
      <c r="C4394" s="19">
        <v>17</v>
      </c>
      <c r="D4394" s="19">
        <v>24</v>
      </c>
      <c r="E4394" s="19">
        <v>14</v>
      </c>
      <c r="F4394" s="19">
        <v>43</v>
      </c>
      <c r="G4394" s="15" t="s">
        <v>2497</v>
      </c>
      <c r="H4394" s="14">
        <v>337.05</v>
      </c>
      <c r="I4394" s="18">
        <v>38.75</v>
      </c>
      <c r="J4394" s="12" t="s">
        <v>521</v>
      </c>
      <c r="K4394" s="13" t="s">
        <v>36</v>
      </c>
      <c r="L4394" s="15" t="s">
        <v>122</v>
      </c>
      <c r="M4394" s="12" t="s">
        <v>36</v>
      </c>
      <c r="N4394" s="12" t="s">
        <v>122</v>
      </c>
      <c r="O4394" s="17" t="s">
        <v>36</v>
      </c>
      <c r="P4394" s="12" t="s">
        <v>36</v>
      </c>
      <c r="Q4394" s="12" t="s">
        <v>36</v>
      </c>
      <c r="R4394" s="12" t="s">
        <v>36</v>
      </c>
      <c r="S4394" s="12" t="s">
        <v>36</v>
      </c>
      <c r="T4394" s="12" t="s">
        <v>9265</v>
      </c>
      <c r="U4394" s="12" t="s">
        <v>423</v>
      </c>
      <c r="V4394" s="12" t="s">
        <v>64</v>
      </c>
      <c r="W4394" s="12" t="s">
        <v>9266</v>
      </c>
      <c r="X4394" s="16" t="s">
        <v>21642</v>
      </c>
      <c r="Y4394" s="15" t="s">
        <v>108</v>
      </c>
      <c r="Z4394" s="14">
        <v>3.41</v>
      </c>
      <c r="AA4394" s="14">
        <v>8.8</v>
      </c>
      <c r="AB4394" s="12" t="s">
        <v>56</v>
      </c>
      <c r="AC4394" s="12" t="s">
        <v>9268</v>
      </c>
      <c r="AD4394" s="13">
        <v>43720</v>
      </c>
      <c r="AE4394" s="12" t="s">
        <v>562</v>
      </c>
      <c r="AF4394" s="12" t="s">
        <v>1612</v>
      </c>
      <c r="AG4394" s="12" t="s">
        <v>81</v>
      </c>
      <c r="AH4394" s="1">
        <f>HYPERLINK("https://my.pitchbook.com?c=134669-17T","View Company Online")</f>
      </c>
    </row>
    <row r="4395">
      <c r="A4395" s="3" t="s">
        <v>21643</v>
      </c>
      <c r="B4395" s="3" t="s">
        <v>8341</v>
      </c>
      <c r="C4395" s="5" t="s">
        <v>36</v>
      </c>
      <c r="D4395" s="5">
        <v>5</v>
      </c>
      <c r="E4395" s="5">
        <v>1</v>
      </c>
      <c r="F4395" s="5">
        <v>6</v>
      </c>
      <c r="G4395" s="6" t="s">
        <v>36</v>
      </c>
      <c r="H4395" s="4" t="s">
        <v>36</v>
      </c>
      <c r="I4395" s="7" t="s">
        <v>36</v>
      </c>
      <c r="J4395" s="3" t="s">
        <v>36</v>
      </c>
      <c r="K4395" s="9" t="s">
        <v>36</v>
      </c>
      <c r="L4395" s="6" t="s">
        <v>36</v>
      </c>
      <c r="M4395" s="3" t="s">
        <v>36</v>
      </c>
      <c r="N4395" s="3" t="s">
        <v>36</v>
      </c>
      <c r="O4395" s="8" t="s">
        <v>36</v>
      </c>
      <c r="P4395" s="3" t="s">
        <v>36</v>
      </c>
      <c r="Q4395" s="3" t="s">
        <v>36</v>
      </c>
      <c r="R4395" s="3" t="s">
        <v>36</v>
      </c>
      <c r="S4395" s="3" t="s">
        <v>36</v>
      </c>
      <c r="T4395" s="3" t="s">
        <v>8342</v>
      </c>
      <c r="U4395" s="3" t="s">
        <v>85</v>
      </c>
      <c r="V4395" s="3" t="s">
        <v>64</v>
      </c>
      <c r="W4395" s="3" t="s">
        <v>8343</v>
      </c>
      <c r="X4395" s="10" t="s">
        <v>21644</v>
      </c>
      <c r="Y4395" s="6" t="s">
        <v>108</v>
      </c>
      <c r="Z4395" s="4">
        <v>5.53</v>
      </c>
      <c r="AA4395" s="4" t="s">
        <v>36</v>
      </c>
      <c r="AB4395" s="3" t="s">
        <v>56</v>
      </c>
      <c r="AC4395" s="3" t="s">
        <v>8345</v>
      </c>
      <c r="AD4395" s="9">
        <v>43720</v>
      </c>
      <c r="AE4395" s="3" t="s">
        <v>2823</v>
      </c>
      <c r="AF4395" s="3" t="s">
        <v>1507</v>
      </c>
      <c r="AG4395" s="3" t="s">
        <v>186</v>
      </c>
      <c r="AH4395" s="11">
        <f>HYPERLINK("https://my.pitchbook.com?c=136612-18T","View Company Online")</f>
      </c>
    </row>
    <row r="4396">
      <c r="A4396" s="12" t="s">
        <v>21645</v>
      </c>
      <c r="B4396" s="12" t="s">
        <v>6832</v>
      </c>
      <c r="C4396" s="19">
        <v>1</v>
      </c>
      <c r="D4396" s="19">
        <v>2</v>
      </c>
      <c r="E4396" s="19">
        <v>1</v>
      </c>
      <c r="F4396" s="19">
        <v>3</v>
      </c>
      <c r="G4396" s="15" t="s">
        <v>36</v>
      </c>
      <c r="H4396" s="14">
        <v>830.85</v>
      </c>
      <c r="I4396" s="18">
        <v>42.46</v>
      </c>
      <c r="J4396" s="12" t="s">
        <v>521</v>
      </c>
      <c r="K4396" s="13" t="s">
        <v>36</v>
      </c>
      <c r="L4396" s="15" t="s">
        <v>36</v>
      </c>
      <c r="M4396" s="12" t="s">
        <v>36</v>
      </c>
      <c r="N4396" s="12" t="s">
        <v>36</v>
      </c>
      <c r="O4396" s="17" t="s">
        <v>36</v>
      </c>
      <c r="P4396" s="12" t="s">
        <v>36</v>
      </c>
      <c r="Q4396" s="12" t="s">
        <v>36</v>
      </c>
      <c r="R4396" s="12" t="s">
        <v>36</v>
      </c>
      <c r="S4396" s="12" t="s">
        <v>36</v>
      </c>
      <c r="T4396" s="12" t="s">
        <v>6833</v>
      </c>
      <c r="U4396" s="12" t="s">
        <v>74</v>
      </c>
      <c r="V4396" s="12" t="s">
        <v>75</v>
      </c>
      <c r="W4396" s="12" t="s">
        <v>6834</v>
      </c>
      <c r="X4396" s="16" t="s">
        <v>21646</v>
      </c>
      <c r="Y4396" s="15" t="s">
        <v>42</v>
      </c>
      <c r="Z4396" s="14">
        <v>0.65</v>
      </c>
      <c r="AA4396" s="14">
        <v>1.54</v>
      </c>
      <c r="AB4396" s="12" t="s">
        <v>43</v>
      </c>
      <c r="AC4396" s="12" t="s">
        <v>6836</v>
      </c>
      <c r="AD4396" s="13">
        <v>43720</v>
      </c>
      <c r="AE4396" s="12" t="s">
        <v>570</v>
      </c>
      <c r="AF4396" s="12" t="s">
        <v>372</v>
      </c>
      <c r="AG4396" s="12" t="s">
        <v>186</v>
      </c>
      <c r="AH4396" s="1">
        <f>HYPERLINK("https://my.pitchbook.com?c=132332-32T","View Company Online")</f>
      </c>
    </row>
    <row r="4397">
      <c r="A4397" s="3" t="s">
        <v>21647</v>
      </c>
      <c r="B4397" s="3" t="s">
        <v>18214</v>
      </c>
      <c r="C4397" s="5" t="s">
        <v>36</v>
      </c>
      <c r="D4397" s="5" t="s">
        <v>36</v>
      </c>
      <c r="E4397" s="5" t="s">
        <v>36</v>
      </c>
      <c r="F4397" s="5" t="s">
        <v>36</v>
      </c>
      <c r="G4397" s="6" t="s">
        <v>326</v>
      </c>
      <c r="H4397" s="4">
        <v>949.15</v>
      </c>
      <c r="I4397" s="7">
        <v>26.5</v>
      </c>
      <c r="J4397" s="3" t="s">
        <v>521</v>
      </c>
      <c r="K4397" s="9">
        <v>43623</v>
      </c>
      <c r="L4397" s="6" t="s">
        <v>122</v>
      </c>
      <c r="M4397" s="3" t="s">
        <v>36</v>
      </c>
      <c r="N4397" s="3" t="s">
        <v>122</v>
      </c>
      <c r="O4397" s="8" t="s">
        <v>36</v>
      </c>
      <c r="P4397" s="3" t="s">
        <v>36</v>
      </c>
      <c r="Q4397" s="3" t="s">
        <v>36</v>
      </c>
      <c r="R4397" s="3" t="s">
        <v>36</v>
      </c>
      <c r="S4397" s="3" t="s">
        <v>14408</v>
      </c>
      <c r="T4397" s="3" t="s">
        <v>335</v>
      </c>
      <c r="U4397" s="3" t="s">
        <v>38</v>
      </c>
      <c r="V4397" s="3" t="s">
        <v>39</v>
      </c>
      <c r="W4397" s="3" t="s">
        <v>18215</v>
      </c>
      <c r="X4397" s="10" t="s">
        <v>21648</v>
      </c>
      <c r="Y4397" s="6" t="s">
        <v>108</v>
      </c>
      <c r="Z4397" s="4">
        <v>5.09</v>
      </c>
      <c r="AA4397" s="4">
        <v>17.2</v>
      </c>
      <c r="AB4397" s="3" t="s">
        <v>43</v>
      </c>
      <c r="AC4397" s="3" t="s">
        <v>18217</v>
      </c>
      <c r="AD4397" s="9">
        <v>43720</v>
      </c>
      <c r="AE4397" s="3" t="s">
        <v>339</v>
      </c>
      <c r="AF4397" s="3" t="s">
        <v>176</v>
      </c>
      <c r="AG4397" s="3" t="s">
        <v>81</v>
      </c>
      <c r="AH4397" s="11">
        <f>HYPERLINK("https://my.pitchbook.com?c=124019-56T","View Company Online")</f>
      </c>
    </row>
    <row r="4398">
      <c r="A4398" s="12" t="s">
        <v>21649</v>
      </c>
      <c r="B4398" s="12" t="s">
        <v>16933</v>
      </c>
      <c r="C4398" s="19" t="s">
        <v>36</v>
      </c>
      <c r="D4398" s="19" t="s">
        <v>36</v>
      </c>
      <c r="E4398" s="19" t="s">
        <v>36</v>
      </c>
      <c r="F4398" s="19" t="s">
        <v>36</v>
      </c>
      <c r="G4398" s="15" t="s">
        <v>36</v>
      </c>
      <c r="H4398" s="14">
        <v>2.08</v>
      </c>
      <c r="I4398" s="18">
        <v>49.75</v>
      </c>
      <c r="J4398" s="12" t="s">
        <v>521</v>
      </c>
      <c r="K4398" s="13" t="s">
        <v>36</v>
      </c>
      <c r="L4398" s="15" t="s">
        <v>36</v>
      </c>
      <c r="M4398" s="12" t="s">
        <v>36</v>
      </c>
      <c r="N4398" s="12" t="s">
        <v>36</v>
      </c>
      <c r="O4398" s="17" t="s">
        <v>36</v>
      </c>
      <c r="P4398" s="12" t="s">
        <v>36</v>
      </c>
      <c r="Q4398" s="12" t="s">
        <v>36</v>
      </c>
      <c r="R4398" s="12" t="s">
        <v>36</v>
      </c>
      <c r="S4398" s="12" t="s">
        <v>3563</v>
      </c>
      <c r="T4398" s="12" t="s">
        <v>4601</v>
      </c>
      <c r="U4398" s="12" t="s">
        <v>38</v>
      </c>
      <c r="V4398" s="12" t="s">
        <v>39</v>
      </c>
      <c r="W4398" s="12" t="s">
        <v>16934</v>
      </c>
      <c r="X4398" s="16" t="s">
        <v>21650</v>
      </c>
      <c r="Y4398" s="15" t="s">
        <v>42</v>
      </c>
      <c r="Z4398" s="14">
        <v>0.55</v>
      </c>
      <c r="AA4398" s="14">
        <v>1.11</v>
      </c>
      <c r="AB4398" s="12" t="s">
        <v>43</v>
      </c>
      <c r="AC4398" s="12" t="s">
        <v>16935</v>
      </c>
      <c r="AD4398" s="13">
        <v>43720</v>
      </c>
      <c r="AE4398" s="12" t="s">
        <v>110</v>
      </c>
      <c r="AF4398" s="12" t="s">
        <v>5001</v>
      </c>
      <c r="AG4398" s="12" t="s">
        <v>741</v>
      </c>
      <c r="AH4398" s="1">
        <f>HYPERLINK("https://my.pitchbook.com?c=125881-12T","View Company Online")</f>
      </c>
    </row>
    <row r="4399">
      <c r="A4399" s="3" t="s">
        <v>21651</v>
      </c>
      <c r="B4399" s="3" t="s">
        <v>21652</v>
      </c>
      <c r="C4399" s="5" t="s">
        <v>36</v>
      </c>
      <c r="D4399" s="5" t="s">
        <v>36</v>
      </c>
      <c r="E4399" s="5" t="s">
        <v>36</v>
      </c>
      <c r="F4399" s="5" t="s">
        <v>36</v>
      </c>
      <c r="G4399" s="6" t="s">
        <v>36</v>
      </c>
      <c r="H4399" s="4">
        <v>26.6</v>
      </c>
      <c r="I4399" s="7">
        <v>28.77</v>
      </c>
      <c r="J4399" s="3" t="s">
        <v>521</v>
      </c>
      <c r="K4399" s="9" t="s">
        <v>36</v>
      </c>
      <c r="L4399" s="6" t="s">
        <v>36</v>
      </c>
      <c r="M4399" s="3" t="s">
        <v>36</v>
      </c>
      <c r="N4399" s="3" t="s">
        <v>36</v>
      </c>
      <c r="O4399" s="8" t="s">
        <v>36</v>
      </c>
      <c r="P4399" s="3" t="s">
        <v>36</v>
      </c>
      <c r="Q4399" s="3" t="s">
        <v>36</v>
      </c>
      <c r="R4399" s="3" t="s">
        <v>36</v>
      </c>
      <c r="S4399" s="3" t="s">
        <v>36</v>
      </c>
      <c r="T4399" s="3" t="s">
        <v>21653</v>
      </c>
      <c r="U4399" s="3" t="s">
        <v>289</v>
      </c>
      <c r="V4399" s="3" t="s">
        <v>64</v>
      </c>
      <c r="W4399" s="3" t="s">
        <v>21654</v>
      </c>
      <c r="X4399" s="10" t="s">
        <v>21655</v>
      </c>
      <c r="Y4399" s="6" t="s">
        <v>42</v>
      </c>
      <c r="Z4399" s="4">
        <v>1.12</v>
      </c>
      <c r="AA4399" s="4">
        <v>3.9</v>
      </c>
      <c r="AB4399" s="3" t="s">
        <v>56</v>
      </c>
      <c r="AC4399" s="3" t="s">
        <v>21656</v>
      </c>
      <c r="AD4399" s="9">
        <v>43720</v>
      </c>
      <c r="AE4399" s="3" t="s">
        <v>3134</v>
      </c>
      <c r="AF4399" s="3" t="s">
        <v>90</v>
      </c>
      <c r="AG4399" s="3" t="s">
        <v>81</v>
      </c>
      <c r="AH4399" s="11">
        <f>HYPERLINK("https://my.pitchbook.com?c=160120-36T","View Company Online")</f>
      </c>
    </row>
    <row r="4400">
      <c r="A4400" s="12" t="s">
        <v>21657</v>
      </c>
      <c r="B4400" s="12" t="s">
        <v>4272</v>
      </c>
      <c r="C4400" s="19" t="s">
        <v>36</v>
      </c>
      <c r="D4400" s="19" t="s">
        <v>36</v>
      </c>
      <c r="E4400" s="19" t="s">
        <v>36</v>
      </c>
      <c r="F4400" s="19" t="s">
        <v>36</v>
      </c>
      <c r="G4400" s="15" t="s">
        <v>36</v>
      </c>
      <c r="H4400" s="14" t="s">
        <v>36</v>
      </c>
      <c r="I4400" s="18" t="s">
        <v>36</v>
      </c>
      <c r="J4400" s="12" t="s">
        <v>36</v>
      </c>
      <c r="K4400" s="13" t="s">
        <v>36</v>
      </c>
      <c r="L4400" s="15" t="s">
        <v>36</v>
      </c>
      <c r="M4400" s="12" t="s">
        <v>36</v>
      </c>
      <c r="N4400" s="12" t="s">
        <v>36</v>
      </c>
      <c r="O4400" s="17" t="s">
        <v>36</v>
      </c>
      <c r="P4400" s="12" t="s">
        <v>36</v>
      </c>
      <c r="Q4400" s="12" t="s">
        <v>36</v>
      </c>
      <c r="R4400" s="12" t="s">
        <v>36</v>
      </c>
      <c r="S4400" s="12" t="s">
        <v>36</v>
      </c>
      <c r="T4400" s="12" t="s">
        <v>105</v>
      </c>
      <c r="U4400" s="12" t="s">
        <v>38</v>
      </c>
      <c r="V4400" s="12" t="s">
        <v>39</v>
      </c>
      <c r="W4400" s="12" t="s">
        <v>4273</v>
      </c>
      <c r="X4400" s="16" t="s">
        <v>1840</v>
      </c>
      <c r="Y4400" s="15" t="s">
        <v>42</v>
      </c>
      <c r="Z4400" s="14">
        <v>0.44</v>
      </c>
      <c r="AA4400" s="14" t="s">
        <v>36</v>
      </c>
      <c r="AB4400" s="12" t="s">
        <v>43</v>
      </c>
      <c r="AC4400" s="12" t="s">
        <v>4275</v>
      </c>
      <c r="AD4400" s="13">
        <v>43720</v>
      </c>
      <c r="AE4400" s="12" t="s">
        <v>110</v>
      </c>
      <c r="AF4400" s="12" t="s">
        <v>4276</v>
      </c>
      <c r="AG4400" s="12" t="s">
        <v>4277</v>
      </c>
      <c r="AH4400" s="1">
        <f>HYPERLINK("https://my.pitchbook.com?c=206893-36T","View Company Online")</f>
      </c>
    </row>
    <row r="4401">
      <c r="A4401" s="3" t="s">
        <v>21658</v>
      </c>
      <c r="B4401" s="3" t="s">
        <v>21659</v>
      </c>
      <c r="C4401" s="5" t="s">
        <v>36</v>
      </c>
      <c r="D4401" s="5" t="s">
        <v>36</v>
      </c>
      <c r="E4401" s="5" t="s">
        <v>36</v>
      </c>
      <c r="F4401" s="5" t="s">
        <v>36</v>
      </c>
      <c r="G4401" s="6" t="s">
        <v>36</v>
      </c>
      <c r="H4401" s="4">
        <v>57.12</v>
      </c>
      <c r="I4401" s="7">
        <v>24.28</v>
      </c>
      <c r="J4401" s="3" t="s">
        <v>521</v>
      </c>
      <c r="K4401" s="9" t="s">
        <v>36</v>
      </c>
      <c r="L4401" s="6" t="s">
        <v>36</v>
      </c>
      <c r="M4401" s="3" t="s">
        <v>36</v>
      </c>
      <c r="N4401" s="3" t="s">
        <v>36</v>
      </c>
      <c r="O4401" s="8" t="s">
        <v>36</v>
      </c>
      <c r="P4401" s="3" t="s">
        <v>36</v>
      </c>
      <c r="Q4401" s="3" t="s">
        <v>36</v>
      </c>
      <c r="R4401" s="3" t="s">
        <v>36</v>
      </c>
      <c r="S4401" s="3" t="s">
        <v>36</v>
      </c>
      <c r="T4401" s="3" t="s">
        <v>550</v>
      </c>
      <c r="U4401" s="3" t="s">
        <v>38</v>
      </c>
      <c r="V4401" s="3" t="s">
        <v>39</v>
      </c>
      <c r="W4401" s="3" t="s">
        <v>21660</v>
      </c>
      <c r="X4401" s="10" t="s">
        <v>10625</v>
      </c>
      <c r="Y4401" s="6" t="s">
        <v>42</v>
      </c>
      <c r="Z4401" s="4">
        <v>0.2</v>
      </c>
      <c r="AA4401" s="4">
        <v>0.8</v>
      </c>
      <c r="AB4401" s="3" t="s">
        <v>43</v>
      </c>
      <c r="AC4401" s="3" t="s">
        <v>21661</v>
      </c>
      <c r="AD4401" s="9">
        <v>43720</v>
      </c>
      <c r="AE4401" s="3" t="s">
        <v>554</v>
      </c>
      <c r="AF4401" s="3" t="s">
        <v>5769</v>
      </c>
      <c r="AG4401" s="3" t="s">
        <v>81</v>
      </c>
      <c r="AH4401" s="11">
        <f>HYPERLINK("https://my.pitchbook.com?c=203674-42T","View Company Online")</f>
      </c>
    </row>
    <row r="4402">
      <c r="A4402" s="12" t="s">
        <v>21662</v>
      </c>
      <c r="B4402" s="12" t="s">
        <v>21663</v>
      </c>
      <c r="C4402" s="19" t="s">
        <v>36</v>
      </c>
      <c r="D4402" s="19" t="s">
        <v>36</v>
      </c>
      <c r="E4402" s="19" t="s">
        <v>36</v>
      </c>
      <c r="F4402" s="19" t="s">
        <v>36</v>
      </c>
      <c r="G4402" s="15" t="s">
        <v>36</v>
      </c>
      <c r="H4402" s="14">
        <v>283.53</v>
      </c>
      <c r="I4402" s="18">
        <v>27.89</v>
      </c>
      <c r="J4402" s="12" t="s">
        <v>521</v>
      </c>
      <c r="K4402" s="13" t="s">
        <v>36</v>
      </c>
      <c r="L4402" s="15" t="s">
        <v>122</v>
      </c>
      <c r="M4402" s="12" t="s">
        <v>36</v>
      </c>
      <c r="N4402" s="12" t="s">
        <v>122</v>
      </c>
      <c r="O4402" s="17" t="s">
        <v>36</v>
      </c>
      <c r="P4402" s="12" t="s">
        <v>36</v>
      </c>
      <c r="Q4402" s="12" t="s">
        <v>36</v>
      </c>
      <c r="R4402" s="12" t="s">
        <v>36</v>
      </c>
      <c r="S4402" s="12" t="s">
        <v>36</v>
      </c>
      <c r="T4402" s="12" t="s">
        <v>21664</v>
      </c>
      <c r="U4402" s="12" t="s">
        <v>404</v>
      </c>
      <c r="V4402" s="12" t="s">
        <v>405</v>
      </c>
      <c r="W4402" s="12" t="s">
        <v>21665</v>
      </c>
      <c r="X4402" s="16" t="s">
        <v>21666</v>
      </c>
      <c r="Y4402" s="15" t="s">
        <v>42</v>
      </c>
      <c r="Z4402" s="14">
        <v>4.43</v>
      </c>
      <c r="AA4402" s="14">
        <v>12.31</v>
      </c>
      <c r="AB4402" s="12" t="s">
        <v>43</v>
      </c>
      <c r="AC4402" s="12" t="s">
        <v>21667</v>
      </c>
      <c r="AD4402" s="13">
        <v>43719</v>
      </c>
      <c r="AE4402" s="12" t="s">
        <v>16332</v>
      </c>
      <c r="AF4402" s="12" t="s">
        <v>21668</v>
      </c>
      <c r="AG4402" s="12" t="s">
        <v>2088</v>
      </c>
      <c r="AH4402" s="1">
        <f>HYPERLINK("https://my.pitchbook.com?c=123556-15T","View Company Online")</f>
      </c>
    </row>
    <row r="4403">
      <c r="A4403" s="3" t="s">
        <v>21669</v>
      </c>
      <c r="B4403" s="3" t="s">
        <v>21670</v>
      </c>
      <c r="C4403" s="5" t="s">
        <v>36</v>
      </c>
      <c r="D4403" s="5" t="s">
        <v>36</v>
      </c>
      <c r="E4403" s="5" t="s">
        <v>36</v>
      </c>
      <c r="F4403" s="5" t="s">
        <v>36</v>
      </c>
      <c r="G4403" s="6" t="s">
        <v>326</v>
      </c>
      <c r="H4403" s="4">
        <v>1585.56</v>
      </c>
      <c r="I4403" s="7">
        <v>26.43</v>
      </c>
      <c r="J4403" s="3" t="s">
        <v>521</v>
      </c>
      <c r="K4403" s="9" t="s">
        <v>36</v>
      </c>
      <c r="L4403" s="6" t="s">
        <v>1279</v>
      </c>
      <c r="M4403" s="3" t="s">
        <v>36</v>
      </c>
      <c r="N4403" s="3" t="s">
        <v>1279</v>
      </c>
      <c r="O4403" s="8" t="s">
        <v>36</v>
      </c>
      <c r="P4403" s="3" t="s">
        <v>36</v>
      </c>
      <c r="Q4403" s="3" t="s">
        <v>36</v>
      </c>
      <c r="R4403" s="3" t="s">
        <v>36</v>
      </c>
      <c r="S4403" s="3" t="s">
        <v>36</v>
      </c>
      <c r="T4403" s="3" t="s">
        <v>21671</v>
      </c>
      <c r="U4403" s="3" t="s">
        <v>279</v>
      </c>
      <c r="V4403" s="3" t="s">
        <v>64</v>
      </c>
      <c r="W4403" s="3" t="s">
        <v>21672</v>
      </c>
      <c r="X4403" s="10" t="s">
        <v>21673</v>
      </c>
      <c r="Y4403" s="6" t="s">
        <v>55</v>
      </c>
      <c r="Z4403" s="4">
        <v>55.37</v>
      </c>
      <c r="AA4403" s="4">
        <v>172.62</v>
      </c>
      <c r="AB4403" s="3" t="s">
        <v>56</v>
      </c>
      <c r="AC4403" s="3" t="s">
        <v>21674</v>
      </c>
      <c r="AD4403" s="9">
        <v>43719</v>
      </c>
      <c r="AE4403" s="3" t="s">
        <v>283</v>
      </c>
      <c r="AF4403" s="3" t="s">
        <v>468</v>
      </c>
      <c r="AG4403" s="3" t="s">
        <v>81</v>
      </c>
      <c r="AH4403" s="11">
        <f>HYPERLINK("https://my.pitchbook.com?c=123199-21T","View Company Online")</f>
      </c>
    </row>
    <row r="4404">
      <c r="A4404" s="12" t="s">
        <v>21675</v>
      </c>
      <c r="B4404" s="12" t="s">
        <v>4003</v>
      </c>
      <c r="C4404" s="19">
        <v>32</v>
      </c>
      <c r="D4404" s="19">
        <v>17</v>
      </c>
      <c r="E4404" s="19">
        <v>15</v>
      </c>
      <c r="F4404" s="19">
        <v>49</v>
      </c>
      <c r="G4404" s="15" t="s">
        <v>326</v>
      </c>
      <c r="H4404" s="14">
        <v>53.24</v>
      </c>
      <c r="I4404" s="18">
        <v>42.22</v>
      </c>
      <c r="J4404" s="12" t="s">
        <v>521</v>
      </c>
      <c r="K4404" s="13" t="s">
        <v>36</v>
      </c>
      <c r="L4404" s="15" t="s">
        <v>94</v>
      </c>
      <c r="M4404" s="12" t="s">
        <v>36</v>
      </c>
      <c r="N4404" s="12" t="s">
        <v>94</v>
      </c>
      <c r="O4404" s="17" t="s">
        <v>36</v>
      </c>
      <c r="P4404" s="12" t="s">
        <v>36</v>
      </c>
      <c r="Q4404" s="12" t="s">
        <v>36</v>
      </c>
      <c r="R4404" s="12" t="s">
        <v>36</v>
      </c>
      <c r="S4404" s="12" t="s">
        <v>36</v>
      </c>
      <c r="T4404" s="12" t="s">
        <v>4004</v>
      </c>
      <c r="U4404" s="12" t="s">
        <v>96</v>
      </c>
      <c r="V4404" s="12" t="s">
        <v>52</v>
      </c>
      <c r="W4404" s="12" t="s">
        <v>4005</v>
      </c>
      <c r="X4404" s="16" t="s">
        <v>21676</v>
      </c>
      <c r="Y4404" s="15" t="s">
        <v>108</v>
      </c>
      <c r="Z4404" s="14">
        <v>34.35</v>
      </c>
      <c r="AA4404" s="14">
        <v>57.07</v>
      </c>
      <c r="AB4404" s="12" t="s">
        <v>43</v>
      </c>
      <c r="AC4404" s="12" t="s">
        <v>4007</v>
      </c>
      <c r="AD4404" s="13">
        <v>43718</v>
      </c>
      <c r="AE4404" s="12" t="s">
        <v>100</v>
      </c>
      <c r="AF4404" s="12" t="s">
        <v>3024</v>
      </c>
      <c r="AG4404" s="12" t="s">
        <v>969</v>
      </c>
      <c r="AH4404" s="1">
        <f>HYPERLINK("https://my.pitchbook.com?c=127324-00T","View Company Online")</f>
      </c>
    </row>
    <row r="4405">
      <c r="A4405" s="3" t="s">
        <v>21677</v>
      </c>
      <c r="B4405" s="3" t="s">
        <v>21678</v>
      </c>
      <c r="C4405" s="5">
        <v>1</v>
      </c>
      <c r="D4405" s="5" t="s">
        <v>36</v>
      </c>
      <c r="E4405" s="5">
        <v>1</v>
      </c>
      <c r="F4405" s="5">
        <v>1</v>
      </c>
      <c r="G4405" s="6" t="s">
        <v>326</v>
      </c>
      <c r="H4405" s="4">
        <v>443.47</v>
      </c>
      <c r="I4405" s="7">
        <v>38.3</v>
      </c>
      <c r="J4405" s="3" t="s">
        <v>521</v>
      </c>
      <c r="K4405" s="9">
        <v>43451</v>
      </c>
      <c r="L4405" s="6" t="s">
        <v>36</v>
      </c>
      <c r="M4405" s="3" t="s">
        <v>36</v>
      </c>
      <c r="N4405" s="3" t="s">
        <v>36</v>
      </c>
      <c r="O4405" s="8" t="s">
        <v>36</v>
      </c>
      <c r="P4405" s="3" t="s">
        <v>36</v>
      </c>
      <c r="Q4405" s="3" t="s">
        <v>36</v>
      </c>
      <c r="R4405" s="3" t="s">
        <v>36</v>
      </c>
      <c r="S4405" s="3" t="s">
        <v>36</v>
      </c>
      <c r="T4405" s="3" t="s">
        <v>253</v>
      </c>
      <c r="U4405" s="3" t="s">
        <v>38</v>
      </c>
      <c r="V4405" s="3" t="s">
        <v>39</v>
      </c>
      <c r="W4405" s="3" t="s">
        <v>21679</v>
      </c>
      <c r="X4405" s="10" t="s">
        <v>21680</v>
      </c>
      <c r="Y4405" s="6" t="s">
        <v>108</v>
      </c>
      <c r="Z4405" s="4">
        <v>7.39</v>
      </c>
      <c r="AA4405" s="4">
        <v>14.46</v>
      </c>
      <c r="AB4405" s="3" t="s">
        <v>56</v>
      </c>
      <c r="AC4405" s="3" t="s">
        <v>21681</v>
      </c>
      <c r="AD4405" s="9">
        <v>43718</v>
      </c>
      <c r="AE4405" s="3" t="s">
        <v>110</v>
      </c>
      <c r="AF4405" s="3" t="s">
        <v>21682</v>
      </c>
      <c r="AG4405" s="3" t="s">
        <v>382</v>
      </c>
      <c r="AH4405" s="11">
        <f>HYPERLINK("https://my.pitchbook.com?c=116002-90T","View Company Online")</f>
      </c>
    </row>
    <row r="4406">
      <c r="A4406" s="12" t="s">
        <v>21683</v>
      </c>
      <c r="B4406" s="12" t="s">
        <v>11976</v>
      </c>
      <c r="C4406" s="19" t="s">
        <v>36</v>
      </c>
      <c r="D4406" s="19" t="s">
        <v>36</v>
      </c>
      <c r="E4406" s="19" t="s">
        <v>36</v>
      </c>
      <c r="F4406" s="19" t="s">
        <v>36</v>
      </c>
      <c r="G4406" s="15" t="s">
        <v>326</v>
      </c>
      <c r="H4406" s="14">
        <v>121.69</v>
      </c>
      <c r="I4406" s="18">
        <v>16.43</v>
      </c>
      <c r="J4406" s="12" t="s">
        <v>521</v>
      </c>
      <c r="K4406" s="13" t="s">
        <v>36</v>
      </c>
      <c r="L4406" s="15" t="s">
        <v>36</v>
      </c>
      <c r="M4406" s="12" t="s">
        <v>36</v>
      </c>
      <c r="N4406" s="12" t="s">
        <v>36</v>
      </c>
      <c r="O4406" s="17" t="s">
        <v>36</v>
      </c>
      <c r="P4406" s="12" t="s">
        <v>36</v>
      </c>
      <c r="Q4406" s="12" t="s">
        <v>36</v>
      </c>
      <c r="R4406" s="12" t="s">
        <v>36</v>
      </c>
      <c r="S4406" s="12" t="s">
        <v>36</v>
      </c>
      <c r="T4406" s="12" t="s">
        <v>4141</v>
      </c>
      <c r="U4406" s="12" t="s">
        <v>74</v>
      </c>
      <c r="V4406" s="12" t="s">
        <v>75</v>
      </c>
      <c r="W4406" s="12" t="s">
        <v>11977</v>
      </c>
      <c r="X4406" s="16" t="s">
        <v>21684</v>
      </c>
      <c r="Y4406" s="15" t="s">
        <v>108</v>
      </c>
      <c r="Z4406" s="14">
        <v>3.32</v>
      </c>
      <c r="AA4406" s="14">
        <v>12.95</v>
      </c>
      <c r="AB4406" s="12" t="s">
        <v>56</v>
      </c>
      <c r="AC4406" s="12" t="s">
        <v>11979</v>
      </c>
      <c r="AD4406" s="13">
        <v>43718</v>
      </c>
      <c r="AE4406" s="12" t="s">
        <v>570</v>
      </c>
      <c r="AF4406" s="12" t="s">
        <v>2369</v>
      </c>
      <c r="AG4406" s="12" t="s">
        <v>3733</v>
      </c>
      <c r="AH4406" s="1">
        <f>HYPERLINK("https://my.pitchbook.com?c=123976-81T","View Company Online")</f>
      </c>
    </row>
    <row r="4407">
      <c r="A4407" s="3" t="s">
        <v>21685</v>
      </c>
      <c r="B4407" s="3" t="s">
        <v>21686</v>
      </c>
      <c r="C4407" s="5">
        <v>1</v>
      </c>
      <c r="D4407" s="5">
        <v>7</v>
      </c>
      <c r="E4407" s="5">
        <v>4</v>
      </c>
      <c r="F4407" s="5">
        <v>12</v>
      </c>
      <c r="G4407" s="6" t="s">
        <v>36</v>
      </c>
      <c r="H4407" s="4">
        <v>893.17</v>
      </c>
      <c r="I4407" s="7">
        <v>19.22</v>
      </c>
      <c r="J4407" s="3" t="s">
        <v>521</v>
      </c>
      <c r="K4407" s="9" t="s">
        <v>36</v>
      </c>
      <c r="L4407" s="6" t="s">
        <v>36</v>
      </c>
      <c r="M4407" s="3" t="s">
        <v>36</v>
      </c>
      <c r="N4407" s="3" t="s">
        <v>36</v>
      </c>
      <c r="O4407" s="8" t="s">
        <v>36</v>
      </c>
      <c r="P4407" s="3" t="s">
        <v>36</v>
      </c>
      <c r="Q4407" s="3" t="s">
        <v>36</v>
      </c>
      <c r="R4407" s="3" t="s">
        <v>36</v>
      </c>
      <c r="S4407" s="3" t="s">
        <v>36</v>
      </c>
      <c r="T4407" s="3" t="s">
        <v>21687</v>
      </c>
      <c r="U4407" s="3" t="s">
        <v>1144</v>
      </c>
      <c r="V4407" s="3" t="s">
        <v>378</v>
      </c>
      <c r="W4407" s="3" t="s">
        <v>21688</v>
      </c>
      <c r="X4407" s="10" t="s">
        <v>21689</v>
      </c>
      <c r="Y4407" s="6" t="s">
        <v>42</v>
      </c>
      <c r="Z4407" s="4">
        <v>1.22</v>
      </c>
      <c r="AA4407" s="4">
        <v>4.13</v>
      </c>
      <c r="AB4407" s="3" t="s">
        <v>56</v>
      </c>
      <c r="AC4407" s="3" t="s">
        <v>21690</v>
      </c>
      <c r="AD4407" s="9">
        <v>43718</v>
      </c>
      <c r="AE4407" s="3" t="s">
        <v>1148</v>
      </c>
      <c r="AF4407" s="3" t="s">
        <v>36</v>
      </c>
      <c r="AG4407" s="3" t="s">
        <v>21691</v>
      </c>
      <c r="AH4407" s="11">
        <f>HYPERLINK("https://my.pitchbook.com?c=123335-83T","View Company Online")</f>
      </c>
    </row>
    <row r="4408">
      <c r="A4408" s="12" t="s">
        <v>21692</v>
      </c>
      <c r="B4408" s="12" t="s">
        <v>21693</v>
      </c>
      <c r="C4408" s="19">
        <v>16</v>
      </c>
      <c r="D4408" s="19">
        <v>81</v>
      </c>
      <c r="E4408" s="19">
        <v>15</v>
      </c>
      <c r="F4408" s="19">
        <v>104</v>
      </c>
      <c r="G4408" s="15" t="s">
        <v>36</v>
      </c>
      <c r="H4408" s="14" t="s">
        <v>36</v>
      </c>
      <c r="I4408" s="18" t="s">
        <v>36</v>
      </c>
      <c r="J4408" s="12" t="s">
        <v>36</v>
      </c>
      <c r="K4408" s="13" t="s">
        <v>36</v>
      </c>
      <c r="L4408" s="15" t="s">
        <v>94</v>
      </c>
      <c r="M4408" s="12" t="s">
        <v>36</v>
      </c>
      <c r="N4408" s="12" t="s">
        <v>94</v>
      </c>
      <c r="O4408" s="17" t="s">
        <v>36</v>
      </c>
      <c r="P4408" s="12" t="s">
        <v>36</v>
      </c>
      <c r="Q4408" s="12" t="s">
        <v>36</v>
      </c>
      <c r="R4408" s="12" t="s">
        <v>36</v>
      </c>
      <c r="S4408" s="12" t="s">
        <v>36</v>
      </c>
      <c r="T4408" s="12" t="s">
        <v>3264</v>
      </c>
      <c r="U4408" s="12" t="s">
        <v>96</v>
      </c>
      <c r="V4408" s="12" t="s">
        <v>52</v>
      </c>
      <c r="W4408" s="12" t="s">
        <v>21694</v>
      </c>
      <c r="X4408" s="16" t="s">
        <v>21695</v>
      </c>
      <c r="Y4408" s="15" t="s">
        <v>108</v>
      </c>
      <c r="Z4408" s="14">
        <v>26.59</v>
      </c>
      <c r="AA4408" s="14" t="s">
        <v>36</v>
      </c>
      <c r="AB4408" s="12" t="s">
        <v>43</v>
      </c>
      <c r="AC4408" s="12" t="s">
        <v>21696</v>
      </c>
      <c r="AD4408" s="13">
        <v>43718</v>
      </c>
      <c r="AE4408" s="12" t="s">
        <v>496</v>
      </c>
      <c r="AF4408" s="12" t="s">
        <v>21697</v>
      </c>
      <c r="AG4408" s="12" t="s">
        <v>6368</v>
      </c>
      <c r="AH4408" s="1">
        <f>HYPERLINK("https://my.pitchbook.com?c=123145-84T","View Company Online")</f>
      </c>
    </row>
    <row r="4409">
      <c r="A4409" s="3" t="s">
        <v>21698</v>
      </c>
      <c r="B4409" s="3" t="s">
        <v>21699</v>
      </c>
      <c r="C4409" s="5">
        <v>6</v>
      </c>
      <c r="D4409" s="5">
        <v>4</v>
      </c>
      <c r="E4409" s="5">
        <v>2</v>
      </c>
      <c r="F4409" s="5">
        <v>10</v>
      </c>
      <c r="G4409" s="6" t="s">
        <v>326</v>
      </c>
      <c r="H4409" s="4">
        <v>157.65</v>
      </c>
      <c r="I4409" s="7">
        <v>19.35</v>
      </c>
      <c r="J4409" s="3" t="s">
        <v>327</v>
      </c>
      <c r="K4409" s="9" t="s">
        <v>36</v>
      </c>
      <c r="L4409" s="6" t="s">
        <v>36</v>
      </c>
      <c r="M4409" s="3" t="s">
        <v>36</v>
      </c>
      <c r="N4409" s="3" t="s">
        <v>36</v>
      </c>
      <c r="O4409" s="8" t="s">
        <v>36</v>
      </c>
      <c r="P4409" s="3" t="s">
        <v>36</v>
      </c>
      <c r="Q4409" s="3" t="s">
        <v>36</v>
      </c>
      <c r="R4409" s="3" t="s">
        <v>36</v>
      </c>
      <c r="S4409" s="3" t="s">
        <v>36</v>
      </c>
      <c r="T4409" s="3" t="s">
        <v>1628</v>
      </c>
      <c r="U4409" s="3" t="s">
        <v>96</v>
      </c>
      <c r="V4409" s="3" t="s">
        <v>52</v>
      </c>
      <c r="W4409" s="3" t="s">
        <v>21700</v>
      </c>
      <c r="X4409" s="10" t="s">
        <v>21701</v>
      </c>
      <c r="Y4409" s="6" t="s">
        <v>108</v>
      </c>
      <c r="Z4409" s="4">
        <v>3.43</v>
      </c>
      <c r="AA4409" s="4">
        <v>12.54</v>
      </c>
      <c r="AB4409" s="3" t="s">
        <v>43</v>
      </c>
      <c r="AC4409" s="3" t="s">
        <v>21702</v>
      </c>
      <c r="AD4409" s="9">
        <v>43718</v>
      </c>
      <c r="AE4409" s="3" t="s">
        <v>755</v>
      </c>
      <c r="AF4409" s="3" t="s">
        <v>36</v>
      </c>
      <c r="AG4409" s="3" t="s">
        <v>1078</v>
      </c>
      <c r="AH4409" s="11">
        <f>HYPERLINK("https://my.pitchbook.com?c=123292-72T","View Company Online")</f>
      </c>
    </row>
    <row r="4410">
      <c r="A4410" s="12" t="s">
        <v>21703</v>
      </c>
      <c r="B4410" s="12" t="s">
        <v>10572</v>
      </c>
      <c r="C4410" s="19" t="s">
        <v>36</v>
      </c>
      <c r="D4410" s="19" t="s">
        <v>36</v>
      </c>
      <c r="E4410" s="19" t="s">
        <v>36</v>
      </c>
      <c r="F4410" s="19" t="s">
        <v>36</v>
      </c>
      <c r="G4410" s="15" t="s">
        <v>326</v>
      </c>
      <c r="H4410" s="14">
        <v>2.15</v>
      </c>
      <c r="I4410" s="18">
        <v>28.42</v>
      </c>
      <c r="J4410" s="12" t="s">
        <v>521</v>
      </c>
      <c r="K4410" s="13" t="s">
        <v>36</v>
      </c>
      <c r="L4410" s="15" t="s">
        <v>122</v>
      </c>
      <c r="M4410" s="12" t="s">
        <v>36</v>
      </c>
      <c r="N4410" s="12" t="s">
        <v>122</v>
      </c>
      <c r="O4410" s="17" t="s">
        <v>36</v>
      </c>
      <c r="P4410" s="12" t="s">
        <v>36</v>
      </c>
      <c r="Q4410" s="12" t="s">
        <v>36</v>
      </c>
      <c r="R4410" s="12" t="s">
        <v>36</v>
      </c>
      <c r="S4410" s="12" t="s">
        <v>36</v>
      </c>
      <c r="T4410" s="12" t="s">
        <v>4917</v>
      </c>
      <c r="U4410" s="12" t="s">
        <v>38</v>
      </c>
      <c r="V4410" s="12" t="s">
        <v>39</v>
      </c>
      <c r="W4410" s="12" t="s">
        <v>10573</v>
      </c>
      <c r="X4410" s="16" t="s">
        <v>21704</v>
      </c>
      <c r="Y4410" s="15" t="s">
        <v>108</v>
      </c>
      <c r="Z4410" s="14">
        <v>4.43</v>
      </c>
      <c r="AA4410" s="14">
        <v>11.93</v>
      </c>
      <c r="AB4410" s="12" t="s">
        <v>43</v>
      </c>
      <c r="AC4410" s="12" t="s">
        <v>10575</v>
      </c>
      <c r="AD4410" s="13">
        <v>43718</v>
      </c>
      <c r="AE4410" s="12" t="s">
        <v>134</v>
      </c>
      <c r="AF4410" s="12" t="s">
        <v>10576</v>
      </c>
      <c r="AG4410" s="12" t="s">
        <v>81</v>
      </c>
      <c r="AH4410" s="1">
        <f>HYPERLINK("https://my.pitchbook.com?c=123443-29T","View Company Online")</f>
      </c>
    </row>
    <row r="4411">
      <c r="A4411" s="3" t="s">
        <v>21705</v>
      </c>
      <c r="B4411" s="3" t="s">
        <v>21706</v>
      </c>
      <c r="C4411" s="5" t="s">
        <v>36</v>
      </c>
      <c r="D4411" s="5" t="s">
        <v>36</v>
      </c>
      <c r="E4411" s="5" t="s">
        <v>36</v>
      </c>
      <c r="F4411" s="5" t="s">
        <v>36</v>
      </c>
      <c r="G4411" s="6" t="s">
        <v>36</v>
      </c>
      <c r="H4411" s="4">
        <v>168</v>
      </c>
      <c r="I4411" s="7">
        <v>26.94</v>
      </c>
      <c r="J4411" s="3" t="s">
        <v>521</v>
      </c>
      <c r="K4411" s="9" t="s">
        <v>36</v>
      </c>
      <c r="L4411" s="6" t="s">
        <v>36</v>
      </c>
      <c r="M4411" s="3" t="s">
        <v>36</v>
      </c>
      <c r="N4411" s="3" t="s">
        <v>36</v>
      </c>
      <c r="O4411" s="8" t="s">
        <v>36</v>
      </c>
      <c r="P4411" s="3" t="s">
        <v>36</v>
      </c>
      <c r="Q4411" s="3" t="s">
        <v>36</v>
      </c>
      <c r="R4411" s="3" t="s">
        <v>36</v>
      </c>
      <c r="S4411" s="3" t="s">
        <v>36</v>
      </c>
      <c r="T4411" s="3" t="s">
        <v>4781</v>
      </c>
      <c r="U4411" s="3" t="s">
        <v>38</v>
      </c>
      <c r="V4411" s="3" t="s">
        <v>39</v>
      </c>
      <c r="W4411" s="3" t="s">
        <v>21707</v>
      </c>
      <c r="X4411" s="10" t="s">
        <v>13042</v>
      </c>
      <c r="Y4411" s="6" t="s">
        <v>42</v>
      </c>
      <c r="Z4411" s="4">
        <v>0.42</v>
      </c>
      <c r="AA4411" s="4">
        <v>1.56</v>
      </c>
      <c r="AB4411" s="3" t="s">
        <v>43</v>
      </c>
      <c r="AC4411" s="3" t="s">
        <v>21708</v>
      </c>
      <c r="AD4411" s="9">
        <v>43717</v>
      </c>
      <c r="AE4411" s="3" t="s">
        <v>1330</v>
      </c>
      <c r="AF4411" s="3" t="s">
        <v>275</v>
      </c>
      <c r="AG4411" s="3" t="s">
        <v>81</v>
      </c>
      <c r="AH4411" s="11">
        <f>HYPERLINK("https://my.pitchbook.com?c=125320-96T","View Company Online")</f>
      </c>
    </row>
    <row r="4412">
      <c r="A4412" s="12" t="s">
        <v>21709</v>
      </c>
      <c r="B4412" s="12" t="s">
        <v>13487</v>
      </c>
      <c r="C4412" s="19" t="s">
        <v>36</v>
      </c>
      <c r="D4412" s="19" t="s">
        <v>36</v>
      </c>
      <c r="E4412" s="19" t="s">
        <v>36</v>
      </c>
      <c r="F4412" s="19" t="s">
        <v>36</v>
      </c>
      <c r="G4412" s="15" t="s">
        <v>326</v>
      </c>
      <c r="H4412" s="14">
        <v>955.57</v>
      </c>
      <c r="I4412" s="18">
        <v>30.66</v>
      </c>
      <c r="J4412" s="12" t="s">
        <v>521</v>
      </c>
      <c r="K4412" s="13">
        <v>43676</v>
      </c>
      <c r="L4412" s="15" t="s">
        <v>36</v>
      </c>
      <c r="M4412" s="12" t="s">
        <v>36</v>
      </c>
      <c r="N4412" s="12" t="s">
        <v>36</v>
      </c>
      <c r="O4412" s="17" t="s">
        <v>36</v>
      </c>
      <c r="P4412" s="12" t="s">
        <v>36</v>
      </c>
      <c r="Q4412" s="12" t="s">
        <v>36</v>
      </c>
      <c r="R4412" s="12" t="s">
        <v>36</v>
      </c>
      <c r="S4412" s="12" t="s">
        <v>36</v>
      </c>
      <c r="T4412" s="12" t="s">
        <v>422</v>
      </c>
      <c r="U4412" s="12" t="s">
        <v>423</v>
      </c>
      <c r="V4412" s="12" t="s">
        <v>64</v>
      </c>
      <c r="W4412" s="12" t="s">
        <v>13488</v>
      </c>
      <c r="X4412" s="16" t="s">
        <v>21710</v>
      </c>
      <c r="Y4412" s="15" t="s">
        <v>108</v>
      </c>
      <c r="Z4412" s="14">
        <v>3.54</v>
      </c>
      <c r="AA4412" s="14">
        <v>11.54</v>
      </c>
      <c r="AB4412" s="12" t="s">
        <v>43</v>
      </c>
      <c r="AC4412" s="12" t="s">
        <v>13489</v>
      </c>
      <c r="AD4412" s="13">
        <v>43716</v>
      </c>
      <c r="AE4412" s="12" t="s">
        <v>427</v>
      </c>
      <c r="AF4412" s="12" t="s">
        <v>90</v>
      </c>
      <c r="AG4412" s="12" t="s">
        <v>81</v>
      </c>
      <c r="AH4412" s="1">
        <f>HYPERLINK("https://my.pitchbook.com?c=134159-32T","View Company Online")</f>
      </c>
    </row>
    <row r="4413">
      <c r="A4413" s="3" t="s">
        <v>21711</v>
      </c>
      <c r="B4413" s="3" t="s">
        <v>21712</v>
      </c>
      <c r="C4413" s="5" t="s">
        <v>36</v>
      </c>
      <c r="D4413" s="5" t="s">
        <v>36</v>
      </c>
      <c r="E4413" s="5" t="s">
        <v>36</v>
      </c>
      <c r="F4413" s="5" t="s">
        <v>36</v>
      </c>
      <c r="G4413" s="6" t="s">
        <v>326</v>
      </c>
      <c r="H4413" s="4">
        <v>349.25</v>
      </c>
      <c r="I4413" s="7">
        <v>33.38</v>
      </c>
      <c r="J4413" s="3" t="s">
        <v>521</v>
      </c>
      <c r="K4413" s="9" t="s">
        <v>36</v>
      </c>
      <c r="L4413" s="6" t="s">
        <v>36</v>
      </c>
      <c r="M4413" s="3" t="s">
        <v>36</v>
      </c>
      <c r="N4413" s="3" t="s">
        <v>36</v>
      </c>
      <c r="O4413" s="8" t="s">
        <v>36</v>
      </c>
      <c r="P4413" s="3" t="s">
        <v>36</v>
      </c>
      <c r="Q4413" s="3" t="s">
        <v>36</v>
      </c>
      <c r="R4413" s="3" t="s">
        <v>36</v>
      </c>
      <c r="S4413" s="3" t="s">
        <v>36</v>
      </c>
      <c r="T4413" s="3" t="s">
        <v>522</v>
      </c>
      <c r="U4413" s="3" t="s">
        <v>38</v>
      </c>
      <c r="V4413" s="3" t="s">
        <v>39</v>
      </c>
      <c r="W4413" s="3" t="s">
        <v>21713</v>
      </c>
      <c r="X4413" s="10" t="s">
        <v>21714</v>
      </c>
      <c r="Y4413" s="6" t="s">
        <v>55</v>
      </c>
      <c r="Z4413" s="4">
        <v>14.43</v>
      </c>
      <c r="AA4413" s="4">
        <v>28.26</v>
      </c>
      <c r="AB4413" s="3" t="s">
        <v>56</v>
      </c>
      <c r="AC4413" s="3" t="s">
        <v>21715</v>
      </c>
      <c r="AD4413" s="9">
        <v>43714</v>
      </c>
      <c r="AE4413" s="3" t="s">
        <v>110</v>
      </c>
      <c r="AF4413" s="3" t="s">
        <v>3172</v>
      </c>
      <c r="AG4413" s="3" t="s">
        <v>652</v>
      </c>
      <c r="AH4413" s="11">
        <f>HYPERLINK("https://my.pitchbook.com?c=123723-46T","View Company Online")</f>
      </c>
    </row>
    <row r="4414">
      <c r="A4414" s="12" t="s">
        <v>21716</v>
      </c>
      <c r="B4414" s="12" t="s">
        <v>21717</v>
      </c>
      <c r="C4414" s="19" t="s">
        <v>36</v>
      </c>
      <c r="D4414" s="19" t="s">
        <v>36</v>
      </c>
      <c r="E4414" s="19" t="s">
        <v>36</v>
      </c>
      <c r="F4414" s="19" t="s">
        <v>36</v>
      </c>
      <c r="G4414" s="15" t="s">
        <v>36</v>
      </c>
      <c r="H4414" s="14" t="s">
        <v>36</v>
      </c>
      <c r="I4414" s="18" t="s">
        <v>36</v>
      </c>
      <c r="J4414" s="12" t="s">
        <v>36</v>
      </c>
      <c r="K4414" s="13" t="s">
        <v>36</v>
      </c>
      <c r="L4414" s="15" t="s">
        <v>36</v>
      </c>
      <c r="M4414" s="12" t="s">
        <v>36</v>
      </c>
      <c r="N4414" s="12" t="s">
        <v>36</v>
      </c>
      <c r="O4414" s="17" t="s">
        <v>36</v>
      </c>
      <c r="P4414" s="12" t="s">
        <v>36</v>
      </c>
      <c r="Q4414" s="12" t="s">
        <v>36</v>
      </c>
      <c r="R4414" s="12" t="s">
        <v>36</v>
      </c>
      <c r="S4414" s="12" t="s">
        <v>36</v>
      </c>
      <c r="T4414" s="12" t="s">
        <v>21718</v>
      </c>
      <c r="U4414" s="12" t="s">
        <v>74</v>
      </c>
      <c r="V4414" s="12" t="s">
        <v>75</v>
      </c>
      <c r="W4414" s="12" t="s">
        <v>21719</v>
      </c>
      <c r="X4414" s="16" t="s">
        <v>4499</v>
      </c>
      <c r="Y4414" s="15" t="s">
        <v>42</v>
      </c>
      <c r="Z4414" s="14">
        <v>5.55</v>
      </c>
      <c r="AA4414" s="14" t="s">
        <v>36</v>
      </c>
      <c r="AB4414" s="12" t="s">
        <v>56</v>
      </c>
      <c r="AC4414" s="12" t="s">
        <v>21720</v>
      </c>
      <c r="AD4414" s="13">
        <v>43713</v>
      </c>
      <c r="AE4414" s="12" t="s">
        <v>1888</v>
      </c>
      <c r="AF4414" s="12" t="s">
        <v>822</v>
      </c>
      <c r="AG4414" s="12" t="s">
        <v>186</v>
      </c>
      <c r="AH4414" s="1">
        <f>HYPERLINK("https://my.pitchbook.com?c=123307-66T","View Company Online")</f>
      </c>
    </row>
    <row r="4415">
      <c r="A4415" s="3" t="s">
        <v>21721</v>
      </c>
      <c r="B4415" s="3" t="s">
        <v>21722</v>
      </c>
      <c r="C4415" s="5" t="s">
        <v>36</v>
      </c>
      <c r="D4415" s="5" t="s">
        <v>36</v>
      </c>
      <c r="E4415" s="5">
        <v>1</v>
      </c>
      <c r="F4415" s="5">
        <v>1</v>
      </c>
      <c r="G4415" s="6" t="s">
        <v>36</v>
      </c>
      <c r="H4415" s="4" t="s">
        <v>36</v>
      </c>
      <c r="I4415" s="7" t="s">
        <v>36</v>
      </c>
      <c r="J4415" s="3" t="s">
        <v>36</v>
      </c>
      <c r="K4415" s="9" t="s">
        <v>36</v>
      </c>
      <c r="L4415" s="6" t="s">
        <v>36</v>
      </c>
      <c r="M4415" s="3" t="s">
        <v>36</v>
      </c>
      <c r="N4415" s="3" t="s">
        <v>36</v>
      </c>
      <c r="O4415" s="8" t="s">
        <v>36</v>
      </c>
      <c r="P4415" s="3" t="s">
        <v>36</v>
      </c>
      <c r="Q4415" s="3" t="s">
        <v>36</v>
      </c>
      <c r="R4415" s="3" t="s">
        <v>36</v>
      </c>
      <c r="S4415" s="3" t="s">
        <v>36</v>
      </c>
      <c r="T4415" s="3" t="s">
        <v>21723</v>
      </c>
      <c r="U4415" s="3" t="s">
        <v>423</v>
      </c>
      <c r="V4415" s="3" t="s">
        <v>64</v>
      </c>
      <c r="W4415" s="3" t="s">
        <v>21724</v>
      </c>
      <c r="X4415" s="10" t="s">
        <v>21725</v>
      </c>
      <c r="Y4415" s="6" t="s">
        <v>108</v>
      </c>
      <c r="Z4415" s="4" t="s">
        <v>36</v>
      </c>
      <c r="AA4415" s="4" t="s">
        <v>36</v>
      </c>
      <c r="AB4415" s="3" t="s">
        <v>56</v>
      </c>
      <c r="AC4415" s="3" t="s">
        <v>21726</v>
      </c>
      <c r="AD4415" s="9">
        <v>43713</v>
      </c>
      <c r="AE4415" s="3" t="s">
        <v>427</v>
      </c>
      <c r="AF4415" s="3" t="s">
        <v>733</v>
      </c>
      <c r="AG4415" s="3" t="s">
        <v>21727</v>
      </c>
      <c r="AH4415" s="11">
        <f>HYPERLINK("https://my.pitchbook.com?c=127471-51T","View Company Online")</f>
      </c>
    </row>
    <row r="4416">
      <c r="A4416" s="12" t="s">
        <v>21728</v>
      </c>
      <c r="B4416" s="12" t="s">
        <v>15550</v>
      </c>
      <c r="C4416" s="19" t="s">
        <v>36</v>
      </c>
      <c r="D4416" s="19" t="s">
        <v>36</v>
      </c>
      <c r="E4416" s="19" t="s">
        <v>36</v>
      </c>
      <c r="F4416" s="19" t="s">
        <v>36</v>
      </c>
      <c r="G4416" s="15" t="s">
        <v>36</v>
      </c>
      <c r="H4416" s="14">
        <v>3.63</v>
      </c>
      <c r="I4416" s="18">
        <v>16.58</v>
      </c>
      <c r="J4416" s="12" t="s">
        <v>521</v>
      </c>
      <c r="K4416" s="13" t="s">
        <v>36</v>
      </c>
      <c r="L4416" s="15" t="s">
        <v>36</v>
      </c>
      <c r="M4416" s="12" t="s">
        <v>36</v>
      </c>
      <c r="N4416" s="12" t="s">
        <v>36</v>
      </c>
      <c r="O4416" s="17" t="s">
        <v>36</v>
      </c>
      <c r="P4416" s="12" t="s">
        <v>36</v>
      </c>
      <c r="Q4416" s="12" t="s">
        <v>36</v>
      </c>
      <c r="R4416" s="12" t="s">
        <v>36</v>
      </c>
      <c r="S4416" s="12" t="s">
        <v>36</v>
      </c>
      <c r="T4416" s="12" t="s">
        <v>105</v>
      </c>
      <c r="U4416" s="12" t="s">
        <v>38</v>
      </c>
      <c r="V4416" s="12" t="s">
        <v>39</v>
      </c>
      <c r="W4416" s="12" t="s">
        <v>15551</v>
      </c>
      <c r="X4416" s="16" t="s">
        <v>21729</v>
      </c>
      <c r="Y4416" s="15" t="s">
        <v>42</v>
      </c>
      <c r="Z4416" s="14">
        <v>1</v>
      </c>
      <c r="AA4416" s="14">
        <v>6.03</v>
      </c>
      <c r="AB4416" s="12" t="s">
        <v>43</v>
      </c>
      <c r="AC4416" s="12" t="s">
        <v>15553</v>
      </c>
      <c r="AD4416" s="13">
        <v>43713</v>
      </c>
      <c r="AE4416" s="12" t="s">
        <v>110</v>
      </c>
      <c r="AF4416" s="12" t="s">
        <v>15554</v>
      </c>
      <c r="AG4416" s="12" t="s">
        <v>5268</v>
      </c>
      <c r="AH4416" s="1">
        <f>HYPERLINK("https://my.pitchbook.com?c=130545-37T","View Company Online")</f>
      </c>
    </row>
    <row r="4417">
      <c r="A4417" s="3" t="s">
        <v>21730</v>
      </c>
      <c r="B4417" s="3" t="s">
        <v>21731</v>
      </c>
      <c r="C4417" s="5" t="s">
        <v>36</v>
      </c>
      <c r="D4417" s="5" t="s">
        <v>36</v>
      </c>
      <c r="E4417" s="5" t="s">
        <v>36</v>
      </c>
      <c r="F4417" s="5" t="s">
        <v>36</v>
      </c>
      <c r="G4417" s="6" t="s">
        <v>36</v>
      </c>
      <c r="H4417" s="4">
        <v>386.35</v>
      </c>
      <c r="I4417" s="7">
        <v>34.95</v>
      </c>
      <c r="J4417" s="3" t="s">
        <v>521</v>
      </c>
      <c r="K4417" s="9" t="s">
        <v>36</v>
      </c>
      <c r="L4417" s="6" t="s">
        <v>36</v>
      </c>
      <c r="M4417" s="3" t="s">
        <v>36</v>
      </c>
      <c r="N4417" s="3" t="s">
        <v>36</v>
      </c>
      <c r="O4417" s="8" t="s">
        <v>36</v>
      </c>
      <c r="P4417" s="3" t="s">
        <v>36</v>
      </c>
      <c r="Q4417" s="3" t="s">
        <v>36</v>
      </c>
      <c r="R4417" s="3" t="s">
        <v>36</v>
      </c>
      <c r="S4417" s="3" t="s">
        <v>36</v>
      </c>
      <c r="T4417" s="3" t="s">
        <v>1227</v>
      </c>
      <c r="U4417" s="3" t="s">
        <v>74</v>
      </c>
      <c r="V4417" s="3" t="s">
        <v>75</v>
      </c>
      <c r="W4417" s="3" t="s">
        <v>21732</v>
      </c>
      <c r="X4417" s="10" t="s">
        <v>21733</v>
      </c>
      <c r="Y4417" s="6" t="s">
        <v>42</v>
      </c>
      <c r="Z4417" s="4">
        <v>2.22</v>
      </c>
      <c r="AA4417" s="4">
        <v>6.35</v>
      </c>
      <c r="AB4417" s="3" t="s">
        <v>43</v>
      </c>
      <c r="AC4417" s="3" t="s">
        <v>21734</v>
      </c>
      <c r="AD4417" s="9">
        <v>43713</v>
      </c>
      <c r="AE4417" s="3" t="s">
        <v>570</v>
      </c>
      <c r="AF4417" s="3" t="s">
        <v>372</v>
      </c>
      <c r="AG4417" s="3" t="s">
        <v>21727</v>
      </c>
      <c r="AH4417" s="11">
        <f>HYPERLINK("https://my.pitchbook.com?c=132716-71T","View Company Online")</f>
      </c>
    </row>
    <row r="4418">
      <c r="A4418" s="12" t="s">
        <v>21735</v>
      </c>
      <c r="B4418" s="12" t="s">
        <v>8128</v>
      </c>
      <c r="C4418" s="19">
        <v>4</v>
      </c>
      <c r="D4418" s="19">
        <v>33</v>
      </c>
      <c r="E4418" s="19">
        <v>9</v>
      </c>
      <c r="F4418" s="19">
        <v>45</v>
      </c>
      <c r="G4418" s="15" t="s">
        <v>683</v>
      </c>
      <c r="H4418" s="14">
        <v>70.53</v>
      </c>
      <c r="I4418" s="18">
        <v>23.8</v>
      </c>
      <c r="J4418" s="12" t="s">
        <v>521</v>
      </c>
      <c r="K4418" s="13" t="s">
        <v>36</v>
      </c>
      <c r="L4418" s="15" t="s">
        <v>122</v>
      </c>
      <c r="M4418" s="12" t="s">
        <v>36</v>
      </c>
      <c r="N4418" s="12" t="s">
        <v>122</v>
      </c>
      <c r="O4418" s="17" t="s">
        <v>36</v>
      </c>
      <c r="P4418" s="12" t="s">
        <v>36</v>
      </c>
      <c r="Q4418" s="12" t="s">
        <v>36</v>
      </c>
      <c r="R4418" s="12" t="s">
        <v>36</v>
      </c>
      <c r="S4418" s="12" t="s">
        <v>36</v>
      </c>
      <c r="T4418" s="12" t="s">
        <v>2176</v>
      </c>
      <c r="U4418" s="12" t="s">
        <v>51</v>
      </c>
      <c r="V4418" s="12" t="s">
        <v>52</v>
      </c>
      <c r="W4418" s="12" t="s">
        <v>8129</v>
      </c>
      <c r="X4418" s="16" t="s">
        <v>21736</v>
      </c>
      <c r="Y4418" s="15" t="s">
        <v>321</v>
      </c>
      <c r="Z4418" s="14">
        <v>8.89</v>
      </c>
      <c r="AA4418" s="14">
        <v>20.75</v>
      </c>
      <c r="AB4418" s="12" t="s">
        <v>56</v>
      </c>
      <c r="AC4418" s="12" t="s">
        <v>8131</v>
      </c>
      <c r="AD4418" s="13">
        <v>43713</v>
      </c>
      <c r="AE4418" s="12" t="s">
        <v>158</v>
      </c>
      <c r="AF4418" s="12" t="s">
        <v>8132</v>
      </c>
      <c r="AG4418" s="12" t="s">
        <v>81</v>
      </c>
      <c r="AH4418" s="1">
        <f>HYPERLINK("https://my.pitchbook.com?c=122965-57T","View Company Online")</f>
      </c>
    </row>
    <row r="4419">
      <c r="A4419" s="3" t="s">
        <v>21737</v>
      </c>
      <c r="B4419" s="3" t="s">
        <v>21738</v>
      </c>
      <c r="C4419" s="5" t="s">
        <v>36</v>
      </c>
      <c r="D4419" s="5" t="s">
        <v>36</v>
      </c>
      <c r="E4419" s="5" t="s">
        <v>36</v>
      </c>
      <c r="F4419" s="5" t="s">
        <v>36</v>
      </c>
      <c r="G4419" s="6" t="s">
        <v>683</v>
      </c>
      <c r="H4419" s="4">
        <v>1.13</v>
      </c>
      <c r="I4419" s="7">
        <v>15.08</v>
      </c>
      <c r="J4419" s="3" t="s">
        <v>521</v>
      </c>
      <c r="K4419" s="9" t="s">
        <v>36</v>
      </c>
      <c r="L4419" s="6" t="s">
        <v>36</v>
      </c>
      <c r="M4419" s="3" t="s">
        <v>36</v>
      </c>
      <c r="N4419" s="3" t="s">
        <v>36</v>
      </c>
      <c r="O4419" s="8" t="s">
        <v>36</v>
      </c>
      <c r="P4419" s="3" t="s">
        <v>36</v>
      </c>
      <c r="Q4419" s="3" t="s">
        <v>3530</v>
      </c>
      <c r="R4419" s="3" t="s">
        <v>36</v>
      </c>
      <c r="S4419" s="3" t="s">
        <v>36</v>
      </c>
      <c r="T4419" s="3" t="s">
        <v>881</v>
      </c>
      <c r="U4419" s="3" t="s">
        <v>51</v>
      </c>
      <c r="V4419" s="3" t="s">
        <v>52</v>
      </c>
      <c r="W4419" s="3" t="s">
        <v>21739</v>
      </c>
      <c r="X4419" s="10" t="s">
        <v>21740</v>
      </c>
      <c r="Y4419" s="6" t="s">
        <v>166</v>
      </c>
      <c r="Z4419" s="4">
        <v>5.65</v>
      </c>
      <c r="AA4419" s="4">
        <v>37.49</v>
      </c>
      <c r="AB4419" s="3" t="s">
        <v>56</v>
      </c>
      <c r="AC4419" s="3" t="s">
        <v>21741</v>
      </c>
      <c r="AD4419" s="9">
        <v>43713</v>
      </c>
      <c r="AE4419" s="3" t="s">
        <v>504</v>
      </c>
      <c r="AF4419" s="3" t="s">
        <v>159</v>
      </c>
      <c r="AG4419" s="3" t="s">
        <v>102</v>
      </c>
      <c r="AH4419" s="11">
        <f>HYPERLINK("https://my.pitchbook.com?c=123301-18T","View Company Online")</f>
      </c>
    </row>
    <row r="4420">
      <c r="A4420" s="12" t="s">
        <v>21742</v>
      </c>
      <c r="B4420" s="12" t="s">
        <v>11333</v>
      </c>
      <c r="C4420" s="19" t="s">
        <v>36</v>
      </c>
      <c r="D4420" s="19" t="s">
        <v>36</v>
      </c>
      <c r="E4420" s="19" t="s">
        <v>36</v>
      </c>
      <c r="F4420" s="19" t="s">
        <v>36</v>
      </c>
      <c r="G4420" s="15" t="s">
        <v>36</v>
      </c>
      <c r="H4420" s="14" t="s">
        <v>36</v>
      </c>
      <c r="I4420" s="18" t="s">
        <v>36</v>
      </c>
      <c r="J4420" s="12" t="s">
        <v>36</v>
      </c>
      <c r="K4420" s="13" t="s">
        <v>36</v>
      </c>
      <c r="L4420" s="15" t="s">
        <v>36</v>
      </c>
      <c r="M4420" s="12" t="s">
        <v>36</v>
      </c>
      <c r="N4420" s="12" t="s">
        <v>36</v>
      </c>
      <c r="O4420" s="17" t="s">
        <v>36</v>
      </c>
      <c r="P4420" s="12" t="s">
        <v>36</v>
      </c>
      <c r="Q4420" s="12" t="s">
        <v>36</v>
      </c>
      <c r="R4420" s="12" t="s">
        <v>36</v>
      </c>
      <c r="S4420" s="12" t="s">
        <v>36</v>
      </c>
      <c r="T4420" s="12" t="s">
        <v>11334</v>
      </c>
      <c r="U4420" s="12" t="s">
        <v>38</v>
      </c>
      <c r="V4420" s="12" t="s">
        <v>39</v>
      </c>
      <c r="W4420" s="12" t="s">
        <v>11335</v>
      </c>
      <c r="X4420" s="16" t="s">
        <v>21743</v>
      </c>
      <c r="Y4420" s="15" t="s">
        <v>166</v>
      </c>
      <c r="Z4420" s="14" t="s">
        <v>36</v>
      </c>
      <c r="AA4420" s="14" t="s">
        <v>36</v>
      </c>
      <c r="AB4420" s="12" t="s">
        <v>43</v>
      </c>
      <c r="AC4420" s="12" t="s">
        <v>11337</v>
      </c>
      <c r="AD4420" s="13">
        <v>43712</v>
      </c>
      <c r="AE4420" s="12" t="s">
        <v>45</v>
      </c>
      <c r="AF4420" s="12" t="s">
        <v>1852</v>
      </c>
      <c r="AG4420" s="12" t="s">
        <v>81</v>
      </c>
      <c r="AH4420" s="1">
        <f>HYPERLINK("https://my.pitchbook.com?c=170521-21T","View Company Online")</f>
      </c>
    </row>
    <row r="4421">
      <c r="A4421" s="3" t="s">
        <v>21744</v>
      </c>
      <c r="B4421" s="3" t="s">
        <v>15437</v>
      </c>
      <c r="C4421" s="5">
        <v>1</v>
      </c>
      <c r="D4421" s="5">
        <v>2</v>
      </c>
      <c r="E4421" s="5">
        <v>1</v>
      </c>
      <c r="F4421" s="5">
        <v>4</v>
      </c>
      <c r="G4421" s="6" t="s">
        <v>683</v>
      </c>
      <c r="H4421" s="4">
        <v>152.67</v>
      </c>
      <c r="I4421" s="7">
        <v>10.61</v>
      </c>
      <c r="J4421" s="3" t="s">
        <v>521</v>
      </c>
      <c r="K4421" s="9" t="s">
        <v>36</v>
      </c>
      <c r="L4421" s="6" t="s">
        <v>36</v>
      </c>
      <c r="M4421" s="3" t="s">
        <v>36</v>
      </c>
      <c r="N4421" s="3" t="s">
        <v>36</v>
      </c>
      <c r="O4421" s="8" t="s">
        <v>36</v>
      </c>
      <c r="P4421" s="3" t="s">
        <v>36</v>
      </c>
      <c r="Q4421" s="3" t="s">
        <v>36</v>
      </c>
      <c r="R4421" s="3" t="s">
        <v>36</v>
      </c>
      <c r="S4421" s="3" t="s">
        <v>36</v>
      </c>
      <c r="T4421" s="3" t="s">
        <v>15438</v>
      </c>
      <c r="U4421" s="3" t="s">
        <v>1144</v>
      </c>
      <c r="V4421" s="3" t="s">
        <v>378</v>
      </c>
      <c r="W4421" s="3" t="s">
        <v>15439</v>
      </c>
      <c r="X4421" s="10" t="s">
        <v>10625</v>
      </c>
      <c r="Y4421" s="6" t="s">
        <v>108</v>
      </c>
      <c r="Z4421" s="4">
        <v>0.28</v>
      </c>
      <c r="AA4421" s="4">
        <v>2.67</v>
      </c>
      <c r="AB4421" s="3" t="s">
        <v>43</v>
      </c>
      <c r="AC4421" s="3" t="s">
        <v>15441</v>
      </c>
      <c r="AD4421" s="9">
        <v>43712</v>
      </c>
      <c r="AE4421" s="3" t="s">
        <v>7667</v>
      </c>
      <c r="AF4421" s="3" t="s">
        <v>571</v>
      </c>
      <c r="AG4421" s="3" t="s">
        <v>15442</v>
      </c>
      <c r="AH4421" s="11">
        <f>HYPERLINK("https://my.pitchbook.com?c=179968-15T","View Company Online")</f>
      </c>
    </row>
    <row r="4422">
      <c r="A4422" s="12" t="s">
        <v>21745</v>
      </c>
      <c r="B4422" s="12" t="s">
        <v>21746</v>
      </c>
      <c r="C4422" s="19" t="s">
        <v>36</v>
      </c>
      <c r="D4422" s="19" t="s">
        <v>36</v>
      </c>
      <c r="E4422" s="19" t="s">
        <v>36</v>
      </c>
      <c r="F4422" s="19" t="s">
        <v>36</v>
      </c>
      <c r="G4422" s="15" t="s">
        <v>326</v>
      </c>
      <c r="H4422" s="14">
        <v>1135.36</v>
      </c>
      <c r="I4422" s="18">
        <v>28.9</v>
      </c>
      <c r="J4422" s="12" t="s">
        <v>521</v>
      </c>
      <c r="K4422" s="13" t="s">
        <v>36</v>
      </c>
      <c r="L4422" s="15" t="s">
        <v>36</v>
      </c>
      <c r="M4422" s="12" t="s">
        <v>36</v>
      </c>
      <c r="N4422" s="12" t="s">
        <v>36</v>
      </c>
      <c r="O4422" s="17" t="s">
        <v>36</v>
      </c>
      <c r="P4422" s="12" t="s">
        <v>36</v>
      </c>
      <c r="Q4422" s="12" t="s">
        <v>36</v>
      </c>
      <c r="R4422" s="12" t="s">
        <v>36</v>
      </c>
      <c r="S4422" s="12" t="s">
        <v>36</v>
      </c>
      <c r="T4422" s="12" t="s">
        <v>21747</v>
      </c>
      <c r="U4422" s="12" t="s">
        <v>833</v>
      </c>
      <c r="V4422" s="12" t="s">
        <v>64</v>
      </c>
      <c r="W4422" s="12" t="s">
        <v>21748</v>
      </c>
      <c r="X4422" s="16" t="s">
        <v>21749</v>
      </c>
      <c r="Y4422" s="15" t="s">
        <v>192</v>
      </c>
      <c r="Z4422" s="14">
        <v>7.33</v>
      </c>
      <c r="AA4422" s="14">
        <v>25.35</v>
      </c>
      <c r="AB4422" s="12" t="s">
        <v>56</v>
      </c>
      <c r="AC4422" s="12" t="s">
        <v>21750</v>
      </c>
      <c r="AD4422" s="13">
        <v>43711</v>
      </c>
      <c r="AE4422" s="12" t="s">
        <v>3615</v>
      </c>
      <c r="AF4422" s="12" t="s">
        <v>571</v>
      </c>
      <c r="AG4422" s="12" t="s">
        <v>21751</v>
      </c>
      <c r="AH4422" s="1">
        <f>HYPERLINK("https://my.pitchbook.com?c=208624-51T","View Company Online")</f>
      </c>
    </row>
    <row r="4423">
      <c r="A4423" s="3" t="s">
        <v>21752</v>
      </c>
      <c r="B4423" s="3" t="s">
        <v>21753</v>
      </c>
      <c r="C4423" s="5">
        <v>3</v>
      </c>
      <c r="D4423" s="5">
        <v>38</v>
      </c>
      <c r="E4423" s="5">
        <v>9</v>
      </c>
      <c r="F4423" s="5">
        <v>45</v>
      </c>
      <c r="G4423" s="6" t="s">
        <v>36</v>
      </c>
      <c r="H4423" s="4">
        <v>60.1</v>
      </c>
      <c r="I4423" s="7">
        <v>21.5</v>
      </c>
      <c r="J4423" s="3" t="s">
        <v>521</v>
      </c>
      <c r="K4423" s="9" t="s">
        <v>36</v>
      </c>
      <c r="L4423" s="6" t="s">
        <v>122</v>
      </c>
      <c r="M4423" s="3" t="s">
        <v>36</v>
      </c>
      <c r="N4423" s="3" t="s">
        <v>122</v>
      </c>
      <c r="O4423" s="8" t="s">
        <v>36</v>
      </c>
      <c r="P4423" s="3" t="s">
        <v>36</v>
      </c>
      <c r="Q4423" s="3" t="s">
        <v>36</v>
      </c>
      <c r="R4423" s="3" t="s">
        <v>36</v>
      </c>
      <c r="S4423" s="3" t="s">
        <v>36</v>
      </c>
      <c r="T4423" s="3" t="s">
        <v>21754</v>
      </c>
      <c r="U4423" s="3" t="s">
        <v>96</v>
      </c>
      <c r="V4423" s="3" t="s">
        <v>52</v>
      </c>
      <c r="W4423" s="3" t="s">
        <v>21755</v>
      </c>
      <c r="X4423" s="10" t="s">
        <v>10905</v>
      </c>
      <c r="Y4423" s="6" t="s">
        <v>42</v>
      </c>
      <c r="Z4423" s="4">
        <v>5.56</v>
      </c>
      <c r="AA4423" s="4">
        <v>25.85</v>
      </c>
      <c r="AB4423" s="3" t="s">
        <v>56</v>
      </c>
      <c r="AC4423" s="3" t="s">
        <v>21756</v>
      </c>
      <c r="AD4423" s="9">
        <v>43711</v>
      </c>
      <c r="AE4423" s="3" t="s">
        <v>755</v>
      </c>
      <c r="AF4423" s="3" t="s">
        <v>101</v>
      </c>
      <c r="AG4423" s="3" t="s">
        <v>12667</v>
      </c>
      <c r="AH4423" s="11">
        <f>HYPERLINK("https://my.pitchbook.com?c=123094-18T","View Company Online")</f>
      </c>
    </row>
    <row r="4424">
      <c r="A4424" s="12" t="s">
        <v>21757</v>
      </c>
      <c r="B4424" s="12" t="s">
        <v>13084</v>
      </c>
      <c r="C4424" s="19">
        <v>40</v>
      </c>
      <c r="D4424" s="19">
        <v>97</v>
      </c>
      <c r="E4424" s="19">
        <v>38</v>
      </c>
      <c r="F4424" s="19">
        <v>142</v>
      </c>
      <c r="G4424" s="15" t="s">
        <v>36</v>
      </c>
      <c r="H4424" s="14" t="s">
        <v>36</v>
      </c>
      <c r="I4424" s="18" t="s">
        <v>36</v>
      </c>
      <c r="J4424" s="12" t="s">
        <v>36</v>
      </c>
      <c r="K4424" s="13" t="s">
        <v>36</v>
      </c>
      <c r="L4424" s="15" t="s">
        <v>36</v>
      </c>
      <c r="M4424" s="12" t="s">
        <v>36</v>
      </c>
      <c r="N4424" s="12" t="s">
        <v>36</v>
      </c>
      <c r="O4424" s="17" t="s">
        <v>36</v>
      </c>
      <c r="P4424" s="12" t="s">
        <v>36</v>
      </c>
      <c r="Q4424" s="12" t="s">
        <v>36</v>
      </c>
      <c r="R4424" s="12" t="s">
        <v>36</v>
      </c>
      <c r="S4424" s="12" t="s">
        <v>36</v>
      </c>
      <c r="T4424" s="12" t="s">
        <v>13085</v>
      </c>
      <c r="U4424" s="12" t="s">
        <v>96</v>
      </c>
      <c r="V4424" s="12" t="s">
        <v>52</v>
      </c>
      <c r="W4424" s="12" t="s">
        <v>13086</v>
      </c>
      <c r="X4424" s="16" t="s">
        <v>21758</v>
      </c>
      <c r="Y4424" s="15" t="s">
        <v>192</v>
      </c>
      <c r="Z4424" s="14">
        <v>5.56</v>
      </c>
      <c r="AA4424" s="14" t="s">
        <v>36</v>
      </c>
      <c r="AB4424" s="12" t="s">
        <v>56</v>
      </c>
      <c r="AC4424" s="12" t="s">
        <v>13088</v>
      </c>
      <c r="AD4424" s="13">
        <v>43711</v>
      </c>
      <c r="AE4424" s="12" t="s">
        <v>496</v>
      </c>
      <c r="AF4424" s="12" t="s">
        <v>885</v>
      </c>
      <c r="AG4424" s="12" t="s">
        <v>1978</v>
      </c>
      <c r="AH4424" s="1">
        <f>HYPERLINK("https://my.pitchbook.com?c=122847-04T","View Company Online")</f>
      </c>
    </row>
    <row r="4425">
      <c r="A4425" s="3" t="s">
        <v>21759</v>
      </c>
      <c r="B4425" s="3" t="s">
        <v>21760</v>
      </c>
      <c r="C4425" s="5">
        <v>3</v>
      </c>
      <c r="D4425" s="5" t="s">
        <v>36</v>
      </c>
      <c r="E4425" s="5">
        <v>3</v>
      </c>
      <c r="F4425" s="5">
        <v>3</v>
      </c>
      <c r="G4425" s="6" t="s">
        <v>36</v>
      </c>
      <c r="H4425" s="4" t="s">
        <v>36</v>
      </c>
      <c r="I4425" s="7" t="s">
        <v>36</v>
      </c>
      <c r="J4425" s="3" t="s">
        <v>36</v>
      </c>
      <c r="K4425" s="9" t="s">
        <v>36</v>
      </c>
      <c r="L4425" s="6" t="s">
        <v>36</v>
      </c>
      <c r="M4425" s="3" t="s">
        <v>36</v>
      </c>
      <c r="N4425" s="3" t="s">
        <v>36</v>
      </c>
      <c r="O4425" s="8" t="s">
        <v>36</v>
      </c>
      <c r="P4425" s="3" t="s">
        <v>36</v>
      </c>
      <c r="Q4425" s="3" t="s">
        <v>36</v>
      </c>
      <c r="R4425" s="3" t="s">
        <v>36</v>
      </c>
      <c r="S4425" s="3" t="s">
        <v>36</v>
      </c>
      <c r="T4425" s="3" t="s">
        <v>342</v>
      </c>
      <c r="U4425" s="3" t="s">
        <v>38</v>
      </c>
      <c r="V4425" s="3" t="s">
        <v>39</v>
      </c>
      <c r="W4425" s="3" t="s">
        <v>21761</v>
      </c>
      <c r="X4425" s="10" t="s">
        <v>21762</v>
      </c>
      <c r="Y4425" s="6" t="s">
        <v>108</v>
      </c>
      <c r="Z4425" s="4">
        <v>2.22</v>
      </c>
      <c r="AA4425" s="4" t="s">
        <v>36</v>
      </c>
      <c r="AB4425" s="3" t="s">
        <v>43</v>
      </c>
      <c r="AC4425" s="3" t="s">
        <v>21763</v>
      </c>
      <c r="AD4425" s="9">
        <v>43711</v>
      </c>
      <c r="AE4425" s="3" t="s">
        <v>110</v>
      </c>
      <c r="AF4425" s="3" t="s">
        <v>275</v>
      </c>
      <c r="AG4425" s="3" t="s">
        <v>4796</v>
      </c>
      <c r="AH4425" s="11">
        <f>HYPERLINK("https://my.pitchbook.com?c=123248-44T","View Company Online")</f>
      </c>
    </row>
    <row r="4426">
      <c r="A4426" s="12" t="s">
        <v>21764</v>
      </c>
      <c r="B4426" s="12" t="s">
        <v>21765</v>
      </c>
      <c r="C4426" s="19" t="s">
        <v>36</v>
      </c>
      <c r="D4426" s="19" t="s">
        <v>36</v>
      </c>
      <c r="E4426" s="19" t="s">
        <v>36</v>
      </c>
      <c r="F4426" s="19" t="s">
        <v>36</v>
      </c>
      <c r="G4426" s="15" t="s">
        <v>326</v>
      </c>
      <c r="H4426" s="14">
        <v>450.37</v>
      </c>
      <c r="I4426" s="18">
        <v>27.44</v>
      </c>
      <c r="J4426" s="12" t="s">
        <v>521</v>
      </c>
      <c r="K4426" s="13" t="s">
        <v>36</v>
      </c>
      <c r="L4426" s="15" t="s">
        <v>122</v>
      </c>
      <c r="M4426" s="12" t="s">
        <v>36</v>
      </c>
      <c r="N4426" s="12" t="s">
        <v>122</v>
      </c>
      <c r="O4426" s="17" t="s">
        <v>36</v>
      </c>
      <c r="P4426" s="12" t="s">
        <v>36</v>
      </c>
      <c r="Q4426" s="12" t="s">
        <v>36</v>
      </c>
      <c r="R4426" s="12" t="s">
        <v>36</v>
      </c>
      <c r="S4426" s="12" t="s">
        <v>36</v>
      </c>
      <c r="T4426" s="12" t="s">
        <v>522</v>
      </c>
      <c r="U4426" s="12" t="s">
        <v>38</v>
      </c>
      <c r="V4426" s="12" t="s">
        <v>39</v>
      </c>
      <c r="W4426" s="12" t="s">
        <v>21766</v>
      </c>
      <c r="X4426" s="16" t="s">
        <v>21767</v>
      </c>
      <c r="Y4426" s="15" t="s">
        <v>108</v>
      </c>
      <c r="Z4426" s="14">
        <v>4.54</v>
      </c>
      <c r="AA4426" s="14">
        <v>16.53</v>
      </c>
      <c r="AB4426" s="12" t="s">
        <v>56</v>
      </c>
      <c r="AC4426" s="12" t="s">
        <v>21768</v>
      </c>
      <c r="AD4426" s="13">
        <v>43710</v>
      </c>
      <c r="AE4426" s="12" t="s">
        <v>110</v>
      </c>
      <c r="AF4426" s="12" t="s">
        <v>11479</v>
      </c>
      <c r="AG4426" s="12" t="s">
        <v>81</v>
      </c>
      <c r="AH4426" s="1">
        <f>HYPERLINK("https://my.pitchbook.com?c=122880-43T","View Company Online")</f>
      </c>
    </row>
    <row r="4427">
      <c r="A4427" s="3" t="s">
        <v>21769</v>
      </c>
      <c r="B4427" s="3" t="s">
        <v>21770</v>
      </c>
      <c r="C4427" s="5" t="s">
        <v>36</v>
      </c>
      <c r="D4427" s="5" t="s">
        <v>36</v>
      </c>
      <c r="E4427" s="5" t="s">
        <v>36</v>
      </c>
      <c r="F4427" s="5" t="s">
        <v>36</v>
      </c>
      <c r="G4427" s="6" t="s">
        <v>326</v>
      </c>
      <c r="H4427" s="4">
        <v>22.62</v>
      </c>
      <c r="I4427" s="7">
        <v>35.02</v>
      </c>
      <c r="J4427" s="3" t="s">
        <v>521</v>
      </c>
      <c r="K4427" s="9" t="s">
        <v>36</v>
      </c>
      <c r="L4427" s="6" t="s">
        <v>36</v>
      </c>
      <c r="M4427" s="3" t="s">
        <v>36</v>
      </c>
      <c r="N4427" s="3" t="s">
        <v>36</v>
      </c>
      <c r="O4427" s="8" t="s">
        <v>36</v>
      </c>
      <c r="P4427" s="3" t="s">
        <v>36</v>
      </c>
      <c r="Q4427" s="3" t="s">
        <v>36</v>
      </c>
      <c r="R4427" s="3" t="s">
        <v>36</v>
      </c>
      <c r="S4427" s="3" t="s">
        <v>36</v>
      </c>
      <c r="T4427" s="3" t="s">
        <v>1701</v>
      </c>
      <c r="U4427" s="3" t="s">
        <v>74</v>
      </c>
      <c r="V4427" s="3" t="s">
        <v>75</v>
      </c>
      <c r="W4427" s="3" t="s">
        <v>21771</v>
      </c>
      <c r="X4427" s="10" t="s">
        <v>21772</v>
      </c>
      <c r="Y4427" s="6" t="s">
        <v>108</v>
      </c>
      <c r="Z4427" s="4">
        <v>2.22</v>
      </c>
      <c r="AA4427" s="4">
        <v>3.47</v>
      </c>
      <c r="AB4427" s="3" t="s">
        <v>56</v>
      </c>
      <c r="AC4427" s="3" t="s">
        <v>21773</v>
      </c>
      <c r="AD4427" s="9">
        <v>43710</v>
      </c>
      <c r="AE4427" s="3" t="s">
        <v>79</v>
      </c>
      <c r="AF4427" s="3" t="s">
        <v>905</v>
      </c>
      <c r="AG4427" s="3" t="s">
        <v>899</v>
      </c>
      <c r="AH4427" s="11">
        <f>HYPERLINK("https://my.pitchbook.com?c=122838-76T","View Company Online")</f>
      </c>
    </row>
    <row r="4428">
      <c r="A4428" s="12" t="s">
        <v>21774</v>
      </c>
      <c r="B4428" s="12" t="s">
        <v>18995</v>
      </c>
      <c r="C4428" s="19" t="s">
        <v>36</v>
      </c>
      <c r="D4428" s="19" t="s">
        <v>36</v>
      </c>
      <c r="E4428" s="19" t="s">
        <v>36</v>
      </c>
      <c r="F4428" s="19" t="s">
        <v>36</v>
      </c>
      <c r="G4428" s="15" t="s">
        <v>36</v>
      </c>
      <c r="H4428" s="14" t="s">
        <v>36</v>
      </c>
      <c r="I4428" s="18" t="s">
        <v>36</v>
      </c>
      <c r="J4428" s="12" t="s">
        <v>36</v>
      </c>
      <c r="K4428" s="13" t="s">
        <v>36</v>
      </c>
      <c r="L4428" s="15" t="s">
        <v>36</v>
      </c>
      <c r="M4428" s="12" t="s">
        <v>36</v>
      </c>
      <c r="N4428" s="12" t="s">
        <v>36</v>
      </c>
      <c r="O4428" s="17" t="s">
        <v>36</v>
      </c>
      <c r="P4428" s="12" t="s">
        <v>36</v>
      </c>
      <c r="Q4428" s="12" t="s">
        <v>36</v>
      </c>
      <c r="R4428" s="12" t="s">
        <v>36</v>
      </c>
      <c r="S4428" s="12" t="s">
        <v>36</v>
      </c>
      <c r="T4428" s="12" t="s">
        <v>1106</v>
      </c>
      <c r="U4428" s="12" t="s">
        <v>38</v>
      </c>
      <c r="V4428" s="12" t="s">
        <v>39</v>
      </c>
      <c r="W4428" s="12" t="s">
        <v>18996</v>
      </c>
      <c r="X4428" s="16" t="s">
        <v>7811</v>
      </c>
      <c r="Y4428" s="15" t="s">
        <v>42</v>
      </c>
      <c r="Z4428" s="14">
        <v>1.11</v>
      </c>
      <c r="AA4428" s="14" t="s">
        <v>36</v>
      </c>
      <c r="AB4428" s="12" t="s">
        <v>56</v>
      </c>
      <c r="AC4428" s="12" t="s">
        <v>18998</v>
      </c>
      <c r="AD4428" s="13">
        <v>43709</v>
      </c>
      <c r="AE4428" s="12" t="s">
        <v>110</v>
      </c>
      <c r="AF4428" s="12" t="s">
        <v>4000</v>
      </c>
      <c r="AG4428" s="12" t="s">
        <v>112</v>
      </c>
      <c r="AH4428" s="1">
        <f>HYPERLINK("https://my.pitchbook.com?c=156350-80T","View Company Online")</f>
      </c>
    </row>
    <row r="4429">
      <c r="A4429" s="3" t="s">
        <v>21775</v>
      </c>
      <c r="B4429" s="3" t="s">
        <v>13602</v>
      </c>
      <c r="C4429" s="5" t="s">
        <v>36</v>
      </c>
      <c r="D4429" s="5" t="s">
        <v>36</v>
      </c>
      <c r="E4429" s="5" t="s">
        <v>36</v>
      </c>
      <c r="F4429" s="5" t="s">
        <v>36</v>
      </c>
      <c r="G4429" s="6" t="s">
        <v>36</v>
      </c>
      <c r="H4429" s="4">
        <v>30.21</v>
      </c>
      <c r="I4429" s="7">
        <v>30.13</v>
      </c>
      <c r="J4429" s="3" t="s">
        <v>521</v>
      </c>
      <c r="K4429" s="9" t="s">
        <v>36</v>
      </c>
      <c r="L4429" s="6" t="s">
        <v>36</v>
      </c>
      <c r="M4429" s="3" t="s">
        <v>36</v>
      </c>
      <c r="N4429" s="3" t="s">
        <v>36</v>
      </c>
      <c r="O4429" s="8" t="s">
        <v>36</v>
      </c>
      <c r="P4429" s="3" t="s">
        <v>36</v>
      </c>
      <c r="Q4429" s="3" t="s">
        <v>36</v>
      </c>
      <c r="R4429" s="3" t="s">
        <v>36</v>
      </c>
      <c r="S4429" s="3" t="s">
        <v>36</v>
      </c>
      <c r="T4429" s="3" t="s">
        <v>105</v>
      </c>
      <c r="U4429" s="3" t="s">
        <v>38</v>
      </c>
      <c r="V4429" s="3" t="s">
        <v>39</v>
      </c>
      <c r="W4429" s="3" t="s">
        <v>13603</v>
      </c>
      <c r="X4429" s="10" t="s">
        <v>21776</v>
      </c>
      <c r="Y4429" s="6" t="s">
        <v>42</v>
      </c>
      <c r="Z4429" s="4">
        <v>3.85</v>
      </c>
      <c r="AA4429" s="4">
        <v>12.78</v>
      </c>
      <c r="AB4429" s="3" t="s">
        <v>43</v>
      </c>
      <c r="AC4429" s="3" t="s">
        <v>13605</v>
      </c>
      <c r="AD4429" s="9">
        <v>43709</v>
      </c>
      <c r="AE4429" s="3" t="s">
        <v>110</v>
      </c>
      <c r="AF4429" s="3" t="s">
        <v>8083</v>
      </c>
      <c r="AG4429" s="3" t="s">
        <v>81</v>
      </c>
      <c r="AH4429" s="11">
        <f>HYPERLINK("https://my.pitchbook.com?c=130431-79T","View Company Online")</f>
      </c>
    </row>
    <row r="4430">
      <c r="A4430" s="12" t="s">
        <v>21777</v>
      </c>
      <c r="B4430" s="12" t="s">
        <v>1204</v>
      </c>
      <c r="C4430" s="19">
        <v>11</v>
      </c>
      <c r="D4430" s="19">
        <v>11</v>
      </c>
      <c r="E4430" s="19">
        <v>6</v>
      </c>
      <c r="F4430" s="19">
        <v>23</v>
      </c>
      <c r="G4430" s="15" t="s">
        <v>36</v>
      </c>
      <c r="H4430" s="14">
        <v>143.58</v>
      </c>
      <c r="I4430" s="18">
        <v>5.24</v>
      </c>
      <c r="J4430" s="12" t="s">
        <v>521</v>
      </c>
      <c r="K4430" s="13" t="s">
        <v>36</v>
      </c>
      <c r="L4430" s="15" t="s">
        <v>36</v>
      </c>
      <c r="M4430" s="12" t="s">
        <v>36</v>
      </c>
      <c r="N4430" s="12" t="s">
        <v>36</v>
      </c>
      <c r="O4430" s="17" t="s">
        <v>36</v>
      </c>
      <c r="P4430" s="12" t="s">
        <v>36</v>
      </c>
      <c r="Q4430" s="12" t="s">
        <v>36</v>
      </c>
      <c r="R4430" s="12" t="s">
        <v>36</v>
      </c>
      <c r="S4430" s="12" t="s">
        <v>36</v>
      </c>
      <c r="T4430" s="12" t="s">
        <v>1081</v>
      </c>
      <c r="U4430" s="12" t="s">
        <v>1082</v>
      </c>
      <c r="V4430" s="12" t="s">
        <v>378</v>
      </c>
      <c r="W4430" s="12" t="s">
        <v>1205</v>
      </c>
      <c r="X4430" s="16" t="s">
        <v>4347</v>
      </c>
      <c r="Y4430" s="15" t="s">
        <v>42</v>
      </c>
      <c r="Z4430" s="14">
        <v>0.33</v>
      </c>
      <c r="AA4430" s="14">
        <v>6.37</v>
      </c>
      <c r="AB4430" s="12" t="s">
        <v>43</v>
      </c>
      <c r="AC4430" s="12" t="s">
        <v>1207</v>
      </c>
      <c r="AD4430" s="13">
        <v>43709</v>
      </c>
      <c r="AE4430" s="12" t="s">
        <v>1086</v>
      </c>
      <c r="AF4430" s="12" t="s">
        <v>1208</v>
      </c>
      <c r="AG4430" s="12" t="s">
        <v>1209</v>
      </c>
      <c r="AH4430" s="1">
        <f>HYPERLINK("https://my.pitchbook.com?c=159035-86T","View Company Online")</f>
      </c>
    </row>
    <row r="4431">
      <c r="A4431" s="3" t="s">
        <v>21778</v>
      </c>
      <c r="B4431" s="3" t="s">
        <v>21779</v>
      </c>
      <c r="C4431" s="5" t="s">
        <v>36</v>
      </c>
      <c r="D4431" s="5" t="s">
        <v>36</v>
      </c>
      <c r="E4431" s="5" t="s">
        <v>36</v>
      </c>
      <c r="F4431" s="5" t="s">
        <v>36</v>
      </c>
      <c r="G4431" s="6" t="s">
        <v>36</v>
      </c>
      <c r="H4431" s="4" t="s">
        <v>36</v>
      </c>
      <c r="I4431" s="7" t="s">
        <v>36</v>
      </c>
      <c r="J4431" s="3" t="s">
        <v>36</v>
      </c>
      <c r="K4431" s="9" t="s">
        <v>36</v>
      </c>
      <c r="L4431" s="6" t="s">
        <v>36</v>
      </c>
      <c r="M4431" s="3" t="s">
        <v>36</v>
      </c>
      <c r="N4431" s="3" t="s">
        <v>36</v>
      </c>
      <c r="O4431" s="8" t="s">
        <v>36</v>
      </c>
      <c r="P4431" s="3" t="s">
        <v>36</v>
      </c>
      <c r="Q4431" s="3" t="s">
        <v>36</v>
      </c>
      <c r="R4431" s="3" t="s">
        <v>36</v>
      </c>
      <c r="S4431" s="3" t="s">
        <v>36</v>
      </c>
      <c r="T4431" s="3" t="s">
        <v>21780</v>
      </c>
      <c r="U4431" s="3" t="s">
        <v>619</v>
      </c>
      <c r="V4431" s="3" t="s">
        <v>378</v>
      </c>
      <c r="W4431" s="3" t="s">
        <v>21781</v>
      </c>
      <c r="X4431" s="10" t="s">
        <v>13572</v>
      </c>
      <c r="Y4431" s="6" t="s">
        <v>42</v>
      </c>
      <c r="Z4431" s="4" t="s">
        <v>36</v>
      </c>
      <c r="AA4431" s="4" t="s">
        <v>36</v>
      </c>
      <c r="AB4431" s="3" t="s">
        <v>56</v>
      </c>
      <c r="AC4431" s="3" t="s">
        <v>21782</v>
      </c>
      <c r="AD4431" s="9">
        <v>43709</v>
      </c>
      <c r="AE4431" s="3" t="s">
        <v>623</v>
      </c>
      <c r="AF4431" s="3" t="s">
        <v>21783</v>
      </c>
      <c r="AG4431" s="3" t="s">
        <v>21784</v>
      </c>
      <c r="AH4431" s="11">
        <f>HYPERLINK("https://my.pitchbook.com?c=123001-84T","View Company Online")</f>
      </c>
    </row>
    <row r="4432">
      <c r="A4432" s="12" t="s">
        <v>21785</v>
      </c>
      <c r="B4432" s="12" t="s">
        <v>11828</v>
      </c>
      <c r="C4432" s="19" t="s">
        <v>36</v>
      </c>
      <c r="D4432" s="19" t="s">
        <v>36</v>
      </c>
      <c r="E4432" s="19" t="s">
        <v>36</v>
      </c>
      <c r="F4432" s="19" t="s">
        <v>36</v>
      </c>
      <c r="G4432" s="15" t="s">
        <v>36</v>
      </c>
      <c r="H4432" s="14">
        <v>429.86</v>
      </c>
      <c r="I4432" s="18">
        <v>28.18</v>
      </c>
      <c r="J4432" s="12" t="s">
        <v>521</v>
      </c>
      <c r="K4432" s="13" t="s">
        <v>36</v>
      </c>
      <c r="L4432" s="15" t="s">
        <v>36</v>
      </c>
      <c r="M4432" s="12" t="s">
        <v>36</v>
      </c>
      <c r="N4432" s="12" t="s">
        <v>36</v>
      </c>
      <c r="O4432" s="17" t="s">
        <v>36</v>
      </c>
      <c r="P4432" s="12" t="s">
        <v>36</v>
      </c>
      <c r="Q4432" s="12" t="s">
        <v>36</v>
      </c>
      <c r="R4432" s="12" t="s">
        <v>36</v>
      </c>
      <c r="S4432" s="12" t="s">
        <v>36</v>
      </c>
      <c r="T4432" s="12" t="s">
        <v>11829</v>
      </c>
      <c r="U4432" s="12" t="s">
        <v>38</v>
      </c>
      <c r="V4432" s="12" t="s">
        <v>39</v>
      </c>
      <c r="W4432" s="12" t="s">
        <v>11830</v>
      </c>
      <c r="X4432" s="16" t="s">
        <v>21786</v>
      </c>
      <c r="Y4432" s="15" t="s">
        <v>42</v>
      </c>
      <c r="Z4432" s="14">
        <v>1.48</v>
      </c>
      <c r="AA4432" s="14">
        <v>5.26</v>
      </c>
      <c r="AB4432" s="12" t="s">
        <v>43</v>
      </c>
      <c r="AC4432" s="12" t="s">
        <v>11832</v>
      </c>
      <c r="AD4432" s="13">
        <v>43709</v>
      </c>
      <c r="AE4432" s="12" t="s">
        <v>110</v>
      </c>
      <c r="AF4432" s="12" t="s">
        <v>11833</v>
      </c>
      <c r="AG4432" s="12" t="s">
        <v>81</v>
      </c>
      <c r="AH4432" s="1">
        <f>HYPERLINK("https://my.pitchbook.com?c=121765-69T","View Company Online")</f>
      </c>
    </row>
    <row r="4433">
      <c r="A4433" s="3" t="s">
        <v>21787</v>
      </c>
      <c r="B4433" s="3" t="s">
        <v>21788</v>
      </c>
      <c r="C4433" s="5" t="s">
        <v>36</v>
      </c>
      <c r="D4433" s="5" t="s">
        <v>36</v>
      </c>
      <c r="E4433" s="5" t="s">
        <v>36</v>
      </c>
      <c r="F4433" s="5" t="s">
        <v>36</v>
      </c>
      <c r="G4433" s="6" t="s">
        <v>36</v>
      </c>
      <c r="H4433" s="4">
        <v>24.93</v>
      </c>
      <c r="I4433" s="7">
        <v>21.69</v>
      </c>
      <c r="J4433" s="3" t="s">
        <v>521</v>
      </c>
      <c r="K4433" s="9" t="s">
        <v>36</v>
      </c>
      <c r="L4433" s="6" t="s">
        <v>36</v>
      </c>
      <c r="M4433" s="3" t="s">
        <v>36</v>
      </c>
      <c r="N4433" s="3" t="s">
        <v>36</v>
      </c>
      <c r="O4433" s="8" t="s">
        <v>36</v>
      </c>
      <c r="P4433" s="3" t="s">
        <v>36</v>
      </c>
      <c r="Q4433" s="3" t="s">
        <v>36</v>
      </c>
      <c r="R4433" s="3" t="s">
        <v>36</v>
      </c>
      <c r="S4433" s="3" t="s">
        <v>36</v>
      </c>
      <c r="T4433" s="3" t="s">
        <v>21789</v>
      </c>
      <c r="U4433" s="3" t="s">
        <v>74</v>
      </c>
      <c r="V4433" s="3" t="s">
        <v>75</v>
      </c>
      <c r="W4433" s="3" t="s">
        <v>21790</v>
      </c>
      <c r="X4433" s="10" t="s">
        <v>21791</v>
      </c>
      <c r="Y4433" s="6" t="s">
        <v>42</v>
      </c>
      <c r="Z4433" s="4">
        <v>1.11</v>
      </c>
      <c r="AA4433" s="4">
        <v>3.41</v>
      </c>
      <c r="AB4433" s="3" t="s">
        <v>43</v>
      </c>
      <c r="AC4433" s="3" t="s">
        <v>21792</v>
      </c>
      <c r="AD4433" s="9">
        <v>43709</v>
      </c>
      <c r="AE4433" s="3" t="s">
        <v>362</v>
      </c>
      <c r="AF4433" s="3" t="s">
        <v>468</v>
      </c>
      <c r="AG4433" s="3" t="s">
        <v>81</v>
      </c>
      <c r="AH4433" s="11">
        <f>HYPERLINK("https://my.pitchbook.com?c=126470-98T","View Company Online")</f>
      </c>
    </row>
    <row r="4434">
      <c r="A4434" s="12" t="s">
        <v>21793</v>
      </c>
      <c r="B4434" s="12" t="s">
        <v>21794</v>
      </c>
      <c r="C4434" s="19" t="s">
        <v>36</v>
      </c>
      <c r="D4434" s="19" t="s">
        <v>36</v>
      </c>
      <c r="E4434" s="19" t="s">
        <v>36</v>
      </c>
      <c r="F4434" s="19" t="s">
        <v>36</v>
      </c>
      <c r="G4434" s="15" t="s">
        <v>36</v>
      </c>
      <c r="H4434" s="14" t="s">
        <v>36</v>
      </c>
      <c r="I4434" s="18" t="s">
        <v>36</v>
      </c>
      <c r="J4434" s="12" t="s">
        <v>36</v>
      </c>
      <c r="K4434" s="13" t="s">
        <v>36</v>
      </c>
      <c r="L4434" s="15" t="s">
        <v>36</v>
      </c>
      <c r="M4434" s="12" t="s">
        <v>36</v>
      </c>
      <c r="N4434" s="12" t="s">
        <v>36</v>
      </c>
      <c r="O4434" s="17" t="s">
        <v>36</v>
      </c>
      <c r="P4434" s="12" t="s">
        <v>36</v>
      </c>
      <c r="Q4434" s="12" t="s">
        <v>36</v>
      </c>
      <c r="R4434" s="12" t="s">
        <v>36</v>
      </c>
      <c r="S4434" s="12" t="s">
        <v>36</v>
      </c>
      <c r="T4434" s="12" t="s">
        <v>21795</v>
      </c>
      <c r="U4434" s="12" t="s">
        <v>74</v>
      </c>
      <c r="V4434" s="12" t="s">
        <v>75</v>
      </c>
      <c r="W4434" s="12" t="s">
        <v>21796</v>
      </c>
      <c r="X4434" s="16" t="s">
        <v>13572</v>
      </c>
      <c r="Y4434" s="15" t="s">
        <v>42</v>
      </c>
      <c r="Z4434" s="14" t="s">
        <v>36</v>
      </c>
      <c r="AA4434" s="14" t="s">
        <v>36</v>
      </c>
      <c r="AB4434" s="12" t="s">
        <v>56</v>
      </c>
      <c r="AC4434" s="12" t="s">
        <v>21797</v>
      </c>
      <c r="AD4434" s="13">
        <v>43709</v>
      </c>
      <c r="AE4434" s="12" t="s">
        <v>570</v>
      </c>
      <c r="AF4434" s="12" t="s">
        <v>571</v>
      </c>
      <c r="AG4434" s="12" t="s">
        <v>21798</v>
      </c>
      <c r="AH4434" s="1">
        <f>HYPERLINK("https://my.pitchbook.com?c=122952-16T","View Company Online")</f>
      </c>
    </row>
    <row r="4435">
      <c r="A4435" s="3" t="s">
        <v>21799</v>
      </c>
      <c r="B4435" s="3" t="s">
        <v>13475</v>
      </c>
      <c r="C4435" s="5" t="s">
        <v>36</v>
      </c>
      <c r="D4435" s="5" t="s">
        <v>36</v>
      </c>
      <c r="E4435" s="5" t="s">
        <v>36</v>
      </c>
      <c r="F4435" s="5" t="s">
        <v>36</v>
      </c>
      <c r="G4435" s="6" t="s">
        <v>326</v>
      </c>
      <c r="H4435" s="4">
        <v>67.36</v>
      </c>
      <c r="I4435" s="7">
        <v>23.76</v>
      </c>
      <c r="J4435" s="3" t="s">
        <v>521</v>
      </c>
      <c r="K4435" s="9" t="s">
        <v>36</v>
      </c>
      <c r="L4435" s="6" t="s">
        <v>36</v>
      </c>
      <c r="M4435" s="3" t="s">
        <v>36</v>
      </c>
      <c r="N4435" s="3" t="s">
        <v>36</v>
      </c>
      <c r="O4435" s="8" t="s">
        <v>36</v>
      </c>
      <c r="P4435" s="3" t="s">
        <v>36</v>
      </c>
      <c r="Q4435" s="3" t="s">
        <v>36</v>
      </c>
      <c r="R4435" s="3" t="s">
        <v>36</v>
      </c>
      <c r="S4435" s="3" t="s">
        <v>36</v>
      </c>
      <c r="T4435" s="3" t="s">
        <v>13476</v>
      </c>
      <c r="U4435" s="3" t="s">
        <v>648</v>
      </c>
      <c r="V4435" s="3" t="s">
        <v>64</v>
      </c>
      <c r="W4435" s="3" t="s">
        <v>13477</v>
      </c>
      <c r="X4435" s="10" t="s">
        <v>21800</v>
      </c>
      <c r="Y4435" s="6" t="s">
        <v>108</v>
      </c>
      <c r="Z4435" s="4">
        <v>1.28</v>
      </c>
      <c r="AA4435" s="4">
        <v>5.4</v>
      </c>
      <c r="AB4435" s="3" t="s">
        <v>43</v>
      </c>
      <c r="AC4435" s="3" t="s">
        <v>13479</v>
      </c>
      <c r="AD4435" s="9">
        <v>43709</v>
      </c>
      <c r="AE4435" s="3" t="s">
        <v>651</v>
      </c>
      <c r="AF4435" s="3" t="s">
        <v>36</v>
      </c>
      <c r="AG4435" s="3" t="s">
        <v>81</v>
      </c>
      <c r="AH4435" s="11">
        <f>HYPERLINK("https://my.pitchbook.com?c=130118-77T","View Company Online")</f>
      </c>
    </row>
    <row r="4436">
      <c r="A4436" s="12" t="s">
        <v>21801</v>
      </c>
      <c r="B4436" s="12" t="s">
        <v>21802</v>
      </c>
      <c r="C4436" s="19" t="s">
        <v>36</v>
      </c>
      <c r="D4436" s="19" t="s">
        <v>36</v>
      </c>
      <c r="E4436" s="19" t="s">
        <v>36</v>
      </c>
      <c r="F4436" s="19" t="s">
        <v>36</v>
      </c>
      <c r="G4436" s="15" t="s">
        <v>326</v>
      </c>
      <c r="H4436" s="14">
        <v>250.08</v>
      </c>
      <c r="I4436" s="18">
        <v>5.33</v>
      </c>
      <c r="J4436" s="12" t="s">
        <v>521</v>
      </c>
      <c r="K4436" s="13" t="s">
        <v>36</v>
      </c>
      <c r="L4436" s="15" t="s">
        <v>36</v>
      </c>
      <c r="M4436" s="12" t="s">
        <v>36</v>
      </c>
      <c r="N4436" s="12" t="s">
        <v>36</v>
      </c>
      <c r="O4436" s="17" t="s">
        <v>36</v>
      </c>
      <c r="P4436" s="12" t="s">
        <v>36</v>
      </c>
      <c r="Q4436" s="12" t="s">
        <v>36</v>
      </c>
      <c r="R4436" s="12" t="s">
        <v>36</v>
      </c>
      <c r="S4436" s="12" t="s">
        <v>36</v>
      </c>
      <c r="T4436" s="12" t="s">
        <v>21803</v>
      </c>
      <c r="U4436" s="12" t="s">
        <v>74</v>
      </c>
      <c r="V4436" s="12" t="s">
        <v>75</v>
      </c>
      <c r="W4436" s="12" t="s">
        <v>21804</v>
      </c>
      <c r="X4436" s="16" t="s">
        <v>21805</v>
      </c>
      <c r="Y4436" s="15" t="s">
        <v>42</v>
      </c>
      <c r="Z4436" s="14">
        <v>0.11</v>
      </c>
      <c r="AA4436" s="14">
        <v>2.12</v>
      </c>
      <c r="AB4436" s="12" t="s">
        <v>43</v>
      </c>
      <c r="AC4436" s="12" t="s">
        <v>21806</v>
      </c>
      <c r="AD4436" s="13">
        <v>43709</v>
      </c>
      <c r="AE4436" s="12" t="s">
        <v>975</v>
      </c>
      <c r="AF4436" s="12" t="s">
        <v>5170</v>
      </c>
      <c r="AG4436" s="12" t="s">
        <v>81</v>
      </c>
      <c r="AH4436" s="1">
        <f>HYPERLINK("https://my.pitchbook.com?c=190069-57T","View Company Online")</f>
      </c>
    </row>
    <row r="4437">
      <c r="A4437" s="3" t="s">
        <v>21807</v>
      </c>
      <c r="B4437" s="3" t="s">
        <v>19847</v>
      </c>
      <c r="C4437" s="5" t="s">
        <v>36</v>
      </c>
      <c r="D4437" s="5" t="s">
        <v>36</v>
      </c>
      <c r="E4437" s="5" t="s">
        <v>36</v>
      </c>
      <c r="F4437" s="5" t="s">
        <v>36</v>
      </c>
      <c r="G4437" s="6" t="s">
        <v>326</v>
      </c>
      <c r="H4437" s="4">
        <v>434.69</v>
      </c>
      <c r="I4437" s="7">
        <v>25.66</v>
      </c>
      <c r="J4437" s="3" t="s">
        <v>521</v>
      </c>
      <c r="K4437" s="9" t="s">
        <v>36</v>
      </c>
      <c r="L4437" s="6" t="s">
        <v>36</v>
      </c>
      <c r="M4437" s="3" t="s">
        <v>36</v>
      </c>
      <c r="N4437" s="3" t="s">
        <v>36</v>
      </c>
      <c r="O4437" s="8" t="s">
        <v>36</v>
      </c>
      <c r="P4437" s="3" t="s">
        <v>36</v>
      </c>
      <c r="Q4437" s="3" t="s">
        <v>36</v>
      </c>
      <c r="R4437" s="3" t="s">
        <v>36</v>
      </c>
      <c r="S4437" s="3" t="s">
        <v>36</v>
      </c>
      <c r="T4437" s="3" t="s">
        <v>9193</v>
      </c>
      <c r="U4437" s="3" t="s">
        <v>74</v>
      </c>
      <c r="V4437" s="3" t="s">
        <v>75</v>
      </c>
      <c r="W4437" s="3" t="s">
        <v>19848</v>
      </c>
      <c r="X4437" s="10" t="s">
        <v>21808</v>
      </c>
      <c r="Y4437" s="6" t="s">
        <v>108</v>
      </c>
      <c r="Z4437" s="4">
        <v>1.07</v>
      </c>
      <c r="AA4437" s="4">
        <v>4.18</v>
      </c>
      <c r="AB4437" s="3" t="s">
        <v>43</v>
      </c>
      <c r="AC4437" s="3" t="s">
        <v>19850</v>
      </c>
      <c r="AD4437" s="9">
        <v>43709</v>
      </c>
      <c r="AE4437" s="3" t="s">
        <v>79</v>
      </c>
      <c r="AF4437" s="3" t="s">
        <v>19021</v>
      </c>
      <c r="AG4437" s="3" t="s">
        <v>81</v>
      </c>
      <c r="AH4437" s="11">
        <f>HYPERLINK("https://my.pitchbook.com?c=177042-43T","View Company Online")</f>
      </c>
    </row>
    <row r="4438">
      <c r="A4438" s="12" t="s">
        <v>21809</v>
      </c>
      <c r="B4438" s="12" t="s">
        <v>21810</v>
      </c>
      <c r="C4438" s="19" t="s">
        <v>36</v>
      </c>
      <c r="D4438" s="19">
        <v>2</v>
      </c>
      <c r="E4438" s="19">
        <v>2</v>
      </c>
      <c r="F4438" s="19">
        <v>7</v>
      </c>
      <c r="G4438" s="15" t="s">
        <v>683</v>
      </c>
      <c r="H4438" s="14">
        <v>0.24</v>
      </c>
      <c r="I4438" s="18">
        <v>11.94</v>
      </c>
      <c r="J4438" s="12" t="s">
        <v>521</v>
      </c>
      <c r="K4438" s="13" t="s">
        <v>36</v>
      </c>
      <c r="L4438" s="15" t="s">
        <v>36</v>
      </c>
      <c r="M4438" s="12" t="s">
        <v>36</v>
      </c>
      <c r="N4438" s="12" t="s">
        <v>36</v>
      </c>
      <c r="O4438" s="17" t="s">
        <v>36</v>
      </c>
      <c r="P4438" s="12" t="s">
        <v>36</v>
      </c>
      <c r="Q4438" s="12" t="s">
        <v>36</v>
      </c>
      <c r="R4438" s="12" t="s">
        <v>36</v>
      </c>
      <c r="S4438" s="12" t="s">
        <v>36</v>
      </c>
      <c r="T4438" s="12" t="s">
        <v>21811</v>
      </c>
      <c r="U4438" s="12" t="s">
        <v>1798</v>
      </c>
      <c r="V4438" s="12" t="s">
        <v>39</v>
      </c>
      <c r="W4438" s="12" t="s">
        <v>21812</v>
      </c>
      <c r="X4438" s="16" t="s">
        <v>21813</v>
      </c>
      <c r="Y4438" s="15" t="s">
        <v>321</v>
      </c>
      <c r="Z4438" s="14">
        <v>0.92</v>
      </c>
      <c r="AA4438" s="14">
        <v>7.69</v>
      </c>
      <c r="AB4438" s="12" t="s">
        <v>56</v>
      </c>
      <c r="AC4438" s="12" t="s">
        <v>21814</v>
      </c>
      <c r="AD4438" s="13">
        <v>43707</v>
      </c>
      <c r="AE4438" s="12" t="s">
        <v>4247</v>
      </c>
      <c r="AF4438" s="12" t="s">
        <v>4668</v>
      </c>
      <c r="AG4438" s="12" t="s">
        <v>21815</v>
      </c>
      <c r="AH4438" s="1">
        <f>HYPERLINK("https://my.pitchbook.com?c=129576-70T","View Company Online")</f>
      </c>
    </row>
    <row r="4439">
      <c r="A4439" s="3" t="s">
        <v>21816</v>
      </c>
      <c r="B4439" s="3" t="s">
        <v>9961</v>
      </c>
      <c r="C4439" s="5" t="s">
        <v>36</v>
      </c>
      <c r="D4439" s="5" t="s">
        <v>36</v>
      </c>
      <c r="E4439" s="5" t="s">
        <v>36</v>
      </c>
      <c r="F4439" s="5" t="s">
        <v>36</v>
      </c>
      <c r="G4439" s="6" t="s">
        <v>36</v>
      </c>
      <c r="H4439" s="4">
        <v>415.43</v>
      </c>
      <c r="I4439" s="7">
        <v>25.41</v>
      </c>
      <c r="J4439" s="3" t="s">
        <v>521</v>
      </c>
      <c r="K4439" s="9" t="s">
        <v>36</v>
      </c>
      <c r="L4439" s="6" t="s">
        <v>36</v>
      </c>
      <c r="M4439" s="3" t="s">
        <v>36</v>
      </c>
      <c r="N4439" s="3" t="s">
        <v>36</v>
      </c>
      <c r="O4439" s="8" t="s">
        <v>36</v>
      </c>
      <c r="P4439" s="3" t="s">
        <v>36</v>
      </c>
      <c r="Q4439" s="3" t="s">
        <v>36</v>
      </c>
      <c r="R4439" s="3" t="s">
        <v>36</v>
      </c>
      <c r="S4439" s="3" t="s">
        <v>36</v>
      </c>
      <c r="T4439" s="3" t="s">
        <v>1725</v>
      </c>
      <c r="U4439" s="3" t="s">
        <v>318</v>
      </c>
      <c r="V4439" s="3" t="s">
        <v>39</v>
      </c>
      <c r="W4439" s="3" t="s">
        <v>9962</v>
      </c>
      <c r="X4439" s="10" t="s">
        <v>21817</v>
      </c>
      <c r="Y4439" s="6" t="s">
        <v>42</v>
      </c>
      <c r="Z4439" s="4">
        <v>0.23</v>
      </c>
      <c r="AA4439" s="4">
        <v>0.9</v>
      </c>
      <c r="AB4439" s="3" t="s">
        <v>43</v>
      </c>
      <c r="AC4439" s="3" t="s">
        <v>9964</v>
      </c>
      <c r="AD4439" s="9">
        <v>43705</v>
      </c>
      <c r="AE4439" s="3" t="s">
        <v>763</v>
      </c>
      <c r="AF4439" s="3" t="s">
        <v>9965</v>
      </c>
      <c r="AG4439" s="3" t="s">
        <v>9966</v>
      </c>
      <c r="AH4439" s="11">
        <f>HYPERLINK("https://my.pitchbook.com?c=206855-56T","View Company Online")</f>
      </c>
    </row>
    <row r="4440">
      <c r="A4440" s="12" t="s">
        <v>21818</v>
      </c>
      <c r="B4440" s="12" t="s">
        <v>21151</v>
      </c>
      <c r="C4440" s="19" t="s">
        <v>36</v>
      </c>
      <c r="D4440" s="19" t="s">
        <v>36</v>
      </c>
      <c r="E4440" s="19" t="s">
        <v>36</v>
      </c>
      <c r="F4440" s="19" t="s">
        <v>36</v>
      </c>
      <c r="G4440" s="15" t="s">
        <v>326</v>
      </c>
      <c r="H4440" s="14">
        <v>4704.71</v>
      </c>
      <c r="I4440" s="18">
        <v>6.93</v>
      </c>
      <c r="J4440" s="12" t="s">
        <v>521</v>
      </c>
      <c r="K4440" s="13" t="s">
        <v>36</v>
      </c>
      <c r="L4440" s="15" t="s">
        <v>36</v>
      </c>
      <c r="M4440" s="12" t="s">
        <v>36</v>
      </c>
      <c r="N4440" s="12" t="s">
        <v>36</v>
      </c>
      <c r="O4440" s="17" t="s">
        <v>36</v>
      </c>
      <c r="P4440" s="12" t="s">
        <v>36</v>
      </c>
      <c r="Q4440" s="12" t="s">
        <v>36</v>
      </c>
      <c r="R4440" s="12" t="s">
        <v>36</v>
      </c>
      <c r="S4440" s="12" t="s">
        <v>7049</v>
      </c>
      <c r="T4440" s="12" t="s">
        <v>105</v>
      </c>
      <c r="U4440" s="12" t="s">
        <v>38</v>
      </c>
      <c r="V4440" s="12" t="s">
        <v>39</v>
      </c>
      <c r="W4440" s="12" t="s">
        <v>21152</v>
      </c>
      <c r="X4440" s="16" t="s">
        <v>21153</v>
      </c>
      <c r="Y4440" s="15" t="s">
        <v>55</v>
      </c>
      <c r="Z4440" s="14">
        <v>0.5</v>
      </c>
      <c r="AA4440" s="14">
        <v>7.28</v>
      </c>
      <c r="AB4440" s="12" t="s">
        <v>43</v>
      </c>
      <c r="AC4440" s="12" t="s">
        <v>21154</v>
      </c>
      <c r="AD4440" s="13">
        <v>43704</v>
      </c>
      <c r="AE4440" s="12" t="s">
        <v>110</v>
      </c>
      <c r="AF4440" s="12" t="s">
        <v>5901</v>
      </c>
      <c r="AG4440" s="12" t="s">
        <v>81</v>
      </c>
      <c r="AH4440" s="1">
        <f>HYPERLINK("https://my.pitchbook.com?c=135090-64T","View Company Online")</f>
      </c>
    </row>
    <row r="4441">
      <c r="A4441" s="3" t="s">
        <v>21819</v>
      </c>
      <c r="B4441" s="3" t="s">
        <v>21820</v>
      </c>
      <c r="C4441" s="5" t="s">
        <v>36</v>
      </c>
      <c r="D4441" s="5" t="s">
        <v>36</v>
      </c>
      <c r="E4441" s="5">
        <v>2</v>
      </c>
      <c r="F4441" s="5">
        <v>2</v>
      </c>
      <c r="G4441" s="6" t="s">
        <v>326</v>
      </c>
      <c r="H4441" s="4">
        <v>184.86</v>
      </c>
      <c r="I4441" s="7">
        <v>7.92</v>
      </c>
      <c r="J4441" s="3" t="s">
        <v>521</v>
      </c>
      <c r="K4441" s="9" t="s">
        <v>36</v>
      </c>
      <c r="L4441" s="6" t="s">
        <v>36</v>
      </c>
      <c r="M4441" s="3" t="s">
        <v>36</v>
      </c>
      <c r="N4441" s="3" t="s">
        <v>36</v>
      </c>
      <c r="O4441" s="8" t="s">
        <v>36</v>
      </c>
      <c r="P4441" s="3" t="s">
        <v>36</v>
      </c>
      <c r="Q4441" s="3" t="s">
        <v>36</v>
      </c>
      <c r="R4441" s="3" t="s">
        <v>36</v>
      </c>
      <c r="S4441" s="3" t="s">
        <v>36</v>
      </c>
      <c r="T4441" s="3" t="s">
        <v>2308</v>
      </c>
      <c r="U4441" s="3" t="s">
        <v>38</v>
      </c>
      <c r="V4441" s="3" t="s">
        <v>39</v>
      </c>
      <c r="W4441" s="3" t="s">
        <v>21821</v>
      </c>
      <c r="X4441" s="10" t="s">
        <v>21822</v>
      </c>
      <c r="Y4441" s="6" t="s">
        <v>42</v>
      </c>
      <c r="Z4441" s="4">
        <v>3.34</v>
      </c>
      <c r="AA4441" s="4">
        <v>33.72</v>
      </c>
      <c r="AB4441" s="3" t="s">
        <v>43</v>
      </c>
      <c r="AC4441" s="3" t="s">
        <v>21823</v>
      </c>
      <c r="AD4441" s="9">
        <v>43704</v>
      </c>
      <c r="AE4441" s="3" t="s">
        <v>45</v>
      </c>
      <c r="AF4441" s="3" t="s">
        <v>21824</v>
      </c>
      <c r="AG4441" s="3" t="s">
        <v>81</v>
      </c>
      <c r="AH4441" s="11">
        <f>HYPERLINK("https://my.pitchbook.com?c=122688-19T","View Company Online")</f>
      </c>
    </row>
    <row r="4442">
      <c r="A4442" s="12" t="s">
        <v>21825</v>
      </c>
      <c r="B4442" s="12" t="s">
        <v>11091</v>
      </c>
      <c r="C4442" s="19" t="s">
        <v>36</v>
      </c>
      <c r="D4442" s="19" t="s">
        <v>36</v>
      </c>
      <c r="E4442" s="19" t="s">
        <v>36</v>
      </c>
      <c r="F4442" s="19" t="s">
        <v>36</v>
      </c>
      <c r="G4442" s="15" t="s">
        <v>36</v>
      </c>
      <c r="H4442" s="14">
        <v>25.35</v>
      </c>
      <c r="I4442" s="18">
        <v>16.49</v>
      </c>
      <c r="J4442" s="12" t="s">
        <v>521</v>
      </c>
      <c r="K4442" s="13" t="s">
        <v>36</v>
      </c>
      <c r="L4442" s="15" t="s">
        <v>36</v>
      </c>
      <c r="M4442" s="12" t="s">
        <v>36</v>
      </c>
      <c r="N4442" s="12" t="s">
        <v>36</v>
      </c>
      <c r="O4442" s="17" t="s">
        <v>36</v>
      </c>
      <c r="P4442" s="12" t="s">
        <v>36</v>
      </c>
      <c r="Q4442" s="12" t="s">
        <v>36</v>
      </c>
      <c r="R4442" s="12" t="s">
        <v>36</v>
      </c>
      <c r="S4442" s="12" t="s">
        <v>36</v>
      </c>
      <c r="T4442" s="12" t="s">
        <v>11092</v>
      </c>
      <c r="U4442" s="12" t="s">
        <v>74</v>
      </c>
      <c r="V4442" s="12" t="s">
        <v>75</v>
      </c>
      <c r="W4442" s="12" t="s">
        <v>11093</v>
      </c>
      <c r="X4442" s="16" t="s">
        <v>21826</v>
      </c>
      <c r="Y4442" s="15" t="s">
        <v>42</v>
      </c>
      <c r="Z4442" s="14">
        <v>0.66</v>
      </c>
      <c r="AA4442" s="14">
        <v>4</v>
      </c>
      <c r="AB4442" s="12" t="s">
        <v>56</v>
      </c>
      <c r="AC4442" s="12" t="s">
        <v>11095</v>
      </c>
      <c r="AD4442" s="13">
        <v>43698</v>
      </c>
      <c r="AE4442" s="12" t="s">
        <v>1888</v>
      </c>
      <c r="AF4442" s="12" t="s">
        <v>11096</v>
      </c>
      <c r="AG4442" s="12" t="s">
        <v>11097</v>
      </c>
      <c r="AH4442" s="1">
        <f>HYPERLINK("https://my.pitchbook.com?c=205279-66T","View Company Online")</f>
      </c>
    </row>
    <row r="4443">
      <c r="A4443" s="3" t="s">
        <v>21827</v>
      </c>
      <c r="B4443" s="3" t="s">
        <v>19371</v>
      </c>
      <c r="C4443" s="5" t="s">
        <v>36</v>
      </c>
      <c r="D4443" s="5" t="s">
        <v>36</v>
      </c>
      <c r="E4443" s="5" t="s">
        <v>36</v>
      </c>
      <c r="F4443" s="5" t="s">
        <v>36</v>
      </c>
      <c r="G4443" s="6" t="s">
        <v>36</v>
      </c>
      <c r="H4443" s="4">
        <v>1412.45</v>
      </c>
      <c r="I4443" s="7">
        <v>27.22</v>
      </c>
      <c r="J4443" s="3" t="s">
        <v>521</v>
      </c>
      <c r="K4443" s="9" t="s">
        <v>36</v>
      </c>
      <c r="L4443" s="6" t="s">
        <v>36</v>
      </c>
      <c r="M4443" s="3" t="s">
        <v>36</v>
      </c>
      <c r="N4443" s="3" t="s">
        <v>36</v>
      </c>
      <c r="O4443" s="8" t="s">
        <v>36</v>
      </c>
      <c r="P4443" s="3" t="s">
        <v>36</v>
      </c>
      <c r="Q4443" s="3" t="s">
        <v>36</v>
      </c>
      <c r="R4443" s="3" t="s">
        <v>36</v>
      </c>
      <c r="S4443" s="3" t="s">
        <v>36</v>
      </c>
      <c r="T4443" s="3" t="s">
        <v>18730</v>
      </c>
      <c r="U4443" s="3" t="s">
        <v>74</v>
      </c>
      <c r="V4443" s="3" t="s">
        <v>75</v>
      </c>
      <c r="W4443" s="3" t="s">
        <v>19372</v>
      </c>
      <c r="X4443" s="10" t="s">
        <v>21828</v>
      </c>
      <c r="Y4443" s="6" t="s">
        <v>42</v>
      </c>
      <c r="Z4443" s="4">
        <v>0.57</v>
      </c>
      <c r="AA4443" s="4">
        <v>2.08</v>
      </c>
      <c r="AB4443" s="3" t="s">
        <v>43</v>
      </c>
      <c r="AC4443" s="3" t="s">
        <v>19374</v>
      </c>
      <c r="AD4443" s="9">
        <v>43697</v>
      </c>
      <c r="AE4443" s="3" t="s">
        <v>570</v>
      </c>
      <c r="AF4443" s="3" t="s">
        <v>3274</v>
      </c>
      <c r="AG4443" s="3" t="s">
        <v>81</v>
      </c>
      <c r="AH4443" s="11">
        <f>HYPERLINK("https://my.pitchbook.com?c=219343-15T","View Company Online")</f>
      </c>
    </row>
    <row r="4444">
      <c r="A4444" s="12" t="s">
        <v>21829</v>
      </c>
      <c r="B4444" s="12" t="s">
        <v>21830</v>
      </c>
      <c r="C4444" s="19" t="s">
        <v>36</v>
      </c>
      <c r="D4444" s="19" t="s">
        <v>36</v>
      </c>
      <c r="E4444" s="19" t="s">
        <v>36</v>
      </c>
      <c r="F4444" s="19" t="s">
        <v>36</v>
      </c>
      <c r="G4444" s="15" t="s">
        <v>2497</v>
      </c>
      <c r="H4444" s="14">
        <v>1.95</v>
      </c>
      <c r="I4444" s="18">
        <v>23.11</v>
      </c>
      <c r="J4444" s="12" t="s">
        <v>521</v>
      </c>
      <c r="K4444" s="13" t="s">
        <v>36</v>
      </c>
      <c r="L4444" s="15" t="s">
        <v>36</v>
      </c>
      <c r="M4444" s="12" t="s">
        <v>36</v>
      </c>
      <c r="N4444" s="12" t="s">
        <v>36</v>
      </c>
      <c r="O4444" s="17" t="s">
        <v>36</v>
      </c>
      <c r="P4444" s="12" t="s">
        <v>36</v>
      </c>
      <c r="Q4444" s="12" t="s">
        <v>36</v>
      </c>
      <c r="R4444" s="12" t="s">
        <v>36</v>
      </c>
      <c r="S4444" s="12" t="s">
        <v>36</v>
      </c>
      <c r="T4444" s="12" t="s">
        <v>21831</v>
      </c>
      <c r="U4444" s="12" t="s">
        <v>38</v>
      </c>
      <c r="V4444" s="12" t="s">
        <v>39</v>
      </c>
      <c r="W4444" s="12" t="s">
        <v>21832</v>
      </c>
      <c r="X4444" s="16" t="s">
        <v>21833</v>
      </c>
      <c r="Y4444" s="15" t="s">
        <v>55</v>
      </c>
      <c r="Z4444" s="14">
        <v>0.98</v>
      </c>
      <c r="AA4444" s="14">
        <v>4.22</v>
      </c>
      <c r="AB4444" s="12" t="s">
        <v>56</v>
      </c>
      <c r="AC4444" s="12" t="s">
        <v>21834</v>
      </c>
      <c r="AD4444" s="13">
        <v>43696</v>
      </c>
      <c r="AE4444" s="12" t="s">
        <v>110</v>
      </c>
      <c r="AF4444" s="12" t="s">
        <v>4552</v>
      </c>
      <c r="AG4444" s="12" t="s">
        <v>765</v>
      </c>
      <c r="AH4444" s="1">
        <f>HYPERLINK("https://my.pitchbook.com?c=252139-33T","View Company Online")</f>
      </c>
    </row>
    <row r="4445">
      <c r="A4445" s="3" t="s">
        <v>21835</v>
      </c>
      <c r="B4445" s="3" t="s">
        <v>12044</v>
      </c>
      <c r="C4445" s="5" t="s">
        <v>36</v>
      </c>
      <c r="D4445" s="5" t="s">
        <v>36</v>
      </c>
      <c r="E4445" s="5" t="s">
        <v>36</v>
      </c>
      <c r="F4445" s="5" t="s">
        <v>36</v>
      </c>
      <c r="G4445" s="6" t="s">
        <v>36</v>
      </c>
      <c r="H4445" s="4">
        <v>54.7</v>
      </c>
      <c r="I4445" s="7">
        <v>17.24</v>
      </c>
      <c r="J4445" s="3" t="s">
        <v>521</v>
      </c>
      <c r="K4445" s="9" t="s">
        <v>36</v>
      </c>
      <c r="L4445" s="6" t="s">
        <v>36</v>
      </c>
      <c r="M4445" s="3" t="s">
        <v>36</v>
      </c>
      <c r="N4445" s="3" t="s">
        <v>36</v>
      </c>
      <c r="O4445" s="8" t="s">
        <v>36</v>
      </c>
      <c r="P4445" s="3" t="s">
        <v>36</v>
      </c>
      <c r="Q4445" s="3" t="s">
        <v>36</v>
      </c>
      <c r="R4445" s="3" t="s">
        <v>36</v>
      </c>
      <c r="S4445" s="3" t="s">
        <v>36</v>
      </c>
      <c r="T4445" s="3" t="s">
        <v>12045</v>
      </c>
      <c r="U4445" s="3" t="s">
        <v>9881</v>
      </c>
      <c r="V4445" s="3" t="s">
        <v>75</v>
      </c>
      <c r="W4445" s="3" t="s">
        <v>12046</v>
      </c>
      <c r="X4445" s="10" t="s">
        <v>21836</v>
      </c>
      <c r="Y4445" s="6" t="s">
        <v>42</v>
      </c>
      <c r="Z4445" s="4">
        <v>1.62</v>
      </c>
      <c r="AA4445" s="4">
        <v>9.38</v>
      </c>
      <c r="AB4445" s="3" t="s">
        <v>43</v>
      </c>
      <c r="AC4445" s="3" t="s">
        <v>12048</v>
      </c>
      <c r="AD4445" s="9">
        <v>43696</v>
      </c>
      <c r="AE4445" s="3" t="s">
        <v>12049</v>
      </c>
      <c r="AF4445" s="3" t="s">
        <v>546</v>
      </c>
      <c r="AG4445" s="3" t="s">
        <v>81</v>
      </c>
      <c r="AH4445" s="11">
        <f>HYPERLINK("https://my.pitchbook.com?c=159744-97T","View Company Online")</f>
      </c>
    </row>
    <row r="4446">
      <c r="A4446" s="12" t="s">
        <v>21837</v>
      </c>
      <c r="B4446" s="12" t="s">
        <v>21838</v>
      </c>
      <c r="C4446" s="19" t="s">
        <v>36</v>
      </c>
      <c r="D4446" s="19" t="s">
        <v>36</v>
      </c>
      <c r="E4446" s="19" t="s">
        <v>36</v>
      </c>
      <c r="F4446" s="19" t="s">
        <v>36</v>
      </c>
      <c r="G4446" s="15" t="s">
        <v>36</v>
      </c>
      <c r="H4446" s="14" t="s">
        <v>36</v>
      </c>
      <c r="I4446" s="18" t="s">
        <v>36</v>
      </c>
      <c r="J4446" s="12" t="s">
        <v>36</v>
      </c>
      <c r="K4446" s="13" t="s">
        <v>36</v>
      </c>
      <c r="L4446" s="15" t="s">
        <v>36</v>
      </c>
      <c r="M4446" s="12" t="s">
        <v>36</v>
      </c>
      <c r="N4446" s="12" t="s">
        <v>36</v>
      </c>
      <c r="O4446" s="17" t="s">
        <v>36</v>
      </c>
      <c r="P4446" s="12" t="s">
        <v>36</v>
      </c>
      <c r="Q4446" s="12" t="s">
        <v>36</v>
      </c>
      <c r="R4446" s="12" t="s">
        <v>36</v>
      </c>
      <c r="S4446" s="12" t="s">
        <v>36</v>
      </c>
      <c r="T4446" s="12" t="s">
        <v>7415</v>
      </c>
      <c r="U4446" s="12" t="s">
        <v>38</v>
      </c>
      <c r="V4446" s="12" t="s">
        <v>39</v>
      </c>
      <c r="W4446" s="12" t="s">
        <v>21839</v>
      </c>
      <c r="X4446" s="16" t="s">
        <v>21840</v>
      </c>
      <c r="Y4446" s="15" t="s">
        <v>55</v>
      </c>
      <c r="Z4446" s="14">
        <v>2.24</v>
      </c>
      <c r="AA4446" s="14" t="s">
        <v>36</v>
      </c>
      <c r="AB4446" s="12" t="s">
        <v>56</v>
      </c>
      <c r="AC4446" s="12" t="s">
        <v>21841</v>
      </c>
      <c r="AD4446" s="13">
        <v>43690</v>
      </c>
      <c r="AE4446" s="12" t="s">
        <v>1422</v>
      </c>
      <c r="AF4446" s="12" t="s">
        <v>7239</v>
      </c>
      <c r="AG4446" s="12" t="s">
        <v>47</v>
      </c>
      <c r="AH4446" s="1">
        <f>HYPERLINK("https://my.pitchbook.com?c=182283-31T","View Company Online")</f>
      </c>
    </row>
    <row r="4447">
      <c r="A4447" s="3" t="s">
        <v>21842</v>
      </c>
      <c r="B4447" s="3" t="s">
        <v>21843</v>
      </c>
      <c r="C4447" s="5" t="s">
        <v>36</v>
      </c>
      <c r="D4447" s="5" t="s">
        <v>36</v>
      </c>
      <c r="E4447" s="5" t="s">
        <v>36</v>
      </c>
      <c r="F4447" s="5" t="s">
        <v>36</v>
      </c>
      <c r="G4447" s="6" t="s">
        <v>36</v>
      </c>
      <c r="H4447" s="4">
        <v>3.23</v>
      </c>
      <c r="I4447" s="7">
        <v>17.51</v>
      </c>
      <c r="J4447" s="3" t="s">
        <v>521</v>
      </c>
      <c r="K4447" s="9" t="s">
        <v>36</v>
      </c>
      <c r="L4447" s="6" t="s">
        <v>36</v>
      </c>
      <c r="M4447" s="3" t="s">
        <v>36</v>
      </c>
      <c r="N4447" s="3" t="s">
        <v>36</v>
      </c>
      <c r="O4447" s="8" t="s">
        <v>36</v>
      </c>
      <c r="P4447" s="3" t="s">
        <v>36</v>
      </c>
      <c r="Q4447" s="3" t="s">
        <v>36</v>
      </c>
      <c r="R4447" s="3" t="s">
        <v>36</v>
      </c>
      <c r="S4447" s="3" t="s">
        <v>36</v>
      </c>
      <c r="T4447" s="3" t="s">
        <v>2925</v>
      </c>
      <c r="U4447" s="3" t="s">
        <v>38</v>
      </c>
      <c r="V4447" s="3" t="s">
        <v>39</v>
      </c>
      <c r="W4447" s="3" t="s">
        <v>21844</v>
      </c>
      <c r="X4447" s="10" t="s">
        <v>21845</v>
      </c>
      <c r="Y4447" s="6" t="s">
        <v>42</v>
      </c>
      <c r="Z4447" s="4">
        <v>0.66</v>
      </c>
      <c r="AA4447" s="4">
        <v>3.79</v>
      </c>
      <c r="AB4447" s="3" t="s">
        <v>43</v>
      </c>
      <c r="AC4447" s="3" t="s">
        <v>21846</v>
      </c>
      <c r="AD4447" s="9">
        <v>43690</v>
      </c>
      <c r="AE4447" s="3" t="s">
        <v>110</v>
      </c>
      <c r="AF4447" s="3" t="s">
        <v>6536</v>
      </c>
      <c r="AG4447" s="3" t="s">
        <v>81</v>
      </c>
      <c r="AH4447" s="11">
        <f>HYPERLINK("https://my.pitchbook.com?c=191118-34T","View Company Online")</f>
      </c>
    </row>
    <row r="4448">
      <c r="A4448" s="12" t="s">
        <v>21847</v>
      </c>
      <c r="B4448" s="12" t="s">
        <v>17813</v>
      </c>
      <c r="C4448" s="19" t="s">
        <v>36</v>
      </c>
      <c r="D4448" s="19" t="s">
        <v>36</v>
      </c>
      <c r="E4448" s="19" t="s">
        <v>36</v>
      </c>
      <c r="F4448" s="19" t="s">
        <v>36</v>
      </c>
      <c r="G4448" s="15" t="s">
        <v>683</v>
      </c>
      <c r="H4448" s="14">
        <v>111.4</v>
      </c>
      <c r="I4448" s="18">
        <v>41.25</v>
      </c>
      <c r="J4448" s="12" t="s">
        <v>521</v>
      </c>
      <c r="K4448" s="13" t="s">
        <v>36</v>
      </c>
      <c r="L4448" s="15" t="s">
        <v>122</v>
      </c>
      <c r="M4448" s="12" t="s">
        <v>36</v>
      </c>
      <c r="N4448" s="12" t="s">
        <v>122</v>
      </c>
      <c r="O4448" s="17" t="s">
        <v>36</v>
      </c>
      <c r="P4448" s="12" t="s">
        <v>36</v>
      </c>
      <c r="Q4448" s="12" t="s">
        <v>36</v>
      </c>
      <c r="R4448" s="12" t="s">
        <v>36</v>
      </c>
      <c r="S4448" s="12" t="s">
        <v>36</v>
      </c>
      <c r="T4448" s="12" t="s">
        <v>17814</v>
      </c>
      <c r="U4448" s="12" t="s">
        <v>38</v>
      </c>
      <c r="V4448" s="12" t="s">
        <v>39</v>
      </c>
      <c r="W4448" s="12" t="s">
        <v>17815</v>
      </c>
      <c r="X4448" s="16" t="s">
        <v>21848</v>
      </c>
      <c r="Y4448" s="15" t="s">
        <v>192</v>
      </c>
      <c r="Z4448" s="14">
        <v>11</v>
      </c>
      <c r="AA4448" s="14">
        <v>17.41</v>
      </c>
      <c r="AB4448" s="12" t="s">
        <v>56</v>
      </c>
      <c r="AC4448" s="12" t="s">
        <v>17817</v>
      </c>
      <c r="AD4448" s="13">
        <v>43689</v>
      </c>
      <c r="AE4448" s="12" t="s">
        <v>110</v>
      </c>
      <c r="AF4448" s="12" t="s">
        <v>1401</v>
      </c>
      <c r="AG4448" s="12" t="s">
        <v>81</v>
      </c>
      <c r="AH4448" s="1">
        <f>HYPERLINK("https://my.pitchbook.com?c=129601-99T","View Company Online")</f>
      </c>
    </row>
    <row r="4449">
      <c r="A4449" s="3" t="s">
        <v>21849</v>
      </c>
      <c r="B4449" s="3" t="s">
        <v>6856</v>
      </c>
      <c r="C4449" s="5" t="s">
        <v>36</v>
      </c>
      <c r="D4449" s="5" t="s">
        <v>36</v>
      </c>
      <c r="E4449" s="5" t="s">
        <v>36</v>
      </c>
      <c r="F4449" s="5" t="s">
        <v>36</v>
      </c>
      <c r="G4449" s="6" t="s">
        <v>326</v>
      </c>
      <c r="H4449" s="4">
        <v>1447.18</v>
      </c>
      <c r="I4449" s="7">
        <v>16.92</v>
      </c>
      <c r="J4449" s="3" t="s">
        <v>521</v>
      </c>
      <c r="K4449" s="9" t="s">
        <v>36</v>
      </c>
      <c r="L4449" s="6" t="s">
        <v>36</v>
      </c>
      <c r="M4449" s="3" t="s">
        <v>36</v>
      </c>
      <c r="N4449" s="3" t="s">
        <v>36</v>
      </c>
      <c r="O4449" s="8" t="s">
        <v>36</v>
      </c>
      <c r="P4449" s="3" t="s">
        <v>36</v>
      </c>
      <c r="Q4449" s="3" t="s">
        <v>36</v>
      </c>
      <c r="R4449" s="3" t="s">
        <v>36</v>
      </c>
      <c r="S4449" s="3" t="s">
        <v>36</v>
      </c>
      <c r="T4449" s="3" t="s">
        <v>6857</v>
      </c>
      <c r="U4449" s="3" t="s">
        <v>38</v>
      </c>
      <c r="V4449" s="3" t="s">
        <v>39</v>
      </c>
      <c r="W4449" s="3" t="s">
        <v>6858</v>
      </c>
      <c r="X4449" s="10" t="s">
        <v>21850</v>
      </c>
      <c r="Y4449" s="6" t="s">
        <v>42</v>
      </c>
      <c r="Z4449" s="4">
        <v>1.57</v>
      </c>
      <c r="AA4449" s="4">
        <v>5.72</v>
      </c>
      <c r="AB4449" s="3" t="s">
        <v>56</v>
      </c>
      <c r="AC4449" s="3" t="s">
        <v>6860</v>
      </c>
      <c r="AD4449" s="9">
        <v>43685</v>
      </c>
      <c r="AE4449" s="3" t="s">
        <v>45</v>
      </c>
      <c r="AF4449" s="3" t="s">
        <v>6861</v>
      </c>
      <c r="AG4449" s="3" t="s">
        <v>81</v>
      </c>
      <c r="AH4449" s="11">
        <f>HYPERLINK("https://my.pitchbook.com?c=187700-05T","View Company Online")</f>
      </c>
    </row>
    <row r="4450">
      <c r="A4450" s="12" t="s">
        <v>21851</v>
      </c>
      <c r="B4450" s="12" t="s">
        <v>8436</v>
      </c>
      <c r="C4450" s="19" t="s">
        <v>36</v>
      </c>
      <c r="D4450" s="19" t="s">
        <v>36</v>
      </c>
      <c r="E4450" s="19" t="s">
        <v>36</v>
      </c>
      <c r="F4450" s="19" t="s">
        <v>36</v>
      </c>
      <c r="G4450" s="15" t="s">
        <v>683</v>
      </c>
      <c r="H4450" s="14">
        <v>2126.9</v>
      </c>
      <c r="I4450" s="18">
        <v>5.4</v>
      </c>
      <c r="J4450" s="12" t="s">
        <v>521</v>
      </c>
      <c r="K4450" s="13" t="s">
        <v>36</v>
      </c>
      <c r="L4450" s="15" t="s">
        <v>36</v>
      </c>
      <c r="M4450" s="12" t="s">
        <v>36</v>
      </c>
      <c r="N4450" s="12" t="s">
        <v>36</v>
      </c>
      <c r="O4450" s="17" t="s">
        <v>36</v>
      </c>
      <c r="P4450" s="12" t="s">
        <v>36</v>
      </c>
      <c r="Q4450" s="12" t="s">
        <v>36</v>
      </c>
      <c r="R4450" s="12" t="s">
        <v>36</v>
      </c>
      <c r="S4450" s="12" t="s">
        <v>36</v>
      </c>
      <c r="T4450" s="12" t="s">
        <v>8437</v>
      </c>
      <c r="U4450" s="12" t="s">
        <v>833</v>
      </c>
      <c r="V4450" s="12" t="s">
        <v>64</v>
      </c>
      <c r="W4450" s="12" t="s">
        <v>8438</v>
      </c>
      <c r="X4450" s="16" t="s">
        <v>21852</v>
      </c>
      <c r="Y4450" s="15" t="s">
        <v>55</v>
      </c>
      <c r="Z4450" s="14">
        <v>1.41</v>
      </c>
      <c r="AA4450" s="14">
        <v>26.15</v>
      </c>
      <c r="AB4450" s="12" t="s">
        <v>56</v>
      </c>
      <c r="AC4450" s="12" t="s">
        <v>8440</v>
      </c>
      <c r="AD4450" s="13">
        <v>43684</v>
      </c>
      <c r="AE4450" s="12" t="s">
        <v>3615</v>
      </c>
      <c r="AF4450" s="12" t="s">
        <v>8441</v>
      </c>
      <c r="AG4450" s="12" t="s">
        <v>81</v>
      </c>
      <c r="AH4450" s="1">
        <f>HYPERLINK("https://my.pitchbook.com?c=181582-57T","View Company Online")</f>
      </c>
    </row>
    <row r="4451">
      <c r="A4451" s="3" t="s">
        <v>21853</v>
      </c>
      <c r="B4451" s="3" t="s">
        <v>21854</v>
      </c>
      <c r="C4451" s="5" t="s">
        <v>36</v>
      </c>
      <c r="D4451" s="5" t="s">
        <v>36</v>
      </c>
      <c r="E4451" s="5" t="s">
        <v>36</v>
      </c>
      <c r="F4451" s="5" t="s">
        <v>36</v>
      </c>
      <c r="G4451" s="6" t="s">
        <v>36</v>
      </c>
      <c r="H4451" s="4">
        <v>0.82</v>
      </c>
      <c r="I4451" s="7">
        <v>10.84</v>
      </c>
      <c r="J4451" s="3" t="s">
        <v>521</v>
      </c>
      <c r="K4451" s="9" t="s">
        <v>36</v>
      </c>
      <c r="L4451" s="6" t="s">
        <v>36</v>
      </c>
      <c r="M4451" s="3" t="s">
        <v>36</v>
      </c>
      <c r="N4451" s="3" t="s">
        <v>36</v>
      </c>
      <c r="O4451" s="8" t="s">
        <v>36</v>
      </c>
      <c r="P4451" s="3" t="s">
        <v>36</v>
      </c>
      <c r="Q4451" s="3" t="s">
        <v>36</v>
      </c>
      <c r="R4451" s="3" t="s">
        <v>36</v>
      </c>
      <c r="S4451" s="3" t="s">
        <v>36</v>
      </c>
      <c r="T4451" s="3" t="s">
        <v>123</v>
      </c>
      <c r="U4451" s="3" t="s">
        <v>38</v>
      </c>
      <c r="V4451" s="3" t="s">
        <v>39</v>
      </c>
      <c r="W4451" s="3" t="s">
        <v>21855</v>
      </c>
      <c r="X4451" s="10" t="s">
        <v>10637</v>
      </c>
      <c r="Y4451" s="6" t="s">
        <v>108</v>
      </c>
      <c r="Z4451" s="4">
        <v>0.49</v>
      </c>
      <c r="AA4451" s="4">
        <v>4.54</v>
      </c>
      <c r="AB4451" s="3" t="s">
        <v>56</v>
      </c>
      <c r="AC4451" s="3" t="s">
        <v>21856</v>
      </c>
      <c r="AD4451" s="9">
        <v>43684</v>
      </c>
      <c r="AE4451" s="3" t="s">
        <v>110</v>
      </c>
      <c r="AF4451" s="3" t="s">
        <v>176</v>
      </c>
      <c r="AG4451" s="3" t="s">
        <v>21857</v>
      </c>
      <c r="AH4451" s="11">
        <f>HYPERLINK("https://my.pitchbook.com?c=179613-10T","View Company Online")</f>
      </c>
    </row>
    <row r="4452">
      <c r="A4452" s="12" t="s">
        <v>21858</v>
      </c>
      <c r="B4452" s="12" t="s">
        <v>21859</v>
      </c>
      <c r="C4452" s="19" t="s">
        <v>36</v>
      </c>
      <c r="D4452" s="19" t="s">
        <v>36</v>
      </c>
      <c r="E4452" s="19" t="s">
        <v>36</v>
      </c>
      <c r="F4452" s="19" t="s">
        <v>36</v>
      </c>
      <c r="G4452" s="15" t="s">
        <v>326</v>
      </c>
      <c r="H4452" s="14">
        <v>42.17</v>
      </c>
      <c r="I4452" s="18">
        <v>35.76</v>
      </c>
      <c r="J4452" s="12" t="s">
        <v>521</v>
      </c>
      <c r="K4452" s="13" t="s">
        <v>36</v>
      </c>
      <c r="L4452" s="15" t="s">
        <v>36</v>
      </c>
      <c r="M4452" s="12" t="s">
        <v>36</v>
      </c>
      <c r="N4452" s="12" t="s">
        <v>36</v>
      </c>
      <c r="O4452" s="17" t="s">
        <v>36</v>
      </c>
      <c r="P4452" s="12" t="s">
        <v>36</v>
      </c>
      <c r="Q4452" s="12" t="s">
        <v>36</v>
      </c>
      <c r="R4452" s="12" t="s">
        <v>36</v>
      </c>
      <c r="S4452" s="12" t="s">
        <v>36</v>
      </c>
      <c r="T4452" s="12" t="s">
        <v>3505</v>
      </c>
      <c r="U4452" s="12" t="s">
        <v>85</v>
      </c>
      <c r="V4452" s="12" t="s">
        <v>64</v>
      </c>
      <c r="W4452" s="12" t="s">
        <v>21860</v>
      </c>
      <c r="X4452" s="16" t="s">
        <v>8584</v>
      </c>
      <c r="Y4452" s="15" t="s">
        <v>192</v>
      </c>
      <c r="Z4452" s="14">
        <v>1.69</v>
      </c>
      <c r="AA4452" s="14">
        <v>4.72</v>
      </c>
      <c r="AB4452" s="12" t="s">
        <v>56</v>
      </c>
      <c r="AC4452" s="12" t="s">
        <v>21861</v>
      </c>
      <c r="AD4452" s="13">
        <v>43683</v>
      </c>
      <c r="AE4452" s="12" t="s">
        <v>89</v>
      </c>
      <c r="AF4452" s="12" t="s">
        <v>12614</v>
      </c>
      <c r="AG4452" s="12" t="s">
        <v>81</v>
      </c>
      <c r="AH4452" s="1">
        <f>HYPERLINK("https://my.pitchbook.com?c=191766-97T","View Company Online")</f>
      </c>
    </row>
    <row r="4453">
      <c r="A4453" s="3" t="s">
        <v>21862</v>
      </c>
      <c r="B4453" s="3" t="s">
        <v>15020</v>
      </c>
      <c r="C4453" s="5">
        <v>6</v>
      </c>
      <c r="D4453" s="5">
        <v>11</v>
      </c>
      <c r="E4453" s="5">
        <v>7</v>
      </c>
      <c r="F4453" s="5">
        <v>17</v>
      </c>
      <c r="G4453" s="6" t="s">
        <v>36</v>
      </c>
      <c r="H4453" s="4">
        <v>184.3</v>
      </c>
      <c r="I4453" s="7">
        <v>6.8</v>
      </c>
      <c r="J4453" s="3" t="s">
        <v>521</v>
      </c>
      <c r="K4453" s="9" t="s">
        <v>36</v>
      </c>
      <c r="L4453" s="6" t="s">
        <v>36</v>
      </c>
      <c r="M4453" s="3" t="s">
        <v>36</v>
      </c>
      <c r="N4453" s="3" t="s">
        <v>36</v>
      </c>
      <c r="O4453" s="8" t="s">
        <v>36</v>
      </c>
      <c r="P4453" s="3" t="s">
        <v>36</v>
      </c>
      <c r="Q4453" s="3" t="s">
        <v>36</v>
      </c>
      <c r="R4453" s="3" t="s">
        <v>36</v>
      </c>
      <c r="S4453" s="3" t="s">
        <v>453</v>
      </c>
      <c r="T4453" s="3" t="s">
        <v>15021</v>
      </c>
      <c r="U4453" s="3" t="s">
        <v>85</v>
      </c>
      <c r="V4453" s="3" t="s">
        <v>64</v>
      </c>
      <c r="W4453" s="3" t="s">
        <v>15022</v>
      </c>
      <c r="X4453" s="10" t="s">
        <v>21863</v>
      </c>
      <c r="Y4453" s="6" t="s">
        <v>42</v>
      </c>
      <c r="Z4453" s="4">
        <v>1.06</v>
      </c>
      <c r="AA4453" s="4">
        <v>13.18</v>
      </c>
      <c r="AB4453" s="3" t="s">
        <v>43</v>
      </c>
      <c r="AC4453" s="3" t="s">
        <v>15024</v>
      </c>
      <c r="AD4453" s="9">
        <v>43679</v>
      </c>
      <c r="AE4453" s="3" t="s">
        <v>89</v>
      </c>
      <c r="AF4453" s="3" t="s">
        <v>8744</v>
      </c>
      <c r="AG4453" s="3" t="s">
        <v>15025</v>
      </c>
      <c r="AH4453" s="11">
        <f>HYPERLINK("https://my.pitchbook.com?c=126536-77T","View Company Online")</f>
      </c>
    </row>
    <row r="4454">
      <c r="A4454" s="12" t="s">
        <v>21864</v>
      </c>
      <c r="B4454" s="12" t="s">
        <v>1608</v>
      </c>
      <c r="C4454" s="19">
        <v>3</v>
      </c>
      <c r="D4454" s="19">
        <v>2</v>
      </c>
      <c r="E4454" s="19">
        <v>2</v>
      </c>
      <c r="F4454" s="19">
        <v>5</v>
      </c>
      <c r="G4454" s="15" t="s">
        <v>36</v>
      </c>
      <c r="H4454" s="14" t="s">
        <v>36</v>
      </c>
      <c r="I4454" s="18" t="s">
        <v>36</v>
      </c>
      <c r="J4454" s="12" t="s">
        <v>36</v>
      </c>
      <c r="K4454" s="13" t="s">
        <v>36</v>
      </c>
      <c r="L4454" s="15" t="s">
        <v>11273</v>
      </c>
      <c r="M4454" s="12" t="s">
        <v>36</v>
      </c>
      <c r="N4454" s="12" t="s">
        <v>11273</v>
      </c>
      <c r="O4454" s="17" t="s">
        <v>36</v>
      </c>
      <c r="P4454" s="12" t="s">
        <v>36</v>
      </c>
      <c r="Q4454" s="12" t="s">
        <v>36</v>
      </c>
      <c r="R4454" s="12" t="s">
        <v>36</v>
      </c>
      <c r="S4454" s="12" t="s">
        <v>36</v>
      </c>
      <c r="T4454" s="12" t="s">
        <v>1162</v>
      </c>
      <c r="U4454" s="12" t="s">
        <v>423</v>
      </c>
      <c r="V4454" s="12" t="s">
        <v>64</v>
      </c>
      <c r="W4454" s="12" t="s">
        <v>1609</v>
      </c>
      <c r="X4454" s="16" t="s">
        <v>21865</v>
      </c>
      <c r="Y4454" s="15" t="s">
        <v>108</v>
      </c>
      <c r="Z4454" s="14">
        <v>1</v>
      </c>
      <c r="AA4454" s="14" t="s">
        <v>36</v>
      </c>
      <c r="AB4454" s="12" t="s">
        <v>43</v>
      </c>
      <c r="AC4454" s="12" t="s">
        <v>1611</v>
      </c>
      <c r="AD4454" s="13">
        <v>43678</v>
      </c>
      <c r="AE4454" s="12" t="s">
        <v>562</v>
      </c>
      <c r="AF4454" s="12" t="s">
        <v>1612</v>
      </c>
      <c r="AG4454" s="12" t="s">
        <v>81</v>
      </c>
      <c r="AH4454" s="1">
        <f>HYPERLINK("https://my.pitchbook.com?c=168517-99T","View Company Online")</f>
      </c>
    </row>
    <row r="4455">
      <c r="A4455" s="3" t="s">
        <v>21866</v>
      </c>
      <c r="B4455" s="3" t="s">
        <v>18617</v>
      </c>
      <c r="C4455" s="5">
        <v>2</v>
      </c>
      <c r="D4455" s="5" t="s">
        <v>36</v>
      </c>
      <c r="E4455" s="5">
        <v>3</v>
      </c>
      <c r="F4455" s="5">
        <v>3</v>
      </c>
      <c r="G4455" s="6" t="s">
        <v>36</v>
      </c>
      <c r="H4455" s="4">
        <v>4.54</v>
      </c>
      <c r="I4455" s="7">
        <v>20.22</v>
      </c>
      <c r="J4455" s="3" t="s">
        <v>521</v>
      </c>
      <c r="K4455" s="9" t="s">
        <v>36</v>
      </c>
      <c r="L4455" s="6" t="s">
        <v>36</v>
      </c>
      <c r="M4455" s="3" t="s">
        <v>36</v>
      </c>
      <c r="N4455" s="3" t="s">
        <v>36</v>
      </c>
      <c r="O4455" s="8" t="s">
        <v>36</v>
      </c>
      <c r="P4455" s="3" t="s">
        <v>36</v>
      </c>
      <c r="Q4455" s="3" t="s">
        <v>36</v>
      </c>
      <c r="R4455" s="3" t="s">
        <v>36</v>
      </c>
      <c r="S4455" s="3" t="s">
        <v>36</v>
      </c>
      <c r="T4455" s="3" t="s">
        <v>550</v>
      </c>
      <c r="U4455" s="3" t="s">
        <v>38</v>
      </c>
      <c r="V4455" s="3" t="s">
        <v>39</v>
      </c>
      <c r="W4455" s="3" t="s">
        <v>18618</v>
      </c>
      <c r="X4455" s="10" t="s">
        <v>18619</v>
      </c>
      <c r="Y4455" s="6" t="s">
        <v>55</v>
      </c>
      <c r="Z4455" s="4">
        <v>17.59</v>
      </c>
      <c r="AA4455" s="4">
        <v>87.02</v>
      </c>
      <c r="AB4455" s="3" t="s">
        <v>56</v>
      </c>
      <c r="AC4455" s="3" t="s">
        <v>18620</v>
      </c>
      <c r="AD4455" s="9">
        <v>43678</v>
      </c>
      <c r="AE4455" s="3" t="s">
        <v>554</v>
      </c>
      <c r="AF4455" s="3" t="s">
        <v>18230</v>
      </c>
      <c r="AG4455" s="3" t="s">
        <v>81</v>
      </c>
      <c r="AH4455" s="11">
        <f>HYPERLINK("https://my.pitchbook.com?c=156410-65T","View Company Online")</f>
      </c>
    </row>
    <row r="4456">
      <c r="A4456" s="12" t="s">
        <v>21867</v>
      </c>
      <c r="B4456" s="12" t="s">
        <v>21868</v>
      </c>
      <c r="C4456" s="19" t="s">
        <v>36</v>
      </c>
      <c r="D4456" s="19" t="s">
        <v>36</v>
      </c>
      <c r="E4456" s="19" t="s">
        <v>36</v>
      </c>
      <c r="F4456" s="19" t="s">
        <v>36</v>
      </c>
      <c r="G4456" s="15" t="s">
        <v>36</v>
      </c>
      <c r="H4456" s="14" t="s">
        <v>36</v>
      </c>
      <c r="I4456" s="18" t="s">
        <v>36</v>
      </c>
      <c r="J4456" s="12" t="s">
        <v>36</v>
      </c>
      <c r="K4456" s="13" t="s">
        <v>36</v>
      </c>
      <c r="L4456" s="15" t="s">
        <v>36</v>
      </c>
      <c r="M4456" s="12" t="s">
        <v>36</v>
      </c>
      <c r="N4456" s="12" t="s">
        <v>36</v>
      </c>
      <c r="O4456" s="17" t="s">
        <v>36</v>
      </c>
      <c r="P4456" s="12" t="s">
        <v>36</v>
      </c>
      <c r="Q4456" s="12" t="s">
        <v>36</v>
      </c>
      <c r="R4456" s="12" t="s">
        <v>36</v>
      </c>
      <c r="S4456" s="12" t="s">
        <v>36</v>
      </c>
      <c r="T4456" s="12" t="s">
        <v>21869</v>
      </c>
      <c r="U4456" s="12" t="s">
        <v>74</v>
      </c>
      <c r="V4456" s="12" t="s">
        <v>75</v>
      </c>
      <c r="W4456" s="12" t="s">
        <v>21870</v>
      </c>
      <c r="X4456" s="16" t="s">
        <v>21871</v>
      </c>
      <c r="Y4456" s="15" t="s">
        <v>42</v>
      </c>
      <c r="Z4456" s="14" t="s">
        <v>36</v>
      </c>
      <c r="AA4456" s="14" t="s">
        <v>36</v>
      </c>
      <c r="AB4456" s="12" t="s">
        <v>56</v>
      </c>
      <c r="AC4456" s="12" t="s">
        <v>21872</v>
      </c>
      <c r="AD4456" s="13">
        <v>43678</v>
      </c>
      <c r="AE4456" s="12" t="s">
        <v>975</v>
      </c>
      <c r="AF4456" s="12" t="s">
        <v>546</v>
      </c>
      <c r="AG4456" s="12" t="s">
        <v>81</v>
      </c>
      <c r="AH4456" s="1">
        <f>HYPERLINK("https://my.pitchbook.com?c=113148-19T","View Company Online")</f>
      </c>
    </row>
    <row r="4457">
      <c r="A4457" s="3" t="s">
        <v>21873</v>
      </c>
      <c r="B4457" s="3" t="s">
        <v>21874</v>
      </c>
      <c r="C4457" s="5" t="s">
        <v>36</v>
      </c>
      <c r="D4457" s="5">
        <v>6</v>
      </c>
      <c r="E4457" s="5">
        <v>3</v>
      </c>
      <c r="F4457" s="5">
        <v>6</v>
      </c>
      <c r="G4457" s="6" t="s">
        <v>326</v>
      </c>
      <c r="H4457" s="4">
        <v>635.01</v>
      </c>
      <c r="I4457" s="7">
        <v>23.73</v>
      </c>
      <c r="J4457" s="3" t="s">
        <v>521</v>
      </c>
      <c r="K4457" s="9" t="s">
        <v>36</v>
      </c>
      <c r="L4457" s="6" t="s">
        <v>36</v>
      </c>
      <c r="M4457" s="3" t="s">
        <v>36</v>
      </c>
      <c r="N4457" s="3" t="s">
        <v>36</v>
      </c>
      <c r="O4457" s="8" t="s">
        <v>36</v>
      </c>
      <c r="P4457" s="3" t="s">
        <v>36</v>
      </c>
      <c r="Q4457" s="3" t="s">
        <v>36</v>
      </c>
      <c r="R4457" s="3" t="s">
        <v>36</v>
      </c>
      <c r="S4457" s="3" t="s">
        <v>36</v>
      </c>
      <c r="T4457" s="3" t="s">
        <v>13940</v>
      </c>
      <c r="U4457" s="3" t="s">
        <v>318</v>
      </c>
      <c r="V4457" s="3" t="s">
        <v>39</v>
      </c>
      <c r="W4457" s="3" t="s">
        <v>21875</v>
      </c>
      <c r="X4457" s="10" t="s">
        <v>21876</v>
      </c>
      <c r="Y4457" s="6" t="s">
        <v>55</v>
      </c>
      <c r="Z4457" s="4">
        <v>7.74</v>
      </c>
      <c r="AA4457" s="4">
        <v>32.63</v>
      </c>
      <c r="AB4457" s="3" t="s">
        <v>56</v>
      </c>
      <c r="AC4457" s="3" t="s">
        <v>21877</v>
      </c>
      <c r="AD4457" s="9">
        <v>43678</v>
      </c>
      <c r="AE4457" s="3" t="s">
        <v>417</v>
      </c>
      <c r="AF4457" s="3" t="s">
        <v>21878</v>
      </c>
      <c r="AG4457" s="3" t="s">
        <v>4520</v>
      </c>
      <c r="AH4457" s="11">
        <f>HYPERLINK("https://my.pitchbook.com?c=125252-29T","View Company Online")</f>
      </c>
    </row>
    <row r="4458">
      <c r="A4458" s="12" t="s">
        <v>21879</v>
      </c>
      <c r="B4458" s="12" t="s">
        <v>21880</v>
      </c>
      <c r="C4458" s="19" t="s">
        <v>36</v>
      </c>
      <c r="D4458" s="19" t="s">
        <v>36</v>
      </c>
      <c r="E4458" s="19" t="s">
        <v>36</v>
      </c>
      <c r="F4458" s="19" t="s">
        <v>36</v>
      </c>
      <c r="G4458" s="15" t="s">
        <v>36</v>
      </c>
      <c r="H4458" s="14" t="s">
        <v>36</v>
      </c>
      <c r="I4458" s="18">
        <v>62.5</v>
      </c>
      <c r="J4458" s="12" t="s">
        <v>521</v>
      </c>
      <c r="K4458" s="13">
        <v>43658</v>
      </c>
      <c r="L4458" s="15" t="s">
        <v>36</v>
      </c>
      <c r="M4458" s="12" t="s">
        <v>36</v>
      </c>
      <c r="N4458" s="12" t="s">
        <v>36</v>
      </c>
      <c r="O4458" s="17" t="s">
        <v>36</v>
      </c>
      <c r="P4458" s="12" t="s">
        <v>36</v>
      </c>
      <c r="Q4458" s="12" t="s">
        <v>36</v>
      </c>
      <c r="R4458" s="12" t="s">
        <v>36</v>
      </c>
      <c r="S4458" s="12" t="s">
        <v>36</v>
      </c>
      <c r="T4458" s="12" t="s">
        <v>8394</v>
      </c>
      <c r="U4458" s="12" t="s">
        <v>85</v>
      </c>
      <c r="V4458" s="12" t="s">
        <v>64</v>
      </c>
      <c r="W4458" s="12" t="s">
        <v>21881</v>
      </c>
      <c r="X4458" s="16" t="s">
        <v>21882</v>
      </c>
      <c r="Y4458" s="15" t="s">
        <v>42</v>
      </c>
      <c r="Z4458" s="14">
        <v>1.12</v>
      </c>
      <c r="AA4458" s="14">
        <v>1.79</v>
      </c>
      <c r="AB4458" s="12" t="s">
        <v>43</v>
      </c>
      <c r="AC4458" s="12" t="s">
        <v>21883</v>
      </c>
      <c r="AD4458" s="13">
        <v>43677</v>
      </c>
      <c r="AE4458" s="12" t="s">
        <v>89</v>
      </c>
      <c r="AF4458" s="12" t="s">
        <v>21884</v>
      </c>
      <c r="AG4458" s="12" t="s">
        <v>373</v>
      </c>
      <c r="AH4458" s="1">
        <f>HYPERLINK("https://my.pitchbook.com?c=124552-81T","View Company Online")</f>
      </c>
    </row>
    <row r="4459">
      <c r="A4459" s="3" t="s">
        <v>21885</v>
      </c>
      <c r="B4459" s="3" t="s">
        <v>10516</v>
      </c>
      <c r="C4459" s="5">
        <v>3</v>
      </c>
      <c r="D4459" s="5" t="s">
        <v>36</v>
      </c>
      <c r="E4459" s="5">
        <v>1</v>
      </c>
      <c r="F4459" s="5">
        <v>3</v>
      </c>
      <c r="G4459" s="6" t="s">
        <v>326</v>
      </c>
      <c r="H4459" s="4">
        <v>34.5</v>
      </c>
      <c r="I4459" s="7">
        <v>20.74</v>
      </c>
      <c r="J4459" s="3" t="s">
        <v>521</v>
      </c>
      <c r="K4459" s="9" t="s">
        <v>36</v>
      </c>
      <c r="L4459" s="6" t="s">
        <v>36</v>
      </c>
      <c r="M4459" s="3" t="s">
        <v>36</v>
      </c>
      <c r="N4459" s="3" t="s">
        <v>36</v>
      </c>
      <c r="O4459" s="8" t="s">
        <v>36</v>
      </c>
      <c r="P4459" s="3" t="s">
        <v>36</v>
      </c>
      <c r="Q4459" s="3" t="s">
        <v>36</v>
      </c>
      <c r="R4459" s="3" t="s">
        <v>36</v>
      </c>
      <c r="S4459" s="3" t="s">
        <v>36</v>
      </c>
      <c r="T4459" s="3" t="s">
        <v>10517</v>
      </c>
      <c r="U4459" s="3" t="s">
        <v>180</v>
      </c>
      <c r="V4459" s="3" t="s">
        <v>52</v>
      </c>
      <c r="W4459" s="3" t="s">
        <v>10518</v>
      </c>
      <c r="X4459" s="10" t="s">
        <v>21886</v>
      </c>
      <c r="Y4459" s="6" t="s">
        <v>42</v>
      </c>
      <c r="Z4459" s="4">
        <v>1.12</v>
      </c>
      <c r="AA4459" s="4">
        <v>5.41</v>
      </c>
      <c r="AB4459" s="3" t="s">
        <v>43</v>
      </c>
      <c r="AC4459" s="3" t="s">
        <v>10520</v>
      </c>
      <c r="AD4459" s="9">
        <v>43677</v>
      </c>
      <c r="AE4459" s="3" t="s">
        <v>1192</v>
      </c>
      <c r="AF4459" s="3" t="s">
        <v>261</v>
      </c>
      <c r="AG4459" s="3" t="s">
        <v>10521</v>
      </c>
      <c r="AH4459" s="11">
        <f>HYPERLINK("https://my.pitchbook.com?c=192540-61T","View Company Online")</f>
      </c>
    </row>
    <row r="4460">
      <c r="A4460" s="12" t="s">
        <v>21887</v>
      </c>
      <c r="B4460" s="12" t="s">
        <v>21888</v>
      </c>
      <c r="C4460" s="19" t="s">
        <v>36</v>
      </c>
      <c r="D4460" s="19" t="s">
        <v>36</v>
      </c>
      <c r="E4460" s="19" t="s">
        <v>36</v>
      </c>
      <c r="F4460" s="19" t="s">
        <v>36</v>
      </c>
      <c r="G4460" s="15" t="s">
        <v>36</v>
      </c>
      <c r="H4460" s="14">
        <v>916.36</v>
      </c>
      <c r="I4460" s="18">
        <v>13.64</v>
      </c>
      <c r="J4460" s="12" t="s">
        <v>521</v>
      </c>
      <c r="K4460" s="13" t="s">
        <v>36</v>
      </c>
      <c r="L4460" s="15" t="s">
        <v>36</v>
      </c>
      <c r="M4460" s="12" t="s">
        <v>36</v>
      </c>
      <c r="N4460" s="12" t="s">
        <v>36</v>
      </c>
      <c r="O4460" s="17" t="s">
        <v>36</v>
      </c>
      <c r="P4460" s="12" t="s">
        <v>36</v>
      </c>
      <c r="Q4460" s="12" t="s">
        <v>36</v>
      </c>
      <c r="R4460" s="12" t="s">
        <v>36</v>
      </c>
      <c r="S4460" s="12" t="s">
        <v>36</v>
      </c>
      <c r="T4460" s="12" t="s">
        <v>522</v>
      </c>
      <c r="U4460" s="12" t="s">
        <v>38</v>
      </c>
      <c r="V4460" s="12" t="s">
        <v>39</v>
      </c>
      <c r="W4460" s="12" t="s">
        <v>21889</v>
      </c>
      <c r="X4460" s="16" t="s">
        <v>21890</v>
      </c>
      <c r="Y4460" s="15" t="s">
        <v>108</v>
      </c>
      <c r="Z4460" s="14">
        <v>1.68</v>
      </c>
      <c r="AA4460" s="14">
        <v>12.33</v>
      </c>
      <c r="AB4460" s="12" t="s">
        <v>43</v>
      </c>
      <c r="AC4460" s="12" t="s">
        <v>21891</v>
      </c>
      <c r="AD4460" s="13">
        <v>43677</v>
      </c>
      <c r="AE4460" s="12" t="s">
        <v>110</v>
      </c>
      <c r="AF4460" s="12" t="s">
        <v>1735</v>
      </c>
      <c r="AG4460" s="12" t="s">
        <v>81</v>
      </c>
      <c r="AH4460" s="1">
        <f>HYPERLINK("https://my.pitchbook.com?c=136480-87T","View Company Online")</f>
      </c>
    </row>
    <row r="4461">
      <c r="A4461" s="3" t="s">
        <v>21892</v>
      </c>
      <c r="B4461" s="3" t="s">
        <v>21893</v>
      </c>
      <c r="C4461" s="5" t="s">
        <v>36</v>
      </c>
      <c r="D4461" s="5" t="s">
        <v>36</v>
      </c>
      <c r="E4461" s="5" t="s">
        <v>36</v>
      </c>
      <c r="F4461" s="5" t="s">
        <v>36</v>
      </c>
      <c r="G4461" s="6" t="s">
        <v>36</v>
      </c>
      <c r="H4461" s="4">
        <v>16.12</v>
      </c>
      <c r="I4461" s="7">
        <v>21.96</v>
      </c>
      <c r="J4461" s="3" t="s">
        <v>521</v>
      </c>
      <c r="K4461" s="9" t="s">
        <v>36</v>
      </c>
      <c r="L4461" s="6" t="s">
        <v>36</v>
      </c>
      <c r="M4461" s="3" t="s">
        <v>36</v>
      </c>
      <c r="N4461" s="3" t="s">
        <v>36</v>
      </c>
      <c r="O4461" s="8" t="s">
        <v>36</v>
      </c>
      <c r="P4461" s="3" t="s">
        <v>36</v>
      </c>
      <c r="Q4461" s="3" t="s">
        <v>36</v>
      </c>
      <c r="R4461" s="3" t="s">
        <v>36</v>
      </c>
      <c r="S4461" s="3" t="s">
        <v>36</v>
      </c>
      <c r="T4461" s="3" t="s">
        <v>18335</v>
      </c>
      <c r="U4461" s="3" t="s">
        <v>279</v>
      </c>
      <c r="V4461" s="3" t="s">
        <v>64</v>
      </c>
      <c r="W4461" s="3" t="s">
        <v>21894</v>
      </c>
      <c r="X4461" s="10" t="s">
        <v>21895</v>
      </c>
      <c r="Y4461" s="6" t="s">
        <v>192</v>
      </c>
      <c r="Z4461" s="4">
        <v>149.57</v>
      </c>
      <c r="AA4461" s="4">
        <v>681.2</v>
      </c>
      <c r="AB4461" s="3" t="s">
        <v>56</v>
      </c>
      <c r="AC4461" s="3" t="s">
        <v>21896</v>
      </c>
      <c r="AD4461" s="9">
        <v>43672</v>
      </c>
      <c r="AE4461" s="3" t="s">
        <v>740</v>
      </c>
      <c r="AF4461" s="3" t="s">
        <v>4674</v>
      </c>
      <c r="AG4461" s="3" t="s">
        <v>81</v>
      </c>
      <c r="AH4461" s="11">
        <f>HYPERLINK("https://my.pitchbook.com?c=120321-73T","View Company Online")</f>
      </c>
    </row>
    <row r="4462">
      <c r="A4462" s="12" t="s">
        <v>21897</v>
      </c>
      <c r="B4462" s="12" t="s">
        <v>21898</v>
      </c>
      <c r="C4462" s="19" t="s">
        <v>36</v>
      </c>
      <c r="D4462" s="19" t="s">
        <v>36</v>
      </c>
      <c r="E4462" s="19" t="s">
        <v>36</v>
      </c>
      <c r="F4462" s="19" t="s">
        <v>36</v>
      </c>
      <c r="G4462" s="15" t="s">
        <v>326</v>
      </c>
      <c r="H4462" s="14">
        <v>818.39</v>
      </c>
      <c r="I4462" s="18">
        <v>28.6</v>
      </c>
      <c r="J4462" s="12" t="s">
        <v>521</v>
      </c>
      <c r="K4462" s="13">
        <v>43606</v>
      </c>
      <c r="L4462" s="15" t="s">
        <v>36</v>
      </c>
      <c r="M4462" s="12" t="s">
        <v>36</v>
      </c>
      <c r="N4462" s="12" t="s">
        <v>36</v>
      </c>
      <c r="O4462" s="17" t="s">
        <v>36</v>
      </c>
      <c r="P4462" s="12" t="s">
        <v>36</v>
      </c>
      <c r="Q4462" s="12" t="s">
        <v>36</v>
      </c>
      <c r="R4462" s="12" t="s">
        <v>36</v>
      </c>
      <c r="S4462" s="12" t="s">
        <v>36</v>
      </c>
      <c r="T4462" s="12" t="s">
        <v>1560</v>
      </c>
      <c r="U4462" s="12" t="s">
        <v>438</v>
      </c>
      <c r="V4462" s="12" t="s">
        <v>405</v>
      </c>
      <c r="W4462" s="12" t="s">
        <v>21899</v>
      </c>
      <c r="X4462" s="16" t="s">
        <v>20563</v>
      </c>
      <c r="Y4462" s="15" t="s">
        <v>108</v>
      </c>
      <c r="Z4462" s="14">
        <v>1.35</v>
      </c>
      <c r="AA4462" s="14">
        <v>4.73</v>
      </c>
      <c r="AB4462" s="12" t="s">
        <v>56</v>
      </c>
      <c r="AC4462" s="12" t="s">
        <v>21900</v>
      </c>
      <c r="AD4462" s="13">
        <v>43672</v>
      </c>
      <c r="AE4462" s="12" t="s">
        <v>438</v>
      </c>
      <c r="AF4462" s="12" t="s">
        <v>215</v>
      </c>
      <c r="AG4462" s="12" t="s">
        <v>652</v>
      </c>
      <c r="AH4462" s="1">
        <f>HYPERLINK("https://my.pitchbook.com?c=121576-33T","View Company Online")</f>
      </c>
    </row>
    <row r="4463">
      <c r="A4463" s="3" t="s">
        <v>21901</v>
      </c>
      <c r="B4463" s="3" t="s">
        <v>9287</v>
      </c>
      <c r="C4463" s="5">
        <v>5</v>
      </c>
      <c r="D4463" s="5">
        <v>5</v>
      </c>
      <c r="E4463" s="5">
        <v>3</v>
      </c>
      <c r="F4463" s="5">
        <v>17</v>
      </c>
      <c r="G4463" s="6" t="s">
        <v>326</v>
      </c>
      <c r="H4463" s="4">
        <v>1.61</v>
      </c>
      <c r="I4463" s="7">
        <v>75.48</v>
      </c>
      <c r="J4463" s="3" t="s">
        <v>521</v>
      </c>
      <c r="K4463" s="9" t="s">
        <v>36</v>
      </c>
      <c r="L4463" s="6" t="s">
        <v>122</v>
      </c>
      <c r="M4463" s="3" t="s">
        <v>36</v>
      </c>
      <c r="N4463" s="3" t="s">
        <v>122</v>
      </c>
      <c r="O4463" s="8" t="s">
        <v>36</v>
      </c>
      <c r="P4463" s="3" t="s">
        <v>36</v>
      </c>
      <c r="Q4463" s="3" t="s">
        <v>36</v>
      </c>
      <c r="R4463" s="3" t="s">
        <v>36</v>
      </c>
      <c r="S4463" s="3" t="s">
        <v>36</v>
      </c>
      <c r="T4463" s="3" t="s">
        <v>9288</v>
      </c>
      <c r="U4463" s="3" t="s">
        <v>51</v>
      </c>
      <c r="V4463" s="3" t="s">
        <v>52</v>
      </c>
      <c r="W4463" s="3" t="s">
        <v>9289</v>
      </c>
      <c r="X4463" s="10" t="s">
        <v>21902</v>
      </c>
      <c r="Y4463" s="6" t="s">
        <v>55</v>
      </c>
      <c r="Z4463" s="4">
        <v>76.55</v>
      </c>
      <c r="AA4463" s="4">
        <v>50.71</v>
      </c>
      <c r="AB4463" s="3" t="s">
        <v>56</v>
      </c>
      <c r="AC4463" s="3" t="s">
        <v>9291</v>
      </c>
      <c r="AD4463" s="9">
        <v>43671</v>
      </c>
      <c r="AE4463" s="3" t="s">
        <v>504</v>
      </c>
      <c r="AF4463" s="3" t="s">
        <v>3193</v>
      </c>
      <c r="AG4463" s="3" t="s">
        <v>47</v>
      </c>
      <c r="AH4463" s="11">
        <f>HYPERLINK("https://my.pitchbook.com?c=121496-77T","View Company Online")</f>
      </c>
    </row>
    <row r="4464">
      <c r="A4464" s="12" t="s">
        <v>21903</v>
      </c>
      <c r="B4464" s="12" t="s">
        <v>21904</v>
      </c>
      <c r="C4464" s="19" t="s">
        <v>36</v>
      </c>
      <c r="D4464" s="19" t="s">
        <v>36</v>
      </c>
      <c r="E4464" s="19" t="s">
        <v>36</v>
      </c>
      <c r="F4464" s="19" t="s">
        <v>36</v>
      </c>
      <c r="G4464" s="15" t="s">
        <v>36</v>
      </c>
      <c r="H4464" s="14">
        <v>5329.43</v>
      </c>
      <c r="I4464" s="18">
        <v>19.28</v>
      </c>
      <c r="J4464" s="12" t="s">
        <v>521</v>
      </c>
      <c r="K4464" s="13" t="s">
        <v>36</v>
      </c>
      <c r="L4464" s="15" t="s">
        <v>36</v>
      </c>
      <c r="M4464" s="12" t="s">
        <v>36</v>
      </c>
      <c r="N4464" s="12" t="s">
        <v>36</v>
      </c>
      <c r="O4464" s="17" t="s">
        <v>36</v>
      </c>
      <c r="P4464" s="12" t="s">
        <v>36</v>
      </c>
      <c r="Q4464" s="12" t="s">
        <v>36</v>
      </c>
      <c r="R4464" s="12" t="s">
        <v>36</v>
      </c>
      <c r="S4464" s="12" t="s">
        <v>36</v>
      </c>
      <c r="T4464" s="12" t="s">
        <v>1188</v>
      </c>
      <c r="U4464" s="12" t="s">
        <v>180</v>
      </c>
      <c r="V4464" s="12" t="s">
        <v>52</v>
      </c>
      <c r="W4464" s="12" t="s">
        <v>21905</v>
      </c>
      <c r="X4464" s="16" t="s">
        <v>21906</v>
      </c>
      <c r="Y4464" s="15" t="s">
        <v>42</v>
      </c>
      <c r="Z4464" s="14">
        <v>1.17</v>
      </c>
      <c r="AA4464" s="14">
        <v>6.08</v>
      </c>
      <c r="AB4464" s="12" t="s">
        <v>43</v>
      </c>
      <c r="AC4464" s="12" t="s">
        <v>21907</v>
      </c>
      <c r="AD4464" s="13">
        <v>43671</v>
      </c>
      <c r="AE4464" s="12" t="s">
        <v>1192</v>
      </c>
      <c r="AF4464" s="12" t="s">
        <v>275</v>
      </c>
      <c r="AG4464" s="12" t="s">
        <v>81</v>
      </c>
      <c r="AH4464" s="1">
        <f>HYPERLINK("https://my.pitchbook.com?c=191216-17T","View Company Online")</f>
      </c>
    </row>
    <row r="4465">
      <c r="A4465" s="3" t="s">
        <v>21908</v>
      </c>
      <c r="B4465" s="3" t="s">
        <v>21909</v>
      </c>
      <c r="C4465" s="5" t="s">
        <v>36</v>
      </c>
      <c r="D4465" s="5" t="s">
        <v>36</v>
      </c>
      <c r="E4465" s="5" t="s">
        <v>36</v>
      </c>
      <c r="F4465" s="5" t="s">
        <v>36</v>
      </c>
      <c r="G4465" s="6" t="s">
        <v>36</v>
      </c>
      <c r="H4465" s="4" t="s">
        <v>36</v>
      </c>
      <c r="I4465" s="7" t="s">
        <v>36</v>
      </c>
      <c r="J4465" s="3" t="s">
        <v>36</v>
      </c>
      <c r="K4465" s="9" t="s">
        <v>36</v>
      </c>
      <c r="L4465" s="6" t="s">
        <v>36</v>
      </c>
      <c r="M4465" s="3" t="s">
        <v>36</v>
      </c>
      <c r="N4465" s="3" t="s">
        <v>36</v>
      </c>
      <c r="O4465" s="8" t="s">
        <v>36</v>
      </c>
      <c r="P4465" s="3" t="s">
        <v>36</v>
      </c>
      <c r="Q4465" s="3" t="s">
        <v>36</v>
      </c>
      <c r="R4465" s="3" t="s">
        <v>36</v>
      </c>
      <c r="S4465" s="3" t="s">
        <v>36</v>
      </c>
      <c r="T4465" s="3" t="s">
        <v>21910</v>
      </c>
      <c r="U4465" s="3" t="s">
        <v>38</v>
      </c>
      <c r="V4465" s="3" t="s">
        <v>39</v>
      </c>
      <c r="W4465" s="3" t="s">
        <v>21911</v>
      </c>
      <c r="X4465" s="10" t="s">
        <v>21912</v>
      </c>
      <c r="Y4465" s="6" t="s">
        <v>42</v>
      </c>
      <c r="Z4465" s="4">
        <v>2.81</v>
      </c>
      <c r="AA4465" s="4" t="s">
        <v>36</v>
      </c>
      <c r="AB4465" s="3" t="s">
        <v>56</v>
      </c>
      <c r="AC4465" s="3" t="s">
        <v>21913</v>
      </c>
      <c r="AD4465" s="9">
        <v>43671</v>
      </c>
      <c r="AE4465" s="3" t="s">
        <v>45</v>
      </c>
      <c r="AF4465" s="3" t="s">
        <v>21914</v>
      </c>
      <c r="AG4465" s="3" t="s">
        <v>144</v>
      </c>
      <c r="AH4465" s="11">
        <f>HYPERLINK("https://my.pitchbook.com?c=139029-31T","View Company Online")</f>
      </c>
    </row>
    <row r="4466">
      <c r="A4466" s="12" t="s">
        <v>21915</v>
      </c>
      <c r="B4466" s="12" t="s">
        <v>7103</v>
      </c>
      <c r="C4466" s="19" t="s">
        <v>36</v>
      </c>
      <c r="D4466" s="19" t="s">
        <v>36</v>
      </c>
      <c r="E4466" s="19" t="s">
        <v>36</v>
      </c>
      <c r="F4466" s="19" t="s">
        <v>36</v>
      </c>
      <c r="G4466" s="15" t="s">
        <v>326</v>
      </c>
      <c r="H4466" s="14">
        <v>25.32</v>
      </c>
      <c r="I4466" s="18">
        <v>20.57</v>
      </c>
      <c r="J4466" s="12" t="s">
        <v>521</v>
      </c>
      <c r="K4466" s="13" t="s">
        <v>36</v>
      </c>
      <c r="L4466" s="15" t="s">
        <v>36</v>
      </c>
      <c r="M4466" s="12" t="s">
        <v>36</v>
      </c>
      <c r="N4466" s="12" t="s">
        <v>36</v>
      </c>
      <c r="O4466" s="17" t="s">
        <v>36</v>
      </c>
      <c r="P4466" s="12" t="s">
        <v>36</v>
      </c>
      <c r="Q4466" s="12" t="s">
        <v>36</v>
      </c>
      <c r="R4466" s="12" t="s">
        <v>36</v>
      </c>
      <c r="S4466" s="12" t="s">
        <v>36</v>
      </c>
      <c r="T4466" s="12" t="s">
        <v>1501</v>
      </c>
      <c r="U4466" s="12" t="s">
        <v>1502</v>
      </c>
      <c r="V4466" s="12" t="s">
        <v>75</v>
      </c>
      <c r="W4466" s="12" t="s">
        <v>7104</v>
      </c>
      <c r="X4466" s="16" t="s">
        <v>21454</v>
      </c>
      <c r="Y4466" s="15" t="s">
        <v>108</v>
      </c>
      <c r="Z4466" s="14">
        <v>0.29</v>
      </c>
      <c r="AA4466" s="14">
        <v>1.42</v>
      </c>
      <c r="AB4466" s="12" t="s">
        <v>43</v>
      </c>
      <c r="AC4466" s="12" t="s">
        <v>7106</v>
      </c>
      <c r="AD4466" s="13">
        <v>43669</v>
      </c>
      <c r="AE4466" s="12" t="s">
        <v>1506</v>
      </c>
      <c r="AF4466" s="12" t="s">
        <v>7107</v>
      </c>
      <c r="AG4466" s="12" t="s">
        <v>899</v>
      </c>
      <c r="AH4466" s="1">
        <f>HYPERLINK("https://my.pitchbook.com?c=130131-28T","View Company Online")</f>
      </c>
    </row>
    <row r="4467">
      <c r="A4467" s="3" t="s">
        <v>21916</v>
      </c>
      <c r="B4467" s="3" t="s">
        <v>21917</v>
      </c>
      <c r="C4467" s="5">
        <v>3</v>
      </c>
      <c r="D4467" s="5" t="s">
        <v>36</v>
      </c>
      <c r="E4467" s="5">
        <v>3</v>
      </c>
      <c r="F4467" s="5">
        <v>5</v>
      </c>
      <c r="G4467" s="6" t="s">
        <v>36</v>
      </c>
      <c r="H4467" s="4" t="s">
        <v>36</v>
      </c>
      <c r="I4467" s="7" t="s">
        <v>36</v>
      </c>
      <c r="J4467" s="3" t="s">
        <v>36</v>
      </c>
      <c r="K4467" s="9" t="s">
        <v>36</v>
      </c>
      <c r="L4467" s="6" t="s">
        <v>36</v>
      </c>
      <c r="M4467" s="3" t="s">
        <v>36</v>
      </c>
      <c r="N4467" s="3" t="s">
        <v>36</v>
      </c>
      <c r="O4467" s="8" t="s">
        <v>36</v>
      </c>
      <c r="P4467" s="3" t="s">
        <v>36</v>
      </c>
      <c r="Q4467" s="3" t="s">
        <v>36</v>
      </c>
      <c r="R4467" s="3" t="s">
        <v>36</v>
      </c>
      <c r="S4467" s="3" t="s">
        <v>36</v>
      </c>
      <c r="T4467" s="3" t="s">
        <v>154</v>
      </c>
      <c r="U4467" s="3" t="s">
        <v>51</v>
      </c>
      <c r="V4467" s="3" t="s">
        <v>52</v>
      </c>
      <c r="W4467" s="3" t="s">
        <v>21918</v>
      </c>
      <c r="X4467" s="10" t="s">
        <v>21919</v>
      </c>
      <c r="Y4467" s="6" t="s">
        <v>55</v>
      </c>
      <c r="Z4467" s="4">
        <v>0.62</v>
      </c>
      <c r="AA4467" s="4" t="s">
        <v>36</v>
      </c>
      <c r="AB4467" s="3" t="s">
        <v>56</v>
      </c>
      <c r="AC4467" s="3" t="s">
        <v>21920</v>
      </c>
      <c r="AD4467" s="9">
        <v>43669</v>
      </c>
      <c r="AE4467" s="3" t="s">
        <v>158</v>
      </c>
      <c r="AF4467" s="3" t="s">
        <v>665</v>
      </c>
      <c r="AG4467" s="3" t="s">
        <v>741</v>
      </c>
      <c r="AH4467" s="11">
        <f>HYPERLINK("https://my.pitchbook.com?c=201823-03T","View Company Online")</f>
      </c>
    </row>
    <row r="4468">
      <c r="A4468" s="12" t="s">
        <v>21921</v>
      </c>
      <c r="B4468" s="12" t="s">
        <v>21922</v>
      </c>
      <c r="C4468" s="19" t="s">
        <v>36</v>
      </c>
      <c r="D4468" s="19" t="s">
        <v>36</v>
      </c>
      <c r="E4468" s="19" t="s">
        <v>36</v>
      </c>
      <c r="F4468" s="19" t="s">
        <v>36</v>
      </c>
      <c r="G4468" s="15" t="s">
        <v>36</v>
      </c>
      <c r="H4468" s="14">
        <v>160.6</v>
      </c>
      <c r="I4468" s="18">
        <v>19.24</v>
      </c>
      <c r="J4468" s="12" t="s">
        <v>521</v>
      </c>
      <c r="K4468" s="13" t="s">
        <v>36</v>
      </c>
      <c r="L4468" s="15" t="s">
        <v>36</v>
      </c>
      <c r="M4468" s="12" t="s">
        <v>36</v>
      </c>
      <c r="N4468" s="12" t="s">
        <v>36</v>
      </c>
      <c r="O4468" s="17" t="s">
        <v>36</v>
      </c>
      <c r="P4468" s="12" t="s">
        <v>36</v>
      </c>
      <c r="Q4468" s="12" t="s">
        <v>36</v>
      </c>
      <c r="R4468" s="12" t="s">
        <v>36</v>
      </c>
      <c r="S4468" s="12" t="s">
        <v>36</v>
      </c>
      <c r="T4468" s="12" t="s">
        <v>522</v>
      </c>
      <c r="U4468" s="12" t="s">
        <v>38</v>
      </c>
      <c r="V4468" s="12" t="s">
        <v>39</v>
      </c>
      <c r="W4468" s="12" t="s">
        <v>21923</v>
      </c>
      <c r="X4468" s="16" t="s">
        <v>21924</v>
      </c>
      <c r="Y4468" s="15" t="s">
        <v>42</v>
      </c>
      <c r="Z4468" s="14">
        <v>0.33</v>
      </c>
      <c r="AA4468" s="14">
        <v>1.73</v>
      </c>
      <c r="AB4468" s="12" t="s">
        <v>43</v>
      </c>
      <c r="AC4468" s="12" t="s">
        <v>21925</v>
      </c>
      <c r="AD4468" s="13">
        <v>43669</v>
      </c>
      <c r="AE4468" s="12" t="s">
        <v>110</v>
      </c>
      <c r="AF4468" s="12" t="s">
        <v>21926</v>
      </c>
      <c r="AG4468" s="12" t="s">
        <v>47</v>
      </c>
      <c r="AH4468" s="1">
        <f>HYPERLINK("https://my.pitchbook.com?c=121655-44T","View Company Online")</f>
      </c>
    </row>
    <row r="4469">
      <c r="A4469" s="3" t="s">
        <v>21927</v>
      </c>
      <c r="B4469" s="3" t="s">
        <v>21928</v>
      </c>
      <c r="C4469" s="5" t="s">
        <v>36</v>
      </c>
      <c r="D4469" s="5" t="s">
        <v>36</v>
      </c>
      <c r="E4469" s="5" t="s">
        <v>36</v>
      </c>
      <c r="F4469" s="5" t="s">
        <v>36</v>
      </c>
      <c r="G4469" s="6" t="s">
        <v>36</v>
      </c>
      <c r="H4469" s="4">
        <v>806.62</v>
      </c>
      <c r="I4469" s="7">
        <v>24.34</v>
      </c>
      <c r="J4469" s="3" t="s">
        <v>521</v>
      </c>
      <c r="K4469" s="9" t="s">
        <v>36</v>
      </c>
      <c r="L4469" s="6" t="s">
        <v>36</v>
      </c>
      <c r="M4469" s="3" t="s">
        <v>36</v>
      </c>
      <c r="N4469" s="3" t="s">
        <v>36</v>
      </c>
      <c r="O4469" s="8" t="s">
        <v>36</v>
      </c>
      <c r="P4469" s="3" t="s">
        <v>36</v>
      </c>
      <c r="Q4469" s="3" t="s">
        <v>36</v>
      </c>
      <c r="R4469" s="3" t="s">
        <v>36</v>
      </c>
      <c r="S4469" s="3" t="s">
        <v>36</v>
      </c>
      <c r="T4469" s="3" t="s">
        <v>1048</v>
      </c>
      <c r="U4469" s="3" t="s">
        <v>423</v>
      </c>
      <c r="V4469" s="3" t="s">
        <v>64</v>
      </c>
      <c r="W4469" s="3" t="s">
        <v>21929</v>
      </c>
      <c r="X4469" s="10" t="s">
        <v>7209</v>
      </c>
      <c r="Y4469" s="6" t="s">
        <v>42</v>
      </c>
      <c r="Z4469" s="4">
        <v>1.13</v>
      </c>
      <c r="AA4469" s="4">
        <v>3.47</v>
      </c>
      <c r="AB4469" s="3" t="s">
        <v>56</v>
      </c>
      <c r="AC4469" s="3" t="s">
        <v>21930</v>
      </c>
      <c r="AD4469" s="9">
        <v>43669</v>
      </c>
      <c r="AE4469" s="3" t="s">
        <v>1051</v>
      </c>
      <c r="AF4469" s="3" t="s">
        <v>733</v>
      </c>
      <c r="AG4469" s="3" t="s">
        <v>11767</v>
      </c>
      <c r="AH4469" s="11">
        <f>HYPERLINK("https://my.pitchbook.com?c=127595-35T","View Company Online")</f>
      </c>
    </row>
    <row r="4470">
      <c r="A4470" s="12" t="s">
        <v>21931</v>
      </c>
      <c r="B4470" s="12" t="s">
        <v>6705</v>
      </c>
      <c r="C4470" s="19" t="s">
        <v>36</v>
      </c>
      <c r="D4470" s="19" t="s">
        <v>36</v>
      </c>
      <c r="E4470" s="19" t="s">
        <v>36</v>
      </c>
      <c r="F4470" s="19" t="s">
        <v>36</v>
      </c>
      <c r="G4470" s="15" t="s">
        <v>326</v>
      </c>
      <c r="H4470" s="14">
        <v>311.57</v>
      </c>
      <c r="I4470" s="18">
        <v>19.4</v>
      </c>
      <c r="J4470" s="12" t="s">
        <v>521</v>
      </c>
      <c r="K4470" s="13" t="s">
        <v>36</v>
      </c>
      <c r="L4470" s="15" t="s">
        <v>36</v>
      </c>
      <c r="M4470" s="12" t="s">
        <v>36</v>
      </c>
      <c r="N4470" s="12" t="s">
        <v>36</v>
      </c>
      <c r="O4470" s="17" t="s">
        <v>36</v>
      </c>
      <c r="P4470" s="12" t="s">
        <v>36</v>
      </c>
      <c r="Q4470" s="12" t="s">
        <v>36</v>
      </c>
      <c r="R4470" s="12" t="s">
        <v>36</v>
      </c>
      <c r="S4470" s="12" t="s">
        <v>36</v>
      </c>
      <c r="T4470" s="12" t="s">
        <v>5929</v>
      </c>
      <c r="U4470" s="12" t="s">
        <v>38</v>
      </c>
      <c r="V4470" s="12" t="s">
        <v>39</v>
      </c>
      <c r="W4470" s="12" t="s">
        <v>6706</v>
      </c>
      <c r="X4470" s="16" t="s">
        <v>21932</v>
      </c>
      <c r="Y4470" s="15" t="s">
        <v>42</v>
      </c>
      <c r="Z4470" s="14">
        <v>1.83</v>
      </c>
      <c r="AA4470" s="14">
        <v>9.43</v>
      </c>
      <c r="AB4470" s="12" t="s">
        <v>43</v>
      </c>
      <c r="AC4470" s="12" t="s">
        <v>6708</v>
      </c>
      <c r="AD4470" s="13">
        <v>43668</v>
      </c>
      <c r="AE4470" s="12" t="s">
        <v>110</v>
      </c>
      <c r="AF4470" s="12" t="s">
        <v>176</v>
      </c>
      <c r="AG4470" s="12" t="s">
        <v>899</v>
      </c>
      <c r="AH4470" s="1">
        <f>HYPERLINK("https://my.pitchbook.com?c=193865-23T","View Company Online")</f>
      </c>
    </row>
    <row r="4471">
      <c r="A4471" s="3" t="s">
        <v>21933</v>
      </c>
      <c r="B4471" s="3" t="s">
        <v>21934</v>
      </c>
      <c r="C4471" s="5" t="s">
        <v>36</v>
      </c>
      <c r="D4471" s="5" t="s">
        <v>36</v>
      </c>
      <c r="E4471" s="5" t="s">
        <v>36</v>
      </c>
      <c r="F4471" s="5" t="s">
        <v>36</v>
      </c>
      <c r="G4471" s="6" t="s">
        <v>36</v>
      </c>
      <c r="H4471" s="4" t="s">
        <v>36</v>
      </c>
      <c r="I4471" s="7" t="s">
        <v>36</v>
      </c>
      <c r="J4471" s="3" t="s">
        <v>36</v>
      </c>
      <c r="K4471" s="9" t="s">
        <v>36</v>
      </c>
      <c r="L4471" s="6" t="s">
        <v>36</v>
      </c>
      <c r="M4471" s="3" t="s">
        <v>36</v>
      </c>
      <c r="N4471" s="3" t="s">
        <v>36</v>
      </c>
      <c r="O4471" s="8" t="s">
        <v>36</v>
      </c>
      <c r="P4471" s="3" t="s">
        <v>36</v>
      </c>
      <c r="Q4471" s="3" t="s">
        <v>36</v>
      </c>
      <c r="R4471" s="3" t="s">
        <v>36</v>
      </c>
      <c r="S4471" s="3" t="s">
        <v>36</v>
      </c>
      <c r="T4471" s="3" t="s">
        <v>1260</v>
      </c>
      <c r="U4471" s="3" t="s">
        <v>38</v>
      </c>
      <c r="V4471" s="3" t="s">
        <v>39</v>
      </c>
      <c r="W4471" s="3" t="s">
        <v>21935</v>
      </c>
      <c r="X4471" s="10" t="s">
        <v>11579</v>
      </c>
      <c r="Y4471" s="6" t="s">
        <v>108</v>
      </c>
      <c r="Z4471" s="4" t="s">
        <v>36</v>
      </c>
      <c r="AA4471" s="4" t="s">
        <v>36</v>
      </c>
      <c r="AB4471" s="3" t="s">
        <v>56</v>
      </c>
      <c r="AC4471" s="3" t="s">
        <v>21936</v>
      </c>
      <c r="AD4471" s="9">
        <v>43668</v>
      </c>
      <c r="AE4471" s="3" t="s">
        <v>110</v>
      </c>
      <c r="AF4471" s="3" t="s">
        <v>80</v>
      </c>
      <c r="AG4471" s="3" t="s">
        <v>924</v>
      </c>
      <c r="AH4471" s="11">
        <f>HYPERLINK("https://my.pitchbook.com?c=124022-98T","View Company Online")</f>
      </c>
    </row>
    <row r="4472">
      <c r="A4472" s="12" t="s">
        <v>21937</v>
      </c>
      <c r="B4472" s="12" t="s">
        <v>21938</v>
      </c>
      <c r="C4472" s="19" t="s">
        <v>36</v>
      </c>
      <c r="D4472" s="19" t="s">
        <v>36</v>
      </c>
      <c r="E4472" s="19" t="s">
        <v>36</v>
      </c>
      <c r="F4472" s="19" t="s">
        <v>36</v>
      </c>
      <c r="G4472" s="15" t="s">
        <v>36</v>
      </c>
      <c r="H4472" s="14">
        <v>48.7</v>
      </c>
      <c r="I4472" s="18" t="s">
        <v>36</v>
      </c>
      <c r="J4472" s="12" t="s">
        <v>36</v>
      </c>
      <c r="K4472" s="13">
        <v>43586</v>
      </c>
      <c r="L4472" s="15" t="s">
        <v>36</v>
      </c>
      <c r="M4472" s="12" t="s">
        <v>36</v>
      </c>
      <c r="N4472" s="12" t="s">
        <v>36</v>
      </c>
      <c r="O4472" s="17" t="s">
        <v>36</v>
      </c>
      <c r="P4472" s="12" t="s">
        <v>36</v>
      </c>
      <c r="Q4472" s="12" t="s">
        <v>36</v>
      </c>
      <c r="R4472" s="12" t="s">
        <v>36</v>
      </c>
      <c r="S4472" s="12" t="s">
        <v>36</v>
      </c>
      <c r="T4472" s="12" t="s">
        <v>21939</v>
      </c>
      <c r="U4472" s="12" t="s">
        <v>1091</v>
      </c>
      <c r="V4472" s="12" t="s">
        <v>378</v>
      </c>
      <c r="W4472" s="12" t="s">
        <v>21940</v>
      </c>
      <c r="X4472" s="16" t="s">
        <v>21941</v>
      </c>
      <c r="Y4472" s="15" t="s">
        <v>42</v>
      </c>
      <c r="Z4472" s="14">
        <v>1.84</v>
      </c>
      <c r="AA4472" s="14" t="s">
        <v>36</v>
      </c>
      <c r="AB4472" s="12" t="s">
        <v>56</v>
      </c>
      <c r="AC4472" s="12" t="s">
        <v>21942</v>
      </c>
      <c r="AD4472" s="13">
        <v>43665</v>
      </c>
      <c r="AE4472" s="12" t="s">
        <v>13298</v>
      </c>
      <c r="AF4472" s="12" t="s">
        <v>571</v>
      </c>
      <c r="AG4472" s="12" t="s">
        <v>18465</v>
      </c>
      <c r="AH4472" s="1">
        <f>HYPERLINK("https://my.pitchbook.com?c=124552-90T","View Company Online")</f>
      </c>
    </row>
    <row r="4473">
      <c r="A4473" s="3" t="s">
        <v>21943</v>
      </c>
      <c r="B4473" s="3" t="s">
        <v>15842</v>
      </c>
      <c r="C4473" s="5">
        <v>6</v>
      </c>
      <c r="D4473" s="5">
        <v>8</v>
      </c>
      <c r="E4473" s="5">
        <v>2</v>
      </c>
      <c r="F4473" s="5">
        <v>14</v>
      </c>
      <c r="G4473" s="6" t="s">
        <v>36</v>
      </c>
      <c r="H4473" s="4">
        <v>1.04</v>
      </c>
      <c r="I4473" s="7">
        <v>75.07</v>
      </c>
      <c r="J4473" s="3" t="s">
        <v>521</v>
      </c>
      <c r="K4473" s="9">
        <v>43663</v>
      </c>
      <c r="L4473" s="6" t="s">
        <v>36</v>
      </c>
      <c r="M4473" s="3" t="s">
        <v>36</v>
      </c>
      <c r="N4473" s="3" t="s">
        <v>36</v>
      </c>
      <c r="O4473" s="8" t="s">
        <v>36</v>
      </c>
      <c r="P4473" s="3" t="s">
        <v>36</v>
      </c>
      <c r="Q4473" s="3" t="s">
        <v>36</v>
      </c>
      <c r="R4473" s="3" t="s">
        <v>36</v>
      </c>
      <c r="S4473" s="3" t="s">
        <v>36</v>
      </c>
      <c r="T4473" s="3" t="s">
        <v>15843</v>
      </c>
      <c r="U4473" s="3" t="s">
        <v>96</v>
      </c>
      <c r="V4473" s="3" t="s">
        <v>52</v>
      </c>
      <c r="W4473" s="3" t="s">
        <v>15844</v>
      </c>
      <c r="X4473" s="10" t="s">
        <v>21944</v>
      </c>
      <c r="Y4473" s="6" t="s">
        <v>42</v>
      </c>
      <c r="Z4473" s="4">
        <v>3.4</v>
      </c>
      <c r="AA4473" s="4">
        <v>4.53</v>
      </c>
      <c r="AB4473" s="3" t="s">
        <v>43</v>
      </c>
      <c r="AC4473" s="3" t="s">
        <v>15846</v>
      </c>
      <c r="AD4473" s="9">
        <v>43665</v>
      </c>
      <c r="AE4473" s="3" t="s">
        <v>496</v>
      </c>
      <c r="AF4473" s="3" t="s">
        <v>101</v>
      </c>
      <c r="AG4473" s="3" t="s">
        <v>81</v>
      </c>
      <c r="AH4473" s="11">
        <f>HYPERLINK("https://my.pitchbook.com?c=118074-25T","View Company Online")</f>
      </c>
    </row>
    <row r="4474">
      <c r="A4474" s="12" t="s">
        <v>21945</v>
      </c>
      <c r="B4474" s="12" t="s">
        <v>21946</v>
      </c>
      <c r="C4474" s="19" t="s">
        <v>36</v>
      </c>
      <c r="D4474" s="19" t="s">
        <v>36</v>
      </c>
      <c r="E4474" s="19" t="s">
        <v>36</v>
      </c>
      <c r="F4474" s="19" t="s">
        <v>36</v>
      </c>
      <c r="G4474" s="15" t="s">
        <v>36</v>
      </c>
      <c r="H4474" s="14">
        <v>432.74</v>
      </c>
      <c r="I4474" s="18">
        <v>14.97</v>
      </c>
      <c r="J4474" s="12" t="s">
        <v>521</v>
      </c>
      <c r="K4474" s="13" t="s">
        <v>36</v>
      </c>
      <c r="L4474" s="15" t="s">
        <v>36</v>
      </c>
      <c r="M4474" s="12" t="s">
        <v>36</v>
      </c>
      <c r="N4474" s="12" t="s">
        <v>36</v>
      </c>
      <c r="O4474" s="17" t="s">
        <v>36</v>
      </c>
      <c r="P4474" s="12" t="s">
        <v>36</v>
      </c>
      <c r="Q4474" s="12" t="s">
        <v>36</v>
      </c>
      <c r="R4474" s="12" t="s">
        <v>36</v>
      </c>
      <c r="S4474" s="12" t="s">
        <v>36</v>
      </c>
      <c r="T4474" s="12" t="s">
        <v>522</v>
      </c>
      <c r="U4474" s="12" t="s">
        <v>38</v>
      </c>
      <c r="V4474" s="12" t="s">
        <v>39</v>
      </c>
      <c r="W4474" s="12" t="s">
        <v>21947</v>
      </c>
      <c r="X4474" s="16" t="s">
        <v>21948</v>
      </c>
      <c r="Y4474" s="15" t="s">
        <v>42</v>
      </c>
      <c r="Z4474" s="14">
        <v>0.12</v>
      </c>
      <c r="AA4474" s="14">
        <v>0.83</v>
      </c>
      <c r="AB4474" s="12" t="s">
        <v>56</v>
      </c>
      <c r="AC4474" s="12" t="s">
        <v>21949</v>
      </c>
      <c r="AD4474" s="13">
        <v>43665</v>
      </c>
      <c r="AE4474" s="12" t="s">
        <v>110</v>
      </c>
      <c r="AF4474" s="12" t="s">
        <v>905</v>
      </c>
      <c r="AG4474" s="12" t="s">
        <v>21950</v>
      </c>
      <c r="AH4474" s="1">
        <f>HYPERLINK("https://my.pitchbook.com?c=206021-26T","View Company Online")</f>
      </c>
    </row>
    <row r="4475">
      <c r="A4475" s="3" t="s">
        <v>21951</v>
      </c>
      <c r="B4475" s="3" t="s">
        <v>21952</v>
      </c>
      <c r="C4475" s="5" t="s">
        <v>36</v>
      </c>
      <c r="D4475" s="5" t="s">
        <v>36</v>
      </c>
      <c r="E4475" s="5" t="s">
        <v>36</v>
      </c>
      <c r="F4475" s="5" t="s">
        <v>36</v>
      </c>
      <c r="G4475" s="6" t="s">
        <v>36</v>
      </c>
      <c r="H4475" s="4">
        <v>36.35</v>
      </c>
      <c r="I4475" s="7">
        <v>8.05</v>
      </c>
      <c r="J4475" s="3" t="s">
        <v>521</v>
      </c>
      <c r="K4475" s="9" t="s">
        <v>36</v>
      </c>
      <c r="L4475" s="6" t="s">
        <v>36</v>
      </c>
      <c r="M4475" s="3" t="s">
        <v>36</v>
      </c>
      <c r="N4475" s="3" t="s">
        <v>36</v>
      </c>
      <c r="O4475" s="8" t="s">
        <v>36</v>
      </c>
      <c r="P4475" s="3" t="s">
        <v>36</v>
      </c>
      <c r="Q4475" s="3" t="s">
        <v>36</v>
      </c>
      <c r="R4475" s="3" t="s">
        <v>36</v>
      </c>
      <c r="S4475" s="3" t="s">
        <v>36</v>
      </c>
      <c r="T4475" s="3" t="s">
        <v>21953</v>
      </c>
      <c r="U4475" s="3" t="s">
        <v>279</v>
      </c>
      <c r="V4475" s="3" t="s">
        <v>64</v>
      </c>
      <c r="W4475" s="3" t="s">
        <v>21954</v>
      </c>
      <c r="X4475" s="10" t="s">
        <v>21955</v>
      </c>
      <c r="Y4475" s="6" t="s">
        <v>42</v>
      </c>
      <c r="Z4475" s="4">
        <v>0.18</v>
      </c>
      <c r="AA4475" s="4">
        <v>2.23</v>
      </c>
      <c r="AB4475" s="3" t="s">
        <v>43</v>
      </c>
      <c r="AC4475" s="3" t="s">
        <v>21956</v>
      </c>
      <c r="AD4475" s="9">
        <v>43664</v>
      </c>
      <c r="AE4475" s="3" t="s">
        <v>283</v>
      </c>
      <c r="AF4475" s="3" t="s">
        <v>2118</v>
      </c>
      <c r="AG4475" s="3" t="s">
        <v>21957</v>
      </c>
      <c r="AH4475" s="11">
        <f>HYPERLINK("https://my.pitchbook.com?c=190698-58T","View Company Online")</f>
      </c>
    </row>
    <row r="4476">
      <c r="A4476" s="12" t="s">
        <v>21958</v>
      </c>
      <c r="B4476" s="12" t="s">
        <v>21959</v>
      </c>
      <c r="C4476" s="19" t="s">
        <v>36</v>
      </c>
      <c r="D4476" s="19" t="s">
        <v>36</v>
      </c>
      <c r="E4476" s="19" t="s">
        <v>36</v>
      </c>
      <c r="F4476" s="19" t="s">
        <v>36</v>
      </c>
      <c r="G4476" s="15" t="s">
        <v>326</v>
      </c>
      <c r="H4476" s="14">
        <v>0.31</v>
      </c>
      <c r="I4476" s="18">
        <v>23.58</v>
      </c>
      <c r="J4476" s="12" t="s">
        <v>521</v>
      </c>
      <c r="K4476" s="13" t="s">
        <v>36</v>
      </c>
      <c r="L4476" s="15" t="s">
        <v>36</v>
      </c>
      <c r="M4476" s="12" t="s">
        <v>36</v>
      </c>
      <c r="N4476" s="12" t="s">
        <v>36</v>
      </c>
      <c r="O4476" s="17" t="s">
        <v>36</v>
      </c>
      <c r="P4476" s="12" t="s">
        <v>36</v>
      </c>
      <c r="Q4476" s="12" t="s">
        <v>36</v>
      </c>
      <c r="R4476" s="12" t="s">
        <v>36</v>
      </c>
      <c r="S4476" s="12" t="s">
        <v>36</v>
      </c>
      <c r="T4476" s="12" t="s">
        <v>4917</v>
      </c>
      <c r="U4476" s="12" t="s">
        <v>38</v>
      </c>
      <c r="V4476" s="12" t="s">
        <v>39</v>
      </c>
      <c r="W4476" s="12" t="s">
        <v>21960</v>
      </c>
      <c r="X4476" s="16" t="s">
        <v>21961</v>
      </c>
      <c r="Y4476" s="15" t="s">
        <v>108</v>
      </c>
      <c r="Z4476" s="14">
        <v>0.45</v>
      </c>
      <c r="AA4476" s="14">
        <v>1.92</v>
      </c>
      <c r="AB4476" s="12" t="s">
        <v>43</v>
      </c>
      <c r="AC4476" s="12" t="s">
        <v>21962</v>
      </c>
      <c r="AD4476" s="13">
        <v>43664</v>
      </c>
      <c r="AE4476" s="12" t="s">
        <v>134</v>
      </c>
      <c r="AF4476" s="12" t="s">
        <v>21963</v>
      </c>
      <c r="AG4476" s="12" t="s">
        <v>21964</v>
      </c>
      <c r="AH4476" s="1">
        <f>HYPERLINK("https://my.pitchbook.com?c=194860-36T","View Company Online")</f>
      </c>
    </row>
    <row r="4477">
      <c r="A4477" s="3" t="s">
        <v>21965</v>
      </c>
      <c r="B4477" s="3" t="s">
        <v>21966</v>
      </c>
      <c r="C4477" s="5" t="s">
        <v>36</v>
      </c>
      <c r="D4477" s="5" t="s">
        <v>36</v>
      </c>
      <c r="E4477" s="5" t="s">
        <v>36</v>
      </c>
      <c r="F4477" s="5" t="s">
        <v>36</v>
      </c>
      <c r="G4477" s="6" t="s">
        <v>36</v>
      </c>
      <c r="H4477" s="4" t="s">
        <v>36</v>
      </c>
      <c r="I4477" s="7" t="s">
        <v>36</v>
      </c>
      <c r="J4477" s="3" t="s">
        <v>36</v>
      </c>
      <c r="K4477" s="9" t="s">
        <v>36</v>
      </c>
      <c r="L4477" s="6" t="s">
        <v>36</v>
      </c>
      <c r="M4477" s="3" t="s">
        <v>36</v>
      </c>
      <c r="N4477" s="3" t="s">
        <v>36</v>
      </c>
      <c r="O4477" s="8" t="s">
        <v>36</v>
      </c>
      <c r="P4477" s="3" t="s">
        <v>36</v>
      </c>
      <c r="Q4477" s="3" t="s">
        <v>36</v>
      </c>
      <c r="R4477" s="3" t="s">
        <v>36</v>
      </c>
      <c r="S4477" s="3" t="s">
        <v>36</v>
      </c>
      <c r="T4477" s="3" t="s">
        <v>21967</v>
      </c>
      <c r="U4477" s="3" t="s">
        <v>74</v>
      </c>
      <c r="V4477" s="3" t="s">
        <v>75</v>
      </c>
      <c r="W4477" s="3" t="s">
        <v>21968</v>
      </c>
      <c r="X4477" s="10" t="s">
        <v>21969</v>
      </c>
      <c r="Y4477" s="6" t="s">
        <v>42</v>
      </c>
      <c r="Z4477" s="4">
        <v>11.29</v>
      </c>
      <c r="AA4477" s="4" t="s">
        <v>36</v>
      </c>
      <c r="AB4477" s="3" t="s">
        <v>56</v>
      </c>
      <c r="AC4477" s="3" t="s">
        <v>21970</v>
      </c>
      <c r="AD4477" s="9">
        <v>43664</v>
      </c>
      <c r="AE4477" s="3" t="s">
        <v>362</v>
      </c>
      <c r="AF4477" s="3" t="s">
        <v>250</v>
      </c>
      <c r="AG4477" s="3" t="s">
        <v>81</v>
      </c>
      <c r="AH4477" s="11">
        <f>HYPERLINK("https://my.pitchbook.com?c=121002-22T","View Company Online")</f>
      </c>
    </row>
    <row r="4478">
      <c r="A4478" s="12" t="s">
        <v>21971</v>
      </c>
      <c r="B4478" s="12" t="s">
        <v>21972</v>
      </c>
      <c r="C4478" s="19">
        <v>1</v>
      </c>
      <c r="D4478" s="19">
        <v>14</v>
      </c>
      <c r="E4478" s="19">
        <v>5</v>
      </c>
      <c r="F4478" s="19">
        <v>18</v>
      </c>
      <c r="G4478" s="15" t="s">
        <v>326</v>
      </c>
      <c r="H4478" s="14">
        <v>93.07</v>
      </c>
      <c r="I4478" s="18">
        <v>25.08</v>
      </c>
      <c r="J4478" s="12" t="s">
        <v>521</v>
      </c>
      <c r="K4478" s="13" t="s">
        <v>36</v>
      </c>
      <c r="L4478" s="15" t="s">
        <v>36</v>
      </c>
      <c r="M4478" s="12" t="s">
        <v>36</v>
      </c>
      <c r="N4478" s="12" t="s">
        <v>36</v>
      </c>
      <c r="O4478" s="17" t="s">
        <v>36</v>
      </c>
      <c r="P4478" s="12" t="s">
        <v>36</v>
      </c>
      <c r="Q4478" s="12" t="s">
        <v>36</v>
      </c>
      <c r="R4478" s="12" t="s">
        <v>36</v>
      </c>
      <c r="S4478" s="12" t="s">
        <v>2699</v>
      </c>
      <c r="T4478" s="12" t="s">
        <v>21973</v>
      </c>
      <c r="U4478" s="12" t="s">
        <v>833</v>
      </c>
      <c r="V4478" s="12" t="s">
        <v>64</v>
      </c>
      <c r="W4478" s="12" t="s">
        <v>21974</v>
      </c>
      <c r="X4478" s="16" t="s">
        <v>21975</v>
      </c>
      <c r="Y4478" s="15" t="s">
        <v>42</v>
      </c>
      <c r="Z4478" s="14">
        <v>3.39</v>
      </c>
      <c r="AA4478" s="14">
        <v>7.49</v>
      </c>
      <c r="AB4478" s="12" t="s">
        <v>43</v>
      </c>
      <c r="AC4478" s="12" t="s">
        <v>21976</v>
      </c>
      <c r="AD4478" s="13">
        <v>43664</v>
      </c>
      <c r="AE4478" s="12" t="s">
        <v>1769</v>
      </c>
      <c r="AF4478" s="12" t="s">
        <v>21977</v>
      </c>
      <c r="AG4478" s="12" t="s">
        <v>47</v>
      </c>
      <c r="AH4478" s="1">
        <f>HYPERLINK("https://my.pitchbook.com?c=124765-57T","View Company Online")</f>
      </c>
    </row>
    <row r="4479">
      <c r="A4479" s="3" t="s">
        <v>21978</v>
      </c>
      <c r="B4479" s="3" t="s">
        <v>61</v>
      </c>
      <c r="C4479" s="5" t="s">
        <v>36</v>
      </c>
      <c r="D4479" s="5" t="s">
        <v>36</v>
      </c>
      <c r="E4479" s="5" t="s">
        <v>36</v>
      </c>
      <c r="F4479" s="5" t="s">
        <v>36</v>
      </c>
      <c r="G4479" s="6" t="s">
        <v>683</v>
      </c>
      <c r="H4479" s="4">
        <v>75.38</v>
      </c>
      <c r="I4479" s="7">
        <v>10</v>
      </c>
      <c r="J4479" s="3" t="s">
        <v>521</v>
      </c>
      <c r="K4479" s="9" t="s">
        <v>36</v>
      </c>
      <c r="L4479" s="6" t="s">
        <v>36</v>
      </c>
      <c r="M4479" s="3" t="s">
        <v>36</v>
      </c>
      <c r="N4479" s="3" t="s">
        <v>36</v>
      </c>
      <c r="O4479" s="8" t="s">
        <v>36</v>
      </c>
      <c r="P4479" s="3" t="s">
        <v>36</v>
      </c>
      <c r="Q4479" s="3" t="s">
        <v>36</v>
      </c>
      <c r="R4479" s="3" t="s">
        <v>36</v>
      </c>
      <c r="S4479" s="3" t="s">
        <v>36</v>
      </c>
      <c r="T4479" s="3" t="s">
        <v>62</v>
      </c>
      <c r="U4479" s="3" t="s">
        <v>63</v>
      </c>
      <c r="V4479" s="3" t="s">
        <v>64</v>
      </c>
      <c r="W4479" s="3" t="s">
        <v>65</v>
      </c>
      <c r="X4479" s="10" t="s">
        <v>21979</v>
      </c>
      <c r="Y4479" s="6" t="s">
        <v>108</v>
      </c>
      <c r="Z4479" s="4">
        <v>0.34</v>
      </c>
      <c r="AA4479" s="4">
        <v>3.39</v>
      </c>
      <c r="AB4479" s="3" t="s">
        <v>56</v>
      </c>
      <c r="AC4479" s="3" t="s">
        <v>67</v>
      </c>
      <c r="AD4479" s="9">
        <v>43663</v>
      </c>
      <c r="AE4479" s="3" t="s">
        <v>68</v>
      </c>
      <c r="AF4479" s="3" t="s">
        <v>69</v>
      </c>
      <c r="AG4479" s="3" t="s">
        <v>70</v>
      </c>
      <c r="AH4479" s="11">
        <f>HYPERLINK("https://my.pitchbook.com?c=134158-06T","View Company Online")</f>
      </c>
    </row>
    <row r="4480">
      <c r="A4480" s="12" t="s">
        <v>21980</v>
      </c>
      <c r="B4480" s="12" t="s">
        <v>21981</v>
      </c>
      <c r="C4480" s="19" t="s">
        <v>36</v>
      </c>
      <c r="D4480" s="19" t="s">
        <v>36</v>
      </c>
      <c r="E4480" s="19" t="s">
        <v>36</v>
      </c>
      <c r="F4480" s="19" t="s">
        <v>36</v>
      </c>
      <c r="G4480" s="15" t="s">
        <v>326</v>
      </c>
      <c r="H4480" s="14">
        <v>747.77</v>
      </c>
      <c r="I4480" s="18">
        <v>27.85</v>
      </c>
      <c r="J4480" s="12" t="s">
        <v>521</v>
      </c>
      <c r="K4480" s="13" t="s">
        <v>36</v>
      </c>
      <c r="L4480" s="15" t="s">
        <v>122</v>
      </c>
      <c r="M4480" s="12" t="s">
        <v>36</v>
      </c>
      <c r="N4480" s="12" t="s">
        <v>122</v>
      </c>
      <c r="O4480" s="17" t="s">
        <v>36</v>
      </c>
      <c r="P4480" s="12" t="s">
        <v>36</v>
      </c>
      <c r="Q4480" s="12" t="s">
        <v>36</v>
      </c>
      <c r="R4480" s="12" t="s">
        <v>36</v>
      </c>
      <c r="S4480" s="12" t="s">
        <v>36</v>
      </c>
      <c r="T4480" s="12" t="s">
        <v>21982</v>
      </c>
      <c r="U4480" s="12" t="s">
        <v>74</v>
      </c>
      <c r="V4480" s="12" t="s">
        <v>75</v>
      </c>
      <c r="W4480" s="12" t="s">
        <v>21983</v>
      </c>
      <c r="X4480" s="16" t="s">
        <v>21984</v>
      </c>
      <c r="Y4480" s="15" t="s">
        <v>108</v>
      </c>
      <c r="Z4480" s="14">
        <v>6.77</v>
      </c>
      <c r="AA4480" s="14">
        <v>14.08</v>
      </c>
      <c r="AB4480" s="12" t="s">
        <v>43</v>
      </c>
      <c r="AC4480" s="12" t="s">
        <v>21985</v>
      </c>
      <c r="AD4480" s="13">
        <v>43663</v>
      </c>
      <c r="AE4480" s="12" t="s">
        <v>570</v>
      </c>
      <c r="AF4480" s="12" t="s">
        <v>1340</v>
      </c>
      <c r="AG4480" s="12" t="s">
        <v>144</v>
      </c>
      <c r="AH4480" s="1">
        <f>HYPERLINK("https://my.pitchbook.com?c=123385-24T","View Company Online")</f>
      </c>
    </row>
    <row r="4481">
      <c r="A4481" s="3" t="s">
        <v>21986</v>
      </c>
      <c r="B4481" s="3" t="s">
        <v>13929</v>
      </c>
      <c r="C4481" s="5" t="s">
        <v>36</v>
      </c>
      <c r="D4481" s="5" t="s">
        <v>36</v>
      </c>
      <c r="E4481" s="5" t="s">
        <v>36</v>
      </c>
      <c r="F4481" s="5" t="s">
        <v>36</v>
      </c>
      <c r="G4481" s="6" t="s">
        <v>326</v>
      </c>
      <c r="H4481" s="4">
        <v>5.87</v>
      </c>
      <c r="I4481" s="7">
        <v>25.72</v>
      </c>
      <c r="J4481" s="3" t="s">
        <v>521</v>
      </c>
      <c r="K4481" s="9" t="s">
        <v>36</v>
      </c>
      <c r="L4481" s="6" t="s">
        <v>94</v>
      </c>
      <c r="M4481" s="3" t="s">
        <v>36</v>
      </c>
      <c r="N4481" s="3" t="s">
        <v>94</v>
      </c>
      <c r="O4481" s="8" t="s">
        <v>36</v>
      </c>
      <c r="P4481" s="3" t="s">
        <v>36</v>
      </c>
      <c r="Q4481" s="3" t="s">
        <v>36</v>
      </c>
      <c r="R4481" s="3" t="s">
        <v>36</v>
      </c>
      <c r="S4481" s="3" t="s">
        <v>36</v>
      </c>
      <c r="T4481" s="3" t="s">
        <v>8202</v>
      </c>
      <c r="U4481" s="3" t="s">
        <v>38</v>
      </c>
      <c r="V4481" s="3" t="s">
        <v>39</v>
      </c>
      <c r="W4481" s="3" t="s">
        <v>13930</v>
      </c>
      <c r="X4481" s="10" t="s">
        <v>21987</v>
      </c>
      <c r="Y4481" s="6" t="s">
        <v>55</v>
      </c>
      <c r="Z4481" s="4">
        <v>33.03</v>
      </c>
      <c r="AA4481" s="4">
        <v>128.43</v>
      </c>
      <c r="AB4481" s="3" t="s">
        <v>43</v>
      </c>
      <c r="AC4481" s="3" t="s">
        <v>13932</v>
      </c>
      <c r="AD4481" s="9">
        <v>43663</v>
      </c>
      <c r="AE4481" s="3" t="s">
        <v>45</v>
      </c>
      <c r="AF4481" s="3" t="s">
        <v>615</v>
      </c>
      <c r="AG4481" s="3" t="s">
        <v>81</v>
      </c>
      <c r="AH4481" s="11">
        <f>HYPERLINK("https://my.pitchbook.com?c=123068-44T","View Company Online")</f>
      </c>
    </row>
    <row r="4482">
      <c r="A4482" s="12" t="s">
        <v>21988</v>
      </c>
      <c r="B4482" s="12" t="s">
        <v>5601</v>
      </c>
      <c r="C4482" s="19" t="s">
        <v>36</v>
      </c>
      <c r="D4482" s="19" t="s">
        <v>36</v>
      </c>
      <c r="E4482" s="19" t="s">
        <v>36</v>
      </c>
      <c r="F4482" s="19" t="s">
        <v>36</v>
      </c>
      <c r="G4482" s="15" t="s">
        <v>36</v>
      </c>
      <c r="H4482" s="14">
        <v>31.16</v>
      </c>
      <c r="I4482" s="18">
        <v>29.41</v>
      </c>
      <c r="J4482" s="12" t="s">
        <v>521</v>
      </c>
      <c r="K4482" s="13" t="s">
        <v>36</v>
      </c>
      <c r="L4482" s="15" t="s">
        <v>36</v>
      </c>
      <c r="M4482" s="12" t="s">
        <v>36</v>
      </c>
      <c r="N4482" s="12" t="s">
        <v>36</v>
      </c>
      <c r="O4482" s="17" t="s">
        <v>36</v>
      </c>
      <c r="P4482" s="12" t="s">
        <v>36</v>
      </c>
      <c r="Q4482" s="12" t="s">
        <v>36</v>
      </c>
      <c r="R4482" s="12" t="s">
        <v>36</v>
      </c>
      <c r="S4482" s="12" t="s">
        <v>36</v>
      </c>
      <c r="T4482" s="12" t="s">
        <v>5602</v>
      </c>
      <c r="U4482" s="12" t="s">
        <v>318</v>
      </c>
      <c r="V4482" s="12" t="s">
        <v>39</v>
      </c>
      <c r="W4482" s="12" t="s">
        <v>5603</v>
      </c>
      <c r="X4482" s="16" t="s">
        <v>21989</v>
      </c>
      <c r="Y4482" s="15" t="s">
        <v>42</v>
      </c>
      <c r="Z4482" s="14">
        <v>2.03</v>
      </c>
      <c r="AA4482" s="14">
        <v>3.84</v>
      </c>
      <c r="AB4482" s="12" t="s">
        <v>43</v>
      </c>
      <c r="AC4482" s="12" t="s">
        <v>5605</v>
      </c>
      <c r="AD4482" s="13">
        <v>43663</v>
      </c>
      <c r="AE4482" s="12" t="s">
        <v>763</v>
      </c>
      <c r="AF4482" s="12" t="s">
        <v>5606</v>
      </c>
      <c r="AG4482" s="12" t="s">
        <v>332</v>
      </c>
      <c r="AH4482" s="1">
        <f>HYPERLINK("https://my.pitchbook.com?c=122225-77T","View Company Online")</f>
      </c>
    </row>
    <row r="4483">
      <c r="A4483" s="3" t="s">
        <v>21990</v>
      </c>
      <c r="B4483" s="3" t="s">
        <v>21991</v>
      </c>
      <c r="C4483" s="5">
        <v>1</v>
      </c>
      <c r="D4483" s="5" t="s">
        <v>36</v>
      </c>
      <c r="E4483" s="5">
        <v>1</v>
      </c>
      <c r="F4483" s="5">
        <v>1</v>
      </c>
      <c r="G4483" s="6" t="s">
        <v>326</v>
      </c>
      <c r="H4483" s="4" t="s">
        <v>36</v>
      </c>
      <c r="I4483" s="7">
        <v>37</v>
      </c>
      <c r="J4483" s="3" t="s">
        <v>521</v>
      </c>
      <c r="K4483" s="9" t="s">
        <v>36</v>
      </c>
      <c r="L4483" s="6" t="s">
        <v>122</v>
      </c>
      <c r="M4483" s="3" t="s">
        <v>36</v>
      </c>
      <c r="N4483" s="3" t="s">
        <v>122</v>
      </c>
      <c r="O4483" s="8" t="s">
        <v>36</v>
      </c>
      <c r="P4483" s="3" t="s">
        <v>36</v>
      </c>
      <c r="Q4483" s="3" t="s">
        <v>36</v>
      </c>
      <c r="R4483" s="3" t="s">
        <v>36</v>
      </c>
      <c r="S4483" s="3" t="s">
        <v>36</v>
      </c>
      <c r="T4483" s="3" t="s">
        <v>522</v>
      </c>
      <c r="U4483" s="3" t="s">
        <v>38</v>
      </c>
      <c r="V4483" s="3" t="s">
        <v>39</v>
      </c>
      <c r="W4483" s="3" t="s">
        <v>21992</v>
      </c>
      <c r="X4483" s="10" t="s">
        <v>21993</v>
      </c>
      <c r="Y4483" s="6" t="s">
        <v>108</v>
      </c>
      <c r="Z4483" s="4">
        <v>18.5</v>
      </c>
      <c r="AA4483" s="4">
        <v>50</v>
      </c>
      <c r="AB4483" s="3" t="s">
        <v>56</v>
      </c>
      <c r="AC4483" s="3" t="s">
        <v>21994</v>
      </c>
      <c r="AD4483" s="9">
        <v>43662</v>
      </c>
      <c r="AE4483" s="3" t="s">
        <v>110</v>
      </c>
      <c r="AF4483" s="3" t="s">
        <v>905</v>
      </c>
      <c r="AG4483" s="3" t="s">
        <v>81</v>
      </c>
      <c r="AH4483" s="11">
        <f>HYPERLINK("https://my.pitchbook.com?c=123596-20T","View Company Online")</f>
      </c>
    </row>
    <row r="4484">
      <c r="A4484" s="12" t="s">
        <v>21995</v>
      </c>
      <c r="B4484" s="12" t="s">
        <v>7254</v>
      </c>
      <c r="C4484" s="19" t="s">
        <v>36</v>
      </c>
      <c r="D4484" s="19" t="s">
        <v>36</v>
      </c>
      <c r="E4484" s="19" t="s">
        <v>36</v>
      </c>
      <c r="F4484" s="19" t="s">
        <v>36</v>
      </c>
      <c r="G4484" s="15" t="s">
        <v>326</v>
      </c>
      <c r="H4484" s="14">
        <v>149.53</v>
      </c>
      <c r="I4484" s="18">
        <v>22.93</v>
      </c>
      <c r="J4484" s="12" t="s">
        <v>521</v>
      </c>
      <c r="K4484" s="13" t="s">
        <v>36</v>
      </c>
      <c r="L4484" s="15" t="s">
        <v>122</v>
      </c>
      <c r="M4484" s="12" t="s">
        <v>36</v>
      </c>
      <c r="N4484" s="12" t="s">
        <v>122</v>
      </c>
      <c r="O4484" s="17" t="s">
        <v>36</v>
      </c>
      <c r="P4484" s="12" t="s">
        <v>36</v>
      </c>
      <c r="Q4484" s="12" t="s">
        <v>36</v>
      </c>
      <c r="R4484" s="12" t="s">
        <v>36</v>
      </c>
      <c r="S4484" s="12" t="s">
        <v>36</v>
      </c>
      <c r="T4484" s="12" t="s">
        <v>7256</v>
      </c>
      <c r="U4484" s="12" t="s">
        <v>74</v>
      </c>
      <c r="V4484" s="12" t="s">
        <v>75</v>
      </c>
      <c r="W4484" s="12" t="s">
        <v>7257</v>
      </c>
      <c r="X4484" s="16" t="s">
        <v>21996</v>
      </c>
      <c r="Y4484" s="15" t="s">
        <v>192</v>
      </c>
      <c r="Z4484" s="14">
        <v>7.31</v>
      </c>
      <c r="AA4484" s="14">
        <v>31.89</v>
      </c>
      <c r="AB4484" s="12" t="s">
        <v>43</v>
      </c>
      <c r="AC4484" s="12" t="s">
        <v>7259</v>
      </c>
      <c r="AD4484" s="13">
        <v>43662</v>
      </c>
      <c r="AE4484" s="12" t="s">
        <v>79</v>
      </c>
      <c r="AF4484" s="12" t="s">
        <v>7260</v>
      </c>
      <c r="AG4484" s="12" t="s">
        <v>1078</v>
      </c>
      <c r="AH4484" s="1">
        <f>HYPERLINK("https://my.pitchbook.com?c=124709-68T","View Company Online")</f>
      </c>
    </row>
    <row r="4485">
      <c r="A4485" s="3" t="s">
        <v>21997</v>
      </c>
      <c r="B4485" s="3" t="s">
        <v>21998</v>
      </c>
      <c r="C4485" s="5" t="s">
        <v>36</v>
      </c>
      <c r="D4485" s="5">
        <v>3</v>
      </c>
      <c r="E4485" s="5">
        <v>1</v>
      </c>
      <c r="F4485" s="5">
        <v>4</v>
      </c>
      <c r="G4485" s="6" t="s">
        <v>326</v>
      </c>
      <c r="H4485" s="4">
        <v>186.94</v>
      </c>
      <c r="I4485" s="7">
        <v>49.88</v>
      </c>
      <c r="J4485" s="3" t="s">
        <v>521</v>
      </c>
      <c r="K4485" s="9" t="s">
        <v>36</v>
      </c>
      <c r="L4485" s="6" t="s">
        <v>36</v>
      </c>
      <c r="M4485" s="3" t="s">
        <v>36</v>
      </c>
      <c r="N4485" s="3" t="s">
        <v>36</v>
      </c>
      <c r="O4485" s="8" t="s">
        <v>36</v>
      </c>
      <c r="P4485" s="3" t="s">
        <v>36</v>
      </c>
      <c r="Q4485" s="3" t="s">
        <v>36</v>
      </c>
      <c r="R4485" s="3" t="s">
        <v>36</v>
      </c>
      <c r="S4485" s="3" t="s">
        <v>36</v>
      </c>
      <c r="T4485" s="3" t="s">
        <v>2811</v>
      </c>
      <c r="U4485" s="3" t="s">
        <v>219</v>
      </c>
      <c r="V4485" s="3" t="s">
        <v>75</v>
      </c>
      <c r="W4485" s="3" t="s">
        <v>21999</v>
      </c>
      <c r="X4485" s="10" t="s">
        <v>22000</v>
      </c>
      <c r="Y4485" s="6" t="s">
        <v>42</v>
      </c>
      <c r="Z4485" s="4">
        <v>2.4</v>
      </c>
      <c r="AA4485" s="4">
        <v>4.81</v>
      </c>
      <c r="AB4485" s="3" t="s">
        <v>56</v>
      </c>
      <c r="AC4485" s="3" t="s">
        <v>22001</v>
      </c>
      <c r="AD4485" s="9">
        <v>43662</v>
      </c>
      <c r="AE4485" s="3" t="s">
        <v>223</v>
      </c>
      <c r="AF4485" s="3" t="s">
        <v>982</v>
      </c>
      <c r="AG4485" s="3" t="s">
        <v>22002</v>
      </c>
      <c r="AH4485" s="11">
        <f>HYPERLINK("https://my.pitchbook.com?c=132332-77T","View Company Online")</f>
      </c>
    </row>
    <row r="4486">
      <c r="A4486" s="12" t="s">
        <v>22003</v>
      </c>
      <c r="B4486" s="12" t="s">
        <v>19053</v>
      </c>
      <c r="C4486" s="19">
        <v>2</v>
      </c>
      <c r="D4486" s="19">
        <v>2</v>
      </c>
      <c r="E4486" s="19">
        <v>1</v>
      </c>
      <c r="F4486" s="19">
        <v>5</v>
      </c>
      <c r="G4486" s="15" t="s">
        <v>326</v>
      </c>
      <c r="H4486" s="14">
        <v>35.31</v>
      </c>
      <c r="I4486" s="18">
        <v>9.38</v>
      </c>
      <c r="J4486" s="12" t="s">
        <v>521</v>
      </c>
      <c r="K4486" s="13" t="s">
        <v>36</v>
      </c>
      <c r="L4486" s="15" t="s">
        <v>36</v>
      </c>
      <c r="M4486" s="12" t="s">
        <v>36</v>
      </c>
      <c r="N4486" s="12" t="s">
        <v>36</v>
      </c>
      <c r="O4486" s="17" t="s">
        <v>36</v>
      </c>
      <c r="P4486" s="12" t="s">
        <v>36</v>
      </c>
      <c r="Q4486" s="12" t="s">
        <v>36</v>
      </c>
      <c r="R4486" s="12" t="s">
        <v>36</v>
      </c>
      <c r="S4486" s="12" t="s">
        <v>36</v>
      </c>
      <c r="T4486" s="12" t="s">
        <v>881</v>
      </c>
      <c r="U4486" s="12" t="s">
        <v>51</v>
      </c>
      <c r="V4486" s="12" t="s">
        <v>52</v>
      </c>
      <c r="W4486" s="12" t="s">
        <v>19054</v>
      </c>
      <c r="X4486" s="16" t="s">
        <v>22004</v>
      </c>
      <c r="Y4486" s="15" t="s">
        <v>108</v>
      </c>
      <c r="Z4486" s="14">
        <v>1.18</v>
      </c>
      <c r="AA4486" s="14">
        <v>12.54</v>
      </c>
      <c r="AB4486" s="12" t="s">
        <v>43</v>
      </c>
      <c r="AC4486" s="12" t="s">
        <v>19056</v>
      </c>
      <c r="AD4486" s="13">
        <v>43662</v>
      </c>
      <c r="AE4486" s="12" t="s">
        <v>504</v>
      </c>
      <c r="AF4486" s="12" t="s">
        <v>665</v>
      </c>
      <c r="AG4486" s="12" t="s">
        <v>47</v>
      </c>
      <c r="AH4486" s="1">
        <f>HYPERLINK("https://my.pitchbook.com?c=139353-76T","View Company Online")</f>
      </c>
    </row>
    <row r="4487">
      <c r="A4487" s="3" t="s">
        <v>22005</v>
      </c>
      <c r="B4487" s="3" t="s">
        <v>9871</v>
      </c>
      <c r="C4487" s="5">
        <v>1</v>
      </c>
      <c r="D4487" s="5">
        <v>10</v>
      </c>
      <c r="E4487" s="5">
        <v>5</v>
      </c>
      <c r="F4487" s="5">
        <v>12</v>
      </c>
      <c r="G4487" s="6" t="s">
        <v>36</v>
      </c>
      <c r="H4487" s="4">
        <v>413.17</v>
      </c>
      <c r="I4487" s="7">
        <v>59.4</v>
      </c>
      <c r="J4487" s="3" t="s">
        <v>521</v>
      </c>
      <c r="K4487" s="9" t="s">
        <v>36</v>
      </c>
      <c r="L4487" s="6" t="s">
        <v>122</v>
      </c>
      <c r="M4487" s="3" t="s">
        <v>36</v>
      </c>
      <c r="N4487" s="3" t="s">
        <v>122</v>
      </c>
      <c r="O4487" s="8" t="s">
        <v>36</v>
      </c>
      <c r="P4487" s="3" t="s">
        <v>36</v>
      </c>
      <c r="Q4487" s="3" t="s">
        <v>36</v>
      </c>
      <c r="R4487" s="3" t="s">
        <v>36</v>
      </c>
      <c r="S4487" s="3" t="s">
        <v>36</v>
      </c>
      <c r="T4487" s="3" t="s">
        <v>1628</v>
      </c>
      <c r="U4487" s="3" t="s">
        <v>96</v>
      </c>
      <c r="V4487" s="3" t="s">
        <v>52</v>
      </c>
      <c r="W4487" s="3" t="s">
        <v>9872</v>
      </c>
      <c r="X4487" s="10" t="s">
        <v>22006</v>
      </c>
      <c r="Y4487" s="6" t="s">
        <v>42</v>
      </c>
      <c r="Z4487" s="4">
        <v>6.77</v>
      </c>
      <c r="AA4487" s="4">
        <v>11.4</v>
      </c>
      <c r="AB4487" s="3" t="s">
        <v>43</v>
      </c>
      <c r="AC4487" s="3" t="s">
        <v>9874</v>
      </c>
      <c r="AD4487" s="9">
        <v>43662</v>
      </c>
      <c r="AE4487" s="3" t="s">
        <v>755</v>
      </c>
      <c r="AF4487" s="3" t="s">
        <v>9875</v>
      </c>
      <c r="AG4487" s="3" t="s">
        <v>81</v>
      </c>
      <c r="AH4487" s="11">
        <f>HYPERLINK("https://my.pitchbook.com?c=121477-06T","View Company Online")</f>
      </c>
    </row>
    <row r="4488">
      <c r="A4488" s="12" t="s">
        <v>22007</v>
      </c>
      <c r="B4488" s="12" t="s">
        <v>3714</v>
      </c>
      <c r="C4488" s="19" t="s">
        <v>36</v>
      </c>
      <c r="D4488" s="19" t="s">
        <v>36</v>
      </c>
      <c r="E4488" s="19" t="s">
        <v>36</v>
      </c>
      <c r="F4488" s="19" t="s">
        <v>36</v>
      </c>
      <c r="G4488" s="15" t="s">
        <v>326</v>
      </c>
      <c r="H4488" s="14">
        <v>13.97</v>
      </c>
      <c r="I4488" s="18">
        <v>24.47</v>
      </c>
      <c r="J4488" s="12" t="s">
        <v>521</v>
      </c>
      <c r="K4488" s="13" t="s">
        <v>36</v>
      </c>
      <c r="L4488" s="15" t="s">
        <v>36</v>
      </c>
      <c r="M4488" s="12" t="s">
        <v>36</v>
      </c>
      <c r="N4488" s="12" t="s">
        <v>36</v>
      </c>
      <c r="O4488" s="17" t="s">
        <v>36</v>
      </c>
      <c r="P4488" s="12" t="s">
        <v>36</v>
      </c>
      <c r="Q4488" s="12" t="s">
        <v>36</v>
      </c>
      <c r="R4488" s="12" t="s">
        <v>36</v>
      </c>
      <c r="S4488" s="12" t="s">
        <v>36</v>
      </c>
      <c r="T4488" s="12" t="s">
        <v>3715</v>
      </c>
      <c r="U4488" s="12" t="s">
        <v>318</v>
      </c>
      <c r="V4488" s="12" t="s">
        <v>39</v>
      </c>
      <c r="W4488" s="12" t="s">
        <v>3716</v>
      </c>
      <c r="X4488" s="16" t="s">
        <v>22008</v>
      </c>
      <c r="Y4488" s="15" t="s">
        <v>192</v>
      </c>
      <c r="Z4488" s="14">
        <v>2.19</v>
      </c>
      <c r="AA4488" s="14">
        <v>8.96</v>
      </c>
      <c r="AB4488" s="12" t="s">
        <v>56</v>
      </c>
      <c r="AC4488" s="12" t="s">
        <v>3718</v>
      </c>
      <c r="AD4488" s="13">
        <v>43662</v>
      </c>
      <c r="AE4488" s="12" t="s">
        <v>763</v>
      </c>
      <c r="AF4488" s="12" t="s">
        <v>3719</v>
      </c>
      <c r="AG4488" s="12" t="s">
        <v>186</v>
      </c>
      <c r="AH4488" s="1">
        <f>HYPERLINK("https://my.pitchbook.com?c=121352-05T","View Company Online")</f>
      </c>
    </row>
    <row r="4489">
      <c r="A4489" s="3" t="s">
        <v>22009</v>
      </c>
      <c r="B4489" s="3" t="s">
        <v>22010</v>
      </c>
      <c r="C4489" s="5" t="s">
        <v>36</v>
      </c>
      <c r="D4489" s="5" t="s">
        <v>36</v>
      </c>
      <c r="E4489" s="5" t="s">
        <v>36</v>
      </c>
      <c r="F4489" s="5" t="s">
        <v>36</v>
      </c>
      <c r="G4489" s="6" t="s">
        <v>36</v>
      </c>
      <c r="H4489" s="4" t="s">
        <v>36</v>
      </c>
      <c r="I4489" s="7" t="s">
        <v>36</v>
      </c>
      <c r="J4489" s="3" t="s">
        <v>36</v>
      </c>
      <c r="K4489" s="9" t="s">
        <v>36</v>
      </c>
      <c r="L4489" s="6" t="s">
        <v>36</v>
      </c>
      <c r="M4489" s="3" t="s">
        <v>36</v>
      </c>
      <c r="N4489" s="3" t="s">
        <v>36</v>
      </c>
      <c r="O4489" s="8" t="s">
        <v>36</v>
      </c>
      <c r="P4489" s="3" t="s">
        <v>36</v>
      </c>
      <c r="Q4489" s="3" t="s">
        <v>36</v>
      </c>
      <c r="R4489" s="3" t="s">
        <v>36</v>
      </c>
      <c r="S4489" s="3" t="s">
        <v>36</v>
      </c>
      <c r="T4489" s="3" t="s">
        <v>522</v>
      </c>
      <c r="U4489" s="3" t="s">
        <v>38</v>
      </c>
      <c r="V4489" s="3" t="s">
        <v>39</v>
      </c>
      <c r="W4489" s="3" t="s">
        <v>22011</v>
      </c>
      <c r="X4489" s="10" t="s">
        <v>17638</v>
      </c>
      <c r="Y4489" s="6" t="s">
        <v>42</v>
      </c>
      <c r="Z4489" s="4" t="s">
        <v>36</v>
      </c>
      <c r="AA4489" s="4" t="s">
        <v>36</v>
      </c>
      <c r="AB4489" s="3" t="s">
        <v>43</v>
      </c>
      <c r="AC4489" s="3" t="s">
        <v>22012</v>
      </c>
      <c r="AD4489" s="9">
        <v>43661</v>
      </c>
      <c r="AE4489" s="3" t="s">
        <v>110</v>
      </c>
      <c r="AF4489" s="3" t="s">
        <v>905</v>
      </c>
      <c r="AG4489" s="3" t="s">
        <v>47</v>
      </c>
      <c r="AH4489" s="11">
        <f>HYPERLINK("https://my.pitchbook.com?c=165780-37T","View Company Online")</f>
      </c>
    </row>
    <row r="4490">
      <c r="A4490" s="12" t="s">
        <v>22013</v>
      </c>
      <c r="B4490" s="12" t="s">
        <v>22014</v>
      </c>
      <c r="C4490" s="19" t="s">
        <v>36</v>
      </c>
      <c r="D4490" s="19" t="s">
        <v>36</v>
      </c>
      <c r="E4490" s="19" t="s">
        <v>36</v>
      </c>
      <c r="F4490" s="19" t="s">
        <v>36</v>
      </c>
      <c r="G4490" s="15" t="s">
        <v>2497</v>
      </c>
      <c r="H4490" s="14">
        <v>26.76</v>
      </c>
      <c r="I4490" s="18">
        <v>7.9</v>
      </c>
      <c r="J4490" s="12" t="s">
        <v>521</v>
      </c>
      <c r="K4490" s="13" t="s">
        <v>36</v>
      </c>
      <c r="L4490" s="15" t="s">
        <v>36</v>
      </c>
      <c r="M4490" s="12" t="s">
        <v>36</v>
      </c>
      <c r="N4490" s="12" t="s">
        <v>36</v>
      </c>
      <c r="O4490" s="17" t="s">
        <v>36</v>
      </c>
      <c r="P4490" s="12" t="s">
        <v>36</v>
      </c>
      <c r="Q4490" s="12" t="s">
        <v>36</v>
      </c>
      <c r="R4490" s="12" t="s">
        <v>36</v>
      </c>
      <c r="S4490" s="12" t="s">
        <v>36</v>
      </c>
      <c r="T4490" s="12" t="s">
        <v>11886</v>
      </c>
      <c r="U4490" s="12" t="s">
        <v>648</v>
      </c>
      <c r="V4490" s="12" t="s">
        <v>64</v>
      </c>
      <c r="W4490" s="12" t="s">
        <v>22015</v>
      </c>
      <c r="X4490" s="16" t="s">
        <v>22016</v>
      </c>
      <c r="Y4490" s="15" t="s">
        <v>1067</v>
      </c>
      <c r="Z4490" s="14">
        <v>4.29</v>
      </c>
      <c r="AA4490" s="14">
        <v>54.26</v>
      </c>
      <c r="AB4490" s="12" t="s">
        <v>56</v>
      </c>
      <c r="AC4490" s="12" t="s">
        <v>22017</v>
      </c>
      <c r="AD4490" s="13">
        <v>43661</v>
      </c>
      <c r="AE4490" s="12" t="s">
        <v>651</v>
      </c>
      <c r="AF4490" s="12" t="s">
        <v>36</v>
      </c>
      <c r="AG4490" s="12" t="s">
        <v>81</v>
      </c>
      <c r="AH4490" s="1">
        <f>HYPERLINK("https://my.pitchbook.com?c=132453-28T","View Company Online")</f>
      </c>
    </row>
    <row r="4491">
      <c r="A4491" s="3" t="s">
        <v>22018</v>
      </c>
      <c r="B4491" s="3" t="s">
        <v>18785</v>
      </c>
      <c r="C4491" s="5">
        <v>7</v>
      </c>
      <c r="D4491" s="5">
        <v>4</v>
      </c>
      <c r="E4491" s="5">
        <v>4</v>
      </c>
      <c r="F4491" s="5">
        <v>11</v>
      </c>
      <c r="G4491" s="6" t="s">
        <v>326</v>
      </c>
      <c r="H4491" s="4">
        <v>73.09</v>
      </c>
      <c r="I4491" s="7">
        <v>31.55</v>
      </c>
      <c r="J4491" s="3" t="s">
        <v>521</v>
      </c>
      <c r="K4491" s="9" t="s">
        <v>36</v>
      </c>
      <c r="L4491" s="6" t="s">
        <v>36</v>
      </c>
      <c r="M4491" s="3" t="s">
        <v>36</v>
      </c>
      <c r="N4491" s="3" t="s">
        <v>36</v>
      </c>
      <c r="O4491" s="8" t="s">
        <v>36</v>
      </c>
      <c r="P4491" s="3" t="s">
        <v>36</v>
      </c>
      <c r="Q4491" s="3" t="s">
        <v>36</v>
      </c>
      <c r="R4491" s="3" t="s">
        <v>36</v>
      </c>
      <c r="S4491" s="3" t="s">
        <v>36</v>
      </c>
      <c r="T4491" s="3" t="s">
        <v>751</v>
      </c>
      <c r="U4491" s="3" t="s">
        <v>96</v>
      </c>
      <c r="V4491" s="3" t="s">
        <v>52</v>
      </c>
      <c r="W4491" s="3" t="s">
        <v>18786</v>
      </c>
      <c r="X4491" s="10" t="s">
        <v>22019</v>
      </c>
      <c r="Y4491" s="6" t="s">
        <v>55</v>
      </c>
      <c r="Z4491" s="4">
        <v>4.59</v>
      </c>
      <c r="AA4491" s="4">
        <v>14.55</v>
      </c>
      <c r="AB4491" s="3" t="s">
        <v>56</v>
      </c>
      <c r="AC4491" s="3" t="s">
        <v>18788</v>
      </c>
      <c r="AD4491" s="9">
        <v>43661</v>
      </c>
      <c r="AE4491" s="3" t="s">
        <v>755</v>
      </c>
      <c r="AF4491" s="3" t="s">
        <v>18789</v>
      </c>
      <c r="AG4491" s="3" t="s">
        <v>1078</v>
      </c>
      <c r="AH4491" s="11">
        <f>HYPERLINK("https://my.pitchbook.com?c=121452-94T","View Company Online")</f>
      </c>
    </row>
    <row r="4492">
      <c r="A4492" s="12" t="s">
        <v>22020</v>
      </c>
      <c r="B4492" s="12" t="s">
        <v>4028</v>
      </c>
      <c r="C4492" s="19" t="s">
        <v>36</v>
      </c>
      <c r="D4492" s="19" t="s">
        <v>36</v>
      </c>
      <c r="E4492" s="19" t="s">
        <v>36</v>
      </c>
      <c r="F4492" s="19" t="s">
        <v>36</v>
      </c>
      <c r="G4492" s="15" t="s">
        <v>36</v>
      </c>
      <c r="H4492" s="14" t="s">
        <v>36</v>
      </c>
      <c r="I4492" s="18" t="s">
        <v>36</v>
      </c>
      <c r="J4492" s="12" t="s">
        <v>36</v>
      </c>
      <c r="K4492" s="13" t="s">
        <v>36</v>
      </c>
      <c r="L4492" s="15" t="s">
        <v>122</v>
      </c>
      <c r="M4492" s="12" t="s">
        <v>36</v>
      </c>
      <c r="N4492" s="12" t="s">
        <v>122</v>
      </c>
      <c r="O4492" s="17" t="s">
        <v>36</v>
      </c>
      <c r="P4492" s="12" t="s">
        <v>36</v>
      </c>
      <c r="Q4492" s="12" t="s">
        <v>36</v>
      </c>
      <c r="R4492" s="12" t="s">
        <v>36</v>
      </c>
      <c r="S4492" s="12" t="s">
        <v>36</v>
      </c>
      <c r="T4492" s="12" t="s">
        <v>4029</v>
      </c>
      <c r="U4492" s="12" t="s">
        <v>648</v>
      </c>
      <c r="V4492" s="12" t="s">
        <v>64</v>
      </c>
      <c r="W4492" s="12" t="s">
        <v>4030</v>
      </c>
      <c r="X4492" s="16" t="s">
        <v>22021</v>
      </c>
      <c r="Y4492" s="15" t="s">
        <v>42</v>
      </c>
      <c r="Z4492" s="14">
        <v>8.69</v>
      </c>
      <c r="AA4492" s="14" t="s">
        <v>36</v>
      </c>
      <c r="AB4492" s="12" t="s">
        <v>43</v>
      </c>
      <c r="AC4492" s="12" t="s">
        <v>4032</v>
      </c>
      <c r="AD4492" s="13">
        <v>43660</v>
      </c>
      <c r="AE4492" s="12" t="s">
        <v>1897</v>
      </c>
      <c r="AF4492" s="12" t="s">
        <v>1115</v>
      </c>
      <c r="AG4492" s="12" t="s">
        <v>81</v>
      </c>
      <c r="AH4492" s="1">
        <f>HYPERLINK("https://my.pitchbook.com?c=132658-21T","View Company Online")</f>
      </c>
    </row>
    <row r="4493">
      <c r="A4493" s="3" t="s">
        <v>22022</v>
      </c>
      <c r="B4493" s="3" t="s">
        <v>9135</v>
      </c>
      <c r="C4493" s="5" t="s">
        <v>36</v>
      </c>
      <c r="D4493" s="5" t="s">
        <v>36</v>
      </c>
      <c r="E4493" s="5" t="s">
        <v>36</v>
      </c>
      <c r="F4493" s="5" t="s">
        <v>36</v>
      </c>
      <c r="G4493" s="6" t="s">
        <v>683</v>
      </c>
      <c r="H4493" s="4">
        <v>69.9</v>
      </c>
      <c r="I4493" s="7">
        <v>10.2</v>
      </c>
      <c r="J4493" s="3" t="s">
        <v>521</v>
      </c>
      <c r="K4493" s="9" t="s">
        <v>36</v>
      </c>
      <c r="L4493" s="6" t="s">
        <v>36</v>
      </c>
      <c r="M4493" s="3" t="s">
        <v>36</v>
      </c>
      <c r="N4493" s="3" t="s">
        <v>36</v>
      </c>
      <c r="O4493" s="8" t="s">
        <v>36</v>
      </c>
      <c r="P4493" s="3" t="s">
        <v>36</v>
      </c>
      <c r="Q4493" s="3" t="s">
        <v>36</v>
      </c>
      <c r="R4493" s="3" t="s">
        <v>36</v>
      </c>
      <c r="S4493" s="3" t="s">
        <v>36</v>
      </c>
      <c r="T4493" s="3" t="s">
        <v>8394</v>
      </c>
      <c r="U4493" s="3" t="s">
        <v>85</v>
      </c>
      <c r="V4493" s="3" t="s">
        <v>64</v>
      </c>
      <c r="W4493" s="3" t="s">
        <v>9136</v>
      </c>
      <c r="X4493" s="10" t="s">
        <v>22023</v>
      </c>
      <c r="Y4493" s="6" t="s">
        <v>192</v>
      </c>
      <c r="Z4493" s="4">
        <v>2.82</v>
      </c>
      <c r="AA4493" s="4">
        <v>27.65</v>
      </c>
      <c r="AB4493" s="3" t="s">
        <v>56</v>
      </c>
      <c r="AC4493" s="3" t="s">
        <v>9138</v>
      </c>
      <c r="AD4493" s="9">
        <v>43658</v>
      </c>
      <c r="AE4493" s="3" t="s">
        <v>89</v>
      </c>
      <c r="AF4493" s="3" t="s">
        <v>4612</v>
      </c>
      <c r="AG4493" s="3" t="s">
        <v>81</v>
      </c>
      <c r="AH4493" s="11">
        <f>HYPERLINK("https://my.pitchbook.com?c=128249-20T","View Company Online")</f>
      </c>
    </row>
    <row r="4494">
      <c r="A4494" s="12" t="s">
        <v>22024</v>
      </c>
      <c r="B4494" s="12" t="s">
        <v>22025</v>
      </c>
      <c r="C4494" s="19" t="s">
        <v>36</v>
      </c>
      <c r="D4494" s="19" t="s">
        <v>36</v>
      </c>
      <c r="E4494" s="19" t="s">
        <v>36</v>
      </c>
      <c r="F4494" s="19" t="s">
        <v>36</v>
      </c>
      <c r="G4494" s="15" t="s">
        <v>326</v>
      </c>
      <c r="H4494" s="14">
        <v>251.06</v>
      </c>
      <c r="I4494" s="18">
        <v>50.7</v>
      </c>
      <c r="J4494" s="12" t="s">
        <v>521</v>
      </c>
      <c r="K4494" s="13" t="s">
        <v>36</v>
      </c>
      <c r="L4494" s="15" t="s">
        <v>122</v>
      </c>
      <c r="M4494" s="12" t="s">
        <v>36</v>
      </c>
      <c r="N4494" s="12" t="s">
        <v>122</v>
      </c>
      <c r="O4494" s="17" t="s">
        <v>36</v>
      </c>
      <c r="P4494" s="12" t="s">
        <v>36</v>
      </c>
      <c r="Q4494" s="12" t="s">
        <v>36</v>
      </c>
      <c r="R4494" s="12" t="s">
        <v>36</v>
      </c>
      <c r="S4494" s="12" t="s">
        <v>36</v>
      </c>
      <c r="T4494" s="12" t="s">
        <v>22026</v>
      </c>
      <c r="U4494" s="12" t="s">
        <v>38</v>
      </c>
      <c r="V4494" s="12" t="s">
        <v>39</v>
      </c>
      <c r="W4494" s="12" t="s">
        <v>22027</v>
      </c>
      <c r="X4494" s="16" t="s">
        <v>22028</v>
      </c>
      <c r="Y4494" s="15" t="s">
        <v>55</v>
      </c>
      <c r="Z4494" s="14">
        <v>7.45</v>
      </c>
      <c r="AA4494" s="14">
        <v>12.55</v>
      </c>
      <c r="AB4494" s="12" t="s">
        <v>56</v>
      </c>
      <c r="AC4494" s="12" t="s">
        <v>22029</v>
      </c>
      <c r="AD4494" s="13">
        <v>43658</v>
      </c>
      <c r="AE4494" s="12" t="s">
        <v>110</v>
      </c>
      <c r="AF4494" s="12" t="s">
        <v>118</v>
      </c>
      <c r="AG4494" s="12" t="s">
        <v>924</v>
      </c>
      <c r="AH4494" s="1">
        <f>HYPERLINK("https://my.pitchbook.com?c=122140-36T","View Company Online")</f>
      </c>
    </row>
    <row r="4495">
      <c r="A4495" s="3" t="s">
        <v>22030</v>
      </c>
      <c r="B4495" s="3" t="s">
        <v>12179</v>
      </c>
      <c r="C4495" s="5">
        <v>3</v>
      </c>
      <c r="D4495" s="5">
        <v>4</v>
      </c>
      <c r="E4495" s="5">
        <v>2</v>
      </c>
      <c r="F4495" s="5">
        <v>8</v>
      </c>
      <c r="G4495" s="6" t="s">
        <v>326</v>
      </c>
      <c r="H4495" s="4" t="s">
        <v>36</v>
      </c>
      <c r="I4495" s="7" t="s">
        <v>36</v>
      </c>
      <c r="J4495" s="3" t="s">
        <v>521</v>
      </c>
      <c r="K4495" s="9" t="s">
        <v>36</v>
      </c>
      <c r="L4495" s="6" t="s">
        <v>36</v>
      </c>
      <c r="M4495" s="3" t="s">
        <v>36</v>
      </c>
      <c r="N4495" s="3" t="s">
        <v>36</v>
      </c>
      <c r="O4495" s="8" t="s">
        <v>36</v>
      </c>
      <c r="P4495" s="3" t="s">
        <v>36</v>
      </c>
      <c r="Q4495" s="3" t="s">
        <v>36</v>
      </c>
      <c r="R4495" s="3" t="s">
        <v>36</v>
      </c>
      <c r="S4495" s="3" t="s">
        <v>36</v>
      </c>
      <c r="T4495" s="3" t="s">
        <v>12180</v>
      </c>
      <c r="U4495" s="3" t="s">
        <v>833</v>
      </c>
      <c r="V4495" s="3" t="s">
        <v>64</v>
      </c>
      <c r="W4495" s="3" t="s">
        <v>12181</v>
      </c>
      <c r="X4495" s="10" t="s">
        <v>22031</v>
      </c>
      <c r="Y4495" s="6" t="s">
        <v>108</v>
      </c>
      <c r="Z4495" s="4">
        <v>1.04</v>
      </c>
      <c r="AA4495" s="4">
        <v>3.21</v>
      </c>
      <c r="AB4495" s="3" t="s">
        <v>43</v>
      </c>
      <c r="AC4495" s="3" t="s">
        <v>12183</v>
      </c>
      <c r="AD4495" s="9">
        <v>43657</v>
      </c>
      <c r="AE4495" s="3" t="s">
        <v>1069</v>
      </c>
      <c r="AF4495" s="3" t="s">
        <v>12184</v>
      </c>
      <c r="AG4495" s="3" t="s">
        <v>580</v>
      </c>
      <c r="AH4495" s="11">
        <f>HYPERLINK("https://my.pitchbook.com?c=201034-54T","View Company Online")</f>
      </c>
    </row>
    <row r="4496">
      <c r="A4496" s="12" t="s">
        <v>22032</v>
      </c>
      <c r="B4496" s="12" t="s">
        <v>22033</v>
      </c>
      <c r="C4496" s="19" t="s">
        <v>36</v>
      </c>
      <c r="D4496" s="19" t="s">
        <v>36</v>
      </c>
      <c r="E4496" s="19" t="s">
        <v>36</v>
      </c>
      <c r="F4496" s="19" t="s">
        <v>36</v>
      </c>
      <c r="G4496" s="15" t="s">
        <v>36</v>
      </c>
      <c r="H4496" s="14">
        <v>124.63</v>
      </c>
      <c r="I4496" s="18">
        <v>31.85</v>
      </c>
      <c r="J4496" s="12" t="s">
        <v>521</v>
      </c>
      <c r="K4496" s="13" t="s">
        <v>36</v>
      </c>
      <c r="L4496" s="15" t="s">
        <v>36</v>
      </c>
      <c r="M4496" s="12" t="s">
        <v>36</v>
      </c>
      <c r="N4496" s="12" t="s">
        <v>36</v>
      </c>
      <c r="O4496" s="17" t="s">
        <v>36</v>
      </c>
      <c r="P4496" s="12" t="s">
        <v>36</v>
      </c>
      <c r="Q4496" s="12" t="s">
        <v>36</v>
      </c>
      <c r="R4496" s="12" t="s">
        <v>36</v>
      </c>
      <c r="S4496" s="12" t="s">
        <v>36</v>
      </c>
      <c r="T4496" s="12" t="s">
        <v>22034</v>
      </c>
      <c r="U4496" s="12" t="s">
        <v>833</v>
      </c>
      <c r="V4496" s="12" t="s">
        <v>64</v>
      </c>
      <c r="W4496" s="12" t="s">
        <v>22035</v>
      </c>
      <c r="X4496" s="16" t="s">
        <v>22036</v>
      </c>
      <c r="Y4496" s="15" t="s">
        <v>42</v>
      </c>
      <c r="Z4496" s="14">
        <v>0.63</v>
      </c>
      <c r="AA4496" s="14">
        <v>1.99</v>
      </c>
      <c r="AB4496" s="12" t="s">
        <v>43</v>
      </c>
      <c r="AC4496" s="12" t="s">
        <v>22037</v>
      </c>
      <c r="AD4496" s="13">
        <v>43657</v>
      </c>
      <c r="AE4496" s="12" t="s">
        <v>1069</v>
      </c>
      <c r="AF4496" s="12" t="s">
        <v>22038</v>
      </c>
      <c r="AG4496" s="12" t="s">
        <v>47</v>
      </c>
      <c r="AH4496" s="1">
        <f>HYPERLINK("https://my.pitchbook.com?c=156428-20T","View Company Online")</f>
      </c>
    </row>
    <row r="4497">
      <c r="A4497" s="3" t="s">
        <v>22039</v>
      </c>
      <c r="B4497" s="3" t="s">
        <v>22040</v>
      </c>
      <c r="C4497" s="5" t="s">
        <v>36</v>
      </c>
      <c r="D4497" s="5" t="s">
        <v>36</v>
      </c>
      <c r="E4497" s="5" t="s">
        <v>36</v>
      </c>
      <c r="F4497" s="5" t="s">
        <v>36</v>
      </c>
      <c r="G4497" s="6" t="s">
        <v>36</v>
      </c>
      <c r="H4497" s="4">
        <v>68.96</v>
      </c>
      <c r="I4497" s="7">
        <v>36.42</v>
      </c>
      <c r="J4497" s="3" t="s">
        <v>521</v>
      </c>
      <c r="K4497" s="9" t="s">
        <v>36</v>
      </c>
      <c r="L4497" s="6" t="s">
        <v>122</v>
      </c>
      <c r="M4497" s="3" t="s">
        <v>36</v>
      </c>
      <c r="N4497" s="3" t="s">
        <v>122</v>
      </c>
      <c r="O4497" s="8" t="s">
        <v>36</v>
      </c>
      <c r="P4497" s="3" t="s">
        <v>36</v>
      </c>
      <c r="Q4497" s="3" t="s">
        <v>36</v>
      </c>
      <c r="R4497" s="3" t="s">
        <v>36</v>
      </c>
      <c r="S4497" s="3" t="s">
        <v>36</v>
      </c>
      <c r="T4497" s="3" t="s">
        <v>172</v>
      </c>
      <c r="U4497" s="3" t="s">
        <v>38</v>
      </c>
      <c r="V4497" s="3" t="s">
        <v>39</v>
      </c>
      <c r="W4497" s="3" t="s">
        <v>22041</v>
      </c>
      <c r="X4497" s="10" t="s">
        <v>22042</v>
      </c>
      <c r="Y4497" s="6" t="s">
        <v>108</v>
      </c>
      <c r="Z4497" s="4">
        <v>2.26</v>
      </c>
      <c r="AA4497" s="4">
        <v>3.1</v>
      </c>
      <c r="AB4497" s="3" t="s">
        <v>43</v>
      </c>
      <c r="AC4497" s="3" t="s">
        <v>22043</v>
      </c>
      <c r="AD4497" s="9">
        <v>43657</v>
      </c>
      <c r="AE4497" s="3" t="s">
        <v>110</v>
      </c>
      <c r="AF4497" s="3" t="s">
        <v>2238</v>
      </c>
      <c r="AG4497" s="3" t="s">
        <v>186</v>
      </c>
      <c r="AH4497" s="11">
        <f>HYPERLINK("https://my.pitchbook.com?c=121385-08T","View Company Online")</f>
      </c>
    </row>
    <row r="4498">
      <c r="A4498" s="12" t="s">
        <v>22044</v>
      </c>
      <c r="B4498" s="12" t="s">
        <v>16399</v>
      </c>
      <c r="C4498" s="19" t="s">
        <v>36</v>
      </c>
      <c r="D4498" s="19" t="s">
        <v>36</v>
      </c>
      <c r="E4498" s="19" t="s">
        <v>36</v>
      </c>
      <c r="F4498" s="19" t="s">
        <v>36</v>
      </c>
      <c r="G4498" s="15" t="s">
        <v>326</v>
      </c>
      <c r="H4498" s="14">
        <v>132.07</v>
      </c>
      <c r="I4498" s="18">
        <v>25.99</v>
      </c>
      <c r="J4498" s="12" t="s">
        <v>521</v>
      </c>
      <c r="K4498" s="13" t="s">
        <v>36</v>
      </c>
      <c r="L4498" s="15" t="s">
        <v>122</v>
      </c>
      <c r="M4498" s="12" t="s">
        <v>36</v>
      </c>
      <c r="N4498" s="12" t="s">
        <v>122</v>
      </c>
      <c r="O4498" s="17" t="s">
        <v>36</v>
      </c>
      <c r="P4498" s="12" t="s">
        <v>36</v>
      </c>
      <c r="Q4498" s="12" t="s">
        <v>36</v>
      </c>
      <c r="R4498" s="12" t="s">
        <v>36</v>
      </c>
      <c r="S4498" s="12" t="s">
        <v>36</v>
      </c>
      <c r="T4498" s="12" t="s">
        <v>1560</v>
      </c>
      <c r="U4498" s="12" t="s">
        <v>438</v>
      </c>
      <c r="V4498" s="12" t="s">
        <v>405</v>
      </c>
      <c r="W4498" s="12" t="s">
        <v>16400</v>
      </c>
      <c r="X4498" s="16" t="s">
        <v>22045</v>
      </c>
      <c r="Y4498" s="15" t="s">
        <v>108</v>
      </c>
      <c r="Z4498" s="14">
        <v>6.77</v>
      </c>
      <c r="AA4498" s="14">
        <v>26.06</v>
      </c>
      <c r="AB4498" s="12" t="s">
        <v>43</v>
      </c>
      <c r="AC4498" s="12" t="s">
        <v>16402</v>
      </c>
      <c r="AD4498" s="13">
        <v>43657</v>
      </c>
      <c r="AE4498" s="12" t="s">
        <v>438</v>
      </c>
      <c r="AF4498" s="12" t="s">
        <v>215</v>
      </c>
      <c r="AG4498" s="12" t="s">
        <v>81</v>
      </c>
      <c r="AH4498" s="1">
        <f>HYPERLINK("https://my.pitchbook.com?c=120928-78T","View Company Online")</f>
      </c>
    </row>
    <row r="4499">
      <c r="A4499" s="3" t="s">
        <v>22046</v>
      </c>
      <c r="B4499" s="3" t="s">
        <v>16165</v>
      </c>
      <c r="C4499" s="5" t="s">
        <v>36</v>
      </c>
      <c r="D4499" s="5" t="s">
        <v>36</v>
      </c>
      <c r="E4499" s="5" t="s">
        <v>36</v>
      </c>
      <c r="F4499" s="5" t="s">
        <v>36</v>
      </c>
      <c r="G4499" s="6" t="s">
        <v>683</v>
      </c>
      <c r="H4499" s="4">
        <v>16.43</v>
      </c>
      <c r="I4499" s="7">
        <v>35.46</v>
      </c>
      <c r="J4499" s="3" t="s">
        <v>521</v>
      </c>
      <c r="K4499" s="9" t="s">
        <v>36</v>
      </c>
      <c r="L4499" s="6" t="s">
        <v>122</v>
      </c>
      <c r="M4499" s="3" t="s">
        <v>36</v>
      </c>
      <c r="N4499" s="3" t="s">
        <v>122</v>
      </c>
      <c r="O4499" s="8" t="s">
        <v>36</v>
      </c>
      <c r="P4499" s="3" t="s">
        <v>36</v>
      </c>
      <c r="Q4499" s="3" t="s">
        <v>36</v>
      </c>
      <c r="R4499" s="3" t="s">
        <v>36</v>
      </c>
      <c r="S4499" s="3" t="s">
        <v>36</v>
      </c>
      <c r="T4499" s="3" t="s">
        <v>1260</v>
      </c>
      <c r="U4499" s="3" t="s">
        <v>38</v>
      </c>
      <c r="V4499" s="3" t="s">
        <v>39</v>
      </c>
      <c r="W4499" s="3" t="s">
        <v>16166</v>
      </c>
      <c r="X4499" s="10" t="s">
        <v>16167</v>
      </c>
      <c r="Y4499" s="6" t="s">
        <v>55</v>
      </c>
      <c r="Z4499" s="4">
        <v>3.39</v>
      </c>
      <c r="AA4499" s="4">
        <v>6.61</v>
      </c>
      <c r="AB4499" s="3" t="s">
        <v>43</v>
      </c>
      <c r="AC4499" s="3" t="s">
        <v>16168</v>
      </c>
      <c r="AD4499" s="9">
        <v>43657</v>
      </c>
      <c r="AE4499" s="3" t="s">
        <v>110</v>
      </c>
      <c r="AF4499" s="3" t="s">
        <v>1401</v>
      </c>
      <c r="AG4499" s="3" t="s">
        <v>81</v>
      </c>
      <c r="AH4499" s="11">
        <f>HYPERLINK("https://my.pitchbook.com?c=126009-37T","View Company Online")</f>
      </c>
    </row>
    <row r="4500">
      <c r="A4500" s="12" t="s">
        <v>22047</v>
      </c>
      <c r="B4500" s="12" t="s">
        <v>13791</v>
      </c>
      <c r="C4500" s="19" t="s">
        <v>36</v>
      </c>
      <c r="D4500" s="19" t="s">
        <v>36</v>
      </c>
      <c r="E4500" s="19" t="s">
        <v>36</v>
      </c>
      <c r="F4500" s="19" t="s">
        <v>36</v>
      </c>
      <c r="G4500" s="15" t="s">
        <v>36</v>
      </c>
      <c r="H4500" s="14" t="s">
        <v>36</v>
      </c>
      <c r="I4500" s="18" t="s">
        <v>36</v>
      </c>
      <c r="J4500" s="12" t="s">
        <v>36</v>
      </c>
      <c r="K4500" s="13" t="s">
        <v>36</v>
      </c>
      <c r="L4500" s="15" t="s">
        <v>36</v>
      </c>
      <c r="M4500" s="12" t="s">
        <v>36</v>
      </c>
      <c r="N4500" s="12" t="s">
        <v>36</v>
      </c>
      <c r="O4500" s="17" t="s">
        <v>36</v>
      </c>
      <c r="P4500" s="12" t="s">
        <v>36</v>
      </c>
      <c r="Q4500" s="12" t="s">
        <v>36</v>
      </c>
      <c r="R4500" s="12" t="s">
        <v>36</v>
      </c>
      <c r="S4500" s="12" t="s">
        <v>36</v>
      </c>
      <c r="T4500" s="12" t="s">
        <v>6557</v>
      </c>
      <c r="U4500" s="12" t="s">
        <v>648</v>
      </c>
      <c r="V4500" s="12" t="s">
        <v>64</v>
      </c>
      <c r="W4500" s="12" t="s">
        <v>13792</v>
      </c>
      <c r="X4500" s="16" t="s">
        <v>1562</v>
      </c>
      <c r="Y4500" s="15" t="s">
        <v>42</v>
      </c>
      <c r="Z4500" s="14">
        <v>1.13</v>
      </c>
      <c r="AA4500" s="14" t="s">
        <v>36</v>
      </c>
      <c r="AB4500" s="12" t="s">
        <v>56</v>
      </c>
      <c r="AC4500" s="12" t="s">
        <v>13793</v>
      </c>
      <c r="AD4500" s="13">
        <v>43657</v>
      </c>
      <c r="AE4500" s="12" t="s">
        <v>1897</v>
      </c>
      <c r="AF4500" s="12" t="s">
        <v>1115</v>
      </c>
      <c r="AG4500" s="12" t="s">
        <v>2618</v>
      </c>
      <c r="AH4500" s="1">
        <f>HYPERLINK("https://my.pitchbook.com?c=187389-10T","View Company Online")</f>
      </c>
    </row>
    <row r="4501">
      <c r="A4501" s="3" t="s">
        <v>22048</v>
      </c>
      <c r="B4501" s="3" t="s">
        <v>854</v>
      </c>
      <c r="C4501" s="5" t="s">
        <v>36</v>
      </c>
      <c r="D4501" s="5" t="s">
        <v>36</v>
      </c>
      <c r="E4501" s="5" t="s">
        <v>36</v>
      </c>
      <c r="F4501" s="5" t="s">
        <v>36</v>
      </c>
      <c r="G4501" s="6" t="s">
        <v>326</v>
      </c>
      <c r="H4501" s="4">
        <v>89.36</v>
      </c>
      <c r="I4501" s="7">
        <v>24.54</v>
      </c>
      <c r="J4501" s="3" t="s">
        <v>521</v>
      </c>
      <c r="K4501" s="9" t="s">
        <v>36</v>
      </c>
      <c r="L4501" s="6" t="s">
        <v>122</v>
      </c>
      <c r="M4501" s="3" t="s">
        <v>36</v>
      </c>
      <c r="N4501" s="3" t="s">
        <v>122</v>
      </c>
      <c r="O4501" s="8" t="s">
        <v>36</v>
      </c>
      <c r="P4501" s="3" t="s">
        <v>36</v>
      </c>
      <c r="Q4501" s="3" t="s">
        <v>36</v>
      </c>
      <c r="R4501" s="3" t="s">
        <v>36</v>
      </c>
      <c r="S4501" s="3" t="s">
        <v>36</v>
      </c>
      <c r="T4501" s="3" t="s">
        <v>855</v>
      </c>
      <c r="U4501" s="3" t="s">
        <v>648</v>
      </c>
      <c r="V4501" s="3" t="s">
        <v>64</v>
      </c>
      <c r="W4501" s="3" t="s">
        <v>856</v>
      </c>
      <c r="X4501" s="10" t="s">
        <v>22049</v>
      </c>
      <c r="Y4501" s="6" t="s">
        <v>108</v>
      </c>
      <c r="Z4501" s="4">
        <v>5.08</v>
      </c>
      <c r="AA4501" s="4">
        <v>19.09</v>
      </c>
      <c r="AB4501" s="3" t="s">
        <v>43</v>
      </c>
      <c r="AC4501" s="3" t="s">
        <v>858</v>
      </c>
      <c r="AD4501" s="9">
        <v>43657</v>
      </c>
      <c r="AE4501" s="3" t="s">
        <v>651</v>
      </c>
      <c r="AF4501" s="3" t="s">
        <v>90</v>
      </c>
      <c r="AG4501" s="3" t="s">
        <v>81</v>
      </c>
      <c r="AH4501" s="11">
        <f>HYPERLINK("https://my.pitchbook.com?c=120697-57T","View Company Online")</f>
      </c>
    </row>
    <row r="4502">
      <c r="A4502" s="12" t="s">
        <v>22050</v>
      </c>
      <c r="B4502" s="12" t="s">
        <v>22051</v>
      </c>
      <c r="C4502" s="19" t="s">
        <v>36</v>
      </c>
      <c r="D4502" s="19" t="s">
        <v>36</v>
      </c>
      <c r="E4502" s="19" t="s">
        <v>36</v>
      </c>
      <c r="F4502" s="19" t="s">
        <v>36</v>
      </c>
      <c r="G4502" s="15" t="s">
        <v>326</v>
      </c>
      <c r="H4502" s="14">
        <v>118.8</v>
      </c>
      <c r="I4502" s="18">
        <v>26.22</v>
      </c>
      <c r="J4502" s="12" t="s">
        <v>521</v>
      </c>
      <c r="K4502" s="13" t="s">
        <v>36</v>
      </c>
      <c r="L4502" s="15" t="s">
        <v>36</v>
      </c>
      <c r="M4502" s="12" t="s">
        <v>36</v>
      </c>
      <c r="N4502" s="12" t="s">
        <v>36</v>
      </c>
      <c r="O4502" s="17" t="s">
        <v>36</v>
      </c>
      <c r="P4502" s="12" t="s">
        <v>36</v>
      </c>
      <c r="Q4502" s="12" t="s">
        <v>36</v>
      </c>
      <c r="R4502" s="12" t="s">
        <v>36</v>
      </c>
      <c r="S4502" s="12" t="s">
        <v>36</v>
      </c>
      <c r="T4502" s="12" t="s">
        <v>948</v>
      </c>
      <c r="U4502" s="12" t="s">
        <v>38</v>
      </c>
      <c r="V4502" s="12" t="s">
        <v>39</v>
      </c>
      <c r="W4502" s="12" t="s">
        <v>22052</v>
      </c>
      <c r="X4502" s="16" t="s">
        <v>267</v>
      </c>
      <c r="Y4502" s="15" t="s">
        <v>55</v>
      </c>
      <c r="Z4502" s="14">
        <v>1</v>
      </c>
      <c r="AA4502" s="14">
        <v>3.82</v>
      </c>
      <c r="AB4502" s="12" t="s">
        <v>43</v>
      </c>
      <c r="AC4502" s="12" t="s">
        <v>22053</v>
      </c>
      <c r="AD4502" s="13">
        <v>43657</v>
      </c>
      <c r="AE4502" s="12" t="s">
        <v>110</v>
      </c>
      <c r="AF4502" s="12" t="s">
        <v>22054</v>
      </c>
      <c r="AG4502" s="12" t="s">
        <v>81</v>
      </c>
      <c r="AH4502" s="1">
        <f>HYPERLINK("https://my.pitchbook.com?c=208425-43T","View Company Online")</f>
      </c>
    </row>
    <row r="4503">
      <c r="A4503" s="3" t="s">
        <v>22055</v>
      </c>
      <c r="B4503" s="3" t="s">
        <v>13071</v>
      </c>
      <c r="C4503" s="5" t="s">
        <v>36</v>
      </c>
      <c r="D4503" s="5" t="s">
        <v>36</v>
      </c>
      <c r="E4503" s="5" t="s">
        <v>36</v>
      </c>
      <c r="F4503" s="5" t="s">
        <v>36</v>
      </c>
      <c r="G4503" s="6" t="s">
        <v>36</v>
      </c>
      <c r="H4503" s="4">
        <v>2.11</v>
      </c>
      <c r="I4503" s="7">
        <v>27.48</v>
      </c>
      <c r="J4503" s="3" t="s">
        <v>521</v>
      </c>
      <c r="K4503" s="9" t="s">
        <v>36</v>
      </c>
      <c r="L4503" s="6" t="s">
        <v>36</v>
      </c>
      <c r="M4503" s="3" t="s">
        <v>36</v>
      </c>
      <c r="N4503" s="3" t="s">
        <v>36</v>
      </c>
      <c r="O4503" s="8" t="s">
        <v>36</v>
      </c>
      <c r="P4503" s="3" t="s">
        <v>36</v>
      </c>
      <c r="Q4503" s="3" t="s">
        <v>36</v>
      </c>
      <c r="R4503" s="3" t="s">
        <v>36</v>
      </c>
      <c r="S4503" s="3" t="s">
        <v>36</v>
      </c>
      <c r="T4503" s="3" t="s">
        <v>1838</v>
      </c>
      <c r="U4503" s="3" t="s">
        <v>38</v>
      </c>
      <c r="V4503" s="3" t="s">
        <v>39</v>
      </c>
      <c r="W4503" s="3" t="s">
        <v>13072</v>
      </c>
      <c r="X4503" s="10" t="s">
        <v>22056</v>
      </c>
      <c r="Y4503" s="6" t="s">
        <v>42</v>
      </c>
      <c r="Z4503" s="4">
        <v>2.26</v>
      </c>
      <c r="AA4503" s="4">
        <v>4.11</v>
      </c>
      <c r="AB4503" s="3" t="s">
        <v>43</v>
      </c>
      <c r="AC4503" s="3" t="s">
        <v>13074</v>
      </c>
      <c r="AD4503" s="9">
        <v>43656</v>
      </c>
      <c r="AE4503" s="3" t="s">
        <v>110</v>
      </c>
      <c r="AF4503" s="3" t="s">
        <v>3904</v>
      </c>
      <c r="AG4503" s="3" t="s">
        <v>13075</v>
      </c>
      <c r="AH4503" s="11">
        <f>HYPERLINK("https://my.pitchbook.com?c=120289-69T","View Company Online")</f>
      </c>
    </row>
    <row r="4504">
      <c r="A4504" s="12" t="s">
        <v>22057</v>
      </c>
      <c r="B4504" s="12" t="s">
        <v>22058</v>
      </c>
      <c r="C4504" s="19">
        <v>5</v>
      </c>
      <c r="D4504" s="19">
        <v>24</v>
      </c>
      <c r="E4504" s="19">
        <v>19</v>
      </c>
      <c r="F4504" s="19">
        <v>59</v>
      </c>
      <c r="G4504" s="15" t="s">
        <v>2497</v>
      </c>
      <c r="H4504" s="14">
        <v>101.59</v>
      </c>
      <c r="I4504" s="18">
        <v>24.8</v>
      </c>
      <c r="J4504" s="12" t="s">
        <v>521</v>
      </c>
      <c r="K4504" s="13" t="s">
        <v>36</v>
      </c>
      <c r="L4504" s="15" t="s">
        <v>36</v>
      </c>
      <c r="M4504" s="12" t="s">
        <v>36</v>
      </c>
      <c r="N4504" s="12" t="s">
        <v>36</v>
      </c>
      <c r="O4504" s="17" t="s">
        <v>36</v>
      </c>
      <c r="P4504" s="12" t="s">
        <v>36</v>
      </c>
      <c r="Q4504" s="12" t="s">
        <v>36</v>
      </c>
      <c r="R4504" s="12" t="s">
        <v>36</v>
      </c>
      <c r="S4504" s="12" t="s">
        <v>13873</v>
      </c>
      <c r="T4504" s="12" t="s">
        <v>588</v>
      </c>
      <c r="U4504" s="12" t="s">
        <v>318</v>
      </c>
      <c r="V4504" s="12" t="s">
        <v>39</v>
      </c>
      <c r="W4504" s="12" t="s">
        <v>22059</v>
      </c>
      <c r="X4504" s="16" t="s">
        <v>590</v>
      </c>
      <c r="Y4504" s="15" t="s">
        <v>55</v>
      </c>
      <c r="Z4504" s="14">
        <v>1.19</v>
      </c>
      <c r="AA4504" s="14">
        <v>4.8</v>
      </c>
      <c r="AB4504" s="12" t="s">
        <v>56</v>
      </c>
      <c r="AC4504" s="12" t="s">
        <v>22060</v>
      </c>
      <c r="AD4504" s="13">
        <v>43656</v>
      </c>
      <c r="AE4504" s="12" t="s">
        <v>417</v>
      </c>
      <c r="AF4504" s="12" t="s">
        <v>22061</v>
      </c>
      <c r="AG4504" s="12" t="s">
        <v>22062</v>
      </c>
      <c r="AH4504" s="1">
        <f>HYPERLINK("https://my.pitchbook.com?c=136353-70T","View Company Online")</f>
      </c>
    </row>
    <row r="4505">
      <c r="A4505" s="3" t="s">
        <v>22063</v>
      </c>
      <c r="B4505" s="3" t="s">
        <v>18967</v>
      </c>
      <c r="C4505" s="5">
        <v>45</v>
      </c>
      <c r="D4505" s="5">
        <v>100</v>
      </c>
      <c r="E4505" s="5">
        <v>45</v>
      </c>
      <c r="F4505" s="5">
        <v>163</v>
      </c>
      <c r="G4505" s="6" t="s">
        <v>2497</v>
      </c>
      <c r="H4505" s="4">
        <v>6.27</v>
      </c>
      <c r="I4505" s="7">
        <v>39.94</v>
      </c>
      <c r="J4505" s="3" t="s">
        <v>521</v>
      </c>
      <c r="K4505" s="9" t="s">
        <v>36</v>
      </c>
      <c r="L4505" s="6" t="s">
        <v>94</v>
      </c>
      <c r="M4505" s="3" t="s">
        <v>36</v>
      </c>
      <c r="N4505" s="3" t="s">
        <v>94</v>
      </c>
      <c r="O4505" s="8" t="s">
        <v>36</v>
      </c>
      <c r="P4505" s="3" t="s">
        <v>36</v>
      </c>
      <c r="Q4505" s="3" t="s">
        <v>36</v>
      </c>
      <c r="R4505" s="3" t="s">
        <v>36</v>
      </c>
      <c r="S4505" s="3" t="s">
        <v>36</v>
      </c>
      <c r="T4505" s="3" t="s">
        <v>1725</v>
      </c>
      <c r="U4505" s="3" t="s">
        <v>318</v>
      </c>
      <c r="V4505" s="3" t="s">
        <v>39</v>
      </c>
      <c r="W4505" s="3" t="s">
        <v>18968</v>
      </c>
      <c r="X4505" s="10" t="s">
        <v>22064</v>
      </c>
      <c r="Y4505" s="6" t="s">
        <v>192</v>
      </c>
      <c r="Z4505" s="4">
        <v>7</v>
      </c>
      <c r="AA4505" s="4">
        <v>17.53</v>
      </c>
      <c r="AB4505" s="3" t="s">
        <v>56</v>
      </c>
      <c r="AC4505" s="3" t="s">
        <v>18970</v>
      </c>
      <c r="AD4505" s="9">
        <v>43655</v>
      </c>
      <c r="AE4505" s="3" t="s">
        <v>763</v>
      </c>
      <c r="AF4505" s="3" t="s">
        <v>111</v>
      </c>
      <c r="AG4505" s="3" t="s">
        <v>969</v>
      </c>
      <c r="AH4505" s="11">
        <f>HYPERLINK("https://my.pitchbook.com?c=120603-79T","View Company Online")</f>
      </c>
    </row>
    <row r="4506">
      <c r="A4506" s="12" t="s">
        <v>22065</v>
      </c>
      <c r="B4506" s="12" t="s">
        <v>8603</v>
      </c>
      <c r="C4506" s="19" t="s">
        <v>36</v>
      </c>
      <c r="D4506" s="19" t="s">
        <v>36</v>
      </c>
      <c r="E4506" s="19" t="s">
        <v>36</v>
      </c>
      <c r="F4506" s="19" t="s">
        <v>36</v>
      </c>
      <c r="G4506" s="15" t="s">
        <v>36</v>
      </c>
      <c r="H4506" s="14">
        <v>106.77</v>
      </c>
      <c r="I4506" s="18">
        <v>27.91</v>
      </c>
      <c r="J4506" s="12" t="s">
        <v>521</v>
      </c>
      <c r="K4506" s="13" t="s">
        <v>36</v>
      </c>
      <c r="L4506" s="15" t="s">
        <v>122</v>
      </c>
      <c r="M4506" s="12" t="s">
        <v>36</v>
      </c>
      <c r="N4506" s="12" t="s">
        <v>122</v>
      </c>
      <c r="O4506" s="17" t="s">
        <v>36</v>
      </c>
      <c r="P4506" s="12" t="s">
        <v>36</v>
      </c>
      <c r="Q4506" s="12" t="s">
        <v>36</v>
      </c>
      <c r="R4506" s="12" t="s">
        <v>36</v>
      </c>
      <c r="S4506" s="12" t="s">
        <v>36</v>
      </c>
      <c r="T4506" s="12" t="s">
        <v>8604</v>
      </c>
      <c r="U4506" s="12" t="s">
        <v>74</v>
      </c>
      <c r="V4506" s="12" t="s">
        <v>75</v>
      </c>
      <c r="W4506" s="12" t="s">
        <v>8605</v>
      </c>
      <c r="X4506" s="16" t="s">
        <v>22066</v>
      </c>
      <c r="Y4506" s="15" t="s">
        <v>108</v>
      </c>
      <c r="Z4506" s="14">
        <v>6.78</v>
      </c>
      <c r="AA4506" s="14">
        <v>16.19</v>
      </c>
      <c r="AB4506" s="12" t="s">
        <v>43</v>
      </c>
      <c r="AC4506" s="12" t="s">
        <v>8606</v>
      </c>
      <c r="AD4506" s="13">
        <v>43655</v>
      </c>
      <c r="AE4506" s="12" t="s">
        <v>2237</v>
      </c>
      <c r="AF4506" s="12" t="s">
        <v>8607</v>
      </c>
      <c r="AG4506" s="12" t="s">
        <v>81</v>
      </c>
      <c r="AH4506" s="1">
        <f>HYPERLINK("https://my.pitchbook.com?c=120609-10T","View Company Online")</f>
      </c>
    </row>
    <row r="4507">
      <c r="A4507" s="3" t="s">
        <v>22067</v>
      </c>
      <c r="B4507" s="3" t="s">
        <v>9903</v>
      </c>
      <c r="C4507" s="5">
        <v>12</v>
      </c>
      <c r="D4507" s="5">
        <v>33</v>
      </c>
      <c r="E4507" s="5">
        <v>15</v>
      </c>
      <c r="F4507" s="5">
        <v>47</v>
      </c>
      <c r="G4507" s="6" t="s">
        <v>36</v>
      </c>
      <c r="H4507" s="4">
        <v>7.82</v>
      </c>
      <c r="I4507" s="7">
        <v>84.39</v>
      </c>
      <c r="J4507" s="3" t="s">
        <v>521</v>
      </c>
      <c r="K4507" s="9" t="s">
        <v>36</v>
      </c>
      <c r="L4507" s="6" t="s">
        <v>122</v>
      </c>
      <c r="M4507" s="3" t="s">
        <v>36</v>
      </c>
      <c r="N4507" s="3" t="s">
        <v>122</v>
      </c>
      <c r="O4507" s="8" t="s">
        <v>36</v>
      </c>
      <c r="P4507" s="3" t="s">
        <v>36</v>
      </c>
      <c r="Q4507" s="3" t="s">
        <v>36</v>
      </c>
      <c r="R4507" s="3" t="s">
        <v>36</v>
      </c>
      <c r="S4507" s="3" t="s">
        <v>36</v>
      </c>
      <c r="T4507" s="3" t="s">
        <v>9904</v>
      </c>
      <c r="U4507" s="3" t="s">
        <v>51</v>
      </c>
      <c r="V4507" s="3" t="s">
        <v>52</v>
      </c>
      <c r="W4507" s="3" t="s">
        <v>9905</v>
      </c>
      <c r="X4507" s="10" t="s">
        <v>22068</v>
      </c>
      <c r="Y4507" s="6" t="s">
        <v>55</v>
      </c>
      <c r="Z4507" s="4">
        <v>32.24</v>
      </c>
      <c r="AA4507" s="4">
        <v>38.2</v>
      </c>
      <c r="AB4507" s="3" t="s">
        <v>56</v>
      </c>
      <c r="AC4507" s="3" t="s">
        <v>9907</v>
      </c>
      <c r="AD4507" s="9">
        <v>43655</v>
      </c>
      <c r="AE4507" s="3" t="s">
        <v>158</v>
      </c>
      <c r="AF4507" s="3" t="s">
        <v>9908</v>
      </c>
      <c r="AG4507" s="3" t="s">
        <v>9909</v>
      </c>
      <c r="AH4507" s="11">
        <f>HYPERLINK("https://my.pitchbook.com?c=120644-92T","View Company Online")</f>
      </c>
    </row>
    <row r="4508">
      <c r="A4508" s="12" t="s">
        <v>22069</v>
      </c>
      <c r="B4508" s="12" t="s">
        <v>7173</v>
      </c>
      <c r="C4508" s="19" t="s">
        <v>36</v>
      </c>
      <c r="D4508" s="19" t="s">
        <v>36</v>
      </c>
      <c r="E4508" s="19" t="s">
        <v>36</v>
      </c>
      <c r="F4508" s="19" t="s">
        <v>36</v>
      </c>
      <c r="G4508" s="15" t="s">
        <v>36</v>
      </c>
      <c r="H4508" s="14" t="s">
        <v>36</v>
      </c>
      <c r="I4508" s="18" t="s">
        <v>36</v>
      </c>
      <c r="J4508" s="12" t="s">
        <v>36</v>
      </c>
      <c r="K4508" s="13" t="s">
        <v>36</v>
      </c>
      <c r="L4508" s="15" t="s">
        <v>36</v>
      </c>
      <c r="M4508" s="12" t="s">
        <v>36</v>
      </c>
      <c r="N4508" s="12" t="s">
        <v>36</v>
      </c>
      <c r="O4508" s="17" t="s">
        <v>36</v>
      </c>
      <c r="P4508" s="12" t="s">
        <v>36</v>
      </c>
      <c r="Q4508" s="12" t="s">
        <v>36</v>
      </c>
      <c r="R4508" s="12" t="s">
        <v>36</v>
      </c>
      <c r="S4508" s="12" t="s">
        <v>36</v>
      </c>
      <c r="T4508" s="12" t="s">
        <v>550</v>
      </c>
      <c r="U4508" s="12" t="s">
        <v>38</v>
      </c>
      <c r="V4508" s="12" t="s">
        <v>39</v>
      </c>
      <c r="W4508" s="12" t="s">
        <v>7174</v>
      </c>
      <c r="X4508" s="16" t="s">
        <v>22070</v>
      </c>
      <c r="Y4508" s="15" t="s">
        <v>42</v>
      </c>
      <c r="Z4508" s="14">
        <v>1.41</v>
      </c>
      <c r="AA4508" s="14" t="s">
        <v>36</v>
      </c>
      <c r="AB4508" s="12" t="s">
        <v>43</v>
      </c>
      <c r="AC4508" s="12" t="s">
        <v>7176</v>
      </c>
      <c r="AD4508" s="13">
        <v>43655</v>
      </c>
      <c r="AE4508" s="12" t="s">
        <v>554</v>
      </c>
      <c r="AF4508" s="12" t="s">
        <v>7177</v>
      </c>
      <c r="AG4508" s="12" t="s">
        <v>47</v>
      </c>
      <c r="AH4508" s="1">
        <f>HYPERLINK("https://my.pitchbook.com?c=181470-16T","View Company Online")</f>
      </c>
    </row>
    <row r="4509">
      <c r="A4509" s="3" t="s">
        <v>22071</v>
      </c>
      <c r="B4509" s="3" t="s">
        <v>22072</v>
      </c>
      <c r="C4509" s="5" t="s">
        <v>36</v>
      </c>
      <c r="D4509" s="5" t="s">
        <v>36</v>
      </c>
      <c r="E4509" s="5" t="s">
        <v>36</v>
      </c>
      <c r="F4509" s="5" t="s">
        <v>36</v>
      </c>
      <c r="G4509" s="6" t="s">
        <v>326</v>
      </c>
      <c r="H4509" s="4">
        <v>0.64</v>
      </c>
      <c r="I4509" s="7">
        <v>38.97</v>
      </c>
      <c r="J4509" s="3" t="s">
        <v>521</v>
      </c>
      <c r="K4509" s="9" t="s">
        <v>36</v>
      </c>
      <c r="L4509" s="6" t="s">
        <v>94</v>
      </c>
      <c r="M4509" s="3" t="s">
        <v>36</v>
      </c>
      <c r="N4509" s="3" t="s">
        <v>94</v>
      </c>
      <c r="O4509" s="8" t="s">
        <v>36</v>
      </c>
      <c r="P4509" s="3" t="s">
        <v>36</v>
      </c>
      <c r="Q4509" s="3" t="s">
        <v>36</v>
      </c>
      <c r="R4509" s="3" t="s">
        <v>36</v>
      </c>
      <c r="S4509" s="3" t="s">
        <v>36</v>
      </c>
      <c r="T4509" s="3" t="s">
        <v>197</v>
      </c>
      <c r="U4509" s="3" t="s">
        <v>38</v>
      </c>
      <c r="V4509" s="3" t="s">
        <v>39</v>
      </c>
      <c r="W4509" s="3" t="s">
        <v>22073</v>
      </c>
      <c r="X4509" s="10" t="s">
        <v>22074</v>
      </c>
      <c r="Y4509" s="6" t="s">
        <v>55</v>
      </c>
      <c r="Z4509" s="4">
        <v>23.17</v>
      </c>
      <c r="AA4509" s="4">
        <v>49.47</v>
      </c>
      <c r="AB4509" s="3" t="s">
        <v>56</v>
      </c>
      <c r="AC4509" s="3" t="s">
        <v>22075</v>
      </c>
      <c r="AD4509" s="9">
        <v>43655</v>
      </c>
      <c r="AE4509" s="3" t="s">
        <v>110</v>
      </c>
      <c r="AF4509" s="3" t="s">
        <v>526</v>
      </c>
      <c r="AG4509" s="3" t="s">
        <v>81</v>
      </c>
      <c r="AH4509" s="11">
        <f>HYPERLINK("https://my.pitchbook.com?c=120622-78T","View Company Online")</f>
      </c>
    </row>
    <row r="4510">
      <c r="A4510" s="12" t="s">
        <v>22076</v>
      </c>
      <c r="B4510" s="12" t="s">
        <v>16265</v>
      </c>
      <c r="C4510" s="19" t="s">
        <v>36</v>
      </c>
      <c r="D4510" s="19" t="s">
        <v>36</v>
      </c>
      <c r="E4510" s="19" t="s">
        <v>36</v>
      </c>
      <c r="F4510" s="19" t="s">
        <v>36</v>
      </c>
      <c r="G4510" s="15" t="s">
        <v>326</v>
      </c>
      <c r="H4510" s="14">
        <v>97.63</v>
      </c>
      <c r="I4510" s="18">
        <v>33.36</v>
      </c>
      <c r="J4510" s="12" t="s">
        <v>521</v>
      </c>
      <c r="K4510" s="13" t="s">
        <v>36</v>
      </c>
      <c r="L4510" s="15" t="s">
        <v>36</v>
      </c>
      <c r="M4510" s="12" t="s">
        <v>36</v>
      </c>
      <c r="N4510" s="12" t="s">
        <v>36</v>
      </c>
      <c r="O4510" s="17" t="s">
        <v>36</v>
      </c>
      <c r="P4510" s="12" t="s">
        <v>36</v>
      </c>
      <c r="Q4510" s="12" t="s">
        <v>36</v>
      </c>
      <c r="R4510" s="12" t="s">
        <v>36</v>
      </c>
      <c r="S4510" s="12" t="s">
        <v>36</v>
      </c>
      <c r="T4510" s="12" t="s">
        <v>16266</v>
      </c>
      <c r="U4510" s="12" t="s">
        <v>423</v>
      </c>
      <c r="V4510" s="12" t="s">
        <v>64</v>
      </c>
      <c r="W4510" s="12" t="s">
        <v>16267</v>
      </c>
      <c r="X4510" s="16" t="s">
        <v>22077</v>
      </c>
      <c r="Y4510" s="15" t="s">
        <v>108</v>
      </c>
      <c r="Z4510" s="14">
        <v>2.6</v>
      </c>
      <c r="AA4510" s="14">
        <v>5.08</v>
      </c>
      <c r="AB4510" s="12" t="s">
        <v>43</v>
      </c>
      <c r="AC4510" s="12" t="s">
        <v>16269</v>
      </c>
      <c r="AD4510" s="13">
        <v>43655</v>
      </c>
      <c r="AE4510" s="12" t="s">
        <v>562</v>
      </c>
      <c r="AF4510" s="12" t="s">
        <v>16270</v>
      </c>
      <c r="AG4510" s="12" t="s">
        <v>16271</v>
      </c>
      <c r="AH4510" s="1">
        <f>HYPERLINK("https://my.pitchbook.com?c=132612-58T","View Company Online")</f>
      </c>
    </row>
    <row r="4511">
      <c r="A4511" s="3" t="s">
        <v>22078</v>
      </c>
      <c r="B4511" s="3" t="s">
        <v>22079</v>
      </c>
      <c r="C4511" s="5" t="s">
        <v>36</v>
      </c>
      <c r="D4511" s="5" t="s">
        <v>36</v>
      </c>
      <c r="E4511" s="5" t="s">
        <v>36</v>
      </c>
      <c r="F4511" s="5" t="s">
        <v>36</v>
      </c>
      <c r="G4511" s="6" t="s">
        <v>36</v>
      </c>
      <c r="H4511" s="4">
        <v>8.88</v>
      </c>
      <c r="I4511" s="7">
        <v>56.35</v>
      </c>
      <c r="J4511" s="3" t="s">
        <v>521</v>
      </c>
      <c r="K4511" s="9" t="s">
        <v>36</v>
      </c>
      <c r="L4511" s="6" t="s">
        <v>36</v>
      </c>
      <c r="M4511" s="3" t="s">
        <v>36</v>
      </c>
      <c r="N4511" s="3" t="s">
        <v>36</v>
      </c>
      <c r="O4511" s="8" t="s">
        <v>36</v>
      </c>
      <c r="P4511" s="3" t="s">
        <v>36</v>
      </c>
      <c r="Q4511" s="3" t="s">
        <v>36</v>
      </c>
      <c r="R4511" s="3" t="s">
        <v>36</v>
      </c>
      <c r="S4511" s="3" t="s">
        <v>36</v>
      </c>
      <c r="T4511" s="3" t="s">
        <v>1299</v>
      </c>
      <c r="U4511" s="3" t="s">
        <v>38</v>
      </c>
      <c r="V4511" s="3" t="s">
        <v>39</v>
      </c>
      <c r="W4511" s="3" t="s">
        <v>22080</v>
      </c>
      <c r="X4511" s="10" t="s">
        <v>22081</v>
      </c>
      <c r="Y4511" s="6" t="s">
        <v>42</v>
      </c>
      <c r="Z4511" s="4">
        <v>2.82</v>
      </c>
      <c r="AA4511" s="4">
        <v>3.11</v>
      </c>
      <c r="AB4511" s="3" t="s">
        <v>56</v>
      </c>
      <c r="AC4511" s="3" t="s">
        <v>22082</v>
      </c>
      <c r="AD4511" s="9">
        <v>43654</v>
      </c>
      <c r="AE4511" s="3" t="s">
        <v>110</v>
      </c>
      <c r="AF4511" s="3" t="s">
        <v>19996</v>
      </c>
      <c r="AG4511" s="3" t="s">
        <v>81</v>
      </c>
      <c r="AH4511" s="11">
        <f>HYPERLINK("https://my.pitchbook.com?c=121047-40T","View Company Online")</f>
      </c>
    </row>
    <row r="4512">
      <c r="A4512" s="12" t="s">
        <v>22083</v>
      </c>
      <c r="B4512" s="12" t="s">
        <v>22084</v>
      </c>
      <c r="C4512" s="19" t="s">
        <v>36</v>
      </c>
      <c r="D4512" s="19" t="s">
        <v>36</v>
      </c>
      <c r="E4512" s="19" t="s">
        <v>36</v>
      </c>
      <c r="F4512" s="19" t="s">
        <v>36</v>
      </c>
      <c r="G4512" s="15" t="s">
        <v>36</v>
      </c>
      <c r="H4512" s="14">
        <v>60.03</v>
      </c>
      <c r="I4512" s="18">
        <v>8.81</v>
      </c>
      <c r="J4512" s="12" t="s">
        <v>521</v>
      </c>
      <c r="K4512" s="13" t="s">
        <v>36</v>
      </c>
      <c r="L4512" s="15" t="s">
        <v>36</v>
      </c>
      <c r="M4512" s="12" t="s">
        <v>36</v>
      </c>
      <c r="N4512" s="12" t="s">
        <v>36</v>
      </c>
      <c r="O4512" s="17" t="s">
        <v>36</v>
      </c>
      <c r="P4512" s="12" t="s">
        <v>36</v>
      </c>
      <c r="Q4512" s="12" t="s">
        <v>36</v>
      </c>
      <c r="R4512" s="12" t="s">
        <v>36</v>
      </c>
      <c r="S4512" s="12" t="s">
        <v>36</v>
      </c>
      <c r="T4512" s="12" t="s">
        <v>2285</v>
      </c>
      <c r="U4512" s="12" t="s">
        <v>38</v>
      </c>
      <c r="V4512" s="12" t="s">
        <v>39</v>
      </c>
      <c r="W4512" s="12" t="s">
        <v>22085</v>
      </c>
      <c r="X4512" s="16" t="s">
        <v>4852</v>
      </c>
      <c r="Y4512" s="15" t="s">
        <v>42</v>
      </c>
      <c r="Z4512" s="14">
        <v>0.2</v>
      </c>
      <c r="AA4512" s="14">
        <v>2.28</v>
      </c>
      <c r="AB4512" s="12" t="s">
        <v>43</v>
      </c>
      <c r="AC4512" s="12" t="s">
        <v>22086</v>
      </c>
      <c r="AD4512" s="13">
        <v>43652</v>
      </c>
      <c r="AE4512" s="12" t="s">
        <v>110</v>
      </c>
      <c r="AF4512" s="12" t="s">
        <v>22087</v>
      </c>
      <c r="AG4512" s="12" t="s">
        <v>8821</v>
      </c>
      <c r="AH4512" s="1">
        <f>HYPERLINK("https://my.pitchbook.com?c=232464-61T","View Company Online")</f>
      </c>
    </row>
    <row r="4513">
      <c r="A4513" s="3" t="s">
        <v>22088</v>
      </c>
      <c r="B4513" s="3" t="s">
        <v>22089</v>
      </c>
      <c r="C4513" s="5" t="s">
        <v>36</v>
      </c>
      <c r="D4513" s="5" t="s">
        <v>36</v>
      </c>
      <c r="E4513" s="5" t="s">
        <v>36</v>
      </c>
      <c r="F4513" s="5" t="s">
        <v>36</v>
      </c>
      <c r="G4513" s="6" t="s">
        <v>36</v>
      </c>
      <c r="H4513" s="4" t="s">
        <v>36</v>
      </c>
      <c r="I4513" s="7" t="s">
        <v>36</v>
      </c>
      <c r="J4513" s="3" t="s">
        <v>36</v>
      </c>
      <c r="K4513" s="9" t="s">
        <v>36</v>
      </c>
      <c r="L4513" s="6" t="s">
        <v>36</v>
      </c>
      <c r="M4513" s="3" t="s">
        <v>36</v>
      </c>
      <c r="N4513" s="3" t="s">
        <v>36</v>
      </c>
      <c r="O4513" s="8" t="s">
        <v>36</v>
      </c>
      <c r="P4513" s="3" t="s">
        <v>36</v>
      </c>
      <c r="Q4513" s="3" t="s">
        <v>36</v>
      </c>
      <c r="R4513" s="3" t="s">
        <v>36</v>
      </c>
      <c r="S4513" s="3" t="s">
        <v>36</v>
      </c>
      <c r="T4513" s="3" t="s">
        <v>62</v>
      </c>
      <c r="U4513" s="3" t="s">
        <v>63</v>
      </c>
      <c r="V4513" s="3" t="s">
        <v>64</v>
      </c>
      <c r="W4513" s="3" t="s">
        <v>22090</v>
      </c>
      <c r="X4513" s="10" t="s">
        <v>22091</v>
      </c>
      <c r="Y4513" s="6" t="s">
        <v>42</v>
      </c>
      <c r="Z4513" s="4">
        <v>0.56</v>
      </c>
      <c r="AA4513" s="4" t="s">
        <v>36</v>
      </c>
      <c r="AB4513" s="3" t="s">
        <v>43</v>
      </c>
      <c r="AC4513" s="3" t="s">
        <v>22092</v>
      </c>
      <c r="AD4513" s="9">
        <v>43651</v>
      </c>
      <c r="AE4513" s="3" t="s">
        <v>68</v>
      </c>
      <c r="AF4513" s="3" t="s">
        <v>118</v>
      </c>
      <c r="AG4513" s="3" t="s">
        <v>81</v>
      </c>
      <c r="AH4513" s="11">
        <f>HYPERLINK("https://my.pitchbook.com?c=120288-88T","View Company Online")</f>
      </c>
    </row>
    <row r="4514">
      <c r="A4514" s="12" t="s">
        <v>22093</v>
      </c>
      <c r="B4514" s="12" t="s">
        <v>22094</v>
      </c>
      <c r="C4514" s="19" t="s">
        <v>36</v>
      </c>
      <c r="D4514" s="19" t="s">
        <v>36</v>
      </c>
      <c r="E4514" s="19" t="s">
        <v>36</v>
      </c>
      <c r="F4514" s="19" t="s">
        <v>36</v>
      </c>
      <c r="G4514" s="15" t="s">
        <v>326</v>
      </c>
      <c r="H4514" s="14">
        <v>174</v>
      </c>
      <c r="I4514" s="18">
        <v>21.41</v>
      </c>
      <c r="J4514" s="12" t="s">
        <v>521</v>
      </c>
      <c r="K4514" s="13" t="s">
        <v>36</v>
      </c>
      <c r="L4514" s="15" t="s">
        <v>36</v>
      </c>
      <c r="M4514" s="12" t="s">
        <v>36</v>
      </c>
      <c r="N4514" s="12" t="s">
        <v>36</v>
      </c>
      <c r="O4514" s="17" t="s">
        <v>36</v>
      </c>
      <c r="P4514" s="12" t="s">
        <v>36</v>
      </c>
      <c r="Q4514" s="12" t="s">
        <v>36</v>
      </c>
      <c r="R4514" s="12" t="s">
        <v>36</v>
      </c>
      <c r="S4514" s="12" t="s">
        <v>36</v>
      </c>
      <c r="T4514" s="12" t="s">
        <v>948</v>
      </c>
      <c r="U4514" s="12" t="s">
        <v>38</v>
      </c>
      <c r="V4514" s="12" t="s">
        <v>39</v>
      </c>
      <c r="W4514" s="12" t="s">
        <v>22095</v>
      </c>
      <c r="X4514" s="16" t="s">
        <v>22096</v>
      </c>
      <c r="Y4514" s="15" t="s">
        <v>108</v>
      </c>
      <c r="Z4514" s="14">
        <v>1.36</v>
      </c>
      <c r="AA4514" s="14">
        <v>5.2</v>
      </c>
      <c r="AB4514" s="12" t="s">
        <v>56</v>
      </c>
      <c r="AC4514" s="12" t="s">
        <v>22097</v>
      </c>
      <c r="AD4514" s="13">
        <v>43651</v>
      </c>
      <c r="AE4514" s="12" t="s">
        <v>110</v>
      </c>
      <c r="AF4514" s="12" t="s">
        <v>22098</v>
      </c>
      <c r="AG4514" s="12" t="s">
        <v>81</v>
      </c>
      <c r="AH4514" s="1">
        <f>HYPERLINK("https://my.pitchbook.com?c=202442-23T","View Company Online")</f>
      </c>
    </row>
    <row r="4515">
      <c r="A4515" s="3" t="s">
        <v>22099</v>
      </c>
      <c r="B4515" s="3" t="s">
        <v>22100</v>
      </c>
      <c r="C4515" s="5" t="s">
        <v>36</v>
      </c>
      <c r="D4515" s="5">
        <v>2</v>
      </c>
      <c r="E4515" s="5">
        <v>1</v>
      </c>
      <c r="F4515" s="5">
        <v>3</v>
      </c>
      <c r="G4515" s="6" t="s">
        <v>326</v>
      </c>
      <c r="H4515" s="4">
        <v>22.85</v>
      </c>
      <c r="I4515" s="7">
        <v>19.48</v>
      </c>
      <c r="J4515" s="3" t="s">
        <v>521</v>
      </c>
      <c r="K4515" s="9" t="s">
        <v>36</v>
      </c>
      <c r="L4515" s="6" t="s">
        <v>36</v>
      </c>
      <c r="M4515" s="3" t="s">
        <v>36</v>
      </c>
      <c r="N4515" s="3" t="s">
        <v>36</v>
      </c>
      <c r="O4515" s="8" t="s">
        <v>36</v>
      </c>
      <c r="P4515" s="3" t="s">
        <v>36</v>
      </c>
      <c r="Q4515" s="3" t="s">
        <v>36</v>
      </c>
      <c r="R4515" s="3" t="s">
        <v>36</v>
      </c>
      <c r="S4515" s="3" t="s">
        <v>36</v>
      </c>
      <c r="T4515" s="3" t="s">
        <v>1260</v>
      </c>
      <c r="U4515" s="3" t="s">
        <v>38</v>
      </c>
      <c r="V4515" s="3" t="s">
        <v>39</v>
      </c>
      <c r="W4515" s="3" t="s">
        <v>22101</v>
      </c>
      <c r="X4515" s="10" t="s">
        <v>22102</v>
      </c>
      <c r="Y4515" s="6" t="s">
        <v>108</v>
      </c>
      <c r="Z4515" s="4">
        <v>2.26</v>
      </c>
      <c r="AA4515" s="4">
        <v>11.6</v>
      </c>
      <c r="AB4515" s="3" t="s">
        <v>56</v>
      </c>
      <c r="AC4515" s="3" t="s">
        <v>22103</v>
      </c>
      <c r="AD4515" s="9">
        <v>43650</v>
      </c>
      <c r="AE4515" s="3" t="s">
        <v>110</v>
      </c>
      <c r="AF4515" s="3" t="s">
        <v>22104</v>
      </c>
      <c r="AG4515" s="3" t="s">
        <v>81</v>
      </c>
      <c r="AH4515" s="11">
        <f>HYPERLINK("https://my.pitchbook.com?c=133327-99T","View Company Online")</f>
      </c>
    </row>
    <row r="4516">
      <c r="A4516" s="12" t="s">
        <v>22105</v>
      </c>
      <c r="B4516" s="12" t="s">
        <v>6485</v>
      </c>
      <c r="C4516" s="19" t="s">
        <v>36</v>
      </c>
      <c r="D4516" s="19" t="s">
        <v>36</v>
      </c>
      <c r="E4516" s="19" t="s">
        <v>36</v>
      </c>
      <c r="F4516" s="19" t="s">
        <v>36</v>
      </c>
      <c r="G4516" s="15" t="s">
        <v>326</v>
      </c>
      <c r="H4516" s="14">
        <v>462.16</v>
      </c>
      <c r="I4516" s="18">
        <v>39.64</v>
      </c>
      <c r="J4516" s="12" t="s">
        <v>521</v>
      </c>
      <c r="K4516" s="13" t="s">
        <v>36</v>
      </c>
      <c r="L4516" s="15" t="s">
        <v>122</v>
      </c>
      <c r="M4516" s="12" t="s">
        <v>36</v>
      </c>
      <c r="N4516" s="12" t="s">
        <v>122</v>
      </c>
      <c r="O4516" s="17" t="s">
        <v>36</v>
      </c>
      <c r="P4516" s="12" t="s">
        <v>36</v>
      </c>
      <c r="Q4516" s="12" t="s">
        <v>36</v>
      </c>
      <c r="R4516" s="12" t="s">
        <v>36</v>
      </c>
      <c r="S4516" s="12" t="s">
        <v>36</v>
      </c>
      <c r="T4516" s="12" t="s">
        <v>105</v>
      </c>
      <c r="U4516" s="12" t="s">
        <v>38</v>
      </c>
      <c r="V4516" s="12" t="s">
        <v>39</v>
      </c>
      <c r="W4516" s="12" t="s">
        <v>6486</v>
      </c>
      <c r="X4516" s="16" t="s">
        <v>22106</v>
      </c>
      <c r="Y4516" s="15" t="s">
        <v>55</v>
      </c>
      <c r="Z4516" s="14">
        <v>11.3</v>
      </c>
      <c r="AA4516" s="14">
        <v>18.27</v>
      </c>
      <c r="AB4516" s="12" t="s">
        <v>56</v>
      </c>
      <c r="AC4516" s="12" t="s">
        <v>6487</v>
      </c>
      <c r="AD4516" s="13">
        <v>43650</v>
      </c>
      <c r="AE4516" s="12" t="s">
        <v>110</v>
      </c>
      <c r="AF4516" s="12" t="s">
        <v>6488</v>
      </c>
      <c r="AG4516" s="12" t="s">
        <v>81</v>
      </c>
      <c r="AH4516" s="1">
        <f>HYPERLINK("https://my.pitchbook.com?c=136959-22T","View Company Online")</f>
      </c>
    </row>
    <row r="4517">
      <c r="A4517" s="3" t="s">
        <v>22107</v>
      </c>
      <c r="B4517" s="3" t="s">
        <v>22108</v>
      </c>
      <c r="C4517" s="5" t="s">
        <v>36</v>
      </c>
      <c r="D4517" s="5" t="s">
        <v>36</v>
      </c>
      <c r="E4517" s="5" t="s">
        <v>36</v>
      </c>
      <c r="F4517" s="5" t="s">
        <v>36</v>
      </c>
      <c r="G4517" s="6" t="s">
        <v>36</v>
      </c>
      <c r="H4517" s="4" t="s">
        <v>36</v>
      </c>
      <c r="I4517" s="7" t="s">
        <v>36</v>
      </c>
      <c r="J4517" s="3" t="s">
        <v>36</v>
      </c>
      <c r="K4517" s="9" t="s">
        <v>36</v>
      </c>
      <c r="L4517" s="6" t="s">
        <v>122</v>
      </c>
      <c r="M4517" s="3" t="s">
        <v>36</v>
      </c>
      <c r="N4517" s="3" t="s">
        <v>122</v>
      </c>
      <c r="O4517" s="8" t="s">
        <v>36</v>
      </c>
      <c r="P4517" s="3" t="s">
        <v>36</v>
      </c>
      <c r="Q4517" s="3" t="s">
        <v>36</v>
      </c>
      <c r="R4517" s="3" t="s">
        <v>36</v>
      </c>
      <c r="S4517" s="3" t="s">
        <v>36</v>
      </c>
      <c r="T4517" s="3" t="s">
        <v>522</v>
      </c>
      <c r="U4517" s="3" t="s">
        <v>38</v>
      </c>
      <c r="V4517" s="3" t="s">
        <v>39</v>
      </c>
      <c r="W4517" s="3" t="s">
        <v>22109</v>
      </c>
      <c r="X4517" s="10" t="s">
        <v>22110</v>
      </c>
      <c r="Y4517" s="6" t="s">
        <v>55</v>
      </c>
      <c r="Z4517" s="4">
        <v>5.65</v>
      </c>
      <c r="AA4517" s="4" t="s">
        <v>36</v>
      </c>
      <c r="AB4517" s="3" t="s">
        <v>43</v>
      </c>
      <c r="AC4517" s="3" t="s">
        <v>22111</v>
      </c>
      <c r="AD4517" s="9">
        <v>43649</v>
      </c>
      <c r="AE4517" s="3" t="s">
        <v>110</v>
      </c>
      <c r="AF4517" s="3" t="s">
        <v>1077</v>
      </c>
      <c r="AG4517" s="3" t="s">
        <v>81</v>
      </c>
      <c r="AH4517" s="11">
        <f>HYPERLINK("https://my.pitchbook.com?c=136302-76T","View Company Online")</f>
      </c>
    </row>
    <row r="4518">
      <c r="A4518" s="12" t="s">
        <v>22112</v>
      </c>
      <c r="B4518" s="12" t="s">
        <v>22113</v>
      </c>
      <c r="C4518" s="19">
        <v>12</v>
      </c>
      <c r="D4518" s="19">
        <v>48</v>
      </c>
      <c r="E4518" s="19">
        <v>15</v>
      </c>
      <c r="F4518" s="19">
        <v>61</v>
      </c>
      <c r="G4518" s="15" t="s">
        <v>36</v>
      </c>
      <c r="H4518" s="14" t="s">
        <v>36</v>
      </c>
      <c r="I4518" s="18">
        <v>20</v>
      </c>
      <c r="J4518" s="12" t="s">
        <v>36</v>
      </c>
      <c r="K4518" s="13" t="s">
        <v>36</v>
      </c>
      <c r="L4518" s="15" t="s">
        <v>36</v>
      </c>
      <c r="M4518" s="12" t="s">
        <v>36</v>
      </c>
      <c r="N4518" s="12" t="s">
        <v>36</v>
      </c>
      <c r="O4518" s="17" t="s">
        <v>36</v>
      </c>
      <c r="P4518" s="12" t="s">
        <v>36</v>
      </c>
      <c r="Q4518" s="12" t="s">
        <v>36</v>
      </c>
      <c r="R4518" s="12" t="s">
        <v>36</v>
      </c>
      <c r="S4518" s="12" t="s">
        <v>36</v>
      </c>
      <c r="T4518" s="12" t="s">
        <v>22114</v>
      </c>
      <c r="U4518" s="12" t="s">
        <v>1580</v>
      </c>
      <c r="V4518" s="12" t="s">
        <v>39</v>
      </c>
      <c r="W4518" s="12" t="s">
        <v>22115</v>
      </c>
      <c r="X4518" s="16" t="s">
        <v>22116</v>
      </c>
      <c r="Y4518" s="15" t="s">
        <v>108</v>
      </c>
      <c r="Z4518" s="14">
        <v>11.3</v>
      </c>
      <c r="AA4518" s="14" t="s">
        <v>36</v>
      </c>
      <c r="AB4518" s="12" t="s">
        <v>56</v>
      </c>
      <c r="AC4518" s="12" t="s">
        <v>22117</v>
      </c>
      <c r="AD4518" s="13">
        <v>43649</v>
      </c>
      <c r="AE4518" s="12" t="s">
        <v>4387</v>
      </c>
      <c r="AF4518" s="12" t="s">
        <v>22118</v>
      </c>
      <c r="AG4518" s="12" t="s">
        <v>21080</v>
      </c>
      <c r="AH4518" s="1">
        <f>HYPERLINK("https://my.pitchbook.com?c=120568-24T","View Company Online")</f>
      </c>
    </row>
    <row r="4519">
      <c r="A4519" s="3" t="s">
        <v>22119</v>
      </c>
      <c r="B4519" s="3" t="s">
        <v>9407</v>
      </c>
      <c r="C4519" s="5" t="s">
        <v>36</v>
      </c>
      <c r="D4519" s="5" t="s">
        <v>36</v>
      </c>
      <c r="E4519" s="5" t="s">
        <v>36</v>
      </c>
      <c r="F4519" s="5" t="s">
        <v>36</v>
      </c>
      <c r="G4519" s="6" t="s">
        <v>36</v>
      </c>
      <c r="H4519" s="4">
        <v>58.33</v>
      </c>
      <c r="I4519" s="7">
        <v>25.24</v>
      </c>
      <c r="J4519" s="3" t="s">
        <v>521</v>
      </c>
      <c r="K4519" s="9" t="s">
        <v>36</v>
      </c>
      <c r="L4519" s="6" t="s">
        <v>94</v>
      </c>
      <c r="M4519" s="3" t="s">
        <v>36</v>
      </c>
      <c r="N4519" s="3" t="s">
        <v>94</v>
      </c>
      <c r="O4519" s="8" t="s">
        <v>36</v>
      </c>
      <c r="P4519" s="3" t="s">
        <v>36</v>
      </c>
      <c r="Q4519" s="3" t="s">
        <v>36</v>
      </c>
      <c r="R4519" s="3" t="s">
        <v>36</v>
      </c>
      <c r="S4519" s="3" t="s">
        <v>36</v>
      </c>
      <c r="T4519" s="3" t="s">
        <v>9159</v>
      </c>
      <c r="U4519" s="3" t="s">
        <v>74</v>
      </c>
      <c r="V4519" s="3" t="s">
        <v>75</v>
      </c>
      <c r="W4519" s="3" t="s">
        <v>9408</v>
      </c>
      <c r="X4519" s="10" t="s">
        <v>22120</v>
      </c>
      <c r="Y4519" s="6" t="s">
        <v>55</v>
      </c>
      <c r="Z4519" s="4">
        <v>13.56</v>
      </c>
      <c r="AA4519" s="4">
        <v>34.92</v>
      </c>
      <c r="AB4519" s="3" t="s">
        <v>56</v>
      </c>
      <c r="AC4519" s="3" t="s">
        <v>9410</v>
      </c>
      <c r="AD4519" s="9">
        <v>43649</v>
      </c>
      <c r="AE4519" s="3" t="s">
        <v>3144</v>
      </c>
      <c r="AF4519" s="3" t="s">
        <v>9411</v>
      </c>
      <c r="AG4519" s="3" t="s">
        <v>81</v>
      </c>
      <c r="AH4519" s="11">
        <f>HYPERLINK("https://my.pitchbook.com?c=120385-63T","View Company Online")</f>
      </c>
    </row>
    <row r="4520">
      <c r="A4520" s="12" t="s">
        <v>22121</v>
      </c>
      <c r="B4520" s="12" t="s">
        <v>18475</v>
      </c>
      <c r="C4520" s="19" t="s">
        <v>36</v>
      </c>
      <c r="D4520" s="19" t="s">
        <v>36</v>
      </c>
      <c r="E4520" s="19" t="s">
        <v>36</v>
      </c>
      <c r="F4520" s="19" t="s">
        <v>36</v>
      </c>
      <c r="G4520" s="15" t="s">
        <v>36</v>
      </c>
      <c r="H4520" s="14">
        <v>259.64</v>
      </c>
      <c r="I4520" s="18">
        <v>25</v>
      </c>
      <c r="J4520" s="12" t="s">
        <v>521</v>
      </c>
      <c r="K4520" s="13" t="s">
        <v>36</v>
      </c>
      <c r="L4520" s="15" t="s">
        <v>36</v>
      </c>
      <c r="M4520" s="12" t="s">
        <v>36</v>
      </c>
      <c r="N4520" s="12" t="s">
        <v>36</v>
      </c>
      <c r="O4520" s="17" t="s">
        <v>36</v>
      </c>
      <c r="P4520" s="12" t="s">
        <v>36</v>
      </c>
      <c r="Q4520" s="12" t="s">
        <v>36</v>
      </c>
      <c r="R4520" s="12" t="s">
        <v>36</v>
      </c>
      <c r="S4520" s="12" t="s">
        <v>36</v>
      </c>
      <c r="T4520" s="12" t="s">
        <v>18476</v>
      </c>
      <c r="U4520" s="12" t="s">
        <v>38</v>
      </c>
      <c r="V4520" s="12" t="s">
        <v>39</v>
      </c>
      <c r="W4520" s="12" t="s">
        <v>18477</v>
      </c>
      <c r="X4520" s="16" t="s">
        <v>22122</v>
      </c>
      <c r="Y4520" s="15" t="s">
        <v>42</v>
      </c>
      <c r="Z4520" s="14">
        <v>1.81</v>
      </c>
      <c r="AA4520" s="14">
        <v>4.52</v>
      </c>
      <c r="AB4520" s="12" t="s">
        <v>43</v>
      </c>
      <c r="AC4520" s="12" t="s">
        <v>18479</v>
      </c>
      <c r="AD4520" s="13">
        <v>43649</v>
      </c>
      <c r="AE4520" s="12" t="s">
        <v>45</v>
      </c>
      <c r="AF4520" s="12" t="s">
        <v>14465</v>
      </c>
      <c r="AG4520" s="12" t="s">
        <v>1485</v>
      </c>
      <c r="AH4520" s="1">
        <f>HYPERLINK("https://my.pitchbook.com?c=120408-94T","View Company Online")</f>
      </c>
    </row>
    <row r="4521">
      <c r="A4521" s="3" t="s">
        <v>22123</v>
      </c>
      <c r="B4521" s="3" t="s">
        <v>15238</v>
      </c>
      <c r="C4521" s="5" t="s">
        <v>36</v>
      </c>
      <c r="D4521" s="5" t="s">
        <v>36</v>
      </c>
      <c r="E4521" s="5" t="s">
        <v>36</v>
      </c>
      <c r="F4521" s="5" t="s">
        <v>36</v>
      </c>
      <c r="G4521" s="6" t="s">
        <v>36</v>
      </c>
      <c r="H4521" s="4">
        <v>279.97</v>
      </c>
      <c r="I4521" s="7">
        <v>25.05</v>
      </c>
      <c r="J4521" s="3" t="s">
        <v>521</v>
      </c>
      <c r="K4521" s="9" t="s">
        <v>36</v>
      </c>
      <c r="L4521" s="6" t="s">
        <v>36</v>
      </c>
      <c r="M4521" s="3" t="s">
        <v>36</v>
      </c>
      <c r="N4521" s="3" t="s">
        <v>36</v>
      </c>
      <c r="O4521" s="8" t="s">
        <v>36</v>
      </c>
      <c r="P4521" s="3" t="s">
        <v>36</v>
      </c>
      <c r="Q4521" s="3" t="s">
        <v>36</v>
      </c>
      <c r="R4521" s="3" t="s">
        <v>36</v>
      </c>
      <c r="S4521" s="3" t="s">
        <v>36</v>
      </c>
      <c r="T4521" s="3" t="s">
        <v>15239</v>
      </c>
      <c r="U4521" s="3" t="s">
        <v>279</v>
      </c>
      <c r="V4521" s="3" t="s">
        <v>64</v>
      </c>
      <c r="W4521" s="3" t="s">
        <v>15240</v>
      </c>
      <c r="X4521" s="10" t="s">
        <v>22124</v>
      </c>
      <c r="Y4521" s="6" t="s">
        <v>42</v>
      </c>
      <c r="Z4521" s="4">
        <v>1.47</v>
      </c>
      <c r="AA4521" s="4">
        <v>4.06</v>
      </c>
      <c r="AB4521" s="3" t="s">
        <v>43</v>
      </c>
      <c r="AC4521" s="3" t="s">
        <v>15242</v>
      </c>
      <c r="AD4521" s="9">
        <v>43649</v>
      </c>
      <c r="AE4521" s="3" t="s">
        <v>283</v>
      </c>
      <c r="AF4521" s="3" t="s">
        <v>546</v>
      </c>
      <c r="AG4521" s="3" t="s">
        <v>15243</v>
      </c>
      <c r="AH4521" s="11">
        <f>HYPERLINK("https://my.pitchbook.com?c=120291-04T","View Company Online")</f>
      </c>
    </row>
    <row r="4522">
      <c r="A4522" s="12" t="s">
        <v>22125</v>
      </c>
      <c r="B4522" s="12" t="s">
        <v>5327</v>
      </c>
      <c r="C4522" s="19" t="s">
        <v>36</v>
      </c>
      <c r="D4522" s="19" t="s">
        <v>36</v>
      </c>
      <c r="E4522" s="19" t="s">
        <v>36</v>
      </c>
      <c r="F4522" s="19" t="s">
        <v>36</v>
      </c>
      <c r="G4522" s="15" t="s">
        <v>36</v>
      </c>
      <c r="H4522" s="14">
        <v>160.61</v>
      </c>
      <c r="I4522" s="18">
        <v>31.46</v>
      </c>
      <c r="J4522" s="12" t="s">
        <v>521</v>
      </c>
      <c r="K4522" s="13">
        <v>43452</v>
      </c>
      <c r="L4522" s="15" t="s">
        <v>36</v>
      </c>
      <c r="M4522" s="12" t="s">
        <v>36</v>
      </c>
      <c r="N4522" s="12" t="s">
        <v>36</v>
      </c>
      <c r="O4522" s="17" t="s">
        <v>36</v>
      </c>
      <c r="P4522" s="12" t="s">
        <v>36</v>
      </c>
      <c r="Q4522" s="12" t="s">
        <v>36</v>
      </c>
      <c r="R4522" s="12" t="s">
        <v>36</v>
      </c>
      <c r="S4522" s="12" t="s">
        <v>36</v>
      </c>
      <c r="T4522" s="12" t="s">
        <v>472</v>
      </c>
      <c r="U4522" s="12" t="s">
        <v>38</v>
      </c>
      <c r="V4522" s="12" t="s">
        <v>39</v>
      </c>
      <c r="W4522" s="12" t="s">
        <v>5328</v>
      </c>
      <c r="X4522" s="16" t="s">
        <v>22126</v>
      </c>
      <c r="Y4522" s="15" t="s">
        <v>108</v>
      </c>
      <c r="Z4522" s="14">
        <v>2.03</v>
      </c>
      <c r="AA4522" s="14">
        <v>5.1</v>
      </c>
      <c r="AB4522" s="12" t="s">
        <v>43</v>
      </c>
      <c r="AC4522" s="12" t="s">
        <v>5330</v>
      </c>
      <c r="AD4522" s="13">
        <v>43649</v>
      </c>
      <c r="AE4522" s="12" t="s">
        <v>110</v>
      </c>
      <c r="AF4522" s="12" t="s">
        <v>5331</v>
      </c>
      <c r="AG4522" s="12" t="s">
        <v>81</v>
      </c>
      <c r="AH4522" s="1">
        <f>HYPERLINK("https://my.pitchbook.com?c=121392-46T","View Company Online")</f>
      </c>
    </row>
    <row r="4523">
      <c r="A4523" s="3" t="s">
        <v>22127</v>
      </c>
      <c r="B4523" s="3" t="s">
        <v>17681</v>
      </c>
      <c r="C4523" s="5" t="s">
        <v>36</v>
      </c>
      <c r="D4523" s="5" t="s">
        <v>36</v>
      </c>
      <c r="E4523" s="5" t="s">
        <v>36</v>
      </c>
      <c r="F4523" s="5" t="s">
        <v>36</v>
      </c>
      <c r="G4523" s="6" t="s">
        <v>36</v>
      </c>
      <c r="H4523" s="4">
        <v>196.17</v>
      </c>
      <c r="I4523" s="7">
        <v>15</v>
      </c>
      <c r="J4523" s="3" t="s">
        <v>521</v>
      </c>
      <c r="K4523" s="9" t="s">
        <v>36</v>
      </c>
      <c r="L4523" s="6" t="s">
        <v>36</v>
      </c>
      <c r="M4523" s="3" t="s">
        <v>36</v>
      </c>
      <c r="N4523" s="3" t="s">
        <v>36</v>
      </c>
      <c r="O4523" s="8" t="s">
        <v>36</v>
      </c>
      <c r="P4523" s="3" t="s">
        <v>36</v>
      </c>
      <c r="Q4523" s="3" t="s">
        <v>36</v>
      </c>
      <c r="R4523" s="3" t="s">
        <v>36</v>
      </c>
      <c r="S4523" s="3" t="s">
        <v>36</v>
      </c>
      <c r="T4523" s="3" t="s">
        <v>17682</v>
      </c>
      <c r="U4523" s="3" t="s">
        <v>38</v>
      </c>
      <c r="V4523" s="3" t="s">
        <v>39</v>
      </c>
      <c r="W4523" s="3" t="s">
        <v>17683</v>
      </c>
      <c r="X4523" s="10" t="s">
        <v>12909</v>
      </c>
      <c r="Y4523" s="6" t="s">
        <v>42</v>
      </c>
      <c r="Z4523" s="4">
        <v>0.17</v>
      </c>
      <c r="AA4523" s="4">
        <v>1.13</v>
      </c>
      <c r="AB4523" s="3" t="s">
        <v>43</v>
      </c>
      <c r="AC4523" s="3" t="s">
        <v>17685</v>
      </c>
      <c r="AD4523" s="9">
        <v>43648</v>
      </c>
      <c r="AE4523" s="3" t="s">
        <v>110</v>
      </c>
      <c r="AF4523" s="3" t="s">
        <v>135</v>
      </c>
      <c r="AG4523" s="3" t="s">
        <v>5280</v>
      </c>
      <c r="AH4523" s="11">
        <f>HYPERLINK("https://my.pitchbook.com?c=160095-97T","View Company Online")</f>
      </c>
    </row>
    <row r="4524">
      <c r="A4524" s="12" t="s">
        <v>22128</v>
      </c>
      <c r="B4524" s="12" t="s">
        <v>22129</v>
      </c>
      <c r="C4524" s="19" t="s">
        <v>36</v>
      </c>
      <c r="D4524" s="19" t="s">
        <v>36</v>
      </c>
      <c r="E4524" s="19" t="s">
        <v>36</v>
      </c>
      <c r="F4524" s="19" t="s">
        <v>36</v>
      </c>
      <c r="G4524" s="15" t="s">
        <v>36</v>
      </c>
      <c r="H4524" s="14" t="s">
        <v>36</v>
      </c>
      <c r="I4524" s="18" t="s">
        <v>36</v>
      </c>
      <c r="J4524" s="12" t="s">
        <v>36</v>
      </c>
      <c r="K4524" s="13" t="s">
        <v>36</v>
      </c>
      <c r="L4524" s="15" t="s">
        <v>36</v>
      </c>
      <c r="M4524" s="12" t="s">
        <v>36</v>
      </c>
      <c r="N4524" s="12" t="s">
        <v>36</v>
      </c>
      <c r="O4524" s="17" t="s">
        <v>36</v>
      </c>
      <c r="P4524" s="12" t="s">
        <v>36</v>
      </c>
      <c r="Q4524" s="12" t="s">
        <v>36</v>
      </c>
      <c r="R4524" s="12" t="s">
        <v>36</v>
      </c>
      <c r="S4524" s="12" t="s">
        <v>36</v>
      </c>
      <c r="T4524" s="12" t="s">
        <v>139</v>
      </c>
      <c r="U4524" s="12" t="s">
        <v>96</v>
      </c>
      <c r="V4524" s="12" t="s">
        <v>52</v>
      </c>
      <c r="W4524" s="12" t="s">
        <v>22130</v>
      </c>
      <c r="X4524" s="16" t="s">
        <v>22131</v>
      </c>
      <c r="Y4524" s="15" t="s">
        <v>42</v>
      </c>
      <c r="Z4524" s="14">
        <v>1.47</v>
      </c>
      <c r="AA4524" s="14" t="s">
        <v>36</v>
      </c>
      <c r="AB4524" s="12" t="s">
        <v>56</v>
      </c>
      <c r="AC4524" s="12" t="s">
        <v>22132</v>
      </c>
      <c r="AD4524" s="13">
        <v>43648</v>
      </c>
      <c r="AE4524" s="12" t="s">
        <v>143</v>
      </c>
      <c r="AF4524" s="12" t="s">
        <v>22133</v>
      </c>
      <c r="AG4524" s="12" t="s">
        <v>9098</v>
      </c>
      <c r="AH4524" s="1">
        <f>HYPERLINK("https://my.pitchbook.com?c=134120-71T","View Company Online")</f>
      </c>
    </row>
    <row r="4525">
      <c r="A4525" s="3" t="s">
        <v>22134</v>
      </c>
      <c r="B4525" s="3" t="s">
        <v>22135</v>
      </c>
      <c r="C4525" s="5" t="s">
        <v>36</v>
      </c>
      <c r="D4525" s="5" t="s">
        <v>36</v>
      </c>
      <c r="E4525" s="5" t="s">
        <v>36</v>
      </c>
      <c r="F4525" s="5" t="s">
        <v>36</v>
      </c>
      <c r="G4525" s="6" t="s">
        <v>36</v>
      </c>
      <c r="H4525" s="4">
        <v>145.4</v>
      </c>
      <c r="I4525" s="7">
        <v>22.22</v>
      </c>
      <c r="J4525" s="3" t="s">
        <v>521</v>
      </c>
      <c r="K4525" s="9" t="s">
        <v>36</v>
      </c>
      <c r="L4525" s="6" t="s">
        <v>36</v>
      </c>
      <c r="M4525" s="3" t="s">
        <v>36</v>
      </c>
      <c r="N4525" s="3" t="s">
        <v>36</v>
      </c>
      <c r="O4525" s="8" t="s">
        <v>36</v>
      </c>
      <c r="P4525" s="3" t="s">
        <v>36</v>
      </c>
      <c r="Q4525" s="3" t="s">
        <v>36</v>
      </c>
      <c r="R4525" s="3" t="s">
        <v>36</v>
      </c>
      <c r="S4525" s="3" t="s">
        <v>36</v>
      </c>
      <c r="T4525" s="3" t="s">
        <v>522</v>
      </c>
      <c r="U4525" s="3" t="s">
        <v>38</v>
      </c>
      <c r="V4525" s="3" t="s">
        <v>39</v>
      </c>
      <c r="W4525" s="3" t="s">
        <v>22136</v>
      </c>
      <c r="X4525" s="10" t="s">
        <v>22137</v>
      </c>
      <c r="Y4525" s="6" t="s">
        <v>42</v>
      </c>
      <c r="Z4525" s="4">
        <v>1.47</v>
      </c>
      <c r="AA4525" s="4">
        <v>4.07</v>
      </c>
      <c r="AB4525" s="3" t="s">
        <v>43</v>
      </c>
      <c r="AC4525" s="3" t="s">
        <v>22138</v>
      </c>
      <c r="AD4525" s="9">
        <v>43648</v>
      </c>
      <c r="AE4525" s="3" t="s">
        <v>110</v>
      </c>
      <c r="AF4525" s="3" t="s">
        <v>111</v>
      </c>
      <c r="AG4525" s="3" t="s">
        <v>144</v>
      </c>
      <c r="AH4525" s="11">
        <f>HYPERLINK("https://my.pitchbook.com?c=124267-15T","View Company Online")</f>
      </c>
    </row>
    <row r="4526">
      <c r="A4526" s="12" t="s">
        <v>22139</v>
      </c>
      <c r="B4526" s="12" t="s">
        <v>22140</v>
      </c>
      <c r="C4526" s="19" t="s">
        <v>36</v>
      </c>
      <c r="D4526" s="19" t="s">
        <v>36</v>
      </c>
      <c r="E4526" s="19" t="s">
        <v>36</v>
      </c>
      <c r="F4526" s="19" t="s">
        <v>36</v>
      </c>
      <c r="G4526" s="15" t="s">
        <v>326</v>
      </c>
      <c r="H4526" s="14">
        <v>198.5</v>
      </c>
      <c r="I4526" s="18">
        <v>26.12</v>
      </c>
      <c r="J4526" s="12" t="s">
        <v>521</v>
      </c>
      <c r="K4526" s="13" t="s">
        <v>36</v>
      </c>
      <c r="L4526" s="15" t="s">
        <v>94</v>
      </c>
      <c r="M4526" s="12" t="s">
        <v>36</v>
      </c>
      <c r="N4526" s="12" t="s">
        <v>94</v>
      </c>
      <c r="O4526" s="17" t="s">
        <v>36</v>
      </c>
      <c r="P4526" s="12" t="s">
        <v>36</v>
      </c>
      <c r="Q4526" s="12" t="s">
        <v>36</v>
      </c>
      <c r="R4526" s="12" t="s">
        <v>36</v>
      </c>
      <c r="S4526" s="12" t="s">
        <v>36</v>
      </c>
      <c r="T4526" s="12" t="s">
        <v>22141</v>
      </c>
      <c r="U4526" s="12" t="s">
        <v>74</v>
      </c>
      <c r="V4526" s="12" t="s">
        <v>75</v>
      </c>
      <c r="W4526" s="12" t="s">
        <v>22142</v>
      </c>
      <c r="X4526" s="16" t="s">
        <v>22143</v>
      </c>
      <c r="Y4526" s="15" t="s">
        <v>108</v>
      </c>
      <c r="Z4526" s="14">
        <v>10.17</v>
      </c>
      <c r="AA4526" s="14">
        <v>26.52</v>
      </c>
      <c r="AB4526" s="12" t="s">
        <v>43</v>
      </c>
      <c r="AC4526" s="12" t="s">
        <v>22144</v>
      </c>
      <c r="AD4526" s="13">
        <v>43648</v>
      </c>
      <c r="AE4526" s="12" t="s">
        <v>79</v>
      </c>
      <c r="AF4526" s="12" t="s">
        <v>22145</v>
      </c>
      <c r="AG4526" s="12" t="s">
        <v>81</v>
      </c>
      <c r="AH4526" s="1">
        <f>HYPERLINK("https://my.pitchbook.com?c=120935-35T","View Company Online")</f>
      </c>
    </row>
    <row r="4527">
      <c r="A4527" s="3" t="s">
        <v>22146</v>
      </c>
      <c r="B4527" s="3" t="s">
        <v>12861</v>
      </c>
      <c r="C4527" s="5" t="s">
        <v>36</v>
      </c>
      <c r="D4527" s="5" t="s">
        <v>36</v>
      </c>
      <c r="E4527" s="5" t="s">
        <v>36</v>
      </c>
      <c r="F4527" s="5" t="s">
        <v>36</v>
      </c>
      <c r="G4527" s="6" t="s">
        <v>36</v>
      </c>
      <c r="H4527" s="4">
        <v>93.47</v>
      </c>
      <c r="I4527" s="7">
        <v>57.14</v>
      </c>
      <c r="J4527" s="3" t="s">
        <v>521</v>
      </c>
      <c r="K4527" s="9" t="s">
        <v>36</v>
      </c>
      <c r="L4527" s="6" t="s">
        <v>36</v>
      </c>
      <c r="M4527" s="3" t="s">
        <v>36</v>
      </c>
      <c r="N4527" s="3" t="s">
        <v>36</v>
      </c>
      <c r="O4527" s="8" t="s">
        <v>36</v>
      </c>
      <c r="P4527" s="3" t="s">
        <v>36</v>
      </c>
      <c r="Q4527" s="3" t="s">
        <v>36</v>
      </c>
      <c r="R4527" s="3" t="s">
        <v>36</v>
      </c>
      <c r="S4527" s="3" t="s">
        <v>36</v>
      </c>
      <c r="T4527" s="3" t="s">
        <v>8342</v>
      </c>
      <c r="U4527" s="3" t="s">
        <v>85</v>
      </c>
      <c r="V4527" s="3" t="s">
        <v>64</v>
      </c>
      <c r="W4527" s="3" t="s">
        <v>12862</v>
      </c>
      <c r="X4527" s="10" t="s">
        <v>22147</v>
      </c>
      <c r="Y4527" s="6" t="s">
        <v>42</v>
      </c>
      <c r="Z4527" s="4">
        <v>2.71</v>
      </c>
      <c r="AA4527" s="4">
        <v>4.75</v>
      </c>
      <c r="AB4527" s="3" t="s">
        <v>56</v>
      </c>
      <c r="AC4527" s="3" t="s">
        <v>12864</v>
      </c>
      <c r="AD4527" s="9">
        <v>43648</v>
      </c>
      <c r="AE4527" s="3" t="s">
        <v>2823</v>
      </c>
      <c r="AF4527" s="3" t="s">
        <v>12865</v>
      </c>
      <c r="AG4527" s="3" t="s">
        <v>12866</v>
      </c>
      <c r="AH4527" s="11">
        <f>HYPERLINK("https://my.pitchbook.com?c=124554-16T","View Company Online")</f>
      </c>
    </row>
    <row r="4528">
      <c r="A4528" s="12" t="s">
        <v>22148</v>
      </c>
      <c r="B4528" s="12" t="s">
        <v>22149</v>
      </c>
      <c r="C4528" s="19" t="s">
        <v>36</v>
      </c>
      <c r="D4528" s="19" t="s">
        <v>36</v>
      </c>
      <c r="E4528" s="19">
        <v>1</v>
      </c>
      <c r="F4528" s="19">
        <v>1</v>
      </c>
      <c r="G4528" s="15" t="s">
        <v>683</v>
      </c>
      <c r="H4528" s="14">
        <v>160.98</v>
      </c>
      <c r="I4528" s="18">
        <v>29.51</v>
      </c>
      <c r="J4528" s="12" t="s">
        <v>521</v>
      </c>
      <c r="K4528" s="13" t="s">
        <v>36</v>
      </c>
      <c r="L4528" s="15" t="s">
        <v>36</v>
      </c>
      <c r="M4528" s="12" t="s">
        <v>36</v>
      </c>
      <c r="N4528" s="12" t="s">
        <v>36</v>
      </c>
      <c r="O4528" s="17" t="s">
        <v>36</v>
      </c>
      <c r="P4528" s="12" t="s">
        <v>36</v>
      </c>
      <c r="Q4528" s="12" t="s">
        <v>36</v>
      </c>
      <c r="R4528" s="12" t="s">
        <v>36</v>
      </c>
      <c r="S4528" s="12" t="s">
        <v>36</v>
      </c>
      <c r="T4528" s="12" t="s">
        <v>588</v>
      </c>
      <c r="U4528" s="12" t="s">
        <v>318</v>
      </c>
      <c r="V4528" s="12" t="s">
        <v>39</v>
      </c>
      <c r="W4528" s="12" t="s">
        <v>22150</v>
      </c>
      <c r="X4528" s="16" t="s">
        <v>22151</v>
      </c>
      <c r="Y4528" s="15" t="s">
        <v>55</v>
      </c>
      <c r="Z4528" s="14">
        <v>2.15</v>
      </c>
      <c r="AA4528" s="14">
        <v>7.28</v>
      </c>
      <c r="AB4528" s="12" t="s">
        <v>43</v>
      </c>
      <c r="AC4528" s="12" t="s">
        <v>22152</v>
      </c>
      <c r="AD4528" s="13">
        <v>43648</v>
      </c>
      <c r="AE4528" s="12" t="s">
        <v>417</v>
      </c>
      <c r="AF4528" s="12" t="s">
        <v>5236</v>
      </c>
      <c r="AG4528" s="12" t="s">
        <v>899</v>
      </c>
      <c r="AH4528" s="1">
        <f>HYPERLINK("https://my.pitchbook.com?c=120577-78T","View Company Online")</f>
      </c>
    </row>
    <row r="4529">
      <c r="A4529" s="3" t="s">
        <v>22153</v>
      </c>
      <c r="B4529" s="3" t="s">
        <v>22154</v>
      </c>
      <c r="C4529" s="5">
        <v>1</v>
      </c>
      <c r="D4529" s="5">
        <v>7</v>
      </c>
      <c r="E4529" s="5">
        <v>2</v>
      </c>
      <c r="F4529" s="5">
        <v>8</v>
      </c>
      <c r="G4529" s="6" t="s">
        <v>326</v>
      </c>
      <c r="H4529" s="4">
        <v>7.25</v>
      </c>
      <c r="I4529" s="7">
        <v>24.54</v>
      </c>
      <c r="J4529" s="3" t="s">
        <v>521</v>
      </c>
      <c r="K4529" s="9">
        <v>43517</v>
      </c>
      <c r="L4529" s="6" t="s">
        <v>36</v>
      </c>
      <c r="M4529" s="3" t="s">
        <v>36</v>
      </c>
      <c r="N4529" s="3" t="s">
        <v>36</v>
      </c>
      <c r="O4529" s="8" t="s">
        <v>36</v>
      </c>
      <c r="P4529" s="3" t="s">
        <v>36</v>
      </c>
      <c r="Q4529" s="3" t="s">
        <v>36</v>
      </c>
      <c r="R4529" s="3" t="s">
        <v>36</v>
      </c>
      <c r="S4529" s="3" t="s">
        <v>36</v>
      </c>
      <c r="T4529" s="3" t="s">
        <v>105</v>
      </c>
      <c r="U4529" s="3" t="s">
        <v>38</v>
      </c>
      <c r="V4529" s="3" t="s">
        <v>39</v>
      </c>
      <c r="W4529" s="3" t="s">
        <v>22155</v>
      </c>
      <c r="X4529" s="10" t="s">
        <v>22156</v>
      </c>
      <c r="Y4529" s="6" t="s">
        <v>42</v>
      </c>
      <c r="Z4529" s="4">
        <v>1.36</v>
      </c>
      <c r="AA4529" s="4">
        <v>5.24</v>
      </c>
      <c r="AB4529" s="3" t="s">
        <v>43</v>
      </c>
      <c r="AC4529" s="3" t="s">
        <v>22157</v>
      </c>
      <c r="AD4529" s="9">
        <v>43647</v>
      </c>
      <c r="AE4529" s="3" t="s">
        <v>110</v>
      </c>
      <c r="AF4529" s="3" t="s">
        <v>3860</v>
      </c>
      <c r="AG4529" s="3" t="s">
        <v>20009</v>
      </c>
      <c r="AH4529" s="11">
        <f>HYPERLINK("https://my.pitchbook.com?c=120460-42T","View Company Online")</f>
      </c>
    </row>
    <row r="4530">
      <c r="A4530" s="12" t="s">
        <v>22158</v>
      </c>
      <c r="B4530" s="12" t="s">
        <v>22159</v>
      </c>
      <c r="C4530" s="19" t="s">
        <v>36</v>
      </c>
      <c r="D4530" s="19" t="s">
        <v>36</v>
      </c>
      <c r="E4530" s="19" t="s">
        <v>36</v>
      </c>
      <c r="F4530" s="19" t="s">
        <v>36</v>
      </c>
      <c r="G4530" s="15" t="s">
        <v>36</v>
      </c>
      <c r="H4530" s="14" t="s">
        <v>36</v>
      </c>
      <c r="I4530" s="18" t="s">
        <v>36</v>
      </c>
      <c r="J4530" s="12" t="s">
        <v>36</v>
      </c>
      <c r="K4530" s="13" t="s">
        <v>36</v>
      </c>
      <c r="L4530" s="15" t="s">
        <v>36</v>
      </c>
      <c r="M4530" s="12" t="s">
        <v>36</v>
      </c>
      <c r="N4530" s="12" t="s">
        <v>36</v>
      </c>
      <c r="O4530" s="17" t="s">
        <v>36</v>
      </c>
      <c r="P4530" s="12" t="s">
        <v>36</v>
      </c>
      <c r="Q4530" s="12" t="s">
        <v>36</v>
      </c>
      <c r="R4530" s="12" t="s">
        <v>36</v>
      </c>
      <c r="S4530" s="12" t="s">
        <v>36</v>
      </c>
      <c r="T4530" s="12" t="s">
        <v>1344</v>
      </c>
      <c r="U4530" s="12" t="s">
        <v>38</v>
      </c>
      <c r="V4530" s="12" t="s">
        <v>39</v>
      </c>
      <c r="W4530" s="12" t="s">
        <v>22160</v>
      </c>
      <c r="X4530" s="16" t="s">
        <v>19128</v>
      </c>
      <c r="Y4530" s="15" t="s">
        <v>42</v>
      </c>
      <c r="Z4530" s="14" t="s">
        <v>36</v>
      </c>
      <c r="AA4530" s="14" t="s">
        <v>36</v>
      </c>
      <c r="AB4530" s="12" t="s">
        <v>43</v>
      </c>
      <c r="AC4530" s="12" t="s">
        <v>22161</v>
      </c>
      <c r="AD4530" s="13">
        <v>43647</v>
      </c>
      <c r="AE4530" s="12" t="s">
        <v>110</v>
      </c>
      <c r="AF4530" s="12" t="s">
        <v>13848</v>
      </c>
      <c r="AG4530" s="12" t="s">
        <v>2000</v>
      </c>
      <c r="AH4530" s="1">
        <f>HYPERLINK("https://my.pitchbook.com?c=120841-66T","View Company Online")</f>
      </c>
    </row>
    <row r="4531">
      <c r="A4531" s="3" t="s">
        <v>22162</v>
      </c>
      <c r="B4531" s="3" t="s">
        <v>2960</v>
      </c>
      <c r="C4531" s="5" t="s">
        <v>36</v>
      </c>
      <c r="D4531" s="5" t="s">
        <v>36</v>
      </c>
      <c r="E4531" s="5" t="s">
        <v>36</v>
      </c>
      <c r="F4531" s="5" t="s">
        <v>36</v>
      </c>
      <c r="G4531" s="6" t="s">
        <v>36</v>
      </c>
      <c r="H4531" s="4" t="s">
        <v>36</v>
      </c>
      <c r="I4531" s="7" t="s">
        <v>36</v>
      </c>
      <c r="J4531" s="3" t="s">
        <v>36</v>
      </c>
      <c r="K4531" s="9" t="s">
        <v>36</v>
      </c>
      <c r="L4531" s="6" t="s">
        <v>36</v>
      </c>
      <c r="M4531" s="3" t="s">
        <v>36</v>
      </c>
      <c r="N4531" s="3" t="s">
        <v>36</v>
      </c>
      <c r="O4531" s="8" t="s">
        <v>36</v>
      </c>
      <c r="P4531" s="3" t="s">
        <v>36</v>
      </c>
      <c r="Q4531" s="3" t="s">
        <v>36</v>
      </c>
      <c r="R4531" s="3" t="s">
        <v>36</v>
      </c>
      <c r="S4531" s="3" t="s">
        <v>36</v>
      </c>
      <c r="T4531" s="3" t="s">
        <v>2961</v>
      </c>
      <c r="U4531" s="3" t="s">
        <v>74</v>
      </c>
      <c r="V4531" s="3" t="s">
        <v>75</v>
      </c>
      <c r="W4531" s="3" t="s">
        <v>2962</v>
      </c>
      <c r="X4531" s="10" t="s">
        <v>22163</v>
      </c>
      <c r="Y4531" s="6" t="s">
        <v>42</v>
      </c>
      <c r="Z4531" s="4" t="s">
        <v>36</v>
      </c>
      <c r="AA4531" s="4" t="s">
        <v>36</v>
      </c>
      <c r="AB4531" s="3" t="s">
        <v>43</v>
      </c>
      <c r="AC4531" s="3" t="s">
        <v>2964</v>
      </c>
      <c r="AD4531" s="9">
        <v>43647</v>
      </c>
      <c r="AE4531" s="3" t="s">
        <v>975</v>
      </c>
      <c r="AF4531" s="3" t="s">
        <v>36</v>
      </c>
      <c r="AG4531" s="3" t="s">
        <v>2088</v>
      </c>
      <c r="AH4531" s="11">
        <f>HYPERLINK("https://my.pitchbook.com?c=130117-42T","View Company Online")</f>
      </c>
    </row>
    <row r="4532">
      <c r="A4532" s="12" t="s">
        <v>22164</v>
      </c>
      <c r="B4532" s="12" t="s">
        <v>15060</v>
      </c>
      <c r="C4532" s="19">
        <v>2</v>
      </c>
      <c r="D4532" s="19">
        <v>24</v>
      </c>
      <c r="E4532" s="19">
        <v>7</v>
      </c>
      <c r="F4532" s="19">
        <v>32</v>
      </c>
      <c r="G4532" s="15" t="s">
        <v>36</v>
      </c>
      <c r="H4532" s="14">
        <v>191.1</v>
      </c>
      <c r="I4532" s="18">
        <v>11.48</v>
      </c>
      <c r="J4532" s="12" t="s">
        <v>521</v>
      </c>
      <c r="K4532" s="13">
        <v>43301</v>
      </c>
      <c r="L4532" s="15" t="s">
        <v>36</v>
      </c>
      <c r="M4532" s="12" t="s">
        <v>36</v>
      </c>
      <c r="N4532" s="12" t="s">
        <v>36</v>
      </c>
      <c r="O4532" s="17" t="s">
        <v>36</v>
      </c>
      <c r="P4532" s="12" t="s">
        <v>36</v>
      </c>
      <c r="Q4532" s="12" t="s">
        <v>36</v>
      </c>
      <c r="R4532" s="12" t="s">
        <v>36</v>
      </c>
      <c r="S4532" s="12" t="s">
        <v>36</v>
      </c>
      <c r="T4532" s="12" t="s">
        <v>139</v>
      </c>
      <c r="U4532" s="12" t="s">
        <v>96</v>
      </c>
      <c r="V4532" s="12" t="s">
        <v>52</v>
      </c>
      <c r="W4532" s="12" t="s">
        <v>15061</v>
      </c>
      <c r="X4532" s="16" t="s">
        <v>1840</v>
      </c>
      <c r="Y4532" s="15" t="s">
        <v>192</v>
      </c>
      <c r="Z4532" s="14">
        <v>0.7</v>
      </c>
      <c r="AA4532" s="14">
        <v>6.07</v>
      </c>
      <c r="AB4532" s="12" t="s">
        <v>56</v>
      </c>
      <c r="AC4532" s="12" t="s">
        <v>15062</v>
      </c>
      <c r="AD4532" s="13">
        <v>43647</v>
      </c>
      <c r="AE4532" s="12" t="s">
        <v>143</v>
      </c>
      <c r="AF4532" s="12" t="s">
        <v>159</v>
      </c>
      <c r="AG4532" s="12" t="s">
        <v>1276</v>
      </c>
      <c r="AH4532" s="1">
        <f>HYPERLINK("https://my.pitchbook.com?c=136298-98T","View Company Online")</f>
      </c>
    </row>
    <row r="4533">
      <c r="A4533" s="3" t="s">
        <v>22165</v>
      </c>
      <c r="B4533" s="3" t="s">
        <v>22166</v>
      </c>
      <c r="C4533" s="5">
        <v>2</v>
      </c>
      <c r="D4533" s="5">
        <v>7</v>
      </c>
      <c r="E4533" s="5">
        <v>1</v>
      </c>
      <c r="F4533" s="5">
        <v>10</v>
      </c>
      <c r="G4533" s="6" t="s">
        <v>36</v>
      </c>
      <c r="H4533" s="4">
        <v>140.23</v>
      </c>
      <c r="I4533" s="7">
        <v>11.77</v>
      </c>
      <c r="J4533" s="3" t="s">
        <v>521</v>
      </c>
      <c r="K4533" s="9" t="s">
        <v>36</v>
      </c>
      <c r="L4533" s="6" t="s">
        <v>36</v>
      </c>
      <c r="M4533" s="3" t="s">
        <v>36</v>
      </c>
      <c r="N4533" s="3" t="s">
        <v>36</v>
      </c>
      <c r="O4533" s="8" t="s">
        <v>36</v>
      </c>
      <c r="P4533" s="3" t="s">
        <v>36</v>
      </c>
      <c r="Q4533" s="3" t="s">
        <v>36</v>
      </c>
      <c r="R4533" s="3" t="s">
        <v>36</v>
      </c>
      <c r="S4533" s="3" t="s">
        <v>36</v>
      </c>
      <c r="T4533" s="3" t="s">
        <v>9124</v>
      </c>
      <c r="U4533" s="3" t="s">
        <v>96</v>
      </c>
      <c r="V4533" s="3" t="s">
        <v>52</v>
      </c>
      <c r="W4533" s="3" t="s">
        <v>22167</v>
      </c>
      <c r="X4533" s="10" t="s">
        <v>22168</v>
      </c>
      <c r="Y4533" s="6" t="s">
        <v>42</v>
      </c>
      <c r="Z4533" s="4">
        <v>0.63</v>
      </c>
      <c r="AA4533" s="4">
        <v>2.94</v>
      </c>
      <c r="AB4533" s="3" t="s">
        <v>56</v>
      </c>
      <c r="AC4533" s="3" t="s">
        <v>22169</v>
      </c>
      <c r="AD4533" s="9">
        <v>43647</v>
      </c>
      <c r="AE4533" s="3" t="s">
        <v>100</v>
      </c>
      <c r="AF4533" s="3" t="s">
        <v>101</v>
      </c>
      <c r="AG4533" s="3" t="s">
        <v>81</v>
      </c>
      <c r="AH4533" s="11">
        <f>HYPERLINK("https://my.pitchbook.com?c=196215-40T","View Company Online")</f>
      </c>
    </row>
    <row r="4534">
      <c r="A4534" s="12" t="s">
        <v>22170</v>
      </c>
      <c r="B4534" s="12" t="s">
        <v>22171</v>
      </c>
      <c r="C4534" s="19" t="s">
        <v>36</v>
      </c>
      <c r="D4534" s="19" t="s">
        <v>36</v>
      </c>
      <c r="E4534" s="19" t="s">
        <v>36</v>
      </c>
      <c r="F4534" s="19" t="s">
        <v>36</v>
      </c>
      <c r="G4534" s="15" t="s">
        <v>36</v>
      </c>
      <c r="H4534" s="14">
        <v>154.2</v>
      </c>
      <c r="I4534" s="18">
        <v>32.22</v>
      </c>
      <c r="J4534" s="12" t="s">
        <v>521</v>
      </c>
      <c r="K4534" s="13" t="s">
        <v>36</v>
      </c>
      <c r="L4534" s="15" t="s">
        <v>122</v>
      </c>
      <c r="M4534" s="12" t="s">
        <v>36</v>
      </c>
      <c r="N4534" s="12" t="s">
        <v>122</v>
      </c>
      <c r="O4534" s="17" t="s">
        <v>36</v>
      </c>
      <c r="P4534" s="12" t="s">
        <v>36</v>
      </c>
      <c r="Q4534" s="12" t="s">
        <v>36</v>
      </c>
      <c r="R4534" s="12" t="s">
        <v>36</v>
      </c>
      <c r="S4534" s="12" t="s">
        <v>36</v>
      </c>
      <c r="T4534" s="12" t="s">
        <v>2359</v>
      </c>
      <c r="U4534" s="12" t="s">
        <v>279</v>
      </c>
      <c r="V4534" s="12" t="s">
        <v>64</v>
      </c>
      <c r="W4534" s="12" t="s">
        <v>22172</v>
      </c>
      <c r="X4534" s="16" t="s">
        <v>22173</v>
      </c>
      <c r="Y4534" s="15" t="s">
        <v>42</v>
      </c>
      <c r="Z4534" s="14">
        <v>0.89</v>
      </c>
      <c r="AA4534" s="14">
        <v>2.77</v>
      </c>
      <c r="AB4534" s="12" t="s">
        <v>43</v>
      </c>
      <c r="AC4534" s="12" t="s">
        <v>22174</v>
      </c>
      <c r="AD4534" s="13">
        <v>43647</v>
      </c>
      <c r="AE4534" s="12" t="s">
        <v>283</v>
      </c>
      <c r="AF4534" s="12" t="s">
        <v>22175</v>
      </c>
      <c r="AG4534" s="12" t="s">
        <v>2618</v>
      </c>
      <c r="AH4534" s="1">
        <f>HYPERLINK("https://my.pitchbook.com?c=191958-76T","View Company Online")</f>
      </c>
    </row>
    <row r="4535">
      <c r="A4535" s="3" t="s">
        <v>22176</v>
      </c>
      <c r="B4535" s="3" t="s">
        <v>22177</v>
      </c>
      <c r="C4535" s="5" t="s">
        <v>36</v>
      </c>
      <c r="D4535" s="5" t="s">
        <v>36</v>
      </c>
      <c r="E4535" s="5" t="s">
        <v>36</v>
      </c>
      <c r="F4535" s="5" t="s">
        <v>36</v>
      </c>
      <c r="G4535" s="6" t="s">
        <v>36</v>
      </c>
      <c r="H4535" s="4" t="s">
        <v>36</v>
      </c>
      <c r="I4535" s="7" t="s">
        <v>36</v>
      </c>
      <c r="J4535" s="3" t="s">
        <v>521</v>
      </c>
      <c r="K4535" s="9" t="s">
        <v>36</v>
      </c>
      <c r="L4535" s="6" t="s">
        <v>36</v>
      </c>
      <c r="M4535" s="3" t="s">
        <v>36</v>
      </c>
      <c r="N4535" s="3" t="s">
        <v>36</v>
      </c>
      <c r="O4535" s="8" t="s">
        <v>36</v>
      </c>
      <c r="P4535" s="3" t="s">
        <v>36</v>
      </c>
      <c r="Q4535" s="3" t="s">
        <v>36</v>
      </c>
      <c r="R4535" s="3" t="s">
        <v>36</v>
      </c>
      <c r="S4535" s="3" t="s">
        <v>36</v>
      </c>
      <c r="T4535" s="3" t="s">
        <v>1350</v>
      </c>
      <c r="U4535" s="3" t="s">
        <v>38</v>
      </c>
      <c r="V4535" s="3" t="s">
        <v>39</v>
      </c>
      <c r="W4535" s="3" t="s">
        <v>22178</v>
      </c>
      <c r="X4535" s="10" t="s">
        <v>22179</v>
      </c>
      <c r="Y4535" s="6" t="s">
        <v>108</v>
      </c>
      <c r="Z4535" s="4">
        <v>3.95</v>
      </c>
      <c r="AA4535" s="4">
        <v>23.6</v>
      </c>
      <c r="AB4535" s="3" t="s">
        <v>56</v>
      </c>
      <c r="AC4535" s="3" t="s">
        <v>22180</v>
      </c>
      <c r="AD4535" s="9">
        <v>43647</v>
      </c>
      <c r="AE4535" s="3" t="s">
        <v>785</v>
      </c>
      <c r="AF4535" s="3" t="s">
        <v>6214</v>
      </c>
      <c r="AG4535" s="3" t="s">
        <v>81</v>
      </c>
      <c r="AH4535" s="11">
        <f>HYPERLINK("https://my.pitchbook.com?c=120316-33T","View Company Online")</f>
      </c>
    </row>
    <row r="4536">
      <c r="A4536" s="12" t="s">
        <v>22181</v>
      </c>
      <c r="B4536" s="12" t="s">
        <v>22182</v>
      </c>
      <c r="C4536" s="19" t="s">
        <v>36</v>
      </c>
      <c r="D4536" s="19" t="s">
        <v>36</v>
      </c>
      <c r="E4536" s="19" t="s">
        <v>36</v>
      </c>
      <c r="F4536" s="19" t="s">
        <v>36</v>
      </c>
      <c r="G4536" s="15" t="s">
        <v>326</v>
      </c>
      <c r="H4536" s="14">
        <v>380.84</v>
      </c>
      <c r="I4536" s="18">
        <v>22.79</v>
      </c>
      <c r="J4536" s="12" t="s">
        <v>521</v>
      </c>
      <c r="K4536" s="13" t="s">
        <v>36</v>
      </c>
      <c r="L4536" s="15" t="s">
        <v>36</v>
      </c>
      <c r="M4536" s="12" t="s">
        <v>36</v>
      </c>
      <c r="N4536" s="12" t="s">
        <v>36</v>
      </c>
      <c r="O4536" s="17" t="s">
        <v>36</v>
      </c>
      <c r="P4536" s="12" t="s">
        <v>36</v>
      </c>
      <c r="Q4536" s="12" t="s">
        <v>36</v>
      </c>
      <c r="R4536" s="12" t="s">
        <v>36</v>
      </c>
      <c r="S4536" s="12" t="s">
        <v>36</v>
      </c>
      <c r="T4536" s="12" t="s">
        <v>22183</v>
      </c>
      <c r="U4536" s="12" t="s">
        <v>833</v>
      </c>
      <c r="V4536" s="12" t="s">
        <v>64</v>
      </c>
      <c r="W4536" s="12" t="s">
        <v>22184</v>
      </c>
      <c r="X4536" s="16" t="s">
        <v>22185</v>
      </c>
      <c r="Y4536" s="15" t="s">
        <v>42</v>
      </c>
      <c r="Z4536" s="14">
        <v>1.67</v>
      </c>
      <c r="AA4536" s="14">
        <v>7.31</v>
      </c>
      <c r="AB4536" s="12" t="s">
        <v>43</v>
      </c>
      <c r="AC4536" s="12" t="s">
        <v>22186</v>
      </c>
      <c r="AD4536" s="13">
        <v>43647</v>
      </c>
      <c r="AE4536" s="12" t="s">
        <v>1069</v>
      </c>
      <c r="AF4536" s="12" t="s">
        <v>118</v>
      </c>
      <c r="AG4536" s="12" t="s">
        <v>19504</v>
      </c>
      <c r="AH4536" s="1">
        <f>HYPERLINK("https://my.pitchbook.com?c=138819-61T","View Company Online")</f>
      </c>
    </row>
    <row r="4537">
      <c r="A4537" s="3" t="s">
        <v>22187</v>
      </c>
      <c r="B4537" s="3" t="s">
        <v>22188</v>
      </c>
      <c r="C4537" s="5" t="s">
        <v>36</v>
      </c>
      <c r="D4537" s="5" t="s">
        <v>36</v>
      </c>
      <c r="E4537" s="5" t="s">
        <v>36</v>
      </c>
      <c r="F4537" s="5" t="s">
        <v>36</v>
      </c>
      <c r="G4537" s="6" t="s">
        <v>36</v>
      </c>
      <c r="H4537" s="4" t="s">
        <v>36</v>
      </c>
      <c r="I4537" s="7" t="s">
        <v>36</v>
      </c>
      <c r="J4537" s="3" t="s">
        <v>36</v>
      </c>
      <c r="K4537" s="9" t="s">
        <v>36</v>
      </c>
      <c r="L4537" s="6" t="s">
        <v>36</v>
      </c>
      <c r="M4537" s="3" t="s">
        <v>36</v>
      </c>
      <c r="N4537" s="3" t="s">
        <v>36</v>
      </c>
      <c r="O4537" s="8" t="s">
        <v>36</v>
      </c>
      <c r="P4537" s="3" t="s">
        <v>36</v>
      </c>
      <c r="Q4537" s="3" t="s">
        <v>36</v>
      </c>
      <c r="R4537" s="3" t="s">
        <v>36</v>
      </c>
      <c r="S4537" s="3" t="s">
        <v>36</v>
      </c>
      <c r="T4537" s="3" t="s">
        <v>1596</v>
      </c>
      <c r="U4537" s="3" t="s">
        <v>728</v>
      </c>
      <c r="V4537" s="3" t="s">
        <v>64</v>
      </c>
      <c r="W4537" s="3" t="s">
        <v>22189</v>
      </c>
      <c r="X4537" s="10" t="s">
        <v>22190</v>
      </c>
      <c r="Y4537" s="6" t="s">
        <v>42</v>
      </c>
      <c r="Z4537" s="4" t="s">
        <v>36</v>
      </c>
      <c r="AA4537" s="4" t="s">
        <v>36</v>
      </c>
      <c r="AB4537" s="3" t="s">
        <v>43</v>
      </c>
      <c r="AC4537" s="3" t="s">
        <v>22191</v>
      </c>
      <c r="AD4537" s="9">
        <v>43647</v>
      </c>
      <c r="AE4537" s="3" t="s">
        <v>1600</v>
      </c>
      <c r="AF4537" s="3" t="s">
        <v>90</v>
      </c>
      <c r="AG4537" s="3" t="s">
        <v>81</v>
      </c>
      <c r="AH4537" s="11">
        <f>HYPERLINK("https://my.pitchbook.com?c=213577-39T","View Company Online")</f>
      </c>
    </row>
    <row r="4538">
      <c r="A4538" s="12" t="s">
        <v>22192</v>
      </c>
      <c r="B4538" s="12" t="s">
        <v>22193</v>
      </c>
      <c r="C4538" s="19" t="s">
        <v>36</v>
      </c>
      <c r="D4538" s="19">
        <v>5</v>
      </c>
      <c r="E4538" s="19">
        <v>1</v>
      </c>
      <c r="F4538" s="19">
        <v>6</v>
      </c>
      <c r="G4538" s="15" t="s">
        <v>36</v>
      </c>
      <c r="H4538" s="14">
        <v>4.61</v>
      </c>
      <c r="I4538" s="18">
        <v>33.99</v>
      </c>
      <c r="J4538" s="12" t="s">
        <v>521</v>
      </c>
      <c r="K4538" s="13" t="s">
        <v>36</v>
      </c>
      <c r="L4538" s="15" t="s">
        <v>36</v>
      </c>
      <c r="M4538" s="12" t="s">
        <v>36</v>
      </c>
      <c r="N4538" s="12" t="s">
        <v>36</v>
      </c>
      <c r="O4538" s="17" t="s">
        <v>36</v>
      </c>
      <c r="P4538" s="12" t="s">
        <v>36</v>
      </c>
      <c r="Q4538" s="12" t="s">
        <v>36</v>
      </c>
      <c r="R4538" s="12" t="s">
        <v>36</v>
      </c>
      <c r="S4538" s="12" t="s">
        <v>36</v>
      </c>
      <c r="T4538" s="12" t="s">
        <v>4225</v>
      </c>
      <c r="U4538" s="12" t="s">
        <v>96</v>
      </c>
      <c r="V4538" s="12" t="s">
        <v>52</v>
      </c>
      <c r="W4538" s="12" t="s">
        <v>22194</v>
      </c>
      <c r="X4538" s="16" t="s">
        <v>22195</v>
      </c>
      <c r="Y4538" s="15" t="s">
        <v>42</v>
      </c>
      <c r="Z4538" s="14">
        <v>0.58</v>
      </c>
      <c r="AA4538" s="14">
        <v>1.71</v>
      </c>
      <c r="AB4538" s="12" t="s">
        <v>43</v>
      </c>
      <c r="AC4538" s="12" t="s">
        <v>22196</v>
      </c>
      <c r="AD4538" s="13">
        <v>43647</v>
      </c>
      <c r="AE4538" s="12" t="s">
        <v>143</v>
      </c>
      <c r="AF4538" s="12" t="s">
        <v>1061</v>
      </c>
      <c r="AG4538" s="12" t="s">
        <v>2450</v>
      </c>
      <c r="AH4538" s="1">
        <f>HYPERLINK("https://my.pitchbook.com?c=121913-20T","View Company Online")</f>
      </c>
    </row>
    <row r="4539">
      <c r="A4539" s="3" t="s">
        <v>22197</v>
      </c>
      <c r="B4539" s="3" t="s">
        <v>22198</v>
      </c>
      <c r="C4539" s="5">
        <v>1</v>
      </c>
      <c r="D4539" s="5">
        <v>8</v>
      </c>
      <c r="E4539" s="5">
        <v>2</v>
      </c>
      <c r="F4539" s="5">
        <v>11</v>
      </c>
      <c r="G4539" s="6" t="s">
        <v>36</v>
      </c>
      <c r="H4539" s="4" t="s">
        <v>36</v>
      </c>
      <c r="I4539" s="7" t="s">
        <v>36</v>
      </c>
      <c r="J4539" s="3" t="s">
        <v>36</v>
      </c>
      <c r="K4539" s="9">
        <v>43290</v>
      </c>
      <c r="L4539" s="6" t="s">
        <v>36</v>
      </c>
      <c r="M4539" s="3" t="s">
        <v>36</v>
      </c>
      <c r="N4539" s="3" t="s">
        <v>36</v>
      </c>
      <c r="O4539" s="8" t="s">
        <v>36</v>
      </c>
      <c r="P4539" s="3" t="s">
        <v>36</v>
      </c>
      <c r="Q4539" s="3" t="s">
        <v>36</v>
      </c>
      <c r="R4539" s="3" t="s">
        <v>36</v>
      </c>
      <c r="S4539" s="3" t="s">
        <v>36</v>
      </c>
      <c r="T4539" s="3" t="s">
        <v>6614</v>
      </c>
      <c r="U4539" s="3" t="s">
        <v>279</v>
      </c>
      <c r="V4539" s="3" t="s">
        <v>64</v>
      </c>
      <c r="W4539" s="3" t="s">
        <v>22199</v>
      </c>
      <c r="X4539" s="10" t="s">
        <v>22200</v>
      </c>
      <c r="Y4539" s="6" t="s">
        <v>55</v>
      </c>
      <c r="Z4539" s="4">
        <v>45.18</v>
      </c>
      <c r="AA4539" s="4" t="s">
        <v>36</v>
      </c>
      <c r="AB4539" s="3" t="s">
        <v>43</v>
      </c>
      <c r="AC4539" s="3" t="s">
        <v>22201</v>
      </c>
      <c r="AD4539" s="9">
        <v>43647</v>
      </c>
      <c r="AE4539" s="3" t="s">
        <v>740</v>
      </c>
      <c r="AF4539" s="3" t="s">
        <v>1077</v>
      </c>
      <c r="AG4539" s="3" t="s">
        <v>81</v>
      </c>
      <c r="AH4539" s="11">
        <f>HYPERLINK("https://my.pitchbook.com?c=123877-81T","View Company Online")</f>
      </c>
    </row>
    <row r="4540">
      <c r="A4540" s="12" t="s">
        <v>22202</v>
      </c>
      <c r="B4540" s="12" t="s">
        <v>22203</v>
      </c>
      <c r="C4540" s="19" t="s">
        <v>36</v>
      </c>
      <c r="D4540" s="19" t="s">
        <v>36</v>
      </c>
      <c r="E4540" s="19" t="s">
        <v>36</v>
      </c>
      <c r="F4540" s="19" t="s">
        <v>36</v>
      </c>
      <c r="G4540" s="15" t="s">
        <v>36</v>
      </c>
      <c r="H4540" s="14" t="s">
        <v>36</v>
      </c>
      <c r="I4540" s="18" t="s">
        <v>36</v>
      </c>
      <c r="J4540" s="12" t="s">
        <v>36</v>
      </c>
      <c r="K4540" s="13" t="s">
        <v>36</v>
      </c>
      <c r="L4540" s="15" t="s">
        <v>36</v>
      </c>
      <c r="M4540" s="12" t="s">
        <v>36</v>
      </c>
      <c r="N4540" s="12" t="s">
        <v>36</v>
      </c>
      <c r="O4540" s="17" t="s">
        <v>36</v>
      </c>
      <c r="P4540" s="12" t="s">
        <v>36</v>
      </c>
      <c r="Q4540" s="12" t="s">
        <v>36</v>
      </c>
      <c r="R4540" s="12" t="s">
        <v>36</v>
      </c>
      <c r="S4540" s="12" t="s">
        <v>3570</v>
      </c>
      <c r="T4540" s="12" t="s">
        <v>1596</v>
      </c>
      <c r="U4540" s="12" t="s">
        <v>728</v>
      </c>
      <c r="V4540" s="12" t="s">
        <v>64</v>
      </c>
      <c r="W4540" s="12" t="s">
        <v>22204</v>
      </c>
      <c r="X4540" s="16" t="s">
        <v>22205</v>
      </c>
      <c r="Y4540" s="15" t="s">
        <v>42</v>
      </c>
      <c r="Z4540" s="14" t="s">
        <v>36</v>
      </c>
      <c r="AA4540" s="14" t="s">
        <v>36</v>
      </c>
      <c r="AB4540" s="12" t="s">
        <v>43</v>
      </c>
      <c r="AC4540" s="12" t="s">
        <v>22206</v>
      </c>
      <c r="AD4540" s="13">
        <v>43647</v>
      </c>
      <c r="AE4540" s="12" t="s">
        <v>1600</v>
      </c>
      <c r="AF4540" s="12" t="s">
        <v>90</v>
      </c>
      <c r="AG4540" s="12" t="s">
        <v>81</v>
      </c>
      <c r="AH4540" s="1">
        <f>HYPERLINK("https://my.pitchbook.com?c=202059-46T","View Company Online")</f>
      </c>
    </row>
    <row r="4541">
      <c r="A4541" s="3" t="s">
        <v>22207</v>
      </c>
      <c r="B4541" s="3" t="s">
        <v>6845</v>
      </c>
      <c r="C4541" s="5" t="s">
        <v>36</v>
      </c>
      <c r="D4541" s="5" t="s">
        <v>36</v>
      </c>
      <c r="E4541" s="5" t="s">
        <v>36</v>
      </c>
      <c r="F4541" s="5" t="s">
        <v>36</v>
      </c>
      <c r="G4541" s="6" t="s">
        <v>326</v>
      </c>
      <c r="H4541" s="4">
        <v>3.46</v>
      </c>
      <c r="I4541" s="7">
        <v>30.4</v>
      </c>
      <c r="J4541" s="3" t="s">
        <v>521</v>
      </c>
      <c r="K4541" s="9" t="s">
        <v>36</v>
      </c>
      <c r="L4541" s="6" t="s">
        <v>36</v>
      </c>
      <c r="M4541" s="3" t="s">
        <v>36</v>
      </c>
      <c r="N4541" s="3" t="s">
        <v>36</v>
      </c>
      <c r="O4541" s="8" t="s">
        <v>36</v>
      </c>
      <c r="P4541" s="3" t="s">
        <v>36</v>
      </c>
      <c r="Q4541" s="3" t="s">
        <v>36</v>
      </c>
      <c r="R4541" s="3" t="s">
        <v>36</v>
      </c>
      <c r="S4541" s="3" t="s">
        <v>36</v>
      </c>
      <c r="T4541" s="3" t="s">
        <v>1708</v>
      </c>
      <c r="U4541" s="3" t="s">
        <v>74</v>
      </c>
      <c r="V4541" s="3" t="s">
        <v>75</v>
      </c>
      <c r="W4541" s="3" t="s">
        <v>6846</v>
      </c>
      <c r="X4541" s="10" t="s">
        <v>22208</v>
      </c>
      <c r="Y4541" s="6" t="s">
        <v>42</v>
      </c>
      <c r="Z4541" s="4">
        <v>2.71</v>
      </c>
      <c r="AA4541" s="4">
        <v>8.92</v>
      </c>
      <c r="AB4541" s="3" t="s">
        <v>43</v>
      </c>
      <c r="AC4541" s="3" t="s">
        <v>6848</v>
      </c>
      <c r="AD4541" s="9">
        <v>43647</v>
      </c>
      <c r="AE4541" s="3" t="s">
        <v>975</v>
      </c>
      <c r="AF4541" s="3" t="s">
        <v>36</v>
      </c>
      <c r="AG4541" s="3" t="s">
        <v>4520</v>
      </c>
      <c r="AH4541" s="11">
        <f>HYPERLINK("https://my.pitchbook.com?c=168378-13T","View Company Online")</f>
      </c>
    </row>
    <row r="4542">
      <c r="A4542" s="12" t="s">
        <v>22209</v>
      </c>
      <c r="B4542" s="12" t="s">
        <v>22210</v>
      </c>
      <c r="C4542" s="19" t="s">
        <v>36</v>
      </c>
      <c r="D4542" s="19" t="s">
        <v>36</v>
      </c>
      <c r="E4542" s="19" t="s">
        <v>36</v>
      </c>
      <c r="F4542" s="19" t="s">
        <v>36</v>
      </c>
      <c r="G4542" s="15" t="s">
        <v>36</v>
      </c>
      <c r="H4542" s="14">
        <v>43.75</v>
      </c>
      <c r="I4542" s="18">
        <v>33.97</v>
      </c>
      <c r="J4542" s="12" t="s">
        <v>521</v>
      </c>
      <c r="K4542" s="13" t="s">
        <v>36</v>
      </c>
      <c r="L4542" s="15" t="s">
        <v>36</v>
      </c>
      <c r="M4542" s="12" t="s">
        <v>36</v>
      </c>
      <c r="N4542" s="12" t="s">
        <v>36</v>
      </c>
      <c r="O4542" s="17" t="s">
        <v>36</v>
      </c>
      <c r="P4542" s="12" t="s">
        <v>36</v>
      </c>
      <c r="Q4542" s="12" t="s">
        <v>36</v>
      </c>
      <c r="R4542" s="12" t="s">
        <v>36</v>
      </c>
      <c r="S4542" s="12" t="s">
        <v>36</v>
      </c>
      <c r="T4542" s="12" t="s">
        <v>5181</v>
      </c>
      <c r="U4542" s="12" t="s">
        <v>38</v>
      </c>
      <c r="V4542" s="12" t="s">
        <v>39</v>
      </c>
      <c r="W4542" s="12" t="s">
        <v>22211</v>
      </c>
      <c r="X4542" s="16" t="s">
        <v>22212</v>
      </c>
      <c r="Y4542" s="15" t="s">
        <v>42</v>
      </c>
      <c r="Z4542" s="14">
        <v>2.86</v>
      </c>
      <c r="AA4542" s="14">
        <v>8.41</v>
      </c>
      <c r="AB4542" s="12" t="s">
        <v>43</v>
      </c>
      <c r="AC4542" s="12" t="s">
        <v>22213</v>
      </c>
      <c r="AD4542" s="13">
        <v>43647</v>
      </c>
      <c r="AE4542" s="12" t="s">
        <v>110</v>
      </c>
      <c r="AF4542" s="12" t="s">
        <v>22214</v>
      </c>
      <c r="AG4542" s="12" t="s">
        <v>81</v>
      </c>
      <c r="AH4542" s="1">
        <f>HYPERLINK("https://my.pitchbook.com?c=116527-42T","View Company Online")</f>
      </c>
    </row>
    <row r="4543">
      <c r="A4543" s="3" t="s">
        <v>22215</v>
      </c>
      <c r="B4543" s="3" t="s">
        <v>22216</v>
      </c>
      <c r="C4543" s="5" t="s">
        <v>36</v>
      </c>
      <c r="D4543" s="5" t="s">
        <v>36</v>
      </c>
      <c r="E4543" s="5" t="s">
        <v>36</v>
      </c>
      <c r="F4543" s="5" t="s">
        <v>36</v>
      </c>
      <c r="G4543" s="6" t="s">
        <v>36</v>
      </c>
      <c r="H4543" s="4">
        <v>1722.33</v>
      </c>
      <c r="I4543" s="7">
        <v>26.18</v>
      </c>
      <c r="J4543" s="3" t="s">
        <v>521</v>
      </c>
      <c r="K4543" s="9" t="s">
        <v>36</v>
      </c>
      <c r="L4543" s="6" t="s">
        <v>36</v>
      </c>
      <c r="M4543" s="3" t="s">
        <v>36</v>
      </c>
      <c r="N4543" s="3" t="s">
        <v>36</v>
      </c>
      <c r="O4543" s="8" t="s">
        <v>36</v>
      </c>
      <c r="P4543" s="3" t="s">
        <v>36</v>
      </c>
      <c r="Q4543" s="3" t="s">
        <v>36</v>
      </c>
      <c r="R4543" s="3" t="s">
        <v>36</v>
      </c>
      <c r="S4543" s="3" t="s">
        <v>36</v>
      </c>
      <c r="T4543" s="3" t="s">
        <v>942</v>
      </c>
      <c r="U4543" s="3" t="s">
        <v>38</v>
      </c>
      <c r="V4543" s="3" t="s">
        <v>39</v>
      </c>
      <c r="W4543" s="3" t="s">
        <v>22217</v>
      </c>
      <c r="X4543" s="10" t="s">
        <v>22218</v>
      </c>
      <c r="Y4543" s="6" t="s">
        <v>42</v>
      </c>
      <c r="Z4543" s="4">
        <v>1.13</v>
      </c>
      <c r="AA4543" s="4">
        <v>4.31</v>
      </c>
      <c r="AB4543" s="3" t="s">
        <v>43</v>
      </c>
      <c r="AC4543" s="3" t="s">
        <v>22219</v>
      </c>
      <c r="AD4543" s="9">
        <v>43647</v>
      </c>
      <c r="AE4543" s="3" t="s">
        <v>45</v>
      </c>
      <c r="AF4543" s="3" t="s">
        <v>5816</v>
      </c>
      <c r="AG4543" s="3" t="s">
        <v>81</v>
      </c>
      <c r="AH4543" s="11">
        <f>HYPERLINK("https://my.pitchbook.com?c=126116-56T","View Company Online")</f>
      </c>
    </row>
    <row r="4544">
      <c r="A4544" s="12" t="s">
        <v>22220</v>
      </c>
      <c r="B4544" s="12" t="s">
        <v>7542</v>
      </c>
      <c r="C4544" s="19" t="s">
        <v>36</v>
      </c>
      <c r="D4544" s="19" t="s">
        <v>36</v>
      </c>
      <c r="E4544" s="19" t="s">
        <v>36</v>
      </c>
      <c r="F4544" s="19" t="s">
        <v>36</v>
      </c>
      <c r="G4544" s="15" t="s">
        <v>36</v>
      </c>
      <c r="H4544" s="14">
        <v>15.14</v>
      </c>
      <c r="I4544" s="18">
        <v>22.22</v>
      </c>
      <c r="J4544" s="12" t="s">
        <v>521</v>
      </c>
      <c r="K4544" s="13" t="s">
        <v>36</v>
      </c>
      <c r="L4544" s="15" t="s">
        <v>122</v>
      </c>
      <c r="M4544" s="12" t="s">
        <v>36</v>
      </c>
      <c r="N4544" s="12" t="s">
        <v>122</v>
      </c>
      <c r="O4544" s="17" t="s">
        <v>36</v>
      </c>
      <c r="P4544" s="12" t="s">
        <v>36</v>
      </c>
      <c r="Q4544" s="12" t="s">
        <v>36</v>
      </c>
      <c r="R4544" s="12" t="s">
        <v>36</v>
      </c>
      <c r="S4544" s="12" t="s">
        <v>36</v>
      </c>
      <c r="T4544" s="12" t="s">
        <v>7543</v>
      </c>
      <c r="U4544" s="12" t="s">
        <v>648</v>
      </c>
      <c r="V4544" s="12" t="s">
        <v>64</v>
      </c>
      <c r="W4544" s="12" t="s">
        <v>7544</v>
      </c>
      <c r="X4544" s="16" t="s">
        <v>22221</v>
      </c>
      <c r="Y4544" s="15" t="s">
        <v>108</v>
      </c>
      <c r="Z4544" s="14">
        <v>4.52</v>
      </c>
      <c r="AA4544" s="14">
        <v>20.33</v>
      </c>
      <c r="AB4544" s="12" t="s">
        <v>43</v>
      </c>
      <c r="AC4544" s="12" t="s">
        <v>7546</v>
      </c>
      <c r="AD4544" s="13">
        <v>43647</v>
      </c>
      <c r="AE4544" s="12" t="s">
        <v>1897</v>
      </c>
      <c r="AF4544" s="12" t="s">
        <v>1115</v>
      </c>
      <c r="AG4544" s="12" t="s">
        <v>81</v>
      </c>
      <c r="AH4544" s="1">
        <f>HYPERLINK("https://my.pitchbook.com?c=124694-47T","View Company Online")</f>
      </c>
    </row>
    <row r="4545">
      <c r="A4545" s="3" t="s">
        <v>22222</v>
      </c>
      <c r="B4545" s="3" t="s">
        <v>22223</v>
      </c>
      <c r="C4545" s="5" t="s">
        <v>36</v>
      </c>
      <c r="D4545" s="5" t="s">
        <v>36</v>
      </c>
      <c r="E4545" s="5" t="s">
        <v>36</v>
      </c>
      <c r="F4545" s="5" t="s">
        <v>36</v>
      </c>
      <c r="G4545" s="6" t="s">
        <v>36</v>
      </c>
      <c r="H4545" s="4" t="s">
        <v>36</v>
      </c>
      <c r="I4545" s="7" t="s">
        <v>36</v>
      </c>
      <c r="J4545" s="3" t="s">
        <v>36</v>
      </c>
      <c r="K4545" s="9" t="s">
        <v>36</v>
      </c>
      <c r="L4545" s="6" t="s">
        <v>36</v>
      </c>
      <c r="M4545" s="3" t="s">
        <v>36</v>
      </c>
      <c r="N4545" s="3" t="s">
        <v>36</v>
      </c>
      <c r="O4545" s="8" t="s">
        <v>36</v>
      </c>
      <c r="P4545" s="3" t="s">
        <v>36</v>
      </c>
      <c r="Q4545" s="3" t="s">
        <v>36</v>
      </c>
      <c r="R4545" s="3" t="s">
        <v>36</v>
      </c>
      <c r="S4545" s="3" t="s">
        <v>36</v>
      </c>
      <c r="T4545" s="3" t="s">
        <v>22224</v>
      </c>
      <c r="U4545" s="3" t="s">
        <v>438</v>
      </c>
      <c r="V4545" s="3" t="s">
        <v>405</v>
      </c>
      <c r="W4545" s="3" t="s">
        <v>22225</v>
      </c>
      <c r="X4545" s="10" t="s">
        <v>22226</v>
      </c>
      <c r="Y4545" s="6" t="s">
        <v>42</v>
      </c>
      <c r="Z4545" s="4" t="s">
        <v>36</v>
      </c>
      <c r="AA4545" s="4" t="s">
        <v>36</v>
      </c>
      <c r="AB4545" s="3" t="s">
        <v>43</v>
      </c>
      <c r="AC4545" s="3" t="s">
        <v>22227</v>
      </c>
      <c r="AD4545" s="9">
        <v>43647</v>
      </c>
      <c r="AE4545" s="3" t="s">
        <v>438</v>
      </c>
      <c r="AF4545" s="3" t="s">
        <v>5816</v>
      </c>
      <c r="AG4545" s="3" t="s">
        <v>81</v>
      </c>
      <c r="AH4545" s="11">
        <f>HYPERLINK("https://my.pitchbook.com?c=130124-08T","View Company Online")</f>
      </c>
    </row>
    <row r="4546">
      <c r="A4546" s="12" t="s">
        <v>22228</v>
      </c>
      <c r="B4546" s="12" t="s">
        <v>22229</v>
      </c>
      <c r="C4546" s="19" t="s">
        <v>36</v>
      </c>
      <c r="D4546" s="19" t="s">
        <v>36</v>
      </c>
      <c r="E4546" s="19" t="s">
        <v>36</v>
      </c>
      <c r="F4546" s="19" t="s">
        <v>36</v>
      </c>
      <c r="G4546" s="15" t="s">
        <v>36</v>
      </c>
      <c r="H4546" s="14" t="s">
        <v>36</v>
      </c>
      <c r="I4546" s="18" t="s">
        <v>36</v>
      </c>
      <c r="J4546" s="12" t="s">
        <v>36</v>
      </c>
      <c r="K4546" s="13" t="s">
        <v>36</v>
      </c>
      <c r="L4546" s="15" t="s">
        <v>36</v>
      </c>
      <c r="M4546" s="12" t="s">
        <v>36</v>
      </c>
      <c r="N4546" s="12" t="s">
        <v>36</v>
      </c>
      <c r="O4546" s="17" t="s">
        <v>36</v>
      </c>
      <c r="P4546" s="12" t="s">
        <v>36</v>
      </c>
      <c r="Q4546" s="12" t="s">
        <v>36</v>
      </c>
      <c r="R4546" s="12" t="s">
        <v>36</v>
      </c>
      <c r="S4546" s="12" t="s">
        <v>4331</v>
      </c>
      <c r="T4546" s="12" t="s">
        <v>22230</v>
      </c>
      <c r="U4546" s="12" t="s">
        <v>74</v>
      </c>
      <c r="V4546" s="12" t="s">
        <v>75</v>
      </c>
      <c r="W4546" s="12" t="s">
        <v>22231</v>
      </c>
      <c r="X4546" s="16" t="s">
        <v>22232</v>
      </c>
      <c r="Y4546" s="15" t="s">
        <v>42</v>
      </c>
      <c r="Z4546" s="14">
        <v>0.2</v>
      </c>
      <c r="AA4546" s="14" t="s">
        <v>36</v>
      </c>
      <c r="AB4546" s="12" t="s">
        <v>43</v>
      </c>
      <c r="AC4546" s="12" t="s">
        <v>22233</v>
      </c>
      <c r="AD4546" s="13">
        <v>43647</v>
      </c>
      <c r="AE4546" s="12" t="s">
        <v>79</v>
      </c>
      <c r="AF4546" s="12" t="s">
        <v>36</v>
      </c>
      <c r="AG4546" s="12" t="s">
        <v>22234</v>
      </c>
      <c r="AH4546" s="1">
        <f>HYPERLINK("https://my.pitchbook.com?c=140451-13T","View Company Online")</f>
      </c>
    </row>
    <row r="4547">
      <c r="A4547" s="3" t="s">
        <v>22235</v>
      </c>
      <c r="B4547" s="3" t="s">
        <v>9259</v>
      </c>
      <c r="C4547" s="5" t="s">
        <v>36</v>
      </c>
      <c r="D4547" s="5" t="s">
        <v>36</v>
      </c>
      <c r="E4547" s="5" t="s">
        <v>36</v>
      </c>
      <c r="F4547" s="5" t="s">
        <v>36</v>
      </c>
      <c r="G4547" s="6" t="s">
        <v>326</v>
      </c>
      <c r="H4547" s="4">
        <v>61.34</v>
      </c>
      <c r="I4547" s="7">
        <v>12.75</v>
      </c>
      <c r="J4547" s="3" t="s">
        <v>521</v>
      </c>
      <c r="K4547" s="9" t="s">
        <v>36</v>
      </c>
      <c r="L4547" s="6" t="s">
        <v>36</v>
      </c>
      <c r="M4547" s="3" t="s">
        <v>36</v>
      </c>
      <c r="N4547" s="3" t="s">
        <v>36</v>
      </c>
      <c r="O4547" s="8" t="s">
        <v>36</v>
      </c>
      <c r="P4547" s="3" t="s">
        <v>36</v>
      </c>
      <c r="Q4547" s="3" t="s">
        <v>36</v>
      </c>
      <c r="R4547" s="3" t="s">
        <v>36</v>
      </c>
      <c r="S4547" s="3" t="s">
        <v>36</v>
      </c>
      <c r="T4547" s="3" t="s">
        <v>4361</v>
      </c>
      <c r="U4547" s="3" t="s">
        <v>648</v>
      </c>
      <c r="V4547" s="3" t="s">
        <v>64</v>
      </c>
      <c r="W4547" s="3" t="s">
        <v>9260</v>
      </c>
      <c r="X4547" s="10" t="s">
        <v>22236</v>
      </c>
      <c r="Y4547" s="6" t="s">
        <v>108</v>
      </c>
      <c r="Z4547" s="4">
        <v>2.26</v>
      </c>
      <c r="AA4547" s="4">
        <v>17.71</v>
      </c>
      <c r="AB4547" s="3" t="s">
        <v>43</v>
      </c>
      <c r="AC4547" s="3" t="s">
        <v>9262</v>
      </c>
      <c r="AD4547" s="9">
        <v>43646</v>
      </c>
      <c r="AE4547" s="3" t="s">
        <v>651</v>
      </c>
      <c r="AF4547" s="3" t="s">
        <v>118</v>
      </c>
      <c r="AG4547" s="3" t="s">
        <v>81</v>
      </c>
      <c r="AH4547" s="11">
        <f>HYPERLINK("https://my.pitchbook.com?c=108626-77T","View Company Online")</f>
      </c>
    </row>
    <row r="4548">
      <c r="A4548" s="12" t="s">
        <v>22237</v>
      </c>
      <c r="B4548" s="12" t="s">
        <v>10143</v>
      </c>
      <c r="C4548" s="19" t="s">
        <v>36</v>
      </c>
      <c r="D4548" s="19" t="s">
        <v>36</v>
      </c>
      <c r="E4548" s="19" t="s">
        <v>36</v>
      </c>
      <c r="F4548" s="19" t="s">
        <v>36</v>
      </c>
      <c r="G4548" s="15" t="s">
        <v>36</v>
      </c>
      <c r="H4548" s="14">
        <v>1950.86</v>
      </c>
      <c r="I4548" s="18">
        <v>12.45</v>
      </c>
      <c r="J4548" s="12" t="s">
        <v>521</v>
      </c>
      <c r="K4548" s="13" t="s">
        <v>36</v>
      </c>
      <c r="L4548" s="15" t="s">
        <v>36</v>
      </c>
      <c r="M4548" s="12" t="s">
        <v>36</v>
      </c>
      <c r="N4548" s="12" t="s">
        <v>36</v>
      </c>
      <c r="O4548" s="17" t="s">
        <v>36</v>
      </c>
      <c r="P4548" s="12" t="s">
        <v>36</v>
      </c>
      <c r="Q4548" s="12" t="s">
        <v>36</v>
      </c>
      <c r="R4548" s="12" t="s">
        <v>36</v>
      </c>
      <c r="S4548" s="12" t="s">
        <v>36</v>
      </c>
      <c r="T4548" s="12" t="s">
        <v>1701</v>
      </c>
      <c r="U4548" s="12" t="s">
        <v>74</v>
      </c>
      <c r="V4548" s="12" t="s">
        <v>75</v>
      </c>
      <c r="W4548" s="12" t="s">
        <v>10144</v>
      </c>
      <c r="X4548" s="16" t="s">
        <v>22238</v>
      </c>
      <c r="Y4548" s="15" t="s">
        <v>42</v>
      </c>
      <c r="Z4548" s="14">
        <v>3.39</v>
      </c>
      <c r="AA4548" s="14">
        <v>27.21</v>
      </c>
      <c r="AB4548" s="12" t="s">
        <v>43</v>
      </c>
      <c r="AC4548" s="12" t="s">
        <v>10146</v>
      </c>
      <c r="AD4548" s="13">
        <v>43646</v>
      </c>
      <c r="AE4548" s="12" t="s">
        <v>79</v>
      </c>
      <c r="AF4548" s="12" t="s">
        <v>10147</v>
      </c>
      <c r="AG4548" s="12" t="s">
        <v>81</v>
      </c>
      <c r="AH4548" s="1">
        <f>HYPERLINK("https://my.pitchbook.com?c=180540-19T","View Company Online")</f>
      </c>
    </row>
    <row r="4549">
      <c r="A4549" s="3" t="s">
        <v>22239</v>
      </c>
      <c r="B4549" s="3" t="s">
        <v>15047</v>
      </c>
      <c r="C4549" s="5" t="s">
        <v>36</v>
      </c>
      <c r="D4549" s="5" t="s">
        <v>36</v>
      </c>
      <c r="E4549" s="5" t="s">
        <v>36</v>
      </c>
      <c r="F4549" s="5" t="s">
        <v>36</v>
      </c>
      <c r="G4549" s="6" t="s">
        <v>36</v>
      </c>
      <c r="H4549" s="4" t="s">
        <v>36</v>
      </c>
      <c r="I4549" s="7" t="s">
        <v>36</v>
      </c>
      <c r="J4549" s="3" t="s">
        <v>36</v>
      </c>
      <c r="K4549" s="9">
        <v>43627</v>
      </c>
      <c r="L4549" s="6" t="s">
        <v>36</v>
      </c>
      <c r="M4549" s="3" t="s">
        <v>36</v>
      </c>
      <c r="N4549" s="3" t="s">
        <v>36</v>
      </c>
      <c r="O4549" s="8" t="s">
        <v>36</v>
      </c>
      <c r="P4549" s="3" t="s">
        <v>36</v>
      </c>
      <c r="Q4549" s="3" t="s">
        <v>36</v>
      </c>
      <c r="R4549" s="3" t="s">
        <v>36</v>
      </c>
      <c r="S4549" s="3" t="s">
        <v>36</v>
      </c>
      <c r="T4549" s="3" t="s">
        <v>5302</v>
      </c>
      <c r="U4549" s="3" t="s">
        <v>74</v>
      </c>
      <c r="V4549" s="3" t="s">
        <v>75</v>
      </c>
      <c r="W4549" s="3" t="s">
        <v>15048</v>
      </c>
      <c r="X4549" s="10" t="s">
        <v>22240</v>
      </c>
      <c r="Y4549" s="6" t="s">
        <v>166</v>
      </c>
      <c r="Z4549" s="4">
        <v>6.2</v>
      </c>
      <c r="AA4549" s="4" t="s">
        <v>36</v>
      </c>
      <c r="AB4549" s="3" t="s">
        <v>56</v>
      </c>
      <c r="AC4549" s="3" t="s">
        <v>15050</v>
      </c>
      <c r="AD4549" s="9">
        <v>43644</v>
      </c>
      <c r="AE4549" s="3" t="s">
        <v>362</v>
      </c>
      <c r="AF4549" s="3" t="s">
        <v>8635</v>
      </c>
      <c r="AG4549" s="3" t="s">
        <v>81</v>
      </c>
      <c r="AH4549" s="11">
        <f>HYPERLINK("https://my.pitchbook.com?c=120244-06T","View Company Online")</f>
      </c>
    </row>
    <row r="4550">
      <c r="A4550" s="12" t="s">
        <v>22241</v>
      </c>
      <c r="B4550" s="12" t="s">
        <v>12686</v>
      </c>
      <c r="C4550" s="19" t="s">
        <v>36</v>
      </c>
      <c r="D4550" s="19" t="s">
        <v>36</v>
      </c>
      <c r="E4550" s="19" t="s">
        <v>36</v>
      </c>
      <c r="F4550" s="19" t="s">
        <v>36</v>
      </c>
      <c r="G4550" s="15" t="s">
        <v>36</v>
      </c>
      <c r="H4550" s="14">
        <v>204.75</v>
      </c>
      <c r="I4550" s="18">
        <v>28.34</v>
      </c>
      <c r="J4550" s="12" t="s">
        <v>521</v>
      </c>
      <c r="K4550" s="13" t="s">
        <v>36</v>
      </c>
      <c r="L4550" s="15" t="s">
        <v>36</v>
      </c>
      <c r="M4550" s="12" t="s">
        <v>36</v>
      </c>
      <c r="N4550" s="12" t="s">
        <v>36</v>
      </c>
      <c r="O4550" s="17" t="s">
        <v>36</v>
      </c>
      <c r="P4550" s="12" t="s">
        <v>36</v>
      </c>
      <c r="Q4550" s="12" t="s">
        <v>36</v>
      </c>
      <c r="R4550" s="12" t="s">
        <v>36</v>
      </c>
      <c r="S4550" s="12" t="s">
        <v>36</v>
      </c>
      <c r="T4550" s="12" t="s">
        <v>472</v>
      </c>
      <c r="U4550" s="12" t="s">
        <v>38</v>
      </c>
      <c r="V4550" s="12" t="s">
        <v>39</v>
      </c>
      <c r="W4550" s="12" t="s">
        <v>12687</v>
      </c>
      <c r="X4550" s="16" t="s">
        <v>22242</v>
      </c>
      <c r="Y4550" s="15" t="s">
        <v>42</v>
      </c>
      <c r="Z4550" s="14">
        <v>2.25</v>
      </c>
      <c r="AA4550" s="14">
        <v>5.51</v>
      </c>
      <c r="AB4550" s="12" t="s">
        <v>43</v>
      </c>
      <c r="AC4550" s="12" t="s">
        <v>12689</v>
      </c>
      <c r="AD4550" s="13">
        <v>43644</v>
      </c>
      <c r="AE4550" s="12" t="s">
        <v>110</v>
      </c>
      <c r="AF4550" s="12" t="s">
        <v>12690</v>
      </c>
      <c r="AG4550" s="12" t="s">
        <v>81</v>
      </c>
      <c r="AH4550" s="1">
        <f>HYPERLINK("https://my.pitchbook.com?c=116518-87T","View Company Online")</f>
      </c>
    </row>
    <row r="4551">
      <c r="A4551" s="3" t="s">
        <v>22243</v>
      </c>
      <c r="B4551" s="3" t="s">
        <v>22244</v>
      </c>
      <c r="C4551" s="5" t="s">
        <v>36</v>
      </c>
      <c r="D4551" s="5" t="s">
        <v>36</v>
      </c>
      <c r="E4551" s="5">
        <v>1</v>
      </c>
      <c r="F4551" s="5">
        <v>1</v>
      </c>
      <c r="G4551" s="6" t="s">
        <v>36</v>
      </c>
      <c r="H4551" s="4">
        <v>20.77</v>
      </c>
      <c r="I4551" s="7">
        <v>25</v>
      </c>
      <c r="J4551" s="3" t="s">
        <v>521</v>
      </c>
      <c r="K4551" s="9" t="s">
        <v>36</v>
      </c>
      <c r="L4551" s="6" t="s">
        <v>36</v>
      </c>
      <c r="M4551" s="3" t="s">
        <v>36</v>
      </c>
      <c r="N4551" s="3" t="s">
        <v>36</v>
      </c>
      <c r="O4551" s="8" t="s">
        <v>36</v>
      </c>
      <c r="P4551" s="3" t="s">
        <v>36</v>
      </c>
      <c r="Q4551" s="3" t="s">
        <v>36</v>
      </c>
      <c r="R4551" s="3" t="s">
        <v>36</v>
      </c>
      <c r="S4551" s="3" t="s">
        <v>36</v>
      </c>
      <c r="T4551" s="3" t="s">
        <v>1725</v>
      </c>
      <c r="U4551" s="3" t="s">
        <v>318</v>
      </c>
      <c r="V4551" s="3" t="s">
        <v>39</v>
      </c>
      <c r="W4551" s="3" t="s">
        <v>22245</v>
      </c>
      <c r="X4551" s="10" t="s">
        <v>22246</v>
      </c>
      <c r="Y4551" s="6" t="s">
        <v>42</v>
      </c>
      <c r="Z4551" s="4">
        <v>0.75</v>
      </c>
      <c r="AA4551" s="4">
        <v>3.01</v>
      </c>
      <c r="AB4551" s="3" t="s">
        <v>43</v>
      </c>
      <c r="AC4551" s="3" t="s">
        <v>22247</v>
      </c>
      <c r="AD4551" s="9">
        <v>43644</v>
      </c>
      <c r="AE4551" s="3" t="s">
        <v>763</v>
      </c>
      <c r="AF4551" s="3" t="s">
        <v>7294</v>
      </c>
      <c r="AG4551" s="3" t="s">
        <v>81</v>
      </c>
      <c r="AH4551" s="11">
        <f>HYPERLINK("https://my.pitchbook.com?c=192378-25T","View Company Online")</f>
      </c>
    </row>
    <row r="4552">
      <c r="A4552" s="12" t="s">
        <v>22248</v>
      </c>
      <c r="B4552" s="12" t="s">
        <v>22249</v>
      </c>
      <c r="C4552" s="19" t="s">
        <v>36</v>
      </c>
      <c r="D4552" s="19">
        <v>7</v>
      </c>
      <c r="E4552" s="19">
        <v>3</v>
      </c>
      <c r="F4552" s="19">
        <v>10</v>
      </c>
      <c r="G4552" s="15" t="s">
        <v>326</v>
      </c>
      <c r="H4552" s="14">
        <v>463.24</v>
      </c>
      <c r="I4552" s="18">
        <v>20.58</v>
      </c>
      <c r="J4552" s="12" t="s">
        <v>521</v>
      </c>
      <c r="K4552" s="13" t="s">
        <v>36</v>
      </c>
      <c r="L4552" s="15" t="s">
        <v>36</v>
      </c>
      <c r="M4552" s="12" t="s">
        <v>36</v>
      </c>
      <c r="N4552" s="12" t="s">
        <v>36</v>
      </c>
      <c r="O4552" s="17" t="s">
        <v>36</v>
      </c>
      <c r="P4552" s="12" t="s">
        <v>36</v>
      </c>
      <c r="Q4552" s="12" t="s">
        <v>36</v>
      </c>
      <c r="R4552" s="12" t="s">
        <v>36</v>
      </c>
      <c r="S4552" s="12" t="s">
        <v>36</v>
      </c>
      <c r="T4552" s="12" t="s">
        <v>1863</v>
      </c>
      <c r="U4552" s="12" t="s">
        <v>96</v>
      </c>
      <c r="V4552" s="12" t="s">
        <v>52</v>
      </c>
      <c r="W4552" s="12" t="s">
        <v>22250</v>
      </c>
      <c r="X4552" s="16" t="s">
        <v>22251</v>
      </c>
      <c r="Y4552" s="15" t="s">
        <v>55</v>
      </c>
      <c r="Z4552" s="14">
        <v>0.76</v>
      </c>
      <c r="AA4552" s="14">
        <v>3.7</v>
      </c>
      <c r="AB4552" s="12" t="s">
        <v>56</v>
      </c>
      <c r="AC4552" s="12" t="s">
        <v>22252</v>
      </c>
      <c r="AD4552" s="13">
        <v>43643</v>
      </c>
      <c r="AE4552" s="12" t="s">
        <v>1414</v>
      </c>
      <c r="AF4552" s="12" t="s">
        <v>571</v>
      </c>
      <c r="AG4552" s="12" t="s">
        <v>22253</v>
      </c>
      <c r="AH4552" s="1">
        <f>HYPERLINK("https://my.pitchbook.com?c=187565-23T","View Company Online")</f>
      </c>
    </row>
    <row r="4553">
      <c r="A4553" s="3" t="s">
        <v>22254</v>
      </c>
      <c r="B4553" s="3" t="s">
        <v>22255</v>
      </c>
      <c r="C4553" s="5" t="s">
        <v>36</v>
      </c>
      <c r="D4553" s="5" t="s">
        <v>36</v>
      </c>
      <c r="E4553" s="5" t="s">
        <v>36</v>
      </c>
      <c r="F4553" s="5" t="s">
        <v>36</v>
      </c>
      <c r="G4553" s="6" t="s">
        <v>36</v>
      </c>
      <c r="H4553" s="4">
        <v>63.22</v>
      </c>
      <c r="I4553" s="7">
        <v>34.34</v>
      </c>
      <c r="J4553" s="3" t="s">
        <v>521</v>
      </c>
      <c r="K4553" s="9" t="s">
        <v>36</v>
      </c>
      <c r="L4553" s="6" t="s">
        <v>36</v>
      </c>
      <c r="M4553" s="3" t="s">
        <v>36</v>
      </c>
      <c r="N4553" s="3" t="s">
        <v>36</v>
      </c>
      <c r="O4553" s="8" t="s">
        <v>36</v>
      </c>
      <c r="P4553" s="3" t="s">
        <v>36</v>
      </c>
      <c r="Q4553" s="3" t="s">
        <v>36</v>
      </c>
      <c r="R4553" s="3" t="s">
        <v>36</v>
      </c>
      <c r="S4553" s="3" t="s">
        <v>36</v>
      </c>
      <c r="T4553" s="3" t="s">
        <v>21168</v>
      </c>
      <c r="U4553" s="3" t="s">
        <v>279</v>
      </c>
      <c r="V4553" s="3" t="s">
        <v>64</v>
      </c>
      <c r="W4553" s="3" t="s">
        <v>22256</v>
      </c>
      <c r="X4553" s="10" t="s">
        <v>22257</v>
      </c>
      <c r="Y4553" s="6" t="s">
        <v>42</v>
      </c>
      <c r="Z4553" s="4">
        <v>4.51</v>
      </c>
      <c r="AA4553" s="4">
        <v>10.48</v>
      </c>
      <c r="AB4553" s="3" t="s">
        <v>43</v>
      </c>
      <c r="AC4553" s="3" t="s">
        <v>22258</v>
      </c>
      <c r="AD4553" s="9">
        <v>43643</v>
      </c>
      <c r="AE4553" s="3" t="s">
        <v>283</v>
      </c>
      <c r="AF4553" s="3" t="s">
        <v>643</v>
      </c>
      <c r="AG4553" s="3" t="s">
        <v>2897</v>
      </c>
      <c r="AH4553" s="11">
        <f>HYPERLINK("https://my.pitchbook.com?c=120299-41T","View Company Online")</f>
      </c>
    </row>
    <row r="4554">
      <c r="A4554" s="12" t="s">
        <v>22259</v>
      </c>
      <c r="B4554" s="12" t="s">
        <v>22260</v>
      </c>
      <c r="C4554" s="19" t="s">
        <v>36</v>
      </c>
      <c r="D4554" s="19" t="s">
        <v>36</v>
      </c>
      <c r="E4554" s="19" t="s">
        <v>36</v>
      </c>
      <c r="F4554" s="19" t="s">
        <v>36</v>
      </c>
      <c r="G4554" s="15" t="s">
        <v>36</v>
      </c>
      <c r="H4554" s="14">
        <v>6.93</v>
      </c>
      <c r="I4554" s="18">
        <v>27.27</v>
      </c>
      <c r="J4554" s="12" t="s">
        <v>521</v>
      </c>
      <c r="K4554" s="13" t="s">
        <v>36</v>
      </c>
      <c r="L4554" s="15" t="s">
        <v>36</v>
      </c>
      <c r="M4554" s="12" t="s">
        <v>36</v>
      </c>
      <c r="N4554" s="12" t="s">
        <v>36</v>
      </c>
      <c r="O4554" s="17" t="s">
        <v>36</v>
      </c>
      <c r="P4554" s="12" t="s">
        <v>36</v>
      </c>
      <c r="Q4554" s="12" t="s">
        <v>36</v>
      </c>
      <c r="R4554" s="12" t="s">
        <v>36</v>
      </c>
      <c r="S4554" s="12" t="s">
        <v>36</v>
      </c>
      <c r="T4554" s="12" t="s">
        <v>1260</v>
      </c>
      <c r="U4554" s="12" t="s">
        <v>38</v>
      </c>
      <c r="V4554" s="12" t="s">
        <v>39</v>
      </c>
      <c r="W4554" s="12" t="s">
        <v>22261</v>
      </c>
      <c r="X4554" s="16" t="s">
        <v>22262</v>
      </c>
      <c r="Y4554" s="15" t="s">
        <v>42</v>
      </c>
      <c r="Z4554" s="14">
        <v>1.27</v>
      </c>
      <c r="AA4554" s="14">
        <v>3.1</v>
      </c>
      <c r="AB4554" s="12" t="s">
        <v>43</v>
      </c>
      <c r="AC4554" s="12" t="s">
        <v>22263</v>
      </c>
      <c r="AD4554" s="13">
        <v>43643</v>
      </c>
      <c r="AE4554" s="12" t="s">
        <v>110</v>
      </c>
      <c r="AF4554" s="12" t="s">
        <v>22264</v>
      </c>
      <c r="AG4554" s="12" t="s">
        <v>1078</v>
      </c>
      <c r="AH4554" s="1">
        <f>HYPERLINK("https://my.pitchbook.com?c=133343-56T","View Company Online")</f>
      </c>
    </row>
    <row r="4555">
      <c r="A4555" s="3" t="s">
        <v>22265</v>
      </c>
      <c r="B4555" s="3" t="s">
        <v>13855</v>
      </c>
      <c r="C4555" s="5" t="s">
        <v>36</v>
      </c>
      <c r="D4555" s="5">
        <v>2</v>
      </c>
      <c r="E4555" s="5">
        <v>2</v>
      </c>
      <c r="F4555" s="5">
        <v>2</v>
      </c>
      <c r="G4555" s="6" t="s">
        <v>36</v>
      </c>
      <c r="H4555" s="4">
        <v>95.03</v>
      </c>
      <c r="I4555" s="7">
        <v>36.33</v>
      </c>
      <c r="J4555" s="3" t="s">
        <v>521</v>
      </c>
      <c r="K4555" s="9" t="s">
        <v>36</v>
      </c>
      <c r="L4555" s="6" t="s">
        <v>36</v>
      </c>
      <c r="M4555" s="3" t="s">
        <v>36</v>
      </c>
      <c r="N4555" s="3" t="s">
        <v>36</v>
      </c>
      <c r="O4555" s="8" t="s">
        <v>36</v>
      </c>
      <c r="P4555" s="3" t="s">
        <v>36</v>
      </c>
      <c r="Q4555" s="3" t="s">
        <v>36</v>
      </c>
      <c r="R4555" s="3" t="s">
        <v>36</v>
      </c>
      <c r="S4555" s="3" t="s">
        <v>36</v>
      </c>
      <c r="T4555" s="3" t="s">
        <v>2213</v>
      </c>
      <c r="U4555" s="3" t="s">
        <v>219</v>
      </c>
      <c r="V4555" s="3" t="s">
        <v>75</v>
      </c>
      <c r="W4555" s="3" t="s">
        <v>13856</v>
      </c>
      <c r="X4555" s="10" t="s">
        <v>22266</v>
      </c>
      <c r="Y4555" s="6" t="s">
        <v>55</v>
      </c>
      <c r="Z4555" s="4">
        <v>9.29</v>
      </c>
      <c r="AA4555" s="4">
        <v>25.58</v>
      </c>
      <c r="AB4555" s="3" t="s">
        <v>56</v>
      </c>
      <c r="AC4555" s="3" t="s">
        <v>13858</v>
      </c>
      <c r="AD4555" s="9">
        <v>43643</v>
      </c>
      <c r="AE4555" s="3" t="s">
        <v>1912</v>
      </c>
      <c r="AF4555" s="3" t="s">
        <v>982</v>
      </c>
      <c r="AG4555" s="3" t="s">
        <v>2246</v>
      </c>
      <c r="AH4555" s="11">
        <f>HYPERLINK("https://my.pitchbook.com?c=119380-24T","View Company Online")</f>
      </c>
    </row>
    <row r="4556">
      <c r="A4556" s="12" t="s">
        <v>22267</v>
      </c>
      <c r="B4556" s="12" t="s">
        <v>16759</v>
      </c>
      <c r="C4556" s="19" t="s">
        <v>36</v>
      </c>
      <c r="D4556" s="19" t="s">
        <v>36</v>
      </c>
      <c r="E4556" s="19" t="s">
        <v>36</v>
      </c>
      <c r="F4556" s="19" t="s">
        <v>36</v>
      </c>
      <c r="G4556" s="15" t="s">
        <v>326</v>
      </c>
      <c r="H4556" s="14">
        <v>16234.5</v>
      </c>
      <c r="I4556" s="18">
        <v>12.97</v>
      </c>
      <c r="J4556" s="12" t="s">
        <v>521</v>
      </c>
      <c r="K4556" s="13" t="s">
        <v>36</v>
      </c>
      <c r="L4556" s="15" t="s">
        <v>94</v>
      </c>
      <c r="M4556" s="12" t="s">
        <v>36</v>
      </c>
      <c r="N4556" s="12" t="s">
        <v>94</v>
      </c>
      <c r="O4556" s="17" t="s">
        <v>36</v>
      </c>
      <c r="P4556" s="12" t="s">
        <v>36</v>
      </c>
      <c r="Q4556" s="12" t="s">
        <v>36</v>
      </c>
      <c r="R4556" s="12" t="s">
        <v>36</v>
      </c>
      <c r="S4556" s="12" t="s">
        <v>36</v>
      </c>
      <c r="T4556" s="12" t="s">
        <v>16760</v>
      </c>
      <c r="U4556" s="12" t="s">
        <v>648</v>
      </c>
      <c r="V4556" s="12" t="s">
        <v>64</v>
      </c>
      <c r="W4556" s="12" t="s">
        <v>16761</v>
      </c>
      <c r="X4556" s="16" t="s">
        <v>22268</v>
      </c>
      <c r="Y4556" s="15" t="s">
        <v>55</v>
      </c>
      <c r="Z4556" s="14">
        <v>39.59</v>
      </c>
      <c r="AA4556" s="14">
        <v>305.28</v>
      </c>
      <c r="AB4556" s="12" t="s">
        <v>56</v>
      </c>
      <c r="AC4556" s="12" t="s">
        <v>16763</v>
      </c>
      <c r="AD4556" s="13">
        <v>43643</v>
      </c>
      <c r="AE4556" s="12" t="s">
        <v>3988</v>
      </c>
      <c r="AF4556" s="12" t="s">
        <v>16764</v>
      </c>
      <c r="AG4556" s="12" t="s">
        <v>81</v>
      </c>
      <c r="AH4556" s="1">
        <f>HYPERLINK("https://my.pitchbook.com?c=120241-54T","View Company Online")</f>
      </c>
    </row>
    <row r="4557">
      <c r="A4557" s="3" t="s">
        <v>22269</v>
      </c>
      <c r="B4557" s="3" t="s">
        <v>22270</v>
      </c>
      <c r="C4557" s="5" t="s">
        <v>36</v>
      </c>
      <c r="D4557" s="5" t="s">
        <v>36</v>
      </c>
      <c r="E4557" s="5" t="s">
        <v>36</v>
      </c>
      <c r="F4557" s="5" t="s">
        <v>36</v>
      </c>
      <c r="G4557" s="6" t="s">
        <v>36</v>
      </c>
      <c r="H4557" s="4" t="s">
        <v>36</v>
      </c>
      <c r="I4557" s="7" t="s">
        <v>36</v>
      </c>
      <c r="J4557" s="3" t="s">
        <v>36</v>
      </c>
      <c r="K4557" s="9" t="s">
        <v>36</v>
      </c>
      <c r="L4557" s="6" t="s">
        <v>36</v>
      </c>
      <c r="M4557" s="3" t="s">
        <v>36</v>
      </c>
      <c r="N4557" s="3" t="s">
        <v>36</v>
      </c>
      <c r="O4557" s="8" t="s">
        <v>36</v>
      </c>
      <c r="P4557" s="3" t="s">
        <v>36</v>
      </c>
      <c r="Q4557" s="3" t="s">
        <v>36</v>
      </c>
      <c r="R4557" s="3" t="s">
        <v>36</v>
      </c>
      <c r="S4557" s="3" t="s">
        <v>36</v>
      </c>
      <c r="T4557" s="3" t="s">
        <v>1350</v>
      </c>
      <c r="U4557" s="3" t="s">
        <v>38</v>
      </c>
      <c r="V4557" s="3" t="s">
        <v>39</v>
      </c>
      <c r="W4557" s="3" t="s">
        <v>22271</v>
      </c>
      <c r="X4557" s="10" t="s">
        <v>22272</v>
      </c>
      <c r="Y4557" s="6" t="s">
        <v>55</v>
      </c>
      <c r="Z4557" s="4">
        <v>0.2</v>
      </c>
      <c r="AA4557" s="4" t="s">
        <v>36</v>
      </c>
      <c r="AB4557" s="3" t="s">
        <v>56</v>
      </c>
      <c r="AC4557" s="3" t="s">
        <v>22273</v>
      </c>
      <c r="AD4557" s="9">
        <v>43643</v>
      </c>
      <c r="AE4557" s="3" t="s">
        <v>785</v>
      </c>
      <c r="AF4557" s="3" t="s">
        <v>5001</v>
      </c>
      <c r="AG4557" s="3" t="s">
        <v>81</v>
      </c>
      <c r="AH4557" s="11">
        <f>HYPERLINK("https://my.pitchbook.com?c=122538-34T","View Company Online")</f>
      </c>
    </row>
    <row r="4558">
      <c r="A4558" s="12" t="s">
        <v>22274</v>
      </c>
      <c r="B4558" s="12" t="s">
        <v>22275</v>
      </c>
      <c r="C4558" s="19" t="s">
        <v>36</v>
      </c>
      <c r="D4558" s="19" t="s">
        <v>36</v>
      </c>
      <c r="E4558" s="19" t="s">
        <v>36</v>
      </c>
      <c r="F4558" s="19" t="s">
        <v>36</v>
      </c>
      <c r="G4558" s="15" t="s">
        <v>36</v>
      </c>
      <c r="H4558" s="14">
        <v>0.07</v>
      </c>
      <c r="I4558" s="18">
        <v>46.96</v>
      </c>
      <c r="J4558" s="12" t="s">
        <v>521</v>
      </c>
      <c r="K4558" s="13" t="s">
        <v>36</v>
      </c>
      <c r="L4558" s="15" t="s">
        <v>36</v>
      </c>
      <c r="M4558" s="12" t="s">
        <v>36</v>
      </c>
      <c r="N4558" s="12" t="s">
        <v>36</v>
      </c>
      <c r="O4558" s="17" t="s">
        <v>36</v>
      </c>
      <c r="P4558" s="12" t="s">
        <v>36</v>
      </c>
      <c r="Q4558" s="12" t="s">
        <v>36</v>
      </c>
      <c r="R4558" s="12" t="s">
        <v>36</v>
      </c>
      <c r="S4558" s="12" t="s">
        <v>36</v>
      </c>
      <c r="T4558" s="12" t="s">
        <v>4917</v>
      </c>
      <c r="U4558" s="12" t="s">
        <v>38</v>
      </c>
      <c r="V4558" s="12" t="s">
        <v>39</v>
      </c>
      <c r="W4558" s="12" t="s">
        <v>22276</v>
      </c>
      <c r="X4558" s="16" t="s">
        <v>22277</v>
      </c>
      <c r="Y4558" s="15" t="s">
        <v>42</v>
      </c>
      <c r="Z4558" s="14">
        <v>10.13</v>
      </c>
      <c r="AA4558" s="14">
        <v>19.97</v>
      </c>
      <c r="AB4558" s="12" t="s">
        <v>43</v>
      </c>
      <c r="AC4558" s="12" t="s">
        <v>22278</v>
      </c>
      <c r="AD4558" s="13">
        <v>43642</v>
      </c>
      <c r="AE4558" s="12" t="s">
        <v>134</v>
      </c>
      <c r="AF4558" s="12" t="s">
        <v>22279</v>
      </c>
      <c r="AG4558" s="12" t="s">
        <v>81</v>
      </c>
      <c r="AH4558" s="1">
        <f>HYPERLINK("https://my.pitchbook.com?c=120033-37T","View Company Online")</f>
      </c>
    </row>
    <row r="4559">
      <c r="A4559" s="3" t="s">
        <v>22280</v>
      </c>
      <c r="B4559" s="3" t="s">
        <v>8472</v>
      </c>
      <c r="C4559" s="5">
        <v>1</v>
      </c>
      <c r="D4559" s="5">
        <v>15</v>
      </c>
      <c r="E4559" s="5">
        <v>3</v>
      </c>
      <c r="F4559" s="5">
        <v>16</v>
      </c>
      <c r="G4559" s="6" t="s">
        <v>36</v>
      </c>
      <c r="H4559" s="4" t="s">
        <v>36</v>
      </c>
      <c r="I4559" s="7" t="s">
        <v>36</v>
      </c>
      <c r="J4559" s="3" t="s">
        <v>36</v>
      </c>
      <c r="K4559" s="9" t="s">
        <v>36</v>
      </c>
      <c r="L4559" s="6" t="s">
        <v>36</v>
      </c>
      <c r="M4559" s="3" t="s">
        <v>36</v>
      </c>
      <c r="N4559" s="3" t="s">
        <v>36</v>
      </c>
      <c r="O4559" s="8" t="s">
        <v>36</v>
      </c>
      <c r="P4559" s="3" t="s">
        <v>36</v>
      </c>
      <c r="Q4559" s="3" t="s">
        <v>36</v>
      </c>
      <c r="R4559" s="3" t="s">
        <v>36</v>
      </c>
      <c r="S4559" s="3" t="s">
        <v>36</v>
      </c>
      <c r="T4559" s="3" t="s">
        <v>1048</v>
      </c>
      <c r="U4559" s="3" t="s">
        <v>423</v>
      </c>
      <c r="V4559" s="3" t="s">
        <v>64</v>
      </c>
      <c r="W4559" s="3" t="s">
        <v>8473</v>
      </c>
      <c r="X4559" s="10" t="s">
        <v>22281</v>
      </c>
      <c r="Y4559" s="6" t="s">
        <v>108</v>
      </c>
      <c r="Z4559" s="4">
        <v>2.81</v>
      </c>
      <c r="AA4559" s="4" t="s">
        <v>36</v>
      </c>
      <c r="AB4559" s="3" t="s">
        <v>43</v>
      </c>
      <c r="AC4559" s="3" t="s">
        <v>8475</v>
      </c>
      <c r="AD4559" s="9">
        <v>43642</v>
      </c>
      <c r="AE4559" s="3" t="s">
        <v>1051</v>
      </c>
      <c r="AF4559" s="3" t="s">
        <v>8476</v>
      </c>
      <c r="AG4559" s="3" t="s">
        <v>81</v>
      </c>
      <c r="AH4559" s="11">
        <f>HYPERLINK("https://my.pitchbook.com?c=140342-23T","View Company Online")</f>
      </c>
    </row>
    <row r="4560">
      <c r="A4560" s="12" t="s">
        <v>22282</v>
      </c>
      <c r="B4560" s="12" t="s">
        <v>15700</v>
      </c>
      <c r="C4560" s="19" t="s">
        <v>36</v>
      </c>
      <c r="D4560" s="19" t="s">
        <v>36</v>
      </c>
      <c r="E4560" s="19" t="s">
        <v>36</v>
      </c>
      <c r="F4560" s="19" t="s">
        <v>36</v>
      </c>
      <c r="G4560" s="15" t="s">
        <v>36</v>
      </c>
      <c r="H4560" s="14">
        <v>235.98</v>
      </c>
      <c r="I4560" s="18">
        <v>31.42</v>
      </c>
      <c r="J4560" s="12" t="s">
        <v>521</v>
      </c>
      <c r="K4560" s="13" t="s">
        <v>36</v>
      </c>
      <c r="L4560" s="15" t="s">
        <v>36</v>
      </c>
      <c r="M4560" s="12" t="s">
        <v>36</v>
      </c>
      <c r="N4560" s="12" t="s">
        <v>36</v>
      </c>
      <c r="O4560" s="17" t="s">
        <v>36</v>
      </c>
      <c r="P4560" s="12" t="s">
        <v>36</v>
      </c>
      <c r="Q4560" s="12" t="s">
        <v>36</v>
      </c>
      <c r="R4560" s="12" t="s">
        <v>36</v>
      </c>
      <c r="S4560" s="12" t="s">
        <v>36</v>
      </c>
      <c r="T4560" s="12" t="s">
        <v>179</v>
      </c>
      <c r="U4560" s="12" t="s">
        <v>180</v>
      </c>
      <c r="V4560" s="12" t="s">
        <v>52</v>
      </c>
      <c r="W4560" s="12" t="s">
        <v>15701</v>
      </c>
      <c r="X4560" s="16" t="s">
        <v>22283</v>
      </c>
      <c r="Y4560" s="15" t="s">
        <v>42</v>
      </c>
      <c r="Z4560" s="14">
        <v>1.24</v>
      </c>
      <c r="AA4560" s="14">
        <v>3.94</v>
      </c>
      <c r="AB4560" s="12" t="s">
        <v>43</v>
      </c>
      <c r="AC4560" s="12" t="s">
        <v>15703</v>
      </c>
      <c r="AD4560" s="13">
        <v>43642</v>
      </c>
      <c r="AE4560" s="12" t="s">
        <v>184</v>
      </c>
      <c r="AF4560" s="12" t="s">
        <v>15704</v>
      </c>
      <c r="AG4560" s="12" t="s">
        <v>102</v>
      </c>
      <c r="AH4560" s="1">
        <f>HYPERLINK("https://my.pitchbook.com?c=193079-71T","View Company Online")</f>
      </c>
    </row>
    <row r="4561">
      <c r="A4561" s="3" t="s">
        <v>22284</v>
      </c>
      <c r="B4561" s="3" t="s">
        <v>2212</v>
      </c>
      <c r="C4561" s="5">
        <v>5</v>
      </c>
      <c r="D4561" s="5">
        <v>6</v>
      </c>
      <c r="E4561" s="5">
        <v>4</v>
      </c>
      <c r="F4561" s="5">
        <v>11</v>
      </c>
      <c r="G4561" s="6" t="s">
        <v>36</v>
      </c>
      <c r="H4561" s="4">
        <v>25.96</v>
      </c>
      <c r="I4561" s="7">
        <v>27.29</v>
      </c>
      <c r="J4561" s="3" t="s">
        <v>521</v>
      </c>
      <c r="K4561" s="9" t="s">
        <v>36</v>
      </c>
      <c r="L4561" s="6" t="s">
        <v>36</v>
      </c>
      <c r="M4561" s="3" t="s">
        <v>36</v>
      </c>
      <c r="N4561" s="3" t="s">
        <v>36</v>
      </c>
      <c r="O4561" s="8" t="s">
        <v>36</v>
      </c>
      <c r="P4561" s="3" t="s">
        <v>36</v>
      </c>
      <c r="Q4561" s="3" t="s">
        <v>36</v>
      </c>
      <c r="R4561" s="3" t="s">
        <v>36</v>
      </c>
      <c r="S4561" s="3" t="s">
        <v>36</v>
      </c>
      <c r="T4561" s="3" t="s">
        <v>2213</v>
      </c>
      <c r="U4561" s="3" t="s">
        <v>219</v>
      </c>
      <c r="V4561" s="3" t="s">
        <v>75</v>
      </c>
      <c r="W4561" s="3" t="s">
        <v>2214</v>
      </c>
      <c r="X4561" s="10" t="s">
        <v>22285</v>
      </c>
      <c r="Y4561" s="6" t="s">
        <v>108</v>
      </c>
      <c r="Z4561" s="4">
        <v>2.47</v>
      </c>
      <c r="AA4561" s="4">
        <v>4.53</v>
      </c>
      <c r="AB4561" s="3" t="s">
        <v>43</v>
      </c>
      <c r="AC4561" s="3" t="s">
        <v>2216</v>
      </c>
      <c r="AD4561" s="9">
        <v>43642</v>
      </c>
      <c r="AE4561" s="3" t="s">
        <v>1912</v>
      </c>
      <c r="AF4561" s="3" t="s">
        <v>2217</v>
      </c>
      <c r="AG4561" s="3" t="s">
        <v>2218</v>
      </c>
      <c r="AH4561" s="11">
        <f>HYPERLINK("https://my.pitchbook.com?c=138501-91T","View Company Online")</f>
      </c>
    </row>
    <row r="4562">
      <c r="A4562" s="12" t="s">
        <v>22286</v>
      </c>
      <c r="B4562" s="12" t="s">
        <v>15789</v>
      </c>
      <c r="C4562" s="19" t="s">
        <v>36</v>
      </c>
      <c r="D4562" s="19" t="s">
        <v>36</v>
      </c>
      <c r="E4562" s="19" t="s">
        <v>36</v>
      </c>
      <c r="F4562" s="19" t="s">
        <v>36</v>
      </c>
      <c r="G4562" s="15" t="s">
        <v>36</v>
      </c>
      <c r="H4562" s="14">
        <v>77.89</v>
      </c>
      <c r="I4562" s="18">
        <v>19.05</v>
      </c>
      <c r="J4562" s="12" t="s">
        <v>521</v>
      </c>
      <c r="K4562" s="13" t="s">
        <v>36</v>
      </c>
      <c r="L4562" s="15" t="s">
        <v>36</v>
      </c>
      <c r="M4562" s="12" t="s">
        <v>36</v>
      </c>
      <c r="N4562" s="12" t="s">
        <v>36</v>
      </c>
      <c r="O4562" s="17" t="s">
        <v>36</v>
      </c>
      <c r="P4562" s="12" t="s">
        <v>36</v>
      </c>
      <c r="Q4562" s="12" t="s">
        <v>36</v>
      </c>
      <c r="R4562" s="12" t="s">
        <v>36</v>
      </c>
      <c r="S4562" s="12" t="s">
        <v>36</v>
      </c>
      <c r="T4562" s="12" t="s">
        <v>15790</v>
      </c>
      <c r="U4562" s="12" t="s">
        <v>728</v>
      </c>
      <c r="V4562" s="12" t="s">
        <v>64</v>
      </c>
      <c r="W4562" s="12" t="s">
        <v>15791</v>
      </c>
      <c r="X4562" s="16" t="s">
        <v>22287</v>
      </c>
      <c r="Y4562" s="15" t="s">
        <v>42</v>
      </c>
      <c r="Z4562" s="14">
        <v>0.4</v>
      </c>
      <c r="AA4562" s="14">
        <v>2.09</v>
      </c>
      <c r="AB4562" s="12" t="s">
        <v>43</v>
      </c>
      <c r="AC4562" s="12" t="s">
        <v>15793</v>
      </c>
      <c r="AD4562" s="13">
        <v>43641</v>
      </c>
      <c r="AE4562" s="12" t="s">
        <v>1600</v>
      </c>
      <c r="AF4562" s="12" t="s">
        <v>15794</v>
      </c>
      <c r="AG4562" s="12" t="s">
        <v>81</v>
      </c>
      <c r="AH4562" s="1">
        <f>HYPERLINK("https://my.pitchbook.com?c=160203-97T","View Company Online")</f>
      </c>
    </row>
    <row r="4563">
      <c r="A4563" s="3" t="s">
        <v>22288</v>
      </c>
      <c r="B4563" s="3" t="s">
        <v>18546</v>
      </c>
      <c r="C4563" s="5" t="s">
        <v>36</v>
      </c>
      <c r="D4563" s="5" t="s">
        <v>36</v>
      </c>
      <c r="E4563" s="5" t="s">
        <v>36</v>
      </c>
      <c r="F4563" s="5" t="s">
        <v>36</v>
      </c>
      <c r="G4563" s="6" t="s">
        <v>36</v>
      </c>
      <c r="H4563" s="4">
        <v>31.81</v>
      </c>
      <c r="I4563" s="7">
        <v>22.89</v>
      </c>
      <c r="J4563" s="3" t="s">
        <v>521</v>
      </c>
      <c r="K4563" s="9" t="s">
        <v>36</v>
      </c>
      <c r="L4563" s="6" t="s">
        <v>122</v>
      </c>
      <c r="M4563" s="3" t="s">
        <v>36</v>
      </c>
      <c r="N4563" s="3" t="s">
        <v>122</v>
      </c>
      <c r="O4563" s="8" t="s">
        <v>36</v>
      </c>
      <c r="P4563" s="3" t="s">
        <v>36</v>
      </c>
      <c r="Q4563" s="3" t="s">
        <v>36</v>
      </c>
      <c r="R4563" s="3" t="s">
        <v>36</v>
      </c>
      <c r="S4563" s="3" t="s">
        <v>36</v>
      </c>
      <c r="T4563" s="3" t="s">
        <v>18203</v>
      </c>
      <c r="U4563" s="3" t="s">
        <v>38</v>
      </c>
      <c r="V4563" s="3" t="s">
        <v>39</v>
      </c>
      <c r="W4563" s="3" t="s">
        <v>18547</v>
      </c>
      <c r="X4563" s="10" t="s">
        <v>22289</v>
      </c>
      <c r="Y4563" s="6" t="s">
        <v>55</v>
      </c>
      <c r="Z4563" s="4">
        <v>5.97</v>
      </c>
      <c r="AA4563" s="4">
        <v>26.09</v>
      </c>
      <c r="AB4563" s="3" t="s">
        <v>56</v>
      </c>
      <c r="AC4563" s="3" t="s">
        <v>18549</v>
      </c>
      <c r="AD4563" s="9">
        <v>43641</v>
      </c>
      <c r="AE4563" s="3" t="s">
        <v>110</v>
      </c>
      <c r="AF4563" s="3" t="s">
        <v>815</v>
      </c>
      <c r="AG4563" s="3" t="s">
        <v>81</v>
      </c>
      <c r="AH4563" s="11">
        <f>HYPERLINK("https://my.pitchbook.com?c=120068-83T","View Company Online")</f>
      </c>
    </row>
    <row r="4564">
      <c r="A4564" s="12" t="s">
        <v>22290</v>
      </c>
      <c r="B4564" s="12" t="s">
        <v>22291</v>
      </c>
      <c r="C4564" s="19" t="s">
        <v>36</v>
      </c>
      <c r="D4564" s="19" t="s">
        <v>36</v>
      </c>
      <c r="E4564" s="19" t="s">
        <v>36</v>
      </c>
      <c r="F4564" s="19" t="s">
        <v>36</v>
      </c>
      <c r="G4564" s="15" t="s">
        <v>36</v>
      </c>
      <c r="H4564" s="14" t="s">
        <v>36</v>
      </c>
      <c r="I4564" s="18" t="s">
        <v>36</v>
      </c>
      <c r="J4564" s="12" t="s">
        <v>36</v>
      </c>
      <c r="K4564" s="13" t="s">
        <v>36</v>
      </c>
      <c r="L4564" s="15" t="s">
        <v>36</v>
      </c>
      <c r="M4564" s="12" t="s">
        <v>36</v>
      </c>
      <c r="N4564" s="12" t="s">
        <v>36</v>
      </c>
      <c r="O4564" s="17" t="s">
        <v>36</v>
      </c>
      <c r="P4564" s="12" t="s">
        <v>36</v>
      </c>
      <c r="Q4564" s="12" t="s">
        <v>36</v>
      </c>
      <c r="R4564" s="12" t="s">
        <v>36</v>
      </c>
      <c r="S4564" s="12" t="s">
        <v>36</v>
      </c>
      <c r="T4564" s="12" t="s">
        <v>22292</v>
      </c>
      <c r="U4564" s="12" t="s">
        <v>74</v>
      </c>
      <c r="V4564" s="12" t="s">
        <v>75</v>
      </c>
      <c r="W4564" s="12" t="s">
        <v>22293</v>
      </c>
      <c r="X4564" s="16" t="s">
        <v>22294</v>
      </c>
      <c r="Y4564" s="15" t="s">
        <v>42</v>
      </c>
      <c r="Z4564" s="14">
        <v>1.46</v>
      </c>
      <c r="AA4564" s="14" t="s">
        <v>36</v>
      </c>
      <c r="AB4564" s="12" t="s">
        <v>56</v>
      </c>
      <c r="AC4564" s="12" t="s">
        <v>22295</v>
      </c>
      <c r="AD4564" s="13">
        <v>43641</v>
      </c>
      <c r="AE4564" s="12" t="s">
        <v>570</v>
      </c>
      <c r="AF4564" s="12" t="s">
        <v>14112</v>
      </c>
      <c r="AG4564" s="12" t="s">
        <v>81</v>
      </c>
      <c r="AH4564" s="1">
        <f>HYPERLINK("https://my.pitchbook.com?c=129818-17T","View Company Online")</f>
      </c>
    </row>
    <row r="4565">
      <c r="A4565" s="3" t="s">
        <v>22296</v>
      </c>
      <c r="B4565" s="3" t="s">
        <v>12529</v>
      </c>
      <c r="C4565" s="5" t="s">
        <v>36</v>
      </c>
      <c r="D4565" s="5" t="s">
        <v>36</v>
      </c>
      <c r="E4565" s="5" t="s">
        <v>36</v>
      </c>
      <c r="F4565" s="5" t="s">
        <v>36</v>
      </c>
      <c r="G4565" s="6" t="s">
        <v>36</v>
      </c>
      <c r="H4565" s="4" t="s">
        <v>36</v>
      </c>
      <c r="I4565" s="7">
        <v>31.6</v>
      </c>
      <c r="J4565" s="3" t="s">
        <v>327</v>
      </c>
      <c r="K4565" s="9" t="s">
        <v>36</v>
      </c>
      <c r="L4565" s="6" t="s">
        <v>36</v>
      </c>
      <c r="M4565" s="3" t="s">
        <v>36</v>
      </c>
      <c r="N4565" s="3" t="s">
        <v>36</v>
      </c>
      <c r="O4565" s="8" t="s">
        <v>36</v>
      </c>
      <c r="P4565" s="3" t="s">
        <v>36</v>
      </c>
      <c r="Q4565" s="3" t="s">
        <v>36</v>
      </c>
      <c r="R4565" s="3" t="s">
        <v>36</v>
      </c>
      <c r="S4565" s="3" t="s">
        <v>36</v>
      </c>
      <c r="T4565" s="3" t="s">
        <v>12530</v>
      </c>
      <c r="U4565" s="3" t="s">
        <v>63</v>
      </c>
      <c r="V4565" s="3" t="s">
        <v>64</v>
      </c>
      <c r="W4565" s="3" t="s">
        <v>12531</v>
      </c>
      <c r="X4565" s="10" t="s">
        <v>16318</v>
      </c>
      <c r="Y4565" s="6" t="s">
        <v>42</v>
      </c>
      <c r="Z4565" s="4">
        <v>2.25</v>
      </c>
      <c r="AA4565" s="4">
        <v>7.12</v>
      </c>
      <c r="AB4565" s="3" t="s">
        <v>43</v>
      </c>
      <c r="AC4565" s="3" t="s">
        <v>12533</v>
      </c>
      <c r="AD4565" s="9">
        <v>43640</v>
      </c>
      <c r="AE4565" s="3" t="s">
        <v>4310</v>
      </c>
      <c r="AF4565" s="3" t="s">
        <v>4903</v>
      </c>
      <c r="AG4565" s="3" t="s">
        <v>332</v>
      </c>
      <c r="AH4565" s="11">
        <f>HYPERLINK("https://my.pitchbook.com?c=125083-99T","View Company Online")</f>
      </c>
    </row>
    <row r="4566">
      <c r="A4566" s="12" t="s">
        <v>22297</v>
      </c>
      <c r="B4566" s="12" t="s">
        <v>10982</v>
      </c>
      <c r="C4566" s="19">
        <v>1</v>
      </c>
      <c r="D4566" s="19">
        <v>1</v>
      </c>
      <c r="E4566" s="19">
        <v>2</v>
      </c>
      <c r="F4566" s="19">
        <v>2</v>
      </c>
      <c r="G4566" s="15" t="s">
        <v>2497</v>
      </c>
      <c r="H4566" s="14">
        <v>61.18</v>
      </c>
      <c r="I4566" s="18">
        <v>27.73</v>
      </c>
      <c r="J4566" s="12" t="s">
        <v>521</v>
      </c>
      <c r="K4566" s="13" t="s">
        <v>36</v>
      </c>
      <c r="L4566" s="15" t="s">
        <v>36</v>
      </c>
      <c r="M4566" s="12" t="s">
        <v>36</v>
      </c>
      <c r="N4566" s="12" t="s">
        <v>36</v>
      </c>
      <c r="O4566" s="17" t="s">
        <v>36</v>
      </c>
      <c r="P4566" s="12" t="s">
        <v>36</v>
      </c>
      <c r="Q4566" s="12" t="s">
        <v>36</v>
      </c>
      <c r="R4566" s="12" t="s">
        <v>36</v>
      </c>
      <c r="S4566" s="12" t="s">
        <v>36</v>
      </c>
      <c r="T4566" s="12" t="s">
        <v>9281</v>
      </c>
      <c r="U4566" s="12" t="s">
        <v>38</v>
      </c>
      <c r="V4566" s="12" t="s">
        <v>39</v>
      </c>
      <c r="W4566" s="12" t="s">
        <v>10983</v>
      </c>
      <c r="X4566" s="16" t="s">
        <v>3451</v>
      </c>
      <c r="Y4566" s="15" t="s">
        <v>42</v>
      </c>
      <c r="Z4566" s="14">
        <v>1.69</v>
      </c>
      <c r="AA4566" s="14">
        <v>5.27</v>
      </c>
      <c r="AB4566" s="12" t="s">
        <v>43</v>
      </c>
      <c r="AC4566" s="12" t="s">
        <v>10985</v>
      </c>
      <c r="AD4566" s="13">
        <v>43640</v>
      </c>
      <c r="AE4566" s="12" t="s">
        <v>1945</v>
      </c>
      <c r="AF4566" s="12" t="s">
        <v>526</v>
      </c>
      <c r="AG4566" s="12" t="s">
        <v>2760</v>
      </c>
      <c r="AH4566" s="1">
        <f>HYPERLINK("https://my.pitchbook.com?c=120020-14T","View Company Online")</f>
      </c>
    </row>
    <row r="4567">
      <c r="A4567" s="3" t="s">
        <v>22298</v>
      </c>
      <c r="B4567" s="3" t="s">
        <v>22299</v>
      </c>
      <c r="C4567" s="5">
        <v>4</v>
      </c>
      <c r="D4567" s="5">
        <v>7</v>
      </c>
      <c r="E4567" s="5">
        <v>3</v>
      </c>
      <c r="F4567" s="5">
        <v>15</v>
      </c>
      <c r="G4567" s="6" t="s">
        <v>36</v>
      </c>
      <c r="H4567" s="4">
        <v>181.97</v>
      </c>
      <c r="I4567" s="7">
        <v>24.53</v>
      </c>
      <c r="J4567" s="3" t="s">
        <v>521</v>
      </c>
      <c r="K4567" s="9" t="s">
        <v>36</v>
      </c>
      <c r="L4567" s="6" t="s">
        <v>36</v>
      </c>
      <c r="M4567" s="3" t="s">
        <v>36</v>
      </c>
      <c r="N4567" s="3" t="s">
        <v>36</v>
      </c>
      <c r="O4567" s="8" t="s">
        <v>36</v>
      </c>
      <c r="P4567" s="3" t="s">
        <v>36</v>
      </c>
      <c r="Q4567" s="3" t="s">
        <v>36</v>
      </c>
      <c r="R4567" s="3" t="s">
        <v>36</v>
      </c>
      <c r="S4567" s="3" t="s">
        <v>36</v>
      </c>
      <c r="T4567" s="3" t="s">
        <v>22300</v>
      </c>
      <c r="U4567" s="3" t="s">
        <v>96</v>
      </c>
      <c r="V4567" s="3" t="s">
        <v>52</v>
      </c>
      <c r="W4567" s="3" t="s">
        <v>22301</v>
      </c>
      <c r="X4567" s="10" t="s">
        <v>17602</v>
      </c>
      <c r="Y4567" s="6" t="s">
        <v>55</v>
      </c>
      <c r="Z4567" s="4">
        <v>0.73</v>
      </c>
      <c r="AA4567" s="4">
        <v>2.98</v>
      </c>
      <c r="AB4567" s="3" t="s">
        <v>56</v>
      </c>
      <c r="AC4567" s="3" t="s">
        <v>22302</v>
      </c>
      <c r="AD4567" s="9">
        <v>43637</v>
      </c>
      <c r="AE4567" s="3" t="s">
        <v>755</v>
      </c>
      <c r="AF4567" s="3" t="s">
        <v>2416</v>
      </c>
      <c r="AG4567" s="3" t="s">
        <v>22303</v>
      </c>
      <c r="AH4567" s="11">
        <f>HYPERLINK("https://my.pitchbook.com?c=195169-96T","View Company Online")</f>
      </c>
    </row>
    <row r="4568">
      <c r="A4568" s="12" t="s">
        <v>22304</v>
      </c>
      <c r="B4568" s="12" t="s">
        <v>22305</v>
      </c>
      <c r="C4568" s="19" t="s">
        <v>36</v>
      </c>
      <c r="D4568" s="19" t="s">
        <v>36</v>
      </c>
      <c r="E4568" s="19" t="s">
        <v>36</v>
      </c>
      <c r="F4568" s="19" t="s">
        <v>36</v>
      </c>
      <c r="G4568" s="15" t="s">
        <v>326</v>
      </c>
      <c r="H4568" s="14">
        <v>415.63</v>
      </c>
      <c r="I4568" s="18">
        <v>21.24</v>
      </c>
      <c r="J4568" s="12" t="s">
        <v>521</v>
      </c>
      <c r="K4568" s="13" t="s">
        <v>36</v>
      </c>
      <c r="L4568" s="15" t="s">
        <v>36</v>
      </c>
      <c r="M4568" s="12" t="s">
        <v>36</v>
      </c>
      <c r="N4568" s="12" t="s">
        <v>36</v>
      </c>
      <c r="O4568" s="17" t="s">
        <v>36</v>
      </c>
      <c r="P4568" s="12" t="s">
        <v>36</v>
      </c>
      <c r="Q4568" s="12" t="s">
        <v>36</v>
      </c>
      <c r="R4568" s="12" t="s">
        <v>36</v>
      </c>
      <c r="S4568" s="12" t="s">
        <v>36</v>
      </c>
      <c r="T4568" s="12" t="s">
        <v>22306</v>
      </c>
      <c r="U4568" s="12" t="s">
        <v>38</v>
      </c>
      <c r="V4568" s="12" t="s">
        <v>39</v>
      </c>
      <c r="W4568" s="12" t="s">
        <v>22307</v>
      </c>
      <c r="X4568" s="16" t="s">
        <v>22308</v>
      </c>
      <c r="Y4568" s="15" t="s">
        <v>42</v>
      </c>
      <c r="Z4568" s="14">
        <v>0.36</v>
      </c>
      <c r="AA4568" s="14">
        <v>1.71</v>
      </c>
      <c r="AB4568" s="12" t="s">
        <v>43</v>
      </c>
      <c r="AC4568" s="12" t="s">
        <v>22309</v>
      </c>
      <c r="AD4568" s="13">
        <v>43637</v>
      </c>
      <c r="AE4568" s="12" t="s">
        <v>1422</v>
      </c>
      <c r="AF4568" s="12" t="s">
        <v>22310</v>
      </c>
      <c r="AG4568" s="12" t="s">
        <v>22311</v>
      </c>
      <c r="AH4568" s="1">
        <f>HYPERLINK("https://my.pitchbook.com?c=189692-38T","View Company Online")</f>
      </c>
    </row>
    <row r="4569">
      <c r="A4569" s="3" t="s">
        <v>22312</v>
      </c>
      <c r="B4569" s="3" t="s">
        <v>7592</v>
      </c>
      <c r="C4569" s="5" t="s">
        <v>36</v>
      </c>
      <c r="D4569" s="5" t="s">
        <v>36</v>
      </c>
      <c r="E4569" s="5" t="s">
        <v>36</v>
      </c>
      <c r="F4569" s="5" t="s">
        <v>36</v>
      </c>
      <c r="G4569" s="6" t="s">
        <v>326</v>
      </c>
      <c r="H4569" s="4">
        <v>6.2</v>
      </c>
      <c r="I4569" s="7">
        <v>32.2</v>
      </c>
      <c r="J4569" s="3" t="s">
        <v>521</v>
      </c>
      <c r="K4569" s="9" t="s">
        <v>36</v>
      </c>
      <c r="L4569" s="6" t="s">
        <v>36</v>
      </c>
      <c r="M4569" s="3" t="s">
        <v>36</v>
      </c>
      <c r="N4569" s="3" t="s">
        <v>36</v>
      </c>
      <c r="O4569" s="8" t="s">
        <v>36</v>
      </c>
      <c r="P4569" s="3" t="s">
        <v>36</v>
      </c>
      <c r="Q4569" s="3" t="s">
        <v>36</v>
      </c>
      <c r="R4569" s="3" t="s">
        <v>36</v>
      </c>
      <c r="S4569" s="3" t="s">
        <v>36</v>
      </c>
      <c r="T4569" s="3" t="s">
        <v>105</v>
      </c>
      <c r="U4569" s="3" t="s">
        <v>38</v>
      </c>
      <c r="V4569" s="3" t="s">
        <v>39</v>
      </c>
      <c r="W4569" s="3" t="s">
        <v>7593</v>
      </c>
      <c r="X4569" s="10" t="s">
        <v>22313</v>
      </c>
      <c r="Y4569" s="6" t="s">
        <v>108</v>
      </c>
      <c r="Z4569" s="4">
        <v>8.98</v>
      </c>
      <c r="AA4569" s="4">
        <v>26.46</v>
      </c>
      <c r="AB4569" s="3" t="s">
        <v>56</v>
      </c>
      <c r="AC4569" s="3" t="s">
        <v>7595</v>
      </c>
      <c r="AD4569" s="9">
        <v>43636</v>
      </c>
      <c r="AE4569" s="3" t="s">
        <v>110</v>
      </c>
      <c r="AF4569" s="3" t="s">
        <v>7596</v>
      </c>
      <c r="AG4569" s="3" t="s">
        <v>81</v>
      </c>
      <c r="AH4569" s="11">
        <f>HYPERLINK("https://my.pitchbook.com?c=119938-60T","View Company Online")</f>
      </c>
    </row>
    <row r="4570">
      <c r="A4570" s="12" t="s">
        <v>22314</v>
      </c>
      <c r="B4570" s="12" t="s">
        <v>22315</v>
      </c>
      <c r="C4570" s="19">
        <v>2</v>
      </c>
      <c r="D4570" s="19">
        <v>7</v>
      </c>
      <c r="E4570" s="19">
        <v>4</v>
      </c>
      <c r="F4570" s="19">
        <v>14</v>
      </c>
      <c r="G4570" s="15" t="s">
        <v>683</v>
      </c>
      <c r="H4570" s="14">
        <v>15.54</v>
      </c>
      <c r="I4570" s="18">
        <v>5.7</v>
      </c>
      <c r="J4570" s="12" t="s">
        <v>521</v>
      </c>
      <c r="K4570" s="13" t="s">
        <v>36</v>
      </c>
      <c r="L4570" s="15" t="s">
        <v>36</v>
      </c>
      <c r="M4570" s="12" t="s">
        <v>36</v>
      </c>
      <c r="N4570" s="12" t="s">
        <v>36</v>
      </c>
      <c r="O4570" s="17" t="s">
        <v>36</v>
      </c>
      <c r="P4570" s="12" t="s">
        <v>36</v>
      </c>
      <c r="Q4570" s="12" t="s">
        <v>36</v>
      </c>
      <c r="R4570" s="12" t="s">
        <v>36</v>
      </c>
      <c r="S4570" s="12" t="s">
        <v>36</v>
      </c>
      <c r="T4570" s="12" t="s">
        <v>139</v>
      </c>
      <c r="U4570" s="12" t="s">
        <v>96</v>
      </c>
      <c r="V4570" s="12" t="s">
        <v>52</v>
      </c>
      <c r="W4570" s="12" t="s">
        <v>22316</v>
      </c>
      <c r="X4570" s="16" t="s">
        <v>13436</v>
      </c>
      <c r="Y4570" s="15" t="s">
        <v>55</v>
      </c>
      <c r="Z4570" s="14">
        <v>0.11</v>
      </c>
      <c r="AA4570" s="14">
        <v>1.85</v>
      </c>
      <c r="AB4570" s="12" t="s">
        <v>56</v>
      </c>
      <c r="AC4570" s="12" t="s">
        <v>22317</v>
      </c>
      <c r="AD4570" s="13">
        <v>43636</v>
      </c>
      <c r="AE4570" s="12" t="s">
        <v>143</v>
      </c>
      <c r="AF4570" s="12" t="s">
        <v>2416</v>
      </c>
      <c r="AG4570" s="12" t="s">
        <v>22318</v>
      </c>
      <c r="AH4570" s="1">
        <f>HYPERLINK("https://my.pitchbook.com?c=188091-91T","View Company Online")</f>
      </c>
    </row>
    <row r="4571">
      <c r="A4571" s="3" t="s">
        <v>22319</v>
      </c>
      <c r="B4571" s="3" t="s">
        <v>22320</v>
      </c>
      <c r="C4571" s="5" t="s">
        <v>36</v>
      </c>
      <c r="D4571" s="5" t="s">
        <v>36</v>
      </c>
      <c r="E4571" s="5" t="s">
        <v>36</v>
      </c>
      <c r="F4571" s="5" t="s">
        <v>36</v>
      </c>
      <c r="G4571" s="6" t="s">
        <v>2497</v>
      </c>
      <c r="H4571" s="4">
        <v>148.77</v>
      </c>
      <c r="I4571" s="7">
        <v>17.7</v>
      </c>
      <c r="J4571" s="3" t="s">
        <v>521</v>
      </c>
      <c r="K4571" s="9" t="s">
        <v>36</v>
      </c>
      <c r="L4571" s="6" t="s">
        <v>94</v>
      </c>
      <c r="M4571" s="3" t="s">
        <v>36</v>
      </c>
      <c r="N4571" s="3" t="s">
        <v>94</v>
      </c>
      <c r="O4571" s="8" t="s">
        <v>36</v>
      </c>
      <c r="P4571" s="3" t="s">
        <v>36</v>
      </c>
      <c r="Q4571" s="3" t="s">
        <v>36</v>
      </c>
      <c r="R4571" s="3" t="s">
        <v>36</v>
      </c>
      <c r="S4571" s="3" t="s">
        <v>36</v>
      </c>
      <c r="T4571" s="3" t="s">
        <v>5218</v>
      </c>
      <c r="U4571" s="3" t="s">
        <v>74</v>
      </c>
      <c r="V4571" s="3" t="s">
        <v>75</v>
      </c>
      <c r="W4571" s="3" t="s">
        <v>22321</v>
      </c>
      <c r="X4571" s="10" t="s">
        <v>22322</v>
      </c>
      <c r="Y4571" s="6" t="s">
        <v>55</v>
      </c>
      <c r="Z4571" s="4">
        <v>4.49</v>
      </c>
      <c r="AA4571" s="4">
        <v>10.78</v>
      </c>
      <c r="AB4571" s="3" t="s">
        <v>56</v>
      </c>
      <c r="AC4571" s="3" t="s">
        <v>22323</v>
      </c>
      <c r="AD4571" s="9">
        <v>43636</v>
      </c>
      <c r="AE4571" s="3" t="s">
        <v>3144</v>
      </c>
      <c r="AF4571" s="3" t="s">
        <v>13299</v>
      </c>
      <c r="AG4571" s="3" t="s">
        <v>81</v>
      </c>
      <c r="AH4571" s="11">
        <f>HYPERLINK("https://my.pitchbook.com?c=121309-21T","View Company Online")</f>
      </c>
    </row>
    <row r="4572">
      <c r="A4572" s="12" t="s">
        <v>22324</v>
      </c>
      <c r="B4572" s="12" t="s">
        <v>5706</v>
      </c>
      <c r="C4572" s="19" t="s">
        <v>36</v>
      </c>
      <c r="D4572" s="19" t="s">
        <v>36</v>
      </c>
      <c r="E4572" s="19" t="s">
        <v>36</v>
      </c>
      <c r="F4572" s="19" t="s">
        <v>36</v>
      </c>
      <c r="G4572" s="15" t="s">
        <v>683</v>
      </c>
      <c r="H4572" s="14">
        <v>0.96</v>
      </c>
      <c r="I4572" s="18">
        <v>16.61</v>
      </c>
      <c r="J4572" s="12" t="s">
        <v>521</v>
      </c>
      <c r="K4572" s="13" t="s">
        <v>36</v>
      </c>
      <c r="L4572" s="15" t="s">
        <v>1846</v>
      </c>
      <c r="M4572" s="12" t="s">
        <v>36</v>
      </c>
      <c r="N4572" s="12" t="s">
        <v>1846</v>
      </c>
      <c r="O4572" s="17" t="s">
        <v>36</v>
      </c>
      <c r="P4572" s="12" t="s">
        <v>36</v>
      </c>
      <c r="Q4572" s="12" t="s">
        <v>36</v>
      </c>
      <c r="R4572" s="12" t="s">
        <v>36</v>
      </c>
      <c r="S4572" s="12" t="s">
        <v>36</v>
      </c>
      <c r="T4572" s="12" t="s">
        <v>5707</v>
      </c>
      <c r="U4572" s="12" t="s">
        <v>279</v>
      </c>
      <c r="V4572" s="12" t="s">
        <v>64</v>
      </c>
      <c r="W4572" s="12" t="s">
        <v>5708</v>
      </c>
      <c r="X4572" s="16" t="s">
        <v>22325</v>
      </c>
      <c r="Y4572" s="15" t="s">
        <v>475</v>
      </c>
      <c r="Z4572" s="14">
        <v>44.91</v>
      </c>
      <c r="AA4572" s="14">
        <v>264.93</v>
      </c>
      <c r="AB4572" s="12" t="s">
        <v>56</v>
      </c>
      <c r="AC4572" s="12" t="s">
        <v>5711</v>
      </c>
      <c r="AD4572" s="13">
        <v>43636</v>
      </c>
      <c r="AE4572" s="12" t="s">
        <v>283</v>
      </c>
      <c r="AF4572" s="12" t="s">
        <v>2363</v>
      </c>
      <c r="AG4572" s="12" t="s">
        <v>81</v>
      </c>
      <c r="AH4572" s="1">
        <f>HYPERLINK("https://my.pitchbook.com?c=119913-40T","View Company Online")</f>
      </c>
    </row>
    <row r="4573">
      <c r="A4573" s="3" t="s">
        <v>22326</v>
      </c>
      <c r="B4573" s="3" t="s">
        <v>22327</v>
      </c>
      <c r="C4573" s="5" t="s">
        <v>36</v>
      </c>
      <c r="D4573" s="5" t="s">
        <v>36</v>
      </c>
      <c r="E4573" s="5" t="s">
        <v>36</v>
      </c>
      <c r="F4573" s="5" t="s">
        <v>36</v>
      </c>
      <c r="G4573" s="6" t="s">
        <v>326</v>
      </c>
      <c r="H4573" s="4">
        <v>16.89</v>
      </c>
      <c r="I4573" s="7">
        <v>21.5</v>
      </c>
      <c r="J4573" s="3" t="s">
        <v>521</v>
      </c>
      <c r="K4573" s="9" t="s">
        <v>36</v>
      </c>
      <c r="L4573" s="6" t="s">
        <v>36</v>
      </c>
      <c r="M4573" s="3" t="s">
        <v>36</v>
      </c>
      <c r="N4573" s="3" t="s">
        <v>36</v>
      </c>
      <c r="O4573" s="8" t="s">
        <v>36</v>
      </c>
      <c r="P4573" s="3" t="s">
        <v>36</v>
      </c>
      <c r="Q4573" s="3" t="s">
        <v>36</v>
      </c>
      <c r="R4573" s="3" t="s">
        <v>36</v>
      </c>
      <c r="S4573" s="3" t="s">
        <v>36</v>
      </c>
      <c r="T4573" s="3" t="s">
        <v>22328</v>
      </c>
      <c r="U4573" s="3" t="s">
        <v>74</v>
      </c>
      <c r="V4573" s="3" t="s">
        <v>75</v>
      </c>
      <c r="W4573" s="3" t="s">
        <v>22329</v>
      </c>
      <c r="X4573" s="10" t="s">
        <v>22330</v>
      </c>
      <c r="Y4573" s="6" t="s">
        <v>108</v>
      </c>
      <c r="Z4573" s="4">
        <v>5.61</v>
      </c>
      <c r="AA4573" s="4">
        <v>14.3</v>
      </c>
      <c r="AB4573" s="3" t="s">
        <v>56</v>
      </c>
      <c r="AC4573" s="3" t="s">
        <v>22331</v>
      </c>
      <c r="AD4573" s="9">
        <v>43636</v>
      </c>
      <c r="AE4573" s="3" t="s">
        <v>1888</v>
      </c>
      <c r="AF4573" s="3" t="s">
        <v>4276</v>
      </c>
      <c r="AG4573" s="3" t="s">
        <v>81</v>
      </c>
      <c r="AH4573" s="11">
        <f>HYPERLINK("https://my.pitchbook.com?c=120495-25T","View Company Online")</f>
      </c>
    </row>
    <row r="4574">
      <c r="A4574" s="12" t="s">
        <v>22332</v>
      </c>
      <c r="B4574" s="12" t="s">
        <v>22333</v>
      </c>
      <c r="C4574" s="19" t="s">
        <v>36</v>
      </c>
      <c r="D4574" s="19" t="s">
        <v>36</v>
      </c>
      <c r="E4574" s="19" t="s">
        <v>36</v>
      </c>
      <c r="F4574" s="19" t="s">
        <v>36</v>
      </c>
      <c r="G4574" s="15" t="s">
        <v>36</v>
      </c>
      <c r="H4574" s="14">
        <v>108.36</v>
      </c>
      <c r="I4574" s="18">
        <v>27.42</v>
      </c>
      <c r="J4574" s="12" t="s">
        <v>521</v>
      </c>
      <c r="K4574" s="13" t="s">
        <v>36</v>
      </c>
      <c r="L4574" s="15" t="s">
        <v>122</v>
      </c>
      <c r="M4574" s="12" t="s">
        <v>36</v>
      </c>
      <c r="N4574" s="12" t="s">
        <v>122</v>
      </c>
      <c r="O4574" s="17" t="s">
        <v>36</v>
      </c>
      <c r="P4574" s="12" t="s">
        <v>36</v>
      </c>
      <c r="Q4574" s="12" t="s">
        <v>36</v>
      </c>
      <c r="R4574" s="12" t="s">
        <v>36</v>
      </c>
      <c r="S4574" s="12" t="s">
        <v>36</v>
      </c>
      <c r="T4574" s="12" t="s">
        <v>22334</v>
      </c>
      <c r="U4574" s="12" t="s">
        <v>648</v>
      </c>
      <c r="V4574" s="12" t="s">
        <v>64</v>
      </c>
      <c r="W4574" s="12" t="s">
        <v>22335</v>
      </c>
      <c r="X4574" s="16" t="s">
        <v>22336</v>
      </c>
      <c r="Y4574" s="15" t="s">
        <v>192</v>
      </c>
      <c r="Z4574" s="14">
        <v>3.59</v>
      </c>
      <c r="AA4574" s="14">
        <v>6.96</v>
      </c>
      <c r="AB4574" s="12" t="s">
        <v>43</v>
      </c>
      <c r="AC4574" s="12" t="s">
        <v>22337</v>
      </c>
      <c r="AD4574" s="13">
        <v>43635</v>
      </c>
      <c r="AE4574" s="12" t="s">
        <v>651</v>
      </c>
      <c r="AF4574" s="12" t="s">
        <v>36</v>
      </c>
      <c r="AG4574" s="12" t="s">
        <v>47</v>
      </c>
      <c r="AH4574" s="1">
        <f>HYPERLINK("https://my.pitchbook.com?c=120702-79T","View Company Online")</f>
      </c>
    </row>
    <row r="4575">
      <c r="A4575" s="3" t="s">
        <v>22338</v>
      </c>
      <c r="B4575" s="3" t="s">
        <v>5536</v>
      </c>
      <c r="C4575" s="5">
        <v>22</v>
      </c>
      <c r="D4575" s="5">
        <v>59</v>
      </c>
      <c r="E4575" s="5">
        <v>32</v>
      </c>
      <c r="F4575" s="5">
        <v>116</v>
      </c>
      <c r="G4575" s="6" t="s">
        <v>326</v>
      </c>
      <c r="H4575" s="4">
        <v>217.9</v>
      </c>
      <c r="I4575" s="7">
        <v>52.99</v>
      </c>
      <c r="J4575" s="3" t="s">
        <v>521</v>
      </c>
      <c r="K4575" s="9" t="s">
        <v>36</v>
      </c>
      <c r="L4575" s="6" t="s">
        <v>94</v>
      </c>
      <c r="M4575" s="3" t="s">
        <v>36</v>
      </c>
      <c r="N4575" s="3" t="s">
        <v>94</v>
      </c>
      <c r="O4575" s="8" t="s">
        <v>36</v>
      </c>
      <c r="P4575" s="3" t="s">
        <v>36</v>
      </c>
      <c r="Q4575" s="3" t="s">
        <v>36</v>
      </c>
      <c r="R4575" s="3" t="s">
        <v>36</v>
      </c>
      <c r="S4575" s="3" t="s">
        <v>36</v>
      </c>
      <c r="T4575" s="3" t="s">
        <v>5537</v>
      </c>
      <c r="U4575" s="3" t="s">
        <v>96</v>
      </c>
      <c r="V4575" s="3" t="s">
        <v>52</v>
      </c>
      <c r="W4575" s="3" t="s">
        <v>5538</v>
      </c>
      <c r="X4575" s="10" t="s">
        <v>22339</v>
      </c>
      <c r="Y4575" s="6" t="s">
        <v>192</v>
      </c>
      <c r="Z4575" s="4">
        <v>72.37</v>
      </c>
      <c r="AA4575" s="4">
        <v>133.64</v>
      </c>
      <c r="AB4575" s="3" t="s">
        <v>56</v>
      </c>
      <c r="AC4575" s="3" t="s">
        <v>5540</v>
      </c>
      <c r="AD4575" s="9">
        <v>43634</v>
      </c>
      <c r="AE4575" s="3" t="s">
        <v>100</v>
      </c>
      <c r="AF4575" s="3" t="s">
        <v>5541</v>
      </c>
      <c r="AG4575" s="3" t="s">
        <v>81</v>
      </c>
      <c r="AH4575" s="11">
        <f>HYPERLINK("https://my.pitchbook.com?c=119811-16T","View Company Online")</f>
      </c>
    </row>
    <row r="4576">
      <c r="A4576" s="12" t="s">
        <v>22340</v>
      </c>
      <c r="B4576" s="12" t="s">
        <v>12680</v>
      </c>
      <c r="C4576" s="19" t="s">
        <v>36</v>
      </c>
      <c r="D4576" s="19" t="s">
        <v>36</v>
      </c>
      <c r="E4576" s="19" t="s">
        <v>36</v>
      </c>
      <c r="F4576" s="19" t="s">
        <v>36</v>
      </c>
      <c r="G4576" s="15" t="s">
        <v>326</v>
      </c>
      <c r="H4576" s="14">
        <v>6663.09</v>
      </c>
      <c r="I4576" s="18">
        <v>21.78</v>
      </c>
      <c r="J4576" s="12" t="s">
        <v>521</v>
      </c>
      <c r="K4576" s="13" t="s">
        <v>36</v>
      </c>
      <c r="L4576" s="15" t="s">
        <v>36</v>
      </c>
      <c r="M4576" s="12" t="s">
        <v>36</v>
      </c>
      <c r="N4576" s="12" t="s">
        <v>36</v>
      </c>
      <c r="O4576" s="17" t="s">
        <v>36</v>
      </c>
      <c r="P4576" s="12" t="s">
        <v>36</v>
      </c>
      <c r="Q4576" s="12" t="s">
        <v>36</v>
      </c>
      <c r="R4576" s="12" t="s">
        <v>36</v>
      </c>
      <c r="S4576" s="12" t="s">
        <v>36</v>
      </c>
      <c r="T4576" s="12" t="s">
        <v>12681</v>
      </c>
      <c r="U4576" s="12" t="s">
        <v>289</v>
      </c>
      <c r="V4576" s="12" t="s">
        <v>64</v>
      </c>
      <c r="W4576" s="12" t="s">
        <v>12682</v>
      </c>
      <c r="X4576" s="16" t="s">
        <v>22341</v>
      </c>
      <c r="Y4576" s="15" t="s">
        <v>42</v>
      </c>
      <c r="Z4576" s="14">
        <v>2.81</v>
      </c>
      <c r="AA4576" s="14">
        <v>12.03</v>
      </c>
      <c r="AB4576" s="12" t="s">
        <v>43</v>
      </c>
      <c r="AC4576" s="12" t="s">
        <v>12684</v>
      </c>
      <c r="AD4576" s="13">
        <v>43634</v>
      </c>
      <c r="AE4576" s="12" t="s">
        <v>292</v>
      </c>
      <c r="AF4576" s="12" t="s">
        <v>6718</v>
      </c>
      <c r="AG4576" s="12" t="s">
        <v>81</v>
      </c>
      <c r="AH4576" s="1">
        <f>HYPERLINK("https://my.pitchbook.com?c=138925-36T","View Company Online")</f>
      </c>
    </row>
    <row r="4577">
      <c r="A4577" s="3" t="s">
        <v>22342</v>
      </c>
      <c r="B4577" s="3" t="s">
        <v>20393</v>
      </c>
      <c r="C4577" s="5" t="s">
        <v>36</v>
      </c>
      <c r="D4577" s="5" t="s">
        <v>36</v>
      </c>
      <c r="E4577" s="5" t="s">
        <v>36</v>
      </c>
      <c r="F4577" s="5" t="s">
        <v>36</v>
      </c>
      <c r="G4577" s="6" t="s">
        <v>36</v>
      </c>
      <c r="H4577" s="4">
        <v>959.93</v>
      </c>
      <c r="I4577" s="7">
        <v>13.81</v>
      </c>
      <c r="J4577" s="3" t="s">
        <v>521</v>
      </c>
      <c r="K4577" s="9" t="s">
        <v>36</v>
      </c>
      <c r="L4577" s="6" t="s">
        <v>36</v>
      </c>
      <c r="M4577" s="3" t="s">
        <v>36</v>
      </c>
      <c r="N4577" s="3" t="s">
        <v>36</v>
      </c>
      <c r="O4577" s="8" t="s">
        <v>36</v>
      </c>
      <c r="P4577" s="3" t="s">
        <v>36</v>
      </c>
      <c r="Q4577" s="3" t="s">
        <v>36</v>
      </c>
      <c r="R4577" s="3" t="s">
        <v>36</v>
      </c>
      <c r="S4577" s="3" t="s">
        <v>36</v>
      </c>
      <c r="T4577" s="3" t="s">
        <v>942</v>
      </c>
      <c r="U4577" s="3" t="s">
        <v>38</v>
      </c>
      <c r="V4577" s="3" t="s">
        <v>39</v>
      </c>
      <c r="W4577" s="3" t="s">
        <v>20394</v>
      </c>
      <c r="X4577" s="10" t="s">
        <v>20563</v>
      </c>
      <c r="Y4577" s="6" t="s">
        <v>42</v>
      </c>
      <c r="Z4577" s="4">
        <v>0.7</v>
      </c>
      <c r="AA4577" s="4">
        <v>3.49</v>
      </c>
      <c r="AB4577" s="3" t="s">
        <v>43</v>
      </c>
      <c r="AC4577" s="3" t="s">
        <v>20396</v>
      </c>
      <c r="AD4577" s="9">
        <v>43634</v>
      </c>
      <c r="AE4577" s="3" t="s">
        <v>45</v>
      </c>
      <c r="AF4577" s="3" t="s">
        <v>20397</v>
      </c>
      <c r="AG4577" s="3" t="s">
        <v>652</v>
      </c>
      <c r="AH4577" s="11">
        <f>HYPERLINK("https://my.pitchbook.com?c=130960-27T","View Company Online")</f>
      </c>
    </row>
    <row r="4578">
      <c r="A4578" s="12" t="s">
        <v>22343</v>
      </c>
      <c r="B4578" s="12" t="s">
        <v>22344</v>
      </c>
      <c r="C4578" s="19">
        <v>1</v>
      </c>
      <c r="D4578" s="19">
        <v>32</v>
      </c>
      <c r="E4578" s="19">
        <v>5</v>
      </c>
      <c r="F4578" s="19">
        <v>33</v>
      </c>
      <c r="G4578" s="15" t="s">
        <v>326</v>
      </c>
      <c r="H4578" s="14">
        <v>22.9</v>
      </c>
      <c r="I4578" s="18">
        <v>37.13</v>
      </c>
      <c r="J4578" s="12" t="s">
        <v>521</v>
      </c>
      <c r="K4578" s="13" t="s">
        <v>36</v>
      </c>
      <c r="L4578" s="15" t="s">
        <v>122</v>
      </c>
      <c r="M4578" s="12" t="s">
        <v>36</v>
      </c>
      <c r="N4578" s="12" t="s">
        <v>122</v>
      </c>
      <c r="O4578" s="17" t="s">
        <v>36</v>
      </c>
      <c r="P4578" s="12" t="s">
        <v>36</v>
      </c>
      <c r="Q4578" s="12" t="s">
        <v>36</v>
      </c>
      <c r="R4578" s="12" t="s">
        <v>36</v>
      </c>
      <c r="S4578" s="12" t="s">
        <v>22345</v>
      </c>
      <c r="T4578" s="12" t="s">
        <v>588</v>
      </c>
      <c r="U4578" s="12" t="s">
        <v>318</v>
      </c>
      <c r="V4578" s="12" t="s">
        <v>39</v>
      </c>
      <c r="W4578" s="12" t="s">
        <v>22346</v>
      </c>
      <c r="X4578" s="16" t="s">
        <v>22347</v>
      </c>
      <c r="Y4578" s="15" t="s">
        <v>108</v>
      </c>
      <c r="Z4578" s="14">
        <v>11.22</v>
      </c>
      <c r="AA4578" s="14">
        <v>28.54</v>
      </c>
      <c r="AB4578" s="12" t="s">
        <v>56</v>
      </c>
      <c r="AC4578" s="12" t="s">
        <v>22348</v>
      </c>
      <c r="AD4578" s="13">
        <v>43633</v>
      </c>
      <c r="AE4578" s="12" t="s">
        <v>417</v>
      </c>
      <c r="AF4578" s="12" t="s">
        <v>22349</v>
      </c>
      <c r="AG4578" s="12" t="s">
        <v>22350</v>
      </c>
      <c r="AH4578" s="1">
        <f>HYPERLINK("https://my.pitchbook.com?c=119778-67T","View Company Online")</f>
      </c>
    </row>
    <row r="4579">
      <c r="A4579" s="3" t="s">
        <v>22351</v>
      </c>
      <c r="B4579" s="3" t="s">
        <v>19990</v>
      </c>
      <c r="C4579" s="5">
        <v>2</v>
      </c>
      <c r="D4579" s="5">
        <v>7</v>
      </c>
      <c r="E4579" s="5">
        <v>5</v>
      </c>
      <c r="F4579" s="5">
        <v>13</v>
      </c>
      <c r="G4579" s="6" t="s">
        <v>36</v>
      </c>
      <c r="H4579" s="4" t="s">
        <v>36</v>
      </c>
      <c r="I4579" s="7" t="s">
        <v>36</v>
      </c>
      <c r="J4579" s="3" t="s">
        <v>36</v>
      </c>
      <c r="K4579" s="9" t="s">
        <v>36</v>
      </c>
      <c r="L4579" s="6" t="s">
        <v>36</v>
      </c>
      <c r="M4579" s="3" t="s">
        <v>36</v>
      </c>
      <c r="N4579" s="3" t="s">
        <v>36</v>
      </c>
      <c r="O4579" s="8" t="s">
        <v>36</v>
      </c>
      <c r="P4579" s="3" t="s">
        <v>36</v>
      </c>
      <c r="Q4579" s="3" t="s">
        <v>36</v>
      </c>
      <c r="R4579" s="3" t="s">
        <v>36</v>
      </c>
      <c r="S4579" s="3" t="s">
        <v>19991</v>
      </c>
      <c r="T4579" s="3" t="s">
        <v>19992</v>
      </c>
      <c r="U4579" s="3" t="s">
        <v>833</v>
      </c>
      <c r="V4579" s="3" t="s">
        <v>64</v>
      </c>
      <c r="W4579" s="3" t="s">
        <v>19993</v>
      </c>
      <c r="X4579" s="10" t="s">
        <v>22352</v>
      </c>
      <c r="Y4579" s="6" t="s">
        <v>42</v>
      </c>
      <c r="Z4579" s="4">
        <v>1.91</v>
      </c>
      <c r="AA4579" s="4" t="s">
        <v>36</v>
      </c>
      <c r="AB4579" s="3" t="s">
        <v>43</v>
      </c>
      <c r="AC4579" s="3" t="s">
        <v>19995</v>
      </c>
      <c r="AD4579" s="9">
        <v>43633</v>
      </c>
      <c r="AE4579" s="3" t="s">
        <v>1069</v>
      </c>
      <c r="AF4579" s="3" t="s">
        <v>19996</v>
      </c>
      <c r="AG4579" s="3" t="s">
        <v>19997</v>
      </c>
      <c r="AH4579" s="11">
        <f>HYPERLINK("https://my.pitchbook.com?c=121295-98T","View Company Online")</f>
      </c>
    </row>
    <row r="4580">
      <c r="A4580" s="12" t="s">
        <v>22353</v>
      </c>
      <c r="B4580" s="12" t="s">
        <v>22354</v>
      </c>
      <c r="C4580" s="19" t="s">
        <v>36</v>
      </c>
      <c r="D4580" s="19" t="s">
        <v>36</v>
      </c>
      <c r="E4580" s="19" t="s">
        <v>36</v>
      </c>
      <c r="F4580" s="19" t="s">
        <v>36</v>
      </c>
      <c r="G4580" s="15" t="s">
        <v>36</v>
      </c>
      <c r="H4580" s="14" t="s">
        <v>36</v>
      </c>
      <c r="I4580" s="18" t="s">
        <v>36</v>
      </c>
      <c r="J4580" s="12" t="s">
        <v>36</v>
      </c>
      <c r="K4580" s="13" t="s">
        <v>36</v>
      </c>
      <c r="L4580" s="15" t="s">
        <v>122</v>
      </c>
      <c r="M4580" s="12" t="s">
        <v>36</v>
      </c>
      <c r="N4580" s="12" t="s">
        <v>122</v>
      </c>
      <c r="O4580" s="17" t="s">
        <v>36</v>
      </c>
      <c r="P4580" s="12" t="s">
        <v>36</v>
      </c>
      <c r="Q4580" s="12" t="s">
        <v>36</v>
      </c>
      <c r="R4580" s="12" t="s">
        <v>36</v>
      </c>
      <c r="S4580" s="12" t="s">
        <v>36</v>
      </c>
      <c r="T4580" s="12" t="s">
        <v>22355</v>
      </c>
      <c r="U4580" s="12" t="s">
        <v>63</v>
      </c>
      <c r="V4580" s="12" t="s">
        <v>64</v>
      </c>
      <c r="W4580" s="12" t="s">
        <v>22356</v>
      </c>
      <c r="X4580" s="16" t="s">
        <v>22357</v>
      </c>
      <c r="Y4580" s="15" t="s">
        <v>192</v>
      </c>
      <c r="Z4580" s="14">
        <v>3.37</v>
      </c>
      <c r="AA4580" s="14" t="s">
        <v>36</v>
      </c>
      <c r="AB4580" s="12" t="s">
        <v>56</v>
      </c>
      <c r="AC4580" s="12" t="s">
        <v>22358</v>
      </c>
      <c r="AD4580" s="13">
        <v>43633</v>
      </c>
      <c r="AE4580" s="12" t="s">
        <v>68</v>
      </c>
      <c r="AF4580" s="12" t="s">
        <v>36</v>
      </c>
      <c r="AG4580" s="12" t="s">
        <v>8790</v>
      </c>
      <c r="AH4580" s="1">
        <f>HYPERLINK("https://my.pitchbook.com?c=119780-74T","View Company Online")</f>
      </c>
    </row>
    <row r="4581">
      <c r="A4581" s="3" t="s">
        <v>22359</v>
      </c>
      <c r="B4581" s="3" t="s">
        <v>7889</v>
      </c>
      <c r="C4581" s="5" t="s">
        <v>36</v>
      </c>
      <c r="D4581" s="5" t="s">
        <v>36</v>
      </c>
      <c r="E4581" s="5" t="s">
        <v>36</v>
      </c>
      <c r="F4581" s="5" t="s">
        <v>36</v>
      </c>
      <c r="G4581" s="6" t="s">
        <v>36</v>
      </c>
      <c r="H4581" s="4" t="s">
        <v>36</v>
      </c>
      <c r="I4581" s="7" t="s">
        <v>36</v>
      </c>
      <c r="J4581" s="3" t="s">
        <v>36</v>
      </c>
      <c r="K4581" s="9" t="s">
        <v>36</v>
      </c>
      <c r="L4581" s="6" t="s">
        <v>36</v>
      </c>
      <c r="M4581" s="3" t="s">
        <v>36</v>
      </c>
      <c r="N4581" s="3" t="s">
        <v>36</v>
      </c>
      <c r="O4581" s="8" t="s">
        <v>36</v>
      </c>
      <c r="P4581" s="3" t="s">
        <v>36</v>
      </c>
      <c r="Q4581" s="3" t="s">
        <v>36</v>
      </c>
      <c r="R4581" s="3" t="s">
        <v>36</v>
      </c>
      <c r="S4581" s="3" t="s">
        <v>36</v>
      </c>
      <c r="T4581" s="3" t="s">
        <v>7890</v>
      </c>
      <c r="U4581" s="3" t="s">
        <v>38</v>
      </c>
      <c r="V4581" s="3" t="s">
        <v>39</v>
      </c>
      <c r="W4581" s="3" t="s">
        <v>7891</v>
      </c>
      <c r="X4581" s="10" t="s">
        <v>1840</v>
      </c>
      <c r="Y4581" s="6" t="s">
        <v>42</v>
      </c>
      <c r="Z4581" s="4">
        <v>0.67</v>
      </c>
      <c r="AA4581" s="4" t="s">
        <v>36</v>
      </c>
      <c r="AB4581" s="3" t="s">
        <v>43</v>
      </c>
      <c r="AC4581" s="3" t="s">
        <v>7892</v>
      </c>
      <c r="AD4581" s="9">
        <v>43633</v>
      </c>
      <c r="AE4581" s="3" t="s">
        <v>45</v>
      </c>
      <c r="AF4581" s="3" t="s">
        <v>7893</v>
      </c>
      <c r="AG4581" s="3" t="s">
        <v>899</v>
      </c>
      <c r="AH4581" s="11">
        <f>HYPERLINK("https://my.pitchbook.com?c=171995-86T","View Company Online")</f>
      </c>
    </row>
    <row r="4582">
      <c r="A4582" s="12" t="s">
        <v>22360</v>
      </c>
      <c r="B4582" s="12" t="s">
        <v>15291</v>
      </c>
      <c r="C4582" s="19">
        <v>1</v>
      </c>
      <c r="D4582" s="19">
        <v>4</v>
      </c>
      <c r="E4582" s="19">
        <v>1</v>
      </c>
      <c r="F4582" s="19">
        <v>5</v>
      </c>
      <c r="G4582" s="15" t="s">
        <v>326</v>
      </c>
      <c r="H4582" s="14">
        <v>81.12</v>
      </c>
      <c r="I4582" s="18">
        <v>28.81</v>
      </c>
      <c r="J4582" s="12" t="s">
        <v>521</v>
      </c>
      <c r="K4582" s="13" t="s">
        <v>36</v>
      </c>
      <c r="L4582" s="15" t="s">
        <v>36</v>
      </c>
      <c r="M4582" s="12" t="s">
        <v>36</v>
      </c>
      <c r="N4582" s="12" t="s">
        <v>36</v>
      </c>
      <c r="O4582" s="17" t="s">
        <v>36</v>
      </c>
      <c r="P4582" s="12" t="s">
        <v>36</v>
      </c>
      <c r="Q4582" s="12" t="s">
        <v>36</v>
      </c>
      <c r="R4582" s="12" t="s">
        <v>36</v>
      </c>
      <c r="S4582" s="12" t="s">
        <v>36</v>
      </c>
      <c r="T4582" s="12" t="s">
        <v>15292</v>
      </c>
      <c r="U4582" s="12" t="s">
        <v>1357</v>
      </c>
      <c r="V4582" s="12" t="s">
        <v>52</v>
      </c>
      <c r="W4582" s="12" t="s">
        <v>15293</v>
      </c>
      <c r="X4582" s="16" t="s">
        <v>22361</v>
      </c>
      <c r="Y4582" s="15" t="s">
        <v>108</v>
      </c>
      <c r="Z4582" s="14">
        <v>1.91</v>
      </c>
      <c r="AA4582" s="14">
        <v>5.27</v>
      </c>
      <c r="AB4582" s="12" t="s">
        <v>56</v>
      </c>
      <c r="AC4582" s="12" t="s">
        <v>15295</v>
      </c>
      <c r="AD4582" s="13">
        <v>43632</v>
      </c>
      <c r="AE4582" s="12" t="s">
        <v>3204</v>
      </c>
      <c r="AF4582" s="12" t="s">
        <v>15296</v>
      </c>
      <c r="AG4582" s="12" t="s">
        <v>47</v>
      </c>
      <c r="AH4582" s="1">
        <f>HYPERLINK("https://my.pitchbook.com?c=126284-50T","View Company Online")</f>
      </c>
    </row>
    <row r="4583">
      <c r="A4583" s="3" t="s">
        <v>22362</v>
      </c>
      <c r="B4583" s="3" t="s">
        <v>14052</v>
      </c>
      <c r="C4583" s="5" t="s">
        <v>36</v>
      </c>
      <c r="D4583" s="5" t="s">
        <v>36</v>
      </c>
      <c r="E4583" s="5" t="s">
        <v>36</v>
      </c>
      <c r="F4583" s="5" t="s">
        <v>36</v>
      </c>
      <c r="G4583" s="6" t="s">
        <v>326</v>
      </c>
      <c r="H4583" s="4">
        <v>7.1</v>
      </c>
      <c r="I4583" s="7">
        <v>22.25</v>
      </c>
      <c r="J4583" s="3" t="s">
        <v>521</v>
      </c>
      <c r="K4583" s="9" t="s">
        <v>36</v>
      </c>
      <c r="L4583" s="6" t="s">
        <v>1279</v>
      </c>
      <c r="M4583" s="3" t="s">
        <v>36</v>
      </c>
      <c r="N4583" s="3" t="s">
        <v>1279</v>
      </c>
      <c r="O4583" s="8" t="s">
        <v>36</v>
      </c>
      <c r="P4583" s="3" t="s">
        <v>36</v>
      </c>
      <c r="Q4583" s="3" t="s">
        <v>36</v>
      </c>
      <c r="R4583" s="3" t="s">
        <v>36</v>
      </c>
      <c r="S4583" s="3" t="s">
        <v>36</v>
      </c>
      <c r="T4583" s="3" t="s">
        <v>10669</v>
      </c>
      <c r="U4583" s="3" t="s">
        <v>38</v>
      </c>
      <c r="V4583" s="3" t="s">
        <v>39</v>
      </c>
      <c r="W4583" s="3" t="s">
        <v>14053</v>
      </c>
      <c r="X4583" s="10" t="s">
        <v>22363</v>
      </c>
      <c r="Y4583" s="6" t="s">
        <v>192</v>
      </c>
      <c r="Z4583" s="4">
        <v>78.52</v>
      </c>
      <c r="AA4583" s="4">
        <v>262.12</v>
      </c>
      <c r="AB4583" s="3" t="s">
        <v>56</v>
      </c>
      <c r="AC4583" s="3" t="s">
        <v>14055</v>
      </c>
      <c r="AD4583" s="9">
        <v>43632</v>
      </c>
      <c r="AE4583" s="3" t="s">
        <v>110</v>
      </c>
      <c r="AF4583" s="3" t="s">
        <v>14056</v>
      </c>
      <c r="AG4583" s="3" t="s">
        <v>81</v>
      </c>
      <c r="AH4583" s="11">
        <f>HYPERLINK("https://my.pitchbook.com?c=119746-63T","View Company Online")</f>
      </c>
    </row>
    <row r="4584">
      <c r="A4584" s="12" t="s">
        <v>22364</v>
      </c>
      <c r="B4584" s="12" t="s">
        <v>19005</v>
      </c>
      <c r="C4584" s="19" t="s">
        <v>36</v>
      </c>
      <c r="D4584" s="19" t="s">
        <v>36</v>
      </c>
      <c r="E4584" s="19" t="s">
        <v>36</v>
      </c>
      <c r="F4584" s="19" t="s">
        <v>36</v>
      </c>
      <c r="G4584" s="15" t="s">
        <v>36</v>
      </c>
      <c r="H4584" s="14" t="s">
        <v>36</v>
      </c>
      <c r="I4584" s="18" t="s">
        <v>36</v>
      </c>
      <c r="J4584" s="12" t="s">
        <v>36</v>
      </c>
      <c r="K4584" s="13" t="s">
        <v>36</v>
      </c>
      <c r="L4584" s="15" t="s">
        <v>122</v>
      </c>
      <c r="M4584" s="12" t="s">
        <v>36</v>
      </c>
      <c r="N4584" s="12" t="s">
        <v>122</v>
      </c>
      <c r="O4584" s="17" t="s">
        <v>36</v>
      </c>
      <c r="P4584" s="12" t="s">
        <v>36</v>
      </c>
      <c r="Q4584" s="12" t="s">
        <v>36</v>
      </c>
      <c r="R4584" s="12" t="s">
        <v>36</v>
      </c>
      <c r="S4584" s="12" t="s">
        <v>36</v>
      </c>
      <c r="T4584" s="12" t="s">
        <v>3141</v>
      </c>
      <c r="U4584" s="12" t="s">
        <v>74</v>
      </c>
      <c r="V4584" s="12" t="s">
        <v>75</v>
      </c>
      <c r="W4584" s="12" t="s">
        <v>19006</v>
      </c>
      <c r="X4584" s="16" t="s">
        <v>11154</v>
      </c>
      <c r="Y4584" s="15" t="s">
        <v>55</v>
      </c>
      <c r="Z4584" s="14">
        <v>1.91</v>
      </c>
      <c r="AA4584" s="14" t="s">
        <v>36</v>
      </c>
      <c r="AB4584" s="12" t="s">
        <v>43</v>
      </c>
      <c r="AC4584" s="12" t="s">
        <v>19007</v>
      </c>
      <c r="AD4584" s="13">
        <v>43632</v>
      </c>
      <c r="AE4584" s="12" t="s">
        <v>3144</v>
      </c>
      <c r="AF4584" s="12" t="s">
        <v>9411</v>
      </c>
      <c r="AG4584" s="12" t="s">
        <v>4514</v>
      </c>
      <c r="AH4584" s="1">
        <f>HYPERLINK("https://my.pitchbook.com?c=140367-34T","View Company Online")</f>
      </c>
    </row>
    <row r="4585">
      <c r="A4585" s="3" t="s">
        <v>22365</v>
      </c>
      <c r="B4585" s="3" t="s">
        <v>22366</v>
      </c>
      <c r="C4585" s="5" t="s">
        <v>36</v>
      </c>
      <c r="D4585" s="5" t="s">
        <v>36</v>
      </c>
      <c r="E4585" s="5" t="s">
        <v>36</v>
      </c>
      <c r="F4585" s="5" t="s">
        <v>36</v>
      </c>
      <c r="G4585" s="6" t="s">
        <v>36</v>
      </c>
      <c r="H4585" s="4">
        <v>16.13</v>
      </c>
      <c r="I4585" s="7">
        <v>29.4</v>
      </c>
      <c r="J4585" s="3" t="s">
        <v>521</v>
      </c>
      <c r="K4585" s="9" t="s">
        <v>36</v>
      </c>
      <c r="L4585" s="6" t="s">
        <v>36</v>
      </c>
      <c r="M4585" s="3" t="s">
        <v>36</v>
      </c>
      <c r="N4585" s="3" t="s">
        <v>36</v>
      </c>
      <c r="O4585" s="8" t="s">
        <v>36</v>
      </c>
      <c r="P4585" s="3" t="s">
        <v>36</v>
      </c>
      <c r="Q4585" s="3" t="s">
        <v>36</v>
      </c>
      <c r="R4585" s="3" t="s">
        <v>36</v>
      </c>
      <c r="S4585" s="3" t="s">
        <v>36</v>
      </c>
      <c r="T4585" s="3" t="s">
        <v>11906</v>
      </c>
      <c r="U4585" s="3" t="s">
        <v>74</v>
      </c>
      <c r="V4585" s="3" t="s">
        <v>75</v>
      </c>
      <c r="W4585" s="3" t="s">
        <v>22367</v>
      </c>
      <c r="X4585" s="10" t="s">
        <v>22368</v>
      </c>
      <c r="Y4585" s="6" t="s">
        <v>42</v>
      </c>
      <c r="Z4585" s="4">
        <v>1.12</v>
      </c>
      <c r="AA4585" s="4">
        <v>2.29</v>
      </c>
      <c r="AB4585" s="3" t="s">
        <v>56</v>
      </c>
      <c r="AC4585" s="3" t="s">
        <v>22369</v>
      </c>
      <c r="AD4585" s="9">
        <v>43630</v>
      </c>
      <c r="AE4585" s="3" t="s">
        <v>570</v>
      </c>
      <c r="AF4585" s="3" t="s">
        <v>372</v>
      </c>
      <c r="AG4585" s="3" t="s">
        <v>47</v>
      </c>
      <c r="AH4585" s="11">
        <f>HYPERLINK("https://my.pitchbook.com?c=131799-43T","View Company Online")</f>
      </c>
    </row>
    <row r="4586">
      <c r="A4586" s="12" t="s">
        <v>22370</v>
      </c>
      <c r="B4586" s="12" t="s">
        <v>8453</v>
      </c>
      <c r="C4586" s="19" t="s">
        <v>36</v>
      </c>
      <c r="D4586" s="19" t="s">
        <v>36</v>
      </c>
      <c r="E4586" s="19" t="s">
        <v>36</v>
      </c>
      <c r="F4586" s="19" t="s">
        <v>36</v>
      </c>
      <c r="G4586" s="15" t="s">
        <v>36</v>
      </c>
      <c r="H4586" s="14">
        <v>986.64</v>
      </c>
      <c r="I4586" s="18">
        <v>17.62</v>
      </c>
      <c r="J4586" s="12" t="s">
        <v>521</v>
      </c>
      <c r="K4586" s="13" t="s">
        <v>36</v>
      </c>
      <c r="L4586" s="15" t="s">
        <v>36</v>
      </c>
      <c r="M4586" s="12" t="s">
        <v>36</v>
      </c>
      <c r="N4586" s="12" t="s">
        <v>36</v>
      </c>
      <c r="O4586" s="17" t="s">
        <v>36</v>
      </c>
      <c r="P4586" s="12" t="s">
        <v>36</v>
      </c>
      <c r="Q4586" s="12" t="s">
        <v>36</v>
      </c>
      <c r="R4586" s="12" t="s">
        <v>36</v>
      </c>
      <c r="S4586" s="12" t="s">
        <v>196</v>
      </c>
      <c r="T4586" s="12" t="s">
        <v>8454</v>
      </c>
      <c r="U4586" s="12" t="s">
        <v>51</v>
      </c>
      <c r="V4586" s="12" t="s">
        <v>52</v>
      </c>
      <c r="W4586" s="12" t="s">
        <v>8455</v>
      </c>
      <c r="X4586" s="16" t="s">
        <v>22371</v>
      </c>
      <c r="Y4586" s="15" t="s">
        <v>108</v>
      </c>
      <c r="Z4586" s="14">
        <v>3.72</v>
      </c>
      <c r="AA4586" s="14">
        <v>21.14</v>
      </c>
      <c r="AB4586" s="12" t="s">
        <v>43</v>
      </c>
      <c r="AC4586" s="12" t="s">
        <v>8457</v>
      </c>
      <c r="AD4586" s="13">
        <v>43630</v>
      </c>
      <c r="AE4586" s="12" t="s">
        <v>158</v>
      </c>
      <c r="AF4586" s="12" t="s">
        <v>8458</v>
      </c>
      <c r="AG4586" s="12" t="s">
        <v>81</v>
      </c>
      <c r="AH4586" s="1">
        <f>HYPERLINK("https://my.pitchbook.com?c=191953-27T","View Company Online")</f>
      </c>
    </row>
    <row r="4587">
      <c r="A4587" s="3" t="s">
        <v>22372</v>
      </c>
      <c r="B4587" s="3" t="s">
        <v>22373</v>
      </c>
      <c r="C4587" s="5">
        <v>2</v>
      </c>
      <c r="D4587" s="5" t="s">
        <v>36</v>
      </c>
      <c r="E4587" s="5">
        <v>1</v>
      </c>
      <c r="F4587" s="5">
        <v>2</v>
      </c>
      <c r="G4587" s="6" t="s">
        <v>36</v>
      </c>
      <c r="H4587" s="4" t="s">
        <v>36</v>
      </c>
      <c r="I4587" s="7" t="s">
        <v>36</v>
      </c>
      <c r="J4587" s="3" t="s">
        <v>36</v>
      </c>
      <c r="K4587" s="9" t="s">
        <v>36</v>
      </c>
      <c r="L4587" s="6" t="s">
        <v>36</v>
      </c>
      <c r="M4587" s="3" t="s">
        <v>36</v>
      </c>
      <c r="N4587" s="3" t="s">
        <v>36</v>
      </c>
      <c r="O4587" s="8" t="s">
        <v>36</v>
      </c>
      <c r="P4587" s="3" t="s">
        <v>36</v>
      </c>
      <c r="Q4587" s="3" t="s">
        <v>36</v>
      </c>
      <c r="R4587" s="3" t="s">
        <v>36</v>
      </c>
      <c r="S4587" s="3" t="s">
        <v>36</v>
      </c>
      <c r="T4587" s="3" t="s">
        <v>2565</v>
      </c>
      <c r="U4587" s="3" t="s">
        <v>1091</v>
      </c>
      <c r="V4587" s="3" t="s">
        <v>378</v>
      </c>
      <c r="W4587" s="3" t="s">
        <v>22374</v>
      </c>
      <c r="X4587" s="10" t="s">
        <v>22375</v>
      </c>
      <c r="Y4587" s="6" t="s">
        <v>42</v>
      </c>
      <c r="Z4587" s="4" t="s">
        <v>36</v>
      </c>
      <c r="AA4587" s="4" t="s">
        <v>36</v>
      </c>
      <c r="AB4587" s="3" t="s">
        <v>56</v>
      </c>
      <c r="AC4587" s="3" t="s">
        <v>22376</v>
      </c>
      <c r="AD4587" s="9">
        <v>43630</v>
      </c>
      <c r="AE4587" s="3" t="s">
        <v>2568</v>
      </c>
      <c r="AF4587" s="3" t="s">
        <v>571</v>
      </c>
      <c r="AG4587" s="3" t="s">
        <v>22377</v>
      </c>
      <c r="AH4587" s="11">
        <f>HYPERLINK("https://my.pitchbook.com?c=165080-89T","View Company Online")</f>
      </c>
    </row>
    <row r="4588">
      <c r="A4588" s="12" t="s">
        <v>22378</v>
      </c>
      <c r="B4588" s="12" t="s">
        <v>22379</v>
      </c>
      <c r="C4588" s="19" t="s">
        <v>36</v>
      </c>
      <c r="D4588" s="19" t="s">
        <v>36</v>
      </c>
      <c r="E4588" s="19" t="s">
        <v>36</v>
      </c>
      <c r="F4588" s="19" t="s">
        <v>36</v>
      </c>
      <c r="G4588" s="15" t="s">
        <v>683</v>
      </c>
      <c r="H4588" s="14">
        <v>40.34</v>
      </c>
      <c r="I4588" s="18">
        <v>30.59</v>
      </c>
      <c r="J4588" s="12" t="s">
        <v>521</v>
      </c>
      <c r="K4588" s="13" t="s">
        <v>36</v>
      </c>
      <c r="L4588" s="15" t="s">
        <v>36</v>
      </c>
      <c r="M4588" s="12" t="s">
        <v>36</v>
      </c>
      <c r="N4588" s="12" t="s">
        <v>36</v>
      </c>
      <c r="O4588" s="17" t="s">
        <v>36</v>
      </c>
      <c r="P4588" s="12" t="s">
        <v>36</v>
      </c>
      <c r="Q4588" s="12" t="s">
        <v>36</v>
      </c>
      <c r="R4588" s="12" t="s">
        <v>36</v>
      </c>
      <c r="S4588" s="12" t="s">
        <v>36</v>
      </c>
      <c r="T4588" s="12" t="s">
        <v>751</v>
      </c>
      <c r="U4588" s="12" t="s">
        <v>96</v>
      </c>
      <c r="V4588" s="12" t="s">
        <v>52</v>
      </c>
      <c r="W4588" s="12" t="s">
        <v>22380</v>
      </c>
      <c r="X4588" s="16" t="s">
        <v>22381</v>
      </c>
      <c r="Y4588" s="15" t="s">
        <v>108</v>
      </c>
      <c r="Z4588" s="14">
        <v>1.96</v>
      </c>
      <c r="AA4588" s="14">
        <v>6.39</v>
      </c>
      <c r="AB4588" s="12" t="s">
        <v>56</v>
      </c>
      <c r="AC4588" s="12" t="s">
        <v>22382</v>
      </c>
      <c r="AD4588" s="13">
        <v>43629</v>
      </c>
      <c r="AE4588" s="12" t="s">
        <v>755</v>
      </c>
      <c r="AF4588" s="12" t="s">
        <v>571</v>
      </c>
      <c r="AG4588" s="12" t="s">
        <v>512</v>
      </c>
      <c r="AH4588" s="1">
        <f>HYPERLINK("https://my.pitchbook.com?c=123354-19T","View Company Online")</f>
      </c>
    </row>
    <row r="4589">
      <c r="A4589" s="3" t="s">
        <v>22383</v>
      </c>
      <c r="B4589" s="3" t="s">
        <v>17717</v>
      </c>
      <c r="C4589" s="5" t="s">
        <v>36</v>
      </c>
      <c r="D4589" s="5">
        <v>1</v>
      </c>
      <c r="E4589" s="5">
        <v>1</v>
      </c>
      <c r="F4589" s="5">
        <v>2</v>
      </c>
      <c r="G4589" s="6" t="s">
        <v>36</v>
      </c>
      <c r="H4589" s="4" t="s">
        <v>36</v>
      </c>
      <c r="I4589" s="7" t="s">
        <v>36</v>
      </c>
      <c r="J4589" s="3" t="s">
        <v>36</v>
      </c>
      <c r="K4589" s="9" t="s">
        <v>36</v>
      </c>
      <c r="L4589" s="6" t="s">
        <v>36</v>
      </c>
      <c r="M4589" s="3" t="s">
        <v>36</v>
      </c>
      <c r="N4589" s="3" t="s">
        <v>36</v>
      </c>
      <c r="O4589" s="8" t="s">
        <v>36</v>
      </c>
      <c r="P4589" s="3" t="s">
        <v>36</v>
      </c>
      <c r="Q4589" s="3" t="s">
        <v>36</v>
      </c>
      <c r="R4589" s="3" t="s">
        <v>36</v>
      </c>
      <c r="S4589" s="3" t="s">
        <v>36</v>
      </c>
      <c r="T4589" s="3" t="s">
        <v>17718</v>
      </c>
      <c r="U4589" s="3" t="s">
        <v>74</v>
      </c>
      <c r="V4589" s="3" t="s">
        <v>75</v>
      </c>
      <c r="W4589" s="3" t="s">
        <v>17719</v>
      </c>
      <c r="X4589" s="10" t="s">
        <v>22384</v>
      </c>
      <c r="Y4589" s="6" t="s">
        <v>42</v>
      </c>
      <c r="Z4589" s="4">
        <v>3.36</v>
      </c>
      <c r="AA4589" s="4" t="s">
        <v>36</v>
      </c>
      <c r="AB4589" s="3" t="s">
        <v>43</v>
      </c>
      <c r="AC4589" s="3" t="s">
        <v>17721</v>
      </c>
      <c r="AD4589" s="9">
        <v>43629</v>
      </c>
      <c r="AE4589" s="3" t="s">
        <v>79</v>
      </c>
      <c r="AF4589" s="3" t="s">
        <v>17722</v>
      </c>
      <c r="AG4589" s="3" t="s">
        <v>17723</v>
      </c>
      <c r="AH4589" s="11">
        <f>HYPERLINK("https://my.pitchbook.com?c=121394-17T","View Company Online")</f>
      </c>
    </row>
    <row r="4590">
      <c r="A4590" s="12" t="s">
        <v>22385</v>
      </c>
      <c r="B4590" s="12" t="s">
        <v>8676</v>
      </c>
      <c r="C4590" s="19">
        <v>5</v>
      </c>
      <c r="D4590" s="19">
        <v>1</v>
      </c>
      <c r="E4590" s="19">
        <v>4</v>
      </c>
      <c r="F4590" s="19">
        <v>10</v>
      </c>
      <c r="G4590" s="15" t="s">
        <v>36</v>
      </c>
      <c r="H4590" s="14">
        <v>18.56</v>
      </c>
      <c r="I4590" s="18">
        <v>31.67</v>
      </c>
      <c r="J4590" s="12" t="s">
        <v>521</v>
      </c>
      <c r="K4590" s="13" t="s">
        <v>36</v>
      </c>
      <c r="L4590" s="15" t="s">
        <v>122</v>
      </c>
      <c r="M4590" s="12" t="s">
        <v>36</v>
      </c>
      <c r="N4590" s="12" t="s">
        <v>122</v>
      </c>
      <c r="O4590" s="17" t="s">
        <v>36</v>
      </c>
      <c r="P4590" s="12" t="s">
        <v>36</v>
      </c>
      <c r="Q4590" s="12" t="s">
        <v>36</v>
      </c>
      <c r="R4590" s="12" t="s">
        <v>36</v>
      </c>
      <c r="S4590" s="12" t="s">
        <v>3570</v>
      </c>
      <c r="T4590" s="12" t="s">
        <v>8677</v>
      </c>
      <c r="U4590" s="12" t="s">
        <v>1082</v>
      </c>
      <c r="V4590" s="12" t="s">
        <v>378</v>
      </c>
      <c r="W4590" s="12" t="s">
        <v>8678</v>
      </c>
      <c r="X4590" s="16" t="s">
        <v>22386</v>
      </c>
      <c r="Y4590" s="15" t="s">
        <v>108</v>
      </c>
      <c r="Z4590" s="14">
        <v>4.04</v>
      </c>
      <c r="AA4590" s="14">
        <v>6.88</v>
      </c>
      <c r="AB4590" s="12" t="s">
        <v>43</v>
      </c>
      <c r="AC4590" s="12" t="s">
        <v>8680</v>
      </c>
      <c r="AD4590" s="13">
        <v>43629</v>
      </c>
      <c r="AE4590" s="12" t="s">
        <v>7876</v>
      </c>
      <c r="AF4590" s="12" t="s">
        <v>1977</v>
      </c>
      <c r="AG4590" s="12" t="s">
        <v>144</v>
      </c>
      <c r="AH4590" s="1">
        <f>HYPERLINK("https://my.pitchbook.com?c=119983-15T","View Company Online")</f>
      </c>
    </row>
    <row r="4591">
      <c r="A4591" s="3" t="s">
        <v>22387</v>
      </c>
      <c r="B4591" s="3" t="s">
        <v>22388</v>
      </c>
      <c r="C4591" s="5" t="s">
        <v>36</v>
      </c>
      <c r="D4591" s="5" t="s">
        <v>36</v>
      </c>
      <c r="E4591" s="5" t="s">
        <v>36</v>
      </c>
      <c r="F4591" s="5" t="s">
        <v>36</v>
      </c>
      <c r="G4591" s="6" t="s">
        <v>36</v>
      </c>
      <c r="H4591" s="4" t="s">
        <v>36</v>
      </c>
      <c r="I4591" s="7" t="s">
        <v>36</v>
      </c>
      <c r="J4591" s="3" t="s">
        <v>36</v>
      </c>
      <c r="K4591" s="9" t="s">
        <v>36</v>
      </c>
      <c r="L4591" s="6" t="s">
        <v>36</v>
      </c>
      <c r="M4591" s="3" t="s">
        <v>36</v>
      </c>
      <c r="N4591" s="3" t="s">
        <v>36</v>
      </c>
      <c r="O4591" s="8" t="s">
        <v>36</v>
      </c>
      <c r="P4591" s="3" t="s">
        <v>36</v>
      </c>
      <c r="Q4591" s="3" t="s">
        <v>36</v>
      </c>
      <c r="R4591" s="3" t="s">
        <v>36</v>
      </c>
      <c r="S4591" s="3" t="s">
        <v>36</v>
      </c>
      <c r="T4591" s="3" t="s">
        <v>22389</v>
      </c>
      <c r="U4591" s="3" t="s">
        <v>289</v>
      </c>
      <c r="V4591" s="3" t="s">
        <v>64</v>
      </c>
      <c r="W4591" s="3" t="s">
        <v>22390</v>
      </c>
      <c r="X4591" s="10" t="s">
        <v>22391</v>
      </c>
      <c r="Y4591" s="6" t="s">
        <v>55</v>
      </c>
      <c r="Z4591" s="4">
        <v>2.24</v>
      </c>
      <c r="AA4591" s="4" t="s">
        <v>36</v>
      </c>
      <c r="AB4591" s="3" t="s">
        <v>43</v>
      </c>
      <c r="AC4591" s="3" t="s">
        <v>22392</v>
      </c>
      <c r="AD4591" s="9">
        <v>43629</v>
      </c>
      <c r="AE4591" s="3" t="s">
        <v>292</v>
      </c>
      <c r="AF4591" s="3" t="s">
        <v>22393</v>
      </c>
      <c r="AG4591" s="3" t="s">
        <v>4449</v>
      </c>
      <c r="AH4591" s="11">
        <f>HYPERLINK("https://my.pitchbook.com?c=138973-69T","View Company Online")</f>
      </c>
    </row>
    <row r="4592">
      <c r="A4592" s="12" t="s">
        <v>22394</v>
      </c>
      <c r="B4592" s="12" t="s">
        <v>22395</v>
      </c>
      <c r="C4592" s="19" t="s">
        <v>36</v>
      </c>
      <c r="D4592" s="19" t="s">
        <v>36</v>
      </c>
      <c r="E4592" s="19" t="s">
        <v>36</v>
      </c>
      <c r="F4592" s="19" t="s">
        <v>36</v>
      </c>
      <c r="G4592" s="15" t="s">
        <v>36</v>
      </c>
      <c r="H4592" s="14" t="s">
        <v>36</v>
      </c>
      <c r="I4592" s="18" t="s">
        <v>36</v>
      </c>
      <c r="J4592" s="12" t="s">
        <v>36</v>
      </c>
      <c r="K4592" s="13" t="s">
        <v>36</v>
      </c>
      <c r="L4592" s="15" t="s">
        <v>36</v>
      </c>
      <c r="M4592" s="12" t="s">
        <v>36</v>
      </c>
      <c r="N4592" s="12" t="s">
        <v>36</v>
      </c>
      <c r="O4592" s="17" t="s">
        <v>36</v>
      </c>
      <c r="P4592" s="12" t="s">
        <v>36</v>
      </c>
      <c r="Q4592" s="12" t="s">
        <v>36</v>
      </c>
      <c r="R4592" s="12" t="s">
        <v>36</v>
      </c>
      <c r="S4592" s="12" t="s">
        <v>36</v>
      </c>
      <c r="T4592" s="12" t="s">
        <v>5512</v>
      </c>
      <c r="U4592" s="12" t="s">
        <v>38</v>
      </c>
      <c r="V4592" s="12" t="s">
        <v>39</v>
      </c>
      <c r="W4592" s="12" t="s">
        <v>22396</v>
      </c>
      <c r="X4592" s="16" t="s">
        <v>22397</v>
      </c>
      <c r="Y4592" s="15" t="s">
        <v>55</v>
      </c>
      <c r="Z4592" s="14">
        <v>43.71</v>
      </c>
      <c r="AA4592" s="14" t="s">
        <v>36</v>
      </c>
      <c r="AB4592" s="12" t="s">
        <v>56</v>
      </c>
      <c r="AC4592" s="12" t="s">
        <v>22398</v>
      </c>
      <c r="AD4592" s="13">
        <v>43628</v>
      </c>
      <c r="AE4592" s="12" t="s">
        <v>45</v>
      </c>
      <c r="AF4592" s="12" t="s">
        <v>17475</v>
      </c>
      <c r="AG4592" s="12" t="s">
        <v>81</v>
      </c>
      <c r="AH4592" s="1">
        <f>HYPERLINK("https://my.pitchbook.com?c=119705-41T","View Company Online")</f>
      </c>
    </row>
    <row r="4593">
      <c r="A4593" s="3" t="s">
        <v>22399</v>
      </c>
      <c r="B4593" s="3" t="s">
        <v>12271</v>
      </c>
      <c r="C4593" s="5" t="s">
        <v>36</v>
      </c>
      <c r="D4593" s="5" t="s">
        <v>36</v>
      </c>
      <c r="E4593" s="5" t="s">
        <v>36</v>
      </c>
      <c r="F4593" s="5" t="s">
        <v>36</v>
      </c>
      <c r="G4593" s="6" t="s">
        <v>36</v>
      </c>
      <c r="H4593" s="4" t="s">
        <v>36</v>
      </c>
      <c r="I4593" s="7" t="s">
        <v>36</v>
      </c>
      <c r="J4593" s="3" t="s">
        <v>36</v>
      </c>
      <c r="K4593" s="9" t="s">
        <v>36</v>
      </c>
      <c r="L4593" s="6" t="s">
        <v>36</v>
      </c>
      <c r="M4593" s="3" t="s">
        <v>36</v>
      </c>
      <c r="N4593" s="3" t="s">
        <v>36</v>
      </c>
      <c r="O4593" s="8" t="s">
        <v>36</v>
      </c>
      <c r="P4593" s="3" t="s">
        <v>36</v>
      </c>
      <c r="Q4593" s="3" t="s">
        <v>36</v>
      </c>
      <c r="R4593" s="3" t="s">
        <v>36</v>
      </c>
      <c r="S4593" s="3" t="s">
        <v>36</v>
      </c>
      <c r="T4593" s="3" t="s">
        <v>1048</v>
      </c>
      <c r="U4593" s="3" t="s">
        <v>423</v>
      </c>
      <c r="V4593" s="3" t="s">
        <v>64</v>
      </c>
      <c r="W4593" s="3" t="s">
        <v>12272</v>
      </c>
      <c r="X4593" s="10" t="s">
        <v>8652</v>
      </c>
      <c r="Y4593" s="6" t="s">
        <v>108</v>
      </c>
      <c r="Z4593" s="4" t="s">
        <v>36</v>
      </c>
      <c r="AA4593" s="4" t="s">
        <v>36</v>
      </c>
      <c r="AB4593" s="3" t="s">
        <v>43</v>
      </c>
      <c r="AC4593" s="3" t="s">
        <v>12274</v>
      </c>
      <c r="AD4593" s="9">
        <v>43628</v>
      </c>
      <c r="AE4593" s="3" t="s">
        <v>1051</v>
      </c>
      <c r="AF4593" s="3" t="s">
        <v>12275</v>
      </c>
      <c r="AG4593" s="3" t="s">
        <v>81</v>
      </c>
      <c r="AH4593" s="11">
        <f>HYPERLINK("https://my.pitchbook.com?c=125492-68T","View Company Online")</f>
      </c>
    </row>
    <row r="4594">
      <c r="A4594" s="12" t="s">
        <v>22400</v>
      </c>
      <c r="B4594" s="12" t="s">
        <v>22401</v>
      </c>
      <c r="C4594" s="19" t="s">
        <v>36</v>
      </c>
      <c r="D4594" s="19" t="s">
        <v>36</v>
      </c>
      <c r="E4594" s="19" t="s">
        <v>36</v>
      </c>
      <c r="F4594" s="19" t="s">
        <v>36</v>
      </c>
      <c r="G4594" s="15" t="s">
        <v>326</v>
      </c>
      <c r="H4594" s="14">
        <v>76.13</v>
      </c>
      <c r="I4594" s="18">
        <v>24.73</v>
      </c>
      <c r="J4594" s="12" t="s">
        <v>521</v>
      </c>
      <c r="K4594" s="13" t="s">
        <v>36</v>
      </c>
      <c r="L4594" s="15" t="s">
        <v>122</v>
      </c>
      <c r="M4594" s="12" t="s">
        <v>36</v>
      </c>
      <c r="N4594" s="12" t="s">
        <v>122</v>
      </c>
      <c r="O4594" s="17" t="s">
        <v>36</v>
      </c>
      <c r="P4594" s="12" t="s">
        <v>36</v>
      </c>
      <c r="Q4594" s="12" t="s">
        <v>36</v>
      </c>
      <c r="R4594" s="12" t="s">
        <v>36</v>
      </c>
      <c r="S4594" s="12" t="s">
        <v>11280</v>
      </c>
      <c r="T4594" s="12" t="s">
        <v>172</v>
      </c>
      <c r="U4594" s="12" t="s">
        <v>38</v>
      </c>
      <c r="V4594" s="12" t="s">
        <v>39</v>
      </c>
      <c r="W4594" s="12" t="s">
        <v>22402</v>
      </c>
      <c r="X4594" s="16" t="s">
        <v>22403</v>
      </c>
      <c r="Y4594" s="15" t="s">
        <v>108</v>
      </c>
      <c r="Z4594" s="14">
        <v>4.48</v>
      </c>
      <c r="AA4594" s="14">
        <v>16.76</v>
      </c>
      <c r="AB4594" s="12" t="s">
        <v>43</v>
      </c>
      <c r="AC4594" s="12" t="s">
        <v>22404</v>
      </c>
      <c r="AD4594" s="13">
        <v>43628</v>
      </c>
      <c r="AE4594" s="12" t="s">
        <v>110</v>
      </c>
      <c r="AF4594" s="12" t="s">
        <v>22214</v>
      </c>
      <c r="AG4594" s="12" t="s">
        <v>81</v>
      </c>
      <c r="AH4594" s="1">
        <f>HYPERLINK("https://my.pitchbook.com?c=119651-14T","View Company Online")</f>
      </c>
    </row>
    <row r="4595">
      <c r="A4595" s="3" t="s">
        <v>22405</v>
      </c>
      <c r="B4595" s="3" t="s">
        <v>4428</v>
      </c>
      <c r="C4595" s="5" t="s">
        <v>36</v>
      </c>
      <c r="D4595" s="5" t="s">
        <v>36</v>
      </c>
      <c r="E4595" s="5" t="s">
        <v>36</v>
      </c>
      <c r="F4595" s="5" t="s">
        <v>36</v>
      </c>
      <c r="G4595" s="6" t="s">
        <v>326</v>
      </c>
      <c r="H4595" s="4">
        <v>210.25</v>
      </c>
      <c r="I4595" s="7">
        <v>20.81</v>
      </c>
      <c r="J4595" s="3" t="s">
        <v>521</v>
      </c>
      <c r="K4595" s="9" t="s">
        <v>36</v>
      </c>
      <c r="L4595" s="6" t="s">
        <v>36</v>
      </c>
      <c r="M4595" s="3" t="s">
        <v>36</v>
      </c>
      <c r="N4595" s="3" t="s">
        <v>36</v>
      </c>
      <c r="O4595" s="8" t="s">
        <v>36</v>
      </c>
      <c r="P4595" s="3" t="s">
        <v>36</v>
      </c>
      <c r="Q4595" s="3" t="s">
        <v>36</v>
      </c>
      <c r="R4595" s="3" t="s">
        <v>36</v>
      </c>
      <c r="S4595" s="3" t="s">
        <v>36</v>
      </c>
      <c r="T4595" s="3" t="s">
        <v>4429</v>
      </c>
      <c r="U4595" s="3" t="s">
        <v>289</v>
      </c>
      <c r="V4595" s="3" t="s">
        <v>64</v>
      </c>
      <c r="W4595" s="3" t="s">
        <v>4430</v>
      </c>
      <c r="X4595" s="10" t="s">
        <v>22406</v>
      </c>
      <c r="Y4595" s="6" t="s">
        <v>108</v>
      </c>
      <c r="Z4595" s="4">
        <v>0.89</v>
      </c>
      <c r="AA4595" s="4">
        <v>4.25</v>
      </c>
      <c r="AB4595" s="3" t="s">
        <v>56</v>
      </c>
      <c r="AC4595" s="3" t="s">
        <v>4432</v>
      </c>
      <c r="AD4595" s="9">
        <v>43628</v>
      </c>
      <c r="AE4595" s="3" t="s">
        <v>3134</v>
      </c>
      <c r="AF4595" s="3" t="s">
        <v>2118</v>
      </c>
      <c r="AG4595" s="3" t="s">
        <v>1202</v>
      </c>
      <c r="AH4595" s="11">
        <f>HYPERLINK("https://my.pitchbook.com?c=121654-72T","View Company Online")</f>
      </c>
    </row>
    <row r="4596">
      <c r="A4596" s="12" t="s">
        <v>22407</v>
      </c>
      <c r="B4596" s="12" t="s">
        <v>22408</v>
      </c>
      <c r="C4596" s="19" t="s">
        <v>36</v>
      </c>
      <c r="D4596" s="19" t="s">
        <v>36</v>
      </c>
      <c r="E4596" s="19" t="s">
        <v>36</v>
      </c>
      <c r="F4596" s="19" t="s">
        <v>36</v>
      </c>
      <c r="G4596" s="15" t="s">
        <v>36</v>
      </c>
      <c r="H4596" s="14">
        <v>1090.49</v>
      </c>
      <c r="I4596" s="18">
        <v>30.02</v>
      </c>
      <c r="J4596" s="12" t="s">
        <v>521</v>
      </c>
      <c r="K4596" s="13" t="s">
        <v>36</v>
      </c>
      <c r="L4596" s="15" t="s">
        <v>36</v>
      </c>
      <c r="M4596" s="12" t="s">
        <v>36</v>
      </c>
      <c r="N4596" s="12" t="s">
        <v>36</v>
      </c>
      <c r="O4596" s="17" t="s">
        <v>36</v>
      </c>
      <c r="P4596" s="12" t="s">
        <v>36</v>
      </c>
      <c r="Q4596" s="12" t="s">
        <v>36</v>
      </c>
      <c r="R4596" s="12" t="s">
        <v>36</v>
      </c>
      <c r="S4596" s="12" t="s">
        <v>36</v>
      </c>
      <c r="T4596" s="12" t="s">
        <v>123</v>
      </c>
      <c r="U4596" s="12" t="s">
        <v>38</v>
      </c>
      <c r="V4596" s="12" t="s">
        <v>39</v>
      </c>
      <c r="W4596" s="12" t="s">
        <v>22409</v>
      </c>
      <c r="X4596" s="16" t="s">
        <v>22410</v>
      </c>
      <c r="Y4596" s="15" t="s">
        <v>42</v>
      </c>
      <c r="Z4596" s="14">
        <v>0.84</v>
      </c>
      <c r="AA4596" s="14">
        <v>1.68</v>
      </c>
      <c r="AB4596" s="12" t="s">
        <v>43</v>
      </c>
      <c r="AC4596" s="12" t="s">
        <v>22411</v>
      </c>
      <c r="AD4596" s="13">
        <v>43628</v>
      </c>
      <c r="AE4596" s="12" t="s">
        <v>110</v>
      </c>
      <c r="AF4596" s="12" t="s">
        <v>22412</v>
      </c>
      <c r="AG4596" s="12" t="s">
        <v>22413</v>
      </c>
      <c r="AH4596" s="1">
        <f>HYPERLINK("https://my.pitchbook.com?c=155628-37T","View Company Online")</f>
      </c>
    </row>
    <row r="4597">
      <c r="A4597" s="3" t="s">
        <v>22414</v>
      </c>
      <c r="B4597" s="3" t="s">
        <v>15425</v>
      </c>
      <c r="C4597" s="5">
        <v>1</v>
      </c>
      <c r="D4597" s="5">
        <v>4</v>
      </c>
      <c r="E4597" s="5">
        <v>2</v>
      </c>
      <c r="F4597" s="5">
        <v>5</v>
      </c>
      <c r="G4597" s="6" t="s">
        <v>36</v>
      </c>
      <c r="H4597" s="4">
        <v>7.48</v>
      </c>
      <c r="I4597" s="7">
        <v>49.9</v>
      </c>
      <c r="J4597" s="3" t="s">
        <v>521</v>
      </c>
      <c r="K4597" s="9" t="s">
        <v>36</v>
      </c>
      <c r="L4597" s="6" t="s">
        <v>122</v>
      </c>
      <c r="M4597" s="3" t="s">
        <v>36</v>
      </c>
      <c r="N4597" s="3" t="s">
        <v>122</v>
      </c>
      <c r="O4597" s="8" t="s">
        <v>36</v>
      </c>
      <c r="P4597" s="3" t="s">
        <v>36</v>
      </c>
      <c r="Q4597" s="3" t="s">
        <v>36</v>
      </c>
      <c r="R4597" s="3" t="s">
        <v>36</v>
      </c>
      <c r="S4597" s="3" t="s">
        <v>36</v>
      </c>
      <c r="T4597" s="3" t="s">
        <v>5789</v>
      </c>
      <c r="U4597" s="3" t="s">
        <v>648</v>
      </c>
      <c r="V4597" s="3" t="s">
        <v>64</v>
      </c>
      <c r="W4597" s="3" t="s">
        <v>15426</v>
      </c>
      <c r="X4597" s="10" t="s">
        <v>22415</v>
      </c>
      <c r="Y4597" s="6" t="s">
        <v>55</v>
      </c>
      <c r="Z4597" s="4">
        <v>9.92</v>
      </c>
      <c r="AA4597" s="4">
        <v>19.87</v>
      </c>
      <c r="AB4597" s="3" t="s">
        <v>56</v>
      </c>
      <c r="AC4597" s="3" t="s">
        <v>15428</v>
      </c>
      <c r="AD4597" s="9">
        <v>43627</v>
      </c>
      <c r="AE4597" s="3" t="s">
        <v>651</v>
      </c>
      <c r="AF4597" s="3" t="s">
        <v>15429</v>
      </c>
      <c r="AG4597" s="3" t="s">
        <v>347</v>
      </c>
      <c r="AH4597" s="11">
        <f>HYPERLINK("https://my.pitchbook.com?c=119607-22T","View Company Online")</f>
      </c>
    </row>
    <row r="4598">
      <c r="A4598" s="12" t="s">
        <v>22416</v>
      </c>
      <c r="B4598" s="12" t="s">
        <v>1117</v>
      </c>
      <c r="C4598" s="19" t="s">
        <v>36</v>
      </c>
      <c r="D4598" s="19" t="s">
        <v>36</v>
      </c>
      <c r="E4598" s="19" t="s">
        <v>36</v>
      </c>
      <c r="F4598" s="19" t="s">
        <v>36</v>
      </c>
      <c r="G4598" s="15" t="s">
        <v>326</v>
      </c>
      <c r="H4598" s="14">
        <v>80.05</v>
      </c>
      <c r="I4598" s="18">
        <v>26.49</v>
      </c>
      <c r="J4598" s="12" t="s">
        <v>521</v>
      </c>
      <c r="K4598" s="13" t="s">
        <v>36</v>
      </c>
      <c r="L4598" s="15" t="s">
        <v>1862</v>
      </c>
      <c r="M4598" s="12" t="s">
        <v>36</v>
      </c>
      <c r="N4598" s="12" t="s">
        <v>1862</v>
      </c>
      <c r="O4598" s="17" t="s">
        <v>36</v>
      </c>
      <c r="P4598" s="12" t="s">
        <v>36</v>
      </c>
      <c r="Q4598" s="12" t="s">
        <v>36</v>
      </c>
      <c r="R4598" s="12" t="s">
        <v>36</v>
      </c>
      <c r="S4598" s="12" t="s">
        <v>36</v>
      </c>
      <c r="T4598" s="12" t="s">
        <v>522</v>
      </c>
      <c r="U4598" s="12" t="s">
        <v>38</v>
      </c>
      <c r="V4598" s="12" t="s">
        <v>39</v>
      </c>
      <c r="W4598" s="12" t="s">
        <v>1118</v>
      </c>
      <c r="X4598" s="16" t="s">
        <v>22417</v>
      </c>
      <c r="Y4598" s="15" t="s">
        <v>192</v>
      </c>
      <c r="Z4598" s="14">
        <v>11.26</v>
      </c>
      <c r="AA4598" s="14">
        <v>42.51</v>
      </c>
      <c r="AB4598" s="12" t="s">
        <v>56</v>
      </c>
      <c r="AC4598" s="12" t="s">
        <v>1121</v>
      </c>
      <c r="AD4598" s="13">
        <v>43627</v>
      </c>
      <c r="AE4598" s="12" t="s">
        <v>110</v>
      </c>
      <c r="AF4598" s="12" t="s">
        <v>1122</v>
      </c>
      <c r="AG4598" s="12" t="s">
        <v>81</v>
      </c>
      <c r="AH4598" s="1">
        <f>HYPERLINK("https://my.pitchbook.com?c=120196-63T","View Company Online")</f>
      </c>
    </row>
    <row r="4599">
      <c r="A4599" s="3" t="s">
        <v>22418</v>
      </c>
      <c r="B4599" s="3" t="s">
        <v>16311</v>
      </c>
      <c r="C4599" s="5">
        <v>3</v>
      </c>
      <c r="D4599" s="5">
        <v>4</v>
      </c>
      <c r="E4599" s="5">
        <v>3</v>
      </c>
      <c r="F4599" s="5">
        <v>12</v>
      </c>
      <c r="G4599" s="6" t="s">
        <v>36</v>
      </c>
      <c r="H4599" s="4" t="s">
        <v>36</v>
      </c>
      <c r="I4599" s="7" t="s">
        <v>36</v>
      </c>
      <c r="J4599" s="3" t="s">
        <v>36</v>
      </c>
      <c r="K4599" s="9" t="s">
        <v>36</v>
      </c>
      <c r="L4599" s="6" t="s">
        <v>36</v>
      </c>
      <c r="M4599" s="3" t="s">
        <v>36</v>
      </c>
      <c r="N4599" s="3" t="s">
        <v>36</v>
      </c>
      <c r="O4599" s="8" t="s">
        <v>36</v>
      </c>
      <c r="P4599" s="3" t="s">
        <v>36</v>
      </c>
      <c r="Q4599" s="3" t="s">
        <v>36</v>
      </c>
      <c r="R4599" s="3" t="s">
        <v>36</v>
      </c>
      <c r="S4599" s="3" t="s">
        <v>36</v>
      </c>
      <c r="T4599" s="3" t="s">
        <v>16312</v>
      </c>
      <c r="U4599" s="3" t="s">
        <v>38</v>
      </c>
      <c r="V4599" s="3" t="s">
        <v>39</v>
      </c>
      <c r="W4599" s="3" t="s">
        <v>16313</v>
      </c>
      <c r="X4599" s="10" t="s">
        <v>22419</v>
      </c>
      <c r="Y4599" s="6" t="s">
        <v>42</v>
      </c>
      <c r="Z4599" s="4">
        <v>11.09</v>
      </c>
      <c r="AA4599" s="4" t="s">
        <v>36</v>
      </c>
      <c r="AB4599" s="3" t="s">
        <v>56</v>
      </c>
      <c r="AC4599" s="3" t="s">
        <v>16315</v>
      </c>
      <c r="AD4599" s="9">
        <v>43627</v>
      </c>
      <c r="AE4599" s="3" t="s">
        <v>554</v>
      </c>
      <c r="AF4599" s="3" t="s">
        <v>16316</v>
      </c>
      <c r="AG4599" s="3" t="s">
        <v>81</v>
      </c>
      <c r="AH4599" s="11">
        <f>HYPERLINK("https://my.pitchbook.com?c=119611-99T","View Company Online")</f>
      </c>
    </row>
    <row r="4600">
      <c r="A4600" s="12" t="s">
        <v>22420</v>
      </c>
      <c r="B4600" s="12" t="s">
        <v>7581</v>
      </c>
      <c r="C4600" s="19" t="s">
        <v>36</v>
      </c>
      <c r="D4600" s="19" t="s">
        <v>36</v>
      </c>
      <c r="E4600" s="19" t="s">
        <v>36</v>
      </c>
      <c r="F4600" s="19" t="s">
        <v>36</v>
      </c>
      <c r="G4600" s="15" t="s">
        <v>326</v>
      </c>
      <c r="H4600" s="14">
        <v>197.37</v>
      </c>
      <c r="I4600" s="18">
        <v>24.38</v>
      </c>
      <c r="J4600" s="12" t="s">
        <v>521</v>
      </c>
      <c r="K4600" s="13" t="s">
        <v>36</v>
      </c>
      <c r="L4600" s="15" t="s">
        <v>122</v>
      </c>
      <c r="M4600" s="12" t="s">
        <v>36</v>
      </c>
      <c r="N4600" s="12" t="s">
        <v>122</v>
      </c>
      <c r="O4600" s="17" t="s">
        <v>36</v>
      </c>
      <c r="P4600" s="12" t="s">
        <v>36</v>
      </c>
      <c r="Q4600" s="12" t="s">
        <v>36</v>
      </c>
      <c r="R4600" s="12" t="s">
        <v>36</v>
      </c>
      <c r="S4600" s="12" t="s">
        <v>36</v>
      </c>
      <c r="T4600" s="12" t="s">
        <v>7582</v>
      </c>
      <c r="U4600" s="12" t="s">
        <v>63</v>
      </c>
      <c r="V4600" s="12" t="s">
        <v>64</v>
      </c>
      <c r="W4600" s="12" t="s">
        <v>7583</v>
      </c>
      <c r="X4600" s="16" t="s">
        <v>22421</v>
      </c>
      <c r="Y4600" s="15" t="s">
        <v>108</v>
      </c>
      <c r="Z4600" s="14">
        <v>20.93</v>
      </c>
      <c r="AA4600" s="14">
        <v>42.93</v>
      </c>
      <c r="AB4600" s="12" t="s">
        <v>56</v>
      </c>
      <c r="AC4600" s="12" t="s">
        <v>7585</v>
      </c>
      <c r="AD4600" s="13">
        <v>43623</v>
      </c>
      <c r="AE4600" s="12" t="s">
        <v>68</v>
      </c>
      <c r="AF4600" s="12" t="s">
        <v>118</v>
      </c>
      <c r="AG4600" s="12" t="s">
        <v>81</v>
      </c>
      <c r="AH4600" s="1">
        <f>HYPERLINK("https://my.pitchbook.com?c=121365-46T","View Company Online")</f>
      </c>
    </row>
    <row r="4601">
      <c r="A4601" s="3" t="s">
        <v>22422</v>
      </c>
      <c r="B4601" s="3" t="s">
        <v>22423</v>
      </c>
      <c r="C4601" s="5" t="s">
        <v>36</v>
      </c>
      <c r="D4601" s="5">
        <v>9</v>
      </c>
      <c r="E4601" s="5">
        <v>6</v>
      </c>
      <c r="F4601" s="5">
        <v>19</v>
      </c>
      <c r="G4601" s="6" t="s">
        <v>36</v>
      </c>
      <c r="H4601" s="4" t="s">
        <v>36</v>
      </c>
      <c r="I4601" s="7" t="s">
        <v>36</v>
      </c>
      <c r="J4601" s="3" t="s">
        <v>36</v>
      </c>
      <c r="K4601" s="9" t="s">
        <v>36</v>
      </c>
      <c r="L4601" s="6" t="s">
        <v>122</v>
      </c>
      <c r="M4601" s="3" t="s">
        <v>36</v>
      </c>
      <c r="N4601" s="3" t="s">
        <v>122</v>
      </c>
      <c r="O4601" s="8" t="s">
        <v>36</v>
      </c>
      <c r="P4601" s="3" t="s">
        <v>36</v>
      </c>
      <c r="Q4601" s="3" t="s">
        <v>36</v>
      </c>
      <c r="R4601" s="3" t="s">
        <v>36</v>
      </c>
      <c r="S4601" s="3" t="s">
        <v>36</v>
      </c>
      <c r="T4601" s="3" t="s">
        <v>22424</v>
      </c>
      <c r="U4601" s="3" t="s">
        <v>38</v>
      </c>
      <c r="V4601" s="3" t="s">
        <v>39</v>
      </c>
      <c r="W4601" s="3" t="s">
        <v>22425</v>
      </c>
      <c r="X4601" s="10" t="s">
        <v>22426</v>
      </c>
      <c r="Y4601" s="6" t="s">
        <v>108</v>
      </c>
      <c r="Z4601" s="4">
        <v>11.19</v>
      </c>
      <c r="AA4601" s="4" t="s">
        <v>36</v>
      </c>
      <c r="AB4601" s="3" t="s">
        <v>56</v>
      </c>
      <c r="AC4601" s="3" t="s">
        <v>22427</v>
      </c>
      <c r="AD4601" s="9">
        <v>43623</v>
      </c>
      <c r="AE4601" s="3" t="s">
        <v>110</v>
      </c>
      <c r="AF4601" s="3" t="s">
        <v>22428</v>
      </c>
      <c r="AG4601" s="3" t="s">
        <v>2534</v>
      </c>
      <c r="AH4601" s="11">
        <f>HYPERLINK("https://my.pitchbook.com?c=87035-68T","View Company Online")</f>
      </c>
    </row>
    <row r="4602">
      <c r="A4602" s="12" t="s">
        <v>22429</v>
      </c>
      <c r="B4602" s="12" t="s">
        <v>15903</v>
      </c>
      <c r="C4602" s="19">
        <v>6</v>
      </c>
      <c r="D4602" s="19">
        <v>34</v>
      </c>
      <c r="E4602" s="19">
        <v>11</v>
      </c>
      <c r="F4602" s="19">
        <v>44</v>
      </c>
      <c r="G4602" s="15" t="s">
        <v>36</v>
      </c>
      <c r="H4602" s="14" t="s">
        <v>36</v>
      </c>
      <c r="I4602" s="18" t="s">
        <v>36</v>
      </c>
      <c r="J4602" s="12" t="s">
        <v>36</v>
      </c>
      <c r="K4602" s="13" t="s">
        <v>36</v>
      </c>
      <c r="L4602" s="15" t="s">
        <v>36</v>
      </c>
      <c r="M4602" s="12" t="s">
        <v>36</v>
      </c>
      <c r="N4602" s="12" t="s">
        <v>36</v>
      </c>
      <c r="O4602" s="17" t="s">
        <v>36</v>
      </c>
      <c r="P4602" s="12" t="s">
        <v>36</v>
      </c>
      <c r="Q4602" s="12" t="s">
        <v>36</v>
      </c>
      <c r="R4602" s="12" t="s">
        <v>36</v>
      </c>
      <c r="S4602" s="12" t="s">
        <v>15904</v>
      </c>
      <c r="T4602" s="12" t="s">
        <v>3729</v>
      </c>
      <c r="U4602" s="12" t="s">
        <v>219</v>
      </c>
      <c r="V4602" s="12" t="s">
        <v>75</v>
      </c>
      <c r="W4602" s="12" t="s">
        <v>15905</v>
      </c>
      <c r="X4602" s="16" t="s">
        <v>22430</v>
      </c>
      <c r="Y4602" s="15" t="s">
        <v>55</v>
      </c>
      <c r="Z4602" s="14" t="s">
        <v>36</v>
      </c>
      <c r="AA4602" s="14" t="s">
        <v>36</v>
      </c>
      <c r="AB4602" s="12" t="s">
        <v>43</v>
      </c>
      <c r="AC4602" s="12" t="s">
        <v>15906</v>
      </c>
      <c r="AD4602" s="13">
        <v>43623</v>
      </c>
      <c r="AE4602" s="12" t="s">
        <v>1032</v>
      </c>
      <c r="AF4602" s="12" t="s">
        <v>15907</v>
      </c>
      <c r="AG4602" s="12" t="s">
        <v>4514</v>
      </c>
      <c r="AH4602" s="1">
        <f>HYPERLINK("https://my.pitchbook.com?c=119787-13T","View Company Online")</f>
      </c>
    </row>
    <row r="4603">
      <c r="A4603" s="3" t="s">
        <v>22431</v>
      </c>
      <c r="B4603" s="3" t="s">
        <v>22432</v>
      </c>
      <c r="C4603" s="5" t="s">
        <v>36</v>
      </c>
      <c r="D4603" s="5" t="s">
        <v>36</v>
      </c>
      <c r="E4603" s="5" t="s">
        <v>36</v>
      </c>
      <c r="F4603" s="5" t="s">
        <v>36</v>
      </c>
      <c r="G4603" s="6" t="s">
        <v>36</v>
      </c>
      <c r="H4603" s="4">
        <v>20.77</v>
      </c>
      <c r="I4603" s="7">
        <v>7.74</v>
      </c>
      <c r="J4603" s="3" t="s">
        <v>521</v>
      </c>
      <c r="K4603" s="9" t="s">
        <v>36</v>
      </c>
      <c r="L4603" s="6" t="s">
        <v>36</v>
      </c>
      <c r="M4603" s="3" t="s">
        <v>36</v>
      </c>
      <c r="N4603" s="3" t="s">
        <v>36</v>
      </c>
      <c r="O4603" s="8" t="s">
        <v>36</v>
      </c>
      <c r="P4603" s="3" t="s">
        <v>36</v>
      </c>
      <c r="Q4603" s="3" t="s">
        <v>36</v>
      </c>
      <c r="R4603" s="3" t="s">
        <v>36</v>
      </c>
      <c r="S4603" s="3" t="s">
        <v>36</v>
      </c>
      <c r="T4603" s="3" t="s">
        <v>105</v>
      </c>
      <c r="U4603" s="3" t="s">
        <v>38</v>
      </c>
      <c r="V4603" s="3" t="s">
        <v>39</v>
      </c>
      <c r="W4603" s="3" t="s">
        <v>22433</v>
      </c>
      <c r="X4603" s="10" t="s">
        <v>15887</v>
      </c>
      <c r="Y4603" s="6" t="s">
        <v>42</v>
      </c>
      <c r="Z4603" s="4">
        <v>0.08</v>
      </c>
      <c r="AA4603" s="4">
        <v>1.09</v>
      </c>
      <c r="AB4603" s="3" t="s">
        <v>43</v>
      </c>
      <c r="AC4603" s="3" t="s">
        <v>22434</v>
      </c>
      <c r="AD4603" s="9">
        <v>43622</v>
      </c>
      <c r="AE4603" s="3" t="s">
        <v>110</v>
      </c>
      <c r="AF4603" s="3" t="s">
        <v>36</v>
      </c>
      <c r="AG4603" s="3" t="s">
        <v>1078</v>
      </c>
      <c r="AH4603" s="11">
        <f>HYPERLINK("https://my.pitchbook.com?c=138351-16T","View Company Online")</f>
      </c>
    </row>
    <row r="4604">
      <c r="A4604" s="12" t="s">
        <v>22435</v>
      </c>
      <c r="B4604" s="12" t="s">
        <v>22436</v>
      </c>
      <c r="C4604" s="19" t="s">
        <v>36</v>
      </c>
      <c r="D4604" s="19" t="s">
        <v>36</v>
      </c>
      <c r="E4604" s="19" t="s">
        <v>36</v>
      </c>
      <c r="F4604" s="19" t="s">
        <v>36</v>
      </c>
      <c r="G4604" s="15" t="s">
        <v>2497</v>
      </c>
      <c r="H4604" s="14">
        <v>1670.3</v>
      </c>
      <c r="I4604" s="18">
        <v>18.83</v>
      </c>
      <c r="J4604" s="12" t="s">
        <v>521</v>
      </c>
      <c r="K4604" s="13" t="s">
        <v>36</v>
      </c>
      <c r="L4604" s="15" t="s">
        <v>36</v>
      </c>
      <c r="M4604" s="12" t="s">
        <v>36</v>
      </c>
      <c r="N4604" s="12" t="s">
        <v>36</v>
      </c>
      <c r="O4604" s="17" t="s">
        <v>36</v>
      </c>
      <c r="P4604" s="12" t="s">
        <v>36</v>
      </c>
      <c r="Q4604" s="12" t="s">
        <v>36</v>
      </c>
      <c r="R4604" s="12" t="s">
        <v>36</v>
      </c>
      <c r="S4604" s="12" t="s">
        <v>36</v>
      </c>
      <c r="T4604" s="12" t="s">
        <v>6557</v>
      </c>
      <c r="U4604" s="12" t="s">
        <v>648</v>
      </c>
      <c r="V4604" s="12" t="s">
        <v>64</v>
      </c>
      <c r="W4604" s="12" t="s">
        <v>22437</v>
      </c>
      <c r="X4604" s="16" t="s">
        <v>18750</v>
      </c>
      <c r="Y4604" s="15" t="s">
        <v>192</v>
      </c>
      <c r="Z4604" s="14">
        <v>0.86</v>
      </c>
      <c r="AA4604" s="14">
        <v>4.55</v>
      </c>
      <c r="AB4604" s="12" t="s">
        <v>43</v>
      </c>
      <c r="AC4604" s="12" t="s">
        <v>22438</v>
      </c>
      <c r="AD4604" s="13">
        <v>43620</v>
      </c>
      <c r="AE4604" s="12" t="s">
        <v>1897</v>
      </c>
      <c r="AF4604" s="12" t="s">
        <v>1115</v>
      </c>
      <c r="AG4604" s="12" t="s">
        <v>22439</v>
      </c>
      <c r="AH4604" s="1">
        <f>HYPERLINK("https://my.pitchbook.com?c=137431-09T","View Company Online")</f>
      </c>
    </row>
    <row r="4605">
      <c r="A4605" s="3" t="s">
        <v>22440</v>
      </c>
      <c r="B4605" s="3" t="s">
        <v>14364</v>
      </c>
      <c r="C4605" s="5" t="s">
        <v>36</v>
      </c>
      <c r="D4605" s="5" t="s">
        <v>36</v>
      </c>
      <c r="E4605" s="5" t="s">
        <v>36</v>
      </c>
      <c r="F4605" s="5" t="s">
        <v>36</v>
      </c>
      <c r="G4605" s="6" t="s">
        <v>36</v>
      </c>
      <c r="H4605" s="4">
        <v>3.32</v>
      </c>
      <c r="I4605" s="7">
        <v>38.04</v>
      </c>
      <c r="J4605" s="3" t="s">
        <v>521</v>
      </c>
      <c r="K4605" s="9" t="s">
        <v>36</v>
      </c>
      <c r="L4605" s="6" t="s">
        <v>36</v>
      </c>
      <c r="M4605" s="3" t="s">
        <v>36</v>
      </c>
      <c r="N4605" s="3" t="s">
        <v>36</v>
      </c>
      <c r="O4605" s="8" t="s">
        <v>36</v>
      </c>
      <c r="P4605" s="3" t="s">
        <v>36</v>
      </c>
      <c r="Q4605" s="3" t="s">
        <v>36</v>
      </c>
      <c r="R4605" s="3" t="s">
        <v>36</v>
      </c>
      <c r="S4605" s="3" t="s">
        <v>36</v>
      </c>
      <c r="T4605" s="3" t="s">
        <v>464</v>
      </c>
      <c r="U4605" s="3" t="s">
        <v>38</v>
      </c>
      <c r="V4605" s="3" t="s">
        <v>39</v>
      </c>
      <c r="W4605" s="3" t="s">
        <v>14365</v>
      </c>
      <c r="X4605" s="10" t="s">
        <v>22441</v>
      </c>
      <c r="Y4605" s="6" t="s">
        <v>42</v>
      </c>
      <c r="Z4605" s="4">
        <v>2.2</v>
      </c>
      <c r="AA4605" s="4">
        <v>5.78</v>
      </c>
      <c r="AB4605" s="3" t="s">
        <v>56</v>
      </c>
      <c r="AC4605" s="3" t="s">
        <v>14367</v>
      </c>
      <c r="AD4605" s="9">
        <v>43620</v>
      </c>
      <c r="AE4605" s="3" t="s">
        <v>110</v>
      </c>
      <c r="AF4605" s="3" t="s">
        <v>12337</v>
      </c>
      <c r="AG4605" s="3" t="s">
        <v>81</v>
      </c>
      <c r="AH4605" s="11">
        <f>HYPERLINK("https://my.pitchbook.com?c=119487-97T","View Company Online")</f>
      </c>
    </row>
    <row r="4606">
      <c r="A4606" s="12" t="s">
        <v>22442</v>
      </c>
      <c r="B4606" s="12" t="s">
        <v>5424</v>
      </c>
      <c r="C4606" s="19" t="s">
        <v>36</v>
      </c>
      <c r="D4606" s="19" t="s">
        <v>36</v>
      </c>
      <c r="E4606" s="19" t="s">
        <v>36</v>
      </c>
      <c r="F4606" s="19" t="s">
        <v>36</v>
      </c>
      <c r="G4606" s="15" t="s">
        <v>326</v>
      </c>
      <c r="H4606" s="14">
        <v>21.99</v>
      </c>
      <c r="I4606" s="18">
        <v>18.55</v>
      </c>
      <c r="J4606" s="12" t="s">
        <v>521</v>
      </c>
      <c r="K4606" s="13" t="s">
        <v>36</v>
      </c>
      <c r="L4606" s="15" t="s">
        <v>122</v>
      </c>
      <c r="M4606" s="12" t="s">
        <v>36</v>
      </c>
      <c r="N4606" s="12" t="s">
        <v>122</v>
      </c>
      <c r="O4606" s="17" t="s">
        <v>36</v>
      </c>
      <c r="P4606" s="12" t="s">
        <v>36</v>
      </c>
      <c r="Q4606" s="12" t="s">
        <v>36</v>
      </c>
      <c r="R4606" s="12" t="s">
        <v>36</v>
      </c>
      <c r="S4606" s="12" t="s">
        <v>36</v>
      </c>
      <c r="T4606" s="12" t="s">
        <v>5425</v>
      </c>
      <c r="U4606" s="12" t="s">
        <v>38</v>
      </c>
      <c r="V4606" s="12" t="s">
        <v>39</v>
      </c>
      <c r="W4606" s="12" t="s">
        <v>5426</v>
      </c>
      <c r="X4606" s="16" t="s">
        <v>22443</v>
      </c>
      <c r="Y4606" s="15" t="s">
        <v>108</v>
      </c>
      <c r="Z4606" s="14">
        <v>11.19</v>
      </c>
      <c r="AA4606" s="14">
        <v>36.19</v>
      </c>
      <c r="AB4606" s="12" t="s">
        <v>43</v>
      </c>
      <c r="AC4606" s="12" t="s">
        <v>5428</v>
      </c>
      <c r="AD4606" s="13">
        <v>43620</v>
      </c>
      <c r="AE4606" s="12" t="s">
        <v>45</v>
      </c>
      <c r="AF4606" s="12" t="s">
        <v>1257</v>
      </c>
      <c r="AG4606" s="12" t="s">
        <v>47</v>
      </c>
      <c r="AH4606" s="1">
        <f>HYPERLINK("https://my.pitchbook.com?c=119432-35T","View Company Online")</f>
      </c>
    </row>
    <row r="4607">
      <c r="A4607" s="3" t="s">
        <v>22444</v>
      </c>
      <c r="B4607" s="3" t="s">
        <v>11603</v>
      </c>
      <c r="C4607" s="5">
        <v>2</v>
      </c>
      <c r="D4607" s="5" t="s">
        <v>36</v>
      </c>
      <c r="E4607" s="5">
        <v>1</v>
      </c>
      <c r="F4607" s="5">
        <v>2</v>
      </c>
      <c r="G4607" s="6" t="s">
        <v>36</v>
      </c>
      <c r="H4607" s="4">
        <v>168.77</v>
      </c>
      <c r="I4607" s="7">
        <v>60.62</v>
      </c>
      <c r="J4607" s="3" t="s">
        <v>521</v>
      </c>
      <c r="K4607" s="9" t="s">
        <v>36</v>
      </c>
      <c r="L4607" s="6" t="s">
        <v>36</v>
      </c>
      <c r="M4607" s="3" t="s">
        <v>36</v>
      </c>
      <c r="N4607" s="3" t="s">
        <v>36</v>
      </c>
      <c r="O4607" s="8" t="s">
        <v>36</v>
      </c>
      <c r="P4607" s="3" t="s">
        <v>36</v>
      </c>
      <c r="Q4607" s="3" t="s">
        <v>36</v>
      </c>
      <c r="R4607" s="3" t="s">
        <v>36</v>
      </c>
      <c r="S4607" s="3" t="s">
        <v>36</v>
      </c>
      <c r="T4607" s="3" t="s">
        <v>881</v>
      </c>
      <c r="U4607" s="3" t="s">
        <v>51</v>
      </c>
      <c r="V4607" s="3" t="s">
        <v>52</v>
      </c>
      <c r="W4607" s="3" t="s">
        <v>11604</v>
      </c>
      <c r="X4607" s="10" t="s">
        <v>22445</v>
      </c>
      <c r="Y4607" s="6" t="s">
        <v>42</v>
      </c>
      <c r="Z4607" s="4">
        <v>3.36</v>
      </c>
      <c r="AA4607" s="4">
        <v>5.54</v>
      </c>
      <c r="AB4607" s="3" t="s">
        <v>43</v>
      </c>
      <c r="AC4607" s="3" t="s">
        <v>11606</v>
      </c>
      <c r="AD4607" s="9">
        <v>43620</v>
      </c>
      <c r="AE4607" s="3" t="s">
        <v>504</v>
      </c>
      <c r="AF4607" s="3" t="s">
        <v>159</v>
      </c>
      <c r="AG4607" s="3" t="s">
        <v>81</v>
      </c>
      <c r="AH4607" s="11">
        <f>HYPERLINK("https://my.pitchbook.com?c=119882-35T","View Company Online")</f>
      </c>
    </row>
    <row r="4608">
      <c r="A4608" s="12" t="s">
        <v>22446</v>
      </c>
      <c r="B4608" s="12" t="s">
        <v>10189</v>
      </c>
      <c r="C4608" s="19" t="s">
        <v>36</v>
      </c>
      <c r="D4608" s="19" t="s">
        <v>36</v>
      </c>
      <c r="E4608" s="19" t="s">
        <v>36</v>
      </c>
      <c r="F4608" s="19" t="s">
        <v>36</v>
      </c>
      <c r="G4608" s="15" t="s">
        <v>326</v>
      </c>
      <c r="H4608" s="14">
        <v>32.68</v>
      </c>
      <c r="I4608" s="18">
        <v>19.32</v>
      </c>
      <c r="J4608" s="12" t="s">
        <v>521</v>
      </c>
      <c r="K4608" s="13" t="s">
        <v>36</v>
      </c>
      <c r="L4608" s="15" t="s">
        <v>36</v>
      </c>
      <c r="M4608" s="12" t="s">
        <v>36</v>
      </c>
      <c r="N4608" s="12" t="s">
        <v>36</v>
      </c>
      <c r="O4608" s="17" t="s">
        <v>36</v>
      </c>
      <c r="P4608" s="12" t="s">
        <v>36</v>
      </c>
      <c r="Q4608" s="12" t="s">
        <v>36</v>
      </c>
      <c r="R4608" s="12" t="s">
        <v>36</v>
      </c>
      <c r="S4608" s="12" t="s">
        <v>36</v>
      </c>
      <c r="T4608" s="12" t="s">
        <v>123</v>
      </c>
      <c r="U4608" s="12" t="s">
        <v>38</v>
      </c>
      <c r="V4608" s="12" t="s">
        <v>39</v>
      </c>
      <c r="W4608" s="12" t="s">
        <v>10190</v>
      </c>
      <c r="X4608" s="16" t="s">
        <v>22447</v>
      </c>
      <c r="Y4608" s="15" t="s">
        <v>108</v>
      </c>
      <c r="Z4608" s="14">
        <v>1.12</v>
      </c>
      <c r="AA4608" s="14">
        <v>5.04</v>
      </c>
      <c r="AB4608" s="12" t="s">
        <v>43</v>
      </c>
      <c r="AC4608" s="12" t="s">
        <v>10192</v>
      </c>
      <c r="AD4608" s="13">
        <v>43619</v>
      </c>
      <c r="AE4608" s="12" t="s">
        <v>110</v>
      </c>
      <c r="AF4608" s="12" t="s">
        <v>5001</v>
      </c>
      <c r="AG4608" s="12" t="s">
        <v>81</v>
      </c>
      <c r="AH4608" s="1">
        <f>HYPERLINK("https://my.pitchbook.com?c=117237-70T","View Company Online")</f>
      </c>
    </row>
    <row r="4609">
      <c r="A4609" s="3" t="s">
        <v>22448</v>
      </c>
      <c r="B4609" s="3" t="s">
        <v>13458</v>
      </c>
      <c r="C4609" s="5" t="s">
        <v>36</v>
      </c>
      <c r="D4609" s="5" t="s">
        <v>36</v>
      </c>
      <c r="E4609" s="5" t="s">
        <v>36</v>
      </c>
      <c r="F4609" s="5" t="s">
        <v>36</v>
      </c>
      <c r="G4609" s="6" t="s">
        <v>326</v>
      </c>
      <c r="H4609" s="4">
        <v>247.18</v>
      </c>
      <c r="I4609" s="7">
        <v>25.6</v>
      </c>
      <c r="J4609" s="3" t="s">
        <v>521</v>
      </c>
      <c r="K4609" s="9" t="s">
        <v>36</v>
      </c>
      <c r="L4609" s="6" t="s">
        <v>36</v>
      </c>
      <c r="M4609" s="3" t="s">
        <v>36</v>
      </c>
      <c r="N4609" s="3" t="s">
        <v>36</v>
      </c>
      <c r="O4609" s="8" t="s">
        <v>36</v>
      </c>
      <c r="P4609" s="3" t="s">
        <v>36</v>
      </c>
      <c r="Q4609" s="3" t="s">
        <v>36</v>
      </c>
      <c r="R4609" s="3" t="s">
        <v>36</v>
      </c>
      <c r="S4609" s="3" t="s">
        <v>36</v>
      </c>
      <c r="T4609" s="3" t="s">
        <v>13459</v>
      </c>
      <c r="U4609" s="3" t="s">
        <v>51</v>
      </c>
      <c r="V4609" s="3" t="s">
        <v>52</v>
      </c>
      <c r="W4609" s="3" t="s">
        <v>13460</v>
      </c>
      <c r="X4609" s="10" t="s">
        <v>22449</v>
      </c>
      <c r="Y4609" s="6" t="s">
        <v>108</v>
      </c>
      <c r="Z4609" s="4">
        <v>3.36</v>
      </c>
      <c r="AA4609" s="4">
        <v>13.11</v>
      </c>
      <c r="AB4609" s="3" t="s">
        <v>56</v>
      </c>
      <c r="AC4609" s="3" t="s">
        <v>13462</v>
      </c>
      <c r="AD4609" s="9">
        <v>43619</v>
      </c>
      <c r="AE4609" s="3" t="s">
        <v>158</v>
      </c>
      <c r="AF4609" s="3" t="s">
        <v>665</v>
      </c>
      <c r="AG4609" s="3" t="s">
        <v>9713</v>
      </c>
      <c r="AH4609" s="11">
        <f>HYPERLINK("https://my.pitchbook.com?c=119421-19T","View Company Online")</f>
      </c>
    </row>
    <row r="4610">
      <c r="A4610" s="12" t="s">
        <v>22450</v>
      </c>
      <c r="B4610" s="12" t="s">
        <v>19038</v>
      </c>
      <c r="C4610" s="19" t="s">
        <v>36</v>
      </c>
      <c r="D4610" s="19" t="s">
        <v>36</v>
      </c>
      <c r="E4610" s="19">
        <v>1</v>
      </c>
      <c r="F4610" s="19">
        <v>1</v>
      </c>
      <c r="G4610" s="15" t="s">
        <v>36</v>
      </c>
      <c r="H4610" s="14">
        <v>236.93</v>
      </c>
      <c r="I4610" s="18">
        <v>48.83</v>
      </c>
      <c r="J4610" s="12" t="s">
        <v>521</v>
      </c>
      <c r="K4610" s="13" t="s">
        <v>36</v>
      </c>
      <c r="L4610" s="15" t="s">
        <v>36</v>
      </c>
      <c r="M4610" s="12" t="s">
        <v>36</v>
      </c>
      <c r="N4610" s="12" t="s">
        <v>36</v>
      </c>
      <c r="O4610" s="17" t="s">
        <v>36</v>
      </c>
      <c r="P4610" s="12" t="s">
        <v>36</v>
      </c>
      <c r="Q4610" s="12" t="s">
        <v>36</v>
      </c>
      <c r="R4610" s="12" t="s">
        <v>36</v>
      </c>
      <c r="S4610" s="12" t="s">
        <v>36</v>
      </c>
      <c r="T4610" s="12" t="s">
        <v>6247</v>
      </c>
      <c r="U4610" s="12" t="s">
        <v>85</v>
      </c>
      <c r="V4610" s="12" t="s">
        <v>64</v>
      </c>
      <c r="W4610" s="12" t="s">
        <v>19039</v>
      </c>
      <c r="X4610" s="16" t="s">
        <v>22451</v>
      </c>
      <c r="Y4610" s="15" t="s">
        <v>42</v>
      </c>
      <c r="Z4610" s="14">
        <v>0.34</v>
      </c>
      <c r="AA4610" s="14">
        <v>0.69</v>
      </c>
      <c r="AB4610" s="12" t="s">
        <v>43</v>
      </c>
      <c r="AC4610" s="12" t="s">
        <v>19041</v>
      </c>
      <c r="AD4610" s="13">
        <v>43619</v>
      </c>
      <c r="AE4610" s="12" t="s">
        <v>89</v>
      </c>
      <c r="AF4610" s="12" t="s">
        <v>571</v>
      </c>
      <c r="AG4610" s="12" t="s">
        <v>19042</v>
      </c>
      <c r="AH4610" s="1">
        <f>HYPERLINK("https://my.pitchbook.com?c=174462-40T","View Company Online")</f>
      </c>
    </row>
    <row r="4611">
      <c r="A4611" s="3" t="s">
        <v>22452</v>
      </c>
      <c r="B4611" s="3" t="s">
        <v>13761</v>
      </c>
      <c r="C4611" s="5" t="s">
        <v>36</v>
      </c>
      <c r="D4611" s="5" t="s">
        <v>36</v>
      </c>
      <c r="E4611" s="5" t="s">
        <v>36</v>
      </c>
      <c r="F4611" s="5" t="s">
        <v>36</v>
      </c>
      <c r="G4611" s="6" t="s">
        <v>36</v>
      </c>
      <c r="H4611" s="4">
        <v>0.93</v>
      </c>
      <c r="I4611" s="7">
        <v>35.71</v>
      </c>
      <c r="J4611" s="3" t="s">
        <v>521</v>
      </c>
      <c r="K4611" s="9" t="s">
        <v>36</v>
      </c>
      <c r="L4611" s="6" t="s">
        <v>36</v>
      </c>
      <c r="M4611" s="3" t="s">
        <v>36</v>
      </c>
      <c r="N4611" s="3" t="s">
        <v>36</v>
      </c>
      <c r="O4611" s="8" t="s">
        <v>36</v>
      </c>
      <c r="P4611" s="3" t="s">
        <v>36</v>
      </c>
      <c r="Q4611" s="3" t="s">
        <v>36</v>
      </c>
      <c r="R4611" s="3" t="s">
        <v>36</v>
      </c>
      <c r="S4611" s="3" t="s">
        <v>36</v>
      </c>
      <c r="T4611" s="3" t="s">
        <v>13762</v>
      </c>
      <c r="U4611" s="3" t="s">
        <v>38</v>
      </c>
      <c r="V4611" s="3" t="s">
        <v>39</v>
      </c>
      <c r="W4611" s="3" t="s">
        <v>13763</v>
      </c>
      <c r="X4611" s="10" t="s">
        <v>22453</v>
      </c>
      <c r="Y4611" s="6" t="s">
        <v>42</v>
      </c>
      <c r="Z4611" s="4">
        <v>1.12</v>
      </c>
      <c r="AA4611" s="4">
        <v>3.13</v>
      </c>
      <c r="AB4611" s="3" t="s">
        <v>43</v>
      </c>
      <c r="AC4611" s="3" t="s">
        <v>13765</v>
      </c>
      <c r="AD4611" s="9">
        <v>43618</v>
      </c>
      <c r="AE4611" s="3" t="s">
        <v>688</v>
      </c>
      <c r="AF4611" s="3" t="s">
        <v>176</v>
      </c>
      <c r="AG4611" s="3" t="s">
        <v>81</v>
      </c>
      <c r="AH4611" s="11">
        <f>HYPERLINK("https://my.pitchbook.com?c=124571-62T","View Company Online")</f>
      </c>
    </row>
    <row r="4612">
      <c r="A4612" s="12" t="s">
        <v>22454</v>
      </c>
      <c r="B4612" s="12" t="s">
        <v>22455</v>
      </c>
      <c r="C4612" s="19" t="s">
        <v>36</v>
      </c>
      <c r="D4612" s="19" t="s">
        <v>36</v>
      </c>
      <c r="E4612" s="19" t="s">
        <v>36</v>
      </c>
      <c r="F4612" s="19" t="s">
        <v>36</v>
      </c>
      <c r="G4612" s="15" t="s">
        <v>36</v>
      </c>
      <c r="H4612" s="14">
        <v>0.75</v>
      </c>
      <c r="I4612" s="18">
        <v>27.01</v>
      </c>
      <c r="J4612" s="12" t="s">
        <v>521</v>
      </c>
      <c r="K4612" s="13">
        <v>43587</v>
      </c>
      <c r="L4612" s="15" t="s">
        <v>36</v>
      </c>
      <c r="M4612" s="12" t="s">
        <v>36</v>
      </c>
      <c r="N4612" s="12" t="s">
        <v>36</v>
      </c>
      <c r="O4612" s="17" t="s">
        <v>36</v>
      </c>
      <c r="P4612" s="12" t="s">
        <v>36</v>
      </c>
      <c r="Q4612" s="12" t="s">
        <v>36</v>
      </c>
      <c r="R4612" s="12" t="s">
        <v>36</v>
      </c>
      <c r="S4612" s="12" t="s">
        <v>36</v>
      </c>
      <c r="T4612" s="12" t="s">
        <v>22456</v>
      </c>
      <c r="U4612" s="12" t="s">
        <v>648</v>
      </c>
      <c r="V4612" s="12" t="s">
        <v>64</v>
      </c>
      <c r="W4612" s="12" t="s">
        <v>22457</v>
      </c>
      <c r="X4612" s="16" t="s">
        <v>9176</v>
      </c>
      <c r="Y4612" s="15" t="s">
        <v>42</v>
      </c>
      <c r="Z4612" s="14">
        <v>0.84</v>
      </c>
      <c r="AA4612" s="14">
        <v>1.65</v>
      </c>
      <c r="AB4612" s="12" t="s">
        <v>43</v>
      </c>
      <c r="AC4612" s="12" t="s">
        <v>22458</v>
      </c>
      <c r="AD4612" s="13">
        <v>43617</v>
      </c>
      <c r="AE4612" s="12" t="s">
        <v>651</v>
      </c>
      <c r="AF4612" s="12" t="s">
        <v>1636</v>
      </c>
      <c r="AG4612" s="12" t="s">
        <v>144</v>
      </c>
      <c r="AH4612" s="1">
        <f>HYPERLINK("https://my.pitchbook.com?c=124570-36T","View Company Online")</f>
      </c>
    </row>
    <row r="4613">
      <c r="A4613" s="3" t="s">
        <v>22459</v>
      </c>
      <c r="B4613" s="3" t="s">
        <v>22460</v>
      </c>
      <c r="C4613" s="5" t="s">
        <v>36</v>
      </c>
      <c r="D4613" s="5" t="s">
        <v>36</v>
      </c>
      <c r="E4613" s="5" t="s">
        <v>36</v>
      </c>
      <c r="F4613" s="5" t="s">
        <v>36</v>
      </c>
      <c r="G4613" s="6" t="s">
        <v>36</v>
      </c>
      <c r="H4613" s="4" t="s">
        <v>36</v>
      </c>
      <c r="I4613" s="7" t="s">
        <v>36</v>
      </c>
      <c r="J4613" s="3" t="s">
        <v>36</v>
      </c>
      <c r="K4613" s="9" t="s">
        <v>36</v>
      </c>
      <c r="L4613" s="6" t="s">
        <v>36</v>
      </c>
      <c r="M4613" s="3" t="s">
        <v>36</v>
      </c>
      <c r="N4613" s="3" t="s">
        <v>36</v>
      </c>
      <c r="O4613" s="8" t="s">
        <v>36</v>
      </c>
      <c r="P4613" s="3" t="s">
        <v>36</v>
      </c>
      <c r="Q4613" s="3" t="s">
        <v>36</v>
      </c>
      <c r="R4613" s="3" t="s">
        <v>36</v>
      </c>
      <c r="S4613" s="3" t="s">
        <v>36</v>
      </c>
      <c r="T4613" s="3" t="s">
        <v>5666</v>
      </c>
      <c r="U4613" s="3" t="s">
        <v>219</v>
      </c>
      <c r="V4613" s="3" t="s">
        <v>75</v>
      </c>
      <c r="W4613" s="3" t="s">
        <v>22461</v>
      </c>
      <c r="X4613" s="10" t="s">
        <v>22462</v>
      </c>
      <c r="Y4613" s="6" t="s">
        <v>42</v>
      </c>
      <c r="Z4613" s="4">
        <v>0.01</v>
      </c>
      <c r="AA4613" s="4" t="s">
        <v>36</v>
      </c>
      <c r="AB4613" s="3" t="s">
        <v>43</v>
      </c>
      <c r="AC4613" s="3" t="s">
        <v>22463</v>
      </c>
      <c r="AD4613" s="9">
        <v>43617</v>
      </c>
      <c r="AE4613" s="3" t="s">
        <v>223</v>
      </c>
      <c r="AF4613" s="3" t="s">
        <v>1340</v>
      </c>
      <c r="AG4613" s="3" t="s">
        <v>3733</v>
      </c>
      <c r="AH4613" s="11">
        <f>HYPERLINK("https://my.pitchbook.com?c=190902-25T","View Company Online")</f>
      </c>
    </row>
    <row r="4614">
      <c r="A4614" s="12" t="s">
        <v>22464</v>
      </c>
      <c r="B4614" s="12" t="s">
        <v>13681</v>
      </c>
      <c r="C4614" s="19" t="s">
        <v>36</v>
      </c>
      <c r="D4614" s="19">
        <v>4</v>
      </c>
      <c r="E4614" s="19">
        <v>1</v>
      </c>
      <c r="F4614" s="19">
        <v>5</v>
      </c>
      <c r="G4614" s="15" t="s">
        <v>36</v>
      </c>
      <c r="H4614" s="14" t="s">
        <v>36</v>
      </c>
      <c r="I4614" s="18" t="s">
        <v>36</v>
      </c>
      <c r="J4614" s="12" t="s">
        <v>36</v>
      </c>
      <c r="K4614" s="13" t="s">
        <v>36</v>
      </c>
      <c r="L4614" s="15" t="s">
        <v>122</v>
      </c>
      <c r="M4614" s="12" t="s">
        <v>36</v>
      </c>
      <c r="N4614" s="12" t="s">
        <v>122</v>
      </c>
      <c r="O4614" s="17" t="s">
        <v>36</v>
      </c>
      <c r="P4614" s="12" t="s">
        <v>36</v>
      </c>
      <c r="Q4614" s="12" t="s">
        <v>36</v>
      </c>
      <c r="R4614" s="12" t="s">
        <v>36</v>
      </c>
      <c r="S4614" s="12" t="s">
        <v>36</v>
      </c>
      <c r="T4614" s="12" t="s">
        <v>13682</v>
      </c>
      <c r="U4614" s="12" t="s">
        <v>956</v>
      </c>
      <c r="V4614" s="12" t="s">
        <v>405</v>
      </c>
      <c r="W4614" s="12" t="s">
        <v>13683</v>
      </c>
      <c r="X4614" s="16" t="s">
        <v>22465</v>
      </c>
      <c r="Y4614" s="15" t="s">
        <v>108</v>
      </c>
      <c r="Z4614" s="14">
        <v>22.37</v>
      </c>
      <c r="AA4614" s="14" t="s">
        <v>36</v>
      </c>
      <c r="AB4614" s="12" t="s">
        <v>43</v>
      </c>
      <c r="AC4614" s="12" t="s">
        <v>13685</v>
      </c>
      <c r="AD4614" s="13">
        <v>43617</v>
      </c>
      <c r="AE4614" s="12" t="s">
        <v>13686</v>
      </c>
      <c r="AF4614" s="12" t="s">
        <v>13687</v>
      </c>
      <c r="AG4614" s="12" t="s">
        <v>81</v>
      </c>
      <c r="AH4614" s="1">
        <f>HYPERLINK("https://my.pitchbook.com?c=125126-11T","View Company Online")</f>
      </c>
    </row>
    <row r="4615">
      <c r="A4615" s="3" t="s">
        <v>22466</v>
      </c>
      <c r="B4615" s="3" t="s">
        <v>22467</v>
      </c>
      <c r="C4615" s="5" t="s">
        <v>36</v>
      </c>
      <c r="D4615" s="5" t="s">
        <v>36</v>
      </c>
      <c r="E4615" s="5" t="s">
        <v>36</v>
      </c>
      <c r="F4615" s="5" t="s">
        <v>36</v>
      </c>
      <c r="G4615" s="6" t="s">
        <v>36</v>
      </c>
      <c r="H4615" s="4">
        <v>124.63</v>
      </c>
      <c r="I4615" s="7">
        <v>29.4</v>
      </c>
      <c r="J4615" s="3" t="s">
        <v>521</v>
      </c>
      <c r="K4615" s="9" t="s">
        <v>36</v>
      </c>
      <c r="L4615" s="6" t="s">
        <v>36</v>
      </c>
      <c r="M4615" s="3" t="s">
        <v>36</v>
      </c>
      <c r="N4615" s="3" t="s">
        <v>36</v>
      </c>
      <c r="O4615" s="8" t="s">
        <v>36</v>
      </c>
      <c r="P4615" s="3" t="s">
        <v>36</v>
      </c>
      <c r="Q4615" s="3" t="s">
        <v>36</v>
      </c>
      <c r="R4615" s="3" t="s">
        <v>36</v>
      </c>
      <c r="S4615" s="3" t="s">
        <v>36</v>
      </c>
      <c r="T4615" s="3" t="s">
        <v>7415</v>
      </c>
      <c r="U4615" s="3" t="s">
        <v>38</v>
      </c>
      <c r="V4615" s="3" t="s">
        <v>39</v>
      </c>
      <c r="W4615" s="3" t="s">
        <v>22468</v>
      </c>
      <c r="X4615" s="10" t="s">
        <v>22469</v>
      </c>
      <c r="Y4615" s="6" t="s">
        <v>42</v>
      </c>
      <c r="Z4615" s="4">
        <v>0.28</v>
      </c>
      <c r="AA4615" s="4">
        <v>0.95</v>
      </c>
      <c r="AB4615" s="3" t="s">
        <v>43</v>
      </c>
      <c r="AC4615" s="3" t="s">
        <v>22470</v>
      </c>
      <c r="AD4615" s="9">
        <v>43617</v>
      </c>
      <c r="AE4615" s="3" t="s">
        <v>1422</v>
      </c>
      <c r="AF4615" s="3" t="s">
        <v>19487</v>
      </c>
      <c r="AG4615" s="3" t="s">
        <v>22471</v>
      </c>
      <c r="AH4615" s="11">
        <f>HYPERLINK("https://my.pitchbook.com?c=131744-71T","View Company Online")</f>
      </c>
    </row>
    <row r="4616">
      <c r="A4616" s="12" t="s">
        <v>22472</v>
      </c>
      <c r="B4616" s="12" t="s">
        <v>22473</v>
      </c>
      <c r="C4616" s="19" t="s">
        <v>36</v>
      </c>
      <c r="D4616" s="19" t="s">
        <v>36</v>
      </c>
      <c r="E4616" s="19" t="s">
        <v>36</v>
      </c>
      <c r="F4616" s="19" t="s">
        <v>36</v>
      </c>
      <c r="G4616" s="15" t="s">
        <v>36</v>
      </c>
      <c r="H4616" s="14">
        <v>3.32</v>
      </c>
      <c r="I4616" s="18">
        <v>30.81</v>
      </c>
      <c r="J4616" s="12" t="s">
        <v>521</v>
      </c>
      <c r="K4616" s="13" t="s">
        <v>36</v>
      </c>
      <c r="L4616" s="15" t="s">
        <v>36</v>
      </c>
      <c r="M4616" s="12" t="s">
        <v>36</v>
      </c>
      <c r="N4616" s="12" t="s">
        <v>36</v>
      </c>
      <c r="O4616" s="17" t="s">
        <v>36</v>
      </c>
      <c r="P4616" s="12" t="s">
        <v>36</v>
      </c>
      <c r="Q4616" s="12" t="s">
        <v>36</v>
      </c>
      <c r="R4616" s="12" t="s">
        <v>36</v>
      </c>
      <c r="S4616" s="12" t="s">
        <v>36</v>
      </c>
      <c r="T4616" s="12" t="s">
        <v>1645</v>
      </c>
      <c r="U4616" s="12" t="s">
        <v>38</v>
      </c>
      <c r="V4616" s="12" t="s">
        <v>39</v>
      </c>
      <c r="W4616" s="12" t="s">
        <v>22474</v>
      </c>
      <c r="X4616" s="16" t="s">
        <v>19209</v>
      </c>
      <c r="Y4616" s="15" t="s">
        <v>42</v>
      </c>
      <c r="Z4616" s="14">
        <v>1.59</v>
      </c>
      <c r="AA4616" s="14">
        <v>5.17</v>
      </c>
      <c r="AB4616" s="12" t="s">
        <v>43</v>
      </c>
      <c r="AC4616" s="12" t="s">
        <v>22475</v>
      </c>
      <c r="AD4616" s="13">
        <v>43617</v>
      </c>
      <c r="AE4616" s="12" t="s">
        <v>110</v>
      </c>
      <c r="AF4616" s="12" t="s">
        <v>982</v>
      </c>
      <c r="AG4616" s="12" t="s">
        <v>969</v>
      </c>
      <c r="AH4616" s="1">
        <f>HYPERLINK("https://my.pitchbook.com?c=123321-43T","View Company Online")</f>
      </c>
    </row>
    <row r="4617">
      <c r="A4617" s="3" t="s">
        <v>22476</v>
      </c>
      <c r="B4617" s="3" t="s">
        <v>22477</v>
      </c>
      <c r="C4617" s="5" t="s">
        <v>36</v>
      </c>
      <c r="D4617" s="5" t="s">
        <v>36</v>
      </c>
      <c r="E4617" s="5" t="s">
        <v>36</v>
      </c>
      <c r="F4617" s="5" t="s">
        <v>36</v>
      </c>
      <c r="G4617" s="6" t="s">
        <v>36</v>
      </c>
      <c r="H4617" s="4">
        <v>515.28</v>
      </c>
      <c r="I4617" s="7">
        <v>17.87</v>
      </c>
      <c r="J4617" s="3" t="s">
        <v>521</v>
      </c>
      <c r="K4617" s="9" t="s">
        <v>36</v>
      </c>
      <c r="L4617" s="6" t="s">
        <v>36</v>
      </c>
      <c r="M4617" s="3" t="s">
        <v>36</v>
      </c>
      <c r="N4617" s="3" t="s">
        <v>36</v>
      </c>
      <c r="O4617" s="8" t="s">
        <v>36</v>
      </c>
      <c r="P4617" s="3" t="s">
        <v>36</v>
      </c>
      <c r="Q4617" s="3" t="s">
        <v>36</v>
      </c>
      <c r="R4617" s="3" t="s">
        <v>36</v>
      </c>
      <c r="S4617" s="3" t="s">
        <v>36</v>
      </c>
      <c r="T4617" s="3" t="s">
        <v>16885</v>
      </c>
      <c r="U4617" s="3" t="s">
        <v>74</v>
      </c>
      <c r="V4617" s="3" t="s">
        <v>75</v>
      </c>
      <c r="W4617" s="3" t="s">
        <v>22478</v>
      </c>
      <c r="X4617" s="10" t="s">
        <v>22479</v>
      </c>
      <c r="Y4617" s="6" t="s">
        <v>42</v>
      </c>
      <c r="Z4617" s="4">
        <v>1.12</v>
      </c>
      <c r="AA4617" s="4">
        <v>3.95</v>
      </c>
      <c r="AB4617" s="3" t="s">
        <v>43</v>
      </c>
      <c r="AC4617" s="3" t="s">
        <v>22480</v>
      </c>
      <c r="AD4617" s="9">
        <v>43617</v>
      </c>
      <c r="AE4617" s="3" t="s">
        <v>975</v>
      </c>
      <c r="AF4617" s="3" t="s">
        <v>22481</v>
      </c>
      <c r="AG4617" s="3" t="s">
        <v>347</v>
      </c>
      <c r="AH4617" s="11">
        <f>HYPERLINK("https://my.pitchbook.com?c=122943-97T","View Company Online")</f>
      </c>
    </row>
    <row r="4618">
      <c r="A4618" s="12" t="s">
        <v>22482</v>
      </c>
      <c r="B4618" s="12" t="s">
        <v>22483</v>
      </c>
      <c r="C4618" s="19" t="s">
        <v>36</v>
      </c>
      <c r="D4618" s="19" t="s">
        <v>36</v>
      </c>
      <c r="E4618" s="19" t="s">
        <v>36</v>
      </c>
      <c r="F4618" s="19" t="s">
        <v>36</v>
      </c>
      <c r="G4618" s="15" t="s">
        <v>36</v>
      </c>
      <c r="H4618" s="14" t="s">
        <v>36</v>
      </c>
      <c r="I4618" s="18" t="s">
        <v>36</v>
      </c>
      <c r="J4618" s="12" t="s">
        <v>36</v>
      </c>
      <c r="K4618" s="13" t="s">
        <v>36</v>
      </c>
      <c r="L4618" s="15" t="s">
        <v>36</v>
      </c>
      <c r="M4618" s="12" t="s">
        <v>36</v>
      </c>
      <c r="N4618" s="12" t="s">
        <v>36</v>
      </c>
      <c r="O4618" s="17" t="s">
        <v>36</v>
      </c>
      <c r="P4618" s="12" t="s">
        <v>36</v>
      </c>
      <c r="Q4618" s="12" t="s">
        <v>36</v>
      </c>
      <c r="R4618" s="12" t="s">
        <v>36</v>
      </c>
      <c r="S4618" s="12" t="s">
        <v>36</v>
      </c>
      <c r="T4618" s="12" t="s">
        <v>522</v>
      </c>
      <c r="U4618" s="12" t="s">
        <v>38</v>
      </c>
      <c r="V4618" s="12" t="s">
        <v>39</v>
      </c>
      <c r="W4618" s="12" t="s">
        <v>22484</v>
      </c>
      <c r="X4618" s="16" t="s">
        <v>14564</v>
      </c>
      <c r="Y4618" s="15" t="s">
        <v>42</v>
      </c>
      <c r="Z4618" s="14" t="s">
        <v>36</v>
      </c>
      <c r="AA4618" s="14" t="s">
        <v>36</v>
      </c>
      <c r="AB4618" s="12" t="s">
        <v>43</v>
      </c>
      <c r="AC4618" s="12" t="s">
        <v>22485</v>
      </c>
      <c r="AD4618" s="13">
        <v>43617</v>
      </c>
      <c r="AE4618" s="12" t="s">
        <v>110</v>
      </c>
      <c r="AF4618" s="12" t="s">
        <v>176</v>
      </c>
      <c r="AG4618" s="12" t="s">
        <v>22486</v>
      </c>
      <c r="AH4618" s="1">
        <f>HYPERLINK("https://my.pitchbook.com?c=130124-17T","View Company Online")</f>
      </c>
    </row>
    <row r="4619">
      <c r="A4619" s="3" t="s">
        <v>22487</v>
      </c>
      <c r="B4619" s="3" t="s">
        <v>22488</v>
      </c>
      <c r="C4619" s="5" t="s">
        <v>36</v>
      </c>
      <c r="D4619" s="5" t="s">
        <v>36</v>
      </c>
      <c r="E4619" s="5" t="s">
        <v>36</v>
      </c>
      <c r="F4619" s="5" t="s">
        <v>36</v>
      </c>
      <c r="G4619" s="6" t="s">
        <v>683</v>
      </c>
      <c r="H4619" s="4">
        <v>1.14</v>
      </c>
      <c r="I4619" s="7">
        <v>5.46</v>
      </c>
      <c r="J4619" s="3" t="s">
        <v>521</v>
      </c>
      <c r="K4619" s="9" t="s">
        <v>36</v>
      </c>
      <c r="L4619" s="6" t="s">
        <v>36</v>
      </c>
      <c r="M4619" s="3" t="s">
        <v>36</v>
      </c>
      <c r="N4619" s="3" t="s">
        <v>36</v>
      </c>
      <c r="O4619" s="8" t="s">
        <v>36</v>
      </c>
      <c r="P4619" s="3" t="s">
        <v>36</v>
      </c>
      <c r="Q4619" s="3" t="s">
        <v>36</v>
      </c>
      <c r="R4619" s="3" t="s">
        <v>36</v>
      </c>
      <c r="S4619" s="3" t="s">
        <v>36</v>
      </c>
      <c r="T4619" s="3" t="s">
        <v>22489</v>
      </c>
      <c r="U4619" s="3" t="s">
        <v>279</v>
      </c>
      <c r="V4619" s="3" t="s">
        <v>64</v>
      </c>
      <c r="W4619" s="3" t="s">
        <v>22490</v>
      </c>
      <c r="X4619" s="10" t="s">
        <v>22491</v>
      </c>
      <c r="Y4619" s="6" t="s">
        <v>108</v>
      </c>
      <c r="Z4619" s="4">
        <v>0.09</v>
      </c>
      <c r="AA4619" s="4">
        <v>1.71</v>
      </c>
      <c r="AB4619" s="3" t="s">
        <v>56</v>
      </c>
      <c r="AC4619" s="3" t="s">
        <v>22492</v>
      </c>
      <c r="AD4619" s="9">
        <v>43616</v>
      </c>
      <c r="AE4619" s="3" t="s">
        <v>740</v>
      </c>
      <c r="AF4619" s="3" t="s">
        <v>19834</v>
      </c>
      <c r="AG4619" s="3" t="s">
        <v>4637</v>
      </c>
      <c r="AH4619" s="11">
        <f>HYPERLINK("https://my.pitchbook.com?c=181350-37T","View Company Online")</f>
      </c>
    </row>
    <row r="4620">
      <c r="A4620" s="12" t="s">
        <v>22493</v>
      </c>
      <c r="B4620" s="12" t="s">
        <v>22494</v>
      </c>
      <c r="C4620" s="19" t="s">
        <v>36</v>
      </c>
      <c r="D4620" s="19" t="s">
        <v>36</v>
      </c>
      <c r="E4620" s="19">
        <v>1</v>
      </c>
      <c r="F4620" s="19">
        <v>4</v>
      </c>
      <c r="G4620" s="15" t="s">
        <v>683</v>
      </c>
      <c r="H4620" s="14">
        <v>35.31</v>
      </c>
      <c r="I4620" s="18">
        <v>25.77</v>
      </c>
      <c r="J4620" s="12" t="s">
        <v>521</v>
      </c>
      <c r="K4620" s="13" t="s">
        <v>36</v>
      </c>
      <c r="L4620" s="15" t="s">
        <v>36</v>
      </c>
      <c r="M4620" s="12" t="s">
        <v>36</v>
      </c>
      <c r="N4620" s="12" t="s">
        <v>36</v>
      </c>
      <c r="O4620" s="17" t="s">
        <v>36</v>
      </c>
      <c r="P4620" s="12" t="s">
        <v>36</v>
      </c>
      <c r="Q4620" s="12" t="s">
        <v>36</v>
      </c>
      <c r="R4620" s="12" t="s">
        <v>36</v>
      </c>
      <c r="S4620" s="12" t="s">
        <v>36</v>
      </c>
      <c r="T4620" s="12" t="s">
        <v>5772</v>
      </c>
      <c r="U4620" s="12" t="s">
        <v>96</v>
      </c>
      <c r="V4620" s="12" t="s">
        <v>52</v>
      </c>
      <c r="W4620" s="12" t="s">
        <v>22495</v>
      </c>
      <c r="X4620" s="16" t="s">
        <v>22496</v>
      </c>
      <c r="Y4620" s="15" t="s">
        <v>55</v>
      </c>
      <c r="Z4620" s="14">
        <v>0.52</v>
      </c>
      <c r="AA4620" s="14">
        <v>2.03</v>
      </c>
      <c r="AB4620" s="12" t="s">
        <v>56</v>
      </c>
      <c r="AC4620" s="12" t="s">
        <v>22497</v>
      </c>
      <c r="AD4620" s="13">
        <v>43616</v>
      </c>
      <c r="AE4620" s="12" t="s">
        <v>755</v>
      </c>
      <c r="AF4620" s="12" t="s">
        <v>665</v>
      </c>
      <c r="AG4620" s="12" t="s">
        <v>7425</v>
      </c>
      <c r="AH4620" s="1">
        <f>HYPERLINK("https://my.pitchbook.com?c=129190-69T","View Company Online")</f>
      </c>
    </row>
    <row r="4621">
      <c r="A4621" s="3" t="s">
        <v>22498</v>
      </c>
      <c r="B4621" s="3" t="s">
        <v>22499</v>
      </c>
      <c r="C4621" s="5" t="s">
        <v>36</v>
      </c>
      <c r="D4621" s="5" t="s">
        <v>36</v>
      </c>
      <c r="E4621" s="5" t="s">
        <v>36</v>
      </c>
      <c r="F4621" s="5" t="s">
        <v>36</v>
      </c>
      <c r="G4621" s="6" t="s">
        <v>326</v>
      </c>
      <c r="H4621" s="4">
        <v>18.36</v>
      </c>
      <c r="I4621" s="7">
        <v>36.89</v>
      </c>
      <c r="J4621" s="3" t="s">
        <v>521</v>
      </c>
      <c r="K4621" s="9">
        <v>43535</v>
      </c>
      <c r="L4621" s="6" t="s">
        <v>122</v>
      </c>
      <c r="M4621" s="3" t="s">
        <v>36</v>
      </c>
      <c r="N4621" s="3" t="s">
        <v>122</v>
      </c>
      <c r="O4621" s="8" t="s">
        <v>36</v>
      </c>
      <c r="P4621" s="3" t="s">
        <v>36</v>
      </c>
      <c r="Q4621" s="3" t="s">
        <v>36</v>
      </c>
      <c r="R4621" s="3" t="s">
        <v>36</v>
      </c>
      <c r="S4621" s="3" t="s">
        <v>36</v>
      </c>
      <c r="T4621" s="3" t="s">
        <v>1350</v>
      </c>
      <c r="U4621" s="3" t="s">
        <v>38</v>
      </c>
      <c r="V4621" s="3" t="s">
        <v>39</v>
      </c>
      <c r="W4621" s="3" t="s">
        <v>22500</v>
      </c>
      <c r="X4621" s="10" t="s">
        <v>22501</v>
      </c>
      <c r="Y4621" s="6" t="s">
        <v>108</v>
      </c>
      <c r="Z4621" s="4">
        <v>10.03</v>
      </c>
      <c r="AA4621" s="4">
        <v>17.62</v>
      </c>
      <c r="AB4621" s="3" t="s">
        <v>43</v>
      </c>
      <c r="AC4621" s="3" t="s">
        <v>22502</v>
      </c>
      <c r="AD4621" s="9">
        <v>43614</v>
      </c>
      <c r="AE4621" s="3" t="s">
        <v>785</v>
      </c>
      <c r="AF4621" s="3" t="s">
        <v>22503</v>
      </c>
      <c r="AG4621" s="3" t="s">
        <v>81</v>
      </c>
      <c r="AH4621" s="11">
        <f>HYPERLINK("https://my.pitchbook.com?c=119295-64T","View Company Online")</f>
      </c>
    </row>
    <row r="4622">
      <c r="A4622" s="12" t="s">
        <v>22504</v>
      </c>
      <c r="B4622" s="12" t="s">
        <v>13342</v>
      </c>
      <c r="C4622" s="19" t="s">
        <v>36</v>
      </c>
      <c r="D4622" s="19" t="s">
        <v>36</v>
      </c>
      <c r="E4622" s="19" t="s">
        <v>36</v>
      </c>
      <c r="F4622" s="19" t="s">
        <v>36</v>
      </c>
      <c r="G4622" s="15" t="s">
        <v>36</v>
      </c>
      <c r="H4622" s="14" t="s">
        <v>36</v>
      </c>
      <c r="I4622" s="18" t="s">
        <v>36</v>
      </c>
      <c r="J4622" s="12" t="s">
        <v>36</v>
      </c>
      <c r="K4622" s="13" t="s">
        <v>36</v>
      </c>
      <c r="L4622" s="15" t="s">
        <v>11273</v>
      </c>
      <c r="M4622" s="12" t="s">
        <v>36</v>
      </c>
      <c r="N4622" s="12" t="s">
        <v>11273</v>
      </c>
      <c r="O4622" s="17" t="s">
        <v>36</v>
      </c>
      <c r="P4622" s="12" t="s">
        <v>36</v>
      </c>
      <c r="Q4622" s="12" t="s">
        <v>36</v>
      </c>
      <c r="R4622" s="12" t="s">
        <v>36</v>
      </c>
      <c r="S4622" s="12" t="s">
        <v>6531</v>
      </c>
      <c r="T4622" s="12" t="s">
        <v>10504</v>
      </c>
      <c r="U4622" s="12" t="s">
        <v>63</v>
      </c>
      <c r="V4622" s="12" t="s">
        <v>64</v>
      </c>
      <c r="W4622" s="12" t="s">
        <v>13343</v>
      </c>
      <c r="X4622" s="16" t="s">
        <v>22505</v>
      </c>
      <c r="Y4622" s="15" t="s">
        <v>55</v>
      </c>
      <c r="Z4622" s="14" t="s">
        <v>36</v>
      </c>
      <c r="AA4622" s="14" t="s">
        <v>36</v>
      </c>
      <c r="AB4622" s="12" t="s">
        <v>43</v>
      </c>
      <c r="AC4622" s="12" t="s">
        <v>13345</v>
      </c>
      <c r="AD4622" s="13">
        <v>43614</v>
      </c>
      <c r="AE4622" s="12" t="s">
        <v>68</v>
      </c>
      <c r="AF4622" s="12" t="s">
        <v>13346</v>
      </c>
      <c r="AG4622" s="12" t="s">
        <v>81</v>
      </c>
      <c r="AH4622" s="1">
        <f>HYPERLINK("https://my.pitchbook.com?c=177301-99T","View Company Online")</f>
      </c>
    </row>
    <row r="4623">
      <c r="A4623" s="3" t="s">
        <v>22506</v>
      </c>
      <c r="B4623" s="3" t="s">
        <v>12401</v>
      </c>
      <c r="C4623" s="5">
        <v>16</v>
      </c>
      <c r="D4623" s="5">
        <v>40</v>
      </c>
      <c r="E4623" s="5">
        <v>27</v>
      </c>
      <c r="F4623" s="5">
        <v>96</v>
      </c>
      <c r="G4623" s="6" t="s">
        <v>36</v>
      </c>
      <c r="H4623" s="4" t="s">
        <v>36</v>
      </c>
      <c r="I4623" s="7">
        <v>14.75</v>
      </c>
      <c r="J4623" s="3" t="s">
        <v>327</v>
      </c>
      <c r="K4623" s="9" t="s">
        <v>36</v>
      </c>
      <c r="L4623" s="6" t="s">
        <v>36</v>
      </c>
      <c r="M4623" s="3" t="s">
        <v>36</v>
      </c>
      <c r="N4623" s="3" t="s">
        <v>36</v>
      </c>
      <c r="O4623" s="8" t="s">
        <v>36</v>
      </c>
      <c r="P4623" s="3" t="s">
        <v>36</v>
      </c>
      <c r="Q4623" s="3" t="s">
        <v>36</v>
      </c>
      <c r="R4623" s="3" t="s">
        <v>36</v>
      </c>
      <c r="S4623" s="3" t="s">
        <v>36</v>
      </c>
      <c r="T4623" s="3" t="s">
        <v>2321</v>
      </c>
      <c r="U4623" s="3" t="s">
        <v>51</v>
      </c>
      <c r="V4623" s="3" t="s">
        <v>52</v>
      </c>
      <c r="W4623" s="3" t="s">
        <v>12402</v>
      </c>
      <c r="X4623" s="10" t="s">
        <v>22507</v>
      </c>
      <c r="Y4623" s="6" t="s">
        <v>166</v>
      </c>
      <c r="Z4623" s="4">
        <v>3.86</v>
      </c>
      <c r="AA4623" s="4">
        <v>26.2</v>
      </c>
      <c r="AB4623" s="3" t="s">
        <v>56</v>
      </c>
      <c r="AC4623" s="3" t="s">
        <v>12404</v>
      </c>
      <c r="AD4623" s="9">
        <v>43613</v>
      </c>
      <c r="AE4623" s="3" t="s">
        <v>504</v>
      </c>
      <c r="AF4623" s="3" t="s">
        <v>665</v>
      </c>
      <c r="AG4623" s="3" t="s">
        <v>12405</v>
      </c>
      <c r="AH4623" s="11">
        <f>HYPERLINK("https://my.pitchbook.com?c=119222-83T","View Company Online")</f>
      </c>
    </row>
    <row r="4624">
      <c r="A4624" s="12" t="s">
        <v>22508</v>
      </c>
      <c r="B4624" s="12" t="s">
        <v>15144</v>
      </c>
      <c r="C4624" s="19">
        <v>2</v>
      </c>
      <c r="D4624" s="19">
        <v>8</v>
      </c>
      <c r="E4624" s="19">
        <v>4</v>
      </c>
      <c r="F4624" s="19">
        <v>13</v>
      </c>
      <c r="G4624" s="15" t="s">
        <v>326</v>
      </c>
      <c r="H4624" s="14">
        <v>20.35</v>
      </c>
      <c r="I4624" s="18">
        <v>48.72</v>
      </c>
      <c r="J4624" s="12" t="s">
        <v>521</v>
      </c>
      <c r="K4624" s="13" t="s">
        <v>36</v>
      </c>
      <c r="L4624" s="15" t="s">
        <v>36</v>
      </c>
      <c r="M4624" s="12" t="s">
        <v>36</v>
      </c>
      <c r="N4624" s="12" t="s">
        <v>36</v>
      </c>
      <c r="O4624" s="17" t="s">
        <v>36</v>
      </c>
      <c r="P4624" s="12" t="s">
        <v>36</v>
      </c>
      <c r="Q4624" s="12" t="s">
        <v>36</v>
      </c>
      <c r="R4624" s="12" t="s">
        <v>36</v>
      </c>
      <c r="S4624" s="12" t="s">
        <v>36</v>
      </c>
      <c r="T4624" s="12" t="s">
        <v>15145</v>
      </c>
      <c r="U4624" s="12" t="s">
        <v>74</v>
      </c>
      <c r="V4624" s="12" t="s">
        <v>75</v>
      </c>
      <c r="W4624" s="12" t="s">
        <v>15146</v>
      </c>
      <c r="X4624" s="16" t="s">
        <v>22509</v>
      </c>
      <c r="Y4624" s="15" t="s">
        <v>108</v>
      </c>
      <c r="Z4624" s="14">
        <v>1.85</v>
      </c>
      <c r="AA4624" s="14">
        <v>3.79</v>
      </c>
      <c r="AB4624" s="12" t="s">
        <v>43</v>
      </c>
      <c r="AC4624" s="12" t="s">
        <v>15148</v>
      </c>
      <c r="AD4624" s="13">
        <v>43613</v>
      </c>
      <c r="AE4624" s="12" t="s">
        <v>570</v>
      </c>
      <c r="AF4624" s="12" t="s">
        <v>982</v>
      </c>
      <c r="AG4624" s="12" t="s">
        <v>15149</v>
      </c>
      <c r="AH4624" s="1">
        <f>HYPERLINK("https://my.pitchbook.com?c=124060-42T","View Company Online")</f>
      </c>
    </row>
    <row r="4625">
      <c r="A4625" s="3" t="s">
        <v>22510</v>
      </c>
      <c r="B4625" s="3" t="s">
        <v>22511</v>
      </c>
      <c r="C4625" s="5" t="s">
        <v>36</v>
      </c>
      <c r="D4625" s="5" t="s">
        <v>36</v>
      </c>
      <c r="E4625" s="5" t="s">
        <v>36</v>
      </c>
      <c r="F4625" s="5" t="s">
        <v>36</v>
      </c>
      <c r="G4625" s="6" t="s">
        <v>36</v>
      </c>
      <c r="H4625" s="4">
        <v>7.95</v>
      </c>
      <c r="I4625" s="7">
        <v>29.32</v>
      </c>
      <c r="J4625" s="3" t="s">
        <v>521</v>
      </c>
      <c r="K4625" s="9" t="s">
        <v>36</v>
      </c>
      <c r="L4625" s="6" t="s">
        <v>36</v>
      </c>
      <c r="M4625" s="3" t="s">
        <v>36</v>
      </c>
      <c r="N4625" s="3" t="s">
        <v>36</v>
      </c>
      <c r="O4625" s="8" t="s">
        <v>36</v>
      </c>
      <c r="P4625" s="3" t="s">
        <v>36</v>
      </c>
      <c r="Q4625" s="3" t="s">
        <v>36</v>
      </c>
      <c r="R4625" s="3" t="s">
        <v>36</v>
      </c>
      <c r="S4625" s="3" t="s">
        <v>36</v>
      </c>
      <c r="T4625" s="3" t="s">
        <v>9402</v>
      </c>
      <c r="U4625" s="3" t="s">
        <v>233</v>
      </c>
      <c r="V4625" s="3" t="s">
        <v>39</v>
      </c>
      <c r="W4625" s="3" t="s">
        <v>22512</v>
      </c>
      <c r="X4625" s="10" t="s">
        <v>20599</v>
      </c>
      <c r="Y4625" s="6" t="s">
        <v>42</v>
      </c>
      <c r="Z4625" s="4">
        <v>0.69</v>
      </c>
      <c r="AA4625" s="4">
        <v>2.36</v>
      </c>
      <c r="AB4625" s="3" t="s">
        <v>56</v>
      </c>
      <c r="AC4625" s="3" t="s">
        <v>22513</v>
      </c>
      <c r="AD4625" s="9">
        <v>43613</v>
      </c>
      <c r="AE4625" s="3" t="s">
        <v>236</v>
      </c>
      <c r="AF4625" s="3" t="s">
        <v>4477</v>
      </c>
      <c r="AG4625" s="3" t="s">
        <v>81</v>
      </c>
      <c r="AH4625" s="11">
        <f>HYPERLINK("https://my.pitchbook.com?c=128115-46T","View Company Online")</f>
      </c>
    </row>
    <row r="4626">
      <c r="A4626" s="12" t="s">
        <v>22514</v>
      </c>
      <c r="B4626" s="12" t="s">
        <v>3635</v>
      </c>
      <c r="C4626" s="19" t="s">
        <v>36</v>
      </c>
      <c r="D4626" s="19" t="s">
        <v>36</v>
      </c>
      <c r="E4626" s="19" t="s">
        <v>36</v>
      </c>
      <c r="F4626" s="19" t="s">
        <v>36</v>
      </c>
      <c r="G4626" s="15" t="s">
        <v>36</v>
      </c>
      <c r="H4626" s="14" t="s">
        <v>36</v>
      </c>
      <c r="I4626" s="18" t="s">
        <v>36</v>
      </c>
      <c r="J4626" s="12" t="s">
        <v>36</v>
      </c>
      <c r="K4626" s="13" t="s">
        <v>36</v>
      </c>
      <c r="L4626" s="15" t="s">
        <v>36</v>
      </c>
      <c r="M4626" s="12" t="s">
        <v>36</v>
      </c>
      <c r="N4626" s="12" t="s">
        <v>36</v>
      </c>
      <c r="O4626" s="17" t="s">
        <v>36</v>
      </c>
      <c r="P4626" s="12" t="s">
        <v>36</v>
      </c>
      <c r="Q4626" s="12" t="s">
        <v>36</v>
      </c>
      <c r="R4626" s="12" t="s">
        <v>36</v>
      </c>
      <c r="S4626" s="12" t="s">
        <v>36</v>
      </c>
      <c r="T4626" s="12" t="s">
        <v>1893</v>
      </c>
      <c r="U4626" s="12" t="s">
        <v>648</v>
      </c>
      <c r="V4626" s="12" t="s">
        <v>64</v>
      </c>
      <c r="W4626" s="12" t="s">
        <v>3636</v>
      </c>
      <c r="X4626" s="16" t="s">
        <v>8450</v>
      </c>
      <c r="Y4626" s="15" t="s">
        <v>42</v>
      </c>
      <c r="Z4626" s="14" t="s">
        <v>36</v>
      </c>
      <c r="AA4626" s="14" t="s">
        <v>36</v>
      </c>
      <c r="AB4626" s="12" t="s">
        <v>43</v>
      </c>
      <c r="AC4626" s="12" t="s">
        <v>3638</v>
      </c>
      <c r="AD4626" s="13">
        <v>43613</v>
      </c>
      <c r="AE4626" s="12" t="s">
        <v>1897</v>
      </c>
      <c r="AF4626" s="12" t="s">
        <v>1115</v>
      </c>
      <c r="AG4626" s="12" t="s">
        <v>3492</v>
      </c>
      <c r="AH4626" s="1">
        <f>HYPERLINK("https://my.pitchbook.com?c=226084-78T","View Company Online")</f>
      </c>
    </row>
    <row r="4627">
      <c r="A4627" s="3" t="s">
        <v>22515</v>
      </c>
      <c r="B4627" s="3" t="s">
        <v>22516</v>
      </c>
      <c r="C4627" s="5" t="s">
        <v>36</v>
      </c>
      <c r="D4627" s="5" t="s">
        <v>36</v>
      </c>
      <c r="E4627" s="5" t="s">
        <v>36</v>
      </c>
      <c r="F4627" s="5" t="s">
        <v>36</v>
      </c>
      <c r="G4627" s="6" t="s">
        <v>36</v>
      </c>
      <c r="H4627" s="4">
        <v>0.88</v>
      </c>
      <c r="I4627" s="7">
        <v>31.97</v>
      </c>
      <c r="J4627" s="3" t="s">
        <v>327</v>
      </c>
      <c r="K4627" s="9">
        <v>43598</v>
      </c>
      <c r="L4627" s="6" t="s">
        <v>36</v>
      </c>
      <c r="M4627" s="3" t="s">
        <v>36</v>
      </c>
      <c r="N4627" s="3" t="s">
        <v>36</v>
      </c>
      <c r="O4627" s="8" t="s">
        <v>36</v>
      </c>
      <c r="P4627" s="3" t="s">
        <v>36</v>
      </c>
      <c r="Q4627" s="3" t="s">
        <v>36</v>
      </c>
      <c r="R4627" s="3" t="s">
        <v>36</v>
      </c>
      <c r="S4627" s="3" t="s">
        <v>36</v>
      </c>
      <c r="T4627" s="3" t="s">
        <v>22517</v>
      </c>
      <c r="U4627" s="3" t="s">
        <v>63</v>
      </c>
      <c r="V4627" s="3" t="s">
        <v>64</v>
      </c>
      <c r="W4627" s="3" t="s">
        <v>22518</v>
      </c>
      <c r="X4627" s="10" t="s">
        <v>22519</v>
      </c>
      <c r="Y4627" s="6" t="s">
        <v>42</v>
      </c>
      <c r="Z4627" s="4">
        <v>2.24</v>
      </c>
      <c r="AA4627" s="4">
        <v>6.99</v>
      </c>
      <c r="AB4627" s="3" t="s">
        <v>43</v>
      </c>
      <c r="AC4627" s="3" t="s">
        <v>22520</v>
      </c>
      <c r="AD4627" s="9">
        <v>43612</v>
      </c>
      <c r="AE4627" s="3" t="s">
        <v>4310</v>
      </c>
      <c r="AF4627" s="3" t="s">
        <v>7309</v>
      </c>
      <c r="AG4627" s="3" t="s">
        <v>81</v>
      </c>
      <c r="AH4627" s="11">
        <f>HYPERLINK("https://my.pitchbook.com?c=123933-88T","View Company Online")</f>
      </c>
    </row>
    <row r="4628">
      <c r="A4628" s="12" t="s">
        <v>22521</v>
      </c>
      <c r="B4628" s="12" t="s">
        <v>19876</v>
      </c>
      <c r="C4628" s="19" t="s">
        <v>36</v>
      </c>
      <c r="D4628" s="19" t="s">
        <v>36</v>
      </c>
      <c r="E4628" s="19" t="s">
        <v>36</v>
      </c>
      <c r="F4628" s="19" t="s">
        <v>36</v>
      </c>
      <c r="G4628" s="15" t="s">
        <v>36</v>
      </c>
      <c r="H4628" s="14">
        <v>1.03</v>
      </c>
      <c r="I4628" s="18">
        <v>33.96</v>
      </c>
      <c r="J4628" s="12" t="s">
        <v>521</v>
      </c>
      <c r="K4628" s="13" t="s">
        <v>36</v>
      </c>
      <c r="L4628" s="15" t="s">
        <v>36</v>
      </c>
      <c r="M4628" s="12" t="s">
        <v>36</v>
      </c>
      <c r="N4628" s="12" t="s">
        <v>36</v>
      </c>
      <c r="O4628" s="17" t="s">
        <v>36</v>
      </c>
      <c r="P4628" s="12" t="s">
        <v>36</v>
      </c>
      <c r="Q4628" s="12" t="s">
        <v>36</v>
      </c>
      <c r="R4628" s="12" t="s">
        <v>36</v>
      </c>
      <c r="S4628" s="12" t="s">
        <v>10617</v>
      </c>
      <c r="T4628" s="12" t="s">
        <v>19877</v>
      </c>
      <c r="U4628" s="12" t="s">
        <v>38</v>
      </c>
      <c r="V4628" s="12" t="s">
        <v>39</v>
      </c>
      <c r="W4628" s="12" t="s">
        <v>19878</v>
      </c>
      <c r="X4628" s="16" t="s">
        <v>22522</v>
      </c>
      <c r="Y4628" s="15" t="s">
        <v>42</v>
      </c>
      <c r="Z4628" s="14">
        <v>3.42</v>
      </c>
      <c r="AA4628" s="14">
        <v>10.07</v>
      </c>
      <c r="AB4628" s="12" t="s">
        <v>43</v>
      </c>
      <c r="AC4628" s="12" t="s">
        <v>19880</v>
      </c>
      <c r="AD4628" s="13">
        <v>43612</v>
      </c>
      <c r="AE4628" s="12" t="s">
        <v>45</v>
      </c>
      <c r="AF4628" s="12" t="s">
        <v>7466</v>
      </c>
      <c r="AG4628" s="12" t="s">
        <v>443</v>
      </c>
      <c r="AH4628" s="1">
        <f>HYPERLINK("https://my.pitchbook.com?c=119289-07T","View Company Online")</f>
      </c>
    </row>
    <row r="4629">
      <c r="A4629" s="3" t="s">
        <v>22523</v>
      </c>
      <c r="B4629" s="3" t="s">
        <v>22524</v>
      </c>
      <c r="C4629" s="5" t="s">
        <v>36</v>
      </c>
      <c r="D4629" s="5" t="s">
        <v>36</v>
      </c>
      <c r="E4629" s="5" t="s">
        <v>36</v>
      </c>
      <c r="F4629" s="5" t="s">
        <v>36</v>
      </c>
      <c r="G4629" s="6" t="s">
        <v>36</v>
      </c>
      <c r="H4629" s="4" t="s">
        <v>36</v>
      </c>
      <c r="I4629" s="7" t="s">
        <v>36</v>
      </c>
      <c r="J4629" s="3" t="s">
        <v>36</v>
      </c>
      <c r="K4629" s="9" t="s">
        <v>36</v>
      </c>
      <c r="L4629" s="6" t="s">
        <v>122</v>
      </c>
      <c r="M4629" s="3" t="s">
        <v>36</v>
      </c>
      <c r="N4629" s="3" t="s">
        <v>122</v>
      </c>
      <c r="O4629" s="8" t="s">
        <v>36</v>
      </c>
      <c r="P4629" s="3" t="s">
        <v>36</v>
      </c>
      <c r="Q4629" s="3" t="s">
        <v>36</v>
      </c>
      <c r="R4629" s="3" t="s">
        <v>36</v>
      </c>
      <c r="S4629" s="3" t="s">
        <v>36</v>
      </c>
      <c r="T4629" s="3" t="s">
        <v>1701</v>
      </c>
      <c r="U4629" s="3" t="s">
        <v>74</v>
      </c>
      <c r="V4629" s="3" t="s">
        <v>75</v>
      </c>
      <c r="W4629" s="3" t="s">
        <v>22525</v>
      </c>
      <c r="X4629" s="10" t="s">
        <v>22526</v>
      </c>
      <c r="Y4629" s="6" t="s">
        <v>192</v>
      </c>
      <c r="Z4629" s="4">
        <v>0.28</v>
      </c>
      <c r="AA4629" s="4" t="s">
        <v>36</v>
      </c>
      <c r="AB4629" s="3" t="s">
        <v>56</v>
      </c>
      <c r="AC4629" s="3" t="s">
        <v>22527</v>
      </c>
      <c r="AD4629" s="9">
        <v>43612</v>
      </c>
      <c r="AE4629" s="3" t="s">
        <v>79</v>
      </c>
      <c r="AF4629" s="3" t="s">
        <v>176</v>
      </c>
      <c r="AG4629" s="3" t="s">
        <v>580</v>
      </c>
      <c r="AH4629" s="11">
        <f>HYPERLINK("https://my.pitchbook.com?c=122540-05T","View Company Online")</f>
      </c>
    </row>
    <row r="4630">
      <c r="A4630" s="12" t="s">
        <v>22528</v>
      </c>
      <c r="B4630" s="12" t="s">
        <v>22529</v>
      </c>
      <c r="C4630" s="19" t="s">
        <v>36</v>
      </c>
      <c r="D4630" s="19" t="s">
        <v>36</v>
      </c>
      <c r="E4630" s="19" t="s">
        <v>36</v>
      </c>
      <c r="F4630" s="19" t="s">
        <v>36</v>
      </c>
      <c r="G4630" s="15" t="s">
        <v>36</v>
      </c>
      <c r="H4630" s="14" t="s">
        <v>36</v>
      </c>
      <c r="I4630" s="18" t="s">
        <v>36</v>
      </c>
      <c r="J4630" s="12" t="s">
        <v>36</v>
      </c>
      <c r="K4630" s="13" t="s">
        <v>36</v>
      </c>
      <c r="L4630" s="15" t="s">
        <v>36</v>
      </c>
      <c r="M4630" s="12" t="s">
        <v>36</v>
      </c>
      <c r="N4630" s="12" t="s">
        <v>36</v>
      </c>
      <c r="O4630" s="17" t="s">
        <v>36</v>
      </c>
      <c r="P4630" s="12" t="s">
        <v>36</v>
      </c>
      <c r="Q4630" s="12" t="s">
        <v>36</v>
      </c>
      <c r="R4630" s="12" t="s">
        <v>36</v>
      </c>
      <c r="S4630" s="12" t="s">
        <v>36</v>
      </c>
      <c r="T4630" s="12" t="s">
        <v>22530</v>
      </c>
      <c r="U4630" s="12" t="s">
        <v>38</v>
      </c>
      <c r="V4630" s="12" t="s">
        <v>39</v>
      </c>
      <c r="W4630" s="12" t="s">
        <v>22531</v>
      </c>
      <c r="X4630" s="16" t="s">
        <v>22532</v>
      </c>
      <c r="Y4630" s="15" t="s">
        <v>108</v>
      </c>
      <c r="Z4630" s="14">
        <v>1.12</v>
      </c>
      <c r="AA4630" s="14" t="s">
        <v>36</v>
      </c>
      <c r="AB4630" s="12" t="s">
        <v>43</v>
      </c>
      <c r="AC4630" s="12" t="s">
        <v>22533</v>
      </c>
      <c r="AD4630" s="13">
        <v>43609</v>
      </c>
      <c r="AE4630" s="12" t="s">
        <v>339</v>
      </c>
      <c r="AF4630" s="12" t="s">
        <v>2350</v>
      </c>
      <c r="AG4630" s="12" t="s">
        <v>81</v>
      </c>
      <c r="AH4630" s="1">
        <f>HYPERLINK("https://my.pitchbook.com?c=122926-33T","View Company Online")</f>
      </c>
    </row>
    <row r="4631">
      <c r="A4631" s="3" t="s">
        <v>22534</v>
      </c>
      <c r="B4631" s="3" t="s">
        <v>22535</v>
      </c>
      <c r="C4631" s="5" t="s">
        <v>36</v>
      </c>
      <c r="D4631" s="5" t="s">
        <v>36</v>
      </c>
      <c r="E4631" s="5" t="s">
        <v>36</v>
      </c>
      <c r="F4631" s="5" t="s">
        <v>36</v>
      </c>
      <c r="G4631" s="6" t="s">
        <v>326</v>
      </c>
      <c r="H4631" s="4">
        <v>103.86</v>
      </c>
      <c r="I4631" s="7">
        <v>17.16</v>
      </c>
      <c r="J4631" s="3" t="s">
        <v>521</v>
      </c>
      <c r="K4631" s="9" t="s">
        <v>36</v>
      </c>
      <c r="L4631" s="6" t="s">
        <v>36</v>
      </c>
      <c r="M4631" s="3" t="s">
        <v>36</v>
      </c>
      <c r="N4631" s="3" t="s">
        <v>36</v>
      </c>
      <c r="O4631" s="8" t="s">
        <v>36</v>
      </c>
      <c r="P4631" s="3" t="s">
        <v>36</v>
      </c>
      <c r="Q4631" s="3" t="s">
        <v>36</v>
      </c>
      <c r="R4631" s="3" t="s">
        <v>36</v>
      </c>
      <c r="S4631" s="3" t="s">
        <v>36</v>
      </c>
      <c r="T4631" s="3" t="s">
        <v>22536</v>
      </c>
      <c r="U4631" s="3" t="s">
        <v>833</v>
      </c>
      <c r="V4631" s="3" t="s">
        <v>64</v>
      </c>
      <c r="W4631" s="3" t="s">
        <v>22537</v>
      </c>
      <c r="X4631" s="10" t="s">
        <v>22538</v>
      </c>
      <c r="Y4631" s="6" t="s">
        <v>55</v>
      </c>
      <c r="Z4631" s="4">
        <v>0.89</v>
      </c>
      <c r="AA4631" s="4">
        <v>5.21</v>
      </c>
      <c r="AB4631" s="3" t="s">
        <v>56</v>
      </c>
      <c r="AC4631" s="3" t="s">
        <v>22539</v>
      </c>
      <c r="AD4631" s="9">
        <v>43609</v>
      </c>
      <c r="AE4631" s="3" t="s">
        <v>1069</v>
      </c>
      <c r="AF4631" s="3" t="s">
        <v>10859</v>
      </c>
      <c r="AG4631" s="3" t="s">
        <v>22540</v>
      </c>
      <c r="AH4631" s="11">
        <f>HYPERLINK("https://my.pitchbook.com?c=187582-96T","View Company Online")</f>
      </c>
    </row>
    <row r="4632">
      <c r="A4632" s="12" t="s">
        <v>22541</v>
      </c>
      <c r="B4632" s="12" t="s">
        <v>22542</v>
      </c>
      <c r="C4632" s="19" t="s">
        <v>36</v>
      </c>
      <c r="D4632" s="19" t="s">
        <v>36</v>
      </c>
      <c r="E4632" s="19" t="s">
        <v>36</v>
      </c>
      <c r="F4632" s="19" t="s">
        <v>36</v>
      </c>
      <c r="G4632" s="15" t="s">
        <v>36</v>
      </c>
      <c r="H4632" s="14">
        <v>46.74</v>
      </c>
      <c r="I4632" s="18">
        <v>21.38</v>
      </c>
      <c r="J4632" s="12" t="s">
        <v>521</v>
      </c>
      <c r="K4632" s="13" t="s">
        <v>36</v>
      </c>
      <c r="L4632" s="15" t="s">
        <v>36</v>
      </c>
      <c r="M4632" s="12" t="s">
        <v>36</v>
      </c>
      <c r="N4632" s="12" t="s">
        <v>36</v>
      </c>
      <c r="O4632" s="17" t="s">
        <v>36</v>
      </c>
      <c r="P4632" s="12" t="s">
        <v>36</v>
      </c>
      <c r="Q4632" s="12" t="s">
        <v>36</v>
      </c>
      <c r="R4632" s="12" t="s">
        <v>36</v>
      </c>
      <c r="S4632" s="12" t="s">
        <v>36</v>
      </c>
      <c r="T4632" s="12" t="s">
        <v>522</v>
      </c>
      <c r="U4632" s="12" t="s">
        <v>38</v>
      </c>
      <c r="V4632" s="12" t="s">
        <v>39</v>
      </c>
      <c r="W4632" s="12" t="s">
        <v>22543</v>
      </c>
      <c r="X4632" s="16" t="s">
        <v>22544</v>
      </c>
      <c r="Y4632" s="15" t="s">
        <v>42</v>
      </c>
      <c r="Z4632" s="14">
        <v>0.27</v>
      </c>
      <c r="AA4632" s="14">
        <v>1.28</v>
      </c>
      <c r="AB4632" s="12" t="s">
        <v>43</v>
      </c>
      <c r="AC4632" s="12" t="s">
        <v>22545</v>
      </c>
      <c r="AD4632" s="13">
        <v>43608</v>
      </c>
      <c r="AE4632" s="12" t="s">
        <v>110</v>
      </c>
      <c r="AF4632" s="12" t="s">
        <v>4552</v>
      </c>
      <c r="AG4632" s="12" t="s">
        <v>1276</v>
      </c>
      <c r="AH4632" s="1">
        <f>HYPERLINK("https://my.pitchbook.com?c=189434-89T","View Company Online")</f>
      </c>
    </row>
    <row r="4633">
      <c r="A4633" s="3" t="s">
        <v>22546</v>
      </c>
      <c r="B4633" s="3" t="s">
        <v>22547</v>
      </c>
      <c r="C4633" s="5" t="s">
        <v>36</v>
      </c>
      <c r="D4633" s="5" t="s">
        <v>36</v>
      </c>
      <c r="E4633" s="5" t="s">
        <v>36</v>
      </c>
      <c r="F4633" s="5" t="s">
        <v>36</v>
      </c>
      <c r="G4633" s="6" t="s">
        <v>36</v>
      </c>
      <c r="H4633" s="4">
        <v>41.54</v>
      </c>
      <c r="I4633" s="7">
        <v>18.68</v>
      </c>
      <c r="J4633" s="3" t="s">
        <v>521</v>
      </c>
      <c r="K4633" s="9" t="s">
        <v>36</v>
      </c>
      <c r="L4633" s="6" t="s">
        <v>36</v>
      </c>
      <c r="M4633" s="3" t="s">
        <v>36</v>
      </c>
      <c r="N4633" s="3" t="s">
        <v>36</v>
      </c>
      <c r="O4633" s="8" t="s">
        <v>36</v>
      </c>
      <c r="P4633" s="3" t="s">
        <v>36</v>
      </c>
      <c r="Q4633" s="3" t="s">
        <v>36</v>
      </c>
      <c r="R4633" s="3" t="s">
        <v>36</v>
      </c>
      <c r="S4633" s="3" t="s">
        <v>36</v>
      </c>
      <c r="T4633" s="3" t="s">
        <v>22548</v>
      </c>
      <c r="U4633" s="3" t="s">
        <v>318</v>
      </c>
      <c r="V4633" s="3" t="s">
        <v>39</v>
      </c>
      <c r="W4633" s="3" t="s">
        <v>22549</v>
      </c>
      <c r="X4633" s="10" t="s">
        <v>22550</v>
      </c>
      <c r="Y4633" s="6" t="s">
        <v>108</v>
      </c>
      <c r="Z4633" s="4">
        <v>0.58</v>
      </c>
      <c r="AA4633" s="4">
        <v>3.11</v>
      </c>
      <c r="AB4633" s="3" t="s">
        <v>43</v>
      </c>
      <c r="AC4633" s="3" t="s">
        <v>22551</v>
      </c>
      <c r="AD4633" s="9">
        <v>43608</v>
      </c>
      <c r="AE4633" s="3" t="s">
        <v>22552</v>
      </c>
      <c r="AF4633" s="3" t="s">
        <v>13910</v>
      </c>
      <c r="AG4633" s="3" t="s">
        <v>3774</v>
      </c>
      <c r="AH4633" s="11">
        <f>HYPERLINK("https://my.pitchbook.com?c=129190-96T","View Company Online")</f>
      </c>
    </row>
    <row r="4634">
      <c r="A4634" s="12" t="s">
        <v>22553</v>
      </c>
      <c r="B4634" s="12" t="s">
        <v>13912</v>
      </c>
      <c r="C4634" s="19" t="s">
        <v>36</v>
      </c>
      <c r="D4634" s="19" t="s">
        <v>36</v>
      </c>
      <c r="E4634" s="19" t="s">
        <v>36</v>
      </c>
      <c r="F4634" s="19" t="s">
        <v>36</v>
      </c>
      <c r="G4634" s="15" t="s">
        <v>2497</v>
      </c>
      <c r="H4634" s="14">
        <v>601.71</v>
      </c>
      <c r="I4634" s="18">
        <v>26.04</v>
      </c>
      <c r="J4634" s="12" t="s">
        <v>521</v>
      </c>
      <c r="K4634" s="13" t="s">
        <v>36</v>
      </c>
      <c r="L4634" s="15" t="s">
        <v>122</v>
      </c>
      <c r="M4634" s="12" t="s">
        <v>36</v>
      </c>
      <c r="N4634" s="12" t="s">
        <v>122</v>
      </c>
      <c r="O4634" s="17" t="s">
        <v>36</v>
      </c>
      <c r="P4634" s="12" t="s">
        <v>36</v>
      </c>
      <c r="Q4634" s="12" t="s">
        <v>36</v>
      </c>
      <c r="R4634" s="12" t="s">
        <v>36</v>
      </c>
      <c r="S4634" s="12" t="s">
        <v>36</v>
      </c>
      <c r="T4634" s="12" t="s">
        <v>5181</v>
      </c>
      <c r="U4634" s="12" t="s">
        <v>38</v>
      </c>
      <c r="V4634" s="12" t="s">
        <v>39</v>
      </c>
      <c r="W4634" s="12" t="s">
        <v>13913</v>
      </c>
      <c r="X4634" s="16" t="s">
        <v>22554</v>
      </c>
      <c r="Y4634" s="15" t="s">
        <v>42</v>
      </c>
      <c r="Z4634" s="14">
        <v>2.46</v>
      </c>
      <c r="AA4634" s="14">
        <v>4.77</v>
      </c>
      <c r="AB4634" s="12" t="s">
        <v>43</v>
      </c>
      <c r="AC4634" s="12" t="s">
        <v>13915</v>
      </c>
      <c r="AD4634" s="13">
        <v>43608</v>
      </c>
      <c r="AE4634" s="12" t="s">
        <v>110</v>
      </c>
      <c r="AF4634" s="12" t="s">
        <v>13916</v>
      </c>
      <c r="AG4634" s="12" t="s">
        <v>1479</v>
      </c>
      <c r="AH4634" s="1">
        <f>HYPERLINK("https://my.pitchbook.com?c=199532-80T","View Company Online")</f>
      </c>
    </row>
    <row r="4635">
      <c r="A4635" s="3" t="s">
        <v>22555</v>
      </c>
      <c r="B4635" s="3" t="s">
        <v>22556</v>
      </c>
      <c r="C4635" s="5" t="s">
        <v>36</v>
      </c>
      <c r="D4635" s="5" t="s">
        <v>36</v>
      </c>
      <c r="E4635" s="5" t="s">
        <v>36</v>
      </c>
      <c r="F4635" s="5" t="s">
        <v>36</v>
      </c>
      <c r="G4635" s="6" t="s">
        <v>36</v>
      </c>
      <c r="H4635" s="4">
        <v>0.52</v>
      </c>
      <c r="I4635" s="7">
        <v>25</v>
      </c>
      <c r="J4635" s="3" t="s">
        <v>521</v>
      </c>
      <c r="K4635" s="9" t="s">
        <v>36</v>
      </c>
      <c r="L4635" s="6" t="s">
        <v>36</v>
      </c>
      <c r="M4635" s="3" t="s">
        <v>36</v>
      </c>
      <c r="N4635" s="3" t="s">
        <v>36</v>
      </c>
      <c r="O4635" s="8" t="s">
        <v>36</v>
      </c>
      <c r="P4635" s="3" t="s">
        <v>36</v>
      </c>
      <c r="Q4635" s="3" t="s">
        <v>36</v>
      </c>
      <c r="R4635" s="3" t="s">
        <v>36</v>
      </c>
      <c r="S4635" s="3" t="s">
        <v>36</v>
      </c>
      <c r="T4635" s="3" t="s">
        <v>7415</v>
      </c>
      <c r="U4635" s="3" t="s">
        <v>38</v>
      </c>
      <c r="V4635" s="3" t="s">
        <v>39</v>
      </c>
      <c r="W4635" s="3" t="s">
        <v>22557</v>
      </c>
      <c r="X4635" s="10" t="s">
        <v>9764</v>
      </c>
      <c r="Y4635" s="6" t="s">
        <v>42</v>
      </c>
      <c r="Z4635" s="4">
        <v>0.45</v>
      </c>
      <c r="AA4635" s="4">
        <v>1.79</v>
      </c>
      <c r="AB4635" s="3" t="s">
        <v>43</v>
      </c>
      <c r="AC4635" s="3" t="s">
        <v>22558</v>
      </c>
      <c r="AD4635" s="9">
        <v>43608</v>
      </c>
      <c r="AE4635" s="3" t="s">
        <v>1422</v>
      </c>
      <c r="AF4635" s="3" t="s">
        <v>7239</v>
      </c>
      <c r="AG4635" s="3" t="s">
        <v>81</v>
      </c>
      <c r="AH4635" s="11">
        <f>HYPERLINK("https://my.pitchbook.com?c=182157-85T","View Company Online")</f>
      </c>
    </row>
    <row r="4636">
      <c r="A4636" s="12" t="s">
        <v>22559</v>
      </c>
      <c r="B4636" s="12" t="s">
        <v>14224</v>
      </c>
      <c r="C4636" s="19">
        <v>3</v>
      </c>
      <c r="D4636" s="19">
        <v>12</v>
      </c>
      <c r="E4636" s="19">
        <v>2</v>
      </c>
      <c r="F4636" s="19">
        <v>17</v>
      </c>
      <c r="G4636" s="15" t="s">
        <v>326</v>
      </c>
      <c r="H4636" s="14">
        <v>42.58</v>
      </c>
      <c r="I4636" s="18">
        <v>16.77</v>
      </c>
      <c r="J4636" s="12" t="s">
        <v>521</v>
      </c>
      <c r="K4636" s="13" t="s">
        <v>36</v>
      </c>
      <c r="L4636" s="15" t="s">
        <v>122</v>
      </c>
      <c r="M4636" s="12" t="s">
        <v>36</v>
      </c>
      <c r="N4636" s="12" t="s">
        <v>122</v>
      </c>
      <c r="O4636" s="17" t="s">
        <v>36</v>
      </c>
      <c r="P4636" s="12" t="s">
        <v>36</v>
      </c>
      <c r="Q4636" s="12" t="s">
        <v>36</v>
      </c>
      <c r="R4636" s="12" t="s">
        <v>36</v>
      </c>
      <c r="S4636" s="12" t="s">
        <v>36</v>
      </c>
      <c r="T4636" s="12" t="s">
        <v>14225</v>
      </c>
      <c r="U4636" s="12" t="s">
        <v>96</v>
      </c>
      <c r="V4636" s="12" t="s">
        <v>52</v>
      </c>
      <c r="W4636" s="12" t="s">
        <v>14226</v>
      </c>
      <c r="X4636" s="16" t="s">
        <v>22560</v>
      </c>
      <c r="Y4636" s="15" t="s">
        <v>108</v>
      </c>
      <c r="Z4636" s="14">
        <v>3.35</v>
      </c>
      <c r="AA4636" s="14">
        <v>20.01</v>
      </c>
      <c r="AB4636" s="12" t="s">
        <v>56</v>
      </c>
      <c r="AC4636" s="12" t="s">
        <v>14228</v>
      </c>
      <c r="AD4636" s="13">
        <v>43608</v>
      </c>
      <c r="AE4636" s="12" t="s">
        <v>1414</v>
      </c>
      <c r="AF4636" s="12" t="s">
        <v>101</v>
      </c>
      <c r="AG4636" s="12" t="s">
        <v>652</v>
      </c>
      <c r="AH4636" s="1">
        <f>HYPERLINK("https://my.pitchbook.com?c=119125-72T","View Company Online")</f>
      </c>
    </row>
    <row r="4637">
      <c r="A4637" s="3" t="s">
        <v>22561</v>
      </c>
      <c r="B4637" s="3" t="s">
        <v>1837</v>
      </c>
      <c r="C4637" s="5" t="s">
        <v>36</v>
      </c>
      <c r="D4637" s="5" t="s">
        <v>36</v>
      </c>
      <c r="E4637" s="5" t="s">
        <v>36</v>
      </c>
      <c r="F4637" s="5" t="s">
        <v>36</v>
      </c>
      <c r="G4637" s="6" t="s">
        <v>326</v>
      </c>
      <c r="H4637" s="4">
        <v>0.24</v>
      </c>
      <c r="I4637" s="7">
        <v>15.84</v>
      </c>
      <c r="J4637" s="3" t="s">
        <v>521</v>
      </c>
      <c r="K4637" s="9" t="s">
        <v>36</v>
      </c>
      <c r="L4637" s="6" t="s">
        <v>36</v>
      </c>
      <c r="M4637" s="3" t="s">
        <v>36</v>
      </c>
      <c r="N4637" s="3" t="s">
        <v>36</v>
      </c>
      <c r="O4637" s="8" t="s">
        <v>36</v>
      </c>
      <c r="P4637" s="3" t="s">
        <v>36</v>
      </c>
      <c r="Q4637" s="3" t="s">
        <v>36</v>
      </c>
      <c r="R4637" s="3" t="s">
        <v>36</v>
      </c>
      <c r="S4637" s="3" t="s">
        <v>36</v>
      </c>
      <c r="T4637" s="3" t="s">
        <v>1838</v>
      </c>
      <c r="U4637" s="3" t="s">
        <v>38</v>
      </c>
      <c r="V4637" s="3" t="s">
        <v>39</v>
      </c>
      <c r="W4637" s="3" t="s">
        <v>1839</v>
      </c>
      <c r="X4637" s="10" t="s">
        <v>22562</v>
      </c>
      <c r="Y4637" s="6" t="s">
        <v>55</v>
      </c>
      <c r="Z4637" s="4">
        <v>3.08</v>
      </c>
      <c r="AA4637" s="4">
        <v>19.41</v>
      </c>
      <c r="AB4637" s="3" t="s">
        <v>56</v>
      </c>
      <c r="AC4637" s="3" t="s">
        <v>1841</v>
      </c>
      <c r="AD4637" s="9">
        <v>43608</v>
      </c>
      <c r="AE4637" s="3" t="s">
        <v>110</v>
      </c>
      <c r="AF4637" s="3" t="s">
        <v>1842</v>
      </c>
      <c r="AG4637" s="3" t="s">
        <v>1843</v>
      </c>
      <c r="AH4637" s="11">
        <f>HYPERLINK("https://my.pitchbook.com?c=119149-30T","View Company Online")</f>
      </c>
    </row>
    <row r="4638">
      <c r="A4638" s="12" t="s">
        <v>22563</v>
      </c>
      <c r="B4638" s="12" t="s">
        <v>22564</v>
      </c>
      <c r="C4638" s="19" t="s">
        <v>36</v>
      </c>
      <c r="D4638" s="19" t="s">
        <v>36</v>
      </c>
      <c r="E4638" s="19" t="s">
        <v>36</v>
      </c>
      <c r="F4638" s="19" t="s">
        <v>36</v>
      </c>
      <c r="G4638" s="15" t="s">
        <v>36</v>
      </c>
      <c r="H4638" s="14">
        <v>61.56</v>
      </c>
      <c r="I4638" s="18">
        <v>12.65</v>
      </c>
      <c r="J4638" s="12" t="s">
        <v>521</v>
      </c>
      <c r="K4638" s="13" t="s">
        <v>36</v>
      </c>
      <c r="L4638" s="15" t="s">
        <v>36</v>
      </c>
      <c r="M4638" s="12" t="s">
        <v>36</v>
      </c>
      <c r="N4638" s="12" t="s">
        <v>36</v>
      </c>
      <c r="O4638" s="17" t="s">
        <v>36</v>
      </c>
      <c r="P4638" s="12" t="s">
        <v>36</v>
      </c>
      <c r="Q4638" s="12" t="s">
        <v>36</v>
      </c>
      <c r="R4638" s="12" t="s">
        <v>36</v>
      </c>
      <c r="S4638" s="12" t="s">
        <v>36</v>
      </c>
      <c r="T4638" s="12" t="s">
        <v>3907</v>
      </c>
      <c r="U4638" s="12" t="s">
        <v>279</v>
      </c>
      <c r="V4638" s="12" t="s">
        <v>64</v>
      </c>
      <c r="W4638" s="12" t="s">
        <v>22565</v>
      </c>
      <c r="X4638" s="16" t="s">
        <v>22566</v>
      </c>
      <c r="Y4638" s="15" t="s">
        <v>192</v>
      </c>
      <c r="Z4638" s="14">
        <v>3.84</v>
      </c>
      <c r="AA4638" s="14">
        <v>30.39</v>
      </c>
      <c r="AB4638" s="12" t="s">
        <v>56</v>
      </c>
      <c r="AC4638" s="12" t="s">
        <v>22567</v>
      </c>
      <c r="AD4638" s="13">
        <v>43607</v>
      </c>
      <c r="AE4638" s="12" t="s">
        <v>851</v>
      </c>
      <c r="AF4638" s="12" t="s">
        <v>3904</v>
      </c>
      <c r="AG4638" s="12" t="s">
        <v>22568</v>
      </c>
      <c r="AH4638" s="1">
        <f>HYPERLINK("https://my.pitchbook.com?c=132630-49T","View Company Online")</f>
      </c>
    </row>
    <row r="4639">
      <c r="A4639" s="3" t="s">
        <v>22569</v>
      </c>
      <c r="B4639" s="3" t="s">
        <v>2444</v>
      </c>
      <c r="C4639" s="5" t="s">
        <v>36</v>
      </c>
      <c r="D4639" s="5" t="s">
        <v>36</v>
      </c>
      <c r="E4639" s="5" t="s">
        <v>36</v>
      </c>
      <c r="F4639" s="5" t="s">
        <v>36</v>
      </c>
      <c r="G4639" s="6" t="s">
        <v>36</v>
      </c>
      <c r="H4639" s="4" t="s">
        <v>36</v>
      </c>
      <c r="I4639" s="7" t="s">
        <v>36</v>
      </c>
      <c r="J4639" s="3" t="s">
        <v>36</v>
      </c>
      <c r="K4639" s="9" t="s">
        <v>36</v>
      </c>
      <c r="L4639" s="6" t="s">
        <v>36</v>
      </c>
      <c r="M4639" s="3" t="s">
        <v>36</v>
      </c>
      <c r="N4639" s="3" t="s">
        <v>36</v>
      </c>
      <c r="O4639" s="8" t="s">
        <v>36</v>
      </c>
      <c r="P4639" s="3" t="s">
        <v>36</v>
      </c>
      <c r="Q4639" s="3" t="s">
        <v>36</v>
      </c>
      <c r="R4639" s="3" t="s">
        <v>36</v>
      </c>
      <c r="S4639" s="3" t="s">
        <v>36</v>
      </c>
      <c r="T4639" s="3" t="s">
        <v>2445</v>
      </c>
      <c r="U4639" s="3" t="s">
        <v>648</v>
      </c>
      <c r="V4639" s="3" t="s">
        <v>64</v>
      </c>
      <c r="W4639" s="3" t="s">
        <v>2446</v>
      </c>
      <c r="X4639" s="10" t="s">
        <v>22570</v>
      </c>
      <c r="Y4639" s="6" t="s">
        <v>42</v>
      </c>
      <c r="Z4639" s="4">
        <v>6.71</v>
      </c>
      <c r="AA4639" s="4" t="s">
        <v>36</v>
      </c>
      <c r="AB4639" s="3" t="s">
        <v>43</v>
      </c>
      <c r="AC4639" s="3" t="s">
        <v>2448</v>
      </c>
      <c r="AD4639" s="9">
        <v>43607</v>
      </c>
      <c r="AE4639" s="3" t="s">
        <v>651</v>
      </c>
      <c r="AF4639" s="3" t="s">
        <v>2449</v>
      </c>
      <c r="AG4639" s="3" t="s">
        <v>2450</v>
      </c>
      <c r="AH4639" s="11">
        <f>HYPERLINK("https://my.pitchbook.com?c=120288-61T","View Company Online")</f>
      </c>
    </row>
    <row r="4640">
      <c r="A4640" s="12" t="s">
        <v>22571</v>
      </c>
      <c r="B4640" s="12" t="s">
        <v>22572</v>
      </c>
      <c r="C4640" s="19" t="s">
        <v>36</v>
      </c>
      <c r="D4640" s="19" t="s">
        <v>36</v>
      </c>
      <c r="E4640" s="19" t="s">
        <v>36</v>
      </c>
      <c r="F4640" s="19" t="s">
        <v>36</v>
      </c>
      <c r="G4640" s="15" t="s">
        <v>36</v>
      </c>
      <c r="H4640" s="14" t="s">
        <v>36</v>
      </c>
      <c r="I4640" s="18" t="s">
        <v>36</v>
      </c>
      <c r="J4640" s="12" t="s">
        <v>36</v>
      </c>
      <c r="K4640" s="13" t="s">
        <v>36</v>
      </c>
      <c r="L4640" s="15" t="s">
        <v>36</v>
      </c>
      <c r="M4640" s="12" t="s">
        <v>36</v>
      </c>
      <c r="N4640" s="12" t="s">
        <v>36</v>
      </c>
      <c r="O4640" s="17" t="s">
        <v>36</v>
      </c>
      <c r="P4640" s="12" t="s">
        <v>36</v>
      </c>
      <c r="Q4640" s="12" t="s">
        <v>36</v>
      </c>
      <c r="R4640" s="12" t="s">
        <v>36</v>
      </c>
      <c r="S4640" s="12" t="s">
        <v>36</v>
      </c>
      <c r="T4640" s="12" t="s">
        <v>14349</v>
      </c>
      <c r="U4640" s="12" t="s">
        <v>74</v>
      </c>
      <c r="V4640" s="12" t="s">
        <v>75</v>
      </c>
      <c r="W4640" s="12" t="s">
        <v>22573</v>
      </c>
      <c r="X4640" s="16" t="s">
        <v>11058</v>
      </c>
      <c r="Y4640" s="15" t="s">
        <v>42</v>
      </c>
      <c r="Z4640" s="14" t="s">
        <v>36</v>
      </c>
      <c r="AA4640" s="14" t="s">
        <v>36</v>
      </c>
      <c r="AB4640" s="12" t="s">
        <v>56</v>
      </c>
      <c r="AC4640" s="12" t="s">
        <v>22574</v>
      </c>
      <c r="AD4640" s="13">
        <v>43606</v>
      </c>
      <c r="AE4640" s="12" t="s">
        <v>1888</v>
      </c>
      <c r="AF4640" s="12" t="s">
        <v>2643</v>
      </c>
      <c r="AG4640" s="12" t="s">
        <v>22575</v>
      </c>
      <c r="AH4640" s="1">
        <f>HYPERLINK("https://my.pitchbook.com?c=204426-28T","View Company Online")</f>
      </c>
    </row>
    <row r="4641">
      <c r="A4641" s="3" t="s">
        <v>22576</v>
      </c>
      <c r="B4641" s="3" t="s">
        <v>22577</v>
      </c>
      <c r="C4641" s="5" t="s">
        <v>36</v>
      </c>
      <c r="D4641" s="5" t="s">
        <v>36</v>
      </c>
      <c r="E4641" s="5" t="s">
        <v>36</v>
      </c>
      <c r="F4641" s="5" t="s">
        <v>36</v>
      </c>
      <c r="G4641" s="6" t="s">
        <v>36</v>
      </c>
      <c r="H4641" s="4" t="s">
        <v>36</v>
      </c>
      <c r="I4641" s="7" t="s">
        <v>36</v>
      </c>
      <c r="J4641" s="3" t="s">
        <v>36</v>
      </c>
      <c r="K4641" s="9" t="s">
        <v>36</v>
      </c>
      <c r="L4641" s="6" t="s">
        <v>36</v>
      </c>
      <c r="M4641" s="3" t="s">
        <v>36</v>
      </c>
      <c r="N4641" s="3" t="s">
        <v>36</v>
      </c>
      <c r="O4641" s="8" t="s">
        <v>36</v>
      </c>
      <c r="P4641" s="3" t="s">
        <v>36</v>
      </c>
      <c r="Q4641" s="3" t="s">
        <v>36</v>
      </c>
      <c r="R4641" s="3" t="s">
        <v>36</v>
      </c>
      <c r="S4641" s="3" t="s">
        <v>36</v>
      </c>
      <c r="T4641" s="3" t="s">
        <v>6647</v>
      </c>
      <c r="U4641" s="3" t="s">
        <v>233</v>
      </c>
      <c r="V4641" s="3" t="s">
        <v>39</v>
      </c>
      <c r="W4641" s="3" t="s">
        <v>22578</v>
      </c>
      <c r="X4641" s="10" t="s">
        <v>8652</v>
      </c>
      <c r="Y4641" s="6" t="s">
        <v>42</v>
      </c>
      <c r="Z4641" s="4" t="s">
        <v>36</v>
      </c>
      <c r="AA4641" s="4" t="s">
        <v>36</v>
      </c>
      <c r="AB4641" s="3" t="s">
        <v>43</v>
      </c>
      <c r="AC4641" s="3" t="s">
        <v>22579</v>
      </c>
      <c r="AD4641" s="9">
        <v>43606</v>
      </c>
      <c r="AE4641" s="3" t="s">
        <v>236</v>
      </c>
      <c r="AF4641" s="3" t="s">
        <v>1331</v>
      </c>
      <c r="AG4641" s="3" t="s">
        <v>81</v>
      </c>
      <c r="AH4641" s="11">
        <f>HYPERLINK("https://my.pitchbook.com?c=167826-43T","View Company Online")</f>
      </c>
    </row>
    <row r="4642">
      <c r="A4642" s="12" t="s">
        <v>22580</v>
      </c>
      <c r="B4642" s="12" t="s">
        <v>20336</v>
      </c>
      <c r="C4642" s="19" t="s">
        <v>36</v>
      </c>
      <c r="D4642" s="19" t="s">
        <v>36</v>
      </c>
      <c r="E4642" s="19" t="s">
        <v>36</v>
      </c>
      <c r="F4642" s="19" t="s">
        <v>36</v>
      </c>
      <c r="G4642" s="15" t="s">
        <v>36</v>
      </c>
      <c r="H4642" s="14" t="s">
        <v>36</v>
      </c>
      <c r="I4642" s="18" t="s">
        <v>36</v>
      </c>
      <c r="J4642" s="12" t="s">
        <v>36</v>
      </c>
      <c r="K4642" s="13" t="s">
        <v>36</v>
      </c>
      <c r="L4642" s="15" t="s">
        <v>122</v>
      </c>
      <c r="M4642" s="12" t="s">
        <v>36</v>
      </c>
      <c r="N4642" s="12" t="s">
        <v>122</v>
      </c>
      <c r="O4642" s="17" t="s">
        <v>36</v>
      </c>
      <c r="P4642" s="12" t="s">
        <v>36</v>
      </c>
      <c r="Q4642" s="12" t="s">
        <v>36</v>
      </c>
      <c r="R4642" s="12" t="s">
        <v>36</v>
      </c>
      <c r="S4642" s="12" t="s">
        <v>36</v>
      </c>
      <c r="T4642" s="12" t="s">
        <v>8394</v>
      </c>
      <c r="U4642" s="12" t="s">
        <v>85</v>
      </c>
      <c r="V4642" s="12" t="s">
        <v>64</v>
      </c>
      <c r="W4642" s="12" t="s">
        <v>20337</v>
      </c>
      <c r="X4642" s="16" t="s">
        <v>22581</v>
      </c>
      <c r="Y4642" s="15" t="s">
        <v>108</v>
      </c>
      <c r="Z4642" s="14">
        <v>8.95</v>
      </c>
      <c r="AA4642" s="14" t="s">
        <v>36</v>
      </c>
      <c r="AB4642" s="12" t="s">
        <v>43</v>
      </c>
      <c r="AC4642" s="12" t="s">
        <v>20338</v>
      </c>
      <c r="AD4642" s="13">
        <v>43606</v>
      </c>
      <c r="AE4642" s="12" t="s">
        <v>89</v>
      </c>
      <c r="AF4642" s="12" t="s">
        <v>20339</v>
      </c>
      <c r="AG4642" s="12" t="s">
        <v>20340</v>
      </c>
      <c r="AH4642" s="1">
        <f>HYPERLINK("https://my.pitchbook.com?c=127598-32T","View Company Online")</f>
      </c>
    </row>
    <row r="4643">
      <c r="A4643" s="3" t="s">
        <v>22582</v>
      </c>
      <c r="B4643" s="3" t="s">
        <v>22583</v>
      </c>
      <c r="C4643" s="5" t="s">
        <v>36</v>
      </c>
      <c r="D4643" s="5" t="s">
        <v>36</v>
      </c>
      <c r="E4643" s="5" t="s">
        <v>36</v>
      </c>
      <c r="F4643" s="5" t="s">
        <v>36</v>
      </c>
      <c r="G4643" s="6" t="s">
        <v>36</v>
      </c>
      <c r="H4643" s="4">
        <v>414.43</v>
      </c>
      <c r="I4643" s="7">
        <v>16.67</v>
      </c>
      <c r="J4643" s="3" t="s">
        <v>521</v>
      </c>
      <c r="K4643" s="9" t="s">
        <v>36</v>
      </c>
      <c r="L4643" s="6" t="s">
        <v>36</v>
      </c>
      <c r="M4643" s="3" t="s">
        <v>36</v>
      </c>
      <c r="N4643" s="3" t="s">
        <v>36</v>
      </c>
      <c r="O4643" s="8" t="s">
        <v>36</v>
      </c>
      <c r="P4643" s="3" t="s">
        <v>36</v>
      </c>
      <c r="Q4643" s="3" t="s">
        <v>36</v>
      </c>
      <c r="R4643" s="3" t="s">
        <v>36</v>
      </c>
      <c r="S4643" s="3" t="s">
        <v>36</v>
      </c>
      <c r="T4643" s="3" t="s">
        <v>13476</v>
      </c>
      <c r="U4643" s="3" t="s">
        <v>648</v>
      </c>
      <c r="V4643" s="3" t="s">
        <v>64</v>
      </c>
      <c r="W4643" s="3" t="s">
        <v>22584</v>
      </c>
      <c r="X4643" s="10" t="s">
        <v>22585</v>
      </c>
      <c r="Y4643" s="6" t="s">
        <v>42</v>
      </c>
      <c r="Z4643" s="4">
        <v>0.78</v>
      </c>
      <c r="AA4643" s="4">
        <v>4.7</v>
      </c>
      <c r="AB4643" s="3" t="s">
        <v>43</v>
      </c>
      <c r="AC4643" s="3" t="s">
        <v>22586</v>
      </c>
      <c r="AD4643" s="9">
        <v>43605</v>
      </c>
      <c r="AE4643" s="3" t="s">
        <v>651</v>
      </c>
      <c r="AF4643" s="3" t="s">
        <v>14380</v>
      </c>
      <c r="AG4643" s="3" t="s">
        <v>382</v>
      </c>
      <c r="AH4643" s="11">
        <f>HYPERLINK("https://my.pitchbook.com?c=189409-51T","View Company Online")</f>
      </c>
    </row>
    <row r="4644">
      <c r="A4644" s="12" t="s">
        <v>22587</v>
      </c>
      <c r="B4644" s="12" t="s">
        <v>17962</v>
      </c>
      <c r="C4644" s="19" t="s">
        <v>36</v>
      </c>
      <c r="D4644" s="19" t="s">
        <v>36</v>
      </c>
      <c r="E4644" s="19" t="s">
        <v>36</v>
      </c>
      <c r="F4644" s="19" t="s">
        <v>36</v>
      </c>
      <c r="G4644" s="15" t="s">
        <v>36</v>
      </c>
      <c r="H4644" s="14" t="s">
        <v>36</v>
      </c>
      <c r="I4644" s="18" t="s">
        <v>36</v>
      </c>
      <c r="J4644" s="12" t="s">
        <v>36</v>
      </c>
      <c r="K4644" s="13" t="s">
        <v>36</v>
      </c>
      <c r="L4644" s="15" t="s">
        <v>36</v>
      </c>
      <c r="M4644" s="12" t="s">
        <v>36</v>
      </c>
      <c r="N4644" s="12" t="s">
        <v>36</v>
      </c>
      <c r="O4644" s="17" t="s">
        <v>36</v>
      </c>
      <c r="P4644" s="12" t="s">
        <v>36</v>
      </c>
      <c r="Q4644" s="12" t="s">
        <v>36</v>
      </c>
      <c r="R4644" s="12" t="s">
        <v>36</v>
      </c>
      <c r="S4644" s="12" t="s">
        <v>36</v>
      </c>
      <c r="T4644" s="12" t="s">
        <v>365</v>
      </c>
      <c r="U4644" s="12" t="s">
        <v>366</v>
      </c>
      <c r="V4644" s="12" t="s">
        <v>367</v>
      </c>
      <c r="W4644" s="12" t="s">
        <v>17963</v>
      </c>
      <c r="X4644" s="16" t="s">
        <v>22588</v>
      </c>
      <c r="Y4644" s="15" t="s">
        <v>55</v>
      </c>
      <c r="Z4644" s="14">
        <v>5.6</v>
      </c>
      <c r="AA4644" s="14" t="s">
        <v>36</v>
      </c>
      <c r="AB4644" s="12" t="s">
        <v>56</v>
      </c>
      <c r="AC4644" s="12" t="s">
        <v>17965</v>
      </c>
      <c r="AD4644" s="13">
        <v>43605</v>
      </c>
      <c r="AE4644" s="12" t="s">
        <v>371</v>
      </c>
      <c r="AF4644" s="12" t="s">
        <v>982</v>
      </c>
      <c r="AG4644" s="12" t="s">
        <v>17966</v>
      </c>
      <c r="AH4644" s="1">
        <f>HYPERLINK("https://my.pitchbook.com?c=159553-63T","View Company Online")</f>
      </c>
    </row>
    <row r="4645">
      <c r="A4645" s="3" t="s">
        <v>22589</v>
      </c>
      <c r="B4645" s="3" t="s">
        <v>22590</v>
      </c>
      <c r="C4645" s="5" t="s">
        <v>36</v>
      </c>
      <c r="D4645" s="5" t="s">
        <v>36</v>
      </c>
      <c r="E4645" s="5" t="s">
        <v>36</v>
      </c>
      <c r="F4645" s="5" t="s">
        <v>36</v>
      </c>
      <c r="G4645" s="6" t="s">
        <v>326</v>
      </c>
      <c r="H4645" s="4">
        <v>182.11</v>
      </c>
      <c r="I4645" s="7">
        <v>28.04</v>
      </c>
      <c r="J4645" s="3" t="s">
        <v>521</v>
      </c>
      <c r="K4645" s="9">
        <v>43511</v>
      </c>
      <c r="L4645" s="6" t="s">
        <v>94</v>
      </c>
      <c r="M4645" s="3" t="s">
        <v>36</v>
      </c>
      <c r="N4645" s="3" t="s">
        <v>94</v>
      </c>
      <c r="O4645" s="8" t="s">
        <v>36</v>
      </c>
      <c r="P4645" s="3" t="s">
        <v>36</v>
      </c>
      <c r="Q4645" s="3" t="s">
        <v>36</v>
      </c>
      <c r="R4645" s="3" t="s">
        <v>36</v>
      </c>
      <c r="S4645" s="3" t="s">
        <v>36</v>
      </c>
      <c r="T4645" s="3" t="s">
        <v>6557</v>
      </c>
      <c r="U4645" s="3" t="s">
        <v>648</v>
      </c>
      <c r="V4645" s="3" t="s">
        <v>64</v>
      </c>
      <c r="W4645" s="3" t="s">
        <v>22591</v>
      </c>
      <c r="X4645" s="10" t="s">
        <v>22592</v>
      </c>
      <c r="Y4645" s="6" t="s">
        <v>55</v>
      </c>
      <c r="Z4645" s="4">
        <v>22.38</v>
      </c>
      <c r="AA4645" s="4">
        <v>58.27</v>
      </c>
      <c r="AB4645" s="3" t="s">
        <v>43</v>
      </c>
      <c r="AC4645" s="3" t="s">
        <v>22593</v>
      </c>
      <c r="AD4645" s="9">
        <v>43604</v>
      </c>
      <c r="AE4645" s="3" t="s">
        <v>1897</v>
      </c>
      <c r="AF4645" s="3" t="s">
        <v>22594</v>
      </c>
      <c r="AG4645" s="3" t="s">
        <v>81</v>
      </c>
      <c r="AH4645" s="11">
        <f>HYPERLINK("https://my.pitchbook.com?c=119044-00T","View Company Online")</f>
      </c>
    </row>
    <row r="4646">
      <c r="A4646" s="12" t="s">
        <v>22595</v>
      </c>
      <c r="B4646" s="12" t="s">
        <v>22596</v>
      </c>
      <c r="C4646" s="19" t="s">
        <v>36</v>
      </c>
      <c r="D4646" s="19" t="s">
        <v>36</v>
      </c>
      <c r="E4646" s="19" t="s">
        <v>36</v>
      </c>
      <c r="F4646" s="19" t="s">
        <v>36</v>
      </c>
      <c r="G4646" s="15" t="s">
        <v>683</v>
      </c>
      <c r="H4646" s="14">
        <v>27.98</v>
      </c>
      <c r="I4646" s="18">
        <v>14.41</v>
      </c>
      <c r="J4646" s="12" t="s">
        <v>521</v>
      </c>
      <c r="K4646" s="13" t="s">
        <v>36</v>
      </c>
      <c r="L4646" s="15" t="s">
        <v>36</v>
      </c>
      <c r="M4646" s="12" t="s">
        <v>36</v>
      </c>
      <c r="N4646" s="12" t="s">
        <v>36</v>
      </c>
      <c r="O4646" s="17" t="s">
        <v>36</v>
      </c>
      <c r="P4646" s="12" t="s">
        <v>36</v>
      </c>
      <c r="Q4646" s="12" t="s">
        <v>36</v>
      </c>
      <c r="R4646" s="12" t="s">
        <v>36</v>
      </c>
      <c r="S4646" s="12" t="s">
        <v>36</v>
      </c>
      <c r="T4646" s="12" t="s">
        <v>22597</v>
      </c>
      <c r="U4646" s="12" t="s">
        <v>289</v>
      </c>
      <c r="V4646" s="12" t="s">
        <v>64</v>
      </c>
      <c r="W4646" s="12" t="s">
        <v>22598</v>
      </c>
      <c r="X4646" s="16" t="s">
        <v>22599</v>
      </c>
      <c r="Y4646" s="15" t="s">
        <v>192</v>
      </c>
      <c r="Z4646" s="14">
        <v>4.61</v>
      </c>
      <c r="AA4646" s="14">
        <v>31.97</v>
      </c>
      <c r="AB4646" s="12" t="s">
        <v>43</v>
      </c>
      <c r="AC4646" s="12" t="s">
        <v>22600</v>
      </c>
      <c r="AD4646" s="13">
        <v>43602</v>
      </c>
      <c r="AE4646" s="12" t="s">
        <v>3134</v>
      </c>
      <c r="AF4646" s="12" t="s">
        <v>22601</v>
      </c>
      <c r="AG4646" s="12" t="s">
        <v>81</v>
      </c>
      <c r="AH4646" s="1">
        <f>HYPERLINK("https://my.pitchbook.com?c=129702-97T","View Company Online")</f>
      </c>
    </row>
    <row r="4647">
      <c r="A4647" s="3" t="s">
        <v>22602</v>
      </c>
      <c r="B4647" s="3" t="s">
        <v>7656</v>
      </c>
      <c r="C4647" s="5" t="s">
        <v>36</v>
      </c>
      <c r="D4647" s="5" t="s">
        <v>36</v>
      </c>
      <c r="E4647" s="5" t="s">
        <v>36</v>
      </c>
      <c r="F4647" s="5" t="s">
        <v>36</v>
      </c>
      <c r="G4647" s="6" t="s">
        <v>326</v>
      </c>
      <c r="H4647" s="4">
        <v>0.55</v>
      </c>
      <c r="I4647" s="7">
        <v>34.98</v>
      </c>
      <c r="J4647" s="3" t="s">
        <v>521</v>
      </c>
      <c r="K4647" s="9" t="s">
        <v>36</v>
      </c>
      <c r="L4647" s="6" t="s">
        <v>36</v>
      </c>
      <c r="M4647" s="3" t="s">
        <v>36</v>
      </c>
      <c r="N4647" s="3" t="s">
        <v>36</v>
      </c>
      <c r="O4647" s="8" t="s">
        <v>36</v>
      </c>
      <c r="P4647" s="3" t="s">
        <v>36</v>
      </c>
      <c r="Q4647" s="3" t="s">
        <v>36</v>
      </c>
      <c r="R4647" s="3" t="s">
        <v>36</v>
      </c>
      <c r="S4647" s="3" t="s">
        <v>36</v>
      </c>
      <c r="T4647" s="3" t="s">
        <v>7657</v>
      </c>
      <c r="U4647" s="3" t="s">
        <v>833</v>
      </c>
      <c r="V4647" s="3" t="s">
        <v>64</v>
      </c>
      <c r="W4647" s="3" t="s">
        <v>7658</v>
      </c>
      <c r="X4647" s="10" t="s">
        <v>12094</v>
      </c>
      <c r="Y4647" s="6" t="s">
        <v>42</v>
      </c>
      <c r="Z4647" s="4">
        <v>1.24</v>
      </c>
      <c r="AA4647" s="4">
        <v>3.54</v>
      </c>
      <c r="AB4647" s="3" t="s">
        <v>43</v>
      </c>
      <c r="AC4647" s="3" t="s">
        <v>7660</v>
      </c>
      <c r="AD4647" s="9">
        <v>43602</v>
      </c>
      <c r="AE4647" s="3" t="s">
        <v>1069</v>
      </c>
      <c r="AF4647" s="3" t="s">
        <v>2350</v>
      </c>
      <c r="AG4647" s="3" t="s">
        <v>332</v>
      </c>
      <c r="AH4647" s="11">
        <f>HYPERLINK("https://my.pitchbook.com?c=187833-07T","View Company Online")</f>
      </c>
    </row>
    <row r="4648">
      <c r="A4648" s="12" t="s">
        <v>22603</v>
      </c>
      <c r="B4648" s="12" t="s">
        <v>15173</v>
      </c>
      <c r="C4648" s="19" t="s">
        <v>36</v>
      </c>
      <c r="D4648" s="19" t="s">
        <v>36</v>
      </c>
      <c r="E4648" s="19" t="s">
        <v>36</v>
      </c>
      <c r="F4648" s="19" t="s">
        <v>36</v>
      </c>
      <c r="G4648" s="15" t="s">
        <v>36</v>
      </c>
      <c r="H4648" s="14">
        <v>3.89</v>
      </c>
      <c r="I4648" s="18">
        <v>17.24</v>
      </c>
      <c r="J4648" s="12" t="s">
        <v>521</v>
      </c>
      <c r="K4648" s="13" t="s">
        <v>36</v>
      </c>
      <c r="L4648" s="15" t="s">
        <v>36</v>
      </c>
      <c r="M4648" s="12" t="s">
        <v>36</v>
      </c>
      <c r="N4648" s="12" t="s">
        <v>36</v>
      </c>
      <c r="O4648" s="17" t="s">
        <v>36</v>
      </c>
      <c r="P4648" s="12" t="s">
        <v>36</v>
      </c>
      <c r="Q4648" s="12" t="s">
        <v>36</v>
      </c>
      <c r="R4648" s="12" t="s">
        <v>36</v>
      </c>
      <c r="S4648" s="12" t="s">
        <v>6531</v>
      </c>
      <c r="T4648" s="12" t="s">
        <v>13584</v>
      </c>
      <c r="U4648" s="12" t="s">
        <v>63</v>
      </c>
      <c r="V4648" s="12" t="s">
        <v>64</v>
      </c>
      <c r="W4648" s="12" t="s">
        <v>15174</v>
      </c>
      <c r="X4648" s="16" t="s">
        <v>22604</v>
      </c>
      <c r="Y4648" s="15" t="s">
        <v>42</v>
      </c>
      <c r="Z4648" s="14">
        <v>1.12</v>
      </c>
      <c r="AA4648" s="14">
        <v>3.31</v>
      </c>
      <c r="AB4648" s="12" t="s">
        <v>43</v>
      </c>
      <c r="AC4648" s="12" t="s">
        <v>15176</v>
      </c>
      <c r="AD4648" s="13">
        <v>43602</v>
      </c>
      <c r="AE4648" s="12" t="s">
        <v>68</v>
      </c>
      <c r="AF4648" s="12" t="s">
        <v>938</v>
      </c>
      <c r="AG4648" s="12" t="s">
        <v>4328</v>
      </c>
      <c r="AH4648" s="1">
        <f>HYPERLINK("https://my.pitchbook.com?c=133047-37T","View Company Online")</f>
      </c>
    </row>
    <row r="4649">
      <c r="A4649" s="3" t="s">
        <v>22605</v>
      </c>
      <c r="B4649" s="3" t="s">
        <v>9254</v>
      </c>
      <c r="C4649" s="5" t="s">
        <v>36</v>
      </c>
      <c r="D4649" s="5" t="s">
        <v>36</v>
      </c>
      <c r="E4649" s="5" t="s">
        <v>36</v>
      </c>
      <c r="F4649" s="5" t="s">
        <v>36</v>
      </c>
      <c r="G4649" s="6" t="s">
        <v>36</v>
      </c>
      <c r="H4649" s="4">
        <v>20.67</v>
      </c>
      <c r="I4649" s="7">
        <v>28.07</v>
      </c>
      <c r="J4649" s="3" t="s">
        <v>521</v>
      </c>
      <c r="K4649" s="9" t="s">
        <v>36</v>
      </c>
      <c r="L4649" s="6" t="s">
        <v>36</v>
      </c>
      <c r="M4649" s="3" t="s">
        <v>36</v>
      </c>
      <c r="N4649" s="3" t="s">
        <v>36</v>
      </c>
      <c r="O4649" s="8" t="s">
        <v>36</v>
      </c>
      <c r="P4649" s="3" t="s">
        <v>36</v>
      </c>
      <c r="Q4649" s="3" t="s">
        <v>36</v>
      </c>
      <c r="R4649" s="3" t="s">
        <v>36</v>
      </c>
      <c r="S4649" s="3" t="s">
        <v>36</v>
      </c>
      <c r="T4649" s="3" t="s">
        <v>7351</v>
      </c>
      <c r="U4649" s="3" t="s">
        <v>728</v>
      </c>
      <c r="V4649" s="3" t="s">
        <v>64</v>
      </c>
      <c r="W4649" s="3" t="s">
        <v>9255</v>
      </c>
      <c r="X4649" s="10" t="s">
        <v>22606</v>
      </c>
      <c r="Y4649" s="6" t="s">
        <v>108</v>
      </c>
      <c r="Z4649" s="4">
        <v>0.7</v>
      </c>
      <c r="AA4649" s="4">
        <v>2.5</v>
      </c>
      <c r="AB4649" s="3" t="s">
        <v>43</v>
      </c>
      <c r="AC4649" s="3" t="s">
        <v>9257</v>
      </c>
      <c r="AD4649" s="9">
        <v>43601</v>
      </c>
      <c r="AE4649" s="3" t="s">
        <v>1600</v>
      </c>
      <c r="AF4649" s="3" t="s">
        <v>90</v>
      </c>
      <c r="AG4649" s="3" t="s">
        <v>382</v>
      </c>
      <c r="AH4649" s="11">
        <f>HYPERLINK("https://my.pitchbook.com?c=135848-80T","View Company Online")</f>
      </c>
    </row>
    <row r="4650">
      <c r="A4650" s="12" t="s">
        <v>22607</v>
      </c>
      <c r="B4650" s="12" t="s">
        <v>22608</v>
      </c>
      <c r="C4650" s="19" t="s">
        <v>36</v>
      </c>
      <c r="D4650" s="19" t="s">
        <v>36</v>
      </c>
      <c r="E4650" s="19" t="s">
        <v>36</v>
      </c>
      <c r="F4650" s="19" t="s">
        <v>36</v>
      </c>
      <c r="G4650" s="15" t="s">
        <v>36</v>
      </c>
      <c r="H4650" s="14">
        <v>3.97</v>
      </c>
      <c r="I4650" s="18">
        <v>28.57</v>
      </c>
      <c r="J4650" s="12" t="s">
        <v>521</v>
      </c>
      <c r="K4650" s="13" t="s">
        <v>36</v>
      </c>
      <c r="L4650" s="15" t="s">
        <v>36</v>
      </c>
      <c r="M4650" s="12" t="s">
        <v>36</v>
      </c>
      <c r="N4650" s="12" t="s">
        <v>36</v>
      </c>
      <c r="O4650" s="17" t="s">
        <v>36</v>
      </c>
      <c r="P4650" s="12" t="s">
        <v>36</v>
      </c>
      <c r="Q4650" s="12" t="s">
        <v>36</v>
      </c>
      <c r="R4650" s="12" t="s">
        <v>36</v>
      </c>
      <c r="S4650" s="12" t="s">
        <v>36</v>
      </c>
      <c r="T4650" s="12" t="s">
        <v>2213</v>
      </c>
      <c r="U4650" s="12" t="s">
        <v>219</v>
      </c>
      <c r="V4650" s="12" t="s">
        <v>75</v>
      </c>
      <c r="W4650" s="12" t="s">
        <v>22609</v>
      </c>
      <c r="X4650" s="16" t="s">
        <v>22610</v>
      </c>
      <c r="Y4650" s="15" t="s">
        <v>108</v>
      </c>
      <c r="Z4650" s="14">
        <v>1.02</v>
      </c>
      <c r="AA4650" s="14">
        <v>3.56</v>
      </c>
      <c r="AB4650" s="12" t="s">
        <v>56</v>
      </c>
      <c r="AC4650" s="12" t="s">
        <v>22611</v>
      </c>
      <c r="AD4650" s="13">
        <v>43600</v>
      </c>
      <c r="AE4650" s="12" t="s">
        <v>1912</v>
      </c>
      <c r="AF4650" s="12" t="s">
        <v>571</v>
      </c>
      <c r="AG4650" s="12" t="s">
        <v>22612</v>
      </c>
      <c r="AH4650" s="1">
        <f>HYPERLINK("https://my.pitchbook.com?c=188136-01T","View Company Online")</f>
      </c>
    </row>
    <row r="4651">
      <c r="A4651" s="3" t="s">
        <v>22613</v>
      </c>
      <c r="B4651" s="3" t="s">
        <v>22614</v>
      </c>
      <c r="C4651" s="5">
        <v>4</v>
      </c>
      <c r="D4651" s="5">
        <v>1</v>
      </c>
      <c r="E4651" s="5">
        <v>3</v>
      </c>
      <c r="F4651" s="5">
        <v>8</v>
      </c>
      <c r="G4651" s="6" t="s">
        <v>683</v>
      </c>
      <c r="H4651" s="4">
        <v>228.48</v>
      </c>
      <c r="I4651" s="7">
        <v>10</v>
      </c>
      <c r="J4651" s="3" t="s">
        <v>521</v>
      </c>
      <c r="K4651" s="9" t="s">
        <v>36</v>
      </c>
      <c r="L4651" s="6" t="s">
        <v>36</v>
      </c>
      <c r="M4651" s="3" t="s">
        <v>36</v>
      </c>
      <c r="N4651" s="3" t="s">
        <v>36</v>
      </c>
      <c r="O4651" s="8" t="s">
        <v>36</v>
      </c>
      <c r="P4651" s="3" t="s">
        <v>36</v>
      </c>
      <c r="Q4651" s="3" t="s">
        <v>36</v>
      </c>
      <c r="R4651" s="3" t="s">
        <v>36</v>
      </c>
      <c r="S4651" s="3" t="s">
        <v>36</v>
      </c>
      <c r="T4651" s="3" t="s">
        <v>22615</v>
      </c>
      <c r="U4651" s="3" t="s">
        <v>51</v>
      </c>
      <c r="V4651" s="3" t="s">
        <v>52</v>
      </c>
      <c r="W4651" s="3" t="s">
        <v>22616</v>
      </c>
      <c r="X4651" s="10" t="s">
        <v>22617</v>
      </c>
      <c r="Y4651" s="6" t="s">
        <v>55</v>
      </c>
      <c r="Z4651" s="4">
        <v>0.61</v>
      </c>
      <c r="AA4651" s="4">
        <v>6.05</v>
      </c>
      <c r="AB4651" s="3" t="s">
        <v>56</v>
      </c>
      <c r="AC4651" s="3" t="s">
        <v>22618</v>
      </c>
      <c r="AD4651" s="9">
        <v>43600</v>
      </c>
      <c r="AE4651" s="3" t="s">
        <v>158</v>
      </c>
      <c r="AF4651" s="3" t="s">
        <v>665</v>
      </c>
      <c r="AG4651" s="3" t="s">
        <v>512</v>
      </c>
      <c r="AH4651" s="11">
        <f>HYPERLINK("https://my.pitchbook.com?c=136413-55T","View Company Online")</f>
      </c>
    </row>
    <row r="4652">
      <c r="A4652" s="12" t="s">
        <v>22619</v>
      </c>
      <c r="B4652" s="12" t="s">
        <v>22620</v>
      </c>
      <c r="C4652" s="19" t="s">
        <v>36</v>
      </c>
      <c r="D4652" s="19" t="s">
        <v>36</v>
      </c>
      <c r="E4652" s="19" t="s">
        <v>36</v>
      </c>
      <c r="F4652" s="19" t="s">
        <v>36</v>
      </c>
      <c r="G4652" s="15" t="s">
        <v>326</v>
      </c>
      <c r="H4652" s="14">
        <v>202.29</v>
      </c>
      <c r="I4652" s="18">
        <v>20.94</v>
      </c>
      <c r="J4652" s="12" t="s">
        <v>521</v>
      </c>
      <c r="K4652" s="13" t="s">
        <v>36</v>
      </c>
      <c r="L4652" s="15" t="s">
        <v>36</v>
      </c>
      <c r="M4652" s="12" t="s">
        <v>36</v>
      </c>
      <c r="N4652" s="12" t="s">
        <v>36</v>
      </c>
      <c r="O4652" s="17" t="s">
        <v>36</v>
      </c>
      <c r="P4652" s="12" t="s">
        <v>36</v>
      </c>
      <c r="Q4652" s="12" t="s">
        <v>36</v>
      </c>
      <c r="R4652" s="12" t="s">
        <v>36</v>
      </c>
      <c r="S4652" s="12" t="s">
        <v>36</v>
      </c>
      <c r="T4652" s="12" t="s">
        <v>22621</v>
      </c>
      <c r="U4652" s="12" t="s">
        <v>619</v>
      </c>
      <c r="V4652" s="12" t="s">
        <v>378</v>
      </c>
      <c r="W4652" s="12" t="s">
        <v>22622</v>
      </c>
      <c r="X4652" s="16" t="s">
        <v>22623</v>
      </c>
      <c r="Y4652" s="15" t="s">
        <v>55</v>
      </c>
      <c r="Z4652" s="14">
        <v>1.68</v>
      </c>
      <c r="AA4652" s="14">
        <v>5.35</v>
      </c>
      <c r="AB4652" s="12" t="s">
        <v>43</v>
      </c>
      <c r="AC4652" s="12" t="s">
        <v>22624</v>
      </c>
      <c r="AD4652" s="13">
        <v>43600</v>
      </c>
      <c r="AE4652" s="12" t="s">
        <v>623</v>
      </c>
      <c r="AF4652" s="12" t="s">
        <v>22625</v>
      </c>
      <c r="AG4652" s="12" t="s">
        <v>81</v>
      </c>
      <c r="AH4652" s="1">
        <f>HYPERLINK("https://my.pitchbook.com?c=121197-34T","View Company Online")</f>
      </c>
    </row>
    <row r="4653">
      <c r="A4653" s="3" t="s">
        <v>22626</v>
      </c>
      <c r="B4653" s="3" t="s">
        <v>22627</v>
      </c>
      <c r="C4653" s="5" t="s">
        <v>36</v>
      </c>
      <c r="D4653" s="5" t="s">
        <v>36</v>
      </c>
      <c r="E4653" s="5" t="s">
        <v>36</v>
      </c>
      <c r="F4653" s="5" t="s">
        <v>36</v>
      </c>
      <c r="G4653" s="6" t="s">
        <v>36</v>
      </c>
      <c r="H4653" s="4" t="s">
        <v>36</v>
      </c>
      <c r="I4653" s="7" t="s">
        <v>36</v>
      </c>
      <c r="J4653" s="3" t="s">
        <v>36</v>
      </c>
      <c r="K4653" s="9" t="s">
        <v>36</v>
      </c>
      <c r="L4653" s="6" t="s">
        <v>36</v>
      </c>
      <c r="M4653" s="3" t="s">
        <v>36</v>
      </c>
      <c r="N4653" s="3" t="s">
        <v>36</v>
      </c>
      <c r="O4653" s="8" t="s">
        <v>36</v>
      </c>
      <c r="P4653" s="3" t="s">
        <v>36</v>
      </c>
      <c r="Q4653" s="3" t="s">
        <v>36</v>
      </c>
      <c r="R4653" s="3" t="s">
        <v>36</v>
      </c>
      <c r="S4653" s="3" t="s">
        <v>36</v>
      </c>
      <c r="T4653" s="3" t="s">
        <v>22628</v>
      </c>
      <c r="U4653" s="3" t="s">
        <v>38</v>
      </c>
      <c r="V4653" s="3" t="s">
        <v>39</v>
      </c>
      <c r="W4653" s="3" t="s">
        <v>22629</v>
      </c>
      <c r="X4653" s="10" t="s">
        <v>22630</v>
      </c>
      <c r="Y4653" s="6" t="s">
        <v>42</v>
      </c>
      <c r="Z4653" s="4" t="s">
        <v>36</v>
      </c>
      <c r="AA4653" s="4" t="s">
        <v>36</v>
      </c>
      <c r="AB4653" s="3" t="s">
        <v>43</v>
      </c>
      <c r="AC4653" s="3" t="s">
        <v>22631</v>
      </c>
      <c r="AD4653" s="9">
        <v>43600</v>
      </c>
      <c r="AE4653" s="3" t="s">
        <v>110</v>
      </c>
      <c r="AF4653" s="3" t="s">
        <v>9611</v>
      </c>
      <c r="AG4653" s="3" t="s">
        <v>81</v>
      </c>
      <c r="AH4653" s="11">
        <f>HYPERLINK("https://my.pitchbook.com?c=127966-06T","View Company Online")</f>
      </c>
    </row>
    <row r="4654">
      <c r="A4654" s="12" t="s">
        <v>22632</v>
      </c>
      <c r="B4654" s="12" t="s">
        <v>22633</v>
      </c>
      <c r="C4654" s="19" t="s">
        <v>36</v>
      </c>
      <c r="D4654" s="19" t="s">
        <v>36</v>
      </c>
      <c r="E4654" s="19" t="s">
        <v>36</v>
      </c>
      <c r="F4654" s="19" t="s">
        <v>36</v>
      </c>
      <c r="G4654" s="15" t="s">
        <v>683</v>
      </c>
      <c r="H4654" s="14">
        <v>3.84</v>
      </c>
      <c r="I4654" s="18">
        <v>7.86</v>
      </c>
      <c r="J4654" s="12" t="s">
        <v>521</v>
      </c>
      <c r="K4654" s="13" t="s">
        <v>36</v>
      </c>
      <c r="L4654" s="15" t="s">
        <v>36</v>
      </c>
      <c r="M4654" s="12" t="s">
        <v>36</v>
      </c>
      <c r="N4654" s="12" t="s">
        <v>36</v>
      </c>
      <c r="O4654" s="17" t="s">
        <v>36</v>
      </c>
      <c r="P4654" s="12" t="s">
        <v>36</v>
      </c>
      <c r="Q4654" s="12" t="s">
        <v>36</v>
      </c>
      <c r="R4654" s="12" t="s">
        <v>36</v>
      </c>
      <c r="S4654" s="12" t="s">
        <v>36</v>
      </c>
      <c r="T4654" s="12" t="s">
        <v>1645</v>
      </c>
      <c r="U4654" s="12" t="s">
        <v>38</v>
      </c>
      <c r="V4654" s="12" t="s">
        <v>39</v>
      </c>
      <c r="W4654" s="12" t="s">
        <v>22634</v>
      </c>
      <c r="X4654" s="16" t="s">
        <v>22635</v>
      </c>
      <c r="Y4654" s="15" t="s">
        <v>55</v>
      </c>
      <c r="Z4654" s="14">
        <v>0.22</v>
      </c>
      <c r="AA4654" s="14">
        <v>2.78</v>
      </c>
      <c r="AB4654" s="12" t="s">
        <v>56</v>
      </c>
      <c r="AC4654" s="12" t="s">
        <v>22636</v>
      </c>
      <c r="AD4654" s="13">
        <v>43599</v>
      </c>
      <c r="AE4654" s="12" t="s">
        <v>110</v>
      </c>
      <c r="AF4654" s="12" t="s">
        <v>4552</v>
      </c>
      <c r="AG4654" s="12" t="s">
        <v>102</v>
      </c>
      <c r="AH4654" s="1">
        <f>HYPERLINK("https://my.pitchbook.com?c=133072-12T","View Company Online")</f>
      </c>
    </row>
    <row r="4655">
      <c r="A4655" s="3" t="s">
        <v>22637</v>
      </c>
      <c r="B4655" s="3" t="s">
        <v>22638</v>
      </c>
      <c r="C4655" s="5" t="s">
        <v>36</v>
      </c>
      <c r="D4655" s="5">
        <v>2</v>
      </c>
      <c r="E4655" s="5">
        <v>1</v>
      </c>
      <c r="F4655" s="5">
        <v>2</v>
      </c>
      <c r="G4655" s="6" t="s">
        <v>36</v>
      </c>
      <c r="H4655" s="4" t="s">
        <v>36</v>
      </c>
      <c r="I4655" s="7">
        <v>9.79</v>
      </c>
      <c r="J4655" s="3" t="s">
        <v>327</v>
      </c>
      <c r="K4655" s="9" t="s">
        <v>36</v>
      </c>
      <c r="L4655" s="6" t="s">
        <v>36</v>
      </c>
      <c r="M4655" s="3" t="s">
        <v>36</v>
      </c>
      <c r="N4655" s="3" t="s">
        <v>36</v>
      </c>
      <c r="O4655" s="8" t="s">
        <v>36</v>
      </c>
      <c r="P4655" s="3" t="s">
        <v>36</v>
      </c>
      <c r="Q4655" s="3" t="s">
        <v>36</v>
      </c>
      <c r="R4655" s="3" t="s">
        <v>36</v>
      </c>
      <c r="S4655" s="3" t="s">
        <v>36</v>
      </c>
      <c r="T4655" s="3" t="s">
        <v>1676</v>
      </c>
      <c r="U4655" s="3" t="s">
        <v>85</v>
      </c>
      <c r="V4655" s="3" t="s">
        <v>64</v>
      </c>
      <c r="W4655" s="3" t="s">
        <v>22639</v>
      </c>
      <c r="X4655" s="10" t="s">
        <v>22640</v>
      </c>
      <c r="Y4655" s="6" t="s">
        <v>42</v>
      </c>
      <c r="Z4655" s="4">
        <v>1.12</v>
      </c>
      <c r="AA4655" s="4">
        <v>11.46</v>
      </c>
      <c r="AB4655" s="3" t="s">
        <v>56</v>
      </c>
      <c r="AC4655" s="3" t="s">
        <v>22641</v>
      </c>
      <c r="AD4655" s="9">
        <v>43598</v>
      </c>
      <c r="AE4655" s="3" t="s">
        <v>89</v>
      </c>
      <c r="AF4655" s="3" t="s">
        <v>22642</v>
      </c>
      <c r="AG4655" s="3" t="s">
        <v>8790</v>
      </c>
      <c r="AH4655" s="11">
        <f>HYPERLINK("https://my.pitchbook.com?c=126138-79T","View Company Online")</f>
      </c>
    </row>
    <row r="4656">
      <c r="A4656" s="12" t="s">
        <v>22643</v>
      </c>
      <c r="B4656" s="12" t="s">
        <v>22644</v>
      </c>
      <c r="C4656" s="19" t="s">
        <v>36</v>
      </c>
      <c r="D4656" s="19" t="s">
        <v>36</v>
      </c>
      <c r="E4656" s="19" t="s">
        <v>36</v>
      </c>
      <c r="F4656" s="19" t="s">
        <v>36</v>
      </c>
      <c r="G4656" s="15" t="s">
        <v>326</v>
      </c>
      <c r="H4656" s="14">
        <v>13.1</v>
      </c>
      <c r="I4656" s="18">
        <v>29.49</v>
      </c>
      <c r="J4656" s="12" t="s">
        <v>521</v>
      </c>
      <c r="K4656" s="13" t="s">
        <v>36</v>
      </c>
      <c r="L4656" s="15" t="s">
        <v>36</v>
      </c>
      <c r="M4656" s="12" t="s">
        <v>36</v>
      </c>
      <c r="N4656" s="12" t="s">
        <v>36</v>
      </c>
      <c r="O4656" s="17" t="s">
        <v>36</v>
      </c>
      <c r="P4656" s="12" t="s">
        <v>36</v>
      </c>
      <c r="Q4656" s="12" t="s">
        <v>36</v>
      </c>
      <c r="R4656" s="12" t="s">
        <v>36</v>
      </c>
      <c r="S4656" s="12" t="s">
        <v>36</v>
      </c>
      <c r="T4656" s="12" t="s">
        <v>1701</v>
      </c>
      <c r="U4656" s="12" t="s">
        <v>74</v>
      </c>
      <c r="V4656" s="12" t="s">
        <v>75</v>
      </c>
      <c r="W4656" s="12" t="s">
        <v>22645</v>
      </c>
      <c r="X4656" s="16" t="s">
        <v>22646</v>
      </c>
      <c r="Y4656" s="15" t="s">
        <v>42</v>
      </c>
      <c r="Z4656" s="14">
        <v>0.81</v>
      </c>
      <c r="AA4656" s="14">
        <v>2.76</v>
      </c>
      <c r="AB4656" s="12" t="s">
        <v>43</v>
      </c>
      <c r="AC4656" s="12" t="s">
        <v>22647</v>
      </c>
      <c r="AD4656" s="13">
        <v>43598</v>
      </c>
      <c r="AE4656" s="12" t="s">
        <v>79</v>
      </c>
      <c r="AF4656" s="12" t="s">
        <v>4552</v>
      </c>
      <c r="AG4656" s="12" t="s">
        <v>8217</v>
      </c>
      <c r="AH4656" s="1">
        <f>HYPERLINK("https://my.pitchbook.com?c=168757-48T","View Company Online")</f>
      </c>
    </row>
    <row r="4657">
      <c r="A4657" s="3" t="s">
        <v>22648</v>
      </c>
      <c r="B4657" s="3" t="s">
        <v>22649</v>
      </c>
      <c r="C4657" s="5" t="s">
        <v>36</v>
      </c>
      <c r="D4657" s="5" t="s">
        <v>36</v>
      </c>
      <c r="E4657" s="5" t="s">
        <v>36</v>
      </c>
      <c r="F4657" s="5" t="s">
        <v>36</v>
      </c>
      <c r="G4657" s="6" t="s">
        <v>36</v>
      </c>
      <c r="H4657" s="4">
        <v>73.61</v>
      </c>
      <c r="I4657" s="7">
        <v>31.25</v>
      </c>
      <c r="J4657" s="3" t="s">
        <v>521</v>
      </c>
      <c r="K4657" s="9" t="s">
        <v>36</v>
      </c>
      <c r="L4657" s="6" t="s">
        <v>36</v>
      </c>
      <c r="M4657" s="3" t="s">
        <v>36</v>
      </c>
      <c r="N4657" s="3" t="s">
        <v>36</v>
      </c>
      <c r="O4657" s="8" t="s">
        <v>36</v>
      </c>
      <c r="P4657" s="3" t="s">
        <v>36</v>
      </c>
      <c r="Q4657" s="3" t="s">
        <v>36</v>
      </c>
      <c r="R4657" s="3" t="s">
        <v>36</v>
      </c>
      <c r="S4657" s="3" t="s">
        <v>36</v>
      </c>
      <c r="T4657" s="3" t="s">
        <v>4353</v>
      </c>
      <c r="U4657" s="3" t="s">
        <v>74</v>
      </c>
      <c r="V4657" s="3" t="s">
        <v>75</v>
      </c>
      <c r="W4657" s="3" t="s">
        <v>22650</v>
      </c>
      <c r="X4657" s="10" t="s">
        <v>22651</v>
      </c>
      <c r="Y4657" s="6" t="s">
        <v>42</v>
      </c>
      <c r="Z4657" s="4">
        <v>2.13</v>
      </c>
      <c r="AA4657" s="4">
        <v>3.59</v>
      </c>
      <c r="AB4657" s="3" t="s">
        <v>56</v>
      </c>
      <c r="AC4657" s="3" t="s">
        <v>22652</v>
      </c>
      <c r="AD4657" s="9">
        <v>43598</v>
      </c>
      <c r="AE4657" s="3" t="s">
        <v>696</v>
      </c>
      <c r="AF4657" s="3" t="s">
        <v>4284</v>
      </c>
      <c r="AG4657" s="3" t="s">
        <v>22653</v>
      </c>
      <c r="AH4657" s="11">
        <f>HYPERLINK("https://my.pitchbook.com?c=138095-92T","View Company Online")</f>
      </c>
    </row>
    <row r="4658">
      <c r="A4658" s="12" t="s">
        <v>22654</v>
      </c>
      <c r="B4658" s="12" t="s">
        <v>9351</v>
      </c>
      <c r="C4658" s="19">
        <v>57</v>
      </c>
      <c r="D4658" s="19">
        <v>4</v>
      </c>
      <c r="E4658" s="19">
        <v>22</v>
      </c>
      <c r="F4658" s="19">
        <v>65</v>
      </c>
      <c r="G4658" s="15" t="s">
        <v>326</v>
      </c>
      <c r="H4658" s="14">
        <v>193.17</v>
      </c>
      <c r="I4658" s="18">
        <v>31.4</v>
      </c>
      <c r="J4658" s="12" t="s">
        <v>521</v>
      </c>
      <c r="K4658" s="13" t="s">
        <v>36</v>
      </c>
      <c r="L4658" s="15" t="s">
        <v>122</v>
      </c>
      <c r="M4658" s="12" t="s">
        <v>36</v>
      </c>
      <c r="N4658" s="12" t="s">
        <v>122</v>
      </c>
      <c r="O4658" s="17" t="s">
        <v>36</v>
      </c>
      <c r="P4658" s="12" t="s">
        <v>36</v>
      </c>
      <c r="Q4658" s="12" t="s">
        <v>36</v>
      </c>
      <c r="R4658" s="12" t="s">
        <v>36</v>
      </c>
      <c r="S4658" s="12" t="s">
        <v>36</v>
      </c>
      <c r="T4658" s="12" t="s">
        <v>881</v>
      </c>
      <c r="U4658" s="12" t="s">
        <v>51</v>
      </c>
      <c r="V4658" s="12" t="s">
        <v>52</v>
      </c>
      <c r="W4658" s="12" t="s">
        <v>9352</v>
      </c>
      <c r="X4658" s="16" t="s">
        <v>22655</v>
      </c>
      <c r="Y4658" s="15" t="s">
        <v>108</v>
      </c>
      <c r="Z4658" s="14">
        <v>7.96</v>
      </c>
      <c r="AA4658" s="14">
        <v>23.32</v>
      </c>
      <c r="AB4658" s="12" t="s">
        <v>43</v>
      </c>
      <c r="AC4658" s="12" t="s">
        <v>9354</v>
      </c>
      <c r="AD4658" s="13">
        <v>43598</v>
      </c>
      <c r="AE4658" s="12" t="s">
        <v>504</v>
      </c>
      <c r="AF4658" s="12" t="s">
        <v>6820</v>
      </c>
      <c r="AG4658" s="12" t="s">
        <v>3406</v>
      </c>
      <c r="AH4658" s="1">
        <f>HYPERLINK("https://my.pitchbook.com?c=118831-15T","View Company Online")</f>
      </c>
    </row>
    <row r="4659">
      <c r="A4659" s="3" t="s">
        <v>22656</v>
      </c>
      <c r="B4659" s="3" t="s">
        <v>22657</v>
      </c>
      <c r="C4659" s="5" t="s">
        <v>36</v>
      </c>
      <c r="D4659" s="5" t="s">
        <v>36</v>
      </c>
      <c r="E4659" s="5" t="s">
        <v>36</v>
      </c>
      <c r="F4659" s="5" t="s">
        <v>36</v>
      </c>
      <c r="G4659" s="6" t="s">
        <v>36</v>
      </c>
      <c r="H4659" s="4">
        <v>3738.84</v>
      </c>
      <c r="I4659" s="7">
        <v>10.07</v>
      </c>
      <c r="J4659" s="3" t="s">
        <v>521</v>
      </c>
      <c r="K4659" s="9" t="s">
        <v>36</v>
      </c>
      <c r="L4659" s="6" t="s">
        <v>36</v>
      </c>
      <c r="M4659" s="3" t="s">
        <v>36</v>
      </c>
      <c r="N4659" s="3" t="s">
        <v>36</v>
      </c>
      <c r="O4659" s="8" t="s">
        <v>36</v>
      </c>
      <c r="P4659" s="3" t="s">
        <v>36</v>
      </c>
      <c r="Q4659" s="3" t="s">
        <v>36</v>
      </c>
      <c r="R4659" s="3" t="s">
        <v>36</v>
      </c>
      <c r="S4659" s="3" t="s">
        <v>36</v>
      </c>
      <c r="T4659" s="3" t="s">
        <v>232</v>
      </c>
      <c r="U4659" s="3" t="s">
        <v>233</v>
      </c>
      <c r="V4659" s="3" t="s">
        <v>39</v>
      </c>
      <c r="W4659" s="3" t="s">
        <v>22658</v>
      </c>
      <c r="X4659" s="10" t="s">
        <v>22659</v>
      </c>
      <c r="Y4659" s="6" t="s">
        <v>42</v>
      </c>
      <c r="Z4659" s="4">
        <v>0.45</v>
      </c>
      <c r="AA4659" s="4">
        <v>4.49</v>
      </c>
      <c r="AB4659" s="3" t="s">
        <v>56</v>
      </c>
      <c r="AC4659" s="3" t="s">
        <v>22660</v>
      </c>
      <c r="AD4659" s="9">
        <v>43595</v>
      </c>
      <c r="AE4659" s="3" t="s">
        <v>236</v>
      </c>
      <c r="AF4659" s="3" t="s">
        <v>6234</v>
      </c>
      <c r="AG4659" s="3" t="s">
        <v>5458</v>
      </c>
      <c r="AH4659" s="11">
        <f>HYPERLINK("https://my.pitchbook.com?c=119014-03T","View Company Online")</f>
      </c>
    </row>
    <row r="4660">
      <c r="A4660" s="12" t="s">
        <v>22661</v>
      </c>
      <c r="B4660" s="12" t="s">
        <v>22662</v>
      </c>
      <c r="C4660" s="19" t="s">
        <v>36</v>
      </c>
      <c r="D4660" s="19" t="s">
        <v>36</v>
      </c>
      <c r="E4660" s="19" t="s">
        <v>36</v>
      </c>
      <c r="F4660" s="19" t="s">
        <v>36</v>
      </c>
      <c r="G4660" s="15" t="s">
        <v>36</v>
      </c>
      <c r="H4660" s="14">
        <v>283.87</v>
      </c>
      <c r="I4660" s="18">
        <v>13.27</v>
      </c>
      <c r="J4660" s="12" t="s">
        <v>521</v>
      </c>
      <c r="K4660" s="13" t="s">
        <v>36</v>
      </c>
      <c r="L4660" s="15" t="s">
        <v>36</v>
      </c>
      <c r="M4660" s="12" t="s">
        <v>36</v>
      </c>
      <c r="N4660" s="12" t="s">
        <v>36</v>
      </c>
      <c r="O4660" s="17" t="s">
        <v>36</v>
      </c>
      <c r="P4660" s="12" t="s">
        <v>36</v>
      </c>
      <c r="Q4660" s="12" t="s">
        <v>36</v>
      </c>
      <c r="R4660" s="12" t="s">
        <v>36</v>
      </c>
      <c r="S4660" s="12" t="s">
        <v>36</v>
      </c>
      <c r="T4660" s="12" t="s">
        <v>278</v>
      </c>
      <c r="U4660" s="12" t="s">
        <v>279</v>
      </c>
      <c r="V4660" s="12" t="s">
        <v>64</v>
      </c>
      <c r="W4660" s="12" t="s">
        <v>22663</v>
      </c>
      <c r="X4660" s="16" t="s">
        <v>22664</v>
      </c>
      <c r="Y4660" s="15" t="s">
        <v>42</v>
      </c>
      <c r="Z4660" s="14">
        <v>0.14</v>
      </c>
      <c r="AA4660" s="14">
        <v>1.06</v>
      </c>
      <c r="AB4660" s="12" t="s">
        <v>43</v>
      </c>
      <c r="AC4660" s="12" t="s">
        <v>22665</v>
      </c>
      <c r="AD4660" s="13">
        <v>43594</v>
      </c>
      <c r="AE4660" s="12" t="s">
        <v>283</v>
      </c>
      <c r="AF4660" s="12" t="s">
        <v>1077</v>
      </c>
      <c r="AG4660" s="12" t="s">
        <v>81</v>
      </c>
      <c r="AH4660" s="1">
        <f>HYPERLINK("https://my.pitchbook.com?c=194245-21T","View Company Online")</f>
      </c>
    </row>
    <row r="4661">
      <c r="A4661" s="3" t="s">
        <v>22666</v>
      </c>
      <c r="B4661" s="3" t="s">
        <v>16533</v>
      </c>
      <c r="C4661" s="5" t="s">
        <v>36</v>
      </c>
      <c r="D4661" s="5" t="s">
        <v>36</v>
      </c>
      <c r="E4661" s="5" t="s">
        <v>36</v>
      </c>
      <c r="F4661" s="5" t="s">
        <v>36</v>
      </c>
      <c r="G4661" s="6" t="s">
        <v>2497</v>
      </c>
      <c r="H4661" s="4">
        <v>0.16</v>
      </c>
      <c r="I4661" s="7">
        <v>24.69</v>
      </c>
      <c r="J4661" s="3" t="s">
        <v>521</v>
      </c>
      <c r="K4661" s="9" t="s">
        <v>36</v>
      </c>
      <c r="L4661" s="6" t="s">
        <v>36</v>
      </c>
      <c r="M4661" s="3" t="s">
        <v>36</v>
      </c>
      <c r="N4661" s="3" t="s">
        <v>36</v>
      </c>
      <c r="O4661" s="8" t="s">
        <v>36</v>
      </c>
      <c r="P4661" s="3" t="s">
        <v>36</v>
      </c>
      <c r="Q4661" s="3" t="s">
        <v>36</v>
      </c>
      <c r="R4661" s="3" t="s">
        <v>36</v>
      </c>
      <c r="S4661" s="3" t="s">
        <v>36</v>
      </c>
      <c r="T4661" s="3" t="s">
        <v>16534</v>
      </c>
      <c r="U4661" s="3" t="s">
        <v>74</v>
      </c>
      <c r="V4661" s="3" t="s">
        <v>75</v>
      </c>
      <c r="W4661" s="3" t="s">
        <v>16535</v>
      </c>
      <c r="X4661" s="10" t="s">
        <v>16536</v>
      </c>
      <c r="Y4661" s="6" t="s">
        <v>55</v>
      </c>
      <c r="Z4661" s="4">
        <v>1.29</v>
      </c>
      <c r="AA4661" s="4">
        <v>5.21</v>
      </c>
      <c r="AB4661" s="3" t="s">
        <v>56</v>
      </c>
      <c r="AC4661" s="3" t="s">
        <v>16537</v>
      </c>
      <c r="AD4661" s="9">
        <v>43592</v>
      </c>
      <c r="AE4661" s="3" t="s">
        <v>79</v>
      </c>
      <c r="AF4661" s="3" t="s">
        <v>7466</v>
      </c>
      <c r="AG4661" s="3" t="s">
        <v>81</v>
      </c>
      <c r="AH4661" s="11">
        <f>HYPERLINK("https://my.pitchbook.com?c=180972-46T","View Company Online")</f>
      </c>
    </row>
    <row r="4662">
      <c r="A4662" s="12" t="s">
        <v>22667</v>
      </c>
      <c r="B4662" s="12" t="s">
        <v>22668</v>
      </c>
      <c r="C4662" s="19" t="s">
        <v>36</v>
      </c>
      <c r="D4662" s="19" t="s">
        <v>36</v>
      </c>
      <c r="E4662" s="19" t="s">
        <v>36</v>
      </c>
      <c r="F4662" s="19" t="s">
        <v>36</v>
      </c>
      <c r="G4662" s="15" t="s">
        <v>36</v>
      </c>
      <c r="H4662" s="14" t="s">
        <v>36</v>
      </c>
      <c r="I4662" s="18" t="s">
        <v>36</v>
      </c>
      <c r="J4662" s="12" t="s">
        <v>36</v>
      </c>
      <c r="K4662" s="13" t="s">
        <v>36</v>
      </c>
      <c r="L4662" s="15" t="s">
        <v>122</v>
      </c>
      <c r="M4662" s="12" t="s">
        <v>36</v>
      </c>
      <c r="N4662" s="12" t="s">
        <v>122</v>
      </c>
      <c r="O4662" s="17" t="s">
        <v>36</v>
      </c>
      <c r="P4662" s="12" t="s">
        <v>36</v>
      </c>
      <c r="Q4662" s="12" t="s">
        <v>36</v>
      </c>
      <c r="R4662" s="12" t="s">
        <v>36</v>
      </c>
      <c r="S4662" s="12" t="s">
        <v>36</v>
      </c>
      <c r="T4662" s="12" t="s">
        <v>19207</v>
      </c>
      <c r="U4662" s="12" t="s">
        <v>85</v>
      </c>
      <c r="V4662" s="12" t="s">
        <v>64</v>
      </c>
      <c r="W4662" s="12" t="s">
        <v>22669</v>
      </c>
      <c r="X4662" s="16" t="s">
        <v>22670</v>
      </c>
      <c r="Y4662" s="15" t="s">
        <v>42</v>
      </c>
      <c r="Z4662" s="14">
        <v>1.12</v>
      </c>
      <c r="AA4662" s="14" t="s">
        <v>36</v>
      </c>
      <c r="AB4662" s="12" t="s">
        <v>56</v>
      </c>
      <c r="AC4662" s="12" t="s">
        <v>22671</v>
      </c>
      <c r="AD4662" s="13">
        <v>43592</v>
      </c>
      <c r="AE4662" s="12" t="s">
        <v>89</v>
      </c>
      <c r="AF4662" s="12" t="s">
        <v>9252</v>
      </c>
      <c r="AG4662" s="12" t="s">
        <v>6013</v>
      </c>
      <c r="AH4662" s="1">
        <f>HYPERLINK("https://my.pitchbook.com?c=136793-89T","View Company Online")</f>
      </c>
    </row>
    <row r="4663">
      <c r="A4663" s="3" t="s">
        <v>22672</v>
      </c>
      <c r="B4663" s="3" t="s">
        <v>22673</v>
      </c>
      <c r="C4663" s="5" t="s">
        <v>36</v>
      </c>
      <c r="D4663" s="5" t="s">
        <v>36</v>
      </c>
      <c r="E4663" s="5" t="s">
        <v>36</v>
      </c>
      <c r="F4663" s="5" t="s">
        <v>36</v>
      </c>
      <c r="G4663" s="6" t="s">
        <v>36</v>
      </c>
      <c r="H4663" s="4">
        <v>116.92</v>
      </c>
      <c r="I4663" s="7">
        <v>44.44</v>
      </c>
      <c r="J4663" s="3" t="s">
        <v>521</v>
      </c>
      <c r="K4663" s="9" t="s">
        <v>36</v>
      </c>
      <c r="L4663" s="6" t="s">
        <v>36</v>
      </c>
      <c r="M4663" s="3" t="s">
        <v>36</v>
      </c>
      <c r="N4663" s="3" t="s">
        <v>36</v>
      </c>
      <c r="O4663" s="8" t="s">
        <v>36</v>
      </c>
      <c r="P4663" s="3" t="s">
        <v>36</v>
      </c>
      <c r="Q4663" s="3" t="s">
        <v>36</v>
      </c>
      <c r="R4663" s="3" t="s">
        <v>36</v>
      </c>
      <c r="S4663" s="3" t="s">
        <v>36</v>
      </c>
      <c r="T4663" s="3" t="s">
        <v>22674</v>
      </c>
      <c r="U4663" s="3" t="s">
        <v>833</v>
      </c>
      <c r="V4663" s="3" t="s">
        <v>64</v>
      </c>
      <c r="W4663" s="3" t="s">
        <v>22675</v>
      </c>
      <c r="X4663" s="10" t="s">
        <v>22676</v>
      </c>
      <c r="Y4663" s="6" t="s">
        <v>42</v>
      </c>
      <c r="Z4663" s="4">
        <v>1.8</v>
      </c>
      <c r="AA4663" s="4">
        <v>3.03</v>
      </c>
      <c r="AB4663" s="3" t="s">
        <v>43</v>
      </c>
      <c r="AC4663" s="3" t="s">
        <v>22677</v>
      </c>
      <c r="AD4663" s="9">
        <v>43592</v>
      </c>
      <c r="AE4663" s="3" t="s">
        <v>837</v>
      </c>
      <c r="AF4663" s="3" t="s">
        <v>372</v>
      </c>
      <c r="AG4663" s="3" t="s">
        <v>741</v>
      </c>
      <c r="AH4663" s="11">
        <f>HYPERLINK("https://my.pitchbook.com?c=123356-53T","View Company Online")</f>
      </c>
    </row>
    <row r="4664">
      <c r="A4664" s="12" t="s">
        <v>22678</v>
      </c>
      <c r="B4664" s="12" t="s">
        <v>22679</v>
      </c>
      <c r="C4664" s="19" t="s">
        <v>36</v>
      </c>
      <c r="D4664" s="19">
        <v>2</v>
      </c>
      <c r="E4664" s="19">
        <v>1</v>
      </c>
      <c r="F4664" s="19">
        <v>2</v>
      </c>
      <c r="G4664" s="15" t="s">
        <v>2497</v>
      </c>
      <c r="H4664" s="14">
        <v>2.39</v>
      </c>
      <c r="I4664" s="18">
        <v>6.67</v>
      </c>
      <c r="J4664" s="12" t="s">
        <v>521</v>
      </c>
      <c r="K4664" s="13" t="s">
        <v>36</v>
      </c>
      <c r="L4664" s="15" t="s">
        <v>36</v>
      </c>
      <c r="M4664" s="12" t="s">
        <v>36</v>
      </c>
      <c r="N4664" s="12" t="s">
        <v>36</v>
      </c>
      <c r="O4664" s="17" t="s">
        <v>36</v>
      </c>
      <c r="P4664" s="12" t="s">
        <v>36</v>
      </c>
      <c r="Q4664" s="12" t="s">
        <v>36</v>
      </c>
      <c r="R4664" s="12" t="s">
        <v>36</v>
      </c>
      <c r="S4664" s="12" t="s">
        <v>36</v>
      </c>
      <c r="T4664" s="12" t="s">
        <v>2647</v>
      </c>
      <c r="U4664" s="12" t="s">
        <v>1502</v>
      </c>
      <c r="V4664" s="12" t="s">
        <v>75</v>
      </c>
      <c r="W4664" s="12" t="s">
        <v>22680</v>
      </c>
      <c r="X4664" s="16" t="s">
        <v>22681</v>
      </c>
      <c r="Y4664" s="15" t="s">
        <v>475</v>
      </c>
      <c r="Z4664" s="14">
        <v>1.64</v>
      </c>
      <c r="AA4664" s="14">
        <v>24.61</v>
      </c>
      <c r="AB4664" s="12" t="s">
        <v>56</v>
      </c>
      <c r="AC4664" s="12" t="s">
        <v>22682</v>
      </c>
      <c r="AD4664" s="13">
        <v>43592</v>
      </c>
      <c r="AE4664" s="12" t="s">
        <v>1822</v>
      </c>
      <c r="AF4664" s="12" t="s">
        <v>36</v>
      </c>
      <c r="AG4664" s="12" t="s">
        <v>81</v>
      </c>
      <c r="AH4664" s="1">
        <f>HYPERLINK("https://my.pitchbook.com?c=211465-27T","View Company Online")</f>
      </c>
    </row>
    <row r="4665">
      <c r="A4665" s="3" t="s">
        <v>22683</v>
      </c>
      <c r="B4665" s="3" t="s">
        <v>9660</v>
      </c>
      <c r="C4665" s="5" t="s">
        <v>36</v>
      </c>
      <c r="D4665" s="5" t="s">
        <v>36</v>
      </c>
      <c r="E4665" s="5" t="s">
        <v>36</v>
      </c>
      <c r="F4665" s="5" t="s">
        <v>36</v>
      </c>
      <c r="G4665" s="6" t="s">
        <v>36</v>
      </c>
      <c r="H4665" s="4">
        <v>7.57</v>
      </c>
      <c r="I4665" s="7">
        <v>10.5</v>
      </c>
      <c r="J4665" s="3" t="s">
        <v>521</v>
      </c>
      <c r="K4665" s="9" t="s">
        <v>36</v>
      </c>
      <c r="L4665" s="6" t="s">
        <v>36</v>
      </c>
      <c r="M4665" s="3" t="s">
        <v>36</v>
      </c>
      <c r="N4665" s="3" t="s">
        <v>36</v>
      </c>
      <c r="O4665" s="8" t="s">
        <v>36</v>
      </c>
      <c r="P4665" s="3" t="s">
        <v>36</v>
      </c>
      <c r="Q4665" s="3" t="s">
        <v>36</v>
      </c>
      <c r="R4665" s="3" t="s">
        <v>36</v>
      </c>
      <c r="S4665" s="3" t="s">
        <v>36</v>
      </c>
      <c r="T4665" s="3" t="s">
        <v>5302</v>
      </c>
      <c r="U4665" s="3" t="s">
        <v>74</v>
      </c>
      <c r="V4665" s="3" t="s">
        <v>75</v>
      </c>
      <c r="W4665" s="3" t="s">
        <v>9661</v>
      </c>
      <c r="X4665" s="10" t="s">
        <v>22684</v>
      </c>
      <c r="Y4665" s="6" t="s">
        <v>192</v>
      </c>
      <c r="Z4665" s="4">
        <v>6.73</v>
      </c>
      <c r="AA4665" s="4">
        <v>26.1</v>
      </c>
      <c r="AB4665" s="3" t="s">
        <v>43</v>
      </c>
      <c r="AC4665" s="3" t="s">
        <v>9663</v>
      </c>
      <c r="AD4665" s="9">
        <v>43591</v>
      </c>
      <c r="AE4665" s="3" t="s">
        <v>362</v>
      </c>
      <c r="AF4665" s="3" t="s">
        <v>9664</v>
      </c>
      <c r="AG4665" s="3" t="s">
        <v>81</v>
      </c>
      <c r="AH4665" s="11">
        <f>HYPERLINK("https://my.pitchbook.com?c=118703-80T","View Company Online")</f>
      </c>
    </row>
    <row r="4666">
      <c r="A4666" s="12" t="s">
        <v>22685</v>
      </c>
      <c r="B4666" s="12" t="s">
        <v>13254</v>
      </c>
      <c r="C4666" s="19">
        <v>2</v>
      </c>
      <c r="D4666" s="19">
        <v>2</v>
      </c>
      <c r="E4666" s="19">
        <v>1</v>
      </c>
      <c r="F4666" s="19">
        <v>4</v>
      </c>
      <c r="G4666" s="15" t="s">
        <v>36</v>
      </c>
      <c r="H4666" s="14">
        <v>9.09</v>
      </c>
      <c r="I4666" s="18">
        <v>26.58</v>
      </c>
      <c r="J4666" s="12" t="s">
        <v>521</v>
      </c>
      <c r="K4666" s="13" t="s">
        <v>36</v>
      </c>
      <c r="L4666" s="15" t="s">
        <v>36</v>
      </c>
      <c r="M4666" s="12" t="s">
        <v>36</v>
      </c>
      <c r="N4666" s="12" t="s">
        <v>36</v>
      </c>
      <c r="O4666" s="17" t="s">
        <v>36</v>
      </c>
      <c r="P4666" s="12" t="s">
        <v>36</v>
      </c>
      <c r="Q4666" s="12" t="s">
        <v>36</v>
      </c>
      <c r="R4666" s="12" t="s">
        <v>36</v>
      </c>
      <c r="S4666" s="12" t="s">
        <v>36</v>
      </c>
      <c r="T4666" s="12" t="s">
        <v>13255</v>
      </c>
      <c r="U4666" s="12" t="s">
        <v>619</v>
      </c>
      <c r="V4666" s="12" t="s">
        <v>378</v>
      </c>
      <c r="W4666" s="12" t="s">
        <v>13256</v>
      </c>
      <c r="X4666" s="16" t="s">
        <v>22686</v>
      </c>
      <c r="Y4666" s="15" t="s">
        <v>42</v>
      </c>
      <c r="Z4666" s="14">
        <v>0.43</v>
      </c>
      <c r="AA4666" s="14">
        <v>1.61</v>
      </c>
      <c r="AB4666" s="12" t="s">
        <v>43</v>
      </c>
      <c r="AC4666" s="12" t="s">
        <v>13258</v>
      </c>
      <c r="AD4666" s="13">
        <v>43588</v>
      </c>
      <c r="AE4666" s="12" t="s">
        <v>3891</v>
      </c>
      <c r="AF4666" s="12" t="s">
        <v>13259</v>
      </c>
      <c r="AG4666" s="12" t="s">
        <v>186</v>
      </c>
      <c r="AH4666" s="1">
        <f>HYPERLINK("https://my.pitchbook.com?c=132333-58T","View Company Online")</f>
      </c>
    </row>
    <row r="4667">
      <c r="A4667" s="3" t="s">
        <v>22687</v>
      </c>
      <c r="B4667" s="3" t="s">
        <v>22688</v>
      </c>
      <c r="C4667" s="5" t="s">
        <v>36</v>
      </c>
      <c r="D4667" s="5" t="s">
        <v>36</v>
      </c>
      <c r="E4667" s="5" t="s">
        <v>36</v>
      </c>
      <c r="F4667" s="5" t="s">
        <v>36</v>
      </c>
      <c r="G4667" s="6" t="s">
        <v>36</v>
      </c>
      <c r="H4667" s="4">
        <v>6491.04</v>
      </c>
      <c r="I4667" s="7">
        <v>9.09</v>
      </c>
      <c r="J4667" s="3" t="s">
        <v>521</v>
      </c>
      <c r="K4667" s="9" t="s">
        <v>36</v>
      </c>
      <c r="L4667" s="6" t="s">
        <v>36</v>
      </c>
      <c r="M4667" s="3" t="s">
        <v>36</v>
      </c>
      <c r="N4667" s="3" t="s">
        <v>36</v>
      </c>
      <c r="O4667" s="8" t="s">
        <v>36</v>
      </c>
      <c r="P4667" s="3" t="s">
        <v>36</v>
      </c>
      <c r="Q4667" s="3" t="s">
        <v>36</v>
      </c>
      <c r="R4667" s="3" t="s">
        <v>36</v>
      </c>
      <c r="S4667" s="3" t="s">
        <v>36</v>
      </c>
      <c r="T4667" s="3" t="s">
        <v>22689</v>
      </c>
      <c r="U4667" s="3" t="s">
        <v>1357</v>
      </c>
      <c r="V4667" s="3" t="s">
        <v>52</v>
      </c>
      <c r="W4667" s="3" t="s">
        <v>22690</v>
      </c>
      <c r="X4667" s="10" t="s">
        <v>14013</v>
      </c>
      <c r="Y4667" s="6" t="s">
        <v>42</v>
      </c>
      <c r="Z4667" s="4">
        <v>0.56</v>
      </c>
      <c r="AA4667" s="4">
        <v>6.17</v>
      </c>
      <c r="AB4667" s="3" t="s">
        <v>56</v>
      </c>
      <c r="AC4667" s="3" t="s">
        <v>22691</v>
      </c>
      <c r="AD4667" s="9">
        <v>43588</v>
      </c>
      <c r="AE4667" s="3" t="s">
        <v>2808</v>
      </c>
      <c r="AF4667" s="3" t="s">
        <v>22692</v>
      </c>
      <c r="AG4667" s="3" t="s">
        <v>81</v>
      </c>
      <c r="AH4667" s="11">
        <f>HYPERLINK("https://my.pitchbook.com?c=189888-40T","View Company Online")</f>
      </c>
    </row>
    <row r="4668">
      <c r="A4668" s="12" t="s">
        <v>22693</v>
      </c>
      <c r="B4668" s="12" t="s">
        <v>22694</v>
      </c>
      <c r="C4668" s="19" t="s">
        <v>36</v>
      </c>
      <c r="D4668" s="19" t="s">
        <v>36</v>
      </c>
      <c r="E4668" s="19" t="s">
        <v>36</v>
      </c>
      <c r="F4668" s="19" t="s">
        <v>36</v>
      </c>
      <c r="G4668" s="15" t="s">
        <v>36</v>
      </c>
      <c r="H4668" s="14">
        <v>269.87</v>
      </c>
      <c r="I4668" s="18">
        <v>20.03</v>
      </c>
      <c r="J4668" s="12" t="s">
        <v>521</v>
      </c>
      <c r="K4668" s="13" t="s">
        <v>36</v>
      </c>
      <c r="L4668" s="15" t="s">
        <v>36</v>
      </c>
      <c r="M4668" s="12" t="s">
        <v>36</v>
      </c>
      <c r="N4668" s="12" t="s">
        <v>36</v>
      </c>
      <c r="O4668" s="17" t="s">
        <v>36</v>
      </c>
      <c r="P4668" s="12" t="s">
        <v>36</v>
      </c>
      <c r="Q4668" s="12" t="s">
        <v>36</v>
      </c>
      <c r="R4668" s="12" t="s">
        <v>36</v>
      </c>
      <c r="S4668" s="12" t="s">
        <v>36</v>
      </c>
      <c r="T4668" s="12" t="s">
        <v>22695</v>
      </c>
      <c r="U4668" s="12" t="s">
        <v>74</v>
      </c>
      <c r="V4668" s="12" t="s">
        <v>75</v>
      </c>
      <c r="W4668" s="12" t="s">
        <v>22696</v>
      </c>
      <c r="X4668" s="16" t="s">
        <v>22697</v>
      </c>
      <c r="Y4668" s="15" t="s">
        <v>42</v>
      </c>
      <c r="Z4668" s="14">
        <v>0.67</v>
      </c>
      <c r="AA4668" s="14">
        <v>3.37</v>
      </c>
      <c r="AB4668" s="12" t="s">
        <v>43</v>
      </c>
      <c r="AC4668" s="12" t="s">
        <v>22698</v>
      </c>
      <c r="AD4668" s="13">
        <v>43588</v>
      </c>
      <c r="AE4668" s="12" t="s">
        <v>696</v>
      </c>
      <c r="AF4668" s="12" t="s">
        <v>4200</v>
      </c>
      <c r="AG4668" s="12" t="s">
        <v>81</v>
      </c>
      <c r="AH4668" s="1">
        <f>HYPERLINK("https://my.pitchbook.com?c=120289-87T","View Company Online")</f>
      </c>
    </row>
    <row r="4669">
      <c r="A4669" s="3" t="s">
        <v>22699</v>
      </c>
      <c r="B4669" s="3" t="s">
        <v>16361</v>
      </c>
      <c r="C4669" s="5" t="s">
        <v>36</v>
      </c>
      <c r="D4669" s="5" t="s">
        <v>36</v>
      </c>
      <c r="E4669" s="5" t="s">
        <v>36</v>
      </c>
      <c r="F4669" s="5" t="s">
        <v>36</v>
      </c>
      <c r="G4669" s="6" t="s">
        <v>36</v>
      </c>
      <c r="H4669" s="4">
        <v>692.37</v>
      </c>
      <c r="I4669" s="7">
        <v>16.32</v>
      </c>
      <c r="J4669" s="3" t="s">
        <v>521</v>
      </c>
      <c r="K4669" s="9" t="s">
        <v>36</v>
      </c>
      <c r="L4669" s="6" t="s">
        <v>36</v>
      </c>
      <c r="M4669" s="3" t="s">
        <v>36</v>
      </c>
      <c r="N4669" s="3" t="s">
        <v>36</v>
      </c>
      <c r="O4669" s="8" t="s">
        <v>36</v>
      </c>
      <c r="P4669" s="3" t="s">
        <v>36</v>
      </c>
      <c r="Q4669" s="3" t="s">
        <v>36</v>
      </c>
      <c r="R4669" s="3" t="s">
        <v>36</v>
      </c>
      <c r="S4669" s="3" t="s">
        <v>36</v>
      </c>
      <c r="T4669" s="3" t="s">
        <v>6224</v>
      </c>
      <c r="U4669" s="3" t="s">
        <v>38</v>
      </c>
      <c r="V4669" s="3" t="s">
        <v>39</v>
      </c>
      <c r="W4669" s="3" t="s">
        <v>16362</v>
      </c>
      <c r="X4669" s="10" t="s">
        <v>22700</v>
      </c>
      <c r="Y4669" s="6" t="s">
        <v>42</v>
      </c>
      <c r="Z4669" s="4">
        <v>0.67</v>
      </c>
      <c r="AA4669" s="4">
        <v>2.68</v>
      </c>
      <c r="AB4669" s="3" t="s">
        <v>43</v>
      </c>
      <c r="AC4669" s="3" t="s">
        <v>16364</v>
      </c>
      <c r="AD4669" s="9">
        <v>43587</v>
      </c>
      <c r="AE4669" s="3" t="s">
        <v>45</v>
      </c>
      <c r="AF4669" s="3" t="s">
        <v>16365</v>
      </c>
      <c r="AG4669" s="3" t="s">
        <v>81</v>
      </c>
      <c r="AH4669" s="11">
        <f>HYPERLINK("https://my.pitchbook.com?c=137157-76T","View Company Online")</f>
      </c>
    </row>
    <row r="4670">
      <c r="A4670" s="12" t="s">
        <v>22701</v>
      </c>
      <c r="B4670" s="12" t="s">
        <v>22702</v>
      </c>
      <c r="C4670" s="19" t="s">
        <v>36</v>
      </c>
      <c r="D4670" s="19" t="s">
        <v>36</v>
      </c>
      <c r="E4670" s="19" t="s">
        <v>36</v>
      </c>
      <c r="F4670" s="19" t="s">
        <v>36</v>
      </c>
      <c r="G4670" s="15" t="s">
        <v>326</v>
      </c>
      <c r="H4670" s="14" t="s">
        <v>36</v>
      </c>
      <c r="I4670" s="18">
        <v>21.87</v>
      </c>
      <c r="J4670" s="12" t="s">
        <v>327</v>
      </c>
      <c r="K4670" s="13" t="s">
        <v>36</v>
      </c>
      <c r="L4670" s="15" t="s">
        <v>36</v>
      </c>
      <c r="M4670" s="12" t="s">
        <v>36</v>
      </c>
      <c r="N4670" s="12" t="s">
        <v>36</v>
      </c>
      <c r="O4670" s="17" t="s">
        <v>36</v>
      </c>
      <c r="P4670" s="12" t="s">
        <v>36</v>
      </c>
      <c r="Q4670" s="12" t="s">
        <v>36</v>
      </c>
      <c r="R4670" s="12" t="s">
        <v>36</v>
      </c>
      <c r="S4670" s="12" t="s">
        <v>36</v>
      </c>
      <c r="T4670" s="12" t="s">
        <v>22703</v>
      </c>
      <c r="U4670" s="12" t="s">
        <v>74</v>
      </c>
      <c r="V4670" s="12" t="s">
        <v>75</v>
      </c>
      <c r="W4670" s="12" t="s">
        <v>22704</v>
      </c>
      <c r="X4670" s="16" t="s">
        <v>22705</v>
      </c>
      <c r="Y4670" s="15" t="s">
        <v>42</v>
      </c>
      <c r="Z4670" s="14">
        <v>1.12</v>
      </c>
      <c r="AA4670" s="14">
        <v>5.13</v>
      </c>
      <c r="AB4670" s="12" t="s">
        <v>43</v>
      </c>
      <c r="AC4670" s="12" t="s">
        <v>22706</v>
      </c>
      <c r="AD4670" s="13">
        <v>43587</v>
      </c>
      <c r="AE4670" s="12" t="s">
        <v>362</v>
      </c>
      <c r="AF4670" s="12" t="s">
        <v>22707</v>
      </c>
      <c r="AG4670" s="12" t="s">
        <v>1202</v>
      </c>
      <c r="AH4670" s="1">
        <f>HYPERLINK("https://my.pitchbook.com?c=118580-41T","View Company Online")</f>
      </c>
    </row>
    <row r="4671">
      <c r="A4671" s="3" t="s">
        <v>22708</v>
      </c>
      <c r="B4671" s="3" t="s">
        <v>22709</v>
      </c>
      <c r="C4671" s="5" t="s">
        <v>36</v>
      </c>
      <c r="D4671" s="5">
        <v>3</v>
      </c>
      <c r="E4671" s="5">
        <v>1</v>
      </c>
      <c r="F4671" s="5">
        <v>4</v>
      </c>
      <c r="G4671" s="6" t="s">
        <v>36</v>
      </c>
      <c r="H4671" s="4" t="s">
        <v>36</v>
      </c>
      <c r="I4671" s="7" t="s">
        <v>36</v>
      </c>
      <c r="J4671" s="3" t="s">
        <v>36</v>
      </c>
      <c r="K4671" s="9" t="s">
        <v>36</v>
      </c>
      <c r="L4671" s="6" t="s">
        <v>36</v>
      </c>
      <c r="M4671" s="3" t="s">
        <v>36</v>
      </c>
      <c r="N4671" s="3" t="s">
        <v>36</v>
      </c>
      <c r="O4671" s="8" t="s">
        <v>36</v>
      </c>
      <c r="P4671" s="3" t="s">
        <v>36</v>
      </c>
      <c r="Q4671" s="3" t="s">
        <v>36</v>
      </c>
      <c r="R4671" s="3" t="s">
        <v>36</v>
      </c>
      <c r="S4671" s="3" t="s">
        <v>36</v>
      </c>
      <c r="T4671" s="3" t="s">
        <v>22710</v>
      </c>
      <c r="U4671" s="3" t="s">
        <v>74</v>
      </c>
      <c r="V4671" s="3" t="s">
        <v>75</v>
      </c>
      <c r="W4671" s="3" t="s">
        <v>22711</v>
      </c>
      <c r="X4671" s="10" t="s">
        <v>22712</v>
      </c>
      <c r="Y4671" s="6" t="s">
        <v>42</v>
      </c>
      <c r="Z4671" s="4">
        <v>0.9</v>
      </c>
      <c r="AA4671" s="4" t="s">
        <v>36</v>
      </c>
      <c r="AB4671" s="3" t="s">
        <v>56</v>
      </c>
      <c r="AC4671" s="3" t="s">
        <v>22713</v>
      </c>
      <c r="AD4671" s="9">
        <v>43586</v>
      </c>
      <c r="AE4671" s="3" t="s">
        <v>570</v>
      </c>
      <c r="AF4671" s="3" t="s">
        <v>1619</v>
      </c>
      <c r="AG4671" s="3" t="s">
        <v>22714</v>
      </c>
      <c r="AH4671" s="11">
        <f>HYPERLINK("https://my.pitchbook.com?c=204429-79T","View Company Online")</f>
      </c>
    </row>
    <row r="4672">
      <c r="A4672" s="12" t="s">
        <v>22715</v>
      </c>
      <c r="B4672" s="12" t="s">
        <v>22716</v>
      </c>
      <c r="C4672" s="19" t="s">
        <v>36</v>
      </c>
      <c r="D4672" s="19" t="s">
        <v>36</v>
      </c>
      <c r="E4672" s="19" t="s">
        <v>36</v>
      </c>
      <c r="F4672" s="19" t="s">
        <v>36</v>
      </c>
      <c r="G4672" s="15" t="s">
        <v>36</v>
      </c>
      <c r="H4672" s="14" t="s">
        <v>36</v>
      </c>
      <c r="I4672" s="18" t="s">
        <v>36</v>
      </c>
      <c r="J4672" s="12" t="s">
        <v>36</v>
      </c>
      <c r="K4672" s="13" t="s">
        <v>36</v>
      </c>
      <c r="L4672" s="15" t="s">
        <v>36</v>
      </c>
      <c r="M4672" s="12" t="s">
        <v>36</v>
      </c>
      <c r="N4672" s="12" t="s">
        <v>36</v>
      </c>
      <c r="O4672" s="17" t="s">
        <v>36</v>
      </c>
      <c r="P4672" s="12" t="s">
        <v>36</v>
      </c>
      <c r="Q4672" s="12" t="s">
        <v>36</v>
      </c>
      <c r="R4672" s="12" t="s">
        <v>36</v>
      </c>
      <c r="S4672" s="12" t="s">
        <v>36</v>
      </c>
      <c r="T4672" s="12" t="s">
        <v>1162</v>
      </c>
      <c r="U4672" s="12" t="s">
        <v>423</v>
      </c>
      <c r="V4672" s="12" t="s">
        <v>64</v>
      </c>
      <c r="W4672" s="12" t="s">
        <v>22717</v>
      </c>
      <c r="X4672" s="16" t="s">
        <v>820</v>
      </c>
      <c r="Y4672" s="15" t="s">
        <v>42</v>
      </c>
      <c r="Z4672" s="14" t="s">
        <v>36</v>
      </c>
      <c r="AA4672" s="14" t="s">
        <v>36</v>
      </c>
      <c r="AB4672" s="12" t="s">
        <v>56</v>
      </c>
      <c r="AC4672" s="12" t="s">
        <v>22718</v>
      </c>
      <c r="AD4672" s="13">
        <v>43586</v>
      </c>
      <c r="AE4672" s="12" t="s">
        <v>562</v>
      </c>
      <c r="AF4672" s="12" t="s">
        <v>36</v>
      </c>
      <c r="AG4672" s="12" t="s">
        <v>22719</v>
      </c>
      <c r="AH4672" s="1">
        <f>HYPERLINK("https://my.pitchbook.com?c=246393-55T","View Company Online")</f>
      </c>
    </row>
    <row r="4673">
      <c r="A4673" s="3" t="s">
        <v>22720</v>
      </c>
      <c r="B4673" s="3" t="s">
        <v>16863</v>
      </c>
      <c r="C4673" s="5" t="s">
        <v>36</v>
      </c>
      <c r="D4673" s="5" t="s">
        <v>36</v>
      </c>
      <c r="E4673" s="5" t="s">
        <v>36</v>
      </c>
      <c r="F4673" s="5" t="s">
        <v>36</v>
      </c>
      <c r="G4673" s="6" t="s">
        <v>36</v>
      </c>
      <c r="H4673" s="4">
        <v>3634.98</v>
      </c>
      <c r="I4673" s="7">
        <v>22.24</v>
      </c>
      <c r="J4673" s="3" t="s">
        <v>521</v>
      </c>
      <c r="K4673" s="9" t="s">
        <v>36</v>
      </c>
      <c r="L4673" s="6" t="s">
        <v>36</v>
      </c>
      <c r="M4673" s="3" t="s">
        <v>36</v>
      </c>
      <c r="N4673" s="3" t="s">
        <v>36</v>
      </c>
      <c r="O4673" s="8" t="s">
        <v>36</v>
      </c>
      <c r="P4673" s="3" t="s">
        <v>36</v>
      </c>
      <c r="Q4673" s="3" t="s">
        <v>36</v>
      </c>
      <c r="R4673" s="3" t="s">
        <v>36</v>
      </c>
      <c r="S4673" s="3" t="s">
        <v>36</v>
      </c>
      <c r="T4673" s="3" t="s">
        <v>522</v>
      </c>
      <c r="U4673" s="3" t="s">
        <v>38</v>
      </c>
      <c r="V4673" s="3" t="s">
        <v>39</v>
      </c>
      <c r="W4673" s="3" t="s">
        <v>16864</v>
      </c>
      <c r="X4673" s="10" t="s">
        <v>16865</v>
      </c>
      <c r="Y4673" s="6" t="s">
        <v>108</v>
      </c>
      <c r="Z4673" s="4">
        <v>1.12</v>
      </c>
      <c r="AA4673" s="4">
        <v>5.05</v>
      </c>
      <c r="AB4673" s="3" t="s">
        <v>43</v>
      </c>
      <c r="AC4673" s="3" t="s">
        <v>16866</v>
      </c>
      <c r="AD4673" s="9">
        <v>43586</v>
      </c>
      <c r="AE4673" s="3" t="s">
        <v>110</v>
      </c>
      <c r="AF4673" s="3" t="s">
        <v>3319</v>
      </c>
      <c r="AG4673" s="3" t="s">
        <v>81</v>
      </c>
      <c r="AH4673" s="11">
        <f>HYPERLINK("https://my.pitchbook.com?c=123622-12T","View Company Online")</f>
      </c>
    </row>
    <row r="4674">
      <c r="A4674" s="12" t="s">
        <v>22721</v>
      </c>
      <c r="B4674" s="12" t="s">
        <v>22722</v>
      </c>
      <c r="C4674" s="19" t="s">
        <v>36</v>
      </c>
      <c r="D4674" s="19" t="s">
        <v>36</v>
      </c>
      <c r="E4674" s="19" t="s">
        <v>36</v>
      </c>
      <c r="F4674" s="19" t="s">
        <v>36</v>
      </c>
      <c r="G4674" s="15" t="s">
        <v>36</v>
      </c>
      <c r="H4674" s="14" t="s">
        <v>36</v>
      </c>
      <c r="I4674" s="18" t="s">
        <v>36</v>
      </c>
      <c r="J4674" s="12" t="s">
        <v>36</v>
      </c>
      <c r="K4674" s="13" t="s">
        <v>36</v>
      </c>
      <c r="L4674" s="15" t="s">
        <v>36</v>
      </c>
      <c r="M4674" s="12" t="s">
        <v>36</v>
      </c>
      <c r="N4674" s="12" t="s">
        <v>36</v>
      </c>
      <c r="O4674" s="17" t="s">
        <v>36</v>
      </c>
      <c r="P4674" s="12" t="s">
        <v>36</v>
      </c>
      <c r="Q4674" s="12" t="s">
        <v>36</v>
      </c>
      <c r="R4674" s="12" t="s">
        <v>36</v>
      </c>
      <c r="S4674" s="12" t="s">
        <v>36</v>
      </c>
      <c r="T4674" s="12" t="s">
        <v>7057</v>
      </c>
      <c r="U4674" s="12" t="s">
        <v>74</v>
      </c>
      <c r="V4674" s="12" t="s">
        <v>75</v>
      </c>
      <c r="W4674" s="12" t="s">
        <v>22723</v>
      </c>
      <c r="X4674" s="16" t="s">
        <v>820</v>
      </c>
      <c r="Y4674" s="15" t="s">
        <v>108</v>
      </c>
      <c r="Z4674" s="14" t="s">
        <v>36</v>
      </c>
      <c r="AA4674" s="14" t="s">
        <v>36</v>
      </c>
      <c r="AB4674" s="12" t="s">
        <v>56</v>
      </c>
      <c r="AC4674" s="12" t="s">
        <v>22724</v>
      </c>
      <c r="AD4674" s="13">
        <v>43586</v>
      </c>
      <c r="AE4674" s="12" t="s">
        <v>1243</v>
      </c>
      <c r="AF4674" s="12" t="s">
        <v>36</v>
      </c>
      <c r="AG4674" s="12" t="s">
        <v>3884</v>
      </c>
      <c r="AH4674" s="1">
        <f>HYPERLINK("https://my.pitchbook.com?c=246425-77T","View Company Online")</f>
      </c>
    </row>
    <row r="4675">
      <c r="A4675" s="3" t="s">
        <v>22725</v>
      </c>
      <c r="B4675" s="3" t="s">
        <v>14830</v>
      </c>
      <c r="C4675" s="5" t="s">
        <v>36</v>
      </c>
      <c r="D4675" s="5" t="s">
        <v>36</v>
      </c>
      <c r="E4675" s="5" t="s">
        <v>36</v>
      </c>
      <c r="F4675" s="5" t="s">
        <v>36</v>
      </c>
      <c r="G4675" s="6" t="s">
        <v>326</v>
      </c>
      <c r="H4675" s="4">
        <v>8.41</v>
      </c>
      <c r="I4675" s="7">
        <v>27.57</v>
      </c>
      <c r="J4675" s="3" t="s">
        <v>521</v>
      </c>
      <c r="K4675" s="9" t="s">
        <v>36</v>
      </c>
      <c r="L4675" s="6" t="s">
        <v>94</v>
      </c>
      <c r="M4675" s="3" t="s">
        <v>36</v>
      </c>
      <c r="N4675" s="3" t="s">
        <v>94</v>
      </c>
      <c r="O4675" s="8" t="s">
        <v>36</v>
      </c>
      <c r="P4675" s="3" t="s">
        <v>36</v>
      </c>
      <c r="Q4675" s="3" t="s">
        <v>36</v>
      </c>
      <c r="R4675" s="3" t="s">
        <v>36</v>
      </c>
      <c r="S4675" s="3" t="s">
        <v>36</v>
      </c>
      <c r="T4675" s="3" t="s">
        <v>5696</v>
      </c>
      <c r="U4675" s="3" t="s">
        <v>180</v>
      </c>
      <c r="V4675" s="3" t="s">
        <v>52</v>
      </c>
      <c r="W4675" s="3" t="s">
        <v>14831</v>
      </c>
      <c r="X4675" s="10" t="s">
        <v>22726</v>
      </c>
      <c r="Y4675" s="6" t="s">
        <v>108</v>
      </c>
      <c r="Z4675" s="4">
        <v>23.25</v>
      </c>
      <c r="AA4675" s="4">
        <v>84.34</v>
      </c>
      <c r="AB4675" s="3" t="s">
        <v>43</v>
      </c>
      <c r="AC4675" s="3" t="s">
        <v>14833</v>
      </c>
      <c r="AD4675" s="9">
        <v>43586</v>
      </c>
      <c r="AE4675" s="3" t="s">
        <v>3847</v>
      </c>
      <c r="AF4675" s="3" t="s">
        <v>101</v>
      </c>
      <c r="AG4675" s="3" t="s">
        <v>81</v>
      </c>
      <c r="AH4675" s="11">
        <f>HYPERLINK("https://my.pitchbook.com?c=119668-60T","View Company Online")</f>
      </c>
    </row>
    <row r="4676">
      <c r="A4676" s="12" t="s">
        <v>22727</v>
      </c>
      <c r="B4676" s="12" t="s">
        <v>22728</v>
      </c>
      <c r="C4676" s="19" t="s">
        <v>36</v>
      </c>
      <c r="D4676" s="19" t="s">
        <v>36</v>
      </c>
      <c r="E4676" s="19" t="s">
        <v>36</v>
      </c>
      <c r="F4676" s="19" t="s">
        <v>36</v>
      </c>
      <c r="G4676" s="15" t="s">
        <v>36</v>
      </c>
      <c r="H4676" s="14" t="s">
        <v>36</v>
      </c>
      <c r="I4676" s="18" t="s">
        <v>36</v>
      </c>
      <c r="J4676" s="12" t="s">
        <v>36</v>
      </c>
      <c r="K4676" s="13" t="s">
        <v>36</v>
      </c>
      <c r="L4676" s="15" t="s">
        <v>36</v>
      </c>
      <c r="M4676" s="12" t="s">
        <v>36</v>
      </c>
      <c r="N4676" s="12" t="s">
        <v>36</v>
      </c>
      <c r="O4676" s="17" t="s">
        <v>36</v>
      </c>
      <c r="P4676" s="12" t="s">
        <v>36</v>
      </c>
      <c r="Q4676" s="12" t="s">
        <v>36</v>
      </c>
      <c r="R4676" s="12" t="s">
        <v>36</v>
      </c>
      <c r="S4676" s="12" t="s">
        <v>36</v>
      </c>
      <c r="T4676" s="12" t="s">
        <v>22729</v>
      </c>
      <c r="U4676" s="12" t="s">
        <v>1502</v>
      </c>
      <c r="V4676" s="12" t="s">
        <v>75</v>
      </c>
      <c r="W4676" s="12" t="s">
        <v>22730</v>
      </c>
      <c r="X4676" s="16" t="s">
        <v>820</v>
      </c>
      <c r="Y4676" s="15" t="s">
        <v>42</v>
      </c>
      <c r="Z4676" s="14" t="s">
        <v>36</v>
      </c>
      <c r="AA4676" s="14" t="s">
        <v>36</v>
      </c>
      <c r="AB4676" s="12" t="s">
        <v>56</v>
      </c>
      <c r="AC4676" s="12" t="s">
        <v>22731</v>
      </c>
      <c r="AD4676" s="13">
        <v>43586</v>
      </c>
      <c r="AE4676" s="12" t="s">
        <v>2976</v>
      </c>
      <c r="AF4676" s="12" t="s">
        <v>1889</v>
      </c>
      <c r="AG4676" s="12" t="s">
        <v>22732</v>
      </c>
      <c r="AH4676" s="1">
        <f>HYPERLINK("https://my.pitchbook.com?c=246614-50T","View Company Online")</f>
      </c>
    </row>
    <row r="4677">
      <c r="A4677" s="3" t="s">
        <v>22733</v>
      </c>
      <c r="B4677" s="3" t="s">
        <v>14514</v>
      </c>
      <c r="C4677" s="5" t="s">
        <v>36</v>
      </c>
      <c r="D4677" s="5">
        <v>1</v>
      </c>
      <c r="E4677" s="5">
        <v>1</v>
      </c>
      <c r="F4677" s="5">
        <v>2</v>
      </c>
      <c r="G4677" s="6" t="s">
        <v>36</v>
      </c>
      <c r="H4677" s="4" t="s">
        <v>36</v>
      </c>
      <c r="I4677" s="7" t="s">
        <v>36</v>
      </c>
      <c r="J4677" s="3" t="s">
        <v>36</v>
      </c>
      <c r="K4677" s="9" t="s">
        <v>36</v>
      </c>
      <c r="L4677" s="6" t="s">
        <v>36</v>
      </c>
      <c r="M4677" s="3" t="s">
        <v>36</v>
      </c>
      <c r="N4677" s="3" t="s">
        <v>36</v>
      </c>
      <c r="O4677" s="8" t="s">
        <v>36</v>
      </c>
      <c r="P4677" s="3" t="s">
        <v>36</v>
      </c>
      <c r="Q4677" s="3" t="s">
        <v>36</v>
      </c>
      <c r="R4677" s="3" t="s">
        <v>36</v>
      </c>
      <c r="S4677" s="3" t="s">
        <v>36</v>
      </c>
      <c r="T4677" s="3" t="s">
        <v>596</v>
      </c>
      <c r="U4677" s="3" t="s">
        <v>366</v>
      </c>
      <c r="V4677" s="3" t="s">
        <v>367</v>
      </c>
      <c r="W4677" s="3" t="s">
        <v>14515</v>
      </c>
      <c r="X4677" s="10" t="s">
        <v>22734</v>
      </c>
      <c r="Y4677" s="6" t="s">
        <v>108</v>
      </c>
      <c r="Z4677" s="4">
        <v>1.12</v>
      </c>
      <c r="AA4677" s="4" t="s">
        <v>36</v>
      </c>
      <c r="AB4677" s="3" t="s">
        <v>56</v>
      </c>
      <c r="AC4677" s="3" t="s">
        <v>14517</v>
      </c>
      <c r="AD4677" s="9">
        <v>43586</v>
      </c>
      <c r="AE4677" s="3" t="s">
        <v>600</v>
      </c>
      <c r="AF4677" s="3" t="s">
        <v>14518</v>
      </c>
      <c r="AG4677" s="3" t="s">
        <v>14519</v>
      </c>
      <c r="AH4677" s="11">
        <f>HYPERLINK("https://my.pitchbook.com?c=184644-82T","View Company Online")</f>
      </c>
    </row>
    <row r="4678">
      <c r="A4678" s="12" t="s">
        <v>22735</v>
      </c>
      <c r="B4678" s="12" t="s">
        <v>22736</v>
      </c>
      <c r="C4678" s="19" t="s">
        <v>36</v>
      </c>
      <c r="D4678" s="19" t="s">
        <v>36</v>
      </c>
      <c r="E4678" s="19" t="s">
        <v>36</v>
      </c>
      <c r="F4678" s="19" t="s">
        <v>36</v>
      </c>
      <c r="G4678" s="15" t="s">
        <v>36</v>
      </c>
      <c r="H4678" s="14">
        <v>47.52</v>
      </c>
      <c r="I4678" s="18">
        <v>24.98</v>
      </c>
      <c r="J4678" s="12" t="s">
        <v>521</v>
      </c>
      <c r="K4678" s="13" t="s">
        <v>36</v>
      </c>
      <c r="L4678" s="15" t="s">
        <v>36</v>
      </c>
      <c r="M4678" s="12" t="s">
        <v>36</v>
      </c>
      <c r="N4678" s="12" t="s">
        <v>36</v>
      </c>
      <c r="O4678" s="17" t="s">
        <v>36</v>
      </c>
      <c r="P4678" s="12" t="s">
        <v>36</v>
      </c>
      <c r="Q4678" s="12" t="s">
        <v>36</v>
      </c>
      <c r="R4678" s="12" t="s">
        <v>36</v>
      </c>
      <c r="S4678" s="12" t="s">
        <v>36</v>
      </c>
      <c r="T4678" s="12" t="s">
        <v>147</v>
      </c>
      <c r="U4678" s="12" t="s">
        <v>74</v>
      </c>
      <c r="V4678" s="12" t="s">
        <v>75</v>
      </c>
      <c r="W4678" s="12" t="s">
        <v>22737</v>
      </c>
      <c r="X4678" s="16" t="s">
        <v>19985</v>
      </c>
      <c r="Y4678" s="15" t="s">
        <v>42</v>
      </c>
      <c r="Z4678" s="14">
        <v>0.36</v>
      </c>
      <c r="AA4678" s="14">
        <v>1.44</v>
      </c>
      <c r="AB4678" s="12" t="s">
        <v>43</v>
      </c>
      <c r="AC4678" s="12" t="s">
        <v>22738</v>
      </c>
      <c r="AD4678" s="13">
        <v>43586</v>
      </c>
      <c r="AE4678" s="12" t="s">
        <v>79</v>
      </c>
      <c r="AF4678" s="12" t="s">
        <v>4099</v>
      </c>
      <c r="AG4678" s="12" t="s">
        <v>8531</v>
      </c>
      <c r="AH4678" s="1">
        <f>HYPERLINK("https://my.pitchbook.com?c=123815-08T","View Company Online")</f>
      </c>
    </row>
    <row r="4679">
      <c r="A4679" s="3" t="s">
        <v>22739</v>
      </c>
      <c r="B4679" s="3" t="s">
        <v>22740</v>
      </c>
      <c r="C4679" s="5" t="s">
        <v>36</v>
      </c>
      <c r="D4679" s="5" t="s">
        <v>36</v>
      </c>
      <c r="E4679" s="5" t="s">
        <v>36</v>
      </c>
      <c r="F4679" s="5" t="s">
        <v>36</v>
      </c>
      <c r="G4679" s="6" t="s">
        <v>326</v>
      </c>
      <c r="H4679" s="4">
        <v>1.55</v>
      </c>
      <c r="I4679" s="7">
        <v>44.69</v>
      </c>
      <c r="J4679" s="3" t="s">
        <v>521</v>
      </c>
      <c r="K4679" s="9" t="s">
        <v>36</v>
      </c>
      <c r="L4679" s="6" t="s">
        <v>122</v>
      </c>
      <c r="M4679" s="3" t="s">
        <v>36</v>
      </c>
      <c r="N4679" s="3" t="s">
        <v>122</v>
      </c>
      <c r="O4679" s="8" t="s">
        <v>36</v>
      </c>
      <c r="P4679" s="3" t="s">
        <v>36</v>
      </c>
      <c r="Q4679" s="3" t="s">
        <v>36</v>
      </c>
      <c r="R4679" s="3" t="s">
        <v>36</v>
      </c>
      <c r="S4679" s="3" t="s">
        <v>36</v>
      </c>
      <c r="T4679" s="3" t="s">
        <v>22741</v>
      </c>
      <c r="U4679" s="3" t="s">
        <v>279</v>
      </c>
      <c r="V4679" s="3" t="s">
        <v>64</v>
      </c>
      <c r="W4679" s="3" t="s">
        <v>22742</v>
      </c>
      <c r="X4679" s="10" t="s">
        <v>22743</v>
      </c>
      <c r="Y4679" s="6" t="s">
        <v>55</v>
      </c>
      <c r="Z4679" s="4">
        <v>1.58</v>
      </c>
      <c r="AA4679" s="4">
        <v>3.55</v>
      </c>
      <c r="AB4679" s="3" t="s">
        <v>43</v>
      </c>
      <c r="AC4679" s="3" t="s">
        <v>22744</v>
      </c>
      <c r="AD4679" s="9">
        <v>43586</v>
      </c>
      <c r="AE4679" s="3" t="s">
        <v>740</v>
      </c>
      <c r="AF4679" s="3" t="s">
        <v>2105</v>
      </c>
      <c r="AG4679" s="3" t="s">
        <v>81</v>
      </c>
      <c r="AH4679" s="11">
        <f>HYPERLINK("https://my.pitchbook.com?c=203675-77T","View Company Online")</f>
      </c>
    </row>
    <row r="4680">
      <c r="A4680" s="12" t="s">
        <v>22745</v>
      </c>
      <c r="B4680" s="12" t="s">
        <v>22746</v>
      </c>
      <c r="C4680" s="19" t="s">
        <v>36</v>
      </c>
      <c r="D4680" s="19" t="s">
        <v>36</v>
      </c>
      <c r="E4680" s="19" t="s">
        <v>36</v>
      </c>
      <c r="F4680" s="19" t="s">
        <v>36</v>
      </c>
      <c r="G4680" s="15" t="s">
        <v>36</v>
      </c>
      <c r="H4680" s="14">
        <v>706.23</v>
      </c>
      <c r="I4680" s="18">
        <v>20</v>
      </c>
      <c r="J4680" s="12" t="s">
        <v>521</v>
      </c>
      <c r="K4680" s="13" t="s">
        <v>36</v>
      </c>
      <c r="L4680" s="15" t="s">
        <v>36</v>
      </c>
      <c r="M4680" s="12" t="s">
        <v>36</v>
      </c>
      <c r="N4680" s="12" t="s">
        <v>36</v>
      </c>
      <c r="O4680" s="17" t="s">
        <v>36</v>
      </c>
      <c r="P4680" s="12" t="s">
        <v>36</v>
      </c>
      <c r="Q4680" s="12" t="s">
        <v>36</v>
      </c>
      <c r="R4680" s="12" t="s">
        <v>36</v>
      </c>
      <c r="S4680" s="12" t="s">
        <v>36</v>
      </c>
      <c r="T4680" s="12" t="s">
        <v>3125</v>
      </c>
      <c r="U4680" s="12" t="s">
        <v>279</v>
      </c>
      <c r="V4680" s="12" t="s">
        <v>64</v>
      </c>
      <c r="W4680" s="12" t="s">
        <v>22747</v>
      </c>
      <c r="X4680" s="16" t="s">
        <v>22748</v>
      </c>
      <c r="Y4680" s="15" t="s">
        <v>42</v>
      </c>
      <c r="Z4680" s="14">
        <v>1.01</v>
      </c>
      <c r="AA4680" s="14">
        <v>2.86</v>
      </c>
      <c r="AB4680" s="12" t="s">
        <v>43</v>
      </c>
      <c r="AC4680" s="12" t="s">
        <v>22749</v>
      </c>
      <c r="AD4680" s="13">
        <v>43586</v>
      </c>
      <c r="AE4680" s="12" t="s">
        <v>283</v>
      </c>
      <c r="AF4680" s="12" t="s">
        <v>4552</v>
      </c>
      <c r="AG4680" s="12" t="s">
        <v>81</v>
      </c>
      <c r="AH4680" s="1">
        <f>HYPERLINK("https://my.pitchbook.com?c=117239-50T","View Company Online")</f>
      </c>
    </row>
    <row r="4681">
      <c r="A4681" s="3" t="s">
        <v>22750</v>
      </c>
      <c r="B4681" s="3" t="s">
        <v>22751</v>
      </c>
      <c r="C4681" s="5" t="s">
        <v>36</v>
      </c>
      <c r="D4681" s="5" t="s">
        <v>36</v>
      </c>
      <c r="E4681" s="5" t="s">
        <v>36</v>
      </c>
      <c r="F4681" s="5" t="s">
        <v>36</v>
      </c>
      <c r="G4681" s="6" t="s">
        <v>36</v>
      </c>
      <c r="H4681" s="4">
        <v>1.35</v>
      </c>
      <c r="I4681" s="7">
        <v>9.51</v>
      </c>
      <c r="J4681" s="3" t="s">
        <v>521</v>
      </c>
      <c r="K4681" s="9" t="s">
        <v>36</v>
      </c>
      <c r="L4681" s="6" t="s">
        <v>36</v>
      </c>
      <c r="M4681" s="3" t="s">
        <v>36</v>
      </c>
      <c r="N4681" s="3" t="s">
        <v>36</v>
      </c>
      <c r="O4681" s="8" t="s">
        <v>36</v>
      </c>
      <c r="P4681" s="3" t="s">
        <v>36</v>
      </c>
      <c r="Q4681" s="3" t="s">
        <v>36</v>
      </c>
      <c r="R4681" s="3" t="s">
        <v>36</v>
      </c>
      <c r="S4681" s="3" t="s">
        <v>36</v>
      </c>
      <c r="T4681" s="3" t="s">
        <v>37</v>
      </c>
      <c r="U4681" s="3" t="s">
        <v>38</v>
      </c>
      <c r="V4681" s="3" t="s">
        <v>39</v>
      </c>
      <c r="W4681" s="3" t="s">
        <v>22752</v>
      </c>
      <c r="X4681" s="10" t="s">
        <v>14564</v>
      </c>
      <c r="Y4681" s="6" t="s">
        <v>42</v>
      </c>
      <c r="Z4681" s="4">
        <v>0.15</v>
      </c>
      <c r="AA4681" s="4">
        <v>1.61</v>
      </c>
      <c r="AB4681" s="3" t="s">
        <v>43</v>
      </c>
      <c r="AC4681" s="3" t="s">
        <v>22753</v>
      </c>
      <c r="AD4681" s="9">
        <v>43586</v>
      </c>
      <c r="AE4681" s="3" t="s">
        <v>45</v>
      </c>
      <c r="AF4681" s="3" t="s">
        <v>22754</v>
      </c>
      <c r="AG4681" s="3" t="s">
        <v>81</v>
      </c>
      <c r="AH4681" s="11">
        <f>HYPERLINK("https://my.pitchbook.com?c=130129-21T","View Company Online")</f>
      </c>
    </row>
    <row r="4682">
      <c r="A4682" s="12" t="s">
        <v>22755</v>
      </c>
      <c r="B4682" s="12" t="s">
        <v>7475</v>
      </c>
      <c r="C4682" s="19" t="s">
        <v>36</v>
      </c>
      <c r="D4682" s="19" t="s">
        <v>36</v>
      </c>
      <c r="E4682" s="19" t="s">
        <v>36</v>
      </c>
      <c r="F4682" s="19" t="s">
        <v>36</v>
      </c>
      <c r="G4682" s="15" t="s">
        <v>326</v>
      </c>
      <c r="H4682" s="14">
        <v>393.82</v>
      </c>
      <c r="I4682" s="18">
        <v>17.29</v>
      </c>
      <c r="J4682" s="12" t="s">
        <v>521</v>
      </c>
      <c r="K4682" s="13">
        <v>43559</v>
      </c>
      <c r="L4682" s="15" t="s">
        <v>36</v>
      </c>
      <c r="M4682" s="12" t="s">
        <v>36</v>
      </c>
      <c r="N4682" s="12" t="s">
        <v>36</v>
      </c>
      <c r="O4682" s="17" t="s">
        <v>36</v>
      </c>
      <c r="P4682" s="12" t="s">
        <v>36</v>
      </c>
      <c r="Q4682" s="12" t="s">
        <v>36</v>
      </c>
      <c r="R4682" s="12" t="s">
        <v>36</v>
      </c>
      <c r="S4682" s="12" t="s">
        <v>36</v>
      </c>
      <c r="T4682" s="12" t="s">
        <v>7476</v>
      </c>
      <c r="U4682" s="12" t="s">
        <v>279</v>
      </c>
      <c r="V4682" s="12" t="s">
        <v>64</v>
      </c>
      <c r="W4682" s="12" t="s">
        <v>7477</v>
      </c>
      <c r="X4682" s="16" t="s">
        <v>22756</v>
      </c>
      <c r="Y4682" s="15" t="s">
        <v>108</v>
      </c>
      <c r="Z4682" s="14">
        <v>0.95</v>
      </c>
      <c r="AA4682" s="14">
        <v>5.5</v>
      </c>
      <c r="AB4682" s="12" t="s">
        <v>43</v>
      </c>
      <c r="AC4682" s="12" t="s">
        <v>7479</v>
      </c>
      <c r="AD4682" s="13">
        <v>43585</v>
      </c>
      <c r="AE4682" s="12" t="s">
        <v>283</v>
      </c>
      <c r="AF4682" s="12" t="s">
        <v>90</v>
      </c>
      <c r="AG4682" s="12" t="s">
        <v>81</v>
      </c>
      <c r="AH4682" s="1">
        <f>HYPERLINK("https://my.pitchbook.com?c=120041-83T","View Company Online")</f>
      </c>
    </row>
    <row r="4683">
      <c r="A4683" s="3" t="s">
        <v>22757</v>
      </c>
      <c r="B4683" s="3" t="s">
        <v>22758</v>
      </c>
      <c r="C4683" s="5" t="s">
        <v>36</v>
      </c>
      <c r="D4683" s="5" t="s">
        <v>36</v>
      </c>
      <c r="E4683" s="5" t="s">
        <v>36</v>
      </c>
      <c r="F4683" s="5" t="s">
        <v>36</v>
      </c>
      <c r="G4683" s="6" t="s">
        <v>36</v>
      </c>
      <c r="H4683" s="4">
        <v>10.39</v>
      </c>
      <c r="I4683" s="7">
        <v>27.16</v>
      </c>
      <c r="J4683" s="3" t="s">
        <v>521</v>
      </c>
      <c r="K4683" s="9" t="s">
        <v>36</v>
      </c>
      <c r="L4683" s="6" t="s">
        <v>36</v>
      </c>
      <c r="M4683" s="3" t="s">
        <v>36</v>
      </c>
      <c r="N4683" s="3" t="s">
        <v>36</v>
      </c>
      <c r="O4683" s="8" t="s">
        <v>36</v>
      </c>
      <c r="P4683" s="3" t="s">
        <v>36</v>
      </c>
      <c r="Q4683" s="3" t="s">
        <v>36</v>
      </c>
      <c r="R4683" s="3" t="s">
        <v>36</v>
      </c>
      <c r="S4683" s="3" t="s">
        <v>36</v>
      </c>
      <c r="T4683" s="3" t="s">
        <v>22759</v>
      </c>
      <c r="U4683" s="3" t="s">
        <v>63</v>
      </c>
      <c r="V4683" s="3" t="s">
        <v>64</v>
      </c>
      <c r="W4683" s="3" t="s">
        <v>22760</v>
      </c>
      <c r="X4683" s="10" t="s">
        <v>2130</v>
      </c>
      <c r="Y4683" s="6" t="s">
        <v>42</v>
      </c>
      <c r="Z4683" s="4">
        <v>2.93</v>
      </c>
      <c r="AA4683" s="4">
        <v>10.79</v>
      </c>
      <c r="AB4683" s="3" t="s">
        <v>56</v>
      </c>
      <c r="AC4683" s="3" t="s">
        <v>22761</v>
      </c>
      <c r="AD4683" s="9">
        <v>43585</v>
      </c>
      <c r="AE4683" s="3" t="s">
        <v>642</v>
      </c>
      <c r="AF4683" s="3" t="s">
        <v>36</v>
      </c>
      <c r="AG4683" s="3" t="s">
        <v>81</v>
      </c>
      <c r="AH4683" s="11">
        <f>HYPERLINK("https://my.pitchbook.com?c=50487-04T","View Company Online")</f>
      </c>
    </row>
    <row r="4684">
      <c r="A4684" s="12" t="s">
        <v>22762</v>
      </c>
      <c r="B4684" s="12" t="s">
        <v>22763</v>
      </c>
      <c r="C4684" s="19" t="s">
        <v>36</v>
      </c>
      <c r="D4684" s="19" t="s">
        <v>36</v>
      </c>
      <c r="E4684" s="19" t="s">
        <v>36</v>
      </c>
      <c r="F4684" s="19" t="s">
        <v>36</v>
      </c>
      <c r="G4684" s="15" t="s">
        <v>326</v>
      </c>
      <c r="H4684" s="14">
        <v>117.61</v>
      </c>
      <c r="I4684" s="18">
        <v>30.51</v>
      </c>
      <c r="J4684" s="12" t="s">
        <v>521</v>
      </c>
      <c r="K4684" s="13" t="s">
        <v>36</v>
      </c>
      <c r="L4684" s="15" t="s">
        <v>94</v>
      </c>
      <c r="M4684" s="12" t="s">
        <v>36</v>
      </c>
      <c r="N4684" s="12" t="s">
        <v>94</v>
      </c>
      <c r="O4684" s="17" t="s">
        <v>36</v>
      </c>
      <c r="P4684" s="12" t="s">
        <v>36</v>
      </c>
      <c r="Q4684" s="12" t="s">
        <v>36</v>
      </c>
      <c r="R4684" s="12" t="s">
        <v>36</v>
      </c>
      <c r="S4684" s="12" t="s">
        <v>36</v>
      </c>
      <c r="T4684" s="12" t="s">
        <v>22764</v>
      </c>
      <c r="U4684" s="12" t="s">
        <v>74</v>
      </c>
      <c r="V4684" s="12" t="s">
        <v>75</v>
      </c>
      <c r="W4684" s="12" t="s">
        <v>22765</v>
      </c>
      <c r="X4684" s="16" t="s">
        <v>22766</v>
      </c>
      <c r="Y4684" s="15" t="s">
        <v>108</v>
      </c>
      <c r="Z4684" s="14">
        <v>28.07</v>
      </c>
      <c r="AA4684" s="14">
        <v>74.86</v>
      </c>
      <c r="AB4684" s="12" t="s">
        <v>43</v>
      </c>
      <c r="AC4684" s="12" t="s">
        <v>22767</v>
      </c>
      <c r="AD4684" s="13">
        <v>43584</v>
      </c>
      <c r="AE4684" s="12" t="s">
        <v>3144</v>
      </c>
      <c r="AF4684" s="12" t="s">
        <v>22768</v>
      </c>
      <c r="AG4684" s="12" t="s">
        <v>2760</v>
      </c>
      <c r="AH4684" s="1">
        <f>HYPERLINK("https://my.pitchbook.com?c=118447-21T","View Company Online")</f>
      </c>
    </row>
    <row r="4685">
      <c r="A4685" s="3" t="s">
        <v>22769</v>
      </c>
      <c r="B4685" s="3" t="s">
        <v>20718</v>
      </c>
      <c r="C4685" s="5" t="s">
        <v>36</v>
      </c>
      <c r="D4685" s="5">
        <v>2</v>
      </c>
      <c r="E4685" s="5">
        <v>3</v>
      </c>
      <c r="F4685" s="5">
        <v>5</v>
      </c>
      <c r="G4685" s="6" t="s">
        <v>36</v>
      </c>
      <c r="H4685" s="4" t="s">
        <v>36</v>
      </c>
      <c r="I4685" s="7" t="s">
        <v>36</v>
      </c>
      <c r="J4685" s="3" t="s">
        <v>36</v>
      </c>
      <c r="K4685" s="9" t="s">
        <v>36</v>
      </c>
      <c r="L4685" s="6" t="s">
        <v>122</v>
      </c>
      <c r="M4685" s="3" t="s">
        <v>36</v>
      </c>
      <c r="N4685" s="3" t="s">
        <v>122</v>
      </c>
      <c r="O4685" s="8" t="s">
        <v>36</v>
      </c>
      <c r="P4685" s="3" t="s">
        <v>36</v>
      </c>
      <c r="Q4685" s="3" t="s">
        <v>36</v>
      </c>
      <c r="R4685" s="3" t="s">
        <v>36</v>
      </c>
      <c r="S4685" s="3" t="s">
        <v>36</v>
      </c>
      <c r="T4685" s="3" t="s">
        <v>20719</v>
      </c>
      <c r="U4685" s="3" t="s">
        <v>51</v>
      </c>
      <c r="V4685" s="3" t="s">
        <v>52</v>
      </c>
      <c r="W4685" s="3" t="s">
        <v>20720</v>
      </c>
      <c r="X4685" s="10" t="s">
        <v>22770</v>
      </c>
      <c r="Y4685" s="6" t="s">
        <v>108</v>
      </c>
      <c r="Z4685" s="4">
        <v>6.74</v>
      </c>
      <c r="AA4685" s="4" t="s">
        <v>36</v>
      </c>
      <c r="AB4685" s="3" t="s">
        <v>56</v>
      </c>
      <c r="AC4685" s="3" t="s">
        <v>20722</v>
      </c>
      <c r="AD4685" s="9">
        <v>43584</v>
      </c>
      <c r="AE4685" s="3" t="s">
        <v>58</v>
      </c>
      <c r="AF4685" s="3" t="s">
        <v>12792</v>
      </c>
      <c r="AG4685" s="3" t="s">
        <v>81</v>
      </c>
      <c r="AH4685" s="11">
        <f>HYPERLINK("https://my.pitchbook.com?c=118480-42T","View Company Online")</f>
      </c>
    </row>
    <row r="4686">
      <c r="A4686" s="12" t="s">
        <v>22771</v>
      </c>
      <c r="B4686" s="12" t="s">
        <v>16513</v>
      </c>
      <c r="C4686" s="19" t="s">
        <v>36</v>
      </c>
      <c r="D4686" s="19" t="s">
        <v>36</v>
      </c>
      <c r="E4686" s="19" t="s">
        <v>36</v>
      </c>
      <c r="F4686" s="19" t="s">
        <v>36</v>
      </c>
      <c r="G4686" s="15" t="s">
        <v>326</v>
      </c>
      <c r="H4686" s="14">
        <v>1186.04</v>
      </c>
      <c r="I4686" s="18">
        <v>20.02</v>
      </c>
      <c r="J4686" s="12" t="s">
        <v>521</v>
      </c>
      <c r="K4686" s="13">
        <v>43396</v>
      </c>
      <c r="L4686" s="15" t="s">
        <v>36</v>
      </c>
      <c r="M4686" s="12" t="s">
        <v>36</v>
      </c>
      <c r="N4686" s="12" t="s">
        <v>36</v>
      </c>
      <c r="O4686" s="17" t="s">
        <v>36</v>
      </c>
      <c r="P4686" s="12" t="s">
        <v>36</v>
      </c>
      <c r="Q4686" s="12" t="s">
        <v>36</v>
      </c>
      <c r="R4686" s="12" t="s">
        <v>36</v>
      </c>
      <c r="S4686" s="12" t="s">
        <v>36</v>
      </c>
      <c r="T4686" s="12" t="s">
        <v>464</v>
      </c>
      <c r="U4686" s="12" t="s">
        <v>38</v>
      </c>
      <c r="V4686" s="12" t="s">
        <v>39</v>
      </c>
      <c r="W4686" s="12" t="s">
        <v>16514</v>
      </c>
      <c r="X4686" s="16" t="s">
        <v>22772</v>
      </c>
      <c r="Y4686" s="15" t="s">
        <v>108</v>
      </c>
      <c r="Z4686" s="14">
        <v>1.69</v>
      </c>
      <c r="AA4686" s="14">
        <v>8.42</v>
      </c>
      <c r="AB4686" s="12" t="s">
        <v>43</v>
      </c>
      <c r="AC4686" s="12" t="s">
        <v>16516</v>
      </c>
      <c r="AD4686" s="13">
        <v>43581</v>
      </c>
      <c r="AE4686" s="12" t="s">
        <v>110</v>
      </c>
      <c r="AF4686" s="12" t="s">
        <v>16517</v>
      </c>
      <c r="AG4686" s="12" t="s">
        <v>81</v>
      </c>
      <c r="AH4686" s="1">
        <f>HYPERLINK("https://my.pitchbook.com?c=134002-18T","View Company Online")</f>
      </c>
    </row>
    <row r="4687">
      <c r="A4687" s="3" t="s">
        <v>22773</v>
      </c>
      <c r="B4687" s="3" t="s">
        <v>14776</v>
      </c>
      <c r="C4687" s="5" t="s">
        <v>36</v>
      </c>
      <c r="D4687" s="5" t="s">
        <v>36</v>
      </c>
      <c r="E4687" s="5" t="s">
        <v>36</v>
      </c>
      <c r="F4687" s="5" t="s">
        <v>36</v>
      </c>
      <c r="G4687" s="6" t="s">
        <v>36</v>
      </c>
      <c r="H4687" s="4" t="s">
        <v>36</v>
      </c>
      <c r="I4687" s="7" t="s">
        <v>36</v>
      </c>
      <c r="J4687" s="3" t="s">
        <v>36</v>
      </c>
      <c r="K4687" s="9" t="s">
        <v>36</v>
      </c>
      <c r="L4687" s="6" t="s">
        <v>36</v>
      </c>
      <c r="M4687" s="3" t="s">
        <v>36</v>
      </c>
      <c r="N4687" s="3" t="s">
        <v>36</v>
      </c>
      <c r="O4687" s="8" t="s">
        <v>36</v>
      </c>
      <c r="P4687" s="3" t="s">
        <v>36</v>
      </c>
      <c r="Q4687" s="3" t="s">
        <v>36</v>
      </c>
      <c r="R4687" s="3" t="s">
        <v>36</v>
      </c>
      <c r="S4687" s="3" t="s">
        <v>36</v>
      </c>
      <c r="T4687" s="3" t="s">
        <v>14777</v>
      </c>
      <c r="U4687" s="3" t="s">
        <v>648</v>
      </c>
      <c r="V4687" s="3" t="s">
        <v>64</v>
      </c>
      <c r="W4687" s="3" t="s">
        <v>14778</v>
      </c>
      <c r="X4687" s="10" t="s">
        <v>22774</v>
      </c>
      <c r="Y4687" s="6" t="s">
        <v>108</v>
      </c>
      <c r="Z4687" s="4">
        <v>1.12</v>
      </c>
      <c r="AA4687" s="4" t="s">
        <v>36</v>
      </c>
      <c r="AB4687" s="3" t="s">
        <v>43</v>
      </c>
      <c r="AC4687" s="3" t="s">
        <v>14780</v>
      </c>
      <c r="AD4687" s="9">
        <v>43580</v>
      </c>
      <c r="AE4687" s="3" t="s">
        <v>1897</v>
      </c>
      <c r="AF4687" s="3" t="s">
        <v>14781</v>
      </c>
      <c r="AG4687" s="3" t="s">
        <v>741</v>
      </c>
      <c r="AH4687" s="11">
        <f>HYPERLINK("https://my.pitchbook.com?c=135712-90T","View Company Online")</f>
      </c>
    </row>
    <row r="4688">
      <c r="A4688" s="12" t="s">
        <v>22775</v>
      </c>
      <c r="B4688" s="12" t="s">
        <v>15609</v>
      </c>
      <c r="C4688" s="19" t="s">
        <v>36</v>
      </c>
      <c r="D4688" s="19" t="s">
        <v>36</v>
      </c>
      <c r="E4688" s="19" t="s">
        <v>36</v>
      </c>
      <c r="F4688" s="19" t="s">
        <v>36</v>
      </c>
      <c r="G4688" s="15" t="s">
        <v>36</v>
      </c>
      <c r="H4688" s="14">
        <v>158.9</v>
      </c>
      <c r="I4688" s="18">
        <v>28.16</v>
      </c>
      <c r="J4688" s="12" t="s">
        <v>521</v>
      </c>
      <c r="K4688" s="13" t="s">
        <v>36</v>
      </c>
      <c r="L4688" s="15" t="s">
        <v>36</v>
      </c>
      <c r="M4688" s="12" t="s">
        <v>36</v>
      </c>
      <c r="N4688" s="12" t="s">
        <v>36</v>
      </c>
      <c r="O4688" s="17" t="s">
        <v>36</v>
      </c>
      <c r="P4688" s="12" t="s">
        <v>36</v>
      </c>
      <c r="Q4688" s="12" t="s">
        <v>36</v>
      </c>
      <c r="R4688" s="12" t="s">
        <v>36</v>
      </c>
      <c r="S4688" s="12" t="s">
        <v>36</v>
      </c>
      <c r="T4688" s="12" t="s">
        <v>522</v>
      </c>
      <c r="U4688" s="12" t="s">
        <v>38</v>
      </c>
      <c r="V4688" s="12" t="s">
        <v>39</v>
      </c>
      <c r="W4688" s="12" t="s">
        <v>15610</v>
      </c>
      <c r="X4688" s="16" t="s">
        <v>22776</v>
      </c>
      <c r="Y4688" s="15" t="s">
        <v>108</v>
      </c>
      <c r="Z4688" s="14">
        <v>2.65</v>
      </c>
      <c r="AA4688" s="14">
        <v>9.39</v>
      </c>
      <c r="AB4688" s="12" t="s">
        <v>56</v>
      </c>
      <c r="AC4688" s="12" t="s">
        <v>15612</v>
      </c>
      <c r="AD4688" s="13">
        <v>43580</v>
      </c>
      <c r="AE4688" s="12" t="s">
        <v>110</v>
      </c>
      <c r="AF4688" s="12" t="s">
        <v>3904</v>
      </c>
      <c r="AG4688" s="12" t="s">
        <v>81</v>
      </c>
      <c r="AH4688" s="1">
        <f>HYPERLINK("https://my.pitchbook.com?c=127700-20T","View Company Online")</f>
      </c>
    </row>
    <row r="4689">
      <c r="A4689" s="3" t="s">
        <v>22777</v>
      </c>
      <c r="B4689" s="3" t="s">
        <v>8260</v>
      </c>
      <c r="C4689" s="5">
        <v>10</v>
      </c>
      <c r="D4689" s="5">
        <v>22</v>
      </c>
      <c r="E4689" s="5">
        <v>6</v>
      </c>
      <c r="F4689" s="5">
        <v>33</v>
      </c>
      <c r="G4689" s="6" t="s">
        <v>683</v>
      </c>
      <c r="H4689" s="4">
        <v>207.71</v>
      </c>
      <c r="I4689" s="7">
        <v>1.06</v>
      </c>
      <c r="J4689" s="3" t="s">
        <v>521</v>
      </c>
      <c r="K4689" s="9" t="s">
        <v>36</v>
      </c>
      <c r="L4689" s="6" t="s">
        <v>36</v>
      </c>
      <c r="M4689" s="3" t="s">
        <v>36</v>
      </c>
      <c r="N4689" s="3" t="s">
        <v>36</v>
      </c>
      <c r="O4689" s="8" t="s">
        <v>36</v>
      </c>
      <c r="P4689" s="3" t="s">
        <v>36</v>
      </c>
      <c r="Q4689" s="3" t="s">
        <v>36</v>
      </c>
      <c r="R4689" s="3" t="s">
        <v>36</v>
      </c>
      <c r="S4689" s="3" t="s">
        <v>36</v>
      </c>
      <c r="T4689" s="3" t="s">
        <v>8261</v>
      </c>
      <c r="U4689" s="3" t="s">
        <v>318</v>
      </c>
      <c r="V4689" s="3" t="s">
        <v>39</v>
      </c>
      <c r="W4689" s="3" t="s">
        <v>8262</v>
      </c>
      <c r="X4689" s="10" t="s">
        <v>22778</v>
      </c>
      <c r="Y4689" s="6" t="s">
        <v>166</v>
      </c>
      <c r="Z4689" s="4">
        <v>2.92</v>
      </c>
      <c r="AA4689" s="4">
        <v>274.59</v>
      </c>
      <c r="AB4689" s="3" t="s">
        <v>56</v>
      </c>
      <c r="AC4689" s="3" t="s">
        <v>8264</v>
      </c>
      <c r="AD4689" s="9">
        <v>43580</v>
      </c>
      <c r="AE4689" s="3" t="s">
        <v>417</v>
      </c>
      <c r="AF4689" s="3" t="s">
        <v>8265</v>
      </c>
      <c r="AG4689" s="3" t="s">
        <v>81</v>
      </c>
      <c r="AH4689" s="11">
        <f>HYPERLINK("https://my.pitchbook.com?c=118614-70T","View Company Online")</f>
      </c>
    </row>
    <row r="4690">
      <c r="A4690" s="12" t="s">
        <v>22779</v>
      </c>
      <c r="B4690" s="12" t="s">
        <v>13371</v>
      </c>
      <c r="C4690" s="19" t="s">
        <v>36</v>
      </c>
      <c r="D4690" s="19" t="s">
        <v>36</v>
      </c>
      <c r="E4690" s="19" t="s">
        <v>36</v>
      </c>
      <c r="F4690" s="19" t="s">
        <v>36</v>
      </c>
      <c r="G4690" s="15" t="s">
        <v>326</v>
      </c>
      <c r="H4690" s="14">
        <v>13</v>
      </c>
      <c r="I4690" s="18">
        <v>48.61</v>
      </c>
      <c r="J4690" s="12" t="s">
        <v>521</v>
      </c>
      <c r="K4690" s="13" t="s">
        <v>36</v>
      </c>
      <c r="L4690" s="15" t="s">
        <v>36</v>
      </c>
      <c r="M4690" s="12" t="s">
        <v>36</v>
      </c>
      <c r="N4690" s="12" t="s">
        <v>36</v>
      </c>
      <c r="O4690" s="17" t="s">
        <v>36</v>
      </c>
      <c r="P4690" s="12" t="s">
        <v>36</v>
      </c>
      <c r="Q4690" s="12" t="s">
        <v>36</v>
      </c>
      <c r="R4690" s="12" t="s">
        <v>36</v>
      </c>
      <c r="S4690" s="12" t="s">
        <v>36</v>
      </c>
      <c r="T4690" s="12" t="s">
        <v>13372</v>
      </c>
      <c r="U4690" s="12" t="s">
        <v>438</v>
      </c>
      <c r="V4690" s="12" t="s">
        <v>405</v>
      </c>
      <c r="W4690" s="12" t="s">
        <v>13373</v>
      </c>
      <c r="X4690" s="16" t="s">
        <v>22780</v>
      </c>
      <c r="Y4690" s="15" t="s">
        <v>192</v>
      </c>
      <c r="Z4690" s="14">
        <v>20.24</v>
      </c>
      <c r="AA4690" s="14">
        <v>33.98</v>
      </c>
      <c r="AB4690" s="12" t="s">
        <v>56</v>
      </c>
      <c r="AC4690" s="12" t="s">
        <v>13375</v>
      </c>
      <c r="AD4690" s="13">
        <v>43579</v>
      </c>
      <c r="AE4690" s="12" t="s">
        <v>442</v>
      </c>
      <c r="AF4690" s="12" t="s">
        <v>9736</v>
      </c>
      <c r="AG4690" s="12" t="s">
        <v>81</v>
      </c>
      <c r="AH4690" s="1">
        <f>HYPERLINK("https://my.pitchbook.com?c=118549-99T","View Company Online")</f>
      </c>
    </row>
    <row r="4691">
      <c r="A4691" s="3" t="s">
        <v>22781</v>
      </c>
      <c r="B4691" s="3" t="s">
        <v>22782</v>
      </c>
      <c r="C4691" s="5" t="s">
        <v>36</v>
      </c>
      <c r="D4691" s="5">
        <v>3</v>
      </c>
      <c r="E4691" s="5">
        <v>3</v>
      </c>
      <c r="F4691" s="5">
        <v>6</v>
      </c>
      <c r="G4691" s="6" t="s">
        <v>36</v>
      </c>
      <c r="H4691" s="4" t="s">
        <v>36</v>
      </c>
      <c r="I4691" s="7" t="s">
        <v>36</v>
      </c>
      <c r="J4691" s="3" t="s">
        <v>36</v>
      </c>
      <c r="K4691" s="9" t="s">
        <v>36</v>
      </c>
      <c r="L4691" s="6" t="s">
        <v>36</v>
      </c>
      <c r="M4691" s="3" t="s">
        <v>36</v>
      </c>
      <c r="N4691" s="3" t="s">
        <v>36</v>
      </c>
      <c r="O4691" s="8" t="s">
        <v>36</v>
      </c>
      <c r="P4691" s="3" t="s">
        <v>36</v>
      </c>
      <c r="Q4691" s="3" t="s">
        <v>36</v>
      </c>
      <c r="R4691" s="3" t="s">
        <v>36</v>
      </c>
      <c r="S4691" s="3" t="s">
        <v>36</v>
      </c>
      <c r="T4691" s="3" t="s">
        <v>22783</v>
      </c>
      <c r="U4691" s="3" t="s">
        <v>833</v>
      </c>
      <c r="V4691" s="3" t="s">
        <v>64</v>
      </c>
      <c r="W4691" s="3" t="s">
        <v>22784</v>
      </c>
      <c r="X4691" s="10" t="s">
        <v>22785</v>
      </c>
      <c r="Y4691" s="6" t="s">
        <v>42</v>
      </c>
      <c r="Z4691" s="4">
        <v>0.67</v>
      </c>
      <c r="AA4691" s="4" t="s">
        <v>36</v>
      </c>
      <c r="AB4691" s="3" t="s">
        <v>56</v>
      </c>
      <c r="AC4691" s="3" t="s">
        <v>22786</v>
      </c>
      <c r="AD4691" s="9">
        <v>43579</v>
      </c>
      <c r="AE4691" s="3" t="s">
        <v>1069</v>
      </c>
      <c r="AF4691" s="3" t="s">
        <v>22787</v>
      </c>
      <c r="AG4691" s="3" t="s">
        <v>81</v>
      </c>
      <c r="AH4691" s="11">
        <f>HYPERLINK("https://my.pitchbook.com?c=124550-20T","View Company Online")</f>
      </c>
    </row>
    <row r="4692">
      <c r="A4692" s="12" t="s">
        <v>22788</v>
      </c>
      <c r="B4692" s="12" t="s">
        <v>22789</v>
      </c>
      <c r="C4692" s="19" t="s">
        <v>36</v>
      </c>
      <c r="D4692" s="19" t="s">
        <v>36</v>
      </c>
      <c r="E4692" s="19" t="s">
        <v>36</v>
      </c>
      <c r="F4692" s="19" t="s">
        <v>36</v>
      </c>
      <c r="G4692" s="15" t="s">
        <v>36</v>
      </c>
      <c r="H4692" s="14">
        <v>5.74</v>
      </c>
      <c r="I4692" s="18">
        <v>10.45</v>
      </c>
      <c r="J4692" s="12" t="s">
        <v>521</v>
      </c>
      <c r="K4692" s="13" t="s">
        <v>36</v>
      </c>
      <c r="L4692" s="15" t="s">
        <v>36</v>
      </c>
      <c r="M4692" s="12" t="s">
        <v>36</v>
      </c>
      <c r="N4692" s="12" t="s">
        <v>36</v>
      </c>
      <c r="O4692" s="17" t="s">
        <v>36</v>
      </c>
      <c r="P4692" s="12" t="s">
        <v>36</v>
      </c>
      <c r="Q4692" s="12" t="s">
        <v>36</v>
      </c>
      <c r="R4692" s="12" t="s">
        <v>36</v>
      </c>
      <c r="S4692" s="12" t="s">
        <v>36</v>
      </c>
      <c r="T4692" s="12" t="s">
        <v>1941</v>
      </c>
      <c r="U4692" s="12" t="s">
        <v>38</v>
      </c>
      <c r="V4692" s="12" t="s">
        <v>39</v>
      </c>
      <c r="W4692" s="12" t="s">
        <v>22790</v>
      </c>
      <c r="X4692" s="16" t="s">
        <v>19016</v>
      </c>
      <c r="Y4692" s="15" t="s">
        <v>42</v>
      </c>
      <c r="Z4692" s="14">
        <v>0.55</v>
      </c>
      <c r="AA4692" s="14">
        <v>2.01</v>
      </c>
      <c r="AB4692" s="12" t="s">
        <v>43</v>
      </c>
      <c r="AC4692" s="12" t="s">
        <v>22791</v>
      </c>
      <c r="AD4692" s="13">
        <v>43578</v>
      </c>
      <c r="AE4692" s="12" t="s">
        <v>1945</v>
      </c>
      <c r="AF4692" s="12" t="s">
        <v>1636</v>
      </c>
      <c r="AG4692" s="12" t="s">
        <v>8217</v>
      </c>
      <c r="AH4692" s="1">
        <f>HYPERLINK("https://my.pitchbook.com?c=80966-08T","View Company Online")</f>
      </c>
    </row>
    <row r="4693">
      <c r="A4693" s="3" t="s">
        <v>22792</v>
      </c>
      <c r="B4693" s="3" t="s">
        <v>22793</v>
      </c>
      <c r="C4693" s="5" t="s">
        <v>36</v>
      </c>
      <c r="D4693" s="5" t="s">
        <v>36</v>
      </c>
      <c r="E4693" s="5" t="s">
        <v>36</v>
      </c>
      <c r="F4693" s="5" t="s">
        <v>36</v>
      </c>
      <c r="G4693" s="6" t="s">
        <v>36</v>
      </c>
      <c r="H4693" s="4">
        <v>57.12</v>
      </c>
      <c r="I4693" s="7">
        <v>10.29</v>
      </c>
      <c r="J4693" s="3" t="s">
        <v>521</v>
      </c>
      <c r="K4693" s="9" t="s">
        <v>36</v>
      </c>
      <c r="L4693" s="6" t="s">
        <v>36</v>
      </c>
      <c r="M4693" s="3" t="s">
        <v>36</v>
      </c>
      <c r="N4693" s="3" t="s">
        <v>36</v>
      </c>
      <c r="O4693" s="8" t="s">
        <v>36</v>
      </c>
      <c r="P4693" s="3" t="s">
        <v>36</v>
      </c>
      <c r="Q4693" s="3" t="s">
        <v>36</v>
      </c>
      <c r="R4693" s="3" t="s">
        <v>36</v>
      </c>
      <c r="S4693" s="3" t="s">
        <v>36</v>
      </c>
      <c r="T4693" s="3" t="s">
        <v>22794</v>
      </c>
      <c r="U4693" s="3" t="s">
        <v>74</v>
      </c>
      <c r="V4693" s="3" t="s">
        <v>75</v>
      </c>
      <c r="W4693" s="3" t="s">
        <v>22795</v>
      </c>
      <c r="X4693" s="10" t="s">
        <v>8760</v>
      </c>
      <c r="Y4693" s="6" t="s">
        <v>42</v>
      </c>
      <c r="Z4693" s="4">
        <v>0.89</v>
      </c>
      <c r="AA4693" s="4">
        <v>8.69</v>
      </c>
      <c r="AB4693" s="3" t="s">
        <v>56</v>
      </c>
      <c r="AC4693" s="3" t="s">
        <v>22796</v>
      </c>
      <c r="AD4693" s="9">
        <v>43578</v>
      </c>
      <c r="AE4693" s="3" t="s">
        <v>79</v>
      </c>
      <c r="AF4693" s="3" t="s">
        <v>36</v>
      </c>
      <c r="AG4693" s="3" t="s">
        <v>81</v>
      </c>
      <c r="AH4693" s="11">
        <f>HYPERLINK("https://my.pitchbook.com?c=240959-71T","View Company Online")</f>
      </c>
    </row>
    <row r="4694">
      <c r="A4694" s="12" t="s">
        <v>22797</v>
      </c>
      <c r="B4694" s="12" t="s">
        <v>5638</v>
      </c>
      <c r="C4694" s="19">
        <v>1</v>
      </c>
      <c r="D4694" s="19">
        <v>2</v>
      </c>
      <c r="E4694" s="19">
        <v>1</v>
      </c>
      <c r="F4694" s="19">
        <v>4</v>
      </c>
      <c r="G4694" s="15" t="s">
        <v>326</v>
      </c>
      <c r="H4694" s="14">
        <v>7.35</v>
      </c>
      <c r="I4694" s="18">
        <v>32.03</v>
      </c>
      <c r="J4694" s="12" t="s">
        <v>521</v>
      </c>
      <c r="K4694" s="13">
        <v>43571</v>
      </c>
      <c r="L4694" s="15" t="s">
        <v>122</v>
      </c>
      <c r="M4694" s="12" t="s">
        <v>36</v>
      </c>
      <c r="N4694" s="12" t="s">
        <v>122</v>
      </c>
      <c r="O4694" s="17" t="s">
        <v>36</v>
      </c>
      <c r="P4694" s="12" t="s">
        <v>36</v>
      </c>
      <c r="Q4694" s="12" t="s">
        <v>36</v>
      </c>
      <c r="R4694" s="12" t="s">
        <v>36</v>
      </c>
      <c r="S4694" s="12" t="s">
        <v>36</v>
      </c>
      <c r="T4694" s="12" t="s">
        <v>1125</v>
      </c>
      <c r="U4694" s="12" t="s">
        <v>74</v>
      </c>
      <c r="V4694" s="12" t="s">
        <v>75</v>
      </c>
      <c r="W4694" s="12" t="s">
        <v>5640</v>
      </c>
      <c r="X4694" s="16" t="s">
        <v>22798</v>
      </c>
      <c r="Y4694" s="15" t="s">
        <v>108</v>
      </c>
      <c r="Z4694" s="14">
        <v>7.88</v>
      </c>
      <c r="AA4694" s="14">
        <v>17.68</v>
      </c>
      <c r="AB4694" s="12" t="s">
        <v>43</v>
      </c>
      <c r="AC4694" s="12" t="s">
        <v>5642</v>
      </c>
      <c r="AD4694" s="13">
        <v>43578</v>
      </c>
      <c r="AE4694" s="12" t="s">
        <v>975</v>
      </c>
      <c r="AF4694" s="12" t="s">
        <v>36</v>
      </c>
      <c r="AG4694" s="12" t="s">
        <v>81</v>
      </c>
      <c r="AH4694" s="1">
        <f>HYPERLINK("https://my.pitchbook.com?c=118376-38T","View Company Online")</f>
      </c>
    </row>
    <row r="4695">
      <c r="A4695" s="3" t="s">
        <v>22799</v>
      </c>
      <c r="B4695" s="3" t="s">
        <v>22800</v>
      </c>
      <c r="C4695" s="5" t="s">
        <v>36</v>
      </c>
      <c r="D4695" s="5" t="s">
        <v>36</v>
      </c>
      <c r="E4695" s="5" t="s">
        <v>36</v>
      </c>
      <c r="F4695" s="5" t="s">
        <v>36</v>
      </c>
      <c r="G4695" s="6" t="s">
        <v>36</v>
      </c>
      <c r="H4695" s="4">
        <v>31.16</v>
      </c>
      <c r="I4695" s="7">
        <v>25</v>
      </c>
      <c r="J4695" s="3" t="s">
        <v>521</v>
      </c>
      <c r="K4695" s="9" t="s">
        <v>36</v>
      </c>
      <c r="L4695" s="6" t="s">
        <v>36</v>
      </c>
      <c r="M4695" s="3" t="s">
        <v>36</v>
      </c>
      <c r="N4695" s="3" t="s">
        <v>36</v>
      </c>
      <c r="O4695" s="8" t="s">
        <v>36</v>
      </c>
      <c r="P4695" s="3" t="s">
        <v>36</v>
      </c>
      <c r="Q4695" s="3" t="s">
        <v>36</v>
      </c>
      <c r="R4695" s="3" t="s">
        <v>36</v>
      </c>
      <c r="S4695" s="3" t="s">
        <v>36</v>
      </c>
      <c r="T4695" s="3" t="s">
        <v>22801</v>
      </c>
      <c r="U4695" s="3" t="s">
        <v>279</v>
      </c>
      <c r="V4695" s="3" t="s">
        <v>64</v>
      </c>
      <c r="W4695" s="3" t="s">
        <v>22802</v>
      </c>
      <c r="X4695" s="10" t="s">
        <v>12909</v>
      </c>
      <c r="Y4695" s="6" t="s">
        <v>42</v>
      </c>
      <c r="Z4695" s="4">
        <v>0.11</v>
      </c>
      <c r="AA4695" s="4">
        <v>0.45</v>
      </c>
      <c r="AB4695" s="3" t="s">
        <v>43</v>
      </c>
      <c r="AC4695" s="3" t="s">
        <v>22803</v>
      </c>
      <c r="AD4695" s="9">
        <v>43577</v>
      </c>
      <c r="AE4695" s="3" t="s">
        <v>851</v>
      </c>
      <c r="AF4695" s="3" t="s">
        <v>22804</v>
      </c>
      <c r="AG4695" s="3" t="s">
        <v>5280</v>
      </c>
      <c r="AH4695" s="11">
        <f>HYPERLINK("https://my.pitchbook.com?c=120527-92T","View Company Online")</f>
      </c>
    </row>
    <row r="4696">
      <c r="A4696" s="12" t="s">
        <v>22805</v>
      </c>
      <c r="B4696" s="12" t="s">
        <v>11638</v>
      </c>
      <c r="C4696" s="19" t="s">
        <v>36</v>
      </c>
      <c r="D4696" s="19" t="s">
        <v>36</v>
      </c>
      <c r="E4696" s="19" t="s">
        <v>36</v>
      </c>
      <c r="F4696" s="19" t="s">
        <v>36</v>
      </c>
      <c r="G4696" s="15" t="s">
        <v>36</v>
      </c>
      <c r="H4696" s="14" t="s">
        <v>36</v>
      </c>
      <c r="I4696" s="18" t="s">
        <v>36</v>
      </c>
      <c r="J4696" s="12" t="s">
        <v>36</v>
      </c>
      <c r="K4696" s="13" t="s">
        <v>36</v>
      </c>
      <c r="L4696" s="15" t="s">
        <v>94</v>
      </c>
      <c r="M4696" s="12" t="s">
        <v>36</v>
      </c>
      <c r="N4696" s="12" t="s">
        <v>94</v>
      </c>
      <c r="O4696" s="17" t="s">
        <v>36</v>
      </c>
      <c r="P4696" s="12" t="s">
        <v>36</v>
      </c>
      <c r="Q4696" s="12" t="s">
        <v>36</v>
      </c>
      <c r="R4696" s="12" t="s">
        <v>36</v>
      </c>
      <c r="S4696" s="12" t="s">
        <v>36</v>
      </c>
      <c r="T4696" s="12" t="s">
        <v>2308</v>
      </c>
      <c r="U4696" s="12" t="s">
        <v>38</v>
      </c>
      <c r="V4696" s="12" t="s">
        <v>39</v>
      </c>
      <c r="W4696" s="12" t="s">
        <v>11639</v>
      </c>
      <c r="X4696" s="16" t="s">
        <v>22806</v>
      </c>
      <c r="Y4696" s="15" t="s">
        <v>192</v>
      </c>
      <c r="Z4696" s="14">
        <v>22.54</v>
      </c>
      <c r="AA4696" s="14" t="s">
        <v>36</v>
      </c>
      <c r="AB4696" s="12" t="s">
        <v>56</v>
      </c>
      <c r="AC4696" s="12" t="s">
        <v>11641</v>
      </c>
      <c r="AD4696" s="13">
        <v>43573</v>
      </c>
      <c r="AE4696" s="12" t="s">
        <v>45</v>
      </c>
      <c r="AF4696" s="12" t="s">
        <v>5816</v>
      </c>
      <c r="AG4696" s="12" t="s">
        <v>81</v>
      </c>
      <c r="AH4696" s="1">
        <f>HYPERLINK("https://my.pitchbook.com?c=118250-83T","View Company Online")</f>
      </c>
    </row>
    <row r="4697">
      <c r="A4697" s="3" t="s">
        <v>22807</v>
      </c>
      <c r="B4697" s="3" t="s">
        <v>12720</v>
      </c>
      <c r="C4697" s="5">
        <v>12</v>
      </c>
      <c r="D4697" s="5">
        <v>11</v>
      </c>
      <c r="E4697" s="5">
        <v>13</v>
      </c>
      <c r="F4697" s="5">
        <v>24</v>
      </c>
      <c r="G4697" s="6" t="s">
        <v>326</v>
      </c>
      <c r="H4697" s="4" t="s">
        <v>36</v>
      </c>
      <c r="I4697" s="7" t="s">
        <v>36</v>
      </c>
      <c r="J4697" s="3" t="s">
        <v>521</v>
      </c>
      <c r="K4697" s="9" t="s">
        <v>36</v>
      </c>
      <c r="L4697" s="6" t="s">
        <v>122</v>
      </c>
      <c r="M4697" s="3" t="s">
        <v>36</v>
      </c>
      <c r="N4697" s="3" t="s">
        <v>122</v>
      </c>
      <c r="O4697" s="8" t="s">
        <v>36</v>
      </c>
      <c r="P4697" s="3" t="s">
        <v>36</v>
      </c>
      <c r="Q4697" s="3" t="s">
        <v>36</v>
      </c>
      <c r="R4697" s="3" t="s">
        <v>36</v>
      </c>
      <c r="S4697" s="3" t="s">
        <v>36</v>
      </c>
      <c r="T4697" s="3" t="s">
        <v>6904</v>
      </c>
      <c r="U4697" s="3" t="s">
        <v>96</v>
      </c>
      <c r="V4697" s="3" t="s">
        <v>52</v>
      </c>
      <c r="W4697" s="3" t="s">
        <v>12721</v>
      </c>
      <c r="X4697" s="10" t="s">
        <v>22808</v>
      </c>
      <c r="Y4697" s="6" t="s">
        <v>108</v>
      </c>
      <c r="Z4697" s="4">
        <v>12.4</v>
      </c>
      <c r="AA4697" s="4">
        <v>22.54</v>
      </c>
      <c r="AB4697" s="3" t="s">
        <v>43</v>
      </c>
      <c r="AC4697" s="3" t="s">
        <v>12723</v>
      </c>
      <c r="AD4697" s="9">
        <v>43573</v>
      </c>
      <c r="AE4697" s="3" t="s">
        <v>143</v>
      </c>
      <c r="AF4697" s="3" t="s">
        <v>5573</v>
      </c>
      <c r="AG4697" s="3" t="s">
        <v>10841</v>
      </c>
      <c r="AH4697" s="11">
        <f>HYPERLINK("https://my.pitchbook.com?c=126343-54T","View Company Online")</f>
      </c>
    </row>
    <row r="4698">
      <c r="A4698" s="12" t="s">
        <v>22809</v>
      </c>
      <c r="B4698" s="12" t="s">
        <v>22810</v>
      </c>
      <c r="C4698" s="19">
        <v>9</v>
      </c>
      <c r="D4698" s="19">
        <v>7</v>
      </c>
      <c r="E4698" s="19">
        <v>4</v>
      </c>
      <c r="F4698" s="19">
        <v>16</v>
      </c>
      <c r="G4698" s="15" t="s">
        <v>36</v>
      </c>
      <c r="H4698" s="14">
        <v>186.94</v>
      </c>
      <c r="I4698" s="18">
        <v>27.02</v>
      </c>
      <c r="J4698" s="12" t="s">
        <v>521</v>
      </c>
      <c r="K4698" s="13" t="s">
        <v>36</v>
      </c>
      <c r="L4698" s="15" t="s">
        <v>36</v>
      </c>
      <c r="M4698" s="12" t="s">
        <v>36</v>
      </c>
      <c r="N4698" s="12" t="s">
        <v>36</v>
      </c>
      <c r="O4698" s="17" t="s">
        <v>36</v>
      </c>
      <c r="P4698" s="12" t="s">
        <v>36</v>
      </c>
      <c r="Q4698" s="12" t="s">
        <v>36</v>
      </c>
      <c r="R4698" s="12" t="s">
        <v>36</v>
      </c>
      <c r="S4698" s="12" t="s">
        <v>36</v>
      </c>
      <c r="T4698" s="12" t="s">
        <v>1188</v>
      </c>
      <c r="U4698" s="12" t="s">
        <v>180</v>
      </c>
      <c r="V4698" s="12" t="s">
        <v>52</v>
      </c>
      <c r="W4698" s="12" t="s">
        <v>22811</v>
      </c>
      <c r="X4698" s="16" t="s">
        <v>22812</v>
      </c>
      <c r="Y4698" s="15" t="s">
        <v>42</v>
      </c>
      <c r="Z4698" s="14">
        <v>13</v>
      </c>
      <c r="AA4698" s="14">
        <v>18.69</v>
      </c>
      <c r="AB4698" s="12" t="s">
        <v>56</v>
      </c>
      <c r="AC4698" s="12" t="s">
        <v>22813</v>
      </c>
      <c r="AD4698" s="13">
        <v>43573</v>
      </c>
      <c r="AE4698" s="12" t="s">
        <v>1192</v>
      </c>
      <c r="AF4698" s="12" t="s">
        <v>22814</v>
      </c>
      <c r="AG4698" s="12" t="s">
        <v>1276</v>
      </c>
      <c r="AH4698" s="1">
        <f>HYPERLINK("https://my.pitchbook.com?c=121710-16T","View Company Online")</f>
      </c>
    </row>
    <row r="4699">
      <c r="A4699" s="3" t="s">
        <v>22815</v>
      </c>
      <c r="B4699" s="3" t="s">
        <v>22816</v>
      </c>
      <c r="C4699" s="5" t="s">
        <v>36</v>
      </c>
      <c r="D4699" s="5" t="s">
        <v>36</v>
      </c>
      <c r="E4699" s="5" t="s">
        <v>36</v>
      </c>
      <c r="F4699" s="5" t="s">
        <v>36</v>
      </c>
      <c r="G4699" s="6" t="s">
        <v>326</v>
      </c>
      <c r="H4699" s="4">
        <v>31</v>
      </c>
      <c r="I4699" s="7">
        <v>25.65</v>
      </c>
      <c r="J4699" s="3" t="s">
        <v>521</v>
      </c>
      <c r="K4699" s="9" t="s">
        <v>36</v>
      </c>
      <c r="L4699" s="6" t="s">
        <v>94</v>
      </c>
      <c r="M4699" s="3" t="s">
        <v>36</v>
      </c>
      <c r="N4699" s="3" t="s">
        <v>94</v>
      </c>
      <c r="O4699" s="8" t="s">
        <v>36</v>
      </c>
      <c r="P4699" s="3" t="s">
        <v>36</v>
      </c>
      <c r="Q4699" s="3" t="s">
        <v>36</v>
      </c>
      <c r="R4699" s="3" t="s">
        <v>36</v>
      </c>
      <c r="S4699" s="3" t="s">
        <v>36</v>
      </c>
      <c r="T4699" s="3" t="s">
        <v>4529</v>
      </c>
      <c r="U4699" s="3" t="s">
        <v>38</v>
      </c>
      <c r="V4699" s="3" t="s">
        <v>39</v>
      </c>
      <c r="W4699" s="3" t="s">
        <v>22817</v>
      </c>
      <c r="X4699" s="10" t="s">
        <v>22818</v>
      </c>
      <c r="Y4699" s="6" t="s">
        <v>108</v>
      </c>
      <c r="Z4699" s="4">
        <v>41.48</v>
      </c>
      <c r="AA4699" s="4">
        <v>80.86</v>
      </c>
      <c r="AB4699" s="3" t="s">
        <v>56</v>
      </c>
      <c r="AC4699" s="3" t="s">
        <v>22819</v>
      </c>
      <c r="AD4699" s="9">
        <v>43572</v>
      </c>
      <c r="AE4699" s="3" t="s">
        <v>1422</v>
      </c>
      <c r="AF4699" s="3" t="s">
        <v>15204</v>
      </c>
      <c r="AG4699" s="3" t="s">
        <v>81</v>
      </c>
      <c r="AH4699" s="11">
        <f>HYPERLINK("https://my.pitchbook.com?c=118237-42T","View Company Online")</f>
      </c>
    </row>
    <row r="4700">
      <c r="A4700" s="12" t="s">
        <v>22820</v>
      </c>
      <c r="B4700" s="12" t="s">
        <v>22821</v>
      </c>
      <c r="C4700" s="19" t="s">
        <v>36</v>
      </c>
      <c r="D4700" s="19">
        <v>4</v>
      </c>
      <c r="E4700" s="19">
        <v>1</v>
      </c>
      <c r="F4700" s="19">
        <v>4</v>
      </c>
      <c r="G4700" s="15" t="s">
        <v>326</v>
      </c>
      <c r="H4700" s="14">
        <v>176.84</v>
      </c>
      <c r="I4700" s="18">
        <v>33.6</v>
      </c>
      <c r="J4700" s="12" t="s">
        <v>521</v>
      </c>
      <c r="K4700" s="13" t="s">
        <v>36</v>
      </c>
      <c r="L4700" s="15" t="s">
        <v>122</v>
      </c>
      <c r="M4700" s="12" t="s">
        <v>36</v>
      </c>
      <c r="N4700" s="12" t="s">
        <v>122</v>
      </c>
      <c r="O4700" s="17" t="s">
        <v>36</v>
      </c>
      <c r="P4700" s="12" t="s">
        <v>36</v>
      </c>
      <c r="Q4700" s="12" t="s">
        <v>36</v>
      </c>
      <c r="R4700" s="12" t="s">
        <v>36</v>
      </c>
      <c r="S4700" s="12" t="s">
        <v>36</v>
      </c>
      <c r="T4700" s="12" t="s">
        <v>529</v>
      </c>
      <c r="U4700" s="12" t="s">
        <v>38</v>
      </c>
      <c r="V4700" s="12" t="s">
        <v>39</v>
      </c>
      <c r="W4700" s="12" t="s">
        <v>22822</v>
      </c>
      <c r="X4700" s="16" t="s">
        <v>22823</v>
      </c>
      <c r="Y4700" s="15" t="s">
        <v>108</v>
      </c>
      <c r="Z4700" s="14">
        <v>14.66</v>
      </c>
      <c r="AA4700" s="14">
        <v>36.33</v>
      </c>
      <c r="AB4700" s="12" t="s">
        <v>43</v>
      </c>
      <c r="AC4700" s="12" t="s">
        <v>22824</v>
      </c>
      <c r="AD4700" s="13">
        <v>43572</v>
      </c>
      <c r="AE4700" s="12" t="s">
        <v>134</v>
      </c>
      <c r="AF4700" s="12" t="s">
        <v>533</v>
      </c>
      <c r="AG4700" s="12" t="s">
        <v>81</v>
      </c>
      <c r="AH4700" s="1">
        <f>HYPERLINK("https://my.pitchbook.com?c=118226-53T","View Company Online")</f>
      </c>
    </row>
    <row r="4701">
      <c r="A4701" s="3" t="s">
        <v>22825</v>
      </c>
      <c r="B4701" s="3" t="s">
        <v>21151</v>
      </c>
      <c r="C4701" s="5" t="s">
        <v>36</v>
      </c>
      <c r="D4701" s="5" t="s">
        <v>36</v>
      </c>
      <c r="E4701" s="5" t="s">
        <v>36</v>
      </c>
      <c r="F4701" s="5" t="s">
        <v>36</v>
      </c>
      <c r="G4701" s="6" t="s">
        <v>2497</v>
      </c>
      <c r="H4701" s="4">
        <v>2492.56</v>
      </c>
      <c r="I4701" s="7">
        <v>14.89</v>
      </c>
      <c r="J4701" s="3" t="s">
        <v>521</v>
      </c>
      <c r="K4701" s="9" t="s">
        <v>36</v>
      </c>
      <c r="L4701" s="6" t="s">
        <v>36</v>
      </c>
      <c r="M4701" s="3" t="s">
        <v>36</v>
      </c>
      <c r="N4701" s="3" t="s">
        <v>36</v>
      </c>
      <c r="O4701" s="8" t="s">
        <v>36</v>
      </c>
      <c r="P4701" s="3" t="s">
        <v>36</v>
      </c>
      <c r="Q4701" s="3" t="s">
        <v>36</v>
      </c>
      <c r="R4701" s="3" t="s">
        <v>36</v>
      </c>
      <c r="S4701" s="3" t="s">
        <v>7049</v>
      </c>
      <c r="T4701" s="3" t="s">
        <v>105</v>
      </c>
      <c r="U4701" s="3" t="s">
        <v>38</v>
      </c>
      <c r="V4701" s="3" t="s">
        <v>39</v>
      </c>
      <c r="W4701" s="3" t="s">
        <v>21152</v>
      </c>
      <c r="X4701" s="10" t="s">
        <v>22826</v>
      </c>
      <c r="Y4701" s="6" t="s">
        <v>108</v>
      </c>
      <c r="Z4701" s="4">
        <v>0.54</v>
      </c>
      <c r="AA4701" s="4">
        <v>3.63</v>
      </c>
      <c r="AB4701" s="3" t="s">
        <v>43</v>
      </c>
      <c r="AC4701" s="3" t="s">
        <v>21154</v>
      </c>
      <c r="AD4701" s="9">
        <v>43572</v>
      </c>
      <c r="AE4701" s="3" t="s">
        <v>110</v>
      </c>
      <c r="AF4701" s="3" t="s">
        <v>5901</v>
      </c>
      <c r="AG4701" s="3" t="s">
        <v>81</v>
      </c>
      <c r="AH4701" s="11">
        <f>HYPERLINK("https://my.pitchbook.com?c=119779-21T","View Company Online")</f>
      </c>
    </row>
    <row r="4702">
      <c r="A4702" s="12" t="s">
        <v>22827</v>
      </c>
      <c r="B4702" s="12" t="s">
        <v>16003</v>
      </c>
      <c r="C4702" s="19" t="s">
        <v>36</v>
      </c>
      <c r="D4702" s="19" t="s">
        <v>36</v>
      </c>
      <c r="E4702" s="19" t="s">
        <v>36</v>
      </c>
      <c r="F4702" s="19" t="s">
        <v>36</v>
      </c>
      <c r="G4702" s="15" t="s">
        <v>36</v>
      </c>
      <c r="H4702" s="14">
        <v>29.9</v>
      </c>
      <c r="I4702" s="18">
        <v>42.41</v>
      </c>
      <c r="J4702" s="12" t="s">
        <v>521</v>
      </c>
      <c r="K4702" s="13" t="s">
        <v>36</v>
      </c>
      <c r="L4702" s="15" t="s">
        <v>122</v>
      </c>
      <c r="M4702" s="12" t="s">
        <v>36</v>
      </c>
      <c r="N4702" s="12" t="s">
        <v>122</v>
      </c>
      <c r="O4702" s="17" t="s">
        <v>36</v>
      </c>
      <c r="P4702" s="12" t="s">
        <v>36</v>
      </c>
      <c r="Q4702" s="12" t="s">
        <v>36</v>
      </c>
      <c r="R4702" s="12" t="s">
        <v>36</v>
      </c>
      <c r="S4702" s="12" t="s">
        <v>36</v>
      </c>
      <c r="T4702" s="12" t="s">
        <v>37</v>
      </c>
      <c r="U4702" s="12" t="s">
        <v>38</v>
      </c>
      <c r="V4702" s="12" t="s">
        <v>39</v>
      </c>
      <c r="W4702" s="12" t="s">
        <v>16004</v>
      </c>
      <c r="X4702" s="16" t="s">
        <v>22828</v>
      </c>
      <c r="Y4702" s="15" t="s">
        <v>42</v>
      </c>
      <c r="Z4702" s="14">
        <v>2.39</v>
      </c>
      <c r="AA4702" s="14">
        <v>5.64</v>
      </c>
      <c r="AB4702" s="12" t="s">
        <v>43</v>
      </c>
      <c r="AC4702" s="12" t="s">
        <v>16006</v>
      </c>
      <c r="AD4702" s="13">
        <v>43572</v>
      </c>
      <c r="AE4702" s="12" t="s">
        <v>45</v>
      </c>
      <c r="AF4702" s="12" t="s">
        <v>5816</v>
      </c>
      <c r="AG4702" s="12" t="s">
        <v>81</v>
      </c>
      <c r="AH4702" s="1">
        <f>HYPERLINK("https://my.pitchbook.com?c=117497-35T","View Company Online")</f>
      </c>
    </row>
    <row r="4703">
      <c r="A4703" s="3" t="s">
        <v>22829</v>
      </c>
      <c r="B4703" s="3" t="s">
        <v>15651</v>
      </c>
      <c r="C4703" s="5" t="s">
        <v>36</v>
      </c>
      <c r="D4703" s="5" t="s">
        <v>36</v>
      </c>
      <c r="E4703" s="5" t="s">
        <v>36</v>
      </c>
      <c r="F4703" s="5" t="s">
        <v>36</v>
      </c>
      <c r="G4703" s="6" t="s">
        <v>36</v>
      </c>
      <c r="H4703" s="4">
        <v>3.23</v>
      </c>
      <c r="I4703" s="7">
        <v>25.6</v>
      </c>
      <c r="J4703" s="3" t="s">
        <v>521</v>
      </c>
      <c r="K4703" s="9" t="s">
        <v>36</v>
      </c>
      <c r="L4703" s="6" t="s">
        <v>36</v>
      </c>
      <c r="M4703" s="3" t="s">
        <v>36</v>
      </c>
      <c r="N4703" s="3" t="s">
        <v>36</v>
      </c>
      <c r="O4703" s="8" t="s">
        <v>36</v>
      </c>
      <c r="P4703" s="3" t="s">
        <v>36</v>
      </c>
      <c r="Q4703" s="3" t="s">
        <v>36</v>
      </c>
      <c r="R4703" s="3" t="s">
        <v>36</v>
      </c>
      <c r="S4703" s="3" t="s">
        <v>36</v>
      </c>
      <c r="T4703" s="3" t="s">
        <v>692</v>
      </c>
      <c r="U4703" s="3" t="s">
        <v>74</v>
      </c>
      <c r="V4703" s="3" t="s">
        <v>75</v>
      </c>
      <c r="W4703" s="3" t="s">
        <v>15652</v>
      </c>
      <c r="X4703" s="10" t="s">
        <v>22830</v>
      </c>
      <c r="Y4703" s="6" t="s">
        <v>42</v>
      </c>
      <c r="Z4703" s="4">
        <v>2.26</v>
      </c>
      <c r="AA4703" s="4">
        <v>4.71</v>
      </c>
      <c r="AB4703" s="3" t="s">
        <v>43</v>
      </c>
      <c r="AC4703" s="3" t="s">
        <v>15654</v>
      </c>
      <c r="AD4703" s="9">
        <v>43572</v>
      </c>
      <c r="AE4703" s="3" t="s">
        <v>696</v>
      </c>
      <c r="AF4703" s="3" t="s">
        <v>15655</v>
      </c>
      <c r="AG4703" s="3" t="s">
        <v>2618</v>
      </c>
      <c r="AH4703" s="11">
        <f>HYPERLINK("https://my.pitchbook.com?c=120289-24T","View Company Online")</f>
      </c>
    </row>
    <row r="4704">
      <c r="A4704" s="12" t="s">
        <v>22831</v>
      </c>
      <c r="B4704" s="12" t="s">
        <v>22832</v>
      </c>
      <c r="C4704" s="19">
        <v>1</v>
      </c>
      <c r="D4704" s="19">
        <v>2</v>
      </c>
      <c r="E4704" s="19">
        <v>1</v>
      </c>
      <c r="F4704" s="19">
        <v>3</v>
      </c>
      <c r="G4704" s="15" t="s">
        <v>36</v>
      </c>
      <c r="H4704" s="14" t="s">
        <v>36</v>
      </c>
      <c r="I4704" s="18" t="s">
        <v>36</v>
      </c>
      <c r="J4704" s="12" t="s">
        <v>36</v>
      </c>
      <c r="K4704" s="13" t="s">
        <v>36</v>
      </c>
      <c r="L4704" s="15" t="s">
        <v>122</v>
      </c>
      <c r="M4704" s="12" t="s">
        <v>36</v>
      </c>
      <c r="N4704" s="12" t="s">
        <v>122</v>
      </c>
      <c r="O4704" s="17" t="s">
        <v>36</v>
      </c>
      <c r="P4704" s="12" t="s">
        <v>36</v>
      </c>
      <c r="Q4704" s="12" t="s">
        <v>36</v>
      </c>
      <c r="R4704" s="12" t="s">
        <v>36</v>
      </c>
      <c r="S4704" s="12" t="s">
        <v>36</v>
      </c>
      <c r="T4704" s="12" t="s">
        <v>522</v>
      </c>
      <c r="U4704" s="12" t="s">
        <v>38</v>
      </c>
      <c r="V4704" s="12" t="s">
        <v>39</v>
      </c>
      <c r="W4704" s="12" t="s">
        <v>22833</v>
      </c>
      <c r="X4704" s="16" t="s">
        <v>22834</v>
      </c>
      <c r="Y4704" s="15" t="s">
        <v>108</v>
      </c>
      <c r="Z4704" s="14">
        <v>0.39</v>
      </c>
      <c r="AA4704" s="14" t="s">
        <v>36</v>
      </c>
      <c r="AB4704" s="12" t="s">
        <v>56</v>
      </c>
      <c r="AC4704" s="12" t="s">
        <v>22835</v>
      </c>
      <c r="AD4704" s="13">
        <v>43571</v>
      </c>
      <c r="AE4704" s="12" t="s">
        <v>110</v>
      </c>
      <c r="AF4704" s="12" t="s">
        <v>22836</v>
      </c>
      <c r="AG4704" s="12" t="s">
        <v>81</v>
      </c>
      <c r="AH4704" s="1">
        <f>HYPERLINK("https://my.pitchbook.com?c=157739-32T","View Company Online")</f>
      </c>
    </row>
    <row r="4705">
      <c r="A4705" s="3" t="s">
        <v>22837</v>
      </c>
      <c r="B4705" s="3" t="s">
        <v>20569</v>
      </c>
      <c r="C4705" s="5" t="s">
        <v>36</v>
      </c>
      <c r="D4705" s="5" t="s">
        <v>36</v>
      </c>
      <c r="E4705" s="5" t="s">
        <v>36</v>
      </c>
      <c r="F4705" s="5" t="s">
        <v>36</v>
      </c>
      <c r="G4705" s="6" t="s">
        <v>36</v>
      </c>
      <c r="H4705" s="4" t="s">
        <v>36</v>
      </c>
      <c r="I4705" s="7" t="s">
        <v>36</v>
      </c>
      <c r="J4705" s="3" t="s">
        <v>36</v>
      </c>
      <c r="K4705" s="9" t="s">
        <v>36</v>
      </c>
      <c r="L4705" s="6" t="s">
        <v>36</v>
      </c>
      <c r="M4705" s="3" t="s">
        <v>36</v>
      </c>
      <c r="N4705" s="3" t="s">
        <v>36</v>
      </c>
      <c r="O4705" s="8" t="s">
        <v>36</v>
      </c>
      <c r="P4705" s="3" t="s">
        <v>36</v>
      </c>
      <c r="Q4705" s="3" t="s">
        <v>36</v>
      </c>
      <c r="R4705" s="3" t="s">
        <v>36</v>
      </c>
      <c r="S4705" s="3" t="s">
        <v>36</v>
      </c>
      <c r="T4705" s="3" t="s">
        <v>20570</v>
      </c>
      <c r="U4705" s="3" t="s">
        <v>233</v>
      </c>
      <c r="V4705" s="3" t="s">
        <v>39</v>
      </c>
      <c r="W4705" s="3" t="s">
        <v>20571</v>
      </c>
      <c r="X4705" s="10" t="s">
        <v>3098</v>
      </c>
      <c r="Y4705" s="6" t="s">
        <v>42</v>
      </c>
      <c r="Z4705" s="4">
        <v>1.69</v>
      </c>
      <c r="AA4705" s="4" t="s">
        <v>36</v>
      </c>
      <c r="AB4705" s="3" t="s">
        <v>43</v>
      </c>
      <c r="AC4705" s="3" t="s">
        <v>20572</v>
      </c>
      <c r="AD4705" s="9">
        <v>43571</v>
      </c>
      <c r="AE4705" s="3" t="s">
        <v>236</v>
      </c>
      <c r="AF4705" s="3" t="s">
        <v>12243</v>
      </c>
      <c r="AG4705" s="3" t="s">
        <v>4520</v>
      </c>
      <c r="AH4705" s="11">
        <f>HYPERLINK("https://my.pitchbook.com?c=119104-03T","View Company Online")</f>
      </c>
    </row>
    <row r="4706">
      <c r="A4706" s="12" t="s">
        <v>22838</v>
      </c>
      <c r="B4706" s="12" t="s">
        <v>22839</v>
      </c>
      <c r="C4706" s="19" t="s">
        <v>36</v>
      </c>
      <c r="D4706" s="19" t="s">
        <v>36</v>
      </c>
      <c r="E4706" s="19" t="s">
        <v>36</v>
      </c>
      <c r="F4706" s="19" t="s">
        <v>36</v>
      </c>
      <c r="G4706" s="15" t="s">
        <v>36</v>
      </c>
      <c r="H4706" s="14" t="s">
        <v>36</v>
      </c>
      <c r="I4706" s="18" t="s">
        <v>36</v>
      </c>
      <c r="J4706" s="12" t="s">
        <v>36</v>
      </c>
      <c r="K4706" s="13" t="s">
        <v>36</v>
      </c>
      <c r="L4706" s="15" t="s">
        <v>36</v>
      </c>
      <c r="M4706" s="12" t="s">
        <v>36</v>
      </c>
      <c r="N4706" s="12" t="s">
        <v>36</v>
      </c>
      <c r="O4706" s="17" t="s">
        <v>36</v>
      </c>
      <c r="P4706" s="12" t="s">
        <v>36</v>
      </c>
      <c r="Q4706" s="12" t="s">
        <v>36</v>
      </c>
      <c r="R4706" s="12" t="s">
        <v>36</v>
      </c>
      <c r="S4706" s="12" t="s">
        <v>36</v>
      </c>
      <c r="T4706" s="12" t="s">
        <v>6614</v>
      </c>
      <c r="U4706" s="12" t="s">
        <v>279</v>
      </c>
      <c r="V4706" s="12" t="s">
        <v>64</v>
      </c>
      <c r="W4706" s="12" t="s">
        <v>22840</v>
      </c>
      <c r="X4706" s="16" t="s">
        <v>17638</v>
      </c>
      <c r="Y4706" s="15" t="s">
        <v>42</v>
      </c>
      <c r="Z4706" s="14" t="s">
        <v>36</v>
      </c>
      <c r="AA4706" s="14" t="s">
        <v>36</v>
      </c>
      <c r="AB4706" s="12" t="s">
        <v>43</v>
      </c>
      <c r="AC4706" s="12" t="s">
        <v>22841</v>
      </c>
      <c r="AD4706" s="13">
        <v>43570</v>
      </c>
      <c r="AE4706" s="12" t="s">
        <v>740</v>
      </c>
      <c r="AF4706" s="12" t="s">
        <v>36</v>
      </c>
      <c r="AG4706" s="12" t="s">
        <v>1353</v>
      </c>
      <c r="AH4706" s="1">
        <f>HYPERLINK("https://my.pitchbook.com?c=165781-18T","View Company Online")</f>
      </c>
    </row>
    <row r="4707">
      <c r="A4707" s="3" t="s">
        <v>22842</v>
      </c>
      <c r="B4707" s="3" t="s">
        <v>13970</v>
      </c>
      <c r="C4707" s="5" t="s">
        <v>36</v>
      </c>
      <c r="D4707" s="5" t="s">
        <v>36</v>
      </c>
      <c r="E4707" s="5" t="s">
        <v>36</v>
      </c>
      <c r="F4707" s="5" t="s">
        <v>36</v>
      </c>
      <c r="G4707" s="6" t="s">
        <v>36</v>
      </c>
      <c r="H4707" s="4">
        <v>4.99</v>
      </c>
      <c r="I4707" s="7">
        <v>20.79</v>
      </c>
      <c r="J4707" s="3" t="s">
        <v>521</v>
      </c>
      <c r="K4707" s="9" t="s">
        <v>36</v>
      </c>
      <c r="L4707" s="6" t="s">
        <v>36</v>
      </c>
      <c r="M4707" s="3" t="s">
        <v>36</v>
      </c>
      <c r="N4707" s="3" t="s">
        <v>36</v>
      </c>
      <c r="O4707" s="8" t="s">
        <v>36</v>
      </c>
      <c r="P4707" s="3" t="s">
        <v>36</v>
      </c>
      <c r="Q4707" s="3" t="s">
        <v>36</v>
      </c>
      <c r="R4707" s="3" t="s">
        <v>36</v>
      </c>
      <c r="S4707" s="3" t="s">
        <v>36</v>
      </c>
      <c r="T4707" s="3" t="s">
        <v>13971</v>
      </c>
      <c r="U4707" s="3" t="s">
        <v>648</v>
      </c>
      <c r="V4707" s="3" t="s">
        <v>64</v>
      </c>
      <c r="W4707" s="3" t="s">
        <v>13972</v>
      </c>
      <c r="X4707" s="10" t="s">
        <v>22843</v>
      </c>
      <c r="Y4707" s="6" t="s">
        <v>42</v>
      </c>
      <c r="Z4707" s="4">
        <v>1.13</v>
      </c>
      <c r="AA4707" s="4">
        <v>3.42</v>
      </c>
      <c r="AB4707" s="3" t="s">
        <v>43</v>
      </c>
      <c r="AC4707" s="3" t="s">
        <v>13974</v>
      </c>
      <c r="AD4707" s="9">
        <v>43570</v>
      </c>
      <c r="AE4707" s="3" t="s">
        <v>1897</v>
      </c>
      <c r="AF4707" s="3" t="s">
        <v>2409</v>
      </c>
      <c r="AG4707" s="3" t="s">
        <v>443</v>
      </c>
      <c r="AH4707" s="11">
        <f>HYPERLINK("https://my.pitchbook.com?c=123220-81T","View Company Online")</f>
      </c>
    </row>
    <row r="4708">
      <c r="A4708" s="12" t="s">
        <v>22844</v>
      </c>
      <c r="B4708" s="12" t="s">
        <v>7709</v>
      </c>
      <c r="C4708" s="19" t="s">
        <v>36</v>
      </c>
      <c r="D4708" s="19" t="s">
        <v>36</v>
      </c>
      <c r="E4708" s="19" t="s">
        <v>36</v>
      </c>
      <c r="F4708" s="19" t="s">
        <v>36</v>
      </c>
      <c r="G4708" s="15" t="s">
        <v>36</v>
      </c>
      <c r="H4708" s="14" t="s">
        <v>36</v>
      </c>
      <c r="I4708" s="18" t="s">
        <v>36</v>
      </c>
      <c r="J4708" s="12" t="s">
        <v>36</v>
      </c>
      <c r="K4708" s="13" t="s">
        <v>36</v>
      </c>
      <c r="L4708" s="15" t="s">
        <v>36</v>
      </c>
      <c r="M4708" s="12" t="s">
        <v>36</v>
      </c>
      <c r="N4708" s="12" t="s">
        <v>36</v>
      </c>
      <c r="O4708" s="17" t="s">
        <v>36</v>
      </c>
      <c r="P4708" s="12" t="s">
        <v>36</v>
      </c>
      <c r="Q4708" s="12" t="s">
        <v>36</v>
      </c>
      <c r="R4708" s="12" t="s">
        <v>36</v>
      </c>
      <c r="S4708" s="12" t="s">
        <v>36</v>
      </c>
      <c r="T4708" s="12" t="s">
        <v>1560</v>
      </c>
      <c r="U4708" s="12" t="s">
        <v>438</v>
      </c>
      <c r="V4708" s="12" t="s">
        <v>405</v>
      </c>
      <c r="W4708" s="12" t="s">
        <v>7710</v>
      </c>
      <c r="X4708" s="16" t="s">
        <v>22845</v>
      </c>
      <c r="Y4708" s="15" t="s">
        <v>108</v>
      </c>
      <c r="Z4708" s="14">
        <v>2</v>
      </c>
      <c r="AA4708" s="14" t="s">
        <v>36</v>
      </c>
      <c r="AB4708" s="12" t="s">
        <v>56</v>
      </c>
      <c r="AC4708" s="12" t="s">
        <v>7712</v>
      </c>
      <c r="AD4708" s="13">
        <v>43567</v>
      </c>
      <c r="AE4708" s="12" t="s">
        <v>438</v>
      </c>
      <c r="AF4708" s="12" t="s">
        <v>799</v>
      </c>
      <c r="AG4708" s="12" t="s">
        <v>81</v>
      </c>
      <c r="AH4708" s="1">
        <f>HYPERLINK("https://my.pitchbook.com?c=119237-23T","View Company Online")</f>
      </c>
    </row>
    <row r="4709">
      <c r="A4709" s="3" t="s">
        <v>22846</v>
      </c>
      <c r="B4709" s="3" t="s">
        <v>20381</v>
      </c>
      <c r="C4709" s="5" t="s">
        <v>36</v>
      </c>
      <c r="D4709" s="5" t="s">
        <v>36</v>
      </c>
      <c r="E4709" s="5" t="s">
        <v>36</v>
      </c>
      <c r="F4709" s="5" t="s">
        <v>36</v>
      </c>
      <c r="G4709" s="6" t="s">
        <v>326</v>
      </c>
      <c r="H4709" s="4" t="s">
        <v>36</v>
      </c>
      <c r="I4709" s="7">
        <v>22.73</v>
      </c>
      <c r="J4709" s="3" t="s">
        <v>327</v>
      </c>
      <c r="K4709" s="9" t="s">
        <v>36</v>
      </c>
      <c r="L4709" s="6" t="s">
        <v>94</v>
      </c>
      <c r="M4709" s="3" t="s">
        <v>36</v>
      </c>
      <c r="N4709" s="3" t="s">
        <v>94</v>
      </c>
      <c r="O4709" s="8" t="s">
        <v>36</v>
      </c>
      <c r="P4709" s="3" t="s">
        <v>36</v>
      </c>
      <c r="Q4709" s="3" t="s">
        <v>36</v>
      </c>
      <c r="R4709" s="3" t="s">
        <v>36</v>
      </c>
      <c r="S4709" s="3" t="s">
        <v>36</v>
      </c>
      <c r="T4709" s="3" t="s">
        <v>105</v>
      </c>
      <c r="U4709" s="3" t="s">
        <v>38</v>
      </c>
      <c r="V4709" s="3" t="s">
        <v>39</v>
      </c>
      <c r="W4709" s="3" t="s">
        <v>20382</v>
      </c>
      <c r="X4709" s="10" t="s">
        <v>22847</v>
      </c>
      <c r="Y4709" s="6" t="s">
        <v>55</v>
      </c>
      <c r="Z4709" s="4">
        <v>24</v>
      </c>
      <c r="AA4709" s="4">
        <v>105.61</v>
      </c>
      <c r="AB4709" s="3" t="s">
        <v>56</v>
      </c>
      <c r="AC4709" s="3" t="s">
        <v>20384</v>
      </c>
      <c r="AD4709" s="9">
        <v>43567</v>
      </c>
      <c r="AE4709" s="3" t="s">
        <v>110</v>
      </c>
      <c r="AF4709" s="3" t="s">
        <v>176</v>
      </c>
      <c r="AG4709" s="3" t="s">
        <v>47</v>
      </c>
      <c r="AH4709" s="11">
        <f>HYPERLINK("https://my.pitchbook.com?c=118106-29T","View Company Online")</f>
      </c>
    </row>
    <row r="4710">
      <c r="A4710" s="12" t="s">
        <v>22848</v>
      </c>
      <c r="B4710" s="12" t="s">
        <v>22849</v>
      </c>
      <c r="C4710" s="19" t="s">
        <v>36</v>
      </c>
      <c r="D4710" s="19" t="s">
        <v>36</v>
      </c>
      <c r="E4710" s="19" t="s">
        <v>36</v>
      </c>
      <c r="F4710" s="19" t="s">
        <v>36</v>
      </c>
      <c r="G4710" s="15" t="s">
        <v>36</v>
      </c>
      <c r="H4710" s="14">
        <v>0.95</v>
      </c>
      <c r="I4710" s="18">
        <v>29.07</v>
      </c>
      <c r="J4710" s="12" t="s">
        <v>521</v>
      </c>
      <c r="K4710" s="13" t="s">
        <v>36</v>
      </c>
      <c r="L4710" s="15" t="s">
        <v>36</v>
      </c>
      <c r="M4710" s="12" t="s">
        <v>36</v>
      </c>
      <c r="N4710" s="12" t="s">
        <v>36</v>
      </c>
      <c r="O4710" s="17" t="s">
        <v>36</v>
      </c>
      <c r="P4710" s="12" t="s">
        <v>36</v>
      </c>
      <c r="Q4710" s="12" t="s">
        <v>36</v>
      </c>
      <c r="R4710" s="12" t="s">
        <v>36</v>
      </c>
      <c r="S4710" s="12" t="s">
        <v>36</v>
      </c>
      <c r="T4710" s="12" t="s">
        <v>22850</v>
      </c>
      <c r="U4710" s="12" t="s">
        <v>956</v>
      </c>
      <c r="V4710" s="12" t="s">
        <v>405</v>
      </c>
      <c r="W4710" s="12" t="s">
        <v>22851</v>
      </c>
      <c r="X4710" s="16" t="s">
        <v>22852</v>
      </c>
      <c r="Y4710" s="15" t="s">
        <v>42</v>
      </c>
      <c r="Z4710" s="14">
        <v>3.55</v>
      </c>
      <c r="AA4710" s="14">
        <v>12.22</v>
      </c>
      <c r="AB4710" s="12" t="s">
        <v>43</v>
      </c>
      <c r="AC4710" s="12" t="s">
        <v>22853</v>
      </c>
      <c r="AD4710" s="13">
        <v>43567</v>
      </c>
      <c r="AE4710" s="12" t="s">
        <v>5625</v>
      </c>
      <c r="AF4710" s="12" t="s">
        <v>961</v>
      </c>
      <c r="AG4710" s="12" t="s">
        <v>81</v>
      </c>
      <c r="AH4710" s="1">
        <f>HYPERLINK("https://my.pitchbook.com?c=119729-89T","View Company Online")</f>
      </c>
    </row>
    <row r="4711">
      <c r="A4711" s="3" t="s">
        <v>22854</v>
      </c>
      <c r="B4711" s="3" t="s">
        <v>22855</v>
      </c>
      <c r="C4711" s="5" t="s">
        <v>36</v>
      </c>
      <c r="D4711" s="5" t="s">
        <v>36</v>
      </c>
      <c r="E4711" s="5" t="s">
        <v>36</v>
      </c>
      <c r="F4711" s="5" t="s">
        <v>36</v>
      </c>
      <c r="G4711" s="6" t="s">
        <v>36</v>
      </c>
      <c r="H4711" s="4">
        <v>20.77</v>
      </c>
      <c r="I4711" s="7">
        <v>20.79</v>
      </c>
      <c r="J4711" s="3" t="s">
        <v>521</v>
      </c>
      <c r="K4711" s="9" t="s">
        <v>36</v>
      </c>
      <c r="L4711" s="6" t="s">
        <v>36</v>
      </c>
      <c r="M4711" s="3" t="s">
        <v>36</v>
      </c>
      <c r="N4711" s="3" t="s">
        <v>36</v>
      </c>
      <c r="O4711" s="8" t="s">
        <v>36</v>
      </c>
      <c r="P4711" s="3" t="s">
        <v>36</v>
      </c>
      <c r="Q4711" s="3" t="s">
        <v>36</v>
      </c>
      <c r="R4711" s="3" t="s">
        <v>36</v>
      </c>
      <c r="S4711" s="3" t="s">
        <v>36</v>
      </c>
      <c r="T4711" s="3" t="s">
        <v>22856</v>
      </c>
      <c r="U4711" s="3" t="s">
        <v>74</v>
      </c>
      <c r="V4711" s="3" t="s">
        <v>75</v>
      </c>
      <c r="W4711" s="3" t="s">
        <v>22857</v>
      </c>
      <c r="X4711" s="10" t="s">
        <v>22858</v>
      </c>
      <c r="Y4711" s="6" t="s">
        <v>42</v>
      </c>
      <c r="Z4711" s="4">
        <v>0.23</v>
      </c>
      <c r="AA4711" s="4">
        <v>0.57</v>
      </c>
      <c r="AB4711" s="3" t="s">
        <v>43</v>
      </c>
      <c r="AC4711" s="3" t="s">
        <v>22859</v>
      </c>
      <c r="AD4711" s="9">
        <v>43566</v>
      </c>
      <c r="AE4711" s="3" t="s">
        <v>3144</v>
      </c>
      <c r="AF4711" s="3" t="s">
        <v>8861</v>
      </c>
      <c r="AG4711" s="3" t="s">
        <v>1978</v>
      </c>
      <c r="AH4711" s="11">
        <f>HYPERLINK("https://my.pitchbook.com?c=204680-08T","View Company Online")</f>
      </c>
    </row>
    <row r="4712">
      <c r="A4712" s="12" t="s">
        <v>22860</v>
      </c>
      <c r="B4712" s="12" t="s">
        <v>22861</v>
      </c>
      <c r="C4712" s="19" t="s">
        <v>36</v>
      </c>
      <c r="D4712" s="19" t="s">
        <v>36</v>
      </c>
      <c r="E4712" s="19" t="s">
        <v>36</v>
      </c>
      <c r="F4712" s="19" t="s">
        <v>36</v>
      </c>
      <c r="G4712" s="15" t="s">
        <v>326</v>
      </c>
      <c r="H4712" s="14">
        <v>716.25</v>
      </c>
      <c r="I4712" s="18">
        <v>12.71</v>
      </c>
      <c r="J4712" s="12" t="s">
        <v>521</v>
      </c>
      <c r="K4712" s="13" t="s">
        <v>36</v>
      </c>
      <c r="L4712" s="15" t="s">
        <v>36</v>
      </c>
      <c r="M4712" s="12" t="s">
        <v>36</v>
      </c>
      <c r="N4712" s="12" t="s">
        <v>36</v>
      </c>
      <c r="O4712" s="17" t="s">
        <v>36</v>
      </c>
      <c r="P4712" s="12" t="s">
        <v>36</v>
      </c>
      <c r="Q4712" s="12" t="s">
        <v>36</v>
      </c>
      <c r="R4712" s="12" t="s">
        <v>36</v>
      </c>
      <c r="S4712" s="12" t="s">
        <v>36</v>
      </c>
      <c r="T4712" s="12" t="s">
        <v>22862</v>
      </c>
      <c r="U4712" s="12" t="s">
        <v>648</v>
      </c>
      <c r="V4712" s="12" t="s">
        <v>64</v>
      </c>
      <c r="W4712" s="12" t="s">
        <v>22863</v>
      </c>
      <c r="X4712" s="16" t="s">
        <v>16667</v>
      </c>
      <c r="Y4712" s="15" t="s">
        <v>108</v>
      </c>
      <c r="Z4712" s="14">
        <v>1.69</v>
      </c>
      <c r="AA4712" s="14">
        <v>13.31</v>
      </c>
      <c r="AB4712" s="12" t="s">
        <v>56</v>
      </c>
      <c r="AC4712" s="12" t="s">
        <v>22864</v>
      </c>
      <c r="AD4712" s="13">
        <v>43566</v>
      </c>
      <c r="AE4712" s="12" t="s">
        <v>651</v>
      </c>
      <c r="AF4712" s="12" t="s">
        <v>14380</v>
      </c>
      <c r="AG4712" s="12" t="s">
        <v>10429</v>
      </c>
      <c r="AH4712" s="1">
        <f>HYPERLINK("https://my.pitchbook.com?c=252479-44T","View Company Online")</f>
      </c>
    </row>
    <row r="4713">
      <c r="A4713" s="3" t="s">
        <v>22865</v>
      </c>
      <c r="B4713" s="3" t="s">
        <v>22866</v>
      </c>
      <c r="C4713" s="5" t="s">
        <v>36</v>
      </c>
      <c r="D4713" s="5" t="s">
        <v>36</v>
      </c>
      <c r="E4713" s="5" t="s">
        <v>36</v>
      </c>
      <c r="F4713" s="5" t="s">
        <v>36</v>
      </c>
      <c r="G4713" s="6" t="s">
        <v>36</v>
      </c>
      <c r="H4713" s="4" t="s">
        <v>36</v>
      </c>
      <c r="I4713" s="7" t="s">
        <v>36</v>
      </c>
      <c r="J4713" s="3" t="s">
        <v>36</v>
      </c>
      <c r="K4713" s="9" t="s">
        <v>36</v>
      </c>
      <c r="L4713" s="6" t="s">
        <v>36</v>
      </c>
      <c r="M4713" s="3" t="s">
        <v>36</v>
      </c>
      <c r="N4713" s="3" t="s">
        <v>36</v>
      </c>
      <c r="O4713" s="8" t="s">
        <v>36</v>
      </c>
      <c r="P4713" s="3" t="s">
        <v>36</v>
      </c>
      <c r="Q4713" s="3" t="s">
        <v>36</v>
      </c>
      <c r="R4713" s="3" t="s">
        <v>36</v>
      </c>
      <c r="S4713" s="3" t="s">
        <v>36</v>
      </c>
      <c r="T4713" s="3" t="s">
        <v>6462</v>
      </c>
      <c r="U4713" s="3" t="s">
        <v>1357</v>
      </c>
      <c r="V4713" s="3" t="s">
        <v>52</v>
      </c>
      <c r="W4713" s="3" t="s">
        <v>22867</v>
      </c>
      <c r="X4713" s="10" t="s">
        <v>22868</v>
      </c>
      <c r="Y4713" s="6" t="s">
        <v>108</v>
      </c>
      <c r="Z4713" s="4">
        <v>22.56</v>
      </c>
      <c r="AA4713" s="4" t="s">
        <v>36</v>
      </c>
      <c r="AB4713" s="3" t="s">
        <v>43</v>
      </c>
      <c r="AC4713" s="3" t="s">
        <v>22869</v>
      </c>
      <c r="AD4713" s="9">
        <v>43566</v>
      </c>
      <c r="AE4713" s="3" t="s">
        <v>2808</v>
      </c>
      <c r="AF4713" s="3" t="s">
        <v>8573</v>
      </c>
      <c r="AG4713" s="3" t="s">
        <v>81</v>
      </c>
      <c r="AH4713" s="11">
        <f>HYPERLINK("https://my.pitchbook.com?c=118070-02T","View Company Online")</f>
      </c>
    </row>
    <row r="4714">
      <c r="A4714" s="12" t="s">
        <v>22870</v>
      </c>
      <c r="B4714" s="12" t="s">
        <v>22871</v>
      </c>
      <c r="C4714" s="19" t="s">
        <v>36</v>
      </c>
      <c r="D4714" s="19">
        <v>3</v>
      </c>
      <c r="E4714" s="19">
        <v>1</v>
      </c>
      <c r="F4714" s="19">
        <v>3</v>
      </c>
      <c r="G4714" s="15" t="s">
        <v>326</v>
      </c>
      <c r="H4714" s="14">
        <v>2.89</v>
      </c>
      <c r="I4714" s="18">
        <v>24.21</v>
      </c>
      <c r="J4714" s="12" t="s">
        <v>521</v>
      </c>
      <c r="K4714" s="13" t="s">
        <v>36</v>
      </c>
      <c r="L4714" s="15" t="s">
        <v>36</v>
      </c>
      <c r="M4714" s="12" t="s">
        <v>36</v>
      </c>
      <c r="N4714" s="12" t="s">
        <v>36</v>
      </c>
      <c r="O4714" s="17" t="s">
        <v>36</v>
      </c>
      <c r="P4714" s="12" t="s">
        <v>36</v>
      </c>
      <c r="Q4714" s="12" t="s">
        <v>36</v>
      </c>
      <c r="R4714" s="12" t="s">
        <v>36</v>
      </c>
      <c r="S4714" s="12" t="s">
        <v>36</v>
      </c>
      <c r="T4714" s="12" t="s">
        <v>9552</v>
      </c>
      <c r="U4714" s="12" t="s">
        <v>51</v>
      </c>
      <c r="V4714" s="12" t="s">
        <v>52</v>
      </c>
      <c r="W4714" s="12" t="s">
        <v>22872</v>
      </c>
      <c r="X4714" s="16" t="s">
        <v>22873</v>
      </c>
      <c r="Y4714" s="15" t="s">
        <v>108</v>
      </c>
      <c r="Z4714" s="14">
        <v>5.05</v>
      </c>
      <c r="AA4714" s="14">
        <v>20.86</v>
      </c>
      <c r="AB4714" s="12" t="s">
        <v>43</v>
      </c>
      <c r="AC4714" s="12" t="s">
        <v>22874</v>
      </c>
      <c r="AD4714" s="13">
        <v>43566</v>
      </c>
      <c r="AE4714" s="12" t="s">
        <v>158</v>
      </c>
      <c r="AF4714" s="12" t="s">
        <v>665</v>
      </c>
      <c r="AG4714" s="12" t="s">
        <v>81</v>
      </c>
      <c r="AH4714" s="1">
        <f>HYPERLINK("https://my.pitchbook.com?c=140809-78T","View Company Online")</f>
      </c>
    </row>
    <row r="4715">
      <c r="A4715" s="3" t="s">
        <v>22875</v>
      </c>
      <c r="B4715" s="3" t="s">
        <v>1063</v>
      </c>
      <c r="C4715" s="5">
        <v>23</v>
      </c>
      <c r="D4715" s="5">
        <v>334</v>
      </c>
      <c r="E4715" s="5">
        <v>107</v>
      </c>
      <c r="F4715" s="5">
        <v>391</v>
      </c>
      <c r="G4715" s="6" t="s">
        <v>36</v>
      </c>
      <c r="H4715" s="4" t="s">
        <v>36</v>
      </c>
      <c r="I4715" s="7" t="s">
        <v>36</v>
      </c>
      <c r="J4715" s="3" t="s">
        <v>36</v>
      </c>
      <c r="K4715" s="9" t="s">
        <v>36</v>
      </c>
      <c r="L4715" s="6" t="s">
        <v>36</v>
      </c>
      <c r="M4715" s="3" t="s">
        <v>36</v>
      </c>
      <c r="N4715" s="3" t="s">
        <v>36</v>
      </c>
      <c r="O4715" s="8" t="s">
        <v>36</v>
      </c>
      <c r="P4715" s="3" t="s">
        <v>36</v>
      </c>
      <c r="Q4715" s="3" t="s">
        <v>36</v>
      </c>
      <c r="R4715" s="3" t="s">
        <v>36</v>
      </c>
      <c r="S4715" s="3" t="s">
        <v>36</v>
      </c>
      <c r="T4715" s="3" t="s">
        <v>1064</v>
      </c>
      <c r="U4715" s="3" t="s">
        <v>833</v>
      </c>
      <c r="V4715" s="3" t="s">
        <v>64</v>
      </c>
      <c r="W4715" s="3" t="s">
        <v>1065</v>
      </c>
      <c r="X4715" s="10" t="s">
        <v>22876</v>
      </c>
      <c r="Y4715" s="6" t="s">
        <v>166</v>
      </c>
      <c r="Z4715" s="4">
        <v>18</v>
      </c>
      <c r="AA4715" s="4" t="s">
        <v>36</v>
      </c>
      <c r="AB4715" s="3" t="s">
        <v>56</v>
      </c>
      <c r="AC4715" s="3" t="s">
        <v>1068</v>
      </c>
      <c r="AD4715" s="9">
        <v>43565</v>
      </c>
      <c r="AE4715" s="3" t="s">
        <v>1069</v>
      </c>
      <c r="AF4715" s="3" t="s">
        <v>1070</v>
      </c>
      <c r="AG4715" s="3" t="s">
        <v>81</v>
      </c>
      <c r="AH4715" s="11">
        <f>HYPERLINK("https://my.pitchbook.com?c=124662-25T","View Company Online")</f>
      </c>
    </row>
    <row r="4716">
      <c r="A4716" s="12" t="s">
        <v>22877</v>
      </c>
      <c r="B4716" s="12" t="s">
        <v>17873</v>
      </c>
      <c r="C4716" s="19" t="s">
        <v>36</v>
      </c>
      <c r="D4716" s="19" t="s">
        <v>36</v>
      </c>
      <c r="E4716" s="19" t="s">
        <v>36</v>
      </c>
      <c r="F4716" s="19" t="s">
        <v>36</v>
      </c>
      <c r="G4716" s="15" t="s">
        <v>683</v>
      </c>
      <c r="H4716" s="14">
        <v>137.14</v>
      </c>
      <c r="I4716" s="18">
        <v>34.87</v>
      </c>
      <c r="J4716" s="12" t="s">
        <v>521</v>
      </c>
      <c r="K4716" s="13" t="s">
        <v>36</v>
      </c>
      <c r="L4716" s="15" t="s">
        <v>36</v>
      </c>
      <c r="M4716" s="12" t="s">
        <v>36</v>
      </c>
      <c r="N4716" s="12" t="s">
        <v>36</v>
      </c>
      <c r="O4716" s="17" t="s">
        <v>36</v>
      </c>
      <c r="P4716" s="12" t="s">
        <v>36</v>
      </c>
      <c r="Q4716" s="12" t="s">
        <v>36</v>
      </c>
      <c r="R4716" s="12" t="s">
        <v>36</v>
      </c>
      <c r="S4716" s="12" t="s">
        <v>36</v>
      </c>
      <c r="T4716" s="12" t="s">
        <v>22878</v>
      </c>
      <c r="U4716" s="12" t="s">
        <v>404</v>
      </c>
      <c r="V4716" s="12" t="s">
        <v>405</v>
      </c>
      <c r="W4716" s="12" t="s">
        <v>22879</v>
      </c>
      <c r="X4716" s="16" t="s">
        <v>22880</v>
      </c>
      <c r="Y4716" s="15" t="s">
        <v>108</v>
      </c>
      <c r="Z4716" s="14">
        <v>1.12</v>
      </c>
      <c r="AA4716" s="14">
        <v>3.2</v>
      </c>
      <c r="AB4716" s="12" t="s">
        <v>43</v>
      </c>
      <c r="AC4716" s="12" t="s">
        <v>22881</v>
      </c>
      <c r="AD4716" s="13">
        <v>43565</v>
      </c>
      <c r="AE4716" s="12" t="s">
        <v>9685</v>
      </c>
      <c r="AF4716" s="12" t="s">
        <v>215</v>
      </c>
      <c r="AG4716" s="12" t="s">
        <v>1078</v>
      </c>
      <c r="AH4716" s="1">
        <f>HYPERLINK("https://my.pitchbook.com?c=166755-34T","View Company Online")</f>
      </c>
    </row>
    <row r="4717">
      <c r="A4717" s="3" t="s">
        <v>22882</v>
      </c>
      <c r="B4717" s="3" t="s">
        <v>14498</v>
      </c>
      <c r="C4717" s="5" t="s">
        <v>36</v>
      </c>
      <c r="D4717" s="5" t="s">
        <v>36</v>
      </c>
      <c r="E4717" s="5" t="s">
        <v>36</v>
      </c>
      <c r="F4717" s="5" t="s">
        <v>36</v>
      </c>
      <c r="G4717" s="6" t="s">
        <v>326</v>
      </c>
      <c r="H4717" s="4">
        <v>103.34</v>
      </c>
      <c r="I4717" s="7">
        <v>25.6</v>
      </c>
      <c r="J4717" s="3" t="s">
        <v>521</v>
      </c>
      <c r="K4717" s="9" t="s">
        <v>36</v>
      </c>
      <c r="L4717" s="6" t="s">
        <v>36</v>
      </c>
      <c r="M4717" s="3" t="s">
        <v>36</v>
      </c>
      <c r="N4717" s="3" t="s">
        <v>36</v>
      </c>
      <c r="O4717" s="8" t="s">
        <v>36</v>
      </c>
      <c r="P4717" s="3" t="s">
        <v>36</v>
      </c>
      <c r="Q4717" s="3" t="s">
        <v>36</v>
      </c>
      <c r="R4717" s="3" t="s">
        <v>36</v>
      </c>
      <c r="S4717" s="3" t="s">
        <v>36</v>
      </c>
      <c r="T4717" s="3" t="s">
        <v>14082</v>
      </c>
      <c r="U4717" s="3" t="s">
        <v>38</v>
      </c>
      <c r="V4717" s="3" t="s">
        <v>39</v>
      </c>
      <c r="W4717" s="3" t="s">
        <v>14499</v>
      </c>
      <c r="X4717" s="10" t="s">
        <v>22883</v>
      </c>
      <c r="Y4717" s="6" t="s">
        <v>42</v>
      </c>
      <c r="Z4717" s="4">
        <v>2.32</v>
      </c>
      <c r="AA4717" s="4">
        <v>9.05</v>
      </c>
      <c r="AB4717" s="3" t="s">
        <v>43</v>
      </c>
      <c r="AC4717" s="3" t="s">
        <v>14501</v>
      </c>
      <c r="AD4717" s="9">
        <v>43564</v>
      </c>
      <c r="AE4717" s="3" t="s">
        <v>110</v>
      </c>
      <c r="AF4717" s="3" t="s">
        <v>8506</v>
      </c>
      <c r="AG4717" s="3" t="s">
        <v>81</v>
      </c>
      <c r="AH4717" s="11">
        <f>HYPERLINK("https://my.pitchbook.com?c=118065-61T","View Company Online")</f>
      </c>
    </row>
    <row r="4718">
      <c r="A4718" s="12" t="s">
        <v>22884</v>
      </c>
      <c r="B4718" s="12" t="s">
        <v>22885</v>
      </c>
      <c r="C4718" s="19" t="s">
        <v>36</v>
      </c>
      <c r="D4718" s="19" t="s">
        <v>36</v>
      </c>
      <c r="E4718" s="19" t="s">
        <v>36</v>
      </c>
      <c r="F4718" s="19" t="s">
        <v>36</v>
      </c>
      <c r="G4718" s="15" t="s">
        <v>36</v>
      </c>
      <c r="H4718" s="14" t="s">
        <v>36</v>
      </c>
      <c r="I4718" s="18" t="s">
        <v>36</v>
      </c>
      <c r="J4718" s="12" t="s">
        <v>36</v>
      </c>
      <c r="K4718" s="13" t="s">
        <v>36</v>
      </c>
      <c r="L4718" s="15" t="s">
        <v>36</v>
      </c>
      <c r="M4718" s="12" t="s">
        <v>36</v>
      </c>
      <c r="N4718" s="12" t="s">
        <v>36</v>
      </c>
      <c r="O4718" s="17" t="s">
        <v>36</v>
      </c>
      <c r="P4718" s="12" t="s">
        <v>36</v>
      </c>
      <c r="Q4718" s="12" t="s">
        <v>36</v>
      </c>
      <c r="R4718" s="12" t="s">
        <v>36</v>
      </c>
      <c r="S4718" s="12" t="s">
        <v>36</v>
      </c>
      <c r="T4718" s="12" t="s">
        <v>4056</v>
      </c>
      <c r="U4718" s="12" t="s">
        <v>38</v>
      </c>
      <c r="V4718" s="12" t="s">
        <v>39</v>
      </c>
      <c r="W4718" s="12" t="s">
        <v>22886</v>
      </c>
      <c r="X4718" s="16" t="s">
        <v>22887</v>
      </c>
      <c r="Y4718" s="15" t="s">
        <v>108</v>
      </c>
      <c r="Z4718" s="14">
        <v>0.68</v>
      </c>
      <c r="AA4718" s="14" t="s">
        <v>36</v>
      </c>
      <c r="AB4718" s="12" t="s">
        <v>43</v>
      </c>
      <c r="AC4718" s="12" t="s">
        <v>22888</v>
      </c>
      <c r="AD4718" s="13">
        <v>43563</v>
      </c>
      <c r="AE4718" s="12" t="s">
        <v>1945</v>
      </c>
      <c r="AF4718" s="12" t="s">
        <v>815</v>
      </c>
      <c r="AG4718" s="12" t="s">
        <v>81</v>
      </c>
      <c r="AH4718" s="1">
        <f>HYPERLINK("https://my.pitchbook.com?c=130123-81T","View Company Online")</f>
      </c>
    </row>
    <row r="4719">
      <c r="A4719" s="3" t="s">
        <v>22889</v>
      </c>
      <c r="B4719" s="3" t="s">
        <v>9226</v>
      </c>
      <c r="C4719" s="5">
        <v>2</v>
      </c>
      <c r="D4719" s="5">
        <v>3</v>
      </c>
      <c r="E4719" s="5">
        <v>2</v>
      </c>
      <c r="F4719" s="5">
        <v>5</v>
      </c>
      <c r="G4719" s="6" t="s">
        <v>683</v>
      </c>
      <c r="H4719" s="4">
        <v>31.95</v>
      </c>
      <c r="I4719" s="7">
        <v>5.45</v>
      </c>
      <c r="J4719" s="3" t="s">
        <v>521</v>
      </c>
      <c r="K4719" s="9" t="s">
        <v>36</v>
      </c>
      <c r="L4719" s="6" t="s">
        <v>36</v>
      </c>
      <c r="M4719" s="3" t="s">
        <v>36</v>
      </c>
      <c r="N4719" s="3" t="s">
        <v>36</v>
      </c>
      <c r="O4719" s="8" t="s">
        <v>36</v>
      </c>
      <c r="P4719" s="3" t="s">
        <v>36</v>
      </c>
      <c r="Q4719" s="3" t="s">
        <v>36</v>
      </c>
      <c r="R4719" s="3" t="s">
        <v>36</v>
      </c>
      <c r="S4719" s="3" t="s">
        <v>36</v>
      </c>
      <c r="T4719" s="3" t="s">
        <v>9227</v>
      </c>
      <c r="U4719" s="3" t="s">
        <v>318</v>
      </c>
      <c r="V4719" s="3" t="s">
        <v>39</v>
      </c>
      <c r="W4719" s="3" t="s">
        <v>9228</v>
      </c>
      <c r="X4719" s="10" t="s">
        <v>22890</v>
      </c>
      <c r="Y4719" s="6" t="s">
        <v>475</v>
      </c>
      <c r="Z4719" s="4">
        <v>0.25</v>
      </c>
      <c r="AA4719" s="4">
        <v>4.56</v>
      </c>
      <c r="AB4719" s="3" t="s">
        <v>56</v>
      </c>
      <c r="AC4719" s="3" t="s">
        <v>9230</v>
      </c>
      <c r="AD4719" s="9">
        <v>43563</v>
      </c>
      <c r="AE4719" s="3" t="s">
        <v>763</v>
      </c>
      <c r="AF4719" s="3" t="s">
        <v>2815</v>
      </c>
      <c r="AG4719" s="3" t="s">
        <v>4172</v>
      </c>
      <c r="AH4719" s="11">
        <f>HYPERLINK("https://my.pitchbook.com?c=139766-32T","View Company Online")</f>
      </c>
    </row>
    <row r="4720">
      <c r="A4720" s="12" t="s">
        <v>22891</v>
      </c>
      <c r="B4720" s="12" t="s">
        <v>22892</v>
      </c>
      <c r="C4720" s="19" t="s">
        <v>36</v>
      </c>
      <c r="D4720" s="19" t="s">
        <v>36</v>
      </c>
      <c r="E4720" s="19" t="s">
        <v>36</v>
      </c>
      <c r="F4720" s="19" t="s">
        <v>36</v>
      </c>
      <c r="G4720" s="15" t="s">
        <v>326</v>
      </c>
      <c r="H4720" s="14">
        <v>129.82</v>
      </c>
      <c r="I4720" s="18">
        <v>25.53</v>
      </c>
      <c r="J4720" s="12" t="s">
        <v>521</v>
      </c>
      <c r="K4720" s="13" t="s">
        <v>36</v>
      </c>
      <c r="L4720" s="15" t="s">
        <v>36</v>
      </c>
      <c r="M4720" s="12" t="s">
        <v>36</v>
      </c>
      <c r="N4720" s="12" t="s">
        <v>36</v>
      </c>
      <c r="O4720" s="17" t="s">
        <v>36</v>
      </c>
      <c r="P4720" s="12" t="s">
        <v>36</v>
      </c>
      <c r="Q4720" s="12" t="s">
        <v>36</v>
      </c>
      <c r="R4720" s="12" t="s">
        <v>36</v>
      </c>
      <c r="S4720" s="12" t="s">
        <v>36</v>
      </c>
      <c r="T4720" s="12" t="s">
        <v>22893</v>
      </c>
      <c r="U4720" s="12" t="s">
        <v>1082</v>
      </c>
      <c r="V4720" s="12" t="s">
        <v>378</v>
      </c>
      <c r="W4720" s="12" t="s">
        <v>22894</v>
      </c>
      <c r="X4720" s="16" t="s">
        <v>22895</v>
      </c>
      <c r="Y4720" s="15" t="s">
        <v>108</v>
      </c>
      <c r="Z4720" s="14">
        <v>1.35</v>
      </c>
      <c r="AA4720" s="14">
        <v>5.3</v>
      </c>
      <c r="AB4720" s="12" t="s">
        <v>43</v>
      </c>
      <c r="AC4720" s="12" t="s">
        <v>22896</v>
      </c>
      <c r="AD4720" s="13">
        <v>43562</v>
      </c>
      <c r="AE4720" s="12" t="s">
        <v>7876</v>
      </c>
      <c r="AF4720" s="12" t="s">
        <v>786</v>
      </c>
      <c r="AG4720" s="12" t="s">
        <v>22897</v>
      </c>
      <c r="AH4720" s="1">
        <f>HYPERLINK("https://my.pitchbook.com?c=127384-30T","View Company Online")</f>
      </c>
    </row>
    <row r="4721">
      <c r="A4721" s="3" t="s">
        <v>22898</v>
      </c>
      <c r="B4721" s="3" t="s">
        <v>22899</v>
      </c>
      <c r="C4721" s="5">
        <v>2</v>
      </c>
      <c r="D4721" s="5">
        <v>15</v>
      </c>
      <c r="E4721" s="5">
        <v>10</v>
      </c>
      <c r="F4721" s="5">
        <v>20</v>
      </c>
      <c r="G4721" s="6" t="s">
        <v>326</v>
      </c>
      <c r="H4721" s="4">
        <v>4.15</v>
      </c>
      <c r="I4721" s="7">
        <v>21.57</v>
      </c>
      <c r="J4721" s="3" t="s">
        <v>521</v>
      </c>
      <c r="K4721" s="9" t="s">
        <v>36</v>
      </c>
      <c r="L4721" s="6" t="s">
        <v>36</v>
      </c>
      <c r="M4721" s="3" t="s">
        <v>36</v>
      </c>
      <c r="N4721" s="3" t="s">
        <v>36</v>
      </c>
      <c r="O4721" s="8" t="s">
        <v>36</v>
      </c>
      <c r="P4721" s="3" t="s">
        <v>36</v>
      </c>
      <c r="Q4721" s="3" t="s">
        <v>36</v>
      </c>
      <c r="R4721" s="3" t="s">
        <v>36</v>
      </c>
      <c r="S4721" s="3" t="s">
        <v>36</v>
      </c>
      <c r="T4721" s="3" t="s">
        <v>1863</v>
      </c>
      <c r="U4721" s="3" t="s">
        <v>96</v>
      </c>
      <c r="V4721" s="3" t="s">
        <v>52</v>
      </c>
      <c r="W4721" s="3" t="s">
        <v>22900</v>
      </c>
      <c r="X4721" s="10" t="s">
        <v>22901</v>
      </c>
      <c r="Y4721" s="6" t="s">
        <v>42</v>
      </c>
      <c r="Z4721" s="4">
        <v>3.55</v>
      </c>
      <c r="AA4721" s="4">
        <v>5.75</v>
      </c>
      <c r="AB4721" s="3" t="s">
        <v>43</v>
      </c>
      <c r="AC4721" s="3" t="s">
        <v>22902</v>
      </c>
      <c r="AD4721" s="9">
        <v>43561</v>
      </c>
      <c r="AE4721" s="3" t="s">
        <v>1414</v>
      </c>
      <c r="AF4721" s="3" t="s">
        <v>12008</v>
      </c>
      <c r="AG4721" s="3" t="s">
        <v>19828</v>
      </c>
      <c r="AH4721" s="11">
        <f>HYPERLINK("https://my.pitchbook.com?c=121884-31T","View Company Online")</f>
      </c>
    </row>
    <row r="4722">
      <c r="A4722" s="12" t="s">
        <v>22903</v>
      </c>
      <c r="B4722" s="12" t="s">
        <v>11333</v>
      </c>
      <c r="C4722" s="19" t="s">
        <v>36</v>
      </c>
      <c r="D4722" s="19" t="s">
        <v>36</v>
      </c>
      <c r="E4722" s="19" t="s">
        <v>36</v>
      </c>
      <c r="F4722" s="19" t="s">
        <v>36</v>
      </c>
      <c r="G4722" s="15" t="s">
        <v>36</v>
      </c>
      <c r="H4722" s="14" t="s">
        <v>36</v>
      </c>
      <c r="I4722" s="18" t="s">
        <v>36</v>
      </c>
      <c r="J4722" s="12" t="s">
        <v>36</v>
      </c>
      <c r="K4722" s="13" t="s">
        <v>36</v>
      </c>
      <c r="L4722" s="15" t="s">
        <v>36</v>
      </c>
      <c r="M4722" s="12" t="s">
        <v>36</v>
      </c>
      <c r="N4722" s="12" t="s">
        <v>36</v>
      </c>
      <c r="O4722" s="17" t="s">
        <v>36</v>
      </c>
      <c r="P4722" s="12" t="s">
        <v>36</v>
      </c>
      <c r="Q4722" s="12" t="s">
        <v>36</v>
      </c>
      <c r="R4722" s="12" t="s">
        <v>36</v>
      </c>
      <c r="S4722" s="12" t="s">
        <v>36</v>
      </c>
      <c r="T4722" s="12" t="s">
        <v>11334</v>
      </c>
      <c r="U4722" s="12" t="s">
        <v>38</v>
      </c>
      <c r="V4722" s="12" t="s">
        <v>39</v>
      </c>
      <c r="W4722" s="12" t="s">
        <v>11335</v>
      </c>
      <c r="X4722" s="16" t="s">
        <v>21743</v>
      </c>
      <c r="Y4722" s="15" t="s">
        <v>192</v>
      </c>
      <c r="Z4722" s="14" t="s">
        <v>36</v>
      </c>
      <c r="AA4722" s="14" t="s">
        <v>36</v>
      </c>
      <c r="AB4722" s="12" t="s">
        <v>43</v>
      </c>
      <c r="AC4722" s="12" t="s">
        <v>11337</v>
      </c>
      <c r="AD4722" s="13">
        <v>43561</v>
      </c>
      <c r="AE4722" s="12" t="s">
        <v>45</v>
      </c>
      <c r="AF4722" s="12" t="s">
        <v>1852</v>
      </c>
      <c r="AG4722" s="12" t="s">
        <v>81</v>
      </c>
      <c r="AH4722" s="1">
        <f>HYPERLINK("https://my.pitchbook.com?c=170520-67T","View Company Online")</f>
      </c>
    </row>
    <row r="4723">
      <c r="A4723" s="3" t="s">
        <v>22904</v>
      </c>
      <c r="B4723" s="3" t="s">
        <v>22905</v>
      </c>
      <c r="C4723" s="5" t="s">
        <v>36</v>
      </c>
      <c r="D4723" s="5" t="s">
        <v>36</v>
      </c>
      <c r="E4723" s="5" t="s">
        <v>36</v>
      </c>
      <c r="F4723" s="5" t="s">
        <v>36</v>
      </c>
      <c r="G4723" s="6" t="s">
        <v>36</v>
      </c>
      <c r="H4723" s="4" t="s">
        <v>36</v>
      </c>
      <c r="I4723" s="7" t="s">
        <v>36</v>
      </c>
      <c r="J4723" s="3" t="s">
        <v>36</v>
      </c>
      <c r="K4723" s="9" t="s">
        <v>36</v>
      </c>
      <c r="L4723" s="6" t="s">
        <v>36</v>
      </c>
      <c r="M4723" s="3" t="s">
        <v>36</v>
      </c>
      <c r="N4723" s="3" t="s">
        <v>36</v>
      </c>
      <c r="O4723" s="8" t="s">
        <v>36</v>
      </c>
      <c r="P4723" s="3" t="s">
        <v>36</v>
      </c>
      <c r="Q4723" s="3" t="s">
        <v>36</v>
      </c>
      <c r="R4723" s="3" t="s">
        <v>36</v>
      </c>
      <c r="S4723" s="3" t="s">
        <v>36</v>
      </c>
      <c r="T4723" s="3" t="s">
        <v>22906</v>
      </c>
      <c r="U4723" s="3" t="s">
        <v>74</v>
      </c>
      <c r="V4723" s="3" t="s">
        <v>75</v>
      </c>
      <c r="W4723" s="3" t="s">
        <v>22907</v>
      </c>
      <c r="X4723" s="10" t="s">
        <v>1872</v>
      </c>
      <c r="Y4723" s="6" t="s">
        <v>42</v>
      </c>
      <c r="Z4723" s="4" t="s">
        <v>36</v>
      </c>
      <c r="AA4723" s="4" t="s">
        <v>36</v>
      </c>
      <c r="AB4723" s="3" t="s">
        <v>56</v>
      </c>
      <c r="AC4723" s="3" t="s">
        <v>22908</v>
      </c>
      <c r="AD4723" s="9">
        <v>43561</v>
      </c>
      <c r="AE4723" s="3" t="s">
        <v>79</v>
      </c>
      <c r="AF4723" s="3" t="s">
        <v>571</v>
      </c>
      <c r="AG4723" s="3" t="s">
        <v>741</v>
      </c>
      <c r="AH4723" s="11">
        <f>HYPERLINK("https://my.pitchbook.com?c=117161-92T","View Company Online")</f>
      </c>
    </row>
    <row r="4724">
      <c r="A4724" s="12" t="s">
        <v>22909</v>
      </c>
      <c r="B4724" s="12" t="s">
        <v>18446</v>
      </c>
      <c r="C4724" s="19" t="s">
        <v>36</v>
      </c>
      <c r="D4724" s="19" t="s">
        <v>36</v>
      </c>
      <c r="E4724" s="19">
        <v>1</v>
      </c>
      <c r="F4724" s="19">
        <v>1</v>
      </c>
      <c r="G4724" s="15" t="s">
        <v>2497</v>
      </c>
      <c r="H4724" s="14">
        <v>9.47</v>
      </c>
      <c r="I4724" s="18">
        <v>64.29</v>
      </c>
      <c r="J4724" s="12" t="s">
        <v>521</v>
      </c>
      <c r="K4724" s="13" t="s">
        <v>36</v>
      </c>
      <c r="L4724" s="15" t="s">
        <v>122</v>
      </c>
      <c r="M4724" s="12" t="s">
        <v>36</v>
      </c>
      <c r="N4724" s="12" t="s">
        <v>122</v>
      </c>
      <c r="O4724" s="17" t="s">
        <v>36</v>
      </c>
      <c r="P4724" s="12" t="s">
        <v>36</v>
      </c>
      <c r="Q4724" s="12" t="s">
        <v>36</v>
      </c>
      <c r="R4724" s="12" t="s">
        <v>36</v>
      </c>
      <c r="S4724" s="12" t="s">
        <v>36</v>
      </c>
      <c r="T4724" s="12" t="s">
        <v>18447</v>
      </c>
      <c r="U4724" s="12" t="s">
        <v>180</v>
      </c>
      <c r="V4724" s="12" t="s">
        <v>52</v>
      </c>
      <c r="W4724" s="12" t="s">
        <v>18448</v>
      </c>
      <c r="X4724" s="16" t="s">
        <v>22910</v>
      </c>
      <c r="Y4724" s="15" t="s">
        <v>108</v>
      </c>
      <c r="Z4724" s="14">
        <v>1.69</v>
      </c>
      <c r="AA4724" s="14">
        <v>2.37</v>
      </c>
      <c r="AB4724" s="12" t="s">
        <v>56</v>
      </c>
      <c r="AC4724" s="12" t="s">
        <v>18449</v>
      </c>
      <c r="AD4724" s="13">
        <v>43560</v>
      </c>
      <c r="AE4724" s="12" t="s">
        <v>184</v>
      </c>
      <c r="AF4724" s="12" t="s">
        <v>18450</v>
      </c>
      <c r="AG4724" s="12" t="s">
        <v>1843</v>
      </c>
      <c r="AH4724" s="1">
        <f>HYPERLINK("https://my.pitchbook.com?c=127214-65T","View Company Online")</f>
      </c>
    </row>
    <row r="4725">
      <c r="A4725" s="3" t="s">
        <v>22911</v>
      </c>
      <c r="B4725" s="3" t="s">
        <v>22912</v>
      </c>
      <c r="C4725" s="5" t="s">
        <v>36</v>
      </c>
      <c r="D4725" s="5" t="s">
        <v>36</v>
      </c>
      <c r="E4725" s="5" t="s">
        <v>36</v>
      </c>
      <c r="F4725" s="5" t="s">
        <v>36</v>
      </c>
      <c r="G4725" s="6" t="s">
        <v>36</v>
      </c>
      <c r="H4725" s="4" t="s">
        <v>36</v>
      </c>
      <c r="I4725" s="7" t="s">
        <v>36</v>
      </c>
      <c r="J4725" s="3" t="s">
        <v>36</v>
      </c>
      <c r="K4725" s="9" t="s">
        <v>36</v>
      </c>
      <c r="L4725" s="6" t="s">
        <v>36</v>
      </c>
      <c r="M4725" s="3" t="s">
        <v>36</v>
      </c>
      <c r="N4725" s="3" t="s">
        <v>36</v>
      </c>
      <c r="O4725" s="8" t="s">
        <v>36</v>
      </c>
      <c r="P4725" s="3" t="s">
        <v>36</v>
      </c>
      <c r="Q4725" s="3" t="s">
        <v>36</v>
      </c>
      <c r="R4725" s="3" t="s">
        <v>36</v>
      </c>
      <c r="S4725" s="3" t="s">
        <v>36</v>
      </c>
      <c r="T4725" s="3" t="s">
        <v>22913</v>
      </c>
      <c r="U4725" s="3" t="s">
        <v>318</v>
      </c>
      <c r="V4725" s="3" t="s">
        <v>39</v>
      </c>
      <c r="W4725" s="3" t="s">
        <v>22914</v>
      </c>
      <c r="X4725" s="10" t="s">
        <v>22915</v>
      </c>
      <c r="Y4725" s="6" t="s">
        <v>42</v>
      </c>
      <c r="Z4725" s="4">
        <v>0.06</v>
      </c>
      <c r="AA4725" s="4" t="s">
        <v>36</v>
      </c>
      <c r="AB4725" s="3" t="s">
        <v>43</v>
      </c>
      <c r="AC4725" s="3" t="s">
        <v>22916</v>
      </c>
      <c r="AD4725" s="9">
        <v>43560</v>
      </c>
      <c r="AE4725" s="3" t="s">
        <v>417</v>
      </c>
      <c r="AF4725" s="3" t="s">
        <v>815</v>
      </c>
      <c r="AG4725" s="3" t="s">
        <v>81</v>
      </c>
      <c r="AH4725" s="11">
        <f>HYPERLINK("https://my.pitchbook.com?c=121058-74T","View Company Online")</f>
      </c>
    </row>
    <row r="4726">
      <c r="A4726" s="12" t="s">
        <v>22917</v>
      </c>
      <c r="B4726" s="12" t="s">
        <v>5443</v>
      </c>
      <c r="C4726" s="19">
        <v>1</v>
      </c>
      <c r="D4726" s="19">
        <v>4</v>
      </c>
      <c r="E4726" s="19">
        <v>1</v>
      </c>
      <c r="F4726" s="19">
        <v>5</v>
      </c>
      <c r="G4726" s="15" t="s">
        <v>326</v>
      </c>
      <c r="H4726" s="14">
        <v>131.9</v>
      </c>
      <c r="I4726" s="18">
        <v>13.66</v>
      </c>
      <c r="J4726" s="12" t="s">
        <v>521</v>
      </c>
      <c r="K4726" s="13" t="s">
        <v>36</v>
      </c>
      <c r="L4726" s="15" t="s">
        <v>36</v>
      </c>
      <c r="M4726" s="12" t="s">
        <v>36</v>
      </c>
      <c r="N4726" s="12" t="s">
        <v>36</v>
      </c>
      <c r="O4726" s="17" t="s">
        <v>36</v>
      </c>
      <c r="P4726" s="12" t="s">
        <v>36</v>
      </c>
      <c r="Q4726" s="12" t="s">
        <v>36</v>
      </c>
      <c r="R4726" s="12" t="s">
        <v>36</v>
      </c>
      <c r="S4726" s="12" t="s">
        <v>36</v>
      </c>
      <c r="T4726" s="12" t="s">
        <v>386</v>
      </c>
      <c r="U4726" s="12" t="s">
        <v>387</v>
      </c>
      <c r="V4726" s="12" t="s">
        <v>367</v>
      </c>
      <c r="W4726" s="12" t="s">
        <v>5444</v>
      </c>
      <c r="X4726" s="16" t="s">
        <v>22918</v>
      </c>
      <c r="Y4726" s="15" t="s">
        <v>55</v>
      </c>
      <c r="Z4726" s="14">
        <v>1.02</v>
      </c>
      <c r="AA4726" s="14">
        <v>7.43</v>
      </c>
      <c r="AB4726" s="12" t="s">
        <v>43</v>
      </c>
      <c r="AC4726" s="12" t="s">
        <v>5446</v>
      </c>
      <c r="AD4726" s="13">
        <v>43559</v>
      </c>
      <c r="AE4726" s="12" t="s">
        <v>391</v>
      </c>
      <c r="AF4726" s="12" t="s">
        <v>5447</v>
      </c>
      <c r="AG4726" s="12" t="s">
        <v>102</v>
      </c>
      <c r="AH4726" s="1">
        <f>HYPERLINK("https://my.pitchbook.com?c=135941-77T","View Company Online")</f>
      </c>
    </row>
    <row r="4727">
      <c r="A4727" s="3" t="s">
        <v>22919</v>
      </c>
      <c r="B4727" s="3" t="s">
        <v>9087</v>
      </c>
      <c r="C4727" s="5">
        <v>2</v>
      </c>
      <c r="D4727" s="5">
        <v>8</v>
      </c>
      <c r="E4727" s="5">
        <v>1</v>
      </c>
      <c r="F4727" s="5">
        <v>10</v>
      </c>
      <c r="G4727" s="6" t="s">
        <v>36</v>
      </c>
      <c r="H4727" s="4" t="s">
        <v>36</v>
      </c>
      <c r="I4727" s="7" t="s">
        <v>36</v>
      </c>
      <c r="J4727" s="3" t="s">
        <v>36</v>
      </c>
      <c r="K4727" s="9" t="s">
        <v>36</v>
      </c>
      <c r="L4727" s="6" t="s">
        <v>36</v>
      </c>
      <c r="M4727" s="3" t="s">
        <v>36</v>
      </c>
      <c r="N4727" s="3" t="s">
        <v>36</v>
      </c>
      <c r="O4727" s="8" t="s">
        <v>36</v>
      </c>
      <c r="P4727" s="3" t="s">
        <v>36</v>
      </c>
      <c r="Q4727" s="3" t="s">
        <v>36</v>
      </c>
      <c r="R4727" s="3" t="s">
        <v>36</v>
      </c>
      <c r="S4727" s="3" t="s">
        <v>36</v>
      </c>
      <c r="T4727" s="3" t="s">
        <v>9088</v>
      </c>
      <c r="U4727" s="3" t="s">
        <v>38</v>
      </c>
      <c r="V4727" s="3" t="s">
        <v>39</v>
      </c>
      <c r="W4727" s="3" t="s">
        <v>9089</v>
      </c>
      <c r="X4727" s="10" t="s">
        <v>22920</v>
      </c>
      <c r="Y4727" s="6" t="s">
        <v>108</v>
      </c>
      <c r="Z4727" s="4" t="s">
        <v>36</v>
      </c>
      <c r="AA4727" s="4" t="s">
        <v>36</v>
      </c>
      <c r="AB4727" s="3" t="s">
        <v>43</v>
      </c>
      <c r="AC4727" s="3" t="s">
        <v>9091</v>
      </c>
      <c r="AD4727" s="9">
        <v>43559</v>
      </c>
      <c r="AE4727" s="3" t="s">
        <v>110</v>
      </c>
      <c r="AF4727" s="3" t="s">
        <v>9092</v>
      </c>
      <c r="AG4727" s="3" t="s">
        <v>47</v>
      </c>
      <c r="AH4727" s="11">
        <f>HYPERLINK("https://my.pitchbook.com?c=159755-68T","View Company Online")</f>
      </c>
    </row>
    <row r="4728">
      <c r="A4728" s="12" t="s">
        <v>22921</v>
      </c>
      <c r="B4728" s="12" t="s">
        <v>3759</v>
      </c>
      <c r="C4728" s="19" t="s">
        <v>36</v>
      </c>
      <c r="D4728" s="19" t="s">
        <v>36</v>
      </c>
      <c r="E4728" s="19" t="s">
        <v>36</v>
      </c>
      <c r="F4728" s="19" t="s">
        <v>36</v>
      </c>
      <c r="G4728" s="15" t="s">
        <v>36</v>
      </c>
      <c r="H4728" s="14" t="s">
        <v>36</v>
      </c>
      <c r="I4728" s="18" t="s">
        <v>36</v>
      </c>
      <c r="J4728" s="12" t="s">
        <v>36</v>
      </c>
      <c r="K4728" s="13" t="s">
        <v>36</v>
      </c>
      <c r="L4728" s="15" t="s">
        <v>36</v>
      </c>
      <c r="M4728" s="12" t="s">
        <v>36</v>
      </c>
      <c r="N4728" s="12" t="s">
        <v>36</v>
      </c>
      <c r="O4728" s="17" t="s">
        <v>36</v>
      </c>
      <c r="P4728" s="12" t="s">
        <v>36</v>
      </c>
      <c r="Q4728" s="12" t="s">
        <v>36</v>
      </c>
      <c r="R4728" s="12" t="s">
        <v>36</v>
      </c>
      <c r="S4728" s="12" t="s">
        <v>36</v>
      </c>
      <c r="T4728" s="12" t="s">
        <v>768</v>
      </c>
      <c r="U4728" s="12" t="s">
        <v>233</v>
      </c>
      <c r="V4728" s="12" t="s">
        <v>39</v>
      </c>
      <c r="W4728" s="12" t="s">
        <v>3760</v>
      </c>
      <c r="X4728" s="16" t="s">
        <v>22922</v>
      </c>
      <c r="Y4728" s="15" t="s">
        <v>108</v>
      </c>
      <c r="Z4728" s="14">
        <v>0.56</v>
      </c>
      <c r="AA4728" s="14" t="s">
        <v>36</v>
      </c>
      <c r="AB4728" s="12" t="s">
        <v>56</v>
      </c>
      <c r="AC4728" s="12" t="s">
        <v>3761</v>
      </c>
      <c r="AD4728" s="13">
        <v>43559</v>
      </c>
      <c r="AE4728" s="12" t="s">
        <v>236</v>
      </c>
      <c r="AF4728" s="12" t="s">
        <v>3762</v>
      </c>
      <c r="AG4728" s="12" t="s">
        <v>1078</v>
      </c>
      <c r="AH4728" s="1">
        <f>HYPERLINK("https://my.pitchbook.com?c=255996-46T","View Company Online")</f>
      </c>
    </row>
    <row r="4729">
      <c r="A4729" s="3" t="s">
        <v>22923</v>
      </c>
      <c r="B4729" s="3" t="s">
        <v>8643</v>
      </c>
      <c r="C4729" s="5" t="s">
        <v>36</v>
      </c>
      <c r="D4729" s="5" t="s">
        <v>36</v>
      </c>
      <c r="E4729" s="5" t="s">
        <v>36</v>
      </c>
      <c r="F4729" s="5" t="s">
        <v>36</v>
      </c>
      <c r="G4729" s="6" t="s">
        <v>36</v>
      </c>
      <c r="H4729" s="4" t="s">
        <v>36</v>
      </c>
      <c r="I4729" s="7">
        <v>19.67</v>
      </c>
      <c r="J4729" s="3" t="s">
        <v>327</v>
      </c>
      <c r="K4729" s="9">
        <v>43550</v>
      </c>
      <c r="L4729" s="6" t="s">
        <v>36</v>
      </c>
      <c r="M4729" s="3" t="s">
        <v>36</v>
      </c>
      <c r="N4729" s="3" t="s">
        <v>36</v>
      </c>
      <c r="O4729" s="8" t="s">
        <v>36</v>
      </c>
      <c r="P4729" s="3" t="s">
        <v>36</v>
      </c>
      <c r="Q4729" s="3" t="s">
        <v>36</v>
      </c>
      <c r="R4729" s="3" t="s">
        <v>36</v>
      </c>
      <c r="S4729" s="3" t="s">
        <v>36</v>
      </c>
      <c r="T4729" s="3" t="s">
        <v>37</v>
      </c>
      <c r="U4729" s="3" t="s">
        <v>38</v>
      </c>
      <c r="V4729" s="3" t="s">
        <v>39</v>
      </c>
      <c r="W4729" s="3" t="s">
        <v>8644</v>
      </c>
      <c r="X4729" s="10" t="s">
        <v>22924</v>
      </c>
      <c r="Y4729" s="6" t="s">
        <v>166</v>
      </c>
      <c r="Z4729" s="4">
        <v>4.96</v>
      </c>
      <c r="AA4729" s="4">
        <v>25.24</v>
      </c>
      <c r="AB4729" s="3" t="s">
        <v>56</v>
      </c>
      <c r="AC4729" s="3" t="s">
        <v>8646</v>
      </c>
      <c r="AD4729" s="9">
        <v>43559</v>
      </c>
      <c r="AE4729" s="3" t="s">
        <v>45</v>
      </c>
      <c r="AF4729" s="3" t="s">
        <v>5901</v>
      </c>
      <c r="AG4729" s="3" t="s">
        <v>4796</v>
      </c>
      <c r="AH4729" s="11">
        <f>HYPERLINK("https://my.pitchbook.com?c=117937-27T","View Company Online")</f>
      </c>
    </row>
    <row r="4730">
      <c r="A4730" s="12" t="s">
        <v>22925</v>
      </c>
      <c r="B4730" s="12" t="s">
        <v>22926</v>
      </c>
      <c r="C4730" s="19">
        <v>3</v>
      </c>
      <c r="D4730" s="19">
        <v>12</v>
      </c>
      <c r="E4730" s="19">
        <v>3</v>
      </c>
      <c r="F4730" s="19">
        <v>15</v>
      </c>
      <c r="G4730" s="15" t="s">
        <v>36</v>
      </c>
      <c r="H4730" s="14" t="s">
        <v>36</v>
      </c>
      <c r="I4730" s="18" t="s">
        <v>36</v>
      </c>
      <c r="J4730" s="12" t="s">
        <v>36</v>
      </c>
      <c r="K4730" s="13" t="s">
        <v>36</v>
      </c>
      <c r="L4730" s="15" t="s">
        <v>36</v>
      </c>
      <c r="M4730" s="12" t="s">
        <v>36</v>
      </c>
      <c r="N4730" s="12" t="s">
        <v>36</v>
      </c>
      <c r="O4730" s="17" t="s">
        <v>36</v>
      </c>
      <c r="P4730" s="12" t="s">
        <v>36</v>
      </c>
      <c r="Q4730" s="12" t="s">
        <v>36</v>
      </c>
      <c r="R4730" s="12" t="s">
        <v>36</v>
      </c>
      <c r="S4730" s="12" t="s">
        <v>36</v>
      </c>
      <c r="T4730" s="12" t="s">
        <v>22927</v>
      </c>
      <c r="U4730" s="12" t="s">
        <v>38</v>
      </c>
      <c r="V4730" s="12" t="s">
        <v>39</v>
      </c>
      <c r="W4730" s="12" t="s">
        <v>22928</v>
      </c>
      <c r="X4730" s="16" t="s">
        <v>22929</v>
      </c>
      <c r="Y4730" s="15" t="s">
        <v>42</v>
      </c>
      <c r="Z4730" s="14">
        <v>2.26</v>
      </c>
      <c r="AA4730" s="14" t="s">
        <v>36</v>
      </c>
      <c r="AB4730" s="12" t="s">
        <v>43</v>
      </c>
      <c r="AC4730" s="12" t="s">
        <v>22930</v>
      </c>
      <c r="AD4730" s="13">
        <v>43558</v>
      </c>
      <c r="AE4730" s="12" t="s">
        <v>110</v>
      </c>
      <c r="AF4730" s="12" t="s">
        <v>22931</v>
      </c>
      <c r="AG4730" s="12" t="s">
        <v>144</v>
      </c>
      <c r="AH4730" s="1">
        <f>HYPERLINK("https://my.pitchbook.com?c=136501-48T","View Company Online")</f>
      </c>
    </row>
    <row r="4731">
      <c r="A4731" s="3" t="s">
        <v>22932</v>
      </c>
      <c r="B4731" s="3" t="s">
        <v>22933</v>
      </c>
      <c r="C4731" s="5" t="s">
        <v>36</v>
      </c>
      <c r="D4731" s="5" t="s">
        <v>36</v>
      </c>
      <c r="E4731" s="5" t="s">
        <v>36</v>
      </c>
      <c r="F4731" s="5" t="s">
        <v>36</v>
      </c>
      <c r="G4731" s="6" t="s">
        <v>683</v>
      </c>
      <c r="H4731" s="4">
        <v>519.28</v>
      </c>
      <c r="I4731" s="7">
        <v>27.5</v>
      </c>
      <c r="J4731" s="3" t="s">
        <v>521</v>
      </c>
      <c r="K4731" s="9" t="s">
        <v>36</v>
      </c>
      <c r="L4731" s="6" t="s">
        <v>36</v>
      </c>
      <c r="M4731" s="3" t="s">
        <v>36</v>
      </c>
      <c r="N4731" s="3" t="s">
        <v>36</v>
      </c>
      <c r="O4731" s="8" t="s">
        <v>36</v>
      </c>
      <c r="P4731" s="3" t="s">
        <v>36</v>
      </c>
      <c r="Q4731" s="3" t="s">
        <v>36</v>
      </c>
      <c r="R4731" s="3" t="s">
        <v>36</v>
      </c>
      <c r="S4731" s="3" t="s">
        <v>36</v>
      </c>
      <c r="T4731" s="3" t="s">
        <v>22934</v>
      </c>
      <c r="U4731" s="3" t="s">
        <v>1357</v>
      </c>
      <c r="V4731" s="3" t="s">
        <v>52</v>
      </c>
      <c r="W4731" s="3" t="s">
        <v>22935</v>
      </c>
      <c r="X4731" s="10" t="s">
        <v>9680</v>
      </c>
      <c r="Y4731" s="6" t="s">
        <v>108</v>
      </c>
      <c r="Z4731" s="4">
        <v>0.37</v>
      </c>
      <c r="AA4731" s="4">
        <v>1.35</v>
      </c>
      <c r="AB4731" s="3" t="s">
        <v>56</v>
      </c>
      <c r="AC4731" s="3" t="s">
        <v>22936</v>
      </c>
      <c r="AD4731" s="9">
        <v>43558</v>
      </c>
      <c r="AE4731" s="3" t="s">
        <v>3204</v>
      </c>
      <c r="AF4731" s="3" t="s">
        <v>14380</v>
      </c>
      <c r="AG4731" s="3" t="s">
        <v>899</v>
      </c>
      <c r="AH4731" s="11">
        <f>HYPERLINK("https://my.pitchbook.com?c=187944-67T","View Company Online")</f>
      </c>
    </row>
    <row r="4732">
      <c r="A4732" s="12" t="s">
        <v>22937</v>
      </c>
      <c r="B4732" s="12" t="s">
        <v>22938</v>
      </c>
      <c r="C4732" s="19">
        <v>1</v>
      </c>
      <c r="D4732" s="19">
        <v>3</v>
      </c>
      <c r="E4732" s="19">
        <v>3</v>
      </c>
      <c r="F4732" s="19">
        <v>5</v>
      </c>
      <c r="G4732" s="15" t="s">
        <v>36</v>
      </c>
      <c r="H4732" s="14">
        <v>75.6</v>
      </c>
      <c r="I4732" s="18">
        <v>17.7</v>
      </c>
      <c r="J4732" s="12" t="s">
        <v>521</v>
      </c>
      <c r="K4732" s="13" t="s">
        <v>36</v>
      </c>
      <c r="L4732" s="15" t="s">
        <v>36</v>
      </c>
      <c r="M4732" s="12" t="s">
        <v>36</v>
      </c>
      <c r="N4732" s="12" t="s">
        <v>36</v>
      </c>
      <c r="O4732" s="17" t="s">
        <v>36</v>
      </c>
      <c r="P4732" s="12" t="s">
        <v>36</v>
      </c>
      <c r="Q4732" s="12" t="s">
        <v>36</v>
      </c>
      <c r="R4732" s="12" t="s">
        <v>36</v>
      </c>
      <c r="S4732" s="12" t="s">
        <v>36</v>
      </c>
      <c r="T4732" s="12" t="s">
        <v>18140</v>
      </c>
      <c r="U4732" s="12" t="s">
        <v>38</v>
      </c>
      <c r="V4732" s="12" t="s">
        <v>39</v>
      </c>
      <c r="W4732" s="12" t="s">
        <v>22939</v>
      </c>
      <c r="X4732" s="16" t="s">
        <v>22940</v>
      </c>
      <c r="Y4732" s="15" t="s">
        <v>42</v>
      </c>
      <c r="Z4732" s="14">
        <v>0.27</v>
      </c>
      <c r="AA4732" s="14">
        <v>1.5</v>
      </c>
      <c r="AB4732" s="12" t="s">
        <v>56</v>
      </c>
      <c r="AC4732" s="12" t="s">
        <v>22941</v>
      </c>
      <c r="AD4732" s="13">
        <v>43558</v>
      </c>
      <c r="AE4732" s="12" t="s">
        <v>110</v>
      </c>
      <c r="AF4732" s="12" t="s">
        <v>22942</v>
      </c>
      <c r="AG4732" s="12" t="s">
        <v>899</v>
      </c>
      <c r="AH4732" s="1">
        <f>HYPERLINK("https://my.pitchbook.com?c=189687-70T","View Company Online")</f>
      </c>
    </row>
    <row r="4733">
      <c r="A4733" s="3" t="s">
        <v>22943</v>
      </c>
      <c r="B4733" s="3" t="s">
        <v>22944</v>
      </c>
      <c r="C4733" s="5" t="s">
        <v>36</v>
      </c>
      <c r="D4733" s="5" t="s">
        <v>36</v>
      </c>
      <c r="E4733" s="5" t="s">
        <v>36</v>
      </c>
      <c r="F4733" s="5" t="s">
        <v>36</v>
      </c>
      <c r="G4733" s="6" t="s">
        <v>36</v>
      </c>
      <c r="H4733" s="4">
        <v>292.06</v>
      </c>
      <c r="I4733" s="7">
        <v>25.21</v>
      </c>
      <c r="J4733" s="3" t="s">
        <v>521</v>
      </c>
      <c r="K4733" s="9" t="s">
        <v>36</v>
      </c>
      <c r="L4733" s="6" t="s">
        <v>36</v>
      </c>
      <c r="M4733" s="3" t="s">
        <v>36</v>
      </c>
      <c r="N4733" s="3" t="s">
        <v>36</v>
      </c>
      <c r="O4733" s="8" t="s">
        <v>36</v>
      </c>
      <c r="P4733" s="3" t="s">
        <v>36</v>
      </c>
      <c r="Q4733" s="3" t="s">
        <v>36</v>
      </c>
      <c r="R4733" s="3" t="s">
        <v>36</v>
      </c>
      <c r="S4733" s="3" t="s">
        <v>36</v>
      </c>
      <c r="T4733" s="3" t="s">
        <v>12057</v>
      </c>
      <c r="U4733" s="3" t="s">
        <v>233</v>
      </c>
      <c r="V4733" s="3" t="s">
        <v>39</v>
      </c>
      <c r="W4733" s="3" t="s">
        <v>22945</v>
      </c>
      <c r="X4733" s="10" t="s">
        <v>22946</v>
      </c>
      <c r="Y4733" s="6" t="s">
        <v>42</v>
      </c>
      <c r="Z4733" s="4">
        <v>0.83</v>
      </c>
      <c r="AA4733" s="4">
        <v>2.26</v>
      </c>
      <c r="AB4733" s="3" t="s">
        <v>56</v>
      </c>
      <c r="AC4733" s="3" t="s">
        <v>22947</v>
      </c>
      <c r="AD4733" s="9">
        <v>43558</v>
      </c>
      <c r="AE4733" s="3" t="s">
        <v>12061</v>
      </c>
      <c r="AF4733" s="3" t="s">
        <v>5001</v>
      </c>
      <c r="AG4733" s="3" t="s">
        <v>22948</v>
      </c>
      <c r="AH4733" s="11">
        <f>HYPERLINK("https://my.pitchbook.com?c=118011-07T","View Company Online")</f>
      </c>
    </row>
    <row r="4734">
      <c r="A4734" s="12" t="s">
        <v>22949</v>
      </c>
      <c r="B4734" s="12" t="s">
        <v>2352</v>
      </c>
      <c r="C4734" s="19" t="s">
        <v>36</v>
      </c>
      <c r="D4734" s="19" t="s">
        <v>36</v>
      </c>
      <c r="E4734" s="19" t="s">
        <v>36</v>
      </c>
      <c r="F4734" s="19" t="s">
        <v>36</v>
      </c>
      <c r="G4734" s="15" t="s">
        <v>2497</v>
      </c>
      <c r="H4734" s="14">
        <v>8.82</v>
      </c>
      <c r="I4734" s="18">
        <v>37.08</v>
      </c>
      <c r="J4734" s="12" t="s">
        <v>521</v>
      </c>
      <c r="K4734" s="13" t="s">
        <v>36</v>
      </c>
      <c r="L4734" s="15" t="s">
        <v>36</v>
      </c>
      <c r="M4734" s="12" t="s">
        <v>36</v>
      </c>
      <c r="N4734" s="12" t="s">
        <v>36</v>
      </c>
      <c r="O4734" s="17" t="s">
        <v>36</v>
      </c>
      <c r="P4734" s="12" t="s">
        <v>36</v>
      </c>
      <c r="Q4734" s="12" t="s">
        <v>36</v>
      </c>
      <c r="R4734" s="12" t="s">
        <v>36</v>
      </c>
      <c r="S4734" s="12" t="s">
        <v>36</v>
      </c>
      <c r="T4734" s="12" t="s">
        <v>522</v>
      </c>
      <c r="U4734" s="12" t="s">
        <v>38</v>
      </c>
      <c r="V4734" s="12" t="s">
        <v>39</v>
      </c>
      <c r="W4734" s="12" t="s">
        <v>2353</v>
      </c>
      <c r="X4734" s="16" t="s">
        <v>22950</v>
      </c>
      <c r="Y4734" s="15" t="s">
        <v>55</v>
      </c>
      <c r="Z4734" s="14">
        <v>1.26</v>
      </c>
      <c r="AA4734" s="14">
        <v>3.39</v>
      </c>
      <c r="AB4734" s="12" t="s">
        <v>56</v>
      </c>
      <c r="AC4734" s="12" t="s">
        <v>2355</v>
      </c>
      <c r="AD4734" s="13">
        <v>43557</v>
      </c>
      <c r="AE4734" s="12" t="s">
        <v>110</v>
      </c>
      <c r="AF4734" s="12" t="s">
        <v>2356</v>
      </c>
      <c r="AG4734" s="12" t="s">
        <v>741</v>
      </c>
      <c r="AH4734" s="1">
        <f>HYPERLINK("https://my.pitchbook.com?c=180414-73T","View Company Online")</f>
      </c>
    </row>
    <row r="4735">
      <c r="A4735" s="3" t="s">
        <v>22951</v>
      </c>
      <c r="B4735" s="3" t="s">
        <v>16802</v>
      </c>
      <c r="C4735" s="5" t="s">
        <v>36</v>
      </c>
      <c r="D4735" s="5">
        <v>3</v>
      </c>
      <c r="E4735" s="5">
        <v>1</v>
      </c>
      <c r="F4735" s="5">
        <v>4</v>
      </c>
      <c r="G4735" s="6" t="s">
        <v>326</v>
      </c>
      <c r="H4735" s="4">
        <v>1.09</v>
      </c>
      <c r="I4735" s="7">
        <v>38.52</v>
      </c>
      <c r="J4735" s="3" t="s">
        <v>521</v>
      </c>
      <c r="K4735" s="9" t="s">
        <v>36</v>
      </c>
      <c r="L4735" s="6" t="s">
        <v>36</v>
      </c>
      <c r="M4735" s="3" t="s">
        <v>36</v>
      </c>
      <c r="N4735" s="3" t="s">
        <v>36</v>
      </c>
      <c r="O4735" s="8" t="s">
        <v>36</v>
      </c>
      <c r="P4735" s="3" t="s">
        <v>36</v>
      </c>
      <c r="Q4735" s="3" t="s">
        <v>36</v>
      </c>
      <c r="R4735" s="3" t="s">
        <v>36</v>
      </c>
      <c r="S4735" s="3" t="s">
        <v>36</v>
      </c>
      <c r="T4735" s="3" t="s">
        <v>16803</v>
      </c>
      <c r="U4735" s="3" t="s">
        <v>1580</v>
      </c>
      <c r="V4735" s="3" t="s">
        <v>39</v>
      </c>
      <c r="W4735" s="3" t="s">
        <v>16804</v>
      </c>
      <c r="X4735" s="10" t="s">
        <v>22952</v>
      </c>
      <c r="Y4735" s="6" t="s">
        <v>42</v>
      </c>
      <c r="Z4735" s="4">
        <v>2.26</v>
      </c>
      <c r="AA4735" s="4">
        <v>3.53</v>
      </c>
      <c r="AB4735" s="3" t="s">
        <v>56</v>
      </c>
      <c r="AC4735" s="3" t="s">
        <v>16806</v>
      </c>
      <c r="AD4735" s="9">
        <v>43557</v>
      </c>
      <c r="AE4735" s="3" t="s">
        <v>4086</v>
      </c>
      <c r="AF4735" s="3" t="s">
        <v>7294</v>
      </c>
      <c r="AG4735" s="3" t="s">
        <v>81</v>
      </c>
      <c r="AH4735" s="11">
        <f>HYPERLINK("https://my.pitchbook.com?c=117906-22T","View Company Online")</f>
      </c>
    </row>
    <row r="4736">
      <c r="A4736" s="12" t="s">
        <v>22953</v>
      </c>
      <c r="B4736" s="12" t="s">
        <v>22954</v>
      </c>
      <c r="C4736" s="19" t="s">
        <v>36</v>
      </c>
      <c r="D4736" s="19" t="s">
        <v>36</v>
      </c>
      <c r="E4736" s="19" t="s">
        <v>36</v>
      </c>
      <c r="F4736" s="19" t="s">
        <v>36</v>
      </c>
      <c r="G4736" s="15" t="s">
        <v>36</v>
      </c>
      <c r="H4736" s="14" t="s">
        <v>36</v>
      </c>
      <c r="I4736" s="18" t="s">
        <v>36</v>
      </c>
      <c r="J4736" s="12" t="s">
        <v>36</v>
      </c>
      <c r="K4736" s="13" t="s">
        <v>36</v>
      </c>
      <c r="L4736" s="15" t="s">
        <v>94</v>
      </c>
      <c r="M4736" s="12" t="s">
        <v>36</v>
      </c>
      <c r="N4736" s="12" t="s">
        <v>94</v>
      </c>
      <c r="O4736" s="17" t="s">
        <v>36</v>
      </c>
      <c r="P4736" s="12" t="s">
        <v>36</v>
      </c>
      <c r="Q4736" s="12" t="s">
        <v>36</v>
      </c>
      <c r="R4736" s="12" t="s">
        <v>36</v>
      </c>
      <c r="S4736" s="12" t="s">
        <v>36</v>
      </c>
      <c r="T4736" s="12" t="s">
        <v>105</v>
      </c>
      <c r="U4736" s="12" t="s">
        <v>38</v>
      </c>
      <c r="V4736" s="12" t="s">
        <v>39</v>
      </c>
      <c r="W4736" s="12" t="s">
        <v>22955</v>
      </c>
      <c r="X4736" s="16" t="s">
        <v>22956</v>
      </c>
      <c r="Y4736" s="15" t="s">
        <v>192</v>
      </c>
      <c r="Z4736" s="14">
        <v>14.68</v>
      </c>
      <c r="AA4736" s="14" t="s">
        <v>36</v>
      </c>
      <c r="AB4736" s="12" t="s">
        <v>56</v>
      </c>
      <c r="AC4736" s="12" t="s">
        <v>22957</v>
      </c>
      <c r="AD4736" s="13">
        <v>43556</v>
      </c>
      <c r="AE4736" s="12" t="s">
        <v>110</v>
      </c>
      <c r="AF4736" s="12" t="s">
        <v>468</v>
      </c>
      <c r="AG4736" s="12" t="s">
        <v>81</v>
      </c>
      <c r="AH4736" s="1">
        <f>HYPERLINK("https://my.pitchbook.com?c=117815-59T","View Company Online")</f>
      </c>
    </row>
    <row r="4737">
      <c r="A4737" s="3" t="s">
        <v>22958</v>
      </c>
      <c r="B4737" s="3" t="s">
        <v>22959</v>
      </c>
      <c r="C4737" s="5" t="s">
        <v>36</v>
      </c>
      <c r="D4737" s="5" t="s">
        <v>36</v>
      </c>
      <c r="E4737" s="5" t="s">
        <v>36</v>
      </c>
      <c r="F4737" s="5" t="s">
        <v>36</v>
      </c>
      <c r="G4737" s="6" t="s">
        <v>36</v>
      </c>
      <c r="H4737" s="4" t="s">
        <v>36</v>
      </c>
      <c r="I4737" s="7" t="s">
        <v>36</v>
      </c>
      <c r="J4737" s="3" t="s">
        <v>36</v>
      </c>
      <c r="K4737" s="9" t="s">
        <v>36</v>
      </c>
      <c r="L4737" s="6" t="s">
        <v>36</v>
      </c>
      <c r="M4737" s="3" t="s">
        <v>36</v>
      </c>
      <c r="N4737" s="3" t="s">
        <v>36</v>
      </c>
      <c r="O4737" s="8" t="s">
        <v>36</v>
      </c>
      <c r="P4737" s="3" t="s">
        <v>36</v>
      </c>
      <c r="Q4737" s="3" t="s">
        <v>36</v>
      </c>
      <c r="R4737" s="3" t="s">
        <v>36</v>
      </c>
      <c r="S4737" s="3" t="s">
        <v>36</v>
      </c>
      <c r="T4737" s="3" t="s">
        <v>11092</v>
      </c>
      <c r="U4737" s="3" t="s">
        <v>74</v>
      </c>
      <c r="V4737" s="3" t="s">
        <v>75</v>
      </c>
      <c r="W4737" s="3" t="s">
        <v>22960</v>
      </c>
      <c r="X4737" s="10" t="s">
        <v>1872</v>
      </c>
      <c r="Y4737" s="6" t="s">
        <v>42</v>
      </c>
      <c r="Z4737" s="4" t="s">
        <v>36</v>
      </c>
      <c r="AA4737" s="4" t="s">
        <v>36</v>
      </c>
      <c r="AB4737" s="3" t="s">
        <v>56</v>
      </c>
      <c r="AC4737" s="3" t="s">
        <v>22961</v>
      </c>
      <c r="AD4737" s="9">
        <v>43556</v>
      </c>
      <c r="AE4737" s="3" t="s">
        <v>1888</v>
      </c>
      <c r="AF4737" s="3" t="s">
        <v>546</v>
      </c>
      <c r="AG4737" s="3" t="s">
        <v>741</v>
      </c>
      <c r="AH4737" s="11">
        <f>HYPERLINK("https://my.pitchbook.com?c=102476-35T","View Company Online")</f>
      </c>
    </row>
    <row r="4738">
      <c r="A4738" s="12" t="s">
        <v>22962</v>
      </c>
      <c r="B4738" s="12" t="s">
        <v>22963</v>
      </c>
      <c r="C4738" s="19" t="s">
        <v>36</v>
      </c>
      <c r="D4738" s="19" t="s">
        <v>36</v>
      </c>
      <c r="E4738" s="19" t="s">
        <v>36</v>
      </c>
      <c r="F4738" s="19" t="s">
        <v>36</v>
      </c>
      <c r="G4738" s="15" t="s">
        <v>36</v>
      </c>
      <c r="H4738" s="14" t="s">
        <v>36</v>
      </c>
      <c r="I4738" s="18" t="s">
        <v>36</v>
      </c>
      <c r="J4738" s="12" t="s">
        <v>36</v>
      </c>
      <c r="K4738" s="13" t="s">
        <v>36</v>
      </c>
      <c r="L4738" s="15" t="s">
        <v>36</v>
      </c>
      <c r="M4738" s="12" t="s">
        <v>36</v>
      </c>
      <c r="N4738" s="12" t="s">
        <v>36</v>
      </c>
      <c r="O4738" s="17" t="s">
        <v>36</v>
      </c>
      <c r="P4738" s="12" t="s">
        <v>36</v>
      </c>
      <c r="Q4738" s="12" t="s">
        <v>36</v>
      </c>
      <c r="R4738" s="12" t="s">
        <v>36</v>
      </c>
      <c r="S4738" s="12" t="s">
        <v>36</v>
      </c>
      <c r="T4738" s="12" t="s">
        <v>350</v>
      </c>
      <c r="U4738" s="12" t="s">
        <v>38</v>
      </c>
      <c r="V4738" s="12" t="s">
        <v>39</v>
      </c>
      <c r="W4738" s="12" t="s">
        <v>22964</v>
      </c>
      <c r="X4738" s="16" t="s">
        <v>22965</v>
      </c>
      <c r="Y4738" s="15" t="s">
        <v>108</v>
      </c>
      <c r="Z4738" s="14" t="s">
        <v>36</v>
      </c>
      <c r="AA4738" s="14" t="s">
        <v>36</v>
      </c>
      <c r="AB4738" s="12" t="s">
        <v>56</v>
      </c>
      <c r="AC4738" s="12" t="s">
        <v>22966</v>
      </c>
      <c r="AD4738" s="13">
        <v>43556</v>
      </c>
      <c r="AE4738" s="12" t="s">
        <v>110</v>
      </c>
      <c r="AF4738" s="12" t="s">
        <v>36</v>
      </c>
      <c r="AG4738" s="12" t="s">
        <v>47</v>
      </c>
      <c r="AH4738" s="1">
        <f>HYPERLINK("https://my.pitchbook.com?c=120377-44T","View Company Online")</f>
      </c>
    </row>
    <row r="4739">
      <c r="A4739" s="3" t="s">
        <v>22967</v>
      </c>
      <c r="B4739" s="3" t="s">
        <v>20777</v>
      </c>
      <c r="C4739" s="5" t="s">
        <v>36</v>
      </c>
      <c r="D4739" s="5">
        <v>6</v>
      </c>
      <c r="E4739" s="5">
        <v>3</v>
      </c>
      <c r="F4739" s="5">
        <v>6</v>
      </c>
      <c r="G4739" s="6" t="s">
        <v>326</v>
      </c>
      <c r="H4739" s="4">
        <v>0.24</v>
      </c>
      <c r="I4739" s="7">
        <v>29.98</v>
      </c>
      <c r="J4739" s="3" t="s">
        <v>521</v>
      </c>
      <c r="K4739" s="9">
        <v>43298</v>
      </c>
      <c r="L4739" s="6" t="s">
        <v>122</v>
      </c>
      <c r="M4739" s="3" t="s">
        <v>36</v>
      </c>
      <c r="N4739" s="3" t="s">
        <v>122</v>
      </c>
      <c r="O4739" s="8" t="s">
        <v>36</v>
      </c>
      <c r="P4739" s="3" t="s">
        <v>36</v>
      </c>
      <c r="Q4739" s="3" t="s">
        <v>36</v>
      </c>
      <c r="R4739" s="3" t="s">
        <v>36</v>
      </c>
      <c r="S4739" s="3" t="s">
        <v>36</v>
      </c>
      <c r="T4739" s="3" t="s">
        <v>10014</v>
      </c>
      <c r="U4739" s="3" t="s">
        <v>438</v>
      </c>
      <c r="V4739" s="3" t="s">
        <v>405</v>
      </c>
      <c r="W4739" s="3" t="s">
        <v>20778</v>
      </c>
      <c r="X4739" s="10" t="s">
        <v>22968</v>
      </c>
      <c r="Y4739" s="6" t="s">
        <v>42</v>
      </c>
      <c r="Z4739" s="4">
        <v>11.29</v>
      </c>
      <c r="AA4739" s="4">
        <v>32.02</v>
      </c>
      <c r="AB4739" s="3" t="s">
        <v>56</v>
      </c>
      <c r="AC4739" s="3" t="s">
        <v>20780</v>
      </c>
      <c r="AD4739" s="9">
        <v>43556</v>
      </c>
      <c r="AE4739" s="3" t="s">
        <v>10018</v>
      </c>
      <c r="AF4739" s="3" t="s">
        <v>331</v>
      </c>
      <c r="AG4739" s="3" t="s">
        <v>81</v>
      </c>
      <c r="AH4739" s="11">
        <f>HYPERLINK("https://my.pitchbook.com?c=109167-13T","View Company Online")</f>
      </c>
    </row>
    <row r="4740">
      <c r="A4740" s="12" t="s">
        <v>22969</v>
      </c>
      <c r="B4740" s="12" t="s">
        <v>15953</v>
      </c>
      <c r="C4740" s="19" t="s">
        <v>36</v>
      </c>
      <c r="D4740" s="19" t="s">
        <v>36</v>
      </c>
      <c r="E4740" s="19" t="s">
        <v>36</v>
      </c>
      <c r="F4740" s="19" t="s">
        <v>36</v>
      </c>
      <c r="G4740" s="15" t="s">
        <v>36</v>
      </c>
      <c r="H4740" s="14" t="s">
        <v>36</v>
      </c>
      <c r="I4740" s="18" t="s">
        <v>36</v>
      </c>
      <c r="J4740" s="12" t="s">
        <v>36</v>
      </c>
      <c r="K4740" s="13" t="s">
        <v>36</v>
      </c>
      <c r="L4740" s="15" t="s">
        <v>3736</v>
      </c>
      <c r="M4740" s="12" t="s">
        <v>36</v>
      </c>
      <c r="N4740" s="12" t="s">
        <v>3736</v>
      </c>
      <c r="O4740" s="17" t="s">
        <v>36</v>
      </c>
      <c r="P4740" s="12" t="s">
        <v>36</v>
      </c>
      <c r="Q4740" s="12" t="s">
        <v>36</v>
      </c>
      <c r="R4740" s="12" t="s">
        <v>36</v>
      </c>
      <c r="S4740" s="12" t="s">
        <v>36</v>
      </c>
      <c r="T4740" s="12" t="s">
        <v>3168</v>
      </c>
      <c r="U4740" s="12" t="s">
        <v>289</v>
      </c>
      <c r="V4740" s="12" t="s">
        <v>64</v>
      </c>
      <c r="W4740" s="12" t="s">
        <v>15954</v>
      </c>
      <c r="X4740" s="16" t="s">
        <v>22970</v>
      </c>
      <c r="Y4740" s="15" t="s">
        <v>192</v>
      </c>
      <c r="Z4740" s="14">
        <v>124.24</v>
      </c>
      <c r="AA4740" s="14" t="s">
        <v>36</v>
      </c>
      <c r="AB4740" s="12" t="s">
        <v>56</v>
      </c>
      <c r="AC4740" s="12" t="s">
        <v>15956</v>
      </c>
      <c r="AD4740" s="13">
        <v>43556</v>
      </c>
      <c r="AE4740" s="12" t="s">
        <v>3134</v>
      </c>
      <c r="AF4740" s="12" t="s">
        <v>90</v>
      </c>
      <c r="AG4740" s="12" t="s">
        <v>81</v>
      </c>
      <c r="AH4740" s="1">
        <f>HYPERLINK("https://my.pitchbook.com?c=117836-92T","View Company Online")</f>
      </c>
    </row>
    <row r="4741">
      <c r="A4741" s="3" t="s">
        <v>22971</v>
      </c>
      <c r="B4741" s="3" t="s">
        <v>22972</v>
      </c>
      <c r="C4741" s="5" t="s">
        <v>36</v>
      </c>
      <c r="D4741" s="5" t="s">
        <v>36</v>
      </c>
      <c r="E4741" s="5" t="s">
        <v>36</v>
      </c>
      <c r="F4741" s="5" t="s">
        <v>36</v>
      </c>
      <c r="G4741" s="6" t="s">
        <v>36</v>
      </c>
      <c r="H4741" s="4" t="s">
        <v>36</v>
      </c>
      <c r="I4741" s="7" t="s">
        <v>36</v>
      </c>
      <c r="J4741" s="3" t="s">
        <v>36</v>
      </c>
      <c r="K4741" s="9" t="s">
        <v>36</v>
      </c>
      <c r="L4741" s="6" t="s">
        <v>36</v>
      </c>
      <c r="M4741" s="3" t="s">
        <v>36</v>
      </c>
      <c r="N4741" s="3" t="s">
        <v>36</v>
      </c>
      <c r="O4741" s="8" t="s">
        <v>36</v>
      </c>
      <c r="P4741" s="3" t="s">
        <v>36</v>
      </c>
      <c r="Q4741" s="3" t="s">
        <v>36</v>
      </c>
      <c r="R4741" s="3" t="s">
        <v>36</v>
      </c>
      <c r="S4741" s="3" t="s">
        <v>36</v>
      </c>
      <c r="T4741" s="3" t="s">
        <v>4827</v>
      </c>
      <c r="U4741" s="3" t="s">
        <v>648</v>
      </c>
      <c r="V4741" s="3" t="s">
        <v>64</v>
      </c>
      <c r="W4741" s="3" t="s">
        <v>22973</v>
      </c>
      <c r="X4741" s="10" t="s">
        <v>22974</v>
      </c>
      <c r="Y4741" s="6" t="s">
        <v>192</v>
      </c>
      <c r="Z4741" s="4">
        <v>13.55</v>
      </c>
      <c r="AA4741" s="4" t="s">
        <v>36</v>
      </c>
      <c r="AB4741" s="3" t="s">
        <v>56</v>
      </c>
      <c r="AC4741" s="3" t="s">
        <v>22975</v>
      </c>
      <c r="AD4741" s="9">
        <v>43556</v>
      </c>
      <c r="AE4741" s="3" t="s">
        <v>3988</v>
      </c>
      <c r="AF4741" s="3" t="s">
        <v>4284</v>
      </c>
      <c r="AG4741" s="3" t="s">
        <v>332</v>
      </c>
      <c r="AH4741" s="11">
        <f>HYPERLINK("https://my.pitchbook.com?c=122999-68T","View Company Online")</f>
      </c>
    </row>
    <row r="4742">
      <c r="A4742" s="12" t="s">
        <v>22976</v>
      </c>
      <c r="B4742" s="12" t="s">
        <v>20220</v>
      </c>
      <c r="C4742" s="19" t="s">
        <v>36</v>
      </c>
      <c r="D4742" s="19" t="s">
        <v>36</v>
      </c>
      <c r="E4742" s="19" t="s">
        <v>36</v>
      </c>
      <c r="F4742" s="19" t="s">
        <v>36</v>
      </c>
      <c r="G4742" s="15" t="s">
        <v>36</v>
      </c>
      <c r="H4742" s="14" t="s">
        <v>36</v>
      </c>
      <c r="I4742" s="18">
        <v>23.81</v>
      </c>
      <c r="J4742" s="12" t="s">
        <v>327</v>
      </c>
      <c r="K4742" s="13" t="s">
        <v>36</v>
      </c>
      <c r="L4742" s="15" t="s">
        <v>36</v>
      </c>
      <c r="M4742" s="12" t="s">
        <v>36</v>
      </c>
      <c r="N4742" s="12" t="s">
        <v>36</v>
      </c>
      <c r="O4742" s="17" t="s">
        <v>36</v>
      </c>
      <c r="P4742" s="12" t="s">
        <v>36</v>
      </c>
      <c r="Q4742" s="12" t="s">
        <v>36</v>
      </c>
      <c r="R4742" s="12" t="s">
        <v>36</v>
      </c>
      <c r="S4742" s="12" t="s">
        <v>36</v>
      </c>
      <c r="T4742" s="12" t="s">
        <v>2044</v>
      </c>
      <c r="U4742" s="12" t="s">
        <v>74</v>
      </c>
      <c r="V4742" s="12" t="s">
        <v>75</v>
      </c>
      <c r="W4742" s="12" t="s">
        <v>20221</v>
      </c>
      <c r="X4742" s="16" t="s">
        <v>22977</v>
      </c>
      <c r="Y4742" s="15" t="s">
        <v>42</v>
      </c>
      <c r="Z4742" s="14">
        <v>2.37</v>
      </c>
      <c r="AA4742" s="14">
        <v>9.96</v>
      </c>
      <c r="AB4742" s="12" t="s">
        <v>43</v>
      </c>
      <c r="AC4742" s="12" t="s">
        <v>20223</v>
      </c>
      <c r="AD4742" s="13">
        <v>43556</v>
      </c>
      <c r="AE4742" s="12" t="s">
        <v>79</v>
      </c>
      <c r="AF4742" s="12" t="s">
        <v>3063</v>
      </c>
      <c r="AG4742" s="12" t="s">
        <v>899</v>
      </c>
      <c r="AH4742" s="1">
        <f>HYPERLINK("https://my.pitchbook.com?c=155569-51T","View Company Online")</f>
      </c>
    </row>
    <row r="4743">
      <c r="A4743" s="3" t="s">
        <v>22978</v>
      </c>
      <c r="B4743" s="3" t="s">
        <v>22979</v>
      </c>
      <c r="C4743" s="5" t="s">
        <v>36</v>
      </c>
      <c r="D4743" s="5" t="s">
        <v>36</v>
      </c>
      <c r="E4743" s="5" t="s">
        <v>36</v>
      </c>
      <c r="F4743" s="5" t="s">
        <v>36</v>
      </c>
      <c r="G4743" s="6" t="s">
        <v>36</v>
      </c>
      <c r="H4743" s="4" t="s">
        <v>36</v>
      </c>
      <c r="I4743" s="7" t="s">
        <v>36</v>
      </c>
      <c r="J4743" s="3" t="s">
        <v>36</v>
      </c>
      <c r="K4743" s="9" t="s">
        <v>36</v>
      </c>
      <c r="L4743" s="6" t="s">
        <v>36</v>
      </c>
      <c r="M4743" s="3" t="s">
        <v>36</v>
      </c>
      <c r="N4743" s="3" t="s">
        <v>36</v>
      </c>
      <c r="O4743" s="8" t="s">
        <v>36</v>
      </c>
      <c r="P4743" s="3" t="s">
        <v>36</v>
      </c>
      <c r="Q4743" s="3" t="s">
        <v>36</v>
      </c>
      <c r="R4743" s="3" t="s">
        <v>36</v>
      </c>
      <c r="S4743" s="3" t="s">
        <v>36</v>
      </c>
      <c r="T4743" s="3" t="s">
        <v>3091</v>
      </c>
      <c r="U4743" s="3" t="s">
        <v>74</v>
      </c>
      <c r="V4743" s="3" t="s">
        <v>75</v>
      </c>
      <c r="W4743" s="3" t="s">
        <v>22980</v>
      </c>
      <c r="X4743" s="10" t="s">
        <v>11058</v>
      </c>
      <c r="Y4743" s="6" t="s">
        <v>42</v>
      </c>
      <c r="Z4743" s="4">
        <v>1.13</v>
      </c>
      <c r="AA4743" s="4" t="s">
        <v>36</v>
      </c>
      <c r="AB4743" s="3" t="s">
        <v>56</v>
      </c>
      <c r="AC4743" s="3" t="s">
        <v>22981</v>
      </c>
      <c r="AD4743" s="9">
        <v>43556</v>
      </c>
      <c r="AE4743" s="3" t="s">
        <v>975</v>
      </c>
      <c r="AF4743" s="3" t="s">
        <v>571</v>
      </c>
      <c r="AG4743" s="3" t="s">
        <v>4172</v>
      </c>
      <c r="AH4743" s="11">
        <f>HYPERLINK("https://my.pitchbook.com?c=204529-60T","View Company Online")</f>
      </c>
    </row>
    <row r="4744">
      <c r="A4744" s="12" t="s">
        <v>22982</v>
      </c>
      <c r="B4744" s="12" t="s">
        <v>22983</v>
      </c>
      <c r="C4744" s="19" t="s">
        <v>36</v>
      </c>
      <c r="D4744" s="19" t="s">
        <v>36</v>
      </c>
      <c r="E4744" s="19" t="s">
        <v>36</v>
      </c>
      <c r="F4744" s="19" t="s">
        <v>36</v>
      </c>
      <c r="G4744" s="15" t="s">
        <v>683</v>
      </c>
      <c r="H4744" s="14">
        <v>322.94</v>
      </c>
      <c r="I4744" s="18">
        <v>7.66</v>
      </c>
      <c r="J4744" s="12" t="s">
        <v>521</v>
      </c>
      <c r="K4744" s="13">
        <v>43360</v>
      </c>
      <c r="L4744" s="15" t="s">
        <v>94</v>
      </c>
      <c r="M4744" s="12" t="s">
        <v>36</v>
      </c>
      <c r="N4744" s="12" t="s">
        <v>94</v>
      </c>
      <c r="O4744" s="17" t="s">
        <v>36</v>
      </c>
      <c r="P4744" s="12" t="s">
        <v>36</v>
      </c>
      <c r="Q4744" s="12" t="s">
        <v>36</v>
      </c>
      <c r="R4744" s="12" t="s">
        <v>36</v>
      </c>
      <c r="S4744" s="12" t="s">
        <v>36</v>
      </c>
      <c r="T4744" s="12" t="s">
        <v>22984</v>
      </c>
      <c r="U4744" s="12" t="s">
        <v>63</v>
      </c>
      <c r="V4744" s="12" t="s">
        <v>64</v>
      </c>
      <c r="W4744" s="12" t="s">
        <v>22985</v>
      </c>
      <c r="X4744" s="16" t="s">
        <v>22986</v>
      </c>
      <c r="Y4744" s="15" t="s">
        <v>166</v>
      </c>
      <c r="Z4744" s="14">
        <v>7.91</v>
      </c>
      <c r="AA4744" s="14">
        <v>103.32</v>
      </c>
      <c r="AB4744" s="12" t="s">
        <v>43</v>
      </c>
      <c r="AC4744" s="12" t="s">
        <v>22987</v>
      </c>
      <c r="AD4744" s="13">
        <v>43555</v>
      </c>
      <c r="AE4744" s="12" t="s">
        <v>68</v>
      </c>
      <c r="AF4744" s="12" t="s">
        <v>22988</v>
      </c>
      <c r="AG4744" s="12" t="s">
        <v>81</v>
      </c>
      <c r="AH4744" s="1">
        <f>HYPERLINK("https://my.pitchbook.com?c=113281-12T","View Company Online")</f>
      </c>
    </row>
    <row r="4745">
      <c r="A4745" s="3" t="s">
        <v>22989</v>
      </c>
      <c r="B4745" s="3" t="s">
        <v>11326</v>
      </c>
      <c r="C4745" s="5" t="s">
        <v>36</v>
      </c>
      <c r="D4745" s="5" t="s">
        <v>36</v>
      </c>
      <c r="E4745" s="5" t="s">
        <v>36</v>
      </c>
      <c r="F4745" s="5" t="s">
        <v>36</v>
      </c>
      <c r="G4745" s="6" t="s">
        <v>326</v>
      </c>
      <c r="H4745" s="4">
        <v>0.49</v>
      </c>
      <c r="I4745" s="7">
        <v>43.02</v>
      </c>
      <c r="J4745" s="3" t="s">
        <v>521</v>
      </c>
      <c r="K4745" s="9">
        <v>43278</v>
      </c>
      <c r="L4745" s="6" t="s">
        <v>122</v>
      </c>
      <c r="M4745" s="3" t="s">
        <v>36</v>
      </c>
      <c r="N4745" s="3" t="s">
        <v>122</v>
      </c>
      <c r="O4745" s="8" t="s">
        <v>36</v>
      </c>
      <c r="P4745" s="3" t="s">
        <v>36</v>
      </c>
      <c r="Q4745" s="3" t="s">
        <v>36</v>
      </c>
      <c r="R4745" s="3" t="s">
        <v>36</v>
      </c>
      <c r="S4745" s="3" t="s">
        <v>36</v>
      </c>
      <c r="T4745" s="3" t="s">
        <v>11327</v>
      </c>
      <c r="U4745" s="3" t="s">
        <v>648</v>
      </c>
      <c r="V4745" s="3" t="s">
        <v>64</v>
      </c>
      <c r="W4745" s="3" t="s">
        <v>11328</v>
      </c>
      <c r="X4745" s="10" t="s">
        <v>22990</v>
      </c>
      <c r="Y4745" s="6" t="s">
        <v>108</v>
      </c>
      <c r="Z4745" s="4">
        <v>3.45</v>
      </c>
      <c r="AA4745" s="4">
        <v>8.02</v>
      </c>
      <c r="AB4745" s="3" t="s">
        <v>56</v>
      </c>
      <c r="AC4745" s="3" t="s">
        <v>11330</v>
      </c>
      <c r="AD4745" s="9">
        <v>43553</v>
      </c>
      <c r="AE4745" s="3" t="s">
        <v>3988</v>
      </c>
      <c r="AF4745" s="3" t="s">
        <v>11331</v>
      </c>
      <c r="AG4745" s="3" t="s">
        <v>81</v>
      </c>
      <c r="AH4745" s="11">
        <f>HYPERLINK("https://my.pitchbook.com?c=114097-78T","View Company Online")</f>
      </c>
    </row>
    <row r="4746">
      <c r="A4746" s="12" t="s">
        <v>22991</v>
      </c>
      <c r="B4746" s="12" t="s">
        <v>22992</v>
      </c>
      <c r="C4746" s="19" t="s">
        <v>36</v>
      </c>
      <c r="D4746" s="19" t="s">
        <v>36</v>
      </c>
      <c r="E4746" s="19" t="s">
        <v>36</v>
      </c>
      <c r="F4746" s="19" t="s">
        <v>36</v>
      </c>
      <c r="G4746" s="15" t="s">
        <v>326</v>
      </c>
      <c r="H4746" s="14">
        <v>6.54</v>
      </c>
      <c r="I4746" s="18">
        <v>30.8</v>
      </c>
      <c r="J4746" s="12" t="s">
        <v>521</v>
      </c>
      <c r="K4746" s="13" t="s">
        <v>36</v>
      </c>
      <c r="L4746" s="15" t="s">
        <v>36</v>
      </c>
      <c r="M4746" s="12" t="s">
        <v>36</v>
      </c>
      <c r="N4746" s="12" t="s">
        <v>36</v>
      </c>
      <c r="O4746" s="17" t="s">
        <v>36</v>
      </c>
      <c r="P4746" s="12" t="s">
        <v>36</v>
      </c>
      <c r="Q4746" s="12" t="s">
        <v>36</v>
      </c>
      <c r="R4746" s="12" t="s">
        <v>36</v>
      </c>
      <c r="S4746" s="12" t="s">
        <v>36</v>
      </c>
      <c r="T4746" s="12" t="s">
        <v>522</v>
      </c>
      <c r="U4746" s="12" t="s">
        <v>38</v>
      </c>
      <c r="V4746" s="12" t="s">
        <v>39</v>
      </c>
      <c r="W4746" s="12" t="s">
        <v>22993</v>
      </c>
      <c r="X4746" s="16" t="s">
        <v>22994</v>
      </c>
      <c r="Y4746" s="15" t="s">
        <v>55</v>
      </c>
      <c r="Z4746" s="14">
        <v>1.7</v>
      </c>
      <c r="AA4746" s="14">
        <v>5.51</v>
      </c>
      <c r="AB4746" s="12" t="s">
        <v>56</v>
      </c>
      <c r="AC4746" s="12" t="s">
        <v>22995</v>
      </c>
      <c r="AD4746" s="13">
        <v>43553</v>
      </c>
      <c r="AE4746" s="12" t="s">
        <v>110</v>
      </c>
      <c r="AF4746" s="12" t="s">
        <v>22104</v>
      </c>
      <c r="AG4746" s="12" t="s">
        <v>81</v>
      </c>
      <c r="AH4746" s="1">
        <f>HYPERLINK("https://my.pitchbook.com?c=181682-11T","View Company Online")</f>
      </c>
    </row>
    <row r="4747">
      <c r="A4747" s="3" t="s">
        <v>22996</v>
      </c>
      <c r="B4747" s="3" t="s">
        <v>22997</v>
      </c>
      <c r="C4747" s="5">
        <v>1</v>
      </c>
      <c r="D4747" s="5" t="s">
        <v>36</v>
      </c>
      <c r="E4747" s="5">
        <v>1</v>
      </c>
      <c r="F4747" s="5">
        <v>5</v>
      </c>
      <c r="G4747" s="6" t="s">
        <v>36</v>
      </c>
      <c r="H4747" s="4">
        <v>415.43</v>
      </c>
      <c r="I4747" s="7">
        <v>42.36</v>
      </c>
      <c r="J4747" s="3" t="s">
        <v>521</v>
      </c>
      <c r="K4747" s="9" t="s">
        <v>36</v>
      </c>
      <c r="L4747" s="6" t="s">
        <v>36</v>
      </c>
      <c r="M4747" s="3" t="s">
        <v>36</v>
      </c>
      <c r="N4747" s="3" t="s">
        <v>36</v>
      </c>
      <c r="O4747" s="8" t="s">
        <v>36</v>
      </c>
      <c r="P4747" s="3" t="s">
        <v>36</v>
      </c>
      <c r="Q4747" s="3" t="s">
        <v>36</v>
      </c>
      <c r="R4747" s="3" t="s">
        <v>36</v>
      </c>
      <c r="S4747" s="3" t="s">
        <v>36</v>
      </c>
      <c r="T4747" s="3" t="s">
        <v>22998</v>
      </c>
      <c r="U4747" s="3" t="s">
        <v>833</v>
      </c>
      <c r="V4747" s="3" t="s">
        <v>64</v>
      </c>
      <c r="W4747" s="3" t="s">
        <v>22999</v>
      </c>
      <c r="X4747" s="10" t="s">
        <v>23000</v>
      </c>
      <c r="Y4747" s="6" t="s">
        <v>42</v>
      </c>
      <c r="Z4747" s="4">
        <v>0.62</v>
      </c>
      <c r="AA4747" s="4">
        <v>0.78</v>
      </c>
      <c r="AB4747" s="3" t="s">
        <v>43</v>
      </c>
      <c r="AC4747" s="3" t="s">
        <v>23001</v>
      </c>
      <c r="AD4747" s="9">
        <v>43553</v>
      </c>
      <c r="AE4747" s="3" t="s">
        <v>3615</v>
      </c>
      <c r="AF4747" s="3" t="s">
        <v>2118</v>
      </c>
      <c r="AG4747" s="3" t="s">
        <v>23002</v>
      </c>
      <c r="AH4747" s="11">
        <f>HYPERLINK("https://my.pitchbook.com?c=123314-41T","View Company Online")</f>
      </c>
    </row>
    <row r="4748">
      <c r="A4748" s="12" t="s">
        <v>23003</v>
      </c>
      <c r="B4748" s="12" t="s">
        <v>6131</v>
      </c>
      <c r="C4748" s="19">
        <v>180</v>
      </c>
      <c r="D4748" s="19">
        <v>606</v>
      </c>
      <c r="E4748" s="19">
        <v>197</v>
      </c>
      <c r="F4748" s="19">
        <v>860</v>
      </c>
      <c r="G4748" s="15" t="s">
        <v>326</v>
      </c>
      <c r="H4748" s="14">
        <v>67.37</v>
      </c>
      <c r="I4748" s="18">
        <v>33.36</v>
      </c>
      <c r="J4748" s="12" t="s">
        <v>521</v>
      </c>
      <c r="K4748" s="13">
        <v>43129</v>
      </c>
      <c r="L4748" s="15" t="s">
        <v>1279</v>
      </c>
      <c r="M4748" s="12" t="s">
        <v>36</v>
      </c>
      <c r="N4748" s="12" t="s">
        <v>1279</v>
      </c>
      <c r="O4748" s="17" t="s">
        <v>36</v>
      </c>
      <c r="P4748" s="12" t="s">
        <v>3530</v>
      </c>
      <c r="Q4748" s="12" t="s">
        <v>36</v>
      </c>
      <c r="R4748" s="12" t="s">
        <v>36</v>
      </c>
      <c r="S4748" s="12" t="s">
        <v>36</v>
      </c>
      <c r="T4748" s="12" t="s">
        <v>317</v>
      </c>
      <c r="U4748" s="12" t="s">
        <v>318</v>
      </c>
      <c r="V4748" s="12" t="s">
        <v>39</v>
      </c>
      <c r="W4748" s="12" t="s">
        <v>6132</v>
      </c>
      <c r="X4748" s="16" t="s">
        <v>23004</v>
      </c>
      <c r="Y4748" s="15" t="s">
        <v>55</v>
      </c>
      <c r="Z4748" s="14">
        <v>50.56</v>
      </c>
      <c r="AA4748" s="14">
        <v>186.21</v>
      </c>
      <c r="AB4748" s="12" t="s">
        <v>56</v>
      </c>
      <c r="AC4748" s="12" t="s">
        <v>6134</v>
      </c>
      <c r="AD4748" s="13">
        <v>43552</v>
      </c>
      <c r="AE4748" s="12" t="s">
        <v>323</v>
      </c>
      <c r="AF4748" s="12" t="s">
        <v>6135</v>
      </c>
      <c r="AG4748" s="12" t="s">
        <v>6136</v>
      </c>
      <c r="AH4748" s="1">
        <f>HYPERLINK("https://my.pitchbook.com?c=117988-03T","View Company Online")</f>
      </c>
    </row>
    <row r="4749">
      <c r="A4749" s="3" t="s">
        <v>23005</v>
      </c>
      <c r="B4749" s="3" t="s">
        <v>3562</v>
      </c>
      <c r="C4749" s="5" t="s">
        <v>36</v>
      </c>
      <c r="D4749" s="5" t="s">
        <v>36</v>
      </c>
      <c r="E4749" s="5" t="s">
        <v>36</v>
      </c>
      <c r="F4749" s="5" t="s">
        <v>36</v>
      </c>
      <c r="G4749" s="6" t="s">
        <v>36</v>
      </c>
      <c r="H4749" s="4">
        <v>9450.95</v>
      </c>
      <c r="I4749" s="7">
        <v>24.76</v>
      </c>
      <c r="J4749" s="3" t="s">
        <v>521</v>
      </c>
      <c r="K4749" s="9">
        <v>43160</v>
      </c>
      <c r="L4749" s="6" t="s">
        <v>36</v>
      </c>
      <c r="M4749" s="3" t="s">
        <v>36</v>
      </c>
      <c r="N4749" s="3" t="s">
        <v>36</v>
      </c>
      <c r="O4749" s="8" t="s">
        <v>36</v>
      </c>
      <c r="P4749" s="3" t="s">
        <v>36</v>
      </c>
      <c r="Q4749" s="3" t="s">
        <v>36</v>
      </c>
      <c r="R4749" s="3" t="s">
        <v>36</v>
      </c>
      <c r="S4749" s="3" t="s">
        <v>3563</v>
      </c>
      <c r="T4749" s="3" t="s">
        <v>1344</v>
      </c>
      <c r="U4749" s="3" t="s">
        <v>38</v>
      </c>
      <c r="V4749" s="3" t="s">
        <v>39</v>
      </c>
      <c r="W4749" s="3" t="s">
        <v>3564</v>
      </c>
      <c r="X4749" s="10" t="s">
        <v>23006</v>
      </c>
      <c r="Y4749" s="6" t="s">
        <v>42</v>
      </c>
      <c r="Z4749" s="4">
        <v>3.39</v>
      </c>
      <c r="AA4749" s="4">
        <v>13.68</v>
      </c>
      <c r="AB4749" s="3" t="s">
        <v>43</v>
      </c>
      <c r="AC4749" s="3" t="s">
        <v>3566</v>
      </c>
      <c r="AD4749" s="9">
        <v>43552</v>
      </c>
      <c r="AE4749" s="3" t="s">
        <v>110</v>
      </c>
      <c r="AF4749" s="3" t="s">
        <v>3567</v>
      </c>
      <c r="AG4749" s="3" t="s">
        <v>81</v>
      </c>
      <c r="AH4749" s="11">
        <f>HYPERLINK("https://my.pitchbook.com?c=117816-58T","View Company Online")</f>
      </c>
    </row>
    <row r="4750">
      <c r="A4750" s="12" t="s">
        <v>23007</v>
      </c>
      <c r="B4750" s="12" t="s">
        <v>13830</v>
      </c>
      <c r="C4750" s="19">
        <v>3</v>
      </c>
      <c r="D4750" s="19">
        <v>4</v>
      </c>
      <c r="E4750" s="19">
        <v>4</v>
      </c>
      <c r="F4750" s="19">
        <v>8</v>
      </c>
      <c r="G4750" s="15" t="s">
        <v>326</v>
      </c>
      <c r="H4750" s="14">
        <v>154.93</v>
      </c>
      <c r="I4750" s="18">
        <v>52.3</v>
      </c>
      <c r="J4750" s="12" t="s">
        <v>521</v>
      </c>
      <c r="K4750" s="13" t="s">
        <v>36</v>
      </c>
      <c r="L4750" s="15" t="s">
        <v>36</v>
      </c>
      <c r="M4750" s="12" t="s">
        <v>36</v>
      </c>
      <c r="N4750" s="12" t="s">
        <v>36</v>
      </c>
      <c r="O4750" s="17" t="s">
        <v>36</v>
      </c>
      <c r="P4750" s="12" t="s">
        <v>36</v>
      </c>
      <c r="Q4750" s="12" t="s">
        <v>36</v>
      </c>
      <c r="R4750" s="12" t="s">
        <v>36</v>
      </c>
      <c r="S4750" s="12" t="s">
        <v>36</v>
      </c>
      <c r="T4750" s="12" t="s">
        <v>189</v>
      </c>
      <c r="U4750" s="12" t="s">
        <v>180</v>
      </c>
      <c r="V4750" s="12" t="s">
        <v>52</v>
      </c>
      <c r="W4750" s="12" t="s">
        <v>13831</v>
      </c>
      <c r="X4750" s="16" t="s">
        <v>23008</v>
      </c>
      <c r="Y4750" s="15" t="s">
        <v>108</v>
      </c>
      <c r="Z4750" s="14">
        <v>3.39</v>
      </c>
      <c r="AA4750" s="14">
        <v>5.95</v>
      </c>
      <c r="AB4750" s="12" t="s">
        <v>43</v>
      </c>
      <c r="AC4750" s="12" t="s">
        <v>13833</v>
      </c>
      <c r="AD4750" s="13">
        <v>43552</v>
      </c>
      <c r="AE4750" s="12" t="s">
        <v>184</v>
      </c>
      <c r="AF4750" s="12" t="s">
        <v>885</v>
      </c>
      <c r="AG4750" s="12" t="s">
        <v>652</v>
      </c>
      <c r="AH4750" s="1">
        <f>HYPERLINK("https://my.pitchbook.com?c=117735-04T","View Company Online")</f>
      </c>
    </row>
    <row r="4751">
      <c r="A4751" s="3" t="s">
        <v>23009</v>
      </c>
      <c r="B4751" s="3" t="s">
        <v>23010</v>
      </c>
      <c r="C4751" s="5" t="s">
        <v>36</v>
      </c>
      <c r="D4751" s="5" t="s">
        <v>36</v>
      </c>
      <c r="E4751" s="5" t="s">
        <v>36</v>
      </c>
      <c r="F4751" s="5" t="s">
        <v>36</v>
      </c>
      <c r="G4751" s="6" t="s">
        <v>36</v>
      </c>
      <c r="H4751" s="4">
        <v>27</v>
      </c>
      <c r="I4751" s="7">
        <v>19.34</v>
      </c>
      <c r="J4751" s="3" t="s">
        <v>521</v>
      </c>
      <c r="K4751" s="9">
        <v>43465</v>
      </c>
      <c r="L4751" s="6" t="s">
        <v>36</v>
      </c>
      <c r="M4751" s="3" t="s">
        <v>36</v>
      </c>
      <c r="N4751" s="3" t="s">
        <v>36</v>
      </c>
      <c r="O4751" s="8" t="s">
        <v>36</v>
      </c>
      <c r="P4751" s="3" t="s">
        <v>36</v>
      </c>
      <c r="Q4751" s="3" t="s">
        <v>36</v>
      </c>
      <c r="R4751" s="3" t="s">
        <v>36</v>
      </c>
      <c r="S4751" s="3" t="s">
        <v>36</v>
      </c>
      <c r="T4751" s="3" t="s">
        <v>23011</v>
      </c>
      <c r="U4751" s="3" t="s">
        <v>38</v>
      </c>
      <c r="V4751" s="3" t="s">
        <v>39</v>
      </c>
      <c r="W4751" s="3" t="s">
        <v>23012</v>
      </c>
      <c r="X4751" s="10" t="s">
        <v>23013</v>
      </c>
      <c r="Y4751" s="6" t="s">
        <v>42</v>
      </c>
      <c r="Z4751" s="4">
        <v>0.51</v>
      </c>
      <c r="AA4751" s="4">
        <v>1.82</v>
      </c>
      <c r="AB4751" s="3" t="s">
        <v>43</v>
      </c>
      <c r="AC4751" s="3" t="s">
        <v>23014</v>
      </c>
      <c r="AD4751" s="9">
        <v>43551</v>
      </c>
      <c r="AE4751" s="3" t="s">
        <v>1945</v>
      </c>
      <c r="AF4751" s="3" t="s">
        <v>176</v>
      </c>
      <c r="AG4751" s="3" t="s">
        <v>1525</v>
      </c>
      <c r="AH4751" s="11">
        <f>HYPERLINK("https://my.pitchbook.com?c=114477-40T","View Company Online")</f>
      </c>
    </row>
    <row r="4752">
      <c r="A4752" s="12" t="s">
        <v>23015</v>
      </c>
      <c r="B4752" s="12" t="s">
        <v>23016</v>
      </c>
      <c r="C4752" s="19" t="s">
        <v>36</v>
      </c>
      <c r="D4752" s="19" t="s">
        <v>36</v>
      </c>
      <c r="E4752" s="19" t="s">
        <v>36</v>
      </c>
      <c r="F4752" s="19" t="s">
        <v>36</v>
      </c>
      <c r="G4752" s="15" t="s">
        <v>326</v>
      </c>
      <c r="H4752" s="14">
        <v>251.78</v>
      </c>
      <c r="I4752" s="18">
        <v>12.77</v>
      </c>
      <c r="J4752" s="12" t="s">
        <v>521</v>
      </c>
      <c r="K4752" s="13" t="s">
        <v>36</v>
      </c>
      <c r="L4752" s="15" t="s">
        <v>36</v>
      </c>
      <c r="M4752" s="12" t="s">
        <v>36</v>
      </c>
      <c r="N4752" s="12" t="s">
        <v>36</v>
      </c>
      <c r="O4752" s="17" t="s">
        <v>36</v>
      </c>
      <c r="P4752" s="12" t="s">
        <v>36</v>
      </c>
      <c r="Q4752" s="12" t="s">
        <v>36</v>
      </c>
      <c r="R4752" s="12" t="s">
        <v>36</v>
      </c>
      <c r="S4752" s="12" t="s">
        <v>36</v>
      </c>
      <c r="T4752" s="12" t="s">
        <v>5750</v>
      </c>
      <c r="U4752" s="12" t="s">
        <v>38</v>
      </c>
      <c r="V4752" s="12" t="s">
        <v>39</v>
      </c>
      <c r="W4752" s="12" t="s">
        <v>23017</v>
      </c>
      <c r="X4752" s="16" t="s">
        <v>23018</v>
      </c>
      <c r="Y4752" s="15" t="s">
        <v>55</v>
      </c>
      <c r="Z4752" s="14">
        <v>2.26</v>
      </c>
      <c r="AA4752" s="14">
        <v>10.64</v>
      </c>
      <c r="AB4752" s="12" t="s">
        <v>43</v>
      </c>
      <c r="AC4752" s="12" t="s">
        <v>23019</v>
      </c>
      <c r="AD4752" s="13">
        <v>43551</v>
      </c>
      <c r="AE4752" s="12" t="s">
        <v>554</v>
      </c>
      <c r="AF4752" s="12" t="s">
        <v>5769</v>
      </c>
      <c r="AG4752" s="12" t="s">
        <v>2760</v>
      </c>
      <c r="AH4752" s="1">
        <f>HYPERLINK("https://my.pitchbook.com?c=118272-16T","View Company Online")</f>
      </c>
    </row>
    <row r="4753">
      <c r="A4753" s="3" t="s">
        <v>23020</v>
      </c>
      <c r="B4753" s="3" t="s">
        <v>23021</v>
      </c>
      <c r="C4753" s="5" t="s">
        <v>36</v>
      </c>
      <c r="D4753" s="5" t="s">
        <v>36</v>
      </c>
      <c r="E4753" s="5" t="s">
        <v>36</v>
      </c>
      <c r="F4753" s="5" t="s">
        <v>36</v>
      </c>
      <c r="G4753" s="6" t="s">
        <v>36</v>
      </c>
      <c r="H4753" s="4">
        <v>7.3</v>
      </c>
      <c r="I4753" s="7">
        <v>5.93</v>
      </c>
      <c r="J4753" s="3" t="s">
        <v>521</v>
      </c>
      <c r="K4753" s="9" t="s">
        <v>36</v>
      </c>
      <c r="L4753" s="6" t="s">
        <v>36</v>
      </c>
      <c r="M4753" s="3" t="s">
        <v>36</v>
      </c>
      <c r="N4753" s="3" t="s">
        <v>36</v>
      </c>
      <c r="O4753" s="8" t="s">
        <v>36</v>
      </c>
      <c r="P4753" s="3" t="s">
        <v>36</v>
      </c>
      <c r="Q4753" s="3" t="s">
        <v>36</v>
      </c>
      <c r="R4753" s="3" t="s">
        <v>36</v>
      </c>
      <c r="S4753" s="3" t="s">
        <v>36</v>
      </c>
      <c r="T4753" s="3" t="s">
        <v>4412</v>
      </c>
      <c r="U4753" s="3" t="s">
        <v>38</v>
      </c>
      <c r="V4753" s="3" t="s">
        <v>39</v>
      </c>
      <c r="W4753" s="3" t="s">
        <v>23022</v>
      </c>
      <c r="X4753" s="10" t="s">
        <v>13535</v>
      </c>
      <c r="Y4753" s="6" t="s">
        <v>42</v>
      </c>
      <c r="Z4753" s="4">
        <v>1.13</v>
      </c>
      <c r="AA4753" s="4">
        <v>19.04</v>
      </c>
      <c r="AB4753" s="3" t="s">
        <v>56</v>
      </c>
      <c r="AC4753" s="3" t="s">
        <v>23023</v>
      </c>
      <c r="AD4753" s="9">
        <v>43549</v>
      </c>
      <c r="AE4753" s="3" t="s">
        <v>688</v>
      </c>
      <c r="AF4753" s="3" t="s">
        <v>1636</v>
      </c>
      <c r="AG4753" s="3" t="s">
        <v>81</v>
      </c>
      <c r="AH4753" s="11">
        <f>HYPERLINK("https://my.pitchbook.com?c=208821-97T","View Company Online")</f>
      </c>
    </row>
    <row r="4754">
      <c r="A4754" s="12" t="s">
        <v>23024</v>
      </c>
      <c r="B4754" s="12" t="s">
        <v>23025</v>
      </c>
      <c r="C4754" s="19" t="s">
        <v>36</v>
      </c>
      <c r="D4754" s="19" t="s">
        <v>36</v>
      </c>
      <c r="E4754" s="19" t="s">
        <v>36</v>
      </c>
      <c r="F4754" s="19" t="s">
        <v>36</v>
      </c>
      <c r="G4754" s="15" t="s">
        <v>36</v>
      </c>
      <c r="H4754" s="14" t="s">
        <v>36</v>
      </c>
      <c r="I4754" s="18" t="s">
        <v>36</v>
      </c>
      <c r="J4754" s="12" t="s">
        <v>36</v>
      </c>
      <c r="K4754" s="13" t="s">
        <v>36</v>
      </c>
      <c r="L4754" s="15" t="s">
        <v>36</v>
      </c>
      <c r="M4754" s="12" t="s">
        <v>36</v>
      </c>
      <c r="N4754" s="12" t="s">
        <v>36</v>
      </c>
      <c r="O4754" s="17" t="s">
        <v>36</v>
      </c>
      <c r="P4754" s="12" t="s">
        <v>36</v>
      </c>
      <c r="Q4754" s="12" t="s">
        <v>36</v>
      </c>
      <c r="R4754" s="12" t="s">
        <v>36</v>
      </c>
      <c r="S4754" s="12" t="s">
        <v>36</v>
      </c>
      <c r="T4754" s="12" t="s">
        <v>23026</v>
      </c>
      <c r="U4754" s="12" t="s">
        <v>1357</v>
      </c>
      <c r="V4754" s="12" t="s">
        <v>52</v>
      </c>
      <c r="W4754" s="12" t="s">
        <v>23027</v>
      </c>
      <c r="X4754" s="16" t="s">
        <v>23028</v>
      </c>
      <c r="Y4754" s="15" t="s">
        <v>55</v>
      </c>
      <c r="Z4754" s="14">
        <v>2.27</v>
      </c>
      <c r="AA4754" s="14" t="s">
        <v>36</v>
      </c>
      <c r="AB4754" s="12" t="s">
        <v>43</v>
      </c>
      <c r="AC4754" s="12" t="s">
        <v>23029</v>
      </c>
      <c r="AD4754" s="13">
        <v>43549</v>
      </c>
      <c r="AE4754" s="12" t="s">
        <v>3204</v>
      </c>
      <c r="AF4754" s="12" t="s">
        <v>7086</v>
      </c>
      <c r="AG4754" s="12" t="s">
        <v>23030</v>
      </c>
      <c r="AH4754" s="1">
        <f>HYPERLINK("https://my.pitchbook.com?c=136833-40T","View Company Online")</f>
      </c>
    </row>
    <row r="4755">
      <c r="A4755" s="3" t="s">
        <v>23031</v>
      </c>
      <c r="B4755" s="3" t="s">
        <v>18139</v>
      </c>
      <c r="C4755" s="5">
        <v>6</v>
      </c>
      <c r="D4755" s="5">
        <v>10</v>
      </c>
      <c r="E4755" s="5">
        <v>7</v>
      </c>
      <c r="F4755" s="5">
        <v>17</v>
      </c>
      <c r="G4755" s="6" t="s">
        <v>36</v>
      </c>
      <c r="H4755" s="4">
        <v>540.05</v>
      </c>
      <c r="I4755" s="7">
        <v>21.77</v>
      </c>
      <c r="J4755" s="3" t="s">
        <v>521</v>
      </c>
      <c r="K4755" s="9" t="s">
        <v>36</v>
      </c>
      <c r="L4755" s="6" t="s">
        <v>36</v>
      </c>
      <c r="M4755" s="3" t="s">
        <v>36</v>
      </c>
      <c r="N4755" s="3" t="s">
        <v>36</v>
      </c>
      <c r="O4755" s="8" t="s">
        <v>36</v>
      </c>
      <c r="P4755" s="3" t="s">
        <v>36</v>
      </c>
      <c r="Q4755" s="3" t="s">
        <v>36</v>
      </c>
      <c r="R4755" s="3" t="s">
        <v>36</v>
      </c>
      <c r="S4755" s="3" t="s">
        <v>36</v>
      </c>
      <c r="T4755" s="3" t="s">
        <v>18140</v>
      </c>
      <c r="U4755" s="3" t="s">
        <v>38</v>
      </c>
      <c r="V4755" s="3" t="s">
        <v>39</v>
      </c>
      <c r="W4755" s="3" t="s">
        <v>18141</v>
      </c>
      <c r="X4755" s="10" t="s">
        <v>590</v>
      </c>
      <c r="Y4755" s="6" t="s">
        <v>42</v>
      </c>
      <c r="Z4755" s="4">
        <v>2.27</v>
      </c>
      <c r="AA4755" s="4">
        <v>5.22</v>
      </c>
      <c r="AB4755" s="3" t="s">
        <v>43</v>
      </c>
      <c r="AC4755" s="3" t="s">
        <v>18143</v>
      </c>
      <c r="AD4755" s="9">
        <v>43549</v>
      </c>
      <c r="AE4755" s="3" t="s">
        <v>110</v>
      </c>
      <c r="AF4755" s="3" t="s">
        <v>489</v>
      </c>
      <c r="AG4755" s="3" t="s">
        <v>81</v>
      </c>
      <c r="AH4755" s="11">
        <f>HYPERLINK("https://my.pitchbook.com?c=158807-35T","View Company Online")</f>
      </c>
    </row>
    <row r="4756">
      <c r="A4756" s="12" t="s">
        <v>23032</v>
      </c>
      <c r="B4756" s="12" t="s">
        <v>8460</v>
      </c>
      <c r="C4756" s="19" t="s">
        <v>36</v>
      </c>
      <c r="D4756" s="19" t="s">
        <v>36</v>
      </c>
      <c r="E4756" s="19" t="s">
        <v>36</v>
      </c>
      <c r="F4756" s="19" t="s">
        <v>36</v>
      </c>
      <c r="G4756" s="15" t="s">
        <v>683</v>
      </c>
      <c r="H4756" s="14">
        <v>77.89</v>
      </c>
      <c r="I4756" s="18">
        <v>15.14</v>
      </c>
      <c r="J4756" s="12" t="s">
        <v>521</v>
      </c>
      <c r="K4756" s="13" t="s">
        <v>36</v>
      </c>
      <c r="L4756" s="15" t="s">
        <v>122</v>
      </c>
      <c r="M4756" s="12" t="s">
        <v>36</v>
      </c>
      <c r="N4756" s="12" t="s">
        <v>122</v>
      </c>
      <c r="O4756" s="17" t="s">
        <v>36</v>
      </c>
      <c r="P4756" s="12" t="s">
        <v>36</v>
      </c>
      <c r="Q4756" s="12" t="s">
        <v>36</v>
      </c>
      <c r="R4756" s="12" t="s">
        <v>36</v>
      </c>
      <c r="S4756" s="12" t="s">
        <v>36</v>
      </c>
      <c r="T4756" s="12" t="s">
        <v>8461</v>
      </c>
      <c r="U4756" s="12" t="s">
        <v>74</v>
      </c>
      <c r="V4756" s="12" t="s">
        <v>75</v>
      </c>
      <c r="W4756" s="12" t="s">
        <v>8462</v>
      </c>
      <c r="X4756" s="16" t="s">
        <v>8463</v>
      </c>
      <c r="Y4756" s="15" t="s">
        <v>55</v>
      </c>
      <c r="Z4756" s="14">
        <v>0.57</v>
      </c>
      <c r="AA4756" s="14">
        <v>3.74</v>
      </c>
      <c r="AB4756" s="12" t="s">
        <v>56</v>
      </c>
      <c r="AC4756" s="12" t="s">
        <v>8464</v>
      </c>
      <c r="AD4756" s="13">
        <v>43549</v>
      </c>
      <c r="AE4756" s="12" t="s">
        <v>975</v>
      </c>
      <c r="AF4756" s="12" t="s">
        <v>8465</v>
      </c>
      <c r="AG4756" s="12" t="s">
        <v>81</v>
      </c>
      <c r="AH4756" s="1">
        <f>HYPERLINK("https://my.pitchbook.com?c=193281-31T","View Company Online")</f>
      </c>
    </row>
    <row r="4757">
      <c r="A4757" s="3" t="s">
        <v>23033</v>
      </c>
      <c r="B4757" s="3" t="s">
        <v>23034</v>
      </c>
      <c r="C4757" s="5" t="s">
        <v>36</v>
      </c>
      <c r="D4757" s="5" t="s">
        <v>36</v>
      </c>
      <c r="E4757" s="5" t="s">
        <v>36</v>
      </c>
      <c r="F4757" s="5" t="s">
        <v>36</v>
      </c>
      <c r="G4757" s="6" t="s">
        <v>326</v>
      </c>
      <c r="H4757" s="4">
        <v>72.7</v>
      </c>
      <c r="I4757" s="7">
        <v>9.78</v>
      </c>
      <c r="J4757" s="3" t="s">
        <v>521</v>
      </c>
      <c r="K4757" s="9" t="s">
        <v>36</v>
      </c>
      <c r="L4757" s="6" t="s">
        <v>36</v>
      </c>
      <c r="M4757" s="3" t="s">
        <v>36</v>
      </c>
      <c r="N4757" s="3" t="s">
        <v>36</v>
      </c>
      <c r="O4757" s="8" t="s">
        <v>36</v>
      </c>
      <c r="P4757" s="3" t="s">
        <v>36</v>
      </c>
      <c r="Q4757" s="3" t="s">
        <v>36</v>
      </c>
      <c r="R4757" s="3" t="s">
        <v>36</v>
      </c>
      <c r="S4757" s="3" t="s">
        <v>36</v>
      </c>
      <c r="T4757" s="3" t="s">
        <v>2044</v>
      </c>
      <c r="U4757" s="3" t="s">
        <v>74</v>
      </c>
      <c r="V4757" s="3" t="s">
        <v>75</v>
      </c>
      <c r="W4757" s="3" t="s">
        <v>23035</v>
      </c>
      <c r="X4757" s="10" t="s">
        <v>4289</v>
      </c>
      <c r="Y4757" s="6" t="s">
        <v>42</v>
      </c>
      <c r="Z4757" s="4">
        <v>0.12</v>
      </c>
      <c r="AA4757" s="4">
        <v>1.2</v>
      </c>
      <c r="AB4757" s="3" t="s">
        <v>43</v>
      </c>
      <c r="AC4757" s="3" t="s">
        <v>23036</v>
      </c>
      <c r="AD4757" s="9">
        <v>43549</v>
      </c>
      <c r="AE4757" s="3" t="s">
        <v>79</v>
      </c>
      <c r="AF4757" s="3" t="s">
        <v>36</v>
      </c>
      <c r="AG4757" s="3" t="s">
        <v>81</v>
      </c>
      <c r="AH4757" s="11">
        <f>HYPERLINK("https://my.pitchbook.com?c=265835-80T","View Company Online")</f>
      </c>
    </row>
    <row r="4758">
      <c r="A4758" s="12" t="s">
        <v>23037</v>
      </c>
      <c r="B4758" s="12" t="s">
        <v>19975</v>
      </c>
      <c r="C4758" s="19" t="s">
        <v>36</v>
      </c>
      <c r="D4758" s="19" t="s">
        <v>36</v>
      </c>
      <c r="E4758" s="19" t="s">
        <v>36</v>
      </c>
      <c r="F4758" s="19" t="s">
        <v>36</v>
      </c>
      <c r="G4758" s="15" t="s">
        <v>326</v>
      </c>
      <c r="H4758" s="14">
        <v>170.63</v>
      </c>
      <c r="I4758" s="18">
        <v>34.23</v>
      </c>
      <c r="J4758" s="12" t="s">
        <v>521</v>
      </c>
      <c r="K4758" s="13" t="s">
        <v>36</v>
      </c>
      <c r="L4758" s="15" t="s">
        <v>36</v>
      </c>
      <c r="M4758" s="12" t="s">
        <v>36</v>
      </c>
      <c r="N4758" s="12" t="s">
        <v>36</v>
      </c>
      <c r="O4758" s="17" t="s">
        <v>36</v>
      </c>
      <c r="P4758" s="12" t="s">
        <v>36</v>
      </c>
      <c r="Q4758" s="12" t="s">
        <v>36</v>
      </c>
      <c r="R4758" s="12" t="s">
        <v>36</v>
      </c>
      <c r="S4758" s="12" t="s">
        <v>36</v>
      </c>
      <c r="T4758" s="12" t="s">
        <v>19976</v>
      </c>
      <c r="U4758" s="12" t="s">
        <v>74</v>
      </c>
      <c r="V4758" s="12" t="s">
        <v>75</v>
      </c>
      <c r="W4758" s="12" t="s">
        <v>19977</v>
      </c>
      <c r="X4758" s="16" t="s">
        <v>1427</v>
      </c>
      <c r="Y4758" s="15" t="s">
        <v>42</v>
      </c>
      <c r="Z4758" s="14">
        <v>0.8</v>
      </c>
      <c r="AA4758" s="14">
        <v>2.32</v>
      </c>
      <c r="AB4758" s="12" t="s">
        <v>56</v>
      </c>
      <c r="AC4758" s="12" t="s">
        <v>19978</v>
      </c>
      <c r="AD4758" s="13">
        <v>43546</v>
      </c>
      <c r="AE4758" s="12" t="s">
        <v>696</v>
      </c>
      <c r="AF4758" s="12" t="s">
        <v>4284</v>
      </c>
      <c r="AG4758" s="12" t="s">
        <v>81</v>
      </c>
      <c r="AH4758" s="1">
        <f>HYPERLINK("https://my.pitchbook.com?c=167992-12T","View Company Online")</f>
      </c>
    </row>
    <row r="4759">
      <c r="A4759" s="3" t="s">
        <v>23038</v>
      </c>
      <c r="B4759" s="3" t="s">
        <v>23039</v>
      </c>
      <c r="C4759" s="5" t="s">
        <v>36</v>
      </c>
      <c r="D4759" s="5" t="s">
        <v>36</v>
      </c>
      <c r="E4759" s="5" t="s">
        <v>36</v>
      </c>
      <c r="F4759" s="5" t="s">
        <v>36</v>
      </c>
      <c r="G4759" s="6" t="s">
        <v>36</v>
      </c>
      <c r="H4759" s="4">
        <v>90.36</v>
      </c>
      <c r="I4759" s="7">
        <v>16.82</v>
      </c>
      <c r="J4759" s="3" t="s">
        <v>521</v>
      </c>
      <c r="K4759" s="9" t="s">
        <v>36</v>
      </c>
      <c r="L4759" s="6" t="s">
        <v>36</v>
      </c>
      <c r="M4759" s="3" t="s">
        <v>36</v>
      </c>
      <c r="N4759" s="3" t="s">
        <v>36</v>
      </c>
      <c r="O4759" s="8" t="s">
        <v>36</v>
      </c>
      <c r="P4759" s="3" t="s">
        <v>36</v>
      </c>
      <c r="Q4759" s="3" t="s">
        <v>36</v>
      </c>
      <c r="R4759" s="3" t="s">
        <v>36</v>
      </c>
      <c r="S4759" s="3" t="s">
        <v>36</v>
      </c>
      <c r="T4759" s="3" t="s">
        <v>18203</v>
      </c>
      <c r="U4759" s="3" t="s">
        <v>38</v>
      </c>
      <c r="V4759" s="3" t="s">
        <v>39</v>
      </c>
      <c r="W4759" s="3" t="s">
        <v>23040</v>
      </c>
      <c r="X4759" s="10" t="s">
        <v>1840</v>
      </c>
      <c r="Y4759" s="6" t="s">
        <v>42</v>
      </c>
      <c r="Z4759" s="4">
        <v>0.23</v>
      </c>
      <c r="AA4759" s="4">
        <v>1.36</v>
      </c>
      <c r="AB4759" s="3" t="s">
        <v>43</v>
      </c>
      <c r="AC4759" s="3" t="s">
        <v>23041</v>
      </c>
      <c r="AD4759" s="9">
        <v>43546</v>
      </c>
      <c r="AE4759" s="3" t="s">
        <v>110</v>
      </c>
      <c r="AF4759" s="3" t="s">
        <v>11479</v>
      </c>
      <c r="AG4759" s="3" t="s">
        <v>81</v>
      </c>
      <c r="AH4759" s="11">
        <f>HYPERLINK("https://my.pitchbook.com?c=156120-58T","View Company Online")</f>
      </c>
    </row>
    <row r="4760">
      <c r="A4760" s="12" t="s">
        <v>23042</v>
      </c>
      <c r="B4760" s="12" t="s">
        <v>15511</v>
      </c>
      <c r="C4760" s="19" t="s">
        <v>36</v>
      </c>
      <c r="D4760" s="19">
        <v>2</v>
      </c>
      <c r="E4760" s="19">
        <v>1</v>
      </c>
      <c r="F4760" s="19">
        <v>2</v>
      </c>
      <c r="G4760" s="15" t="s">
        <v>36</v>
      </c>
      <c r="H4760" s="14">
        <v>24.28</v>
      </c>
      <c r="I4760" s="18">
        <v>43.02</v>
      </c>
      <c r="J4760" s="12" t="s">
        <v>521</v>
      </c>
      <c r="K4760" s="13" t="s">
        <v>36</v>
      </c>
      <c r="L4760" s="15" t="s">
        <v>36</v>
      </c>
      <c r="M4760" s="12" t="s">
        <v>36</v>
      </c>
      <c r="N4760" s="12" t="s">
        <v>36</v>
      </c>
      <c r="O4760" s="17" t="s">
        <v>36</v>
      </c>
      <c r="P4760" s="12" t="s">
        <v>36</v>
      </c>
      <c r="Q4760" s="12" t="s">
        <v>36</v>
      </c>
      <c r="R4760" s="12" t="s">
        <v>36</v>
      </c>
      <c r="S4760" s="12" t="s">
        <v>36</v>
      </c>
      <c r="T4760" s="12" t="s">
        <v>4225</v>
      </c>
      <c r="U4760" s="12" t="s">
        <v>96</v>
      </c>
      <c r="V4760" s="12" t="s">
        <v>52</v>
      </c>
      <c r="W4760" s="12" t="s">
        <v>15512</v>
      </c>
      <c r="X4760" s="16" t="s">
        <v>23043</v>
      </c>
      <c r="Y4760" s="15" t="s">
        <v>42</v>
      </c>
      <c r="Z4760" s="14">
        <v>3.4</v>
      </c>
      <c r="AA4760" s="14">
        <v>4.66</v>
      </c>
      <c r="AB4760" s="12" t="s">
        <v>43</v>
      </c>
      <c r="AC4760" s="12" t="s">
        <v>15513</v>
      </c>
      <c r="AD4760" s="13">
        <v>43546</v>
      </c>
      <c r="AE4760" s="12" t="s">
        <v>143</v>
      </c>
      <c r="AF4760" s="12" t="s">
        <v>36</v>
      </c>
      <c r="AG4760" s="12" t="s">
        <v>2218</v>
      </c>
      <c r="AH4760" s="1">
        <f>HYPERLINK("https://my.pitchbook.com?c=118314-64T","View Company Online")</f>
      </c>
    </row>
    <row r="4761">
      <c r="A4761" s="3" t="s">
        <v>23044</v>
      </c>
      <c r="B4761" s="3" t="s">
        <v>23045</v>
      </c>
      <c r="C4761" s="5" t="s">
        <v>36</v>
      </c>
      <c r="D4761" s="5" t="s">
        <v>36</v>
      </c>
      <c r="E4761" s="5" t="s">
        <v>36</v>
      </c>
      <c r="F4761" s="5" t="s">
        <v>36</v>
      </c>
      <c r="G4761" s="6" t="s">
        <v>683</v>
      </c>
      <c r="H4761" s="4">
        <v>17.92</v>
      </c>
      <c r="I4761" s="7">
        <v>31</v>
      </c>
      <c r="J4761" s="3" t="s">
        <v>521</v>
      </c>
      <c r="K4761" s="9" t="s">
        <v>36</v>
      </c>
      <c r="L4761" s="6" t="s">
        <v>36</v>
      </c>
      <c r="M4761" s="3" t="s">
        <v>36</v>
      </c>
      <c r="N4761" s="3" t="s">
        <v>36</v>
      </c>
      <c r="O4761" s="8" t="s">
        <v>36</v>
      </c>
      <c r="P4761" s="3" t="s">
        <v>36</v>
      </c>
      <c r="Q4761" s="3" t="s">
        <v>36</v>
      </c>
      <c r="R4761" s="3" t="s">
        <v>36</v>
      </c>
      <c r="S4761" s="3" t="s">
        <v>36</v>
      </c>
      <c r="T4761" s="3" t="s">
        <v>23046</v>
      </c>
      <c r="U4761" s="3" t="s">
        <v>619</v>
      </c>
      <c r="V4761" s="3" t="s">
        <v>378</v>
      </c>
      <c r="W4761" s="3" t="s">
        <v>23047</v>
      </c>
      <c r="X4761" s="10" t="s">
        <v>23048</v>
      </c>
      <c r="Y4761" s="6" t="s">
        <v>108</v>
      </c>
      <c r="Z4761" s="4">
        <v>0.35</v>
      </c>
      <c r="AA4761" s="4">
        <v>1.13</v>
      </c>
      <c r="AB4761" s="3" t="s">
        <v>56</v>
      </c>
      <c r="AC4761" s="3" t="s">
        <v>23049</v>
      </c>
      <c r="AD4761" s="9">
        <v>43545</v>
      </c>
      <c r="AE4761" s="3" t="s">
        <v>3891</v>
      </c>
      <c r="AF4761" s="3" t="s">
        <v>1619</v>
      </c>
      <c r="AG4761" s="3" t="s">
        <v>23050</v>
      </c>
      <c r="AH4761" s="11">
        <f>HYPERLINK("https://my.pitchbook.com?c=157304-53T","View Company Online")</f>
      </c>
    </row>
    <row r="4762">
      <c r="A4762" s="12" t="s">
        <v>23051</v>
      </c>
      <c r="B4762" s="12" t="s">
        <v>6070</v>
      </c>
      <c r="C4762" s="19" t="s">
        <v>36</v>
      </c>
      <c r="D4762" s="19">
        <v>10</v>
      </c>
      <c r="E4762" s="19">
        <v>1</v>
      </c>
      <c r="F4762" s="19">
        <v>10</v>
      </c>
      <c r="G4762" s="15" t="s">
        <v>36</v>
      </c>
      <c r="H4762" s="14" t="s">
        <v>36</v>
      </c>
      <c r="I4762" s="18" t="s">
        <v>36</v>
      </c>
      <c r="J4762" s="12" t="s">
        <v>36</v>
      </c>
      <c r="K4762" s="13" t="s">
        <v>36</v>
      </c>
      <c r="L4762" s="15" t="s">
        <v>122</v>
      </c>
      <c r="M4762" s="12" t="s">
        <v>36</v>
      </c>
      <c r="N4762" s="12" t="s">
        <v>122</v>
      </c>
      <c r="O4762" s="17" t="s">
        <v>36</v>
      </c>
      <c r="P4762" s="12" t="s">
        <v>36</v>
      </c>
      <c r="Q4762" s="12" t="s">
        <v>36</v>
      </c>
      <c r="R4762" s="12" t="s">
        <v>36</v>
      </c>
      <c r="S4762" s="12" t="s">
        <v>36</v>
      </c>
      <c r="T4762" s="12" t="s">
        <v>6071</v>
      </c>
      <c r="U4762" s="12" t="s">
        <v>51</v>
      </c>
      <c r="V4762" s="12" t="s">
        <v>52</v>
      </c>
      <c r="W4762" s="12" t="s">
        <v>6072</v>
      </c>
      <c r="X4762" s="16" t="s">
        <v>23052</v>
      </c>
      <c r="Y4762" s="15" t="s">
        <v>42</v>
      </c>
      <c r="Z4762" s="14">
        <v>8.49</v>
      </c>
      <c r="AA4762" s="14" t="s">
        <v>36</v>
      </c>
      <c r="AB4762" s="12" t="s">
        <v>43</v>
      </c>
      <c r="AC4762" s="12" t="s">
        <v>6074</v>
      </c>
      <c r="AD4762" s="13">
        <v>43545</v>
      </c>
      <c r="AE4762" s="12" t="s">
        <v>504</v>
      </c>
      <c r="AF4762" s="12" t="s">
        <v>159</v>
      </c>
      <c r="AG4762" s="12" t="s">
        <v>6075</v>
      </c>
      <c r="AH4762" s="1">
        <f>HYPERLINK("https://my.pitchbook.com?c=117587-71T","View Company Online")</f>
      </c>
    </row>
    <row r="4763">
      <c r="A4763" s="3" t="s">
        <v>23053</v>
      </c>
      <c r="B4763" s="3" t="s">
        <v>23054</v>
      </c>
      <c r="C4763" s="5" t="s">
        <v>36</v>
      </c>
      <c r="D4763" s="5" t="s">
        <v>36</v>
      </c>
      <c r="E4763" s="5" t="s">
        <v>36</v>
      </c>
      <c r="F4763" s="5" t="s">
        <v>36</v>
      </c>
      <c r="G4763" s="6" t="s">
        <v>326</v>
      </c>
      <c r="H4763" s="4">
        <v>149.65</v>
      </c>
      <c r="I4763" s="7">
        <v>20.45</v>
      </c>
      <c r="J4763" s="3" t="s">
        <v>521</v>
      </c>
      <c r="K4763" s="9" t="s">
        <v>36</v>
      </c>
      <c r="L4763" s="6" t="s">
        <v>122</v>
      </c>
      <c r="M4763" s="3" t="s">
        <v>36</v>
      </c>
      <c r="N4763" s="3" t="s">
        <v>122</v>
      </c>
      <c r="O4763" s="8" t="s">
        <v>36</v>
      </c>
      <c r="P4763" s="3" t="s">
        <v>36</v>
      </c>
      <c r="Q4763" s="3" t="s">
        <v>36</v>
      </c>
      <c r="R4763" s="3" t="s">
        <v>36</v>
      </c>
      <c r="S4763" s="3" t="s">
        <v>36</v>
      </c>
      <c r="T4763" s="3" t="s">
        <v>20570</v>
      </c>
      <c r="U4763" s="3" t="s">
        <v>233</v>
      </c>
      <c r="V4763" s="3" t="s">
        <v>39</v>
      </c>
      <c r="W4763" s="3" t="s">
        <v>23055</v>
      </c>
      <c r="X4763" s="10" t="s">
        <v>23056</v>
      </c>
      <c r="Y4763" s="6" t="s">
        <v>108</v>
      </c>
      <c r="Z4763" s="4">
        <v>1.13</v>
      </c>
      <c r="AA4763" s="4">
        <v>5.54</v>
      </c>
      <c r="AB4763" s="3" t="s">
        <v>56</v>
      </c>
      <c r="AC4763" s="3" t="s">
        <v>23057</v>
      </c>
      <c r="AD4763" s="9">
        <v>43545</v>
      </c>
      <c r="AE4763" s="3" t="s">
        <v>236</v>
      </c>
      <c r="AF4763" s="3" t="s">
        <v>176</v>
      </c>
      <c r="AG4763" s="3" t="s">
        <v>23058</v>
      </c>
      <c r="AH4763" s="11">
        <f>HYPERLINK("https://my.pitchbook.com?c=156245-68T","View Company Online")</f>
      </c>
    </row>
    <row r="4764">
      <c r="A4764" s="12" t="s">
        <v>23059</v>
      </c>
      <c r="B4764" s="12" t="s">
        <v>8286</v>
      </c>
      <c r="C4764" s="19" t="s">
        <v>36</v>
      </c>
      <c r="D4764" s="19" t="s">
        <v>36</v>
      </c>
      <c r="E4764" s="19" t="s">
        <v>36</v>
      </c>
      <c r="F4764" s="19" t="s">
        <v>36</v>
      </c>
      <c r="G4764" s="15" t="s">
        <v>326</v>
      </c>
      <c r="H4764" s="14">
        <v>0.34</v>
      </c>
      <c r="I4764" s="18">
        <v>8.92</v>
      </c>
      <c r="J4764" s="12" t="s">
        <v>521</v>
      </c>
      <c r="K4764" s="13" t="s">
        <v>36</v>
      </c>
      <c r="L4764" s="15" t="s">
        <v>36</v>
      </c>
      <c r="M4764" s="12" t="s">
        <v>36</v>
      </c>
      <c r="N4764" s="12" t="s">
        <v>36</v>
      </c>
      <c r="O4764" s="17" t="s">
        <v>36</v>
      </c>
      <c r="P4764" s="12" t="s">
        <v>36</v>
      </c>
      <c r="Q4764" s="12" t="s">
        <v>36</v>
      </c>
      <c r="R4764" s="12" t="s">
        <v>36</v>
      </c>
      <c r="S4764" s="12" t="s">
        <v>36</v>
      </c>
      <c r="T4764" s="12" t="s">
        <v>8287</v>
      </c>
      <c r="U4764" s="12" t="s">
        <v>180</v>
      </c>
      <c r="V4764" s="12" t="s">
        <v>52</v>
      </c>
      <c r="W4764" s="12" t="s">
        <v>8288</v>
      </c>
      <c r="X4764" s="16" t="s">
        <v>23060</v>
      </c>
      <c r="Y4764" s="15" t="s">
        <v>475</v>
      </c>
      <c r="Z4764" s="14">
        <v>1.11</v>
      </c>
      <c r="AA4764" s="14">
        <v>12.46</v>
      </c>
      <c r="AB4764" s="12" t="s">
        <v>56</v>
      </c>
      <c r="AC4764" s="12" t="s">
        <v>8290</v>
      </c>
      <c r="AD4764" s="13">
        <v>43545</v>
      </c>
      <c r="AE4764" s="12" t="s">
        <v>8291</v>
      </c>
      <c r="AF4764" s="12" t="s">
        <v>101</v>
      </c>
      <c r="AG4764" s="12" t="s">
        <v>787</v>
      </c>
      <c r="AH4764" s="1">
        <f>HYPERLINK("https://my.pitchbook.com?c=130786-03T","View Company Online")</f>
      </c>
    </row>
    <row r="4765">
      <c r="A4765" s="3" t="s">
        <v>23061</v>
      </c>
      <c r="B4765" s="3" t="s">
        <v>15556</v>
      </c>
      <c r="C4765" s="5" t="s">
        <v>36</v>
      </c>
      <c r="D4765" s="5">
        <v>13</v>
      </c>
      <c r="E4765" s="5">
        <v>4</v>
      </c>
      <c r="F4765" s="5">
        <v>13</v>
      </c>
      <c r="G4765" s="6" t="s">
        <v>36</v>
      </c>
      <c r="H4765" s="4">
        <v>79.62</v>
      </c>
      <c r="I4765" s="7">
        <v>28.36</v>
      </c>
      <c r="J4765" s="3" t="s">
        <v>521</v>
      </c>
      <c r="K4765" s="9" t="s">
        <v>36</v>
      </c>
      <c r="L4765" s="6" t="s">
        <v>36</v>
      </c>
      <c r="M4765" s="3" t="s">
        <v>36</v>
      </c>
      <c r="N4765" s="3" t="s">
        <v>36</v>
      </c>
      <c r="O4765" s="8" t="s">
        <v>36</v>
      </c>
      <c r="P4765" s="3" t="s">
        <v>36</v>
      </c>
      <c r="Q4765" s="3" t="s">
        <v>36</v>
      </c>
      <c r="R4765" s="3" t="s">
        <v>36</v>
      </c>
      <c r="S4765" s="3" t="s">
        <v>36</v>
      </c>
      <c r="T4765" s="3" t="s">
        <v>15557</v>
      </c>
      <c r="U4765" s="3" t="s">
        <v>366</v>
      </c>
      <c r="V4765" s="3" t="s">
        <v>367</v>
      </c>
      <c r="W4765" s="3" t="s">
        <v>15558</v>
      </c>
      <c r="X4765" s="10" t="s">
        <v>23062</v>
      </c>
      <c r="Y4765" s="6" t="s">
        <v>42</v>
      </c>
      <c r="Z4765" s="4">
        <v>1.13</v>
      </c>
      <c r="AA4765" s="4">
        <v>3.65</v>
      </c>
      <c r="AB4765" s="3" t="s">
        <v>43</v>
      </c>
      <c r="AC4765" s="3" t="s">
        <v>15560</v>
      </c>
      <c r="AD4765" s="9">
        <v>43545</v>
      </c>
      <c r="AE4765" s="3" t="s">
        <v>600</v>
      </c>
      <c r="AF4765" s="3" t="s">
        <v>15561</v>
      </c>
      <c r="AG4765" s="3" t="s">
        <v>392</v>
      </c>
      <c r="AH4765" s="11">
        <f>HYPERLINK("https://my.pitchbook.com?c=175503-25T","View Company Online")</f>
      </c>
    </row>
    <row r="4766">
      <c r="A4766" s="12" t="s">
        <v>23063</v>
      </c>
      <c r="B4766" s="12" t="s">
        <v>23064</v>
      </c>
      <c r="C4766" s="19" t="s">
        <v>36</v>
      </c>
      <c r="D4766" s="19" t="s">
        <v>36</v>
      </c>
      <c r="E4766" s="19" t="s">
        <v>36</v>
      </c>
      <c r="F4766" s="19" t="s">
        <v>36</v>
      </c>
      <c r="G4766" s="15" t="s">
        <v>326</v>
      </c>
      <c r="H4766" s="14">
        <v>48.62</v>
      </c>
      <c r="I4766" s="18">
        <v>21.78</v>
      </c>
      <c r="J4766" s="12" t="s">
        <v>521</v>
      </c>
      <c r="K4766" s="13" t="s">
        <v>36</v>
      </c>
      <c r="L4766" s="15" t="s">
        <v>36</v>
      </c>
      <c r="M4766" s="12" t="s">
        <v>36</v>
      </c>
      <c r="N4766" s="12" t="s">
        <v>36</v>
      </c>
      <c r="O4766" s="17" t="s">
        <v>36</v>
      </c>
      <c r="P4766" s="12" t="s">
        <v>36</v>
      </c>
      <c r="Q4766" s="12" t="s">
        <v>36</v>
      </c>
      <c r="R4766" s="12" t="s">
        <v>36</v>
      </c>
      <c r="S4766" s="12" t="s">
        <v>36</v>
      </c>
      <c r="T4766" s="12" t="s">
        <v>1162</v>
      </c>
      <c r="U4766" s="12" t="s">
        <v>423</v>
      </c>
      <c r="V4766" s="12" t="s">
        <v>64</v>
      </c>
      <c r="W4766" s="12" t="s">
        <v>23065</v>
      </c>
      <c r="X4766" s="16" t="s">
        <v>23066</v>
      </c>
      <c r="Y4766" s="15" t="s">
        <v>42</v>
      </c>
      <c r="Z4766" s="14">
        <v>1.17</v>
      </c>
      <c r="AA4766" s="14">
        <v>5.36</v>
      </c>
      <c r="AB4766" s="12" t="s">
        <v>56</v>
      </c>
      <c r="AC4766" s="12" t="s">
        <v>23067</v>
      </c>
      <c r="AD4766" s="13">
        <v>43544</v>
      </c>
      <c r="AE4766" s="12" t="s">
        <v>562</v>
      </c>
      <c r="AF4766" s="12" t="s">
        <v>1977</v>
      </c>
      <c r="AG4766" s="12" t="s">
        <v>81</v>
      </c>
      <c r="AH4766" s="1">
        <f>HYPERLINK("https://my.pitchbook.com?c=218411-02T","View Company Online")</f>
      </c>
    </row>
    <row r="4767">
      <c r="A4767" s="3" t="s">
        <v>23068</v>
      </c>
      <c r="B4767" s="3" t="s">
        <v>23069</v>
      </c>
      <c r="C4767" s="5" t="s">
        <v>36</v>
      </c>
      <c r="D4767" s="5" t="s">
        <v>36</v>
      </c>
      <c r="E4767" s="5" t="s">
        <v>36</v>
      </c>
      <c r="F4767" s="5" t="s">
        <v>36</v>
      </c>
      <c r="G4767" s="6" t="s">
        <v>36</v>
      </c>
      <c r="H4767" s="4">
        <v>0.38</v>
      </c>
      <c r="I4767" s="7">
        <v>6.96</v>
      </c>
      <c r="J4767" s="3" t="s">
        <v>327</v>
      </c>
      <c r="K4767" s="9" t="s">
        <v>36</v>
      </c>
      <c r="L4767" s="6" t="s">
        <v>36</v>
      </c>
      <c r="M4767" s="3" t="s">
        <v>36</v>
      </c>
      <c r="N4767" s="3" t="s">
        <v>36</v>
      </c>
      <c r="O4767" s="8" t="s">
        <v>36</v>
      </c>
      <c r="P4767" s="3" t="s">
        <v>36</v>
      </c>
      <c r="Q4767" s="3" t="s">
        <v>36</v>
      </c>
      <c r="R4767" s="3" t="s">
        <v>36</v>
      </c>
      <c r="S4767" s="3" t="s">
        <v>36</v>
      </c>
      <c r="T4767" s="3" t="s">
        <v>23070</v>
      </c>
      <c r="U4767" s="3" t="s">
        <v>38</v>
      </c>
      <c r="V4767" s="3" t="s">
        <v>39</v>
      </c>
      <c r="W4767" s="3" t="s">
        <v>23071</v>
      </c>
      <c r="X4767" s="10" t="s">
        <v>221</v>
      </c>
      <c r="Y4767" s="6" t="s">
        <v>108</v>
      </c>
      <c r="Z4767" s="4">
        <v>0.28</v>
      </c>
      <c r="AA4767" s="4">
        <v>4.07</v>
      </c>
      <c r="AB4767" s="3" t="s">
        <v>43</v>
      </c>
      <c r="AC4767" s="3" t="s">
        <v>23072</v>
      </c>
      <c r="AD4767" s="9">
        <v>43544</v>
      </c>
      <c r="AE4767" s="3" t="s">
        <v>110</v>
      </c>
      <c r="AF4767" s="3" t="s">
        <v>23073</v>
      </c>
      <c r="AG4767" s="3" t="s">
        <v>81</v>
      </c>
      <c r="AH4767" s="11">
        <f>HYPERLINK("https://my.pitchbook.com?c=117222-85T","View Company Online")</f>
      </c>
    </row>
    <row r="4768">
      <c r="A4768" s="12" t="s">
        <v>23074</v>
      </c>
      <c r="B4768" s="12" t="s">
        <v>23075</v>
      </c>
      <c r="C4768" s="19" t="s">
        <v>36</v>
      </c>
      <c r="D4768" s="19" t="s">
        <v>36</v>
      </c>
      <c r="E4768" s="19" t="s">
        <v>36</v>
      </c>
      <c r="F4768" s="19" t="s">
        <v>36</v>
      </c>
      <c r="G4768" s="15" t="s">
        <v>36</v>
      </c>
      <c r="H4768" s="14">
        <v>15.58</v>
      </c>
      <c r="I4768" s="18">
        <v>25</v>
      </c>
      <c r="J4768" s="12" t="s">
        <v>521</v>
      </c>
      <c r="K4768" s="13" t="s">
        <v>36</v>
      </c>
      <c r="L4768" s="15" t="s">
        <v>36</v>
      </c>
      <c r="M4768" s="12" t="s">
        <v>36</v>
      </c>
      <c r="N4768" s="12" t="s">
        <v>36</v>
      </c>
      <c r="O4768" s="17" t="s">
        <v>36</v>
      </c>
      <c r="P4768" s="12" t="s">
        <v>36</v>
      </c>
      <c r="Q4768" s="12" t="s">
        <v>36</v>
      </c>
      <c r="R4768" s="12" t="s">
        <v>36</v>
      </c>
      <c r="S4768" s="12" t="s">
        <v>36</v>
      </c>
      <c r="T4768" s="12" t="s">
        <v>23076</v>
      </c>
      <c r="U4768" s="12" t="s">
        <v>833</v>
      </c>
      <c r="V4768" s="12" t="s">
        <v>64</v>
      </c>
      <c r="W4768" s="12" t="s">
        <v>23077</v>
      </c>
      <c r="X4768" s="16" t="s">
        <v>13191</v>
      </c>
      <c r="Y4768" s="15" t="s">
        <v>42</v>
      </c>
      <c r="Z4768" s="14">
        <v>0.17</v>
      </c>
      <c r="AA4768" s="14">
        <v>0.68</v>
      </c>
      <c r="AB4768" s="12" t="s">
        <v>43</v>
      </c>
      <c r="AC4768" s="12" t="s">
        <v>23078</v>
      </c>
      <c r="AD4768" s="13">
        <v>43544</v>
      </c>
      <c r="AE4768" s="12" t="s">
        <v>1069</v>
      </c>
      <c r="AF4768" s="12" t="s">
        <v>372</v>
      </c>
      <c r="AG4768" s="12" t="s">
        <v>23079</v>
      </c>
      <c r="AH4768" s="1">
        <f>HYPERLINK("https://my.pitchbook.com?c=131499-19T","View Company Online")</f>
      </c>
    </row>
    <row r="4769">
      <c r="A4769" s="3" t="s">
        <v>23080</v>
      </c>
      <c r="B4769" s="3" t="s">
        <v>23081</v>
      </c>
      <c r="C4769" s="5">
        <v>10</v>
      </c>
      <c r="D4769" s="5">
        <v>3</v>
      </c>
      <c r="E4769" s="5">
        <v>4</v>
      </c>
      <c r="F4769" s="5">
        <v>16</v>
      </c>
      <c r="G4769" s="6" t="s">
        <v>36</v>
      </c>
      <c r="H4769" s="4">
        <v>15.44</v>
      </c>
      <c r="I4769" s="7">
        <v>15</v>
      </c>
      <c r="J4769" s="3" t="s">
        <v>521</v>
      </c>
      <c r="K4769" s="9" t="s">
        <v>36</v>
      </c>
      <c r="L4769" s="6" t="s">
        <v>36</v>
      </c>
      <c r="M4769" s="3" t="s">
        <v>36</v>
      </c>
      <c r="N4769" s="3" t="s">
        <v>36</v>
      </c>
      <c r="O4769" s="8" t="s">
        <v>36</v>
      </c>
      <c r="P4769" s="3" t="s">
        <v>36</v>
      </c>
      <c r="Q4769" s="3" t="s">
        <v>36</v>
      </c>
      <c r="R4769" s="3" t="s">
        <v>36</v>
      </c>
      <c r="S4769" s="3" t="s">
        <v>36</v>
      </c>
      <c r="T4769" s="3" t="s">
        <v>2321</v>
      </c>
      <c r="U4769" s="3" t="s">
        <v>51</v>
      </c>
      <c r="V4769" s="3" t="s">
        <v>52</v>
      </c>
      <c r="W4769" s="3" t="s">
        <v>23082</v>
      </c>
      <c r="X4769" s="10" t="s">
        <v>23083</v>
      </c>
      <c r="Y4769" s="6" t="s">
        <v>108</v>
      </c>
      <c r="Z4769" s="4">
        <v>50.88</v>
      </c>
      <c r="AA4769" s="4">
        <v>188.84</v>
      </c>
      <c r="AB4769" s="3" t="s">
        <v>43</v>
      </c>
      <c r="AC4769" s="3" t="s">
        <v>23084</v>
      </c>
      <c r="AD4769" s="9">
        <v>43544</v>
      </c>
      <c r="AE4769" s="3" t="s">
        <v>504</v>
      </c>
      <c r="AF4769" s="3" t="s">
        <v>159</v>
      </c>
      <c r="AG4769" s="3" t="s">
        <v>81</v>
      </c>
      <c r="AH4769" s="11">
        <f>HYPERLINK("https://my.pitchbook.com?c=117562-96T","View Company Online")</f>
      </c>
    </row>
    <row r="4770">
      <c r="A4770" s="12" t="s">
        <v>23085</v>
      </c>
      <c r="B4770" s="12" t="s">
        <v>13160</v>
      </c>
      <c r="C4770" s="19" t="s">
        <v>36</v>
      </c>
      <c r="D4770" s="19" t="s">
        <v>36</v>
      </c>
      <c r="E4770" s="19" t="s">
        <v>36</v>
      </c>
      <c r="F4770" s="19" t="s">
        <v>36</v>
      </c>
      <c r="G4770" s="15" t="s">
        <v>326</v>
      </c>
      <c r="H4770" s="14">
        <v>98.24</v>
      </c>
      <c r="I4770" s="18">
        <v>8.3</v>
      </c>
      <c r="J4770" s="12" t="s">
        <v>521</v>
      </c>
      <c r="K4770" s="13" t="s">
        <v>36</v>
      </c>
      <c r="L4770" s="15" t="s">
        <v>12462</v>
      </c>
      <c r="M4770" s="12" t="s">
        <v>36</v>
      </c>
      <c r="N4770" s="12" t="s">
        <v>12462</v>
      </c>
      <c r="O4770" s="17" t="s">
        <v>36</v>
      </c>
      <c r="P4770" s="12" t="s">
        <v>36</v>
      </c>
      <c r="Q4770" s="12" t="s">
        <v>36</v>
      </c>
      <c r="R4770" s="12" t="s">
        <v>36</v>
      </c>
      <c r="S4770" s="12" t="s">
        <v>36</v>
      </c>
      <c r="T4770" s="12" t="s">
        <v>189</v>
      </c>
      <c r="U4770" s="12" t="s">
        <v>180</v>
      </c>
      <c r="V4770" s="12" t="s">
        <v>52</v>
      </c>
      <c r="W4770" s="12" t="s">
        <v>13161</v>
      </c>
      <c r="X4770" s="16" t="s">
        <v>23086</v>
      </c>
      <c r="Y4770" s="15" t="s">
        <v>321</v>
      </c>
      <c r="Z4770" s="14">
        <v>169.82</v>
      </c>
      <c r="AA4770" s="14">
        <v>1853.28</v>
      </c>
      <c r="AB4770" s="12" t="s">
        <v>56</v>
      </c>
      <c r="AC4770" s="12" t="s">
        <v>13163</v>
      </c>
      <c r="AD4770" s="13">
        <v>43543</v>
      </c>
      <c r="AE4770" s="12" t="s">
        <v>184</v>
      </c>
      <c r="AF4770" s="12" t="s">
        <v>7086</v>
      </c>
      <c r="AG4770" s="12" t="s">
        <v>2088</v>
      </c>
      <c r="AH4770" s="1">
        <f>HYPERLINK("https://my.pitchbook.com?c=117536-59T","View Company Online")</f>
      </c>
    </row>
    <row r="4771">
      <c r="A4771" s="3" t="s">
        <v>23087</v>
      </c>
      <c r="B4771" s="3" t="s">
        <v>4113</v>
      </c>
      <c r="C4771" s="5" t="s">
        <v>36</v>
      </c>
      <c r="D4771" s="5" t="s">
        <v>36</v>
      </c>
      <c r="E4771" s="5" t="s">
        <v>36</v>
      </c>
      <c r="F4771" s="5" t="s">
        <v>36</v>
      </c>
      <c r="G4771" s="6" t="s">
        <v>326</v>
      </c>
      <c r="H4771" s="4">
        <v>529.67</v>
      </c>
      <c r="I4771" s="7">
        <v>11.24</v>
      </c>
      <c r="J4771" s="3" t="s">
        <v>521</v>
      </c>
      <c r="K4771" s="9">
        <v>43538</v>
      </c>
      <c r="L4771" s="6" t="s">
        <v>36</v>
      </c>
      <c r="M4771" s="3" t="s">
        <v>36</v>
      </c>
      <c r="N4771" s="3" t="s">
        <v>36</v>
      </c>
      <c r="O4771" s="8" t="s">
        <v>36</v>
      </c>
      <c r="P4771" s="3" t="s">
        <v>36</v>
      </c>
      <c r="Q4771" s="3" t="s">
        <v>36</v>
      </c>
      <c r="R4771" s="3" t="s">
        <v>36</v>
      </c>
      <c r="S4771" s="3" t="s">
        <v>36</v>
      </c>
      <c r="T4771" s="3" t="s">
        <v>1990</v>
      </c>
      <c r="U4771" s="3" t="s">
        <v>38</v>
      </c>
      <c r="V4771" s="3" t="s">
        <v>39</v>
      </c>
      <c r="W4771" s="3" t="s">
        <v>4114</v>
      </c>
      <c r="X4771" s="10" t="s">
        <v>23088</v>
      </c>
      <c r="Y4771" s="6" t="s">
        <v>108</v>
      </c>
      <c r="Z4771" s="4">
        <v>1.26</v>
      </c>
      <c r="AA4771" s="4">
        <v>11.2</v>
      </c>
      <c r="AB4771" s="3" t="s">
        <v>43</v>
      </c>
      <c r="AC4771" s="3" t="s">
        <v>4116</v>
      </c>
      <c r="AD4771" s="9">
        <v>43543</v>
      </c>
      <c r="AE4771" s="3" t="s">
        <v>110</v>
      </c>
      <c r="AF4771" s="3" t="s">
        <v>4117</v>
      </c>
      <c r="AG4771" s="3" t="s">
        <v>81</v>
      </c>
      <c r="AH4771" s="11">
        <f>HYPERLINK("https://my.pitchbook.com?c=119275-30T","View Company Online")</f>
      </c>
    </row>
    <row r="4772">
      <c r="A4772" s="12" t="s">
        <v>23089</v>
      </c>
      <c r="B4772" s="12" t="s">
        <v>13149</v>
      </c>
      <c r="C4772" s="19" t="s">
        <v>36</v>
      </c>
      <c r="D4772" s="19" t="s">
        <v>36</v>
      </c>
      <c r="E4772" s="19" t="s">
        <v>36</v>
      </c>
      <c r="F4772" s="19" t="s">
        <v>36</v>
      </c>
      <c r="G4772" s="15" t="s">
        <v>36</v>
      </c>
      <c r="H4772" s="14">
        <v>4.7</v>
      </c>
      <c r="I4772" s="18">
        <v>26.99</v>
      </c>
      <c r="J4772" s="12" t="s">
        <v>521</v>
      </c>
      <c r="K4772" s="13" t="s">
        <v>36</v>
      </c>
      <c r="L4772" s="15" t="s">
        <v>36</v>
      </c>
      <c r="M4772" s="12" t="s">
        <v>36</v>
      </c>
      <c r="N4772" s="12" t="s">
        <v>36</v>
      </c>
      <c r="O4772" s="17" t="s">
        <v>36</v>
      </c>
      <c r="P4772" s="12" t="s">
        <v>36</v>
      </c>
      <c r="Q4772" s="12" t="s">
        <v>36</v>
      </c>
      <c r="R4772" s="12" t="s">
        <v>36</v>
      </c>
      <c r="S4772" s="12" t="s">
        <v>36</v>
      </c>
      <c r="T4772" s="12" t="s">
        <v>105</v>
      </c>
      <c r="U4772" s="12" t="s">
        <v>38</v>
      </c>
      <c r="V4772" s="12" t="s">
        <v>39</v>
      </c>
      <c r="W4772" s="12" t="s">
        <v>13150</v>
      </c>
      <c r="X4772" s="16" t="s">
        <v>23090</v>
      </c>
      <c r="Y4772" s="15" t="s">
        <v>42</v>
      </c>
      <c r="Z4772" s="14">
        <v>1.14</v>
      </c>
      <c r="AA4772" s="14">
        <v>4.21</v>
      </c>
      <c r="AB4772" s="12" t="s">
        <v>43</v>
      </c>
      <c r="AC4772" s="12" t="s">
        <v>13152</v>
      </c>
      <c r="AD4772" s="13">
        <v>43543</v>
      </c>
      <c r="AE4772" s="12" t="s">
        <v>110</v>
      </c>
      <c r="AF4772" s="12" t="s">
        <v>13153</v>
      </c>
      <c r="AG4772" s="12" t="s">
        <v>81</v>
      </c>
      <c r="AH4772" s="1">
        <f>HYPERLINK("https://my.pitchbook.com?c=117888-31T","View Company Online")</f>
      </c>
    </row>
    <row r="4773">
      <c r="A4773" s="3" t="s">
        <v>23091</v>
      </c>
      <c r="B4773" s="3" t="s">
        <v>23092</v>
      </c>
      <c r="C4773" s="5" t="s">
        <v>36</v>
      </c>
      <c r="D4773" s="5" t="s">
        <v>36</v>
      </c>
      <c r="E4773" s="5" t="s">
        <v>36</v>
      </c>
      <c r="F4773" s="5" t="s">
        <v>36</v>
      </c>
      <c r="G4773" s="6" t="s">
        <v>36</v>
      </c>
      <c r="H4773" s="4" t="s">
        <v>36</v>
      </c>
      <c r="I4773" s="7" t="s">
        <v>36</v>
      </c>
      <c r="J4773" s="3" t="s">
        <v>36</v>
      </c>
      <c r="K4773" s="9">
        <v>43538</v>
      </c>
      <c r="L4773" s="6" t="s">
        <v>36</v>
      </c>
      <c r="M4773" s="3" t="s">
        <v>36</v>
      </c>
      <c r="N4773" s="3" t="s">
        <v>36</v>
      </c>
      <c r="O4773" s="8" t="s">
        <v>36</v>
      </c>
      <c r="P4773" s="3" t="s">
        <v>36</v>
      </c>
      <c r="Q4773" s="3" t="s">
        <v>36</v>
      </c>
      <c r="R4773" s="3" t="s">
        <v>36</v>
      </c>
      <c r="S4773" s="3" t="s">
        <v>36</v>
      </c>
      <c r="T4773" s="3" t="s">
        <v>1227</v>
      </c>
      <c r="U4773" s="3" t="s">
        <v>74</v>
      </c>
      <c r="V4773" s="3" t="s">
        <v>75</v>
      </c>
      <c r="W4773" s="3" t="s">
        <v>23093</v>
      </c>
      <c r="X4773" s="10" t="s">
        <v>23094</v>
      </c>
      <c r="Y4773" s="6" t="s">
        <v>108</v>
      </c>
      <c r="Z4773" s="4">
        <v>11.32</v>
      </c>
      <c r="AA4773" s="4" t="s">
        <v>36</v>
      </c>
      <c r="AB4773" s="3" t="s">
        <v>56</v>
      </c>
      <c r="AC4773" s="3" t="s">
        <v>23095</v>
      </c>
      <c r="AD4773" s="9">
        <v>43542</v>
      </c>
      <c r="AE4773" s="3" t="s">
        <v>570</v>
      </c>
      <c r="AF4773" s="3" t="s">
        <v>372</v>
      </c>
      <c r="AG4773" s="3" t="s">
        <v>23096</v>
      </c>
      <c r="AH4773" s="11">
        <f>HYPERLINK("https://my.pitchbook.com?c=117158-32T","View Company Online")</f>
      </c>
    </row>
    <row r="4774">
      <c r="A4774" s="12" t="s">
        <v>23097</v>
      </c>
      <c r="B4774" s="12" t="s">
        <v>23098</v>
      </c>
      <c r="C4774" s="19" t="s">
        <v>36</v>
      </c>
      <c r="D4774" s="19" t="s">
        <v>36</v>
      </c>
      <c r="E4774" s="19" t="s">
        <v>36</v>
      </c>
      <c r="F4774" s="19" t="s">
        <v>36</v>
      </c>
      <c r="G4774" s="15" t="s">
        <v>36</v>
      </c>
      <c r="H4774" s="14">
        <v>4.37</v>
      </c>
      <c r="I4774" s="18">
        <v>15.22</v>
      </c>
      <c r="J4774" s="12" t="s">
        <v>521</v>
      </c>
      <c r="K4774" s="13" t="s">
        <v>36</v>
      </c>
      <c r="L4774" s="15" t="s">
        <v>36</v>
      </c>
      <c r="M4774" s="12" t="s">
        <v>36</v>
      </c>
      <c r="N4774" s="12" t="s">
        <v>36</v>
      </c>
      <c r="O4774" s="17" t="s">
        <v>36</v>
      </c>
      <c r="P4774" s="12" t="s">
        <v>36</v>
      </c>
      <c r="Q4774" s="12" t="s">
        <v>36</v>
      </c>
      <c r="R4774" s="12" t="s">
        <v>36</v>
      </c>
      <c r="S4774" s="12" t="s">
        <v>36</v>
      </c>
      <c r="T4774" s="12" t="s">
        <v>23099</v>
      </c>
      <c r="U4774" s="12" t="s">
        <v>289</v>
      </c>
      <c r="V4774" s="12" t="s">
        <v>64</v>
      </c>
      <c r="W4774" s="12" t="s">
        <v>23100</v>
      </c>
      <c r="X4774" s="16" t="s">
        <v>23101</v>
      </c>
      <c r="Y4774" s="15" t="s">
        <v>42</v>
      </c>
      <c r="Z4774" s="14">
        <v>0.86</v>
      </c>
      <c r="AA4774" s="14">
        <v>5.62</v>
      </c>
      <c r="AB4774" s="12" t="s">
        <v>43</v>
      </c>
      <c r="AC4774" s="12" t="s">
        <v>23102</v>
      </c>
      <c r="AD4774" s="13">
        <v>43542</v>
      </c>
      <c r="AE4774" s="12" t="s">
        <v>3134</v>
      </c>
      <c r="AF4774" s="12" t="s">
        <v>6718</v>
      </c>
      <c r="AG4774" s="12" t="s">
        <v>81</v>
      </c>
      <c r="AH4774" s="1">
        <f>HYPERLINK("https://my.pitchbook.com?c=120289-96T","View Company Online")</f>
      </c>
    </row>
    <row r="4775">
      <c r="A4775" s="3" t="s">
        <v>23103</v>
      </c>
      <c r="B4775" s="3" t="s">
        <v>2860</v>
      </c>
      <c r="C4775" s="5" t="s">
        <v>36</v>
      </c>
      <c r="D4775" s="5" t="s">
        <v>36</v>
      </c>
      <c r="E4775" s="5" t="s">
        <v>36</v>
      </c>
      <c r="F4775" s="5" t="s">
        <v>36</v>
      </c>
      <c r="G4775" s="6" t="s">
        <v>326</v>
      </c>
      <c r="H4775" s="4">
        <v>44.77</v>
      </c>
      <c r="I4775" s="7">
        <v>9.45</v>
      </c>
      <c r="J4775" s="3" t="s">
        <v>521</v>
      </c>
      <c r="K4775" s="9" t="s">
        <v>36</v>
      </c>
      <c r="L4775" s="6" t="s">
        <v>36</v>
      </c>
      <c r="M4775" s="3" t="s">
        <v>36</v>
      </c>
      <c r="N4775" s="3" t="s">
        <v>36</v>
      </c>
      <c r="O4775" s="8" t="s">
        <v>36</v>
      </c>
      <c r="P4775" s="3" t="s">
        <v>36</v>
      </c>
      <c r="Q4775" s="3" t="s">
        <v>36</v>
      </c>
      <c r="R4775" s="3" t="s">
        <v>36</v>
      </c>
      <c r="S4775" s="3" t="s">
        <v>36</v>
      </c>
      <c r="T4775" s="3" t="s">
        <v>2861</v>
      </c>
      <c r="U4775" s="3" t="s">
        <v>74</v>
      </c>
      <c r="V4775" s="3" t="s">
        <v>75</v>
      </c>
      <c r="W4775" s="3" t="s">
        <v>2862</v>
      </c>
      <c r="X4775" s="10" t="s">
        <v>23104</v>
      </c>
      <c r="Y4775" s="6" t="s">
        <v>192</v>
      </c>
      <c r="Z4775" s="4">
        <v>2.55</v>
      </c>
      <c r="AA4775" s="4">
        <v>26.98</v>
      </c>
      <c r="AB4775" s="3" t="s">
        <v>56</v>
      </c>
      <c r="AC4775" s="3" t="s">
        <v>2864</v>
      </c>
      <c r="AD4775" s="9">
        <v>43542</v>
      </c>
      <c r="AE4775" s="3" t="s">
        <v>362</v>
      </c>
      <c r="AF4775" s="3" t="s">
        <v>250</v>
      </c>
      <c r="AG4775" s="3" t="s">
        <v>81</v>
      </c>
      <c r="AH4775" s="11">
        <f>HYPERLINK("https://my.pitchbook.com?c=205352-38T","View Company Online")</f>
      </c>
    </row>
    <row r="4776">
      <c r="A4776" s="12" t="s">
        <v>23105</v>
      </c>
      <c r="B4776" s="12" t="s">
        <v>23106</v>
      </c>
      <c r="C4776" s="19" t="s">
        <v>36</v>
      </c>
      <c r="D4776" s="19" t="s">
        <v>36</v>
      </c>
      <c r="E4776" s="19" t="s">
        <v>36</v>
      </c>
      <c r="F4776" s="19" t="s">
        <v>36</v>
      </c>
      <c r="G4776" s="15" t="s">
        <v>36</v>
      </c>
      <c r="H4776" s="14">
        <v>36.78</v>
      </c>
      <c r="I4776" s="18">
        <v>28.02</v>
      </c>
      <c r="J4776" s="12" t="s">
        <v>521</v>
      </c>
      <c r="K4776" s="13" t="s">
        <v>36</v>
      </c>
      <c r="L4776" s="15" t="s">
        <v>36</v>
      </c>
      <c r="M4776" s="12" t="s">
        <v>36</v>
      </c>
      <c r="N4776" s="12" t="s">
        <v>36</v>
      </c>
      <c r="O4776" s="17" t="s">
        <v>36</v>
      </c>
      <c r="P4776" s="12" t="s">
        <v>36</v>
      </c>
      <c r="Q4776" s="12" t="s">
        <v>36</v>
      </c>
      <c r="R4776" s="12" t="s">
        <v>36</v>
      </c>
      <c r="S4776" s="12" t="s">
        <v>36</v>
      </c>
      <c r="T4776" s="12" t="s">
        <v>7701</v>
      </c>
      <c r="U4776" s="12" t="s">
        <v>833</v>
      </c>
      <c r="V4776" s="12" t="s">
        <v>64</v>
      </c>
      <c r="W4776" s="12" t="s">
        <v>23107</v>
      </c>
      <c r="X4776" s="16" t="s">
        <v>7151</v>
      </c>
      <c r="Y4776" s="15" t="s">
        <v>55</v>
      </c>
      <c r="Z4776" s="14">
        <v>0.51</v>
      </c>
      <c r="AA4776" s="14">
        <v>1.82</v>
      </c>
      <c r="AB4776" s="12" t="s">
        <v>56</v>
      </c>
      <c r="AC4776" s="12" t="s">
        <v>23108</v>
      </c>
      <c r="AD4776" s="13">
        <v>43539</v>
      </c>
      <c r="AE4776" s="12" t="s">
        <v>1069</v>
      </c>
      <c r="AF4776" s="12" t="s">
        <v>23109</v>
      </c>
      <c r="AG4776" s="12" t="s">
        <v>8939</v>
      </c>
      <c r="AH4776" s="1">
        <f>HYPERLINK("https://my.pitchbook.com?c=120041-02T","View Company Online")</f>
      </c>
    </row>
    <row r="4777">
      <c r="A4777" s="3" t="s">
        <v>23110</v>
      </c>
      <c r="B4777" s="3" t="s">
        <v>20736</v>
      </c>
      <c r="C4777" s="5" t="s">
        <v>36</v>
      </c>
      <c r="D4777" s="5" t="s">
        <v>36</v>
      </c>
      <c r="E4777" s="5" t="s">
        <v>36</v>
      </c>
      <c r="F4777" s="5" t="s">
        <v>36</v>
      </c>
      <c r="G4777" s="6" t="s">
        <v>36</v>
      </c>
      <c r="H4777" s="4" t="s">
        <v>36</v>
      </c>
      <c r="I4777" s="7" t="s">
        <v>36</v>
      </c>
      <c r="J4777" s="3" t="s">
        <v>36</v>
      </c>
      <c r="K4777" s="9" t="s">
        <v>36</v>
      </c>
      <c r="L4777" s="6" t="s">
        <v>36</v>
      </c>
      <c r="M4777" s="3" t="s">
        <v>36</v>
      </c>
      <c r="N4777" s="3" t="s">
        <v>36</v>
      </c>
      <c r="O4777" s="8" t="s">
        <v>36</v>
      </c>
      <c r="P4777" s="3" t="s">
        <v>36</v>
      </c>
      <c r="Q4777" s="3" t="s">
        <v>36</v>
      </c>
      <c r="R4777" s="3" t="s">
        <v>36</v>
      </c>
      <c r="S4777" s="3" t="s">
        <v>36</v>
      </c>
      <c r="T4777" s="3" t="s">
        <v>2609</v>
      </c>
      <c r="U4777" s="3" t="s">
        <v>423</v>
      </c>
      <c r="V4777" s="3" t="s">
        <v>64</v>
      </c>
      <c r="W4777" s="3" t="s">
        <v>20737</v>
      </c>
      <c r="X4777" s="10" t="s">
        <v>7645</v>
      </c>
      <c r="Y4777" s="6" t="s">
        <v>192</v>
      </c>
      <c r="Z4777" s="4">
        <v>1.83</v>
      </c>
      <c r="AA4777" s="4" t="s">
        <v>36</v>
      </c>
      <c r="AB4777" s="3" t="s">
        <v>56</v>
      </c>
      <c r="AC4777" s="3" t="s">
        <v>20739</v>
      </c>
      <c r="AD4777" s="9">
        <v>43539</v>
      </c>
      <c r="AE4777" s="3" t="s">
        <v>562</v>
      </c>
      <c r="AF4777" s="3" t="s">
        <v>1061</v>
      </c>
      <c r="AG4777" s="3" t="s">
        <v>81</v>
      </c>
      <c r="AH4777" s="11">
        <f>HYPERLINK("https://my.pitchbook.com?c=119274-94T","View Company Online")</f>
      </c>
    </row>
    <row r="4778">
      <c r="A4778" s="12" t="s">
        <v>23111</v>
      </c>
      <c r="B4778" s="12" t="s">
        <v>17317</v>
      </c>
      <c r="C4778" s="19">
        <v>2</v>
      </c>
      <c r="D4778" s="19" t="s">
        <v>36</v>
      </c>
      <c r="E4778" s="19">
        <v>1</v>
      </c>
      <c r="F4778" s="19">
        <v>3</v>
      </c>
      <c r="G4778" s="15" t="s">
        <v>36</v>
      </c>
      <c r="H4778" s="14">
        <v>169.94</v>
      </c>
      <c r="I4778" s="18">
        <v>60.46</v>
      </c>
      <c r="J4778" s="12" t="s">
        <v>521</v>
      </c>
      <c r="K4778" s="13" t="s">
        <v>36</v>
      </c>
      <c r="L4778" s="15" t="s">
        <v>122</v>
      </c>
      <c r="M4778" s="12" t="s">
        <v>36</v>
      </c>
      <c r="N4778" s="12" t="s">
        <v>122</v>
      </c>
      <c r="O4778" s="17" t="s">
        <v>36</v>
      </c>
      <c r="P4778" s="12" t="s">
        <v>36</v>
      </c>
      <c r="Q4778" s="12" t="s">
        <v>36</v>
      </c>
      <c r="R4778" s="12" t="s">
        <v>36</v>
      </c>
      <c r="S4778" s="12" t="s">
        <v>36</v>
      </c>
      <c r="T4778" s="12" t="s">
        <v>881</v>
      </c>
      <c r="U4778" s="12" t="s">
        <v>51</v>
      </c>
      <c r="V4778" s="12" t="s">
        <v>52</v>
      </c>
      <c r="W4778" s="12" t="s">
        <v>17318</v>
      </c>
      <c r="X4778" s="16" t="s">
        <v>23112</v>
      </c>
      <c r="Y4778" s="15" t="s">
        <v>42</v>
      </c>
      <c r="Z4778" s="14">
        <v>3.73</v>
      </c>
      <c r="AA4778" s="14">
        <v>6.18</v>
      </c>
      <c r="AB4778" s="12" t="s">
        <v>43</v>
      </c>
      <c r="AC4778" s="12" t="s">
        <v>17320</v>
      </c>
      <c r="AD4778" s="13">
        <v>43539</v>
      </c>
      <c r="AE4778" s="12" t="s">
        <v>504</v>
      </c>
      <c r="AF4778" s="12" t="s">
        <v>665</v>
      </c>
      <c r="AG4778" s="12" t="s">
        <v>13897</v>
      </c>
      <c r="AH4778" s="1">
        <f>HYPERLINK("https://my.pitchbook.com?c=121434-13T","View Company Online")</f>
      </c>
    </row>
    <row r="4779">
      <c r="A4779" s="3" t="s">
        <v>23113</v>
      </c>
      <c r="B4779" s="3" t="s">
        <v>12616</v>
      </c>
      <c r="C4779" s="5">
        <v>9</v>
      </c>
      <c r="D4779" s="5">
        <v>3</v>
      </c>
      <c r="E4779" s="5">
        <v>5</v>
      </c>
      <c r="F4779" s="5">
        <v>13</v>
      </c>
      <c r="G4779" s="6" t="s">
        <v>326</v>
      </c>
      <c r="H4779" s="4">
        <v>7.46</v>
      </c>
      <c r="I4779" s="7">
        <v>30.76</v>
      </c>
      <c r="J4779" s="3" t="s">
        <v>521</v>
      </c>
      <c r="K4779" s="9">
        <v>43507</v>
      </c>
      <c r="L4779" s="6" t="s">
        <v>36</v>
      </c>
      <c r="M4779" s="3" t="s">
        <v>36</v>
      </c>
      <c r="N4779" s="3" t="s">
        <v>36</v>
      </c>
      <c r="O4779" s="8" t="s">
        <v>36</v>
      </c>
      <c r="P4779" s="3" t="s">
        <v>36</v>
      </c>
      <c r="Q4779" s="3" t="s">
        <v>36</v>
      </c>
      <c r="R4779" s="3" t="s">
        <v>36</v>
      </c>
      <c r="S4779" s="3" t="s">
        <v>36</v>
      </c>
      <c r="T4779" s="3" t="s">
        <v>12617</v>
      </c>
      <c r="U4779" s="3" t="s">
        <v>96</v>
      </c>
      <c r="V4779" s="3" t="s">
        <v>52</v>
      </c>
      <c r="W4779" s="3" t="s">
        <v>12618</v>
      </c>
      <c r="X4779" s="10" t="s">
        <v>23114</v>
      </c>
      <c r="Y4779" s="6" t="s">
        <v>108</v>
      </c>
      <c r="Z4779" s="4">
        <v>4.53</v>
      </c>
      <c r="AA4779" s="4">
        <v>14.71</v>
      </c>
      <c r="AB4779" s="3" t="s">
        <v>43</v>
      </c>
      <c r="AC4779" s="3" t="s">
        <v>12620</v>
      </c>
      <c r="AD4779" s="9">
        <v>43538</v>
      </c>
      <c r="AE4779" s="3" t="s">
        <v>100</v>
      </c>
      <c r="AF4779" s="3" t="s">
        <v>12621</v>
      </c>
      <c r="AG4779" s="3" t="s">
        <v>81</v>
      </c>
      <c r="AH4779" s="11">
        <f>HYPERLINK("https://my.pitchbook.com?c=117420-40T","View Company Online")</f>
      </c>
    </row>
    <row r="4780">
      <c r="A4780" s="12" t="s">
        <v>23115</v>
      </c>
      <c r="B4780" s="12" t="s">
        <v>23116</v>
      </c>
      <c r="C4780" s="19" t="s">
        <v>36</v>
      </c>
      <c r="D4780" s="19" t="s">
        <v>36</v>
      </c>
      <c r="E4780" s="19" t="s">
        <v>36</v>
      </c>
      <c r="F4780" s="19" t="s">
        <v>36</v>
      </c>
      <c r="G4780" s="15" t="s">
        <v>683</v>
      </c>
      <c r="H4780" s="14">
        <v>8.62</v>
      </c>
      <c r="I4780" s="18">
        <v>5.1</v>
      </c>
      <c r="J4780" s="12" t="s">
        <v>521</v>
      </c>
      <c r="K4780" s="13" t="s">
        <v>36</v>
      </c>
      <c r="L4780" s="15" t="s">
        <v>36</v>
      </c>
      <c r="M4780" s="12" t="s">
        <v>36</v>
      </c>
      <c r="N4780" s="12" t="s">
        <v>36</v>
      </c>
      <c r="O4780" s="17" t="s">
        <v>36</v>
      </c>
      <c r="P4780" s="12" t="s">
        <v>36</v>
      </c>
      <c r="Q4780" s="12" t="s">
        <v>36</v>
      </c>
      <c r="R4780" s="12" t="s">
        <v>36</v>
      </c>
      <c r="S4780" s="12" t="s">
        <v>36</v>
      </c>
      <c r="T4780" s="12" t="s">
        <v>105</v>
      </c>
      <c r="U4780" s="12" t="s">
        <v>38</v>
      </c>
      <c r="V4780" s="12" t="s">
        <v>39</v>
      </c>
      <c r="W4780" s="12" t="s">
        <v>23117</v>
      </c>
      <c r="X4780" s="16" t="s">
        <v>23118</v>
      </c>
      <c r="Y4780" s="15" t="s">
        <v>192</v>
      </c>
      <c r="Z4780" s="14">
        <v>1.16</v>
      </c>
      <c r="AA4780" s="14">
        <v>22.67</v>
      </c>
      <c r="AB4780" s="12" t="s">
        <v>56</v>
      </c>
      <c r="AC4780" s="12" t="s">
        <v>23119</v>
      </c>
      <c r="AD4780" s="13">
        <v>43537</v>
      </c>
      <c r="AE4780" s="12" t="s">
        <v>110</v>
      </c>
      <c r="AF4780" s="12" t="s">
        <v>5001</v>
      </c>
      <c r="AG4780" s="12" t="s">
        <v>81</v>
      </c>
      <c r="AH4780" s="1">
        <f>HYPERLINK("https://my.pitchbook.com?c=200375-29T","View Company Online")</f>
      </c>
    </row>
    <row r="4781">
      <c r="A4781" s="3" t="s">
        <v>23120</v>
      </c>
      <c r="B4781" s="3" t="s">
        <v>23121</v>
      </c>
      <c r="C4781" s="5" t="s">
        <v>36</v>
      </c>
      <c r="D4781" s="5" t="s">
        <v>36</v>
      </c>
      <c r="E4781" s="5" t="s">
        <v>36</v>
      </c>
      <c r="F4781" s="5" t="s">
        <v>36</v>
      </c>
      <c r="G4781" s="6" t="s">
        <v>36</v>
      </c>
      <c r="H4781" s="4">
        <v>1973.28</v>
      </c>
      <c r="I4781" s="7">
        <v>20.89</v>
      </c>
      <c r="J4781" s="3" t="s">
        <v>521</v>
      </c>
      <c r="K4781" s="9" t="s">
        <v>36</v>
      </c>
      <c r="L4781" s="6" t="s">
        <v>36</v>
      </c>
      <c r="M4781" s="3" t="s">
        <v>36</v>
      </c>
      <c r="N4781" s="3" t="s">
        <v>36</v>
      </c>
      <c r="O4781" s="8" t="s">
        <v>36</v>
      </c>
      <c r="P4781" s="3" t="s">
        <v>36</v>
      </c>
      <c r="Q4781" s="3" t="s">
        <v>36</v>
      </c>
      <c r="R4781" s="3" t="s">
        <v>36</v>
      </c>
      <c r="S4781" s="3" t="s">
        <v>6583</v>
      </c>
      <c r="T4781" s="3" t="s">
        <v>5911</v>
      </c>
      <c r="U4781" s="3" t="s">
        <v>74</v>
      </c>
      <c r="V4781" s="3" t="s">
        <v>75</v>
      </c>
      <c r="W4781" s="3" t="s">
        <v>23122</v>
      </c>
      <c r="X4781" s="10" t="s">
        <v>23123</v>
      </c>
      <c r="Y4781" s="6" t="s">
        <v>42</v>
      </c>
      <c r="Z4781" s="4">
        <v>1.13</v>
      </c>
      <c r="AA4781" s="4">
        <v>2.72</v>
      </c>
      <c r="AB4781" s="3" t="s">
        <v>43</v>
      </c>
      <c r="AC4781" s="3" t="s">
        <v>23124</v>
      </c>
      <c r="AD4781" s="9">
        <v>43537</v>
      </c>
      <c r="AE4781" s="3" t="s">
        <v>79</v>
      </c>
      <c r="AF4781" s="3" t="s">
        <v>23125</v>
      </c>
      <c r="AG4781" s="3" t="s">
        <v>3492</v>
      </c>
      <c r="AH4781" s="11">
        <f>HYPERLINK("https://my.pitchbook.com?c=117729-37T","View Company Online")</f>
      </c>
    </row>
    <row r="4782">
      <c r="A4782" s="12" t="s">
        <v>23126</v>
      </c>
      <c r="B4782" s="12" t="s">
        <v>12746</v>
      </c>
      <c r="C4782" s="19" t="s">
        <v>36</v>
      </c>
      <c r="D4782" s="19" t="s">
        <v>36</v>
      </c>
      <c r="E4782" s="19" t="s">
        <v>36</v>
      </c>
      <c r="F4782" s="19" t="s">
        <v>36</v>
      </c>
      <c r="G4782" s="15" t="s">
        <v>36</v>
      </c>
      <c r="H4782" s="14">
        <v>15.76</v>
      </c>
      <c r="I4782" s="18">
        <v>47.77</v>
      </c>
      <c r="J4782" s="12" t="s">
        <v>521</v>
      </c>
      <c r="K4782" s="13" t="s">
        <v>36</v>
      </c>
      <c r="L4782" s="15" t="s">
        <v>122</v>
      </c>
      <c r="M4782" s="12" t="s">
        <v>36</v>
      </c>
      <c r="N4782" s="12" t="s">
        <v>122</v>
      </c>
      <c r="O4782" s="17" t="s">
        <v>36</v>
      </c>
      <c r="P4782" s="12" t="s">
        <v>36</v>
      </c>
      <c r="Q4782" s="12" t="s">
        <v>3530</v>
      </c>
      <c r="R4782" s="12" t="s">
        <v>36</v>
      </c>
      <c r="S4782" s="12" t="s">
        <v>36</v>
      </c>
      <c r="T4782" s="12" t="s">
        <v>12747</v>
      </c>
      <c r="U4782" s="12" t="s">
        <v>648</v>
      </c>
      <c r="V4782" s="12" t="s">
        <v>64</v>
      </c>
      <c r="W4782" s="12" t="s">
        <v>12748</v>
      </c>
      <c r="X4782" s="16" t="s">
        <v>23127</v>
      </c>
      <c r="Y4782" s="15" t="s">
        <v>55</v>
      </c>
      <c r="Z4782" s="14">
        <v>17.1</v>
      </c>
      <c r="AA4782" s="14">
        <v>19.74</v>
      </c>
      <c r="AB4782" s="12" t="s">
        <v>43</v>
      </c>
      <c r="AC4782" s="12" t="s">
        <v>12750</v>
      </c>
      <c r="AD4782" s="13">
        <v>43537</v>
      </c>
      <c r="AE4782" s="12" t="s">
        <v>651</v>
      </c>
      <c r="AF4782" s="12" t="s">
        <v>546</v>
      </c>
      <c r="AG4782" s="12" t="s">
        <v>12751</v>
      </c>
      <c r="AH4782" s="1">
        <f>HYPERLINK("https://my.pitchbook.com?c=119906-65T","View Company Online")</f>
      </c>
    </row>
    <row r="4783">
      <c r="A4783" s="3" t="s">
        <v>23128</v>
      </c>
      <c r="B4783" s="3" t="s">
        <v>2774</v>
      </c>
      <c r="C4783" s="5" t="s">
        <v>36</v>
      </c>
      <c r="D4783" s="5" t="s">
        <v>36</v>
      </c>
      <c r="E4783" s="5" t="s">
        <v>36</v>
      </c>
      <c r="F4783" s="5" t="s">
        <v>36</v>
      </c>
      <c r="G4783" s="6" t="s">
        <v>683</v>
      </c>
      <c r="H4783" s="4">
        <v>519.28</v>
      </c>
      <c r="I4783" s="7">
        <v>21.29</v>
      </c>
      <c r="J4783" s="3" t="s">
        <v>521</v>
      </c>
      <c r="K4783" s="9" t="s">
        <v>36</v>
      </c>
      <c r="L4783" s="6" t="s">
        <v>36</v>
      </c>
      <c r="M4783" s="3" t="s">
        <v>36</v>
      </c>
      <c r="N4783" s="3" t="s">
        <v>36</v>
      </c>
      <c r="O4783" s="8" t="s">
        <v>36</v>
      </c>
      <c r="P4783" s="3" t="s">
        <v>36</v>
      </c>
      <c r="Q4783" s="3" t="s">
        <v>36</v>
      </c>
      <c r="R4783" s="3" t="s">
        <v>36</v>
      </c>
      <c r="S4783" s="3" t="s">
        <v>36</v>
      </c>
      <c r="T4783" s="3" t="s">
        <v>522</v>
      </c>
      <c r="U4783" s="3" t="s">
        <v>38</v>
      </c>
      <c r="V4783" s="3" t="s">
        <v>39</v>
      </c>
      <c r="W4783" s="3" t="s">
        <v>2775</v>
      </c>
      <c r="X4783" s="10" t="s">
        <v>23129</v>
      </c>
      <c r="Y4783" s="6" t="s">
        <v>108</v>
      </c>
      <c r="Z4783" s="4">
        <v>0.52</v>
      </c>
      <c r="AA4783" s="4">
        <v>1.63</v>
      </c>
      <c r="AB4783" s="3" t="s">
        <v>43</v>
      </c>
      <c r="AC4783" s="3" t="s">
        <v>2777</v>
      </c>
      <c r="AD4783" s="9">
        <v>43536</v>
      </c>
      <c r="AE4783" s="3" t="s">
        <v>110</v>
      </c>
      <c r="AF4783" s="3" t="s">
        <v>2778</v>
      </c>
      <c r="AG4783" s="3" t="s">
        <v>81</v>
      </c>
      <c r="AH4783" s="11">
        <f>HYPERLINK("https://my.pitchbook.com?c=138961-27T","View Company Online")</f>
      </c>
    </row>
    <row r="4784">
      <c r="A4784" s="12" t="s">
        <v>23130</v>
      </c>
      <c r="B4784" s="12" t="s">
        <v>23131</v>
      </c>
      <c r="C4784" s="19" t="s">
        <v>36</v>
      </c>
      <c r="D4784" s="19" t="s">
        <v>36</v>
      </c>
      <c r="E4784" s="19" t="s">
        <v>36</v>
      </c>
      <c r="F4784" s="19" t="s">
        <v>36</v>
      </c>
      <c r="G4784" s="15" t="s">
        <v>683</v>
      </c>
      <c r="H4784" s="14">
        <v>720.41</v>
      </c>
      <c r="I4784" s="18">
        <v>20.83</v>
      </c>
      <c r="J4784" s="12" t="s">
        <v>521</v>
      </c>
      <c r="K4784" s="13" t="s">
        <v>36</v>
      </c>
      <c r="L4784" s="15" t="s">
        <v>36</v>
      </c>
      <c r="M4784" s="12" t="s">
        <v>36</v>
      </c>
      <c r="N4784" s="12" t="s">
        <v>36</v>
      </c>
      <c r="O4784" s="17" t="s">
        <v>36</v>
      </c>
      <c r="P4784" s="12" t="s">
        <v>36</v>
      </c>
      <c r="Q4784" s="12" t="s">
        <v>36</v>
      </c>
      <c r="R4784" s="12" t="s">
        <v>36</v>
      </c>
      <c r="S4784" s="12" t="s">
        <v>36</v>
      </c>
      <c r="T4784" s="12" t="s">
        <v>522</v>
      </c>
      <c r="U4784" s="12" t="s">
        <v>38</v>
      </c>
      <c r="V4784" s="12" t="s">
        <v>39</v>
      </c>
      <c r="W4784" s="12" t="s">
        <v>23132</v>
      </c>
      <c r="X4784" s="16" t="s">
        <v>23133</v>
      </c>
      <c r="Y4784" s="15" t="s">
        <v>108</v>
      </c>
      <c r="Z4784" s="14">
        <v>0.51</v>
      </c>
      <c r="AA4784" s="14">
        <v>2.45</v>
      </c>
      <c r="AB4784" s="12" t="s">
        <v>43</v>
      </c>
      <c r="AC4784" s="12" t="s">
        <v>23134</v>
      </c>
      <c r="AD4784" s="13">
        <v>43536</v>
      </c>
      <c r="AE4784" s="12" t="s">
        <v>110</v>
      </c>
      <c r="AF4784" s="12" t="s">
        <v>2759</v>
      </c>
      <c r="AG4784" s="12" t="s">
        <v>186</v>
      </c>
      <c r="AH4784" s="1">
        <f>HYPERLINK("https://my.pitchbook.com?c=127443-88T","View Company Online")</f>
      </c>
    </row>
    <row r="4785">
      <c r="A4785" s="3" t="s">
        <v>23135</v>
      </c>
      <c r="B4785" s="3" t="s">
        <v>23136</v>
      </c>
      <c r="C4785" s="5">
        <v>3</v>
      </c>
      <c r="D4785" s="5">
        <v>5</v>
      </c>
      <c r="E4785" s="5">
        <v>2</v>
      </c>
      <c r="F4785" s="5">
        <v>10</v>
      </c>
      <c r="G4785" s="6" t="s">
        <v>326</v>
      </c>
      <c r="H4785" s="4">
        <v>911.55</v>
      </c>
      <c r="I4785" s="7">
        <v>32.42</v>
      </c>
      <c r="J4785" s="3" t="s">
        <v>521</v>
      </c>
      <c r="K4785" s="9" t="s">
        <v>36</v>
      </c>
      <c r="L4785" s="6" t="s">
        <v>36</v>
      </c>
      <c r="M4785" s="3" t="s">
        <v>36</v>
      </c>
      <c r="N4785" s="3" t="s">
        <v>36</v>
      </c>
      <c r="O4785" s="8" t="s">
        <v>36</v>
      </c>
      <c r="P4785" s="3" t="s">
        <v>36</v>
      </c>
      <c r="Q4785" s="3" t="s">
        <v>36</v>
      </c>
      <c r="R4785" s="3" t="s">
        <v>36</v>
      </c>
      <c r="S4785" s="3" t="s">
        <v>36</v>
      </c>
      <c r="T4785" s="3" t="s">
        <v>23137</v>
      </c>
      <c r="U4785" s="3" t="s">
        <v>96</v>
      </c>
      <c r="V4785" s="3" t="s">
        <v>52</v>
      </c>
      <c r="W4785" s="3" t="s">
        <v>23138</v>
      </c>
      <c r="X4785" s="10" t="s">
        <v>23139</v>
      </c>
      <c r="Y4785" s="6" t="s">
        <v>42</v>
      </c>
      <c r="Z4785" s="4">
        <v>0.81</v>
      </c>
      <c r="AA4785" s="4">
        <v>2.51</v>
      </c>
      <c r="AB4785" s="3" t="s">
        <v>43</v>
      </c>
      <c r="AC4785" s="3" t="s">
        <v>23140</v>
      </c>
      <c r="AD4785" s="9">
        <v>43536</v>
      </c>
      <c r="AE4785" s="3" t="s">
        <v>496</v>
      </c>
      <c r="AF4785" s="3" t="s">
        <v>579</v>
      </c>
      <c r="AG4785" s="3" t="s">
        <v>81</v>
      </c>
      <c r="AH4785" s="11">
        <f>HYPERLINK("https://my.pitchbook.com?c=189885-25T","View Company Online")</f>
      </c>
    </row>
    <row r="4786">
      <c r="A4786" s="12" t="s">
        <v>23141</v>
      </c>
      <c r="B4786" s="12" t="s">
        <v>23142</v>
      </c>
      <c r="C4786" s="19" t="s">
        <v>36</v>
      </c>
      <c r="D4786" s="19" t="s">
        <v>36</v>
      </c>
      <c r="E4786" s="19" t="s">
        <v>36</v>
      </c>
      <c r="F4786" s="19" t="s">
        <v>36</v>
      </c>
      <c r="G4786" s="15" t="s">
        <v>326</v>
      </c>
      <c r="H4786" s="14">
        <v>169.09</v>
      </c>
      <c r="I4786" s="18">
        <v>22.43</v>
      </c>
      <c r="J4786" s="12" t="s">
        <v>521</v>
      </c>
      <c r="K4786" s="13" t="s">
        <v>36</v>
      </c>
      <c r="L4786" s="15" t="s">
        <v>36</v>
      </c>
      <c r="M4786" s="12" t="s">
        <v>36</v>
      </c>
      <c r="N4786" s="12" t="s">
        <v>36</v>
      </c>
      <c r="O4786" s="17" t="s">
        <v>36</v>
      </c>
      <c r="P4786" s="12" t="s">
        <v>36</v>
      </c>
      <c r="Q4786" s="12" t="s">
        <v>36</v>
      </c>
      <c r="R4786" s="12" t="s">
        <v>36</v>
      </c>
      <c r="S4786" s="12" t="s">
        <v>36</v>
      </c>
      <c r="T4786" s="12" t="s">
        <v>6989</v>
      </c>
      <c r="U4786" s="12" t="s">
        <v>63</v>
      </c>
      <c r="V4786" s="12" t="s">
        <v>64</v>
      </c>
      <c r="W4786" s="12" t="s">
        <v>23143</v>
      </c>
      <c r="X4786" s="16" t="s">
        <v>23144</v>
      </c>
      <c r="Y4786" s="15" t="s">
        <v>108</v>
      </c>
      <c r="Z4786" s="14">
        <v>1.13</v>
      </c>
      <c r="AA4786" s="14">
        <v>5.05</v>
      </c>
      <c r="AB4786" s="12" t="s">
        <v>56</v>
      </c>
      <c r="AC4786" s="12" t="s">
        <v>23145</v>
      </c>
      <c r="AD4786" s="13">
        <v>43535</v>
      </c>
      <c r="AE4786" s="12" t="s">
        <v>68</v>
      </c>
      <c r="AF4786" s="12" t="s">
        <v>36</v>
      </c>
      <c r="AG4786" s="12" t="s">
        <v>81</v>
      </c>
      <c r="AH4786" s="1">
        <f>HYPERLINK("https://my.pitchbook.com?c=121460-41T","View Company Online")</f>
      </c>
    </row>
    <row r="4787">
      <c r="A4787" s="3" t="s">
        <v>23146</v>
      </c>
      <c r="B4787" s="3" t="s">
        <v>17119</v>
      </c>
      <c r="C4787" s="5" t="s">
        <v>36</v>
      </c>
      <c r="D4787" s="5" t="s">
        <v>36</v>
      </c>
      <c r="E4787" s="5" t="s">
        <v>36</v>
      </c>
      <c r="F4787" s="5" t="s">
        <v>36</v>
      </c>
      <c r="G4787" s="6" t="s">
        <v>36</v>
      </c>
      <c r="H4787" s="4" t="s">
        <v>36</v>
      </c>
      <c r="I4787" s="7" t="s">
        <v>36</v>
      </c>
      <c r="J4787" s="3" t="s">
        <v>36</v>
      </c>
      <c r="K4787" s="9" t="s">
        <v>36</v>
      </c>
      <c r="L4787" s="6" t="s">
        <v>36</v>
      </c>
      <c r="M4787" s="3" t="s">
        <v>36</v>
      </c>
      <c r="N4787" s="3" t="s">
        <v>36</v>
      </c>
      <c r="O4787" s="8" t="s">
        <v>36</v>
      </c>
      <c r="P4787" s="3" t="s">
        <v>36</v>
      </c>
      <c r="Q4787" s="3" t="s">
        <v>36</v>
      </c>
      <c r="R4787" s="3" t="s">
        <v>36</v>
      </c>
      <c r="S4787" s="3" t="s">
        <v>36</v>
      </c>
      <c r="T4787" s="3" t="s">
        <v>17120</v>
      </c>
      <c r="U4787" s="3" t="s">
        <v>38</v>
      </c>
      <c r="V4787" s="3" t="s">
        <v>39</v>
      </c>
      <c r="W4787" s="3" t="s">
        <v>17121</v>
      </c>
      <c r="X4787" s="10" t="s">
        <v>23147</v>
      </c>
      <c r="Y4787" s="6" t="s">
        <v>42</v>
      </c>
      <c r="Z4787" s="4">
        <v>1.13</v>
      </c>
      <c r="AA4787" s="4" t="s">
        <v>36</v>
      </c>
      <c r="AB4787" s="3" t="s">
        <v>43</v>
      </c>
      <c r="AC4787" s="3" t="s">
        <v>17123</v>
      </c>
      <c r="AD4787" s="9">
        <v>43535</v>
      </c>
      <c r="AE4787" s="3" t="s">
        <v>110</v>
      </c>
      <c r="AF4787" s="3" t="s">
        <v>9411</v>
      </c>
      <c r="AG4787" s="3" t="s">
        <v>741</v>
      </c>
      <c r="AH4787" s="11">
        <f>HYPERLINK("https://my.pitchbook.com?c=121151-17T","View Company Online")</f>
      </c>
    </row>
    <row r="4788">
      <c r="A4788" s="12" t="s">
        <v>23148</v>
      </c>
      <c r="B4788" s="12" t="s">
        <v>19539</v>
      </c>
      <c r="C4788" s="19" t="s">
        <v>36</v>
      </c>
      <c r="D4788" s="19">
        <v>14</v>
      </c>
      <c r="E4788" s="19">
        <v>6</v>
      </c>
      <c r="F4788" s="19">
        <v>22</v>
      </c>
      <c r="G4788" s="15" t="s">
        <v>326</v>
      </c>
      <c r="H4788" s="14">
        <v>14.54</v>
      </c>
      <c r="I4788" s="18">
        <v>26.72</v>
      </c>
      <c r="J4788" s="12" t="s">
        <v>521</v>
      </c>
      <c r="K4788" s="13" t="s">
        <v>36</v>
      </c>
      <c r="L4788" s="15" t="s">
        <v>36</v>
      </c>
      <c r="M4788" s="12" t="s">
        <v>36</v>
      </c>
      <c r="N4788" s="12" t="s">
        <v>36</v>
      </c>
      <c r="O4788" s="17" t="s">
        <v>36</v>
      </c>
      <c r="P4788" s="12" t="s">
        <v>36</v>
      </c>
      <c r="Q4788" s="12" t="s">
        <v>36</v>
      </c>
      <c r="R4788" s="12" t="s">
        <v>36</v>
      </c>
      <c r="S4788" s="12" t="s">
        <v>36</v>
      </c>
      <c r="T4788" s="12" t="s">
        <v>3264</v>
      </c>
      <c r="U4788" s="12" t="s">
        <v>96</v>
      </c>
      <c r="V4788" s="12" t="s">
        <v>52</v>
      </c>
      <c r="W4788" s="12" t="s">
        <v>19540</v>
      </c>
      <c r="X4788" s="16" t="s">
        <v>23149</v>
      </c>
      <c r="Y4788" s="15" t="s">
        <v>42</v>
      </c>
      <c r="Z4788" s="14">
        <v>1.36</v>
      </c>
      <c r="AA4788" s="14">
        <v>2.76</v>
      </c>
      <c r="AB4788" s="12" t="s">
        <v>43</v>
      </c>
      <c r="AC4788" s="12" t="s">
        <v>19541</v>
      </c>
      <c r="AD4788" s="13">
        <v>43532</v>
      </c>
      <c r="AE4788" s="12" t="s">
        <v>496</v>
      </c>
      <c r="AF4788" s="12" t="s">
        <v>36</v>
      </c>
      <c r="AG4788" s="12" t="s">
        <v>12568</v>
      </c>
      <c r="AH4788" s="1">
        <f>HYPERLINK("https://my.pitchbook.com?c=120170-44T","View Company Online")</f>
      </c>
    </row>
    <row r="4789">
      <c r="A4789" s="3" t="s">
        <v>23150</v>
      </c>
      <c r="B4789" s="3" t="s">
        <v>23151</v>
      </c>
      <c r="C4789" s="5" t="s">
        <v>36</v>
      </c>
      <c r="D4789" s="5" t="s">
        <v>36</v>
      </c>
      <c r="E4789" s="5" t="s">
        <v>36</v>
      </c>
      <c r="F4789" s="5" t="s">
        <v>36</v>
      </c>
      <c r="G4789" s="6" t="s">
        <v>326</v>
      </c>
      <c r="H4789" s="4" t="s">
        <v>36</v>
      </c>
      <c r="I4789" s="7">
        <v>32.86</v>
      </c>
      <c r="J4789" s="3" t="s">
        <v>327</v>
      </c>
      <c r="K4789" s="9" t="s">
        <v>36</v>
      </c>
      <c r="L4789" s="6" t="s">
        <v>36</v>
      </c>
      <c r="M4789" s="3" t="s">
        <v>36</v>
      </c>
      <c r="N4789" s="3" t="s">
        <v>36</v>
      </c>
      <c r="O4789" s="8" t="s">
        <v>36</v>
      </c>
      <c r="P4789" s="3" t="s">
        <v>36</v>
      </c>
      <c r="Q4789" s="3" t="s">
        <v>36</v>
      </c>
      <c r="R4789" s="3" t="s">
        <v>36</v>
      </c>
      <c r="S4789" s="3" t="s">
        <v>36</v>
      </c>
      <c r="T4789" s="3" t="s">
        <v>23152</v>
      </c>
      <c r="U4789" s="3" t="s">
        <v>38</v>
      </c>
      <c r="V4789" s="3" t="s">
        <v>39</v>
      </c>
      <c r="W4789" s="3" t="s">
        <v>23153</v>
      </c>
      <c r="X4789" s="10" t="s">
        <v>23154</v>
      </c>
      <c r="Y4789" s="6" t="s">
        <v>108</v>
      </c>
      <c r="Z4789" s="4">
        <v>3.4</v>
      </c>
      <c r="AA4789" s="4">
        <v>10.34</v>
      </c>
      <c r="AB4789" s="3" t="s">
        <v>56</v>
      </c>
      <c r="AC4789" s="3" t="s">
        <v>23155</v>
      </c>
      <c r="AD4789" s="9">
        <v>43532</v>
      </c>
      <c r="AE4789" s="3" t="s">
        <v>554</v>
      </c>
      <c r="AF4789" s="3" t="s">
        <v>1492</v>
      </c>
      <c r="AG4789" s="3" t="s">
        <v>2088</v>
      </c>
      <c r="AH4789" s="11">
        <f>HYPERLINK("https://my.pitchbook.com?c=117219-88T","View Company Online")</f>
      </c>
    </row>
    <row r="4790">
      <c r="A4790" s="12" t="s">
        <v>23156</v>
      </c>
      <c r="B4790" s="12" t="s">
        <v>23157</v>
      </c>
      <c r="C4790" s="19" t="s">
        <v>36</v>
      </c>
      <c r="D4790" s="19" t="s">
        <v>36</v>
      </c>
      <c r="E4790" s="19" t="s">
        <v>36</v>
      </c>
      <c r="F4790" s="19" t="s">
        <v>36</v>
      </c>
      <c r="G4790" s="15" t="s">
        <v>36</v>
      </c>
      <c r="H4790" s="14" t="s">
        <v>36</v>
      </c>
      <c r="I4790" s="18" t="s">
        <v>36</v>
      </c>
      <c r="J4790" s="12" t="s">
        <v>36</v>
      </c>
      <c r="K4790" s="13" t="s">
        <v>36</v>
      </c>
      <c r="L4790" s="15" t="s">
        <v>36</v>
      </c>
      <c r="M4790" s="12" t="s">
        <v>36</v>
      </c>
      <c r="N4790" s="12" t="s">
        <v>36</v>
      </c>
      <c r="O4790" s="17" t="s">
        <v>36</v>
      </c>
      <c r="P4790" s="12" t="s">
        <v>36</v>
      </c>
      <c r="Q4790" s="12" t="s">
        <v>36</v>
      </c>
      <c r="R4790" s="12" t="s">
        <v>36</v>
      </c>
      <c r="S4790" s="12" t="s">
        <v>36</v>
      </c>
      <c r="T4790" s="12" t="s">
        <v>23158</v>
      </c>
      <c r="U4790" s="12" t="s">
        <v>63</v>
      </c>
      <c r="V4790" s="12" t="s">
        <v>64</v>
      </c>
      <c r="W4790" s="12" t="s">
        <v>23159</v>
      </c>
      <c r="X4790" s="16" t="s">
        <v>23160</v>
      </c>
      <c r="Y4790" s="15" t="s">
        <v>42</v>
      </c>
      <c r="Z4790" s="14" t="s">
        <v>36</v>
      </c>
      <c r="AA4790" s="14" t="s">
        <v>36</v>
      </c>
      <c r="AB4790" s="12" t="s">
        <v>56</v>
      </c>
      <c r="AC4790" s="12" t="s">
        <v>23161</v>
      </c>
      <c r="AD4790" s="13">
        <v>43532</v>
      </c>
      <c r="AE4790" s="12" t="s">
        <v>68</v>
      </c>
      <c r="AF4790" s="12" t="s">
        <v>36</v>
      </c>
      <c r="AG4790" s="12" t="s">
        <v>81</v>
      </c>
      <c r="AH4790" s="1">
        <f>HYPERLINK("https://my.pitchbook.com?c=169823-71T","View Company Online")</f>
      </c>
    </row>
    <row r="4791">
      <c r="A4791" s="3" t="s">
        <v>23162</v>
      </c>
      <c r="B4791" s="3" t="s">
        <v>15305</v>
      </c>
      <c r="C4791" s="5" t="s">
        <v>36</v>
      </c>
      <c r="D4791" s="5" t="s">
        <v>36</v>
      </c>
      <c r="E4791" s="5" t="s">
        <v>36</v>
      </c>
      <c r="F4791" s="5" t="s">
        <v>36</v>
      </c>
      <c r="G4791" s="6" t="s">
        <v>326</v>
      </c>
      <c r="H4791" s="4">
        <v>23.1</v>
      </c>
      <c r="I4791" s="7">
        <v>27.47</v>
      </c>
      <c r="J4791" s="3" t="s">
        <v>521</v>
      </c>
      <c r="K4791" s="9" t="s">
        <v>36</v>
      </c>
      <c r="L4791" s="6" t="s">
        <v>122</v>
      </c>
      <c r="M4791" s="3" t="s">
        <v>36</v>
      </c>
      <c r="N4791" s="3" t="s">
        <v>122</v>
      </c>
      <c r="O4791" s="8" t="s">
        <v>36</v>
      </c>
      <c r="P4791" s="3" t="s">
        <v>36</v>
      </c>
      <c r="Q4791" s="3" t="s">
        <v>36</v>
      </c>
      <c r="R4791" s="3" t="s">
        <v>36</v>
      </c>
      <c r="S4791" s="3" t="s">
        <v>36</v>
      </c>
      <c r="T4791" s="3" t="s">
        <v>15306</v>
      </c>
      <c r="U4791" s="3" t="s">
        <v>38</v>
      </c>
      <c r="V4791" s="3" t="s">
        <v>39</v>
      </c>
      <c r="W4791" s="3" t="s">
        <v>15307</v>
      </c>
      <c r="X4791" s="10" t="s">
        <v>23163</v>
      </c>
      <c r="Y4791" s="6" t="s">
        <v>108</v>
      </c>
      <c r="Z4791" s="4">
        <v>1.7</v>
      </c>
      <c r="AA4791" s="4">
        <v>4.12</v>
      </c>
      <c r="AB4791" s="3" t="s">
        <v>43</v>
      </c>
      <c r="AC4791" s="3" t="s">
        <v>15309</v>
      </c>
      <c r="AD4791" s="9">
        <v>43531</v>
      </c>
      <c r="AE4791" s="3" t="s">
        <v>45</v>
      </c>
      <c r="AF4791" s="3" t="s">
        <v>46</v>
      </c>
      <c r="AG4791" s="3" t="s">
        <v>5114</v>
      </c>
      <c r="AH4791" s="11">
        <f>HYPERLINK("https://my.pitchbook.com?c=123914-98T","View Company Online")</f>
      </c>
    </row>
    <row r="4792">
      <c r="A4792" s="12" t="s">
        <v>23164</v>
      </c>
      <c r="B4792" s="12" t="s">
        <v>23165</v>
      </c>
      <c r="C4792" s="19" t="s">
        <v>36</v>
      </c>
      <c r="D4792" s="19" t="s">
        <v>36</v>
      </c>
      <c r="E4792" s="19" t="s">
        <v>36</v>
      </c>
      <c r="F4792" s="19" t="s">
        <v>36</v>
      </c>
      <c r="G4792" s="15" t="s">
        <v>36</v>
      </c>
      <c r="H4792" s="14">
        <v>17.49</v>
      </c>
      <c r="I4792" s="18">
        <v>36.24</v>
      </c>
      <c r="J4792" s="12" t="s">
        <v>521</v>
      </c>
      <c r="K4792" s="13" t="s">
        <v>36</v>
      </c>
      <c r="L4792" s="15" t="s">
        <v>36</v>
      </c>
      <c r="M4792" s="12" t="s">
        <v>36</v>
      </c>
      <c r="N4792" s="12" t="s">
        <v>36</v>
      </c>
      <c r="O4792" s="17" t="s">
        <v>36</v>
      </c>
      <c r="P4792" s="12" t="s">
        <v>3530</v>
      </c>
      <c r="Q4792" s="12" t="s">
        <v>36</v>
      </c>
      <c r="R4792" s="12" t="s">
        <v>36</v>
      </c>
      <c r="S4792" s="12" t="s">
        <v>36</v>
      </c>
      <c r="T4792" s="12" t="s">
        <v>23166</v>
      </c>
      <c r="U4792" s="12" t="s">
        <v>38</v>
      </c>
      <c r="V4792" s="12" t="s">
        <v>39</v>
      </c>
      <c r="W4792" s="12" t="s">
        <v>23167</v>
      </c>
      <c r="X4792" s="16" t="s">
        <v>23168</v>
      </c>
      <c r="Y4792" s="15" t="s">
        <v>42</v>
      </c>
      <c r="Z4792" s="14">
        <v>1.64</v>
      </c>
      <c r="AA4792" s="14">
        <v>4.53</v>
      </c>
      <c r="AB4792" s="12" t="s">
        <v>43</v>
      </c>
      <c r="AC4792" s="12" t="s">
        <v>23169</v>
      </c>
      <c r="AD4792" s="13">
        <v>43530</v>
      </c>
      <c r="AE4792" s="12" t="s">
        <v>554</v>
      </c>
      <c r="AF4792" s="12" t="s">
        <v>16316</v>
      </c>
      <c r="AG4792" s="12" t="s">
        <v>23170</v>
      </c>
      <c r="AH4792" s="1">
        <f>HYPERLINK("https://my.pitchbook.com?c=117396-73T","View Company Online")</f>
      </c>
    </row>
    <row r="4793">
      <c r="A4793" s="3" t="s">
        <v>23171</v>
      </c>
      <c r="B4793" s="3" t="s">
        <v>23172</v>
      </c>
      <c r="C4793" s="5" t="s">
        <v>36</v>
      </c>
      <c r="D4793" s="5" t="s">
        <v>36</v>
      </c>
      <c r="E4793" s="5" t="s">
        <v>36</v>
      </c>
      <c r="F4793" s="5" t="s">
        <v>36</v>
      </c>
      <c r="G4793" s="6" t="s">
        <v>36</v>
      </c>
      <c r="H4793" s="4">
        <v>49.06</v>
      </c>
      <c r="I4793" s="7">
        <v>37.5</v>
      </c>
      <c r="J4793" s="3" t="s">
        <v>521</v>
      </c>
      <c r="K4793" s="9" t="s">
        <v>36</v>
      </c>
      <c r="L4793" s="6" t="s">
        <v>36</v>
      </c>
      <c r="M4793" s="3" t="s">
        <v>36</v>
      </c>
      <c r="N4793" s="3" t="s">
        <v>36</v>
      </c>
      <c r="O4793" s="8" t="s">
        <v>36</v>
      </c>
      <c r="P4793" s="3" t="s">
        <v>36</v>
      </c>
      <c r="Q4793" s="3" t="s">
        <v>36</v>
      </c>
      <c r="R4793" s="3" t="s">
        <v>36</v>
      </c>
      <c r="S4793" s="3" t="s">
        <v>36</v>
      </c>
      <c r="T4793" s="3" t="s">
        <v>522</v>
      </c>
      <c r="U4793" s="3" t="s">
        <v>38</v>
      </c>
      <c r="V4793" s="3" t="s">
        <v>39</v>
      </c>
      <c r="W4793" s="3" t="s">
        <v>23173</v>
      </c>
      <c r="X4793" s="10" t="s">
        <v>23174</v>
      </c>
      <c r="Y4793" s="6" t="s">
        <v>42</v>
      </c>
      <c r="Z4793" s="4">
        <v>2.83</v>
      </c>
      <c r="AA4793" s="4">
        <v>7.56</v>
      </c>
      <c r="AB4793" s="3" t="s">
        <v>43</v>
      </c>
      <c r="AC4793" s="3" t="s">
        <v>23175</v>
      </c>
      <c r="AD4793" s="9">
        <v>43530</v>
      </c>
      <c r="AE4793" s="3" t="s">
        <v>110</v>
      </c>
      <c r="AF4793" s="3" t="s">
        <v>23176</v>
      </c>
      <c r="AG4793" s="3" t="s">
        <v>81</v>
      </c>
      <c r="AH4793" s="11">
        <f>HYPERLINK("https://my.pitchbook.com?c=155434-87T","View Company Online")</f>
      </c>
    </row>
    <row r="4794">
      <c r="A4794" s="12" t="s">
        <v>23177</v>
      </c>
      <c r="B4794" s="12" t="s">
        <v>4691</v>
      </c>
      <c r="C4794" s="19" t="s">
        <v>36</v>
      </c>
      <c r="D4794" s="19" t="s">
        <v>36</v>
      </c>
      <c r="E4794" s="19" t="s">
        <v>36</v>
      </c>
      <c r="F4794" s="19" t="s">
        <v>36</v>
      </c>
      <c r="G4794" s="15" t="s">
        <v>36</v>
      </c>
      <c r="H4794" s="14">
        <v>1153.85</v>
      </c>
      <c r="I4794" s="18">
        <v>11.76</v>
      </c>
      <c r="J4794" s="12" t="s">
        <v>521</v>
      </c>
      <c r="K4794" s="13" t="s">
        <v>36</v>
      </c>
      <c r="L4794" s="15" t="s">
        <v>36</v>
      </c>
      <c r="M4794" s="12" t="s">
        <v>36</v>
      </c>
      <c r="N4794" s="12" t="s">
        <v>36</v>
      </c>
      <c r="O4794" s="17" t="s">
        <v>36</v>
      </c>
      <c r="P4794" s="12" t="s">
        <v>36</v>
      </c>
      <c r="Q4794" s="12" t="s">
        <v>36</v>
      </c>
      <c r="R4794" s="12" t="s">
        <v>36</v>
      </c>
      <c r="S4794" s="12" t="s">
        <v>36</v>
      </c>
      <c r="T4794" s="12" t="s">
        <v>4692</v>
      </c>
      <c r="U4794" s="12" t="s">
        <v>85</v>
      </c>
      <c r="V4794" s="12" t="s">
        <v>64</v>
      </c>
      <c r="W4794" s="12" t="s">
        <v>4693</v>
      </c>
      <c r="X4794" s="16" t="s">
        <v>5228</v>
      </c>
      <c r="Y4794" s="15" t="s">
        <v>42</v>
      </c>
      <c r="Z4794" s="14">
        <v>0.18</v>
      </c>
      <c r="AA4794" s="14">
        <v>1.54</v>
      </c>
      <c r="AB4794" s="12" t="s">
        <v>56</v>
      </c>
      <c r="AC4794" s="12" t="s">
        <v>4695</v>
      </c>
      <c r="AD4794" s="13">
        <v>43530</v>
      </c>
      <c r="AE4794" s="12" t="s">
        <v>89</v>
      </c>
      <c r="AF4794" s="12" t="s">
        <v>269</v>
      </c>
      <c r="AG4794" s="12" t="s">
        <v>1353</v>
      </c>
      <c r="AH4794" s="1">
        <f>HYPERLINK("https://my.pitchbook.com?c=165364-48T","View Company Online")</f>
      </c>
    </row>
    <row r="4795">
      <c r="A4795" s="3" t="s">
        <v>23178</v>
      </c>
      <c r="B4795" s="3" t="s">
        <v>23179</v>
      </c>
      <c r="C4795" s="5" t="s">
        <v>36</v>
      </c>
      <c r="D4795" s="5" t="s">
        <v>36</v>
      </c>
      <c r="E4795" s="5" t="s">
        <v>36</v>
      </c>
      <c r="F4795" s="5" t="s">
        <v>36</v>
      </c>
      <c r="G4795" s="6" t="s">
        <v>36</v>
      </c>
      <c r="H4795" s="4">
        <v>109.02</v>
      </c>
      <c r="I4795" s="7">
        <v>25.01</v>
      </c>
      <c r="J4795" s="3" t="s">
        <v>521</v>
      </c>
      <c r="K4795" s="9" t="s">
        <v>36</v>
      </c>
      <c r="L4795" s="6" t="s">
        <v>36</v>
      </c>
      <c r="M4795" s="3" t="s">
        <v>36</v>
      </c>
      <c r="N4795" s="3" t="s">
        <v>36</v>
      </c>
      <c r="O4795" s="8" t="s">
        <v>36</v>
      </c>
      <c r="P4795" s="3" t="s">
        <v>36</v>
      </c>
      <c r="Q4795" s="3" t="s">
        <v>36</v>
      </c>
      <c r="R4795" s="3" t="s">
        <v>36</v>
      </c>
      <c r="S4795" s="3" t="s">
        <v>36</v>
      </c>
      <c r="T4795" s="3" t="s">
        <v>5589</v>
      </c>
      <c r="U4795" s="3" t="s">
        <v>38</v>
      </c>
      <c r="V4795" s="3" t="s">
        <v>39</v>
      </c>
      <c r="W4795" s="3" t="s">
        <v>23180</v>
      </c>
      <c r="X4795" s="10" t="s">
        <v>14131</v>
      </c>
      <c r="Y4795" s="6" t="s">
        <v>42</v>
      </c>
      <c r="Z4795" s="4">
        <v>2.27</v>
      </c>
      <c r="AA4795" s="4">
        <v>4.54</v>
      </c>
      <c r="AB4795" s="3" t="s">
        <v>43</v>
      </c>
      <c r="AC4795" s="3" t="s">
        <v>23181</v>
      </c>
      <c r="AD4795" s="9">
        <v>43529</v>
      </c>
      <c r="AE4795" s="3" t="s">
        <v>110</v>
      </c>
      <c r="AF4795" s="3" t="s">
        <v>36</v>
      </c>
      <c r="AG4795" s="3" t="s">
        <v>332</v>
      </c>
      <c r="AH4795" s="11">
        <f>HYPERLINK("https://my.pitchbook.com?c=120073-24T","View Company Online")</f>
      </c>
    </row>
    <row r="4796">
      <c r="A4796" s="12" t="s">
        <v>23182</v>
      </c>
      <c r="B4796" s="12" t="s">
        <v>5570</v>
      </c>
      <c r="C4796" s="19">
        <v>9</v>
      </c>
      <c r="D4796" s="19">
        <v>6</v>
      </c>
      <c r="E4796" s="19">
        <v>6</v>
      </c>
      <c r="F4796" s="19">
        <v>15</v>
      </c>
      <c r="G4796" s="15" t="s">
        <v>36</v>
      </c>
      <c r="H4796" s="14" t="s">
        <v>36</v>
      </c>
      <c r="I4796" s="18" t="s">
        <v>36</v>
      </c>
      <c r="J4796" s="12" t="s">
        <v>36</v>
      </c>
      <c r="K4796" s="13" t="s">
        <v>36</v>
      </c>
      <c r="L4796" s="15" t="s">
        <v>36</v>
      </c>
      <c r="M4796" s="12" t="s">
        <v>36</v>
      </c>
      <c r="N4796" s="12" t="s">
        <v>36</v>
      </c>
      <c r="O4796" s="17" t="s">
        <v>36</v>
      </c>
      <c r="P4796" s="12" t="s">
        <v>36</v>
      </c>
      <c r="Q4796" s="12" t="s">
        <v>36</v>
      </c>
      <c r="R4796" s="12" t="s">
        <v>36</v>
      </c>
      <c r="S4796" s="12" t="s">
        <v>36</v>
      </c>
      <c r="T4796" s="12" t="s">
        <v>2992</v>
      </c>
      <c r="U4796" s="12" t="s">
        <v>96</v>
      </c>
      <c r="V4796" s="12" t="s">
        <v>52</v>
      </c>
      <c r="W4796" s="12" t="s">
        <v>5571</v>
      </c>
      <c r="X4796" s="16" t="s">
        <v>11297</v>
      </c>
      <c r="Y4796" s="15" t="s">
        <v>108</v>
      </c>
      <c r="Z4796" s="14">
        <v>1.7</v>
      </c>
      <c r="AA4796" s="14" t="s">
        <v>36</v>
      </c>
      <c r="AB4796" s="12" t="s">
        <v>43</v>
      </c>
      <c r="AC4796" s="12" t="s">
        <v>5572</v>
      </c>
      <c r="AD4796" s="13">
        <v>43528</v>
      </c>
      <c r="AE4796" s="12" t="s">
        <v>100</v>
      </c>
      <c r="AF4796" s="12" t="s">
        <v>5573</v>
      </c>
      <c r="AG4796" s="12" t="s">
        <v>382</v>
      </c>
      <c r="AH4796" s="1">
        <f>HYPERLINK("https://my.pitchbook.com?c=136324-72T","View Company Online")</f>
      </c>
    </row>
    <row r="4797">
      <c r="A4797" s="3" t="s">
        <v>23183</v>
      </c>
      <c r="B4797" s="3" t="s">
        <v>15259</v>
      </c>
      <c r="C4797" s="5" t="s">
        <v>36</v>
      </c>
      <c r="D4797" s="5" t="s">
        <v>36</v>
      </c>
      <c r="E4797" s="5" t="s">
        <v>36</v>
      </c>
      <c r="F4797" s="5" t="s">
        <v>36</v>
      </c>
      <c r="G4797" s="6" t="s">
        <v>36</v>
      </c>
      <c r="H4797" s="4" t="s">
        <v>36</v>
      </c>
      <c r="I4797" s="7" t="s">
        <v>36</v>
      </c>
      <c r="J4797" s="3" t="s">
        <v>36</v>
      </c>
      <c r="K4797" s="9" t="s">
        <v>36</v>
      </c>
      <c r="L4797" s="6" t="s">
        <v>122</v>
      </c>
      <c r="M4797" s="3" t="s">
        <v>36</v>
      </c>
      <c r="N4797" s="3" t="s">
        <v>122</v>
      </c>
      <c r="O4797" s="8" t="s">
        <v>36</v>
      </c>
      <c r="P4797" s="3" t="s">
        <v>36</v>
      </c>
      <c r="Q4797" s="3" t="s">
        <v>36</v>
      </c>
      <c r="R4797" s="3" t="s">
        <v>36</v>
      </c>
      <c r="S4797" s="3" t="s">
        <v>36</v>
      </c>
      <c r="T4797" s="3" t="s">
        <v>522</v>
      </c>
      <c r="U4797" s="3" t="s">
        <v>38</v>
      </c>
      <c r="V4797" s="3" t="s">
        <v>39</v>
      </c>
      <c r="W4797" s="3" t="s">
        <v>15260</v>
      </c>
      <c r="X4797" s="10" t="s">
        <v>23184</v>
      </c>
      <c r="Y4797" s="6" t="s">
        <v>108</v>
      </c>
      <c r="Z4797" s="4">
        <v>2.85</v>
      </c>
      <c r="AA4797" s="4" t="s">
        <v>36</v>
      </c>
      <c r="AB4797" s="3" t="s">
        <v>43</v>
      </c>
      <c r="AC4797" s="3" t="s">
        <v>15262</v>
      </c>
      <c r="AD4797" s="9">
        <v>43528</v>
      </c>
      <c r="AE4797" s="3" t="s">
        <v>110</v>
      </c>
      <c r="AF4797" s="3" t="s">
        <v>36</v>
      </c>
      <c r="AG4797" s="3" t="s">
        <v>741</v>
      </c>
      <c r="AH4797" s="11">
        <f>HYPERLINK("https://my.pitchbook.com?c=118810-00T","View Company Online")</f>
      </c>
    </row>
    <row r="4798">
      <c r="A4798" s="12" t="s">
        <v>23185</v>
      </c>
      <c r="B4798" s="12" t="s">
        <v>15362</v>
      </c>
      <c r="C4798" s="19" t="s">
        <v>36</v>
      </c>
      <c r="D4798" s="19" t="s">
        <v>36</v>
      </c>
      <c r="E4798" s="19" t="s">
        <v>36</v>
      </c>
      <c r="F4798" s="19" t="s">
        <v>36</v>
      </c>
      <c r="G4798" s="15" t="s">
        <v>326</v>
      </c>
      <c r="H4798" s="14">
        <v>53.07</v>
      </c>
      <c r="I4798" s="18">
        <v>10.35</v>
      </c>
      <c r="J4798" s="12" t="s">
        <v>521</v>
      </c>
      <c r="K4798" s="13" t="s">
        <v>36</v>
      </c>
      <c r="L4798" s="15" t="s">
        <v>1279</v>
      </c>
      <c r="M4798" s="12" t="s">
        <v>36</v>
      </c>
      <c r="N4798" s="12" t="s">
        <v>1279</v>
      </c>
      <c r="O4798" s="17" t="s">
        <v>36</v>
      </c>
      <c r="P4798" s="12" t="s">
        <v>36</v>
      </c>
      <c r="Q4798" s="12" t="s">
        <v>36</v>
      </c>
      <c r="R4798" s="12" t="s">
        <v>36</v>
      </c>
      <c r="S4798" s="12" t="s">
        <v>36</v>
      </c>
      <c r="T4798" s="12" t="s">
        <v>522</v>
      </c>
      <c r="U4798" s="12" t="s">
        <v>38</v>
      </c>
      <c r="V4798" s="12" t="s">
        <v>39</v>
      </c>
      <c r="W4798" s="12" t="s">
        <v>15363</v>
      </c>
      <c r="X4798" s="16" t="s">
        <v>23186</v>
      </c>
      <c r="Y4798" s="15" t="s">
        <v>55</v>
      </c>
      <c r="Z4798" s="14">
        <v>66.92</v>
      </c>
      <c r="AA4798" s="14">
        <v>331.58</v>
      </c>
      <c r="AB4798" s="12" t="s">
        <v>56</v>
      </c>
      <c r="AC4798" s="12" t="s">
        <v>15365</v>
      </c>
      <c r="AD4798" s="13">
        <v>43528</v>
      </c>
      <c r="AE4798" s="12" t="s">
        <v>110</v>
      </c>
      <c r="AF4798" s="12" t="s">
        <v>4552</v>
      </c>
      <c r="AG4798" s="12" t="s">
        <v>81</v>
      </c>
      <c r="AH4798" s="1">
        <f>HYPERLINK("https://my.pitchbook.com?c=116856-82T","View Company Online")</f>
      </c>
    </row>
    <row r="4799">
      <c r="A4799" s="3" t="s">
        <v>23187</v>
      </c>
      <c r="B4799" s="3" t="s">
        <v>16525</v>
      </c>
      <c r="C4799" s="5" t="s">
        <v>36</v>
      </c>
      <c r="D4799" s="5" t="s">
        <v>36</v>
      </c>
      <c r="E4799" s="5" t="s">
        <v>36</v>
      </c>
      <c r="F4799" s="5" t="s">
        <v>36</v>
      </c>
      <c r="G4799" s="6" t="s">
        <v>326</v>
      </c>
      <c r="H4799" s="4">
        <v>8.7</v>
      </c>
      <c r="I4799" s="7">
        <v>19.04</v>
      </c>
      <c r="J4799" s="3" t="s">
        <v>521</v>
      </c>
      <c r="K4799" s="9">
        <v>43517</v>
      </c>
      <c r="L4799" s="6" t="s">
        <v>1279</v>
      </c>
      <c r="M4799" s="3" t="s">
        <v>36</v>
      </c>
      <c r="N4799" s="3" t="s">
        <v>1279</v>
      </c>
      <c r="O4799" s="8" t="s">
        <v>36</v>
      </c>
      <c r="P4799" s="3" t="s">
        <v>36</v>
      </c>
      <c r="Q4799" s="3" t="s">
        <v>36</v>
      </c>
      <c r="R4799" s="3" t="s">
        <v>36</v>
      </c>
      <c r="S4799" s="3" t="s">
        <v>36</v>
      </c>
      <c r="T4799" s="3" t="s">
        <v>1253</v>
      </c>
      <c r="U4799" s="3" t="s">
        <v>38</v>
      </c>
      <c r="V4799" s="3" t="s">
        <v>39</v>
      </c>
      <c r="W4799" s="3" t="s">
        <v>16526</v>
      </c>
      <c r="X4799" s="10" t="s">
        <v>23188</v>
      </c>
      <c r="Y4799" s="6" t="s">
        <v>192</v>
      </c>
      <c r="Z4799" s="4">
        <v>59.91</v>
      </c>
      <c r="AA4799" s="4">
        <v>314.64</v>
      </c>
      <c r="AB4799" s="3" t="s">
        <v>56</v>
      </c>
      <c r="AC4799" s="3" t="s">
        <v>16528</v>
      </c>
      <c r="AD4799" s="9">
        <v>43528</v>
      </c>
      <c r="AE4799" s="3" t="s">
        <v>45</v>
      </c>
      <c r="AF4799" s="3" t="s">
        <v>16529</v>
      </c>
      <c r="AG4799" s="3" t="s">
        <v>81</v>
      </c>
      <c r="AH4799" s="11">
        <f>HYPERLINK("https://my.pitchbook.com?c=116959-15T","View Company Online")</f>
      </c>
    </row>
    <row r="4800">
      <c r="A4800" s="12" t="s">
        <v>23189</v>
      </c>
      <c r="B4800" s="12" t="s">
        <v>10115</v>
      </c>
      <c r="C4800" s="19" t="s">
        <v>36</v>
      </c>
      <c r="D4800" s="19" t="s">
        <v>36</v>
      </c>
      <c r="E4800" s="19" t="s">
        <v>36</v>
      </c>
      <c r="F4800" s="19" t="s">
        <v>36</v>
      </c>
      <c r="G4800" s="15" t="s">
        <v>36</v>
      </c>
      <c r="H4800" s="14" t="s">
        <v>36</v>
      </c>
      <c r="I4800" s="18" t="s">
        <v>36</v>
      </c>
      <c r="J4800" s="12" t="s">
        <v>36</v>
      </c>
      <c r="K4800" s="13" t="s">
        <v>36</v>
      </c>
      <c r="L4800" s="15" t="s">
        <v>36</v>
      </c>
      <c r="M4800" s="12" t="s">
        <v>36</v>
      </c>
      <c r="N4800" s="12" t="s">
        <v>36</v>
      </c>
      <c r="O4800" s="17" t="s">
        <v>36</v>
      </c>
      <c r="P4800" s="12" t="s">
        <v>36</v>
      </c>
      <c r="Q4800" s="12" t="s">
        <v>36</v>
      </c>
      <c r="R4800" s="12" t="s">
        <v>36</v>
      </c>
      <c r="S4800" s="12" t="s">
        <v>36</v>
      </c>
      <c r="T4800" s="12" t="s">
        <v>10116</v>
      </c>
      <c r="U4800" s="12" t="s">
        <v>289</v>
      </c>
      <c r="V4800" s="12" t="s">
        <v>64</v>
      </c>
      <c r="W4800" s="12" t="s">
        <v>10117</v>
      </c>
      <c r="X4800" s="16" t="s">
        <v>23190</v>
      </c>
      <c r="Y4800" s="15" t="s">
        <v>192</v>
      </c>
      <c r="Z4800" s="14" t="s">
        <v>36</v>
      </c>
      <c r="AA4800" s="14" t="s">
        <v>36</v>
      </c>
      <c r="AB4800" s="12" t="s">
        <v>56</v>
      </c>
      <c r="AC4800" s="12" t="s">
        <v>10119</v>
      </c>
      <c r="AD4800" s="13">
        <v>43525</v>
      </c>
      <c r="AE4800" s="12" t="s">
        <v>292</v>
      </c>
      <c r="AF4800" s="12" t="s">
        <v>90</v>
      </c>
      <c r="AG4800" s="12" t="s">
        <v>10120</v>
      </c>
      <c r="AH4800" s="1">
        <f>HYPERLINK("https://my.pitchbook.com?c=198763-21T","View Company Online")</f>
      </c>
    </row>
    <row r="4801">
      <c r="A4801" s="3" t="s">
        <v>23191</v>
      </c>
      <c r="B4801" s="3" t="s">
        <v>23192</v>
      </c>
      <c r="C4801" s="5" t="s">
        <v>36</v>
      </c>
      <c r="D4801" s="5" t="s">
        <v>36</v>
      </c>
      <c r="E4801" s="5" t="s">
        <v>36</v>
      </c>
      <c r="F4801" s="5" t="s">
        <v>36</v>
      </c>
      <c r="G4801" s="6" t="s">
        <v>36</v>
      </c>
      <c r="H4801" s="4" t="s">
        <v>36</v>
      </c>
      <c r="I4801" s="7" t="s">
        <v>36</v>
      </c>
      <c r="J4801" s="3" t="s">
        <v>36</v>
      </c>
      <c r="K4801" s="9" t="s">
        <v>36</v>
      </c>
      <c r="L4801" s="6" t="s">
        <v>36</v>
      </c>
      <c r="M4801" s="3" t="s">
        <v>36</v>
      </c>
      <c r="N4801" s="3" t="s">
        <v>36</v>
      </c>
      <c r="O4801" s="8" t="s">
        <v>36</v>
      </c>
      <c r="P4801" s="3" t="s">
        <v>36</v>
      </c>
      <c r="Q4801" s="3" t="s">
        <v>36</v>
      </c>
      <c r="R4801" s="3" t="s">
        <v>36</v>
      </c>
      <c r="S4801" s="3" t="s">
        <v>36</v>
      </c>
      <c r="T4801" s="3" t="s">
        <v>6020</v>
      </c>
      <c r="U4801" s="3" t="s">
        <v>833</v>
      </c>
      <c r="V4801" s="3" t="s">
        <v>64</v>
      </c>
      <c r="W4801" s="3" t="s">
        <v>23193</v>
      </c>
      <c r="X4801" s="10" t="s">
        <v>1872</v>
      </c>
      <c r="Y4801" s="6" t="s">
        <v>42</v>
      </c>
      <c r="Z4801" s="4" t="s">
        <v>36</v>
      </c>
      <c r="AA4801" s="4" t="s">
        <v>36</v>
      </c>
      <c r="AB4801" s="3" t="s">
        <v>56</v>
      </c>
      <c r="AC4801" s="3" t="s">
        <v>23194</v>
      </c>
      <c r="AD4801" s="9">
        <v>43525</v>
      </c>
      <c r="AE4801" s="3" t="s">
        <v>3615</v>
      </c>
      <c r="AF4801" s="3" t="s">
        <v>571</v>
      </c>
      <c r="AG4801" s="3" t="s">
        <v>23195</v>
      </c>
      <c r="AH4801" s="11">
        <f>HYPERLINK("https://my.pitchbook.com?c=117166-96T","View Company Online")</f>
      </c>
    </row>
    <row r="4802">
      <c r="A4802" s="12" t="s">
        <v>23196</v>
      </c>
      <c r="B4802" s="12" t="s">
        <v>12064</v>
      </c>
      <c r="C4802" s="19">
        <v>4</v>
      </c>
      <c r="D4802" s="19">
        <v>11</v>
      </c>
      <c r="E4802" s="19">
        <v>4</v>
      </c>
      <c r="F4802" s="19">
        <v>17</v>
      </c>
      <c r="G4802" s="15" t="s">
        <v>683</v>
      </c>
      <c r="H4802" s="14">
        <v>2.48</v>
      </c>
      <c r="I4802" s="18">
        <v>15.89</v>
      </c>
      <c r="J4802" s="12" t="s">
        <v>521</v>
      </c>
      <c r="K4802" s="13" t="s">
        <v>36</v>
      </c>
      <c r="L4802" s="15" t="s">
        <v>36</v>
      </c>
      <c r="M4802" s="12" t="s">
        <v>36</v>
      </c>
      <c r="N4802" s="12" t="s">
        <v>36</v>
      </c>
      <c r="O4802" s="17" t="s">
        <v>36</v>
      </c>
      <c r="P4802" s="12" t="s">
        <v>36</v>
      </c>
      <c r="Q4802" s="12" t="s">
        <v>36</v>
      </c>
      <c r="R4802" s="12" t="s">
        <v>36</v>
      </c>
      <c r="S4802" s="12" t="s">
        <v>36</v>
      </c>
      <c r="T4802" s="12" t="s">
        <v>6713</v>
      </c>
      <c r="U4802" s="12" t="s">
        <v>728</v>
      </c>
      <c r="V4802" s="12" t="s">
        <v>64</v>
      </c>
      <c r="W4802" s="12" t="s">
        <v>12065</v>
      </c>
      <c r="X4802" s="16" t="s">
        <v>23197</v>
      </c>
      <c r="Y4802" s="15" t="s">
        <v>42</v>
      </c>
      <c r="Z4802" s="14">
        <v>0.66</v>
      </c>
      <c r="AA4802" s="14">
        <v>4.14</v>
      </c>
      <c r="AB4802" s="12" t="s">
        <v>43</v>
      </c>
      <c r="AC4802" s="12" t="s">
        <v>12067</v>
      </c>
      <c r="AD4802" s="13">
        <v>43525</v>
      </c>
      <c r="AE4802" s="12" t="s">
        <v>6717</v>
      </c>
      <c r="AF4802" s="12" t="s">
        <v>36</v>
      </c>
      <c r="AG4802" s="12" t="s">
        <v>81</v>
      </c>
      <c r="AH4802" s="1">
        <f>HYPERLINK("https://my.pitchbook.com?c=115795-99T","View Company Online")</f>
      </c>
    </row>
    <row r="4803">
      <c r="A4803" s="3" t="s">
        <v>23198</v>
      </c>
      <c r="B4803" s="3" t="s">
        <v>23199</v>
      </c>
      <c r="C4803" s="5" t="s">
        <v>36</v>
      </c>
      <c r="D4803" s="5" t="s">
        <v>36</v>
      </c>
      <c r="E4803" s="5" t="s">
        <v>36</v>
      </c>
      <c r="F4803" s="5" t="s">
        <v>36</v>
      </c>
      <c r="G4803" s="6" t="s">
        <v>36</v>
      </c>
      <c r="H4803" s="4" t="s">
        <v>36</v>
      </c>
      <c r="I4803" s="7" t="s">
        <v>36</v>
      </c>
      <c r="J4803" s="3" t="s">
        <v>36</v>
      </c>
      <c r="K4803" s="9" t="s">
        <v>36</v>
      </c>
      <c r="L4803" s="6" t="s">
        <v>36</v>
      </c>
      <c r="M4803" s="3" t="s">
        <v>36</v>
      </c>
      <c r="N4803" s="3" t="s">
        <v>36</v>
      </c>
      <c r="O4803" s="8" t="s">
        <v>36</v>
      </c>
      <c r="P4803" s="3" t="s">
        <v>36</v>
      </c>
      <c r="Q4803" s="3" t="s">
        <v>36</v>
      </c>
      <c r="R4803" s="3" t="s">
        <v>36</v>
      </c>
      <c r="S4803" s="3" t="s">
        <v>36</v>
      </c>
      <c r="T4803" s="3" t="s">
        <v>422</v>
      </c>
      <c r="U4803" s="3" t="s">
        <v>423</v>
      </c>
      <c r="V4803" s="3" t="s">
        <v>64</v>
      </c>
      <c r="W4803" s="3" t="s">
        <v>23200</v>
      </c>
      <c r="X4803" s="10" t="s">
        <v>23201</v>
      </c>
      <c r="Y4803" s="6" t="s">
        <v>42</v>
      </c>
      <c r="Z4803" s="4" t="s">
        <v>36</v>
      </c>
      <c r="AA4803" s="4" t="s">
        <v>36</v>
      </c>
      <c r="AB4803" s="3" t="s">
        <v>56</v>
      </c>
      <c r="AC4803" s="3" t="s">
        <v>23202</v>
      </c>
      <c r="AD4803" s="9">
        <v>43525</v>
      </c>
      <c r="AE4803" s="3" t="s">
        <v>427</v>
      </c>
      <c r="AF4803" s="3" t="s">
        <v>938</v>
      </c>
      <c r="AG4803" s="3" t="s">
        <v>23203</v>
      </c>
      <c r="AH4803" s="11">
        <f>HYPERLINK("https://my.pitchbook.com?c=101792-80T","View Company Online")</f>
      </c>
    </row>
    <row r="4804">
      <c r="A4804" s="12" t="s">
        <v>23204</v>
      </c>
      <c r="B4804" s="12" t="s">
        <v>16170</v>
      </c>
      <c r="C4804" s="19">
        <v>9</v>
      </c>
      <c r="D4804" s="19">
        <v>31</v>
      </c>
      <c r="E4804" s="19">
        <v>10</v>
      </c>
      <c r="F4804" s="19">
        <v>41</v>
      </c>
      <c r="G4804" s="15" t="s">
        <v>326</v>
      </c>
      <c r="H4804" s="14">
        <v>420.94</v>
      </c>
      <c r="I4804" s="18">
        <v>15.86</v>
      </c>
      <c r="J4804" s="12" t="s">
        <v>521</v>
      </c>
      <c r="K4804" s="13">
        <v>43252</v>
      </c>
      <c r="L4804" s="15" t="s">
        <v>36</v>
      </c>
      <c r="M4804" s="12" t="s">
        <v>36</v>
      </c>
      <c r="N4804" s="12" t="s">
        <v>36</v>
      </c>
      <c r="O4804" s="17" t="s">
        <v>36</v>
      </c>
      <c r="P4804" s="12" t="s">
        <v>36</v>
      </c>
      <c r="Q4804" s="12" t="s">
        <v>36</v>
      </c>
      <c r="R4804" s="12" t="s">
        <v>36</v>
      </c>
      <c r="S4804" s="12" t="s">
        <v>36</v>
      </c>
      <c r="T4804" s="12" t="s">
        <v>16171</v>
      </c>
      <c r="U4804" s="12" t="s">
        <v>318</v>
      </c>
      <c r="V4804" s="12" t="s">
        <v>39</v>
      </c>
      <c r="W4804" s="12" t="s">
        <v>16172</v>
      </c>
      <c r="X4804" s="16" t="s">
        <v>23205</v>
      </c>
      <c r="Y4804" s="15" t="s">
        <v>108</v>
      </c>
      <c r="Z4804" s="14">
        <v>1.36</v>
      </c>
      <c r="AA4804" s="14">
        <v>8.6</v>
      </c>
      <c r="AB4804" s="12" t="s">
        <v>56</v>
      </c>
      <c r="AC4804" s="12" t="s">
        <v>16174</v>
      </c>
      <c r="AD4804" s="13">
        <v>43524</v>
      </c>
      <c r="AE4804" s="12" t="s">
        <v>763</v>
      </c>
      <c r="AF4804" s="12" t="s">
        <v>16175</v>
      </c>
      <c r="AG4804" s="12" t="s">
        <v>81</v>
      </c>
      <c r="AH4804" s="1">
        <f>HYPERLINK("https://my.pitchbook.com?c=117641-62T","View Company Online")</f>
      </c>
    </row>
    <row r="4805">
      <c r="A4805" s="3" t="s">
        <v>23206</v>
      </c>
      <c r="B4805" s="3" t="s">
        <v>23207</v>
      </c>
      <c r="C4805" s="5">
        <v>4</v>
      </c>
      <c r="D4805" s="5" t="s">
        <v>36</v>
      </c>
      <c r="E4805" s="5">
        <v>2</v>
      </c>
      <c r="F4805" s="5">
        <v>4</v>
      </c>
      <c r="G4805" s="6" t="s">
        <v>36</v>
      </c>
      <c r="H4805" s="4">
        <v>5.53</v>
      </c>
      <c r="I4805" s="7">
        <v>31.75</v>
      </c>
      <c r="J4805" s="3" t="s">
        <v>521</v>
      </c>
      <c r="K4805" s="9" t="s">
        <v>36</v>
      </c>
      <c r="L4805" s="6" t="s">
        <v>36</v>
      </c>
      <c r="M4805" s="3" t="s">
        <v>36</v>
      </c>
      <c r="N4805" s="3" t="s">
        <v>36</v>
      </c>
      <c r="O4805" s="8" t="s">
        <v>36</v>
      </c>
      <c r="P4805" s="3" t="s">
        <v>36</v>
      </c>
      <c r="Q4805" s="3" t="s">
        <v>36</v>
      </c>
      <c r="R4805" s="3" t="s">
        <v>36</v>
      </c>
      <c r="S4805" s="3" t="s">
        <v>36</v>
      </c>
      <c r="T4805" s="3" t="s">
        <v>17120</v>
      </c>
      <c r="U4805" s="3" t="s">
        <v>38</v>
      </c>
      <c r="V4805" s="3" t="s">
        <v>39</v>
      </c>
      <c r="W4805" s="3" t="s">
        <v>23208</v>
      </c>
      <c r="X4805" s="10" t="s">
        <v>23209</v>
      </c>
      <c r="Y4805" s="6" t="s">
        <v>108</v>
      </c>
      <c r="Z4805" s="4">
        <v>0.56</v>
      </c>
      <c r="AA4805" s="4">
        <v>1.77</v>
      </c>
      <c r="AB4805" s="3" t="s">
        <v>43</v>
      </c>
      <c r="AC4805" s="3" t="s">
        <v>23210</v>
      </c>
      <c r="AD4805" s="9">
        <v>43524</v>
      </c>
      <c r="AE4805" s="3" t="s">
        <v>110</v>
      </c>
      <c r="AF4805" s="3" t="s">
        <v>36</v>
      </c>
      <c r="AG4805" s="3" t="s">
        <v>81</v>
      </c>
      <c r="AH4805" s="11">
        <f>HYPERLINK("https://my.pitchbook.com?c=208687-69T","View Company Online")</f>
      </c>
    </row>
    <row r="4806">
      <c r="A4806" s="12" t="s">
        <v>23211</v>
      </c>
      <c r="B4806" s="12" t="s">
        <v>23212</v>
      </c>
      <c r="C4806" s="19" t="s">
        <v>36</v>
      </c>
      <c r="D4806" s="19" t="s">
        <v>36</v>
      </c>
      <c r="E4806" s="19">
        <v>1</v>
      </c>
      <c r="F4806" s="19">
        <v>2</v>
      </c>
      <c r="G4806" s="15" t="s">
        <v>326</v>
      </c>
      <c r="H4806" s="14">
        <v>497.47</v>
      </c>
      <c r="I4806" s="18">
        <v>17.35</v>
      </c>
      <c r="J4806" s="12" t="s">
        <v>521</v>
      </c>
      <c r="K4806" s="13">
        <v>43307</v>
      </c>
      <c r="L4806" s="15" t="s">
        <v>36</v>
      </c>
      <c r="M4806" s="12" t="s">
        <v>36</v>
      </c>
      <c r="N4806" s="12" t="s">
        <v>36</v>
      </c>
      <c r="O4806" s="17" t="s">
        <v>36</v>
      </c>
      <c r="P4806" s="12" t="s">
        <v>36</v>
      </c>
      <c r="Q4806" s="12" t="s">
        <v>36</v>
      </c>
      <c r="R4806" s="12" t="s">
        <v>36</v>
      </c>
      <c r="S4806" s="12" t="s">
        <v>36</v>
      </c>
      <c r="T4806" s="12" t="s">
        <v>23213</v>
      </c>
      <c r="U4806" s="12" t="s">
        <v>96</v>
      </c>
      <c r="V4806" s="12" t="s">
        <v>52</v>
      </c>
      <c r="W4806" s="12" t="s">
        <v>23214</v>
      </c>
      <c r="X4806" s="16" t="s">
        <v>23215</v>
      </c>
      <c r="Y4806" s="15" t="s">
        <v>108</v>
      </c>
      <c r="Z4806" s="14">
        <v>0.83</v>
      </c>
      <c r="AA4806" s="14">
        <v>4.81</v>
      </c>
      <c r="AB4806" s="12" t="s">
        <v>43</v>
      </c>
      <c r="AC4806" s="12" t="s">
        <v>23216</v>
      </c>
      <c r="AD4806" s="13">
        <v>43524</v>
      </c>
      <c r="AE4806" s="12" t="s">
        <v>143</v>
      </c>
      <c r="AF4806" s="12" t="s">
        <v>23217</v>
      </c>
      <c r="AG4806" s="12" t="s">
        <v>81</v>
      </c>
      <c r="AH4806" s="1">
        <f>HYPERLINK("https://my.pitchbook.com?c=100394-38T","View Company Online")</f>
      </c>
    </row>
    <row r="4807">
      <c r="A4807" s="3" t="s">
        <v>23218</v>
      </c>
      <c r="B4807" s="3" t="s">
        <v>23219</v>
      </c>
      <c r="C4807" s="5" t="s">
        <v>36</v>
      </c>
      <c r="D4807" s="5" t="s">
        <v>36</v>
      </c>
      <c r="E4807" s="5" t="s">
        <v>36</v>
      </c>
      <c r="F4807" s="5" t="s">
        <v>36</v>
      </c>
      <c r="G4807" s="6" t="s">
        <v>2497</v>
      </c>
      <c r="H4807" s="4">
        <v>254.45</v>
      </c>
      <c r="I4807" s="7">
        <v>19.67</v>
      </c>
      <c r="J4807" s="3" t="s">
        <v>521</v>
      </c>
      <c r="K4807" s="9" t="s">
        <v>36</v>
      </c>
      <c r="L4807" s="6" t="s">
        <v>36</v>
      </c>
      <c r="M4807" s="3" t="s">
        <v>36</v>
      </c>
      <c r="N4807" s="3" t="s">
        <v>36</v>
      </c>
      <c r="O4807" s="8" t="s">
        <v>36</v>
      </c>
      <c r="P4807" s="3" t="s">
        <v>36</v>
      </c>
      <c r="Q4807" s="3" t="s">
        <v>36</v>
      </c>
      <c r="R4807" s="3" t="s">
        <v>36</v>
      </c>
      <c r="S4807" s="3" t="s">
        <v>36</v>
      </c>
      <c r="T4807" s="3" t="s">
        <v>647</v>
      </c>
      <c r="U4807" s="3" t="s">
        <v>648</v>
      </c>
      <c r="V4807" s="3" t="s">
        <v>64</v>
      </c>
      <c r="W4807" s="3" t="s">
        <v>23220</v>
      </c>
      <c r="X4807" s="10" t="s">
        <v>7151</v>
      </c>
      <c r="Y4807" s="6" t="s">
        <v>55</v>
      </c>
      <c r="Z4807" s="4">
        <v>1.31</v>
      </c>
      <c r="AA4807" s="4">
        <v>6.65</v>
      </c>
      <c r="AB4807" s="3" t="s">
        <v>56</v>
      </c>
      <c r="AC4807" s="3" t="s">
        <v>23221</v>
      </c>
      <c r="AD4807" s="9">
        <v>43524</v>
      </c>
      <c r="AE4807" s="3" t="s">
        <v>651</v>
      </c>
      <c r="AF4807" s="3" t="s">
        <v>1636</v>
      </c>
      <c r="AG4807" s="3" t="s">
        <v>741</v>
      </c>
      <c r="AH4807" s="11">
        <f>HYPERLINK("https://my.pitchbook.com?c=195679-09T","View Company Online")</f>
      </c>
    </row>
    <row r="4808">
      <c r="A4808" s="12" t="s">
        <v>23222</v>
      </c>
      <c r="B4808" s="12" t="s">
        <v>23223</v>
      </c>
      <c r="C4808" s="19" t="s">
        <v>36</v>
      </c>
      <c r="D4808" s="19" t="s">
        <v>36</v>
      </c>
      <c r="E4808" s="19" t="s">
        <v>36</v>
      </c>
      <c r="F4808" s="19" t="s">
        <v>36</v>
      </c>
      <c r="G4808" s="15" t="s">
        <v>326</v>
      </c>
      <c r="H4808" s="14">
        <v>219.75</v>
      </c>
      <c r="I4808" s="18">
        <v>16.2</v>
      </c>
      <c r="J4808" s="12" t="s">
        <v>521</v>
      </c>
      <c r="K4808" s="13" t="s">
        <v>36</v>
      </c>
      <c r="L4808" s="15" t="s">
        <v>36</v>
      </c>
      <c r="M4808" s="12" t="s">
        <v>36</v>
      </c>
      <c r="N4808" s="12" t="s">
        <v>36</v>
      </c>
      <c r="O4808" s="17" t="s">
        <v>36</v>
      </c>
      <c r="P4808" s="12" t="s">
        <v>36</v>
      </c>
      <c r="Q4808" s="12" t="s">
        <v>36</v>
      </c>
      <c r="R4808" s="12" t="s">
        <v>36</v>
      </c>
      <c r="S4808" s="12" t="s">
        <v>36</v>
      </c>
      <c r="T4808" s="12" t="s">
        <v>2308</v>
      </c>
      <c r="U4808" s="12" t="s">
        <v>38</v>
      </c>
      <c r="V4808" s="12" t="s">
        <v>39</v>
      </c>
      <c r="W4808" s="12" t="s">
        <v>23224</v>
      </c>
      <c r="X4808" s="16" t="s">
        <v>23225</v>
      </c>
      <c r="Y4808" s="15" t="s">
        <v>108</v>
      </c>
      <c r="Z4808" s="14">
        <v>0.92</v>
      </c>
      <c r="AA4808" s="14">
        <v>5.69</v>
      </c>
      <c r="AB4808" s="12" t="s">
        <v>56</v>
      </c>
      <c r="AC4808" s="12" t="s">
        <v>23226</v>
      </c>
      <c r="AD4808" s="13">
        <v>43524</v>
      </c>
      <c r="AE4808" s="12" t="s">
        <v>45</v>
      </c>
      <c r="AF4808" s="12" t="s">
        <v>23227</v>
      </c>
      <c r="AG4808" s="12" t="s">
        <v>81</v>
      </c>
      <c r="AH4808" s="1">
        <f>HYPERLINK("https://my.pitchbook.com?c=138923-74T","View Company Online")</f>
      </c>
    </row>
    <row r="4809">
      <c r="A4809" s="3" t="s">
        <v>23228</v>
      </c>
      <c r="B4809" s="3" t="s">
        <v>15773</v>
      </c>
      <c r="C4809" s="5" t="s">
        <v>36</v>
      </c>
      <c r="D4809" s="5" t="s">
        <v>36</v>
      </c>
      <c r="E4809" s="5" t="s">
        <v>36</v>
      </c>
      <c r="F4809" s="5" t="s">
        <v>36</v>
      </c>
      <c r="G4809" s="6" t="s">
        <v>36</v>
      </c>
      <c r="H4809" s="4" t="s">
        <v>36</v>
      </c>
      <c r="I4809" s="7" t="s">
        <v>36</v>
      </c>
      <c r="J4809" s="3" t="s">
        <v>36</v>
      </c>
      <c r="K4809" s="9" t="s">
        <v>36</v>
      </c>
      <c r="L4809" s="6" t="s">
        <v>36</v>
      </c>
      <c r="M4809" s="3" t="s">
        <v>36</v>
      </c>
      <c r="N4809" s="3" t="s">
        <v>36</v>
      </c>
      <c r="O4809" s="8" t="s">
        <v>36</v>
      </c>
      <c r="P4809" s="3" t="s">
        <v>36</v>
      </c>
      <c r="Q4809" s="3" t="s">
        <v>36</v>
      </c>
      <c r="R4809" s="3" t="s">
        <v>36</v>
      </c>
      <c r="S4809" s="3" t="s">
        <v>36</v>
      </c>
      <c r="T4809" s="3" t="s">
        <v>1560</v>
      </c>
      <c r="U4809" s="3" t="s">
        <v>438</v>
      </c>
      <c r="V4809" s="3" t="s">
        <v>405</v>
      </c>
      <c r="W4809" s="3" t="s">
        <v>15774</v>
      </c>
      <c r="X4809" s="10" t="s">
        <v>23229</v>
      </c>
      <c r="Y4809" s="6" t="s">
        <v>108</v>
      </c>
      <c r="Z4809" s="4" t="s">
        <v>36</v>
      </c>
      <c r="AA4809" s="4" t="s">
        <v>36</v>
      </c>
      <c r="AB4809" s="3" t="s">
        <v>43</v>
      </c>
      <c r="AC4809" s="3" t="s">
        <v>15776</v>
      </c>
      <c r="AD4809" s="9">
        <v>43523</v>
      </c>
      <c r="AE4809" s="3" t="s">
        <v>438</v>
      </c>
      <c r="AF4809" s="3" t="s">
        <v>799</v>
      </c>
      <c r="AG4809" s="3" t="s">
        <v>765</v>
      </c>
      <c r="AH4809" s="11">
        <f>HYPERLINK("https://my.pitchbook.com?c=177203-35T","View Company Online")</f>
      </c>
    </row>
    <row r="4810">
      <c r="A4810" s="12" t="s">
        <v>23230</v>
      </c>
      <c r="B4810" s="12" t="s">
        <v>23231</v>
      </c>
      <c r="C4810" s="19" t="s">
        <v>36</v>
      </c>
      <c r="D4810" s="19" t="s">
        <v>36</v>
      </c>
      <c r="E4810" s="19" t="s">
        <v>36</v>
      </c>
      <c r="F4810" s="19" t="s">
        <v>36</v>
      </c>
      <c r="G4810" s="15" t="s">
        <v>683</v>
      </c>
      <c r="H4810" s="14">
        <v>2406.36</v>
      </c>
      <c r="I4810" s="18">
        <v>6.08</v>
      </c>
      <c r="J4810" s="12" t="s">
        <v>521</v>
      </c>
      <c r="K4810" s="13" t="s">
        <v>36</v>
      </c>
      <c r="L4810" s="15" t="s">
        <v>36</v>
      </c>
      <c r="M4810" s="12" t="s">
        <v>36</v>
      </c>
      <c r="N4810" s="12" t="s">
        <v>36</v>
      </c>
      <c r="O4810" s="17" t="s">
        <v>36</v>
      </c>
      <c r="P4810" s="12" t="s">
        <v>36</v>
      </c>
      <c r="Q4810" s="12" t="s">
        <v>36</v>
      </c>
      <c r="R4810" s="12" t="s">
        <v>36</v>
      </c>
      <c r="S4810" s="12" t="s">
        <v>36</v>
      </c>
      <c r="T4810" s="12" t="s">
        <v>4933</v>
      </c>
      <c r="U4810" s="12" t="s">
        <v>74</v>
      </c>
      <c r="V4810" s="12" t="s">
        <v>75</v>
      </c>
      <c r="W4810" s="12" t="s">
        <v>23232</v>
      </c>
      <c r="X4810" s="16" t="s">
        <v>20599</v>
      </c>
      <c r="Y4810" s="15" t="s">
        <v>55</v>
      </c>
      <c r="Z4810" s="14">
        <v>0.21</v>
      </c>
      <c r="AA4810" s="14">
        <v>3.37</v>
      </c>
      <c r="AB4810" s="12" t="s">
        <v>43</v>
      </c>
      <c r="AC4810" s="12" t="s">
        <v>23233</v>
      </c>
      <c r="AD4810" s="13">
        <v>43523</v>
      </c>
      <c r="AE4810" s="12" t="s">
        <v>79</v>
      </c>
      <c r="AF4810" s="12" t="s">
        <v>815</v>
      </c>
      <c r="AG4810" s="12" t="s">
        <v>5504</v>
      </c>
      <c r="AH4810" s="1">
        <f>HYPERLINK("https://my.pitchbook.com?c=141100-84T","View Company Online")</f>
      </c>
    </row>
    <row r="4811">
      <c r="A4811" s="3" t="s">
        <v>23234</v>
      </c>
      <c r="B4811" s="3" t="s">
        <v>14892</v>
      </c>
      <c r="C4811" s="5" t="s">
        <v>36</v>
      </c>
      <c r="D4811" s="5" t="s">
        <v>36</v>
      </c>
      <c r="E4811" s="5" t="s">
        <v>36</v>
      </c>
      <c r="F4811" s="5" t="s">
        <v>36</v>
      </c>
      <c r="G4811" s="6" t="s">
        <v>326</v>
      </c>
      <c r="H4811" s="4">
        <v>179.84</v>
      </c>
      <c r="I4811" s="7">
        <v>34.24</v>
      </c>
      <c r="J4811" s="3" t="s">
        <v>521</v>
      </c>
      <c r="K4811" s="9" t="s">
        <v>36</v>
      </c>
      <c r="L4811" s="6" t="s">
        <v>36</v>
      </c>
      <c r="M4811" s="3" t="s">
        <v>36</v>
      </c>
      <c r="N4811" s="3" t="s">
        <v>36</v>
      </c>
      <c r="O4811" s="8" t="s">
        <v>36</v>
      </c>
      <c r="P4811" s="3" t="s">
        <v>36</v>
      </c>
      <c r="Q4811" s="3" t="s">
        <v>36</v>
      </c>
      <c r="R4811" s="3" t="s">
        <v>36</v>
      </c>
      <c r="S4811" s="3" t="s">
        <v>36</v>
      </c>
      <c r="T4811" s="3" t="s">
        <v>2490</v>
      </c>
      <c r="U4811" s="3" t="s">
        <v>318</v>
      </c>
      <c r="V4811" s="3" t="s">
        <v>39</v>
      </c>
      <c r="W4811" s="3" t="s">
        <v>14893</v>
      </c>
      <c r="X4811" s="10" t="s">
        <v>23235</v>
      </c>
      <c r="Y4811" s="6" t="s">
        <v>166</v>
      </c>
      <c r="Z4811" s="4">
        <v>6.82</v>
      </c>
      <c r="AA4811" s="4">
        <v>18.25</v>
      </c>
      <c r="AB4811" s="3" t="s">
        <v>56</v>
      </c>
      <c r="AC4811" s="3" t="s">
        <v>14895</v>
      </c>
      <c r="AD4811" s="9">
        <v>43523</v>
      </c>
      <c r="AE4811" s="3" t="s">
        <v>417</v>
      </c>
      <c r="AF4811" s="3" t="s">
        <v>7294</v>
      </c>
      <c r="AG4811" s="3" t="s">
        <v>969</v>
      </c>
      <c r="AH4811" s="11">
        <f>HYPERLINK("https://my.pitchbook.com?c=138292-93T","View Company Online")</f>
      </c>
    </row>
    <row r="4812">
      <c r="A4812" s="12" t="s">
        <v>23236</v>
      </c>
      <c r="B4812" s="12" t="s">
        <v>15538</v>
      </c>
      <c r="C4812" s="19" t="s">
        <v>36</v>
      </c>
      <c r="D4812" s="19" t="s">
        <v>36</v>
      </c>
      <c r="E4812" s="19" t="s">
        <v>36</v>
      </c>
      <c r="F4812" s="19" t="s">
        <v>36</v>
      </c>
      <c r="G4812" s="15" t="s">
        <v>326</v>
      </c>
      <c r="H4812" s="14">
        <v>1049.69</v>
      </c>
      <c r="I4812" s="18">
        <v>20.91</v>
      </c>
      <c r="J4812" s="12" t="s">
        <v>521</v>
      </c>
      <c r="K4812" s="13" t="s">
        <v>36</v>
      </c>
      <c r="L4812" s="15" t="s">
        <v>94</v>
      </c>
      <c r="M4812" s="12" t="s">
        <v>36</v>
      </c>
      <c r="N4812" s="12" t="s">
        <v>94</v>
      </c>
      <c r="O4812" s="17" t="s">
        <v>36</v>
      </c>
      <c r="P4812" s="12" t="s">
        <v>36</v>
      </c>
      <c r="Q4812" s="12" t="s">
        <v>36</v>
      </c>
      <c r="R4812" s="12" t="s">
        <v>36</v>
      </c>
      <c r="S4812" s="12" t="s">
        <v>36</v>
      </c>
      <c r="T4812" s="12" t="s">
        <v>522</v>
      </c>
      <c r="U4812" s="12" t="s">
        <v>38</v>
      </c>
      <c r="V4812" s="12" t="s">
        <v>39</v>
      </c>
      <c r="W4812" s="12" t="s">
        <v>15539</v>
      </c>
      <c r="X4812" s="16" t="s">
        <v>23237</v>
      </c>
      <c r="Y4812" s="15" t="s">
        <v>108</v>
      </c>
      <c r="Z4812" s="14">
        <v>19.98</v>
      </c>
      <c r="AA4812" s="14">
        <v>71.24</v>
      </c>
      <c r="AB4812" s="12" t="s">
        <v>56</v>
      </c>
      <c r="AC4812" s="12" t="s">
        <v>15541</v>
      </c>
      <c r="AD4812" s="13">
        <v>43522</v>
      </c>
      <c r="AE4812" s="12" t="s">
        <v>110</v>
      </c>
      <c r="AF4812" s="12" t="s">
        <v>176</v>
      </c>
      <c r="AG4812" s="12" t="s">
        <v>81</v>
      </c>
      <c r="AH4812" s="1">
        <f>HYPERLINK("https://my.pitchbook.com?c=116761-06T","View Company Online")</f>
      </c>
    </row>
    <row r="4813">
      <c r="A4813" s="3" t="s">
        <v>23238</v>
      </c>
      <c r="B4813" s="3" t="s">
        <v>11656</v>
      </c>
      <c r="C4813" s="5" t="s">
        <v>36</v>
      </c>
      <c r="D4813" s="5" t="s">
        <v>36</v>
      </c>
      <c r="E4813" s="5" t="s">
        <v>36</v>
      </c>
      <c r="F4813" s="5" t="s">
        <v>36</v>
      </c>
      <c r="G4813" s="6" t="s">
        <v>326</v>
      </c>
      <c r="H4813" s="4">
        <v>498.48</v>
      </c>
      <c r="I4813" s="7">
        <v>14.28</v>
      </c>
      <c r="J4813" s="3" t="s">
        <v>521</v>
      </c>
      <c r="K4813" s="9" t="s">
        <v>36</v>
      </c>
      <c r="L4813" s="6" t="s">
        <v>36</v>
      </c>
      <c r="M4813" s="3" t="s">
        <v>36</v>
      </c>
      <c r="N4813" s="3" t="s">
        <v>36</v>
      </c>
      <c r="O4813" s="8" t="s">
        <v>36</v>
      </c>
      <c r="P4813" s="3" t="s">
        <v>36</v>
      </c>
      <c r="Q4813" s="3" t="s">
        <v>36</v>
      </c>
      <c r="R4813" s="3" t="s">
        <v>36</v>
      </c>
      <c r="S4813" s="3" t="s">
        <v>36</v>
      </c>
      <c r="T4813" s="3" t="s">
        <v>11657</v>
      </c>
      <c r="U4813" s="3" t="s">
        <v>289</v>
      </c>
      <c r="V4813" s="3" t="s">
        <v>64</v>
      </c>
      <c r="W4813" s="3" t="s">
        <v>11658</v>
      </c>
      <c r="X4813" s="10" t="s">
        <v>221</v>
      </c>
      <c r="Y4813" s="6" t="s">
        <v>108</v>
      </c>
      <c r="Z4813" s="4">
        <v>1.14</v>
      </c>
      <c r="AA4813" s="4">
        <v>7.95</v>
      </c>
      <c r="AB4813" s="3" t="s">
        <v>43</v>
      </c>
      <c r="AC4813" s="3" t="s">
        <v>11659</v>
      </c>
      <c r="AD4813" s="9">
        <v>43522</v>
      </c>
      <c r="AE4813" s="3" t="s">
        <v>292</v>
      </c>
      <c r="AF4813" s="3" t="s">
        <v>90</v>
      </c>
      <c r="AG4813" s="3" t="s">
        <v>81</v>
      </c>
      <c r="AH4813" s="11">
        <f>HYPERLINK("https://my.pitchbook.com?c=108609-04T","View Company Online")</f>
      </c>
    </row>
    <row r="4814">
      <c r="A4814" s="12" t="s">
        <v>23239</v>
      </c>
      <c r="B4814" s="12" t="s">
        <v>23240</v>
      </c>
      <c r="C4814" s="19" t="s">
        <v>36</v>
      </c>
      <c r="D4814" s="19" t="s">
        <v>36</v>
      </c>
      <c r="E4814" s="19" t="s">
        <v>36</v>
      </c>
      <c r="F4814" s="19" t="s">
        <v>36</v>
      </c>
      <c r="G4814" s="15" t="s">
        <v>36</v>
      </c>
      <c r="H4814" s="14">
        <v>332.34</v>
      </c>
      <c r="I4814" s="18">
        <v>42.86</v>
      </c>
      <c r="J4814" s="12" t="s">
        <v>521</v>
      </c>
      <c r="K4814" s="13" t="s">
        <v>36</v>
      </c>
      <c r="L4814" s="15" t="s">
        <v>36</v>
      </c>
      <c r="M4814" s="12" t="s">
        <v>36</v>
      </c>
      <c r="N4814" s="12" t="s">
        <v>36</v>
      </c>
      <c r="O4814" s="17" t="s">
        <v>36</v>
      </c>
      <c r="P4814" s="12" t="s">
        <v>36</v>
      </c>
      <c r="Q4814" s="12" t="s">
        <v>36</v>
      </c>
      <c r="R4814" s="12" t="s">
        <v>36</v>
      </c>
      <c r="S4814" s="12" t="s">
        <v>36</v>
      </c>
      <c r="T4814" s="12" t="s">
        <v>1725</v>
      </c>
      <c r="U4814" s="12" t="s">
        <v>318</v>
      </c>
      <c r="V4814" s="12" t="s">
        <v>39</v>
      </c>
      <c r="W4814" s="12" t="s">
        <v>23241</v>
      </c>
      <c r="X4814" s="16" t="s">
        <v>23242</v>
      </c>
      <c r="Y4814" s="15" t="s">
        <v>42</v>
      </c>
      <c r="Z4814" s="14">
        <v>1.36</v>
      </c>
      <c r="AA4814" s="14">
        <v>3.18</v>
      </c>
      <c r="AB4814" s="12" t="s">
        <v>43</v>
      </c>
      <c r="AC4814" s="12" t="s">
        <v>23243</v>
      </c>
      <c r="AD4814" s="13">
        <v>43522</v>
      </c>
      <c r="AE4814" s="12" t="s">
        <v>763</v>
      </c>
      <c r="AF4814" s="12" t="s">
        <v>7557</v>
      </c>
      <c r="AG4814" s="12" t="s">
        <v>741</v>
      </c>
      <c r="AH4814" s="1">
        <f>HYPERLINK("https://my.pitchbook.com?c=123757-12T","View Company Online")</f>
      </c>
    </row>
    <row r="4815">
      <c r="A4815" s="3" t="s">
        <v>23244</v>
      </c>
      <c r="B4815" s="3" t="s">
        <v>19099</v>
      </c>
      <c r="C4815" s="5" t="s">
        <v>36</v>
      </c>
      <c r="D4815" s="5" t="s">
        <v>36</v>
      </c>
      <c r="E4815" s="5" t="s">
        <v>36</v>
      </c>
      <c r="F4815" s="5" t="s">
        <v>36</v>
      </c>
      <c r="G4815" s="6" t="s">
        <v>36</v>
      </c>
      <c r="H4815" s="4" t="s">
        <v>36</v>
      </c>
      <c r="I4815" s="7" t="s">
        <v>36</v>
      </c>
      <c r="J4815" s="3" t="s">
        <v>36</v>
      </c>
      <c r="K4815" s="9" t="s">
        <v>36</v>
      </c>
      <c r="L4815" s="6" t="s">
        <v>36</v>
      </c>
      <c r="M4815" s="3" t="s">
        <v>36</v>
      </c>
      <c r="N4815" s="3" t="s">
        <v>36</v>
      </c>
      <c r="O4815" s="8" t="s">
        <v>36</v>
      </c>
      <c r="P4815" s="3" t="s">
        <v>36</v>
      </c>
      <c r="Q4815" s="3" t="s">
        <v>36</v>
      </c>
      <c r="R4815" s="3" t="s">
        <v>36</v>
      </c>
      <c r="S4815" s="3" t="s">
        <v>36</v>
      </c>
      <c r="T4815" s="3" t="s">
        <v>3270</v>
      </c>
      <c r="U4815" s="3" t="s">
        <v>1336</v>
      </c>
      <c r="V4815" s="3" t="s">
        <v>367</v>
      </c>
      <c r="W4815" s="3" t="s">
        <v>19100</v>
      </c>
      <c r="X4815" s="10" t="s">
        <v>23245</v>
      </c>
      <c r="Y4815" s="6" t="s">
        <v>166</v>
      </c>
      <c r="Z4815" s="4">
        <v>2.27</v>
      </c>
      <c r="AA4815" s="4" t="s">
        <v>36</v>
      </c>
      <c r="AB4815" s="3" t="s">
        <v>56</v>
      </c>
      <c r="AC4815" s="3" t="s">
        <v>19102</v>
      </c>
      <c r="AD4815" s="9">
        <v>43521</v>
      </c>
      <c r="AE4815" s="3" t="s">
        <v>2464</v>
      </c>
      <c r="AF4815" s="3" t="s">
        <v>982</v>
      </c>
      <c r="AG4815" s="3" t="s">
        <v>144</v>
      </c>
      <c r="AH4815" s="11">
        <f>HYPERLINK("https://my.pitchbook.com?c=134470-90T","View Company Online")</f>
      </c>
    </row>
    <row r="4816">
      <c r="A4816" s="12" t="s">
        <v>23246</v>
      </c>
      <c r="B4816" s="12" t="s">
        <v>1869</v>
      </c>
      <c r="C4816" s="19" t="s">
        <v>36</v>
      </c>
      <c r="D4816" s="19" t="s">
        <v>36</v>
      </c>
      <c r="E4816" s="19" t="s">
        <v>36</v>
      </c>
      <c r="F4816" s="19" t="s">
        <v>36</v>
      </c>
      <c r="G4816" s="15" t="s">
        <v>36</v>
      </c>
      <c r="H4816" s="14">
        <v>26.44</v>
      </c>
      <c r="I4816" s="18">
        <v>22.89</v>
      </c>
      <c r="J4816" s="12" t="s">
        <v>521</v>
      </c>
      <c r="K4816" s="13" t="s">
        <v>36</v>
      </c>
      <c r="L4816" s="15" t="s">
        <v>36</v>
      </c>
      <c r="M4816" s="12" t="s">
        <v>36</v>
      </c>
      <c r="N4816" s="12" t="s">
        <v>36</v>
      </c>
      <c r="O4816" s="17" t="s">
        <v>36</v>
      </c>
      <c r="P4816" s="12" t="s">
        <v>36</v>
      </c>
      <c r="Q4816" s="12" t="s">
        <v>36</v>
      </c>
      <c r="R4816" s="12" t="s">
        <v>36</v>
      </c>
      <c r="S4816" s="12" t="s">
        <v>36</v>
      </c>
      <c r="T4816" s="12" t="s">
        <v>1870</v>
      </c>
      <c r="U4816" s="12" t="s">
        <v>38</v>
      </c>
      <c r="V4816" s="12" t="s">
        <v>39</v>
      </c>
      <c r="W4816" s="12" t="s">
        <v>1871</v>
      </c>
      <c r="X4816" s="16" t="s">
        <v>23247</v>
      </c>
      <c r="Y4816" s="15" t="s">
        <v>42</v>
      </c>
      <c r="Z4816" s="14">
        <v>0.59</v>
      </c>
      <c r="AA4816" s="14">
        <v>2.57</v>
      </c>
      <c r="AB4816" s="12" t="s">
        <v>43</v>
      </c>
      <c r="AC4816" s="12" t="s">
        <v>1873</v>
      </c>
      <c r="AD4816" s="13">
        <v>43521</v>
      </c>
      <c r="AE4816" s="12" t="s">
        <v>554</v>
      </c>
      <c r="AF4816" s="12" t="s">
        <v>1619</v>
      </c>
      <c r="AG4816" s="12" t="s">
        <v>741</v>
      </c>
      <c r="AH4816" s="1">
        <f>HYPERLINK("https://my.pitchbook.com?c=186714-82T","View Company Online")</f>
      </c>
    </row>
    <row r="4817">
      <c r="A4817" s="3" t="s">
        <v>23248</v>
      </c>
      <c r="B4817" s="3" t="s">
        <v>23249</v>
      </c>
      <c r="C4817" s="5" t="s">
        <v>36</v>
      </c>
      <c r="D4817" s="5" t="s">
        <v>36</v>
      </c>
      <c r="E4817" s="5" t="s">
        <v>36</v>
      </c>
      <c r="F4817" s="5" t="s">
        <v>36</v>
      </c>
      <c r="G4817" s="6" t="s">
        <v>326</v>
      </c>
      <c r="H4817" s="4">
        <v>66.77</v>
      </c>
      <c r="I4817" s="7">
        <v>11.11</v>
      </c>
      <c r="J4817" s="3" t="s">
        <v>521</v>
      </c>
      <c r="K4817" s="9" t="s">
        <v>36</v>
      </c>
      <c r="L4817" s="6" t="s">
        <v>36</v>
      </c>
      <c r="M4817" s="3" t="s">
        <v>36</v>
      </c>
      <c r="N4817" s="3" t="s">
        <v>36</v>
      </c>
      <c r="O4817" s="8" t="s">
        <v>36</v>
      </c>
      <c r="P4817" s="3" t="s">
        <v>36</v>
      </c>
      <c r="Q4817" s="3" t="s">
        <v>36</v>
      </c>
      <c r="R4817" s="3" t="s">
        <v>36</v>
      </c>
      <c r="S4817" s="3" t="s">
        <v>36</v>
      </c>
      <c r="T4817" s="3" t="s">
        <v>23250</v>
      </c>
      <c r="U4817" s="3" t="s">
        <v>63</v>
      </c>
      <c r="V4817" s="3" t="s">
        <v>64</v>
      </c>
      <c r="W4817" s="3" t="s">
        <v>23251</v>
      </c>
      <c r="X4817" s="10" t="s">
        <v>20907</v>
      </c>
      <c r="Y4817" s="6" t="s">
        <v>55</v>
      </c>
      <c r="Z4817" s="4">
        <v>0.17</v>
      </c>
      <c r="AA4817" s="4">
        <v>1.53</v>
      </c>
      <c r="AB4817" s="3" t="s">
        <v>43</v>
      </c>
      <c r="AC4817" s="3" t="s">
        <v>23252</v>
      </c>
      <c r="AD4817" s="9">
        <v>43521</v>
      </c>
      <c r="AE4817" s="3" t="s">
        <v>399</v>
      </c>
      <c r="AF4817" s="3" t="s">
        <v>4270</v>
      </c>
      <c r="AG4817" s="3" t="s">
        <v>81</v>
      </c>
      <c r="AH4817" s="11">
        <f>HYPERLINK("https://my.pitchbook.com?c=188150-14T","View Company Online")</f>
      </c>
    </row>
    <row r="4818">
      <c r="A4818" s="12" t="s">
        <v>23253</v>
      </c>
      <c r="B4818" s="12" t="s">
        <v>23254</v>
      </c>
      <c r="C4818" s="19" t="s">
        <v>36</v>
      </c>
      <c r="D4818" s="19" t="s">
        <v>36</v>
      </c>
      <c r="E4818" s="19" t="s">
        <v>36</v>
      </c>
      <c r="F4818" s="19" t="s">
        <v>36</v>
      </c>
      <c r="G4818" s="15" t="s">
        <v>326</v>
      </c>
      <c r="H4818" s="14">
        <v>28.95</v>
      </c>
      <c r="I4818" s="18">
        <v>22.22</v>
      </c>
      <c r="J4818" s="12" t="s">
        <v>521</v>
      </c>
      <c r="K4818" s="13" t="s">
        <v>36</v>
      </c>
      <c r="L4818" s="15" t="s">
        <v>36</v>
      </c>
      <c r="M4818" s="12" t="s">
        <v>36</v>
      </c>
      <c r="N4818" s="12" t="s">
        <v>36</v>
      </c>
      <c r="O4818" s="17" t="s">
        <v>36</v>
      </c>
      <c r="P4818" s="12" t="s">
        <v>36</v>
      </c>
      <c r="Q4818" s="12" t="s">
        <v>36</v>
      </c>
      <c r="R4818" s="12" t="s">
        <v>36</v>
      </c>
      <c r="S4818" s="12" t="s">
        <v>36</v>
      </c>
      <c r="T4818" s="12" t="s">
        <v>3790</v>
      </c>
      <c r="U4818" s="12" t="s">
        <v>318</v>
      </c>
      <c r="V4818" s="12" t="s">
        <v>39</v>
      </c>
      <c r="W4818" s="12" t="s">
        <v>23255</v>
      </c>
      <c r="X4818" s="16" t="s">
        <v>23256</v>
      </c>
      <c r="Y4818" s="15" t="s">
        <v>42</v>
      </c>
      <c r="Z4818" s="14">
        <v>2.27</v>
      </c>
      <c r="AA4818" s="14">
        <v>5.11</v>
      </c>
      <c r="AB4818" s="12" t="s">
        <v>43</v>
      </c>
      <c r="AC4818" s="12" t="s">
        <v>23257</v>
      </c>
      <c r="AD4818" s="13">
        <v>43521</v>
      </c>
      <c r="AE4818" s="12" t="s">
        <v>763</v>
      </c>
      <c r="AF4818" s="12" t="s">
        <v>23258</v>
      </c>
      <c r="AG4818" s="12" t="s">
        <v>1341</v>
      </c>
      <c r="AH4818" s="1">
        <f>HYPERLINK("https://my.pitchbook.com?c=119862-28T","View Company Online")</f>
      </c>
    </row>
    <row r="4819">
      <c r="A4819" s="3" t="s">
        <v>23259</v>
      </c>
      <c r="B4819" s="3" t="s">
        <v>6556</v>
      </c>
      <c r="C4819" s="5" t="s">
        <v>36</v>
      </c>
      <c r="D4819" s="5" t="s">
        <v>36</v>
      </c>
      <c r="E4819" s="5" t="s">
        <v>36</v>
      </c>
      <c r="F4819" s="5" t="s">
        <v>36</v>
      </c>
      <c r="G4819" s="6" t="s">
        <v>326</v>
      </c>
      <c r="H4819" s="4">
        <v>84.82</v>
      </c>
      <c r="I4819" s="7">
        <v>27.32</v>
      </c>
      <c r="J4819" s="3" t="s">
        <v>521</v>
      </c>
      <c r="K4819" s="9" t="s">
        <v>36</v>
      </c>
      <c r="L4819" s="6" t="s">
        <v>122</v>
      </c>
      <c r="M4819" s="3" t="s">
        <v>36</v>
      </c>
      <c r="N4819" s="3" t="s">
        <v>122</v>
      </c>
      <c r="O4819" s="8" t="s">
        <v>36</v>
      </c>
      <c r="P4819" s="3" t="s">
        <v>36</v>
      </c>
      <c r="Q4819" s="3" t="s">
        <v>36</v>
      </c>
      <c r="R4819" s="3" t="s">
        <v>36</v>
      </c>
      <c r="S4819" s="3" t="s">
        <v>36</v>
      </c>
      <c r="T4819" s="3" t="s">
        <v>6557</v>
      </c>
      <c r="U4819" s="3" t="s">
        <v>648</v>
      </c>
      <c r="V4819" s="3" t="s">
        <v>64</v>
      </c>
      <c r="W4819" s="3" t="s">
        <v>6558</v>
      </c>
      <c r="X4819" s="10" t="s">
        <v>23260</v>
      </c>
      <c r="Y4819" s="6" t="s">
        <v>108</v>
      </c>
      <c r="Z4819" s="4">
        <v>12.49</v>
      </c>
      <c r="AA4819" s="4">
        <v>41.57</v>
      </c>
      <c r="AB4819" s="3" t="s">
        <v>43</v>
      </c>
      <c r="AC4819" s="3" t="s">
        <v>6560</v>
      </c>
      <c r="AD4819" s="9">
        <v>43518</v>
      </c>
      <c r="AE4819" s="3" t="s">
        <v>1897</v>
      </c>
      <c r="AF4819" s="3" t="s">
        <v>1115</v>
      </c>
      <c r="AG4819" s="3" t="s">
        <v>81</v>
      </c>
      <c r="AH4819" s="11">
        <f>HYPERLINK("https://my.pitchbook.com?c=116696-71T","View Company Online")</f>
      </c>
    </row>
    <row r="4820">
      <c r="A4820" s="12" t="s">
        <v>23261</v>
      </c>
      <c r="B4820" s="12" t="s">
        <v>9756</v>
      </c>
      <c r="C4820" s="19" t="s">
        <v>36</v>
      </c>
      <c r="D4820" s="19" t="s">
        <v>36</v>
      </c>
      <c r="E4820" s="19" t="s">
        <v>36</v>
      </c>
      <c r="F4820" s="19" t="s">
        <v>36</v>
      </c>
      <c r="G4820" s="15" t="s">
        <v>36</v>
      </c>
      <c r="H4820" s="14">
        <v>1038.57</v>
      </c>
      <c r="I4820" s="18">
        <v>27.8</v>
      </c>
      <c r="J4820" s="12" t="s">
        <v>521</v>
      </c>
      <c r="K4820" s="13" t="s">
        <v>36</v>
      </c>
      <c r="L4820" s="15" t="s">
        <v>36</v>
      </c>
      <c r="M4820" s="12" t="s">
        <v>36</v>
      </c>
      <c r="N4820" s="12" t="s">
        <v>36</v>
      </c>
      <c r="O4820" s="17" t="s">
        <v>36</v>
      </c>
      <c r="P4820" s="12" t="s">
        <v>36</v>
      </c>
      <c r="Q4820" s="12" t="s">
        <v>36</v>
      </c>
      <c r="R4820" s="12" t="s">
        <v>36</v>
      </c>
      <c r="S4820" s="12" t="s">
        <v>36</v>
      </c>
      <c r="T4820" s="12" t="s">
        <v>9757</v>
      </c>
      <c r="U4820" s="12" t="s">
        <v>38</v>
      </c>
      <c r="V4820" s="12" t="s">
        <v>39</v>
      </c>
      <c r="W4820" s="12" t="s">
        <v>9758</v>
      </c>
      <c r="X4820" s="16" t="s">
        <v>23262</v>
      </c>
      <c r="Y4820" s="15" t="s">
        <v>42</v>
      </c>
      <c r="Z4820" s="14">
        <v>0.57</v>
      </c>
      <c r="AA4820" s="14">
        <v>1.57</v>
      </c>
      <c r="AB4820" s="12" t="s">
        <v>43</v>
      </c>
      <c r="AC4820" s="12" t="s">
        <v>9760</v>
      </c>
      <c r="AD4820" s="13">
        <v>43518</v>
      </c>
      <c r="AE4820" s="12" t="s">
        <v>785</v>
      </c>
      <c r="AF4820" s="12" t="s">
        <v>176</v>
      </c>
      <c r="AG4820" s="12" t="s">
        <v>186</v>
      </c>
      <c r="AH4820" s="1">
        <f>HYPERLINK("https://my.pitchbook.com?c=126048-88T","View Company Online")</f>
      </c>
    </row>
    <row r="4821">
      <c r="A4821" s="3" t="s">
        <v>23263</v>
      </c>
      <c r="B4821" s="3" t="s">
        <v>15578</v>
      </c>
      <c r="C4821" s="5" t="s">
        <v>36</v>
      </c>
      <c r="D4821" s="5" t="s">
        <v>36</v>
      </c>
      <c r="E4821" s="5" t="s">
        <v>36</v>
      </c>
      <c r="F4821" s="5" t="s">
        <v>36</v>
      </c>
      <c r="G4821" s="6" t="s">
        <v>326</v>
      </c>
      <c r="H4821" s="4">
        <v>57.12</v>
      </c>
      <c r="I4821" s="7">
        <v>35.38</v>
      </c>
      <c r="J4821" s="3" t="s">
        <v>521</v>
      </c>
      <c r="K4821" s="9" t="s">
        <v>36</v>
      </c>
      <c r="L4821" s="6" t="s">
        <v>36</v>
      </c>
      <c r="M4821" s="3" t="s">
        <v>36</v>
      </c>
      <c r="N4821" s="3" t="s">
        <v>36</v>
      </c>
      <c r="O4821" s="8" t="s">
        <v>36</v>
      </c>
      <c r="P4821" s="3" t="s">
        <v>36</v>
      </c>
      <c r="Q4821" s="3" t="s">
        <v>36</v>
      </c>
      <c r="R4821" s="3" t="s">
        <v>36</v>
      </c>
      <c r="S4821" s="3" t="s">
        <v>36</v>
      </c>
      <c r="T4821" s="3" t="s">
        <v>203</v>
      </c>
      <c r="U4821" s="3" t="s">
        <v>38</v>
      </c>
      <c r="V4821" s="3" t="s">
        <v>39</v>
      </c>
      <c r="W4821" s="3" t="s">
        <v>15579</v>
      </c>
      <c r="X4821" s="10" t="s">
        <v>23264</v>
      </c>
      <c r="Y4821" s="6" t="s">
        <v>42</v>
      </c>
      <c r="Z4821" s="4">
        <v>2.27</v>
      </c>
      <c r="AA4821" s="4">
        <v>5.38</v>
      </c>
      <c r="AB4821" s="3" t="s">
        <v>43</v>
      </c>
      <c r="AC4821" s="3" t="s">
        <v>15581</v>
      </c>
      <c r="AD4821" s="9">
        <v>43518</v>
      </c>
      <c r="AE4821" s="3" t="s">
        <v>110</v>
      </c>
      <c r="AF4821" s="3" t="s">
        <v>3719</v>
      </c>
      <c r="AG4821" s="3" t="s">
        <v>4637</v>
      </c>
      <c r="AH4821" s="11">
        <f>HYPERLINK("https://my.pitchbook.com?c=118354-33T","View Company Online")</f>
      </c>
    </row>
    <row r="4822">
      <c r="A4822" s="12" t="s">
        <v>23265</v>
      </c>
      <c r="B4822" s="12" t="s">
        <v>9546</v>
      </c>
      <c r="C4822" s="19">
        <v>6</v>
      </c>
      <c r="D4822" s="19">
        <v>112</v>
      </c>
      <c r="E4822" s="19">
        <v>29</v>
      </c>
      <c r="F4822" s="19">
        <v>122</v>
      </c>
      <c r="G4822" s="15" t="s">
        <v>36</v>
      </c>
      <c r="H4822" s="14">
        <v>2.22</v>
      </c>
      <c r="I4822" s="18">
        <v>40.46</v>
      </c>
      <c r="J4822" s="12" t="s">
        <v>521</v>
      </c>
      <c r="K4822" s="13" t="s">
        <v>36</v>
      </c>
      <c r="L4822" s="15" t="s">
        <v>36</v>
      </c>
      <c r="M4822" s="12" t="s">
        <v>36</v>
      </c>
      <c r="N4822" s="12" t="s">
        <v>36</v>
      </c>
      <c r="O4822" s="17" t="s">
        <v>36</v>
      </c>
      <c r="P4822" s="12" t="s">
        <v>36</v>
      </c>
      <c r="Q4822" s="12" t="s">
        <v>36</v>
      </c>
      <c r="R4822" s="12" t="s">
        <v>36</v>
      </c>
      <c r="S4822" s="12" t="s">
        <v>36</v>
      </c>
      <c r="T4822" s="12" t="s">
        <v>3264</v>
      </c>
      <c r="U4822" s="12" t="s">
        <v>96</v>
      </c>
      <c r="V4822" s="12" t="s">
        <v>52</v>
      </c>
      <c r="W4822" s="12" t="s">
        <v>9547</v>
      </c>
      <c r="X4822" s="16" t="s">
        <v>23266</v>
      </c>
      <c r="Y4822" s="15" t="s">
        <v>42</v>
      </c>
      <c r="Z4822" s="14">
        <v>2.69</v>
      </c>
      <c r="AA4822" s="14">
        <v>6.66</v>
      </c>
      <c r="AB4822" s="12" t="s">
        <v>43</v>
      </c>
      <c r="AC4822" s="12" t="s">
        <v>9549</v>
      </c>
      <c r="AD4822" s="13">
        <v>43517</v>
      </c>
      <c r="AE4822" s="12" t="s">
        <v>496</v>
      </c>
      <c r="AF4822" s="12" t="s">
        <v>6285</v>
      </c>
      <c r="AG4822" s="12" t="s">
        <v>81</v>
      </c>
      <c r="AH4822" s="1">
        <f>HYPERLINK("https://my.pitchbook.com?c=191675-89T","View Company Online")</f>
      </c>
    </row>
    <row r="4823">
      <c r="A4823" s="3" t="s">
        <v>23267</v>
      </c>
      <c r="B4823" s="3" t="s">
        <v>2614</v>
      </c>
      <c r="C4823" s="5" t="s">
        <v>36</v>
      </c>
      <c r="D4823" s="5" t="s">
        <v>36</v>
      </c>
      <c r="E4823" s="5" t="s">
        <v>36</v>
      </c>
      <c r="F4823" s="5" t="s">
        <v>36</v>
      </c>
      <c r="G4823" s="6" t="s">
        <v>326</v>
      </c>
      <c r="H4823" s="4">
        <v>69.79</v>
      </c>
      <c r="I4823" s="7">
        <v>19.07</v>
      </c>
      <c r="J4823" s="3" t="s">
        <v>521</v>
      </c>
      <c r="K4823" s="9" t="s">
        <v>36</v>
      </c>
      <c r="L4823" s="6" t="s">
        <v>36</v>
      </c>
      <c r="M4823" s="3" t="s">
        <v>36</v>
      </c>
      <c r="N4823" s="3" t="s">
        <v>36</v>
      </c>
      <c r="O4823" s="8" t="s">
        <v>36</v>
      </c>
      <c r="P4823" s="3" t="s">
        <v>36</v>
      </c>
      <c r="Q4823" s="3" t="s">
        <v>36</v>
      </c>
      <c r="R4823" s="3" t="s">
        <v>36</v>
      </c>
      <c r="S4823" s="3" t="s">
        <v>36</v>
      </c>
      <c r="T4823" s="3" t="s">
        <v>1253</v>
      </c>
      <c r="U4823" s="3" t="s">
        <v>38</v>
      </c>
      <c r="V4823" s="3" t="s">
        <v>39</v>
      </c>
      <c r="W4823" s="3" t="s">
        <v>2615</v>
      </c>
      <c r="X4823" s="10" t="s">
        <v>23268</v>
      </c>
      <c r="Y4823" s="6" t="s">
        <v>108</v>
      </c>
      <c r="Z4823" s="4">
        <v>2.31</v>
      </c>
      <c r="AA4823" s="4">
        <v>12.11</v>
      </c>
      <c r="AB4823" s="3" t="s">
        <v>43</v>
      </c>
      <c r="AC4823" s="3" t="s">
        <v>2617</v>
      </c>
      <c r="AD4823" s="9">
        <v>43515</v>
      </c>
      <c r="AE4823" s="3" t="s">
        <v>45</v>
      </c>
      <c r="AF4823" s="3" t="s">
        <v>215</v>
      </c>
      <c r="AG4823" s="3" t="s">
        <v>2618</v>
      </c>
      <c r="AH4823" s="11">
        <f>HYPERLINK("https://my.pitchbook.com?c=121464-64T","View Company Online")</f>
      </c>
    </row>
    <row r="4824">
      <c r="A4824" s="12" t="s">
        <v>23269</v>
      </c>
      <c r="B4824" s="12" t="s">
        <v>8947</v>
      </c>
      <c r="C4824" s="19">
        <v>2</v>
      </c>
      <c r="D4824" s="19">
        <v>1</v>
      </c>
      <c r="E4824" s="19">
        <v>2</v>
      </c>
      <c r="F4824" s="19">
        <v>6</v>
      </c>
      <c r="G4824" s="15" t="s">
        <v>326</v>
      </c>
      <c r="H4824" s="14">
        <v>16.52</v>
      </c>
      <c r="I4824" s="18">
        <v>25.27</v>
      </c>
      <c r="J4824" s="12" t="s">
        <v>521</v>
      </c>
      <c r="K4824" s="13" t="s">
        <v>36</v>
      </c>
      <c r="L4824" s="15" t="s">
        <v>122</v>
      </c>
      <c r="M4824" s="12" t="s">
        <v>36</v>
      </c>
      <c r="N4824" s="12" t="s">
        <v>122</v>
      </c>
      <c r="O4824" s="17" t="s">
        <v>36</v>
      </c>
      <c r="P4824" s="12" t="s">
        <v>36</v>
      </c>
      <c r="Q4824" s="12" t="s">
        <v>36</v>
      </c>
      <c r="R4824" s="12" t="s">
        <v>36</v>
      </c>
      <c r="S4824" s="12" t="s">
        <v>36</v>
      </c>
      <c r="T4824" s="12" t="s">
        <v>8948</v>
      </c>
      <c r="U4824" s="12" t="s">
        <v>1798</v>
      </c>
      <c r="V4824" s="12" t="s">
        <v>39</v>
      </c>
      <c r="W4824" s="12" t="s">
        <v>8949</v>
      </c>
      <c r="X4824" s="16" t="s">
        <v>23270</v>
      </c>
      <c r="Y4824" s="15" t="s">
        <v>108</v>
      </c>
      <c r="Z4824" s="14">
        <v>8.11</v>
      </c>
      <c r="AA4824" s="14">
        <v>32.08</v>
      </c>
      <c r="AB4824" s="12" t="s">
        <v>56</v>
      </c>
      <c r="AC4824" s="12" t="s">
        <v>8951</v>
      </c>
      <c r="AD4824" s="13">
        <v>43515</v>
      </c>
      <c r="AE4824" s="12" t="s">
        <v>5561</v>
      </c>
      <c r="AF4824" s="12" t="s">
        <v>8952</v>
      </c>
      <c r="AG4824" s="12" t="s">
        <v>969</v>
      </c>
      <c r="AH4824" s="1">
        <f>HYPERLINK("https://my.pitchbook.com?c=116567-38T","View Company Online")</f>
      </c>
    </row>
    <row r="4825">
      <c r="A4825" s="3" t="s">
        <v>23271</v>
      </c>
      <c r="B4825" s="3" t="s">
        <v>1845</v>
      </c>
      <c r="C4825" s="5" t="s">
        <v>36</v>
      </c>
      <c r="D4825" s="5" t="s">
        <v>36</v>
      </c>
      <c r="E4825" s="5" t="s">
        <v>36</v>
      </c>
      <c r="F4825" s="5" t="s">
        <v>36</v>
      </c>
      <c r="G4825" s="6" t="s">
        <v>326</v>
      </c>
      <c r="H4825" s="4">
        <v>2131.68</v>
      </c>
      <c r="I4825" s="7">
        <v>12.89</v>
      </c>
      <c r="J4825" s="3" t="s">
        <v>521</v>
      </c>
      <c r="K4825" s="9">
        <v>43474</v>
      </c>
      <c r="L4825" s="6" t="s">
        <v>94</v>
      </c>
      <c r="M4825" s="3" t="s">
        <v>36</v>
      </c>
      <c r="N4825" s="3" t="s">
        <v>94</v>
      </c>
      <c r="O4825" s="8" t="s">
        <v>36</v>
      </c>
      <c r="P4825" s="3" t="s">
        <v>36</v>
      </c>
      <c r="Q4825" s="3" t="s">
        <v>36</v>
      </c>
      <c r="R4825" s="3" t="s">
        <v>36</v>
      </c>
      <c r="S4825" s="3" t="s">
        <v>36</v>
      </c>
      <c r="T4825" s="3" t="s">
        <v>1847</v>
      </c>
      <c r="U4825" s="3" t="s">
        <v>956</v>
      </c>
      <c r="V4825" s="3" t="s">
        <v>405</v>
      </c>
      <c r="W4825" s="3" t="s">
        <v>1848</v>
      </c>
      <c r="X4825" s="10" t="s">
        <v>23272</v>
      </c>
      <c r="Y4825" s="6" t="s">
        <v>55</v>
      </c>
      <c r="Z4825" s="4">
        <v>46.01</v>
      </c>
      <c r="AA4825" s="4">
        <v>356.81</v>
      </c>
      <c r="AB4825" s="3" t="s">
        <v>43</v>
      </c>
      <c r="AC4825" s="3" t="s">
        <v>1850</v>
      </c>
      <c r="AD4825" s="9">
        <v>43514</v>
      </c>
      <c r="AE4825" s="3" t="s">
        <v>1851</v>
      </c>
      <c r="AF4825" s="3" t="s">
        <v>1852</v>
      </c>
      <c r="AG4825" s="3" t="s">
        <v>81</v>
      </c>
      <c r="AH4825" s="11">
        <f>HYPERLINK("https://my.pitchbook.com?c=116483-59T","View Company Online")</f>
      </c>
    </row>
    <row r="4826">
      <c r="A4826" s="12" t="s">
        <v>23273</v>
      </c>
      <c r="B4826" s="12" t="s">
        <v>20955</v>
      </c>
      <c r="C4826" s="19">
        <v>1</v>
      </c>
      <c r="D4826" s="19" t="s">
        <v>36</v>
      </c>
      <c r="E4826" s="19">
        <v>2</v>
      </c>
      <c r="F4826" s="19">
        <v>2</v>
      </c>
      <c r="G4826" s="15" t="s">
        <v>36</v>
      </c>
      <c r="H4826" s="14" t="s">
        <v>36</v>
      </c>
      <c r="I4826" s="18" t="s">
        <v>36</v>
      </c>
      <c r="J4826" s="12" t="s">
        <v>36</v>
      </c>
      <c r="K4826" s="13" t="s">
        <v>36</v>
      </c>
      <c r="L4826" s="15" t="s">
        <v>36</v>
      </c>
      <c r="M4826" s="12" t="s">
        <v>36</v>
      </c>
      <c r="N4826" s="12" t="s">
        <v>36</v>
      </c>
      <c r="O4826" s="17" t="s">
        <v>36</v>
      </c>
      <c r="P4826" s="12" t="s">
        <v>36</v>
      </c>
      <c r="Q4826" s="12" t="s">
        <v>36</v>
      </c>
      <c r="R4826" s="12" t="s">
        <v>36</v>
      </c>
      <c r="S4826" s="12" t="s">
        <v>36</v>
      </c>
      <c r="T4826" s="12" t="s">
        <v>5772</v>
      </c>
      <c r="U4826" s="12" t="s">
        <v>96</v>
      </c>
      <c r="V4826" s="12" t="s">
        <v>52</v>
      </c>
      <c r="W4826" s="12" t="s">
        <v>20956</v>
      </c>
      <c r="X4826" s="16" t="s">
        <v>23274</v>
      </c>
      <c r="Y4826" s="15" t="s">
        <v>108</v>
      </c>
      <c r="Z4826" s="14">
        <v>0.36</v>
      </c>
      <c r="AA4826" s="14" t="s">
        <v>36</v>
      </c>
      <c r="AB4826" s="12" t="s">
        <v>43</v>
      </c>
      <c r="AC4826" s="12" t="s">
        <v>20958</v>
      </c>
      <c r="AD4826" s="13">
        <v>43514</v>
      </c>
      <c r="AE4826" s="12" t="s">
        <v>755</v>
      </c>
      <c r="AF4826" s="12" t="s">
        <v>885</v>
      </c>
      <c r="AG4826" s="12" t="s">
        <v>899</v>
      </c>
      <c r="AH4826" s="1">
        <f>HYPERLINK("https://my.pitchbook.com?c=117049-96T","View Company Online")</f>
      </c>
    </row>
    <row r="4827">
      <c r="A4827" s="3" t="s">
        <v>23275</v>
      </c>
      <c r="B4827" s="3" t="s">
        <v>23276</v>
      </c>
      <c r="C4827" s="5">
        <v>1</v>
      </c>
      <c r="D4827" s="5">
        <v>2</v>
      </c>
      <c r="E4827" s="5">
        <v>1</v>
      </c>
      <c r="F4827" s="5">
        <v>3</v>
      </c>
      <c r="G4827" s="6" t="s">
        <v>36</v>
      </c>
      <c r="H4827" s="4" t="s">
        <v>36</v>
      </c>
      <c r="I4827" s="7" t="s">
        <v>36</v>
      </c>
      <c r="J4827" s="3" t="s">
        <v>36</v>
      </c>
      <c r="K4827" s="9" t="s">
        <v>36</v>
      </c>
      <c r="L4827" s="6" t="s">
        <v>36</v>
      </c>
      <c r="M4827" s="3" t="s">
        <v>36</v>
      </c>
      <c r="N4827" s="3" t="s">
        <v>36</v>
      </c>
      <c r="O4827" s="8" t="s">
        <v>36</v>
      </c>
      <c r="P4827" s="3" t="s">
        <v>36</v>
      </c>
      <c r="Q4827" s="3" t="s">
        <v>36</v>
      </c>
      <c r="R4827" s="3" t="s">
        <v>36</v>
      </c>
      <c r="S4827" s="3" t="s">
        <v>36</v>
      </c>
      <c r="T4827" s="3" t="s">
        <v>23277</v>
      </c>
      <c r="U4827" s="3" t="s">
        <v>38</v>
      </c>
      <c r="V4827" s="3" t="s">
        <v>39</v>
      </c>
      <c r="W4827" s="3" t="s">
        <v>23278</v>
      </c>
      <c r="X4827" s="10" t="s">
        <v>23279</v>
      </c>
      <c r="Y4827" s="6" t="s">
        <v>42</v>
      </c>
      <c r="Z4827" s="4">
        <v>4.67</v>
      </c>
      <c r="AA4827" s="4" t="s">
        <v>36</v>
      </c>
      <c r="AB4827" s="3" t="s">
        <v>43</v>
      </c>
      <c r="AC4827" s="3" t="s">
        <v>23280</v>
      </c>
      <c r="AD4827" s="9">
        <v>43514</v>
      </c>
      <c r="AE4827" s="3" t="s">
        <v>554</v>
      </c>
      <c r="AF4827" s="3" t="s">
        <v>7783</v>
      </c>
      <c r="AG4827" s="3" t="s">
        <v>81</v>
      </c>
      <c r="AH4827" s="11">
        <f>HYPERLINK("https://my.pitchbook.com?c=117654-76T","View Company Online")</f>
      </c>
    </row>
    <row r="4828">
      <c r="A4828" s="12" t="s">
        <v>23281</v>
      </c>
      <c r="B4828" s="12" t="s">
        <v>23282</v>
      </c>
      <c r="C4828" s="19" t="s">
        <v>36</v>
      </c>
      <c r="D4828" s="19" t="s">
        <v>36</v>
      </c>
      <c r="E4828" s="19" t="s">
        <v>36</v>
      </c>
      <c r="F4828" s="19" t="s">
        <v>36</v>
      </c>
      <c r="G4828" s="15" t="s">
        <v>36</v>
      </c>
      <c r="H4828" s="14" t="s">
        <v>36</v>
      </c>
      <c r="I4828" s="18" t="s">
        <v>36</v>
      </c>
      <c r="J4828" s="12" t="s">
        <v>36</v>
      </c>
      <c r="K4828" s="13">
        <v>43250</v>
      </c>
      <c r="L4828" s="15" t="s">
        <v>3736</v>
      </c>
      <c r="M4828" s="12" t="s">
        <v>36</v>
      </c>
      <c r="N4828" s="12" t="s">
        <v>3736</v>
      </c>
      <c r="O4828" s="17" t="s">
        <v>36</v>
      </c>
      <c r="P4828" s="12" t="s">
        <v>36</v>
      </c>
      <c r="Q4828" s="12" t="s">
        <v>36</v>
      </c>
      <c r="R4828" s="12" t="s">
        <v>36</v>
      </c>
      <c r="S4828" s="12" t="s">
        <v>36</v>
      </c>
      <c r="T4828" s="12" t="s">
        <v>3253</v>
      </c>
      <c r="U4828" s="12" t="s">
        <v>38</v>
      </c>
      <c r="V4828" s="12" t="s">
        <v>39</v>
      </c>
      <c r="W4828" s="12" t="s">
        <v>23283</v>
      </c>
      <c r="X4828" s="16" t="s">
        <v>23284</v>
      </c>
      <c r="Y4828" s="15" t="s">
        <v>55</v>
      </c>
      <c r="Z4828" s="14">
        <v>0.45</v>
      </c>
      <c r="AA4828" s="14" t="s">
        <v>36</v>
      </c>
      <c r="AB4828" s="12" t="s">
        <v>56</v>
      </c>
      <c r="AC4828" s="12" t="s">
        <v>23285</v>
      </c>
      <c r="AD4828" s="13">
        <v>43511</v>
      </c>
      <c r="AE4828" s="12" t="s">
        <v>785</v>
      </c>
      <c r="AF4828" s="12" t="s">
        <v>2562</v>
      </c>
      <c r="AG4828" s="12" t="s">
        <v>81</v>
      </c>
      <c r="AH4828" s="1">
        <f>HYPERLINK("https://my.pitchbook.com?c=115877-71T","View Company Online")</f>
      </c>
    </row>
    <row r="4829">
      <c r="A4829" s="3" t="s">
        <v>23286</v>
      </c>
      <c r="B4829" s="3" t="s">
        <v>23287</v>
      </c>
      <c r="C4829" s="5" t="s">
        <v>36</v>
      </c>
      <c r="D4829" s="5" t="s">
        <v>36</v>
      </c>
      <c r="E4829" s="5" t="s">
        <v>36</v>
      </c>
      <c r="F4829" s="5" t="s">
        <v>36</v>
      </c>
      <c r="G4829" s="6" t="s">
        <v>36</v>
      </c>
      <c r="H4829" s="4">
        <v>0.03</v>
      </c>
      <c r="I4829" s="7">
        <v>65.39</v>
      </c>
      <c r="J4829" s="3" t="s">
        <v>521</v>
      </c>
      <c r="K4829" s="9" t="s">
        <v>36</v>
      </c>
      <c r="L4829" s="6" t="s">
        <v>94</v>
      </c>
      <c r="M4829" s="3" t="s">
        <v>36</v>
      </c>
      <c r="N4829" s="3" t="s">
        <v>94</v>
      </c>
      <c r="O4829" s="8" t="s">
        <v>36</v>
      </c>
      <c r="P4829" s="3" t="s">
        <v>36</v>
      </c>
      <c r="Q4829" s="3" t="s">
        <v>36</v>
      </c>
      <c r="R4829" s="3" t="s">
        <v>36</v>
      </c>
      <c r="S4829" s="3" t="s">
        <v>36</v>
      </c>
      <c r="T4829" s="3" t="s">
        <v>12788</v>
      </c>
      <c r="U4829" s="3" t="s">
        <v>180</v>
      </c>
      <c r="V4829" s="3" t="s">
        <v>52</v>
      </c>
      <c r="W4829" s="3" t="s">
        <v>23288</v>
      </c>
      <c r="X4829" s="10" t="s">
        <v>22868</v>
      </c>
      <c r="Y4829" s="6" t="s">
        <v>108</v>
      </c>
      <c r="Z4829" s="4">
        <v>22.74</v>
      </c>
      <c r="AA4829" s="4">
        <v>34.78</v>
      </c>
      <c r="AB4829" s="3" t="s">
        <v>43</v>
      </c>
      <c r="AC4829" s="3" t="s">
        <v>23289</v>
      </c>
      <c r="AD4829" s="9">
        <v>43511</v>
      </c>
      <c r="AE4829" s="3" t="s">
        <v>8291</v>
      </c>
      <c r="AF4829" s="3" t="s">
        <v>101</v>
      </c>
      <c r="AG4829" s="3" t="s">
        <v>81</v>
      </c>
      <c r="AH4829" s="11">
        <f>HYPERLINK("https://my.pitchbook.com?c=113554-00T","View Company Online")</f>
      </c>
    </row>
    <row r="4830">
      <c r="A4830" s="12" t="s">
        <v>23290</v>
      </c>
      <c r="B4830" s="12" t="s">
        <v>23291</v>
      </c>
      <c r="C4830" s="19" t="s">
        <v>36</v>
      </c>
      <c r="D4830" s="19" t="s">
        <v>36</v>
      </c>
      <c r="E4830" s="19" t="s">
        <v>36</v>
      </c>
      <c r="F4830" s="19" t="s">
        <v>36</v>
      </c>
      <c r="G4830" s="15" t="s">
        <v>36</v>
      </c>
      <c r="H4830" s="14">
        <v>156.33</v>
      </c>
      <c r="I4830" s="18">
        <v>12.47</v>
      </c>
      <c r="J4830" s="12" t="s">
        <v>521</v>
      </c>
      <c r="K4830" s="13" t="s">
        <v>36</v>
      </c>
      <c r="L4830" s="15" t="s">
        <v>36</v>
      </c>
      <c r="M4830" s="12" t="s">
        <v>36</v>
      </c>
      <c r="N4830" s="12" t="s">
        <v>36</v>
      </c>
      <c r="O4830" s="17" t="s">
        <v>36</v>
      </c>
      <c r="P4830" s="12" t="s">
        <v>36</v>
      </c>
      <c r="Q4830" s="12" t="s">
        <v>36</v>
      </c>
      <c r="R4830" s="12" t="s">
        <v>36</v>
      </c>
      <c r="S4830" s="12" t="s">
        <v>36</v>
      </c>
      <c r="T4830" s="12" t="s">
        <v>661</v>
      </c>
      <c r="U4830" s="12" t="s">
        <v>51</v>
      </c>
      <c r="V4830" s="12" t="s">
        <v>52</v>
      </c>
      <c r="W4830" s="12" t="s">
        <v>23292</v>
      </c>
      <c r="X4830" s="16" t="s">
        <v>15887</v>
      </c>
      <c r="Y4830" s="15" t="s">
        <v>42</v>
      </c>
      <c r="Z4830" s="14">
        <v>0.98</v>
      </c>
      <c r="AA4830" s="14">
        <v>7.82</v>
      </c>
      <c r="AB4830" s="12" t="s">
        <v>43</v>
      </c>
      <c r="AC4830" s="12" t="s">
        <v>23293</v>
      </c>
      <c r="AD4830" s="13">
        <v>43511</v>
      </c>
      <c r="AE4830" s="12" t="s">
        <v>158</v>
      </c>
      <c r="AF4830" s="12" t="s">
        <v>159</v>
      </c>
      <c r="AG4830" s="12" t="s">
        <v>81</v>
      </c>
      <c r="AH4830" s="1">
        <f>HYPERLINK("https://my.pitchbook.com?c=204335-11T","View Company Online")</f>
      </c>
    </row>
    <row r="4831">
      <c r="A4831" s="3" t="s">
        <v>23294</v>
      </c>
      <c r="B4831" s="3" t="s">
        <v>2949</v>
      </c>
      <c r="C4831" s="5" t="s">
        <v>36</v>
      </c>
      <c r="D4831" s="5" t="s">
        <v>36</v>
      </c>
      <c r="E4831" s="5" t="s">
        <v>36</v>
      </c>
      <c r="F4831" s="5" t="s">
        <v>36</v>
      </c>
      <c r="G4831" s="6" t="s">
        <v>326</v>
      </c>
      <c r="H4831" s="4">
        <v>4.94</v>
      </c>
      <c r="I4831" s="7">
        <v>26.75</v>
      </c>
      <c r="J4831" s="3" t="s">
        <v>327</v>
      </c>
      <c r="K4831" s="9" t="s">
        <v>36</v>
      </c>
      <c r="L4831" s="6" t="s">
        <v>122</v>
      </c>
      <c r="M4831" s="3" t="s">
        <v>36</v>
      </c>
      <c r="N4831" s="3" t="s">
        <v>122</v>
      </c>
      <c r="O4831" s="8" t="s">
        <v>36</v>
      </c>
      <c r="P4831" s="3" t="s">
        <v>36</v>
      </c>
      <c r="Q4831" s="3" t="s">
        <v>36</v>
      </c>
      <c r="R4831" s="3" t="s">
        <v>36</v>
      </c>
      <c r="S4831" s="3" t="s">
        <v>36</v>
      </c>
      <c r="T4831" s="3" t="s">
        <v>2950</v>
      </c>
      <c r="U4831" s="3" t="s">
        <v>38</v>
      </c>
      <c r="V4831" s="3" t="s">
        <v>39</v>
      </c>
      <c r="W4831" s="3" t="s">
        <v>2951</v>
      </c>
      <c r="X4831" s="10" t="s">
        <v>23295</v>
      </c>
      <c r="Y4831" s="6" t="s">
        <v>108</v>
      </c>
      <c r="Z4831" s="4">
        <v>4.55</v>
      </c>
      <c r="AA4831" s="4">
        <v>17</v>
      </c>
      <c r="AB4831" s="3" t="s">
        <v>56</v>
      </c>
      <c r="AC4831" s="3" t="s">
        <v>2953</v>
      </c>
      <c r="AD4831" s="9">
        <v>43511</v>
      </c>
      <c r="AE4831" s="3" t="s">
        <v>134</v>
      </c>
      <c r="AF4831" s="3" t="s">
        <v>135</v>
      </c>
      <c r="AG4831" s="3" t="s">
        <v>81</v>
      </c>
      <c r="AH4831" s="11">
        <f>HYPERLINK("https://my.pitchbook.com?c=116463-34T","View Company Online")</f>
      </c>
    </row>
    <row r="4832">
      <c r="A4832" s="12" t="s">
        <v>23296</v>
      </c>
      <c r="B4832" s="12" t="s">
        <v>23297</v>
      </c>
      <c r="C4832" s="19">
        <v>7</v>
      </c>
      <c r="D4832" s="19" t="s">
        <v>36</v>
      </c>
      <c r="E4832" s="19">
        <v>2</v>
      </c>
      <c r="F4832" s="19">
        <v>10</v>
      </c>
      <c r="G4832" s="15" t="s">
        <v>36</v>
      </c>
      <c r="H4832" s="14">
        <v>345.84</v>
      </c>
      <c r="I4832" s="18">
        <v>22.19</v>
      </c>
      <c r="J4832" s="12" t="s">
        <v>521</v>
      </c>
      <c r="K4832" s="13" t="s">
        <v>36</v>
      </c>
      <c r="L4832" s="15" t="s">
        <v>122</v>
      </c>
      <c r="M4832" s="12" t="s">
        <v>36</v>
      </c>
      <c r="N4832" s="12" t="s">
        <v>122</v>
      </c>
      <c r="O4832" s="17" t="s">
        <v>36</v>
      </c>
      <c r="P4832" s="12" t="s">
        <v>36</v>
      </c>
      <c r="Q4832" s="12" t="s">
        <v>36</v>
      </c>
      <c r="R4832" s="12" t="s">
        <v>36</v>
      </c>
      <c r="S4832" s="12" t="s">
        <v>36</v>
      </c>
      <c r="T4832" s="12" t="s">
        <v>9288</v>
      </c>
      <c r="U4832" s="12" t="s">
        <v>51</v>
      </c>
      <c r="V4832" s="12" t="s">
        <v>52</v>
      </c>
      <c r="W4832" s="12" t="s">
        <v>23298</v>
      </c>
      <c r="X4832" s="16" t="s">
        <v>23299</v>
      </c>
      <c r="Y4832" s="15" t="s">
        <v>42</v>
      </c>
      <c r="Z4832" s="14">
        <v>1.71</v>
      </c>
      <c r="AA4832" s="14">
        <v>7.69</v>
      </c>
      <c r="AB4832" s="12" t="s">
        <v>43</v>
      </c>
      <c r="AC4832" s="12" t="s">
        <v>23300</v>
      </c>
      <c r="AD4832" s="13">
        <v>43510</v>
      </c>
      <c r="AE4832" s="12" t="s">
        <v>504</v>
      </c>
      <c r="AF4832" s="12" t="s">
        <v>159</v>
      </c>
      <c r="AG4832" s="12" t="s">
        <v>81</v>
      </c>
      <c r="AH4832" s="1">
        <f>HYPERLINK("https://my.pitchbook.com?c=104261-14T","View Company Online")</f>
      </c>
    </row>
    <row r="4833">
      <c r="A4833" s="3" t="s">
        <v>23301</v>
      </c>
      <c r="B4833" s="3" t="s">
        <v>23302</v>
      </c>
      <c r="C4833" s="5" t="s">
        <v>36</v>
      </c>
      <c r="D4833" s="5" t="s">
        <v>36</v>
      </c>
      <c r="E4833" s="5" t="s">
        <v>36</v>
      </c>
      <c r="F4833" s="5" t="s">
        <v>36</v>
      </c>
      <c r="G4833" s="6" t="s">
        <v>36</v>
      </c>
      <c r="H4833" s="4" t="s">
        <v>36</v>
      </c>
      <c r="I4833" s="7">
        <v>23.08</v>
      </c>
      <c r="J4833" s="3" t="s">
        <v>327</v>
      </c>
      <c r="K4833" s="9">
        <v>43444</v>
      </c>
      <c r="L4833" s="6" t="s">
        <v>36</v>
      </c>
      <c r="M4833" s="3" t="s">
        <v>36</v>
      </c>
      <c r="N4833" s="3" t="s">
        <v>36</v>
      </c>
      <c r="O4833" s="8" t="s">
        <v>36</v>
      </c>
      <c r="P4833" s="3" t="s">
        <v>36</v>
      </c>
      <c r="Q4833" s="3" t="s">
        <v>36</v>
      </c>
      <c r="R4833" s="3" t="s">
        <v>36</v>
      </c>
      <c r="S4833" s="3" t="s">
        <v>3895</v>
      </c>
      <c r="T4833" s="3" t="s">
        <v>550</v>
      </c>
      <c r="U4833" s="3" t="s">
        <v>38</v>
      </c>
      <c r="V4833" s="3" t="s">
        <v>39</v>
      </c>
      <c r="W4833" s="3" t="s">
        <v>23303</v>
      </c>
      <c r="X4833" s="10" t="s">
        <v>2455</v>
      </c>
      <c r="Y4833" s="6" t="s">
        <v>42</v>
      </c>
      <c r="Z4833" s="4">
        <v>2.28</v>
      </c>
      <c r="AA4833" s="4">
        <v>9.86</v>
      </c>
      <c r="AB4833" s="3" t="s">
        <v>56</v>
      </c>
      <c r="AC4833" s="3" t="s">
        <v>23304</v>
      </c>
      <c r="AD4833" s="9">
        <v>43510</v>
      </c>
      <c r="AE4833" s="3" t="s">
        <v>554</v>
      </c>
      <c r="AF4833" s="3" t="s">
        <v>1380</v>
      </c>
      <c r="AG4833" s="3" t="s">
        <v>652</v>
      </c>
      <c r="AH4833" s="11">
        <f>HYPERLINK("https://my.pitchbook.com?c=117097-12T","View Company Online")</f>
      </c>
    </row>
    <row r="4834">
      <c r="A4834" s="12" t="s">
        <v>23305</v>
      </c>
      <c r="B4834" s="12" t="s">
        <v>4647</v>
      </c>
      <c r="C4834" s="19" t="s">
        <v>36</v>
      </c>
      <c r="D4834" s="19" t="s">
        <v>36</v>
      </c>
      <c r="E4834" s="19" t="s">
        <v>36</v>
      </c>
      <c r="F4834" s="19" t="s">
        <v>36</v>
      </c>
      <c r="G4834" s="15" t="s">
        <v>326</v>
      </c>
      <c r="H4834" s="14">
        <v>28.23</v>
      </c>
      <c r="I4834" s="18">
        <v>22.83</v>
      </c>
      <c r="J4834" s="12" t="s">
        <v>521</v>
      </c>
      <c r="K4834" s="13" t="s">
        <v>36</v>
      </c>
      <c r="L4834" s="15" t="s">
        <v>1279</v>
      </c>
      <c r="M4834" s="12" t="s">
        <v>36</v>
      </c>
      <c r="N4834" s="12" t="s">
        <v>1279</v>
      </c>
      <c r="O4834" s="17" t="s">
        <v>36</v>
      </c>
      <c r="P4834" s="12" t="s">
        <v>36</v>
      </c>
      <c r="Q4834" s="12" t="s">
        <v>36</v>
      </c>
      <c r="R4834" s="12" t="s">
        <v>36</v>
      </c>
      <c r="S4834" s="12" t="s">
        <v>36</v>
      </c>
      <c r="T4834" s="12" t="s">
        <v>4648</v>
      </c>
      <c r="U4834" s="12" t="s">
        <v>74</v>
      </c>
      <c r="V4834" s="12" t="s">
        <v>75</v>
      </c>
      <c r="W4834" s="12" t="s">
        <v>4649</v>
      </c>
      <c r="X4834" s="16" t="s">
        <v>23306</v>
      </c>
      <c r="Y4834" s="15" t="s">
        <v>192</v>
      </c>
      <c r="Z4834" s="14">
        <v>28.45</v>
      </c>
      <c r="AA4834" s="14">
        <v>89.73</v>
      </c>
      <c r="AB4834" s="12" t="s">
        <v>56</v>
      </c>
      <c r="AC4834" s="12" t="s">
        <v>4650</v>
      </c>
      <c r="AD4834" s="13">
        <v>43509</v>
      </c>
      <c r="AE4834" s="12" t="s">
        <v>362</v>
      </c>
      <c r="AF4834" s="12" t="s">
        <v>4651</v>
      </c>
      <c r="AG4834" s="12" t="s">
        <v>81</v>
      </c>
      <c r="AH4834" s="1">
        <f>HYPERLINK("https://my.pitchbook.com?c=116406-64T","View Company Online")</f>
      </c>
    </row>
    <row r="4835">
      <c r="A4835" s="3" t="s">
        <v>23307</v>
      </c>
      <c r="B4835" s="3" t="s">
        <v>19920</v>
      </c>
      <c r="C4835" s="5" t="s">
        <v>36</v>
      </c>
      <c r="D4835" s="5" t="s">
        <v>36</v>
      </c>
      <c r="E4835" s="5" t="s">
        <v>36</v>
      </c>
      <c r="F4835" s="5" t="s">
        <v>36</v>
      </c>
      <c r="G4835" s="6" t="s">
        <v>326</v>
      </c>
      <c r="H4835" s="4">
        <v>226.51</v>
      </c>
      <c r="I4835" s="7">
        <v>17.99</v>
      </c>
      <c r="J4835" s="3" t="s">
        <v>521</v>
      </c>
      <c r="K4835" s="9" t="s">
        <v>36</v>
      </c>
      <c r="L4835" s="6" t="s">
        <v>36</v>
      </c>
      <c r="M4835" s="3" t="s">
        <v>36</v>
      </c>
      <c r="N4835" s="3" t="s">
        <v>36</v>
      </c>
      <c r="O4835" s="8" t="s">
        <v>36</v>
      </c>
      <c r="P4835" s="3" t="s">
        <v>36</v>
      </c>
      <c r="Q4835" s="3" t="s">
        <v>36</v>
      </c>
      <c r="R4835" s="3" t="s">
        <v>36</v>
      </c>
      <c r="S4835" s="3" t="s">
        <v>36</v>
      </c>
      <c r="T4835" s="3" t="s">
        <v>522</v>
      </c>
      <c r="U4835" s="3" t="s">
        <v>38</v>
      </c>
      <c r="V4835" s="3" t="s">
        <v>39</v>
      </c>
      <c r="W4835" s="3" t="s">
        <v>19921</v>
      </c>
      <c r="X4835" s="10" t="s">
        <v>1427</v>
      </c>
      <c r="Y4835" s="6" t="s">
        <v>108</v>
      </c>
      <c r="Z4835" s="4">
        <v>1.37</v>
      </c>
      <c r="AA4835" s="4">
        <v>7.59</v>
      </c>
      <c r="AB4835" s="3" t="s">
        <v>43</v>
      </c>
      <c r="AC4835" s="3" t="s">
        <v>19923</v>
      </c>
      <c r="AD4835" s="9">
        <v>43509</v>
      </c>
      <c r="AE4835" s="3" t="s">
        <v>110</v>
      </c>
      <c r="AF4835" s="3" t="s">
        <v>19924</v>
      </c>
      <c r="AG4835" s="3" t="s">
        <v>102</v>
      </c>
      <c r="AH4835" s="11">
        <f>HYPERLINK("https://my.pitchbook.com?c=119157-31T","View Company Online")</f>
      </c>
    </row>
    <row r="4836">
      <c r="A4836" s="12" t="s">
        <v>23308</v>
      </c>
      <c r="B4836" s="12" t="s">
        <v>23309</v>
      </c>
      <c r="C4836" s="19" t="s">
        <v>36</v>
      </c>
      <c r="D4836" s="19" t="s">
        <v>36</v>
      </c>
      <c r="E4836" s="19" t="s">
        <v>36</v>
      </c>
      <c r="F4836" s="19" t="s">
        <v>36</v>
      </c>
      <c r="G4836" s="15" t="s">
        <v>36</v>
      </c>
      <c r="H4836" s="14">
        <v>5.54</v>
      </c>
      <c r="I4836" s="18">
        <v>23.87</v>
      </c>
      <c r="J4836" s="12" t="s">
        <v>521</v>
      </c>
      <c r="K4836" s="13" t="s">
        <v>36</v>
      </c>
      <c r="L4836" s="15" t="s">
        <v>36</v>
      </c>
      <c r="M4836" s="12" t="s">
        <v>36</v>
      </c>
      <c r="N4836" s="12" t="s">
        <v>36</v>
      </c>
      <c r="O4836" s="17" t="s">
        <v>36</v>
      </c>
      <c r="P4836" s="12" t="s">
        <v>36</v>
      </c>
      <c r="Q4836" s="12" t="s">
        <v>36</v>
      </c>
      <c r="R4836" s="12" t="s">
        <v>36</v>
      </c>
      <c r="S4836" s="12" t="s">
        <v>36</v>
      </c>
      <c r="T4836" s="12" t="s">
        <v>23310</v>
      </c>
      <c r="U4836" s="12" t="s">
        <v>38</v>
      </c>
      <c r="V4836" s="12" t="s">
        <v>39</v>
      </c>
      <c r="W4836" s="12" t="s">
        <v>23311</v>
      </c>
      <c r="X4836" s="16" t="s">
        <v>23312</v>
      </c>
      <c r="Y4836" s="15" t="s">
        <v>42</v>
      </c>
      <c r="Z4836" s="14">
        <v>1.59</v>
      </c>
      <c r="AA4836" s="14">
        <v>4.27</v>
      </c>
      <c r="AB4836" s="12" t="s">
        <v>43</v>
      </c>
      <c r="AC4836" s="12" t="s">
        <v>23313</v>
      </c>
      <c r="AD4836" s="13">
        <v>43509</v>
      </c>
      <c r="AE4836" s="12" t="s">
        <v>45</v>
      </c>
      <c r="AF4836" s="12" t="s">
        <v>7466</v>
      </c>
      <c r="AG4836" s="12" t="s">
        <v>102</v>
      </c>
      <c r="AH4836" s="1">
        <f>HYPERLINK("https://my.pitchbook.com?c=244881-73T","View Company Online")</f>
      </c>
    </row>
    <row r="4837">
      <c r="A4837" s="3" t="s">
        <v>23314</v>
      </c>
      <c r="B4837" s="3" t="s">
        <v>18001</v>
      </c>
      <c r="C4837" s="5">
        <v>7</v>
      </c>
      <c r="D4837" s="5">
        <v>65</v>
      </c>
      <c r="E4837" s="5">
        <v>10</v>
      </c>
      <c r="F4837" s="5">
        <v>76</v>
      </c>
      <c r="G4837" s="6" t="s">
        <v>36</v>
      </c>
      <c r="H4837" s="4" t="s">
        <v>36</v>
      </c>
      <c r="I4837" s="7" t="s">
        <v>36</v>
      </c>
      <c r="J4837" s="3" t="s">
        <v>36</v>
      </c>
      <c r="K4837" s="9" t="s">
        <v>36</v>
      </c>
      <c r="L4837" s="6" t="s">
        <v>36</v>
      </c>
      <c r="M4837" s="3" t="s">
        <v>36</v>
      </c>
      <c r="N4837" s="3" t="s">
        <v>36</v>
      </c>
      <c r="O4837" s="8" t="s">
        <v>36</v>
      </c>
      <c r="P4837" s="3" t="s">
        <v>36</v>
      </c>
      <c r="Q4837" s="3" t="s">
        <v>36</v>
      </c>
      <c r="R4837" s="3" t="s">
        <v>36</v>
      </c>
      <c r="S4837" s="3" t="s">
        <v>36</v>
      </c>
      <c r="T4837" s="3" t="s">
        <v>154</v>
      </c>
      <c r="U4837" s="3" t="s">
        <v>51</v>
      </c>
      <c r="V4837" s="3" t="s">
        <v>52</v>
      </c>
      <c r="W4837" s="3" t="s">
        <v>18002</v>
      </c>
      <c r="X4837" s="10" t="s">
        <v>23315</v>
      </c>
      <c r="Y4837" s="6" t="s">
        <v>166</v>
      </c>
      <c r="Z4837" s="4">
        <v>23.91</v>
      </c>
      <c r="AA4837" s="4" t="s">
        <v>36</v>
      </c>
      <c r="AB4837" s="3" t="s">
        <v>56</v>
      </c>
      <c r="AC4837" s="3" t="s">
        <v>18004</v>
      </c>
      <c r="AD4837" s="9">
        <v>43508</v>
      </c>
      <c r="AE4837" s="3" t="s">
        <v>158</v>
      </c>
      <c r="AF4837" s="3" t="s">
        <v>5503</v>
      </c>
      <c r="AG4837" s="3" t="s">
        <v>373</v>
      </c>
      <c r="AH4837" s="11">
        <f>HYPERLINK("https://my.pitchbook.com?c=117678-07T","View Company Online")</f>
      </c>
    </row>
    <row r="4838">
      <c r="A4838" s="12" t="s">
        <v>23316</v>
      </c>
      <c r="B4838" s="12" t="s">
        <v>2551</v>
      </c>
      <c r="C4838" s="19" t="s">
        <v>36</v>
      </c>
      <c r="D4838" s="19" t="s">
        <v>36</v>
      </c>
      <c r="E4838" s="19" t="s">
        <v>36</v>
      </c>
      <c r="F4838" s="19" t="s">
        <v>36</v>
      </c>
      <c r="G4838" s="15" t="s">
        <v>36</v>
      </c>
      <c r="H4838" s="14" t="s">
        <v>36</v>
      </c>
      <c r="I4838" s="18" t="s">
        <v>36</v>
      </c>
      <c r="J4838" s="12" t="s">
        <v>36</v>
      </c>
      <c r="K4838" s="13" t="s">
        <v>36</v>
      </c>
      <c r="L4838" s="15" t="s">
        <v>36</v>
      </c>
      <c r="M4838" s="12" t="s">
        <v>36</v>
      </c>
      <c r="N4838" s="12" t="s">
        <v>36</v>
      </c>
      <c r="O4838" s="17" t="s">
        <v>36</v>
      </c>
      <c r="P4838" s="12" t="s">
        <v>36</v>
      </c>
      <c r="Q4838" s="12" t="s">
        <v>36</v>
      </c>
      <c r="R4838" s="12" t="s">
        <v>36</v>
      </c>
      <c r="S4838" s="12" t="s">
        <v>36</v>
      </c>
      <c r="T4838" s="12" t="s">
        <v>1106</v>
      </c>
      <c r="U4838" s="12" t="s">
        <v>38</v>
      </c>
      <c r="V4838" s="12" t="s">
        <v>39</v>
      </c>
      <c r="W4838" s="12" t="s">
        <v>2552</v>
      </c>
      <c r="X4838" s="16" t="s">
        <v>1840</v>
      </c>
      <c r="Y4838" s="15" t="s">
        <v>108</v>
      </c>
      <c r="Z4838" s="14">
        <v>1.14</v>
      </c>
      <c r="AA4838" s="14" t="s">
        <v>36</v>
      </c>
      <c r="AB4838" s="12" t="s">
        <v>56</v>
      </c>
      <c r="AC4838" s="12" t="s">
        <v>2554</v>
      </c>
      <c r="AD4838" s="13">
        <v>43508</v>
      </c>
      <c r="AE4838" s="12" t="s">
        <v>110</v>
      </c>
      <c r="AF4838" s="12" t="s">
        <v>815</v>
      </c>
      <c r="AG4838" s="12" t="s">
        <v>2555</v>
      </c>
      <c r="AH4838" s="1">
        <f>HYPERLINK("https://my.pitchbook.com?c=138829-33T","View Company Online")</f>
      </c>
    </row>
    <row r="4839">
      <c r="A4839" s="3" t="s">
        <v>23317</v>
      </c>
      <c r="B4839" s="3" t="s">
        <v>23318</v>
      </c>
      <c r="C4839" s="5" t="s">
        <v>36</v>
      </c>
      <c r="D4839" s="5" t="s">
        <v>36</v>
      </c>
      <c r="E4839" s="5" t="s">
        <v>36</v>
      </c>
      <c r="F4839" s="5" t="s">
        <v>36</v>
      </c>
      <c r="G4839" s="6" t="s">
        <v>683</v>
      </c>
      <c r="H4839" s="4">
        <v>41.54</v>
      </c>
      <c r="I4839" s="7">
        <v>11.54</v>
      </c>
      <c r="J4839" s="3" t="s">
        <v>521</v>
      </c>
      <c r="K4839" s="9" t="s">
        <v>36</v>
      </c>
      <c r="L4839" s="6" t="s">
        <v>36</v>
      </c>
      <c r="M4839" s="3" t="s">
        <v>36</v>
      </c>
      <c r="N4839" s="3" t="s">
        <v>36</v>
      </c>
      <c r="O4839" s="8" t="s">
        <v>36</v>
      </c>
      <c r="P4839" s="3" t="s">
        <v>36</v>
      </c>
      <c r="Q4839" s="3" t="s">
        <v>36</v>
      </c>
      <c r="R4839" s="3" t="s">
        <v>36</v>
      </c>
      <c r="S4839" s="3" t="s">
        <v>36</v>
      </c>
      <c r="T4839" s="3" t="s">
        <v>115</v>
      </c>
      <c r="U4839" s="3" t="s">
        <v>63</v>
      </c>
      <c r="V4839" s="3" t="s">
        <v>64</v>
      </c>
      <c r="W4839" s="3" t="s">
        <v>23319</v>
      </c>
      <c r="X4839" s="10" t="s">
        <v>23320</v>
      </c>
      <c r="Y4839" s="6" t="s">
        <v>108</v>
      </c>
      <c r="Z4839" s="4">
        <v>0.51</v>
      </c>
      <c r="AA4839" s="4">
        <v>1.48</v>
      </c>
      <c r="AB4839" s="3" t="s">
        <v>43</v>
      </c>
      <c r="AC4839" s="3" t="s">
        <v>23321</v>
      </c>
      <c r="AD4839" s="9">
        <v>43508</v>
      </c>
      <c r="AE4839" s="3" t="s">
        <v>68</v>
      </c>
      <c r="AF4839" s="3" t="s">
        <v>1977</v>
      </c>
      <c r="AG4839" s="3" t="s">
        <v>373</v>
      </c>
      <c r="AH4839" s="11">
        <f>HYPERLINK("https://my.pitchbook.com?c=119872-09T","View Company Online")</f>
      </c>
    </row>
    <row r="4840">
      <c r="A4840" s="12" t="s">
        <v>23322</v>
      </c>
      <c r="B4840" s="12" t="s">
        <v>23323</v>
      </c>
      <c r="C4840" s="19" t="s">
        <v>36</v>
      </c>
      <c r="D4840" s="19" t="s">
        <v>36</v>
      </c>
      <c r="E4840" s="19" t="s">
        <v>36</v>
      </c>
      <c r="F4840" s="19" t="s">
        <v>36</v>
      </c>
      <c r="G4840" s="15" t="s">
        <v>36</v>
      </c>
      <c r="H4840" s="14" t="s">
        <v>36</v>
      </c>
      <c r="I4840" s="18" t="s">
        <v>36</v>
      </c>
      <c r="J4840" s="12" t="s">
        <v>36</v>
      </c>
      <c r="K4840" s="13" t="s">
        <v>36</v>
      </c>
      <c r="L4840" s="15" t="s">
        <v>36</v>
      </c>
      <c r="M4840" s="12" t="s">
        <v>36</v>
      </c>
      <c r="N4840" s="12" t="s">
        <v>36</v>
      </c>
      <c r="O4840" s="17" t="s">
        <v>36</v>
      </c>
      <c r="P4840" s="12" t="s">
        <v>36</v>
      </c>
      <c r="Q4840" s="12" t="s">
        <v>36</v>
      </c>
      <c r="R4840" s="12" t="s">
        <v>36</v>
      </c>
      <c r="S4840" s="12" t="s">
        <v>36</v>
      </c>
      <c r="T4840" s="12" t="s">
        <v>13482</v>
      </c>
      <c r="U4840" s="12" t="s">
        <v>38</v>
      </c>
      <c r="V4840" s="12" t="s">
        <v>39</v>
      </c>
      <c r="W4840" s="12" t="s">
        <v>23324</v>
      </c>
      <c r="X4840" s="16" t="s">
        <v>23325</v>
      </c>
      <c r="Y4840" s="15" t="s">
        <v>42</v>
      </c>
      <c r="Z4840" s="14">
        <v>0.1</v>
      </c>
      <c r="AA4840" s="14" t="s">
        <v>36</v>
      </c>
      <c r="AB4840" s="12" t="s">
        <v>43</v>
      </c>
      <c r="AC4840" s="12" t="s">
        <v>23326</v>
      </c>
      <c r="AD4840" s="13">
        <v>43507</v>
      </c>
      <c r="AE4840" s="12" t="s">
        <v>110</v>
      </c>
      <c r="AF4840" s="12" t="s">
        <v>5001</v>
      </c>
      <c r="AG4840" s="12" t="s">
        <v>81</v>
      </c>
      <c r="AH4840" s="1">
        <f>HYPERLINK("https://my.pitchbook.com?c=191592-46T","View Company Online")</f>
      </c>
    </row>
    <row r="4841">
      <c r="A4841" s="3" t="s">
        <v>23327</v>
      </c>
      <c r="B4841" s="3" t="s">
        <v>23328</v>
      </c>
      <c r="C4841" s="5" t="s">
        <v>36</v>
      </c>
      <c r="D4841" s="5">
        <v>1</v>
      </c>
      <c r="E4841" s="5">
        <v>1</v>
      </c>
      <c r="F4841" s="5">
        <v>2</v>
      </c>
      <c r="G4841" s="6" t="s">
        <v>36</v>
      </c>
      <c r="H4841" s="4">
        <v>60.24</v>
      </c>
      <c r="I4841" s="7">
        <v>21.06</v>
      </c>
      <c r="J4841" s="3" t="s">
        <v>521</v>
      </c>
      <c r="K4841" s="9" t="s">
        <v>36</v>
      </c>
      <c r="L4841" s="6" t="s">
        <v>36</v>
      </c>
      <c r="M4841" s="3" t="s">
        <v>36</v>
      </c>
      <c r="N4841" s="3" t="s">
        <v>36</v>
      </c>
      <c r="O4841" s="8" t="s">
        <v>36</v>
      </c>
      <c r="P4841" s="3" t="s">
        <v>36</v>
      </c>
      <c r="Q4841" s="3" t="s">
        <v>36</v>
      </c>
      <c r="R4841" s="3" t="s">
        <v>36</v>
      </c>
      <c r="S4841" s="3" t="s">
        <v>36</v>
      </c>
      <c r="T4841" s="3" t="s">
        <v>855</v>
      </c>
      <c r="U4841" s="3" t="s">
        <v>648</v>
      </c>
      <c r="V4841" s="3" t="s">
        <v>64</v>
      </c>
      <c r="W4841" s="3" t="s">
        <v>23329</v>
      </c>
      <c r="X4841" s="10" t="s">
        <v>23330</v>
      </c>
      <c r="Y4841" s="6" t="s">
        <v>42</v>
      </c>
      <c r="Z4841" s="4">
        <v>9.11</v>
      </c>
      <c r="AA4841" s="4">
        <v>43.27</v>
      </c>
      <c r="AB4841" s="3" t="s">
        <v>56</v>
      </c>
      <c r="AC4841" s="3" t="s">
        <v>23331</v>
      </c>
      <c r="AD4841" s="9">
        <v>43507</v>
      </c>
      <c r="AE4841" s="3" t="s">
        <v>651</v>
      </c>
      <c r="AF4841" s="3" t="s">
        <v>1977</v>
      </c>
      <c r="AG4841" s="3" t="s">
        <v>23332</v>
      </c>
      <c r="AH4841" s="11">
        <f>HYPERLINK("https://my.pitchbook.com?c=116336-89T","View Company Online")</f>
      </c>
    </row>
    <row r="4842">
      <c r="A4842" s="12" t="s">
        <v>23333</v>
      </c>
      <c r="B4842" s="12" t="s">
        <v>16451</v>
      </c>
      <c r="C4842" s="19" t="s">
        <v>36</v>
      </c>
      <c r="D4842" s="19" t="s">
        <v>36</v>
      </c>
      <c r="E4842" s="19" t="s">
        <v>36</v>
      </c>
      <c r="F4842" s="19" t="s">
        <v>36</v>
      </c>
      <c r="G4842" s="15" t="s">
        <v>326</v>
      </c>
      <c r="H4842" s="14">
        <v>2.15</v>
      </c>
      <c r="I4842" s="18">
        <v>32.2</v>
      </c>
      <c r="J4842" s="12" t="s">
        <v>327</v>
      </c>
      <c r="K4842" s="13">
        <v>43495</v>
      </c>
      <c r="L4842" s="15" t="s">
        <v>94</v>
      </c>
      <c r="M4842" s="12" t="s">
        <v>36</v>
      </c>
      <c r="N4842" s="12" t="s">
        <v>94</v>
      </c>
      <c r="O4842" s="17" t="s">
        <v>36</v>
      </c>
      <c r="P4842" s="12" t="s">
        <v>36</v>
      </c>
      <c r="Q4842" s="12" t="s">
        <v>36</v>
      </c>
      <c r="R4842" s="12" t="s">
        <v>36</v>
      </c>
      <c r="S4842" s="12" t="s">
        <v>6677</v>
      </c>
      <c r="T4842" s="12" t="s">
        <v>6288</v>
      </c>
      <c r="U4842" s="12" t="s">
        <v>85</v>
      </c>
      <c r="V4842" s="12" t="s">
        <v>64</v>
      </c>
      <c r="W4842" s="12" t="s">
        <v>16452</v>
      </c>
      <c r="X4842" s="16" t="s">
        <v>23334</v>
      </c>
      <c r="Y4842" s="15" t="s">
        <v>55</v>
      </c>
      <c r="Z4842" s="14">
        <v>22.78</v>
      </c>
      <c r="AA4842" s="14">
        <v>70.76</v>
      </c>
      <c r="AB4842" s="12" t="s">
        <v>43</v>
      </c>
      <c r="AC4842" s="12" t="s">
        <v>16454</v>
      </c>
      <c r="AD4842" s="13">
        <v>43507</v>
      </c>
      <c r="AE4842" s="12" t="s">
        <v>89</v>
      </c>
      <c r="AF4842" s="12" t="s">
        <v>16455</v>
      </c>
      <c r="AG4842" s="12" t="s">
        <v>81</v>
      </c>
      <c r="AH4842" s="1">
        <f>HYPERLINK("https://my.pitchbook.com?c=116323-48T","View Company Online")</f>
      </c>
    </row>
    <row r="4843">
      <c r="A4843" s="3" t="s">
        <v>23335</v>
      </c>
      <c r="B4843" s="3" t="s">
        <v>23336</v>
      </c>
      <c r="C4843" s="5" t="s">
        <v>36</v>
      </c>
      <c r="D4843" s="5" t="s">
        <v>36</v>
      </c>
      <c r="E4843" s="5" t="s">
        <v>36</v>
      </c>
      <c r="F4843" s="5" t="s">
        <v>36</v>
      </c>
      <c r="G4843" s="6" t="s">
        <v>36</v>
      </c>
      <c r="H4843" s="4" t="s">
        <v>36</v>
      </c>
      <c r="I4843" s="7" t="s">
        <v>36</v>
      </c>
      <c r="J4843" s="3" t="s">
        <v>36</v>
      </c>
      <c r="K4843" s="9" t="s">
        <v>36</v>
      </c>
      <c r="L4843" s="6" t="s">
        <v>36</v>
      </c>
      <c r="M4843" s="3" t="s">
        <v>36</v>
      </c>
      <c r="N4843" s="3" t="s">
        <v>36</v>
      </c>
      <c r="O4843" s="8" t="s">
        <v>36</v>
      </c>
      <c r="P4843" s="3" t="s">
        <v>36</v>
      </c>
      <c r="Q4843" s="3" t="s">
        <v>36</v>
      </c>
      <c r="R4843" s="3" t="s">
        <v>36</v>
      </c>
      <c r="S4843" s="3" t="s">
        <v>36</v>
      </c>
      <c r="T4843" s="3" t="s">
        <v>23337</v>
      </c>
      <c r="U4843" s="3" t="s">
        <v>423</v>
      </c>
      <c r="V4843" s="3" t="s">
        <v>64</v>
      </c>
      <c r="W4843" s="3" t="s">
        <v>23338</v>
      </c>
      <c r="X4843" s="10" t="s">
        <v>23339</v>
      </c>
      <c r="Y4843" s="6" t="s">
        <v>108</v>
      </c>
      <c r="Z4843" s="4">
        <v>4.56</v>
      </c>
      <c r="AA4843" s="4" t="s">
        <v>36</v>
      </c>
      <c r="AB4843" s="3" t="s">
        <v>56</v>
      </c>
      <c r="AC4843" s="3" t="s">
        <v>23340</v>
      </c>
      <c r="AD4843" s="9">
        <v>43504</v>
      </c>
      <c r="AE4843" s="3" t="s">
        <v>562</v>
      </c>
      <c r="AF4843" s="3" t="s">
        <v>1061</v>
      </c>
      <c r="AG4843" s="3" t="s">
        <v>10365</v>
      </c>
      <c r="AH4843" s="11">
        <f>HYPERLINK("https://my.pitchbook.com?c=136304-83T","View Company Online")</f>
      </c>
    </row>
    <row r="4844">
      <c r="A4844" s="12" t="s">
        <v>23341</v>
      </c>
      <c r="B4844" s="12" t="s">
        <v>23342</v>
      </c>
      <c r="C4844" s="19" t="s">
        <v>36</v>
      </c>
      <c r="D4844" s="19" t="s">
        <v>36</v>
      </c>
      <c r="E4844" s="19" t="s">
        <v>36</v>
      </c>
      <c r="F4844" s="19" t="s">
        <v>36</v>
      </c>
      <c r="G4844" s="15" t="s">
        <v>36</v>
      </c>
      <c r="H4844" s="14" t="s">
        <v>36</v>
      </c>
      <c r="I4844" s="18" t="s">
        <v>36</v>
      </c>
      <c r="J4844" s="12" t="s">
        <v>36</v>
      </c>
      <c r="K4844" s="13">
        <v>43488</v>
      </c>
      <c r="L4844" s="15" t="s">
        <v>94</v>
      </c>
      <c r="M4844" s="12" t="s">
        <v>36</v>
      </c>
      <c r="N4844" s="12" t="s">
        <v>94</v>
      </c>
      <c r="O4844" s="17" t="s">
        <v>36</v>
      </c>
      <c r="P4844" s="12" t="s">
        <v>36</v>
      </c>
      <c r="Q4844" s="12" t="s">
        <v>36</v>
      </c>
      <c r="R4844" s="12" t="s">
        <v>36</v>
      </c>
      <c r="S4844" s="12" t="s">
        <v>36</v>
      </c>
      <c r="T4844" s="12" t="s">
        <v>16221</v>
      </c>
      <c r="U4844" s="12" t="s">
        <v>38</v>
      </c>
      <c r="V4844" s="12" t="s">
        <v>39</v>
      </c>
      <c r="W4844" s="12" t="s">
        <v>23343</v>
      </c>
      <c r="X4844" s="16" t="s">
        <v>23344</v>
      </c>
      <c r="Y4844" s="15" t="s">
        <v>108</v>
      </c>
      <c r="Z4844" s="14">
        <v>10.27</v>
      </c>
      <c r="AA4844" s="14" t="s">
        <v>36</v>
      </c>
      <c r="AB4844" s="12" t="s">
        <v>56</v>
      </c>
      <c r="AC4844" s="12" t="s">
        <v>23345</v>
      </c>
      <c r="AD4844" s="13">
        <v>43504</v>
      </c>
      <c r="AE4844" s="12" t="s">
        <v>110</v>
      </c>
      <c r="AF4844" s="12" t="s">
        <v>6214</v>
      </c>
      <c r="AG4844" s="12" t="s">
        <v>1078</v>
      </c>
      <c r="AH4844" s="1">
        <f>HYPERLINK("https://my.pitchbook.com?c=116240-68T","View Company Online")</f>
      </c>
    </row>
    <row r="4845">
      <c r="A4845" s="3" t="s">
        <v>23346</v>
      </c>
      <c r="B4845" s="3" t="s">
        <v>6822</v>
      </c>
      <c r="C4845" s="5">
        <v>2</v>
      </c>
      <c r="D4845" s="5">
        <v>4</v>
      </c>
      <c r="E4845" s="5">
        <v>3</v>
      </c>
      <c r="F4845" s="5">
        <v>6</v>
      </c>
      <c r="G4845" s="6" t="s">
        <v>36</v>
      </c>
      <c r="H4845" s="4">
        <v>16.03</v>
      </c>
      <c r="I4845" s="7">
        <v>49.68</v>
      </c>
      <c r="J4845" s="3" t="s">
        <v>521</v>
      </c>
      <c r="K4845" s="9" t="s">
        <v>36</v>
      </c>
      <c r="L4845" s="6" t="s">
        <v>94</v>
      </c>
      <c r="M4845" s="3" t="s">
        <v>36</v>
      </c>
      <c r="N4845" s="3" t="s">
        <v>94</v>
      </c>
      <c r="O4845" s="8" t="s">
        <v>36</v>
      </c>
      <c r="P4845" s="3" t="s">
        <v>36</v>
      </c>
      <c r="Q4845" s="3" t="s">
        <v>36</v>
      </c>
      <c r="R4845" s="3" t="s">
        <v>36</v>
      </c>
      <c r="S4845" s="3" t="s">
        <v>36</v>
      </c>
      <c r="T4845" s="3" t="s">
        <v>5666</v>
      </c>
      <c r="U4845" s="3" t="s">
        <v>219</v>
      </c>
      <c r="V4845" s="3" t="s">
        <v>75</v>
      </c>
      <c r="W4845" s="3" t="s">
        <v>6823</v>
      </c>
      <c r="X4845" s="10" t="s">
        <v>23347</v>
      </c>
      <c r="Y4845" s="6" t="s">
        <v>42</v>
      </c>
      <c r="Z4845" s="4">
        <v>1.71</v>
      </c>
      <c r="AA4845" s="4">
        <v>3.45</v>
      </c>
      <c r="AB4845" s="3" t="s">
        <v>43</v>
      </c>
      <c r="AC4845" s="3" t="s">
        <v>6825</v>
      </c>
      <c r="AD4845" s="9">
        <v>43504</v>
      </c>
      <c r="AE4845" s="3" t="s">
        <v>223</v>
      </c>
      <c r="AF4845" s="3" t="s">
        <v>6826</v>
      </c>
      <c r="AG4845" s="3" t="s">
        <v>5504</v>
      </c>
      <c r="AH4845" s="11">
        <f>HYPERLINK("https://my.pitchbook.com?c=120346-30T","View Company Online")</f>
      </c>
    </row>
    <row r="4846">
      <c r="A4846" s="12" t="s">
        <v>23348</v>
      </c>
      <c r="B4846" s="12" t="s">
        <v>23349</v>
      </c>
      <c r="C4846" s="19" t="s">
        <v>36</v>
      </c>
      <c r="D4846" s="19" t="s">
        <v>36</v>
      </c>
      <c r="E4846" s="19" t="s">
        <v>36</v>
      </c>
      <c r="F4846" s="19" t="s">
        <v>36</v>
      </c>
      <c r="G4846" s="15" t="s">
        <v>36</v>
      </c>
      <c r="H4846" s="14">
        <v>72.7</v>
      </c>
      <c r="I4846" s="18">
        <v>12.42</v>
      </c>
      <c r="J4846" s="12" t="s">
        <v>521</v>
      </c>
      <c r="K4846" s="13" t="s">
        <v>36</v>
      </c>
      <c r="L4846" s="15" t="s">
        <v>36</v>
      </c>
      <c r="M4846" s="12" t="s">
        <v>36</v>
      </c>
      <c r="N4846" s="12" t="s">
        <v>36</v>
      </c>
      <c r="O4846" s="17" t="s">
        <v>36</v>
      </c>
      <c r="P4846" s="12" t="s">
        <v>36</v>
      </c>
      <c r="Q4846" s="12" t="s">
        <v>36</v>
      </c>
      <c r="R4846" s="12" t="s">
        <v>36</v>
      </c>
      <c r="S4846" s="12" t="s">
        <v>36</v>
      </c>
      <c r="T4846" s="12" t="s">
        <v>1922</v>
      </c>
      <c r="U4846" s="12" t="s">
        <v>38</v>
      </c>
      <c r="V4846" s="12" t="s">
        <v>39</v>
      </c>
      <c r="W4846" s="12" t="s">
        <v>23350</v>
      </c>
      <c r="X4846" s="16" t="s">
        <v>23351</v>
      </c>
      <c r="Y4846" s="15" t="s">
        <v>42</v>
      </c>
      <c r="Z4846" s="14">
        <v>0.57</v>
      </c>
      <c r="AA4846" s="14">
        <v>4.59</v>
      </c>
      <c r="AB4846" s="12" t="s">
        <v>56</v>
      </c>
      <c r="AC4846" s="12" t="s">
        <v>23352</v>
      </c>
      <c r="AD4846" s="13">
        <v>43504</v>
      </c>
      <c r="AE4846" s="12" t="s">
        <v>1422</v>
      </c>
      <c r="AF4846" s="12" t="s">
        <v>4533</v>
      </c>
      <c r="AG4846" s="12" t="s">
        <v>81</v>
      </c>
      <c r="AH4846" s="1">
        <f>HYPERLINK("https://my.pitchbook.com?c=158318-29T","View Company Online")</f>
      </c>
    </row>
    <row r="4847">
      <c r="A4847" s="3" t="s">
        <v>23353</v>
      </c>
      <c r="B4847" s="3" t="s">
        <v>21888</v>
      </c>
      <c r="C4847" s="5" t="s">
        <v>36</v>
      </c>
      <c r="D4847" s="5" t="s">
        <v>36</v>
      </c>
      <c r="E4847" s="5" t="s">
        <v>36</v>
      </c>
      <c r="F4847" s="5" t="s">
        <v>36</v>
      </c>
      <c r="G4847" s="6" t="s">
        <v>36</v>
      </c>
      <c r="H4847" s="4" t="s">
        <v>36</v>
      </c>
      <c r="I4847" s="7" t="s">
        <v>36</v>
      </c>
      <c r="J4847" s="3" t="s">
        <v>36</v>
      </c>
      <c r="K4847" s="9" t="s">
        <v>36</v>
      </c>
      <c r="L4847" s="6" t="s">
        <v>36</v>
      </c>
      <c r="M4847" s="3" t="s">
        <v>36</v>
      </c>
      <c r="N4847" s="3" t="s">
        <v>36</v>
      </c>
      <c r="O4847" s="8" t="s">
        <v>36</v>
      </c>
      <c r="P4847" s="3" t="s">
        <v>36</v>
      </c>
      <c r="Q4847" s="3" t="s">
        <v>36</v>
      </c>
      <c r="R4847" s="3" t="s">
        <v>36</v>
      </c>
      <c r="S4847" s="3" t="s">
        <v>36</v>
      </c>
      <c r="T4847" s="3" t="s">
        <v>522</v>
      </c>
      <c r="U4847" s="3" t="s">
        <v>38</v>
      </c>
      <c r="V4847" s="3" t="s">
        <v>39</v>
      </c>
      <c r="W4847" s="3" t="s">
        <v>21889</v>
      </c>
      <c r="X4847" s="10" t="s">
        <v>23354</v>
      </c>
      <c r="Y4847" s="6" t="s">
        <v>42</v>
      </c>
      <c r="Z4847" s="4">
        <v>1.94</v>
      </c>
      <c r="AA4847" s="4" t="s">
        <v>36</v>
      </c>
      <c r="AB4847" s="3" t="s">
        <v>43</v>
      </c>
      <c r="AC4847" s="3" t="s">
        <v>21891</v>
      </c>
      <c r="AD4847" s="9">
        <v>43504</v>
      </c>
      <c r="AE4847" s="3" t="s">
        <v>110</v>
      </c>
      <c r="AF4847" s="3" t="s">
        <v>1735</v>
      </c>
      <c r="AG4847" s="3" t="s">
        <v>81</v>
      </c>
      <c r="AH4847" s="11">
        <f>HYPERLINK("https://my.pitchbook.com?c=130417-12T","View Company Online")</f>
      </c>
    </row>
    <row r="4848">
      <c r="A4848" s="12" t="s">
        <v>23355</v>
      </c>
      <c r="B4848" s="12" t="s">
        <v>19340</v>
      </c>
      <c r="C4848" s="19" t="s">
        <v>36</v>
      </c>
      <c r="D4848" s="19" t="s">
        <v>36</v>
      </c>
      <c r="E4848" s="19" t="s">
        <v>36</v>
      </c>
      <c r="F4848" s="19" t="s">
        <v>36</v>
      </c>
      <c r="G4848" s="15" t="s">
        <v>36</v>
      </c>
      <c r="H4848" s="14">
        <v>61.69</v>
      </c>
      <c r="I4848" s="18">
        <v>32.09</v>
      </c>
      <c r="J4848" s="12" t="s">
        <v>521</v>
      </c>
      <c r="K4848" s="13" t="s">
        <v>36</v>
      </c>
      <c r="L4848" s="15" t="s">
        <v>36</v>
      </c>
      <c r="M4848" s="12" t="s">
        <v>36</v>
      </c>
      <c r="N4848" s="12" t="s">
        <v>36</v>
      </c>
      <c r="O4848" s="17" t="s">
        <v>36</v>
      </c>
      <c r="P4848" s="12" t="s">
        <v>36</v>
      </c>
      <c r="Q4848" s="12" t="s">
        <v>36</v>
      </c>
      <c r="R4848" s="12" t="s">
        <v>36</v>
      </c>
      <c r="S4848" s="12" t="s">
        <v>36</v>
      </c>
      <c r="T4848" s="12" t="s">
        <v>19341</v>
      </c>
      <c r="U4848" s="12" t="s">
        <v>1357</v>
      </c>
      <c r="V4848" s="12" t="s">
        <v>52</v>
      </c>
      <c r="W4848" s="12" t="s">
        <v>19342</v>
      </c>
      <c r="X4848" s="16" t="s">
        <v>23356</v>
      </c>
      <c r="Y4848" s="15" t="s">
        <v>42</v>
      </c>
      <c r="Z4848" s="14">
        <v>1.78</v>
      </c>
      <c r="AA4848" s="14">
        <v>5.55</v>
      </c>
      <c r="AB4848" s="12" t="s">
        <v>43</v>
      </c>
      <c r="AC4848" s="12" t="s">
        <v>19344</v>
      </c>
      <c r="AD4848" s="13">
        <v>43503</v>
      </c>
      <c r="AE4848" s="12" t="s">
        <v>2808</v>
      </c>
      <c r="AF4848" s="12" t="s">
        <v>19345</v>
      </c>
      <c r="AG4848" s="12" t="s">
        <v>81</v>
      </c>
      <c r="AH4848" s="1">
        <f>HYPERLINK("https://my.pitchbook.com?c=116259-58T","View Company Online")</f>
      </c>
    </row>
    <row r="4849">
      <c r="A4849" s="3" t="s">
        <v>23357</v>
      </c>
      <c r="B4849" s="3" t="s">
        <v>10600</v>
      </c>
      <c r="C4849" s="5">
        <v>3</v>
      </c>
      <c r="D4849" s="5" t="s">
        <v>36</v>
      </c>
      <c r="E4849" s="5">
        <v>1</v>
      </c>
      <c r="F4849" s="5">
        <v>3</v>
      </c>
      <c r="G4849" s="6" t="s">
        <v>36</v>
      </c>
      <c r="H4849" s="4">
        <v>747.77</v>
      </c>
      <c r="I4849" s="7">
        <v>24.21</v>
      </c>
      <c r="J4849" s="3" t="s">
        <v>521</v>
      </c>
      <c r="K4849" s="9" t="s">
        <v>36</v>
      </c>
      <c r="L4849" s="6" t="s">
        <v>122</v>
      </c>
      <c r="M4849" s="3" t="s">
        <v>36</v>
      </c>
      <c r="N4849" s="3" t="s">
        <v>122</v>
      </c>
      <c r="O4849" s="8" t="s">
        <v>36</v>
      </c>
      <c r="P4849" s="3" t="s">
        <v>36</v>
      </c>
      <c r="Q4849" s="3" t="s">
        <v>36</v>
      </c>
      <c r="R4849" s="3" t="s">
        <v>36</v>
      </c>
      <c r="S4849" s="3" t="s">
        <v>36</v>
      </c>
      <c r="T4849" s="3" t="s">
        <v>1260</v>
      </c>
      <c r="U4849" s="3" t="s">
        <v>38</v>
      </c>
      <c r="V4849" s="3" t="s">
        <v>39</v>
      </c>
      <c r="W4849" s="3" t="s">
        <v>10601</v>
      </c>
      <c r="X4849" s="10" t="s">
        <v>23358</v>
      </c>
      <c r="Y4849" s="6" t="s">
        <v>55</v>
      </c>
      <c r="Z4849" s="4">
        <v>6.24</v>
      </c>
      <c r="AA4849" s="4">
        <v>16.69</v>
      </c>
      <c r="AB4849" s="3" t="s">
        <v>56</v>
      </c>
      <c r="AC4849" s="3" t="s">
        <v>10603</v>
      </c>
      <c r="AD4849" s="9">
        <v>43503</v>
      </c>
      <c r="AE4849" s="3" t="s">
        <v>110</v>
      </c>
      <c r="AF4849" s="3" t="s">
        <v>526</v>
      </c>
      <c r="AG4849" s="3" t="s">
        <v>81</v>
      </c>
      <c r="AH4849" s="11">
        <f>HYPERLINK("https://my.pitchbook.com?c=116197-21T","View Company Online")</f>
      </c>
    </row>
    <row r="4850">
      <c r="A4850" s="12" t="s">
        <v>23359</v>
      </c>
      <c r="B4850" s="12" t="s">
        <v>23360</v>
      </c>
      <c r="C4850" s="19" t="s">
        <v>36</v>
      </c>
      <c r="D4850" s="19" t="s">
        <v>36</v>
      </c>
      <c r="E4850" s="19" t="s">
        <v>36</v>
      </c>
      <c r="F4850" s="19" t="s">
        <v>36</v>
      </c>
      <c r="G4850" s="15" t="s">
        <v>36</v>
      </c>
      <c r="H4850" s="14">
        <v>34.18</v>
      </c>
      <c r="I4850" s="18">
        <v>28.3</v>
      </c>
      <c r="J4850" s="12" t="s">
        <v>521</v>
      </c>
      <c r="K4850" s="13" t="s">
        <v>36</v>
      </c>
      <c r="L4850" s="15" t="s">
        <v>36</v>
      </c>
      <c r="M4850" s="12" t="s">
        <v>36</v>
      </c>
      <c r="N4850" s="12" t="s">
        <v>36</v>
      </c>
      <c r="O4850" s="17" t="s">
        <v>36</v>
      </c>
      <c r="P4850" s="12" t="s">
        <v>36</v>
      </c>
      <c r="Q4850" s="12" t="s">
        <v>36</v>
      </c>
      <c r="R4850" s="12" t="s">
        <v>36</v>
      </c>
      <c r="S4850" s="12" t="s">
        <v>36</v>
      </c>
      <c r="T4850" s="12" t="s">
        <v>265</v>
      </c>
      <c r="U4850" s="12" t="s">
        <v>85</v>
      </c>
      <c r="V4850" s="12" t="s">
        <v>64</v>
      </c>
      <c r="W4850" s="12" t="s">
        <v>23361</v>
      </c>
      <c r="X4850" s="16" t="s">
        <v>23362</v>
      </c>
      <c r="Y4850" s="15" t="s">
        <v>192</v>
      </c>
      <c r="Z4850" s="14">
        <v>2.85</v>
      </c>
      <c r="AA4850" s="14">
        <v>7.84</v>
      </c>
      <c r="AB4850" s="12" t="s">
        <v>56</v>
      </c>
      <c r="AC4850" s="12" t="s">
        <v>23363</v>
      </c>
      <c r="AD4850" s="13">
        <v>43503</v>
      </c>
      <c r="AE4850" s="12" t="s">
        <v>89</v>
      </c>
      <c r="AF4850" s="12" t="s">
        <v>1507</v>
      </c>
      <c r="AG4850" s="12" t="s">
        <v>81</v>
      </c>
      <c r="AH4850" s="1">
        <f>HYPERLINK("https://my.pitchbook.com?c=121411-18T","View Company Online")</f>
      </c>
    </row>
    <row r="4851">
      <c r="A4851" s="3" t="s">
        <v>23364</v>
      </c>
      <c r="B4851" s="3" t="s">
        <v>23365</v>
      </c>
      <c r="C4851" s="5" t="s">
        <v>36</v>
      </c>
      <c r="D4851" s="5" t="s">
        <v>36</v>
      </c>
      <c r="E4851" s="5" t="s">
        <v>36</v>
      </c>
      <c r="F4851" s="5" t="s">
        <v>36</v>
      </c>
      <c r="G4851" s="6" t="s">
        <v>36</v>
      </c>
      <c r="H4851" s="4" t="s">
        <v>36</v>
      </c>
      <c r="I4851" s="7" t="s">
        <v>36</v>
      </c>
      <c r="J4851" s="3" t="s">
        <v>36</v>
      </c>
      <c r="K4851" s="9" t="s">
        <v>36</v>
      </c>
      <c r="L4851" s="6" t="s">
        <v>36</v>
      </c>
      <c r="M4851" s="3" t="s">
        <v>36</v>
      </c>
      <c r="N4851" s="3" t="s">
        <v>36</v>
      </c>
      <c r="O4851" s="8" t="s">
        <v>36</v>
      </c>
      <c r="P4851" s="3" t="s">
        <v>36</v>
      </c>
      <c r="Q4851" s="3" t="s">
        <v>36</v>
      </c>
      <c r="R4851" s="3" t="s">
        <v>36</v>
      </c>
      <c r="S4851" s="3" t="s">
        <v>6531</v>
      </c>
      <c r="T4851" s="3" t="s">
        <v>16734</v>
      </c>
      <c r="U4851" s="3" t="s">
        <v>63</v>
      </c>
      <c r="V4851" s="3" t="s">
        <v>64</v>
      </c>
      <c r="W4851" s="3" t="s">
        <v>23366</v>
      </c>
      <c r="X4851" s="10" t="s">
        <v>23367</v>
      </c>
      <c r="Y4851" s="6" t="s">
        <v>42</v>
      </c>
      <c r="Z4851" s="4">
        <v>4.57</v>
      </c>
      <c r="AA4851" s="4" t="s">
        <v>36</v>
      </c>
      <c r="AB4851" s="3" t="s">
        <v>43</v>
      </c>
      <c r="AC4851" s="3" t="s">
        <v>23368</v>
      </c>
      <c r="AD4851" s="9">
        <v>43502</v>
      </c>
      <c r="AE4851" s="3" t="s">
        <v>68</v>
      </c>
      <c r="AF4851" s="3" t="s">
        <v>36</v>
      </c>
      <c r="AG4851" s="3" t="s">
        <v>81</v>
      </c>
      <c r="AH4851" s="11">
        <f>HYPERLINK("https://my.pitchbook.com?c=116162-29T","View Company Online")</f>
      </c>
    </row>
    <row r="4852">
      <c r="A4852" s="12" t="s">
        <v>23369</v>
      </c>
      <c r="B4852" s="12" t="s">
        <v>2240</v>
      </c>
      <c r="C4852" s="19" t="s">
        <v>36</v>
      </c>
      <c r="D4852" s="19" t="s">
        <v>36</v>
      </c>
      <c r="E4852" s="19" t="s">
        <v>36</v>
      </c>
      <c r="F4852" s="19" t="s">
        <v>36</v>
      </c>
      <c r="G4852" s="15" t="s">
        <v>36</v>
      </c>
      <c r="H4852" s="14">
        <v>16.62</v>
      </c>
      <c r="I4852" s="18">
        <v>37.73</v>
      </c>
      <c r="J4852" s="12" t="s">
        <v>521</v>
      </c>
      <c r="K4852" s="13" t="s">
        <v>36</v>
      </c>
      <c r="L4852" s="15" t="s">
        <v>36</v>
      </c>
      <c r="M4852" s="12" t="s">
        <v>36</v>
      </c>
      <c r="N4852" s="12" t="s">
        <v>36</v>
      </c>
      <c r="O4852" s="17" t="s">
        <v>36</v>
      </c>
      <c r="P4852" s="12" t="s">
        <v>36</v>
      </c>
      <c r="Q4852" s="12" t="s">
        <v>36</v>
      </c>
      <c r="R4852" s="12" t="s">
        <v>36</v>
      </c>
      <c r="S4852" s="12" t="s">
        <v>36</v>
      </c>
      <c r="T4852" s="12" t="s">
        <v>2241</v>
      </c>
      <c r="U4852" s="12" t="s">
        <v>318</v>
      </c>
      <c r="V4852" s="12" t="s">
        <v>39</v>
      </c>
      <c r="W4852" s="12" t="s">
        <v>2242</v>
      </c>
      <c r="X4852" s="16" t="s">
        <v>23370</v>
      </c>
      <c r="Y4852" s="15" t="s">
        <v>42</v>
      </c>
      <c r="Z4852" s="14">
        <v>1.71</v>
      </c>
      <c r="AA4852" s="14">
        <v>2.93</v>
      </c>
      <c r="AB4852" s="12" t="s">
        <v>56</v>
      </c>
      <c r="AC4852" s="12" t="s">
        <v>2244</v>
      </c>
      <c r="AD4852" s="13">
        <v>43502</v>
      </c>
      <c r="AE4852" s="12" t="s">
        <v>763</v>
      </c>
      <c r="AF4852" s="12" t="s">
        <v>2245</v>
      </c>
      <c r="AG4852" s="12" t="s">
        <v>2246</v>
      </c>
      <c r="AH4852" s="1">
        <f>HYPERLINK("https://my.pitchbook.com?c=126790-30T","View Company Online")</f>
      </c>
    </row>
    <row r="4853">
      <c r="A4853" s="3" t="s">
        <v>23371</v>
      </c>
      <c r="B4853" s="3" t="s">
        <v>1527</v>
      </c>
      <c r="C4853" s="5" t="s">
        <v>36</v>
      </c>
      <c r="D4853" s="5" t="s">
        <v>36</v>
      </c>
      <c r="E4853" s="5" t="s">
        <v>36</v>
      </c>
      <c r="F4853" s="5" t="s">
        <v>36</v>
      </c>
      <c r="G4853" s="6" t="s">
        <v>326</v>
      </c>
      <c r="H4853" s="4">
        <v>360.41</v>
      </c>
      <c r="I4853" s="7">
        <v>21.67</v>
      </c>
      <c r="J4853" s="3" t="s">
        <v>521</v>
      </c>
      <c r="K4853" s="9" t="s">
        <v>36</v>
      </c>
      <c r="L4853" s="6" t="s">
        <v>122</v>
      </c>
      <c r="M4853" s="3" t="s">
        <v>36</v>
      </c>
      <c r="N4853" s="3" t="s">
        <v>122</v>
      </c>
      <c r="O4853" s="8" t="s">
        <v>36</v>
      </c>
      <c r="P4853" s="3" t="s">
        <v>36</v>
      </c>
      <c r="Q4853" s="3" t="s">
        <v>36</v>
      </c>
      <c r="R4853" s="3" t="s">
        <v>36</v>
      </c>
      <c r="S4853" s="3" t="s">
        <v>36</v>
      </c>
      <c r="T4853" s="3" t="s">
        <v>1528</v>
      </c>
      <c r="U4853" s="3" t="s">
        <v>38</v>
      </c>
      <c r="V4853" s="3" t="s">
        <v>39</v>
      </c>
      <c r="W4853" s="3" t="s">
        <v>1529</v>
      </c>
      <c r="X4853" s="10" t="s">
        <v>23372</v>
      </c>
      <c r="Y4853" s="6" t="s">
        <v>108</v>
      </c>
      <c r="Z4853" s="4">
        <v>9.14</v>
      </c>
      <c r="AA4853" s="4">
        <v>32.26</v>
      </c>
      <c r="AB4853" s="3" t="s">
        <v>43</v>
      </c>
      <c r="AC4853" s="3" t="s">
        <v>1531</v>
      </c>
      <c r="AD4853" s="9">
        <v>43501</v>
      </c>
      <c r="AE4853" s="3" t="s">
        <v>45</v>
      </c>
      <c r="AF4853" s="3" t="s">
        <v>1532</v>
      </c>
      <c r="AG4853" s="3" t="s">
        <v>81</v>
      </c>
      <c r="AH4853" s="11">
        <f>HYPERLINK("https://my.pitchbook.com?c=116113-06T","View Company Online")</f>
      </c>
    </row>
    <row r="4854">
      <c r="A4854" s="12" t="s">
        <v>23373</v>
      </c>
      <c r="B4854" s="12" t="s">
        <v>23374</v>
      </c>
      <c r="C4854" s="19" t="s">
        <v>36</v>
      </c>
      <c r="D4854" s="19" t="s">
        <v>36</v>
      </c>
      <c r="E4854" s="19" t="s">
        <v>36</v>
      </c>
      <c r="F4854" s="19" t="s">
        <v>36</v>
      </c>
      <c r="G4854" s="15" t="s">
        <v>36</v>
      </c>
      <c r="H4854" s="14">
        <v>5.76</v>
      </c>
      <c r="I4854" s="18">
        <v>30.58</v>
      </c>
      <c r="J4854" s="12" t="s">
        <v>327</v>
      </c>
      <c r="K4854" s="13" t="s">
        <v>36</v>
      </c>
      <c r="L4854" s="15" t="s">
        <v>36</v>
      </c>
      <c r="M4854" s="12" t="s">
        <v>36</v>
      </c>
      <c r="N4854" s="12" t="s">
        <v>36</v>
      </c>
      <c r="O4854" s="17" t="s">
        <v>36</v>
      </c>
      <c r="P4854" s="12" t="s">
        <v>36</v>
      </c>
      <c r="Q4854" s="12" t="s">
        <v>36</v>
      </c>
      <c r="R4854" s="12" t="s">
        <v>36</v>
      </c>
      <c r="S4854" s="12" t="s">
        <v>36</v>
      </c>
      <c r="T4854" s="12" t="s">
        <v>23375</v>
      </c>
      <c r="U4854" s="12" t="s">
        <v>279</v>
      </c>
      <c r="V4854" s="12" t="s">
        <v>64</v>
      </c>
      <c r="W4854" s="12" t="s">
        <v>23376</v>
      </c>
      <c r="X4854" s="16" t="s">
        <v>23377</v>
      </c>
      <c r="Y4854" s="15" t="s">
        <v>108</v>
      </c>
      <c r="Z4854" s="14">
        <v>3.43</v>
      </c>
      <c r="AA4854" s="14">
        <v>11.2</v>
      </c>
      <c r="AB4854" s="12" t="s">
        <v>56</v>
      </c>
      <c r="AC4854" s="12" t="s">
        <v>23378</v>
      </c>
      <c r="AD4854" s="13">
        <v>43501</v>
      </c>
      <c r="AE4854" s="12" t="s">
        <v>283</v>
      </c>
      <c r="AF4854" s="12" t="s">
        <v>4884</v>
      </c>
      <c r="AG4854" s="12" t="s">
        <v>81</v>
      </c>
      <c r="AH4854" s="1">
        <f>HYPERLINK("https://my.pitchbook.com?c=131866-12T","View Company Online")</f>
      </c>
    </row>
    <row r="4855">
      <c r="A4855" s="3" t="s">
        <v>23379</v>
      </c>
      <c r="B4855" s="3" t="s">
        <v>18525</v>
      </c>
      <c r="C4855" s="5" t="s">
        <v>36</v>
      </c>
      <c r="D4855" s="5" t="s">
        <v>36</v>
      </c>
      <c r="E4855" s="5" t="s">
        <v>36</v>
      </c>
      <c r="F4855" s="5" t="s">
        <v>36</v>
      </c>
      <c r="G4855" s="6" t="s">
        <v>36</v>
      </c>
      <c r="H4855" s="4" t="s">
        <v>36</v>
      </c>
      <c r="I4855" s="7" t="s">
        <v>36</v>
      </c>
      <c r="J4855" s="3" t="s">
        <v>36</v>
      </c>
      <c r="K4855" s="9" t="s">
        <v>36</v>
      </c>
      <c r="L4855" s="6" t="s">
        <v>36</v>
      </c>
      <c r="M4855" s="3" t="s">
        <v>36</v>
      </c>
      <c r="N4855" s="3" t="s">
        <v>36</v>
      </c>
      <c r="O4855" s="8" t="s">
        <v>36</v>
      </c>
      <c r="P4855" s="3" t="s">
        <v>36</v>
      </c>
      <c r="Q4855" s="3" t="s">
        <v>36</v>
      </c>
      <c r="R4855" s="3" t="s">
        <v>36</v>
      </c>
      <c r="S4855" s="3" t="s">
        <v>36</v>
      </c>
      <c r="T4855" s="3" t="s">
        <v>5490</v>
      </c>
      <c r="U4855" s="3" t="s">
        <v>648</v>
      </c>
      <c r="V4855" s="3" t="s">
        <v>64</v>
      </c>
      <c r="W4855" s="3" t="s">
        <v>18526</v>
      </c>
      <c r="X4855" s="10" t="s">
        <v>23380</v>
      </c>
      <c r="Y4855" s="6" t="s">
        <v>42</v>
      </c>
      <c r="Z4855" s="4" t="s">
        <v>36</v>
      </c>
      <c r="AA4855" s="4" t="s">
        <v>36</v>
      </c>
      <c r="AB4855" s="3" t="s">
        <v>56</v>
      </c>
      <c r="AC4855" s="3" t="s">
        <v>18527</v>
      </c>
      <c r="AD4855" s="9">
        <v>43497</v>
      </c>
      <c r="AE4855" s="3" t="s">
        <v>3988</v>
      </c>
      <c r="AF4855" s="3" t="s">
        <v>18528</v>
      </c>
      <c r="AG4855" s="3" t="s">
        <v>47</v>
      </c>
      <c r="AH4855" s="11">
        <f>HYPERLINK("https://my.pitchbook.com?c=208651-87T","View Company Online")</f>
      </c>
    </row>
    <row r="4856">
      <c r="A4856" s="12" t="s">
        <v>23381</v>
      </c>
      <c r="B4856" s="12" t="s">
        <v>23382</v>
      </c>
      <c r="C4856" s="19">
        <v>4</v>
      </c>
      <c r="D4856" s="19">
        <v>33</v>
      </c>
      <c r="E4856" s="19">
        <v>9</v>
      </c>
      <c r="F4856" s="19">
        <v>58</v>
      </c>
      <c r="G4856" s="15" t="s">
        <v>36</v>
      </c>
      <c r="H4856" s="14" t="s">
        <v>36</v>
      </c>
      <c r="I4856" s="18" t="s">
        <v>36</v>
      </c>
      <c r="J4856" s="12" t="s">
        <v>36</v>
      </c>
      <c r="K4856" s="13" t="s">
        <v>36</v>
      </c>
      <c r="L4856" s="15" t="s">
        <v>36</v>
      </c>
      <c r="M4856" s="12" t="s">
        <v>36</v>
      </c>
      <c r="N4856" s="12" t="s">
        <v>36</v>
      </c>
      <c r="O4856" s="17" t="s">
        <v>36</v>
      </c>
      <c r="P4856" s="12" t="s">
        <v>36</v>
      </c>
      <c r="Q4856" s="12" t="s">
        <v>36</v>
      </c>
      <c r="R4856" s="12" t="s">
        <v>36</v>
      </c>
      <c r="S4856" s="12" t="s">
        <v>36</v>
      </c>
      <c r="T4856" s="12" t="s">
        <v>23383</v>
      </c>
      <c r="U4856" s="12" t="s">
        <v>96</v>
      </c>
      <c r="V4856" s="12" t="s">
        <v>52</v>
      </c>
      <c r="W4856" s="12" t="s">
        <v>23384</v>
      </c>
      <c r="X4856" s="16" t="s">
        <v>23385</v>
      </c>
      <c r="Y4856" s="15" t="s">
        <v>321</v>
      </c>
      <c r="Z4856" s="14">
        <v>4.68</v>
      </c>
      <c r="AA4856" s="14" t="s">
        <v>36</v>
      </c>
      <c r="AB4856" s="12" t="s">
        <v>56</v>
      </c>
      <c r="AC4856" s="12" t="s">
        <v>23386</v>
      </c>
      <c r="AD4856" s="13">
        <v>43497</v>
      </c>
      <c r="AE4856" s="12" t="s">
        <v>496</v>
      </c>
      <c r="AF4856" s="12" t="s">
        <v>17897</v>
      </c>
      <c r="AG4856" s="12" t="s">
        <v>1890</v>
      </c>
      <c r="AH4856" s="1">
        <f>HYPERLINK("https://my.pitchbook.com?c=120159-91T","View Company Online")</f>
      </c>
    </row>
    <row r="4857">
      <c r="A4857" s="3" t="s">
        <v>23387</v>
      </c>
      <c r="B4857" s="3" t="s">
        <v>23388</v>
      </c>
      <c r="C4857" s="5" t="s">
        <v>36</v>
      </c>
      <c r="D4857" s="5" t="s">
        <v>36</v>
      </c>
      <c r="E4857" s="5" t="s">
        <v>36</v>
      </c>
      <c r="F4857" s="5" t="s">
        <v>36</v>
      </c>
      <c r="G4857" s="6" t="s">
        <v>326</v>
      </c>
      <c r="H4857" s="4">
        <v>78.93</v>
      </c>
      <c r="I4857" s="7">
        <v>21.94</v>
      </c>
      <c r="J4857" s="3" t="s">
        <v>521</v>
      </c>
      <c r="K4857" s="9" t="s">
        <v>36</v>
      </c>
      <c r="L4857" s="6" t="s">
        <v>36</v>
      </c>
      <c r="M4857" s="3" t="s">
        <v>36</v>
      </c>
      <c r="N4857" s="3" t="s">
        <v>36</v>
      </c>
      <c r="O4857" s="8" t="s">
        <v>36</v>
      </c>
      <c r="P4857" s="3" t="s">
        <v>36</v>
      </c>
      <c r="Q4857" s="3" t="s">
        <v>36</v>
      </c>
      <c r="R4857" s="3" t="s">
        <v>36</v>
      </c>
      <c r="S4857" s="3" t="s">
        <v>36</v>
      </c>
      <c r="T4857" s="3" t="s">
        <v>23389</v>
      </c>
      <c r="U4857" s="3" t="s">
        <v>956</v>
      </c>
      <c r="V4857" s="3" t="s">
        <v>405</v>
      </c>
      <c r="W4857" s="3" t="s">
        <v>23390</v>
      </c>
      <c r="X4857" s="10" t="s">
        <v>23391</v>
      </c>
      <c r="Y4857" s="6" t="s">
        <v>108</v>
      </c>
      <c r="Z4857" s="4">
        <v>2</v>
      </c>
      <c r="AA4857" s="4">
        <v>9.11</v>
      </c>
      <c r="AB4857" s="3" t="s">
        <v>43</v>
      </c>
      <c r="AC4857" s="3" t="s">
        <v>23392</v>
      </c>
      <c r="AD4857" s="9">
        <v>43497</v>
      </c>
      <c r="AE4857" s="3" t="s">
        <v>14526</v>
      </c>
      <c r="AF4857" s="3" t="s">
        <v>1852</v>
      </c>
      <c r="AG4857" s="3" t="s">
        <v>332</v>
      </c>
      <c r="AH4857" s="11">
        <f>HYPERLINK("https://my.pitchbook.com?c=120161-53T","View Company Online")</f>
      </c>
    </row>
    <row r="4858">
      <c r="A4858" s="12" t="s">
        <v>23393</v>
      </c>
      <c r="B4858" s="12" t="s">
        <v>23394</v>
      </c>
      <c r="C4858" s="19" t="s">
        <v>36</v>
      </c>
      <c r="D4858" s="19" t="s">
        <v>36</v>
      </c>
      <c r="E4858" s="19" t="s">
        <v>36</v>
      </c>
      <c r="F4858" s="19" t="s">
        <v>36</v>
      </c>
      <c r="G4858" s="15" t="s">
        <v>36</v>
      </c>
      <c r="H4858" s="14">
        <v>51.93</v>
      </c>
      <c r="I4858" s="18">
        <v>24.37</v>
      </c>
      <c r="J4858" s="12" t="s">
        <v>521</v>
      </c>
      <c r="K4858" s="13" t="s">
        <v>36</v>
      </c>
      <c r="L4858" s="15" t="s">
        <v>36</v>
      </c>
      <c r="M4858" s="12" t="s">
        <v>36</v>
      </c>
      <c r="N4858" s="12" t="s">
        <v>36</v>
      </c>
      <c r="O4858" s="17" t="s">
        <v>36</v>
      </c>
      <c r="P4858" s="12" t="s">
        <v>36</v>
      </c>
      <c r="Q4858" s="12" t="s">
        <v>36</v>
      </c>
      <c r="R4858" s="12" t="s">
        <v>36</v>
      </c>
      <c r="S4858" s="12" t="s">
        <v>36</v>
      </c>
      <c r="T4858" s="12" t="s">
        <v>472</v>
      </c>
      <c r="U4858" s="12" t="s">
        <v>38</v>
      </c>
      <c r="V4858" s="12" t="s">
        <v>39</v>
      </c>
      <c r="W4858" s="12" t="s">
        <v>23395</v>
      </c>
      <c r="X4858" s="16" t="s">
        <v>23396</v>
      </c>
      <c r="Y4858" s="15" t="s">
        <v>42</v>
      </c>
      <c r="Z4858" s="14">
        <v>2.17</v>
      </c>
      <c r="AA4858" s="14">
        <v>7.55</v>
      </c>
      <c r="AB4858" s="12" t="s">
        <v>43</v>
      </c>
      <c r="AC4858" s="12" t="s">
        <v>23397</v>
      </c>
      <c r="AD4858" s="13">
        <v>43497</v>
      </c>
      <c r="AE4858" s="12" t="s">
        <v>110</v>
      </c>
      <c r="AF4858" s="12" t="s">
        <v>23398</v>
      </c>
      <c r="AG4858" s="12" t="s">
        <v>81</v>
      </c>
      <c r="AH4858" s="1">
        <f>HYPERLINK("https://my.pitchbook.com?c=120042-19T","View Company Online")</f>
      </c>
    </row>
    <row r="4859">
      <c r="A4859" s="3" t="s">
        <v>23399</v>
      </c>
      <c r="B4859" s="3" t="s">
        <v>13562</v>
      </c>
      <c r="C4859" s="5" t="s">
        <v>36</v>
      </c>
      <c r="D4859" s="5" t="s">
        <v>36</v>
      </c>
      <c r="E4859" s="5" t="s">
        <v>36</v>
      </c>
      <c r="F4859" s="5" t="s">
        <v>36</v>
      </c>
      <c r="G4859" s="6" t="s">
        <v>36</v>
      </c>
      <c r="H4859" s="4" t="s">
        <v>36</v>
      </c>
      <c r="I4859" s="7" t="s">
        <v>36</v>
      </c>
      <c r="J4859" s="3" t="s">
        <v>36</v>
      </c>
      <c r="K4859" s="9" t="s">
        <v>36</v>
      </c>
      <c r="L4859" s="6" t="s">
        <v>122</v>
      </c>
      <c r="M4859" s="3" t="s">
        <v>36</v>
      </c>
      <c r="N4859" s="3" t="s">
        <v>122</v>
      </c>
      <c r="O4859" s="8" t="s">
        <v>36</v>
      </c>
      <c r="P4859" s="3" t="s">
        <v>36</v>
      </c>
      <c r="Q4859" s="3" t="s">
        <v>36</v>
      </c>
      <c r="R4859" s="3" t="s">
        <v>36</v>
      </c>
      <c r="S4859" s="3" t="s">
        <v>36</v>
      </c>
      <c r="T4859" s="3" t="s">
        <v>37</v>
      </c>
      <c r="U4859" s="3" t="s">
        <v>38</v>
      </c>
      <c r="V4859" s="3" t="s">
        <v>39</v>
      </c>
      <c r="W4859" s="3" t="s">
        <v>13563</v>
      </c>
      <c r="X4859" s="10" t="s">
        <v>9533</v>
      </c>
      <c r="Y4859" s="6" t="s">
        <v>42</v>
      </c>
      <c r="Z4859" s="4">
        <v>1.6</v>
      </c>
      <c r="AA4859" s="4" t="s">
        <v>36</v>
      </c>
      <c r="AB4859" s="3" t="s">
        <v>43</v>
      </c>
      <c r="AC4859" s="3" t="s">
        <v>13565</v>
      </c>
      <c r="AD4859" s="9">
        <v>43497</v>
      </c>
      <c r="AE4859" s="3" t="s">
        <v>45</v>
      </c>
      <c r="AF4859" s="3" t="s">
        <v>5901</v>
      </c>
      <c r="AG4859" s="3" t="s">
        <v>81</v>
      </c>
      <c r="AH4859" s="11">
        <f>HYPERLINK("https://my.pitchbook.com?c=155354-95T","View Company Online")</f>
      </c>
    </row>
    <row r="4860">
      <c r="A4860" s="12" t="s">
        <v>23400</v>
      </c>
      <c r="B4860" s="12" t="s">
        <v>23401</v>
      </c>
      <c r="C4860" s="19">
        <v>1</v>
      </c>
      <c r="D4860" s="19">
        <v>46</v>
      </c>
      <c r="E4860" s="19">
        <v>19</v>
      </c>
      <c r="F4860" s="19">
        <v>63</v>
      </c>
      <c r="G4860" s="15" t="s">
        <v>683</v>
      </c>
      <c r="H4860" s="14">
        <v>20.77</v>
      </c>
      <c r="I4860" s="18">
        <v>23.5</v>
      </c>
      <c r="J4860" s="12" t="s">
        <v>521</v>
      </c>
      <c r="K4860" s="13" t="s">
        <v>36</v>
      </c>
      <c r="L4860" s="15" t="s">
        <v>36</v>
      </c>
      <c r="M4860" s="12" t="s">
        <v>36</v>
      </c>
      <c r="N4860" s="12" t="s">
        <v>36</v>
      </c>
      <c r="O4860" s="17" t="s">
        <v>36</v>
      </c>
      <c r="P4860" s="12" t="s">
        <v>36</v>
      </c>
      <c r="Q4860" s="12" t="s">
        <v>36</v>
      </c>
      <c r="R4860" s="12" t="s">
        <v>36</v>
      </c>
      <c r="S4860" s="12" t="s">
        <v>36</v>
      </c>
      <c r="T4860" s="12" t="s">
        <v>105</v>
      </c>
      <c r="U4860" s="12" t="s">
        <v>38</v>
      </c>
      <c r="V4860" s="12" t="s">
        <v>39</v>
      </c>
      <c r="W4860" s="12" t="s">
        <v>23402</v>
      </c>
      <c r="X4860" s="16" t="s">
        <v>23403</v>
      </c>
      <c r="Y4860" s="15" t="s">
        <v>55</v>
      </c>
      <c r="Z4860" s="14">
        <v>0.63</v>
      </c>
      <c r="AA4860" s="14">
        <v>2.69</v>
      </c>
      <c r="AB4860" s="12" t="s">
        <v>56</v>
      </c>
      <c r="AC4860" s="12" t="s">
        <v>23404</v>
      </c>
      <c r="AD4860" s="13">
        <v>43496</v>
      </c>
      <c r="AE4860" s="12" t="s">
        <v>110</v>
      </c>
      <c r="AF4860" s="12" t="s">
        <v>23405</v>
      </c>
      <c r="AG4860" s="12" t="s">
        <v>969</v>
      </c>
      <c r="AH4860" s="1">
        <f>HYPERLINK("https://my.pitchbook.com?c=136560-34T","View Company Online")</f>
      </c>
    </row>
    <row r="4861">
      <c r="A4861" s="3" t="s">
        <v>23406</v>
      </c>
      <c r="B4861" s="3" t="s">
        <v>23407</v>
      </c>
      <c r="C4861" s="5">
        <v>1</v>
      </c>
      <c r="D4861" s="5" t="s">
        <v>36</v>
      </c>
      <c r="E4861" s="5">
        <v>1</v>
      </c>
      <c r="F4861" s="5">
        <v>2</v>
      </c>
      <c r="G4861" s="6" t="s">
        <v>36</v>
      </c>
      <c r="H4861" s="4">
        <v>38.26</v>
      </c>
      <c r="I4861" s="7">
        <v>18.75</v>
      </c>
      <c r="J4861" s="3" t="s">
        <v>521</v>
      </c>
      <c r="K4861" s="9" t="s">
        <v>36</v>
      </c>
      <c r="L4861" s="6" t="s">
        <v>36</v>
      </c>
      <c r="M4861" s="3" t="s">
        <v>36</v>
      </c>
      <c r="N4861" s="3" t="s">
        <v>36</v>
      </c>
      <c r="O4861" s="8" t="s">
        <v>36</v>
      </c>
      <c r="P4861" s="3" t="s">
        <v>36</v>
      </c>
      <c r="Q4861" s="3" t="s">
        <v>36</v>
      </c>
      <c r="R4861" s="3" t="s">
        <v>36</v>
      </c>
      <c r="S4861" s="3" t="s">
        <v>36</v>
      </c>
      <c r="T4861" s="3" t="s">
        <v>105</v>
      </c>
      <c r="U4861" s="3" t="s">
        <v>38</v>
      </c>
      <c r="V4861" s="3" t="s">
        <v>39</v>
      </c>
      <c r="W4861" s="3" t="s">
        <v>23408</v>
      </c>
      <c r="X4861" s="10" t="s">
        <v>19016</v>
      </c>
      <c r="Y4861" s="6" t="s">
        <v>42</v>
      </c>
      <c r="Z4861" s="4">
        <v>0.34</v>
      </c>
      <c r="AA4861" s="4">
        <v>1.83</v>
      </c>
      <c r="AB4861" s="3" t="s">
        <v>43</v>
      </c>
      <c r="AC4861" s="3" t="s">
        <v>23409</v>
      </c>
      <c r="AD4861" s="9">
        <v>43496</v>
      </c>
      <c r="AE4861" s="3" t="s">
        <v>110</v>
      </c>
      <c r="AF4861" s="3" t="s">
        <v>11479</v>
      </c>
      <c r="AG4861" s="3" t="s">
        <v>21080</v>
      </c>
      <c r="AH4861" s="11">
        <f>HYPERLINK("https://my.pitchbook.com?c=114550-84T","View Company Online")</f>
      </c>
    </row>
    <row r="4862">
      <c r="A4862" s="12" t="s">
        <v>23410</v>
      </c>
      <c r="B4862" s="12" t="s">
        <v>18188</v>
      </c>
      <c r="C4862" s="19">
        <v>7</v>
      </c>
      <c r="D4862" s="19">
        <v>8</v>
      </c>
      <c r="E4862" s="19">
        <v>4</v>
      </c>
      <c r="F4862" s="19">
        <v>15</v>
      </c>
      <c r="G4862" s="15" t="s">
        <v>36</v>
      </c>
      <c r="H4862" s="14">
        <v>51.93</v>
      </c>
      <c r="I4862" s="18">
        <v>29.38</v>
      </c>
      <c r="J4862" s="12" t="s">
        <v>521</v>
      </c>
      <c r="K4862" s="13" t="s">
        <v>36</v>
      </c>
      <c r="L4862" s="15" t="s">
        <v>36</v>
      </c>
      <c r="M4862" s="12" t="s">
        <v>36</v>
      </c>
      <c r="N4862" s="12" t="s">
        <v>36</v>
      </c>
      <c r="O4862" s="17" t="s">
        <v>36</v>
      </c>
      <c r="P4862" s="12" t="s">
        <v>36</v>
      </c>
      <c r="Q4862" s="12" t="s">
        <v>36</v>
      </c>
      <c r="R4862" s="12" t="s">
        <v>36</v>
      </c>
      <c r="S4862" s="12" t="s">
        <v>36</v>
      </c>
      <c r="T4862" s="12" t="s">
        <v>5772</v>
      </c>
      <c r="U4862" s="12" t="s">
        <v>96</v>
      </c>
      <c r="V4862" s="12" t="s">
        <v>52</v>
      </c>
      <c r="W4862" s="12" t="s">
        <v>18189</v>
      </c>
      <c r="X4862" s="16" t="s">
        <v>23411</v>
      </c>
      <c r="Y4862" s="15" t="s">
        <v>42</v>
      </c>
      <c r="Z4862" s="14">
        <v>1.19</v>
      </c>
      <c r="AA4862" s="14">
        <v>4.04</v>
      </c>
      <c r="AB4862" s="12" t="s">
        <v>43</v>
      </c>
      <c r="AC4862" s="12" t="s">
        <v>18191</v>
      </c>
      <c r="AD4862" s="13">
        <v>43496</v>
      </c>
      <c r="AE4862" s="12" t="s">
        <v>755</v>
      </c>
      <c r="AF4862" s="12" t="s">
        <v>885</v>
      </c>
      <c r="AG4862" s="12" t="s">
        <v>6136</v>
      </c>
      <c r="AH4862" s="1">
        <f>HYPERLINK("https://my.pitchbook.com?c=139747-87T","View Company Online")</f>
      </c>
    </row>
    <row r="4863">
      <c r="A4863" s="3" t="s">
        <v>23412</v>
      </c>
      <c r="B4863" s="3" t="s">
        <v>6816</v>
      </c>
      <c r="C4863" s="5">
        <v>13</v>
      </c>
      <c r="D4863" s="5">
        <v>27</v>
      </c>
      <c r="E4863" s="5">
        <v>7</v>
      </c>
      <c r="F4863" s="5">
        <v>41</v>
      </c>
      <c r="G4863" s="6" t="s">
        <v>36</v>
      </c>
      <c r="H4863" s="4" t="s">
        <v>36</v>
      </c>
      <c r="I4863" s="7" t="s">
        <v>36</v>
      </c>
      <c r="J4863" s="3" t="s">
        <v>36</v>
      </c>
      <c r="K4863" s="9">
        <v>43472</v>
      </c>
      <c r="L4863" s="6" t="s">
        <v>122</v>
      </c>
      <c r="M4863" s="3" t="s">
        <v>36</v>
      </c>
      <c r="N4863" s="3" t="s">
        <v>122</v>
      </c>
      <c r="O4863" s="8" t="s">
        <v>36</v>
      </c>
      <c r="P4863" s="3" t="s">
        <v>36</v>
      </c>
      <c r="Q4863" s="3" t="s">
        <v>36</v>
      </c>
      <c r="R4863" s="3" t="s">
        <v>36</v>
      </c>
      <c r="S4863" s="3" t="s">
        <v>36</v>
      </c>
      <c r="T4863" s="3" t="s">
        <v>881</v>
      </c>
      <c r="U4863" s="3" t="s">
        <v>51</v>
      </c>
      <c r="V4863" s="3" t="s">
        <v>52</v>
      </c>
      <c r="W4863" s="3" t="s">
        <v>6817</v>
      </c>
      <c r="X4863" s="10" t="s">
        <v>23413</v>
      </c>
      <c r="Y4863" s="6" t="s">
        <v>55</v>
      </c>
      <c r="Z4863" s="4">
        <v>9.47</v>
      </c>
      <c r="AA4863" s="4" t="s">
        <v>36</v>
      </c>
      <c r="AB4863" s="3" t="s">
        <v>43</v>
      </c>
      <c r="AC4863" s="3" t="s">
        <v>6819</v>
      </c>
      <c r="AD4863" s="9">
        <v>43496</v>
      </c>
      <c r="AE4863" s="3" t="s">
        <v>504</v>
      </c>
      <c r="AF4863" s="3" t="s">
        <v>6820</v>
      </c>
      <c r="AG4863" s="3" t="s">
        <v>47</v>
      </c>
      <c r="AH4863" s="11">
        <f>HYPERLINK("https://my.pitchbook.com?c=120666-97T","View Company Online")</f>
      </c>
    </row>
    <row r="4864">
      <c r="A4864" s="12" t="s">
        <v>23414</v>
      </c>
      <c r="B4864" s="12" t="s">
        <v>12424</v>
      </c>
      <c r="C4864" s="19">
        <v>6</v>
      </c>
      <c r="D4864" s="19">
        <v>4</v>
      </c>
      <c r="E4864" s="19">
        <v>2</v>
      </c>
      <c r="F4864" s="19">
        <v>10</v>
      </c>
      <c r="G4864" s="15" t="s">
        <v>326</v>
      </c>
      <c r="H4864" s="14">
        <v>7.62</v>
      </c>
      <c r="I4864" s="18">
        <v>40</v>
      </c>
      <c r="J4864" s="12" t="s">
        <v>521</v>
      </c>
      <c r="K4864" s="13">
        <v>43214</v>
      </c>
      <c r="L4864" s="15" t="s">
        <v>122</v>
      </c>
      <c r="M4864" s="12" t="s">
        <v>36</v>
      </c>
      <c r="N4864" s="12" t="s">
        <v>122</v>
      </c>
      <c r="O4864" s="17" t="s">
        <v>36</v>
      </c>
      <c r="P4864" s="12" t="s">
        <v>36</v>
      </c>
      <c r="Q4864" s="12" t="s">
        <v>36</v>
      </c>
      <c r="R4864" s="12" t="s">
        <v>36</v>
      </c>
      <c r="S4864" s="12" t="s">
        <v>36</v>
      </c>
      <c r="T4864" s="12" t="s">
        <v>12425</v>
      </c>
      <c r="U4864" s="12" t="s">
        <v>74</v>
      </c>
      <c r="V4864" s="12" t="s">
        <v>75</v>
      </c>
      <c r="W4864" s="12" t="s">
        <v>12426</v>
      </c>
      <c r="X4864" s="16" t="s">
        <v>23415</v>
      </c>
      <c r="Y4864" s="15" t="s">
        <v>108</v>
      </c>
      <c r="Z4864" s="14">
        <v>9.93</v>
      </c>
      <c r="AA4864" s="14">
        <v>17.12</v>
      </c>
      <c r="AB4864" s="12" t="s">
        <v>43</v>
      </c>
      <c r="AC4864" s="12" t="s">
        <v>12428</v>
      </c>
      <c r="AD4864" s="13">
        <v>43496</v>
      </c>
      <c r="AE4864" s="12" t="s">
        <v>79</v>
      </c>
      <c r="AF4864" s="12" t="s">
        <v>12429</v>
      </c>
      <c r="AG4864" s="12" t="s">
        <v>741</v>
      </c>
      <c r="AH4864" s="1">
        <f>HYPERLINK("https://my.pitchbook.com?c=110136-07T","View Company Online")</f>
      </c>
    </row>
    <row r="4865">
      <c r="A4865" s="3" t="s">
        <v>23416</v>
      </c>
      <c r="B4865" s="3" t="s">
        <v>12351</v>
      </c>
      <c r="C4865" s="5" t="s">
        <v>36</v>
      </c>
      <c r="D4865" s="5" t="s">
        <v>36</v>
      </c>
      <c r="E4865" s="5" t="s">
        <v>36</v>
      </c>
      <c r="F4865" s="5" t="s">
        <v>36</v>
      </c>
      <c r="G4865" s="6" t="s">
        <v>36</v>
      </c>
      <c r="H4865" s="4">
        <v>0.29</v>
      </c>
      <c r="I4865" s="7">
        <v>27.94</v>
      </c>
      <c r="J4865" s="3" t="s">
        <v>521</v>
      </c>
      <c r="K4865" s="9">
        <v>43451</v>
      </c>
      <c r="L4865" s="6" t="s">
        <v>1279</v>
      </c>
      <c r="M4865" s="3" t="s">
        <v>36</v>
      </c>
      <c r="N4865" s="3" t="s">
        <v>1279</v>
      </c>
      <c r="O4865" s="8" t="s">
        <v>36</v>
      </c>
      <c r="P4865" s="3" t="s">
        <v>36</v>
      </c>
      <c r="Q4865" s="3" t="s">
        <v>36</v>
      </c>
      <c r="R4865" s="3" t="s">
        <v>36</v>
      </c>
      <c r="S4865" s="3" t="s">
        <v>36</v>
      </c>
      <c r="T4865" s="3" t="s">
        <v>12352</v>
      </c>
      <c r="U4865" s="3" t="s">
        <v>455</v>
      </c>
      <c r="V4865" s="3" t="s">
        <v>367</v>
      </c>
      <c r="W4865" s="3" t="s">
        <v>12353</v>
      </c>
      <c r="X4865" s="10" t="s">
        <v>23417</v>
      </c>
      <c r="Y4865" s="6" t="s">
        <v>108</v>
      </c>
      <c r="Z4865" s="4">
        <v>10.45</v>
      </c>
      <c r="AA4865" s="4">
        <v>37.42</v>
      </c>
      <c r="AB4865" s="3" t="s">
        <v>56</v>
      </c>
      <c r="AC4865" s="3" t="s">
        <v>12355</v>
      </c>
      <c r="AD4865" s="9">
        <v>43495</v>
      </c>
      <c r="AE4865" s="3" t="s">
        <v>12356</v>
      </c>
      <c r="AF4865" s="3" t="s">
        <v>3179</v>
      </c>
      <c r="AG4865" s="3" t="s">
        <v>81</v>
      </c>
      <c r="AH4865" s="11">
        <f>HYPERLINK("https://my.pitchbook.com?c=115518-07T","View Company Online")</f>
      </c>
    </row>
    <row r="4866">
      <c r="A4866" s="12" t="s">
        <v>23418</v>
      </c>
      <c r="B4866" s="12" t="s">
        <v>23419</v>
      </c>
      <c r="C4866" s="19" t="s">
        <v>36</v>
      </c>
      <c r="D4866" s="19" t="s">
        <v>36</v>
      </c>
      <c r="E4866" s="19" t="s">
        <v>36</v>
      </c>
      <c r="F4866" s="19" t="s">
        <v>36</v>
      </c>
      <c r="G4866" s="15" t="s">
        <v>36</v>
      </c>
      <c r="H4866" s="14" t="s">
        <v>36</v>
      </c>
      <c r="I4866" s="18" t="s">
        <v>36</v>
      </c>
      <c r="J4866" s="12" t="s">
        <v>36</v>
      </c>
      <c r="K4866" s="13" t="s">
        <v>36</v>
      </c>
      <c r="L4866" s="15" t="s">
        <v>36</v>
      </c>
      <c r="M4866" s="12" t="s">
        <v>36</v>
      </c>
      <c r="N4866" s="12" t="s">
        <v>36</v>
      </c>
      <c r="O4866" s="17" t="s">
        <v>36</v>
      </c>
      <c r="P4866" s="12" t="s">
        <v>36</v>
      </c>
      <c r="Q4866" s="12" t="s">
        <v>36</v>
      </c>
      <c r="R4866" s="12" t="s">
        <v>36</v>
      </c>
      <c r="S4866" s="12" t="s">
        <v>36</v>
      </c>
      <c r="T4866" s="12" t="s">
        <v>522</v>
      </c>
      <c r="U4866" s="12" t="s">
        <v>38</v>
      </c>
      <c r="V4866" s="12" t="s">
        <v>39</v>
      </c>
      <c r="W4866" s="12" t="s">
        <v>23420</v>
      </c>
      <c r="X4866" s="16" t="s">
        <v>23421</v>
      </c>
      <c r="Y4866" s="15" t="s">
        <v>108</v>
      </c>
      <c r="Z4866" s="14">
        <v>1.14</v>
      </c>
      <c r="AA4866" s="14" t="s">
        <v>36</v>
      </c>
      <c r="AB4866" s="12" t="s">
        <v>56</v>
      </c>
      <c r="AC4866" s="12" t="s">
        <v>23422</v>
      </c>
      <c r="AD4866" s="13">
        <v>43494</v>
      </c>
      <c r="AE4866" s="12" t="s">
        <v>110</v>
      </c>
      <c r="AF4866" s="12" t="s">
        <v>1401</v>
      </c>
      <c r="AG4866" s="12" t="s">
        <v>741</v>
      </c>
      <c r="AH4866" s="1">
        <f>HYPERLINK("https://my.pitchbook.com?c=123140-44T","View Company Online")</f>
      </c>
    </row>
    <row r="4867">
      <c r="A4867" s="3" t="s">
        <v>23423</v>
      </c>
      <c r="B4867" s="3" t="s">
        <v>23424</v>
      </c>
      <c r="C4867" s="5" t="s">
        <v>36</v>
      </c>
      <c r="D4867" s="5" t="s">
        <v>36</v>
      </c>
      <c r="E4867" s="5" t="s">
        <v>36</v>
      </c>
      <c r="F4867" s="5" t="s">
        <v>36</v>
      </c>
      <c r="G4867" s="6" t="s">
        <v>326</v>
      </c>
      <c r="H4867" s="4">
        <v>1.97</v>
      </c>
      <c r="I4867" s="7">
        <v>39.25</v>
      </c>
      <c r="J4867" s="3" t="s">
        <v>521</v>
      </c>
      <c r="K4867" s="9" t="s">
        <v>36</v>
      </c>
      <c r="L4867" s="6" t="s">
        <v>36</v>
      </c>
      <c r="M4867" s="3" t="s">
        <v>36</v>
      </c>
      <c r="N4867" s="3" t="s">
        <v>36</v>
      </c>
      <c r="O4867" s="8" t="s">
        <v>36</v>
      </c>
      <c r="P4867" s="3" t="s">
        <v>36</v>
      </c>
      <c r="Q4867" s="3" t="s">
        <v>36</v>
      </c>
      <c r="R4867" s="3" t="s">
        <v>36</v>
      </c>
      <c r="S4867" s="3" t="s">
        <v>36</v>
      </c>
      <c r="T4867" s="3" t="s">
        <v>62</v>
      </c>
      <c r="U4867" s="3" t="s">
        <v>63</v>
      </c>
      <c r="V4867" s="3" t="s">
        <v>64</v>
      </c>
      <c r="W4867" s="3" t="s">
        <v>23425</v>
      </c>
      <c r="X4867" s="10" t="s">
        <v>23426</v>
      </c>
      <c r="Y4867" s="6" t="s">
        <v>108</v>
      </c>
      <c r="Z4867" s="4">
        <v>3.65</v>
      </c>
      <c r="AA4867" s="4">
        <v>6.96</v>
      </c>
      <c r="AB4867" s="3" t="s">
        <v>43</v>
      </c>
      <c r="AC4867" s="3" t="s">
        <v>23427</v>
      </c>
      <c r="AD4867" s="9">
        <v>43494</v>
      </c>
      <c r="AE4867" s="3" t="s">
        <v>68</v>
      </c>
      <c r="AF4867" s="3" t="s">
        <v>36</v>
      </c>
      <c r="AG4867" s="3" t="s">
        <v>81</v>
      </c>
      <c r="AH4867" s="11">
        <f>HYPERLINK("https://my.pitchbook.com?c=115961-14T","View Company Online")</f>
      </c>
    </row>
    <row r="4868">
      <c r="A4868" s="12" t="s">
        <v>23428</v>
      </c>
      <c r="B4868" s="12" t="s">
        <v>23429</v>
      </c>
      <c r="C4868" s="19" t="s">
        <v>36</v>
      </c>
      <c r="D4868" s="19">
        <v>2</v>
      </c>
      <c r="E4868" s="19">
        <v>1</v>
      </c>
      <c r="F4868" s="19">
        <v>3</v>
      </c>
      <c r="G4868" s="15" t="s">
        <v>326</v>
      </c>
      <c r="H4868" s="14">
        <v>46.51</v>
      </c>
      <c r="I4868" s="18">
        <v>32.05</v>
      </c>
      <c r="J4868" s="12" t="s">
        <v>521</v>
      </c>
      <c r="K4868" s="13" t="s">
        <v>36</v>
      </c>
      <c r="L4868" s="15" t="s">
        <v>94</v>
      </c>
      <c r="M4868" s="12" t="s">
        <v>36</v>
      </c>
      <c r="N4868" s="12" t="s">
        <v>94</v>
      </c>
      <c r="O4868" s="17" t="s">
        <v>36</v>
      </c>
      <c r="P4868" s="12" t="s">
        <v>36</v>
      </c>
      <c r="Q4868" s="12" t="s">
        <v>36</v>
      </c>
      <c r="R4868" s="12" t="s">
        <v>36</v>
      </c>
      <c r="S4868" s="12" t="s">
        <v>36</v>
      </c>
      <c r="T4868" s="12" t="s">
        <v>8394</v>
      </c>
      <c r="U4868" s="12" t="s">
        <v>85</v>
      </c>
      <c r="V4868" s="12" t="s">
        <v>64</v>
      </c>
      <c r="W4868" s="12" t="s">
        <v>23430</v>
      </c>
      <c r="X4868" s="16" t="s">
        <v>23431</v>
      </c>
      <c r="Y4868" s="15" t="s">
        <v>192</v>
      </c>
      <c r="Z4868" s="14">
        <v>11.41</v>
      </c>
      <c r="AA4868" s="14">
        <v>30.64</v>
      </c>
      <c r="AB4868" s="12" t="s">
        <v>56</v>
      </c>
      <c r="AC4868" s="12" t="s">
        <v>23432</v>
      </c>
      <c r="AD4868" s="13">
        <v>43494</v>
      </c>
      <c r="AE4868" s="12" t="s">
        <v>89</v>
      </c>
      <c r="AF4868" s="12" t="s">
        <v>12865</v>
      </c>
      <c r="AG4868" s="12" t="s">
        <v>81</v>
      </c>
      <c r="AH4868" s="1">
        <f>HYPERLINK("https://my.pitchbook.com?c=115977-34T","View Company Online")</f>
      </c>
    </row>
    <row r="4869">
      <c r="A4869" s="3" t="s">
        <v>23433</v>
      </c>
      <c r="B4869" s="3" t="s">
        <v>4763</v>
      </c>
      <c r="C4869" s="5">
        <v>20</v>
      </c>
      <c r="D4869" s="5">
        <v>97</v>
      </c>
      <c r="E4869" s="5">
        <v>70</v>
      </c>
      <c r="F4869" s="5">
        <v>130</v>
      </c>
      <c r="G4869" s="6" t="s">
        <v>326</v>
      </c>
      <c r="H4869" s="4" t="s">
        <v>36</v>
      </c>
      <c r="I4869" s="7">
        <v>17.06</v>
      </c>
      <c r="J4869" s="3" t="s">
        <v>521</v>
      </c>
      <c r="K4869" s="9">
        <v>43481</v>
      </c>
      <c r="L4869" s="6" t="s">
        <v>1279</v>
      </c>
      <c r="M4869" s="3" t="s">
        <v>36</v>
      </c>
      <c r="N4869" s="3" t="s">
        <v>1279</v>
      </c>
      <c r="O4869" s="8" t="s">
        <v>36</v>
      </c>
      <c r="P4869" s="3" t="s">
        <v>36</v>
      </c>
      <c r="Q4869" s="3" t="s">
        <v>36</v>
      </c>
      <c r="R4869" s="3" t="s">
        <v>36</v>
      </c>
      <c r="S4869" s="3" t="s">
        <v>196</v>
      </c>
      <c r="T4869" s="3" t="s">
        <v>522</v>
      </c>
      <c r="U4869" s="3" t="s">
        <v>38</v>
      </c>
      <c r="V4869" s="3" t="s">
        <v>39</v>
      </c>
      <c r="W4869" s="3" t="s">
        <v>4764</v>
      </c>
      <c r="X4869" s="10" t="s">
        <v>23434</v>
      </c>
      <c r="Y4869" s="6" t="s">
        <v>192</v>
      </c>
      <c r="Z4869" s="4">
        <v>59.86</v>
      </c>
      <c r="AA4869" s="4">
        <v>350.86</v>
      </c>
      <c r="AB4869" s="3" t="s">
        <v>56</v>
      </c>
      <c r="AC4869" s="3" t="s">
        <v>4766</v>
      </c>
      <c r="AD4869" s="9">
        <v>43493</v>
      </c>
      <c r="AE4869" s="3" t="s">
        <v>110</v>
      </c>
      <c r="AF4869" s="3" t="s">
        <v>111</v>
      </c>
      <c r="AG4869" s="3" t="s">
        <v>81</v>
      </c>
      <c r="AH4869" s="11">
        <f>HYPERLINK("https://my.pitchbook.com?c=136745-20T","View Company Online")</f>
      </c>
    </row>
    <row r="4870">
      <c r="A4870" s="12" t="s">
        <v>23435</v>
      </c>
      <c r="B4870" s="12" t="s">
        <v>23436</v>
      </c>
      <c r="C4870" s="19" t="s">
        <v>36</v>
      </c>
      <c r="D4870" s="19" t="s">
        <v>36</v>
      </c>
      <c r="E4870" s="19" t="s">
        <v>36</v>
      </c>
      <c r="F4870" s="19" t="s">
        <v>36</v>
      </c>
      <c r="G4870" s="15" t="s">
        <v>36</v>
      </c>
      <c r="H4870" s="14">
        <v>5.54</v>
      </c>
      <c r="I4870" s="18">
        <v>20.21</v>
      </c>
      <c r="J4870" s="12" t="s">
        <v>521</v>
      </c>
      <c r="K4870" s="13" t="s">
        <v>36</v>
      </c>
      <c r="L4870" s="15" t="s">
        <v>36</v>
      </c>
      <c r="M4870" s="12" t="s">
        <v>36</v>
      </c>
      <c r="N4870" s="12" t="s">
        <v>36</v>
      </c>
      <c r="O4870" s="17" t="s">
        <v>36</v>
      </c>
      <c r="P4870" s="12" t="s">
        <v>36</v>
      </c>
      <c r="Q4870" s="12" t="s">
        <v>36</v>
      </c>
      <c r="R4870" s="12" t="s">
        <v>36</v>
      </c>
      <c r="S4870" s="12" t="s">
        <v>36</v>
      </c>
      <c r="T4870" s="12" t="s">
        <v>23437</v>
      </c>
      <c r="U4870" s="12" t="s">
        <v>96</v>
      </c>
      <c r="V4870" s="12" t="s">
        <v>52</v>
      </c>
      <c r="W4870" s="12" t="s">
        <v>23438</v>
      </c>
      <c r="X4870" s="16" t="s">
        <v>13572</v>
      </c>
      <c r="Y4870" s="15" t="s">
        <v>42</v>
      </c>
      <c r="Z4870" s="14">
        <v>0.46</v>
      </c>
      <c r="AA4870" s="14">
        <v>2.29</v>
      </c>
      <c r="AB4870" s="12" t="s">
        <v>43</v>
      </c>
      <c r="AC4870" s="12" t="s">
        <v>23439</v>
      </c>
      <c r="AD4870" s="13">
        <v>43493</v>
      </c>
      <c r="AE4870" s="12" t="s">
        <v>143</v>
      </c>
      <c r="AF4870" s="12" t="s">
        <v>18534</v>
      </c>
      <c r="AG4870" s="12" t="s">
        <v>23440</v>
      </c>
      <c r="AH4870" s="1">
        <f>HYPERLINK("https://my.pitchbook.com?c=227272-33T","View Company Online")</f>
      </c>
    </row>
    <row r="4871">
      <c r="A4871" s="3" t="s">
        <v>23441</v>
      </c>
      <c r="B4871" s="3" t="s">
        <v>23442</v>
      </c>
      <c r="C4871" s="5" t="s">
        <v>36</v>
      </c>
      <c r="D4871" s="5">
        <v>9</v>
      </c>
      <c r="E4871" s="5">
        <v>4</v>
      </c>
      <c r="F4871" s="5">
        <v>18</v>
      </c>
      <c r="G4871" s="6" t="s">
        <v>326</v>
      </c>
      <c r="H4871" s="4">
        <v>2283.81</v>
      </c>
      <c r="I4871" s="7">
        <v>11.68</v>
      </c>
      <c r="J4871" s="3" t="s">
        <v>521</v>
      </c>
      <c r="K4871" s="9" t="s">
        <v>36</v>
      </c>
      <c r="L4871" s="6" t="s">
        <v>36</v>
      </c>
      <c r="M4871" s="3" t="s">
        <v>36</v>
      </c>
      <c r="N4871" s="3" t="s">
        <v>36</v>
      </c>
      <c r="O4871" s="8" t="s">
        <v>36</v>
      </c>
      <c r="P4871" s="3" t="s">
        <v>36</v>
      </c>
      <c r="Q4871" s="3" t="s">
        <v>36</v>
      </c>
      <c r="R4871" s="3" t="s">
        <v>36</v>
      </c>
      <c r="S4871" s="3" t="s">
        <v>36</v>
      </c>
      <c r="T4871" s="3" t="s">
        <v>10993</v>
      </c>
      <c r="U4871" s="3" t="s">
        <v>51</v>
      </c>
      <c r="V4871" s="3" t="s">
        <v>52</v>
      </c>
      <c r="W4871" s="3" t="s">
        <v>23443</v>
      </c>
      <c r="X4871" s="10" t="s">
        <v>10887</v>
      </c>
      <c r="Y4871" s="6" t="s">
        <v>192</v>
      </c>
      <c r="Z4871" s="4">
        <v>1.14</v>
      </c>
      <c r="AA4871" s="4">
        <v>9.78</v>
      </c>
      <c r="AB4871" s="3" t="s">
        <v>56</v>
      </c>
      <c r="AC4871" s="3" t="s">
        <v>23444</v>
      </c>
      <c r="AD4871" s="9">
        <v>43493</v>
      </c>
      <c r="AE4871" s="3" t="s">
        <v>158</v>
      </c>
      <c r="AF4871" s="3" t="s">
        <v>159</v>
      </c>
      <c r="AG4871" s="3" t="s">
        <v>741</v>
      </c>
      <c r="AH4871" s="11">
        <f>HYPERLINK("https://my.pitchbook.com?c=159631-12T","View Company Online")</f>
      </c>
    </row>
    <row r="4872">
      <c r="A4872" s="12" t="s">
        <v>23445</v>
      </c>
      <c r="B4872" s="12" t="s">
        <v>23446</v>
      </c>
      <c r="C4872" s="19" t="s">
        <v>36</v>
      </c>
      <c r="D4872" s="19" t="s">
        <v>36</v>
      </c>
      <c r="E4872" s="19" t="s">
        <v>36</v>
      </c>
      <c r="F4872" s="19" t="s">
        <v>36</v>
      </c>
      <c r="G4872" s="15" t="s">
        <v>36</v>
      </c>
      <c r="H4872" s="14">
        <v>72.7</v>
      </c>
      <c r="I4872" s="18">
        <v>33.42</v>
      </c>
      <c r="J4872" s="12" t="s">
        <v>521</v>
      </c>
      <c r="K4872" s="13" t="s">
        <v>36</v>
      </c>
      <c r="L4872" s="15" t="s">
        <v>122</v>
      </c>
      <c r="M4872" s="12" t="s">
        <v>36</v>
      </c>
      <c r="N4872" s="12" t="s">
        <v>122</v>
      </c>
      <c r="O4872" s="17" t="s">
        <v>36</v>
      </c>
      <c r="P4872" s="12" t="s">
        <v>36</v>
      </c>
      <c r="Q4872" s="12" t="s">
        <v>36</v>
      </c>
      <c r="R4872" s="12" t="s">
        <v>36</v>
      </c>
      <c r="S4872" s="12" t="s">
        <v>36</v>
      </c>
      <c r="T4872" s="12" t="s">
        <v>2490</v>
      </c>
      <c r="U4872" s="12" t="s">
        <v>318</v>
      </c>
      <c r="V4872" s="12" t="s">
        <v>39</v>
      </c>
      <c r="W4872" s="12" t="s">
        <v>23447</v>
      </c>
      <c r="X4872" s="16" t="s">
        <v>23448</v>
      </c>
      <c r="Y4872" s="15" t="s">
        <v>42</v>
      </c>
      <c r="Z4872" s="14">
        <v>1.48</v>
      </c>
      <c r="AA4872" s="14">
        <v>4.44</v>
      </c>
      <c r="AB4872" s="12" t="s">
        <v>43</v>
      </c>
      <c r="AC4872" s="12" t="s">
        <v>23449</v>
      </c>
      <c r="AD4872" s="13">
        <v>43493</v>
      </c>
      <c r="AE4872" s="12" t="s">
        <v>417</v>
      </c>
      <c r="AF4872" s="12" t="s">
        <v>23450</v>
      </c>
      <c r="AG4872" s="12" t="s">
        <v>1803</v>
      </c>
      <c r="AH4872" s="1">
        <f>HYPERLINK("https://my.pitchbook.com?c=120172-78T","View Company Online")</f>
      </c>
    </row>
    <row r="4873">
      <c r="A4873" s="3" t="s">
        <v>23451</v>
      </c>
      <c r="B4873" s="3" t="s">
        <v>23452</v>
      </c>
      <c r="C4873" s="5" t="s">
        <v>36</v>
      </c>
      <c r="D4873" s="5">
        <v>4</v>
      </c>
      <c r="E4873" s="5">
        <v>2</v>
      </c>
      <c r="F4873" s="5">
        <v>5</v>
      </c>
      <c r="G4873" s="6" t="s">
        <v>36</v>
      </c>
      <c r="H4873" s="4">
        <v>4.85</v>
      </c>
      <c r="I4873" s="7">
        <v>41.79</v>
      </c>
      <c r="J4873" s="3" t="s">
        <v>521</v>
      </c>
      <c r="K4873" s="9" t="s">
        <v>36</v>
      </c>
      <c r="L4873" s="6" t="s">
        <v>36</v>
      </c>
      <c r="M4873" s="3" t="s">
        <v>36</v>
      </c>
      <c r="N4873" s="3" t="s">
        <v>36</v>
      </c>
      <c r="O4873" s="8" t="s">
        <v>36</v>
      </c>
      <c r="P4873" s="3" t="s">
        <v>36</v>
      </c>
      <c r="Q4873" s="3" t="s">
        <v>36</v>
      </c>
      <c r="R4873" s="3" t="s">
        <v>36</v>
      </c>
      <c r="S4873" s="3" t="s">
        <v>36</v>
      </c>
      <c r="T4873" s="3" t="s">
        <v>23453</v>
      </c>
      <c r="U4873" s="3" t="s">
        <v>180</v>
      </c>
      <c r="V4873" s="3" t="s">
        <v>52</v>
      </c>
      <c r="W4873" s="3" t="s">
        <v>23454</v>
      </c>
      <c r="X4873" s="10" t="s">
        <v>23455</v>
      </c>
      <c r="Y4873" s="6" t="s">
        <v>108</v>
      </c>
      <c r="Z4873" s="4">
        <v>5.71</v>
      </c>
      <c r="AA4873" s="4">
        <v>12.48</v>
      </c>
      <c r="AB4873" s="3" t="s">
        <v>56</v>
      </c>
      <c r="AC4873" s="3" t="s">
        <v>23456</v>
      </c>
      <c r="AD4873" s="9">
        <v>43490</v>
      </c>
      <c r="AE4873" s="3" t="s">
        <v>8291</v>
      </c>
      <c r="AF4873" s="3" t="s">
        <v>23457</v>
      </c>
      <c r="AG4873" s="3" t="s">
        <v>5280</v>
      </c>
      <c r="AH4873" s="11">
        <f>HYPERLINK("https://my.pitchbook.com?c=154995-67T","View Company Online")</f>
      </c>
    </row>
    <row r="4874">
      <c r="A4874" s="12" t="s">
        <v>23458</v>
      </c>
      <c r="B4874" s="12" t="s">
        <v>9687</v>
      </c>
      <c r="C4874" s="19" t="s">
        <v>36</v>
      </c>
      <c r="D4874" s="19" t="s">
        <v>36</v>
      </c>
      <c r="E4874" s="19" t="s">
        <v>36</v>
      </c>
      <c r="F4874" s="19" t="s">
        <v>36</v>
      </c>
      <c r="G4874" s="15" t="s">
        <v>326</v>
      </c>
      <c r="H4874" s="14">
        <v>225.76</v>
      </c>
      <c r="I4874" s="18">
        <v>30.37</v>
      </c>
      <c r="J4874" s="12" t="s">
        <v>521</v>
      </c>
      <c r="K4874" s="13" t="s">
        <v>36</v>
      </c>
      <c r="L4874" s="15" t="s">
        <v>94</v>
      </c>
      <c r="M4874" s="12" t="s">
        <v>36</v>
      </c>
      <c r="N4874" s="12" t="s">
        <v>94</v>
      </c>
      <c r="O4874" s="17" t="s">
        <v>36</v>
      </c>
      <c r="P4874" s="12" t="s">
        <v>36</v>
      </c>
      <c r="Q4874" s="12" t="s">
        <v>36</v>
      </c>
      <c r="R4874" s="12" t="s">
        <v>36</v>
      </c>
      <c r="S4874" s="12" t="s">
        <v>36</v>
      </c>
      <c r="T4874" s="12" t="s">
        <v>3330</v>
      </c>
      <c r="U4874" s="12" t="s">
        <v>438</v>
      </c>
      <c r="V4874" s="12" t="s">
        <v>405</v>
      </c>
      <c r="W4874" s="12" t="s">
        <v>9688</v>
      </c>
      <c r="X4874" s="16" t="s">
        <v>23459</v>
      </c>
      <c r="Y4874" s="15" t="s">
        <v>55</v>
      </c>
      <c r="Z4874" s="14">
        <v>34.25</v>
      </c>
      <c r="AA4874" s="14">
        <v>94</v>
      </c>
      <c r="AB4874" s="12" t="s">
        <v>43</v>
      </c>
      <c r="AC4874" s="12" t="s">
        <v>9690</v>
      </c>
      <c r="AD4874" s="13">
        <v>43490</v>
      </c>
      <c r="AE4874" s="12" t="s">
        <v>438</v>
      </c>
      <c r="AF4874" s="12" t="s">
        <v>9691</v>
      </c>
      <c r="AG4874" s="12" t="s">
        <v>652</v>
      </c>
      <c r="AH4874" s="1">
        <f>HYPERLINK("https://my.pitchbook.com?c=116111-35T","View Company Online")</f>
      </c>
    </row>
    <row r="4875">
      <c r="A4875" s="3" t="s">
        <v>23460</v>
      </c>
      <c r="B4875" s="3" t="s">
        <v>23461</v>
      </c>
      <c r="C4875" s="5" t="s">
        <v>36</v>
      </c>
      <c r="D4875" s="5" t="s">
        <v>36</v>
      </c>
      <c r="E4875" s="5">
        <v>1</v>
      </c>
      <c r="F4875" s="5">
        <v>1</v>
      </c>
      <c r="G4875" s="6" t="s">
        <v>683</v>
      </c>
      <c r="H4875" s="4">
        <v>41.54</v>
      </c>
      <c r="I4875" s="7">
        <v>13.64</v>
      </c>
      <c r="J4875" s="3" t="s">
        <v>521</v>
      </c>
      <c r="K4875" s="9" t="s">
        <v>36</v>
      </c>
      <c r="L4875" s="6" t="s">
        <v>36</v>
      </c>
      <c r="M4875" s="3" t="s">
        <v>36</v>
      </c>
      <c r="N4875" s="3" t="s">
        <v>36</v>
      </c>
      <c r="O4875" s="8" t="s">
        <v>36</v>
      </c>
      <c r="P4875" s="3" t="s">
        <v>36</v>
      </c>
      <c r="Q4875" s="3" t="s">
        <v>36</v>
      </c>
      <c r="R4875" s="3" t="s">
        <v>36</v>
      </c>
      <c r="S4875" s="3" t="s">
        <v>36</v>
      </c>
      <c r="T4875" s="3" t="s">
        <v>105</v>
      </c>
      <c r="U4875" s="3" t="s">
        <v>38</v>
      </c>
      <c r="V4875" s="3" t="s">
        <v>39</v>
      </c>
      <c r="W4875" s="3" t="s">
        <v>23462</v>
      </c>
      <c r="X4875" s="10" t="s">
        <v>20599</v>
      </c>
      <c r="Y4875" s="6" t="s">
        <v>42</v>
      </c>
      <c r="Z4875" s="4">
        <v>0.17</v>
      </c>
      <c r="AA4875" s="4">
        <v>1.26</v>
      </c>
      <c r="AB4875" s="3" t="s">
        <v>56</v>
      </c>
      <c r="AC4875" s="3" t="s">
        <v>23463</v>
      </c>
      <c r="AD4875" s="9">
        <v>43490</v>
      </c>
      <c r="AE4875" s="3" t="s">
        <v>110</v>
      </c>
      <c r="AF4875" s="3" t="s">
        <v>176</v>
      </c>
      <c r="AG4875" s="3" t="s">
        <v>1843</v>
      </c>
      <c r="AH4875" s="11">
        <f>HYPERLINK("https://my.pitchbook.com?c=127052-83T","View Company Online")</f>
      </c>
    </row>
    <row r="4876">
      <c r="A4876" s="12" t="s">
        <v>23464</v>
      </c>
      <c r="B4876" s="12" t="s">
        <v>23465</v>
      </c>
      <c r="C4876" s="19" t="s">
        <v>36</v>
      </c>
      <c r="D4876" s="19">
        <v>4</v>
      </c>
      <c r="E4876" s="19">
        <v>1</v>
      </c>
      <c r="F4876" s="19">
        <v>4</v>
      </c>
      <c r="G4876" s="15" t="s">
        <v>36</v>
      </c>
      <c r="H4876" s="14">
        <v>53</v>
      </c>
      <c r="I4876" s="18">
        <v>29.95</v>
      </c>
      <c r="J4876" s="12" t="s">
        <v>521</v>
      </c>
      <c r="K4876" s="13">
        <v>43446</v>
      </c>
      <c r="L4876" s="15" t="s">
        <v>94</v>
      </c>
      <c r="M4876" s="12" t="s">
        <v>36</v>
      </c>
      <c r="N4876" s="12" t="s">
        <v>94</v>
      </c>
      <c r="O4876" s="17" t="s">
        <v>36</v>
      </c>
      <c r="P4876" s="12" t="s">
        <v>36</v>
      </c>
      <c r="Q4876" s="12" t="s">
        <v>36</v>
      </c>
      <c r="R4876" s="12" t="s">
        <v>36</v>
      </c>
      <c r="S4876" s="12" t="s">
        <v>36</v>
      </c>
      <c r="T4876" s="12" t="s">
        <v>522</v>
      </c>
      <c r="U4876" s="12" t="s">
        <v>38</v>
      </c>
      <c r="V4876" s="12" t="s">
        <v>39</v>
      </c>
      <c r="W4876" s="12" t="s">
        <v>23466</v>
      </c>
      <c r="X4876" s="16" t="s">
        <v>23467</v>
      </c>
      <c r="Y4876" s="15" t="s">
        <v>55</v>
      </c>
      <c r="Z4876" s="14">
        <v>6.85</v>
      </c>
      <c r="AA4876" s="14">
        <v>15.25</v>
      </c>
      <c r="AB4876" s="12" t="s">
        <v>56</v>
      </c>
      <c r="AC4876" s="12" t="s">
        <v>23468</v>
      </c>
      <c r="AD4876" s="13">
        <v>43489</v>
      </c>
      <c r="AE4876" s="12" t="s">
        <v>110</v>
      </c>
      <c r="AF4876" s="12" t="s">
        <v>905</v>
      </c>
      <c r="AG4876" s="12" t="s">
        <v>81</v>
      </c>
      <c r="AH4876" s="1">
        <f>HYPERLINK("https://my.pitchbook.com?c=120383-65T","View Company Online")</f>
      </c>
    </row>
    <row r="4877">
      <c r="A4877" s="3" t="s">
        <v>23469</v>
      </c>
      <c r="B4877" s="3" t="s">
        <v>23470</v>
      </c>
      <c r="C4877" s="5" t="s">
        <v>36</v>
      </c>
      <c r="D4877" s="5" t="s">
        <v>36</v>
      </c>
      <c r="E4877" s="5" t="s">
        <v>36</v>
      </c>
      <c r="F4877" s="5" t="s">
        <v>36</v>
      </c>
      <c r="G4877" s="6" t="s">
        <v>326</v>
      </c>
      <c r="H4877" s="4">
        <v>79.34</v>
      </c>
      <c r="I4877" s="7">
        <v>26.66</v>
      </c>
      <c r="J4877" s="3" t="s">
        <v>521</v>
      </c>
      <c r="K4877" s="9" t="s">
        <v>36</v>
      </c>
      <c r="L4877" s="6" t="s">
        <v>36</v>
      </c>
      <c r="M4877" s="3" t="s">
        <v>36</v>
      </c>
      <c r="N4877" s="3" t="s">
        <v>36</v>
      </c>
      <c r="O4877" s="8" t="s">
        <v>36</v>
      </c>
      <c r="P4877" s="3" t="s">
        <v>36</v>
      </c>
      <c r="Q4877" s="3" t="s">
        <v>36</v>
      </c>
      <c r="R4877" s="3" t="s">
        <v>36</v>
      </c>
      <c r="S4877" s="3" t="s">
        <v>36</v>
      </c>
      <c r="T4877" s="3" t="s">
        <v>10467</v>
      </c>
      <c r="U4877" s="3" t="s">
        <v>423</v>
      </c>
      <c r="V4877" s="3" t="s">
        <v>64</v>
      </c>
      <c r="W4877" s="3" t="s">
        <v>23471</v>
      </c>
      <c r="X4877" s="10" t="s">
        <v>23472</v>
      </c>
      <c r="Y4877" s="6" t="s">
        <v>55</v>
      </c>
      <c r="Z4877" s="4">
        <v>4.6</v>
      </c>
      <c r="AA4877" s="4">
        <v>17.25</v>
      </c>
      <c r="AB4877" s="3" t="s">
        <v>56</v>
      </c>
      <c r="AC4877" s="3" t="s">
        <v>23473</v>
      </c>
      <c r="AD4877" s="9">
        <v>43489</v>
      </c>
      <c r="AE4877" s="3" t="s">
        <v>427</v>
      </c>
      <c r="AF4877" s="3" t="s">
        <v>733</v>
      </c>
      <c r="AG4877" s="3" t="s">
        <v>81</v>
      </c>
      <c r="AH4877" s="11">
        <f>HYPERLINK("https://my.pitchbook.com?c=245385-82T","View Company Online")</f>
      </c>
    </row>
    <row r="4878">
      <c r="A4878" s="12" t="s">
        <v>23474</v>
      </c>
      <c r="B4878" s="12" t="s">
        <v>23475</v>
      </c>
      <c r="C4878" s="19" t="s">
        <v>36</v>
      </c>
      <c r="D4878" s="19" t="s">
        <v>36</v>
      </c>
      <c r="E4878" s="19" t="s">
        <v>36</v>
      </c>
      <c r="F4878" s="19" t="s">
        <v>36</v>
      </c>
      <c r="G4878" s="15" t="s">
        <v>36</v>
      </c>
      <c r="H4878" s="14">
        <v>195.44</v>
      </c>
      <c r="I4878" s="18">
        <v>35.6</v>
      </c>
      <c r="J4878" s="12" t="s">
        <v>521</v>
      </c>
      <c r="K4878" s="13" t="s">
        <v>36</v>
      </c>
      <c r="L4878" s="15" t="s">
        <v>36</v>
      </c>
      <c r="M4878" s="12" t="s">
        <v>36</v>
      </c>
      <c r="N4878" s="12" t="s">
        <v>36</v>
      </c>
      <c r="O4878" s="17" t="s">
        <v>36</v>
      </c>
      <c r="P4878" s="12" t="s">
        <v>36</v>
      </c>
      <c r="Q4878" s="12" t="s">
        <v>36</v>
      </c>
      <c r="R4878" s="12" t="s">
        <v>36</v>
      </c>
      <c r="S4878" s="12" t="s">
        <v>36</v>
      </c>
      <c r="T4878" s="12" t="s">
        <v>5470</v>
      </c>
      <c r="U4878" s="12" t="s">
        <v>38</v>
      </c>
      <c r="V4878" s="12" t="s">
        <v>39</v>
      </c>
      <c r="W4878" s="12" t="s">
        <v>23476</v>
      </c>
      <c r="X4878" s="16" t="s">
        <v>23477</v>
      </c>
      <c r="Y4878" s="15" t="s">
        <v>108</v>
      </c>
      <c r="Z4878" s="14">
        <v>7.99</v>
      </c>
      <c r="AA4878" s="14">
        <v>14.76</v>
      </c>
      <c r="AB4878" s="12" t="s">
        <v>56</v>
      </c>
      <c r="AC4878" s="12" t="s">
        <v>23478</v>
      </c>
      <c r="AD4878" s="13">
        <v>43489</v>
      </c>
      <c r="AE4878" s="12" t="s">
        <v>1422</v>
      </c>
      <c r="AF4878" s="12" t="s">
        <v>7239</v>
      </c>
      <c r="AG4878" s="12" t="s">
        <v>12667</v>
      </c>
      <c r="AH4878" s="1">
        <f>HYPERLINK("https://my.pitchbook.com?c=115803-46T","View Company Online")</f>
      </c>
    </row>
    <row r="4879">
      <c r="A4879" s="3" t="s">
        <v>23479</v>
      </c>
      <c r="B4879" s="3" t="s">
        <v>23480</v>
      </c>
      <c r="C4879" s="5">
        <v>4</v>
      </c>
      <c r="D4879" s="5">
        <v>18</v>
      </c>
      <c r="E4879" s="5">
        <v>13</v>
      </c>
      <c r="F4879" s="5">
        <v>25</v>
      </c>
      <c r="G4879" s="6" t="s">
        <v>326</v>
      </c>
      <c r="H4879" s="4">
        <v>116.48</v>
      </c>
      <c r="I4879" s="7">
        <v>34.3</v>
      </c>
      <c r="J4879" s="3" t="s">
        <v>521</v>
      </c>
      <c r="K4879" s="9" t="s">
        <v>36</v>
      </c>
      <c r="L4879" s="6" t="s">
        <v>122</v>
      </c>
      <c r="M4879" s="3" t="s">
        <v>36</v>
      </c>
      <c r="N4879" s="3" t="s">
        <v>122</v>
      </c>
      <c r="O4879" s="8" t="s">
        <v>36</v>
      </c>
      <c r="P4879" s="3" t="s">
        <v>36</v>
      </c>
      <c r="Q4879" s="3" t="s">
        <v>36</v>
      </c>
      <c r="R4879" s="3" t="s">
        <v>36</v>
      </c>
      <c r="S4879" s="3" t="s">
        <v>36</v>
      </c>
      <c r="T4879" s="3" t="s">
        <v>23481</v>
      </c>
      <c r="U4879" s="3" t="s">
        <v>85</v>
      </c>
      <c r="V4879" s="3" t="s">
        <v>64</v>
      </c>
      <c r="W4879" s="3" t="s">
        <v>23482</v>
      </c>
      <c r="X4879" s="10" t="s">
        <v>23483</v>
      </c>
      <c r="Y4879" s="6" t="s">
        <v>108</v>
      </c>
      <c r="Z4879" s="4">
        <v>6.85</v>
      </c>
      <c r="AA4879" s="4">
        <v>19.49</v>
      </c>
      <c r="AB4879" s="3" t="s">
        <v>43</v>
      </c>
      <c r="AC4879" s="3" t="s">
        <v>23484</v>
      </c>
      <c r="AD4879" s="9">
        <v>43489</v>
      </c>
      <c r="AE4879" s="3" t="s">
        <v>89</v>
      </c>
      <c r="AF4879" s="3" t="s">
        <v>23485</v>
      </c>
      <c r="AG4879" s="3" t="s">
        <v>70</v>
      </c>
      <c r="AH4879" s="11">
        <f>HYPERLINK("https://my.pitchbook.com?c=115792-21T","View Company Online")</f>
      </c>
    </row>
    <row r="4880">
      <c r="A4880" s="12" t="s">
        <v>23486</v>
      </c>
      <c r="B4880" s="12" t="s">
        <v>23487</v>
      </c>
      <c r="C4880" s="19">
        <v>9</v>
      </c>
      <c r="D4880" s="19">
        <v>4</v>
      </c>
      <c r="E4880" s="19">
        <v>7</v>
      </c>
      <c r="F4880" s="19">
        <v>13</v>
      </c>
      <c r="G4880" s="15" t="s">
        <v>36</v>
      </c>
      <c r="H4880" s="14" t="s">
        <v>36</v>
      </c>
      <c r="I4880" s="18" t="s">
        <v>36</v>
      </c>
      <c r="J4880" s="12" t="s">
        <v>36</v>
      </c>
      <c r="K4880" s="13" t="s">
        <v>36</v>
      </c>
      <c r="L4880" s="15" t="s">
        <v>36</v>
      </c>
      <c r="M4880" s="12" t="s">
        <v>36</v>
      </c>
      <c r="N4880" s="12" t="s">
        <v>36</v>
      </c>
      <c r="O4880" s="17" t="s">
        <v>36</v>
      </c>
      <c r="P4880" s="12" t="s">
        <v>36</v>
      </c>
      <c r="Q4880" s="12" t="s">
        <v>36</v>
      </c>
      <c r="R4880" s="12" t="s">
        <v>36</v>
      </c>
      <c r="S4880" s="12" t="s">
        <v>36</v>
      </c>
      <c r="T4880" s="12" t="s">
        <v>7351</v>
      </c>
      <c r="U4880" s="12" t="s">
        <v>728</v>
      </c>
      <c r="V4880" s="12" t="s">
        <v>64</v>
      </c>
      <c r="W4880" s="12" t="s">
        <v>23488</v>
      </c>
      <c r="X4880" s="16" t="s">
        <v>7209</v>
      </c>
      <c r="Y4880" s="15" t="s">
        <v>108</v>
      </c>
      <c r="Z4880" s="14">
        <v>1.14</v>
      </c>
      <c r="AA4880" s="14" t="s">
        <v>36</v>
      </c>
      <c r="AB4880" s="12" t="s">
        <v>56</v>
      </c>
      <c r="AC4880" s="12" t="s">
        <v>23489</v>
      </c>
      <c r="AD4880" s="13">
        <v>43488</v>
      </c>
      <c r="AE4880" s="12" t="s">
        <v>1600</v>
      </c>
      <c r="AF4880" s="12" t="s">
        <v>90</v>
      </c>
      <c r="AG4880" s="12" t="s">
        <v>666</v>
      </c>
      <c r="AH4880" s="1">
        <f>HYPERLINK("https://my.pitchbook.com?c=127500-13T","View Company Online")</f>
      </c>
    </row>
    <row r="4881">
      <c r="A4881" s="3" t="s">
        <v>23490</v>
      </c>
      <c r="B4881" s="3" t="s">
        <v>23491</v>
      </c>
      <c r="C4881" s="5">
        <v>5</v>
      </c>
      <c r="D4881" s="5">
        <v>19</v>
      </c>
      <c r="E4881" s="5">
        <v>10</v>
      </c>
      <c r="F4881" s="5">
        <v>29</v>
      </c>
      <c r="G4881" s="6" t="s">
        <v>36</v>
      </c>
      <c r="H4881" s="4" t="s">
        <v>36</v>
      </c>
      <c r="I4881" s="7" t="s">
        <v>36</v>
      </c>
      <c r="J4881" s="3" t="s">
        <v>36</v>
      </c>
      <c r="K4881" s="9" t="s">
        <v>36</v>
      </c>
      <c r="L4881" s="6" t="s">
        <v>36</v>
      </c>
      <c r="M4881" s="3" t="s">
        <v>36</v>
      </c>
      <c r="N4881" s="3" t="s">
        <v>36</v>
      </c>
      <c r="O4881" s="8" t="s">
        <v>36</v>
      </c>
      <c r="P4881" s="3" t="s">
        <v>36</v>
      </c>
      <c r="Q4881" s="3" t="s">
        <v>36</v>
      </c>
      <c r="R4881" s="3" t="s">
        <v>36</v>
      </c>
      <c r="S4881" s="3" t="s">
        <v>36</v>
      </c>
      <c r="T4881" s="3" t="s">
        <v>23492</v>
      </c>
      <c r="U4881" s="3" t="s">
        <v>96</v>
      </c>
      <c r="V4881" s="3" t="s">
        <v>52</v>
      </c>
      <c r="W4881" s="3" t="s">
        <v>23493</v>
      </c>
      <c r="X4881" s="10" t="s">
        <v>23494</v>
      </c>
      <c r="Y4881" s="6" t="s">
        <v>42</v>
      </c>
      <c r="Z4881" s="4">
        <v>3.43</v>
      </c>
      <c r="AA4881" s="4" t="s">
        <v>36</v>
      </c>
      <c r="AB4881" s="3" t="s">
        <v>56</v>
      </c>
      <c r="AC4881" s="3" t="s">
        <v>23495</v>
      </c>
      <c r="AD4881" s="9">
        <v>43488</v>
      </c>
      <c r="AE4881" s="3" t="s">
        <v>755</v>
      </c>
      <c r="AF4881" s="3" t="s">
        <v>159</v>
      </c>
      <c r="AG4881" s="3" t="s">
        <v>23496</v>
      </c>
      <c r="AH4881" s="11">
        <f>HYPERLINK("https://my.pitchbook.com?c=189411-76T","View Company Online")</f>
      </c>
    </row>
    <row r="4882">
      <c r="A4882" s="12" t="s">
        <v>23497</v>
      </c>
      <c r="B4882" s="12" t="s">
        <v>23498</v>
      </c>
      <c r="C4882" s="19" t="s">
        <v>36</v>
      </c>
      <c r="D4882" s="19">
        <v>2</v>
      </c>
      <c r="E4882" s="19">
        <v>1</v>
      </c>
      <c r="F4882" s="19">
        <v>4</v>
      </c>
      <c r="G4882" s="15" t="s">
        <v>326</v>
      </c>
      <c r="H4882" s="14">
        <v>2246.42</v>
      </c>
      <c r="I4882" s="18">
        <v>31.84</v>
      </c>
      <c r="J4882" s="12" t="s">
        <v>521</v>
      </c>
      <c r="K4882" s="13" t="s">
        <v>36</v>
      </c>
      <c r="L4882" s="15" t="s">
        <v>122</v>
      </c>
      <c r="M4882" s="12" t="s">
        <v>36</v>
      </c>
      <c r="N4882" s="12" t="s">
        <v>122</v>
      </c>
      <c r="O4882" s="17" t="s">
        <v>36</v>
      </c>
      <c r="P4882" s="12" t="s">
        <v>36</v>
      </c>
      <c r="Q4882" s="12" t="s">
        <v>36</v>
      </c>
      <c r="R4882" s="12" t="s">
        <v>36</v>
      </c>
      <c r="S4882" s="12" t="s">
        <v>36</v>
      </c>
      <c r="T4882" s="12" t="s">
        <v>472</v>
      </c>
      <c r="U4882" s="12" t="s">
        <v>38</v>
      </c>
      <c r="V4882" s="12" t="s">
        <v>39</v>
      </c>
      <c r="W4882" s="12" t="s">
        <v>23499</v>
      </c>
      <c r="X4882" s="16" t="s">
        <v>23500</v>
      </c>
      <c r="Y4882" s="15" t="s">
        <v>108</v>
      </c>
      <c r="Z4882" s="14">
        <v>4</v>
      </c>
      <c r="AA4882" s="14">
        <v>12.56</v>
      </c>
      <c r="AB4882" s="12" t="s">
        <v>56</v>
      </c>
      <c r="AC4882" s="12" t="s">
        <v>23501</v>
      </c>
      <c r="AD4882" s="13">
        <v>43488</v>
      </c>
      <c r="AE4882" s="12" t="s">
        <v>110</v>
      </c>
      <c r="AF4882" s="12" t="s">
        <v>23502</v>
      </c>
      <c r="AG4882" s="12" t="s">
        <v>11436</v>
      </c>
      <c r="AH4882" s="1">
        <f>HYPERLINK("https://my.pitchbook.com?c=119894-05T","View Company Online")</f>
      </c>
    </row>
    <row r="4883">
      <c r="A4883" s="3" t="s">
        <v>23503</v>
      </c>
      <c r="B4883" s="3" t="s">
        <v>1854</v>
      </c>
      <c r="C4883" s="5" t="s">
        <v>36</v>
      </c>
      <c r="D4883" s="5" t="s">
        <v>36</v>
      </c>
      <c r="E4883" s="5" t="s">
        <v>36</v>
      </c>
      <c r="F4883" s="5" t="s">
        <v>36</v>
      </c>
      <c r="G4883" s="6" t="s">
        <v>683</v>
      </c>
      <c r="H4883" s="4">
        <v>338.93</v>
      </c>
      <c r="I4883" s="7">
        <v>19.67</v>
      </c>
      <c r="J4883" s="3" t="s">
        <v>521</v>
      </c>
      <c r="K4883" s="9" t="s">
        <v>36</v>
      </c>
      <c r="L4883" s="6" t="s">
        <v>36</v>
      </c>
      <c r="M4883" s="3" t="s">
        <v>36</v>
      </c>
      <c r="N4883" s="3" t="s">
        <v>36</v>
      </c>
      <c r="O4883" s="8" t="s">
        <v>36</v>
      </c>
      <c r="P4883" s="3" t="s">
        <v>36</v>
      </c>
      <c r="Q4883" s="3" t="s">
        <v>36</v>
      </c>
      <c r="R4883" s="3" t="s">
        <v>36</v>
      </c>
      <c r="S4883" s="3" t="s">
        <v>36</v>
      </c>
      <c r="T4883" s="3" t="s">
        <v>1855</v>
      </c>
      <c r="U4883" s="3" t="s">
        <v>85</v>
      </c>
      <c r="V4883" s="3" t="s">
        <v>64</v>
      </c>
      <c r="W4883" s="3" t="s">
        <v>1856</v>
      </c>
      <c r="X4883" s="10" t="s">
        <v>23504</v>
      </c>
      <c r="Y4883" s="6" t="s">
        <v>108</v>
      </c>
      <c r="Z4883" s="4">
        <v>1.68</v>
      </c>
      <c r="AA4883" s="4">
        <v>8.53</v>
      </c>
      <c r="AB4883" s="3" t="s">
        <v>56</v>
      </c>
      <c r="AC4883" s="3" t="s">
        <v>1858</v>
      </c>
      <c r="AD4883" s="9">
        <v>43487</v>
      </c>
      <c r="AE4883" s="3" t="s">
        <v>89</v>
      </c>
      <c r="AF4883" s="3" t="s">
        <v>1859</v>
      </c>
      <c r="AG4883" s="3" t="s">
        <v>81</v>
      </c>
      <c r="AH4883" s="11">
        <f>HYPERLINK("https://my.pitchbook.com?c=135331-21T","View Company Online")</f>
      </c>
    </row>
    <row r="4884">
      <c r="A4884" s="12" t="s">
        <v>23505</v>
      </c>
      <c r="B4884" s="12" t="s">
        <v>14076</v>
      </c>
      <c r="C4884" s="19">
        <v>1</v>
      </c>
      <c r="D4884" s="19" t="s">
        <v>36</v>
      </c>
      <c r="E4884" s="19">
        <v>1</v>
      </c>
      <c r="F4884" s="19">
        <v>1</v>
      </c>
      <c r="G4884" s="15" t="s">
        <v>326</v>
      </c>
      <c r="H4884" s="14">
        <v>5192.83</v>
      </c>
      <c r="I4884" s="18">
        <v>12.5</v>
      </c>
      <c r="J4884" s="12" t="s">
        <v>521</v>
      </c>
      <c r="K4884" s="13" t="s">
        <v>36</v>
      </c>
      <c r="L4884" s="15" t="s">
        <v>1279</v>
      </c>
      <c r="M4884" s="12" t="s">
        <v>36</v>
      </c>
      <c r="N4884" s="12" t="s">
        <v>1279</v>
      </c>
      <c r="O4884" s="17" t="s">
        <v>36</v>
      </c>
      <c r="P4884" s="12" t="s">
        <v>36</v>
      </c>
      <c r="Q4884" s="12" t="s">
        <v>36</v>
      </c>
      <c r="R4884" s="12" t="s">
        <v>36</v>
      </c>
      <c r="S4884" s="12" t="s">
        <v>36</v>
      </c>
      <c r="T4884" s="12" t="s">
        <v>14077</v>
      </c>
      <c r="U4884" s="12" t="s">
        <v>38</v>
      </c>
      <c r="V4884" s="12" t="s">
        <v>39</v>
      </c>
      <c r="W4884" s="12" t="s">
        <v>14078</v>
      </c>
      <c r="X4884" s="16" t="s">
        <v>23506</v>
      </c>
      <c r="Y4884" s="15" t="s">
        <v>192</v>
      </c>
      <c r="Z4884" s="14">
        <v>82.25</v>
      </c>
      <c r="AA4884" s="14">
        <v>449.99</v>
      </c>
      <c r="AB4884" s="12" t="s">
        <v>56</v>
      </c>
      <c r="AC4884" s="12" t="s">
        <v>14079</v>
      </c>
      <c r="AD4884" s="13">
        <v>43487</v>
      </c>
      <c r="AE4884" s="12" t="s">
        <v>110</v>
      </c>
      <c r="AF4884" s="12" t="s">
        <v>3172</v>
      </c>
      <c r="AG4884" s="12" t="s">
        <v>81</v>
      </c>
      <c r="AH4884" s="1">
        <f>HYPERLINK("https://my.pitchbook.com?c=115725-07T","View Company Online")</f>
      </c>
    </row>
    <row r="4885">
      <c r="A4885" s="3" t="s">
        <v>23507</v>
      </c>
      <c r="B4885" s="3" t="s">
        <v>7884</v>
      </c>
      <c r="C4885" s="5" t="s">
        <v>36</v>
      </c>
      <c r="D4885" s="5" t="s">
        <v>36</v>
      </c>
      <c r="E4885" s="5" t="s">
        <v>36</v>
      </c>
      <c r="F4885" s="5" t="s">
        <v>36</v>
      </c>
      <c r="G4885" s="6" t="s">
        <v>326</v>
      </c>
      <c r="H4885" s="4">
        <v>8.12</v>
      </c>
      <c r="I4885" s="7">
        <v>40.35</v>
      </c>
      <c r="J4885" s="3" t="s">
        <v>521</v>
      </c>
      <c r="K4885" s="9" t="s">
        <v>36</v>
      </c>
      <c r="L4885" s="6" t="s">
        <v>36</v>
      </c>
      <c r="M4885" s="3" t="s">
        <v>36</v>
      </c>
      <c r="N4885" s="3" t="s">
        <v>36</v>
      </c>
      <c r="O4885" s="8" t="s">
        <v>36</v>
      </c>
      <c r="P4885" s="3" t="s">
        <v>36</v>
      </c>
      <c r="Q4885" s="3" t="s">
        <v>36</v>
      </c>
      <c r="R4885" s="3" t="s">
        <v>36</v>
      </c>
      <c r="S4885" s="3" t="s">
        <v>36</v>
      </c>
      <c r="T4885" s="3" t="s">
        <v>37</v>
      </c>
      <c r="U4885" s="3" t="s">
        <v>38</v>
      </c>
      <c r="V4885" s="3" t="s">
        <v>39</v>
      </c>
      <c r="W4885" s="3" t="s">
        <v>7885</v>
      </c>
      <c r="X4885" s="10" t="s">
        <v>23508</v>
      </c>
      <c r="Y4885" s="6" t="s">
        <v>55</v>
      </c>
      <c r="Z4885" s="4">
        <v>5.71</v>
      </c>
      <c r="AA4885" s="4">
        <v>12.28</v>
      </c>
      <c r="AB4885" s="3" t="s">
        <v>43</v>
      </c>
      <c r="AC4885" s="3" t="s">
        <v>7887</v>
      </c>
      <c r="AD4885" s="9">
        <v>43487</v>
      </c>
      <c r="AE4885" s="3" t="s">
        <v>45</v>
      </c>
      <c r="AF4885" s="3" t="s">
        <v>331</v>
      </c>
      <c r="AG4885" s="3" t="s">
        <v>81</v>
      </c>
      <c r="AH4885" s="11">
        <f>HYPERLINK("https://my.pitchbook.com?c=115712-92T","View Company Online")</f>
      </c>
    </row>
    <row r="4886">
      <c r="A4886" s="12" t="s">
        <v>23509</v>
      </c>
      <c r="B4886" s="12" t="s">
        <v>23510</v>
      </c>
      <c r="C4886" s="19">
        <v>7</v>
      </c>
      <c r="D4886" s="19">
        <v>24</v>
      </c>
      <c r="E4886" s="19">
        <v>9</v>
      </c>
      <c r="F4886" s="19">
        <v>40</v>
      </c>
      <c r="G4886" s="15" t="s">
        <v>683</v>
      </c>
      <c r="H4886" s="14">
        <v>550.44</v>
      </c>
      <c r="I4886" s="18">
        <v>14.37</v>
      </c>
      <c r="J4886" s="12" t="s">
        <v>521</v>
      </c>
      <c r="K4886" s="13">
        <v>43090</v>
      </c>
      <c r="L4886" s="15" t="s">
        <v>36</v>
      </c>
      <c r="M4886" s="12" t="s">
        <v>36</v>
      </c>
      <c r="N4886" s="12" t="s">
        <v>36</v>
      </c>
      <c r="O4886" s="17" t="s">
        <v>36</v>
      </c>
      <c r="P4886" s="12" t="s">
        <v>36</v>
      </c>
      <c r="Q4886" s="12" t="s">
        <v>36</v>
      </c>
      <c r="R4886" s="12" t="s">
        <v>36</v>
      </c>
      <c r="S4886" s="12" t="s">
        <v>36</v>
      </c>
      <c r="T4886" s="12" t="s">
        <v>10993</v>
      </c>
      <c r="U4886" s="12" t="s">
        <v>51</v>
      </c>
      <c r="V4886" s="12" t="s">
        <v>52</v>
      </c>
      <c r="W4886" s="12" t="s">
        <v>23511</v>
      </c>
      <c r="X4886" s="16" t="s">
        <v>23512</v>
      </c>
      <c r="Y4886" s="15" t="s">
        <v>55</v>
      </c>
      <c r="Z4886" s="14">
        <v>1.01</v>
      </c>
      <c r="AA4886" s="14">
        <v>6.99</v>
      </c>
      <c r="AB4886" s="12" t="s">
        <v>56</v>
      </c>
      <c r="AC4886" s="12" t="s">
        <v>23513</v>
      </c>
      <c r="AD4886" s="13">
        <v>43483</v>
      </c>
      <c r="AE4886" s="12" t="s">
        <v>158</v>
      </c>
      <c r="AF4886" s="12" t="s">
        <v>1275</v>
      </c>
      <c r="AG4886" s="12" t="s">
        <v>23514</v>
      </c>
      <c r="AH4886" s="1">
        <f>HYPERLINK("https://my.pitchbook.com?c=120354-13T","View Company Online")</f>
      </c>
    </row>
    <row r="4887">
      <c r="A4887" s="3" t="s">
        <v>23515</v>
      </c>
      <c r="B4887" s="3" t="s">
        <v>23516</v>
      </c>
      <c r="C4887" s="5">
        <v>5</v>
      </c>
      <c r="D4887" s="5">
        <v>15</v>
      </c>
      <c r="E4887" s="5">
        <v>9</v>
      </c>
      <c r="F4887" s="5">
        <v>23</v>
      </c>
      <c r="G4887" s="6" t="s">
        <v>326</v>
      </c>
      <c r="H4887" s="4">
        <v>77.57</v>
      </c>
      <c r="I4887" s="7">
        <v>14.61</v>
      </c>
      <c r="J4887" s="3" t="s">
        <v>521</v>
      </c>
      <c r="K4887" s="9" t="s">
        <v>36</v>
      </c>
      <c r="L4887" s="6" t="s">
        <v>36</v>
      </c>
      <c r="M4887" s="3" t="s">
        <v>36</v>
      </c>
      <c r="N4887" s="3" t="s">
        <v>36</v>
      </c>
      <c r="O4887" s="8" t="s">
        <v>36</v>
      </c>
      <c r="P4887" s="3" t="s">
        <v>36</v>
      </c>
      <c r="Q4887" s="3" t="s">
        <v>36</v>
      </c>
      <c r="R4887" s="3" t="s">
        <v>36</v>
      </c>
      <c r="S4887" s="3" t="s">
        <v>36</v>
      </c>
      <c r="T4887" s="3" t="s">
        <v>23517</v>
      </c>
      <c r="U4887" s="3" t="s">
        <v>318</v>
      </c>
      <c r="V4887" s="3" t="s">
        <v>39</v>
      </c>
      <c r="W4887" s="3" t="s">
        <v>23518</v>
      </c>
      <c r="X4887" s="10" t="s">
        <v>23519</v>
      </c>
      <c r="Y4887" s="6" t="s">
        <v>55</v>
      </c>
      <c r="Z4887" s="4">
        <v>2.54</v>
      </c>
      <c r="AA4887" s="4">
        <v>17.37</v>
      </c>
      <c r="AB4887" s="3" t="s">
        <v>56</v>
      </c>
      <c r="AC4887" s="3" t="s">
        <v>23520</v>
      </c>
      <c r="AD4887" s="9">
        <v>43483</v>
      </c>
      <c r="AE4887" s="3" t="s">
        <v>763</v>
      </c>
      <c r="AF4887" s="3" t="s">
        <v>11238</v>
      </c>
      <c r="AG4887" s="3" t="s">
        <v>81</v>
      </c>
      <c r="AH4887" s="11">
        <f>HYPERLINK("https://my.pitchbook.com?c=192244-69T","View Company Online")</f>
      </c>
    </row>
    <row r="4888">
      <c r="A4888" s="12" t="s">
        <v>23521</v>
      </c>
      <c r="B4888" s="12" t="s">
        <v>23522</v>
      </c>
      <c r="C4888" s="19" t="s">
        <v>36</v>
      </c>
      <c r="D4888" s="19" t="s">
        <v>36</v>
      </c>
      <c r="E4888" s="19" t="s">
        <v>36</v>
      </c>
      <c r="F4888" s="19" t="s">
        <v>36</v>
      </c>
      <c r="G4888" s="15" t="s">
        <v>36</v>
      </c>
      <c r="H4888" s="14">
        <v>377.04</v>
      </c>
      <c r="I4888" s="18">
        <v>30.57</v>
      </c>
      <c r="J4888" s="12" t="s">
        <v>521</v>
      </c>
      <c r="K4888" s="13">
        <v>43114</v>
      </c>
      <c r="L4888" s="15" t="s">
        <v>36</v>
      </c>
      <c r="M4888" s="12" t="s">
        <v>36</v>
      </c>
      <c r="N4888" s="12" t="s">
        <v>36</v>
      </c>
      <c r="O4888" s="17" t="s">
        <v>36</v>
      </c>
      <c r="P4888" s="12" t="s">
        <v>36</v>
      </c>
      <c r="Q4888" s="12" t="s">
        <v>36</v>
      </c>
      <c r="R4888" s="12" t="s">
        <v>36</v>
      </c>
      <c r="S4888" s="12" t="s">
        <v>36</v>
      </c>
      <c r="T4888" s="12" t="s">
        <v>7415</v>
      </c>
      <c r="U4888" s="12" t="s">
        <v>38</v>
      </c>
      <c r="V4888" s="12" t="s">
        <v>39</v>
      </c>
      <c r="W4888" s="12" t="s">
        <v>23523</v>
      </c>
      <c r="X4888" s="16" t="s">
        <v>23524</v>
      </c>
      <c r="Y4888" s="15" t="s">
        <v>108</v>
      </c>
      <c r="Z4888" s="14">
        <v>2.57</v>
      </c>
      <c r="AA4888" s="14">
        <v>10.13</v>
      </c>
      <c r="AB4888" s="12" t="s">
        <v>56</v>
      </c>
      <c r="AC4888" s="12" t="s">
        <v>23525</v>
      </c>
      <c r="AD4888" s="13">
        <v>43482</v>
      </c>
      <c r="AE4888" s="12" t="s">
        <v>1422</v>
      </c>
      <c r="AF4888" s="12" t="s">
        <v>4284</v>
      </c>
      <c r="AG4888" s="12" t="s">
        <v>144</v>
      </c>
      <c r="AH4888" s="1">
        <f>HYPERLINK("https://my.pitchbook.com?c=117811-72T","View Company Online")</f>
      </c>
    </row>
    <row r="4889">
      <c r="A4889" s="3" t="s">
        <v>23526</v>
      </c>
      <c r="B4889" s="3" t="s">
        <v>14843</v>
      </c>
      <c r="C4889" s="5" t="s">
        <v>36</v>
      </c>
      <c r="D4889" s="5" t="s">
        <v>36</v>
      </c>
      <c r="E4889" s="5" t="s">
        <v>36</v>
      </c>
      <c r="F4889" s="5" t="s">
        <v>36</v>
      </c>
      <c r="G4889" s="6" t="s">
        <v>36</v>
      </c>
      <c r="H4889" s="4" t="s">
        <v>36</v>
      </c>
      <c r="I4889" s="7" t="s">
        <v>36</v>
      </c>
      <c r="J4889" s="3" t="s">
        <v>36</v>
      </c>
      <c r="K4889" s="9" t="s">
        <v>36</v>
      </c>
      <c r="L4889" s="6" t="s">
        <v>36</v>
      </c>
      <c r="M4889" s="3" t="s">
        <v>36</v>
      </c>
      <c r="N4889" s="3" t="s">
        <v>36</v>
      </c>
      <c r="O4889" s="8" t="s">
        <v>36</v>
      </c>
      <c r="P4889" s="3" t="s">
        <v>36</v>
      </c>
      <c r="Q4889" s="3" t="s">
        <v>36</v>
      </c>
      <c r="R4889" s="3" t="s">
        <v>36</v>
      </c>
      <c r="S4889" s="3" t="s">
        <v>36</v>
      </c>
      <c r="T4889" s="3" t="s">
        <v>14844</v>
      </c>
      <c r="U4889" s="3" t="s">
        <v>63</v>
      </c>
      <c r="V4889" s="3" t="s">
        <v>64</v>
      </c>
      <c r="W4889" s="3" t="s">
        <v>14845</v>
      </c>
      <c r="X4889" s="10" t="s">
        <v>23527</v>
      </c>
      <c r="Y4889" s="6" t="s">
        <v>108</v>
      </c>
      <c r="Z4889" s="4">
        <v>1.71</v>
      </c>
      <c r="AA4889" s="4" t="s">
        <v>36</v>
      </c>
      <c r="AB4889" s="3" t="s">
        <v>43</v>
      </c>
      <c r="AC4889" s="3" t="s">
        <v>14847</v>
      </c>
      <c r="AD4889" s="9">
        <v>43482</v>
      </c>
      <c r="AE4889" s="3" t="s">
        <v>68</v>
      </c>
      <c r="AF4889" s="3" t="s">
        <v>90</v>
      </c>
      <c r="AG4889" s="3" t="s">
        <v>332</v>
      </c>
      <c r="AH4889" s="11">
        <f>HYPERLINK("https://my.pitchbook.com?c=121026-61T","View Company Online")</f>
      </c>
    </row>
    <row r="4890">
      <c r="A4890" s="12" t="s">
        <v>23528</v>
      </c>
      <c r="B4890" s="12" t="s">
        <v>19837</v>
      </c>
      <c r="C4890" s="19" t="s">
        <v>36</v>
      </c>
      <c r="D4890" s="19" t="s">
        <v>36</v>
      </c>
      <c r="E4890" s="19" t="s">
        <v>36</v>
      </c>
      <c r="F4890" s="19" t="s">
        <v>36</v>
      </c>
      <c r="G4890" s="15" t="s">
        <v>36</v>
      </c>
      <c r="H4890" s="14" t="s">
        <v>36</v>
      </c>
      <c r="I4890" s="18" t="s">
        <v>36</v>
      </c>
      <c r="J4890" s="12" t="s">
        <v>36</v>
      </c>
      <c r="K4890" s="13" t="s">
        <v>36</v>
      </c>
      <c r="L4890" s="15" t="s">
        <v>122</v>
      </c>
      <c r="M4890" s="12" t="s">
        <v>36</v>
      </c>
      <c r="N4890" s="12" t="s">
        <v>122</v>
      </c>
      <c r="O4890" s="17" t="s">
        <v>36</v>
      </c>
      <c r="P4890" s="12" t="s">
        <v>36</v>
      </c>
      <c r="Q4890" s="12" t="s">
        <v>36</v>
      </c>
      <c r="R4890" s="12" t="s">
        <v>36</v>
      </c>
      <c r="S4890" s="12" t="s">
        <v>36</v>
      </c>
      <c r="T4890" s="12" t="s">
        <v>19838</v>
      </c>
      <c r="U4890" s="12" t="s">
        <v>279</v>
      </c>
      <c r="V4890" s="12" t="s">
        <v>64</v>
      </c>
      <c r="W4890" s="12" t="s">
        <v>19839</v>
      </c>
      <c r="X4890" s="16" t="s">
        <v>23529</v>
      </c>
      <c r="Y4890" s="15" t="s">
        <v>42</v>
      </c>
      <c r="Z4890" s="14">
        <v>14</v>
      </c>
      <c r="AA4890" s="14" t="s">
        <v>36</v>
      </c>
      <c r="AB4890" s="12" t="s">
        <v>43</v>
      </c>
      <c r="AC4890" s="12" t="s">
        <v>19841</v>
      </c>
      <c r="AD4890" s="13">
        <v>43481</v>
      </c>
      <c r="AE4890" s="12" t="s">
        <v>283</v>
      </c>
      <c r="AF4890" s="12" t="s">
        <v>176</v>
      </c>
      <c r="AG4890" s="12" t="s">
        <v>81</v>
      </c>
      <c r="AH4890" s="1">
        <f>HYPERLINK("https://my.pitchbook.com?c=127010-89T","View Company Online")</f>
      </c>
    </row>
    <row r="4891">
      <c r="A4891" s="3" t="s">
        <v>23530</v>
      </c>
      <c r="B4891" s="3" t="s">
        <v>17566</v>
      </c>
      <c r="C4891" s="5">
        <v>3</v>
      </c>
      <c r="D4891" s="5">
        <v>15</v>
      </c>
      <c r="E4891" s="5">
        <v>4</v>
      </c>
      <c r="F4891" s="5">
        <v>18</v>
      </c>
      <c r="G4891" s="6" t="s">
        <v>326</v>
      </c>
      <c r="H4891" s="4">
        <v>1238.31</v>
      </c>
      <c r="I4891" s="7">
        <v>9.77</v>
      </c>
      <c r="J4891" s="3" t="s">
        <v>521</v>
      </c>
      <c r="K4891" s="9">
        <v>43476</v>
      </c>
      <c r="L4891" s="6" t="s">
        <v>36</v>
      </c>
      <c r="M4891" s="3" t="s">
        <v>36</v>
      </c>
      <c r="N4891" s="3" t="s">
        <v>36</v>
      </c>
      <c r="O4891" s="8" t="s">
        <v>36</v>
      </c>
      <c r="P4891" s="3" t="s">
        <v>36</v>
      </c>
      <c r="Q4891" s="3" t="s">
        <v>36</v>
      </c>
      <c r="R4891" s="3" t="s">
        <v>36</v>
      </c>
      <c r="S4891" s="3" t="s">
        <v>36</v>
      </c>
      <c r="T4891" s="3" t="s">
        <v>17567</v>
      </c>
      <c r="U4891" s="3" t="s">
        <v>318</v>
      </c>
      <c r="V4891" s="3" t="s">
        <v>39</v>
      </c>
      <c r="W4891" s="3" t="s">
        <v>17568</v>
      </c>
      <c r="X4891" s="10" t="s">
        <v>23531</v>
      </c>
      <c r="Y4891" s="6" t="s">
        <v>55</v>
      </c>
      <c r="Z4891" s="4">
        <v>7.44</v>
      </c>
      <c r="AA4891" s="4">
        <v>38.05</v>
      </c>
      <c r="AB4891" s="3" t="s">
        <v>43</v>
      </c>
      <c r="AC4891" s="3" t="s">
        <v>17569</v>
      </c>
      <c r="AD4891" s="9">
        <v>43481</v>
      </c>
      <c r="AE4891" s="3" t="s">
        <v>417</v>
      </c>
      <c r="AF4891" s="3" t="s">
        <v>1179</v>
      </c>
      <c r="AG4891" s="3" t="s">
        <v>144</v>
      </c>
      <c r="AH4891" s="11">
        <f>HYPERLINK("https://my.pitchbook.com?c=120716-38T","View Company Online")</f>
      </c>
    </row>
    <row r="4892">
      <c r="A4892" s="12" t="s">
        <v>23532</v>
      </c>
      <c r="B4892" s="12" t="s">
        <v>15151</v>
      </c>
      <c r="C4892" s="19" t="s">
        <v>36</v>
      </c>
      <c r="D4892" s="19" t="s">
        <v>36</v>
      </c>
      <c r="E4892" s="19" t="s">
        <v>36</v>
      </c>
      <c r="F4892" s="19" t="s">
        <v>36</v>
      </c>
      <c r="G4892" s="15" t="s">
        <v>36</v>
      </c>
      <c r="H4892" s="14" t="s">
        <v>36</v>
      </c>
      <c r="I4892" s="18" t="s">
        <v>36</v>
      </c>
      <c r="J4892" s="12" t="s">
        <v>36</v>
      </c>
      <c r="K4892" s="13" t="s">
        <v>36</v>
      </c>
      <c r="L4892" s="15" t="s">
        <v>36</v>
      </c>
      <c r="M4892" s="12" t="s">
        <v>36</v>
      </c>
      <c r="N4892" s="12" t="s">
        <v>36</v>
      </c>
      <c r="O4892" s="17" t="s">
        <v>36</v>
      </c>
      <c r="P4892" s="12" t="s">
        <v>36</v>
      </c>
      <c r="Q4892" s="12" t="s">
        <v>36</v>
      </c>
      <c r="R4892" s="12" t="s">
        <v>36</v>
      </c>
      <c r="S4892" s="12" t="s">
        <v>36</v>
      </c>
      <c r="T4892" s="12" t="s">
        <v>522</v>
      </c>
      <c r="U4892" s="12" t="s">
        <v>38</v>
      </c>
      <c r="V4892" s="12" t="s">
        <v>39</v>
      </c>
      <c r="W4892" s="12" t="s">
        <v>15152</v>
      </c>
      <c r="X4892" s="16" t="s">
        <v>23533</v>
      </c>
      <c r="Y4892" s="15" t="s">
        <v>55</v>
      </c>
      <c r="Z4892" s="14">
        <v>1.37</v>
      </c>
      <c r="AA4892" s="14" t="s">
        <v>36</v>
      </c>
      <c r="AB4892" s="12" t="s">
        <v>43</v>
      </c>
      <c r="AC4892" s="12" t="s">
        <v>15154</v>
      </c>
      <c r="AD4892" s="13">
        <v>43480</v>
      </c>
      <c r="AE4892" s="12" t="s">
        <v>110</v>
      </c>
      <c r="AF4892" s="12" t="s">
        <v>2830</v>
      </c>
      <c r="AG4892" s="12" t="s">
        <v>1705</v>
      </c>
      <c r="AH4892" s="1">
        <f>HYPERLINK("https://my.pitchbook.com?c=139080-34T","View Company Online")</f>
      </c>
    </row>
    <row r="4893">
      <c r="A4893" s="3" t="s">
        <v>23534</v>
      </c>
      <c r="B4893" s="3" t="s">
        <v>20798</v>
      </c>
      <c r="C4893" s="5">
        <v>1</v>
      </c>
      <c r="D4893" s="5">
        <v>9</v>
      </c>
      <c r="E4893" s="5">
        <v>4</v>
      </c>
      <c r="F4893" s="5">
        <v>10</v>
      </c>
      <c r="G4893" s="6" t="s">
        <v>36</v>
      </c>
      <c r="H4893" s="4">
        <v>14.17</v>
      </c>
      <c r="I4893" s="7">
        <v>49.96</v>
      </c>
      <c r="J4893" s="3" t="s">
        <v>521</v>
      </c>
      <c r="K4893" s="9" t="s">
        <v>36</v>
      </c>
      <c r="L4893" s="6" t="s">
        <v>36</v>
      </c>
      <c r="M4893" s="3" t="s">
        <v>36</v>
      </c>
      <c r="N4893" s="3" t="s">
        <v>36</v>
      </c>
      <c r="O4893" s="8" t="s">
        <v>36</v>
      </c>
      <c r="P4893" s="3" t="s">
        <v>36</v>
      </c>
      <c r="Q4893" s="3" t="s">
        <v>36</v>
      </c>
      <c r="R4893" s="3" t="s">
        <v>36</v>
      </c>
      <c r="S4893" s="3" t="s">
        <v>36</v>
      </c>
      <c r="T4893" s="3" t="s">
        <v>20799</v>
      </c>
      <c r="U4893" s="3" t="s">
        <v>619</v>
      </c>
      <c r="V4893" s="3" t="s">
        <v>378</v>
      </c>
      <c r="W4893" s="3" t="s">
        <v>20800</v>
      </c>
      <c r="X4893" s="10" t="s">
        <v>23535</v>
      </c>
      <c r="Y4893" s="6" t="s">
        <v>42</v>
      </c>
      <c r="Z4893" s="4">
        <v>0.34</v>
      </c>
      <c r="AA4893" s="4">
        <v>0.69</v>
      </c>
      <c r="AB4893" s="3" t="s">
        <v>43</v>
      </c>
      <c r="AC4893" s="3" t="s">
        <v>20802</v>
      </c>
      <c r="AD4893" s="9">
        <v>43480</v>
      </c>
      <c r="AE4893" s="3" t="s">
        <v>20803</v>
      </c>
      <c r="AF4893" s="3" t="s">
        <v>931</v>
      </c>
      <c r="AG4893" s="3" t="s">
        <v>20804</v>
      </c>
      <c r="AH4893" s="11">
        <f>HYPERLINK("https://my.pitchbook.com?c=120256-57T","View Company Online")</f>
      </c>
    </row>
    <row r="4894">
      <c r="A4894" s="12" t="s">
        <v>23536</v>
      </c>
      <c r="B4894" s="12" t="s">
        <v>15665</v>
      </c>
      <c r="C4894" s="19" t="s">
        <v>36</v>
      </c>
      <c r="D4894" s="19" t="s">
        <v>36</v>
      </c>
      <c r="E4894" s="19" t="s">
        <v>36</v>
      </c>
      <c r="F4894" s="19" t="s">
        <v>36</v>
      </c>
      <c r="G4894" s="15" t="s">
        <v>36</v>
      </c>
      <c r="H4894" s="14" t="s">
        <v>36</v>
      </c>
      <c r="I4894" s="18" t="s">
        <v>36</v>
      </c>
      <c r="J4894" s="12" t="s">
        <v>36</v>
      </c>
      <c r="K4894" s="13">
        <v>43458</v>
      </c>
      <c r="L4894" s="15" t="s">
        <v>36</v>
      </c>
      <c r="M4894" s="12" t="s">
        <v>36</v>
      </c>
      <c r="N4894" s="12" t="s">
        <v>36</v>
      </c>
      <c r="O4894" s="17" t="s">
        <v>36</v>
      </c>
      <c r="P4894" s="12" t="s">
        <v>36</v>
      </c>
      <c r="Q4894" s="12" t="s">
        <v>36</v>
      </c>
      <c r="R4894" s="12" t="s">
        <v>36</v>
      </c>
      <c r="S4894" s="12" t="s">
        <v>5151</v>
      </c>
      <c r="T4894" s="12" t="s">
        <v>130</v>
      </c>
      <c r="U4894" s="12" t="s">
        <v>38</v>
      </c>
      <c r="V4894" s="12" t="s">
        <v>39</v>
      </c>
      <c r="W4894" s="12" t="s">
        <v>15666</v>
      </c>
      <c r="X4894" s="16" t="s">
        <v>21650</v>
      </c>
      <c r="Y4894" s="15" t="s">
        <v>42</v>
      </c>
      <c r="Z4894" s="14" t="s">
        <v>36</v>
      </c>
      <c r="AA4894" s="14" t="s">
        <v>36</v>
      </c>
      <c r="AB4894" s="12" t="s">
        <v>43</v>
      </c>
      <c r="AC4894" s="12" t="s">
        <v>15667</v>
      </c>
      <c r="AD4894" s="13">
        <v>43480</v>
      </c>
      <c r="AE4894" s="12" t="s">
        <v>134</v>
      </c>
      <c r="AF4894" s="12" t="s">
        <v>135</v>
      </c>
      <c r="AG4894" s="12" t="s">
        <v>741</v>
      </c>
      <c r="AH4894" s="1">
        <f>HYPERLINK("https://my.pitchbook.com?c=125880-76T","View Company Online")</f>
      </c>
    </row>
    <row r="4895">
      <c r="A4895" s="3" t="s">
        <v>23537</v>
      </c>
      <c r="B4895" s="3" t="s">
        <v>23538</v>
      </c>
      <c r="C4895" s="5" t="s">
        <v>36</v>
      </c>
      <c r="D4895" s="5">
        <v>3</v>
      </c>
      <c r="E4895" s="5">
        <v>1</v>
      </c>
      <c r="F4895" s="5">
        <v>4</v>
      </c>
      <c r="G4895" s="6" t="s">
        <v>36</v>
      </c>
      <c r="H4895" s="4">
        <v>151.1</v>
      </c>
      <c r="I4895" s="7">
        <v>11.34</v>
      </c>
      <c r="J4895" s="3" t="s">
        <v>521</v>
      </c>
      <c r="K4895" s="9" t="s">
        <v>36</v>
      </c>
      <c r="L4895" s="6" t="s">
        <v>36</v>
      </c>
      <c r="M4895" s="3" t="s">
        <v>36</v>
      </c>
      <c r="N4895" s="3" t="s">
        <v>36</v>
      </c>
      <c r="O4895" s="8" t="s">
        <v>36</v>
      </c>
      <c r="P4895" s="3" t="s">
        <v>36</v>
      </c>
      <c r="Q4895" s="3" t="s">
        <v>36</v>
      </c>
      <c r="R4895" s="3" t="s">
        <v>36</v>
      </c>
      <c r="S4895" s="3" t="s">
        <v>36</v>
      </c>
      <c r="T4895" s="3" t="s">
        <v>23539</v>
      </c>
      <c r="U4895" s="3" t="s">
        <v>318</v>
      </c>
      <c r="V4895" s="3" t="s">
        <v>39</v>
      </c>
      <c r="W4895" s="3" t="s">
        <v>23540</v>
      </c>
      <c r="X4895" s="10" t="s">
        <v>23541</v>
      </c>
      <c r="Y4895" s="6" t="s">
        <v>42</v>
      </c>
      <c r="Z4895" s="4">
        <v>0.25</v>
      </c>
      <c r="AA4895" s="4">
        <v>2.22</v>
      </c>
      <c r="AB4895" s="3" t="s">
        <v>43</v>
      </c>
      <c r="AC4895" s="3" t="s">
        <v>23542</v>
      </c>
      <c r="AD4895" s="9">
        <v>43480</v>
      </c>
      <c r="AE4895" s="3" t="s">
        <v>763</v>
      </c>
      <c r="AF4895" s="3" t="s">
        <v>5606</v>
      </c>
      <c r="AG4895" s="3" t="s">
        <v>2450</v>
      </c>
      <c r="AH4895" s="11">
        <f>HYPERLINK("https://my.pitchbook.com?c=215410-87T","View Company Online")</f>
      </c>
    </row>
    <row r="4896">
      <c r="A4896" s="12" t="s">
        <v>23543</v>
      </c>
      <c r="B4896" s="12" t="s">
        <v>21213</v>
      </c>
      <c r="C4896" s="19">
        <v>1</v>
      </c>
      <c r="D4896" s="19">
        <v>8</v>
      </c>
      <c r="E4896" s="19">
        <v>6</v>
      </c>
      <c r="F4896" s="19">
        <v>10</v>
      </c>
      <c r="G4896" s="15" t="s">
        <v>36</v>
      </c>
      <c r="H4896" s="14">
        <v>1534.77</v>
      </c>
      <c r="I4896" s="18">
        <v>1.13</v>
      </c>
      <c r="J4896" s="12" t="s">
        <v>521</v>
      </c>
      <c r="K4896" s="13" t="s">
        <v>36</v>
      </c>
      <c r="L4896" s="15" t="s">
        <v>36</v>
      </c>
      <c r="M4896" s="12" t="s">
        <v>36</v>
      </c>
      <c r="N4896" s="12" t="s">
        <v>36</v>
      </c>
      <c r="O4896" s="17" t="s">
        <v>36</v>
      </c>
      <c r="P4896" s="12" t="s">
        <v>36</v>
      </c>
      <c r="Q4896" s="12" t="s">
        <v>36</v>
      </c>
      <c r="R4896" s="12" t="s">
        <v>36</v>
      </c>
      <c r="S4896" s="12" t="s">
        <v>3895</v>
      </c>
      <c r="T4896" s="12" t="s">
        <v>21214</v>
      </c>
      <c r="U4896" s="12" t="s">
        <v>38</v>
      </c>
      <c r="V4896" s="12" t="s">
        <v>39</v>
      </c>
      <c r="W4896" s="12" t="s">
        <v>21215</v>
      </c>
      <c r="X4896" s="16" t="s">
        <v>23544</v>
      </c>
      <c r="Y4896" s="15" t="s">
        <v>55</v>
      </c>
      <c r="Z4896" s="14">
        <v>5.71</v>
      </c>
      <c r="AA4896" s="14">
        <v>505.44</v>
      </c>
      <c r="AB4896" s="12" t="s">
        <v>43</v>
      </c>
      <c r="AC4896" s="12" t="s">
        <v>21217</v>
      </c>
      <c r="AD4896" s="13">
        <v>43480</v>
      </c>
      <c r="AE4896" s="12" t="s">
        <v>1330</v>
      </c>
      <c r="AF4896" s="12" t="s">
        <v>1380</v>
      </c>
      <c r="AG4896" s="12" t="s">
        <v>81</v>
      </c>
      <c r="AH4896" s="1">
        <f>HYPERLINK("https://my.pitchbook.com?c=116821-27T","View Company Online")</f>
      </c>
    </row>
    <row r="4897">
      <c r="A4897" s="3" t="s">
        <v>23545</v>
      </c>
      <c r="B4897" s="3" t="s">
        <v>13275</v>
      </c>
      <c r="C4897" s="5">
        <v>1</v>
      </c>
      <c r="D4897" s="5">
        <v>7</v>
      </c>
      <c r="E4897" s="5">
        <v>3</v>
      </c>
      <c r="F4897" s="5">
        <v>8</v>
      </c>
      <c r="G4897" s="6" t="s">
        <v>36</v>
      </c>
      <c r="H4897" s="4">
        <v>61.59</v>
      </c>
      <c r="I4897" s="7">
        <v>13.63</v>
      </c>
      <c r="J4897" s="3" t="s">
        <v>521</v>
      </c>
      <c r="K4897" s="9" t="s">
        <v>36</v>
      </c>
      <c r="L4897" s="6" t="s">
        <v>36</v>
      </c>
      <c r="M4897" s="3" t="s">
        <v>36</v>
      </c>
      <c r="N4897" s="3" t="s">
        <v>36</v>
      </c>
      <c r="O4897" s="8" t="s">
        <v>36</v>
      </c>
      <c r="P4897" s="3" t="s">
        <v>36</v>
      </c>
      <c r="Q4897" s="3" t="s">
        <v>36</v>
      </c>
      <c r="R4897" s="3" t="s">
        <v>36</v>
      </c>
      <c r="S4897" s="3" t="s">
        <v>36</v>
      </c>
      <c r="T4897" s="3" t="s">
        <v>13276</v>
      </c>
      <c r="U4897" s="3" t="s">
        <v>74</v>
      </c>
      <c r="V4897" s="3" t="s">
        <v>75</v>
      </c>
      <c r="W4897" s="3" t="s">
        <v>13277</v>
      </c>
      <c r="X4897" s="10" t="s">
        <v>23546</v>
      </c>
      <c r="Y4897" s="6" t="s">
        <v>42</v>
      </c>
      <c r="Z4897" s="4">
        <v>0.51</v>
      </c>
      <c r="AA4897" s="4">
        <v>3.57</v>
      </c>
      <c r="AB4897" s="3" t="s">
        <v>43</v>
      </c>
      <c r="AC4897" s="3" t="s">
        <v>13279</v>
      </c>
      <c r="AD4897" s="9">
        <v>43480</v>
      </c>
      <c r="AE4897" s="3" t="s">
        <v>570</v>
      </c>
      <c r="AF4897" s="3" t="s">
        <v>13280</v>
      </c>
      <c r="AG4897" s="3" t="s">
        <v>12062</v>
      </c>
      <c r="AH4897" s="11">
        <f>HYPERLINK("https://my.pitchbook.com?c=134415-73T","View Company Online")</f>
      </c>
    </row>
    <row r="4898">
      <c r="A4898" s="12" t="s">
        <v>23547</v>
      </c>
      <c r="B4898" s="12" t="s">
        <v>23548</v>
      </c>
      <c r="C4898" s="19" t="s">
        <v>36</v>
      </c>
      <c r="D4898" s="19" t="s">
        <v>36</v>
      </c>
      <c r="E4898" s="19" t="s">
        <v>36</v>
      </c>
      <c r="F4898" s="19" t="s">
        <v>36</v>
      </c>
      <c r="G4898" s="15" t="s">
        <v>36</v>
      </c>
      <c r="H4898" s="14" t="s">
        <v>36</v>
      </c>
      <c r="I4898" s="18" t="s">
        <v>36</v>
      </c>
      <c r="J4898" s="12" t="s">
        <v>36</v>
      </c>
      <c r="K4898" s="13" t="s">
        <v>36</v>
      </c>
      <c r="L4898" s="15" t="s">
        <v>36</v>
      </c>
      <c r="M4898" s="12" t="s">
        <v>36</v>
      </c>
      <c r="N4898" s="12" t="s">
        <v>36</v>
      </c>
      <c r="O4898" s="17" t="s">
        <v>36</v>
      </c>
      <c r="P4898" s="12" t="s">
        <v>36</v>
      </c>
      <c r="Q4898" s="12" t="s">
        <v>36</v>
      </c>
      <c r="R4898" s="12" t="s">
        <v>36</v>
      </c>
      <c r="S4898" s="12" t="s">
        <v>36</v>
      </c>
      <c r="T4898" s="12" t="s">
        <v>4827</v>
      </c>
      <c r="U4898" s="12" t="s">
        <v>648</v>
      </c>
      <c r="V4898" s="12" t="s">
        <v>64</v>
      </c>
      <c r="W4898" s="12" t="s">
        <v>23549</v>
      </c>
      <c r="X4898" s="16" t="s">
        <v>20727</v>
      </c>
      <c r="Y4898" s="15" t="s">
        <v>42</v>
      </c>
      <c r="Z4898" s="14" t="s">
        <v>36</v>
      </c>
      <c r="AA4898" s="14" t="s">
        <v>36</v>
      </c>
      <c r="AB4898" s="12" t="s">
        <v>56</v>
      </c>
      <c r="AC4898" s="12" t="s">
        <v>23550</v>
      </c>
      <c r="AD4898" s="13">
        <v>43479</v>
      </c>
      <c r="AE4898" s="12" t="s">
        <v>3988</v>
      </c>
      <c r="AF4898" s="12" t="s">
        <v>4284</v>
      </c>
      <c r="AG4898" s="12" t="s">
        <v>81</v>
      </c>
      <c r="AH4898" s="1">
        <f>HYPERLINK("https://my.pitchbook.com?c=195570-10T","View Company Online")</f>
      </c>
    </row>
    <row r="4899">
      <c r="A4899" s="3" t="s">
        <v>23551</v>
      </c>
      <c r="B4899" s="3" t="s">
        <v>12891</v>
      </c>
      <c r="C4899" s="5">
        <v>6</v>
      </c>
      <c r="D4899" s="5">
        <v>22</v>
      </c>
      <c r="E4899" s="5">
        <v>3</v>
      </c>
      <c r="F4899" s="5">
        <v>29</v>
      </c>
      <c r="G4899" s="6" t="s">
        <v>36</v>
      </c>
      <c r="H4899" s="4">
        <v>33.46</v>
      </c>
      <c r="I4899" s="7">
        <v>7.88</v>
      </c>
      <c r="J4899" s="3" t="s">
        <v>521</v>
      </c>
      <c r="K4899" s="9" t="s">
        <v>36</v>
      </c>
      <c r="L4899" s="6" t="s">
        <v>36</v>
      </c>
      <c r="M4899" s="3" t="s">
        <v>36</v>
      </c>
      <c r="N4899" s="3" t="s">
        <v>36</v>
      </c>
      <c r="O4899" s="8" t="s">
        <v>36</v>
      </c>
      <c r="P4899" s="3" t="s">
        <v>36</v>
      </c>
      <c r="Q4899" s="3" t="s">
        <v>36</v>
      </c>
      <c r="R4899" s="3" t="s">
        <v>36</v>
      </c>
      <c r="S4899" s="3" t="s">
        <v>36</v>
      </c>
      <c r="T4899" s="3" t="s">
        <v>4225</v>
      </c>
      <c r="U4899" s="3" t="s">
        <v>96</v>
      </c>
      <c r="V4899" s="3" t="s">
        <v>52</v>
      </c>
      <c r="W4899" s="3" t="s">
        <v>12892</v>
      </c>
      <c r="X4899" s="10" t="s">
        <v>23552</v>
      </c>
      <c r="Y4899" s="6" t="s">
        <v>42</v>
      </c>
      <c r="Z4899" s="4">
        <v>1.71</v>
      </c>
      <c r="AA4899" s="4">
        <v>11.16</v>
      </c>
      <c r="AB4899" s="3" t="s">
        <v>43</v>
      </c>
      <c r="AC4899" s="3" t="s">
        <v>12894</v>
      </c>
      <c r="AD4899" s="9">
        <v>43479</v>
      </c>
      <c r="AE4899" s="3" t="s">
        <v>143</v>
      </c>
      <c r="AF4899" s="3" t="s">
        <v>90</v>
      </c>
      <c r="AG4899" s="3" t="s">
        <v>12895</v>
      </c>
      <c r="AH4899" s="11">
        <f>HYPERLINK("https://my.pitchbook.com?c=120355-66T","View Company Online")</f>
      </c>
    </row>
    <row r="4900">
      <c r="A4900" s="12" t="s">
        <v>23553</v>
      </c>
      <c r="B4900" s="12" t="s">
        <v>23554</v>
      </c>
      <c r="C4900" s="19" t="s">
        <v>36</v>
      </c>
      <c r="D4900" s="19" t="s">
        <v>36</v>
      </c>
      <c r="E4900" s="19" t="s">
        <v>36</v>
      </c>
      <c r="F4900" s="19" t="s">
        <v>36</v>
      </c>
      <c r="G4900" s="15" t="s">
        <v>36</v>
      </c>
      <c r="H4900" s="14" t="s">
        <v>36</v>
      </c>
      <c r="I4900" s="18" t="s">
        <v>36</v>
      </c>
      <c r="J4900" s="12" t="s">
        <v>36</v>
      </c>
      <c r="K4900" s="13">
        <v>43243</v>
      </c>
      <c r="L4900" s="15" t="s">
        <v>36</v>
      </c>
      <c r="M4900" s="12" t="s">
        <v>36</v>
      </c>
      <c r="N4900" s="12" t="s">
        <v>36</v>
      </c>
      <c r="O4900" s="17" t="s">
        <v>36</v>
      </c>
      <c r="P4900" s="12" t="s">
        <v>36</v>
      </c>
      <c r="Q4900" s="12" t="s">
        <v>36</v>
      </c>
      <c r="R4900" s="12" t="s">
        <v>36</v>
      </c>
      <c r="S4900" s="12" t="s">
        <v>36</v>
      </c>
      <c r="T4900" s="12" t="s">
        <v>522</v>
      </c>
      <c r="U4900" s="12" t="s">
        <v>38</v>
      </c>
      <c r="V4900" s="12" t="s">
        <v>39</v>
      </c>
      <c r="W4900" s="12" t="s">
        <v>23555</v>
      </c>
      <c r="X4900" s="16" t="s">
        <v>23556</v>
      </c>
      <c r="Y4900" s="15" t="s">
        <v>55</v>
      </c>
      <c r="Z4900" s="14" t="s">
        <v>36</v>
      </c>
      <c r="AA4900" s="14" t="s">
        <v>36</v>
      </c>
      <c r="AB4900" s="12" t="s">
        <v>56</v>
      </c>
      <c r="AC4900" s="12" t="s">
        <v>23557</v>
      </c>
      <c r="AD4900" s="13">
        <v>43476</v>
      </c>
      <c r="AE4900" s="12" t="s">
        <v>110</v>
      </c>
      <c r="AF4900" s="12" t="s">
        <v>6214</v>
      </c>
      <c r="AG4900" s="12" t="s">
        <v>899</v>
      </c>
      <c r="AH4900" s="1">
        <f>HYPERLINK("https://my.pitchbook.com?c=156230-29T","View Company Online")</f>
      </c>
    </row>
    <row r="4901">
      <c r="A4901" s="3" t="s">
        <v>23558</v>
      </c>
      <c r="B4901" s="3" t="s">
        <v>23559</v>
      </c>
      <c r="C4901" s="5">
        <v>16</v>
      </c>
      <c r="D4901" s="5">
        <v>170</v>
      </c>
      <c r="E4901" s="5">
        <v>31</v>
      </c>
      <c r="F4901" s="5">
        <v>193</v>
      </c>
      <c r="G4901" s="6" t="s">
        <v>326</v>
      </c>
      <c r="H4901" s="4">
        <v>0.93</v>
      </c>
      <c r="I4901" s="7">
        <v>46.24</v>
      </c>
      <c r="J4901" s="3" t="s">
        <v>521</v>
      </c>
      <c r="K4901" s="9">
        <v>43462</v>
      </c>
      <c r="L4901" s="6" t="s">
        <v>94</v>
      </c>
      <c r="M4901" s="3" t="s">
        <v>36</v>
      </c>
      <c r="N4901" s="3" t="s">
        <v>94</v>
      </c>
      <c r="O4901" s="8" t="s">
        <v>36</v>
      </c>
      <c r="P4901" s="3" t="s">
        <v>36</v>
      </c>
      <c r="Q4901" s="3" t="s">
        <v>36</v>
      </c>
      <c r="R4901" s="3" t="s">
        <v>36</v>
      </c>
      <c r="S4901" s="3" t="s">
        <v>36</v>
      </c>
      <c r="T4901" s="3" t="s">
        <v>4225</v>
      </c>
      <c r="U4901" s="3" t="s">
        <v>96</v>
      </c>
      <c r="V4901" s="3" t="s">
        <v>52</v>
      </c>
      <c r="W4901" s="3" t="s">
        <v>23560</v>
      </c>
      <c r="X4901" s="10" t="s">
        <v>23561</v>
      </c>
      <c r="Y4901" s="6" t="s">
        <v>55</v>
      </c>
      <c r="Z4901" s="4">
        <v>36.5</v>
      </c>
      <c r="AA4901" s="4">
        <v>55.51</v>
      </c>
      <c r="AB4901" s="3" t="s">
        <v>56</v>
      </c>
      <c r="AC4901" s="3" t="s">
        <v>23562</v>
      </c>
      <c r="AD4901" s="9">
        <v>43475</v>
      </c>
      <c r="AE4901" s="3" t="s">
        <v>143</v>
      </c>
      <c r="AF4901" s="3" t="s">
        <v>101</v>
      </c>
      <c r="AG4901" s="3" t="s">
        <v>81</v>
      </c>
      <c r="AH4901" s="11">
        <f>HYPERLINK("https://my.pitchbook.com?c=115629-04T","View Company Online")</f>
      </c>
    </row>
    <row r="4902">
      <c r="A4902" s="12" t="s">
        <v>23563</v>
      </c>
      <c r="B4902" s="12" t="s">
        <v>1608</v>
      </c>
      <c r="C4902" s="19">
        <v>3</v>
      </c>
      <c r="D4902" s="19">
        <v>2</v>
      </c>
      <c r="E4902" s="19">
        <v>2</v>
      </c>
      <c r="F4902" s="19">
        <v>5</v>
      </c>
      <c r="G4902" s="15" t="s">
        <v>36</v>
      </c>
      <c r="H4902" s="14" t="s">
        <v>36</v>
      </c>
      <c r="I4902" s="18" t="s">
        <v>36</v>
      </c>
      <c r="J4902" s="12" t="s">
        <v>36</v>
      </c>
      <c r="K4902" s="13" t="s">
        <v>36</v>
      </c>
      <c r="L4902" s="15" t="s">
        <v>36</v>
      </c>
      <c r="M4902" s="12" t="s">
        <v>36</v>
      </c>
      <c r="N4902" s="12" t="s">
        <v>36</v>
      </c>
      <c r="O4902" s="17" t="s">
        <v>36</v>
      </c>
      <c r="P4902" s="12" t="s">
        <v>36</v>
      </c>
      <c r="Q4902" s="12" t="s">
        <v>36</v>
      </c>
      <c r="R4902" s="12" t="s">
        <v>36</v>
      </c>
      <c r="S4902" s="12" t="s">
        <v>36</v>
      </c>
      <c r="T4902" s="12" t="s">
        <v>1162</v>
      </c>
      <c r="U4902" s="12" t="s">
        <v>423</v>
      </c>
      <c r="V4902" s="12" t="s">
        <v>64</v>
      </c>
      <c r="W4902" s="12" t="s">
        <v>1609</v>
      </c>
      <c r="X4902" s="16" t="s">
        <v>14013</v>
      </c>
      <c r="Y4902" s="15" t="s">
        <v>42</v>
      </c>
      <c r="Z4902" s="14" t="s">
        <v>36</v>
      </c>
      <c r="AA4902" s="14" t="s">
        <v>36</v>
      </c>
      <c r="AB4902" s="12" t="s">
        <v>43</v>
      </c>
      <c r="AC4902" s="12" t="s">
        <v>1611</v>
      </c>
      <c r="AD4902" s="13">
        <v>43474</v>
      </c>
      <c r="AE4902" s="12" t="s">
        <v>562</v>
      </c>
      <c r="AF4902" s="12" t="s">
        <v>1612</v>
      </c>
      <c r="AG4902" s="12" t="s">
        <v>81</v>
      </c>
      <c r="AH4902" s="1">
        <f>HYPERLINK("https://my.pitchbook.com?c=218461-51T","View Company Online")</f>
      </c>
    </row>
    <row r="4903">
      <c r="A4903" s="3" t="s">
        <v>23564</v>
      </c>
      <c r="B4903" s="3" t="s">
        <v>19857</v>
      </c>
      <c r="C4903" s="5" t="s">
        <v>36</v>
      </c>
      <c r="D4903" s="5" t="s">
        <v>36</v>
      </c>
      <c r="E4903" s="5" t="s">
        <v>36</v>
      </c>
      <c r="F4903" s="5" t="s">
        <v>36</v>
      </c>
      <c r="G4903" s="6" t="s">
        <v>36</v>
      </c>
      <c r="H4903" s="4">
        <v>1047.33</v>
      </c>
      <c r="I4903" s="7">
        <v>26.51</v>
      </c>
      <c r="J4903" s="3" t="s">
        <v>521</v>
      </c>
      <c r="K4903" s="9" t="s">
        <v>36</v>
      </c>
      <c r="L4903" s="6" t="s">
        <v>36</v>
      </c>
      <c r="M4903" s="3" t="s">
        <v>36</v>
      </c>
      <c r="N4903" s="3" t="s">
        <v>36</v>
      </c>
      <c r="O4903" s="8" t="s">
        <v>36</v>
      </c>
      <c r="P4903" s="3" t="s">
        <v>36</v>
      </c>
      <c r="Q4903" s="3" t="s">
        <v>36</v>
      </c>
      <c r="R4903" s="3" t="s">
        <v>36</v>
      </c>
      <c r="S4903" s="3" t="s">
        <v>36</v>
      </c>
      <c r="T4903" s="3" t="s">
        <v>15452</v>
      </c>
      <c r="U4903" s="3" t="s">
        <v>180</v>
      </c>
      <c r="V4903" s="3" t="s">
        <v>52</v>
      </c>
      <c r="W4903" s="3" t="s">
        <v>19858</v>
      </c>
      <c r="X4903" s="10" t="s">
        <v>10226</v>
      </c>
      <c r="Y4903" s="6" t="s">
        <v>42</v>
      </c>
      <c r="Z4903" s="4">
        <v>1.04</v>
      </c>
      <c r="AA4903" s="4">
        <v>3.92</v>
      </c>
      <c r="AB4903" s="3" t="s">
        <v>43</v>
      </c>
      <c r="AC4903" s="3" t="s">
        <v>19860</v>
      </c>
      <c r="AD4903" s="9">
        <v>43474</v>
      </c>
      <c r="AE4903" s="3" t="s">
        <v>184</v>
      </c>
      <c r="AF4903" s="3" t="s">
        <v>12554</v>
      </c>
      <c r="AG4903" s="3" t="s">
        <v>1498</v>
      </c>
      <c r="AH4903" s="11">
        <f>HYPERLINK("https://my.pitchbook.com?c=139276-18T","View Company Online")</f>
      </c>
    </row>
    <row r="4904">
      <c r="A4904" s="12" t="s">
        <v>23565</v>
      </c>
      <c r="B4904" s="12" t="s">
        <v>23566</v>
      </c>
      <c r="C4904" s="19" t="s">
        <v>36</v>
      </c>
      <c r="D4904" s="19" t="s">
        <v>36</v>
      </c>
      <c r="E4904" s="19" t="s">
        <v>36</v>
      </c>
      <c r="F4904" s="19" t="s">
        <v>36</v>
      </c>
      <c r="G4904" s="15" t="s">
        <v>36</v>
      </c>
      <c r="H4904" s="14">
        <v>20.77</v>
      </c>
      <c r="I4904" s="18">
        <v>17.41</v>
      </c>
      <c r="J4904" s="12" t="s">
        <v>521</v>
      </c>
      <c r="K4904" s="13">
        <v>43405</v>
      </c>
      <c r="L4904" s="15" t="s">
        <v>36</v>
      </c>
      <c r="M4904" s="12" t="s">
        <v>36</v>
      </c>
      <c r="N4904" s="12" t="s">
        <v>36</v>
      </c>
      <c r="O4904" s="17" t="s">
        <v>36</v>
      </c>
      <c r="P4904" s="12" t="s">
        <v>36</v>
      </c>
      <c r="Q4904" s="12" t="s">
        <v>36</v>
      </c>
      <c r="R4904" s="12" t="s">
        <v>36</v>
      </c>
      <c r="S4904" s="12" t="s">
        <v>36</v>
      </c>
      <c r="T4904" s="12" t="s">
        <v>23567</v>
      </c>
      <c r="U4904" s="12" t="s">
        <v>648</v>
      </c>
      <c r="V4904" s="12" t="s">
        <v>64</v>
      </c>
      <c r="W4904" s="12" t="s">
        <v>23568</v>
      </c>
      <c r="X4904" s="16" t="s">
        <v>23569</v>
      </c>
      <c r="Y4904" s="15" t="s">
        <v>42</v>
      </c>
      <c r="Z4904" s="14">
        <v>0.29</v>
      </c>
      <c r="AA4904" s="14">
        <v>1.66</v>
      </c>
      <c r="AB4904" s="12" t="s">
        <v>43</v>
      </c>
      <c r="AC4904" s="12" t="s">
        <v>23570</v>
      </c>
      <c r="AD4904" s="13">
        <v>43474</v>
      </c>
      <c r="AE4904" s="12" t="s">
        <v>3988</v>
      </c>
      <c r="AF4904" s="12" t="s">
        <v>23571</v>
      </c>
      <c r="AG4904" s="12" t="s">
        <v>23572</v>
      </c>
      <c r="AH4904" s="1">
        <f>HYPERLINK("https://my.pitchbook.com?c=192233-62T","View Company Online")</f>
      </c>
    </row>
    <row r="4905">
      <c r="A4905" s="3" t="s">
        <v>23573</v>
      </c>
      <c r="B4905" s="3" t="s">
        <v>9938</v>
      </c>
      <c r="C4905" s="5" t="s">
        <v>36</v>
      </c>
      <c r="D4905" s="5" t="s">
        <v>36</v>
      </c>
      <c r="E4905" s="5" t="s">
        <v>36</v>
      </c>
      <c r="F4905" s="5" t="s">
        <v>36</v>
      </c>
      <c r="G4905" s="6" t="s">
        <v>326</v>
      </c>
      <c r="H4905" s="4">
        <v>1038.57</v>
      </c>
      <c r="I4905" s="7">
        <v>31.49</v>
      </c>
      <c r="J4905" s="3" t="s">
        <v>521</v>
      </c>
      <c r="K4905" s="9">
        <v>43444</v>
      </c>
      <c r="L4905" s="6" t="s">
        <v>36</v>
      </c>
      <c r="M4905" s="3" t="s">
        <v>36</v>
      </c>
      <c r="N4905" s="3" t="s">
        <v>36</v>
      </c>
      <c r="O4905" s="8" t="s">
        <v>36</v>
      </c>
      <c r="P4905" s="3" t="s">
        <v>36</v>
      </c>
      <c r="Q4905" s="3" t="s">
        <v>36</v>
      </c>
      <c r="R4905" s="3" t="s">
        <v>36</v>
      </c>
      <c r="S4905" s="3" t="s">
        <v>36</v>
      </c>
      <c r="T4905" s="3" t="s">
        <v>2405</v>
      </c>
      <c r="U4905" s="3" t="s">
        <v>648</v>
      </c>
      <c r="V4905" s="3" t="s">
        <v>64</v>
      </c>
      <c r="W4905" s="3" t="s">
        <v>9939</v>
      </c>
      <c r="X4905" s="10" t="s">
        <v>23574</v>
      </c>
      <c r="Y4905" s="6" t="s">
        <v>108</v>
      </c>
      <c r="Z4905" s="4">
        <v>1.69</v>
      </c>
      <c r="AA4905" s="4">
        <v>2.24</v>
      </c>
      <c r="AB4905" s="3" t="s">
        <v>43</v>
      </c>
      <c r="AC4905" s="3" t="s">
        <v>9941</v>
      </c>
      <c r="AD4905" s="9">
        <v>43474</v>
      </c>
      <c r="AE4905" s="3" t="s">
        <v>1897</v>
      </c>
      <c r="AF4905" s="3" t="s">
        <v>1115</v>
      </c>
      <c r="AG4905" s="3" t="s">
        <v>9942</v>
      </c>
      <c r="AH4905" s="11">
        <f>HYPERLINK("https://my.pitchbook.com?c=115587-64T","View Company Online")</f>
      </c>
    </row>
    <row r="4906">
      <c r="A4906" s="12" t="s">
        <v>23575</v>
      </c>
      <c r="B4906" s="12" t="s">
        <v>23576</v>
      </c>
      <c r="C4906" s="19" t="s">
        <v>36</v>
      </c>
      <c r="D4906" s="19" t="s">
        <v>36</v>
      </c>
      <c r="E4906" s="19" t="s">
        <v>36</v>
      </c>
      <c r="F4906" s="19" t="s">
        <v>36</v>
      </c>
      <c r="G4906" s="15" t="s">
        <v>36</v>
      </c>
      <c r="H4906" s="14" t="s">
        <v>36</v>
      </c>
      <c r="I4906" s="18" t="s">
        <v>36</v>
      </c>
      <c r="J4906" s="12" t="s">
        <v>36</v>
      </c>
      <c r="K4906" s="13" t="s">
        <v>36</v>
      </c>
      <c r="L4906" s="15" t="s">
        <v>36</v>
      </c>
      <c r="M4906" s="12" t="s">
        <v>36</v>
      </c>
      <c r="N4906" s="12" t="s">
        <v>36</v>
      </c>
      <c r="O4906" s="17" t="s">
        <v>36</v>
      </c>
      <c r="P4906" s="12" t="s">
        <v>36</v>
      </c>
      <c r="Q4906" s="12" t="s">
        <v>36</v>
      </c>
      <c r="R4906" s="12" t="s">
        <v>36</v>
      </c>
      <c r="S4906" s="12" t="s">
        <v>36</v>
      </c>
      <c r="T4906" s="12" t="s">
        <v>464</v>
      </c>
      <c r="U4906" s="12" t="s">
        <v>38</v>
      </c>
      <c r="V4906" s="12" t="s">
        <v>39</v>
      </c>
      <c r="W4906" s="12" t="s">
        <v>23577</v>
      </c>
      <c r="X4906" s="16" t="s">
        <v>23578</v>
      </c>
      <c r="Y4906" s="15" t="s">
        <v>321</v>
      </c>
      <c r="Z4906" s="14">
        <v>50</v>
      </c>
      <c r="AA4906" s="14" t="s">
        <v>36</v>
      </c>
      <c r="AB4906" s="12" t="s">
        <v>56</v>
      </c>
      <c r="AC4906" s="12" t="s">
        <v>23579</v>
      </c>
      <c r="AD4906" s="13">
        <v>43474</v>
      </c>
      <c r="AE4906" s="12" t="s">
        <v>110</v>
      </c>
      <c r="AF4906" s="12" t="s">
        <v>19562</v>
      </c>
      <c r="AG4906" s="12" t="s">
        <v>2760</v>
      </c>
      <c r="AH4906" s="1">
        <f>HYPERLINK("https://my.pitchbook.com?c=115358-95T","View Company Online")</f>
      </c>
    </row>
    <row r="4907">
      <c r="A4907" s="3" t="s">
        <v>23580</v>
      </c>
      <c r="B4907" s="3" t="s">
        <v>23581</v>
      </c>
      <c r="C4907" s="5" t="s">
        <v>36</v>
      </c>
      <c r="D4907" s="5" t="s">
        <v>36</v>
      </c>
      <c r="E4907" s="5" t="s">
        <v>36</v>
      </c>
      <c r="F4907" s="5" t="s">
        <v>36</v>
      </c>
      <c r="G4907" s="6" t="s">
        <v>326</v>
      </c>
      <c r="H4907" s="4">
        <v>57.12</v>
      </c>
      <c r="I4907" s="7">
        <v>9.9</v>
      </c>
      <c r="J4907" s="3" t="s">
        <v>521</v>
      </c>
      <c r="K4907" s="9" t="s">
        <v>36</v>
      </c>
      <c r="L4907" s="6" t="s">
        <v>36</v>
      </c>
      <c r="M4907" s="3" t="s">
        <v>36</v>
      </c>
      <c r="N4907" s="3" t="s">
        <v>36</v>
      </c>
      <c r="O4907" s="8" t="s">
        <v>36</v>
      </c>
      <c r="P4907" s="3" t="s">
        <v>36</v>
      </c>
      <c r="Q4907" s="3" t="s">
        <v>36</v>
      </c>
      <c r="R4907" s="3" t="s">
        <v>36</v>
      </c>
      <c r="S4907" s="3" t="s">
        <v>36</v>
      </c>
      <c r="T4907" s="3" t="s">
        <v>197</v>
      </c>
      <c r="U4907" s="3" t="s">
        <v>38</v>
      </c>
      <c r="V4907" s="3" t="s">
        <v>39</v>
      </c>
      <c r="W4907" s="3" t="s">
        <v>23582</v>
      </c>
      <c r="X4907" s="10" t="s">
        <v>23583</v>
      </c>
      <c r="Y4907" s="6" t="s">
        <v>42</v>
      </c>
      <c r="Z4907" s="4">
        <v>0.19</v>
      </c>
      <c r="AA4907" s="4">
        <v>1.9</v>
      </c>
      <c r="AB4907" s="3" t="s">
        <v>56</v>
      </c>
      <c r="AC4907" s="3" t="s">
        <v>23584</v>
      </c>
      <c r="AD4907" s="9">
        <v>43473</v>
      </c>
      <c r="AE4907" s="3" t="s">
        <v>110</v>
      </c>
      <c r="AF4907" s="3" t="s">
        <v>1636</v>
      </c>
      <c r="AG4907" s="3" t="s">
        <v>2542</v>
      </c>
      <c r="AH4907" s="11">
        <f>HYPERLINK("https://my.pitchbook.com?c=24433-84T","View Company Online")</f>
      </c>
    </row>
    <row r="4908">
      <c r="A4908" s="12" t="s">
        <v>23585</v>
      </c>
      <c r="B4908" s="12" t="s">
        <v>7709</v>
      </c>
      <c r="C4908" s="19" t="s">
        <v>36</v>
      </c>
      <c r="D4908" s="19" t="s">
        <v>36</v>
      </c>
      <c r="E4908" s="19" t="s">
        <v>36</v>
      </c>
      <c r="F4908" s="19" t="s">
        <v>36</v>
      </c>
      <c r="G4908" s="15" t="s">
        <v>36</v>
      </c>
      <c r="H4908" s="14">
        <v>104.21</v>
      </c>
      <c r="I4908" s="18">
        <v>40.42</v>
      </c>
      <c r="J4908" s="12" t="s">
        <v>521</v>
      </c>
      <c r="K4908" s="13" t="s">
        <v>36</v>
      </c>
      <c r="L4908" s="15" t="s">
        <v>122</v>
      </c>
      <c r="M4908" s="12" t="s">
        <v>36</v>
      </c>
      <c r="N4908" s="12" t="s">
        <v>122</v>
      </c>
      <c r="O4908" s="17" t="s">
        <v>36</v>
      </c>
      <c r="P4908" s="12" t="s">
        <v>36</v>
      </c>
      <c r="Q4908" s="12" t="s">
        <v>36</v>
      </c>
      <c r="R4908" s="12" t="s">
        <v>36</v>
      </c>
      <c r="S4908" s="12" t="s">
        <v>36</v>
      </c>
      <c r="T4908" s="12" t="s">
        <v>1560</v>
      </c>
      <c r="U4908" s="12" t="s">
        <v>438</v>
      </c>
      <c r="V4908" s="12" t="s">
        <v>405</v>
      </c>
      <c r="W4908" s="12" t="s">
        <v>7710</v>
      </c>
      <c r="X4908" s="16" t="s">
        <v>23586</v>
      </c>
      <c r="Y4908" s="15" t="s">
        <v>42</v>
      </c>
      <c r="Z4908" s="14">
        <v>3</v>
      </c>
      <c r="AA4908" s="14">
        <v>7.42</v>
      </c>
      <c r="AB4908" s="12" t="s">
        <v>56</v>
      </c>
      <c r="AC4908" s="12" t="s">
        <v>7712</v>
      </c>
      <c r="AD4908" s="13">
        <v>43472</v>
      </c>
      <c r="AE4908" s="12" t="s">
        <v>438</v>
      </c>
      <c r="AF4908" s="12" t="s">
        <v>799</v>
      </c>
      <c r="AG4908" s="12" t="s">
        <v>81</v>
      </c>
      <c r="AH4908" s="1">
        <f>HYPERLINK("https://my.pitchbook.com?c=114547-60T","View Company Online")</f>
      </c>
    </row>
    <row r="4909">
      <c r="A4909" s="3" t="s">
        <v>23587</v>
      </c>
      <c r="B4909" s="3" t="s">
        <v>23588</v>
      </c>
      <c r="C4909" s="5">
        <v>1</v>
      </c>
      <c r="D4909" s="5">
        <v>2</v>
      </c>
      <c r="E4909" s="5">
        <v>2</v>
      </c>
      <c r="F4909" s="5">
        <v>4</v>
      </c>
      <c r="G4909" s="6" t="s">
        <v>36</v>
      </c>
      <c r="H4909" s="4" t="s">
        <v>36</v>
      </c>
      <c r="I4909" s="7" t="s">
        <v>36</v>
      </c>
      <c r="J4909" s="3" t="s">
        <v>36</v>
      </c>
      <c r="K4909" s="9" t="s">
        <v>36</v>
      </c>
      <c r="L4909" s="6" t="s">
        <v>36</v>
      </c>
      <c r="M4909" s="3" t="s">
        <v>36</v>
      </c>
      <c r="N4909" s="3" t="s">
        <v>36</v>
      </c>
      <c r="O4909" s="8" t="s">
        <v>36</v>
      </c>
      <c r="P4909" s="3" t="s">
        <v>36</v>
      </c>
      <c r="Q4909" s="3" t="s">
        <v>36</v>
      </c>
      <c r="R4909" s="3" t="s">
        <v>36</v>
      </c>
      <c r="S4909" s="3" t="s">
        <v>36</v>
      </c>
      <c r="T4909" s="3" t="s">
        <v>1701</v>
      </c>
      <c r="U4909" s="3" t="s">
        <v>74</v>
      </c>
      <c r="V4909" s="3" t="s">
        <v>75</v>
      </c>
      <c r="W4909" s="3" t="s">
        <v>23589</v>
      </c>
      <c r="X4909" s="10" t="s">
        <v>23590</v>
      </c>
      <c r="Y4909" s="6" t="s">
        <v>108</v>
      </c>
      <c r="Z4909" s="4">
        <v>4.1</v>
      </c>
      <c r="AA4909" s="4" t="s">
        <v>36</v>
      </c>
      <c r="AB4909" s="3" t="s">
        <v>56</v>
      </c>
      <c r="AC4909" s="3" t="s">
        <v>23591</v>
      </c>
      <c r="AD4909" s="9">
        <v>43472</v>
      </c>
      <c r="AE4909" s="3" t="s">
        <v>79</v>
      </c>
      <c r="AF4909" s="3" t="s">
        <v>23592</v>
      </c>
      <c r="AG4909" s="3" t="s">
        <v>81</v>
      </c>
      <c r="AH4909" s="11">
        <f>HYPERLINK("https://my.pitchbook.com?c=130741-03T","View Company Online")</f>
      </c>
    </row>
    <row r="4910">
      <c r="A4910" s="12" t="s">
        <v>23593</v>
      </c>
      <c r="B4910" s="12" t="s">
        <v>23594</v>
      </c>
      <c r="C4910" s="19" t="s">
        <v>36</v>
      </c>
      <c r="D4910" s="19" t="s">
        <v>36</v>
      </c>
      <c r="E4910" s="19" t="s">
        <v>36</v>
      </c>
      <c r="F4910" s="19" t="s">
        <v>36</v>
      </c>
      <c r="G4910" s="15" t="s">
        <v>36</v>
      </c>
      <c r="H4910" s="14">
        <v>4.1</v>
      </c>
      <c r="I4910" s="18" t="s">
        <v>36</v>
      </c>
      <c r="J4910" s="12" t="s">
        <v>521</v>
      </c>
      <c r="K4910" s="13">
        <v>43405</v>
      </c>
      <c r="L4910" s="15" t="s">
        <v>36</v>
      </c>
      <c r="M4910" s="12" t="s">
        <v>36</v>
      </c>
      <c r="N4910" s="12" t="s">
        <v>36</v>
      </c>
      <c r="O4910" s="17" t="s">
        <v>36</v>
      </c>
      <c r="P4910" s="12" t="s">
        <v>36</v>
      </c>
      <c r="Q4910" s="12" t="s">
        <v>3530</v>
      </c>
      <c r="R4910" s="12" t="s">
        <v>12841</v>
      </c>
      <c r="S4910" s="12" t="s">
        <v>36</v>
      </c>
      <c r="T4910" s="12" t="s">
        <v>5576</v>
      </c>
      <c r="U4910" s="12" t="s">
        <v>38</v>
      </c>
      <c r="V4910" s="12" t="s">
        <v>39</v>
      </c>
      <c r="W4910" s="12" t="s">
        <v>23595</v>
      </c>
      <c r="X4910" s="16" t="s">
        <v>23596</v>
      </c>
      <c r="Y4910" s="15" t="s">
        <v>108</v>
      </c>
      <c r="Z4910" s="14">
        <v>3.32</v>
      </c>
      <c r="AA4910" s="14">
        <v>9.67</v>
      </c>
      <c r="AB4910" s="12" t="s">
        <v>43</v>
      </c>
      <c r="AC4910" s="12" t="s">
        <v>23597</v>
      </c>
      <c r="AD4910" s="13">
        <v>43469</v>
      </c>
      <c r="AE4910" s="12" t="s">
        <v>110</v>
      </c>
      <c r="AF4910" s="12" t="s">
        <v>1077</v>
      </c>
      <c r="AG4910" s="12" t="s">
        <v>47</v>
      </c>
      <c r="AH4910" s="1">
        <f>HYPERLINK("https://my.pitchbook.com?c=121372-03T","View Company Online")</f>
      </c>
    </row>
    <row r="4911">
      <c r="A4911" s="3" t="s">
        <v>23598</v>
      </c>
      <c r="B4911" s="3" t="s">
        <v>23599</v>
      </c>
      <c r="C4911" s="5" t="s">
        <v>36</v>
      </c>
      <c r="D4911" s="5" t="s">
        <v>36</v>
      </c>
      <c r="E4911" s="5" t="s">
        <v>36</v>
      </c>
      <c r="F4911" s="5" t="s">
        <v>36</v>
      </c>
      <c r="G4911" s="6" t="s">
        <v>2497</v>
      </c>
      <c r="H4911" s="4">
        <v>38.15</v>
      </c>
      <c r="I4911" s="7">
        <v>21.88</v>
      </c>
      <c r="J4911" s="3" t="s">
        <v>521</v>
      </c>
      <c r="K4911" s="9" t="s">
        <v>36</v>
      </c>
      <c r="L4911" s="6" t="s">
        <v>36</v>
      </c>
      <c r="M4911" s="3" t="s">
        <v>36</v>
      </c>
      <c r="N4911" s="3" t="s">
        <v>36</v>
      </c>
      <c r="O4911" s="8" t="s">
        <v>36</v>
      </c>
      <c r="P4911" s="3" t="s">
        <v>36</v>
      </c>
      <c r="Q4911" s="3" t="s">
        <v>36</v>
      </c>
      <c r="R4911" s="3" t="s">
        <v>36</v>
      </c>
      <c r="S4911" s="3" t="s">
        <v>36</v>
      </c>
      <c r="T4911" s="3" t="s">
        <v>23600</v>
      </c>
      <c r="U4911" s="3" t="s">
        <v>74</v>
      </c>
      <c r="V4911" s="3" t="s">
        <v>75</v>
      </c>
      <c r="W4911" s="3" t="s">
        <v>23601</v>
      </c>
      <c r="X4911" s="10" t="s">
        <v>23602</v>
      </c>
      <c r="Y4911" s="6" t="s">
        <v>42</v>
      </c>
      <c r="Z4911" s="4">
        <v>0.8</v>
      </c>
      <c r="AA4911" s="4">
        <v>3.64</v>
      </c>
      <c r="AB4911" s="3" t="s">
        <v>56</v>
      </c>
      <c r="AC4911" s="3" t="s">
        <v>23603</v>
      </c>
      <c r="AD4911" s="9">
        <v>43468</v>
      </c>
      <c r="AE4911" s="3" t="s">
        <v>1243</v>
      </c>
      <c r="AF4911" s="3" t="s">
        <v>36</v>
      </c>
      <c r="AG4911" s="3" t="s">
        <v>1362</v>
      </c>
      <c r="AH4911" s="11">
        <f>HYPERLINK("https://my.pitchbook.com?c=160377-49T","View Company Online")</f>
      </c>
    </row>
    <row r="4912">
      <c r="A4912" s="12" t="s">
        <v>23604</v>
      </c>
      <c r="B4912" s="12" t="s">
        <v>23605</v>
      </c>
      <c r="C4912" s="19">
        <v>2</v>
      </c>
      <c r="D4912" s="19" t="s">
        <v>36</v>
      </c>
      <c r="E4912" s="19">
        <v>2</v>
      </c>
      <c r="F4912" s="19">
        <v>2</v>
      </c>
      <c r="G4912" s="15" t="s">
        <v>36</v>
      </c>
      <c r="H4912" s="14" t="s">
        <v>36</v>
      </c>
      <c r="I4912" s="18" t="s">
        <v>36</v>
      </c>
      <c r="J4912" s="12" t="s">
        <v>36</v>
      </c>
      <c r="K4912" s="13" t="s">
        <v>36</v>
      </c>
      <c r="L4912" s="15" t="s">
        <v>36</v>
      </c>
      <c r="M4912" s="12" t="s">
        <v>36</v>
      </c>
      <c r="N4912" s="12" t="s">
        <v>36</v>
      </c>
      <c r="O4912" s="17" t="s">
        <v>36</v>
      </c>
      <c r="P4912" s="12" t="s">
        <v>36</v>
      </c>
      <c r="Q4912" s="12" t="s">
        <v>36</v>
      </c>
      <c r="R4912" s="12" t="s">
        <v>36</v>
      </c>
      <c r="S4912" s="12" t="s">
        <v>36</v>
      </c>
      <c r="T4912" s="12" t="s">
        <v>3790</v>
      </c>
      <c r="U4912" s="12" t="s">
        <v>318</v>
      </c>
      <c r="V4912" s="12" t="s">
        <v>39</v>
      </c>
      <c r="W4912" s="12" t="s">
        <v>23606</v>
      </c>
      <c r="X4912" s="16" t="s">
        <v>23607</v>
      </c>
      <c r="Y4912" s="15" t="s">
        <v>55</v>
      </c>
      <c r="Z4912" s="14">
        <v>4.33</v>
      </c>
      <c r="AA4912" s="14" t="s">
        <v>36</v>
      </c>
      <c r="AB4912" s="12" t="s">
        <v>56</v>
      </c>
      <c r="AC4912" s="12" t="s">
        <v>23608</v>
      </c>
      <c r="AD4912" s="13">
        <v>43466</v>
      </c>
      <c r="AE4912" s="12" t="s">
        <v>763</v>
      </c>
      <c r="AF4912" s="12" t="s">
        <v>23609</v>
      </c>
      <c r="AG4912" s="12" t="s">
        <v>21727</v>
      </c>
      <c r="AH4912" s="1">
        <f>HYPERLINK("https://my.pitchbook.com?c=127218-61T","View Company Online")</f>
      </c>
    </row>
    <row r="4913">
      <c r="A4913" s="3" t="s">
        <v>23610</v>
      </c>
      <c r="B4913" s="3" t="s">
        <v>7507</v>
      </c>
      <c r="C4913" s="5">
        <v>6</v>
      </c>
      <c r="D4913" s="5">
        <v>3</v>
      </c>
      <c r="E4913" s="5">
        <v>11</v>
      </c>
      <c r="F4913" s="5">
        <v>16</v>
      </c>
      <c r="G4913" s="6" t="s">
        <v>36</v>
      </c>
      <c r="H4913" s="4" t="s">
        <v>36</v>
      </c>
      <c r="I4913" s="7" t="s">
        <v>36</v>
      </c>
      <c r="J4913" s="3" t="s">
        <v>36</v>
      </c>
      <c r="K4913" s="9" t="s">
        <v>36</v>
      </c>
      <c r="L4913" s="6" t="s">
        <v>36</v>
      </c>
      <c r="M4913" s="3" t="s">
        <v>36</v>
      </c>
      <c r="N4913" s="3" t="s">
        <v>36</v>
      </c>
      <c r="O4913" s="8" t="s">
        <v>36</v>
      </c>
      <c r="P4913" s="3" t="s">
        <v>36</v>
      </c>
      <c r="Q4913" s="3" t="s">
        <v>36</v>
      </c>
      <c r="R4913" s="3" t="s">
        <v>36</v>
      </c>
      <c r="S4913" s="3" t="s">
        <v>36</v>
      </c>
      <c r="T4913" s="3" t="s">
        <v>596</v>
      </c>
      <c r="U4913" s="3" t="s">
        <v>366</v>
      </c>
      <c r="V4913" s="3" t="s">
        <v>367</v>
      </c>
      <c r="W4913" s="3" t="s">
        <v>7508</v>
      </c>
      <c r="X4913" s="10" t="s">
        <v>23611</v>
      </c>
      <c r="Y4913" s="6" t="s">
        <v>42</v>
      </c>
      <c r="Z4913" s="4">
        <v>2.28</v>
      </c>
      <c r="AA4913" s="4" t="s">
        <v>36</v>
      </c>
      <c r="AB4913" s="3" t="s">
        <v>43</v>
      </c>
      <c r="AC4913" s="3" t="s">
        <v>7510</v>
      </c>
      <c r="AD4913" s="9">
        <v>43466</v>
      </c>
      <c r="AE4913" s="3" t="s">
        <v>600</v>
      </c>
      <c r="AF4913" s="3" t="s">
        <v>1340</v>
      </c>
      <c r="AG4913" s="3" t="s">
        <v>186</v>
      </c>
      <c r="AH4913" s="11">
        <f>HYPERLINK("https://my.pitchbook.com?c=132810-58T","View Company Online")</f>
      </c>
    </row>
    <row r="4914">
      <c r="A4914" s="12" t="s">
        <v>23612</v>
      </c>
      <c r="B4914" s="12" t="s">
        <v>23613</v>
      </c>
      <c r="C4914" s="19" t="s">
        <v>36</v>
      </c>
      <c r="D4914" s="19" t="s">
        <v>36</v>
      </c>
      <c r="E4914" s="19" t="s">
        <v>36</v>
      </c>
      <c r="F4914" s="19" t="s">
        <v>36</v>
      </c>
      <c r="G4914" s="15" t="s">
        <v>36</v>
      </c>
      <c r="H4914" s="14" t="s">
        <v>36</v>
      </c>
      <c r="I4914" s="18" t="s">
        <v>36</v>
      </c>
      <c r="J4914" s="12" t="s">
        <v>36</v>
      </c>
      <c r="K4914" s="13" t="s">
        <v>36</v>
      </c>
      <c r="L4914" s="15" t="s">
        <v>36</v>
      </c>
      <c r="M4914" s="12" t="s">
        <v>36</v>
      </c>
      <c r="N4914" s="12" t="s">
        <v>36</v>
      </c>
      <c r="O4914" s="17" t="s">
        <v>36</v>
      </c>
      <c r="P4914" s="12" t="s">
        <v>36</v>
      </c>
      <c r="Q4914" s="12" t="s">
        <v>36</v>
      </c>
      <c r="R4914" s="12" t="s">
        <v>36</v>
      </c>
      <c r="S4914" s="12" t="s">
        <v>36</v>
      </c>
      <c r="T4914" s="12" t="s">
        <v>2558</v>
      </c>
      <c r="U4914" s="12" t="s">
        <v>38</v>
      </c>
      <c r="V4914" s="12" t="s">
        <v>39</v>
      </c>
      <c r="W4914" s="12" t="s">
        <v>23614</v>
      </c>
      <c r="X4914" s="16" t="s">
        <v>2329</v>
      </c>
      <c r="Y4914" s="15" t="s">
        <v>42</v>
      </c>
      <c r="Z4914" s="14">
        <v>0.28</v>
      </c>
      <c r="AA4914" s="14" t="s">
        <v>36</v>
      </c>
      <c r="AB4914" s="12" t="s">
        <v>43</v>
      </c>
      <c r="AC4914" s="12" t="s">
        <v>23615</v>
      </c>
      <c r="AD4914" s="13">
        <v>43466</v>
      </c>
      <c r="AE4914" s="12" t="s">
        <v>110</v>
      </c>
      <c r="AF4914" s="12" t="s">
        <v>2759</v>
      </c>
      <c r="AG4914" s="12" t="s">
        <v>347</v>
      </c>
      <c r="AH4914" s="1">
        <f>HYPERLINK("https://my.pitchbook.com?c=210712-51T","View Company Online")</f>
      </c>
    </row>
    <row r="4915">
      <c r="A4915" s="3" t="s">
        <v>23616</v>
      </c>
      <c r="B4915" s="3" t="s">
        <v>6840</v>
      </c>
      <c r="C4915" s="5" t="s">
        <v>36</v>
      </c>
      <c r="D4915" s="5" t="s">
        <v>36</v>
      </c>
      <c r="E4915" s="5" t="s">
        <v>36</v>
      </c>
      <c r="F4915" s="5" t="s">
        <v>36</v>
      </c>
      <c r="G4915" s="6" t="s">
        <v>36</v>
      </c>
      <c r="H4915" s="4" t="s">
        <v>36</v>
      </c>
      <c r="I4915" s="7" t="s">
        <v>36</v>
      </c>
      <c r="J4915" s="3" t="s">
        <v>36</v>
      </c>
      <c r="K4915" s="9" t="s">
        <v>36</v>
      </c>
      <c r="L4915" s="6" t="s">
        <v>36</v>
      </c>
      <c r="M4915" s="3" t="s">
        <v>36</v>
      </c>
      <c r="N4915" s="3" t="s">
        <v>36</v>
      </c>
      <c r="O4915" s="8" t="s">
        <v>36</v>
      </c>
      <c r="P4915" s="3" t="s">
        <v>36</v>
      </c>
      <c r="Q4915" s="3" t="s">
        <v>36</v>
      </c>
      <c r="R4915" s="3" t="s">
        <v>36</v>
      </c>
      <c r="S4915" s="3" t="s">
        <v>36</v>
      </c>
      <c r="T4915" s="3" t="s">
        <v>522</v>
      </c>
      <c r="U4915" s="3" t="s">
        <v>38</v>
      </c>
      <c r="V4915" s="3" t="s">
        <v>39</v>
      </c>
      <c r="W4915" s="3" t="s">
        <v>6841</v>
      </c>
      <c r="X4915" s="10" t="s">
        <v>5892</v>
      </c>
      <c r="Y4915" s="6" t="s">
        <v>55</v>
      </c>
      <c r="Z4915" s="4" t="s">
        <v>36</v>
      </c>
      <c r="AA4915" s="4" t="s">
        <v>36</v>
      </c>
      <c r="AB4915" s="3" t="s">
        <v>43</v>
      </c>
      <c r="AC4915" s="3" t="s">
        <v>6843</v>
      </c>
      <c r="AD4915" s="9">
        <v>43466</v>
      </c>
      <c r="AE4915" s="3" t="s">
        <v>110</v>
      </c>
      <c r="AF4915" s="3" t="s">
        <v>3860</v>
      </c>
      <c r="AG4915" s="3" t="s">
        <v>47</v>
      </c>
      <c r="AH4915" s="11">
        <f>HYPERLINK("https://my.pitchbook.com?c=129185-02T","View Company Online")</f>
      </c>
    </row>
    <row r="4916">
      <c r="A4916" s="12" t="s">
        <v>23617</v>
      </c>
      <c r="B4916" s="12" t="s">
        <v>18073</v>
      </c>
      <c r="C4916" s="19" t="s">
        <v>36</v>
      </c>
      <c r="D4916" s="19" t="s">
        <v>36</v>
      </c>
      <c r="E4916" s="19" t="s">
        <v>36</v>
      </c>
      <c r="F4916" s="19" t="s">
        <v>36</v>
      </c>
      <c r="G4916" s="15" t="s">
        <v>36</v>
      </c>
      <c r="H4916" s="14">
        <v>21.44</v>
      </c>
      <c r="I4916" s="18">
        <v>24.53</v>
      </c>
      <c r="J4916" s="12" t="s">
        <v>521</v>
      </c>
      <c r="K4916" s="13" t="s">
        <v>36</v>
      </c>
      <c r="L4916" s="15" t="s">
        <v>36</v>
      </c>
      <c r="M4916" s="12" t="s">
        <v>36</v>
      </c>
      <c r="N4916" s="12" t="s">
        <v>36</v>
      </c>
      <c r="O4916" s="17" t="s">
        <v>36</v>
      </c>
      <c r="P4916" s="12" t="s">
        <v>36</v>
      </c>
      <c r="Q4916" s="12" t="s">
        <v>36</v>
      </c>
      <c r="R4916" s="12" t="s">
        <v>36</v>
      </c>
      <c r="S4916" s="12" t="s">
        <v>36</v>
      </c>
      <c r="T4916" s="12" t="s">
        <v>14989</v>
      </c>
      <c r="U4916" s="12" t="s">
        <v>51</v>
      </c>
      <c r="V4916" s="12" t="s">
        <v>52</v>
      </c>
      <c r="W4916" s="12" t="s">
        <v>18074</v>
      </c>
      <c r="X4916" s="16" t="s">
        <v>22946</v>
      </c>
      <c r="Y4916" s="15" t="s">
        <v>42</v>
      </c>
      <c r="Z4916" s="14">
        <v>0.22</v>
      </c>
      <c r="AA4916" s="14">
        <v>0.91</v>
      </c>
      <c r="AB4916" s="12" t="s">
        <v>43</v>
      </c>
      <c r="AC4916" s="12" t="s">
        <v>18075</v>
      </c>
      <c r="AD4916" s="13">
        <v>43466</v>
      </c>
      <c r="AE4916" s="12" t="s">
        <v>158</v>
      </c>
      <c r="AF4916" s="12" t="s">
        <v>159</v>
      </c>
      <c r="AG4916" s="12" t="s">
        <v>991</v>
      </c>
      <c r="AH4916" s="1">
        <f>HYPERLINK("https://my.pitchbook.com?c=117964-18T","View Company Online")</f>
      </c>
    </row>
    <row r="4917">
      <c r="A4917" s="3" t="s">
        <v>23618</v>
      </c>
      <c r="B4917" s="3" t="s">
        <v>10951</v>
      </c>
      <c r="C4917" s="5">
        <v>2</v>
      </c>
      <c r="D4917" s="5" t="s">
        <v>36</v>
      </c>
      <c r="E4917" s="5">
        <v>2</v>
      </c>
      <c r="F4917" s="5">
        <v>2</v>
      </c>
      <c r="G4917" s="6" t="s">
        <v>36</v>
      </c>
      <c r="H4917" s="4" t="s">
        <v>36</v>
      </c>
      <c r="I4917" s="7" t="s">
        <v>36</v>
      </c>
      <c r="J4917" s="3" t="s">
        <v>36</v>
      </c>
      <c r="K4917" s="9" t="s">
        <v>36</v>
      </c>
      <c r="L4917" s="6" t="s">
        <v>36</v>
      </c>
      <c r="M4917" s="3" t="s">
        <v>36</v>
      </c>
      <c r="N4917" s="3" t="s">
        <v>36</v>
      </c>
      <c r="O4917" s="8" t="s">
        <v>36</v>
      </c>
      <c r="P4917" s="3" t="s">
        <v>36</v>
      </c>
      <c r="Q4917" s="3" t="s">
        <v>36</v>
      </c>
      <c r="R4917" s="3" t="s">
        <v>36</v>
      </c>
      <c r="S4917" s="3" t="s">
        <v>36</v>
      </c>
      <c r="T4917" s="3" t="s">
        <v>6247</v>
      </c>
      <c r="U4917" s="3" t="s">
        <v>85</v>
      </c>
      <c r="V4917" s="3" t="s">
        <v>64</v>
      </c>
      <c r="W4917" s="3" t="s">
        <v>10952</v>
      </c>
      <c r="X4917" s="10" t="s">
        <v>23619</v>
      </c>
      <c r="Y4917" s="6" t="s">
        <v>42</v>
      </c>
      <c r="Z4917" s="4">
        <v>1.14</v>
      </c>
      <c r="AA4917" s="4" t="s">
        <v>36</v>
      </c>
      <c r="AB4917" s="3" t="s">
        <v>43</v>
      </c>
      <c r="AC4917" s="3" t="s">
        <v>10954</v>
      </c>
      <c r="AD4917" s="9">
        <v>43466</v>
      </c>
      <c r="AE4917" s="3" t="s">
        <v>89</v>
      </c>
      <c r="AF4917" s="3" t="s">
        <v>269</v>
      </c>
      <c r="AG4917" s="3" t="s">
        <v>10955</v>
      </c>
      <c r="AH4917" s="11">
        <f>HYPERLINK("https://my.pitchbook.com?c=140706-55T","View Company Online")</f>
      </c>
    </row>
    <row r="4918">
      <c r="A4918" s="12" t="s">
        <v>23620</v>
      </c>
      <c r="B4918" s="12" t="s">
        <v>23621</v>
      </c>
      <c r="C4918" s="19" t="s">
        <v>36</v>
      </c>
      <c r="D4918" s="19" t="s">
        <v>36</v>
      </c>
      <c r="E4918" s="19" t="s">
        <v>36</v>
      </c>
      <c r="F4918" s="19" t="s">
        <v>36</v>
      </c>
      <c r="G4918" s="15" t="s">
        <v>36</v>
      </c>
      <c r="H4918" s="14" t="s">
        <v>36</v>
      </c>
      <c r="I4918" s="18" t="s">
        <v>36</v>
      </c>
      <c r="J4918" s="12" t="s">
        <v>36</v>
      </c>
      <c r="K4918" s="13" t="s">
        <v>36</v>
      </c>
      <c r="L4918" s="15" t="s">
        <v>36</v>
      </c>
      <c r="M4918" s="12" t="s">
        <v>36</v>
      </c>
      <c r="N4918" s="12" t="s">
        <v>36</v>
      </c>
      <c r="O4918" s="17" t="s">
        <v>36</v>
      </c>
      <c r="P4918" s="12" t="s">
        <v>36</v>
      </c>
      <c r="Q4918" s="12" t="s">
        <v>36</v>
      </c>
      <c r="R4918" s="12" t="s">
        <v>36</v>
      </c>
      <c r="S4918" s="12" t="s">
        <v>36</v>
      </c>
      <c r="T4918" s="12" t="s">
        <v>1162</v>
      </c>
      <c r="U4918" s="12" t="s">
        <v>423</v>
      </c>
      <c r="V4918" s="12" t="s">
        <v>64</v>
      </c>
      <c r="W4918" s="12" t="s">
        <v>23622</v>
      </c>
      <c r="X4918" s="16" t="s">
        <v>23623</v>
      </c>
      <c r="Y4918" s="15" t="s">
        <v>55</v>
      </c>
      <c r="Z4918" s="14">
        <v>7.97</v>
      </c>
      <c r="AA4918" s="14" t="s">
        <v>36</v>
      </c>
      <c r="AB4918" s="12" t="s">
        <v>56</v>
      </c>
      <c r="AC4918" s="12" t="s">
        <v>23624</v>
      </c>
      <c r="AD4918" s="13">
        <v>43466</v>
      </c>
      <c r="AE4918" s="12" t="s">
        <v>562</v>
      </c>
      <c r="AF4918" s="12" t="s">
        <v>90</v>
      </c>
      <c r="AG4918" s="12" t="s">
        <v>23625</v>
      </c>
      <c r="AH4918" s="1">
        <f>HYPERLINK("https://my.pitchbook.com?c=169844-59T","View Company Online")</f>
      </c>
    </row>
    <row r="4919">
      <c r="A4919" s="3" t="s">
        <v>23626</v>
      </c>
      <c r="B4919" s="3" t="s">
        <v>23627</v>
      </c>
      <c r="C4919" s="5" t="s">
        <v>36</v>
      </c>
      <c r="D4919" s="5" t="s">
        <v>36</v>
      </c>
      <c r="E4919" s="5" t="s">
        <v>36</v>
      </c>
      <c r="F4919" s="5" t="s">
        <v>36</v>
      </c>
      <c r="G4919" s="6" t="s">
        <v>36</v>
      </c>
      <c r="H4919" s="4" t="s">
        <v>36</v>
      </c>
      <c r="I4919" s="7" t="s">
        <v>36</v>
      </c>
      <c r="J4919" s="3" t="s">
        <v>36</v>
      </c>
      <c r="K4919" s="9" t="s">
        <v>36</v>
      </c>
      <c r="L4919" s="6" t="s">
        <v>36</v>
      </c>
      <c r="M4919" s="3" t="s">
        <v>36</v>
      </c>
      <c r="N4919" s="3" t="s">
        <v>36</v>
      </c>
      <c r="O4919" s="8" t="s">
        <v>36</v>
      </c>
      <c r="P4919" s="3" t="s">
        <v>36</v>
      </c>
      <c r="Q4919" s="3" t="s">
        <v>36</v>
      </c>
      <c r="R4919" s="3" t="s">
        <v>36</v>
      </c>
      <c r="S4919" s="3" t="s">
        <v>14408</v>
      </c>
      <c r="T4919" s="3" t="s">
        <v>522</v>
      </c>
      <c r="U4919" s="3" t="s">
        <v>38</v>
      </c>
      <c r="V4919" s="3" t="s">
        <v>39</v>
      </c>
      <c r="W4919" s="3" t="s">
        <v>23628</v>
      </c>
      <c r="X4919" s="10" t="s">
        <v>9668</v>
      </c>
      <c r="Y4919" s="6" t="s">
        <v>42</v>
      </c>
      <c r="Z4919" s="4" t="s">
        <v>36</v>
      </c>
      <c r="AA4919" s="4" t="s">
        <v>36</v>
      </c>
      <c r="AB4919" s="3" t="s">
        <v>56</v>
      </c>
      <c r="AC4919" s="3" t="s">
        <v>23629</v>
      </c>
      <c r="AD4919" s="9">
        <v>43466</v>
      </c>
      <c r="AE4919" s="3" t="s">
        <v>110</v>
      </c>
      <c r="AF4919" s="3" t="s">
        <v>7996</v>
      </c>
      <c r="AG4919" s="3" t="s">
        <v>81</v>
      </c>
      <c r="AH4919" s="11">
        <f>HYPERLINK("https://my.pitchbook.com?c=133427-53T","View Company Online")</f>
      </c>
    </row>
    <row r="4920">
      <c r="A4920" s="12" t="s">
        <v>23630</v>
      </c>
      <c r="B4920" s="12" t="s">
        <v>23631</v>
      </c>
      <c r="C4920" s="19">
        <v>6</v>
      </c>
      <c r="D4920" s="19">
        <v>45</v>
      </c>
      <c r="E4920" s="19">
        <v>12</v>
      </c>
      <c r="F4920" s="19">
        <v>56</v>
      </c>
      <c r="G4920" s="15" t="s">
        <v>36</v>
      </c>
      <c r="H4920" s="14" t="s">
        <v>36</v>
      </c>
      <c r="I4920" s="18" t="s">
        <v>36</v>
      </c>
      <c r="J4920" s="12" t="s">
        <v>36</v>
      </c>
      <c r="K4920" s="13" t="s">
        <v>36</v>
      </c>
      <c r="L4920" s="15" t="s">
        <v>36</v>
      </c>
      <c r="M4920" s="12" t="s">
        <v>36</v>
      </c>
      <c r="N4920" s="12" t="s">
        <v>36</v>
      </c>
      <c r="O4920" s="17" t="s">
        <v>36</v>
      </c>
      <c r="P4920" s="12" t="s">
        <v>36</v>
      </c>
      <c r="Q4920" s="12" t="s">
        <v>36</v>
      </c>
      <c r="R4920" s="12" t="s">
        <v>36</v>
      </c>
      <c r="S4920" s="12" t="s">
        <v>36</v>
      </c>
      <c r="T4920" s="12" t="s">
        <v>3264</v>
      </c>
      <c r="U4920" s="12" t="s">
        <v>96</v>
      </c>
      <c r="V4920" s="12" t="s">
        <v>52</v>
      </c>
      <c r="W4920" s="12" t="s">
        <v>23632</v>
      </c>
      <c r="X4920" s="16" t="s">
        <v>23633</v>
      </c>
      <c r="Y4920" s="15" t="s">
        <v>321</v>
      </c>
      <c r="Z4920" s="14" t="s">
        <v>36</v>
      </c>
      <c r="AA4920" s="14" t="s">
        <v>36</v>
      </c>
      <c r="AB4920" s="12" t="s">
        <v>56</v>
      </c>
      <c r="AC4920" s="12" t="s">
        <v>23634</v>
      </c>
      <c r="AD4920" s="13">
        <v>43466</v>
      </c>
      <c r="AE4920" s="12" t="s">
        <v>496</v>
      </c>
      <c r="AF4920" s="12" t="s">
        <v>23635</v>
      </c>
      <c r="AG4920" s="12" t="s">
        <v>969</v>
      </c>
      <c r="AH4920" s="1">
        <f>HYPERLINK("https://my.pitchbook.com?c=213673-24T","View Company Online")</f>
      </c>
    </row>
    <row r="4921">
      <c r="A4921" s="3" t="s">
        <v>23636</v>
      </c>
      <c r="B4921" s="3" t="s">
        <v>23637</v>
      </c>
      <c r="C4921" s="5" t="s">
        <v>36</v>
      </c>
      <c r="D4921" s="5" t="s">
        <v>36</v>
      </c>
      <c r="E4921" s="5" t="s">
        <v>36</v>
      </c>
      <c r="F4921" s="5" t="s">
        <v>36</v>
      </c>
      <c r="G4921" s="6" t="s">
        <v>36</v>
      </c>
      <c r="H4921" s="4">
        <v>41.54</v>
      </c>
      <c r="I4921" s="7">
        <v>44.88</v>
      </c>
      <c r="J4921" s="3" t="s">
        <v>521</v>
      </c>
      <c r="K4921" s="9" t="s">
        <v>36</v>
      </c>
      <c r="L4921" s="6" t="s">
        <v>36</v>
      </c>
      <c r="M4921" s="3" t="s">
        <v>36</v>
      </c>
      <c r="N4921" s="3" t="s">
        <v>36</v>
      </c>
      <c r="O4921" s="8" t="s">
        <v>36</v>
      </c>
      <c r="P4921" s="3" t="s">
        <v>36</v>
      </c>
      <c r="Q4921" s="3" t="s">
        <v>36</v>
      </c>
      <c r="R4921" s="3" t="s">
        <v>36</v>
      </c>
      <c r="S4921" s="3" t="s">
        <v>36</v>
      </c>
      <c r="T4921" s="3" t="s">
        <v>5039</v>
      </c>
      <c r="U4921" s="3" t="s">
        <v>74</v>
      </c>
      <c r="V4921" s="3" t="s">
        <v>75</v>
      </c>
      <c r="W4921" s="3" t="s">
        <v>23638</v>
      </c>
      <c r="X4921" s="10" t="s">
        <v>23639</v>
      </c>
      <c r="Y4921" s="6" t="s">
        <v>42</v>
      </c>
      <c r="Z4921" s="4">
        <v>0.87</v>
      </c>
      <c r="AA4921" s="4">
        <v>1.95</v>
      </c>
      <c r="AB4921" s="3" t="s">
        <v>43</v>
      </c>
      <c r="AC4921" s="3" t="s">
        <v>23640</v>
      </c>
      <c r="AD4921" s="9">
        <v>43466</v>
      </c>
      <c r="AE4921" s="3" t="s">
        <v>1243</v>
      </c>
      <c r="AF4921" s="3" t="s">
        <v>36</v>
      </c>
      <c r="AG4921" s="3" t="s">
        <v>81</v>
      </c>
      <c r="AH4921" s="11">
        <f>HYPERLINK("https://my.pitchbook.com?c=165407-23T","View Company Online")</f>
      </c>
    </row>
    <row r="4922">
      <c r="A4922" s="12" t="s">
        <v>23641</v>
      </c>
      <c r="B4922" s="12" t="s">
        <v>23642</v>
      </c>
      <c r="C4922" s="19" t="s">
        <v>36</v>
      </c>
      <c r="D4922" s="19" t="s">
        <v>36</v>
      </c>
      <c r="E4922" s="19" t="s">
        <v>36</v>
      </c>
      <c r="F4922" s="19" t="s">
        <v>36</v>
      </c>
      <c r="G4922" s="15" t="s">
        <v>36</v>
      </c>
      <c r="H4922" s="14" t="s">
        <v>36</v>
      </c>
      <c r="I4922" s="18" t="s">
        <v>36</v>
      </c>
      <c r="J4922" s="12" t="s">
        <v>36</v>
      </c>
      <c r="K4922" s="13" t="s">
        <v>36</v>
      </c>
      <c r="L4922" s="15" t="s">
        <v>36</v>
      </c>
      <c r="M4922" s="12" t="s">
        <v>36</v>
      </c>
      <c r="N4922" s="12" t="s">
        <v>36</v>
      </c>
      <c r="O4922" s="17" t="s">
        <v>36</v>
      </c>
      <c r="P4922" s="12" t="s">
        <v>36</v>
      </c>
      <c r="Q4922" s="12" t="s">
        <v>36</v>
      </c>
      <c r="R4922" s="12" t="s">
        <v>36</v>
      </c>
      <c r="S4922" s="12" t="s">
        <v>36</v>
      </c>
      <c r="T4922" s="12" t="s">
        <v>23643</v>
      </c>
      <c r="U4922" s="12" t="s">
        <v>833</v>
      </c>
      <c r="V4922" s="12" t="s">
        <v>64</v>
      </c>
      <c r="W4922" s="12" t="s">
        <v>23644</v>
      </c>
      <c r="X4922" s="16" t="s">
        <v>1872</v>
      </c>
      <c r="Y4922" s="15" t="s">
        <v>42</v>
      </c>
      <c r="Z4922" s="14" t="s">
        <v>36</v>
      </c>
      <c r="AA4922" s="14" t="s">
        <v>36</v>
      </c>
      <c r="AB4922" s="12" t="s">
        <v>56</v>
      </c>
      <c r="AC4922" s="12" t="s">
        <v>23645</v>
      </c>
      <c r="AD4922" s="13">
        <v>43466</v>
      </c>
      <c r="AE4922" s="12" t="s">
        <v>1769</v>
      </c>
      <c r="AF4922" s="12" t="s">
        <v>733</v>
      </c>
      <c r="AG4922" s="12" t="s">
        <v>23646</v>
      </c>
      <c r="AH4922" s="1">
        <f>HYPERLINK("https://my.pitchbook.com?c=117966-79T","View Company Online")</f>
      </c>
    </row>
    <row r="4923">
      <c r="A4923" s="3" t="s">
        <v>23647</v>
      </c>
      <c r="B4923" s="3" t="s">
        <v>17107</v>
      </c>
      <c r="C4923" s="5" t="s">
        <v>36</v>
      </c>
      <c r="D4923" s="5" t="s">
        <v>36</v>
      </c>
      <c r="E4923" s="5" t="s">
        <v>36</v>
      </c>
      <c r="F4923" s="5" t="s">
        <v>36</v>
      </c>
      <c r="G4923" s="6" t="s">
        <v>36</v>
      </c>
      <c r="H4923" s="4" t="s">
        <v>36</v>
      </c>
      <c r="I4923" s="7" t="s">
        <v>36</v>
      </c>
      <c r="J4923" s="3" t="s">
        <v>36</v>
      </c>
      <c r="K4923" s="9" t="s">
        <v>36</v>
      </c>
      <c r="L4923" s="6" t="s">
        <v>36</v>
      </c>
      <c r="M4923" s="3" t="s">
        <v>36</v>
      </c>
      <c r="N4923" s="3" t="s">
        <v>36</v>
      </c>
      <c r="O4923" s="8" t="s">
        <v>36</v>
      </c>
      <c r="P4923" s="3" t="s">
        <v>36</v>
      </c>
      <c r="Q4923" s="3" t="s">
        <v>36</v>
      </c>
      <c r="R4923" s="3" t="s">
        <v>36</v>
      </c>
      <c r="S4923" s="3" t="s">
        <v>36</v>
      </c>
      <c r="T4923" s="3" t="s">
        <v>17108</v>
      </c>
      <c r="U4923" s="3" t="s">
        <v>279</v>
      </c>
      <c r="V4923" s="3" t="s">
        <v>64</v>
      </c>
      <c r="W4923" s="3" t="s">
        <v>17109</v>
      </c>
      <c r="X4923" s="10" t="s">
        <v>23648</v>
      </c>
      <c r="Y4923" s="6" t="s">
        <v>108</v>
      </c>
      <c r="Z4923" s="4">
        <v>0.8</v>
      </c>
      <c r="AA4923" s="4" t="s">
        <v>36</v>
      </c>
      <c r="AB4923" s="3" t="s">
        <v>43</v>
      </c>
      <c r="AC4923" s="3" t="s">
        <v>17111</v>
      </c>
      <c r="AD4923" s="9">
        <v>43466</v>
      </c>
      <c r="AE4923" s="3" t="s">
        <v>283</v>
      </c>
      <c r="AF4923" s="3" t="s">
        <v>4552</v>
      </c>
      <c r="AG4923" s="3" t="s">
        <v>9648</v>
      </c>
      <c r="AH4923" s="11">
        <f>HYPERLINK("https://my.pitchbook.com?c=138820-06T","View Company Online")</f>
      </c>
    </row>
    <row r="4924">
      <c r="A4924" s="12" t="s">
        <v>23649</v>
      </c>
      <c r="B4924" s="12" t="s">
        <v>18716</v>
      </c>
      <c r="C4924" s="19" t="s">
        <v>36</v>
      </c>
      <c r="D4924" s="19" t="s">
        <v>36</v>
      </c>
      <c r="E4924" s="19" t="s">
        <v>36</v>
      </c>
      <c r="F4924" s="19" t="s">
        <v>36</v>
      </c>
      <c r="G4924" s="15" t="s">
        <v>36</v>
      </c>
      <c r="H4924" s="14">
        <v>73.54</v>
      </c>
      <c r="I4924" s="18">
        <v>41.15</v>
      </c>
      <c r="J4924" s="12" t="s">
        <v>521</v>
      </c>
      <c r="K4924" s="13" t="s">
        <v>36</v>
      </c>
      <c r="L4924" s="15" t="s">
        <v>36</v>
      </c>
      <c r="M4924" s="12" t="s">
        <v>36</v>
      </c>
      <c r="N4924" s="12" t="s">
        <v>36</v>
      </c>
      <c r="O4924" s="17" t="s">
        <v>36</v>
      </c>
      <c r="P4924" s="12" t="s">
        <v>36</v>
      </c>
      <c r="Q4924" s="12" t="s">
        <v>36</v>
      </c>
      <c r="R4924" s="12" t="s">
        <v>36</v>
      </c>
      <c r="S4924" s="12" t="s">
        <v>36</v>
      </c>
      <c r="T4924" s="12" t="s">
        <v>4733</v>
      </c>
      <c r="U4924" s="12" t="s">
        <v>423</v>
      </c>
      <c r="V4924" s="12" t="s">
        <v>64</v>
      </c>
      <c r="W4924" s="12" t="s">
        <v>18717</v>
      </c>
      <c r="X4924" s="16" t="s">
        <v>21223</v>
      </c>
      <c r="Y4924" s="15" t="s">
        <v>42</v>
      </c>
      <c r="Z4924" s="14">
        <v>4.44</v>
      </c>
      <c r="AA4924" s="14">
        <v>10.8</v>
      </c>
      <c r="AB4924" s="12" t="s">
        <v>43</v>
      </c>
      <c r="AC4924" s="12" t="s">
        <v>18719</v>
      </c>
      <c r="AD4924" s="13">
        <v>43466</v>
      </c>
      <c r="AE4924" s="12" t="s">
        <v>1051</v>
      </c>
      <c r="AF4924" s="12" t="s">
        <v>90</v>
      </c>
      <c r="AG4924" s="12" t="s">
        <v>81</v>
      </c>
      <c r="AH4924" s="1">
        <f>HYPERLINK("https://my.pitchbook.com?c=125079-04T","View Company Online")</f>
      </c>
    </row>
    <row r="4925">
      <c r="A4925" s="3" t="s">
        <v>23650</v>
      </c>
      <c r="B4925" s="3" t="s">
        <v>23651</v>
      </c>
      <c r="C4925" s="5" t="s">
        <v>36</v>
      </c>
      <c r="D4925" s="5" t="s">
        <v>36</v>
      </c>
      <c r="E4925" s="5" t="s">
        <v>36</v>
      </c>
      <c r="F4925" s="5" t="s">
        <v>36</v>
      </c>
      <c r="G4925" s="6" t="s">
        <v>36</v>
      </c>
      <c r="H4925" s="4" t="s">
        <v>36</v>
      </c>
      <c r="I4925" s="7" t="s">
        <v>36</v>
      </c>
      <c r="J4925" s="3" t="s">
        <v>36</v>
      </c>
      <c r="K4925" s="9" t="s">
        <v>36</v>
      </c>
      <c r="L4925" s="6" t="s">
        <v>36</v>
      </c>
      <c r="M4925" s="3" t="s">
        <v>36</v>
      </c>
      <c r="N4925" s="3" t="s">
        <v>36</v>
      </c>
      <c r="O4925" s="8" t="s">
        <v>36</v>
      </c>
      <c r="P4925" s="3" t="s">
        <v>36</v>
      </c>
      <c r="Q4925" s="3" t="s">
        <v>36</v>
      </c>
      <c r="R4925" s="3" t="s">
        <v>36</v>
      </c>
      <c r="S4925" s="3" t="s">
        <v>36</v>
      </c>
      <c r="T4925" s="3" t="s">
        <v>16665</v>
      </c>
      <c r="U4925" s="3" t="s">
        <v>648</v>
      </c>
      <c r="V4925" s="3" t="s">
        <v>64</v>
      </c>
      <c r="W4925" s="3" t="s">
        <v>23652</v>
      </c>
      <c r="X4925" s="10" t="s">
        <v>1043</v>
      </c>
      <c r="Y4925" s="6" t="s">
        <v>42</v>
      </c>
      <c r="Z4925" s="4" t="s">
        <v>36</v>
      </c>
      <c r="AA4925" s="4" t="s">
        <v>36</v>
      </c>
      <c r="AB4925" s="3" t="s">
        <v>43</v>
      </c>
      <c r="AC4925" s="3" t="s">
        <v>23653</v>
      </c>
      <c r="AD4925" s="9">
        <v>43466</v>
      </c>
      <c r="AE4925" s="3" t="s">
        <v>3988</v>
      </c>
      <c r="AF4925" s="3" t="s">
        <v>1977</v>
      </c>
      <c r="AG4925" s="3" t="s">
        <v>186</v>
      </c>
      <c r="AH4925" s="11">
        <f>HYPERLINK("https://my.pitchbook.com?c=280407-25T","View Company Online")</f>
      </c>
    </row>
    <row r="4926">
      <c r="A4926" s="12" t="s">
        <v>23654</v>
      </c>
      <c r="B4926" s="12" t="s">
        <v>23655</v>
      </c>
      <c r="C4926" s="19" t="s">
        <v>36</v>
      </c>
      <c r="D4926" s="19" t="s">
        <v>36</v>
      </c>
      <c r="E4926" s="19" t="s">
        <v>36</v>
      </c>
      <c r="F4926" s="19" t="s">
        <v>36</v>
      </c>
      <c r="G4926" s="15" t="s">
        <v>36</v>
      </c>
      <c r="H4926" s="14" t="s">
        <v>36</v>
      </c>
      <c r="I4926" s="18" t="s">
        <v>36</v>
      </c>
      <c r="J4926" s="12" t="s">
        <v>36</v>
      </c>
      <c r="K4926" s="13" t="s">
        <v>36</v>
      </c>
      <c r="L4926" s="15" t="s">
        <v>36</v>
      </c>
      <c r="M4926" s="12" t="s">
        <v>36</v>
      </c>
      <c r="N4926" s="12" t="s">
        <v>36</v>
      </c>
      <c r="O4926" s="17" t="s">
        <v>36</v>
      </c>
      <c r="P4926" s="12" t="s">
        <v>36</v>
      </c>
      <c r="Q4926" s="12" t="s">
        <v>36</v>
      </c>
      <c r="R4926" s="12" t="s">
        <v>36</v>
      </c>
      <c r="S4926" s="12" t="s">
        <v>36</v>
      </c>
      <c r="T4926" s="12" t="s">
        <v>550</v>
      </c>
      <c r="U4926" s="12" t="s">
        <v>38</v>
      </c>
      <c r="V4926" s="12" t="s">
        <v>39</v>
      </c>
      <c r="W4926" s="12" t="s">
        <v>23656</v>
      </c>
      <c r="X4926" s="16" t="s">
        <v>10226</v>
      </c>
      <c r="Y4926" s="15" t="s">
        <v>42</v>
      </c>
      <c r="Z4926" s="14" t="s">
        <v>36</v>
      </c>
      <c r="AA4926" s="14" t="s">
        <v>36</v>
      </c>
      <c r="AB4926" s="12" t="s">
        <v>43</v>
      </c>
      <c r="AC4926" s="12" t="s">
        <v>23657</v>
      </c>
      <c r="AD4926" s="13">
        <v>43466</v>
      </c>
      <c r="AE4926" s="12" t="s">
        <v>554</v>
      </c>
      <c r="AF4926" s="12" t="s">
        <v>23658</v>
      </c>
      <c r="AG4926" s="12" t="s">
        <v>969</v>
      </c>
      <c r="AH4926" s="1">
        <f>HYPERLINK("https://my.pitchbook.com?c=139270-24T","View Company Online")</f>
      </c>
    </row>
    <row r="4927">
      <c r="A4927" s="3" t="s">
        <v>23659</v>
      </c>
      <c r="B4927" s="3" t="s">
        <v>3963</v>
      </c>
      <c r="C4927" s="5" t="s">
        <v>36</v>
      </c>
      <c r="D4927" s="5" t="s">
        <v>36</v>
      </c>
      <c r="E4927" s="5" t="s">
        <v>36</v>
      </c>
      <c r="F4927" s="5" t="s">
        <v>36</v>
      </c>
      <c r="G4927" s="6" t="s">
        <v>36</v>
      </c>
      <c r="H4927" s="4" t="s">
        <v>36</v>
      </c>
      <c r="I4927" s="7" t="s">
        <v>36</v>
      </c>
      <c r="J4927" s="3" t="s">
        <v>36</v>
      </c>
      <c r="K4927" s="9" t="s">
        <v>36</v>
      </c>
      <c r="L4927" s="6" t="s">
        <v>36</v>
      </c>
      <c r="M4927" s="3" t="s">
        <v>36</v>
      </c>
      <c r="N4927" s="3" t="s">
        <v>36</v>
      </c>
      <c r="O4927" s="8" t="s">
        <v>36</v>
      </c>
      <c r="P4927" s="3" t="s">
        <v>36</v>
      </c>
      <c r="Q4927" s="3" t="s">
        <v>36</v>
      </c>
      <c r="R4927" s="3" t="s">
        <v>36</v>
      </c>
      <c r="S4927" s="3" t="s">
        <v>36</v>
      </c>
      <c r="T4927" s="3" t="s">
        <v>3964</v>
      </c>
      <c r="U4927" s="3" t="s">
        <v>289</v>
      </c>
      <c r="V4927" s="3" t="s">
        <v>64</v>
      </c>
      <c r="W4927" s="3" t="s">
        <v>3965</v>
      </c>
      <c r="X4927" s="10" t="s">
        <v>23660</v>
      </c>
      <c r="Y4927" s="6" t="s">
        <v>42</v>
      </c>
      <c r="Z4927" s="4">
        <v>2.05</v>
      </c>
      <c r="AA4927" s="4" t="s">
        <v>36</v>
      </c>
      <c r="AB4927" s="3" t="s">
        <v>43</v>
      </c>
      <c r="AC4927" s="3" t="s">
        <v>3967</v>
      </c>
      <c r="AD4927" s="9">
        <v>43466</v>
      </c>
      <c r="AE4927" s="3" t="s">
        <v>3134</v>
      </c>
      <c r="AF4927" s="3" t="s">
        <v>2363</v>
      </c>
      <c r="AG4927" s="3" t="s">
        <v>3968</v>
      </c>
      <c r="AH4927" s="11">
        <f>HYPERLINK("https://my.pitchbook.com?c=116695-54T","View Company Online")</f>
      </c>
    </row>
    <row r="4928">
      <c r="A4928" s="12" t="s">
        <v>23661</v>
      </c>
      <c r="B4928" s="12" t="s">
        <v>23662</v>
      </c>
      <c r="C4928" s="19" t="s">
        <v>36</v>
      </c>
      <c r="D4928" s="19" t="s">
        <v>36</v>
      </c>
      <c r="E4928" s="19" t="s">
        <v>36</v>
      </c>
      <c r="F4928" s="19" t="s">
        <v>36</v>
      </c>
      <c r="G4928" s="15" t="s">
        <v>36</v>
      </c>
      <c r="H4928" s="14" t="s">
        <v>36</v>
      </c>
      <c r="I4928" s="18" t="s">
        <v>36</v>
      </c>
      <c r="J4928" s="12" t="s">
        <v>36</v>
      </c>
      <c r="K4928" s="13" t="s">
        <v>36</v>
      </c>
      <c r="L4928" s="15" t="s">
        <v>36</v>
      </c>
      <c r="M4928" s="12" t="s">
        <v>36</v>
      </c>
      <c r="N4928" s="12" t="s">
        <v>36</v>
      </c>
      <c r="O4928" s="17" t="s">
        <v>36</v>
      </c>
      <c r="P4928" s="12" t="s">
        <v>36</v>
      </c>
      <c r="Q4928" s="12" t="s">
        <v>36</v>
      </c>
      <c r="R4928" s="12" t="s">
        <v>36</v>
      </c>
      <c r="S4928" s="12" t="s">
        <v>36</v>
      </c>
      <c r="T4928" s="12" t="s">
        <v>23663</v>
      </c>
      <c r="U4928" s="12" t="s">
        <v>74</v>
      </c>
      <c r="V4928" s="12" t="s">
        <v>75</v>
      </c>
      <c r="W4928" s="12" t="s">
        <v>23664</v>
      </c>
      <c r="X4928" s="16" t="s">
        <v>16874</v>
      </c>
      <c r="Y4928" s="15" t="s">
        <v>42</v>
      </c>
      <c r="Z4928" s="14" t="s">
        <v>36</v>
      </c>
      <c r="AA4928" s="14" t="s">
        <v>36</v>
      </c>
      <c r="AB4928" s="12" t="s">
        <v>43</v>
      </c>
      <c r="AC4928" s="12" t="s">
        <v>23665</v>
      </c>
      <c r="AD4928" s="13">
        <v>43466</v>
      </c>
      <c r="AE4928" s="12" t="s">
        <v>1243</v>
      </c>
      <c r="AF4928" s="12" t="s">
        <v>36</v>
      </c>
      <c r="AG4928" s="12" t="s">
        <v>400</v>
      </c>
      <c r="AH4928" s="1">
        <f>HYPERLINK("https://my.pitchbook.com?c=172077-58T","View Company Online")</f>
      </c>
    </row>
    <row r="4929">
      <c r="A4929" s="3" t="s">
        <v>23666</v>
      </c>
      <c r="B4929" s="3" t="s">
        <v>23667</v>
      </c>
      <c r="C4929" s="5" t="s">
        <v>36</v>
      </c>
      <c r="D4929" s="5" t="s">
        <v>36</v>
      </c>
      <c r="E4929" s="5" t="s">
        <v>36</v>
      </c>
      <c r="F4929" s="5" t="s">
        <v>36</v>
      </c>
      <c r="G4929" s="6" t="s">
        <v>36</v>
      </c>
      <c r="H4929" s="4" t="s">
        <v>36</v>
      </c>
      <c r="I4929" s="7" t="s">
        <v>36</v>
      </c>
      <c r="J4929" s="3" t="s">
        <v>36</v>
      </c>
      <c r="K4929" s="9" t="s">
        <v>36</v>
      </c>
      <c r="L4929" s="6" t="s">
        <v>94</v>
      </c>
      <c r="M4929" s="3" t="s">
        <v>36</v>
      </c>
      <c r="N4929" s="3" t="s">
        <v>94</v>
      </c>
      <c r="O4929" s="8" t="s">
        <v>36</v>
      </c>
      <c r="P4929" s="3" t="s">
        <v>36</v>
      </c>
      <c r="Q4929" s="3" t="s">
        <v>36</v>
      </c>
      <c r="R4929" s="3" t="s">
        <v>36</v>
      </c>
      <c r="S4929" s="3" t="s">
        <v>36</v>
      </c>
      <c r="T4929" s="3" t="s">
        <v>5470</v>
      </c>
      <c r="U4929" s="3" t="s">
        <v>38</v>
      </c>
      <c r="V4929" s="3" t="s">
        <v>39</v>
      </c>
      <c r="W4929" s="3" t="s">
        <v>23668</v>
      </c>
      <c r="X4929" s="10" t="s">
        <v>23669</v>
      </c>
      <c r="Y4929" s="6" t="s">
        <v>108</v>
      </c>
      <c r="Z4929" s="4" t="s">
        <v>36</v>
      </c>
      <c r="AA4929" s="4" t="s">
        <v>36</v>
      </c>
      <c r="AB4929" s="3" t="s">
        <v>56</v>
      </c>
      <c r="AC4929" s="3" t="s">
        <v>23670</v>
      </c>
      <c r="AD4929" s="9">
        <v>43466</v>
      </c>
      <c r="AE4929" s="3" t="s">
        <v>1422</v>
      </c>
      <c r="AF4929" s="3" t="s">
        <v>4284</v>
      </c>
      <c r="AG4929" s="3" t="s">
        <v>81</v>
      </c>
      <c r="AH4929" s="11">
        <f>HYPERLINK("https://my.pitchbook.com?c=118232-11T","View Company Online")</f>
      </c>
    </row>
    <row r="4930">
      <c r="A4930" s="12" t="s">
        <v>23671</v>
      </c>
      <c r="B4930" s="12" t="s">
        <v>1830</v>
      </c>
      <c r="C4930" s="19">
        <v>1</v>
      </c>
      <c r="D4930" s="19">
        <v>30</v>
      </c>
      <c r="E4930" s="19">
        <v>9</v>
      </c>
      <c r="F4930" s="19">
        <v>32</v>
      </c>
      <c r="G4930" s="15" t="s">
        <v>683</v>
      </c>
      <c r="H4930" s="14">
        <v>4.75</v>
      </c>
      <c r="I4930" s="18">
        <v>8.16</v>
      </c>
      <c r="J4930" s="12" t="s">
        <v>521</v>
      </c>
      <c r="K4930" s="13" t="s">
        <v>36</v>
      </c>
      <c r="L4930" s="15" t="s">
        <v>36</v>
      </c>
      <c r="M4930" s="12" t="s">
        <v>36</v>
      </c>
      <c r="N4930" s="12" t="s">
        <v>36</v>
      </c>
      <c r="O4930" s="17" t="s">
        <v>36</v>
      </c>
      <c r="P4930" s="12" t="s">
        <v>36</v>
      </c>
      <c r="Q4930" s="12" t="s">
        <v>36</v>
      </c>
      <c r="R4930" s="12" t="s">
        <v>36</v>
      </c>
      <c r="S4930" s="12" t="s">
        <v>36</v>
      </c>
      <c r="T4930" s="12" t="s">
        <v>1831</v>
      </c>
      <c r="U4930" s="12" t="s">
        <v>387</v>
      </c>
      <c r="V4930" s="12" t="s">
        <v>367</v>
      </c>
      <c r="W4930" s="12" t="s">
        <v>1832</v>
      </c>
      <c r="X4930" s="16" t="s">
        <v>1840</v>
      </c>
      <c r="Y4930" s="15" t="s">
        <v>55</v>
      </c>
      <c r="Z4930" s="14">
        <v>0.9</v>
      </c>
      <c r="AA4930" s="14">
        <v>10.21</v>
      </c>
      <c r="AB4930" s="12" t="s">
        <v>56</v>
      </c>
      <c r="AC4930" s="12" t="s">
        <v>1834</v>
      </c>
      <c r="AD4930" s="13">
        <v>43466</v>
      </c>
      <c r="AE4930" s="12" t="s">
        <v>391</v>
      </c>
      <c r="AF4930" s="12" t="s">
        <v>982</v>
      </c>
      <c r="AG4930" s="12" t="s">
        <v>1835</v>
      </c>
      <c r="AH4930" s="1">
        <f>HYPERLINK("https://my.pitchbook.com?c=130073-77T","View Company Online")</f>
      </c>
    </row>
    <row r="4931">
      <c r="A4931" s="3" t="s">
        <v>23672</v>
      </c>
      <c r="B4931" s="3" t="s">
        <v>23673</v>
      </c>
      <c r="C4931" s="5" t="s">
        <v>36</v>
      </c>
      <c r="D4931" s="5" t="s">
        <v>36</v>
      </c>
      <c r="E4931" s="5" t="s">
        <v>36</v>
      </c>
      <c r="F4931" s="5" t="s">
        <v>36</v>
      </c>
      <c r="G4931" s="6" t="s">
        <v>36</v>
      </c>
      <c r="H4931" s="4" t="s">
        <v>36</v>
      </c>
      <c r="I4931" s="7" t="s">
        <v>36</v>
      </c>
      <c r="J4931" s="3" t="s">
        <v>36</v>
      </c>
      <c r="K4931" s="9" t="s">
        <v>36</v>
      </c>
      <c r="L4931" s="6" t="s">
        <v>36</v>
      </c>
      <c r="M4931" s="3" t="s">
        <v>36</v>
      </c>
      <c r="N4931" s="3" t="s">
        <v>36</v>
      </c>
      <c r="O4931" s="8" t="s">
        <v>36</v>
      </c>
      <c r="P4931" s="3" t="s">
        <v>36</v>
      </c>
      <c r="Q4931" s="3" t="s">
        <v>36</v>
      </c>
      <c r="R4931" s="3" t="s">
        <v>36</v>
      </c>
      <c r="S4931" s="3" t="s">
        <v>36</v>
      </c>
      <c r="T4931" s="3" t="s">
        <v>522</v>
      </c>
      <c r="U4931" s="3" t="s">
        <v>38</v>
      </c>
      <c r="V4931" s="3" t="s">
        <v>39</v>
      </c>
      <c r="W4931" s="3" t="s">
        <v>23674</v>
      </c>
      <c r="X4931" s="10" t="s">
        <v>13670</v>
      </c>
      <c r="Y4931" s="6" t="s">
        <v>42</v>
      </c>
      <c r="Z4931" s="4" t="s">
        <v>36</v>
      </c>
      <c r="AA4931" s="4" t="s">
        <v>36</v>
      </c>
      <c r="AB4931" s="3" t="s">
        <v>56</v>
      </c>
      <c r="AC4931" s="3" t="s">
        <v>23675</v>
      </c>
      <c r="AD4931" s="9">
        <v>43466</v>
      </c>
      <c r="AE4931" s="3" t="s">
        <v>110</v>
      </c>
      <c r="AF4931" s="3" t="s">
        <v>2830</v>
      </c>
      <c r="AG4931" s="3" t="s">
        <v>23676</v>
      </c>
      <c r="AH4931" s="11">
        <f>HYPERLINK("https://my.pitchbook.com?c=118256-59T","View Company Online")</f>
      </c>
    </row>
    <row r="4932">
      <c r="A4932" s="12" t="s">
        <v>23677</v>
      </c>
      <c r="B4932" s="12" t="s">
        <v>23678</v>
      </c>
      <c r="C4932" s="19" t="s">
        <v>36</v>
      </c>
      <c r="D4932" s="19" t="s">
        <v>36</v>
      </c>
      <c r="E4932" s="19" t="s">
        <v>36</v>
      </c>
      <c r="F4932" s="19" t="s">
        <v>36</v>
      </c>
      <c r="G4932" s="15" t="s">
        <v>36</v>
      </c>
      <c r="H4932" s="14" t="s">
        <v>36</v>
      </c>
      <c r="I4932" s="18" t="s">
        <v>36</v>
      </c>
      <c r="J4932" s="12" t="s">
        <v>36</v>
      </c>
      <c r="K4932" s="13" t="s">
        <v>36</v>
      </c>
      <c r="L4932" s="15" t="s">
        <v>36</v>
      </c>
      <c r="M4932" s="12" t="s">
        <v>36</v>
      </c>
      <c r="N4932" s="12" t="s">
        <v>36</v>
      </c>
      <c r="O4932" s="17" t="s">
        <v>36</v>
      </c>
      <c r="P4932" s="12" t="s">
        <v>36</v>
      </c>
      <c r="Q4932" s="12" t="s">
        <v>36</v>
      </c>
      <c r="R4932" s="12" t="s">
        <v>36</v>
      </c>
      <c r="S4932" s="12" t="s">
        <v>36</v>
      </c>
      <c r="T4932" s="12" t="s">
        <v>7582</v>
      </c>
      <c r="U4932" s="12" t="s">
        <v>63</v>
      </c>
      <c r="V4932" s="12" t="s">
        <v>64</v>
      </c>
      <c r="W4932" s="12" t="s">
        <v>23679</v>
      </c>
      <c r="X4932" s="16" t="s">
        <v>8971</v>
      </c>
      <c r="Y4932" s="15" t="s">
        <v>42</v>
      </c>
      <c r="Z4932" s="14">
        <v>1.82</v>
      </c>
      <c r="AA4932" s="14" t="s">
        <v>36</v>
      </c>
      <c r="AB4932" s="12" t="s">
        <v>43</v>
      </c>
      <c r="AC4932" s="12" t="s">
        <v>23680</v>
      </c>
      <c r="AD4932" s="13">
        <v>43466</v>
      </c>
      <c r="AE4932" s="12" t="s">
        <v>68</v>
      </c>
      <c r="AF4932" s="12" t="s">
        <v>14418</v>
      </c>
      <c r="AG4932" s="12" t="s">
        <v>899</v>
      </c>
      <c r="AH4932" s="1">
        <f>HYPERLINK("https://my.pitchbook.com?c=133320-79T","View Company Online")</f>
      </c>
    </row>
    <row r="4933">
      <c r="A4933" s="3" t="s">
        <v>23681</v>
      </c>
      <c r="B4933" s="3" t="s">
        <v>23682</v>
      </c>
      <c r="C4933" s="5" t="s">
        <v>36</v>
      </c>
      <c r="D4933" s="5" t="s">
        <v>36</v>
      </c>
      <c r="E4933" s="5" t="s">
        <v>36</v>
      </c>
      <c r="F4933" s="5" t="s">
        <v>36</v>
      </c>
      <c r="G4933" s="6" t="s">
        <v>36</v>
      </c>
      <c r="H4933" s="4" t="s">
        <v>36</v>
      </c>
      <c r="I4933" s="7" t="s">
        <v>36</v>
      </c>
      <c r="J4933" s="3" t="s">
        <v>36</v>
      </c>
      <c r="K4933" s="9" t="s">
        <v>36</v>
      </c>
      <c r="L4933" s="6" t="s">
        <v>36</v>
      </c>
      <c r="M4933" s="3" t="s">
        <v>36</v>
      </c>
      <c r="N4933" s="3" t="s">
        <v>36</v>
      </c>
      <c r="O4933" s="8" t="s">
        <v>36</v>
      </c>
      <c r="P4933" s="3" t="s">
        <v>36</v>
      </c>
      <c r="Q4933" s="3" t="s">
        <v>36</v>
      </c>
      <c r="R4933" s="3" t="s">
        <v>36</v>
      </c>
      <c r="S4933" s="3" t="s">
        <v>36</v>
      </c>
      <c r="T4933" s="3" t="s">
        <v>16445</v>
      </c>
      <c r="U4933" s="3" t="s">
        <v>279</v>
      </c>
      <c r="V4933" s="3" t="s">
        <v>64</v>
      </c>
      <c r="W4933" s="3" t="s">
        <v>23683</v>
      </c>
      <c r="X4933" s="10" t="s">
        <v>23684</v>
      </c>
      <c r="Y4933" s="6" t="s">
        <v>42</v>
      </c>
      <c r="Z4933" s="4" t="s">
        <v>36</v>
      </c>
      <c r="AA4933" s="4" t="s">
        <v>36</v>
      </c>
      <c r="AB4933" s="3" t="s">
        <v>56</v>
      </c>
      <c r="AC4933" s="3" t="s">
        <v>23685</v>
      </c>
      <c r="AD4933" s="9">
        <v>43466</v>
      </c>
      <c r="AE4933" s="3" t="s">
        <v>283</v>
      </c>
      <c r="AF4933" s="3" t="s">
        <v>36</v>
      </c>
      <c r="AG4933" s="3" t="s">
        <v>81</v>
      </c>
      <c r="AH4933" s="11">
        <f>HYPERLINK("https://my.pitchbook.com?c=118966-69T","View Company Online")</f>
      </c>
    </row>
    <row r="4934">
      <c r="A4934" s="12" t="s">
        <v>23686</v>
      </c>
      <c r="B4934" s="12" t="s">
        <v>23687</v>
      </c>
      <c r="C4934" s="19" t="s">
        <v>36</v>
      </c>
      <c r="D4934" s="19" t="s">
        <v>36</v>
      </c>
      <c r="E4934" s="19" t="s">
        <v>36</v>
      </c>
      <c r="F4934" s="19" t="s">
        <v>36</v>
      </c>
      <c r="G4934" s="15" t="s">
        <v>36</v>
      </c>
      <c r="H4934" s="14" t="s">
        <v>36</v>
      </c>
      <c r="I4934" s="18" t="s">
        <v>36</v>
      </c>
      <c r="J4934" s="12" t="s">
        <v>36</v>
      </c>
      <c r="K4934" s="13" t="s">
        <v>36</v>
      </c>
      <c r="L4934" s="15" t="s">
        <v>36</v>
      </c>
      <c r="M4934" s="12" t="s">
        <v>36</v>
      </c>
      <c r="N4934" s="12" t="s">
        <v>36</v>
      </c>
      <c r="O4934" s="17" t="s">
        <v>36</v>
      </c>
      <c r="P4934" s="12" t="s">
        <v>36</v>
      </c>
      <c r="Q4934" s="12" t="s">
        <v>36</v>
      </c>
      <c r="R4934" s="12" t="s">
        <v>36</v>
      </c>
      <c r="S4934" s="12" t="s">
        <v>36</v>
      </c>
      <c r="T4934" s="12" t="s">
        <v>9402</v>
      </c>
      <c r="U4934" s="12" t="s">
        <v>233</v>
      </c>
      <c r="V4934" s="12" t="s">
        <v>39</v>
      </c>
      <c r="W4934" s="12" t="s">
        <v>23688</v>
      </c>
      <c r="X4934" s="16" t="s">
        <v>13670</v>
      </c>
      <c r="Y4934" s="15" t="s">
        <v>42</v>
      </c>
      <c r="Z4934" s="14" t="s">
        <v>36</v>
      </c>
      <c r="AA4934" s="14" t="s">
        <v>36</v>
      </c>
      <c r="AB4934" s="12" t="s">
        <v>56</v>
      </c>
      <c r="AC4934" s="12" t="s">
        <v>23689</v>
      </c>
      <c r="AD4934" s="13">
        <v>43466</v>
      </c>
      <c r="AE4934" s="12" t="s">
        <v>236</v>
      </c>
      <c r="AF4934" s="12" t="s">
        <v>1201</v>
      </c>
      <c r="AG4934" s="12" t="s">
        <v>23690</v>
      </c>
      <c r="AH4934" s="1">
        <f>HYPERLINK("https://my.pitchbook.com?c=118234-00T","View Company Online")</f>
      </c>
    </row>
    <row r="4935">
      <c r="A4935" s="3" t="s">
        <v>23691</v>
      </c>
      <c r="B4935" s="3" t="s">
        <v>23692</v>
      </c>
      <c r="C4935" s="5" t="s">
        <v>36</v>
      </c>
      <c r="D4935" s="5" t="s">
        <v>36</v>
      </c>
      <c r="E4935" s="5" t="s">
        <v>36</v>
      </c>
      <c r="F4935" s="5" t="s">
        <v>36</v>
      </c>
      <c r="G4935" s="6" t="s">
        <v>36</v>
      </c>
      <c r="H4935" s="4" t="s">
        <v>36</v>
      </c>
      <c r="I4935" s="7" t="s">
        <v>36</v>
      </c>
      <c r="J4935" s="3" t="s">
        <v>36</v>
      </c>
      <c r="K4935" s="9" t="s">
        <v>36</v>
      </c>
      <c r="L4935" s="6" t="s">
        <v>36</v>
      </c>
      <c r="M4935" s="3" t="s">
        <v>36</v>
      </c>
      <c r="N4935" s="3" t="s">
        <v>36</v>
      </c>
      <c r="O4935" s="8" t="s">
        <v>36</v>
      </c>
      <c r="P4935" s="3" t="s">
        <v>36</v>
      </c>
      <c r="Q4935" s="3" t="s">
        <v>36</v>
      </c>
      <c r="R4935" s="3" t="s">
        <v>36</v>
      </c>
      <c r="S4935" s="3" t="s">
        <v>36</v>
      </c>
      <c r="T4935" s="3" t="s">
        <v>9494</v>
      </c>
      <c r="U4935" s="3" t="s">
        <v>38</v>
      </c>
      <c r="V4935" s="3" t="s">
        <v>39</v>
      </c>
      <c r="W4935" s="3" t="s">
        <v>23693</v>
      </c>
      <c r="X4935" s="10" t="s">
        <v>23694</v>
      </c>
      <c r="Y4935" s="6" t="s">
        <v>55</v>
      </c>
      <c r="Z4935" s="4" t="s">
        <v>36</v>
      </c>
      <c r="AA4935" s="4" t="s">
        <v>36</v>
      </c>
      <c r="AB4935" s="3" t="s">
        <v>56</v>
      </c>
      <c r="AC4935" s="3" t="s">
        <v>23695</v>
      </c>
      <c r="AD4935" s="9">
        <v>43466</v>
      </c>
      <c r="AE4935" s="3" t="s">
        <v>554</v>
      </c>
      <c r="AF4935" s="3" t="s">
        <v>1296</v>
      </c>
      <c r="AG4935" s="3" t="s">
        <v>81</v>
      </c>
      <c r="AH4935" s="11">
        <f>HYPERLINK("https://my.pitchbook.com?c=181240-39T","View Company Online")</f>
      </c>
    </row>
    <row r="4936">
      <c r="A4936" s="12" t="s">
        <v>23696</v>
      </c>
      <c r="B4936" s="12" t="s">
        <v>23697</v>
      </c>
      <c r="C4936" s="19" t="s">
        <v>36</v>
      </c>
      <c r="D4936" s="19" t="s">
        <v>36</v>
      </c>
      <c r="E4936" s="19" t="s">
        <v>36</v>
      </c>
      <c r="F4936" s="19" t="s">
        <v>36</v>
      </c>
      <c r="G4936" s="15" t="s">
        <v>36</v>
      </c>
      <c r="H4936" s="14" t="s">
        <v>36</v>
      </c>
      <c r="I4936" s="18" t="s">
        <v>36</v>
      </c>
      <c r="J4936" s="12" t="s">
        <v>36</v>
      </c>
      <c r="K4936" s="13" t="s">
        <v>36</v>
      </c>
      <c r="L4936" s="15" t="s">
        <v>36</v>
      </c>
      <c r="M4936" s="12" t="s">
        <v>36</v>
      </c>
      <c r="N4936" s="12" t="s">
        <v>36</v>
      </c>
      <c r="O4936" s="17" t="s">
        <v>36</v>
      </c>
      <c r="P4936" s="12" t="s">
        <v>36</v>
      </c>
      <c r="Q4936" s="12" t="s">
        <v>36</v>
      </c>
      <c r="R4936" s="12" t="s">
        <v>36</v>
      </c>
      <c r="S4936" s="12" t="s">
        <v>36</v>
      </c>
      <c r="T4936" s="12" t="s">
        <v>7415</v>
      </c>
      <c r="U4936" s="12" t="s">
        <v>38</v>
      </c>
      <c r="V4936" s="12" t="s">
        <v>39</v>
      </c>
      <c r="W4936" s="12" t="s">
        <v>23698</v>
      </c>
      <c r="X4936" s="16" t="s">
        <v>1872</v>
      </c>
      <c r="Y4936" s="15" t="s">
        <v>42</v>
      </c>
      <c r="Z4936" s="14" t="s">
        <v>36</v>
      </c>
      <c r="AA4936" s="14" t="s">
        <v>36</v>
      </c>
      <c r="AB4936" s="12" t="s">
        <v>43</v>
      </c>
      <c r="AC4936" s="12" t="s">
        <v>23699</v>
      </c>
      <c r="AD4936" s="13">
        <v>43466</v>
      </c>
      <c r="AE4936" s="12" t="s">
        <v>1422</v>
      </c>
      <c r="AF4936" s="12" t="s">
        <v>5177</v>
      </c>
      <c r="AG4936" s="12" t="s">
        <v>741</v>
      </c>
      <c r="AH4936" s="1">
        <f>HYPERLINK("https://my.pitchbook.com?c=118004-86T","View Company Online")</f>
      </c>
    </row>
    <row r="4937">
      <c r="A4937" s="3" t="s">
        <v>23700</v>
      </c>
      <c r="B4937" s="3" t="s">
        <v>23701</v>
      </c>
      <c r="C4937" s="5" t="s">
        <v>36</v>
      </c>
      <c r="D4937" s="5" t="s">
        <v>36</v>
      </c>
      <c r="E4937" s="5" t="s">
        <v>36</v>
      </c>
      <c r="F4937" s="5" t="s">
        <v>36</v>
      </c>
      <c r="G4937" s="6" t="s">
        <v>36</v>
      </c>
      <c r="H4937" s="4" t="s">
        <v>36</v>
      </c>
      <c r="I4937" s="7" t="s">
        <v>36</v>
      </c>
      <c r="J4937" s="3" t="s">
        <v>36</v>
      </c>
      <c r="K4937" s="9" t="s">
        <v>36</v>
      </c>
      <c r="L4937" s="6" t="s">
        <v>36</v>
      </c>
      <c r="M4937" s="3" t="s">
        <v>36</v>
      </c>
      <c r="N4937" s="3" t="s">
        <v>36</v>
      </c>
      <c r="O4937" s="8" t="s">
        <v>36</v>
      </c>
      <c r="P4937" s="3" t="s">
        <v>36</v>
      </c>
      <c r="Q4937" s="3" t="s">
        <v>36</v>
      </c>
      <c r="R4937" s="3" t="s">
        <v>36</v>
      </c>
      <c r="S4937" s="3" t="s">
        <v>36</v>
      </c>
      <c r="T4937" s="3" t="s">
        <v>647</v>
      </c>
      <c r="U4937" s="3" t="s">
        <v>648</v>
      </c>
      <c r="V4937" s="3" t="s">
        <v>64</v>
      </c>
      <c r="W4937" s="3" t="s">
        <v>23702</v>
      </c>
      <c r="X4937" s="10" t="s">
        <v>11070</v>
      </c>
      <c r="Y4937" s="6" t="s">
        <v>55</v>
      </c>
      <c r="Z4937" s="4" t="s">
        <v>36</v>
      </c>
      <c r="AA4937" s="4" t="s">
        <v>36</v>
      </c>
      <c r="AB4937" s="3" t="s">
        <v>56</v>
      </c>
      <c r="AC4937" s="3" t="s">
        <v>23703</v>
      </c>
      <c r="AD4937" s="9">
        <v>43466</v>
      </c>
      <c r="AE4937" s="3" t="s">
        <v>651</v>
      </c>
      <c r="AF4937" s="3" t="s">
        <v>36</v>
      </c>
      <c r="AG4937" s="3" t="s">
        <v>11675</v>
      </c>
      <c r="AH4937" s="11">
        <f>HYPERLINK("https://my.pitchbook.com?c=207308-53T","View Company Online")</f>
      </c>
    </row>
    <row r="4938">
      <c r="A4938" s="12" t="s">
        <v>23704</v>
      </c>
      <c r="B4938" s="12" t="s">
        <v>23705</v>
      </c>
      <c r="C4938" s="19">
        <v>17</v>
      </c>
      <c r="D4938" s="19">
        <v>4</v>
      </c>
      <c r="E4938" s="19">
        <v>8</v>
      </c>
      <c r="F4938" s="19">
        <v>27</v>
      </c>
      <c r="G4938" s="15" t="s">
        <v>36</v>
      </c>
      <c r="H4938" s="14" t="s">
        <v>36</v>
      </c>
      <c r="I4938" s="18" t="s">
        <v>36</v>
      </c>
      <c r="J4938" s="12" t="s">
        <v>36</v>
      </c>
      <c r="K4938" s="13" t="s">
        <v>36</v>
      </c>
      <c r="L4938" s="15" t="s">
        <v>36</v>
      </c>
      <c r="M4938" s="12" t="s">
        <v>36</v>
      </c>
      <c r="N4938" s="12" t="s">
        <v>36</v>
      </c>
      <c r="O4938" s="17" t="s">
        <v>36</v>
      </c>
      <c r="P4938" s="12" t="s">
        <v>36</v>
      </c>
      <c r="Q4938" s="12" t="s">
        <v>36</v>
      </c>
      <c r="R4938" s="12" t="s">
        <v>36</v>
      </c>
      <c r="S4938" s="12" t="s">
        <v>36</v>
      </c>
      <c r="T4938" s="12" t="s">
        <v>2321</v>
      </c>
      <c r="U4938" s="12" t="s">
        <v>51</v>
      </c>
      <c r="V4938" s="12" t="s">
        <v>52</v>
      </c>
      <c r="W4938" s="12" t="s">
        <v>23706</v>
      </c>
      <c r="X4938" s="16" t="s">
        <v>23707</v>
      </c>
      <c r="Y4938" s="15" t="s">
        <v>42</v>
      </c>
      <c r="Z4938" s="14" t="s">
        <v>36</v>
      </c>
      <c r="AA4938" s="14" t="s">
        <v>36</v>
      </c>
      <c r="AB4938" s="12" t="s">
        <v>43</v>
      </c>
      <c r="AC4938" s="12" t="s">
        <v>23708</v>
      </c>
      <c r="AD4938" s="13">
        <v>43466</v>
      </c>
      <c r="AE4938" s="12" t="s">
        <v>504</v>
      </c>
      <c r="AF4938" s="12" t="s">
        <v>159</v>
      </c>
      <c r="AG4938" s="12" t="s">
        <v>81</v>
      </c>
      <c r="AH4938" s="1">
        <f>HYPERLINK("https://my.pitchbook.com?c=242895-07T","View Company Online")</f>
      </c>
    </row>
    <row r="4939">
      <c r="A4939" s="3" t="s">
        <v>23709</v>
      </c>
      <c r="B4939" s="3" t="s">
        <v>6082</v>
      </c>
      <c r="C4939" s="5" t="s">
        <v>36</v>
      </c>
      <c r="D4939" s="5" t="s">
        <v>36</v>
      </c>
      <c r="E4939" s="5" t="s">
        <v>36</v>
      </c>
      <c r="F4939" s="5" t="s">
        <v>36</v>
      </c>
      <c r="G4939" s="6" t="s">
        <v>36</v>
      </c>
      <c r="H4939" s="4" t="s">
        <v>36</v>
      </c>
      <c r="I4939" s="7" t="s">
        <v>36</v>
      </c>
      <c r="J4939" s="3" t="s">
        <v>36</v>
      </c>
      <c r="K4939" s="9" t="s">
        <v>36</v>
      </c>
      <c r="L4939" s="6" t="s">
        <v>36</v>
      </c>
      <c r="M4939" s="3" t="s">
        <v>36</v>
      </c>
      <c r="N4939" s="3" t="s">
        <v>36</v>
      </c>
      <c r="O4939" s="8" t="s">
        <v>36</v>
      </c>
      <c r="P4939" s="3" t="s">
        <v>36</v>
      </c>
      <c r="Q4939" s="3" t="s">
        <v>36</v>
      </c>
      <c r="R4939" s="3" t="s">
        <v>36</v>
      </c>
      <c r="S4939" s="3" t="s">
        <v>36</v>
      </c>
      <c r="T4939" s="3" t="s">
        <v>3330</v>
      </c>
      <c r="U4939" s="3" t="s">
        <v>438</v>
      </c>
      <c r="V4939" s="3" t="s">
        <v>405</v>
      </c>
      <c r="W4939" s="3" t="s">
        <v>6083</v>
      </c>
      <c r="X4939" s="10" t="s">
        <v>23710</v>
      </c>
      <c r="Y4939" s="6" t="s">
        <v>42</v>
      </c>
      <c r="Z4939" s="4" t="s">
        <v>36</v>
      </c>
      <c r="AA4939" s="4" t="s">
        <v>36</v>
      </c>
      <c r="AB4939" s="3" t="s">
        <v>43</v>
      </c>
      <c r="AC4939" s="3" t="s">
        <v>6085</v>
      </c>
      <c r="AD4939" s="9">
        <v>43466</v>
      </c>
      <c r="AE4939" s="3" t="s">
        <v>438</v>
      </c>
      <c r="AF4939" s="3" t="s">
        <v>3334</v>
      </c>
      <c r="AG4939" s="3" t="s">
        <v>81</v>
      </c>
      <c r="AH4939" s="11">
        <f>HYPERLINK("https://my.pitchbook.com?c=130016-80T","View Company Online")</f>
      </c>
    </row>
    <row r="4940">
      <c r="A4940" s="12" t="s">
        <v>23711</v>
      </c>
      <c r="B4940" s="12" t="s">
        <v>23712</v>
      </c>
      <c r="C4940" s="19" t="s">
        <v>36</v>
      </c>
      <c r="D4940" s="19" t="s">
        <v>36</v>
      </c>
      <c r="E4940" s="19" t="s">
        <v>36</v>
      </c>
      <c r="F4940" s="19" t="s">
        <v>36</v>
      </c>
      <c r="G4940" s="15" t="s">
        <v>36</v>
      </c>
      <c r="H4940" s="14" t="s">
        <v>36</v>
      </c>
      <c r="I4940" s="18" t="s">
        <v>36</v>
      </c>
      <c r="J4940" s="12" t="s">
        <v>36</v>
      </c>
      <c r="K4940" s="13" t="s">
        <v>36</v>
      </c>
      <c r="L4940" s="15" t="s">
        <v>36</v>
      </c>
      <c r="M4940" s="12" t="s">
        <v>36</v>
      </c>
      <c r="N4940" s="12" t="s">
        <v>36</v>
      </c>
      <c r="O4940" s="17" t="s">
        <v>36</v>
      </c>
      <c r="P4940" s="12" t="s">
        <v>36</v>
      </c>
      <c r="Q4940" s="12" t="s">
        <v>36</v>
      </c>
      <c r="R4940" s="12" t="s">
        <v>36</v>
      </c>
      <c r="S4940" s="12" t="s">
        <v>36</v>
      </c>
      <c r="T4940" s="12" t="s">
        <v>10844</v>
      </c>
      <c r="U4940" s="12" t="s">
        <v>833</v>
      </c>
      <c r="V4940" s="12" t="s">
        <v>64</v>
      </c>
      <c r="W4940" s="12" t="s">
        <v>23713</v>
      </c>
      <c r="X4940" s="16" t="s">
        <v>23714</v>
      </c>
      <c r="Y4940" s="15" t="s">
        <v>42</v>
      </c>
      <c r="Z4940" s="14" t="s">
        <v>36</v>
      </c>
      <c r="AA4940" s="14" t="s">
        <v>36</v>
      </c>
      <c r="AB4940" s="12" t="s">
        <v>43</v>
      </c>
      <c r="AC4940" s="12" t="s">
        <v>23715</v>
      </c>
      <c r="AD4940" s="13">
        <v>43466</v>
      </c>
      <c r="AE4940" s="12" t="s">
        <v>3615</v>
      </c>
      <c r="AF4940" s="12" t="s">
        <v>90</v>
      </c>
      <c r="AG4940" s="12" t="s">
        <v>81</v>
      </c>
      <c r="AH4940" s="1">
        <f>HYPERLINK("https://my.pitchbook.com?c=115064-29T","View Company Online")</f>
      </c>
    </row>
    <row r="4941">
      <c r="A4941" s="3" t="s">
        <v>23716</v>
      </c>
      <c r="B4941" s="3" t="s">
        <v>23717</v>
      </c>
      <c r="C4941" s="5" t="s">
        <v>36</v>
      </c>
      <c r="D4941" s="5" t="s">
        <v>36</v>
      </c>
      <c r="E4941" s="5" t="s">
        <v>36</v>
      </c>
      <c r="F4941" s="5" t="s">
        <v>36</v>
      </c>
      <c r="G4941" s="6" t="s">
        <v>36</v>
      </c>
      <c r="H4941" s="4" t="s">
        <v>36</v>
      </c>
      <c r="I4941" s="7" t="s">
        <v>36</v>
      </c>
      <c r="J4941" s="3" t="s">
        <v>36</v>
      </c>
      <c r="K4941" s="9" t="s">
        <v>36</v>
      </c>
      <c r="L4941" s="6" t="s">
        <v>36</v>
      </c>
      <c r="M4941" s="3" t="s">
        <v>36</v>
      </c>
      <c r="N4941" s="3" t="s">
        <v>36</v>
      </c>
      <c r="O4941" s="8" t="s">
        <v>36</v>
      </c>
      <c r="P4941" s="3" t="s">
        <v>36</v>
      </c>
      <c r="Q4941" s="3" t="s">
        <v>36</v>
      </c>
      <c r="R4941" s="3" t="s">
        <v>36</v>
      </c>
      <c r="S4941" s="3" t="s">
        <v>36</v>
      </c>
      <c r="T4941" s="3" t="s">
        <v>1701</v>
      </c>
      <c r="U4941" s="3" t="s">
        <v>74</v>
      </c>
      <c r="V4941" s="3" t="s">
        <v>75</v>
      </c>
      <c r="W4941" s="3" t="s">
        <v>23718</v>
      </c>
      <c r="X4941" s="10" t="s">
        <v>13670</v>
      </c>
      <c r="Y4941" s="6" t="s">
        <v>42</v>
      </c>
      <c r="Z4941" s="4" t="s">
        <v>36</v>
      </c>
      <c r="AA4941" s="4" t="s">
        <v>36</v>
      </c>
      <c r="AB4941" s="3" t="s">
        <v>56</v>
      </c>
      <c r="AC4941" s="3" t="s">
        <v>23719</v>
      </c>
      <c r="AD4941" s="9">
        <v>43466</v>
      </c>
      <c r="AE4941" s="3" t="s">
        <v>79</v>
      </c>
      <c r="AF4941" s="3" t="s">
        <v>3904</v>
      </c>
      <c r="AG4941" s="3" t="s">
        <v>81</v>
      </c>
      <c r="AH4941" s="11">
        <f>HYPERLINK("https://my.pitchbook.com?c=118270-72T","View Company Online")</f>
      </c>
    </row>
    <row r="4942">
      <c r="A4942" s="12" t="s">
        <v>23720</v>
      </c>
      <c r="B4942" s="12" t="s">
        <v>23721</v>
      </c>
      <c r="C4942" s="19" t="s">
        <v>36</v>
      </c>
      <c r="D4942" s="19" t="s">
        <v>36</v>
      </c>
      <c r="E4942" s="19" t="s">
        <v>36</v>
      </c>
      <c r="F4942" s="19" t="s">
        <v>36</v>
      </c>
      <c r="G4942" s="15" t="s">
        <v>36</v>
      </c>
      <c r="H4942" s="14" t="s">
        <v>36</v>
      </c>
      <c r="I4942" s="18" t="s">
        <v>36</v>
      </c>
      <c r="J4942" s="12" t="s">
        <v>36</v>
      </c>
      <c r="K4942" s="13" t="s">
        <v>36</v>
      </c>
      <c r="L4942" s="15" t="s">
        <v>36</v>
      </c>
      <c r="M4942" s="12" t="s">
        <v>36</v>
      </c>
      <c r="N4942" s="12" t="s">
        <v>36</v>
      </c>
      <c r="O4942" s="17" t="s">
        <v>36</v>
      </c>
      <c r="P4942" s="12" t="s">
        <v>36</v>
      </c>
      <c r="Q4942" s="12" t="s">
        <v>36</v>
      </c>
      <c r="R4942" s="12" t="s">
        <v>36</v>
      </c>
      <c r="S4942" s="12" t="s">
        <v>36</v>
      </c>
      <c r="T4942" s="12" t="s">
        <v>3996</v>
      </c>
      <c r="U4942" s="12" t="s">
        <v>74</v>
      </c>
      <c r="V4942" s="12" t="s">
        <v>75</v>
      </c>
      <c r="W4942" s="12" t="s">
        <v>23722</v>
      </c>
      <c r="X4942" s="16" t="s">
        <v>1399</v>
      </c>
      <c r="Y4942" s="15" t="s">
        <v>42</v>
      </c>
      <c r="Z4942" s="14" t="s">
        <v>36</v>
      </c>
      <c r="AA4942" s="14" t="s">
        <v>36</v>
      </c>
      <c r="AB4942" s="12" t="s">
        <v>43</v>
      </c>
      <c r="AC4942" s="12" t="s">
        <v>23723</v>
      </c>
      <c r="AD4942" s="13">
        <v>43466</v>
      </c>
      <c r="AE4942" s="12" t="s">
        <v>79</v>
      </c>
      <c r="AF4942" s="12" t="s">
        <v>2759</v>
      </c>
      <c r="AG4942" s="12" t="s">
        <v>23724</v>
      </c>
      <c r="AH4942" s="1">
        <f>HYPERLINK("https://my.pitchbook.com?c=218414-26T","View Company Online")</f>
      </c>
    </row>
    <row r="4943">
      <c r="A4943" s="3" t="s">
        <v>23725</v>
      </c>
      <c r="B4943" s="3" t="s">
        <v>23726</v>
      </c>
      <c r="C4943" s="5" t="s">
        <v>36</v>
      </c>
      <c r="D4943" s="5" t="s">
        <v>36</v>
      </c>
      <c r="E4943" s="5" t="s">
        <v>36</v>
      </c>
      <c r="F4943" s="5" t="s">
        <v>36</v>
      </c>
      <c r="G4943" s="6" t="s">
        <v>36</v>
      </c>
      <c r="H4943" s="4" t="s">
        <v>36</v>
      </c>
      <c r="I4943" s="7" t="s">
        <v>36</v>
      </c>
      <c r="J4943" s="3" t="s">
        <v>36</v>
      </c>
      <c r="K4943" s="9" t="s">
        <v>36</v>
      </c>
      <c r="L4943" s="6" t="s">
        <v>36</v>
      </c>
      <c r="M4943" s="3" t="s">
        <v>36</v>
      </c>
      <c r="N4943" s="3" t="s">
        <v>36</v>
      </c>
      <c r="O4943" s="8" t="s">
        <v>36</v>
      </c>
      <c r="P4943" s="3" t="s">
        <v>36</v>
      </c>
      <c r="Q4943" s="3" t="s">
        <v>36</v>
      </c>
      <c r="R4943" s="3" t="s">
        <v>36</v>
      </c>
      <c r="S4943" s="3" t="s">
        <v>36</v>
      </c>
      <c r="T4943" s="3" t="s">
        <v>23727</v>
      </c>
      <c r="U4943" s="3" t="s">
        <v>96</v>
      </c>
      <c r="V4943" s="3" t="s">
        <v>52</v>
      </c>
      <c r="W4943" s="3" t="s">
        <v>23728</v>
      </c>
      <c r="X4943" s="10" t="s">
        <v>10887</v>
      </c>
      <c r="Y4943" s="6" t="s">
        <v>108</v>
      </c>
      <c r="Z4943" s="4">
        <v>1.14</v>
      </c>
      <c r="AA4943" s="4" t="s">
        <v>36</v>
      </c>
      <c r="AB4943" s="3" t="s">
        <v>43</v>
      </c>
      <c r="AC4943" s="3" t="s">
        <v>23729</v>
      </c>
      <c r="AD4943" s="9">
        <v>43466</v>
      </c>
      <c r="AE4943" s="3" t="s">
        <v>1414</v>
      </c>
      <c r="AF4943" s="3" t="s">
        <v>23730</v>
      </c>
      <c r="AG4943" s="3" t="s">
        <v>23731</v>
      </c>
      <c r="AH4943" s="11">
        <f>HYPERLINK("https://my.pitchbook.com?c=155603-80T","View Company Online")</f>
      </c>
    </row>
    <row r="4944">
      <c r="A4944" s="12" t="s">
        <v>23732</v>
      </c>
      <c r="B4944" s="12" t="s">
        <v>23733</v>
      </c>
      <c r="C4944" s="19" t="s">
        <v>36</v>
      </c>
      <c r="D4944" s="19" t="s">
        <v>36</v>
      </c>
      <c r="E4944" s="19" t="s">
        <v>36</v>
      </c>
      <c r="F4944" s="19" t="s">
        <v>36</v>
      </c>
      <c r="G4944" s="15" t="s">
        <v>36</v>
      </c>
      <c r="H4944" s="14" t="s">
        <v>36</v>
      </c>
      <c r="I4944" s="18" t="s">
        <v>36</v>
      </c>
      <c r="J4944" s="12" t="s">
        <v>36</v>
      </c>
      <c r="K4944" s="13" t="s">
        <v>36</v>
      </c>
      <c r="L4944" s="15" t="s">
        <v>36</v>
      </c>
      <c r="M4944" s="12" t="s">
        <v>36</v>
      </c>
      <c r="N4944" s="12" t="s">
        <v>36</v>
      </c>
      <c r="O4944" s="17" t="s">
        <v>36</v>
      </c>
      <c r="P4944" s="12" t="s">
        <v>36</v>
      </c>
      <c r="Q4944" s="12" t="s">
        <v>36</v>
      </c>
      <c r="R4944" s="12" t="s">
        <v>36</v>
      </c>
      <c r="S4944" s="12" t="s">
        <v>36</v>
      </c>
      <c r="T4944" s="12" t="s">
        <v>1701</v>
      </c>
      <c r="U4944" s="12" t="s">
        <v>74</v>
      </c>
      <c r="V4944" s="12" t="s">
        <v>75</v>
      </c>
      <c r="W4944" s="12" t="s">
        <v>23734</v>
      </c>
      <c r="X4944" s="16" t="s">
        <v>7531</v>
      </c>
      <c r="Y4944" s="15" t="s">
        <v>55</v>
      </c>
      <c r="Z4944" s="14" t="s">
        <v>36</v>
      </c>
      <c r="AA4944" s="14" t="s">
        <v>36</v>
      </c>
      <c r="AB4944" s="12" t="s">
        <v>43</v>
      </c>
      <c r="AC4944" s="12" t="s">
        <v>23735</v>
      </c>
      <c r="AD4944" s="13">
        <v>43466</v>
      </c>
      <c r="AE4944" s="12" t="s">
        <v>79</v>
      </c>
      <c r="AF4944" s="12" t="s">
        <v>36</v>
      </c>
      <c r="AG4944" s="12" t="s">
        <v>81</v>
      </c>
      <c r="AH4944" s="1">
        <f>HYPERLINK("https://my.pitchbook.com?c=220344-22T","View Company Online")</f>
      </c>
    </row>
    <row r="4945">
      <c r="A4945" s="3" t="s">
        <v>23736</v>
      </c>
      <c r="B4945" s="3" t="s">
        <v>18115</v>
      </c>
      <c r="C4945" s="5" t="s">
        <v>36</v>
      </c>
      <c r="D4945" s="5" t="s">
        <v>36</v>
      </c>
      <c r="E4945" s="5" t="s">
        <v>36</v>
      </c>
      <c r="F4945" s="5" t="s">
        <v>36</v>
      </c>
      <c r="G4945" s="6" t="s">
        <v>36</v>
      </c>
      <c r="H4945" s="4" t="s">
        <v>36</v>
      </c>
      <c r="I4945" s="7" t="s">
        <v>36</v>
      </c>
      <c r="J4945" s="3" t="s">
        <v>36</v>
      </c>
      <c r="K4945" s="9" t="s">
        <v>36</v>
      </c>
      <c r="L4945" s="6" t="s">
        <v>36</v>
      </c>
      <c r="M4945" s="3" t="s">
        <v>36</v>
      </c>
      <c r="N4945" s="3" t="s">
        <v>36</v>
      </c>
      <c r="O4945" s="8" t="s">
        <v>36</v>
      </c>
      <c r="P4945" s="3" t="s">
        <v>36</v>
      </c>
      <c r="Q4945" s="3" t="s">
        <v>36</v>
      </c>
      <c r="R4945" s="3" t="s">
        <v>36</v>
      </c>
      <c r="S4945" s="3" t="s">
        <v>36</v>
      </c>
      <c r="T4945" s="3" t="s">
        <v>18116</v>
      </c>
      <c r="U4945" s="3" t="s">
        <v>289</v>
      </c>
      <c r="V4945" s="3" t="s">
        <v>64</v>
      </c>
      <c r="W4945" s="3" t="s">
        <v>18117</v>
      </c>
      <c r="X4945" s="10" t="s">
        <v>12123</v>
      </c>
      <c r="Y4945" s="6" t="s">
        <v>42</v>
      </c>
      <c r="Z4945" s="4" t="s">
        <v>36</v>
      </c>
      <c r="AA4945" s="4" t="s">
        <v>36</v>
      </c>
      <c r="AB4945" s="3" t="s">
        <v>43</v>
      </c>
      <c r="AC4945" s="3" t="s">
        <v>18119</v>
      </c>
      <c r="AD4945" s="9">
        <v>43466</v>
      </c>
      <c r="AE4945" s="3" t="s">
        <v>3134</v>
      </c>
      <c r="AF4945" s="3" t="s">
        <v>90</v>
      </c>
      <c r="AG4945" s="3" t="s">
        <v>81</v>
      </c>
      <c r="AH4945" s="11">
        <f>HYPERLINK("https://my.pitchbook.com?c=124676-11T","View Company Online")</f>
      </c>
    </row>
    <row r="4946">
      <c r="A4946" s="12" t="s">
        <v>23737</v>
      </c>
      <c r="B4946" s="12" t="s">
        <v>15500</v>
      </c>
      <c r="C4946" s="19" t="s">
        <v>36</v>
      </c>
      <c r="D4946" s="19">
        <v>1</v>
      </c>
      <c r="E4946" s="19">
        <v>1</v>
      </c>
      <c r="F4946" s="19">
        <v>2</v>
      </c>
      <c r="G4946" s="15" t="s">
        <v>36</v>
      </c>
      <c r="H4946" s="14" t="s">
        <v>36</v>
      </c>
      <c r="I4946" s="18" t="s">
        <v>36</v>
      </c>
      <c r="J4946" s="12" t="s">
        <v>36</v>
      </c>
      <c r="K4946" s="13" t="s">
        <v>36</v>
      </c>
      <c r="L4946" s="15" t="s">
        <v>36</v>
      </c>
      <c r="M4946" s="12" t="s">
        <v>36</v>
      </c>
      <c r="N4946" s="12" t="s">
        <v>36</v>
      </c>
      <c r="O4946" s="17" t="s">
        <v>36</v>
      </c>
      <c r="P4946" s="12" t="s">
        <v>36</v>
      </c>
      <c r="Q4946" s="12" t="s">
        <v>36</v>
      </c>
      <c r="R4946" s="12" t="s">
        <v>36</v>
      </c>
      <c r="S4946" s="12" t="s">
        <v>15501</v>
      </c>
      <c r="T4946" s="12" t="s">
        <v>588</v>
      </c>
      <c r="U4946" s="12" t="s">
        <v>318</v>
      </c>
      <c r="V4946" s="12" t="s">
        <v>39</v>
      </c>
      <c r="W4946" s="12" t="s">
        <v>15502</v>
      </c>
      <c r="X4946" s="16" t="s">
        <v>1840</v>
      </c>
      <c r="Y4946" s="15" t="s">
        <v>42</v>
      </c>
      <c r="Z4946" s="14">
        <v>0.11</v>
      </c>
      <c r="AA4946" s="14" t="s">
        <v>36</v>
      </c>
      <c r="AB4946" s="12" t="s">
        <v>43</v>
      </c>
      <c r="AC4946" s="12" t="s">
        <v>15504</v>
      </c>
      <c r="AD4946" s="13">
        <v>43466</v>
      </c>
      <c r="AE4946" s="12" t="s">
        <v>417</v>
      </c>
      <c r="AF4946" s="12" t="s">
        <v>2494</v>
      </c>
      <c r="AG4946" s="12" t="s">
        <v>144</v>
      </c>
      <c r="AH4946" s="1">
        <f>HYPERLINK("https://my.pitchbook.com?c=128271-43T","View Company Online")</f>
      </c>
    </row>
    <row r="4947">
      <c r="A4947" s="3" t="s">
        <v>23738</v>
      </c>
      <c r="B4947" s="3" t="s">
        <v>23739</v>
      </c>
      <c r="C4947" s="5" t="s">
        <v>36</v>
      </c>
      <c r="D4947" s="5" t="s">
        <v>36</v>
      </c>
      <c r="E4947" s="5" t="s">
        <v>36</v>
      </c>
      <c r="F4947" s="5" t="s">
        <v>36</v>
      </c>
      <c r="G4947" s="6" t="s">
        <v>36</v>
      </c>
      <c r="H4947" s="4" t="s">
        <v>36</v>
      </c>
      <c r="I4947" s="7" t="s">
        <v>36</v>
      </c>
      <c r="J4947" s="3" t="s">
        <v>36</v>
      </c>
      <c r="K4947" s="9" t="s">
        <v>36</v>
      </c>
      <c r="L4947" s="6" t="s">
        <v>36</v>
      </c>
      <c r="M4947" s="3" t="s">
        <v>36</v>
      </c>
      <c r="N4947" s="3" t="s">
        <v>36</v>
      </c>
      <c r="O4947" s="8" t="s">
        <v>36</v>
      </c>
      <c r="P4947" s="3" t="s">
        <v>36</v>
      </c>
      <c r="Q4947" s="3" t="s">
        <v>36</v>
      </c>
      <c r="R4947" s="3" t="s">
        <v>36</v>
      </c>
      <c r="S4947" s="3" t="s">
        <v>36</v>
      </c>
      <c r="T4947" s="3" t="s">
        <v>21319</v>
      </c>
      <c r="U4947" s="3" t="s">
        <v>38</v>
      </c>
      <c r="V4947" s="3" t="s">
        <v>39</v>
      </c>
      <c r="W4947" s="3" t="s">
        <v>23740</v>
      </c>
      <c r="X4947" s="10" t="s">
        <v>13670</v>
      </c>
      <c r="Y4947" s="6" t="s">
        <v>42</v>
      </c>
      <c r="Z4947" s="4" t="s">
        <v>36</v>
      </c>
      <c r="AA4947" s="4" t="s">
        <v>36</v>
      </c>
      <c r="AB4947" s="3" t="s">
        <v>43</v>
      </c>
      <c r="AC4947" s="3" t="s">
        <v>23741</v>
      </c>
      <c r="AD4947" s="9">
        <v>43466</v>
      </c>
      <c r="AE4947" s="3" t="s">
        <v>1200</v>
      </c>
      <c r="AF4947" s="3" t="s">
        <v>1331</v>
      </c>
      <c r="AG4947" s="3" t="s">
        <v>81</v>
      </c>
      <c r="AH4947" s="11">
        <f>HYPERLINK("https://my.pitchbook.com?c=118272-43T","View Company Online")</f>
      </c>
    </row>
    <row r="4948">
      <c r="A4948" s="12" t="s">
        <v>23742</v>
      </c>
      <c r="B4948" s="12" t="s">
        <v>23743</v>
      </c>
      <c r="C4948" s="19" t="s">
        <v>36</v>
      </c>
      <c r="D4948" s="19" t="s">
        <v>36</v>
      </c>
      <c r="E4948" s="19">
        <v>1</v>
      </c>
      <c r="F4948" s="19">
        <v>1</v>
      </c>
      <c r="G4948" s="15" t="s">
        <v>36</v>
      </c>
      <c r="H4948" s="14" t="s">
        <v>36</v>
      </c>
      <c r="I4948" s="18" t="s">
        <v>36</v>
      </c>
      <c r="J4948" s="12" t="s">
        <v>36</v>
      </c>
      <c r="K4948" s="13">
        <v>43466</v>
      </c>
      <c r="L4948" s="15" t="s">
        <v>36</v>
      </c>
      <c r="M4948" s="12" t="s">
        <v>36</v>
      </c>
      <c r="N4948" s="12" t="s">
        <v>36</v>
      </c>
      <c r="O4948" s="17" t="s">
        <v>36</v>
      </c>
      <c r="P4948" s="12" t="s">
        <v>36</v>
      </c>
      <c r="Q4948" s="12" t="s">
        <v>36</v>
      </c>
      <c r="R4948" s="12" t="s">
        <v>36</v>
      </c>
      <c r="S4948" s="12" t="s">
        <v>36</v>
      </c>
      <c r="T4948" s="12" t="s">
        <v>37</v>
      </c>
      <c r="U4948" s="12" t="s">
        <v>38</v>
      </c>
      <c r="V4948" s="12" t="s">
        <v>39</v>
      </c>
      <c r="W4948" s="12" t="s">
        <v>23744</v>
      </c>
      <c r="X4948" s="16" t="s">
        <v>23745</v>
      </c>
      <c r="Y4948" s="15" t="s">
        <v>42</v>
      </c>
      <c r="Z4948" s="14" t="s">
        <v>36</v>
      </c>
      <c r="AA4948" s="14" t="s">
        <v>36</v>
      </c>
      <c r="AB4948" s="12" t="s">
        <v>43</v>
      </c>
      <c r="AC4948" s="12" t="s">
        <v>23746</v>
      </c>
      <c r="AD4948" s="13">
        <v>43466</v>
      </c>
      <c r="AE4948" s="12" t="s">
        <v>45</v>
      </c>
      <c r="AF4948" s="12" t="s">
        <v>23747</v>
      </c>
      <c r="AG4948" s="12" t="s">
        <v>81</v>
      </c>
      <c r="AH4948" s="1">
        <f>HYPERLINK("https://my.pitchbook.com?c=121477-78T","View Company Online")</f>
      </c>
    </row>
    <row r="4949">
      <c r="A4949" s="3" t="s">
        <v>23748</v>
      </c>
      <c r="B4949" s="3" t="s">
        <v>23749</v>
      </c>
      <c r="C4949" s="5" t="s">
        <v>36</v>
      </c>
      <c r="D4949" s="5" t="s">
        <v>36</v>
      </c>
      <c r="E4949" s="5" t="s">
        <v>36</v>
      </c>
      <c r="F4949" s="5" t="s">
        <v>36</v>
      </c>
      <c r="G4949" s="6" t="s">
        <v>36</v>
      </c>
      <c r="H4949" s="4" t="s">
        <v>36</v>
      </c>
      <c r="I4949" s="7" t="s">
        <v>36</v>
      </c>
      <c r="J4949" s="3" t="s">
        <v>36</v>
      </c>
      <c r="K4949" s="9" t="s">
        <v>36</v>
      </c>
      <c r="L4949" s="6" t="s">
        <v>36</v>
      </c>
      <c r="M4949" s="3" t="s">
        <v>36</v>
      </c>
      <c r="N4949" s="3" t="s">
        <v>36</v>
      </c>
      <c r="O4949" s="8" t="s">
        <v>36</v>
      </c>
      <c r="P4949" s="3" t="s">
        <v>36</v>
      </c>
      <c r="Q4949" s="3" t="s">
        <v>36</v>
      </c>
      <c r="R4949" s="3" t="s">
        <v>36</v>
      </c>
      <c r="S4949" s="3" t="s">
        <v>36</v>
      </c>
      <c r="T4949" s="3" t="s">
        <v>23750</v>
      </c>
      <c r="U4949" s="3" t="s">
        <v>38</v>
      </c>
      <c r="V4949" s="3" t="s">
        <v>39</v>
      </c>
      <c r="W4949" s="3" t="s">
        <v>23751</v>
      </c>
      <c r="X4949" s="10" t="s">
        <v>23752</v>
      </c>
      <c r="Y4949" s="6" t="s">
        <v>42</v>
      </c>
      <c r="Z4949" s="4" t="s">
        <v>36</v>
      </c>
      <c r="AA4949" s="4" t="s">
        <v>36</v>
      </c>
      <c r="AB4949" s="3" t="s">
        <v>43</v>
      </c>
      <c r="AC4949" s="3" t="s">
        <v>23753</v>
      </c>
      <c r="AD4949" s="9">
        <v>43466</v>
      </c>
      <c r="AE4949" s="3" t="s">
        <v>110</v>
      </c>
      <c r="AF4949" s="3" t="s">
        <v>36</v>
      </c>
      <c r="AG4949" s="3" t="s">
        <v>81</v>
      </c>
      <c r="AH4949" s="11">
        <f>HYPERLINK("https://my.pitchbook.com?c=126086-59T","View Company Online")</f>
      </c>
    </row>
    <row r="4950">
      <c r="A4950" s="12" t="s">
        <v>23754</v>
      </c>
      <c r="B4950" s="12" t="s">
        <v>3831</v>
      </c>
      <c r="C4950" s="19">
        <v>9</v>
      </c>
      <c r="D4950" s="19">
        <v>10</v>
      </c>
      <c r="E4950" s="19">
        <v>5</v>
      </c>
      <c r="F4950" s="19">
        <v>19</v>
      </c>
      <c r="G4950" s="15" t="s">
        <v>36</v>
      </c>
      <c r="H4950" s="14" t="s">
        <v>36</v>
      </c>
      <c r="I4950" s="18" t="s">
        <v>36</v>
      </c>
      <c r="J4950" s="12" t="s">
        <v>36</v>
      </c>
      <c r="K4950" s="13" t="s">
        <v>36</v>
      </c>
      <c r="L4950" s="15" t="s">
        <v>122</v>
      </c>
      <c r="M4950" s="12" t="s">
        <v>36</v>
      </c>
      <c r="N4950" s="12" t="s">
        <v>122</v>
      </c>
      <c r="O4950" s="17" t="s">
        <v>36</v>
      </c>
      <c r="P4950" s="12" t="s">
        <v>36</v>
      </c>
      <c r="Q4950" s="12" t="s">
        <v>36</v>
      </c>
      <c r="R4950" s="12" t="s">
        <v>36</v>
      </c>
      <c r="S4950" s="12" t="s">
        <v>36</v>
      </c>
      <c r="T4950" s="12" t="s">
        <v>2213</v>
      </c>
      <c r="U4950" s="12" t="s">
        <v>219</v>
      </c>
      <c r="V4950" s="12" t="s">
        <v>75</v>
      </c>
      <c r="W4950" s="12" t="s">
        <v>3832</v>
      </c>
      <c r="X4950" s="16" t="s">
        <v>23755</v>
      </c>
      <c r="Y4950" s="15" t="s">
        <v>42</v>
      </c>
      <c r="Z4950" s="14">
        <v>1.4</v>
      </c>
      <c r="AA4950" s="14" t="s">
        <v>36</v>
      </c>
      <c r="AB4950" s="12" t="s">
        <v>43</v>
      </c>
      <c r="AC4950" s="12" t="s">
        <v>3834</v>
      </c>
      <c r="AD4950" s="13">
        <v>43465</v>
      </c>
      <c r="AE4950" s="12" t="s">
        <v>1912</v>
      </c>
      <c r="AF4950" s="12" t="s">
        <v>372</v>
      </c>
      <c r="AG4950" s="12" t="s">
        <v>3835</v>
      </c>
      <c r="AH4950" s="1">
        <f>HYPERLINK("https://my.pitchbook.com?c=117773-92T","View Company Online")</f>
      </c>
    </row>
    <row r="4951">
      <c r="A4951" s="3" t="s">
        <v>23756</v>
      </c>
      <c r="B4951" s="3" t="s">
        <v>17554</v>
      </c>
      <c r="C4951" s="5" t="s">
        <v>36</v>
      </c>
      <c r="D4951" s="5">
        <v>55</v>
      </c>
      <c r="E4951" s="5">
        <v>17</v>
      </c>
      <c r="F4951" s="5">
        <v>58</v>
      </c>
      <c r="G4951" s="6" t="s">
        <v>683</v>
      </c>
      <c r="H4951" s="4">
        <v>1.87</v>
      </c>
      <c r="I4951" s="7">
        <v>11.45</v>
      </c>
      <c r="J4951" s="3" t="s">
        <v>521</v>
      </c>
      <c r="K4951" s="9" t="s">
        <v>36</v>
      </c>
      <c r="L4951" s="6" t="s">
        <v>36</v>
      </c>
      <c r="M4951" s="3" t="s">
        <v>36</v>
      </c>
      <c r="N4951" s="3" t="s">
        <v>36</v>
      </c>
      <c r="O4951" s="8" t="s">
        <v>36</v>
      </c>
      <c r="P4951" s="3" t="s">
        <v>36</v>
      </c>
      <c r="Q4951" s="3" t="s">
        <v>36</v>
      </c>
      <c r="R4951" s="3" t="s">
        <v>36</v>
      </c>
      <c r="S4951" s="3" t="s">
        <v>36</v>
      </c>
      <c r="T4951" s="3" t="s">
        <v>17555</v>
      </c>
      <c r="U4951" s="3" t="s">
        <v>366</v>
      </c>
      <c r="V4951" s="3" t="s">
        <v>367</v>
      </c>
      <c r="W4951" s="3" t="s">
        <v>17556</v>
      </c>
      <c r="X4951" s="10" t="s">
        <v>23757</v>
      </c>
      <c r="Y4951" s="6" t="s">
        <v>55</v>
      </c>
      <c r="Z4951" s="4">
        <v>2.28</v>
      </c>
      <c r="AA4951" s="4">
        <v>19.89</v>
      </c>
      <c r="AB4951" s="3" t="s">
        <v>56</v>
      </c>
      <c r="AC4951" s="3" t="s">
        <v>17558</v>
      </c>
      <c r="AD4951" s="9">
        <v>43465</v>
      </c>
      <c r="AE4951" s="3" t="s">
        <v>600</v>
      </c>
      <c r="AF4951" s="3" t="s">
        <v>17559</v>
      </c>
      <c r="AG4951" s="3" t="s">
        <v>3508</v>
      </c>
      <c r="AH4951" s="11">
        <f>HYPERLINK("https://my.pitchbook.com?c=110107-36T","View Company Online")</f>
      </c>
    </row>
    <row r="4952">
      <c r="A4952" s="12" t="s">
        <v>23758</v>
      </c>
      <c r="B4952" s="12" t="s">
        <v>9321</v>
      </c>
      <c r="C4952" s="19" t="s">
        <v>36</v>
      </c>
      <c r="D4952" s="19" t="s">
        <v>36</v>
      </c>
      <c r="E4952" s="19" t="s">
        <v>36</v>
      </c>
      <c r="F4952" s="19" t="s">
        <v>36</v>
      </c>
      <c r="G4952" s="15" t="s">
        <v>36</v>
      </c>
      <c r="H4952" s="14">
        <v>7.42</v>
      </c>
      <c r="I4952" s="18">
        <v>40.64</v>
      </c>
      <c r="J4952" s="12" t="s">
        <v>521</v>
      </c>
      <c r="K4952" s="13" t="s">
        <v>36</v>
      </c>
      <c r="L4952" s="15" t="s">
        <v>36</v>
      </c>
      <c r="M4952" s="12" t="s">
        <v>36</v>
      </c>
      <c r="N4952" s="12" t="s">
        <v>36</v>
      </c>
      <c r="O4952" s="17" t="s">
        <v>36</v>
      </c>
      <c r="P4952" s="12" t="s">
        <v>36</v>
      </c>
      <c r="Q4952" s="12" t="s">
        <v>36</v>
      </c>
      <c r="R4952" s="12" t="s">
        <v>36</v>
      </c>
      <c r="S4952" s="12" t="s">
        <v>36</v>
      </c>
      <c r="T4952" s="12" t="s">
        <v>1260</v>
      </c>
      <c r="U4952" s="12" t="s">
        <v>38</v>
      </c>
      <c r="V4952" s="12" t="s">
        <v>39</v>
      </c>
      <c r="W4952" s="12" t="s">
        <v>9322</v>
      </c>
      <c r="X4952" s="16" t="s">
        <v>23759</v>
      </c>
      <c r="Y4952" s="15" t="s">
        <v>42</v>
      </c>
      <c r="Z4952" s="14">
        <v>0.4</v>
      </c>
      <c r="AA4952" s="14">
        <v>0.99</v>
      </c>
      <c r="AB4952" s="12" t="s">
        <v>43</v>
      </c>
      <c r="AC4952" s="12" t="s">
        <v>9324</v>
      </c>
      <c r="AD4952" s="13">
        <v>43462</v>
      </c>
      <c r="AE4952" s="12" t="s">
        <v>110</v>
      </c>
      <c r="AF4952" s="12" t="s">
        <v>2643</v>
      </c>
      <c r="AG4952" s="12" t="s">
        <v>9325</v>
      </c>
      <c r="AH4952" s="1">
        <f>HYPERLINK("https://my.pitchbook.com?c=213068-17T","View Company Online")</f>
      </c>
    </row>
    <row r="4953">
      <c r="A4953" s="3" t="s">
        <v>23760</v>
      </c>
      <c r="B4953" s="3" t="s">
        <v>19099</v>
      </c>
      <c r="C4953" s="5" t="s">
        <v>36</v>
      </c>
      <c r="D4953" s="5" t="s">
        <v>36</v>
      </c>
      <c r="E4953" s="5" t="s">
        <v>36</v>
      </c>
      <c r="F4953" s="5" t="s">
        <v>36</v>
      </c>
      <c r="G4953" s="6" t="s">
        <v>683</v>
      </c>
      <c r="H4953" s="4">
        <v>3.58</v>
      </c>
      <c r="I4953" s="7">
        <v>34.6</v>
      </c>
      <c r="J4953" s="3" t="s">
        <v>521</v>
      </c>
      <c r="K4953" s="9">
        <v>43272</v>
      </c>
      <c r="L4953" s="6" t="s">
        <v>36</v>
      </c>
      <c r="M4953" s="3" t="s">
        <v>36</v>
      </c>
      <c r="N4953" s="3" t="s">
        <v>36</v>
      </c>
      <c r="O4953" s="8" t="s">
        <v>36</v>
      </c>
      <c r="P4953" s="3" t="s">
        <v>36</v>
      </c>
      <c r="Q4953" s="3" t="s">
        <v>36</v>
      </c>
      <c r="R4953" s="3" t="s">
        <v>36</v>
      </c>
      <c r="S4953" s="3" t="s">
        <v>36</v>
      </c>
      <c r="T4953" s="3" t="s">
        <v>3270</v>
      </c>
      <c r="U4953" s="3" t="s">
        <v>1336</v>
      </c>
      <c r="V4953" s="3" t="s">
        <v>367</v>
      </c>
      <c r="W4953" s="3" t="s">
        <v>19100</v>
      </c>
      <c r="X4953" s="10" t="s">
        <v>23761</v>
      </c>
      <c r="Y4953" s="6" t="s">
        <v>192</v>
      </c>
      <c r="Z4953" s="4">
        <v>4.6</v>
      </c>
      <c r="AA4953" s="4">
        <v>13.3</v>
      </c>
      <c r="AB4953" s="3" t="s">
        <v>56</v>
      </c>
      <c r="AC4953" s="3" t="s">
        <v>19102</v>
      </c>
      <c r="AD4953" s="9">
        <v>43461</v>
      </c>
      <c r="AE4953" s="3" t="s">
        <v>2464</v>
      </c>
      <c r="AF4953" s="3" t="s">
        <v>982</v>
      </c>
      <c r="AG4953" s="3" t="s">
        <v>144</v>
      </c>
      <c r="AH4953" s="11">
        <f>HYPERLINK("https://my.pitchbook.com?c=121989-34T","View Company Online")</f>
      </c>
    </row>
    <row r="4954">
      <c r="A4954" s="12" t="s">
        <v>23762</v>
      </c>
      <c r="B4954" s="12" t="s">
        <v>23763</v>
      </c>
      <c r="C4954" s="19" t="s">
        <v>36</v>
      </c>
      <c r="D4954" s="19" t="s">
        <v>36</v>
      </c>
      <c r="E4954" s="19" t="s">
        <v>36</v>
      </c>
      <c r="F4954" s="19" t="s">
        <v>36</v>
      </c>
      <c r="G4954" s="15" t="s">
        <v>36</v>
      </c>
      <c r="H4954" s="14" t="s">
        <v>36</v>
      </c>
      <c r="I4954" s="18" t="s">
        <v>36</v>
      </c>
      <c r="J4954" s="12" t="s">
        <v>36</v>
      </c>
      <c r="K4954" s="13">
        <v>43445</v>
      </c>
      <c r="L4954" s="15" t="s">
        <v>1279</v>
      </c>
      <c r="M4954" s="12" t="s">
        <v>36</v>
      </c>
      <c r="N4954" s="12" t="s">
        <v>1279</v>
      </c>
      <c r="O4954" s="17" t="s">
        <v>36</v>
      </c>
      <c r="P4954" s="12" t="s">
        <v>36</v>
      </c>
      <c r="Q4954" s="12" t="s">
        <v>36</v>
      </c>
      <c r="R4954" s="12" t="s">
        <v>36</v>
      </c>
      <c r="S4954" s="12" t="s">
        <v>36</v>
      </c>
      <c r="T4954" s="12" t="s">
        <v>2096</v>
      </c>
      <c r="U4954" s="12" t="s">
        <v>85</v>
      </c>
      <c r="V4954" s="12" t="s">
        <v>64</v>
      </c>
      <c r="W4954" s="12" t="s">
        <v>23764</v>
      </c>
      <c r="X4954" s="16" t="s">
        <v>23765</v>
      </c>
      <c r="Y4954" s="15" t="s">
        <v>108</v>
      </c>
      <c r="Z4954" s="14">
        <v>42.05</v>
      </c>
      <c r="AA4954" s="14" t="s">
        <v>36</v>
      </c>
      <c r="AB4954" s="12" t="s">
        <v>56</v>
      </c>
      <c r="AC4954" s="12" t="s">
        <v>23766</v>
      </c>
      <c r="AD4954" s="13">
        <v>43459</v>
      </c>
      <c r="AE4954" s="12" t="s">
        <v>89</v>
      </c>
      <c r="AF4954" s="12" t="s">
        <v>90</v>
      </c>
      <c r="AG4954" s="12" t="s">
        <v>7647</v>
      </c>
      <c r="AH4954" s="1">
        <f>HYPERLINK("https://my.pitchbook.com?c=115487-47T","View Company Online")</f>
      </c>
    </row>
    <row r="4955">
      <c r="A4955" s="3" t="s">
        <v>23767</v>
      </c>
      <c r="B4955" s="3" t="s">
        <v>23768</v>
      </c>
      <c r="C4955" s="5" t="s">
        <v>36</v>
      </c>
      <c r="D4955" s="5" t="s">
        <v>36</v>
      </c>
      <c r="E4955" s="5" t="s">
        <v>36</v>
      </c>
      <c r="F4955" s="5" t="s">
        <v>36</v>
      </c>
      <c r="G4955" s="6" t="s">
        <v>36</v>
      </c>
      <c r="H4955" s="4">
        <v>138.47</v>
      </c>
      <c r="I4955" s="7">
        <v>27.27</v>
      </c>
      <c r="J4955" s="3" t="s">
        <v>521</v>
      </c>
      <c r="K4955" s="9" t="s">
        <v>36</v>
      </c>
      <c r="L4955" s="6" t="s">
        <v>36</v>
      </c>
      <c r="M4955" s="3" t="s">
        <v>36</v>
      </c>
      <c r="N4955" s="3" t="s">
        <v>36</v>
      </c>
      <c r="O4955" s="8" t="s">
        <v>36</v>
      </c>
      <c r="P4955" s="3" t="s">
        <v>36</v>
      </c>
      <c r="Q4955" s="3" t="s">
        <v>36</v>
      </c>
      <c r="R4955" s="3" t="s">
        <v>36</v>
      </c>
      <c r="S4955" s="3" t="s">
        <v>36</v>
      </c>
      <c r="T4955" s="3" t="s">
        <v>23769</v>
      </c>
      <c r="U4955" s="3" t="s">
        <v>74</v>
      </c>
      <c r="V4955" s="3" t="s">
        <v>75</v>
      </c>
      <c r="W4955" s="3" t="s">
        <v>23770</v>
      </c>
      <c r="X4955" s="10" t="s">
        <v>23771</v>
      </c>
      <c r="Y4955" s="6" t="s">
        <v>42</v>
      </c>
      <c r="Z4955" s="4">
        <v>3.41</v>
      </c>
      <c r="AA4955" s="4">
        <v>6.25</v>
      </c>
      <c r="AB4955" s="3" t="s">
        <v>43</v>
      </c>
      <c r="AC4955" s="3" t="s">
        <v>23772</v>
      </c>
      <c r="AD4955" s="9">
        <v>43458</v>
      </c>
      <c r="AE4955" s="3" t="s">
        <v>696</v>
      </c>
      <c r="AF4955" s="3" t="s">
        <v>20708</v>
      </c>
      <c r="AG4955" s="3" t="s">
        <v>1479</v>
      </c>
      <c r="AH4955" s="11">
        <f>HYPERLINK("https://my.pitchbook.com?c=120358-00T","View Company Online")</f>
      </c>
    </row>
    <row r="4956">
      <c r="A4956" s="12" t="s">
        <v>23773</v>
      </c>
      <c r="B4956" s="12" t="s">
        <v>23774</v>
      </c>
      <c r="C4956" s="19" t="s">
        <v>36</v>
      </c>
      <c r="D4956" s="19" t="s">
        <v>36</v>
      </c>
      <c r="E4956" s="19" t="s">
        <v>36</v>
      </c>
      <c r="F4956" s="19" t="s">
        <v>36</v>
      </c>
      <c r="G4956" s="15" t="s">
        <v>2497</v>
      </c>
      <c r="H4956" s="14">
        <v>49.75</v>
      </c>
      <c r="I4956" s="18">
        <v>25.09</v>
      </c>
      <c r="J4956" s="12" t="s">
        <v>521</v>
      </c>
      <c r="K4956" s="13" t="s">
        <v>36</v>
      </c>
      <c r="L4956" s="15" t="s">
        <v>36</v>
      </c>
      <c r="M4956" s="12" t="s">
        <v>36</v>
      </c>
      <c r="N4956" s="12" t="s">
        <v>36</v>
      </c>
      <c r="O4956" s="17" t="s">
        <v>36</v>
      </c>
      <c r="P4956" s="12" t="s">
        <v>36</v>
      </c>
      <c r="Q4956" s="12" t="s">
        <v>36</v>
      </c>
      <c r="R4956" s="12" t="s">
        <v>36</v>
      </c>
      <c r="S4956" s="12" t="s">
        <v>36</v>
      </c>
      <c r="T4956" s="12" t="s">
        <v>2609</v>
      </c>
      <c r="U4956" s="12" t="s">
        <v>423</v>
      </c>
      <c r="V4956" s="12" t="s">
        <v>64</v>
      </c>
      <c r="W4956" s="12" t="s">
        <v>23775</v>
      </c>
      <c r="X4956" s="16" t="s">
        <v>23776</v>
      </c>
      <c r="Y4956" s="15" t="s">
        <v>108</v>
      </c>
      <c r="Z4956" s="14">
        <v>0.36</v>
      </c>
      <c r="AA4956" s="14">
        <v>1.45</v>
      </c>
      <c r="AB4956" s="12" t="s">
        <v>43</v>
      </c>
      <c r="AC4956" s="12" t="s">
        <v>23777</v>
      </c>
      <c r="AD4956" s="13">
        <v>43455</v>
      </c>
      <c r="AE4956" s="12" t="s">
        <v>562</v>
      </c>
      <c r="AF4956" s="12" t="s">
        <v>4270</v>
      </c>
      <c r="AG4956" s="12" t="s">
        <v>1843</v>
      </c>
      <c r="AH4956" s="1">
        <f>HYPERLINK("https://my.pitchbook.com?c=157663-45T","View Company Online")</f>
      </c>
    </row>
    <row r="4957">
      <c r="A4957" s="3" t="s">
        <v>23778</v>
      </c>
      <c r="B4957" s="3" t="s">
        <v>14443</v>
      </c>
      <c r="C4957" s="5" t="s">
        <v>36</v>
      </c>
      <c r="D4957" s="5" t="s">
        <v>36</v>
      </c>
      <c r="E4957" s="5" t="s">
        <v>36</v>
      </c>
      <c r="F4957" s="5" t="s">
        <v>36</v>
      </c>
      <c r="G4957" s="6" t="s">
        <v>36</v>
      </c>
      <c r="H4957" s="4">
        <v>122.61</v>
      </c>
      <c r="I4957" s="7">
        <v>14.09</v>
      </c>
      <c r="J4957" s="3" t="s">
        <v>521</v>
      </c>
      <c r="K4957" s="9">
        <v>43282</v>
      </c>
      <c r="L4957" s="6" t="s">
        <v>36</v>
      </c>
      <c r="M4957" s="3" t="s">
        <v>36</v>
      </c>
      <c r="N4957" s="3" t="s">
        <v>36</v>
      </c>
      <c r="O4957" s="8" t="s">
        <v>36</v>
      </c>
      <c r="P4957" s="3" t="s">
        <v>36</v>
      </c>
      <c r="Q4957" s="3" t="s">
        <v>36</v>
      </c>
      <c r="R4957" s="3" t="s">
        <v>36</v>
      </c>
      <c r="S4957" s="3" t="s">
        <v>36</v>
      </c>
      <c r="T4957" s="3" t="s">
        <v>14444</v>
      </c>
      <c r="U4957" s="3" t="s">
        <v>728</v>
      </c>
      <c r="V4957" s="3" t="s">
        <v>64</v>
      </c>
      <c r="W4957" s="3" t="s">
        <v>14445</v>
      </c>
      <c r="X4957" s="10" t="s">
        <v>23779</v>
      </c>
      <c r="Y4957" s="6" t="s">
        <v>55</v>
      </c>
      <c r="Z4957" s="4">
        <v>0.34</v>
      </c>
      <c r="AA4957" s="4">
        <v>2.42</v>
      </c>
      <c r="AB4957" s="3" t="s">
        <v>43</v>
      </c>
      <c r="AC4957" s="3" t="s">
        <v>14447</v>
      </c>
      <c r="AD4957" s="9">
        <v>43455</v>
      </c>
      <c r="AE4957" s="3" t="s">
        <v>1600</v>
      </c>
      <c r="AF4957" s="3" t="s">
        <v>90</v>
      </c>
      <c r="AG4957" s="3" t="s">
        <v>741</v>
      </c>
      <c r="AH4957" s="11">
        <f>HYPERLINK("https://my.pitchbook.com?c=158715-46T","View Company Online")</f>
      </c>
    </row>
    <row r="4958">
      <c r="A4958" s="12" t="s">
        <v>23780</v>
      </c>
      <c r="B4958" s="12" t="s">
        <v>7941</v>
      </c>
      <c r="C4958" s="19" t="s">
        <v>36</v>
      </c>
      <c r="D4958" s="19" t="s">
        <v>36</v>
      </c>
      <c r="E4958" s="19" t="s">
        <v>36</v>
      </c>
      <c r="F4958" s="19" t="s">
        <v>36</v>
      </c>
      <c r="G4958" s="15" t="s">
        <v>683</v>
      </c>
      <c r="H4958" s="14">
        <v>1587.77</v>
      </c>
      <c r="I4958" s="18">
        <v>18.49</v>
      </c>
      <c r="J4958" s="12" t="s">
        <v>521</v>
      </c>
      <c r="K4958" s="13" t="s">
        <v>36</v>
      </c>
      <c r="L4958" s="15" t="s">
        <v>36</v>
      </c>
      <c r="M4958" s="12" t="s">
        <v>36</v>
      </c>
      <c r="N4958" s="12" t="s">
        <v>36</v>
      </c>
      <c r="O4958" s="17" t="s">
        <v>36</v>
      </c>
      <c r="P4958" s="12" t="s">
        <v>36</v>
      </c>
      <c r="Q4958" s="12" t="s">
        <v>36</v>
      </c>
      <c r="R4958" s="12" t="s">
        <v>36</v>
      </c>
      <c r="S4958" s="12" t="s">
        <v>36</v>
      </c>
      <c r="T4958" s="12" t="s">
        <v>1048</v>
      </c>
      <c r="U4958" s="12" t="s">
        <v>423</v>
      </c>
      <c r="V4958" s="12" t="s">
        <v>64</v>
      </c>
      <c r="W4958" s="12" t="s">
        <v>7942</v>
      </c>
      <c r="X4958" s="16" t="s">
        <v>23781</v>
      </c>
      <c r="Y4958" s="15" t="s">
        <v>55</v>
      </c>
      <c r="Z4958" s="14">
        <v>0.26</v>
      </c>
      <c r="AA4958" s="14">
        <v>1.43</v>
      </c>
      <c r="AB4958" s="12" t="s">
        <v>56</v>
      </c>
      <c r="AC4958" s="12" t="s">
        <v>7944</v>
      </c>
      <c r="AD4958" s="13">
        <v>43455</v>
      </c>
      <c r="AE4958" s="12" t="s">
        <v>1051</v>
      </c>
      <c r="AF4958" s="12" t="s">
        <v>6718</v>
      </c>
      <c r="AG4958" s="12" t="s">
        <v>899</v>
      </c>
      <c r="AH4958" s="1">
        <f>HYPERLINK("https://my.pitchbook.com?c=187798-87T","View Company Online")</f>
      </c>
    </row>
    <row r="4959">
      <c r="A4959" s="3" t="s">
        <v>23782</v>
      </c>
      <c r="B4959" s="3" t="s">
        <v>23783</v>
      </c>
      <c r="C4959" s="5" t="s">
        <v>36</v>
      </c>
      <c r="D4959" s="5" t="s">
        <v>36</v>
      </c>
      <c r="E4959" s="5" t="s">
        <v>36</v>
      </c>
      <c r="F4959" s="5" t="s">
        <v>36</v>
      </c>
      <c r="G4959" s="6" t="s">
        <v>326</v>
      </c>
      <c r="H4959" s="4">
        <v>36.88</v>
      </c>
      <c r="I4959" s="7">
        <v>17.86</v>
      </c>
      <c r="J4959" s="3" t="s">
        <v>521</v>
      </c>
      <c r="K4959" s="9" t="s">
        <v>36</v>
      </c>
      <c r="L4959" s="6" t="s">
        <v>36</v>
      </c>
      <c r="M4959" s="3" t="s">
        <v>36</v>
      </c>
      <c r="N4959" s="3" t="s">
        <v>36</v>
      </c>
      <c r="O4959" s="8" t="s">
        <v>36</v>
      </c>
      <c r="P4959" s="3" t="s">
        <v>36</v>
      </c>
      <c r="Q4959" s="3" t="s">
        <v>36</v>
      </c>
      <c r="R4959" s="3" t="s">
        <v>36</v>
      </c>
      <c r="S4959" s="3" t="s">
        <v>36</v>
      </c>
      <c r="T4959" s="3" t="s">
        <v>23784</v>
      </c>
      <c r="U4959" s="3" t="s">
        <v>318</v>
      </c>
      <c r="V4959" s="3" t="s">
        <v>39</v>
      </c>
      <c r="W4959" s="3" t="s">
        <v>23785</v>
      </c>
      <c r="X4959" s="10" t="s">
        <v>20907</v>
      </c>
      <c r="Y4959" s="6" t="s">
        <v>108</v>
      </c>
      <c r="Z4959" s="4">
        <v>0.28</v>
      </c>
      <c r="AA4959" s="4">
        <v>1.59</v>
      </c>
      <c r="AB4959" s="3" t="s">
        <v>56</v>
      </c>
      <c r="AC4959" s="3" t="s">
        <v>23786</v>
      </c>
      <c r="AD4959" s="9">
        <v>43455</v>
      </c>
      <c r="AE4959" s="3" t="s">
        <v>323</v>
      </c>
      <c r="AF4959" s="3" t="s">
        <v>90</v>
      </c>
      <c r="AG4959" s="3" t="s">
        <v>23787</v>
      </c>
      <c r="AH4959" s="11">
        <f>HYPERLINK("https://my.pitchbook.com?c=136002-88T","View Company Online")</f>
      </c>
    </row>
    <row r="4960">
      <c r="A4960" s="12" t="s">
        <v>23788</v>
      </c>
      <c r="B4960" s="12" t="s">
        <v>23789</v>
      </c>
      <c r="C4960" s="19">
        <v>14</v>
      </c>
      <c r="D4960" s="19" t="s">
        <v>36</v>
      </c>
      <c r="E4960" s="19">
        <v>8</v>
      </c>
      <c r="F4960" s="19">
        <v>14</v>
      </c>
      <c r="G4960" s="15" t="s">
        <v>36</v>
      </c>
      <c r="H4960" s="14">
        <v>0.6</v>
      </c>
      <c r="I4960" s="18">
        <v>25.21</v>
      </c>
      <c r="J4960" s="12" t="s">
        <v>521</v>
      </c>
      <c r="K4960" s="13">
        <v>43446</v>
      </c>
      <c r="L4960" s="15" t="s">
        <v>36</v>
      </c>
      <c r="M4960" s="12" t="s">
        <v>36</v>
      </c>
      <c r="N4960" s="12" t="s">
        <v>36</v>
      </c>
      <c r="O4960" s="17" t="s">
        <v>36</v>
      </c>
      <c r="P4960" s="12" t="s">
        <v>36</v>
      </c>
      <c r="Q4960" s="12" t="s">
        <v>36</v>
      </c>
      <c r="R4960" s="12" t="s">
        <v>36</v>
      </c>
      <c r="S4960" s="12" t="s">
        <v>36</v>
      </c>
      <c r="T4960" s="12" t="s">
        <v>20413</v>
      </c>
      <c r="U4960" s="12" t="s">
        <v>96</v>
      </c>
      <c r="V4960" s="12" t="s">
        <v>52</v>
      </c>
      <c r="W4960" s="12" t="s">
        <v>23790</v>
      </c>
      <c r="X4960" s="16" t="s">
        <v>23791</v>
      </c>
      <c r="Y4960" s="15" t="s">
        <v>42</v>
      </c>
      <c r="Z4960" s="14">
        <v>3.98</v>
      </c>
      <c r="AA4960" s="14">
        <v>7.89</v>
      </c>
      <c r="AB4960" s="12" t="s">
        <v>43</v>
      </c>
      <c r="AC4960" s="12" t="s">
        <v>23792</v>
      </c>
      <c r="AD4960" s="13">
        <v>43455</v>
      </c>
      <c r="AE4960" s="12" t="s">
        <v>755</v>
      </c>
      <c r="AF4960" s="12" t="s">
        <v>6099</v>
      </c>
      <c r="AG4960" s="12" t="s">
        <v>81</v>
      </c>
      <c r="AH4960" s="1">
        <f>HYPERLINK("https://my.pitchbook.com?c=120719-17T","View Company Online")</f>
      </c>
    </row>
    <row r="4961">
      <c r="A4961" s="3" t="s">
        <v>23793</v>
      </c>
      <c r="B4961" s="3" t="s">
        <v>16089</v>
      </c>
      <c r="C4961" s="5">
        <v>10</v>
      </c>
      <c r="D4961" s="5">
        <v>6</v>
      </c>
      <c r="E4961" s="5">
        <v>4</v>
      </c>
      <c r="F4961" s="5">
        <v>17</v>
      </c>
      <c r="G4961" s="6" t="s">
        <v>326</v>
      </c>
      <c r="H4961" s="4">
        <v>129.82</v>
      </c>
      <c r="I4961" s="7">
        <v>13.1</v>
      </c>
      <c r="J4961" s="3" t="s">
        <v>521</v>
      </c>
      <c r="K4961" s="9" t="s">
        <v>36</v>
      </c>
      <c r="L4961" s="6" t="s">
        <v>122</v>
      </c>
      <c r="M4961" s="3" t="s">
        <v>36</v>
      </c>
      <c r="N4961" s="3" t="s">
        <v>122</v>
      </c>
      <c r="O4961" s="8" t="s">
        <v>36</v>
      </c>
      <c r="P4961" s="3" t="s">
        <v>36</v>
      </c>
      <c r="Q4961" s="3" t="s">
        <v>36</v>
      </c>
      <c r="R4961" s="3" t="s">
        <v>36</v>
      </c>
      <c r="S4961" s="3" t="s">
        <v>36</v>
      </c>
      <c r="T4961" s="3" t="s">
        <v>881</v>
      </c>
      <c r="U4961" s="3" t="s">
        <v>51</v>
      </c>
      <c r="V4961" s="3" t="s">
        <v>52</v>
      </c>
      <c r="W4961" s="3" t="s">
        <v>16090</v>
      </c>
      <c r="X4961" s="10" t="s">
        <v>23794</v>
      </c>
      <c r="Y4961" s="6" t="s">
        <v>55</v>
      </c>
      <c r="Z4961" s="4">
        <v>2.51</v>
      </c>
      <c r="AA4961" s="4">
        <v>19.18</v>
      </c>
      <c r="AB4961" s="3" t="s">
        <v>43</v>
      </c>
      <c r="AC4961" s="3" t="s">
        <v>16092</v>
      </c>
      <c r="AD4961" s="9">
        <v>43455</v>
      </c>
      <c r="AE4961" s="3" t="s">
        <v>504</v>
      </c>
      <c r="AF4961" s="3" t="s">
        <v>665</v>
      </c>
      <c r="AG4961" s="3" t="s">
        <v>186</v>
      </c>
      <c r="AH4961" s="11">
        <f>HYPERLINK("https://my.pitchbook.com?c=138267-91T","View Company Online")</f>
      </c>
    </row>
    <row r="4962">
      <c r="A4962" s="12" t="s">
        <v>23795</v>
      </c>
      <c r="B4962" s="12" t="s">
        <v>2404</v>
      </c>
      <c r="C4962" s="19" t="s">
        <v>36</v>
      </c>
      <c r="D4962" s="19" t="s">
        <v>36</v>
      </c>
      <c r="E4962" s="19" t="s">
        <v>36</v>
      </c>
      <c r="F4962" s="19" t="s">
        <v>36</v>
      </c>
      <c r="G4962" s="15" t="s">
        <v>36</v>
      </c>
      <c r="H4962" s="14" t="s">
        <v>36</v>
      </c>
      <c r="I4962" s="18" t="s">
        <v>36</v>
      </c>
      <c r="J4962" s="12" t="s">
        <v>36</v>
      </c>
      <c r="K4962" s="13" t="s">
        <v>36</v>
      </c>
      <c r="L4962" s="15" t="s">
        <v>36</v>
      </c>
      <c r="M4962" s="12" t="s">
        <v>36</v>
      </c>
      <c r="N4962" s="12" t="s">
        <v>36</v>
      </c>
      <c r="O4962" s="17" t="s">
        <v>36</v>
      </c>
      <c r="P4962" s="12" t="s">
        <v>36</v>
      </c>
      <c r="Q4962" s="12" t="s">
        <v>36</v>
      </c>
      <c r="R4962" s="12" t="s">
        <v>36</v>
      </c>
      <c r="S4962" s="12" t="s">
        <v>36</v>
      </c>
      <c r="T4962" s="12" t="s">
        <v>2405</v>
      </c>
      <c r="U4962" s="12" t="s">
        <v>648</v>
      </c>
      <c r="V4962" s="12" t="s">
        <v>64</v>
      </c>
      <c r="W4962" s="12" t="s">
        <v>2406</v>
      </c>
      <c r="X4962" s="16" t="s">
        <v>23796</v>
      </c>
      <c r="Y4962" s="15" t="s">
        <v>42</v>
      </c>
      <c r="Z4962" s="14">
        <v>11.36</v>
      </c>
      <c r="AA4962" s="14" t="s">
        <v>36</v>
      </c>
      <c r="AB4962" s="12" t="s">
        <v>56</v>
      </c>
      <c r="AC4962" s="12" t="s">
        <v>2408</v>
      </c>
      <c r="AD4962" s="13">
        <v>43454</v>
      </c>
      <c r="AE4962" s="12" t="s">
        <v>1897</v>
      </c>
      <c r="AF4962" s="12" t="s">
        <v>2409</v>
      </c>
      <c r="AG4962" s="12" t="s">
        <v>81</v>
      </c>
      <c r="AH4962" s="1">
        <f>HYPERLINK("https://my.pitchbook.com?c=166676-23T","View Company Online")</f>
      </c>
    </row>
    <row r="4963">
      <c r="A4963" s="3" t="s">
        <v>23797</v>
      </c>
      <c r="B4963" s="3" t="s">
        <v>23798</v>
      </c>
      <c r="C4963" s="5" t="s">
        <v>36</v>
      </c>
      <c r="D4963" s="5" t="s">
        <v>36</v>
      </c>
      <c r="E4963" s="5" t="s">
        <v>36</v>
      </c>
      <c r="F4963" s="5" t="s">
        <v>36</v>
      </c>
      <c r="G4963" s="6" t="s">
        <v>36</v>
      </c>
      <c r="H4963" s="4">
        <v>141.93</v>
      </c>
      <c r="I4963" s="7">
        <v>37.51</v>
      </c>
      <c r="J4963" s="3" t="s">
        <v>521</v>
      </c>
      <c r="K4963" s="9" t="s">
        <v>36</v>
      </c>
      <c r="L4963" s="6" t="s">
        <v>36</v>
      </c>
      <c r="M4963" s="3" t="s">
        <v>36</v>
      </c>
      <c r="N4963" s="3" t="s">
        <v>36</v>
      </c>
      <c r="O4963" s="8" t="s">
        <v>36</v>
      </c>
      <c r="P4963" s="3" t="s">
        <v>36</v>
      </c>
      <c r="Q4963" s="3" t="s">
        <v>36</v>
      </c>
      <c r="R4963" s="3" t="s">
        <v>36</v>
      </c>
      <c r="S4963" s="3" t="s">
        <v>36</v>
      </c>
      <c r="T4963" s="3" t="s">
        <v>522</v>
      </c>
      <c r="U4963" s="3" t="s">
        <v>38</v>
      </c>
      <c r="V4963" s="3" t="s">
        <v>39</v>
      </c>
      <c r="W4963" s="3" t="s">
        <v>23799</v>
      </c>
      <c r="X4963" s="10" t="s">
        <v>23800</v>
      </c>
      <c r="Y4963" s="6" t="s">
        <v>42</v>
      </c>
      <c r="Z4963" s="4">
        <v>0.33</v>
      </c>
      <c r="AA4963" s="4">
        <v>0.89</v>
      </c>
      <c r="AB4963" s="3" t="s">
        <v>56</v>
      </c>
      <c r="AC4963" s="3" t="s">
        <v>23801</v>
      </c>
      <c r="AD4963" s="9">
        <v>43454</v>
      </c>
      <c r="AE4963" s="3" t="s">
        <v>110</v>
      </c>
      <c r="AF4963" s="3" t="s">
        <v>176</v>
      </c>
      <c r="AG4963" s="3" t="s">
        <v>741</v>
      </c>
      <c r="AH4963" s="11">
        <f>HYPERLINK("https://my.pitchbook.com?c=117894-79T","View Company Online")</f>
      </c>
    </row>
    <row r="4964">
      <c r="A4964" s="12" t="s">
        <v>23802</v>
      </c>
      <c r="B4964" s="12" t="s">
        <v>23803</v>
      </c>
      <c r="C4964" s="19" t="s">
        <v>36</v>
      </c>
      <c r="D4964" s="19" t="s">
        <v>36</v>
      </c>
      <c r="E4964" s="19" t="s">
        <v>36</v>
      </c>
      <c r="F4964" s="19" t="s">
        <v>36</v>
      </c>
      <c r="G4964" s="15" t="s">
        <v>683</v>
      </c>
      <c r="H4964" s="14">
        <v>6.53</v>
      </c>
      <c r="I4964" s="18">
        <v>17.8</v>
      </c>
      <c r="J4964" s="12" t="s">
        <v>521</v>
      </c>
      <c r="K4964" s="13" t="s">
        <v>36</v>
      </c>
      <c r="L4964" s="15" t="s">
        <v>36</v>
      </c>
      <c r="M4964" s="12" t="s">
        <v>36</v>
      </c>
      <c r="N4964" s="12" t="s">
        <v>36</v>
      </c>
      <c r="O4964" s="17" t="s">
        <v>36</v>
      </c>
      <c r="P4964" s="12" t="s">
        <v>36</v>
      </c>
      <c r="Q4964" s="12" t="s">
        <v>36</v>
      </c>
      <c r="R4964" s="12" t="s">
        <v>36</v>
      </c>
      <c r="S4964" s="12" t="s">
        <v>36</v>
      </c>
      <c r="T4964" s="12" t="s">
        <v>647</v>
      </c>
      <c r="U4964" s="12" t="s">
        <v>648</v>
      </c>
      <c r="V4964" s="12" t="s">
        <v>64</v>
      </c>
      <c r="W4964" s="12" t="s">
        <v>23804</v>
      </c>
      <c r="X4964" s="16" t="s">
        <v>23805</v>
      </c>
      <c r="Y4964" s="15" t="s">
        <v>55</v>
      </c>
      <c r="Z4964" s="14">
        <v>1.34</v>
      </c>
      <c r="AA4964" s="14">
        <v>7.55</v>
      </c>
      <c r="AB4964" s="12" t="s">
        <v>43</v>
      </c>
      <c r="AC4964" s="12" t="s">
        <v>23806</v>
      </c>
      <c r="AD4964" s="13">
        <v>43454</v>
      </c>
      <c r="AE4964" s="12" t="s">
        <v>651</v>
      </c>
      <c r="AF4964" s="12" t="s">
        <v>4552</v>
      </c>
      <c r="AG4964" s="12" t="s">
        <v>81</v>
      </c>
      <c r="AH4964" s="1">
        <f>HYPERLINK("https://my.pitchbook.com?c=118874-44T","View Company Online")</f>
      </c>
    </row>
    <row r="4965">
      <c r="A4965" s="3" t="s">
        <v>23807</v>
      </c>
      <c r="B4965" s="3" t="s">
        <v>23808</v>
      </c>
      <c r="C4965" s="5" t="s">
        <v>36</v>
      </c>
      <c r="D4965" s="5" t="s">
        <v>36</v>
      </c>
      <c r="E4965" s="5" t="s">
        <v>36</v>
      </c>
      <c r="F4965" s="5" t="s">
        <v>36</v>
      </c>
      <c r="G4965" s="6" t="s">
        <v>683</v>
      </c>
      <c r="H4965" s="4">
        <v>1096.73</v>
      </c>
      <c r="I4965" s="7">
        <v>14.65</v>
      </c>
      <c r="J4965" s="3" t="s">
        <v>521</v>
      </c>
      <c r="K4965" s="9" t="s">
        <v>36</v>
      </c>
      <c r="L4965" s="6" t="s">
        <v>36</v>
      </c>
      <c r="M4965" s="3" t="s">
        <v>36</v>
      </c>
      <c r="N4965" s="3" t="s">
        <v>36</v>
      </c>
      <c r="O4965" s="8" t="s">
        <v>36</v>
      </c>
      <c r="P4965" s="3" t="s">
        <v>36</v>
      </c>
      <c r="Q4965" s="3" t="s">
        <v>36</v>
      </c>
      <c r="R4965" s="3" t="s">
        <v>36</v>
      </c>
      <c r="S4965" s="3" t="s">
        <v>36</v>
      </c>
      <c r="T4965" s="3" t="s">
        <v>23809</v>
      </c>
      <c r="U4965" s="3" t="s">
        <v>233</v>
      </c>
      <c r="V4965" s="3" t="s">
        <v>39</v>
      </c>
      <c r="W4965" s="3" t="s">
        <v>23810</v>
      </c>
      <c r="X4965" s="10" t="s">
        <v>23811</v>
      </c>
      <c r="Y4965" s="6" t="s">
        <v>166</v>
      </c>
      <c r="Z4965" s="4">
        <v>2.27</v>
      </c>
      <c r="AA4965" s="4">
        <v>15.5</v>
      </c>
      <c r="AB4965" s="3" t="s">
        <v>56</v>
      </c>
      <c r="AC4965" s="3" t="s">
        <v>23812</v>
      </c>
      <c r="AD4965" s="9">
        <v>43454</v>
      </c>
      <c r="AE4965" s="3" t="s">
        <v>12061</v>
      </c>
      <c r="AF4965" s="3" t="s">
        <v>4930</v>
      </c>
      <c r="AG4965" s="3" t="s">
        <v>23813</v>
      </c>
      <c r="AH4965" s="11">
        <f>HYPERLINK("https://my.pitchbook.com?c=135931-51T","View Company Online")</f>
      </c>
    </row>
    <row r="4966">
      <c r="A4966" s="12" t="s">
        <v>23814</v>
      </c>
      <c r="B4966" s="12" t="s">
        <v>13155</v>
      </c>
      <c r="C4966" s="19" t="s">
        <v>36</v>
      </c>
      <c r="D4966" s="19" t="s">
        <v>36</v>
      </c>
      <c r="E4966" s="19" t="s">
        <v>36</v>
      </c>
      <c r="F4966" s="19" t="s">
        <v>36</v>
      </c>
      <c r="G4966" s="15" t="s">
        <v>36</v>
      </c>
      <c r="H4966" s="14">
        <v>595.32</v>
      </c>
      <c r="I4966" s="18">
        <v>9.67</v>
      </c>
      <c r="J4966" s="12" t="s">
        <v>521</v>
      </c>
      <c r="K4966" s="13">
        <v>43424</v>
      </c>
      <c r="L4966" s="15" t="s">
        <v>36</v>
      </c>
      <c r="M4966" s="12" t="s">
        <v>36</v>
      </c>
      <c r="N4966" s="12" t="s">
        <v>36</v>
      </c>
      <c r="O4966" s="17" t="s">
        <v>36</v>
      </c>
      <c r="P4966" s="12" t="s">
        <v>36</v>
      </c>
      <c r="Q4966" s="12" t="s">
        <v>36</v>
      </c>
      <c r="R4966" s="12" t="s">
        <v>36</v>
      </c>
      <c r="S4966" s="12" t="s">
        <v>36</v>
      </c>
      <c r="T4966" s="12" t="s">
        <v>522</v>
      </c>
      <c r="U4966" s="12" t="s">
        <v>38</v>
      </c>
      <c r="V4966" s="12" t="s">
        <v>39</v>
      </c>
      <c r="W4966" s="12" t="s">
        <v>13156</v>
      </c>
      <c r="X4966" s="16" t="s">
        <v>23815</v>
      </c>
      <c r="Y4966" s="15" t="s">
        <v>192</v>
      </c>
      <c r="Z4966" s="14">
        <v>5.91</v>
      </c>
      <c r="AA4966" s="14">
        <v>61.13</v>
      </c>
      <c r="AB4966" s="12" t="s">
        <v>56</v>
      </c>
      <c r="AC4966" s="12" t="s">
        <v>13158</v>
      </c>
      <c r="AD4966" s="13">
        <v>43453</v>
      </c>
      <c r="AE4966" s="12" t="s">
        <v>110</v>
      </c>
      <c r="AF4966" s="12" t="s">
        <v>4552</v>
      </c>
      <c r="AG4966" s="12" t="s">
        <v>186</v>
      </c>
      <c r="AH4966" s="1">
        <f>HYPERLINK("https://my.pitchbook.com?c=114779-89T","View Company Online")</f>
      </c>
    </row>
    <row r="4967">
      <c r="A4967" s="3" t="s">
        <v>23816</v>
      </c>
      <c r="B4967" s="3" t="s">
        <v>23817</v>
      </c>
      <c r="C4967" s="5" t="s">
        <v>36</v>
      </c>
      <c r="D4967" s="5" t="s">
        <v>36</v>
      </c>
      <c r="E4967" s="5" t="s">
        <v>36</v>
      </c>
      <c r="F4967" s="5" t="s">
        <v>36</v>
      </c>
      <c r="G4967" s="6" t="s">
        <v>36</v>
      </c>
      <c r="H4967" s="4" t="s">
        <v>36</v>
      </c>
      <c r="I4967" s="7" t="s">
        <v>36</v>
      </c>
      <c r="J4967" s="3" t="s">
        <v>36</v>
      </c>
      <c r="K4967" s="9" t="s">
        <v>36</v>
      </c>
      <c r="L4967" s="6" t="s">
        <v>36</v>
      </c>
      <c r="M4967" s="3" t="s">
        <v>36</v>
      </c>
      <c r="N4967" s="3" t="s">
        <v>36</v>
      </c>
      <c r="O4967" s="8" t="s">
        <v>36</v>
      </c>
      <c r="P4967" s="3" t="s">
        <v>36</v>
      </c>
      <c r="Q4967" s="3" t="s">
        <v>36</v>
      </c>
      <c r="R4967" s="3" t="s">
        <v>36</v>
      </c>
      <c r="S4967" s="3" t="s">
        <v>36</v>
      </c>
      <c r="T4967" s="3" t="s">
        <v>23818</v>
      </c>
      <c r="U4967" s="3" t="s">
        <v>1336</v>
      </c>
      <c r="V4967" s="3" t="s">
        <v>367</v>
      </c>
      <c r="W4967" s="3" t="s">
        <v>23819</v>
      </c>
      <c r="X4967" s="10" t="s">
        <v>23820</v>
      </c>
      <c r="Y4967" s="6" t="s">
        <v>108</v>
      </c>
      <c r="Z4967" s="4">
        <v>5.68</v>
      </c>
      <c r="AA4967" s="4" t="s">
        <v>36</v>
      </c>
      <c r="AB4967" s="3" t="s">
        <v>43</v>
      </c>
      <c r="AC4967" s="3" t="s">
        <v>23821</v>
      </c>
      <c r="AD4967" s="9">
        <v>43453</v>
      </c>
      <c r="AE4967" s="3" t="s">
        <v>3712</v>
      </c>
      <c r="AF4967" s="3" t="s">
        <v>982</v>
      </c>
      <c r="AG4967" s="3" t="s">
        <v>3508</v>
      </c>
      <c r="AH4967" s="11">
        <f>HYPERLINK("https://my.pitchbook.com?c=138487-96T","View Company Online")</f>
      </c>
    </row>
    <row r="4968">
      <c r="A4968" s="12" t="s">
        <v>23822</v>
      </c>
      <c r="B4968" s="12" t="s">
        <v>23823</v>
      </c>
      <c r="C4968" s="19">
        <v>4</v>
      </c>
      <c r="D4968" s="19">
        <v>26</v>
      </c>
      <c r="E4968" s="19">
        <v>7</v>
      </c>
      <c r="F4968" s="19">
        <v>42</v>
      </c>
      <c r="G4968" s="15" t="s">
        <v>326</v>
      </c>
      <c r="H4968" s="14">
        <v>200.44</v>
      </c>
      <c r="I4968" s="18">
        <v>5.04</v>
      </c>
      <c r="J4968" s="12" t="s">
        <v>521</v>
      </c>
      <c r="K4968" s="13" t="s">
        <v>36</v>
      </c>
      <c r="L4968" s="15" t="s">
        <v>36</v>
      </c>
      <c r="M4968" s="12" t="s">
        <v>36</v>
      </c>
      <c r="N4968" s="12" t="s">
        <v>36</v>
      </c>
      <c r="O4968" s="17" t="s">
        <v>36</v>
      </c>
      <c r="P4968" s="12" t="s">
        <v>36</v>
      </c>
      <c r="Q4968" s="12" t="s">
        <v>36</v>
      </c>
      <c r="R4968" s="12" t="s">
        <v>36</v>
      </c>
      <c r="S4968" s="12" t="s">
        <v>36</v>
      </c>
      <c r="T4968" s="12" t="s">
        <v>881</v>
      </c>
      <c r="U4968" s="12" t="s">
        <v>51</v>
      </c>
      <c r="V4968" s="12" t="s">
        <v>52</v>
      </c>
      <c r="W4968" s="12" t="s">
        <v>23824</v>
      </c>
      <c r="X4968" s="16" t="s">
        <v>23825</v>
      </c>
      <c r="Y4968" s="15" t="s">
        <v>55</v>
      </c>
      <c r="Z4968" s="14">
        <v>1.85</v>
      </c>
      <c r="AA4968" s="14">
        <v>36.68</v>
      </c>
      <c r="AB4968" s="12" t="s">
        <v>56</v>
      </c>
      <c r="AC4968" s="12" t="s">
        <v>23826</v>
      </c>
      <c r="AD4968" s="13">
        <v>43453</v>
      </c>
      <c r="AE4968" s="12" t="s">
        <v>504</v>
      </c>
      <c r="AF4968" s="12" t="s">
        <v>665</v>
      </c>
      <c r="AG4968" s="12" t="s">
        <v>899</v>
      </c>
      <c r="AH4968" s="1">
        <f>HYPERLINK("https://my.pitchbook.com?c=187979-86T","View Company Online")</f>
      </c>
    </row>
    <row r="4969">
      <c r="A4969" s="3" t="s">
        <v>23827</v>
      </c>
      <c r="B4969" s="3" t="s">
        <v>23828</v>
      </c>
      <c r="C4969" s="5" t="s">
        <v>36</v>
      </c>
      <c r="D4969" s="5" t="s">
        <v>36</v>
      </c>
      <c r="E4969" s="5" t="s">
        <v>36</v>
      </c>
      <c r="F4969" s="5" t="s">
        <v>36</v>
      </c>
      <c r="G4969" s="6" t="s">
        <v>36</v>
      </c>
      <c r="H4969" s="4" t="s">
        <v>36</v>
      </c>
      <c r="I4969" s="7" t="s">
        <v>36</v>
      </c>
      <c r="J4969" s="3" t="s">
        <v>36</v>
      </c>
      <c r="K4969" s="9" t="s">
        <v>36</v>
      </c>
      <c r="L4969" s="6" t="s">
        <v>36</v>
      </c>
      <c r="M4969" s="3" t="s">
        <v>36</v>
      </c>
      <c r="N4969" s="3" t="s">
        <v>36</v>
      </c>
      <c r="O4969" s="8" t="s">
        <v>36</v>
      </c>
      <c r="P4969" s="3" t="s">
        <v>36</v>
      </c>
      <c r="Q4969" s="3" t="s">
        <v>36</v>
      </c>
      <c r="R4969" s="3" t="s">
        <v>36</v>
      </c>
      <c r="S4969" s="3" t="s">
        <v>36</v>
      </c>
      <c r="T4969" s="3" t="s">
        <v>17385</v>
      </c>
      <c r="U4969" s="3" t="s">
        <v>423</v>
      </c>
      <c r="V4969" s="3" t="s">
        <v>64</v>
      </c>
      <c r="W4969" s="3" t="s">
        <v>23829</v>
      </c>
      <c r="X4969" s="10" t="s">
        <v>23830</v>
      </c>
      <c r="Y4969" s="6" t="s">
        <v>42</v>
      </c>
      <c r="Z4969" s="4">
        <v>1.36</v>
      </c>
      <c r="AA4969" s="4" t="s">
        <v>36</v>
      </c>
      <c r="AB4969" s="3" t="s">
        <v>43</v>
      </c>
      <c r="AC4969" s="3" t="s">
        <v>23831</v>
      </c>
      <c r="AD4969" s="9">
        <v>43453</v>
      </c>
      <c r="AE4969" s="3" t="s">
        <v>562</v>
      </c>
      <c r="AF4969" s="3" t="s">
        <v>36</v>
      </c>
      <c r="AG4969" s="3" t="s">
        <v>741</v>
      </c>
      <c r="AH4969" s="11">
        <f>HYPERLINK("https://my.pitchbook.com?c=120926-26T","View Company Online")</f>
      </c>
    </row>
    <row r="4970">
      <c r="A4970" s="12" t="s">
        <v>23832</v>
      </c>
      <c r="B4970" s="12" t="s">
        <v>23833</v>
      </c>
      <c r="C4970" s="19">
        <v>1</v>
      </c>
      <c r="D4970" s="19">
        <v>1</v>
      </c>
      <c r="E4970" s="19">
        <v>2</v>
      </c>
      <c r="F4970" s="19">
        <v>4</v>
      </c>
      <c r="G4970" s="15" t="s">
        <v>326</v>
      </c>
      <c r="H4970" s="14">
        <v>45.09</v>
      </c>
      <c r="I4970" s="18">
        <v>21.61</v>
      </c>
      <c r="J4970" s="12" t="s">
        <v>521</v>
      </c>
      <c r="K4970" s="13" t="s">
        <v>36</v>
      </c>
      <c r="L4970" s="15" t="s">
        <v>36</v>
      </c>
      <c r="M4970" s="12" t="s">
        <v>36</v>
      </c>
      <c r="N4970" s="12" t="s">
        <v>36</v>
      </c>
      <c r="O4970" s="17" t="s">
        <v>36</v>
      </c>
      <c r="P4970" s="12" t="s">
        <v>36</v>
      </c>
      <c r="Q4970" s="12" t="s">
        <v>36</v>
      </c>
      <c r="R4970" s="12" t="s">
        <v>36</v>
      </c>
      <c r="S4970" s="12" t="s">
        <v>36</v>
      </c>
      <c r="T4970" s="12" t="s">
        <v>22034</v>
      </c>
      <c r="U4970" s="12" t="s">
        <v>833</v>
      </c>
      <c r="V4970" s="12" t="s">
        <v>64</v>
      </c>
      <c r="W4970" s="12" t="s">
        <v>23834</v>
      </c>
      <c r="X4970" s="16" t="s">
        <v>23835</v>
      </c>
      <c r="Y4970" s="15" t="s">
        <v>192</v>
      </c>
      <c r="Z4970" s="14">
        <v>1.1</v>
      </c>
      <c r="AA4970" s="14">
        <v>5.09</v>
      </c>
      <c r="AB4970" s="12" t="s">
        <v>56</v>
      </c>
      <c r="AC4970" s="12" t="s">
        <v>23836</v>
      </c>
      <c r="AD4970" s="13">
        <v>43453</v>
      </c>
      <c r="AE4970" s="12" t="s">
        <v>1069</v>
      </c>
      <c r="AF4970" s="12" t="s">
        <v>4842</v>
      </c>
      <c r="AG4970" s="12" t="s">
        <v>23837</v>
      </c>
      <c r="AH4970" s="1">
        <f>HYPERLINK("https://my.pitchbook.com?c=181586-44T","View Company Online")</f>
      </c>
    </row>
    <row r="4971">
      <c r="A4971" s="3" t="s">
        <v>23838</v>
      </c>
      <c r="B4971" s="3" t="s">
        <v>23839</v>
      </c>
      <c r="C4971" s="5" t="s">
        <v>36</v>
      </c>
      <c r="D4971" s="5" t="s">
        <v>36</v>
      </c>
      <c r="E4971" s="5" t="s">
        <v>36</v>
      </c>
      <c r="F4971" s="5" t="s">
        <v>36</v>
      </c>
      <c r="G4971" s="6" t="s">
        <v>683</v>
      </c>
      <c r="H4971" s="4">
        <v>69.24</v>
      </c>
      <c r="I4971" s="7">
        <v>31.7</v>
      </c>
      <c r="J4971" s="3" t="s">
        <v>521</v>
      </c>
      <c r="K4971" s="9">
        <v>43446</v>
      </c>
      <c r="L4971" s="6" t="s">
        <v>36</v>
      </c>
      <c r="M4971" s="3" t="s">
        <v>36</v>
      </c>
      <c r="N4971" s="3" t="s">
        <v>36</v>
      </c>
      <c r="O4971" s="8" t="s">
        <v>36</v>
      </c>
      <c r="P4971" s="3" t="s">
        <v>36</v>
      </c>
      <c r="Q4971" s="3" t="s">
        <v>36</v>
      </c>
      <c r="R4971" s="3" t="s">
        <v>36</v>
      </c>
      <c r="S4971" s="3" t="s">
        <v>36</v>
      </c>
      <c r="T4971" s="3" t="s">
        <v>3303</v>
      </c>
      <c r="U4971" s="3" t="s">
        <v>38</v>
      </c>
      <c r="V4971" s="3" t="s">
        <v>39</v>
      </c>
      <c r="W4971" s="3" t="s">
        <v>23840</v>
      </c>
      <c r="X4971" s="10" t="s">
        <v>23841</v>
      </c>
      <c r="Y4971" s="6" t="s">
        <v>108</v>
      </c>
      <c r="Z4971" s="4">
        <v>1.14</v>
      </c>
      <c r="AA4971" s="4">
        <v>2.33</v>
      </c>
      <c r="AB4971" s="3" t="s">
        <v>43</v>
      </c>
      <c r="AC4971" s="3" t="s">
        <v>23842</v>
      </c>
      <c r="AD4971" s="9">
        <v>43452</v>
      </c>
      <c r="AE4971" s="3" t="s">
        <v>1945</v>
      </c>
      <c r="AF4971" s="3" t="s">
        <v>7177</v>
      </c>
      <c r="AG4971" s="3" t="s">
        <v>1353</v>
      </c>
      <c r="AH4971" s="11">
        <f>HYPERLINK("https://my.pitchbook.com?c=117040-51T","View Company Online")</f>
      </c>
    </row>
    <row r="4972">
      <c r="A4972" s="12" t="s">
        <v>23843</v>
      </c>
      <c r="B4972" s="12" t="s">
        <v>23844</v>
      </c>
      <c r="C4972" s="19">
        <v>25</v>
      </c>
      <c r="D4972" s="19">
        <v>42</v>
      </c>
      <c r="E4972" s="19">
        <v>27</v>
      </c>
      <c r="F4972" s="19">
        <v>71</v>
      </c>
      <c r="G4972" s="15" t="s">
        <v>36</v>
      </c>
      <c r="H4972" s="14">
        <v>2.09</v>
      </c>
      <c r="I4972" s="18" t="s">
        <v>36</v>
      </c>
      <c r="J4972" s="12" t="s">
        <v>36</v>
      </c>
      <c r="K4972" s="13" t="s">
        <v>36</v>
      </c>
      <c r="L4972" s="15" t="s">
        <v>36</v>
      </c>
      <c r="M4972" s="12" t="s">
        <v>36</v>
      </c>
      <c r="N4972" s="12" t="s">
        <v>36</v>
      </c>
      <c r="O4972" s="17" t="s">
        <v>36</v>
      </c>
      <c r="P4972" s="12" t="s">
        <v>36</v>
      </c>
      <c r="Q4972" s="12" t="s">
        <v>36</v>
      </c>
      <c r="R4972" s="12" t="s">
        <v>36</v>
      </c>
      <c r="S4972" s="12" t="s">
        <v>36</v>
      </c>
      <c r="T4972" s="12" t="s">
        <v>1535</v>
      </c>
      <c r="U4972" s="12" t="s">
        <v>96</v>
      </c>
      <c r="V4972" s="12" t="s">
        <v>52</v>
      </c>
      <c r="W4972" s="12" t="s">
        <v>23845</v>
      </c>
      <c r="X4972" s="16" t="s">
        <v>23846</v>
      </c>
      <c r="Y4972" s="15" t="s">
        <v>192</v>
      </c>
      <c r="Z4972" s="14">
        <v>1.7</v>
      </c>
      <c r="AA4972" s="14" t="s">
        <v>36</v>
      </c>
      <c r="AB4972" s="12" t="s">
        <v>56</v>
      </c>
      <c r="AC4972" s="12" t="s">
        <v>23847</v>
      </c>
      <c r="AD4972" s="13">
        <v>43452</v>
      </c>
      <c r="AE4972" s="12" t="s">
        <v>1414</v>
      </c>
      <c r="AF4972" s="12" t="s">
        <v>23848</v>
      </c>
      <c r="AG4972" s="12" t="s">
        <v>765</v>
      </c>
      <c r="AH4972" s="1">
        <f>HYPERLINK("https://my.pitchbook.com?c=126885-34T","View Company Online")</f>
      </c>
    </row>
    <row r="4973">
      <c r="A4973" s="3" t="s">
        <v>23849</v>
      </c>
      <c r="B4973" s="3" t="s">
        <v>7201</v>
      </c>
      <c r="C4973" s="5" t="s">
        <v>36</v>
      </c>
      <c r="D4973" s="5" t="s">
        <v>36</v>
      </c>
      <c r="E4973" s="5" t="s">
        <v>36</v>
      </c>
      <c r="F4973" s="5" t="s">
        <v>36</v>
      </c>
      <c r="G4973" s="6" t="s">
        <v>326</v>
      </c>
      <c r="H4973" s="4">
        <v>27.79</v>
      </c>
      <c r="I4973" s="7">
        <v>13.43</v>
      </c>
      <c r="J4973" s="3" t="s">
        <v>521</v>
      </c>
      <c r="K4973" s="9" t="s">
        <v>36</v>
      </c>
      <c r="L4973" s="6" t="s">
        <v>36</v>
      </c>
      <c r="M4973" s="3" t="s">
        <v>36</v>
      </c>
      <c r="N4973" s="3" t="s">
        <v>36</v>
      </c>
      <c r="O4973" s="8" t="s">
        <v>36</v>
      </c>
      <c r="P4973" s="3" t="s">
        <v>36</v>
      </c>
      <c r="Q4973" s="3" t="s">
        <v>36</v>
      </c>
      <c r="R4973" s="3" t="s">
        <v>36</v>
      </c>
      <c r="S4973" s="3" t="s">
        <v>36</v>
      </c>
      <c r="T4973" s="3" t="s">
        <v>847</v>
      </c>
      <c r="U4973" s="3" t="s">
        <v>279</v>
      </c>
      <c r="V4973" s="3" t="s">
        <v>64</v>
      </c>
      <c r="W4973" s="3" t="s">
        <v>7202</v>
      </c>
      <c r="X4973" s="10" t="s">
        <v>23850</v>
      </c>
      <c r="Y4973" s="6" t="s">
        <v>108</v>
      </c>
      <c r="Z4973" s="4">
        <v>2.1</v>
      </c>
      <c r="AA4973" s="4">
        <v>15.65</v>
      </c>
      <c r="AB4973" s="3" t="s">
        <v>43</v>
      </c>
      <c r="AC4973" s="3" t="s">
        <v>7204</v>
      </c>
      <c r="AD4973" s="9">
        <v>43452</v>
      </c>
      <c r="AE4973" s="3" t="s">
        <v>851</v>
      </c>
      <c r="AF4973" s="3" t="s">
        <v>36</v>
      </c>
      <c r="AG4973" s="3" t="s">
        <v>81</v>
      </c>
      <c r="AH4973" s="11">
        <f>HYPERLINK("https://my.pitchbook.com?c=120385-81T","View Company Online")</f>
      </c>
    </row>
    <row r="4974">
      <c r="A4974" s="12" t="s">
        <v>23851</v>
      </c>
      <c r="B4974" s="12" t="s">
        <v>17500</v>
      </c>
      <c r="C4974" s="19" t="s">
        <v>36</v>
      </c>
      <c r="D4974" s="19" t="s">
        <v>36</v>
      </c>
      <c r="E4974" s="19" t="s">
        <v>36</v>
      </c>
      <c r="F4974" s="19" t="s">
        <v>36</v>
      </c>
      <c r="G4974" s="15" t="s">
        <v>326</v>
      </c>
      <c r="H4974" s="14">
        <v>330.23</v>
      </c>
      <c r="I4974" s="18">
        <v>11.84</v>
      </c>
      <c r="J4974" s="12" t="s">
        <v>521</v>
      </c>
      <c r="K4974" s="13" t="s">
        <v>36</v>
      </c>
      <c r="L4974" s="15" t="s">
        <v>36</v>
      </c>
      <c r="M4974" s="12" t="s">
        <v>36</v>
      </c>
      <c r="N4974" s="12" t="s">
        <v>36</v>
      </c>
      <c r="O4974" s="17" t="s">
        <v>36</v>
      </c>
      <c r="P4974" s="12" t="s">
        <v>36</v>
      </c>
      <c r="Q4974" s="12" t="s">
        <v>36</v>
      </c>
      <c r="R4974" s="12" t="s">
        <v>36</v>
      </c>
      <c r="S4974" s="12" t="s">
        <v>36</v>
      </c>
      <c r="T4974" s="12" t="s">
        <v>17501</v>
      </c>
      <c r="U4974" s="12" t="s">
        <v>85</v>
      </c>
      <c r="V4974" s="12" t="s">
        <v>64</v>
      </c>
      <c r="W4974" s="12" t="s">
        <v>17502</v>
      </c>
      <c r="X4974" s="16" t="s">
        <v>23852</v>
      </c>
      <c r="Y4974" s="15" t="s">
        <v>108</v>
      </c>
      <c r="Z4974" s="14">
        <v>0.19</v>
      </c>
      <c r="AA4974" s="14">
        <v>1.64</v>
      </c>
      <c r="AB4974" s="12" t="s">
        <v>43</v>
      </c>
      <c r="AC4974" s="12" t="s">
        <v>17504</v>
      </c>
      <c r="AD4974" s="13">
        <v>43452</v>
      </c>
      <c r="AE4974" s="12" t="s">
        <v>89</v>
      </c>
      <c r="AF4974" s="12" t="s">
        <v>17505</v>
      </c>
      <c r="AG4974" s="12" t="s">
        <v>270</v>
      </c>
      <c r="AH4974" s="1">
        <f>HYPERLINK("https://my.pitchbook.com?c=120282-76T","View Company Online")</f>
      </c>
    </row>
    <row r="4975">
      <c r="A4975" s="3" t="s">
        <v>23853</v>
      </c>
      <c r="B4975" s="3" t="s">
        <v>13423</v>
      </c>
      <c r="C4975" s="5" t="s">
        <v>36</v>
      </c>
      <c r="D4975" s="5" t="s">
        <v>36</v>
      </c>
      <c r="E4975" s="5" t="s">
        <v>36</v>
      </c>
      <c r="F4975" s="5" t="s">
        <v>36</v>
      </c>
      <c r="G4975" s="6" t="s">
        <v>326</v>
      </c>
      <c r="H4975" s="4">
        <v>6.23</v>
      </c>
      <c r="I4975" s="7">
        <v>22.37</v>
      </c>
      <c r="J4975" s="3" t="s">
        <v>521</v>
      </c>
      <c r="K4975" s="9" t="s">
        <v>36</v>
      </c>
      <c r="L4975" s="6" t="s">
        <v>36</v>
      </c>
      <c r="M4975" s="3" t="s">
        <v>36</v>
      </c>
      <c r="N4975" s="3" t="s">
        <v>36</v>
      </c>
      <c r="O4975" s="8" t="s">
        <v>36</v>
      </c>
      <c r="P4975" s="3" t="s">
        <v>36</v>
      </c>
      <c r="Q4975" s="3" t="s">
        <v>36</v>
      </c>
      <c r="R4975" s="3" t="s">
        <v>36</v>
      </c>
      <c r="S4975" s="3" t="s">
        <v>36</v>
      </c>
      <c r="T4975" s="3" t="s">
        <v>13424</v>
      </c>
      <c r="U4975" s="3" t="s">
        <v>38</v>
      </c>
      <c r="V4975" s="3" t="s">
        <v>39</v>
      </c>
      <c r="W4975" s="3" t="s">
        <v>13425</v>
      </c>
      <c r="X4975" s="10" t="s">
        <v>23854</v>
      </c>
      <c r="Y4975" s="6" t="s">
        <v>108</v>
      </c>
      <c r="Z4975" s="4">
        <v>3.41</v>
      </c>
      <c r="AA4975" s="4">
        <v>11.53</v>
      </c>
      <c r="AB4975" s="3" t="s">
        <v>43</v>
      </c>
      <c r="AC4975" s="3" t="s">
        <v>13427</v>
      </c>
      <c r="AD4975" s="9">
        <v>43452</v>
      </c>
      <c r="AE4975" s="3" t="s">
        <v>110</v>
      </c>
      <c r="AF4975" s="3" t="s">
        <v>8063</v>
      </c>
      <c r="AG4975" s="3" t="s">
        <v>81</v>
      </c>
      <c r="AH4975" s="11">
        <f>HYPERLINK("https://my.pitchbook.com?c=115854-94T","View Company Online")</f>
      </c>
    </row>
    <row r="4976">
      <c r="A4976" s="12" t="s">
        <v>23855</v>
      </c>
      <c r="B4976" s="12" t="s">
        <v>4279</v>
      </c>
      <c r="C4976" s="19" t="s">
        <v>36</v>
      </c>
      <c r="D4976" s="19" t="s">
        <v>36</v>
      </c>
      <c r="E4976" s="19" t="s">
        <v>36</v>
      </c>
      <c r="F4976" s="19" t="s">
        <v>36</v>
      </c>
      <c r="G4976" s="15" t="s">
        <v>326</v>
      </c>
      <c r="H4976" s="14">
        <v>379.21</v>
      </c>
      <c r="I4976" s="18">
        <v>16.21</v>
      </c>
      <c r="J4976" s="12" t="s">
        <v>521</v>
      </c>
      <c r="K4976" s="13">
        <v>43440</v>
      </c>
      <c r="L4976" s="15" t="s">
        <v>36</v>
      </c>
      <c r="M4976" s="12" t="s">
        <v>36</v>
      </c>
      <c r="N4976" s="12" t="s">
        <v>36</v>
      </c>
      <c r="O4976" s="17" t="s">
        <v>36</v>
      </c>
      <c r="P4976" s="12" t="s">
        <v>36</v>
      </c>
      <c r="Q4976" s="12" t="s">
        <v>36</v>
      </c>
      <c r="R4976" s="12" t="s">
        <v>36</v>
      </c>
      <c r="S4976" s="12" t="s">
        <v>36</v>
      </c>
      <c r="T4976" s="12" t="s">
        <v>4280</v>
      </c>
      <c r="U4976" s="12" t="s">
        <v>38</v>
      </c>
      <c r="V4976" s="12" t="s">
        <v>39</v>
      </c>
      <c r="W4976" s="12" t="s">
        <v>4281</v>
      </c>
      <c r="X4976" s="16" t="s">
        <v>23856</v>
      </c>
      <c r="Y4976" s="15" t="s">
        <v>42</v>
      </c>
      <c r="Z4976" s="14">
        <v>2.22</v>
      </c>
      <c r="AA4976" s="14">
        <v>6.67</v>
      </c>
      <c r="AB4976" s="12" t="s">
        <v>56</v>
      </c>
      <c r="AC4976" s="12" t="s">
        <v>4283</v>
      </c>
      <c r="AD4976" s="13">
        <v>43451</v>
      </c>
      <c r="AE4976" s="12" t="s">
        <v>1422</v>
      </c>
      <c r="AF4976" s="12" t="s">
        <v>4284</v>
      </c>
      <c r="AG4976" s="12" t="s">
        <v>81</v>
      </c>
      <c r="AH4976" s="1">
        <f>HYPERLINK("https://my.pitchbook.com?c=116164-81T","View Company Online")</f>
      </c>
    </row>
    <row r="4977">
      <c r="A4977" s="3" t="s">
        <v>23857</v>
      </c>
      <c r="B4977" s="3" t="s">
        <v>23858</v>
      </c>
      <c r="C4977" s="5" t="s">
        <v>36</v>
      </c>
      <c r="D4977" s="5" t="s">
        <v>36</v>
      </c>
      <c r="E4977" s="5" t="s">
        <v>36</v>
      </c>
      <c r="F4977" s="5" t="s">
        <v>36</v>
      </c>
      <c r="G4977" s="6" t="s">
        <v>36</v>
      </c>
      <c r="H4977" s="4">
        <v>27.55</v>
      </c>
      <c r="I4977" s="7">
        <v>27</v>
      </c>
      <c r="J4977" s="3" t="s">
        <v>521</v>
      </c>
      <c r="K4977" s="9" t="s">
        <v>36</v>
      </c>
      <c r="L4977" s="6" t="s">
        <v>36</v>
      </c>
      <c r="M4977" s="3" t="s">
        <v>36</v>
      </c>
      <c r="N4977" s="3" t="s">
        <v>36</v>
      </c>
      <c r="O4977" s="8" t="s">
        <v>36</v>
      </c>
      <c r="P4977" s="3" t="s">
        <v>36</v>
      </c>
      <c r="Q4977" s="3" t="s">
        <v>36</v>
      </c>
      <c r="R4977" s="3" t="s">
        <v>36</v>
      </c>
      <c r="S4977" s="3" t="s">
        <v>36</v>
      </c>
      <c r="T4977" s="3" t="s">
        <v>23859</v>
      </c>
      <c r="U4977" s="3" t="s">
        <v>404</v>
      </c>
      <c r="V4977" s="3" t="s">
        <v>405</v>
      </c>
      <c r="W4977" s="3" t="s">
        <v>23860</v>
      </c>
      <c r="X4977" s="10" t="s">
        <v>2414</v>
      </c>
      <c r="Y4977" s="6" t="s">
        <v>42</v>
      </c>
      <c r="Z4977" s="4">
        <v>216.89</v>
      </c>
      <c r="AA4977" s="4">
        <v>803.32</v>
      </c>
      <c r="AB4977" s="3" t="s">
        <v>56</v>
      </c>
      <c r="AC4977" s="3" t="s">
        <v>23861</v>
      </c>
      <c r="AD4977" s="9">
        <v>43451</v>
      </c>
      <c r="AE4977" s="3" t="s">
        <v>409</v>
      </c>
      <c r="AF4977" s="3" t="s">
        <v>23862</v>
      </c>
      <c r="AG4977" s="3" t="s">
        <v>23863</v>
      </c>
      <c r="AH4977" s="11">
        <f>HYPERLINK("https://my.pitchbook.com?c=188377-21T","View Company Online")</f>
      </c>
    </row>
    <row r="4978">
      <c r="A4978" s="12" t="s">
        <v>23864</v>
      </c>
      <c r="B4978" s="12" t="s">
        <v>8436</v>
      </c>
      <c r="C4978" s="19" t="s">
        <v>36</v>
      </c>
      <c r="D4978" s="19" t="s">
        <v>36</v>
      </c>
      <c r="E4978" s="19" t="s">
        <v>36</v>
      </c>
      <c r="F4978" s="19" t="s">
        <v>36</v>
      </c>
      <c r="G4978" s="15" t="s">
        <v>326</v>
      </c>
      <c r="H4978" s="14">
        <v>2126.9</v>
      </c>
      <c r="I4978" s="18">
        <v>9.57</v>
      </c>
      <c r="J4978" s="12" t="s">
        <v>521</v>
      </c>
      <c r="K4978" s="13" t="s">
        <v>36</v>
      </c>
      <c r="L4978" s="15" t="s">
        <v>36</v>
      </c>
      <c r="M4978" s="12" t="s">
        <v>36</v>
      </c>
      <c r="N4978" s="12" t="s">
        <v>36</v>
      </c>
      <c r="O4978" s="17" t="s">
        <v>36</v>
      </c>
      <c r="P4978" s="12" t="s">
        <v>36</v>
      </c>
      <c r="Q4978" s="12" t="s">
        <v>36</v>
      </c>
      <c r="R4978" s="12" t="s">
        <v>36</v>
      </c>
      <c r="S4978" s="12" t="s">
        <v>36</v>
      </c>
      <c r="T4978" s="12" t="s">
        <v>8437</v>
      </c>
      <c r="U4978" s="12" t="s">
        <v>833</v>
      </c>
      <c r="V4978" s="12" t="s">
        <v>64</v>
      </c>
      <c r="W4978" s="12" t="s">
        <v>8438</v>
      </c>
      <c r="X4978" s="16" t="s">
        <v>23865</v>
      </c>
      <c r="Y4978" s="15" t="s">
        <v>108</v>
      </c>
      <c r="Z4978" s="14">
        <v>2.4</v>
      </c>
      <c r="AA4978" s="14">
        <v>25.13</v>
      </c>
      <c r="AB4978" s="12" t="s">
        <v>43</v>
      </c>
      <c r="AC4978" s="12" t="s">
        <v>8440</v>
      </c>
      <c r="AD4978" s="13">
        <v>43451</v>
      </c>
      <c r="AE4978" s="12" t="s">
        <v>3615</v>
      </c>
      <c r="AF4978" s="12" t="s">
        <v>8441</v>
      </c>
      <c r="AG4978" s="12" t="s">
        <v>81</v>
      </c>
      <c r="AH4978" s="1">
        <f>HYPERLINK("https://my.pitchbook.com?c=116172-19T","View Company Online")</f>
      </c>
    </row>
    <row r="4979">
      <c r="A4979" s="3" t="s">
        <v>23866</v>
      </c>
      <c r="B4979" s="3" t="s">
        <v>23867</v>
      </c>
      <c r="C4979" s="5" t="s">
        <v>36</v>
      </c>
      <c r="D4979" s="5" t="s">
        <v>36</v>
      </c>
      <c r="E4979" s="5" t="s">
        <v>36</v>
      </c>
      <c r="F4979" s="5" t="s">
        <v>36</v>
      </c>
      <c r="G4979" s="6" t="s">
        <v>36</v>
      </c>
      <c r="H4979" s="4" t="s">
        <v>36</v>
      </c>
      <c r="I4979" s="7" t="s">
        <v>36</v>
      </c>
      <c r="J4979" s="3" t="s">
        <v>36</v>
      </c>
      <c r="K4979" s="9" t="s">
        <v>36</v>
      </c>
      <c r="L4979" s="6" t="s">
        <v>122</v>
      </c>
      <c r="M4979" s="3" t="s">
        <v>36</v>
      </c>
      <c r="N4979" s="3" t="s">
        <v>122</v>
      </c>
      <c r="O4979" s="8" t="s">
        <v>36</v>
      </c>
      <c r="P4979" s="3" t="s">
        <v>36</v>
      </c>
      <c r="Q4979" s="3" t="s">
        <v>36</v>
      </c>
      <c r="R4979" s="3" t="s">
        <v>36</v>
      </c>
      <c r="S4979" s="3" t="s">
        <v>36</v>
      </c>
      <c r="T4979" s="3" t="s">
        <v>23868</v>
      </c>
      <c r="U4979" s="3" t="s">
        <v>233</v>
      </c>
      <c r="V4979" s="3" t="s">
        <v>39</v>
      </c>
      <c r="W4979" s="3" t="s">
        <v>23869</v>
      </c>
      <c r="X4979" s="10" t="s">
        <v>23870</v>
      </c>
      <c r="Y4979" s="6" t="s">
        <v>42</v>
      </c>
      <c r="Z4979" s="4" t="s">
        <v>36</v>
      </c>
      <c r="AA4979" s="4" t="s">
        <v>36</v>
      </c>
      <c r="AB4979" s="3" t="s">
        <v>43</v>
      </c>
      <c r="AC4979" s="3" t="s">
        <v>23871</v>
      </c>
      <c r="AD4979" s="9">
        <v>43451</v>
      </c>
      <c r="AE4979" s="3" t="s">
        <v>236</v>
      </c>
      <c r="AF4979" s="3" t="s">
        <v>176</v>
      </c>
      <c r="AG4979" s="3" t="s">
        <v>81</v>
      </c>
      <c r="AH4979" s="11">
        <f>HYPERLINK("https://my.pitchbook.com?c=194214-61T","View Company Online")</f>
      </c>
    </row>
    <row r="4980">
      <c r="A4980" s="12" t="s">
        <v>23872</v>
      </c>
      <c r="B4980" s="12" t="s">
        <v>5319</v>
      </c>
      <c r="C4980" s="19">
        <v>7</v>
      </c>
      <c r="D4980" s="19">
        <v>33</v>
      </c>
      <c r="E4980" s="19">
        <v>6</v>
      </c>
      <c r="F4980" s="19">
        <v>41</v>
      </c>
      <c r="G4980" s="15" t="s">
        <v>36</v>
      </c>
      <c r="H4980" s="14" t="s">
        <v>36</v>
      </c>
      <c r="I4980" s="18" t="s">
        <v>36</v>
      </c>
      <c r="J4980" s="12" t="s">
        <v>36</v>
      </c>
      <c r="K4980" s="13" t="s">
        <v>36</v>
      </c>
      <c r="L4980" s="15" t="s">
        <v>122</v>
      </c>
      <c r="M4980" s="12" t="s">
        <v>36</v>
      </c>
      <c r="N4980" s="12" t="s">
        <v>122</v>
      </c>
      <c r="O4980" s="17" t="s">
        <v>36</v>
      </c>
      <c r="P4980" s="12" t="s">
        <v>36</v>
      </c>
      <c r="Q4980" s="12" t="s">
        <v>36</v>
      </c>
      <c r="R4980" s="12" t="s">
        <v>36</v>
      </c>
      <c r="S4980" s="12" t="s">
        <v>5320</v>
      </c>
      <c r="T4980" s="12" t="s">
        <v>5321</v>
      </c>
      <c r="U4980" s="12" t="s">
        <v>74</v>
      </c>
      <c r="V4980" s="12" t="s">
        <v>75</v>
      </c>
      <c r="W4980" s="12" t="s">
        <v>5322</v>
      </c>
      <c r="X4980" s="16" t="s">
        <v>23873</v>
      </c>
      <c r="Y4980" s="15" t="s">
        <v>42</v>
      </c>
      <c r="Z4980" s="14">
        <v>4.55</v>
      </c>
      <c r="AA4980" s="14" t="s">
        <v>36</v>
      </c>
      <c r="AB4980" s="12" t="s">
        <v>56</v>
      </c>
      <c r="AC4980" s="12" t="s">
        <v>5324</v>
      </c>
      <c r="AD4980" s="13">
        <v>43450</v>
      </c>
      <c r="AE4980" s="12" t="s">
        <v>570</v>
      </c>
      <c r="AF4980" s="12" t="s">
        <v>5325</v>
      </c>
      <c r="AG4980" s="12" t="s">
        <v>81</v>
      </c>
      <c r="AH4980" s="1">
        <f>HYPERLINK("https://my.pitchbook.com?c=173368-72T","View Company Online")</f>
      </c>
    </row>
    <row r="4981">
      <c r="A4981" s="3" t="s">
        <v>23874</v>
      </c>
      <c r="B4981" s="3" t="s">
        <v>17006</v>
      </c>
      <c r="C4981" s="5">
        <v>17</v>
      </c>
      <c r="D4981" s="5">
        <v>18</v>
      </c>
      <c r="E4981" s="5">
        <v>13</v>
      </c>
      <c r="F4981" s="5">
        <v>39</v>
      </c>
      <c r="G4981" s="6" t="s">
        <v>683</v>
      </c>
      <c r="H4981" s="4">
        <v>2.28</v>
      </c>
      <c r="I4981" s="7">
        <v>13.8</v>
      </c>
      <c r="J4981" s="3" t="s">
        <v>521</v>
      </c>
      <c r="K4981" s="9" t="s">
        <v>36</v>
      </c>
      <c r="L4981" s="6" t="s">
        <v>36</v>
      </c>
      <c r="M4981" s="3" t="s">
        <v>36</v>
      </c>
      <c r="N4981" s="3" t="s">
        <v>36</v>
      </c>
      <c r="O4981" s="8" t="s">
        <v>36</v>
      </c>
      <c r="P4981" s="3" t="s">
        <v>36</v>
      </c>
      <c r="Q4981" s="3" t="s">
        <v>36</v>
      </c>
      <c r="R4981" s="3" t="s">
        <v>36</v>
      </c>
      <c r="S4981" s="3" t="s">
        <v>36</v>
      </c>
      <c r="T4981" s="3" t="s">
        <v>881</v>
      </c>
      <c r="U4981" s="3" t="s">
        <v>51</v>
      </c>
      <c r="V4981" s="3" t="s">
        <v>52</v>
      </c>
      <c r="W4981" s="3" t="s">
        <v>17007</v>
      </c>
      <c r="X4981" s="10" t="s">
        <v>23875</v>
      </c>
      <c r="Y4981" s="6" t="s">
        <v>192</v>
      </c>
      <c r="Z4981" s="4">
        <v>2.61</v>
      </c>
      <c r="AA4981" s="4">
        <v>18.94</v>
      </c>
      <c r="AB4981" s="3" t="s">
        <v>56</v>
      </c>
      <c r="AC4981" s="3" t="s">
        <v>17009</v>
      </c>
      <c r="AD4981" s="9">
        <v>43450</v>
      </c>
      <c r="AE4981" s="3" t="s">
        <v>504</v>
      </c>
      <c r="AF4981" s="3" t="s">
        <v>665</v>
      </c>
      <c r="AG4981" s="3" t="s">
        <v>13998</v>
      </c>
      <c r="AH4981" s="11">
        <f>HYPERLINK("https://my.pitchbook.com?c=117638-65T","View Company Online")</f>
      </c>
    </row>
    <row r="4982">
      <c r="A4982" s="12" t="s">
        <v>23876</v>
      </c>
      <c r="B4982" s="12" t="s">
        <v>23877</v>
      </c>
      <c r="C4982" s="19" t="s">
        <v>36</v>
      </c>
      <c r="D4982" s="19" t="s">
        <v>36</v>
      </c>
      <c r="E4982" s="19" t="s">
        <v>36</v>
      </c>
      <c r="F4982" s="19" t="s">
        <v>36</v>
      </c>
      <c r="G4982" s="15" t="s">
        <v>683</v>
      </c>
      <c r="H4982" s="14">
        <v>4.74</v>
      </c>
      <c r="I4982" s="18">
        <v>3.14</v>
      </c>
      <c r="J4982" s="12" t="s">
        <v>521</v>
      </c>
      <c r="K4982" s="13" t="s">
        <v>36</v>
      </c>
      <c r="L4982" s="15" t="s">
        <v>36</v>
      </c>
      <c r="M4982" s="12" t="s">
        <v>36</v>
      </c>
      <c r="N4982" s="12" t="s">
        <v>36</v>
      </c>
      <c r="O4982" s="17" t="s">
        <v>36</v>
      </c>
      <c r="P4982" s="12" t="s">
        <v>36</v>
      </c>
      <c r="Q4982" s="12" t="s">
        <v>36</v>
      </c>
      <c r="R4982" s="12" t="s">
        <v>36</v>
      </c>
      <c r="S4982" s="12" t="s">
        <v>36</v>
      </c>
      <c r="T4982" s="12" t="s">
        <v>23878</v>
      </c>
      <c r="U4982" s="12" t="s">
        <v>279</v>
      </c>
      <c r="V4982" s="12" t="s">
        <v>64</v>
      </c>
      <c r="W4982" s="12" t="s">
        <v>23879</v>
      </c>
      <c r="X4982" s="16" t="s">
        <v>4336</v>
      </c>
      <c r="Y4982" s="15" t="s">
        <v>166</v>
      </c>
      <c r="Z4982" s="14">
        <v>0.23</v>
      </c>
      <c r="AA4982" s="14">
        <v>7.43</v>
      </c>
      <c r="AB4982" s="12" t="s">
        <v>56</v>
      </c>
      <c r="AC4982" s="12" t="s">
        <v>23880</v>
      </c>
      <c r="AD4982" s="13">
        <v>43450</v>
      </c>
      <c r="AE4982" s="12" t="s">
        <v>851</v>
      </c>
      <c r="AF4982" s="12" t="s">
        <v>1077</v>
      </c>
      <c r="AG4982" s="12" t="s">
        <v>81</v>
      </c>
      <c r="AH4982" s="1">
        <f>HYPERLINK("https://my.pitchbook.com?c=117812-26T","View Company Online")</f>
      </c>
    </row>
    <row r="4983">
      <c r="A4983" s="3" t="s">
        <v>23881</v>
      </c>
      <c r="B4983" s="3" t="s">
        <v>23882</v>
      </c>
      <c r="C4983" s="5" t="s">
        <v>36</v>
      </c>
      <c r="D4983" s="5">
        <v>4</v>
      </c>
      <c r="E4983" s="5">
        <v>2</v>
      </c>
      <c r="F4983" s="5">
        <v>4</v>
      </c>
      <c r="G4983" s="6" t="s">
        <v>2497</v>
      </c>
      <c r="H4983" s="4">
        <v>69.73</v>
      </c>
      <c r="I4983" s="7">
        <v>7.99</v>
      </c>
      <c r="J4983" s="3" t="s">
        <v>521</v>
      </c>
      <c r="K4983" s="9">
        <v>43258</v>
      </c>
      <c r="L4983" s="6" t="s">
        <v>36</v>
      </c>
      <c r="M4983" s="3" t="s">
        <v>36</v>
      </c>
      <c r="N4983" s="3" t="s">
        <v>36</v>
      </c>
      <c r="O4983" s="8" t="s">
        <v>36</v>
      </c>
      <c r="P4983" s="3" t="s">
        <v>36</v>
      </c>
      <c r="Q4983" s="3" t="s">
        <v>36</v>
      </c>
      <c r="R4983" s="3" t="s">
        <v>36</v>
      </c>
      <c r="S4983" s="3" t="s">
        <v>36</v>
      </c>
      <c r="T4983" s="3" t="s">
        <v>23883</v>
      </c>
      <c r="U4983" s="3" t="s">
        <v>96</v>
      </c>
      <c r="V4983" s="3" t="s">
        <v>52</v>
      </c>
      <c r="W4983" s="3" t="s">
        <v>23884</v>
      </c>
      <c r="X4983" s="10" t="s">
        <v>23885</v>
      </c>
      <c r="Y4983" s="6" t="s">
        <v>55</v>
      </c>
      <c r="Z4983" s="4">
        <v>2.57</v>
      </c>
      <c r="AA4983" s="4">
        <v>32.22</v>
      </c>
      <c r="AB4983" s="3" t="s">
        <v>56</v>
      </c>
      <c r="AC4983" s="3" t="s">
        <v>23886</v>
      </c>
      <c r="AD4983" s="9">
        <v>43449</v>
      </c>
      <c r="AE4983" s="3" t="s">
        <v>143</v>
      </c>
      <c r="AF4983" s="3" t="s">
        <v>6285</v>
      </c>
      <c r="AG4983" s="3" t="s">
        <v>23887</v>
      </c>
      <c r="AH4983" s="11">
        <f>HYPERLINK("https://my.pitchbook.com?c=117559-72T","View Company Online")</f>
      </c>
    </row>
    <row r="4984">
      <c r="A4984" s="12" t="s">
        <v>23888</v>
      </c>
      <c r="B4984" s="12" t="s">
        <v>20782</v>
      </c>
      <c r="C4984" s="19" t="s">
        <v>36</v>
      </c>
      <c r="D4984" s="19" t="s">
        <v>36</v>
      </c>
      <c r="E4984" s="19" t="s">
        <v>36</v>
      </c>
      <c r="F4984" s="19" t="s">
        <v>36</v>
      </c>
      <c r="G4984" s="15" t="s">
        <v>36</v>
      </c>
      <c r="H4984" s="14" t="s">
        <v>36</v>
      </c>
      <c r="I4984" s="18">
        <v>30</v>
      </c>
      <c r="J4984" s="12" t="s">
        <v>327</v>
      </c>
      <c r="K4984" s="13" t="s">
        <v>36</v>
      </c>
      <c r="L4984" s="15" t="s">
        <v>36</v>
      </c>
      <c r="M4984" s="12" t="s">
        <v>36</v>
      </c>
      <c r="N4984" s="12" t="s">
        <v>36</v>
      </c>
      <c r="O4984" s="17" t="s">
        <v>36</v>
      </c>
      <c r="P4984" s="12" t="s">
        <v>36</v>
      </c>
      <c r="Q4984" s="12" t="s">
        <v>36</v>
      </c>
      <c r="R4984" s="12" t="s">
        <v>36</v>
      </c>
      <c r="S4984" s="12" t="s">
        <v>36</v>
      </c>
      <c r="T4984" s="12" t="s">
        <v>9021</v>
      </c>
      <c r="U4984" s="12" t="s">
        <v>38</v>
      </c>
      <c r="V4984" s="12" t="s">
        <v>39</v>
      </c>
      <c r="W4984" s="12" t="s">
        <v>20783</v>
      </c>
      <c r="X4984" s="16" t="s">
        <v>23889</v>
      </c>
      <c r="Y4984" s="15" t="s">
        <v>42</v>
      </c>
      <c r="Z4984" s="14">
        <v>4.55</v>
      </c>
      <c r="AA4984" s="14">
        <v>15.16</v>
      </c>
      <c r="AB4984" s="12" t="s">
        <v>43</v>
      </c>
      <c r="AC4984" s="12" t="s">
        <v>20785</v>
      </c>
      <c r="AD4984" s="13">
        <v>43448</v>
      </c>
      <c r="AE4984" s="12" t="s">
        <v>554</v>
      </c>
      <c r="AF4984" s="12" t="s">
        <v>118</v>
      </c>
      <c r="AG4984" s="12" t="s">
        <v>81</v>
      </c>
      <c r="AH4984" s="1">
        <f>HYPERLINK("https://my.pitchbook.com?c=114671-35T","View Company Online")</f>
      </c>
    </row>
    <row r="4985">
      <c r="A4985" s="3" t="s">
        <v>23890</v>
      </c>
      <c r="B4985" s="3" t="s">
        <v>23891</v>
      </c>
      <c r="C4985" s="5" t="s">
        <v>36</v>
      </c>
      <c r="D4985" s="5" t="s">
        <v>36</v>
      </c>
      <c r="E4985" s="5" t="s">
        <v>36</v>
      </c>
      <c r="F4985" s="5" t="s">
        <v>36</v>
      </c>
      <c r="G4985" s="6" t="s">
        <v>36</v>
      </c>
      <c r="H4985" s="4" t="s">
        <v>36</v>
      </c>
      <c r="I4985" s="7" t="s">
        <v>36</v>
      </c>
      <c r="J4985" s="3" t="s">
        <v>36</v>
      </c>
      <c r="K4985" s="9" t="s">
        <v>36</v>
      </c>
      <c r="L4985" s="6" t="s">
        <v>36</v>
      </c>
      <c r="M4985" s="3" t="s">
        <v>36</v>
      </c>
      <c r="N4985" s="3" t="s">
        <v>36</v>
      </c>
      <c r="O4985" s="8" t="s">
        <v>36</v>
      </c>
      <c r="P4985" s="3" t="s">
        <v>36</v>
      </c>
      <c r="Q4985" s="3" t="s">
        <v>36</v>
      </c>
      <c r="R4985" s="3" t="s">
        <v>36</v>
      </c>
      <c r="S4985" s="3" t="s">
        <v>36</v>
      </c>
      <c r="T4985" s="3" t="s">
        <v>522</v>
      </c>
      <c r="U4985" s="3" t="s">
        <v>38</v>
      </c>
      <c r="V4985" s="3" t="s">
        <v>39</v>
      </c>
      <c r="W4985" s="3" t="s">
        <v>23892</v>
      </c>
      <c r="X4985" s="10" t="s">
        <v>23893</v>
      </c>
      <c r="Y4985" s="6" t="s">
        <v>42</v>
      </c>
      <c r="Z4985" s="4">
        <v>1.71</v>
      </c>
      <c r="AA4985" s="4" t="s">
        <v>36</v>
      </c>
      <c r="AB4985" s="3" t="s">
        <v>56</v>
      </c>
      <c r="AC4985" s="3" t="s">
        <v>23894</v>
      </c>
      <c r="AD4985" s="9">
        <v>43448</v>
      </c>
      <c r="AE4985" s="3" t="s">
        <v>110</v>
      </c>
      <c r="AF4985" s="3" t="s">
        <v>111</v>
      </c>
      <c r="AG4985" s="3" t="s">
        <v>81</v>
      </c>
      <c r="AH4985" s="11">
        <f>HYPERLINK("https://my.pitchbook.com?c=112519-00T","View Company Online")</f>
      </c>
    </row>
    <row r="4986">
      <c r="A4986" s="12" t="s">
        <v>23895</v>
      </c>
      <c r="B4986" s="12" t="s">
        <v>23896</v>
      </c>
      <c r="C4986" s="19" t="s">
        <v>36</v>
      </c>
      <c r="D4986" s="19">
        <v>18</v>
      </c>
      <c r="E4986" s="19">
        <v>2</v>
      </c>
      <c r="F4986" s="19">
        <v>18</v>
      </c>
      <c r="G4986" s="15" t="s">
        <v>36</v>
      </c>
      <c r="H4986" s="14" t="s">
        <v>36</v>
      </c>
      <c r="I4986" s="18" t="s">
        <v>36</v>
      </c>
      <c r="J4986" s="12" t="s">
        <v>36</v>
      </c>
      <c r="K4986" s="13" t="s">
        <v>36</v>
      </c>
      <c r="L4986" s="15" t="s">
        <v>36</v>
      </c>
      <c r="M4986" s="12" t="s">
        <v>36</v>
      </c>
      <c r="N4986" s="12" t="s">
        <v>36</v>
      </c>
      <c r="O4986" s="17" t="s">
        <v>36</v>
      </c>
      <c r="P4986" s="12" t="s">
        <v>36</v>
      </c>
      <c r="Q4986" s="12" t="s">
        <v>36</v>
      </c>
      <c r="R4986" s="12" t="s">
        <v>36</v>
      </c>
      <c r="S4986" s="12" t="s">
        <v>36</v>
      </c>
      <c r="T4986" s="12" t="s">
        <v>751</v>
      </c>
      <c r="U4986" s="12" t="s">
        <v>96</v>
      </c>
      <c r="V4986" s="12" t="s">
        <v>52</v>
      </c>
      <c r="W4986" s="12" t="s">
        <v>23897</v>
      </c>
      <c r="X4986" s="16" t="s">
        <v>730</v>
      </c>
      <c r="Y4986" s="15" t="s">
        <v>55</v>
      </c>
      <c r="Z4986" s="14">
        <v>1.59</v>
      </c>
      <c r="AA4986" s="14" t="s">
        <v>36</v>
      </c>
      <c r="AB4986" s="12" t="s">
        <v>56</v>
      </c>
      <c r="AC4986" s="12" t="s">
        <v>23898</v>
      </c>
      <c r="AD4986" s="13">
        <v>43447</v>
      </c>
      <c r="AE4986" s="12" t="s">
        <v>755</v>
      </c>
      <c r="AF4986" s="12" t="s">
        <v>101</v>
      </c>
      <c r="AG4986" s="12" t="s">
        <v>1078</v>
      </c>
      <c r="AH4986" s="1">
        <f>HYPERLINK("https://my.pitchbook.com?c=161044-93T","View Company Online")</f>
      </c>
    </row>
    <row r="4987">
      <c r="A4987" s="3" t="s">
        <v>23899</v>
      </c>
      <c r="B4987" s="3" t="s">
        <v>16657</v>
      </c>
      <c r="C4987" s="5" t="s">
        <v>36</v>
      </c>
      <c r="D4987" s="5" t="s">
        <v>36</v>
      </c>
      <c r="E4987" s="5" t="s">
        <v>36</v>
      </c>
      <c r="F4987" s="5" t="s">
        <v>36</v>
      </c>
      <c r="G4987" s="6" t="s">
        <v>326</v>
      </c>
      <c r="H4987" s="4" t="s">
        <v>36</v>
      </c>
      <c r="I4987" s="7">
        <v>26.12</v>
      </c>
      <c r="J4987" s="3" t="s">
        <v>521</v>
      </c>
      <c r="K4987" s="9" t="s">
        <v>36</v>
      </c>
      <c r="L4987" s="6" t="s">
        <v>122</v>
      </c>
      <c r="M4987" s="3" t="s">
        <v>36</v>
      </c>
      <c r="N4987" s="3" t="s">
        <v>122</v>
      </c>
      <c r="O4987" s="8" t="s">
        <v>36</v>
      </c>
      <c r="P4987" s="3" t="s">
        <v>36</v>
      </c>
      <c r="Q4987" s="3" t="s">
        <v>36</v>
      </c>
      <c r="R4987" s="3" t="s">
        <v>36</v>
      </c>
      <c r="S4987" s="3" t="s">
        <v>36</v>
      </c>
      <c r="T4987" s="3" t="s">
        <v>1935</v>
      </c>
      <c r="U4987" s="3" t="s">
        <v>38</v>
      </c>
      <c r="V4987" s="3" t="s">
        <v>39</v>
      </c>
      <c r="W4987" s="3" t="s">
        <v>16658</v>
      </c>
      <c r="X4987" s="10" t="s">
        <v>23900</v>
      </c>
      <c r="Y4987" s="6" t="s">
        <v>55</v>
      </c>
      <c r="Z4987" s="4">
        <v>4.55</v>
      </c>
      <c r="AA4987" s="4">
        <v>17.41</v>
      </c>
      <c r="AB4987" s="3" t="s">
        <v>43</v>
      </c>
      <c r="AC4987" s="3" t="s">
        <v>16660</v>
      </c>
      <c r="AD4987" s="9">
        <v>43447</v>
      </c>
      <c r="AE4987" s="3" t="s">
        <v>45</v>
      </c>
      <c r="AF4987" s="3" t="s">
        <v>331</v>
      </c>
      <c r="AG4987" s="3" t="s">
        <v>81</v>
      </c>
      <c r="AH4987" s="11">
        <f>HYPERLINK("https://my.pitchbook.com?c=118317-70T","View Company Online")</f>
      </c>
    </row>
    <row r="4988">
      <c r="A4988" s="12" t="s">
        <v>23901</v>
      </c>
      <c r="B4988" s="12" t="s">
        <v>12358</v>
      </c>
      <c r="C4988" s="19" t="s">
        <v>36</v>
      </c>
      <c r="D4988" s="19" t="s">
        <v>36</v>
      </c>
      <c r="E4988" s="19" t="s">
        <v>36</v>
      </c>
      <c r="F4988" s="19" t="s">
        <v>36</v>
      </c>
      <c r="G4988" s="15" t="s">
        <v>326</v>
      </c>
      <c r="H4988" s="14">
        <v>3262.14</v>
      </c>
      <c r="I4988" s="18">
        <v>35.3</v>
      </c>
      <c r="J4988" s="12" t="s">
        <v>521</v>
      </c>
      <c r="K4988" s="13">
        <v>43405</v>
      </c>
      <c r="L4988" s="15" t="s">
        <v>1279</v>
      </c>
      <c r="M4988" s="12" t="s">
        <v>36</v>
      </c>
      <c r="N4988" s="12" t="s">
        <v>1279</v>
      </c>
      <c r="O4988" s="17" t="s">
        <v>36</v>
      </c>
      <c r="P4988" s="12" t="s">
        <v>36</v>
      </c>
      <c r="Q4988" s="12" t="s">
        <v>36</v>
      </c>
      <c r="R4988" s="12" t="s">
        <v>36</v>
      </c>
      <c r="S4988" s="12" t="s">
        <v>36</v>
      </c>
      <c r="T4988" s="12" t="s">
        <v>12359</v>
      </c>
      <c r="U4988" s="12" t="s">
        <v>38</v>
      </c>
      <c r="V4988" s="12" t="s">
        <v>39</v>
      </c>
      <c r="W4988" s="12" t="s">
        <v>12360</v>
      </c>
      <c r="X4988" s="16" t="s">
        <v>23902</v>
      </c>
      <c r="Y4988" s="15" t="s">
        <v>55</v>
      </c>
      <c r="Z4988" s="14">
        <v>40.35</v>
      </c>
      <c r="AA4988" s="14">
        <v>114.31</v>
      </c>
      <c r="AB4988" s="12" t="s">
        <v>56</v>
      </c>
      <c r="AC4988" s="12" t="s">
        <v>12362</v>
      </c>
      <c r="AD4988" s="13">
        <v>43447</v>
      </c>
      <c r="AE4988" s="12" t="s">
        <v>110</v>
      </c>
      <c r="AF4988" s="12" t="s">
        <v>12363</v>
      </c>
      <c r="AG4988" s="12" t="s">
        <v>81</v>
      </c>
      <c r="AH4988" s="1">
        <f>HYPERLINK("https://my.pitchbook.com?c=114587-74T","View Company Online")</f>
      </c>
    </row>
    <row r="4989">
      <c r="A4989" s="3" t="s">
        <v>23903</v>
      </c>
      <c r="B4989" s="3" t="s">
        <v>4905</v>
      </c>
      <c r="C4989" s="5" t="s">
        <v>36</v>
      </c>
      <c r="D4989" s="5" t="s">
        <v>36</v>
      </c>
      <c r="E4989" s="5" t="s">
        <v>36</v>
      </c>
      <c r="F4989" s="5" t="s">
        <v>36</v>
      </c>
      <c r="G4989" s="6" t="s">
        <v>326</v>
      </c>
      <c r="H4989" s="4">
        <v>88.76</v>
      </c>
      <c r="I4989" s="7">
        <v>16.04</v>
      </c>
      <c r="J4989" s="3" t="s">
        <v>521</v>
      </c>
      <c r="K4989" s="9" t="s">
        <v>36</v>
      </c>
      <c r="L4989" s="6" t="s">
        <v>36</v>
      </c>
      <c r="M4989" s="3" t="s">
        <v>36</v>
      </c>
      <c r="N4989" s="3" t="s">
        <v>36</v>
      </c>
      <c r="O4989" s="8" t="s">
        <v>36</v>
      </c>
      <c r="P4989" s="3" t="s">
        <v>36</v>
      </c>
      <c r="Q4989" s="3" t="s">
        <v>36</v>
      </c>
      <c r="R4989" s="3" t="s">
        <v>36</v>
      </c>
      <c r="S4989" s="3" t="s">
        <v>36</v>
      </c>
      <c r="T4989" s="3" t="s">
        <v>105</v>
      </c>
      <c r="U4989" s="3" t="s">
        <v>38</v>
      </c>
      <c r="V4989" s="3" t="s">
        <v>39</v>
      </c>
      <c r="W4989" s="3" t="s">
        <v>4906</v>
      </c>
      <c r="X4989" s="10" t="s">
        <v>23904</v>
      </c>
      <c r="Y4989" s="6" t="s">
        <v>108</v>
      </c>
      <c r="Z4989" s="4">
        <v>2.96</v>
      </c>
      <c r="AA4989" s="4">
        <v>18.42</v>
      </c>
      <c r="AB4989" s="3" t="s">
        <v>43</v>
      </c>
      <c r="AC4989" s="3" t="s">
        <v>4908</v>
      </c>
      <c r="AD4989" s="9">
        <v>43447</v>
      </c>
      <c r="AE4989" s="3" t="s">
        <v>110</v>
      </c>
      <c r="AF4989" s="3" t="s">
        <v>3762</v>
      </c>
      <c r="AG4989" s="3" t="s">
        <v>47</v>
      </c>
      <c r="AH4989" s="11">
        <f>HYPERLINK("https://my.pitchbook.com?c=136335-16T","View Company Online")</f>
      </c>
    </row>
    <row r="4990">
      <c r="A4990" s="12" t="s">
        <v>23905</v>
      </c>
      <c r="B4990" s="12" t="s">
        <v>7063</v>
      </c>
      <c r="C4990" s="19">
        <v>12</v>
      </c>
      <c r="D4990" s="19">
        <v>57</v>
      </c>
      <c r="E4990" s="19">
        <v>13</v>
      </c>
      <c r="F4990" s="19">
        <v>72</v>
      </c>
      <c r="G4990" s="15" t="s">
        <v>2497</v>
      </c>
      <c r="H4990" s="14" t="s">
        <v>36</v>
      </c>
      <c r="I4990" s="18">
        <v>34.16</v>
      </c>
      <c r="J4990" s="12" t="s">
        <v>327</v>
      </c>
      <c r="K4990" s="13" t="s">
        <v>36</v>
      </c>
      <c r="L4990" s="15" t="s">
        <v>94</v>
      </c>
      <c r="M4990" s="12" t="s">
        <v>36</v>
      </c>
      <c r="N4990" s="12" t="s">
        <v>94</v>
      </c>
      <c r="O4990" s="17" t="s">
        <v>36</v>
      </c>
      <c r="P4990" s="12" t="s">
        <v>36</v>
      </c>
      <c r="Q4990" s="12" t="s">
        <v>36</v>
      </c>
      <c r="R4990" s="12" t="s">
        <v>36</v>
      </c>
      <c r="S4990" s="12" t="s">
        <v>36</v>
      </c>
      <c r="T4990" s="12" t="s">
        <v>4225</v>
      </c>
      <c r="U4990" s="12" t="s">
        <v>96</v>
      </c>
      <c r="V4990" s="12" t="s">
        <v>52</v>
      </c>
      <c r="W4990" s="12" t="s">
        <v>7064</v>
      </c>
      <c r="X4990" s="16" t="s">
        <v>23906</v>
      </c>
      <c r="Y4990" s="15" t="s">
        <v>55</v>
      </c>
      <c r="Z4990" s="14">
        <v>10.23</v>
      </c>
      <c r="AA4990" s="14">
        <v>29.94</v>
      </c>
      <c r="AB4990" s="12" t="s">
        <v>56</v>
      </c>
      <c r="AC4990" s="12" t="s">
        <v>7066</v>
      </c>
      <c r="AD4990" s="13">
        <v>43446</v>
      </c>
      <c r="AE4990" s="12" t="s">
        <v>143</v>
      </c>
      <c r="AF4990" s="12" t="s">
        <v>36</v>
      </c>
      <c r="AG4990" s="12" t="s">
        <v>47</v>
      </c>
      <c r="AH4990" s="1">
        <f>HYPERLINK("https://my.pitchbook.com?c=114588-28T","View Company Online")</f>
      </c>
    </row>
    <row r="4991">
      <c r="A4991" s="3" t="s">
        <v>23907</v>
      </c>
      <c r="B4991" s="3" t="s">
        <v>23908</v>
      </c>
      <c r="C4991" s="5" t="s">
        <v>36</v>
      </c>
      <c r="D4991" s="5" t="s">
        <v>36</v>
      </c>
      <c r="E4991" s="5" t="s">
        <v>36</v>
      </c>
      <c r="F4991" s="5" t="s">
        <v>36</v>
      </c>
      <c r="G4991" s="6" t="s">
        <v>36</v>
      </c>
      <c r="H4991" s="4">
        <v>727</v>
      </c>
      <c r="I4991" s="7">
        <v>29.08</v>
      </c>
      <c r="J4991" s="3" t="s">
        <v>521</v>
      </c>
      <c r="K4991" s="9" t="s">
        <v>36</v>
      </c>
      <c r="L4991" s="6" t="s">
        <v>36</v>
      </c>
      <c r="M4991" s="3" t="s">
        <v>36</v>
      </c>
      <c r="N4991" s="3" t="s">
        <v>36</v>
      </c>
      <c r="O4991" s="8" t="s">
        <v>36</v>
      </c>
      <c r="P4991" s="3" t="s">
        <v>36</v>
      </c>
      <c r="Q4991" s="3" t="s">
        <v>36</v>
      </c>
      <c r="R4991" s="3" t="s">
        <v>36</v>
      </c>
      <c r="S4991" s="3" t="s">
        <v>36</v>
      </c>
      <c r="T4991" s="3" t="s">
        <v>522</v>
      </c>
      <c r="U4991" s="3" t="s">
        <v>38</v>
      </c>
      <c r="V4991" s="3" t="s">
        <v>39</v>
      </c>
      <c r="W4991" s="3" t="s">
        <v>23909</v>
      </c>
      <c r="X4991" s="10" t="s">
        <v>23910</v>
      </c>
      <c r="Y4991" s="6" t="s">
        <v>42</v>
      </c>
      <c r="Z4991" s="4">
        <v>0.33</v>
      </c>
      <c r="AA4991" s="4">
        <v>1.12</v>
      </c>
      <c r="AB4991" s="3" t="s">
        <v>43</v>
      </c>
      <c r="AC4991" s="3" t="s">
        <v>23911</v>
      </c>
      <c r="AD4991" s="9">
        <v>43446</v>
      </c>
      <c r="AE4991" s="3" t="s">
        <v>110</v>
      </c>
      <c r="AF4991" s="3" t="s">
        <v>1331</v>
      </c>
      <c r="AG4991" s="3" t="s">
        <v>81</v>
      </c>
      <c r="AH4991" s="11">
        <f>HYPERLINK("https://my.pitchbook.com?c=170665-39T","View Company Online")</f>
      </c>
    </row>
    <row r="4992">
      <c r="A4992" s="12" t="s">
        <v>23912</v>
      </c>
      <c r="B4992" s="12" t="s">
        <v>22954</v>
      </c>
      <c r="C4992" s="19" t="s">
        <v>36</v>
      </c>
      <c r="D4992" s="19" t="s">
        <v>36</v>
      </c>
      <c r="E4992" s="19" t="s">
        <v>36</v>
      </c>
      <c r="F4992" s="19" t="s">
        <v>36</v>
      </c>
      <c r="G4992" s="15" t="s">
        <v>326</v>
      </c>
      <c r="H4992" s="14">
        <v>23.18</v>
      </c>
      <c r="I4992" s="18">
        <v>33.49</v>
      </c>
      <c r="J4992" s="12" t="s">
        <v>521</v>
      </c>
      <c r="K4992" s="13" t="s">
        <v>36</v>
      </c>
      <c r="L4992" s="15" t="s">
        <v>36</v>
      </c>
      <c r="M4992" s="12" t="s">
        <v>36</v>
      </c>
      <c r="N4992" s="12" t="s">
        <v>36</v>
      </c>
      <c r="O4992" s="17" t="s">
        <v>36</v>
      </c>
      <c r="P4992" s="12" t="s">
        <v>36</v>
      </c>
      <c r="Q4992" s="12" t="s">
        <v>36</v>
      </c>
      <c r="R4992" s="12" t="s">
        <v>36</v>
      </c>
      <c r="S4992" s="12" t="s">
        <v>36</v>
      </c>
      <c r="T4992" s="12" t="s">
        <v>105</v>
      </c>
      <c r="U4992" s="12" t="s">
        <v>38</v>
      </c>
      <c r="V4992" s="12" t="s">
        <v>39</v>
      </c>
      <c r="W4992" s="12" t="s">
        <v>22955</v>
      </c>
      <c r="X4992" s="16" t="s">
        <v>23913</v>
      </c>
      <c r="Y4992" s="15" t="s">
        <v>55</v>
      </c>
      <c r="Z4992" s="14">
        <v>9.08</v>
      </c>
      <c r="AA4992" s="14">
        <v>27.12</v>
      </c>
      <c r="AB4992" s="12" t="s">
        <v>56</v>
      </c>
      <c r="AC4992" s="12" t="s">
        <v>22957</v>
      </c>
      <c r="AD4992" s="13">
        <v>43445</v>
      </c>
      <c r="AE4992" s="12" t="s">
        <v>110</v>
      </c>
      <c r="AF4992" s="12" t="s">
        <v>468</v>
      </c>
      <c r="AG4992" s="12" t="s">
        <v>81</v>
      </c>
      <c r="AH4992" s="1">
        <f>HYPERLINK("https://my.pitchbook.com?c=115924-42T","View Company Online")</f>
      </c>
    </row>
    <row r="4993">
      <c r="A4993" s="3" t="s">
        <v>23914</v>
      </c>
      <c r="B4993" s="3" t="s">
        <v>3742</v>
      </c>
      <c r="C4993" s="5">
        <v>2</v>
      </c>
      <c r="D4993" s="5">
        <v>2</v>
      </c>
      <c r="E4993" s="5">
        <v>1</v>
      </c>
      <c r="F4993" s="5">
        <v>4</v>
      </c>
      <c r="G4993" s="6" t="s">
        <v>326</v>
      </c>
      <c r="H4993" s="4">
        <v>396.37</v>
      </c>
      <c r="I4993" s="7">
        <v>36.19</v>
      </c>
      <c r="J4993" s="3" t="s">
        <v>521</v>
      </c>
      <c r="K4993" s="9" t="s">
        <v>36</v>
      </c>
      <c r="L4993" s="6" t="s">
        <v>36</v>
      </c>
      <c r="M4993" s="3" t="s">
        <v>36</v>
      </c>
      <c r="N4993" s="3" t="s">
        <v>36</v>
      </c>
      <c r="O4993" s="8" t="s">
        <v>36</v>
      </c>
      <c r="P4993" s="3" t="s">
        <v>36</v>
      </c>
      <c r="Q4993" s="3" t="s">
        <v>36</v>
      </c>
      <c r="R4993" s="3" t="s">
        <v>36</v>
      </c>
      <c r="S4993" s="3" t="s">
        <v>36</v>
      </c>
      <c r="T4993" s="3" t="s">
        <v>105</v>
      </c>
      <c r="U4993" s="3" t="s">
        <v>38</v>
      </c>
      <c r="V4993" s="3" t="s">
        <v>39</v>
      </c>
      <c r="W4993" s="3" t="s">
        <v>3743</v>
      </c>
      <c r="X4993" s="10" t="s">
        <v>23915</v>
      </c>
      <c r="Y4993" s="6" t="s">
        <v>55</v>
      </c>
      <c r="Z4993" s="4">
        <v>6.25</v>
      </c>
      <c r="AA4993" s="4">
        <v>17.26</v>
      </c>
      <c r="AB4993" s="3" t="s">
        <v>56</v>
      </c>
      <c r="AC4993" s="3" t="s">
        <v>3745</v>
      </c>
      <c r="AD4993" s="9">
        <v>43445</v>
      </c>
      <c r="AE4993" s="3" t="s">
        <v>110</v>
      </c>
      <c r="AF4993" s="3" t="s">
        <v>1842</v>
      </c>
      <c r="AG4993" s="3" t="s">
        <v>47</v>
      </c>
      <c r="AH4993" s="11">
        <f>HYPERLINK("https://my.pitchbook.com?c=123631-75T","View Company Online")</f>
      </c>
    </row>
    <row r="4994">
      <c r="A4994" s="12" t="s">
        <v>23916</v>
      </c>
      <c r="B4994" s="12" t="s">
        <v>23917</v>
      </c>
      <c r="C4994" s="19">
        <v>2</v>
      </c>
      <c r="D4994" s="19">
        <v>28</v>
      </c>
      <c r="E4994" s="19">
        <v>4</v>
      </c>
      <c r="F4994" s="19">
        <v>31</v>
      </c>
      <c r="G4994" s="15" t="s">
        <v>36</v>
      </c>
      <c r="H4994" s="14">
        <v>557.05</v>
      </c>
      <c r="I4994" s="18">
        <v>28.92</v>
      </c>
      <c r="J4994" s="12" t="s">
        <v>521</v>
      </c>
      <c r="K4994" s="13" t="s">
        <v>36</v>
      </c>
      <c r="L4994" s="15" t="s">
        <v>36</v>
      </c>
      <c r="M4994" s="12" t="s">
        <v>36</v>
      </c>
      <c r="N4994" s="12" t="s">
        <v>36</v>
      </c>
      <c r="O4994" s="17" t="s">
        <v>36</v>
      </c>
      <c r="P4994" s="12" t="s">
        <v>36</v>
      </c>
      <c r="Q4994" s="12" t="s">
        <v>36</v>
      </c>
      <c r="R4994" s="12" t="s">
        <v>36</v>
      </c>
      <c r="S4994" s="12" t="s">
        <v>36</v>
      </c>
      <c r="T4994" s="12" t="s">
        <v>23918</v>
      </c>
      <c r="U4994" s="12" t="s">
        <v>318</v>
      </c>
      <c r="V4994" s="12" t="s">
        <v>39</v>
      </c>
      <c r="W4994" s="12" t="s">
        <v>23919</v>
      </c>
      <c r="X4994" s="16" t="s">
        <v>23920</v>
      </c>
      <c r="Y4994" s="15" t="s">
        <v>108</v>
      </c>
      <c r="Z4994" s="14">
        <v>1.36</v>
      </c>
      <c r="AA4994" s="14">
        <v>4.71</v>
      </c>
      <c r="AB4994" s="12" t="s">
        <v>43</v>
      </c>
      <c r="AC4994" s="12" t="s">
        <v>23921</v>
      </c>
      <c r="AD4994" s="13">
        <v>43445</v>
      </c>
      <c r="AE4994" s="12" t="s">
        <v>763</v>
      </c>
      <c r="AF4994" s="12" t="s">
        <v>22942</v>
      </c>
      <c r="AG4994" s="12" t="s">
        <v>3077</v>
      </c>
      <c r="AH4994" s="1">
        <f>HYPERLINK("https://my.pitchbook.com?c=133083-19T","View Company Online")</f>
      </c>
    </row>
    <row r="4995">
      <c r="A4995" s="3" t="s">
        <v>23922</v>
      </c>
      <c r="B4995" s="3" t="s">
        <v>23923</v>
      </c>
      <c r="C4995" s="5" t="s">
        <v>36</v>
      </c>
      <c r="D4995" s="5" t="s">
        <v>36</v>
      </c>
      <c r="E4995" s="5" t="s">
        <v>36</v>
      </c>
      <c r="F4995" s="5" t="s">
        <v>36</v>
      </c>
      <c r="G4995" s="6" t="s">
        <v>36</v>
      </c>
      <c r="H4995" s="4" t="s">
        <v>36</v>
      </c>
      <c r="I4995" s="7" t="s">
        <v>36</v>
      </c>
      <c r="J4995" s="3" t="s">
        <v>36</v>
      </c>
      <c r="K4995" s="9" t="s">
        <v>36</v>
      </c>
      <c r="L4995" s="6" t="s">
        <v>36</v>
      </c>
      <c r="M4995" s="3" t="s">
        <v>36</v>
      </c>
      <c r="N4995" s="3" t="s">
        <v>36</v>
      </c>
      <c r="O4995" s="8" t="s">
        <v>36</v>
      </c>
      <c r="P4995" s="3" t="s">
        <v>36</v>
      </c>
      <c r="Q4995" s="3" t="s">
        <v>36</v>
      </c>
      <c r="R4995" s="3" t="s">
        <v>36</v>
      </c>
      <c r="S4995" s="3" t="s">
        <v>36</v>
      </c>
      <c r="T4995" s="3" t="s">
        <v>23924</v>
      </c>
      <c r="U4995" s="3" t="s">
        <v>455</v>
      </c>
      <c r="V4995" s="3" t="s">
        <v>367</v>
      </c>
      <c r="W4995" s="3" t="s">
        <v>23925</v>
      </c>
      <c r="X4995" s="10" t="s">
        <v>23926</v>
      </c>
      <c r="Y4995" s="6" t="s">
        <v>42</v>
      </c>
      <c r="Z4995" s="4">
        <v>0.06</v>
      </c>
      <c r="AA4995" s="4" t="s">
        <v>36</v>
      </c>
      <c r="AB4995" s="3" t="s">
        <v>43</v>
      </c>
      <c r="AC4995" s="3" t="s">
        <v>23927</v>
      </c>
      <c r="AD4995" s="9">
        <v>43444</v>
      </c>
      <c r="AE4995" s="3" t="s">
        <v>7934</v>
      </c>
      <c r="AF4995" s="3" t="s">
        <v>372</v>
      </c>
      <c r="AG4995" s="3" t="s">
        <v>1823</v>
      </c>
      <c r="AH4995" s="11">
        <f>HYPERLINK("https://my.pitchbook.com?c=161039-53T","View Company Online")</f>
      </c>
    </row>
    <row r="4996">
      <c r="A4996" s="12" t="s">
        <v>23928</v>
      </c>
      <c r="B4996" s="12" t="s">
        <v>19674</v>
      </c>
      <c r="C4996" s="19" t="s">
        <v>36</v>
      </c>
      <c r="D4996" s="19">
        <v>1</v>
      </c>
      <c r="E4996" s="19">
        <v>1</v>
      </c>
      <c r="F4996" s="19">
        <v>2</v>
      </c>
      <c r="G4996" s="15" t="s">
        <v>36</v>
      </c>
      <c r="H4996" s="14">
        <v>1038.57</v>
      </c>
      <c r="I4996" s="18">
        <v>23.08</v>
      </c>
      <c r="J4996" s="12" t="s">
        <v>521</v>
      </c>
      <c r="K4996" s="13" t="s">
        <v>36</v>
      </c>
      <c r="L4996" s="15" t="s">
        <v>36</v>
      </c>
      <c r="M4996" s="12" t="s">
        <v>36</v>
      </c>
      <c r="N4996" s="12" t="s">
        <v>36</v>
      </c>
      <c r="O4996" s="17" t="s">
        <v>36</v>
      </c>
      <c r="P4996" s="12" t="s">
        <v>36</v>
      </c>
      <c r="Q4996" s="12" t="s">
        <v>36</v>
      </c>
      <c r="R4996" s="12" t="s">
        <v>36</v>
      </c>
      <c r="S4996" s="12" t="s">
        <v>36</v>
      </c>
      <c r="T4996" s="12" t="s">
        <v>19675</v>
      </c>
      <c r="U4996" s="12" t="s">
        <v>728</v>
      </c>
      <c r="V4996" s="12" t="s">
        <v>64</v>
      </c>
      <c r="W4996" s="12" t="s">
        <v>19676</v>
      </c>
      <c r="X4996" s="16" t="s">
        <v>23929</v>
      </c>
      <c r="Y4996" s="15" t="s">
        <v>42</v>
      </c>
      <c r="Z4996" s="14">
        <v>0.51</v>
      </c>
      <c r="AA4996" s="14">
        <v>1.48</v>
      </c>
      <c r="AB4996" s="12" t="s">
        <v>43</v>
      </c>
      <c r="AC4996" s="12" t="s">
        <v>19678</v>
      </c>
      <c r="AD4996" s="13">
        <v>43444</v>
      </c>
      <c r="AE4996" s="12" t="s">
        <v>2154</v>
      </c>
      <c r="AF4996" s="12" t="s">
        <v>90</v>
      </c>
      <c r="AG4996" s="12" t="s">
        <v>1332</v>
      </c>
      <c r="AH4996" s="1">
        <f>HYPERLINK("https://my.pitchbook.com?c=136503-91T","View Company Online")</f>
      </c>
    </row>
    <row r="4997">
      <c r="A4997" s="3" t="s">
        <v>23930</v>
      </c>
      <c r="B4997" s="3" t="s">
        <v>23931</v>
      </c>
      <c r="C4997" s="5" t="s">
        <v>36</v>
      </c>
      <c r="D4997" s="5" t="s">
        <v>36</v>
      </c>
      <c r="E4997" s="5" t="s">
        <v>36</v>
      </c>
      <c r="F4997" s="5" t="s">
        <v>36</v>
      </c>
      <c r="G4997" s="6" t="s">
        <v>36</v>
      </c>
      <c r="H4997" s="4">
        <v>0.44</v>
      </c>
      <c r="I4997" s="7">
        <v>27.71</v>
      </c>
      <c r="J4997" s="3" t="s">
        <v>521</v>
      </c>
      <c r="K4997" s="9" t="s">
        <v>36</v>
      </c>
      <c r="L4997" s="6" t="s">
        <v>36</v>
      </c>
      <c r="M4997" s="3" t="s">
        <v>36</v>
      </c>
      <c r="N4997" s="3" t="s">
        <v>36</v>
      </c>
      <c r="O4997" s="8" t="s">
        <v>36</v>
      </c>
      <c r="P4997" s="3" t="s">
        <v>36</v>
      </c>
      <c r="Q4997" s="3" t="s">
        <v>36</v>
      </c>
      <c r="R4997" s="3" t="s">
        <v>36</v>
      </c>
      <c r="S4997" s="3" t="s">
        <v>36</v>
      </c>
      <c r="T4997" s="3" t="s">
        <v>37</v>
      </c>
      <c r="U4997" s="3" t="s">
        <v>38</v>
      </c>
      <c r="V4997" s="3" t="s">
        <v>39</v>
      </c>
      <c r="W4997" s="3" t="s">
        <v>23932</v>
      </c>
      <c r="X4997" s="10" t="s">
        <v>23933</v>
      </c>
      <c r="Y4997" s="6" t="s">
        <v>42</v>
      </c>
      <c r="Z4997" s="4">
        <v>2.74</v>
      </c>
      <c r="AA4997" s="4">
        <v>9.9</v>
      </c>
      <c r="AB4997" s="3" t="s">
        <v>43</v>
      </c>
      <c r="AC4997" s="3" t="s">
        <v>23934</v>
      </c>
      <c r="AD4997" s="9">
        <v>43444</v>
      </c>
      <c r="AE4997" s="3" t="s">
        <v>45</v>
      </c>
      <c r="AF4997" s="3" t="s">
        <v>23935</v>
      </c>
      <c r="AG4997" s="3" t="s">
        <v>81</v>
      </c>
      <c r="AH4997" s="11">
        <f>HYPERLINK("https://my.pitchbook.com?c=254295-01T","View Company Online")</f>
      </c>
    </row>
    <row r="4998">
      <c r="A4998" s="12" t="s">
        <v>23936</v>
      </c>
      <c r="B4998" s="12" t="s">
        <v>15381</v>
      </c>
      <c r="C4998" s="19">
        <v>2</v>
      </c>
      <c r="D4998" s="19" t="s">
        <v>36</v>
      </c>
      <c r="E4998" s="19">
        <v>1</v>
      </c>
      <c r="F4998" s="19">
        <v>2</v>
      </c>
      <c r="G4998" s="15" t="s">
        <v>36</v>
      </c>
      <c r="H4998" s="14">
        <v>50.14</v>
      </c>
      <c r="I4998" s="18">
        <v>23.03</v>
      </c>
      <c r="J4998" s="12" t="s">
        <v>521</v>
      </c>
      <c r="K4998" s="13" t="s">
        <v>36</v>
      </c>
      <c r="L4998" s="15" t="s">
        <v>36</v>
      </c>
      <c r="M4998" s="12" t="s">
        <v>36</v>
      </c>
      <c r="N4998" s="12" t="s">
        <v>36</v>
      </c>
      <c r="O4998" s="17" t="s">
        <v>36</v>
      </c>
      <c r="P4998" s="12" t="s">
        <v>36</v>
      </c>
      <c r="Q4998" s="12" t="s">
        <v>36</v>
      </c>
      <c r="R4998" s="12" t="s">
        <v>36</v>
      </c>
      <c r="S4998" s="12" t="s">
        <v>36</v>
      </c>
      <c r="T4998" s="12" t="s">
        <v>15382</v>
      </c>
      <c r="U4998" s="12" t="s">
        <v>38</v>
      </c>
      <c r="V4998" s="12" t="s">
        <v>39</v>
      </c>
      <c r="W4998" s="12" t="s">
        <v>15383</v>
      </c>
      <c r="X4998" s="16" t="s">
        <v>23937</v>
      </c>
      <c r="Y4998" s="15" t="s">
        <v>42</v>
      </c>
      <c r="Z4998" s="14">
        <v>1.48</v>
      </c>
      <c r="AA4998" s="14">
        <v>6.41</v>
      </c>
      <c r="AB4998" s="12" t="s">
        <v>43</v>
      </c>
      <c r="AC4998" s="12" t="s">
        <v>15385</v>
      </c>
      <c r="AD4998" s="13">
        <v>43444</v>
      </c>
      <c r="AE4998" s="12" t="s">
        <v>110</v>
      </c>
      <c r="AF4998" s="12" t="s">
        <v>15386</v>
      </c>
      <c r="AG4998" s="12" t="s">
        <v>3774</v>
      </c>
      <c r="AH4998" s="1">
        <f>HYPERLINK("https://my.pitchbook.com?c=131681-35T","View Company Online")</f>
      </c>
    </row>
    <row r="4999">
      <c r="A4999" s="3" t="s">
        <v>23938</v>
      </c>
      <c r="B4999" s="3" t="s">
        <v>23939</v>
      </c>
      <c r="C4999" s="5" t="s">
        <v>36</v>
      </c>
      <c r="D4999" s="5" t="s">
        <v>36</v>
      </c>
      <c r="E4999" s="5" t="s">
        <v>36</v>
      </c>
      <c r="F4999" s="5" t="s">
        <v>36</v>
      </c>
      <c r="G4999" s="6" t="s">
        <v>326</v>
      </c>
      <c r="H4999" s="4">
        <v>1.69</v>
      </c>
      <c r="I4999" s="7">
        <v>25.71</v>
      </c>
      <c r="J4999" s="3" t="s">
        <v>521</v>
      </c>
      <c r="K4999" s="9" t="s">
        <v>36</v>
      </c>
      <c r="L4999" s="6" t="s">
        <v>36</v>
      </c>
      <c r="M4999" s="3" t="s">
        <v>36</v>
      </c>
      <c r="N4999" s="3" t="s">
        <v>36</v>
      </c>
      <c r="O4999" s="8" t="s">
        <v>36</v>
      </c>
      <c r="P4999" s="3" t="s">
        <v>36</v>
      </c>
      <c r="Q4999" s="3" t="s">
        <v>36</v>
      </c>
      <c r="R4999" s="3" t="s">
        <v>36</v>
      </c>
      <c r="S4999" s="3" t="s">
        <v>36</v>
      </c>
      <c r="T4999" s="3" t="s">
        <v>3843</v>
      </c>
      <c r="U4999" s="3" t="s">
        <v>180</v>
      </c>
      <c r="V4999" s="3" t="s">
        <v>52</v>
      </c>
      <c r="W4999" s="3" t="s">
        <v>23940</v>
      </c>
      <c r="X4999" s="10" t="s">
        <v>23941</v>
      </c>
      <c r="Y4999" s="6" t="s">
        <v>42</v>
      </c>
      <c r="Z4999" s="4">
        <v>1.14</v>
      </c>
      <c r="AA4999" s="4">
        <v>2.73</v>
      </c>
      <c r="AB4999" s="3" t="s">
        <v>43</v>
      </c>
      <c r="AC4999" s="3" t="s">
        <v>23942</v>
      </c>
      <c r="AD4999" s="9">
        <v>43443</v>
      </c>
      <c r="AE4999" s="3" t="s">
        <v>3847</v>
      </c>
      <c r="AF4999" s="3" t="s">
        <v>3514</v>
      </c>
      <c r="AG4999" s="3" t="s">
        <v>2760</v>
      </c>
      <c r="AH4999" s="11">
        <f>HYPERLINK("https://my.pitchbook.com?c=124592-59T","View Company Online")</f>
      </c>
    </row>
    <row r="5000">
      <c r="A5000" s="12" t="s">
        <v>23943</v>
      </c>
      <c r="B5000" s="12" t="s">
        <v>17585</v>
      </c>
      <c r="C5000" s="19" t="s">
        <v>36</v>
      </c>
      <c r="D5000" s="19" t="s">
        <v>36</v>
      </c>
      <c r="E5000" s="19" t="s">
        <v>36</v>
      </c>
      <c r="F5000" s="19" t="s">
        <v>36</v>
      </c>
      <c r="G5000" s="15" t="s">
        <v>36</v>
      </c>
      <c r="H5000" s="14" t="s">
        <v>36</v>
      </c>
      <c r="I5000" s="18" t="s">
        <v>36</v>
      </c>
      <c r="J5000" s="12" t="s">
        <v>36</v>
      </c>
      <c r="K5000" s="13" t="s">
        <v>36</v>
      </c>
      <c r="L5000" s="15" t="s">
        <v>122</v>
      </c>
      <c r="M5000" s="12" t="s">
        <v>36</v>
      </c>
      <c r="N5000" s="12" t="s">
        <v>122</v>
      </c>
      <c r="O5000" s="17" t="s">
        <v>36</v>
      </c>
      <c r="P5000" s="12" t="s">
        <v>36</v>
      </c>
      <c r="Q5000" s="12" t="s">
        <v>36</v>
      </c>
      <c r="R5000" s="12" t="s">
        <v>36</v>
      </c>
      <c r="S5000" s="12" t="s">
        <v>36</v>
      </c>
      <c r="T5000" s="12" t="s">
        <v>17586</v>
      </c>
      <c r="U5000" s="12" t="s">
        <v>38</v>
      </c>
      <c r="V5000" s="12" t="s">
        <v>39</v>
      </c>
      <c r="W5000" s="12" t="s">
        <v>17587</v>
      </c>
      <c r="X5000" s="16" t="s">
        <v>23944</v>
      </c>
      <c r="Y5000" s="15" t="s">
        <v>108</v>
      </c>
      <c r="Z5000" s="14">
        <v>3.98</v>
      </c>
      <c r="AA5000" s="14" t="s">
        <v>36</v>
      </c>
      <c r="AB5000" s="12" t="s">
        <v>43</v>
      </c>
      <c r="AC5000" s="12" t="s">
        <v>17589</v>
      </c>
      <c r="AD5000" s="13">
        <v>43440</v>
      </c>
      <c r="AE5000" s="12" t="s">
        <v>45</v>
      </c>
      <c r="AF5000" s="12" t="s">
        <v>17590</v>
      </c>
      <c r="AG5000" s="12" t="s">
        <v>102</v>
      </c>
      <c r="AH5000" s="1">
        <f>HYPERLINK("https://my.pitchbook.com?c=114439-69T","View Company Online")</f>
      </c>
    </row>
    <row r="5001">
      <c r="A5001" s="3" t="s">
        <v>23945</v>
      </c>
      <c r="B5001" s="3" t="s">
        <v>23946</v>
      </c>
      <c r="C5001" s="5" t="s">
        <v>36</v>
      </c>
      <c r="D5001" s="5" t="s">
        <v>36</v>
      </c>
      <c r="E5001" s="5" t="s">
        <v>36</v>
      </c>
      <c r="F5001" s="5" t="s">
        <v>36</v>
      </c>
      <c r="G5001" s="6" t="s">
        <v>36</v>
      </c>
      <c r="H5001" s="4">
        <v>5.38</v>
      </c>
      <c r="I5001" s="7">
        <v>18.18</v>
      </c>
      <c r="J5001" s="3" t="s">
        <v>521</v>
      </c>
      <c r="K5001" s="9" t="s">
        <v>36</v>
      </c>
      <c r="L5001" s="6" t="s">
        <v>36</v>
      </c>
      <c r="M5001" s="3" t="s">
        <v>36</v>
      </c>
      <c r="N5001" s="3" t="s">
        <v>36</v>
      </c>
      <c r="O5001" s="8" t="s">
        <v>36</v>
      </c>
      <c r="P5001" s="3" t="s">
        <v>36</v>
      </c>
      <c r="Q5001" s="3" t="s">
        <v>36</v>
      </c>
      <c r="R5001" s="3" t="s">
        <v>36</v>
      </c>
      <c r="S5001" s="3" t="s">
        <v>36</v>
      </c>
      <c r="T5001" s="3" t="s">
        <v>9193</v>
      </c>
      <c r="U5001" s="3" t="s">
        <v>74</v>
      </c>
      <c r="V5001" s="3" t="s">
        <v>75</v>
      </c>
      <c r="W5001" s="3" t="s">
        <v>23947</v>
      </c>
      <c r="X5001" s="10" t="s">
        <v>23948</v>
      </c>
      <c r="Y5001" s="6" t="s">
        <v>42</v>
      </c>
      <c r="Z5001" s="4">
        <v>0.45</v>
      </c>
      <c r="AA5001" s="4">
        <v>2.5</v>
      </c>
      <c r="AB5001" s="3" t="s">
        <v>43</v>
      </c>
      <c r="AC5001" s="3" t="s">
        <v>23949</v>
      </c>
      <c r="AD5001" s="9">
        <v>43440</v>
      </c>
      <c r="AE5001" s="3" t="s">
        <v>79</v>
      </c>
      <c r="AF5001" s="3" t="s">
        <v>176</v>
      </c>
      <c r="AG5001" s="3" t="s">
        <v>81</v>
      </c>
      <c r="AH5001" s="11">
        <f>HYPERLINK("https://my.pitchbook.com?c=120288-97T","View Company Online")</f>
      </c>
    </row>
    <row r="5002">
      <c r="A5002" s="12" t="s">
        <v>23950</v>
      </c>
      <c r="B5002" s="12" t="s">
        <v>23951</v>
      </c>
      <c r="C5002" s="19" t="s">
        <v>36</v>
      </c>
      <c r="D5002" s="19" t="s">
        <v>36</v>
      </c>
      <c r="E5002" s="19" t="s">
        <v>36</v>
      </c>
      <c r="F5002" s="19" t="s">
        <v>36</v>
      </c>
      <c r="G5002" s="15" t="s">
        <v>36</v>
      </c>
      <c r="H5002" s="14">
        <v>1.75</v>
      </c>
      <c r="I5002" s="18">
        <v>76.57</v>
      </c>
      <c r="J5002" s="12" t="s">
        <v>521</v>
      </c>
      <c r="K5002" s="13" t="s">
        <v>36</v>
      </c>
      <c r="L5002" s="15" t="s">
        <v>36</v>
      </c>
      <c r="M5002" s="12" t="s">
        <v>36</v>
      </c>
      <c r="N5002" s="12" t="s">
        <v>36</v>
      </c>
      <c r="O5002" s="17" t="s">
        <v>36</v>
      </c>
      <c r="P5002" s="12" t="s">
        <v>36</v>
      </c>
      <c r="Q5002" s="12" t="s">
        <v>36</v>
      </c>
      <c r="R5002" s="12" t="s">
        <v>36</v>
      </c>
      <c r="S5002" s="12" t="s">
        <v>36</v>
      </c>
      <c r="T5002" s="12" t="s">
        <v>5696</v>
      </c>
      <c r="U5002" s="12" t="s">
        <v>180</v>
      </c>
      <c r="V5002" s="12" t="s">
        <v>52</v>
      </c>
      <c r="W5002" s="12" t="s">
        <v>23952</v>
      </c>
      <c r="X5002" s="16" t="s">
        <v>23953</v>
      </c>
      <c r="Y5002" s="15" t="s">
        <v>42</v>
      </c>
      <c r="Z5002" s="14">
        <v>3.24</v>
      </c>
      <c r="AA5002" s="14">
        <v>4.24</v>
      </c>
      <c r="AB5002" s="12" t="s">
        <v>56</v>
      </c>
      <c r="AC5002" s="12" t="s">
        <v>23954</v>
      </c>
      <c r="AD5002" s="13">
        <v>43440</v>
      </c>
      <c r="AE5002" s="12" t="s">
        <v>3847</v>
      </c>
      <c r="AF5002" s="12" t="s">
        <v>3514</v>
      </c>
      <c r="AG5002" s="12" t="s">
        <v>144</v>
      </c>
      <c r="AH5002" s="1">
        <f>HYPERLINK("https://my.pitchbook.com?c=125906-14T","View Company Online")</f>
      </c>
    </row>
    <row r="5003">
      <c r="A5003" s="3" t="s">
        <v>23955</v>
      </c>
      <c r="B5003" s="3" t="s">
        <v>23956</v>
      </c>
      <c r="C5003" s="5" t="s">
        <v>36</v>
      </c>
      <c r="D5003" s="5" t="s">
        <v>36</v>
      </c>
      <c r="E5003" s="5" t="s">
        <v>36</v>
      </c>
      <c r="F5003" s="5" t="s">
        <v>36</v>
      </c>
      <c r="G5003" s="6" t="s">
        <v>36</v>
      </c>
      <c r="H5003" s="4" t="s">
        <v>36</v>
      </c>
      <c r="I5003" s="7" t="s">
        <v>36</v>
      </c>
      <c r="J5003" s="3" t="s">
        <v>36</v>
      </c>
      <c r="K5003" s="9" t="s">
        <v>36</v>
      </c>
      <c r="L5003" s="6" t="s">
        <v>36</v>
      </c>
      <c r="M5003" s="3" t="s">
        <v>36</v>
      </c>
      <c r="N5003" s="3" t="s">
        <v>36</v>
      </c>
      <c r="O5003" s="8" t="s">
        <v>36</v>
      </c>
      <c r="P5003" s="3" t="s">
        <v>36</v>
      </c>
      <c r="Q5003" s="3" t="s">
        <v>36</v>
      </c>
      <c r="R5003" s="3" t="s">
        <v>36</v>
      </c>
      <c r="S5003" s="3" t="s">
        <v>36</v>
      </c>
      <c r="T5003" s="3" t="s">
        <v>23957</v>
      </c>
      <c r="U5003" s="3" t="s">
        <v>423</v>
      </c>
      <c r="V5003" s="3" t="s">
        <v>64</v>
      </c>
      <c r="W5003" s="3" t="s">
        <v>23958</v>
      </c>
      <c r="X5003" s="10" t="s">
        <v>23959</v>
      </c>
      <c r="Y5003" s="6" t="s">
        <v>42</v>
      </c>
      <c r="Z5003" s="4">
        <v>0.27</v>
      </c>
      <c r="AA5003" s="4" t="s">
        <v>36</v>
      </c>
      <c r="AB5003" s="3" t="s">
        <v>43</v>
      </c>
      <c r="AC5003" s="3" t="s">
        <v>23960</v>
      </c>
      <c r="AD5003" s="9">
        <v>43440</v>
      </c>
      <c r="AE5003" s="3" t="s">
        <v>427</v>
      </c>
      <c r="AF5003" s="3" t="s">
        <v>90</v>
      </c>
      <c r="AG5003" s="3" t="s">
        <v>23961</v>
      </c>
      <c r="AH5003" s="11">
        <f>HYPERLINK("https://my.pitchbook.com?c=114467-32T","View Company Online")</f>
      </c>
    </row>
    <row r="5004">
      <c r="A5004" s="12" t="s">
        <v>23962</v>
      </c>
      <c r="B5004" s="12" t="s">
        <v>23963</v>
      </c>
      <c r="C5004" s="19" t="s">
        <v>36</v>
      </c>
      <c r="D5004" s="19" t="s">
        <v>36</v>
      </c>
      <c r="E5004" s="19" t="s">
        <v>36</v>
      </c>
      <c r="F5004" s="19" t="s">
        <v>36</v>
      </c>
      <c r="G5004" s="15" t="s">
        <v>36</v>
      </c>
      <c r="H5004" s="14" t="s">
        <v>36</v>
      </c>
      <c r="I5004" s="18" t="s">
        <v>36</v>
      </c>
      <c r="J5004" s="12" t="s">
        <v>36</v>
      </c>
      <c r="K5004" s="13" t="s">
        <v>36</v>
      </c>
      <c r="L5004" s="15" t="s">
        <v>36</v>
      </c>
      <c r="M5004" s="12" t="s">
        <v>36</v>
      </c>
      <c r="N5004" s="12" t="s">
        <v>36</v>
      </c>
      <c r="O5004" s="17" t="s">
        <v>36</v>
      </c>
      <c r="P5004" s="12" t="s">
        <v>36</v>
      </c>
      <c r="Q5004" s="12" t="s">
        <v>36</v>
      </c>
      <c r="R5004" s="12" t="s">
        <v>36</v>
      </c>
      <c r="S5004" s="12" t="s">
        <v>36</v>
      </c>
      <c r="T5004" s="12" t="s">
        <v>105</v>
      </c>
      <c r="U5004" s="12" t="s">
        <v>38</v>
      </c>
      <c r="V5004" s="12" t="s">
        <v>39</v>
      </c>
      <c r="W5004" s="12" t="s">
        <v>23964</v>
      </c>
      <c r="X5004" s="16" t="s">
        <v>23965</v>
      </c>
      <c r="Y5004" s="15" t="s">
        <v>108</v>
      </c>
      <c r="Z5004" s="14">
        <v>0.57</v>
      </c>
      <c r="AA5004" s="14" t="s">
        <v>36</v>
      </c>
      <c r="AB5004" s="12" t="s">
        <v>43</v>
      </c>
      <c r="AC5004" s="12" t="s">
        <v>23966</v>
      </c>
      <c r="AD5004" s="13">
        <v>43439</v>
      </c>
      <c r="AE5004" s="12" t="s">
        <v>110</v>
      </c>
      <c r="AF5004" s="12" t="s">
        <v>176</v>
      </c>
      <c r="AG5004" s="12" t="s">
        <v>47</v>
      </c>
      <c r="AH5004" s="1">
        <f>HYPERLINK("https://my.pitchbook.com?c=137472-67T","View Company Online")</f>
      </c>
    </row>
    <row r="5005">
      <c r="A5005" s="3" t="s">
        <v>23967</v>
      </c>
      <c r="B5005" s="3" t="s">
        <v>23968</v>
      </c>
      <c r="C5005" s="5" t="s">
        <v>36</v>
      </c>
      <c r="D5005" s="5">
        <v>2</v>
      </c>
      <c r="E5005" s="5">
        <v>2</v>
      </c>
      <c r="F5005" s="5">
        <v>8</v>
      </c>
      <c r="G5005" s="6" t="s">
        <v>36</v>
      </c>
      <c r="H5005" s="4" t="s">
        <v>36</v>
      </c>
      <c r="I5005" s="7" t="s">
        <v>36</v>
      </c>
      <c r="J5005" s="3" t="s">
        <v>36</v>
      </c>
      <c r="K5005" s="9" t="s">
        <v>36</v>
      </c>
      <c r="L5005" s="6" t="s">
        <v>122</v>
      </c>
      <c r="M5005" s="3" t="s">
        <v>36</v>
      </c>
      <c r="N5005" s="3" t="s">
        <v>122</v>
      </c>
      <c r="O5005" s="8" t="s">
        <v>36</v>
      </c>
      <c r="P5005" s="3" t="s">
        <v>36</v>
      </c>
      <c r="Q5005" s="3" t="s">
        <v>36</v>
      </c>
      <c r="R5005" s="3" t="s">
        <v>36</v>
      </c>
      <c r="S5005" s="3" t="s">
        <v>2699</v>
      </c>
      <c r="T5005" s="3" t="s">
        <v>23969</v>
      </c>
      <c r="U5005" s="3" t="s">
        <v>619</v>
      </c>
      <c r="V5005" s="3" t="s">
        <v>378</v>
      </c>
      <c r="W5005" s="3" t="s">
        <v>23970</v>
      </c>
      <c r="X5005" s="10" t="s">
        <v>23971</v>
      </c>
      <c r="Y5005" s="6" t="s">
        <v>192</v>
      </c>
      <c r="Z5005" s="4">
        <v>28</v>
      </c>
      <c r="AA5005" s="4" t="s">
        <v>36</v>
      </c>
      <c r="AB5005" s="3" t="s">
        <v>43</v>
      </c>
      <c r="AC5005" s="3" t="s">
        <v>23972</v>
      </c>
      <c r="AD5005" s="9">
        <v>43438</v>
      </c>
      <c r="AE5005" s="3" t="s">
        <v>2672</v>
      </c>
      <c r="AF5005" s="3" t="s">
        <v>23973</v>
      </c>
      <c r="AG5005" s="3" t="s">
        <v>23974</v>
      </c>
      <c r="AH5005" s="11">
        <f>HYPERLINK("https://my.pitchbook.com?c=114293-98T","View Company Online")</f>
      </c>
    </row>
    <row r="5006">
      <c r="A5006" s="12" t="s">
        <v>23975</v>
      </c>
      <c r="B5006" s="12" t="s">
        <v>23976</v>
      </c>
      <c r="C5006" s="19">
        <v>3</v>
      </c>
      <c r="D5006" s="19" t="s">
        <v>36</v>
      </c>
      <c r="E5006" s="19">
        <v>4</v>
      </c>
      <c r="F5006" s="19">
        <v>8</v>
      </c>
      <c r="G5006" s="15" t="s">
        <v>36</v>
      </c>
      <c r="H5006" s="14" t="s">
        <v>36</v>
      </c>
      <c r="I5006" s="18" t="s">
        <v>36</v>
      </c>
      <c r="J5006" s="12" t="s">
        <v>36</v>
      </c>
      <c r="K5006" s="13" t="s">
        <v>36</v>
      </c>
      <c r="L5006" s="15" t="s">
        <v>36</v>
      </c>
      <c r="M5006" s="12" t="s">
        <v>36</v>
      </c>
      <c r="N5006" s="12" t="s">
        <v>36</v>
      </c>
      <c r="O5006" s="17" t="s">
        <v>36</v>
      </c>
      <c r="P5006" s="12" t="s">
        <v>36</v>
      </c>
      <c r="Q5006" s="12" t="s">
        <v>36</v>
      </c>
      <c r="R5006" s="12" t="s">
        <v>36</v>
      </c>
      <c r="S5006" s="12" t="s">
        <v>36</v>
      </c>
      <c r="T5006" s="12" t="s">
        <v>661</v>
      </c>
      <c r="U5006" s="12" t="s">
        <v>51</v>
      </c>
      <c r="V5006" s="12" t="s">
        <v>52</v>
      </c>
      <c r="W5006" s="12" t="s">
        <v>23977</v>
      </c>
      <c r="X5006" s="16" t="s">
        <v>20888</v>
      </c>
      <c r="Y5006" s="15" t="s">
        <v>55</v>
      </c>
      <c r="Z5006" s="14">
        <v>3.41</v>
      </c>
      <c r="AA5006" s="14" t="s">
        <v>36</v>
      </c>
      <c r="AB5006" s="12" t="s">
        <v>56</v>
      </c>
      <c r="AC5006" s="12" t="s">
        <v>23978</v>
      </c>
      <c r="AD5006" s="13">
        <v>43438</v>
      </c>
      <c r="AE5006" s="12" t="s">
        <v>158</v>
      </c>
      <c r="AF5006" s="12" t="s">
        <v>885</v>
      </c>
      <c r="AG5006" s="12" t="s">
        <v>12953</v>
      </c>
      <c r="AH5006" s="1">
        <f>HYPERLINK("https://my.pitchbook.com?c=131582-62T","View Company Online")</f>
      </c>
    </row>
    <row r="5007">
      <c r="A5007" s="3" t="s">
        <v>23979</v>
      </c>
      <c r="B5007" s="3" t="s">
        <v>23976</v>
      </c>
      <c r="C5007" s="5">
        <v>3</v>
      </c>
      <c r="D5007" s="5" t="s">
        <v>36</v>
      </c>
      <c r="E5007" s="5">
        <v>4</v>
      </c>
      <c r="F5007" s="5">
        <v>8</v>
      </c>
      <c r="G5007" s="6" t="s">
        <v>36</v>
      </c>
      <c r="H5007" s="4" t="s">
        <v>36</v>
      </c>
      <c r="I5007" s="7" t="s">
        <v>36</v>
      </c>
      <c r="J5007" s="3" t="s">
        <v>36</v>
      </c>
      <c r="K5007" s="9">
        <v>43438</v>
      </c>
      <c r="L5007" s="6" t="s">
        <v>122</v>
      </c>
      <c r="M5007" s="3" t="s">
        <v>36</v>
      </c>
      <c r="N5007" s="3" t="s">
        <v>122</v>
      </c>
      <c r="O5007" s="8" t="s">
        <v>36</v>
      </c>
      <c r="P5007" s="3" t="s">
        <v>36</v>
      </c>
      <c r="Q5007" s="3" t="s">
        <v>36</v>
      </c>
      <c r="R5007" s="3" t="s">
        <v>36</v>
      </c>
      <c r="S5007" s="3" t="s">
        <v>36</v>
      </c>
      <c r="T5007" s="3" t="s">
        <v>661</v>
      </c>
      <c r="U5007" s="3" t="s">
        <v>51</v>
      </c>
      <c r="V5007" s="3" t="s">
        <v>52</v>
      </c>
      <c r="W5007" s="3" t="s">
        <v>23977</v>
      </c>
      <c r="X5007" s="10" t="s">
        <v>23980</v>
      </c>
      <c r="Y5007" s="6" t="s">
        <v>192</v>
      </c>
      <c r="Z5007" s="4">
        <v>17.05</v>
      </c>
      <c r="AA5007" s="4" t="s">
        <v>36</v>
      </c>
      <c r="AB5007" s="3" t="s">
        <v>56</v>
      </c>
      <c r="AC5007" s="3" t="s">
        <v>23978</v>
      </c>
      <c r="AD5007" s="9">
        <v>43438</v>
      </c>
      <c r="AE5007" s="3" t="s">
        <v>158</v>
      </c>
      <c r="AF5007" s="3" t="s">
        <v>885</v>
      </c>
      <c r="AG5007" s="3" t="s">
        <v>12953</v>
      </c>
      <c r="AH5007" s="11">
        <f>HYPERLINK("https://my.pitchbook.com?c=131584-06T","View Company Online")</f>
      </c>
    </row>
    <row r="5008">
      <c r="A5008" s="12" t="s">
        <v>23981</v>
      </c>
      <c r="B5008" s="12" t="s">
        <v>23982</v>
      </c>
      <c r="C5008" s="19" t="s">
        <v>36</v>
      </c>
      <c r="D5008" s="19" t="s">
        <v>36</v>
      </c>
      <c r="E5008" s="19" t="s">
        <v>36</v>
      </c>
      <c r="F5008" s="19" t="s">
        <v>36</v>
      </c>
      <c r="G5008" s="15" t="s">
        <v>36</v>
      </c>
      <c r="H5008" s="14">
        <v>1187.08</v>
      </c>
      <c r="I5008" s="18">
        <v>44.78</v>
      </c>
      <c r="J5008" s="12" t="s">
        <v>521</v>
      </c>
      <c r="K5008" s="13" t="s">
        <v>36</v>
      </c>
      <c r="L5008" s="15" t="s">
        <v>122</v>
      </c>
      <c r="M5008" s="12" t="s">
        <v>36</v>
      </c>
      <c r="N5008" s="12" t="s">
        <v>122</v>
      </c>
      <c r="O5008" s="17" t="s">
        <v>36</v>
      </c>
      <c r="P5008" s="12" t="s">
        <v>36</v>
      </c>
      <c r="Q5008" s="12" t="s">
        <v>36</v>
      </c>
      <c r="R5008" s="12" t="s">
        <v>36</v>
      </c>
      <c r="S5008" s="12" t="s">
        <v>36</v>
      </c>
      <c r="T5008" s="12" t="s">
        <v>23983</v>
      </c>
      <c r="U5008" s="12" t="s">
        <v>74</v>
      </c>
      <c r="V5008" s="12" t="s">
        <v>75</v>
      </c>
      <c r="W5008" s="12" t="s">
        <v>23984</v>
      </c>
      <c r="X5008" s="16" t="s">
        <v>23985</v>
      </c>
      <c r="Y5008" s="15" t="s">
        <v>42</v>
      </c>
      <c r="Z5008" s="14">
        <v>3.98</v>
      </c>
      <c r="AA5008" s="14">
        <v>6.35</v>
      </c>
      <c r="AB5008" s="12" t="s">
        <v>43</v>
      </c>
      <c r="AC5008" s="12" t="s">
        <v>23986</v>
      </c>
      <c r="AD5008" s="13">
        <v>43438</v>
      </c>
      <c r="AE5008" s="12" t="s">
        <v>362</v>
      </c>
      <c r="AF5008" s="12" t="s">
        <v>2087</v>
      </c>
      <c r="AG5008" s="12" t="s">
        <v>81</v>
      </c>
      <c r="AH5008" s="1">
        <f>HYPERLINK("https://my.pitchbook.com?c=114307-57T","View Company Online")</f>
      </c>
    </row>
    <row r="5009">
      <c r="A5009" s="3" t="s">
        <v>23987</v>
      </c>
      <c r="B5009" s="3" t="s">
        <v>23988</v>
      </c>
      <c r="C5009" s="5" t="s">
        <v>36</v>
      </c>
      <c r="D5009" s="5" t="s">
        <v>36</v>
      </c>
      <c r="E5009" s="5" t="s">
        <v>36</v>
      </c>
      <c r="F5009" s="5" t="s">
        <v>36</v>
      </c>
      <c r="G5009" s="6" t="s">
        <v>36</v>
      </c>
      <c r="H5009" s="4" t="s">
        <v>36</v>
      </c>
      <c r="I5009" s="7" t="s">
        <v>36</v>
      </c>
      <c r="J5009" s="3" t="s">
        <v>36</v>
      </c>
      <c r="K5009" s="9" t="s">
        <v>36</v>
      </c>
      <c r="L5009" s="6" t="s">
        <v>36</v>
      </c>
      <c r="M5009" s="3" t="s">
        <v>36</v>
      </c>
      <c r="N5009" s="3" t="s">
        <v>36</v>
      </c>
      <c r="O5009" s="8" t="s">
        <v>36</v>
      </c>
      <c r="P5009" s="3" t="s">
        <v>36</v>
      </c>
      <c r="Q5009" s="3" t="s">
        <v>36</v>
      </c>
      <c r="R5009" s="3" t="s">
        <v>36</v>
      </c>
      <c r="S5009" s="3" t="s">
        <v>36</v>
      </c>
      <c r="T5009" s="3" t="s">
        <v>23989</v>
      </c>
      <c r="U5009" s="3" t="s">
        <v>728</v>
      </c>
      <c r="V5009" s="3" t="s">
        <v>64</v>
      </c>
      <c r="W5009" s="3" t="s">
        <v>23990</v>
      </c>
      <c r="X5009" s="10" t="s">
        <v>23991</v>
      </c>
      <c r="Y5009" s="6" t="s">
        <v>42</v>
      </c>
      <c r="Z5009" s="4">
        <v>0.3</v>
      </c>
      <c r="AA5009" s="4" t="s">
        <v>36</v>
      </c>
      <c r="AB5009" s="3" t="s">
        <v>43</v>
      </c>
      <c r="AC5009" s="3" t="s">
        <v>23992</v>
      </c>
      <c r="AD5009" s="9">
        <v>43437</v>
      </c>
      <c r="AE5009" s="3" t="s">
        <v>2154</v>
      </c>
      <c r="AF5009" s="3" t="s">
        <v>90</v>
      </c>
      <c r="AG5009" s="3" t="s">
        <v>23993</v>
      </c>
      <c r="AH5009" s="11">
        <f>HYPERLINK("https://my.pitchbook.com?c=166714-75T","View Company Online")</f>
      </c>
    </row>
    <row r="5010">
      <c r="A5010" s="12" t="s">
        <v>23994</v>
      </c>
      <c r="B5010" s="12" t="s">
        <v>23995</v>
      </c>
      <c r="C5010" s="19" t="s">
        <v>36</v>
      </c>
      <c r="D5010" s="19" t="s">
        <v>36</v>
      </c>
      <c r="E5010" s="19" t="s">
        <v>36</v>
      </c>
      <c r="F5010" s="19" t="s">
        <v>36</v>
      </c>
      <c r="G5010" s="15" t="s">
        <v>36</v>
      </c>
      <c r="H5010" s="14" t="s">
        <v>36</v>
      </c>
      <c r="I5010" s="18" t="s">
        <v>36</v>
      </c>
      <c r="J5010" s="12" t="s">
        <v>36</v>
      </c>
      <c r="K5010" s="13" t="s">
        <v>36</v>
      </c>
      <c r="L5010" s="15" t="s">
        <v>36</v>
      </c>
      <c r="M5010" s="12" t="s">
        <v>36</v>
      </c>
      <c r="N5010" s="12" t="s">
        <v>36</v>
      </c>
      <c r="O5010" s="17" t="s">
        <v>36</v>
      </c>
      <c r="P5010" s="12" t="s">
        <v>36</v>
      </c>
      <c r="Q5010" s="12" t="s">
        <v>36</v>
      </c>
      <c r="R5010" s="12" t="s">
        <v>36</v>
      </c>
      <c r="S5010" s="12" t="s">
        <v>36</v>
      </c>
      <c r="T5010" s="12" t="s">
        <v>7809</v>
      </c>
      <c r="U5010" s="12" t="s">
        <v>648</v>
      </c>
      <c r="V5010" s="12" t="s">
        <v>64</v>
      </c>
      <c r="W5010" s="12" t="s">
        <v>23996</v>
      </c>
      <c r="X5010" s="16" t="s">
        <v>13138</v>
      </c>
      <c r="Y5010" s="15" t="s">
        <v>42</v>
      </c>
      <c r="Z5010" s="14">
        <v>0.05</v>
      </c>
      <c r="AA5010" s="14" t="s">
        <v>36</v>
      </c>
      <c r="AB5010" s="12" t="s">
        <v>43</v>
      </c>
      <c r="AC5010" s="12" t="s">
        <v>23997</v>
      </c>
      <c r="AD5010" s="13">
        <v>43435</v>
      </c>
      <c r="AE5010" s="12" t="s">
        <v>1897</v>
      </c>
      <c r="AF5010" s="12" t="s">
        <v>23998</v>
      </c>
      <c r="AG5010" s="12" t="s">
        <v>23999</v>
      </c>
      <c r="AH5010" s="1">
        <f>HYPERLINK("https://my.pitchbook.com?c=120170-35T","View Company Online")</f>
      </c>
    </row>
    <row r="5011">
      <c r="A5011" s="3" t="s">
        <v>24000</v>
      </c>
      <c r="B5011" s="3" t="s">
        <v>24001</v>
      </c>
      <c r="C5011" s="5" t="s">
        <v>36</v>
      </c>
      <c r="D5011" s="5" t="s">
        <v>36</v>
      </c>
      <c r="E5011" s="5" t="s">
        <v>36</v>
      </c>
      <c r="F5011" s="5" t="s">
        <v>36</v>
      </c>
      <c r="G5011" s="6" t="s">
        <v>36</v>
      </c>
      <c r="H5011" s="4" t="s">
        <v>36</v>
      </c>
      <c r="I5011" s="7" t="s">
        <v>36</v>
      </c>
      <c r="J5011" s="3" t="s">
        <v>36</v>
      </c>
      <c r="K5011" s="9" t="s">
        <v>36</v>
      </c>
      <c r="L5011" s="6" t="s">
        <v>36</v>
      </c>
      <c r="M5011" s="3" t="s">
        <v>36</v>
      </c>
      <c r="N5011" s="3" t="s">
        <v>36</v>
      </c>
      <c r="O5011" s="8" t="s">
        <v>36</v>
      </c>
      <c r="P5011" s="3" t="s">
        <v>36</v>
      </c>
      <c r="Q5011" s="3" t="s">
        <v>36</v>
      </c>
      <c r="R5011" s="3" t="s">
        <v>36</v>
      </c>
      <c r="S5011" s="3" t="s">
        <v>36</v>
      </c>
      <c r="T5011" s="3" t="s">
        <v>24002</v>
      </c>
      <c r="U5011" s="3" t="s">
        <v>728</v>
      </c>
      <c r="V5011" s="3" t="s">
        <v>64</v>
      </c>
      <c r="W5011" s="3" t="s">
        <v>24003</v>
      </c>
      <c r="X5011" s="10" t="s">
        <v>820</v>
      </c>
      <c r="Y5011" s="6" t="s">
        <v>42</v>
      </c>
      <c r="Z5011" s="4" t="s">
        <v>36</v>
      </c>
      <c r="AA5011" s="4" t="s">
        <v>36</v>
      </c>
      <c r="AB5011" s="3" t="s">
        <v>56</v>
      </c>
      <c r="AC5011" s="3" t="s">
        <v>24004</v>
      </c>
      <c r="AD5011" s="9">
        <v>43435</v>
      </c>
      <c r="AE5011" s="3" t="s">
        <v>2154</v>
      </c>
      <c r="AF5011" s="3" t="s">
        <v>24005</v>
      </c>
      <c r="AG5011" s="3" t="s">
        <v>24006</v>
      </c>
      <c r="AH5011" s="11">
        <f>HYPERLINK("https://my.pitchbook.com?c=246559-06T","View Company Online")</f>
      </c>
    </row>
    <row r="5012">
      <c r="A5012" s="12" t="s">
        <v>24007</v>
      </c>
      <c r="B5012" s="12" t="s">
        <v>24008</v>
      </c>
      <c r="C5012" s="19">
        <v>4</v>
      </c>
      <c r="D5012" s="19">
        <v>35</v>
      </c>
      <c r="E5012" s="19">
        <v>7</v>
      </c>
      <c r="F5012" s="19">
        <v>39</v>
      </c>
      <c r="G5012" s="15" t="s">
        <v>36</v>
      </c>
      <c r="H5012" s="14" t="s">
        <v>36</v>
      </c>
      <c r="I5012" s="18" t="s">
        <v>36</v>
      </c>
      <c r="J5012" s="12" t="s">
        <v>36</v>
      </c>
      <c r="K5012" s="13" t="s">
        <v>36</v>
      </c>
      <c r="L5012" s="15" t="s">
        <v>36</v>
      </c>
      <c r="M5012" s="12" t="s">
        <v>36</v>
      </c>
      <c r="N5012" s="12" t="s">
        <v>36</v>
      </c>
      <c r="O5012" s="17" t="s">
        <v>36</v>
      </c>
      <c r="P5012" s="12" t="s">
        <v>36</v>
      </c>
      <c r="Q5012" s="12" t="s">
        <v>36</v>
      </c>
      <c r="R5012" s="12" t="s">
        <v>36</v>
      </c>
      <c r="S5012" s="12" t="s">
        <v>36</v>
      </c>
      <c r="T5012" s="12" t="s">
        <v>751</v>
      </c>
      <c r="U5012" s="12" t="s">
        <v>96</v>
      </c>
      <c r="V5012" s="12" t="s">
        <v>52</v>
      </c>
      <c r="W5012" s="12" t="s">
        <v>24009</v>
      </c>
      <c r="X5012" s="16" t="s">
        <v>24010</v>
      </c>
      <c r="Y5012" s="15" t="s">
        <v>42</v>
      </c>
      <c r="Z5012" s="14">
        <v>1.05</v>
      </c>
      <c r="AA5012" s="14" t="s">
        <v>36</v>
      </c>
      <c r="AB5012" s="12" t="s">
        <v>56</v>
      </c>
      <c r="AC5012" s="12" t="s">
        <v>24011</v>
      </c>
      <c r="AD5012" s="13">
        <v>43435</v>
      </c>
      <c r="AE5012" s="12" t="s">
        <v>755</v>
      </c>
      <c r="AF5012" s="12" t="s">
        <v>6820</v>
      </c>
      <c r="AG5012" s="12" t="s">
        <v>24012</v>
      </c>
      <c r="AH5012" s="1">
        <f>HYPERLINK("https://my.pitchbook.com?c=140594-86T","View Company Online")</f>
      </c>
    </row>
    <row r="5013">
      <c r="A5013" s="3" t="s">
        <v>24013</v>
      </c>
      <c r="B5013" s="3" t="s">
        <v>24014</v>
      </c>
      <c r="C5013" s="5" t="s">
        <v>36</v>
      </c>
      <c r="D5013" s="5" t="s">
        <v>36</v>
      </c>
      <c r="E5013" s="5" t="s">
        <v>36</v>
      </c>
      <c r="F5013" s="5" t="s">
        <v>36</v>
      </c>
      <c r="G5013" s="6" t="s">
        <v>36</v>
      </c>
      <c r="H5013" s="4" t="s">
        <v>36</v>
      </c>
      <c r="I5013" s="7" t="s">
        <v>36</v>
      </c>
      <c r="J5013" s="3" t="s">
        <v>36</v>
      </c>
      <c r="K5013" s="9" t="s">
        <v>36</v>
      </c>
      <c r="L5013" s="6" t="s">
        <v>36</v>
      </c>
      <c r="M5013" s="3" t="s">
        <v>36</v>
      </c>
      <c r="N5013" s="3" t="s">
        <v>36</v>
      </c>
      <c r="O5013" s="8" t="s">
        <v>36</v>
      </c>
      <c r="P5013" s="3" t="s">
        <v>36</v>
      </c>
      <c r="Q5013" s="3" t="s">
        <v>36</v>
      </c>
      <c r="R5013" s="3" t="s">
        <v>36</v>
      </c>
      <c r="S5013" s="3" t="s">
        <v>36</v>
      </c>
      <c r="T5013" s="3" t="s">
        <v>24015</v>
      </c>
      <c r="U5013" s="3" t="s">
        <v>279</v>
      </c>
      <c r="V5013" s="3" t="s">
        <v>64</v>
      </c>
      <c r="W5013" s="3" t="s">
        <v>24016</v>
      </c>
      <c r="X5013" s="10" t="s">
        <v>24017</v>
      </c>
      <c r="Y5013" s="6" t="s">
        <v>108</v>
      </c>
      <c r="Z5013" s="4" t="s">
        <v>36</v>
      </c>
      <c r="AA5013" s="4" t="s">
        <v>36</v>
      </c>
      <c r="AB5013" s="3" t="s">
        <v>43</v>
      </c>
      <c r="AC5013" s="3" t="s">
        <v>24018</v>
      </c>
      <c r="AD5013" s="9">
        <v>43435</v>
      </c>
      <c r="AE5013" s="3" t="s">
        <v>851</v>
      </c>
      <c r="AF5013" s="3" t="s">
        <v>36</v>
      </c>
      <c r="AG5013" s="3" t="s">
        <v>2760</v>
      </c>
      <c r="AH5013" s="11">
        <f>HYPERLINK("https://my.pitchbook.com?c=120287-80T","View Company Online")</f>
      </c>
    </row>
    <row r="5014">
      <c r="A5014" s="12" t="s">
        <v>24019</v>
      </c>
      <c r="B5014" s="12" t="s">
        <v>24020</v>
      </c>
      <c r="C5014" s="19" t="s">
        <v>36</v>
      </c>
      <c r="D5014" s="19" t="s">
        <v>36</v>
      </c>
      <c r="E5014" s="19" t="s">
        <v>36</v>
      </c>
      <c r="F5014" s="19" t="s">
        <v>36</v>
      </c>
      <c r="G5014" s="15" t="s">
        <v>326</v>
      </c>
      <c r="H5014" s="14">
        <v>559.27</v>
      </c>
      <c r="I5014" s="18">
        <v>16.24</v>
      </c>
      <c r="J5014" s="12" t="s">
        <v>521</v>
      </c>
      <c r="K5014" s="13" t="s">
        <v>36</v>
      </c>
      <c r="L5014" s="15" t="s">
        <v>36</v>
      </c>
      <c r="M5014" s="12" t="s">
        <v>36</v>
      </c>
      <c r="N5014" s="12" t="s">
        <v>36</v>
      </c>
      <c r="O5014" s="17" t="s">
        <v>36</v>
      </c>
      <c r="P5014" s="12" t="s">
        <v>36</v>
      </c>
      <c r="Q5014" s="12" t="s">
        <v>36</v>
      </c>
      <c r="R5014" s="12" t="s">
        <v>36</v>
      </c>
      <c r="S5014" s="12" t="s">
        <v>36</v>
      </c>
      <c r="T5014" s="12" t="s">
        <v>105</v>
      </c>
      <c r="U5014" s="12" t="s">
        <v>38</v>
      </c>
      <c r="V5014" s="12" t="s">
        <v>39</v>
      </c>
      <c r="W5014" s="12" t="s">
        <v>24021</v>
      </c>
      <c r="X5014" s="16" t="s">
        <v>20754</v>
      </c>
      <c r="Y5014" s="15" t="s">
        <v>108</v>
      </c>
      <c r="Z5014" s="14">
        <v>1.14</v>
      </c>
      <c r="AA5014" s="14">
        <v>7</v>
      </c>
      <c r="AB5014" s="12" t="s">
        <v>43</v>
      </c>
      <c r="AC5014" s="12" t="s">
        <v>24022</v>
      </c>
      <c r="AD5014" s="13">
        <v>43435</v>
      </c>
      <c r="AE5014" s="12" t="s">
        <v>110</v>
      </c>
      <c r="AF5014" s="12" t="s">
        <v>36</v>
      </c>
      <c r="AG5014" s="12" t="s">
        <v>3064</v>
      </c>
      <c r="AH5014" s="1">
        <f>HYPERLINK("https://my.pitchbook.com?c=233709-22T","View Company Online")</f>
      </c>
    </row>
    <row r="5015">
      <c r="A5015" s="3" t="s">
        <v>24023</v>
      </c>
      <c r="B5015" s="3" t="s">
        <v>24024</v>
      </c>
      <c r="C5015" s="5" t="s">
        <v>36</v>
      </c>
      <c r="D5015" s="5" t="s">
        <v>36</v>
      </c>
      <c r="E5015" s="5" t="s">
        <v>36</v>
      </c>
      <c r="F5015" s="5" t="s">
        <v>36</v>
      </c>
      <c r="G5015" s="6" t="s">
        <v>36</v>
      </c>
      <c r="H5015" s="4">
        <v>2.67</v>
      </c>
      <c r="I5015" s="7">
        <v>40.13</v>
      </c>
      <c r="J5015" s="3" t="s">
        <v>521</v>
      </c>
      <c r="K5015" s="9" t="s">
        <v>36</v>
      </c>
      <c r="L5015" s="6" t="s">
        <v>36</v>
      </c>
      <c r="M5015" s="3" t="s">
        <v>36</v>
      </c>
      <c r="N5015" s="3" t="s">
        <v>36</v>
      </c>
      <c r="O5015" s="8" t="s">
        <v>36</v>
      </c>
      <c r="P5015" s="3" t="s">
        <v>36</v>
      </c>
      <c r="Q5015" s="3" t="s">
        <v>36</v>
      </c>
      <c r="R5015" s="3" t="s">
        <v>36</v>
      </c>
      <c r="S5015" s="3" t="s">
        <v>36</v>
      </c>
      <c r="T5015" s="3" t="s">
        <v>7415</v>
      </c>
      <c r="U5015" s="3" t="s">
        <v>38</v>
      </c>
      <c r="V5015" s="3" t="s">
        <v>39</v>
      </c>
      <c r="W5015" s="3" t="s">
        <v>24025</v>
      </c>
      <c r="X5015" s="10" t="s">
        <v>24026</v>
      </c>
      <c r="Y5015" s="6" t="s">
        <v>42</v>
      </c>
      <c r="Z5015" s="4">
        <v>1.26</v>
      </c>
      <c r="AA5015" s="4">
        <v>3.13</v>
      </c>
      <c r="AB5015" s="3" t="s">
        <v>43</v>
      </c>
      <c r="AC5015" s="3" t="s">
        <v>24027</v>
      </c>
      <c r="AD5015" s="9">
        <v>43435</v>
      </c>
      <c r="AE5015" s="3" t="s">
        <v>1422</v>
      </c>
      <c r="AF5015" s="3" t="s">
        <v>7239</v>
      </c>
      <c r="AG5015" s="3" t="s">
        <v>8217</v>
      </c>
      <c r="AH5015" s="11">
        <f>HYPERLINK("https://my.pitchbook.com?c=93349-36T","View Company Online")</f>
      </c>
    </row>
    <row r="5016">
      <c r="A5016" s="12" t="s">
        <v>24028</v>
      </c>
      <c r="B5016" s="12" t="s">
        <v>16738</v>
      </c>
      <c r="C5016" s="19" t="s">
        <v>36</v>
      </c>
      <c r="D5016" s="19" t="s">
        <v>36</v>
      </c>
      <c r="E5016" s="19" t="s">
        <v>36</v>
      </c>
      <c r="F5016" s="19" t="s">
        <v>36</v>
      </c>
      <c r="G5016" s="15" t="s">
        <v>326</v>
      </c>
      <c r="H5016" s="14">
        <v>16.53</v>
      </c>
      <c r="I5016" s="18">
        <v>28.57</v>
      </c>
      <c r="J5016" s="12" t="s">
        <v>521</v>
      </c>
      <c r="K5016" s="13" t="s">
        <v>36</v>
      </c>
      <c r="L5016" s="15" t="s">
        <v>36</v>
      </c>
      <c r="M5016" s="12" t="s">
        <v>36</v>
      </c>
      <c r="N5016" s="12" t="s">
        <v>36</v>
      </c>
      <c r="O5016" s="17" t="s">
        <v>36</v>
      </c>
      <c r="P5016" s="12" t="s">
        <v>36</v>
      </c>
      <c r="Q5016" s="12" t="s">
        <v>36</v>
      </c>
      <c r="R5016" s="12" t="s">
        <v>36</v>
      </c>
      <c r="S5016" s="12" t="s">
        <v>36</v>
      </c>
      <c r="T5016" s="12" t="s">
        <v>647</v>
      </c>
      <c r="U5016" s="12" t="s">
        <v>648</v>
      </c>
      <c r="V5016" s="12" t="s">
        <v>64</v>
      </c>
      <c r="W5016" s="12" t="s">
        <v>16739</v>
      </c>
      <c r="X5016" s="16" t="s">
        <v>24029</v>
      </c>
      <c r="Y5016" s="15" t="s">
        <v>42</v>
      </c>
      <c r="Z5016" s="14">
        <v>1.71</v>
      </c>
      <c r="AA5016" s="14">
        <v>3.98</v>
      </c>
      <c r="AB5016" s="12" t="s">
        <v>43</v>
      </c>
      <c r="AC5016" s="12" t="s">
        <v>16741</v>
      </c>
      <c r="AD5016" s="13">
        <v>43435</v>
      </c>
      <c r="AE5016" s="12" t="s">
        <v>651</v>
      </c>
      <c r="AF5016" s="12" t="s">
        <v>4284</v>
      </c>
      <c r="AG5016" s="12" t="s">
        <v>16742</v>
      </c>
      <c r="AH5016" s="1">
        <f>HYPERLINK("https://my.pitchbook.com?c=136505-26T","View Company Online")</f>
      </c>
    </row>
    <row r="5017">
      <c r="A5017" s="3" t="s">
        <v>24030</v>
      </c>
      <c r="B5017" s="3" t="s">
        <v>24031</v>
      </c>
      <c r="C5017" s="5" t="s">
        <v>36</v>
      </c>
      <c r="D5017" s="5" t="s">
        <v>36</v>
      </c>
      <c r="E5017" s="5" t="s">
        <v>36</v>
      </c>
      <c r="F5017" s="5" t="s">
        <v>36</v>
      </c>
      <c r="G5017" s="6" t="s">
        <v>326</v>
      </c>
      <c r="H5017" s="4">
        <v>78.36</v>
      </c>
      <c r="I5017" s="7">
        <v>19.36</v>
      </c>
      <c r="J5017" s="3" t="s">
        <v>521</v>
      </c>
      <c r="K5017" s="9" t="s">
        <v>36</v>
      </c>
      <c r="L5017" s="6" t="s">
        <v>36</v>
      </c>
      <c r="M5017" s="3" t="s">
        <v>36</v>
      </c>
      <c r="N5017" s="3" t="s">
        <v>36</v>
      </c>
      <c r="O5017" s="8" t="s">
        <v>36</v>
      </c>
      <c r="P5017" s="3" t="s">
        <v>36</v>
      </c>
      <c r="Q5017" s="3" t="s">
        <v>36</v>
      </c>
      <c r="R5017" s="3" t="s">
        <v>36</v>
      </c>
      <c r="S5017" s="3" t="s">
        <v>36</v>
      </c>
      <c r="T5017" s="3" t="s">
        <v>24032</v>
      </c>
      <c r="U5017" s="3" t="s">
        <v>279</v>
      </c>
      <c r="V5017" s="3" t="s">
        <v>64</v>
      </c>
      <c r="W5017" s="3" t="s">
        <v>24033</v>
      </c>
      <c r="X5017" s="10" t="s">
        <v>24034</v>
      </c>
      <c r="Y5017" s="6" t="s">
        <v>108</v>
      </c>
      <c r="Z5017" s="4">
        <v>1.14</v>
      </c>
      <c r="AA5017" s="4">
        <v>4.6</v>
      </c>
      <c r="AB5017" s="3" t="s">
        <v>43</v>
      </c>
      <c r="AC5017" s="3" t="s">
        <v>24035</v>
      </c>
      <c r="AD5017" s="9">
        <v>43435</v>
      </c>
      <c r="AE5017" s="3" t="s">
        <v>283</v>
      </c>
      <c r="AF5017" s="3" t="s">
        <v>815</v>
      </c>
      <c r="AG5017" s="3" t="s">
        <v>899</v>
      </c>
      <c r="AH5017" s="11">
        <f>HYPERLINK("https://my.pitchbook.com?c=122290-75T","View Company Online")</f>
      </c>
    </row>
    <row r="5018">
      <c r="A5018" s="12" t="s">
        <v>24036</v>
      </c>
      <c r="B5018" s="12" t="s">
        <v>24037</v>
      </c>
      <c r="C5018" s="19" t="s">
        <v>36</v>
      </c>
      <c r="D5018" s="19" t="s">
        <v>36</v>
      </c>
      <c r="E5018" s="19" t="s">
        <v>36</v>
      </c>
      <c r="F5018" s="19" t="s">
        <v>36</v>
      </c>
      <c r="G5018" s="15" t="s">
        <v>36</v>
      </c>
      <c r="H5018" s="14">
        <v>1069.11</v>
      </c>
      <c r="I5018" s="18">
        <v>26.33</v>
      </c>
      <c r="J5018" s="12" t="s">
        <v>521</v>
      </c>
      <c r="K5018" s="13" t="s">
        <v>36</v>
      </c>
      <c r="L5018" s="15" t="s">
        <v>36</v>
      </c>
      <c r="M5018" s="12" t="s">
        <v>36</v>
      </c>
      <c r="N5018" s="12" t="s">
        <v>36</v>
      </c>
      <c r="O5018" s="17" t="s">
        <v>36</v>
      </c>
      <c r="P5018" s="12" t="s">
        <v>36</v>
      </c>
      <c r="Q5018" s="12" t="s">
        <v>36</v>
      </c>
      <c r="R5018" s="12" t="s">
        <v>36</v>
      </c>
      <c r="S5018" s="12" t="s">
        <v>36</v>
      </c>
      <c r="T5018" s="12" t="s">
        <v>1701</v>
      </c>
      <c r="U5018" s="12" t="s">
        <v>74</v>
      </c>
      <c r="V5018" s="12" t="s">
        <v>75</v>
      </c>
      <c r="W5018" s="12" t="s">
        <v>24038</v>
      </c>
      <c r="X5018" s="16" t="s">
        <v>24039</v>
      </c>
      <c r="Y5018" s="15" t="s">
        <v>42</v>
      </c>
      <c r="Z5018" s="14">
        <v>0.57</v>
      </c>
      <c r="AA5018" s="14">
        <v>1.08</v>
      </c>
      <c r="AB5018" s="12" t="s">
        <v>56</v>
      </c>
      <c r="AC5018" s="12" t="s">
        <v>24040</v>
      </c>
      <c r="AD5018" s="13">
        <v>43435</v>
      </c>
      <c r="AE5018" s="12" t="s">
        <v>79</v>
      </c>
      <c r="AF5018" s="12" t="s">
        <v>24041</v>
      </c>
      <c r="AG5018" s="12" t="s">
        <v>373</v>
      </c>
      <c r="AH5018" s="1">
        <f>HYPERLINK("https://my.pitchbook.com?c=115910-92T","View Company Online")</f>
      </c>
    </row>
    <row r="5019">
      <c r="A5019" s="3" t="s">
        <v>24042</v>
      </c>
      <c r="B5019" s="3" t="s">
        <v>24043</v>
      </c>
      <c r="C5019" s="5" t="s">
        <v>36</v>
      </c>
      <c r="D5019" s="5" t="s">
        <v>36</v>
      </c>
      <c r="E5019" s="5" t="s">
        <v>36</v>
      </c>
      <c r="F5019" s="5" t="s">
        <v>36</v>
      </c>
      <c r="G5019" s="6" t="s">
        <v>36</v>
      </c>
      <c r="H5019" s="4">
        <v>102.25</v>
      </c>
      <c r="I5019" s="7">
        <v>16.83</v>
      </c>
      <c r="J5019" s="3" t="s">
        <v>521</v>
      </c>
      <c r="K5019" s="9" t="s">
        <v>36</v>
      </c>
      <c r="L5019" s="6" t="s">
        <v>36</v>
      </c>
      <c r="M5019" s="3" t="s">
        <v>36</v>
      </c>
      <c r="N5019" s="3" t="s">
        <v>36</v>
      </c>
      <c r="O5019" s="8" t="s">
        <v>36</v>
      </c>
      <c r="P5019" s="3" t="s">
        <v>36</v>
      </c>
      <c r="Q5019" s="3" t="s">
        <v>36</v>
      </c>
      <c r="R5019" s="3" t="s">
        <v>36</v>
      </c>
      <c r="S5019" s="3" t="s">
        <v>36</v>
      </c>
      <c r="T5019" s="3" t="s">
        <v>655</v>
      </c>
      <c r="U5019" s="3" t="s">
        <v>38</v>
      </c>
      <c r="V5019" s="3" t="s">
        <v>39</v>
      </c>
      <c r="W5019" s="3" t="s">
        <v>24044</v>
      </c>
      <c r="X5019" s="10" t="s">
        <v>14564</v>
      </c>
      <c r="Y5019" s="6" t="s">
        <v>42</v>
      </c>
      <c r="Z5019" s="4">
        <v>1.14</v>
      </c>
      <c r="AA5019" s="4">
        <v>3.4</v>
      </c>
      <c r="AB5019" s="3" t="s">
        <v>43</v>
      </c>
      <c r="AC5019" s="3" t="s">
        <v>24045</v>
      </c>
      <c r="AD5019" s="9">
        <v>43435</v>
      </c>
      <c r="AE5019" s="3" t="s">
        <v>110</v>
      </c>
      <c r="AF5019" s="3" t="s">
        <v>118</v>
      </c>
      <c r="AG5019" s="3" t="s">
        <v>24046</v>
      </c>
      <c r="AH5019" s="11">
        <f>HYPERLINK("https://my.pitchbook.com?c=130129-66T","View Company Online")</f>
      </c>
    </row>
    <row r="5020">
      <c r="A5020" s="12" t="s">
        <v>24047</v>
      </c>
      <c r="B5020" s="12" t="s">
        <v>24048</v>
      </c>
      <c r="C5020" s="19" t="s">
        <v>36</v>
      </c>
      <c r="D5020" s="19" t="s">
        <v>36</v>
      </c>
      <c r="E5020" s="19" t="s">
        <v>36</v>
      </c>
      <c r="F5020" s="19" t="s">
        <v>36</v>
      </c>
      <c r="G5020" s="15" t="s">
        <v>36</v>
      </c>
      <c r="H5020" s="14" t="s">
        <v>36</v>
      </c>
      <c r="I5020" s="18" t="s">
        <v>36</v>
      </c>
      <c r="J5020" s="12" t="s">
        <v>36</v>
      </c>
      <c r="K5020" s="13" t="s">
        <v>36</v>
      </c>
      <c r="L5020" s="15" t="s">
        <v>36</v>
      </c>
      <c r="M5020" s="12" t="s">
        <v>36</v>
      </c>
      <c r="N5020" s="12" t="s">
        <v>36</v>
      </c>
      <c r="O5020" s="17" t="s">
        <v>36</v>
      </c>
      <c r="P5020" s="12" t="s">
        <v>36</v>
      </c>
      <c r="Q5020" s="12" t="s">
        <v>36</v>
      </c>
      <c r="R5020" s="12" t="s">
        <v>36</v>
      </c>
      <c r="S5020" s="12" t="s">
        <v>36</v>
      </c>
      <c r="T5020" s="12" t="s">
        <v>1893</v>
      </c>
      <c r="U5020" s="12" t="s">
        <v>648</v>
      </c>
      <c r="V5020" s="12" t="s">
        <v>64</v>
      </c>
      <c r="W5020" s="12" t="s">
        <v>24049</v>
      </c>
      <c r="X5020" s="16" t="s">
        <v>820</v>
      </c>
      <c r="Y5020" s="15" t="s">
        <v>42</v>
      </c>
      <c r="Z5020" s="14" t="s">
        <v>36</v>
      </c>
      <c r="AA5020" s="14" t="s">
        <v>36</v>
      </c>
      <c r="AB5020" s="12" t="s">
        <v>56</v>
      </c>
      <c r="AC5020" s="12" t="s">
        <v>24050</v>
      </c>
      <c r="AD5020" s="13">
        <v>43435</v>
      </c>
      <c r="AE5020" s="12" t="s">
        <v>1897</v>
      </c>
      <c r="AF5020" s="12" t="s">
        <v>1115</v>
      </c>
      <c r="AG5020" s="12" t="s">
        <v>1843</v>
      </c>
      <c r="AH5020" s="1">
        <f>HYPERLINK("https://my.pitchbook.com?c=246563-02T","View Company Online")</f>
      </c>
    </row>
    <row r="5021">
      <c r="A5021" s="3" t="s">
        <v>24051</v>
      </c>
      <c r="B5021" s="3" t="s">
        <v>24052</v>
      </c>
      <c r="C5021" s="5" t="s">
        <v>36</v>
      </c>
      <c r="D5021" s="5" t="s">
        <v>36</v>
      </c>
      <c r="E5021" s="5" t="s">
        <v>36</v>
      </c>
      <c r="F5021" s="5" t="s">
        <v>36</v>
      </c>
      <c r="G5021" s="6" t="s">
        <v>36</v>
      </c>
      <c r="H5021" s="4" t="s">
        <v>36</v>
      </c>
      <c r="I5021" s="7" t="s">
        <v>36</v>
      </c>
      <c r="J5021" s="3" t="s">
        <v>36</v>
      </c>
      <c r="K5021" s="9" t="s">
        <v>36</v>
      </c>
      <c r="L5021" s="6" t="s">
        <v>36</v>
      </c>
      <c r="M5021" s="3" t="s">
        <v>36</v>
      </c>
      <c r="N5021" s="3" t="s">
        <v>36</v>
      </c>
      <c r="O5021" s="8" t="s">
        <v>36</v>
      </c>
      <c r="P5021" s="3" t="s">
        <v>36</v>
      </c>
      <c r="Q5021" s="3" t="s">
        <v>36</v>
      </c>
      <c r="R5021" s="3" t="s">
        <v>36</v>
      </c>
      <c r="S5021" s="3" t="s">
        <v>3479</v>
      </c>
      <c r="T5021" s="3" t="s">
        <v>37</v>
      </c>
      <c r="U5021" s="3" t="s">
        <v>38</v>
      </c>
      <c r="V5021" s="3" t="s">
        <v>39</v>
      </c>
      <c r="W5021" s="3" t="s">
        <v>24053</v>
      </c>
      <c r="X5021" s="10" t="s">
        <v>24054</v>
      </c>
      <c r="Y5021" s="6" t="s">
        <v>42</v>
      </c>
      <c r="Z5021" s="4" t="s">
        <v>36</v>
      </c>
      <c r="AA5021" s="4" t="s">
        <v>36</v>
      </c>
      <c r="AB5021" s="3" t="s">
        <v>43</v>
      </c>
      <c r="AC5021" s="3" t="s">
        <v>24055</v>
      </c>
      <c r="AD5021" s="9">
        <v>43435</v>
      </c>
      <c r="AE5021" s="3" t="s">
        <v>45</v>
      </c>
      <c r="AF5021" s="3" t="s">
        <v>799</v>
      </c>
      <c r="AG5021" s="3" t="s">
        <v>81</v>
      </c>
      <c r="AH5021" s="11">
        <f>HYPERLINK("https://my.pitchbook.com?c=114751-27T","View Company Online")</f>
      </c>
    </row>
    <row r="5022">
      <c r="A5022" s="12" t="s">
        <v>24056</v>
      </c>
      <c r="B5022" s="12" t="s">
        <v>24057</v>
      </c>
      <c r="C5022" s="19" t="s">
        <v>36</v>
      </c>
      <c r="D5022" s="19" t="s">
        <v>36</v>
      </c>
      <c r="E5022" s="19" t="s">
        <v>36</v>
      </c>
      <c r="F5022" s="19" t="s">
        <v>36</v>
      </c>
      <c r="G5022" s="15" t="s">
        <v>36</v>
      </c>
      <c r="H5022" s="14" t="s">
        <v>36</v>
      </c>
      <c r="I5022" s="18" t="s">
        <v>36</v>
      </c>
      <c r="J5022" s="12" t="s">
        <v>36</v>
      </c>
      <c r="K5022" s="13" t="s">
        <v>36</v>
      </c>
      <c r="L5022" s="15" t="s">
        <v>36</v>
      </c>
      <c r="M5022" s="12" t="s">
        <v>36</v>
      </c>
      <c r="N5022" s="12" t="s">
        <v>36</v>
      </c>
      <c r="O5022" s="17" t="s">
        <v>36</v>
      </c>
      <c r="P5022" s="12" t="s">
        <v>36</v>
      </c>
      <c r="Q5022" s="12" t="s">
        <v>36</v>
      </c>
      <c r="R5022" s="12" t="s">
        <v>36</v>
      </c>
      <c r="S5022" s="12" t="s">
        <v>36</v>
      </c>
      <c r="T5022" s="12" t="s">
        <v>464</v>
      </c>
      <c r="U5022" s="12" t="s">
        <v>38</v>
      </c>
      <c r="V5022" s="12" t="s">
        <v>39</v>
      </c>
      <c r="W5022" s="12" t="s">
        <v>24058</v>
      </c>
      <c r="X5022" s="16" t="s">
        <v>24059</v>
      </c>
      <c r="Y5022" s="15" t="s">
        <v>42</v>
      </c>
      <c r="Z5022" s="14">
        <v>9.55</v>
      </c>
      <c r="AA5022" s="14" t="s">
        <v>36</v>
      </c>
      <c r="AB5022" s="12" t="s">
        <v>43</v>
      </c>
      <c r="AC5022" s="12" t="s">
        <v>24060</v>
      </c>
      <c r="AD5022" s="13">
        <v>43435</v>
      </c>
      <c r="AE5022" s="12" t="s">
        <v>110</v>
      </c>
      <c r="AF5022" s="12" t="s">
        <v>952</v>
      </c>
      <c r="AG5022" s="12" t="s">
        <v>47</v>
      </c>
      <c r="AH5022" s="1">
        <f>HYPERLINK("https://my.pitchbook.com?c=123307-84T","View Company Online")</f>
      </c>
    </row>
    <row r="5023">
      <c r="A5023" s="3" t="s">
        <v>24061</v>
      </c>
      <c r="B5023" s="3" t="s">
        <v>24062</v>
      </c>
      <c r="C5023" s="5" t="s">
        <v>36</v>
      </c>
      <c r="D5023" s="5" t="s">
        <v>36</v>
      </c>
      <c r="E5023" s="5" t="s">
        <v>36</v>
      </c>
      <c r="F5023" s="5" t="s">
        <v>36</v>
      </c>
      <c r="G5023" s="6" t="s">
        <v>36</v>
      </c>
      <c r="H5023" s="4" t="s">
        <v>36</v>
      </c>
      <c r="I5023" s="7" t="s">
        <v>36</v>
      </c>
      <c r="J5023" s="3" t="s">
        <v>36</v>
      </c>
      <c r="K5023" s="9" t="s">
        <v>36</v>
      </c>
      <c r="L5023" s="6" t="s">
        <v>36</v>
      </c>
      <c r="M5023" s="3" t="s">
        <v>36</v>
      </c>
      <c r="N5023" s="3" t="s">
        <v>36</v>
      </c>
      <c r="O5023" s="8" t="s">
        <v>36</v>
      </c>
      <c r="P5023" s="3" t="s">
        <v>36</v>
      </c>
      <c r="Q5023" s="3" t="s">
        <v>36</v>
      </c>
      <c r="R5023" s="3" t="s">
        <v>36</v>
      </c>
      <c r="S5023" s="3" t="s">
        <v>36</v>
      </c>
      <c r="T5023" s="3" t="s">
        <v>24063</v>
      </c>
      <c r="U5023" s="3" t="s">
        <v>404</v>
      </c>
      <c r="V5023" s="3" t="s">
        <v>405</v>
      </c>
      <c r="W5023" s="3" t="s">
        <v>24064</v>
      </c>
      <c r="X5023" s="10" t="s">
        <v>20713</v>
      </c>
      <c r="Y5023" s="6" t="s">
        <v>42</v>
      </c>
      <c r="Z5023" s="4" t="s">
        <v>36</v>
      </c>
      <c r="AA5023" s="4" t="s">
        <v>36</v>
      </c>
      <c r="AB5023" s="3" t="s">
        <v>56</v>
      </c>
      <c r="AC5023" s="3" t="s">
        <v>24065</v>
      </c>
      <c r="AD5023" s="9">
        <v>43435</v>
      </c>
      <c r="AE5023" s="3" t="s">
        <v>409</v>
      </c>
      <c r="AF5023" s="3" t="s">
        <v>215</v>
      </c>
      <c r="AG5023" s="3" t="s">
        <v>81</v>
      </c>
      <c r="AH5023" s="11">
        <f>HYPERLINK("https://my.pitchbook.com?c=165408-58T","View Company Online")</f>
      </c>
    </row>
    <row r="5024">
      <c r="A5024" s="12" t="s">
        <v>24066</v>
      </c>
      <c r="B5024" s="12" t="s">
        <v>19206</v>
      </c>
      <c r="C5024" s="19" t="s">
        <v>36</v>
      </c>
      <c r="D5024" s="19">
        <v>4</v>
      </c>
      <c r="E5024" s="19">
        <v>4</v>
      </c>
      <c r="F5024" s="19">
        <v>11</v>
      </c>
      <c r="G5024" s="15" t="s">
        <v>683</v>
      </c>
      <c r="H5024" s="14">
        <v>207.71</v>
      </c>
      <c r="I5024" s="18">
        <v>19.39</v>
      </c>
      <c r="J5024" s="12" t="s">
        <v>521</v>
      </c>
      <c r="K5024" s="13" t="s">
        <v>36</v>
      </c>
      <c r="L5024" s="15" t="s">
        <v>36</v>
      </c>
      <c r="M5024" s="12" t="s">
        <v>36</v>
      </c>
      <c r="N5024" s="12" t="s">
        <v>36</v>
      </c>
      <c r="O5024" s="17" t="s">
        <v>36</v>
      </c>
      <c r="P5024" s="12" t="s">
        <v>36</v>
      </c>
      <c r="Q5024" s="12" t="s">
        <v>36</v>
      </c>
      <c r="R5024" s="12" t="s">
        <v>36</v>
      </c>
      <c r="S5024" s="12" t="s">
        <v>36</v>
      </c>
      <c r="T5024" s="12" t="s">
        <v>19207</v>
      </c>
      <c r="U5024" s="12" t="s">
        <v>85</v>
      </c>
      <c r="V5024" s="12" t="s">
        <v>64</v>
      </c>
      <c r="W5024" s="12" t="s">
        <v>19208</v>
      </c>
      <c r="X5024" s="16" t="s">
        <v>19209</v>
      </c>
      <c r="Y5024" s="15" t="s">
        <v>108</v>
      </c>
      <c r="Z5024" s="14">
        <v>0.18</v>
      </c>
      <c r="AA5024" s="14">
        <v>0.94</v>
      </c>
      <c r="AB5024" s="12" t="s">
        <v>43</v>
      </c>
      <c r="AC5024" s="12" t="s">
        <v>19210</v>
      </c>
      <c r="AD5024" s="13">
        <v>43435</v>
      </c>
      <c r="AE5024" s="12" t="s">
        <v>89</v>
      </c>
      <c r="AF5024" s="12" t="s">
        <v>269</v>
      </c>
      <c r="AG5024" s="12" t="s">
        <v>19211</v>
      </c>
      <c r="AH5024" s="1">
        <f>HYPERLINK("https://my.pitchbook.com?c=120288-70T","View Company Online")</f>
      </c>
    </row>
    <row r="5025">
      <c r="A5025" s="3" t="s">
        <v>24067</v>
      </c>
      <c r="B5025" s="3" t="s">
        <v>13131</v>
      </c>
      <c r="C5025" s="5">
        <v>2</v>
      </c>
      <c r="D5025" s="5">
        <v>9</v>
      </c>
      <c r="E5025" s="5">
        <v>7</v>
      </c>
      <c r="F5025" s="5">
        <v>30</v>
      </c>
      <c r="G5025" s="6" t="s">
        <v>36</v>
      </c>
      <c r="H5025" s="4" t="s">
        <v>36</v>
      </c>
      <c r="I5025" s="7" t="s">
        <v>36</v>
      </c>
      <c r="J5025" s="3" t="s">
        <v>36</v>
      </c>
      <c r="K5025" s="9" t="s">
        <v>36</v>
      </c>
      <c r="L5025" s="6" t="s">
        <v>36</v>
      </c>
      <c r="M5025" s="3" t="s">
        <v>36</v>
      </c>
      <c r="N5025" s="3" t="s">
        <v>36</v>
      </c>
      <c r="O5025" s="8" t="s">
        <v>36</v>
      </c>
      <c r="P5025" s="3" t="s">
        <v>36</v>
      </c>
      <c r="Q5025" s="3" t="s">
        <v>36</v>
      </c>
      <c r="R5025" s="3" t="s">
        <v>36</v>
      </c>
      <c r="S5025" s="3" t="s">
        <v>36</v>
      </c>
      <c r="T5025" s="3" t="s">
        <v>522</v>
      </c>
      <c r="U5025" s="3" t="s">
        <v>38</v>
      </c>
      <c r="V5025" s="3" t="s">
        <v>39</v>
      </c>
      <c r="W5025" s="3" t="s">
        <v>13132</v>
      </c>
      <c r="X5025" s="10" t="s">
        <v>24068</v>
      </c>
      <c r="Y5025" s="6" t="s">
        <v>108</v>
      </c>
      <c r="Z5025" s="4">
        <v>2.27</v>
      </c>
      <c r="AA5025" s="4" t="s">
        <v>36</v>
      </c>
      <c r="AB5025" s="3" t="s">
        <v>43</v>
      </c>
      <c r="AC5025" s="3" t="s">
        <v>13134</v>
      </c>
      <c r="AD5025" s="9">
        <v>43435</v>
      </c>
      <c r="AE5025" s="3" t="s">
        <v>110</v>
      </c>
      <c r="AF5025" s="3" t="s">
        <v>1842</v>
      </c>
      <c r="AG5025" s="3" t="s">
        <v>81</v>
      </c>
      <c r="AH5025" s="11">
        <f>HYPERLINK("https://my.pitchbook.com?c=118146-70T","View Company Online")</f>
      </c>
    </row>
    <row r="5026">
      <c r="A5026" s="12" t="s">
        <v>24069</v>
      </c>
      <c r="B5026" s="12" t="s">
        <v>24070</v>
      </c>
      <c r="C5026" s="19" t="s">
        <v>36</v>
      </c>
      <c r="D5026" s="19" t="s">
        <v>36</v>
      </c>
      <c r="E5026" s="19" t="s">
        <v>36</v>
      </c>
      <c r="F5026" s="19" t="s">
        <v>36</v>
      </c>
      <c r="G5026" s="15" t="s">
        <v>36</v>
      </c>
      <c r="H5026" s="14" t="s">
        <v>36</v>
      </c>
      <c r="I5026" s="18" t="s">
        <v>36</v>
      </c>
      <c r="J5026" s="12" t="s">
        <v>36</v>
      </c>
      <c r="K5026" s="13" t="s">
        <v>36</v>
      </c>
      <c r="L5026" s="15" t="s">
        <v>36</v>
      </c>
      <c r="M5026" s="12" t="s">
        <v>36</v>
      </c>
      <c r="N5026" s="12" t="s">
        <v>36</v>
      </c>
      <c r="O5026" s="17" t="s">
        <v>36</v>
      </c>
      <c r="P5026" s="12" t="s">
        <v>36</v>
      </c>
      <c r="Q5026" s="12" t="s">
        <v>36</v>
      </c>
      <c r="R5026" s="12" t="s">
        <v>36</v>
      </c>
      <c r="S5026" s="12" t="s">
        <v>36</v>
      </c>
      <c r="T5026" s="12" t="s">
        <v>4056</v>
      </c>
      <c r="U5026" s="12" t="s">
        <v>38</v>
      </c>
      <c r="V5026" s="12" t="s">
        <v>39</v>
      </c>
      <c r="W5026" s="12" t="s">
        <v>24071</v>
      </c>
      <c r="X5026" s="16" t="s">
        <v>24072</v>
      </c>
      <c r="Y5026" s="15" t="s">
        <v>42</v>
      </c>
      <c r="Z5026" s="14" t="s">
        <v>36</v>
      </c>
      <c r="AA5026" s="14" t="s">
        <v>36</v>
      </c>
      <c r="AB5026" s="12" t="s">
        <v>43</v>
      </c>
      <c r="AC5026" s="12" t="s">
        <v>24073</v>
      </c>
      <c r="AD5026" s="13">
        <v>43435</v>
      </c>
      <c r="AE5026" s="12" t="s">
        <v>1945</v>
      </c>
      <c r="AF5026" s="12" t="s">
        <v>24074</v>
      </c>
      <c r="AG5026" s="12" t="s">
        <v>81</v>
      </c>
      <c r="AH5026" s="1">
        <f>HYPERLINK("https://my.pitchbook.com?c=113811-49T","View Company Online")</f>
      </c>
    </row>
    <row r="5027">
      <c r="A5027" s="3" t="s">
        <v>24075</v>
      </c>
      <c r="B5027" s="3" t="s">
        <v>24076</v>
      </c>
      <c r="C5027" s="5" t="s">
        <v>36</v>
      </c>
      <c r="D5027" s="5" t="s">
        <v>36</v>
      </c>
      <c r="E5027" s="5" t="s">
        <v>36</v>
      </c>
      <c r="F5027" s="5" t="s">
        <v>36</v>
      </c>
      <c r="G5027" s="6" t="s">
        <v>36</v>
      </c>
      <c r="H5027" s="4">
        <v>288.72</v>
      </c>
      <c r="I5027" s="7">
        <v>5.61</v>
      </c>
      <c r="J5027" s="3" t="s">
        <v>521</v>
      </c>
      <c r="K5027" s="9" t="s">
        <v>36</v>
      </c>
      <c r="L5027" s="6" t="s">
        <v>36</v>
      </c>
      <c r="M5027" s="3" t="s">
        <v>36</v>
      </c>
      <c r="N5027" s="3" t="s">
        <v>36</v>
      </c>
      <c r="O5027" s="8" t="s">
        <v>36</v>
      </c>
      <c r="P5027" s="3" t="s">
        <v>36</v>
      </c>
      <c r="Q5027" s="3" t="s">
        <v>36</v>
      </c>
      <c r="R5027" s="3" t="s">
        <v>36</v>
      </c>
      <c r="S5027" s="3" t="s">
        <v>36</v>
      </c>
      <c r="T5027" s="3" t="s">
        <v>23600</v>
      </c>
      <c r="U5027" s="3" t="s">
        <v>74</v>
      </c>
      <c r="V5027" s="3" t="s">
        <v>75</v>
      </c>
      <c r="W5027" s="3" t="s">
        <v>24077</v>
      </c>
      <c r="X5027" s="10" t="s">
        <v>24078</v>
      </c>
      <c r="Y5027" s="6" t="s">
        <v>42</v>
      </c>
      <c r="Z5027" s="4">
        <v>0.22</v>
      </c>
      <c r="AA5027" s="4">
        <v>3.86</v>
      </c>
      <c r="AB5027" s="3" t="s">
        <v>56</v>
      </c>
      <c r="AC5027" s="3" t="s">
        <v>24079</v>
      </c>
      <c r="AD5027" s="9">
        <v>43434</v>
      </c>
      <c r="AE5027" s="3" t="s">
        <v>1243</v>
      </c>
      <c r="AF5027" s="3" t="s">
        <v>176</v>
      </c>
      <c r="AG5027" s="3" t="s">
        <v>2542</v>
      </c>
      <c r="AH5027" s="11">
        <f>HYPERLINK("https://my.pitchbook.com?c=40754-08T","View Company Online")</f>
      </c>
    </row>
    <row r="5028">
      <c r="A5028" s="12" t="s">
        <v>24080</v>
      </c>
      <c r="B5028" s="12" t="s">
        <v>24081</v>
      </c>
      <c r="C5028" s="19" t="s">
        <v>36</v>
      </c>
      <c r="D5028" s="19" t="s">
        <v>36</v>
      </c>
      <c r="E5028" s="19" t="s">
        <v>36</v>
      </c>
      <c r="F5028" s="19" t="s">
        <v>36</v>
      </c>
      <c r="G5028" s="15" t="s">
        <v>36</v>
      </c>
      <c r="H5028" s="14">
        <v>47.86</v>
      </c>
      <c r="I5028" s="18">
        <v>18.7</v>
      </c>
      <c r="J5028" s="12" t="s">
        <v>521</v>
      </c>
      <c r="K5028" s="13" t="s">
        <v>36</v>
      </c>
      <c r="L5028" s="15" t="s">
        <v>36</v>
      </c>
      <c r="M5028" s="12" t="s">
        <v>36</v>
      </c>
      <c r="N5028" s="12" t="s">
        <v>36</v>
      </c>
      <c r="O5028" s="17" t="s">
        <v>36</v>
      </c>
      <c r="P5028" s="12" t="s">
        <v>36</v>
      </c>
      <c r="Q5028" s="12" t="s">
        <v>36</v>
      </c>
      <c r="R5028" s="12" t="s">
        <v>36</v>
      </c>
      <c r="S5028" s="12" t="s">
        <v>36</v>
      </c>
      <c r="T5028" s="12" t="s">
        <v>123</v>
      </c>
      <c r="U5028" s="12" t="s">
        <v>38</v>
      </c>
      <c r="V5028" s="12" t="s">
        <v>39</v>
      </c>
      <c r="W5028" s="12" t="s">
        <v>24082</v>
      </c>
      <c r="X5028" s="16" t="s">
        <v>24083</v>
      </c>
      <c r="Y5028" s="15" t="s">
        <v>42</v>
      </c>
      <c r="Z5028" s="14">
        <v>2.9</v>
      </c>
      <c r="AA5028" s="14">
        <v>7.74</v>
      </c>
      <c r="AB5028" s="12" t="s">
        <v>56</v>
      </c>
      <c r="AC5028" s="12" t="s">
        <v>24084</v>
      </c>
      <c r="AD5028" s="13">
        <v>43434</v>
      </c>
      <c r="AE5028" s="12" t="s">
        <v>110</v>
      </c>
      <c r="AF5028" s="12" t="s">
        <v>176</v>
      </c>
      <c r="AG5028" s="12" t="s">
        <v>81</v>
      </c>
      <c r="AH5028" s="1">
        <f>HYPERLINK("https://my.pitchbook.com?c=160097-86T","View Company Online")</f>
      </c>
    </row>
    <row r="5029">
      <c r="A5029" s="3" t="s">
        <v>24085</v>
      </c>
      <c r="B5029" s="3" t="s">
        <v>24086</v>
      </c>
      <c r="C5029" s="5" t="s">
        <v>36</v>
      </c>
      <c r="D5029" s="5" t="s">
        <v>36</v>
      </c>
      <c r="E5029" s="5" t="s">
        <v>36</v>
      </c>
      <c r="F5029" s="5" t="s">
        <v>36</v>
      </c>
      <c r="G5029" s="6" t="s">
        <v>326</v>
      </c>
      <c r="H5029" s="4">
        <v>6632.85</v>
      </c>
      <c r="I5029" s="7">
        <v>23.92</v>
      </c>
      <c r="J5029" s="3" t="s">
        <v>521</v>
      </c>
      <c r="K5029" s="9" t="s">
        <v>36</v>
      </c>
      <c r="L5029" s="6" t="s">
        <v>94</v>
      </c>
      <c r="M5029" s="3" t="s">
        <v>36</v>
      </c>
      <c r="N5029" s="3" t="s">
        <v>94</v>
      </c>
      <c r="O5029" s="8" t="s">
        <v>36</v>
      </c>
      <c r="P5029" s="3" t="s">
        <v>36</v>
      </c>
      <c r="Q5029" s="3" t="s">
        <v>36</v>
      </c>
      <c r="R5029" s="3" t="s">
        <v>36</v>
      </c>
      <c r="S5029" s="3" t="s">
        <v>36</v>
      </c>
      <c r="T5029" s="3" t="s">
        <v>189</v>
      </c>
      <c r="U5029" s="3" t="s">
        <v>180</v>
      </c>
      <c r="V5029" s="3" t="s">
        <v>52</v>
      </c>
      <c r="W5029" s="3" t="s">
        <v>24087</v>
      </c>
      <c r="X5029" s="10" t="s">
        <v>24088</v>
      </c>
      <c r="Y5029" s="6" t="s">
        <v>192</v>
      </c>
      <c r="Z5029" s="4">
        <v>26.33</v>
      </c>
      <c r="AA5029" s="4">
        <v>95.83</v>
      </c>
      <c r="AB5029" s="3" t="s">
        <v>56</v>
      </c>
      <c r="AC5029" s="3" t="s">
        <v>24089</v>
      </c>
      <c r="AD5029" s="9">
        <v>43433</v>
      </c>
      <c r="AE5029" s="3" t="s">
        <v>184</v>
      </c>
      <c r="AF5029" s="3" t="s">
        <v>3514</v>
      </c>
      <c r="AG5029" s="3" t="s">
        <v>81</v>
      </c>
      <c r="AH5029" s="11">
        <f>HYPERLINK("https://my.pitchbook.com?c=114179-32T","View Company Online")</f>
      </c>
    </row>
    <row r="5030">
      <c r="A5030" s="12" t="s">
        <v>24090</v>
      </c>
      <c r="B5030" s="12" t="s">
        <v>10849</v>
      </c>
      <c r="C5030" s="19">
        <v>40</v>
      </c>
      <c r="D5030" s="19">
        <v>4</v>
      </c>
      <c r="E5030" s="19">
        <v>21</v>
      </c>
      <c r="F5030" s="19">
        <v>44</v>
      </c>
      <c r="G5030" s="15" t="s">
        <v>36</v>
      </c>
      <c r="H5030" s="14" t="s">
        <v>36</v>
      </c>
      <c r="I5030" s="18" t="s">
        <v>36</v>
      </c>
      <c r="J5030" s="12" t="s">
        <v>36</v>
      </c>
      <c r="K5030" s="13" t="s">
        <v>36</v>
      </c>
      <c r="L5030" s="15" t="s">
        <v>36</v>
      </c>
      <c r="M5030" s="12" t="s">
        <v>36</v>
      </c>
      <c r="N5030" s="12" t="s">
        <v>36</v>
      </c>
      <c r="O5030" s="17" t="s">
        <v>36</v>
      </c>
      <c r="P5030" s="12" t="s">
        <v>36</v>
      </c>
      <c r="Q5030" s="12" t="s">
        <v>36</v>
      </c>
      <c r="R5030" s="12" t="s">
        <v>36</v>
      </c>
      <c r="S5030" s="12" t="s">
        <v>36</v>
      </c>
      <c r="T5030" s="12" t="s">
        <v>10850</v>
      </c>
      <c r="U5030" s="12" t="s">
        <v>51</v>
      </c>
      <c r="V5030" s="12" t="s">
        <v>52</v>
      </c>
      <c r="W5030" s="12" t="s">
        <v>10851</v>
      </c>
      <c r="X5030" s="16" t="s">
        <v>24091</v>
      </c>
      <c r="Y5030" s="15" t="s">
        <v>192</v>
      </c>
      <c r="Z5030" s="14">
        <v>45.48</v>
      </c>
      <c r="AA5030" s="14" t="s">
        <v>36</v>
      </c>
      <c r="AB5030" s="12" t="s">
        <v>43</v>
      </c>
      <c r="AC5030" s="12" t="s">
        <v>10853</v>
      </c>
      <c r="AD5030" s="13">
        <v>43433</v>
      </c>
      <c r="AE5030" s="12" t="s">
        <v>158</v>
      </c>
      <c r="AF5030" s="12" t="s">
        <v>7975</v>
      </c>
      <c r="AG5030" s="12" t="s">
        <v>81</v>
      </c>
      <c r="AH5030" s="1">
        <f>HYPERLINK("https://my.pitchbook.com?c=101273-68T","View Company Online")</f>
      </c>
    </row>
    <row r="5031">
      <c r="A5031" s="3" t="s">
        <v>24092</v>
      </c>
      <c r="B5031" s="3" t="s">
        <v>24093</v>
      </c>
      <c r="C5031" s="5" t="s">
        <v>36</v>
      </c>
      <c r="D5031" s="5">
        <v>6</v>
      </c>
      <c r="E5031" s="5">
        <v>1</v>
      </c>
      <c r="F5031" s="5">
        <v>7</v>
      </c>
      <c r="G5031" s="6" t="s">
        <v>326</v>
      </c>
      <c r="H5031" s="4">
        <v>38.43</v>
      </c>
      <c r="I5031" s="7">
        <v>18.82</v>
      </c>
      <c r="J5031" s="3" t="s">
        <v>521</v>
      </c>
      <c r="K5031" s="9" t="s">
        <v>36</v>
      </c>
      <c r="L5031" s="6" t="s">
        <v>36</v>
      </c>
      <c r="M5031" s="3" t="s">
        <v>36</v>
      </c>
      <c r="N5031" s="3" t="s">
        <v>36</v>
      </c>
      <c r="O5031" s="8" t="s">
        <v>36</v>
      </c>
      <c r="P5031" s="3" t="s">
        <v>36</v>
      </c>
      <c r="Q5031" s="3" t="s">
        <v>36</v>
      </c>
      <c r="R5031" s="3" t="s">
        <v>36</v>
      </c>
      <c r="S5031" s="3" t="s">
        <v>36</v>
      </c>
      <c r="T5031" s="3" t="s">
        <v>105</v>
      </c>
      <c r="U5031" s="3" t="s">
        <v>38</v>
      </c>
      <c r="V5031" s="3" t="s">
        <v>39</v>
      </c>
      <c r="W5031" s="3" t="s">
        <v>24094</v>
      </c>
      <c r="X5031" s="10" t="s">
        <v>24095</v>
      </c>
      <c r="Y5031" s="6" t="s">
        <v>108</v>
      </c>
      <c r="Z5031" s="4">
        <v>0.6</v>
      </c>
      <c r="AA5031" s="4">
        <v>3.19</v>
      </c>
      <c r="AB5031" s="3" t="s">
        <v>56</v>
      </c>
      <c r="AC5031" s="3" t="s">
        <v>24096</v>
      </c>
      <c r="AD5031" s="9">
        <v>43433</v>
      </c>
      <c r="AE5031" s="3" t="s">
        <v>110</v>
      </c>
      <c r="AF5031" s="3" t="s">
        <v>24097</v>
      </c>
      <c r="AG5031" s="3" t="s">
        <v>652</v>
      </c>
      <c r="AH5031" s="11">
        <f>HYPERLINK("https://my.pitchbook.com?c=115838-38T","View Company Online")</f>
      </c>
    </row>
    <row r="5032">
      <c r="A5032" s="12" t="s">
        <v>24098</v>
      </c>
      <c r="B5032" s="12" t="s">
        <v>24099</v>
      </c>
      <c r="C5032" s="19" t="s">
        <v>36</v>
      </c>
      <c r="D5032" s="19" t="s">
        <v>36</v>
      </c>
      <c r="E5032" s="19">
        <v>8</v>
      </c>
      <c r="F5032" s="19">
        <v>8</v>
      </c>
      <c r="G5032" s="15" t="s">
        <v>326</v>
      </c>
      <c r="H5032" s="14">
        <v>40.6</v>
      </c>
      <c r="I5032" s="18">
        <v>25.23</v>
      </c>
      <c r="J5032" s="12" t="s">
        <v>521</v>
      </c>
      <c r="K5032" s="13">
        <v>43388</v>
      </c>
      <c r="L5032" s="15" t="s">
        <v>122</v>
      </c>
      <c r="M5032" s="12" t="s">
        <v>36</v>
      </c>
      <c r="N5032" s="12" t="s">
        <v>122</v>
      </c>
      <c r="O5032" s="17" t="s">
        <v>36</v>
      </c>
      <c r="P5032" s="12" t="s">
        <v>36</v>
      </c>
      <c r="Q5032" s="12" t="s">
        <v>36</v>
      </c>
      <c r="R5032" s="12" t="s">
        <v>36</v>
      </c>
      <c r="S5032" s="12" t="s">
        <v>36</v>
      </c>
      <c r="T5032" s="12" t="s">
        <v>1935</v>
      </c>
      <c r="U5032" s="12" t="s">
        <v>38</v>
      </c>
      <c r="V5032" s="12" t="s">
        <v>39</v>
      </c>
      <c r="W5032" s="12" t="s">
        <v>24100</v>
      </c>
      <c r="X5032" s="16" t="s">
        <v>24101</v>
      </c>
      <c r="Y5032" s="15" t="s">
        <v>55</v>
      </c>
      <c r="Z5032" s="14">
        <v>4.6</v>
      </c>
      <c r="AA5032" s="14">
        <v>18.25</v>
      </c>
      <c r="AB5032" s="12" t="s">
        <v>43</v>
      </c>
      <c r="AC5032" s="12" t="s">
        <v>24102</v>
      </c>
      <c r="AD5032" s="13">
        <v>43432</v>
      </c>
      <c r="AE5032" s="12" t="s">
        <v>45</v>
      </c>
      <c r="AF5032" s="12" t="s">
        <v>24103</v>
      </c>
      <c r="AG5032" s="12" t="s">
        <v>1479</v>
      </c>
      <c r="AH5032" s="1">
        <f>HYPERLINK("https://my.pitchbook.com?c=114172-39T","View Company Online")</f>
      </c>
    </row>
    <row r="5033">
      <c r="A5033" s="3" t="s">
        <v>24104</v>
      </c>
      <c r="B5033" s="3" t="s">
        <v>24105</v>
      </c>
      <c r="C5033" s="5" t="s">
        <v>36</v>
      </c>
      <c r="D5033" s="5" t="s">
        <v>36</v>
      </c>
      <c r="E5033" s="5" t="s">
        <v>36</v>
      </c>
      <c r="F5033" s="5" t="s">
        <v>36</v>
      </c>
      <c r="G5033" s="6" t="s">
        <v>36</v>
      </c>
      <c r="H5033" s="4">
        <v>232.39</v>
      </c>
      <c r="I5033" s="7">
        <v>29.91</v>
      </c>
      <c r="J5033" s="3" t="s">
        <v>521</v>
      </c>
      <c r="K5033" s="9" t="s">
        <v>36</v>
      </c>
      <c r="L5033" s="6" t="s">
        <v>36</v>
      </c>
      <c r="M5033" s="3" t="s">
        <v>36</v>
      </c>
      <c r="N5033" s="3" t="s">
        <v>36</v>
      </c>
      <c r="O5033" s="8" t="s">
        <v>36</v>
      </c>
      <c r="P5033" s="3" t="s">
        <v>36</v>
      </c>
      <c r="Q5033" s="3" t="s">
        <v>36</v>
      </c>
      <c r="R5033" s="3" t="s">
        <v>36</v>
      </c>
      <c r="S5033" s="3" t="s">
        <v>36</v>
      </c>
      <c r="T5033" s="3" t="s">
        <v>11952</v>
      </c>
      <c r="U5033" s="3" t="s">
        <v>38</v>
      </c>
      <c r="V5033" s="3" t="s">
        <v>39</v>
      </c>
      <c r="W5033" s="3" t="s">
        <v>24106</v>
      </c>
      <c r="X5033" s="10" t="s">
        <v>24107</v>
      </c>
      <c r="Y5033" s="6" t="s">
        <v>42</v>
      </c>
      <c r="Z5033" s="4">
        <v>1.09</v>
      </c>
      <c r="AA5033" s="4">
        <v>3.63</v>
      </c>
      <c r="AB5033" s="3" t="s">
        <v>43</v>
      </c>
      <c r="AC5033" s="3" t="s">
        <v>24108</v>
      </c>
      <c r="AD5033" s="9">
        <v>43432</v>
      </c>
      <c r="AE5033" s="3" t="s">
        <v>110</v>
      </c>
      <c r="AF5033" s="3" t="s">
        <v>3334</v>
      </c>
      <c r="AG5033" s="3" t="s">
        <v>81</v>
      </c>
      <c r="AH5033" s="11">
        <f>HYPERLINK("https://my.pitchbook.com?c=114382-45T","View Company Online")</f>
      </c>
    </row>
    <row r="5034">
      <c r="A5034" s="12" t="s">
        <v>24109</v>
      </c>
      <c r="B5034" s="12" t="s">
        <v>24110</v>
      </c>
      <c r="C5034" s="19" t="s">
        <v>36</v>
      </c>
      <c r="D5034" s="19" t="s">
        <v>36</v>
      </c>
      <c r="E5034" s="19" t="s">
        <v>36</v>
      </c>
      <c r="F5034" s="19" t="s">
        <v>36</v>
      </c>
      <c r="G5034" s="15" t="s">
        <v>36</v>
      </c>
      <c r="H5034" s="14">
        <v>14354.17</v>
      </c>
      <c r="I5034" s="18">
        <v>29.08</v>
      </c>
      <c r="J5034" s="12" t="s">
        <v>521</v>
      </c>
      <c r="K5034" s="13" t="s">
        <v>36</v>
      </c>
      <c r="L5034" s="15" t="s">
        <v>36</v>
      </c>
      <c r="M5034" s="12" t="s">
        <v>36</v>
      </c>
      <c r="N5034" s="12" t="s">
        <v>36</v>
      </c>
      <c r="O5034" s="17" t="s">
        <v>36</v>
      </c>
      <c r="P5034" s="12" t="s">
        <v>36</v>
      </c>
      <c r="Q5034" s="12" t="s">
        <v>36</v>
      </c>
      <c r="R5034" s="12" t="s">
        <v>36</v>
      </c>
      <c r="S5034" s="12" t="s">
        <v>3570</v>
      </c>
      <c r="T5034" s="12" t="s">
        <v>7351</v>
      </c>
      <c r="U5034" s="12" t="s">
        <v>728</v>
      </c>
      <c r="V5034" s="12" t="s">
        <v>64</v>
      </c>
      <c r="W5034" s="12" t="s">
        <v>24111</v>
      </c>
      <c r="X5034" s="16" t="s">
        <v>24112</v>
      </c>
      <c r="Y5034" s="15" t="s">
        <v>42</v>
      </c>
      <c r="Z5034" s="14">
        <v>1.93</v>
      </c>
      <c r="AA5034" s="14">
        <v>6.65</v>
      </c>
      <c r="AB5034" s="12" t="s">
        <v>56</v>
      </c>
      <c r="AC5034" s="12" t="s">
        <v>24113</v>
      </c>
      <c r="AD5034" s="13">
        <v>43431</v>
      </c>
      <c r="AE5034" s="12" t="s">
        <v>1600</v>
      </c>
      <c r="AF5034" s="12" t="s">
        <v>12144</v>
      </c>
      <c r="AG5034" s="12" t="s">
        <v>24114</v>
      </c>
      <c r="AH5034" s="1">
        <f>HYPERLINK("https://my.pitchbook.com?c=227273-41T","View Company Online")</f>
      </c>
    </row>
    <row r="5035">
      <c r="A5035" s="3" t="s">
        <v>24115</v>
      </c>
      <c r="B5035" s="3" t="s">
        <v>24116</v>
      </c>
      <c r="C5035" s="5" t="s">
        <v>36</v>
      </c>
      <c r="D5035" s="5" t="s">
        <v>36</v>
      </c>
      <c r="E5035" s="5" t="s">
        <v>36</v>
      </c>
      <c r="F5035" s="5" t="s">
        <v>36</v>
      </c>
      <c r="G5035" s="6" t="s">
        <v>36</v>
      </c>
      <c r="H5035" s="4">
        <v>14354.17</v>
      </c>
      <c r="I5035" s="7">
        <v>29.08</v>
      </c>
      <c r="J5035" s="3" t="s">
        <v>521</v>
      </c>
      <c r="K5035" s="9" t="s">
        <v>36</v>
      </c>
      <c r="L5035" s="6" t="s">
        <v>36</v>
      </c>
      <c r="M5035" s="3" t="s">
        <v>36</v>
      </c>
      <c r="N5035" s="3" t="s">
        <v>36</v>
      </c>
      <c r="O5035" s="8" t="s">
        <v>36</v>
      </c>
      <c r="P5035" s="3" t="s">
        <v>36</v>
      </c>
      <c r="Q5035" s="3" t="s">
        <v>36</v>
      </c>
      <c r="R5035" s="3" t="s">
        <v>36</v>
      </c>
      <c r="S5035" s="3" t="s">
        <v>36</v>
      </c>
      <c r="T5035" s="3" t="s">
        <v>24117</v>
      </c>
      <c r="U5035" s="3" t="s">
        <v>289</v>
      </c>
      <c r="V5035" s="3" t="s">
        <v>64</v>
      </c>
      <c r="W5035" s="3" t="s">
        <v>24118</v>
      </c>
      <c r="X5035" s="10" t="s">
        <v>24119</v>
      </c>
      <c r="Y5035" s="6" t="s">
        <v>42</v>
      </c>
      <c r="Z5035" s="4">
        <v>1.93</v>
      </c>
      <c r="AA5035" s="4">
        <v>6.65</v>
      </c>
      <c r="AB5035" s="3" t="s">
        <v>56</v>
      </c>
      <c r="AC5035" s="3" t="s">
        <v>24120</v>
      </c>
      <c r="AD5035" s="9">
        <v>43431</v>
      </c>
      <c r="AE5035" s="3" t="s">
        <v>3134</v>
      </c>
      <c r="AF5035" s="3" t="s">
        <v>1061</v>
      </c>
      <c r="AG5035" s="3" t="s">
        <v>382</v>
      </c>
      <c r="AH5035" s="11">
        <f>HYPERLINK("https://my.pitchbook.com?c=204532-66T","View Company Online")</f>
      </c>
    </row>
    <row r="5036">
      <c r="A5036" s="12" t="s">
        <v>24121</v>
      </c>
      <c r="B5036" s="12" t="s">
        <v>12799</v>
      </c>
      <c r="C5036" s="19" t="s">
        <v>36</v>
      </c>
      <c r="D5036" s="19" t="s">
        <v>36</v>
      </c>
      <c r="E5036" s="19" t="s">
        <v>36</v>
      </c>
      <c r="F5036" s="19" t="s">
        <v>36</v>
      </c>
      <c r="G5036" s="15" t="s">
        <v>326</v>
      </c>
      <c r="H5036" s="14">
        <v>253.21</v>
      </c>
      <c r="I5036" s="18">
        <v>32.06</v>
      </c>
      <c r="J5036" s="12" t="s">
        <v>521</v>
      </c>
      <c r="K5036" s="13" t="s">
        <v>36</v>
      </c>
      <c r="L5036" s="15" t="s">
        <v>94</v>
      </c>
      <c r="M5036" s="12" t="s">
        <v>36</v>
      </c>
      <c r="N5036" s="12" t="s">
        <v>94</v>
      </c>
      <c r="O5036" s="17" t="s">
        <v>36</v>
      </c>
      <c r="P5036" s="12" t="s">
        <v>36</v>
      </c>
      <c r="Q5036" s="12" t="s">
        <v>36</v>
      </c>
      <c r="R5036" s="12" t="s">
        <v>36</v>
      </c>
      <c r="S5036" s="12" t="s">
        <v>36</v>
      </c>
      <c r="T5036" s="12" t="s">
        <v>12800</v>
      </c>
      <c r="U5036" s="12" t="s">
        <v>833</v>
      </c>
      <c r="V5036" s="12" t="s">
        <v>64</v>
      </c>
      <c r="W5036" s="12" t="s">
        <v>12801</v>
      </c>
      <c r="X5036" s="16" t="s">
        <v>24122</v>
      </c>
      <c r="Y5036" s="15" t="s">
        <v>55</v>
      </c>
      <c r="Z5036" s="14">
        <v>17.05</v>
      </c>
      <c r="AA5036" s="14">
        <v>31.92</v>
      </c>
      <c r="AB5036" s="12" t="s">
        <v>43</v>
      </c>
      <c r="AC5036" s="12" t="s">
        <v>12803</v>
      </c>
      <c r="AD5036" s="13">
        <v>43431</v>
      </c>
      <c r="AE5036" s="12" t="s">
        <v>1687</v>
      </c>
      <c r="AF5036" s="12" t="s">
        <v>90</v>
      </c>
      <c r="AG5036" s="12" t="s">
        <v>81</v>
      </c>
      <c r="AH5036" s="1">
        <f>HYPERLINK("https://my.pitchbook.com?c=114139-00T","View Company Online")</f>
      </c>
    </row>
    <row r="5037">
      <c r="A5037" s="3" t="s">
        <v>24123</v>
      </c>
      <c r="B5037" s="3" t="s">
        <v>24124</v>
      </c>
      <c r="C5037" s="5" t="s">
        <v>36</v>
      </c>
      <c r="D5037" s="5" t="s">
        <v>36</v>
      </c>
      <c r="E5037" s="5" t="s">
        <v>36</v>
      </c>
      <c r="F5037" s="5" t="s">
        <v>36</v>
      </c>
      <c r="G5037" s="6" t="s">
        <v>326</v>
      </c>
      <c r="H5037" s="4">
        <v>0.66</v>
      </c>
      <c r="I5037" s="7">
        <v>11.76</v>
      </c>
      <c r="J5037" s="3" t="s">
        <v>521</v>
      </c>
      <c r="K5037" s="9" t="s">
        <v>36</v>
      </c>
      <c r="L5037" s="6" t="s">
        <v>36</v>
      </c>
      <c r="M5037" s="3" t="s">
        <v>36</v>
      </c>
      <c r="N5037" s="3" t="s">
        <v>36</v>
      </c>
      <c r="O5037" s="8" t="s">
        <v>36</v>
      </c>
      <c r="P5037" s="3" t="s">
        <v>36</v>
      </c>
      <c r="Q5037" s="3" t="s">
        <v>36</v>
      </c>
      <c r="R5037" s="3" t="s">
        <v>36</v>
      </c>
      <c r="S5037" s="3" t="s">
        <v>36</v>
      </c>
      <c r="T5037" s="3" t="s">
        <v>24125</v>
      </c>
      <c r="U5037" s="3" t="s">
        <v>648</v>
      </c>
      <c r="V5037" s="3" t="s">
        <v>64</v>
      </c>
      <c r="W5037" s="3" t="s">
        <v>24126</v>
      </c>
      <c r="X5037" s="10" t="s">
        <v>24127</v>
      </c>
      <c r="Y5037" s="6" t="s">
        <v>108</v>
      </c>
      <c r="Z5037" s="4">
        <v>0.45</v>
      </c>
      <c r="AA5037" s="4">
        <v>3.86</v>
      </c>
      <c r="AB5037" s="3" t="s">
        <v>56</v>
      </c>
      <c r="AC5037" s="3" t="s">
        <v>24128</v>
      </c>
      <c r="AD5037" s="9">
        <v>43430</v>
      </c>
      <c r="AE5037" s="3" t="s">
        <v>1897</v>
      </c>
      <c r="AF5037" s="3" t="s">
        <v>1115</v>
      </c>
      <c r="AG5037" s="3" t="s">
        <v>24129</v>
      </c>
      <c r="AH5037" s="11">
        <f>HYPERLINK("https://my.pitchbook.com?c=187783-21T","View Company Online")</f>
      </c>
    </row>
    <row r="5038">
      <c r="A5038" s="12" t="s">
        <v>24130</v>
      </c>
      <c r="B5038" s="12" t="s">
        <v>24131</v>
      </c>
      <c r="C5038" s="19" t="s">
        <v>36</v>
      </c>
      <c r="D5038" s="19" t="s">
        <v>36</v>
      </c>
      <c r="E5038" s="19" t="s">
        <v>36</v>
      </c>
      <c r="F5038" s="19" t="s">
        <v>36</v>
      </c>
      <c r="G5038" s="15" t="s">
        <v>36</v>
      </c>
      <c r="H5038" s="14">
        <v>95.45</v>
      </c>
      <c r="I5038" s="18">
        <v>37.3</v>
      </c>
      <c r="J5038" s="12" t="s">
        <v>521</v>
      </c>
      <c r="K5038" s="13" t="s">
        <v>36</v>
      </c>
      <c r="L5038" s="15" t="s">
        <v>36</v>
      </c>
      <c r="M5038" s="12" t="s">
        <v>36</v>
      </c>
      <c r="N5038" s="12" t="s">
        <v>36</v>
      </c>
      <c r="O5038" s="17" t="s">
        <v>36</v>
      </c>
      <c r="P5038" s="12" t="s">
        <v>36</v>
      </c>
      <c r="Q5038" s="12" t="s">
        <v>36</v>
      </c>
      <c r="R5038" s="12" t="s">
        <v>36</v>
      </c>
      <c r="S5038" s="12" t="s">
        <v>36</v>
      </c>
      <c r="T5038" s="12" t="s">
        <v>24132</v>
      </c>
      <c r="U5038" s="12" t="s">
        <v>279</v>
      </c>
      <c r="V5038" s="12" t="s">
        <v>64</v>
      </c>
      <c r="W5038" s="12" t="s">
        <v>24133</v>
      </c>
      <c r="X5038" s="16" t="s">
        <v>24134</v>
      </c>
      <c r="Y5038" s="15" t="s">
        <v>55</v>
      </c>
      <c r="Z5038" s="14">
        <v>6.82</v>
      </c>
      <c r="AA5038" s="14">
        <v>15.48</v>
      </c>
      <c r="AB5038" s="12" t="s">
        <v>43</v>
      </c>
      <c r="AC5038" s="12" t="s">
        <v>24135</v>
      </c>
      <c r="AD5038" s="13">
        <v>43430</v>
      </c>
      <c r="AE5038" s="12" t="s">
        <v>283</v>
      </c>
      <c r="AF5038" s="12" t="s">
        <v>23998</v>
      </c>
      <c r="AG5038" s="12" t="s">
        <v>81</v>
      </c>
      <c r="AH5038" s="1">
        <f>HYPERLINK("https://my.pitchbook.com?c=114052-42T","View Company Online")</f>
      </c>
    </row>
    <row r="5039">
      <c r="A5039" s="3" t="s">
        <v>24136</v>
      </c>
      <c r="B5039" s="3" t="s">
        <v>12315</v>
      </c>
      <c r="C5039" s="5" t="s">
        <v>36</v>
      </c>
      <c r="D5039" s="5" t="s">
        <v>36</v>
      </c>
      <c r="E5039" s="5" t="s">
        <v>36</v>
      </c>
      <c r="F5039" s="5" t="s">
        <v>36</v>
      </c>
      <c r="G5039" s="6" t="s">
        <v>326</v>
      </c>
      <c r="H5039" s="4">
        <v>263.8</v>
      </c>
      <c r="I5039" s="7">
        <v>24.71</v>
      </c>
      <c r="J5039" s="3" t="s">
        <v>521</v>
      </c>
      <c r="K5039" s="9" t="s">
        <v>36</v>
      </c>
      <c r="L5039" s="6" t="s">
        <v>36</v>
      </c>
      <c r="M5039" s="3" t="s">
        <v>36</v>
      </c>
      <c r="N5039" s="3" t="s">
        <v>36</v>
      </c>
      <c r="O5039" s="8" t="s">
        <v>36</v>
      </c>
      <c r="P5039" s="3" t="s">
        <v>36</v>
      </c>
      <c r="Q5039" s="3" t="s">
        <v>36</v>
      </c>
      <c r="R5039" s="3" t="s">
        <v>36</v>
      </c>
      <c r="S5039" s="3" t="s">
        <v>36</v>
      </c>
      <c r="T5039" s="3" t="s">
        <v>4876</v>
      </c>
      <c r="U5039" s="3" t="s">
        <v>1357</v>
      </c>
      <c r="V5039" s="3" t="s">
        <v>52</v>
      </c>
      <c r="W5039" s="3" t="s">
        <v>12316</v>
      </c>
      <c r="X5039" s="10" t="s">
        <v>24137</v>
      </c>
      <c r="Y5039" s="6" t="s">
        <v>42</v>
      </c>
      <c r="Z5039" s="4">
        <v>1.21</v>
      </c>
      <c r="AA5039" s="4">
        <v>4.91</v>
      </c>
      <c r="AB5039" s="3" t="s">
        <v>43</v>
      </c>
      <c r="AC5039" s="3" t="s">
        <v>12318</v>
      </c>
      <c r="AD5039" s="9">
        <v>43430</v>
      </c>
      <c r="AE5039" s="3" t="s">
        <v>2808</v>
      </c>
      <c r="AF5039" s="3" t="s">
        <v>101</v>
      </c>
      <c r="AG5039" s="3" t="s">
        <v>12319</v>
      </c>
      <c r="AH5039" s="11">
        <f>HYPERLINK("https://my.pitchbook.com?c=124087-69T","View Company Online")</f>
      </c>
    </row>
    <row r="5040">
      <c r="A5040" s="12" t="s">
        <v>24138</v>
      </c>
      <c r="B5040" s="12" t="s">
        <v>14058</v>
      </c>
      <c r="C5040" s="19" t="s">
        <v>36</v>
      </c>
      <c r="D5040" s="19" t="s">
        <v>36</v>
      </c>
      <c r="E5040" s="19" t="s">
        <v>36</v>
      </c>
      <c r="F5040" s="19" t="s">
        <v>36</v>
      </c>
      <c r="G5040" s="15" t="s">
        <v>36</v>
      </c>
      <c r="H5040" s="14" t="s">
        <v>36</v>
      </c>
      <c r="I5040" s="18" t="s">
        <v>36</v>
      </c>
      <c r="J5040" s="12" t="s">
        <v>36</v>
      </c>
      <c r="K5040" s="13" t="s">
        <v>36</v>
      </c>
      <c r="L5040" s="15" t="s">
        <v>36</v>
      </c>
      <c r="M5040" s="12" t="s">
        <v>36</v>
      </c>
      <c r="N5040" s="12" t="s">
        <v>36</v>
      </c>
      <c r="O5040" s="17" t="s">
        <v>36</v>
      </c>
      <c r="P5040" s="12" t="s">
        <v>36</v>
      </c>
      <c r="Q5040" s="12" t="s">
        <v>36</v>
      </c>
      <c r="R5040" s="12" t="s">
        <v>36</v>
      </c>
      <c r="S5040" s="12" t="s">
        <v>36</v>
      </c>
      <c r="T5040" s="12" t="s">
        <v>14059</v>
      </c>
      <c r="U5040" s="12" t="s">
        <v>63</v>
      </c>
      <c r="V5040" s="12" t="s">
        <v>64</v>
      </c>
      <c r="W5040" s="12" t="s">
        <v>14060</v>
      </c>
      <c r="X5040" s="16" t="s">
        <v>24139</v>
      </c>
      <c r="Y5040" s="15" t="s">
        <v>108</v>
      </c>
      <c r="Z5040" s="14">
        <v>22.74</v>
      </c>
      <c r="AA5040" s="14" t="s">
        <v>36</v>
      </c>
      <c r="AB5040" s="12" t="s">
        <v>56</v>
      </c>
      <c r="AC5040" s="12" t="s">
        <v>14062</v>
      </c>
      <c r="AD5040" s="13">
        <v>43430</v>
      </c>
      <c r="AE5040" s="12" t="s">
        <v>68</v>
      </c>
      <c r="AF5040" s="12" t="s">
        <v>5769</v>
      </c>
      <c r="AG5040" s="12" t="s">
        <v>81</v>
      </c>
      <c r="AH5040" s="1">
        <f>HYPERLINK("https://my.pitchbook.com?c=114101-65T","View Company Online")</f>
      </c>
    </row>
    <row r="5041">
      <c r="A5041" s="3" t="s">
        <v>24140</v>
      </c>
      <c r="B5041" s="3" t="s">
        <v>24141</v>
      </c>
      <c r="C5041" s="5" t="s">
        <v>36</v>
      </c>
      <c r="D5041" s="5">
        <v>2</v>
      </c>
      <c r="E5041" s="5">
        <v>1</v>
      </c>
      <c r="F5041" s="5">
        <v>2</v>
      </c>
      <c r="G5041" s="6" t="s">
        <v>36</v>
      </c>
      <c r="H5041" s="4">
        <v>142.29</v>
      </c>
      <c r="I5041" s="7">
        <v>20.23</v>
      </c>
      <c r="J5041" s="3" t="s">
        <v>521</v>
      </c>
      <c r="K5041" s="9" t="s">
        <v>36</v>
      </c>
      <c r="L5041" s="6" t="s">
        <v>94</v>
      </c>
      <c r="M5041" s="3" t="s">
        <v>36</v>
      </c>
      <c r="N5041" s="3" t="s">
        <v>94</v>
      </c>
      <c r="O5041" s="8" t="s">
        <v>36</v>
      </c>
      <c r="P5041" s="3" t="s">
        <v>36</v>
      </c>
      <c r="Q5041" s="3" t="s">
        <v>36</v>
      </c>
      <c r="R5041" s="3" t="s">
        <v>36</v>
      </c>
      <c r="S5041" s="3" t="s">
        <v>36</v>
      </c>
      <c r="T5041" s="3" t="s">
        <v>24142</v>
      </c>
      <c r="U5041" s="3" t="s">
        <v>833</v>
      </c>
      <c r="V5041" s="3" t="s">
        <v>64</v>
      </c>
      <c r="W5041" s="3" t="s">
        <v>24143</v>
      </c>
      <c r="X5041" s="10" t="s">
        <v>24144</v>
      </c>
      <c r="Y5041" s="6" t="s">
        <v>55</v>
      </c>
      <c r="Z5041" s="4">
        <v>5.12</v>
      </c>
      <c r="AA5041" s="4">
        <v>25.31</v>
      </c>
      <c r="AB5041" s="3" t="s">
        <v>43</v>
      </c>
      <c r="AC5041" s="3" t="s">
        <v>24145</v>
      </c>
      <c r="AD5041" s="9">
        <v>43427</v>
      </c>
      <c r="AE5041" s="3" t="s">
        <v>1769</v>
      </c>
      <c r="AF5041" s="3" t="s">
        <v>2118</v>
      </c>
      <c r="AG5041" s="3" t="s">
        <v>81</v>
      </c>
      <c r="AH5041" s="11">
        <f>HYPERLINK("https://my.pitchbook.com?c=116350-30T","View Company Online")</f>
      </c>
    </row>
    <row r="5042">
      <c r="A5042" s="12" t="s">
        <v>24146</v>
      </c>
      <c r="B5042" s="12" t="s">
        <v>24147</v>
      </c>
      <c r="C5042" s="19" t="s">
        <v>36</v>
      </c>
      <c r="D5042" s="19" t="s">
        <v>36</v>
      </c>
      <c r="E5042" s="19" t="s">
        <v>36</v>
      </c>
      <c r="F5042" s="19" t="s">
        <v>36</v>
      </c>
      <c r="G5042" s="15" t="s">
        <v>36</v>
      </c>
      <c r="H5042" s="14" t="s">
        <v>36</v>
      </c>
      <c r="I5042" s="18" t="s">
        <v>36</v>
      </c>
      <c r="J5042" s="12" t="s">
        <v>36</v>
      </c>
      <c r="K5042" s="13" t="s">
        <v>36</v>
      </c>
      <c r="L5042" s="15" t="s">
        <v>36</v>
      </c>
      <c r="M5042" s="12" t="s">
        <v>36</v>
      </c>
      <c r="N5042" s="12" t="s">
        <v>36</v>
      </c>
      <c r="O5042" s="17" t="s">
        <v>36</v>
      </c>
      <c r="P5042" s="12" t="s">
        <v>36</v>
      </c>
      <c r="Q5042" s="12" t="s">
        <v>36</v>
      </c>
      <c r="R5042" s="12" t="s">
        <v>36</v>
      </c>
      <c r="S5042" s="12" t="s">
        <v>36</v>
      </c>
      <c r="T5042" s="12" t="s">
        <v>24148</v>
      </c>
      <c r="U5042" s="12" t="s">
        <v>648</v>
      </c>
      <c r="V5042" s="12" t="s">
        <v>64</v>
      </c>
      <c r="W5042" s="12" t="s">
        <v>24149</v>
      </c>
      <c r="X5042" s="16" t="s">
        <v>24150</v>
      </c>
      <c r="Y5042" s="15" t="s">
        <v>42</v>
      </c>
      <c r="Z5042" s="14">
        <v>0.23</v>
      </c>
      <c r="AA5042" s="14" t="s">
        <v>36</v>
      </c>
      <c r="AB5042" s="12" t="s">
        <v>43</v>
      </c>
      <c r="AC5042" s="12" t="s">
        <v>24151</v>
      </c>
      <c r="AD5042" s="13">
        <v>43426</v>
      </c>
      <c r="AE5042" s="12" t="s">
        <v>12653</v>
      </c>
      <c r="AF5042" s="12" t="s">
        <v>8607</v>
      </c>
      <c r="AG5042" s="12" t="s">
        <v>81</v>
      </c>
      <c r="AH5042" s="1">
        <f>HYPERLINK("https://my.pitchbook.com?c=124942-15T","View Company Online")</f>
      </c>
    </row>
    <row r="5043">
      <c r="A5043" s="3" t="s">
        <v>24152</v>
      </c>
      <c r="B5043" s="3" t="s">
        <v>8960</v>
      </c>
      <c r="C5043" s="5" t="s">
        <v>36</v>
      </c>
      <c r="D5043" s="5">
        <v>1</v>
      </c>
      <c r="E5043" s="5">
        <v>1</v>
      </c>
      <c r="F5043" s="5">
        <v>2</v>
      </c>
      <c r="G5043" s="6" t="s">
        <v>326</v>
      </c>
      <c r="H5043" s="4">
        <v>30.77</v>
      </c>
      <c r="I5043" s="7">
        <v>10.46</v>
      </c>
      <c r="J5043" s="3" t="s">
        <v>521</v>
      </c>
      <c r="K5043" s="9" t="s">
        <v>36</v>
      </c>
      <c r="L5043" s="6" t="s">
        <v>36</v>
      </c>
      <c r="M5043" s="3" t="s">
        <v>36</v>
      </c>
      <c r="N5043" s="3" t="s">
        <v>36</v>
      </c>
      <c r="O5043" s="8" t="s">
        <v>36</v>
      </c>
      <c r="P5043" s="3" t="s">
        <v>36</v>
      </c>
      <c r="Q5043" s="3" t="s">
        <v>36</v>
      </c>
      <c r="R5043" s="3" t="s">
        <v>36</v>
      </c>
      <c r="S5043" s="3" t="s">
        <v>36</v>
      </c>
      <c r="T5043" s="3" t="s">
        <v>8961</v>
      </c>
      <c r="U5043" s="3" t="s">
        <v>38</v>
      </c>
      <c r="V5043" s="3" t="s">
        <v>39</v>
      </c>
      <c r="W5043" s="3" t="s">
        <v>8962</v>
      </c>
      <c r="X5043" s="10" t="s">
        <v>24153</v>
      </c>
      <c r="Y5043" s="6" t="s">
        <v>108</v>
      </c>
      <c r="Z5043" s="4">
        <v>0.62</v>
      </c>
      <c r="AA5043" s="4">
        <v>5.97</v>
      </c>
      <c r="AB5043" s="3" t="s">
        <v>43</v>
      </c>
      <c r="AC5043" s="3" t="s">
        <v>8963</v>
      </c>
      <c r="AD5043" s="9">
        <v>43425</v>
      </c>
      <c r="AE5043" s="3" t="s">
        <v>554</v>
      </c>
      <c r="AF5043" s="3" t="s">
        <v>6347</v>
      </c>
      <c r="AG5043" s="3" t="s">
        <v>8964</v>
      </c>
      <c r="AH5043" s="11">
        <f>HYPERLINK("https://my.pitchbook.com?c=193995-01T","View Company Online")</f>
      </c>
    </row>
    <row r="5044">
      <c r="A5044" s="12" t="s">
        <v>24154</v>
      </c>
      <c r="B5044" s="12" t="s">
        <v>24155</v>
      </c>
      <c r="C5044" s="19" t="s">
        <v>36</v>
      </c>
      <c r="D5044" s="19" t="s">
        <v>36</v>
      </c>
      <c r="E5044" s="19" t="s">
        <v>36</v>
      </c>
      <c r="F5044" s="19" t="s">
        <v>36</v>
      </c>
      <c r="G5044" s="15" t="s">
        <v>36</v>
      </c>
      <c r="H5044" s="14" t="s">
        <v>36</v>
      </c>
      <c r="I5044" s="18" t="s">
        <v>36</v>
      </c>
      <c r="J5044" s="12" t="s">
        <v>36</v>
      </c>
      <c r="K5044" s="13" t="s">
        <v>36</v>
      </c>
      <c r="L5044" s="15" t="s">
        <v>122</v>
      </c>
      <c r="M5044" s="12" t="s">
        <v>36</v>
      </c>
      <c r="N5044" s="12" t="s">
        <v>122</v>
      </c>
      <c r="O5044" s="17" t="s">
        <v>36</v>
      </c>
      <c r="P5044" s="12" t="s">
        <v>36</v>
      </c>
      <c r="Q5044" s="12" t="s">
        <v>36</v>
      </c>
      <c r="R5044" s="12" t="s">
        <v>36</v>
      </c>
      <c r="S5044" s="12" t="s">
        <v>36</v>
      </c>
      <c r="T5044" s="12" t="s">
        <v>105</v>
      </c>
      <c r="U5044" s="12" t="s">
        <v>38</v>
      </c>
      <c r="V5044" s="12" t="s">
        <v>39</v>
      </c>
      <c r="W5044" s="12" t="s">
        <v>24156</v>
      </c>
      <c r="X5044" s="16" t="s">
        <v>24157</v>
      </c>
      <c r="Y5044" s="15" t="s">
        <v>42</v>
      </c>
      <c r="Z5044" s="14">
        <v>9.11</v>
      </c>
      <c r="AA5044" s="14" t="s">
        <v>36</v>
      </c>
      <c r="AB5044" s="12" t="s">
        <v>43</v>
      </c>
      <c r="AC5044" s="12" t="s">
        <v>24158</v>
      </c>
      <c r="AD5044" s="13">
        <v>43424</v>
      </c>
      <c r="AE5044" s="12" t="s">
        <v>110</v>
      </c>
      <c r="AF5044" s="12" t="s">
        <v>36</v>
      </c>
      <c r="AG5044" s="12" t="s">
        <v>81</v>
      </c>
      <c r="AH5044" s="1">
        <f>HYPERLINK("https://my.pitchbook.com?c=113900-50T","View Company Online")</f>
      </c>
    </row>
    <row r="5045">
      <c r="A5045" s="3" t="s">
        <v>24159</v>
      </c>
      <c r="B5045" s="3" t="s">
        <v>24160</v>
      </c>
      <c r="C5045" s="5" t="s">
        <v>36</v>
      </c>
      <c r="D5045" s="5" t="s">
        <v>36</v>
      </c>
      <c r="E5045" s="5" t="s">
        <v>36</v>
      </c>
      <c r="F5045" s="5" t="s">
        <v>36</v>
      </c>
      <c r="G5045" s="6" t="s">
        <v>326</v>
      </c>
      <c r="H5045" s="4">
        <v>32.35</v>
      </c>
      <c r="I5045" s="7">
        <v>38.05</v>
      </c>
      <c r="J5045" s="3" t="s">
        <v>521</v>
      </c>
      <c r="K5045" s="9">
        <v>42892</v>
      </c>
      <c r="L5045" s="6" t="s">
        <v>36</v>
      </c>
      <c r="M5045" s="3" t="s">
        <v>36</v>
      </c>
      <c r="N5045" s="3" t="s">
        <v>36</v>
      </c>
      <c r="O5045" s="8" t="s">
        <v>36</v>
      </c>
      <c r="P5045" s="3" t="s">
        <v>36</v>
      </c>
      <c r="Q5045" s="3" t="s">
        <v>36</v>
      </c>
      <c r="R5045" s="3" t="s">
        <v>36</v>
      </c>
      <c r="S5045" s="3" t="s">
        <v>36</v>
      </c>
      <c r="T5045" s="3" t="s">
        <v>6694</v>
      </c>
      <c r="U5045" s="3" t="s">
        <v>728</v>
      </c>
      <c r="V5045" s="3" t="s">
        <v>64</v>
      </c>
      <c r="W5045" s="3" t="s">
        <v>24161</v>
      </c>
      <c r="X5045" s="10" t="s">
        <v>8174</v>
      </c>
      <c r="Y5045" s="6" t="s">
        <v>108</v>
      </c>
      <c r="Z5045" s="4">
        <v>1</v>
      </c>
      <c r="AA5045" s="4">
        <v>2.62</v>
      </c>
      <c r="AB5045" s="3" t="s">
        <v>43</v>
      </c>
      <c r="AC5045" s="3" t="s">
        <v>24162</v>
      </c>
      <c r="AD5045" s="9">
        <v>43424</v>
      </c>
      <c r="AE5045" s="3" t="s">
        <v>2154</v>
      </c>
      <c r="AF5045" s="3" t="s">
        <v>733</v>
      </c>
      <c r="AG5045" s="3" t="s">
        <v>81</v>
      </c>
      <c r="AH5045" s="11">
        <f>HYPERLINK("https://my.pitchbook.com?c=105928-75T","View Company Online")</f>
      </c>
    </row>
    <row r="5046">
      <c r="A5046" s="12" t="s">
        <v>24163</v>
      </c>
      <c r="B5046" s="12" t="s">
        <v>4174</v>
      </c>
      <c r="C5046" s="19">
        <v>19</v>
      </c>
      <c r="D5046" s="19">
        <v>18</v>
      </c>
      <c r="E5046" s="19">
        <v>11</v>
      </c>
      <c r="F5046" s="19">
        <v>39</v>
      </c>
      <c r="G5046" s="15" t="s">
        <v>2497</v>
      </c>
      <c r="H5046" s="14">
        <v>139.38</v>
      </c>
      <c r="I5046" s="18">
        <v>57.74</v>
      </c>
      <c r="J5046" s="12" t="s">
        <v>521</v>
      </c>
      <c r="K5046" s="13" t="s">
        <v>36</v>
      </c>
      <c r="L5046" s="15" t="s">
        <v>122</v>
      </c>
      <c r="M5046" s="12" t="s">
        <v>36</v>
      </c>
      <c r="N5046" s="12" t="s">
        <v>122</v>
      </c>
      <c r="O5046" s="17" t="s">
        <v>36</v>
      </c>
      <c r="P5046" s="12" t="s">
        <v>36</v>
      </c>
      <c r="Q5046" s="12" t="s">
        <v>36</v>
      </c>
      <c r="R5046" s="12" t="s">
        <v>36</v>
      </c>
      <c r="S5046" s="12" t="s">
        <v>36</v>
      </c>
      <c r="T5046" s="12" t="s">
        <v>4175</v>
      </c>
      <c r="U5046" s="12" t="s">
        <v>51</v>
      </c>
      <c r="V5046" s="12" t="s">
        <v>52</v>
      </c>
      <c r="W5046" s="12" t="s">
        <v>4176</v>
      </c>
      <c r="X5046" s="16" t="s">
        <v>24164</v>
      </c>
      <c r="Y5046" s="15" t="s">
        <v>108</v>
      </c>
      <c r="Z5046" s="14">
        <v>18.21</v>
      </c>
      <c r="AA5046" s="14">
        <v>21.68</v>
      </c>
      <c r="AB5046" s="12" t="s">
        <v>56</v>
      </c>
      <c r="AC5046" s="12" t="s">
        <v>4178</v>
      </c>
      <c r="AD5046" s="13">
        <v>43424</v>
      </c>
      <c r="AE5046" s="12" t="s">
        <v>58</v>
      </c>
      <c r="AF5046" s="12" t="s">
        <v>3193</v>
      </c>
      <c r="AG5046" s="12" t="s">
        <v>4179</v>
      </c>
      <c r="AH5046" s="1">
        <f>HYPERLINK("https://my.pitchbook.com?c=113919-40T","View Company Online")</f>
      </c>
    </row>
    <row r="5047">
      <c r="A5047" s="3" t="s">
        <v>24165</v>
      </c>
      <c r="B5047" s="3" t="s">
        <v>24166</v>
      </c>
      <c r="C5047" s="5" t="s">
        <v>36</v>
      </c>
      <c r="D5047" s="5" t="s">
        <v>36</v>
      </c>
      <c r="E5047" s="5" t="s">
        <v>36</v>
      </c>
      <c r="F5047" s="5" t="s">
        <v>36</v>
      </c>
      <c r="G5047" s="6" t="s">
        <v>36</v>
      </c>
      <c r="H5047" s="4" t="s">
        <v>36</v>
      </c>
      <c r="I5047" s="7" t="s">
        <v>36</v>
      </c>
      <c r="J5047" s="3" t="s">
        <v>36</v>
      </c>
      <c r="K5047" s="9" t="s">
        <v>36</v>
      </c>
      <c r="L5047" s="6" t="s">
        <v>36</v>
      </c>
      <c r="M5047" s="3" t="s">
        <v>36</v>
      </c>
      <c r="N5047" s="3" t="s">
        <v>36</v>
      </c>
      <c r="O5047" s="8" t="s">
        <v>36</v>
      </c>
      <c r="P5047" s="3" t="s">
        <v>36</v>
      </c>
      <c r="Q5047" s="3" t="s">
        <v>36</v>
      </c>
      <c r="R5047" s="3" t="s">
        <v>36</v>
      </c>
      <c r="S5047" s="3" t="s">
        <v>36</v>
      </c>
      <c r="T5047" s="3" t="s">
        <v>18263</v>
      </c>
      <c r="U5047" s="3" t="s">
        <v>38</v>
      </c>
      <c r="V5047" s="3" t="s">
        <v>39</v>
      </c>
      <c r="W5047" s="3" t="s">
        <v>24167</v>
      </c>
      <c r="X5047" s="10" t="s">
        <v>24168</v>
      </c>
      <c r="Y5047" s="6" t="s">
        <v>42</v>
      </c>
      <c r="Z5047" s="4" t="s">
        <v>36</v>
      </c>
      <c r="AA5047" s="4" t="s">
        <v>36</v>
      </c>
      <c r="AB5047" s="3" t="s">
        <v>43</v>
      </c>
      <c r="AC5047" s="3" t="s">
        <v>24169</v>
      </c>
      <c r="AD5047" s="9">
        <v>43423</v>
      </c>
      <c r="AE5047" s="3" t="s">
        <v>554</v>
      </c>
      <c r="AF5047" s="3" t="s">
        <v>8465</v>
      </c>
      <c r="AG5047" s="3" t="s">
        <v>652</v>
      </c>
      <c r="AH5047" s="11">
        <f>HYPERLINK("https://my.pitchbook.com?c=133752-61T","View Company Online")</f>
      </c>
    </row>
    <row r="5048">
      <c r="A5048" s="12" t="s">
        <v>24170</v>
      </c>
      <c r="B5048" s="12" t="s">
        <v>24171</v>
      </c>
      <c r="C5048" s="19" t="s">
        <v>36</v>
      </c>
      <c r="D5048" s="19" t="s">
        <v>36</v>
      </c>
      <c r="E5048" s="19">
        <v>1</v>
      </c>
      <c r="F5048" s="19">
        <v>3</v>
      </c>
      <c r="G5048" s="15" t="s">
        <v>2497</v>
      </c>
      <c r="H5048" s="14">
        <v>15.58</v>
      </c>
      <c r="I5048" s="18">
        <v>4.63</v>
      </c>
      <c r="J5048" s="12" t="s">
        <v>521</v>
      </c>
      <c r="K5048" s="13" t="s">
        <v>36</v>
      </c>
      <c r="L5048" s="15" t="s">
        <v>36</v>
      </c>
      <c r="M5048" s="12" t="s">
        <v>36</v>
      </c>
      <c r="N5048" s="12" t="s">
        <v>36</v>
      </c>
      <c r="O5048" s="17" t="s">
        <v>36</v>
      </c>
      <c r="P5048" s="12" t="s">
        <v>36</v>
      </c>
      <c r="Q5048" s="12" t="s">
        <v>36</v>
      </c>
      <c r="R5048" s="12" t="s">
        <v>36</v>
      </c>
      <c r="S5048" s="12" t="s">
        <v>36</v>
      </c>
      <c r="T5048" s="12" t="s">
        <v>6989</v>
      </c>
      <c r="U5048" s="12" t="s">
        <v>63</v>
      </c>
      <c r="V5048" s="12" t="s">
        <v>64</v>
      </c>
      <c r="W5048" s="12" t="s">
        <v>24172</v>
      </c>
      <c r="X5048" s="16" t="s">
        <v>24173</v>
      </c>
      <c r="Y5048" s="15" t="s">
        <v>108</v>
      </c>
      <c r="Z5048" s="14">
        <v>0.18</v>
      </c>
      <c r="AA5048" s="14">
        <v>3.98</v>
      </c>
      <c r="AB5048" s="12" t="s">
        <v>56</v>
      </c>
      <c r="AC5048" s="12" t="s">
        <v>24174</v>
      </c>
      <c r="AD5048" s="13">
        <v>43423</v>
      </c>
      <c r="AE5048" s="12" t="s">
        <v>68</v>
      </c>
      <c r="AF5048" s="12" t="s">
        <v>1636</v>
      </c>
      <c r="AG5048" s="12" t="s">
        <v>13897</v>
      </c>
      <c r="AH5048" s="1">
        <f>HYPERLINK("https://my.pitchbook.com?c=120161-62T","View Company Online")</f>
      </c>
    </row>
    <row r="5049">
      <c r="A5049" s="3" t="s">
        <v>24175</v>
      </c>
      <c r="B5049" s="3" t="s">
        <v>24176</v>
      </c>
      <c r="C5049" s="5" t="s">
        <v>36</v>
      </c>
      <c r="D5049" s="5" t="s">
        <v>36</v>
      </c>
      <c r="E5049" s="5" t="s">
        <v>36</v>
      </c>
      <c r="F5049" s="5" t="s">
        <v>36</v>
      </c>
      <c r="G5049" s="6" t="s">
        <v>36</v>
      </c>
      <c r="H5049" s="4" t="s">
        <v>36</v>
      </c>
      <c r="I5049" s="7" t="s">
        <v>36</v>
      </c>
      <c r="J5049" s="3" t="s">
        <v>36</v>
      </c>
      <c r="K5049" s="9" t="s">
        <v>36</v>
      </c>
      <c r="L5049" s="6" t="s">
        <v>36</v>
      </c>
      <c r="M5049" s="3" t="s">
        <v>36</v>
      </c>
      <c r="N5049" s="3" t="s">
        <v>36</v>
      </c>
      <c r="O5049" s="8" t="s">
        <v>36</v>
      </c>
      <c r="P5049" s="3" t="s">
        <v>36</v>
      </c>
      <c r="Q5049" s="3" t="s">
        <v>36</v>
      </c>
      <c r="R5049" s="3" t="s">
        <v>36</v>
      </c>
      <c r="S5049" s="3" t="s">
        <v>36</v>
      </c>
      <c r="T5049" s="3" t="s">
        <v>3270</v>
      </c>
      <c r="U5049" s="3" t="s">
        <v>1336</v>
      </c>
      <c r="V5049" s="3" t="s">
        <v>367</v>
      </c>
      <c r="W5049" s="3" t="s">
        <v>24177</v>
      </c>
      <c r="X5049" s="10" t="s">
        <v>24178</v>
      </c>
      <c r="Y5049" s="6" t="s">
        <v>42</v>
      </c>
      <c r="Z5049" s="4">
        <v>5.12</v>
      </c>
      <c r="AA5049" s="4" t="s">
        <v>36</v>
      </c>
      <c r="AB5049" s="3" t="s">
        <v>56</v>
      </c>
      <c r="AC5049" s="3" t="s">
        <v>24179</v>
      </c>
      <c r="AD5049" s="9">
        <v>43420</v>
      </c>
      <c r="AE5049" s="3" t="s">
        <v>2464</v>
      </c>
      <c r="AF5049" s="3" t="s">
        <v>36</v>
      </c>
      <c r="AG5049" s="3" t="s">
        <v>81</v>
      </c>
      <c r="AH5049" s="11">
        <f>HYPERLINK("https://my.pitchbook.com?c=170338-15T","View Company Online")</f>
      </c>
    </row>
    <row r="5050">
      <c r="A5050" s="12" t="s">
        <v>24180</v>
      </c>
      <c r="B5050" s="12" t="s">
        <v>22564</v>
      </c>
      <c r="C5050" s="19" t="s">
        <v>36</v>
      </c>
      <c r="D5050" s="19" t="s">
        <v>36</v>
      </c>
      <c r="E5050" s="19" t="s">
        <v>36</v>
      </c>
      <c r="F5050" s="19" t="s">
        <v>36</v>
      </c>
      <c r="G5050" s="15" t="s">
        <v>36</v>
      </c>
      <c r="H5050" s="14" t="s">
        <v>36</v>
      </c>
      <c r="I5050" s="18" t="s">
        <v>36</v>
      </c>
      <c r="J5050" s="12" t="s">
        <v>36</v>
      </c>
      <c r="K5050" s="13" t="s">
        <v>36</v>
      </c>
      <c r="L5050" s="15" t="s">
        <v>36</v>
      </c>
      <c r="M5050" s="12" t="s">
        <v>36</v>
      </c>
      <c r="N5050" s="12" t="s">
        <v>36</v>
      </c>
      <c r="O5050" s="17" t="s">
        <v>36</v>
      </c>
      <c r="P5050" s="12" t="s">
        <v>36</v>
      </c>
      <c r="Q5050" s="12" t="s">
        <v>36</v>
      </c>
      <c r="R5050" s="12" t="s">
        <v>36</v>
      </c>
      <c r="S5050" s="12" t="s">
        <v>36</v>
      </c>
      <c r="T5050" s="12" t="s">
        <v>3907</v>
      </c>
      <c r="U5050" s="12" t="s">
        <v>279</v>
      </c>
      <c r="V5050" s="12" t="s">
        <v>64</v>
      </c>
      <c r="W5050" s="12" t="s">
        <v>22565</v>
      </c>
      <c r="X5050" s="16" t="s">
        <v>24181</v>
      </c>
      <c r="Y5050" s="15" t="s">
        <v>55</v>
      </c>
      <c r="Z5050" s="14">
        <v>3.42</v>
      </c>
      <c r="AA5050" s="14" t="s">
        <v>36</v>
      </c>
      <c r="AB5050" s="12" t="s">
        <v>56</v>
      </c>
      <c r="AC5050" s="12" t="s">
        <v>22567</v>
      </c>
      <c r="AD5050" s="13">
        <v>43420</v>
      </c>
      <c r="AE5050" s="12" t="s">
        <v>851</v>
      </c>
      <c r="AF5050" s="12" t="s">
        <v>3904</v>
      </c>
      <c r="AG5050" s="12" t="s">
        <v>22568</v>
      </c>
      <c r="AH5050" s="1">
        <f>HYPERLINK("https://my.pitchbook.com?c=113822-20T","View Company Online")</f>
      </c>
    </row>
    <row r="5051">
      <c r="A5051" s="3" t="s">
        <v>24182</v>
      </c>
      <c r="B5051" s="3" t="s">
        <v>24183</v>
      </c>
      <c r="C5051" s="5">
        <v>10</v>
      </c>
      <c r="D5051" s="5">
        <v>72</v>
      </c>
      <c r="E5051" s="5">
        <v>14</v>
      </c>
      <c r="F5051" s="5">
        <v>84</v>
      </c>
      <c r="G5051" s="6" t="s">
        <v>326</v>
      </c>
      <c r="H5051" s="4">
        <v>72.7</v>
      </c>
      <c r="I5051" s="7">
        <v>17.77</v>
      </c>
      <c r="J5051" s="3" t="s">
        <v>521</v>
      </c>
      <c r="K5051" s="9">
        <v>43404</v>
      </c>
      <c r="L5051" s="6" t="s">
        <v>36</v>
      </c>
      <c r="M5051" s="3" t="s">
        <v>36</v>
      </c>
      <c r="N5051" s="3" t="s">
        <v>36</v>
      </c>
      <c r="O5051" s="8" t="s">
        <v>36</v>
      </c>
      <c r="P5051" s="3" t="s">
        <v>36</v>
      </c>
      <c r="Q5051" s="3" t="s">
        <v>36</v>
      </c>
      <c r="R5051" s="3" t="s">
        <v>36</v>
      </c>
      <c r="S5051" s="3" t="s">
        <v>36</v>
      </c>
      <c r="T5051" s="3" t="s">
        <v>1941</v>
      </c>
      <c r="U5051" s="3" t="s">
        <v>38</v>
      </c>
      <c r="V5051" s="3" t="s">
        <v>39</v>
      </c>
      <c r="W5051" s="3" t="s">
        <v>24184</v>
      </c>
      <c r="X5051" s="10" t="s">
        <v>24185</v>
      </c>
      <c r="Y5051" s="6" t="s">
        <v>192</v>
      </c>
      <c r="Z5051" s="4">
        <v>4.56</v>
      </c>
      <c r="AA5051" s="4">
        <v>25.64</v>
      </c>
      <c r="AB5051" s="3" t="s">
        <v>56</v>
      </c>
      <c r="AC5051" s="3" t="s">
        <v>24186</v>
      </c>
      <c r="AD5051" s="9">
        <v>43419</v>
      </c>
      <c r="AE5051" s="3" t="s">
        <v>1945</v>
      </c>
      <c r="AF5051" s="3" t="s">
        <v>3471</v>
      </c>
      <c r="AG5051" s="3" t="s">
        <v>539</v>
      </c>
      <c r="AH5051" s="11">
        <f>HYPERLINK("https://my.pitchbook.com?c=114176-71T","View Company Online")</f>
      </c>
    </row>
    <row r="5052">
      <c r="A5052" s="12" t="s">
        <v>24187</v>
      </c>
      <c r="B5052" s="12" t="s">
        <v>24188</v>
      </c>
      <c r="C5052" s="19" t="s">
        <v>36</v>
      </c>
      <c r="D5052" s="19" t="s">
        <v>36</v>
      </c>
      <c r="E5052" s="19" t="s">
        <v>36</v>
      </c>
      <c r="F5052" s="19" t="s">
        <v>36</v>
      </c>
      <c r="G5052" s="15" t="s">
        <v>36</v>
      </c>
      <c r="H5052" s="14">
        <v>9.35</v>
      </c>
      <c r="I5052" s="18">
        <v>24.26</v>
      </c>
      <c r="J5052" s="12" t="s">
        <v>521</v>
      </c>
      <c r="K5052" s="13" t="s">
        <v>36</v>
      </c>
      <c r="L5052" s="15" t="s">
        <v>122</v>
      </c>
      <c r="M5052" s="12" t="s">
        <v>36</v>
      </c>
      <c r="N5052" s="12" t="s">
        <v>122</v>
      </c>
      <c r="O5052" s="17" t="s">
        <v>36</v>
      </c>
      <c r="P5052" s="12" t="s">
        <v>36</v>
      </c>
      <c r="Q5052" s="12" t="s">
        <v>36</v>
      </c>
      <c r="R5052" s="12" t="s">
        <v>36</v>
      </c>
      <c r="S5052" s="12" t="s">
        <v>36</v>
      </c>
      <c r="T5052" s="12" t="s">
        <v>15827</v>
      </c>
      <c r="U5052" s="12" t="s">
        <v>956</v>
      </c>
      <c r="V5052" s="12" t="s">
        <v>405</v>
      </c>
      <c r="W5052" s="12" t="s">
        <v>24189</v>
      </c>
      <c r="X5052" s="16" t="s">
        <v>24190</v>
      </c>
      <c r="Y5052" s="15" t="s">
        <v>42</v>
      </c>
      <c r="Z5052" s="14">
        <v>1.23</v>
      </c>
      <c r="AA5052" s="14">
        <v>4.17</v>
      </c>
      <c r="AB5052" s="12" t="s">
        <v>43</v>
      </c>
      <c r="AC5052" s="12" t="s">
        <v>24191</v>
      </c>
      <c r="AD5052" s="13">
        <v>43418</v>
      </c>
      <c r="AE5052" s="12" t="s">
        <v>960</v>
      </c>
      <c r="AF5052" s="12" t="s">
        <v>18464</v>
      </c>
      <c r="AG5052" s="12" t="s">
        <v>24192</v>
      </c>
      <c r="AH5052" s="1">
        <f>HYPERLINK("https://my.pitchbook.com?c=116932-24T","View Company Online")</f>
      </c>
    </row>
    <row r="5053">
      <c r="A5053" s="3" t="s">
        <v>24193</v>
      </c>
      <c r="B5053" s="3" t="s">
        <v>22547</v>
      </c>
      <c r="C5053" s="5" t="s">
        <v>36</v>
      </c>
      <c r="D5053" s="5" t="s">
        <v>36</v>
      </c>
      <c r="E5053" s="5" t="s">
        <v>36</v>
      </c>
      <c r="F5053" s="5" t="s">
        <v>36</v>
      </c>
      <c r="G5053" s="6" t="s">
        <v>36</v>
      </c>
      <c r="H5053" s="4">
        <v>27.41</v>
      </c>
      <c r="I5053" s="7" t="s">
        <v>36</v>
      </c>
      <c r="J5053" s="3" t="s">
        <v>36</v>
      </c>
      <c r="K5053" s="9" t="s">
        <v>36</v>
      </c>
      <c r="L5053" s="6" t="s">
        <v>36</v>
      </c>
      <c r="M5053" s="3" t="s">
        <v>36</v>
      </c>
      <c r="N5053" s="3" t="s">
        <v>36</v>
      </c>
      <c r="O5053" s="8" t="s">
        <v>36</v>
      </c>
      <c r="P5053" s="3" t="s">
        <v>36</v>
      </c>
      <c r="Q5053" s="3" t="s">
        <v>36</v>
      </c>
      <c r="R5053" s="3" t="s">
        <v>36</v>
      </c>
      <c r="S5053" s="3" t="s">
        <v>36</v>
      </c>
      <c r="T5053" s="3" t="s">
        <v>22548</v>
      </c>
      <c r="U5053" s="3" t="s">
        <v>318</v>
      </c>
      <c r="V5053" s="3" t="s">
        <v>39</v>
      </c>
      <c r="W5053" s="3" t="s">
        <v>22549</v>
      </c>
      <c r="X5053" s="10" t="s">
        <v>24194</v>
      </c>
      <c r="Y5053" s="6" t="s">
        <v>42</v>
      </c>
      <c r="Z5053" s="4">
        <v>1.7</v>
      </c>
      <c r="AA5053" s="4" t="s">
        <v>36</v>
      </c>
      <c r="AB5053" s="3" t="s">
        <v>43</v>
      </c>
      <c r="AC5053" s="3" t="s">
        <v>22551</v>
      </c>
      <c r="AD5053" s="9">
        <v>43417</v>
      </c>
      <c r="AE5053" s="3" t="s">
        <v>22552</v>
      </c>
      <c r="AF5053" s="3" t="s">
        <v>13910</v>
      </c>
      <c r="AG5053" s="3" t="s">
        <v>3774</v>
      </c>
      <c r="AH5053" s="11">
        <f>HYPERLINK("https://my.pitchbook.com?c=122889-79T","View Company Online")</f>
      </c>
    </row>
    <row r="5054">
      <c r="A5054" s="12" t="s">
        <v>24195</v>
      </c>
      <c r="B5054" s="12" t="s">
        <v>24196</v>
      </c>
      <c r="C5054" s="19" t="s">
        <v>36</v>
      </c>
      <c r="D5054" s="19" t="s">
        <v>36</v>
      </c>
      <c r="E5054" s="19">
        <v>1</v>
      </c>
      <c r="F5054" s="19">
        <v>1</v>
      </c>
      <c r="G5054" s="15" t="s">
        <v>36</v>
      </c>
      <c r="H5054" s="14" t="s">
        <v>36</v>
      </c>
      <c r="I5054" s="18" t="s">
        <v>36</v>
      </c>
      <c r="J5054" s="12" t="s">
        <v>36</v>
      </c>
      <c r="K5054" s="13" t="s">
        <v>36</v>
      </c>
      <c r="L5054" s="15" t="s">
        <v>36</v>
      </c>
      <c r="M5054" s="12" t="s">
        <v>36</v>
      </c>
      <c r="N5054" s="12" t="s">
        <v>36</v>
      </c>
      <c r="O5054" s="17" t="s">
        <v>36</v>
      </c>
      <c r="P5054" s="12" t="s">
        <v>36</v>
      </c>
      <c r="Q5054" s="12" t="s">
        <v>36</v>
      </c>
      <c r="R5054" s="12" t="s">
        <v>36</v>
      </c>
      <c r="S5054" s="12" t="s">
        <v>36</v>
      </c>
      <c r="T5054" s="12" t="s">
        <v>179</v>
      </c>
      <c r="U5054" s="12" t="s">
        <v>180</v>
      </c>
      <c r="V5054" s="12" t="s">
        <v>52</v>
      </c>
      <c r="W5054" s="12" t="s">
        <v>24197</v>
      </c>
      <c r="X5054" s="16" t="s">
        <v>20563</v>
      </c>
      <c r="Y5054" s="15" t="s">
        <v>166</v>
      </c>
      <c r="Z5054" s="14" t="s">
        <v>36</v>
      </c>
      <c r="AA5054" s="14" t="s">
        <v>36</v>
      </c>
      <c r="AB5054" s="12" t="s">
        <v>56</v>
      </c>
      <c r="AC5054" s="12" t="s">
        <v>24198</v>
      </c>
      <c r="AD5054" s="13">
        <v>43417</v>
      </c>
      <c r="AE5054" s="12" t="s">
        <v>184</v>
      </c>
      <c r="AF5054" s="12" t="s">
        <v>24199</v>
      </c>
      <c r="AG5054" s="12" t="s">
        <v>652</v>
      </c>
      <c r="AH5054" s="1">
        <f>HYPERLINK("https://my.pitchbook.com?c=134078-86T","View Company Online")</f>
      </c>
    </row>
    <row r="5055">
      <c r="A5055" s="3" t="s">
        <v>24200</v>
      </c>
      <c r="B5055" s="3" t="s">
        <v>12151</v>
      </c>
      <c r="C5055" s="5" t="s">
        <v>36</v>
      </c>
      <c r="D5055" s="5">
        <v>4</v>
      </c>
      <c r="E5055" s="5">
        <v>2</v>
      </c>
      <c r="F5055" s="5">
        <v>4</v>
      </c>
      <c r="G5055" s="6" t="s">
        <v>36</v>
      </c>
      <c r="H5055" s="4" t="s">
        <v>36</v>
      </c>
      <c r="I5055" s="7" t="s">
        <v>36</v>
      </c>
      <c r="J5055" s="3" t="s">
        <v>36</v>
      </c>
      <c r="K5055" s="9" t="s">
        <v>36</v>
      </c>
      <c r="L5055" s="6" t="s">
        <v>36</v>
      </c>
      <c r="M5055" s="3" t="s">
        <v>36</v>
      </c>
      <c r="N5055" s="3" t="s">
        <v>36</v>
      </c>
      <c r="O5055" s="8" t="s">
        <v>36</v>
      </c>
      <c r="P5055" s="3" t="s">
        <v>36</v>
      </c>
      <c r="Q5055" s="3" t="s">
        <v>36</v>
      </c>
      <c r="R5055" s="3" t="s">
        <v>36</v>
      </c>
      <c r="S5055" s="3" t="s">
        <v>36</v>
      </c>
      <c r="T5055" s="3" t="s">
        <v>4692</v>
      </c>
      <c r="U5055" s="3" t="s">
        <v>85</v>
      </c>
      <c r="V5055" s="3" t="s">
        <v>64</v>
      </c>
      <c r="W5055" s="3" t="s">
        <v>12152</v>
      </c>
      <c r="X5055" s="10" t="s">
        <v>24201</v>
      </c>
      <c r="Y5055" s="6" t="s">
        <v>321</v>
      </c>
      <c r="Z5055" s="4">
        <v>130.14</v>
      </c>
      <c r="AA5055" s="4" t="s">
        <v>36</v>
      </c>
      <c r="AB5055" s="3" t="s">
        <v>56</v>
      </c>
      <c r="AC5055" s="3" t="s">
        <v>12155</v>
      </c>
      <c r="AD5055" s="9">
        <v>43416</v>
      </c>
      <c r="AE5055" s="3" t="s">
        <v>89</v>
      </c>
      <c r="AF5055" s="3" t="s">
        <v>12156</v>
      </c>
      <c r="AG5055" s="3" t="s">
        <v>81</v>
      </c>
      <c r="AH5055" s="11">
        <f>HYPERLINK("https://my.pitchbook.com?c=113679-91T","View Company Online")</f>
      </c>
    </row>
    <row r="5056">
      <c r="A5056" s="12" t="s">
        <v>24202</v>
      </c>
      <c r="B5056" s="12" t="s">
        <v>24203</v>
      </c>
      <c r="C5056" s="19" t="s">
        <v>36</v>
      </c>
      <c r="D5056" s="19" t="s">
        <v>36</v>
      </c>
      <c r="E5056" s="19" t="s">
        <v>36</v>
      </c>
      <c r="F5056" s="19" t="s">
        <v>36</v>
      </c>
      <c r="G5056" s="15" t="s">
        <v>36</v>
      </c>
      <c r="H5056" s="14" t="s">
        <v>36</v>
      </c>
      <c r="I5056" s="18" t="s">
        <v>36</v>
      </c>
      <c r="J5056" s="12" t="s">
        <v>36</v>
      </c>
      <c r="K5056" s="13" t="s">
        <v>36</v>
      </c>
      <c r="L5056" s="15" t="s">
        <v>122</v>
      </c>
      <c r="M5056" s="12" t="s">
        <v>36</v>
      </c>
      <c r="N5056" s="12" t="s">
        <v>122</v>
      </c>
      <c r="O5056" s="17" t="s">
        <v>36</v>
      </c>
      <c r="P5056" s="12" t="s">
        <v>36</v>
      </c>
      <c r="Q5056" s="12" t="s">
        <v>36</v>
      </c>
      <c r="R5056" s="12" t="s">
        <v>36</v>
      </c>
      <c r="S5056" s="12" t="s">
        <v>36</v>
      </c>
      <c r="T5056" s="12" t="s">
        <v>24204</v>
      </c>
      <c r="U5056" s="12" t="s">
        <v>74</v>
      </c>
      <c r="V5056" s="12" t="s">
        <v>75</v>
      </c>
      <c r="W5056" s="12" t="s">
        <v>24205</v>
      </c>
      <c r="X5056" s="16" t="s">
        <v>24206</v>
      </c>
      <c r="Y5056" s="15" t="s">
        <v>108</v>
      </c>
      <c r="Z5056" s="14">
        <v>7.99</v>
      </c>
      <c r="AA5056" s="14" t="s">
        <v>36</v>
      </c>
      <c r="AB5056" s="12" t="s">
        <v>43</v>
      </c>
      <c r="AC5056" s="12" t="s">
        <v>24207</v>
      </c>
      <c r="AD5056" s="13">
        <v>43416</v>
      </c>
      <c r="AE5056" s="12" t="s">
        <v>79</v>
      </c>
      <c r="AF5056" s="12" t="s">
        <v>215</v>
      </c>
      <c r="AG5056" s="12" t="s">
        <v>81</v>
      </c>
      <c r="AH5056" s="1">
        <f>HYPERLINK("https://my.pitchbook.com?c=114555-25T","View Company Online")</f>
      </c>
    </row>
    <row r="5057">
      <c r="A5057" s="3" t="s">
        <v>24208</v>
      </c>
      <c r="B5057" s="3" t="s">
        <v>24209</v>
      </c>
      <c r="C5057" s="5" t="s">
        <v>36</v>
      </c>
      <c r="D5057" s="5" t="s">
        <v>36</v>
      </c>
      <c r="E5057" s="5" t="s">
        <v>36</v>
      </c>
      <c r="F5057" s="5" t="s">
        <v>36</v>
      </c>
      <c r="G5057" s="6" t="s">
        <v>326</v>
      </c>
      <c r="H5057" s="4">
        <v>29.87</v>
      </c>
      <c r="I5057" s="7">
        <v>38.57</v>
      </c>
      <c r="J5057" s="3" t="s">
        <v>521</v>
      </c>
      <c r="K5057" s="9">
        <v>43217</v>
      </c>
      <c r="L5057" s="6" t="s">
        <v>122</v>
      </c>
      <c r="M5057" s="3" t="s">
        <v>36</v>
      </c>
      <c r="N5057" s="3" t="s">
        <v>122</v>
      </c>
      <c r="O5057" s="8" t="s">
        <v>36</v>
      </c>
      <c r="P5057" s="3" t="s">
        <v>36</v>
      </c>
      <c r="Q5057" s="3" t="s">
        <v>36</v>
      </c>
      <c r="R5057" s="3" t="s">
        <v>36</v>
      </c>
      <c r="S5057" s="3" t="s">
        <v>36</v>
      </c>
      <c r="T5057" s="3" t="s">
        <v>529</v>
      </c>
      <c r="U5057" s="3" t="s">
        <v>38</v>
      </c>
      <c r="V5057" s="3" t="s">
        <v>39</v>
      </c>
      <c r="W5057" s="3" t="s">
        <v>24210</v>
      </c>
      <c r="X5057" s="10" t="s">
        <v>24211</v>
      </c>
      <c r="Y5057" s="6" t="s">
        <v>108</v>
      </c>
      <c r="Z5057" s="4">
        <v>11.45</v>
      </c>
      <c r="AA5057" s="4">
        <v>22.26</v>
      </c>
      <c r="AB5057" s="3" t="s">
        <v>43</v>
      </c>
      <c r="AC5057" s="3" t="s">
        <v>24212</v>
      </c>
      <c r="AD5057" s="9">
        <v>43413</v>
      </c>
      <c r="AE5057" s="3" t="s">
        <v>134</v>
      </c>
      <c r="AF5057" s="3" t="s">
        <v>24213</v>
      </c>
      <c r="AG5057" s="3" t="s">
        <v>47</v>
      </c>
      <c r="AH5057" s="11">
        <f>HYPERLINK("https://my.pitchbook.com?c=114270-04T","View Company Online")</f>
      </c>
    </row>
    <row r="5058">
      <c r="A5058" s="12" t="s">
        <v>24214</v>
      </c>
      <c r="B5058" s="12" t="s">
        <v>24215</v>
      </c>
      <c r="C5058" s="19" t="s">
        <v>36</v>
      </c>
      <c r="D5058" s="19" t="s">
        <v>36</v>
      </c>
      <c r="E5058" s="19" t="s">
        <v>36</v>
      </c>
      <c r="F5058" s="19" t="s">
        <v>36</v>
      </c>
      <c r="G5058" s="15" t="s">
        <v>36</v>
      </c>
      <c r="H5058" s="14">
        <v>31.96</v>
      </c>
      <c r="I5058" s="18">
        <v>25</v>
      </c>
      <c r="J5058" s="12" t="s">
        <v>521</v>
      </c>
      <c r="K5058" s="13" t="s">
        <v>36</v>
      </c>
      <c r="L5058" s="15" t="s">
        <v>36</v>
      </c>
      <c r="M5058" s="12" t="s">
        <v>36</v>
      </c>
      <c r="N5058" s="12" t="s">
        <v>36</v>
      </c>
      <c r="O5058" s="17" t="s">
        <v>36</v>
      </c>
      <c r="P5058" s="12" t="s">
        <v>36</v>
      </c>
      <c r="Q5058" s="12" t="s">
        <v>36</v>
      </c>
      <c r="R5058" s="12" t="s">
        <v>36</v>
      </c>
      <c r="S5058" s="12" t="s">
        <v>36</v>
      </c>
      <c r="T5058" s="12" t="s">
        <v>1048</v>
      </c>
      <c r="U5058" s="12" t="s">
        <v>423</v>
      </c>
      <c r="V5058" s="12" t="s">
        <v>64</v>
      </c>
      <c r="W5058" s="12" t="s">
        <v>24216</v>
      </c>
      <c r="X5058" s="16" t="s">
        <v>24217</v>
      </c>
      <c r="Y5058" s="15" t="s">
        <v>42</v>
      </c>
      <c r="Z5058" s="14">
        <v>1.14</v>
      </c>
      <c r="AA5058" s="14">
        <v>4.58</v>
      </c>
      <c r="AB5058" s="12" t="s">
        <v>43</v>
      </c>
      <c r="AC5058" s="12" t="s">
        <v>24218</v>
      </c>
      <c r="AD5058" s="13">
        <v>43413</v>
      </c>
      <c r="AE5058" s="12" t="s">
        <v>1051</v>
      </c>
      <c r="AF5058" s="12" t="s">
        <v>90</v>
      </c>
      <c r="AG5058" s="12" t="s">
        <v>81</v>
      </c>
      <c r="AH5058" s="1">
        <f>HYPERLINK("https://my.pitchbook.com?c=135345-07T","View Company Online")</f>
      </c>
    </row>
    <row r="5059">
      <c r="A5059" s="3" t="s">
        <v>24219</v>
      </c>
      <c r="B5059" s="3" t="s">
        <v>19080</v>
      </c>
      <c r="C5059" s="5" t="s">
        <v>36</v>
      </c>
      <c r="D5059" s="5" t="s">
        <v>36</v>
      </c>
      <c r="E5059" s="5" t="s">
        <v>36</v>
      </c>
      <c r="F5059" s="5" t="s">
        <v>36</v>
      </c>
      <c r="G5059" s="6" t="s">
        <v>36</v>
      </c>
      <c r="H5059" s="4">
        <v>1718.83</v>
      </c>
      <c r="I5059" s="7">
        <v>18.68</v>
      </c>
      <c r="J5059" s="3" t="s">
        <v>521</v>
      </c>
      <c r="K5059" s="9" t="s">
        <v>36</v>
      </c>
      <c r="L5059" s="6" t="s">
        <v>36</v>
      </c>
      <c r="M5059" s="3" t="s">
        <v>36</v>
      </c>
      <c r="N5059" s="3" t="s">
        <v>36</v>
      </c>
      <c r="O5059" s="8" t="s">
        <v>36</v>
      </c>
      <c r="P5059" s="3" t="s">
        <v>36</v>
      </c>
      <c r="Q5059" s="3" t="s">
        <v>36</v>
      </c>
      <c r="R5059" s="3" t="s">
        <v>36</v>
      </c>
      <c r="S5059" s="3" t="s">
        <v>36</v>
      </c>
      <c r="T5059" s="3" t="s">
        <v>19081</v>
      </c>
      <c r="U5059" s="3" t="s">
        <v>404</v>
      </c>
      <c r="V5059" s="3" t="s">
        <v>405</v>
      </c>
      <c r="W5059" s="3" t="s">
        <v>19082</v>
      </c>
      <c r="X5059" s="10" t="s">
        <v>24220</v>
      </c>
      <c r="Y5059" s="6" t="s">
        <v>42</v>
      </c>
      <c r="Z5059" s="4">
        <v>1.72</v>
      </c>
      <c r="AA5059" s="4">
        <v>3.38</v>
      </c>
      <c r="AB5059" s="3" t="s">
        <v>43</v>
      </c>
      <c r="AC5059" s="3" t="s">
        <v>19084</v>
      </c>
      <c r="AD5059" s="9">
        <v>43412</v>
      </c>
      <c r="AE5059" s="3" t="s">
        <v>16332</v>
      </c>
      <c r="AF5059" s="3" t="s">
        <v>1115</v>
      </c>
      <c r="AG5059" s="3" t="s">
        <v>1078</v>
      </c>
      <c r="AH5059" s="11">
        <f>HYPERLINK("https://my.pitchbook.com?c=120358-18T","View Company Online")</f>
      </c>
    </row>
    <row r="5060">
      <c r="A5060" s="12" t="s">
        <v>24221</v>
      </c>
      <c r="B5060" s="12" t="s">
        <v>24222</v>
      </c>
      <c r="C5060" s="19" t="s">
        <v>36</v>
      </c>
      <c r="D5060" s="19">
        <v>1</v>
      </c>
      <c r="E5060" s="19">
        <v>1</v>
      </c>
      <c r="F5060" s="19">
        <v>3</v>
      </c>
      <c r="G5060" s="15" t="s">
        <v>36</v>
      </c>
      <c r="H5060" s="14">
        <v>12.28</v>
      </c>
      <c r="I5060" s="18">
        <v>32.64</v>
      </c>
      <c r="J5060" s="12" t="s">
        <v>521</v>
      </c>
      <c r="K5060" s="13" t="s">
        <v>36</v>
      </c>
      <c r="L5060" s="15" t="s">
        <v>36</v>
      </c>
      <c r="M5060" s="12" t="s">
        <v>36</v>
      </c>
      <c r="N5060" s="12" t="s">
        <v>36</v>
      </c>
      <c r="O5060" s="17" t="s">
        <v>36</v>
      </c>
      <c r="P5060" s="12" t="s">
        <v>36</v>
      </c>
      <c r="Q5060" s="12" t="s">
        <v>36</v>
      </c>
      <c r="R5060" s="12" t="s">
        <v>36</v>
      </c>
      <c r="S5060" s="12" t="s">
        <v>36</v>
      </c>
      <c r="T5060" s="12" t="s">
        <v>4758</v>
      </c>
      <c r="U5060" s="12" t="s">
        <v>38</v>
      </c>
      <c r="V5060" s="12" t="s">
        <v>39</v>
      </c>
      <c r="W5060" s="12" t="s">
        <v>24223</v>
      </c>
      <c r="X5060" s="16" t="s">
        <v>24224</v>
      </c>
      <c r="Y5060" s="15" t="s">
        <v>42</v>
      </c>
      <c r="Z5060" s="14">
        <v>1.15</v>
      </c>
      <c r="AA5060" s="14">
        <v>2.21</v>
      </c>
      <c r="AB5060" s="12" t="s">
        <v>43</v>
      </c>
      <c r="AC5060" s="12" t="s">
        <v>24225</v>
      </c>
      <c r="AD5060" s="13">
        <v>43412</v>
      </c>
      <c r="AE5060" s="12" t="s">
        <v>1330</v>
      </c>
      <c r="AF5060" s="12" t="s">
        <v>6681</v>
      </c>
      <c r="AG5060" s="12" t="s">
        <v>741</v>
      </c>
      <c r="AH5060" s="1">
        <f>HYPERLINK("https://my.pitchbook.com?c=113595-94T","View Company Online")</f>
      </c>
    </row>
    <row r="5061">
      <c r="A5061" s="3" t="s">
        <v>24226</v>
      </c>
      <c r="B5061" s="3" t="s">
        <v>10718</v>
      </c>
      <c r="C5061" s="5">
        <v>5</v>
      </c>
      <c r="D5061" s="5">
        <v>6</v>
      </c>
      <c r="E5061" s="5">
        <v>7</v>
      </c>
      <c r="F5061" s="5">
        <v>14</v>
      </c>
      <c r="G5061" s="6" t="s">
        <v>326</v>
      </c>
      <c r="H5061" s="4">
        <v>1.34</v>
      </c>
      <c r="I5061" s="7">
        <v>32.29</v>
      </c>
      <c r="J5061" s="3" t="s">
        <v>327</v>
      </c>
      <c r="K5061" s="9" t="s">
        <v>36</v>
      </c>
      <c r="L5061" s="6" t="s">
        <v>36</v>
      </c>
      <c r="M5061" s="3" t="s">
        <v>36</v>
      </c>
      <c r="N5061" s="3" t="s">
        <v>36</v>
      </c>
      <c r="O5061" s="8" t="s">
        <v>36</v>
      </c>
      <c r="P5061" s="3" t="s">
        <v>36</v>
      </c>
      <c r="Q5061" s="3" t="s">
        <v>36</v>
      </c>
      <c r="R5061" s="3" t="s">
        <v>36</v>
      </c>
      <c r="S5061" s="3" t="s">
        <v>36</v>
      </c>
      <c r="T5061" s="3" t="s">
        <v>818</v>
      </c>
      <c r="U5061" s="3" t="s">
        <v>74</v>
      </c>
      <c r="V5061" s="3" t="s">
        <v>75</v>
      </c>
      <c r="W5061" s="3" t="s">
        <v>10719</v>
      </c>
      <c r="X5061" s="10" t="s">
        <v>24227</v>
      </c>
      <c r="Y5061" s="6" t="s">
        <v>55</v>
      </c>
      <c r="Z5061" s="4">
        <v>17.18</v>
      </c>
      <c r="AA5061" s="4">
        <v>35.47</v>
      </c>
      <c r="AB5061" s="3" t="s">
        <v>43</v>
      </c>
      <c r="AC5061" s="3" t="s">
        <v>10721</v>
      </c>
      <c r="AD5061" s="9">
        <v>43412</v>
      </c>
      <c r="AE5061" s="3" t="s">
        <v>570</v>
      </c>
      <c r="AF5061" s="3" t="s">
        <v>10722</v>
      </c>
      <c r="AG5061" s="3" t="s">
        <v>81</v>
      </c>
      <c r="AH5061" s="11">
        <f>HYPERLINK("https://my.pitchbook.com?c=113565-16T","View Company Online")</f>
      </c>
    </row>
    <row r="5062">
      <c r="A5062" s="12" t="s">
        <v>24228</v>
      </c>
      <c r="B5062" s="12" t="s">
        <v>24229</v>
      </c>
      <c r="C5062" s="19" t="s">
        <v>36</v>
      </c>
      <c r="D5062" s="19" t="s">
        <v>36</v>
      </c>
      <c r="E5062" s="19" t="s">
        <v>36</v>
      </c>
      <c r="F5062" s="19" t="s">
        <v>36</v>
      </c>
      <c r="G5062" s="15" t="s">
        <v>36</v>
      </c>
      <c r="H5062" s="14">
        <v>18.69</v>
      </c>
      <c r="I5062" s="18">
        <v>27.03</v>
      </c>
      <c r="J5062" s="12" t="s">
        <v>521</v>
      </c>
      <c r="K5062" s="13" t="s">
        <v>36</v>
      </c>
      <c r="L5062" s="15" t="s">
        <v>36</v>
      </c>
      <c r="M5062" s="12" t="s">
        <v>36</v>
      </c>
      <c r="N5062" s="12" t="s">
        <v>36</v>
      </c>
      <c r="O5062" s="17" t="s">
        <v>36</v>
      </c>
      <c r="P5062" s="12" t="s">
        <v>36</v>
      </c>
      <c r="Q5062" s="12" t="s">
        <v>36</v>
      </c>
      <c r="R5062" s="12" t="s">
        <v>36</v>
      </c>
      <c r="S5062" s="12" t="s">
        <v>36</v>
      </c>
      <c r="T5062" s="12" t="s">
        <v>24230</v>
      </c>
      <c r="U5062" s="12" t="s">
        <v>219</v>
      </c>
      <c r="V5062" s="12" t="s">
        <v>75</v>
      </c>
      <c r="W5062" s="12" t="s">
        <v>24231</v>
      </c>
      <c r="X5062" s="16" t="s">
        <v>1399</v>
      </c>
      <c r="Y5062" s="15" t="s">
        <v>42</v>
      </c>
      <c r="Z5062" s="14">
        <v>2.29</v>
      </c>
      <c r="AA5062" s="14">
        <v>8.47</v>
      </c>
      <c r="AB5062" s="12" t="s">
        <v>56</v>
      </c>
      <c r="AC5062" s="12" t="s">
        <v>24232</v>
      </c>
      <c r="AD5062" s="13">
        <v>43412</v>
      </c>
      <c r="AE5062" s="12" t="s">
        <v>2914</v>
      </c>
      <c r="AF5062" s="12" t="s">
        <v>571</v>
      </c>
      <c r="AG5062" s="12" t="s">
        <v>24233</v>
      </c>
      <c r="AH5062" s="1">
        <f>HYPERLINK("https://my.pitchbook.com?c=226415-62T","View Company Online")</f>
      </c>
    </row>
    <row r="5063">
      <c r="A5063" s="3" t="s">
        <v>24234</v>
      </c>
      <c r="B5063" s="3" t="s">
        <v>24235</v>
      </c>
      <c r="C5063" s="5" t="s">
        <v>36</v>
      </c>
      <c r="D5063" s="5" t="s">
        <v>36</v>
      </c>
      <c r="E5063" s="5" t="s">
        <v>36</v>
      </c>
      <c r="F5063" s="5" t="s">
        <v>36</v>
      </c>
      <c r="G5063" s="6" t="s">
        <v>326</v>
      </c>
      <c r="H5063" s="4">
        <v>304.69</v>
      </c>
      <c r="I5063" s="7">
        <v>30.29</v>
      </c>
      <c r="J5063" s="3" t="s">
        <v>521</v>
      </c>
      <c r="K5063" s="9" t="s">
        <v>36</v>
      </c>
      <c r="L5063" s="6" t="s">
        <v>122</v>
      </c>
      <c r="M5063" s="3" t="s">
        <v>36</v>
      </c>
      <c r="N5063" s="3" t="s">
        <v>122</v>
      </c>
      <c r="O5063" s="8" t="s">
        <v>36</v>
      </c>
      <c r="P5063" s="3" t="s">
        <v>36</v>
      </c>
      <c r="Q5063" s="3" t="s">
        <v>36</v>
      </c>
      <c r="R5063" s="3" t="s">
        <v>36</v>
      </c>
      <c r="S5063" s="3" t="s">
        <v>36</v>
      </c>
      <c r="T5063" s="3" t="s">
        <v>24236</v>
      </c>
      <c r="U5063" s="3" t="s">
        <v>63</v>
      </c>
      <c r="V5063" s="3" t="s">
        <v>64</v>
      </c>
      <c r="W5063" s="3" t="s">
        <v>24237</v>
      </c>
      <c r="X5063" s="10" t="s">
        <v>24238</v>
      </c>
      <c r="Y5063" s="6" t="s">
        <v>55</v>
      </c>
      <c r="Z5063" s="4">
        <v>4.58</v>
      </c>
      <c r="AA5063" s="4">
        <v>15.13</v>
      </c>
      <c r="AB5063" s="3" t="s">
        <v>43</v>
      </c>
      <c r="AC5063" s="3" t="s">
        <v>24239</v>
      </c>
      <c r="AD5063" s="9">
        <v>43411</v>
      </c>
      <c r="AE5063" s="3" t="s">
        <v>4310</v>
      </c>
      <c r="AF5063" s="3" t="s">
        <v>1296</v>
      </c>
      <c r="AG5063" s="3" t="s">
        <v>102</v>
      </c>
      <c r="AH5063" s="11">
        <f>HYPERLINK("https://my.pitchbook.com?c=116083-18T","View Company Online")</f>
      </c>
    </row>
    <row r="5064">
      <c r="A5064" s="12" t="s">
        <v>24240</v>
      </c>
      <c r="B5064" s="12" t="s">
        <v>12382</v>
      </c>
      <c r="C5064" s="19" t="s">
        <v>36</v>
      </c>
      <c r="D5064" s="19" t="s">
        <v>36</v>
      </c>
      <c r="E5064" s="19" t="s">
        <v>36</v>
      </c>
      <c r="F5064" s="19" t="s">
        <v>36</v>
      </c>
      <c r="G5064" s="15" t="s">
        <v>326</v>
      </c>
      <c r="H5064" s="14">
        <v>3.52</v>
      </c>
      <c r="I5064" s="18">
        <v>52.53</v>
      </c>
      <c r="J5064" s="12" t="s">
        <v>521</v>
      </c>
      <c r="K5064" s="13">
        <v>43399</v>
      </c>
      <c r="L5064" s="15" t="s">
        <v>122</v>
      </c>
      <c r="M5064" s="12" t="s">
        <v>36</v>
      </c>
      <c r="N5064" s="12" t="s">
        <v>122</v>
      </c>
      <c r="O5064" s="17" t="s">
        <v>36</v>
      </c>
      <c r="P5064" s="12" t="s">
        <v>36</v>
      </c>
      <c r="Q5064" s="12" t="s">
        <v>36</v>
      </c>
      <c r="R5064" s="12" t="s">
        <v>36</v>
      </c>
      <c r="S5064" s="12" t="s">
        <v>36</v>
      </c>
      <c r="T5064" s="12" t="s">
        <v>1188</v>
      </c>
      <c r="U5064" s="12" t="s">
        <v>180</v>
      </c>
      <c r="V5064" s="12" t="s">
        <v>52</v>
      </c>
      <c r="W5064" s="12" t="s">
        <v>12383</v>
      </c>
      <c r="X5064" s="16" t="s">
        <v>24241</v>
      </c>
      <c r="Y5064" s="15" t="s">
        <v>55</v>
      </c>
      <c r="Z5064" s="14">
        <v>5.73</v>
      </c>
      <c r="AA5064" s="14">
        <v>10.9</v>
      </c>
      <c r="AB5064" s="12" t="s">
        <v>56</v>
      </c>
      <c r="AC5064" s="12" t="s">
        <v>12385</v>
      </c>
      <c r="AD5064" s="13">
        <v>43411</v>
      </c>
      <c r="AE5064" s="12" t="s">
        <v>1192</v>
      </c>
      <c r="AF5064" s="12" t="s">
        <v>6907</v>
      </c>
      <c r="AG5064" s="12" t="s">
        <v>924</v>
      </c>
      <c r="AH5064" s="1">
        <f>HYPERLINK("https://my.pitchbook.com?c=117253-63T","View Company Online")</f>
      </c>
    </row>
    <row r="5065">
      <c r="A5065" s="3" t="s">
        <v>24242</v>
      </c>
      <c r="B5065" s="3" t="s">
        <v>24243</v>
      </c>
      <c r="C5065" s="5" t="s">
        <v>36</v>
      </c>
      <c r="D5065" s="5" t="s">
        <v>36</v>
      </c>
      <c r="E5065" s="5" t="s">
        <v>36</v>
      </c>
      <c r="F5065" s="5" t="s">
        <v>36</v>
      </c>
      <c r="G5065" s="6" t="s">
        <v>36</v>
      </c>
      <c r="H5065" s="4">
        <v>237.99</v>
      </c>
      <c r="I5065" s="7">
        <v>12.26</v>
      </c>
      <c r="J5065" s="3" t="s">
        <v>521</v>
      </c>
      <c r="K5065" s="9" t="s">
        <v>36</v>
      </c>
      <c r="L5065" s="6" t="s">
        <v>36</v>
      </c>
      <c r="M5065" s="3" t="s">
        <v>36</v>
      </c>
      <c r="N5065" s="3" t="s">
        <v>36</v>
      </c>
      <c r="O5065" s="8" t="s">
        <v>36</v>
      </c>
      <c r="P5065" s="3" t="s">
        <v>36</v>
      </c>
      <c r="Q5065" s="3" t="s">
        <v>36</v>
      </c>
      <c r="R5065" s="3" t="s">
        <v>36</v>
      </c>
      <c r="S5065" s="3" t="s">
        <v>36</v>
      </c>
      <c r="T5065" s="3" t="s">
        <v>24244</v>
      </c>
      <c r="U5065" s="3" t="s">
        <v>423</v>
      </c>
      <c r="V5065" s="3" t="s">
        <v>64</v>
      </c>
      <c r="W5065" s="3" t="s">
        <v>24245</v>
      </c>
      <c r="X5065" s="10" t="s">
        <v>24246</v>
      </c>
      <c r="Y5065" s="6" t="s">
        <v>42</v>
      </c>
      <c r="Z5065" s="4">
        <v>8.43</v>
      </c>
      <c r="AA5065" s="4">
        <v>31.83</v>
      </c>
      <c r="AB5065" s="3" t="s">
        <v>43</v>
      </c>
      <c r="AC5065" s="3" t="s">
        <v>24247</v>
      </c>
      <c r="AD5065" s="9">
        <v>43410</v>
      </c>
      <c r="AE5065" s="3" t="s">
        <v>2871</v>
      </c>
      <c r="AF5065" s="3" t="s">
        <v>1216</v>
      </c>
      <c r="AG5065" s="3" t="s">
        <v>186</v>
      </c>
      <c r="AH5065" s="11">
        <f>HYPERLINK("https://my.pitchbook.com?c=113687-29T","View Company Online")</f>
      </c>
    </row>
    <row r="5066">
      <c r="A5066" s="12" t="s">
        <v>24248</v>
      </c>
      <c r="B5066" s="12" t="s">
        <v>24249</v>
      </c>
      <c r="C5066" s="19" t="s">
        <v>36</v>
      </c>
      <c r="D5066" s="19" t="s">
        <v>36</v>
      </c>
      <c r="E5066" s="19" t="s">
        <v>36</v>
      </c>
      <c r="F5066" s="19" t="s">
        <v>36</v>
      </c>
      <c r="G5066" s="15" t="s">
        <v>326</v>
      </c>
      <c r="H5066" s="14">
        <v>270.03</v>
      </c>
      <c r="I5066" s="18">
        <v>21.05</v>
      </c>
      <c r="J5066" s="12" t="s">
        <v>521</v>
      </c>
      <c r="K5066" s="13" t="s">
        <v>36</v>
      </c>
      <c r="L5066" s="15" t="s">
        <v>36</v>
      </c>
      <c r="M5066" s="12" t="s">
        <v>36</v>
      </c>
      <c r="N5066" s="12" t="s">
        <v>36</v>
      </c>
      <c r="O5066" s="17" t="s">
        <v>36</v>
      </c>
      <c r="P5066" s="12" t="s">
        <v>36</v>
      </c>
      <c r="Q5066" s="12" t="s">
        <v>36</v>
      </c>
      <c r="R5066" s="12" t="s">
        <v>36</v>
      </c>
      <c r="S5066" s="12" t="s">
        <v>36</v>
      </c>
      <c r="T5066" s="12" t="s">
        <v>522</v>
      </c>
      <c r="U5066" s="12" t="s">
        <v>38</v>
      </c>
      <c r="V5066" s="12" t="s">
        <v>39</v>
      </c>
      <c r="W5066" s="12" t="s">
        <v>24250</v>
      </c>
      <c r="X5066" s="16" t="s">
        <v>24251</v>
      </c>
      <c r="Y5066" s="15" t="s">
        <v>55</v>
      </c>
      <c r="Z5066" s="14">
        <v>2.29</v>
      </c>
      <c r="AA5066" s="14">
        <v>8.16</v>
      </c>
      <c r="AB5066" s="12" t="s">
        <v>56</v>
      </c>
      <c r="AC5066" s="12" t="s">
        <v>24252</v>
      </c>
      <c r="AD5066" s="13">
        <v>43410</v>
      </c>
      <c r="AE5066" s="12" t="s">
        <v>110</v>
      </c>
      <c r="AF5066" s="12" t="s">
        <v>18103</v>
      </c>
      <c r="AG5066" s="12" t="s">
        <v>2760</v>
      </c>
      <c r="AH5066" s="1">
        <f>HYPERLINK("https://my.pitchbook.com?c=114087-97T","View Company Online")</f>
      </c>
    </row>
    <row r="5067">
      <c r="A5067" s="3" t="s">
        <v>24253</v>
      </c>
      <c r="B5067" s="3" t="s">
        <v>24254</v>
      </c>
      <c r="C5067" s="5" t="s">
        <v>36</v>
      </c>
      <c r="D5067" s="5" t="s">
        <v>36</v>
      </c>
      <c r="E5067" s="5" t="s">
        <v>36</v>
      </c>
      <c r="F5067" s="5" t="s">
        <v>36</v>
      </c>
      <c r="G5067" s="6" t="s">
        <v>36</v>
      </c>
      <c r="H5067" s="4">
        <v>21.66</v>
      </c>
      <c r="I5067" s="7">
        <v>6</v>
      </c>
      <c r="J5067" s="3" t="s">
        <v>521</v>
      </c>
      <c r="K5067" s="9" t="s">
        <v>36</v>
      </c>
      <c r="L5067" s="6" t="s">
        <v>36</v>
      </c>
      <c r="M5067" s="3" t="s">
        <v>36</v>
      </c>
      <c r="N5067" s="3" t="s">
        <v>36</v>
      </c>
      <c r="O5067" s="8" t="s">
        <v>36</v>
      </c>
      <c r="P5067" s="3" t="s">
        <v>36</v>
      </c>
      <c r="Q5067" s="3" t="s">
        <v>36</v>
      </c>
      <c r="R5067" s="3" t="s">
        <v>36</v>
      </c>
      <c r="S5067" s="3" t="s">
        <v>36</v>
      </c>
      <c r="T5067" s="3" t="s">
        <v>522</v>
      </c>
      <c r="U5067" s="3" t="s">
        <v>38</v>
      </c>
      <c r="V5067" s="3" t="s">
        <v>39</v>
      </c>
      <c r="W5067" s="3" t="s">
        <v>24255</v>
      </c>
      <c r="X5067" s="10" t="s">
        <v>24256</v>
      </c>
      <c r="Y5067" s="6" t="s">
        <v>42</v>
      </c>
      <c r="Z5067" s="4">
        <v>0.02</v>
      </c>
      <c r="AA5067" s="4">
        <v>0.38</v>
      </c>
      <c r="AB5067" s="3" t="s">
        <v>43</v>
      </c>
      <c r="AC5067" s="3" t="s">
        <v>24257</v>
      </c>
      <c r="AD5067" s="9">
        <v>43409</v>
      </c>
      <c r="AE5067" s="3" t="s">
        <v>110</v>
      </c>
      <c r="AF5067" s="3" t="s">
        <v>15576</v>
      </c>
      <c r="AG5067" s="3" t="s">
        <v>81</v>
      </c>
      <c r="AH5067" s="11">
        <f>HYPERLINK("https://my.pitchbook.com?c=129473-38T","View Company Online")</f>
      </c>
    </row>
    <row r="5068">
      <c r="A5068" s="12" t="s">
        <v>24258</v>
      </c>
      <c r="B5068" s="12" t="s">
        <v>24259</v>
      </c>
      <c r="C5068" s="19" t="s">
        <v>36</v>
      </c>
      <c r="D5068" s="19" t="s">
        <v>36</v>
      </c>
      <c r="E5068" s="19" t="s">
        <v>36</v>
      </c>
      <c r="F5068" s="19" t="s">
        <v>36</v>
      </c>
      <c r="G5068" s="15" t="s">
        <v>326</v>
      </c>
      <c r="H5068" s="14">
        <v>70.12</v>
      </c>
      <c r="I5068" s="18">
        <v>7.61</v>
      </c>
      <c r="J5068" s="12" t="s">
        <v>521</v>
      </c>
      <c r="K5068" s="13" t="s">
        <v>36</v>
      </c>
      <c r="L5068" s="15" t="s">
        <v>36</v>
      </c>
      <c r="M5068" s="12" t="s">
        <v>36</v>
      </c>
      <c r="N5068" s="12" t="s">
        <v>36</v>
      </c>
      <c r="O5068" s="17" t="s">
        <v>36</v>
      </c>
      <c r="P5068" s="12" t="s">
        <v>36</v>
      </c>
      <c r="Q5068" s="12" t="s">
        <v>36</v>
      </c>
      <c r="R5068" s="12" t="s">
        <v>36</v>
      </c>
      <c r="S5068" s="12" t="s">
        <v>36</v>
      </c>
      <c r="T5068" s="12" t="s">
        <v>422</v>
      </c>
      <c r="U5068" s="12" t="s">
        <v>423</v>
      </c>
      <c r="V5068" s="12" t="s">
        <v>64</v>
      </c>
      <c r="W5068" s="12" t="s">
        <v>24260</v>
      </c>
      <c r="X5068" s="16" t="s">
        <v>24261</v>
      </c>
      <c r="Y5068" s="15" t="s">
        <v>108</v>
      </c>
      <c r="Z5068" s="14">
        <v>1.6</v>
      </c>
      <c r="AA5068" s="14">
        <v>21.09</v>
      </c>
      <c r="AB5068" s="12" t="s">
        <v>56</v>
      </c>
      <c r="AC5068" s="12" t="s">
        <v>24262</v>
      </c>
      <c r="AD5068" s="13">
        <v>43409</v>
      </c>
      <c r="AE5068" s="12" t="s">
        <v>427</v>
      </c>
      <c r="AF5068" s="12" t="s">
        <v>1977</v>
      </c>
      <c r="AG5068" s="12" t="s">
        <v>24263</v>
      </c>
      <c r="AH5068" s="1">
        <f>HYPERLINK("https://my.pitchbook.com?c=119735-02T","View Company Online")</f>
      </c>
    </row>
    <row r="5069">
      <c r="A5069" s="3" t="s">
        <v>24264</v>
      </c>
      <c r="B5069" s="3" t="s">
        <v>24265</v>
      </c>
      <c r="C5069" s="5" t="s">
        <v>36</v>
      </c>
      <c r="D5069" s="5" t="s">
        <v>36</v>
      </c>
      <c r="E5069" s="5" t="s">
        <v>36</v>
      </c>
      <c r="F5069" s="5" t="s">
        <v>36</v>
      </c>
      <c r="G5069" s="6" t="s">
        <v>36</v>
      </c>
      <c r="H5069" s="4">
        <v>224.65</v>
      </c>
      <c r="I5069" s="7">
        <v>8.53</v>
      </c>
      <c r="J5069" s="3" t="s">
        <v>521</v>
      </c>
      <c r="K5069" s="9" t="s">
        <v>36</v>
      </c>
      <c r="L5069" s="6" t="s">
        <v>36</v>
      </c>
      <c r="M5069" s="3" t="s">
        <v>36</v>
      </c>
      <c r="N5069" s="3" t="s">
        <v>36</v>
      </c>
      <c r="O5069" s="8" t="s">
        <v>36</v>
      </c>
      <c r="P5069" s="3" t="s">
        <v>36</v>
      </c>
      <c r="Q5069" s="3" t="s">
        <v>36</v>
      </c>
      <c r="R5069" s="3" t="s">
        <v>36</v>
      </c>
      <c r="S5069" s="3" t="s">
        <v>36</v>
      </c>
      <c r="T5069" s="3" t="s">
        <v>24266</v>
      </c>
      <c r="U5069" s="3" t="s">
        <v>74</v>
      </c>
      <c r="V5069" s="3" t="s">
        <v>75</v>
      </c>
      <c r="W5069" s="3" t="s">
        <v>24267</v>
      </c>
      <c r="X5069" s="10" t="s">
        <v>24268</v>
      </c>
      <c r="Y5069" s="6" t="s">
        <v>42</v>
      </c>
      <c r="Z5069" s="4">
        <v>0.37</v>
      </c>
      <c r="AA5069" s="4">
        <v>4.39</v>
      </c>
      <c r="AB5069" s="3" t="s">
        <v>43</v>
      </c>
      <c r="AC5069" s="3" t="s">
        <v>24269</v>
      </c>
      <c r="AD5069" s="9">
        <v>43409</v>
      </c>
      <c r="AE5069" s="3" t="s">
        <v>696</v>
      </c>
      <c r="AF5069" s="3" t="s">
        <v>24270</v>
      </c>
      <c r="AG5069" s="3" t="s">
        <v>81</v>
      </c>
      <c r="AH5069" s="11">
        <f>HYPERLINK("https://my.pitchbook.com?c=132960-79T","View Company Online")</f>
      </c>
    </row>
    <row r="5070">
      <c r="A5070" s="12" t="s">
        <v>24271</v>
      </c>
      <c r="B5070" s="12" t="s">
        <v>24272</v>
      </c>
      <c r="C5070" s="19" t="s">
        <v>36</v>
      </c>
      <c r="D5070" s="19" t="s">
        <v>36</v>
      </c>
      <c r="E5070" s="19" t="s">
        <v>36</v>
      </c>
      <c r="F5070" s="19" t="s">
        <v>36</v>
      </c>
      <c r="G5070" s="15" t="s">
        <v>36</v>
      </c>
      <c r="H5070" s="14">
        <v>12.46</v>
      </c>
      <c r="I5070" s="18">
        <v>6.36</v>
      </c>
      <c r="J5070" s="12" t="s">
        <v>521</v>
      </c>
      <c r="K5070" s="13" t="s">
        <v>36</v>
      </c>
      <c r="L5070" s="15" t="s">
        <v>36</v>
      </c>
      <c r="M5070" s="12" t="s">
        <v>36</v>
      </c>
      <c r="N5070" s="12" t="s">
        <v>36</v>
      </c>
      <c r="O5070" s="17" t="s">
        <v>36</v>
      </c>
      <c r="P5070" s="12" t="s">
        <v>36</v>
      </c>
      <c r="Q5070" s="12" t="s">
        <v>36</v>
      </c>
      <c r="R5070" s="12" t="s">
        <v>36</v>
      </c>
      <c r="S5070" s="12" t="s">
        <v>36</v>
      </c>
      <c r="T5070" s="12" t="s">
        <v>13476</v>
      </c>
      <c r="U5070" s="12" t="s">
        <v>648</v>
      </c>
      <c r="V5070" s="12" t="s">
        <v>64</v>
      </c>
      <c r="W5070" s="12" t="s">
        <v>24273</v>
      </c>
      <c r="X5070" s="16" t="s">
        <v>24274</v>
      </c>
      <c r="Y5070" s="15" t="s">
        <v>42</v>
      </c>
      <c r="Z5070" s="14">
        <v>0.09</v>
      </c>
      <c r="AA5070" s="14">
        <v>1.47</v>
      </c>
      <c r="AB5070" s="12" t="s">
        <v>43</v>
      </c>
      <c r="AC5070" s="12" t="s">
        <v>24275</v>
      </c>
      <c r="AD5070" s="13">
        <v>43409</v>
      </c>
      <c r="AE5070" s="12" t="s">
        <v>651</v>
      </c>
      <c r="AF5070" s="12" t="s">
        <v>8032</v>
      </c>
      <c r="AG5070" s="12" t="s">
        <v>81</v>
      </c>
      <c r="AH5070" s="1">
        <f>HYPERLINK("https://my.pitchbook.com?c=192524-41T","View Company Online")</f>
      </c>
    </row>
    <row r="5071">
      <c r="A5071" s="3" t="s">
        <v>24276</v>
      </c>
      <c r="B5071" s="3" t="s">
        <v>11005</v>
      </c>
      <c r="C5071" s="5" t="s">
        <v>36</v>
      </c>
      <c r="D5071" s="5" t="s">
        <v>36</v>
      </c>
      <c r="E5071" s="5" t="s">
        <v>36</v>
      </c>
      <c r="F5071" s="5" t="s">
        <v>36</v>
      </c>
      <c r="G5071" s="6" t="s">
        <v>326</v>
      </c>
      <c r="H5071" s="4">
        <v>253.12</v>
      </c>
      <c r="I5071" s="7">
        <v>36.69</v>
      </c>
      <c r="J5071" s="3" t="s">
        <v>521</v>
      </c>
      <c r="K5071" s="9">
        <v>43395</v>
      </c>
      <c r="L5071" s="6" t="s">
        <v>36</v>
      </c>
      <c r="M5071" s="3" t="s">
        <v>36</v>
      </c>
      <c r="N5071" s="3" t="s">
        <v>36</v>
      </c>
      <c r="O5071" s="8" t="s">
        <v>36</v>
      </c>
      <c r="P5071" s="3" t="s">
        <v>36</v>
      </c>
      <c r="Q5071" s="3" t="s">
        <v>36</v>
      </c>
      <c r="R5071" s="3" t="s">
        <v>36</v>
      </c>
      <c r="S5071" s="3" t="s">
        <v>36</v>
      </c>
      <c r="T5071" s="3" t="s">
        <v>11006</v>
      </c>
      <c r="U5071" s="3" t="s">
        <v>279</v>
      </c>
      <c r="V5071" s="3" t="s">
        <v>64</v>
      </c>
      <c r="W5071" s="3" t="s">
        <v>11007</v>
      </c>
      <c r="X5071" s="10" t="s">
        <v>24277</v>
      </c>
      <c r="Y5071" s="6" t="s">
        <v>166</v>
      </c>
      <c r="Z5071" s="4">
        <v>18.34</v>
      </c>
      <c r="AA5071" s="4">
        <v>37.21</v>
      </c>
      <c r="AB5071" s="3" t="s">
        <v>56</v>
      </c>
      <c r="AC5071" s="3" t="s">
        <v>11009</v>
      </c>
      <c r="AD5071" s="9">
        <v>43409</v>
      </c>
      <c r="AE5071" s="3" t="s">
        <v>283</v>
      </c>
      <c r="AF5071" s="3" t="s">
        <v>11010</v>
      </c>
      <c r="AG5071" s="3" t="s">
        <v>969</v>
      </c>
      <c r="AH5071" s="11">
        <f>HYPERLINK("https://my.pitchbook.com?c=114031-72T","View Company Online")</f>
      </c>
    </row>
    <row r="5072">
      <c r="A5072" s="12" t="s">
        <v>24278</v>
      </c>
      <c r="B5072" s="12" t="s">
        <v>12669</v>
      </c>
      <c r="C5072" s="19" t="s">
        <v>36</v>
      </c>
      <c r="D5072" s="19" t="s">
        <v>36</v>
      </c>
      <c r="E5072" s="19" t="s">
        <v>36</v>
      </c>
      <c r="F5072" s="19" t="s">
        <v>36</v>
      </c>
      <c r="G5072" s="15" t="s">
        <v>36</v>
      </c>
      <c r="H5072" s="14" t="s">
        <v>36</v>
      </c>
      <c r="I5072" s="18" t="s">
        <v>36</v>
      </c>
      <c r="J5072" s="12" t="s">
        <v>36</v>
      </c>
      <c r="K5072" s="13" t="s">
        <v>36</v>
      </c>
      <c r="L5072" s="15" t="s">
        <v>36</v>
      </c>
      <c r="M5072" s="12" t="s">
        <v>36</v>
      </c>
      <c r="N5072" s="12" t="s">
        <v>36</v>
      </c>
      <c r="O5072" s="17" t="s">
        <v>36</v>
      </c>
      <c r="P5072" s="12" t="s">
        <v>36</v>
      </c>
      <c r="Q5072" s="12" t="s">
        <v>36</v>
      </c>
      <c r="R5072" s="12" t="s">
        <v>36</v>
      </c>
      <c r="S5072" s="12" t="s">
        <v>36</v>
      </c>
      <c r="T5072" s="12" t="s">
        <v>630</v>
      </c>
      <c r="U5072" s="12" t="s">
        <v>38</v>
      </c>
      <c r="V5072" s="12" t="s">
        <v>39</v>
      </c>
      <c r="W5072" s="12" t="s">
        <v>12670</v>
      </c>
      <c r="X5072" s="16" t="s">
        <v>24279</v>
      </c>
      <c r="Y5072" s="15" t="s">
        <v>42</v>
      </c>
      <c r="Z5072" s="14">
        <v>3</v>
      </c>
      <c r="AA5072" s="14" t="s">
        <v>36</v>
      </c>
      <c r="AB5072" s="12" t="s">
        <v>43</v>
      </c>
      <c r="AC5072" s="12" t="s">
        <v>12672</v>
      </c>
      <c r="AD5072" s="13">
        <v>43405</v>
      </c>
      <c r="AE5072" s="12" t="s">
        <v>110</v>
      </c>
      <c r="AF5072" s="12" t="s">
        <v>799</v>
      </c>
      <c r="AG5072" s="12" t="s">
        <v>12673</v>
      </c>
      <c r="AH5072" s="1">
        <f>HYPERLINK("https://my.pitchbook.com?c=160424-83T","View Company Online")</f>
      </c>
    </row>
    <row r="5073">
      <c r="A5073" s="3" t="s">
        <v>24280</v>
      </c>
      <c r="B5073" s="3" t="s">
        <v>24281</v>
      </c>
      <c r="C5073" s="5" t="s">
        <v>36</v>
      </c>
      <c r="D5073" s="5" t="s">
        <v>36</v>
      </c>
      <c r="E5073" s="5" t="s">
        <v>36</v>
      </c>
      <c r="F5073" s="5" t="s">
        <v>36</v>
      </c>
      <c r="G5073" s="6" t="s">
        <v>36</v>
      </c>
      <c r="H5073" s="4" t="s">
        <v>36</v>
      </c>
      <c r="I5073" s="7" t="s">
        <v>36</v>
      </c>
      <c r="J5073" s="3" t="s">
        <v>36</v>
      </c>
      <c r="K5073" s="9" t="s">
        <v>36</v>
      </c>
      <c r="L5073" s="6" t="s">
        <v>36</v>
      </c>
      <c r="M5073" s="3" t="s">
        <v>36</v>
      </c>
      <c r="N5073" s="3" t="s">
        <v>36</v>
      </c>
      <c r="O5073" s="8" t="s">
        <v>36</v>
      </c>
      <c r="P5073" s="3" t="s">
        <v>36</v>
      </c>
      <c r="Q5073" s="3" t="s">
        <v>36</v>
      </c>
      <c r="R5073" s="3" t="s">
        <v>36</v>
      </c>
      <c r="S5073" s="3" t="s">
        <v>36</v>
      </c>
      <c r="T5073" s="3" t="s">
        <v>24282</v>
      </c>
      <c r="U5073" s="3" t="s">
        <v>1580</v>
      </c>
      <c r="V5073" s="3" t="s">
        <v>39</v>
      </c>
      <c r="W5073" s="3" t="s">
        <v>24283</v>
      </c>
      <c r="X5073" s="10" t="s">
        <v>11058</v>
      </c>
      <c r="Y5073" s="6" t="s">
        <v>42</v>
      </c>
      <c r="Z5073" s="4" t="s">
        <v>36</v>
      </c>
      <c r="AA5073" s="4" t="s">
        <v>36</v>
      </c>
      <c r="AB5073" s="3" t="s">
        <v>43</v>
      </c>
      <c r="AC5073" s="3" t="s">
        <v>24284</v>
      </c>
      <c r="AD5073" s="9">
        <v>43405</v>
      </c>
      <c r="AE5073" s="3" t="s">
        <v>4086</v>
      </c>
      <c r="AF5073" s="3" t="s">
        <v>24285</v>
      </c>
      <c r="AG5073" s="3" t="s">
        <v>24286</v>
      </c>
      <c r="AH5073" s="11">
        <f>HYPERLINK("https://my.pitchbook.com?c=89279-83T","View Company Online")</f>
      </c>
    </row>
    <row r="5074">
      <c r="A5074" s="12" t="s">
        <v>24287</v>
      </c>
      <c r="B5074" s="12" t="s">
        <v>18405</v>
      </c>
      <c r="C5074" s="19">
        <v>1</v>
      </c>
      <c r="D5074" s="19">
        <v>5</v>
      </c>
      <c r="E5074" s="19">
        <v>3</v>
      </c>
      <c r="F5074" s="19">
        <v>6</v>
      </c>
      <c r="G5074" s="15" t="s">
        <v>36</v>
      </c>
      <c r="H5074" s="14" t="s">
        <v>36</v>
      </c>
      <c r="I5074" s="18">
        <v>7.1</v>
      </c>
      <c r="J5074" s="12" t="s">
        <v>327</v>
      </c>
      <c r="K5074" s="13" t="s">
        <v>36</v>
      </c>
      <c r="L5074" s="15" t="s">
        <v>36</v>
      </c>
      <c r="M5074" s="12" t="s">
        <v>36</v>
      </c>
      <c r="N5074" s="12" t="s">
        <v>36</v>
      </c>
      <c r="O5074" s="17" t="s">
        <v>36</v>
      </c>
      <c r="P5074" s="12" t="s">
        <v>36</v>
      </c>
      <c r="Q5074" s="12" t="s">
        <v>36</v>
      </c>
      <c r="R5074" s="12" t="s">
        <v>36</v>
      </c>
      <c r="S5074" s="12" t="s">
        <v>36</v>
      </c>
      <c r="T5074" s="12" t="s">
        <v>17704</v>
      </c>
      <c r="U5074" s="12" t="s">
        <v>833</v>
      </c>
      <c r="V5074" s="12" t="s">
        <v>64</v>
      </c>
      <c r="W5074" s="12" t="s">
        <v>18406</v>
      </c>
      <c r="X5074" s="16" t="s">
        <v>24288</v>
      </c>
      <c r="Y5074" s="15" t="s">
        <v>42</v>
      </c>
      <c r="Z5074" s="14">
        <v>0.4</v>
      </c>
      <c r="AA5074" s="14">
        <v>1.12</v>
      </c>
      <c r="AB5074" s="12" t="s">
        <v>43</v>
      </c>
      <c r="AC5074" s="12" t="s">
        <v>18408</v>
      </c>
      <c r="AD5074" s="13">
        <v>43405</v>
      </c>
      <c r="AE5074" s="12" t="s">
        <v>1069</v>
      </c>
      <c r="AF5074" s="12" t="s">
        <v>2118</v>
      </c>
      <c r="AG5074" s="12" t="s">
        <v>2636</v>
      </c>
      <c r="AH5074" s="1">
        <f>HYPERLINK("https://my.pitchbook.com?c=116173-27T","View Company Online")</f>
      </c>
    </row>
    <row r="5075">
      <c r="A5075" s="3" t="s">
        <v>24289</v>
      </c>
      <c r="B5075" s="3" t="s">
        <v>24290</v>
      </c>
      <c r="C5075" s="5" t="s">
        <v>36</v>
      </c>
      <c r="D5075" s="5" t="s">
        <v>36</v>
      </c>
      <c r="E5075" s="5" t="s">
        <v>36</v>
      </c>
      <c r="F5075" s="5" t="s">
        <v>36</v>
      </c>
      <c r="G5075" s="6" t="s">
        <v>36</v>
      </c>
      <c r="H5075" s="4">
        <v>132.51</v>
      </c>
      <c r="I5075" s="7">
        <v>36.65</v>
      </c>
      <c r="J5075" s="3" t="s">
        <v>521</v>
      </c>
      <c r="K5075" s="9" t="s">
        <v>36</v>
      </c>
      <c r="L5075" s="6" t="s">
        <v>36</v>
      </c>
      <c r="M5075" s="3" t="s">
        <v>36</v>
      </c>
      <c r="N5075" s="3" t="s">
        <v>36</v>
      </c>
      <c r="O5075" s="8" t="s">
        <v>36</v>
      </c>
      <c r="P5075" s="3" t="s">
        <v>36</v>
      </c>
      <c r="Q5075" s="3" t="s">
        <v>36</v>
      </c>
      <c r="R5075" s="3" t="s">
        <v>36</v>
      </c>
      <c r="S5075" s="3" t="s">
        <v>36</v>
      </c>
      <c r="T5075" s="3" t="s">
        <v>24291</v>
      </c>
      <c r="U5075" s="3" t="s">
        <v>38</v>
      </c>
      <c r="V5075" s="3" t="s">
        <v>39</v>
      </c>
      <c r="W5075" s="3" t="s">
        <v>24292</v>
      </c>
      <c r="X5075" s="10" t="s">
        <v>13670</v>
      </c>
      <c r="Y5075" s="6" t="s">
        <v>108</v>
      </c>
      <c r="Z5075" s="4">
        <v>1.39</v>
      </c>
      <c r="AA5075" s="4">
        <v>3.79</v>
      </c>
      <c r="AB5075" s="3" t="s">
        <v>56</v>
      </c>
      <c r="AC5075" s="3" t="s">
        <v>24293</v>
      </c>
      <c r="AD5075" s="9">
        <v>43405</v>
      </c>
      <c r="AE5075" s="3" t="s">
        <v>1330</v>
      </c>
      <c r="AF5075" s="3" t="s">
        <v>1842</v>
      </c>
      <c r="AG5075" s="3" t="s">
        <v>81</v>
      </c>
      <c r="AH5075" s="11">
        <f>HYPERLINK("https://my.pitchbook.com?c=130897-45T","View Company Online")</f>
      </c>
    </row>
    <row r="5076">
      <c r="A5076" s="12" t="s">
        <v>24294</v>
      </c>
      <c r="B5076" s="12" t="s">
        <v>12167</v>
      </c>
      <c r="C5076" s="19">
        <v>11</v>
      </c>
      <c r="D5076" s="19">
        <v>19</v>
      </c>
      <c r="E5076" s="19">
        <v>13</v>
      </c>
      <c r="F5076" s="19">
        <v>32</v>
      </c>
      <c r="G5076" s="15" t="s">
        <v>36</v>
      </c>
      <c r="H5076" s="14">
        <v>5.61</v>
      </c>
      <c r="I5076" s="18">
        <v>17.79</v>
      </c>
      <c r="J5076" s="12" t="s">
        <v>521</v>
      </c>
      <c r="K5076" s="13" t="s">
        <v>36</v>
      </c>
      <c r="L5076" s="15" t="s">
        <v>36</v>
      </c>
      <c r="M5076" s="12" t="s">
        <v>36</v>
      </c>
      <c r="N5076" s="12" t="s">
        <v>36</v>
      </c>
      <c r="O5076" s="17" t="s">
        <v>36</v>
      </c>
      <c r="P5076" s="12" t="s">
        <v>36</v>
      </c>
      <c r="Q5076" s="12" t="s">
        <v>36</v>
      </c>
      <c r="R5076" s="12" t="s">
        <v>36</v>
      </c>
      <c r="S5076" s="12" t="s">
        <v>36</v>
      </c>
      <c r="T5076" s="12" t="s">
        <v>12168</v>
      </c>
      <c r="U5076" s="12" t="s">
        <v>2279</v>
      </c>
      <c r="V5076" s="12" t="s">
        <v>378</v>
      </c>
      <c r="W5076" s="12" t="s">
        <v>12169</v>
      </c>
      <c r="X5076" s="16" t="s">
        <v>24295</v>
      </c>
      <c r="Y5076" s="15" t="s">
        <v>42</v>
      </c>
      <c r="Z5076" s="14">
        <v>0.8</v>
      </c>
      <c r="AA5076" s="14">
        <v>4.49</v>
      </c>
      <c r="AB5076" s="12" t="s">
        <v>43</v>
      </c>
      <c r="AC5076" s="12" t="s">
        <v>12171</v>
      </c>
      <c r="AD5076" s="13">
        <v>43405</v>
      </c>
      <c r="AE5076" s="12" t="s">
        <v>5828</v>
      </c>
      <c r="AF5076" s="12" t="s">
        <v>2369</v>
      </c>
      <c r="AG5076" s="12" t="s">
        <v>12172</v>
      </c>
      <c r="AH5076" s="1">
        <f>HYPERLINK("https://my.pitchbook.com?c=195287-59T","View Company Online")</f>
      </c>
    </row>
    <row r="5077">
      <c r="A5077" s="3" t="s">
        <v>24296</v>
      </c>
      <c r="B5077" s="3" t="s">
        <v>24297</v>
      </c>
      <c r="C5077" s="5" t="s">
        <v>36</v>
      </c>
      <c r="D5077" s="5" t="s">
        <v>36</v>
      </c>
      <c r="E5077" s="5" t="s">
        <v>36</v>
      </c>
      <c r="F5077" s="5" t="s">
        <v>36</v>
      </c>
      <c r="G5077" s="6" t="s">
        <v>36</v>
      </c>
      <c r="H5077" s="4" t="s">
        <v>36</v>
      </c>
      <c r="I5077" s="7" t="s">
        <v>36</v>
      </c>
      <c r="J5077" s="3" t="s">
        <v>36</v>
      </c>
      <c r="K5077" s="9" t="s">
        <v>36</v>
      </c>
      <c r="L5077" s="6" t="s">
        <v>36</v>
      </c>
      <c r="M5077" s="3" t="s">
        <v>36</v>
      </c>
      <c r="N5077" s="3" t="s">
        <v>36</v>
      </c>
      <c r="O5077" s="8" t="s">
        <v>36</v>
      </c>
      <c r="P5077" s="3" t="s">
        <v>36</v>
      </c>
      <c r="Q5077" s="3" t="s">
        <v>36</v>
      </c>
      <c r="R5077" s="3" t="s">
        <v>36</v>
      </c>
      <c r="S5077" s="3" t="s">
        <v>36</v>
      </c>
      <c r="T5077" s="3" t="s">
        <v>522</v>
      </c>
      <c r="U5077" s="3" t="s">
        <v>38</v>
      </c>
      <c r="V5077" s="3" t="s">
        <v>39</v>
      </c>
      <c r="W5077" s="3" t="s">
        <v>24298</v>
      </c>
      <c r="X5077" s="10" t="s">
        <v>1840</v>
      </c>
      <c r="Y5077" s="6" t="s">
        <v>55</v>
      </c>
      <c r="Z5077" s="4">
        <v>2.64</v>
      </c>
      <c r="AA5077" s="4" t="s">
        <v>36</v>
      </c>
      <c r="AB5077" s="3" t="s">
        <v>56</v>
      </c>
      <c r="AC5077" s="3" t="s">
        <v>24299</v>
      </c>
      <c r="AD5077" s="9">
        <v>43405</v>
      </c>
      <c r="AE5077" s="3" t="s">
        <v>110</v>
      </c>
      <c r="AF5077" s="3" t="s">
        <v>7533</v>
      </c>
      <c r="AG5077" s="3" t="s">
        <v>186</v>
      </c>
      <c r="AH5077" s="11">
        <f>HYPERLINK("https://my.pitchbook.com?c=134396-47T","View Company Online")</f>
      </c>
    </row>
    <row r="5078">
      <c r="A5078" s="12" t="s">
        <v>24300</v>
      </c>
      <c r="B5078" s="12" t="s">
        <v>16372</v>
      </c>
      <c r="C5078" s="19" t="s">
        <v>36</v>
      </c>
      <c r="D5078" s="19" t="s">
        <v>36</v>
      </c>
      <c r="E5078" s="19" t="s">
        <v>36</v>
      </c>
      <c r="F5078" s="19" t="s">
        <v>36</v>
      </c>
      <c r="G5078" s="15" t="s">
        <v>36</v>
      </c>
      <c r="H5078" s="14">
        <v>53.92</v>
      </c>
      <c r="I5078" s="18">
        <v>28.32</v>
      </c>
      <c r="J5078" s="12" t="s">
        <v>521</v>
      </c>
      <c r="K5078" s="13" t="s">
        <v>36</v>
      </c>
      <c r="L5078" s="15" t="s">
        <v>36</v>
      </c>
      <c r="M5078" s="12" t="s">
        <v>36</v>
      </c>
      <c r="N5078" s="12" t="s">
        <v>36</v>
      </c>
      <c r="O5078" s="17" t="s">
        <v>36</v>
      </c>
      <c r="P5078" s="12" t="s">
        <v>36</v>
      </c>
      <c r="Q5078" s="12" t="s">
        <v>36</v>
      </c>
      <c r="R5078" s="12" t="s">
        <v>36</v>
      </c>
      <c r="S5078" s="12" t="s">
        <v>36</v>
      </c>
      <c r="T5078" s="12" t="s">
        <v>16373</v>
      </c>
      <c r="U5078" s="12" t="s">
        <v>833</v>
      </c>
      <c r="V5078" s="12" t="s">
        <v>64</v>
      </c>
      <c r="W5078" s="12" t="s">
        <v>16374</v>
      </c>
      <c r="X5078" s="16" t="s">
        <v>24301</v>
      </c>
      <c r="Y5078" s="15" t="s">
        <v>42</v>
      </c>
      <c r="Z5078" s="14">
        <v>1.84</v>
      </c>
      <c r="AA5078" s="14">
        <v>6.48</v>
      </c>
      <c r="AB5078" s="12" t="s">
        <v>56</v>
      </c>
      <c r="AC5078" s="12" t="s">
        <v>16375</v>
      </c>
      <c r="AD5078" s="13">
        <v>43405</v>
      </c>
      <c r="AE5078" s="12" t="s">
        <v>1687</v>
      </c>
      <c r="AF5078" s="12" t="s">
        <v>90</v>
      </c>
      <c r="AG5078" s="12" t="s">
        <v>81</v>
      </c>
      <c r="AH5078" s="1">
        <f>HYPERLINK("https://my.pitchbook.com?c=120217-33T","View Company Online")</f>
      </c>
    </row>
    <row r="5079">
      <c r="A5079" s="3" t="s">
        <v>24302</v>
      </c>
      <c r="B5079" s="3" t="s">
        <v>21406</v>
      </c>
      <c r="C5079" s="5" t="s">
        <v>36</v>
      </c>
      <c r="D5079" s="5" t="s">
        <v>36</v>
      </c>
      <c r="E5079" s="5" t="s">
        <v>36</v>
      </c>
      <c r="F5079" s="5" t="s">
        <v>36</v>
      </c>
      <c r="G5079" s="6" t="s">
        <v>36</v>
      </c>
      <c r="H5079" s="4">
        <v>1557.85</v>
      </c>
      <c r="I5079" s="7">
        <v>32.66</v>
      </c>
      <c r="J5079" s="3" t="s">
        <v>521</v>
      </c>
      <c r="K5079" s="9" t="s">
        <v>36</v>
      </c>
      <c r="L5079" s="6" t="s">
        <v>36</v>
      </c>
      <c r="M5079" s="3" t="s">
        <v>36</v>
      </c>
      <c r="N5079" s="3" t="s">
        <v>36</v>
      </c>
      <c r="O5079" s="8" t="s">
        <v>36</v>
      </c>
      <c r="P5079" s="3" t="s">
        <v>36</v>
      </c>
      <c r="Q5079" s="3" t="s">
        <v>36</v>
      </c>
      <c r="R5079" s="3" t="s">
        <v>36</v>
      </c>
      <c r="S5079" s="3" t="s">
        <v>36</v>
      </c>
      <c r="T5079" s="3" t="s">
        <v>2490</v>
      </c>
      <c r="U5079" s="3" t="s">
        <v>318</v>
      </c>
      <c r="V5079" s="3" t="s">
        <v>39</v>
      </c>
      <c r="W5079" s="3" t="s">
        <v>21407</v>
      </c>
      <c r="X5079" s="10" t="s">
        <v>24303</v>
      </c>
      <c r="Y5079" s="6" t="s">
        <v>42</v>
      </c>
      <c r="Z5079" s="4">
        <v>1.85</v>
      </c>
      <c r="AA5079" s="4">
        <v>2.56</v>
      </c>
      <c r="AB5079" s="3" t="s">
        <v>43</v>
      </c>
      <c r="AC5079" s="3" t="s">
        <v>21409</v>
      </c>
      <c r="AD5079" s="9">
        <v>43405</v>
      </c>
      <c r="AE5079" s="3" t="s">
        <v>417</v>
      </c>
      <c r="AF5079" s="3" t="s">
        <v>5522</v>
      </c>
      <c r="AG5079" s="3" t="s">
        <v>21410</v>
      </c>
      <c r="AH5079" s="11">
        <f>HYPERLINK("https://my.pitchbook.com?c=121660-93T","View Company Online")</f>
      </c>
    </row>
    <row r="5080">
      <c r="A5080" s="12" t="s">
        <v>24304</v>
      </c>
      <c r="B5080" s="12" t="s">
        <v>18008</v>
      </c>
      <c r="C5080" s="19" t="s">
        <v>36</v>
      </c>
      <c r="D5080" s="19" t="s">
        <v>36</v>
      </c>
      <c r="E5080" s="19" t="s">
        <v>36</v>
      </c>
      <c r="F5080" s="19" t="s">
        <v>36</v>
      </c>
      <c r="G5080" s="15" t="s">
        <v>36</v>
      </c>
      <c r="H5080" s="14">
        <v>26.38</v>
      </c>
      <c r="I5080" s="18">
        <v>5.88</v>
      </c>
      <c r="J5080" s="12" t="s">
        <v>521</v>
      </c>
      <c r="K5080" s="13" t="s">
        <v>36</v>
      </c>
      <c r="L5080" s="15" t="s">
        <v>36</v>
      </c>
      <c r="M5080" s="12" t="s">
        <v>36</v>
      </c>
      <c r="N5080" s="12" t="s">
        <v>36</v>
      </c>
      <c r="O5080" s="17" t="s">
        <v>36</v>
      </c>
      <c r="P5080" s="12" t="s">
        <v>36</v>
      </c>
      <c r="Q5080" s="12" t="s">
        <v>36</v>
      </c>
      <c r="R5080" s="12" t="s">
        <v>36</v>
      </c>
      <c r="S5080" s="12" t="s">
        <v>36</v>
      </c>
      <c r="T5080" s="12" t="s">
        <v>464</v>
      </c>
      <c r="U5080" s="12" t="s">
        <v>38</v>
      </c>
      <c r="V5080" s="12" t="s">
        <v>39</v>
      </c>
      <c r="W5080" s="12" t="s">
        <v>18009</v>
      </c>
      <c r="X5080" s="16" t="s">
        <v>18010</v>
      </c>
      <c r="Y5080" s="15" t="s">
        <v>42</v>
      </c>
      <c r="Z5080" s="14">
        <v>0.18</v>
      </c>
      <c r="AA5080" s="14">
        <v>3.1</v>
      </c>
      <c r="AB5080" s="12" t="s">
        <v>43</v>
      </c>
      <c r="AC5080" s="12" t="s">
        <v>18011</v>
      </c>
      <c r="AD5080" s="13">
        <v>43404</v>
      </c>
      <c r="AE5080" s="12" t="s">
        <v>110</v>
      </c>
      <c r="AF5080" s="12" t="s">
        <v>18012</v>
      </c>
      <c r="AG5080" s="12" t="s">
        <v>18013</v>
      </c>
      <c r="AH5080" s="1">
        <f>HYPERLINK("https://my.pitchbook.com?c=189581-95T","View Company Online")</f>
      </c>
    </row>
    <row r="5081">
      <c r="A5081" s="3" t="s">
        <v>24305</v>
      </c>
      <c r="B5081" s="3" t="s">
        <v>24306</v>
      </c>
      <c r="C5081" s="5">
        <v>2</v>
      </c>
      <c r="D5081" s="5">
        <v>36</v>
      </c>
      <c r="E5081" s="5">
        <v>11</v>
      </c>
      <c r="F5081" s="5">
        <v>49</v>
      </c>
      <c r="G5081" s="6" t="s">
        <v>326</v>
      </c>
      <c r="H5081" s="4">
        <v>35.22</v>
      </c>
      <c r="I5081" s="7">
        <v>29.62</v>
      </c>
      <c r="J5081" s="3" t="s">
        <v>521</v>
      </c>
      <c r="K5081" s="9" t="s">
        <v>36</v>
      </c>
      <c r="L5081" s="6" t="s">
        <v>36</v>
      </c>
      <c r="M5081" s="3" t="s">
        <v>36</v>
      </c>
      <c r="N5081" s="3" t="s">
        <v>36</v>
      </c>
      <c r="O5081" s="8" t="s">
        <v>36</v>
      </c>
      <c r="P5081" s="3" t="s">
        <v>36</v>
      </c>
      <c r="Q5081" s="3" t="s">
        <v>36</v>
      </c>
      <c r="R5081" s="3" t="s">
        <v>36</v>
      </c>
      <c r="S5081" s="3" t="s">
        <v>36</v>
      </c>
      <c r="T5081" s="3" t="s">
        <v>3945</v>
      </c>
      <c r="U5081" s="3" t="s">
        <v>366</v>
      </c>
      <c r="V5081" s="3" t="s">
        <v>367</v>
      </c>
      <c r="W5081" s="3" t="s">
        <v>24307</v>
      </c>
      <c r="X5081" s="10" t="s">
        <v>24308</v>
      </c>
      <c r="Y5081" s="6" t="s">
        <v>108</v>
      </c>
      <c r="Z5081" s="4">
        <v>2.54</v>
      </c>
      <c r="AA5081" s="4">
        <v>8.56</v>
      </c>
      <c r="AB5081" s="3" t="s">
        <v>43</v>
      </c>
      <c r="AC5081" s="3" t="s">
        <v>24309</v>
      </c>
      <c r="AD5081" s="9">
        <v>43404</v>
      </c>
      <c r="AE5081" s="3" t="s">
        <v>600</v>
      </c>
      <c r="AF5081" s="3" t="s">
        <v>24310</v>
      </c>
      <c r="AG5081" s="3" t="s">
        <v>969</v>
      </c>
      <c r="AH5081" s="11">
        <f>HYPERLINK("https://my.pitchbook.com?c=113333-77T","View Company Online")</f>
      </c>
    </row>
    <row r="5082">
      <c r="A5082" s="12" t="s">
        <v>24311</v>
      </c>
      <c r="B5082" s="12" t="s">
        <v>22014</v>
      </c>
      <c r="C5082" s="19" t="s">
        <v>36</v>
      </c>
      <c r="D5082" s="19" t="s">
        <v>36</v>
      </c>
      <c r="E5082" s="19" t="s">
        <v>36</v>
      </c>
      <c r="F5082" s="19" t="s">
        <v>36</v>
      </c>
      <c r="G5082" s="15" t="s">
        <v>683</v>
      </c>
      <c r="H5082" s="14">
        <v>46.38</v>
      </c>
      <c r="I5082" s="18">
        <v>29.64</v>
      </c>
      <c r="J5082" s="12" t="s">
        <v>521</v>
      </c>
      <c r="K5082" s="13" t="s">
        <v>36</v>
      </c>
      <c r="L5082" s="15" t="s">
        <v>5904</v>
      </c>
      <c r="M5082" s="12" t="s">
        <v>36</v>
      </c>
      <c r="N5082" s="12" t="s">
        <v>5904</v>
      </c>
      <c r="O5082" s="17" t="s">
        <v>36</v>
      </c>
      <c r="P5082" s="12" t="s">
        <v>36</v>
      </c>
      <c r="Q5082" s="12" t="s">
        <v>36</v>
      </c>
      <c r="R5082" s="12" t="s">
        <v>36</v>
      </c>
      <c r="S5082" s="12" t="s">
        <v>36</v>
      </c>
      <c r="T5082" s="12" t="s">
        <v>11886</v>
      </c>
      <c r="U5082" s="12" t="s">
        <v>648</v>
      </c>
      <c r="V5082" s="12" t="s">
        <v>64</v>
      </c>
      <c r="W5082" s="12" t="s">
        <v>22015</v>
      </c>
      <c r="X5082" s="16" t="s">
        <v>24312</v>
      </c>
      <c r="Y5082" s="15" t="s">
        <v>475</v>
      </c>
      <c r="Z5082" s="14">
        <v>23.04</v>
      </c>
      <c r="AA5082" s="14">
        <v>72.3</v>
      </c>
      <c r="AB5082" s="12" t="s">
        <v>56</v>
      </c>
      <c r="AC5082" s="12" t="s">
        <v>22017</v>
      </c>
      <c r="AD5082" s="13">
        <v>43404</v>
      </c>
      <c r="AE5082" s="12" t="s">
        <v>651</v>
      </c>
      <c r="AF5082" s="12" t="s">
        <v>36</v>
      </c>
      <c r="AG5082" s="12" t="s">
        <v>81</v>
      </c>
      <c r="AH5082" s="1">
        <f>HYPERLINK("https://my.pitchbook.com?c=118169-20T","View Company Online")</f>
      </c>
    </row>
    <row r="5083">
      <c r="A5083" s="3" t="s">
        <v>24313</v>
      </c>
      <c r="B5083" s="3" t="s">
        <v>13769</v>
      </c>
      <c r="C5083" s="5" t="s">
        <v>36</v>
      </c>
      <c r="D5083" s="5" t="s">
        <v>36</v>
      </c>
      <c r="E5083" s="5" t="s">
        <v>36</v>
      </c>
      <c r="F5083" s="5" t="s">
        <v>36</v>
      </c>
      <c r="G5083" s="6" t="s">
        <v>36</v>
      </c>
      <c r="H5083" s="4">
        <v>67.51</v>
      </c>
      <c r="I5083" s="7">
        <v>33.48</v>
      </c>
      <c r="J5083" s="3" t="s">
        <v>521</v>
      </c>
      <c r="K5083" s="9" t="s">
        <v>36</v>
      </c>
      <c r="L5083" s="6" t="s">
        <v>36</v>
      </c>
      <c r="M5083" s="3" t="s">
        <v>36</v>
      </c>
      <c r="N5083" s="3" t="s">
        <v>36</v>
      </c>
      <c r="O5083" s="8" t="s">
        <v>36</v>
      </c>
      <c r="P5083" s="3" t="s">
        <v>36</v>
      </c>
      <c r="Q5083" s="3" t="s">
        <v>36</v>
      </c>
      <c r="R5083" s="3" t="s">
        <v>36</v>
      </c>
      <c r="S5083" s="3" t="s">
        <v>36</v>
      </c>
      <c r="T5083" s="3" t="s">
        <v>13770</v>
      </c>
      <c r="U5083" s="3" t="s">
        <v>289</v>
      </c>
      <c r="V5083" s="3" t="s">
        <v>64</v>
      </c>
      <c r="W5083" s="3" t="s">
        <v>13771</v>
      </c>
      <c r="X5083" s="10" t="s">
        <v>23669</v>
      </c>
      <c r="Y5083" s="6" t="s">
        <v>42</v>
      </c>
      <c r="Z5083" s="4">
        <v>0.46</v>
      </c>
      <c r="AA5083" s="4">
        <v>1.13</v>
      </c>
      <c r="AB5083" s="3" t="s">
        <v>43</v>
      </c>
      <c r="AC5083" s="3" t="s">
        <v>13773</v>
      </c>
      <c r="AD5083" s="9">
        <v>43403</v>
      </c>
      <c r="AE5083" s="3" t="s">
        <v>3134</v>
      </c>
      <c r="AF5083" s="3" t="s">
        <v>1061</v>
      </c>
      <c r="AG5083" s="3" t="s">
        <v>81</v>
      </c>
      <c r="AH5083" s="11">
        <f>HYPERLINK("https://my.pitchbook.com?c=122960-53T","View Company Online")</f>
      </c>
    </row>
    <row r="5084">
      <c r="A5084" s="12" t="s">
        <v>24314</v>
      </c>
      <c r="B5084" s="12" t="s">
        <v>24315</v>
      </c>
      <c r="C5084" s="19">
        <v>5</v>
      </c>
      <c r="D5084" s="19">
        <v>30</v>
      </c>
      <c r="E5084" s="19">
        <v>9</v>
      </c>
      <c r="F5084" s="19">
        <v>37</v>
      </c>
      <c r="G5084" s="15" t="s">
        <v>36</v>
      </c>
      <c r="H5084" s="14">
        <v>5.3</v>
      </c>
      <c r="I5084" s="18">
        <v>13.73</v>
      </c>
      <c r="J5084" s="12" t="s">
        <v>521</v>
      </c>
      <c r="K5084" s="13" t="s">
        <v>36</v>
      </c>
      <c r="L5084" s="15" t="s">
        <v>36</v>
      </c>
      <c r="M5084" s="12" t="s">
        <v>36</v>
      </c>
      <c r="N5084" s="12" t="s">
        <v>36</v>
      </c>
      <c r="O5084" s="17" t="s">
        <v>36</v>
      </c>
      <c r="P5084" s="12" t="s">
        <v>36</v>
      </c>
      <c r="Q5084" s="12" t="s">
        <v>36</v>
      </c>
      <c r="R5084" s="12" t="s">
        <v>36</v>
      </c>
      <c r="S5084" s="12" t="s">
        <v>36</v>
      </c>
      <c r="T5084" s="12" t="s">
        <v>253</v>
      </c>
      <c r="U5084" s="12" t="s">
        <v>38</v>
      </c>
      <c r="V5084" s="12" t="s">
        <v>39</v>
      </c>
      <c r="W5084" s="12" t="s">
        <v>24316</v>
      </c>
      <c r="X5084" s="16" t="s">
        <v>24317</v>
      </c>
      <c r="Y5084" s="15" t="s">
        <v>166</v>
      </c>
      <c r="Z5084" s="14">
        <v>9.1</v>
      </c>
      <c r="AA5084" s="14">
        <v>66.72</v>
      </c>
      <c r="AB5084" s="12" t="s">
        <v>56</v>
      </c>
      <c r="AC5084" s="12" t="s">
        <v>24318</v>
      </c>
      <c r="AD5084" s="13">
        <v>43403</v>
      </c>
      <c r="AE5084" s="12" t="s">
        <v>110</v>
      </c>
      <c r="AF5084" s="12" t="s">
        <v>24319</v>
      </c>
      <c r="AG5084" s="12" t="s">
        <v>81</v>
      </c>
      <c r="AH5084" s="1">
        <f>HYPERLINK("https://my.pitchbook.com?c=113685-31T","View Company Online")</f>
      </c>
    </row>
    <row r="5085">
      <c r="A5085" s="3" t="s">
        <v>24320</v>
      </c>
      <c r="B5085" s="3" t="s">
        <v>24321</v>
      </c>
      <c r="C5085" s="5" t="s">
        <v>36</v>
      </c>
      <c r="D5085" s="5" t="s">
        <v>36</v>
      </c>
      <c r="E5085" s="5" t="s">
        <v>36</v>
      </c>
      <c r="F5085" s="5" t="s">
        <v>36</v>
      </c>
      <c r="G5085" s="6" t="s">
        <v>36</v>
      </c>
      <c r="H5085" s="4" t="s">
        <v>36</v>
      </c>
      <c r="I5085" s="7" t="s">
        <v>36</v>
      </c>
      <c r="J5085" s="3" t="s">
        <v>36</v>
      </c>
      <c r="K5085" s="9" t="s">
        <v>36</v>
      </c>
      <c r="L5085" s="6" t="s">
        <v>36</v>
      </c>
      <c r="M5085" s="3" t="s">
        <v>36</v>
      </c>
      <c r="N5085" s="3" t="s">
        <v>36</v>
      </c>
      <c r="O5085" s="8" t="s">
        <v>36</v>
      </c>
      <c r="P5085" s="3" t="s">
        <v>36</v>
      </c>
      <c r="Q5085" s="3" t="s">
        <v>36</v>
      </c>
      <c r="R5085" s="3" t="s">
        <v>36</v>
      </c>
      <c r="S5085" s="3" t="s">
        <v>36</v>
      </c>
      <c r="T5085" s="3" t="s">
        <v>17704</v>
      </c>
      <c r="U5085" s="3" t="s">
        <v>833</v>
      </c>
      <c r="V5085" s="3" t="s">
        <v>64</v>
      </c>
      <c r="W5085" s="3" t="s">
        <v>24322</v>
      </c>
      <c r="X5085" s="10" t="s">
        <v>19677</v>
      </c>
      <c r="Y5085" s="6" t="s">
        <v>108</v>
      </c>
      <c r="Z5085" s="4" t="s">
        <v>36</v>
      </c>
      <c r="AA5085" s="4" t="s">
        <v>36</v>
      </c>
      <c r="AB5085" s="3" t="s">
        <v>43</v>
      </c>
      <c r="AC5085" s="3" t="s">
        <v>24323</v>
      </c>
      <c r="AD5085" s="9">
        <v>43403</v>
      </c>
      <c r="AE5085" s="3" t="s">
        <v>1069</v>
      </c>
      <c r="AF5085" s="3" t="s">
        <v>24324</v>
      </c>
      <c r="AG5085" s="3" t="s">
        <v>47</v>
      </c>
      <c r="AH5085" s="11">
        <f>HYPERLINK("https://my.pitchbook.com?c=115935-94T","View Company Online")</f>
      </c>
    </row>
    <row r="5086">
      <c r="A5086" s="12" t="s">
        <v>24325</v>
      </c>
      <c r="B5086" s="12" t="s">
        <v>24326</v>
      </c>
      <c r="C5086" s="19" t="s">
        <v>36</v>
      </c>
      <c r="D5086" s="19" t="s">
        <v>36</v>
      </c>
      <c r="E5086" s="19" t="s">
        <v>36</v>
      </c>
      <c r="F5086" s="19" t="s">
        <v>36</v>
      </c>
      <c r="G5086" s="15" t="s">
        <v>36</v>
      </c>
      <c r="H5086" s="14" t="s">
        <v>36</v>
      </c>
      <c r="I5086" s="18" t="s">
        <v>36</v>
      </c>
      <c r="J5086" s="12" t="s">
        <v>36</v>
      </c>
      <c r="K5086" s="13" t="s">
        <v>36</v>
      </c>
      <c r="L5086" s="15" t="s">
        <v>36</v>
      </c>
      <c r="M5086" s="12" t="s">
        <v>36</v>
      </c>
      <c r="N5086" s="12" t="s">
        <v>36</v>
      </c>
      <c r="O5086" s="17" t="s">
        <v>36</v>
      </c>
      <c r="P5086" s="12" t="s">
        <v>36</v>
      </c>
      <c r="Q5086" s="12" t="s">
        <v>36</v>
      </c>
      <c r="R5086" s="12" t="s">
        <v>36</v>
      </c>
      <c r="S5086" s="12" t="s">
        <v>36</v>
      </c>
      <c r="T5086" s="12" t="s">
        <v>2308</v>
      </c>
      <c r="U5086" s="12" t="s">
        <v>38</v>
      </c>
      <c r="V5086" s="12" t="s">
        <v>39</v>
      </c>
      <c r="W5086" s="12" t="s">
        <v>24327</v>
      </c>
      <c r="X5086" s="16" t="s">
        <v>24328</v>
      </c>
      <c r="Y5086" s="15" t="s">
        <v>42</v>
      </c>
      <c r="Z5086" s="14">
        <v>2.99</v>
      </c>
      <c r="AA5086" s="14" t="s">
        <v>36</v>
      </c>
      <c r="AB5086" s="12" t="s">
        <v>43</v>
      </c>
      <c r="AC5086" s="12" t="s">
        <v>24329</v>
      </c>
      <c r="AD5086" s="13">
        <v>43402</v>
      </c>
      <c r="AE5086" s="12" t="s">
        <v>45</v>
      </c>
      <c r="AF5086" s="12" t="s">
        <v>615</v>
      </c>
      <c r="AG5086" s="12" t="s">
        <v>81</v>
      </c>
      <c r="AH5086" s="1">
        <f>HYPERLINK("https://my.pitchbook.com?c=113291-74T","View Company Online")</f>
      </c>
    </row>
    <row r="5087">
      <c r="A5087" s="3" t="s">
        <v>24330</v>
      </c>
      <c r="B5087" s="3" t="s">
        <v>10466</v>
      </c>
      <c r="C5087" s="5" t="s">
        <v>36</v>
      </c>
      <c r="D5087" s="5" t="s">
        <v>36</v>
      </c>
      <c r="E5087" s="5" t="s">
        <v>36</v>
      </c>
      <c r="F5087" s="5" t="s">
        <v>36</v>
      </c>
      <c r="G5087" s="6" t="s">
        <v>326</v>
      </c>
      <c r="H5087" s="4">
        <v>219.72</v>
      </c>
      <c r="I5087" s="7">
        <v>4.76</v>
      </c>
      <c r="J5087" s="3" t="s">
        <v>521</v>
      </c>
      <c r="K5087" s="9">
        <v>43109</v>
      </c>
      <c r="L5087" s="6" t="s">
        <v>36</v>
      </c>
      <c r="M5087" s="3" t="s">
        <v>36</v>
      </c>
      <c r="N5087" s="3" t="s">
        <v>36</v>
      </c>
      <c r="O5087" s="8" t="s">
        <v>36</v>
      </c>
      <c r="P5087" s="3" t="s">
        <v>36</v>
      </c>
      <c r="Q5087" s="3" t="s">
        <v>36</v>
      </c>
      <c r="R5087" s="3" t="s">
        <v>36</v>
      </c>
      <c r="S5087" s="3" t="s">
        <v>36</v>
      </c>
      <c r="T5087" s="3" t="s">
        <v>10467</v>
      </c>
      <c r="U5087" s="3" t="s">
        <v>423</v>
      </c>
      <c r="V5087" s="3" t="s">
        <v>64</v>
      </c>
      <c r="W5087" s="3" t="s">
        <v>10468</v>
      </c>
      <c r="X5087" s="10" t="s">
        <v>24331</v>
      </c>
      <c r="Y5087" s="6" t="s">
        <v>42</v>
      </c>
      <c r="Z5087" s="4">
        <v>0.17</v>
      </c>
      <c r="AA5087" s="4">
        <v>3.63</v>
      </c>
      <c r="AB5087" s="3" t="s">
        <v>43</v>
      </c>
      <c r="AC5087" s="3" t="s">
        <v>10470</v>
      </c>
      <c r="AD5087" s="9">
        <v>43399</v>
      </c>
      <c r="AE5087" s="3" t="s">
        <v>427</v>
      </c>
      <c r="AF5087" s="3" t="s">
        <v>90</v>
      </c>
      <c r="AG5087" s="3" t="s">
        <v>10471</v>
      </c>
      <c r="AH5087" s="11">
        <f>HYPERLINK("https://my.pitchbook.com?c=117952-30T","View Company Online")</f>
      </c>
    </row>
    <row r="5088">
      <c r="A5088" s="12" t="s">
        <v>24332</v>
      </c>
      <c r="B5088" s="12" t="s">
        <v>24333</v>
      </c>
      <c r="C5088" s="19" t="s">
        <v>36</v>
      </c>
      <c r="D5088" s="19" t="s">
        <v>36</v>
      </c>
      <c r="E5088" s="19" t="s">
        <v>36</v>
      </c>
      <c r="F5088" s="19" t="s">
        <v>36</v>
      </c>
      <c r="G5088" s="15" t="s">
        <v>36</v>
      </c>
      <c r="H5088" s="14" t="s">
        <v>36</v>
      </c>
      <c r="I5088" s="18" t="s">
        <v>36</v>
      </c>
      <c r="J5088" s="12" t="s">
        <v>36</v>
      </c>
      <c r="K5088" s="13" t="s">
        <v>36</v>
      </c>
      <c r="L5088" s="15" t="s">
        <v>36</v>
      </c>
      <c r="M5088" s="12" t="s">
        <v>36</v>
      </c>
      <c r="N5088" s="12" t="s">
        <v>36</v>
      </c>
      <c r="O5088" s="17" t="s">
        <v>36</v>
      </c>
      <c r="P5088" s="12" t="s">
        <v>36</v>
      </c>
      <c r="Q5088" s="12" t="s">
        <v>36</v>
      </c>
      <c r="R5088" s="12" t="s">
        <v>36</v>
      </c>
      <c r="S5088" s="12" t="s">
        <v>36</v>
      </c>
      <c r="T5088" s="12" t="s">
        <v>4911</v>
      </c>
      <c r="U5088" s="12" t="s">
        <v>63</v>
      </c>
      <c r="V5088" s="12" t="s">
        <v>64</v>
      </c>
      <c r="W5088" s="12" t="s">
        <v>24334</v>
      </c>
      <c r="X5088" s="16" t="s">
        <v>24335</v>
      </c>
      <c r="Y5088" s="15" t="s">
        <v>42</v>
      </c>
      <c r="Z5088" s="14">
        <v>1.15</v>
      </c>
      <c r="AA5088" s="14" t="s">
        <v>36</v>
      </c>
      <c r="AB5088" s="12" t="s">
        <v>43</v>
      </c>
      <c r="AC5088" s="12" t="s">
        <v>24336</v>
      </c>
      <c r="AD5088" s="13">
        <v>43399</v>
      </c>
      <c r="AE5088" s="12" t="s">
        <v>399</v>
      </c>
      <c r="AF5088" s="12" t="s">
        <v>6536</v>
      </c>
      <c r="AG5088" s="12" t="s">
        <v>5504</v>
      </c>
      <c r="AH5088" s="1">
        <f>HYPERLINK("https://my.pitchbook.com?c=118218-43T","View Company Online")</f>
      </c>
    </row>
    <row r="5089">
      <c r="A5089" s="3" t="s">
        <v>24337</v>
      </c>
      <c r="B5089" s="3" t="s">
        <v>12883</v>
      </c>
      <c r="C5089" s="5">
        <v>1</v>
      </c>
      <c r="D5089" s="5">
        <v>4</v>
      </c>
      <c r="E5089" s="5">
        <v>1</v>
      </c>
      <c r="F5089" s="5">
        <v>6</v>
      </c>
      <c r="G5089" s="6" t="s">
        <v>36</v>
      </c>
      <c r="H5089" s="4">
        <v>77.89</v>
      </c>
      <c r="I5089" s="7">
        <v>15.71</v>
      </c>
      <c r="J5089" s="3" t="s">
        <v>521</v>
      </c>
      <c r="K5089" s="9" t="s">
        <v>36</v>
      </c>
      <c r="L5089" s="6" t="s">
        <v>36</v>
      </c>
      <c r="M5089" s="3" t="s">
        <v>36</v>
      </c>
      <c r="N5089" s="3" t="s">
        <v>36</v>
      </c>
      <c r="O5089" s="8" t="s">
        <v>36</v>
      </c>
      <c r="P5089" s="3" t="s">
        <v>36</v>
      </c>
      <c r="Q5089" s="3" t="s">
        <v>36</v>
      </c>
      <c r="R5089" s="3" t="s">
        <v>36</v>
      </c>
      <c r="S5089" s="3" t="s">
        <v>36</v>
      </c>
      <c r="T5089" s="3" t="s">
        <v>12884</v>
      </c>
      <c r="U5089" s="3" t="s">
        <v>318</v>
      </c>
      <c r="V5089" s="3" t="s">
        <v>39</v>
      </c>
      <c r="W5089" s="3" t="s">
        <v>12885</v>
      </c>
      <c r="X5089" s="10" t="s">
        <v>24338</v>
      </c>
      <c r="Y5089" s="6" t="s">
        <v>42</v>
      </c>
      <c r="Z5089" s="4">
        <v>1.16</v>
      </c>
      <c r="AA5089" s="4">
        <v>4.16</v>
      </c>
      <c r="AB5089" s="3" t="s">
        <v>43</v>
      </c>
      <c r="AC5089" s="3" t="s">
        <v>12887</v>
      </c>
      <c r="AD5089" s="9">
        <v>43396</v>
      </c>
      <c r="AE5089" s="3" t="s">
        <v>763</v>
      </c>
      <c r="AF5089" s="3" t="s">
        <v>36</v>
      </c>
      <c r="AG5089" s="3" t="s">
        <v>81</v>
      </c>
      <c r="AH5089" s="11">
        <f>HYPERLINK("https://my.pitchbook.com?c=122186-98T","View Company Online")</f>
      </c>
    </row>
    <row r="5090">
      <c r="A5090" s="12" t="s">
        <v>24339</v>
      </c>
      <c r="B5090" s="12" t="s">
        <v>5760</v>
      </c>
      <c r="C5090" s="19">
        <v>48</v>
      </c>
      <c r="D5090" s="19">
        <v>52</v>
      </c>
      <c r="E5090" s="19">
        <v>20</v>
      </c>
      <c r="F5090" s="19">
        <v>109</v>
      </c>
      <c r="G5090" s="15" t="s">
        <v>36</v>
      </c>
      <c r="H5090" s="14" t="s">
        <v>36</v>
      </c>
      <c r="I5090" s="18" t="s">
        <v>36</v>
      </c>
      <c r="J5090" s="12" t="s">
        <v>36</v>
      </c>
      <c r="K5090" s="13" t="s">
        <v>36</v>
      </c>
      <c r="L5090" s="15" t="s">
        <v>36</v>
      </c>
      <c r="M5090" s="12" t="s">
        <v>36</v>
      </c>
      <c r="N5090" s="12" t="s">
        <v>36</v>
      </c>
      <c r="O5090" s="17" t="s">
        <v>36</v>
      </c>
      <c r="P5090" s="12" t="s">
        <v>36</v>
      </c>
      <c r="Q5090" s="12" t="s">
        <v>36</v>
      </c>
      <c r="R5090" s="12" t="s">
        <v>36</v>
      </c>
      <c r="S5090" s="12" t="s">
        <v>36</v>
      </c>
      <c r="T5090" s="12" t="s">
        <v>881</v>
      </c>
      <c r="U5090" s="12" t="s">
        <v>51</v>
      </c>
      <c r="V5090" s="12" t="s">
        <v>52</v>
      </c>
      <c r="W5090" s="12" t="s">
        <v>5761</v>
      </c>
      <c r="X5090" s="16" t="s">
        <v>19306</v>
      </c>
      <c r="Y5090" s="15" t="s">
        <v>321</v>
      </c>
      <c r="Z5090" s="14">
        <v>50.86</v>
      </c>
      <c r="AA5090" s="14" t="s">
        <v>36</v>
      </c>
      <c r="AB5090" s="12" t="s">
        <v>56</v>
      </c>
      <c r="AC5090" s="12" t="s">
        <v>5763</v>
      </c>
      <c r="AD5090" s="13">
        <v>43396</v>
      </c>
      <c r="AE5090" s="12" t="s">
        <v>504</v>
      </c>
      <c r="AF5090" s="12" t="s">
        <v>665</v>
      </c>
      <c r="AG5090" s="12" t="s">
        <v>81</v>
      </c>
      <c r="AH5090" s="1">
        <f>HYPERLINK("https://my.pitchbook.com?c=113083-48T","View Company Online")</f>
      </c>
    </row>
    <row r="5091">
      <c r="A5091" s="3" t="s">
        <v>24340</v>
      </c>
      <c r="B5091" s="3" t="s">
        <v>24341</v>
      </c>
      <c r="C5091" s="5" t="s">
        <v>36</v>
      </c>
      <c r="D5091" s="5" t="s">
        <v>36</v>
      </c>
      <c r="E5091" s="5" t="s">
        <v>36</v>
      </c>
      <c r="F5091" s="5" t="s">
        <v>36</v>
      </c>
      <c r="G5091" s="6" t="s">
        <v>36</v>
      </c>
      <c r="H5091" s="4">
        <v>55.65</v>
      </c>
      <c r="I5091" s="7">
        <v>9.72</v>
      </c>
      <c r="J5091" s="3" t="s">
        <v>521</v>
      </c>
      <c r="K5091" s="9" t="s">
        <v>36</v>
      </c>
      <c r="L5091" s="6" t="s">
        <v>122</v>
      </c>
      <c r="M5091" s="3" t="s">
        <v>36</v>
      </c>
      <c r="N5091" s="3" t="s">
        <v>122</v>
      </c>
      <c r="O5091" s="8" t="s">
        <v>36</v>
      </c>
      <c r="P5091" s="3" t="s">
        <v>36</v>
      </c>
      <c r="Q5091" s="3" t="s">
        <v>36</v>
      </c>
      <c r="R5091" s="3" t="s">
        <v>36</v>
      </c>
      <c r="S5091" s="3" t="s">
        <v>36</v>
      </c>
      <c r="T5091" s="3" t="s">
        <v>522</v>
      </c>
      <c r="U5091" s="3" t="s">
        <v>38</v>
      </c>
      <c r="V5091" s="3" t="s">
        <v>39</v>
      </c>
      <c r="W5091" s="3" t="s">
        <v>24342</v>
      </c>
      <c r="X5091" s="10" t="s">
        <v>24343</v>
      </c>
      <c r="Y5091" s="6" t="s">
        <v>55</v>
      </c>
      <c r="Z5091" s="4">
        <v>1.16</v>
      </c>
      <c r="AA5091" s="4">
        <v>8.33</v>
      </c>
      <c r="AB5091" s="3" t="s">
        <v>43</v>
      </c>
      <c r="AC5091" s="3" t="s">
        <v>24344</v>
      </c>
      <c r="AD5091" s="9">
        <v>43395</v>
      </c>
      <c r="AE5091" s="3" t="s">
        <v>110</v>
      </c>
      <c r="AF5091" s="3" t="s">
        <v>2210</v>
      </c>
      <c r="AG5091" s="3" t="s">
        <v>81</v>
      </c>
      <c r="AH5091" s="11">
        <f>HYPERLINK("https://my.pitchbook.com?c=121378-33T","View Company Online")</f>
      </c>
    </row>
    <row r="5092">
      <c r="A5092" s="12" t="s">
        <v>24345</v>
      </c>
      <c r="B5092" s="12" t="s">
        <v>24346</v>
      </c>
      <c r="C5092" s="19" t="s">
        <v>36</v>
      </c>
      <c r="D5092" s="19" t="s">
        <v>36</v>
      </c>
      <c r="E5092" s="19" t="s">
        <v>36</v>
      </c>
      <c r="F5092" s="19" t="s">
        <v>36</v>
      </c>
      <c r="G5092" s="15" t="s">
        <v>326</v>
      </c>
      <c r="H5092" s="14">
        <v>2354.43</v>
      </c>
      <c r="I5092" s="18">
        <v>10.32</v>
      </c>
      <c r="J5092" s="12" t="s">
        <v>521</v>
      </c>
      <c r="K5092" s="13" t="s">
        <v>36</v>
      </c>
      <c r="L5092" s="15" t="s">
        <v>36</v>
      </c>
      <c r="M5092" s="12" t="s">
        <v>36</v>
      </c>
      <c r="N5092" s="12" t="s">
        <v>36</v>
      </c>
      <c r="O5092" s="17" t="s">
        <v>36</v>
      </c>
      <c r="P5092" s="12" t="s">
        <v>36</v>
      </c>
      <c r="Q5092" s="12" t="s">
        <v>36</v>
      </c>
      <c r="R5092" s="12" t="s">
        <v>36</v>
      </c>
      <c r="S5092" s="12" t="s">
        <v>36</v>
      </c>
      <c r="T5092" s="12" t="s">
        <v>9456</v>
      </c>
      <c r="U5092" s="12" t="s">
        <v>63</v>
      </c>
      <c r="V5092" s="12" t="s">
        <v>64</v>
      </c>
      <c r="W5092" s="12" t="s">
        <v>24347</v>
      </c>
      <c r="X5092" s="16" t="s">
        <v>11579</v>
      </c>
      <c r="Y5092" s="15" t="s">
        <v>192</v>
      </c>
      <c r="Z5092" s="14">
        <v>0.6</v>
      </c>
      <c r="AA5092" s="14">
        <v>5.84</v>
      </c>
      <c r="AB5092" s="12" t="s">
        <v>56</v>
      </c>
      <c r="AC5092" s="12" t="s">
        <v>24348</v>
      </c>
      <c r="AD5092" s="13">
        <v>43395</v>
      </c>
      <c r="AE5092" s="12" t="s">
        <v>4310</v>
      </c>
      <c r="AF5092" s="12" t="s">
        <v>36</v>
      </c>
      <c r="AG5092" s="12" t="s">
        <v>81</v>
      </c>
      <c r="AH5092" s="1">
        <f>HYPERLINK("https://my.pitchbook.com?c=188074-63T","View Company Online")</f>
      </c>
    </row>
    <row r="5093">
      <c r="A5093" s="3" t="s">
        <v>24349</v>
      </c>
      <c r="B5093" s="3" t="s">
        <v>19179</v>
      </c>
      <c r="C5093" s="5" t="s">
        <v>36</v>
      </c>
      <c r="D5093" s="5" t="s">
        <v>36</v>
      </c>
      <c r="E5093" s="5" t="s">
        <v>36</v>
      </c>
      <c r="F5093" s="5" t="s">
        <v>36</v>
      </c>
      <c r="G5093" s="6" t="s">
        <v>326</v>
      </c>
      <c r="H5093" s="4">
        <v>11.22</v>
      </c>
      <c r="I5093" s="7">
        <v>36.34</v>
      </c>
      <c r="J5093" s="3" t="s">
        <v>521</v>
      </c>
      <c r="K5093" s="9" t="s">
        <v>36</v>
      </c>
      <c r="L5093" s="6" t="s">
        <v>36</v>
      </c>
      <c r="M5093" s="3" t="s">
        <v>36</v>
      </c>
      <c r="N5093" s="3" t="s">
        <v>36</v>
      </c>
      <c r="O5093" s="8" t="s">
        <v>36</v>
      </c>
      <c r="P5093" s="3" t="s">
        <v>36</v>
      </c>
      <c r="Q5093" s="3" t="s">
        <v>36</v>
      </c>
      <c r="R5093" s="3" t="s">
        <v>36</v>
      </c>
      <c r="S5093" s="3" t="s">
        <v>36</v>
      </c>
      <c r="T5093" s="3" t="s">
        <v>1935</v>
      </c>
      <c r="U5093" s="3" t="s">
        <v>38</v>
      </c>
      <c r="V5093" s="3" t="s">
        <v>39</v>
      </c>
      <c r="W5093" s="3" t="s">
        <v>19180</v>
      </c>
      <c r="X5093" s="10" t="s">
        <v>2485</v>
      </c>
      <c r="Y5093" s="6" t="s">
        <v>108</v>
      </c>
      <c r="Z5093" s="4">
        <v>3.47</v>
      </c>
      <c r="AA5093" s="4">
        <v>9.55</v>
      </c>
      <c r="AB5093" s="3" t="s">
        <v>56</v>
      </c>
      <c r="AC5093" s="3" t="s">
        <v>19182</v>
      </c>
      <c r="AD5093" s="9">
        <v>43395</v>
      </c>
      <c r="AE5093" s="3" t="s">
        <v>45</v>
      </c>
      <c r="AF5093" s="3" t="s">
        <v>16365</v>
      </c>
      <c r="AG5093" s="3" t="s">
        <v>81</v>
      </c>
      <c r="AH5093" s="11">
        <f>HYPERLINK("https://my.pitchbook.com?c=113076-91T","View Company Online")</f>
      </c>
    </row>
    <row r="5094">
      <c r="A5094" s="12" t="s">
        <v>24350</v>
      </c>
      <c r="B5094" s="12" t="s">
        <v>24351</v>
      </c>
      <c r="C5094" s="19" t="s">
        <v>36</v>
      </c>
      <c r="D5094" s="19" t="s">
        <v>36</v>
      </c>
      <c r="E5094" s="19" t="s">
        <v>36</v>
      </c>
      <c r="F5094" s="19" t="s">
        <v>36</v>
      </c>
      <c r="G5094" s="15" t="s">
        <v>36</v>
      </c>
      <c r="H5094" s="14">
        <v>0.2</v>
      </c>
      <c r="I5094" s="18">
        <v>36.99</v>
      </c>
      <c r="J5094" s="12" t="s">
        <v>521</v>
      </c>
      <c r="K5094" s="13" t="s">
        <v>36</v>
      </c>
      <c r="L5094" s="15" t="s">
        <v>36</v>
      </c>
      <c r="M5094" s="12" t="s">
        <v>36</v>
      </c>
      <c r="N5094" s="12" t="s">
        <v>36</v>
      </c>
      <c r="O5094" s="17" t="s">
        <v>36</v>
      </c>
      <c r="P5094" s="12" t="s">
        <v>36</v>
      </c>
      <c r="Q5094" s="12" t="s">
        <v>36</v>
      </c>
      <c r="R5094" s="12" t="s">
        <v>36</v>
      </c>
      <c r="S5094" s="12" t="s">
        <v>36</v>
      </c>
      <c r="T5094" s="12" t="s">
        <v>2285</v>
      </c>
      <c r="U5094" s="12" t="s">
        <v>38</v>
      </c>
      <c r="V5094" s="12" t="s">
        <v>39</v>
      </c>
      <c r="W5094" s="12" t="s">
        <v>24352</v>
      </c>
      <c r="X5094" s="16" t="s">
        <v>24353</v>
      </c>
      <c r="Y5094" s="15" t="s">
        <v>42</v>
      </c>
      <c r="Z5094" s="14">
        <v>0.4</v>
      </c>
      <c r="AA5094" s="14">
        <v>1.07</v>
      </c>
      <c r="AB5094" s="12" t="s">
        <v>56</v>
      </c>
      <c r="AC5094" s="12" t="s">
        <v>24354</v>
      </c>
      <c r="AD5094" s="13">
        <v>43389</v>
      </c>
      <c r="AE5094" s="12" t="s">
        <v>110</v>
      </c>
      <c r="AF5094" s="12" t="s">
        <v>1201</v>
      </c>
      <c r="AG5094" s="12" t="s">
        <v>899</v>
      </c>
      <c r="AH5094" s="1">
        <f>HYPERLINK("https://my.pitchbook.com?c=129221-29T","View Company Online")</f>
      </c>
    </row>
    <row r="5095">
      <c r="A5095" s="3" t="s">
        <v>24355</v>
      </c>
      <c r="B5095" s="3" t="s">
        <v>24356</v>
      </c>
      <c r="C5095" s="5" t="s">
        <v>36</v>
      </c>
      <c r="D5095" s="5" t="s">
        <v>36</v>
      </c>
      <c r="E5095" s="5" t="s">
        <v>36</v>
      </c>
      <c r="F5095" s="5" t="s">
        <v>36</v>
      </c>
      <c r="G5095" s="6" t="s">
        <v>326</v>
      </c>
      <c r="H5095" s="4">
        <v>173.38</v>
      </c>
      <c r="I5095" s="7">
        <v>10.26</v>
      </c>
      <c r="J5095" s="3" t="s">
        <v>521</v>
      </c>
      <c r="K5095" s="9">
        <v>43362</v>
      </c>
      <c r="L5095" s="6" t="s">
        <v>36</v>
      </c>
      <c r="M5095" s="3" t="s">
        <v>36</v>
      </c>
      <c r="N5095" s="3" t="s">
        <v>36</v>
      </c>
      <c r="O5095" s="8" t="s">
        <v>36</v>
      </c>
      <c r="P5095" s="3" t="s">
        <v>36</v>
      </c>
      <c r="Q5095" s="3" t="s">
        <v>36</v>
      </c>
      <c r="R5095" s="3" t="s">
        <v>36</v>
      </c>
      <c r="S5095" s="3" t="s">
        <v>36</v>
      </c>
      <c r="T5095" s="3" t="s">
        <v>24357</v>
      </c>
      <c r="U5095" s="3" t="s">
        <v>38</v>
      </c>
      <c r="V5095" s="3" t="s">
        <v>39</v>
      </c>
      <c r="W5095" s="3" t="s">
        <v>24358</v>
      </c>
      <c r="X5095" s="10" t="s">
        <v>24359</v>
      </c>
      <c r="Y5095" s="6" t="s">
        <v>192</v>
      </c>
      <c r="Z5095" s="4">
        <v>0.46</v>
      </c>
      <c r="AA5095" s="4">
        <v>4.53</v>
      </c>
      <c r="AB5095" s="3" t="s">
        <v>56</v>
      </c>
      <c r="AC5095" s="3" t="s">
        <v>24360</v>
      </c>
      <c r="AD5095" s="9">
        <v>43389</v>
      </c>
      <c r="AE5095" s="3" t="s">
        <v>110</v>
      </c>
      <c r="AF5095" s="3" t="s">
        <v>24361</v>
      </c>
      <c r="AG5095" s="3" t="s">
        <v>81</v>
      </c>
      <c r="AH5095" s="11">
        <f>HYPERLINK("https://my.pitchbook.com?c=117593-02T","View Company Online")</f>
      </c>
    </row>
    <row r="5096">
      <c r="A5096" s="12" t="s">
        <v>24362</v>
      </c>
      <c r="B5096" s="12" t="s">
        <v>24363</v>
      </c>
      <c r="C5096" s="19" t="s">
        <v>36</v>
      </c>
      <c r="D5096" s="19" t="s">
        <v>36</v>
      </c>
      <c r="E5096" s="19" t="s">
        <v>36</v>
      </c>
      <c r="F5096" s="19" t="s">
        <v>36</v>
      </c>
      <c r="G5096" s="15" t="s">
        <v>36</v>
      </c>
      <c r="H5096" s="14">
        <v>422.18</v>
      </c>
      <c r="I5096" s="18">
        <v>37.2</v>
      </c>
      <c r="J5096" s="12" t="s">
        <v>521</v>
      </c>
      <c r="K5096" s="13" t="s">
        <v>36</v>
      </c>
      <c r="L5096" s="15" t="s">
        <v>36</v>
      </c>
      <c r="M5096" s="12" t="s">
        <v>36</v>
      </c>
      <c r="N5096" s="12" t="s">
        <v>36</v>
      </c>
      <c r="O5096" s="17" t="s">
        <v>36</v>
      </c>
      <c r="P5096" s="12" t="s">
        <v>36</v>
      </c>
      <c r="Q5096" s="12" t="s">
        <v>36</v>
      </c>
      <c r="R5096" s="12" t="s">
        <v>36</v>
      </c>
      <c r="S5096" s="12" t="s">
        <v>36</v>
      </c>
      <c r="T5096" s="12" t="s">
        <v>942</v>
      </c>
      <c r="U5096" s="12" t="s">
        <v>38</v>
      </c>
      <c r="V5096" s="12" t="s">
        <v>39</v>
      </c>
      <c r="W5096" s="12" t="s">
        <v>24364</v>
      </c>
      <c r="X5096" s="16" t="s">
        <v>24365</v>
      </c>
      <c r="Y5096" s="15" t="s">
        <v>42</v>
      </c>
      <c r="Z5096" s="14">
        <v>3.49</v>
      </c>
      <c r="AA5096" s="14">
        <v>9.37</v>
      </c>
      <c r="AB5096" s="12" t="s">
        <v>56</v>
      </c>
      <c r="AC5096" s="12" t="s">
        <v>24366</v>
      </c>
      <c r="AD5096" s="13">
        <v>43388</v>
      </c>
      <c r="AE5096" s="12" t="s">
        <v>45</v>
      </c>
      <c r="AF5096" s="12" t="s">
        <v>24367</v>
      </c>
      <c r="AG5096" s="12" t="s">
        <v>186</v>
      </c>
      <c r="AH5096" s="1">
        <f>HYPERLINK("https://my.pitchbook.com?c=115257-97T","View Company Online")</f>
      </c>
    </row>
    <row r="5097">
      <c r="A5097" s="3" t="s">
        <v>24368</v>
      </c>
      <c r="B5097" s="3" t="s">
        <v>15016</v>
      </c>
      <c r="C5097" s="5" t="s">
        <v>36</v>
      </c>
      <c r="D5097" s="5" t="s">
        <v>36</v>
      </c>
      <c r="E5097" s="5" t="s">
        <v>36</v>
      </c>
      <c r="F5097" s="5" t="s">
        <v>36</v>
      </c>
      <c r="G5097" s="6" t="s">
        <v>36</v>
      </c>
      <c r="H5097" s="4">
        <v>96.44</v>
      </c>
      <c r="I5097" s="7">
        <v>21.21</v>
      </c>
      <c r="J5097" s="3" t="s">
        <v>521</v>
      </c>
      <c r="K5097" s="9" t="s">
        <v>36</v>
      </c>
      <c r="L5097" s="6" t="s">
        <v>36</v>
      </c>
      <c r="M5097" s="3" t="s">
        <v>36</v>
      </c>
      <c r="N5097" s="3" t="s">
        <v>36</v>
      </c>
      <c r="O5097" s="8" t="s">
        <v>36</v>
      </c>
      <c r="P5097" s="3" t="s">
        <v>36</v>
      </c>
      <c r="Q5097" s="3" t="s">
        <v>36</v>
      </c>
      <c r="R5097" s="3" t="s">
        <v>36</v>
      </c>
      <c r="S5097" s="3" t="s">
        <v>36</v>
      </c>
      <c r="T5097" s="3" t="s">
        <v>1893</v>
      </c>
      <c r="U5097" s="3" t="s">
        <v>648</v>
      </c>
      <c r="V5097" s="3" t="s">
        <v>64</v>
      </c>
      <c r="W5097" s="3" t="s">
        <v>15017</v>
      </c>
      <c r="X5097" s="10" t="s">
        <v>2130</v>
      </c>
      <c r="Y5097" s="6" t="s">
        <v>42</v>
      </c>
      <c r="Z5097" s="4">
        <v>1.16</v>
      </c>
      <c r="AA5097" s="4">
        <v>1.37</v>
      </c>
      <c r="AB5097" s="3" t="s">
        <v>43</v>
      </c>
      <c r="AC5097" s="3" t="s">
        <v>15018</v>
      </c>
      <c r="AD5097" s="9">
        <v>43385</v>
      </c>
      <c r="AE5097" s="3" t="s">
        <v>1897</v>
      </c>
      <c r="AF5097" s="3" t="s">
        <v>1115</v>
      </c>
      <c r="AG5097" s="3" t="s">
        <v>81</v>
      </c>
      <c r="AH5097" s="11">
        <f>HYPERLINK("https://my.pitchbook.com?c=123636-07T","View Company Online")</f>
      </c>
    </row>
    <row r="5098">
      <c r="A5098" s="12" t="s">
        <v>24369</v>
      </c>
      <c r="B5098" s="12" t="s">
        <v>18666</v>
      </c>
      <c r="C5098" s="19" t="s">
        <v>36</v>
      </c>
      <c r="D5098" s="19" t="s">
        <v>36</v>
      </c>
      <c r="E5098" s="19">
        <v>1</v>
      </c>
      <c r="F5098" s="19">
        <v>1</v>
      </c>
      <c r="G5098" s="15" t="s">
        <v>36</v>
      </c>
      <c r="H5098" s="14" t="s">
        <v>36</v>
      </c>
      <c r="I5098" s="18" t="s">
        <v>36</v>
      </c>
      <c r="J5098" s="12" t="s">
        <v>36</v>
      </c>
      <c r="K5098" s="13" t="s">
        <v>36</v>
      </c>
      <c r="L5098" s="15" t="s">
        <v>36</v>
      </c>
      <c r="M5098" s="12" t="s">
        <v>36</v>
      </c>
      <c r="N5098" s="12" t="s">
        <v>36</v>
      </c>
      <c r="O5098" s="17" t="s">
        <v>36</v>
      </c>
      <c r="P5098" s="12" t="s">
        <v>36</v>
      </c>
      <c r="Q5098" s="12" t="s">
        <v>36</v>
      </c>
      <c r="R5098" s="12" t="s">
        <v>36</v>
      </c>
      <c r="S5098" s="12" t="s">
        <v>36</v>
      </c>
      <c r="T5098" s="12" t="s">
        <v>18667</v>
      </c>
      <c r="U5098" s="12" t="s">
        <v>1357</v>
      </c>
      <c r="V5098" s="12" t="s">
        <v>52</v>
      </c>
      <c r="W5098" s="12" t="s">
        <v>18668</v>
      </c>
      <c r="X5098" s="16" t="s">
        <v>24370</v>
      </c>
      <c r="Y5098" s="15" t="s">
        <v>42</v>
      </c>
      <c r="Z5098" s="14">
        <v>1.28</v>
      </c>
      <c r="AA5098" s="14" t="s">
        <v>36</v>
      </c>
      <c r="AB5098" s="12" t="s">
        <v>43</v>
      </c>
      <c r="AC5098" s="12" t="s">
        <v>18670</v>
      </c>
      <c r="AD5098" s="13">
        <v>43384</v>
      </c>
      <c r="AE5098" s="12" t="s">
        <v>2377</v>
      </c>
      <c r="AF5098" s="12" t="s">
        <v>1977</v>
      </c>
      <c r="AG5098" s="12" t="s">
        <v>81</v>
      </c>
      <c r="AH5098" s="1">
        <f>HYPERLINK("https://my.pitchbook.com?c=109008-28T","View Company Online")</f>
      </c>
    </row>
    <row r="5099">
      <c r="A5099" s="3" t="s">
        <v>24371</v>
      </c>
      <c r="B5099" s="3" t="s">
        <v>24372</v>
      </c>
      <c r="C5099" s="5" t="s">
        <v>36</v>
      </c>
      <c r="D5099" s="5" t="s">
        <v>36</v>
      </c>
      <c r="E5099" s="5" t="s">
        <v>36</v>
      </c>
      <c r="F5099" s="5" t="s">
        <v>36</v>
      </c>
      <c r="G5099" s="6" t="s">
        <v>36</v>
      </c>
      <c r="H5099" s="4" t="s">
        <v>36</v>
      </c>
      <c r="I5099" s="7" t="s">
        <v>36</v>
      </c>
      <c r="J5099" s="3" t="s">
        <v>36</v>
      </c>
      <c r="K5099" s="9" t="s">
        <v>36</v>
      </c>
      <c r="L5099" s="6" t="s">
        <v>36</v>
      </c>
      <c r="M5099" s="3" t="s">
        <v>36</v>
      </c>
      <c r="N5099" s="3" t="s">
        <v>36</v>
      </c>
      <c r="O5099" s="8" t="s">
        <v>36</v>
      </c>
      <c r="P5099" s="3" t="s">
        <v>36</v>
      </c>
      <c r="Q5099" s="3" t="s">
        <v>36</v>
      </c>
      <c r="R5099" s="3" t="s">
        <v>36</v>
      </c>
      <c r="S5099" s="3" t="s">
        <v>36</v>
      </c>
      <c r="T5099" s="3" t="s">
        <v>265</v>
      </c>
      <c r="U5099" s="3" t="s">
        <v>85</v>
      </c>
      <c r="V5099" s="3" t="s">
        <v>64</v>
      </c>
      <c r="W5099" s="3" t="s">
        <v>24373</v>
      </c>
      <c r="X5099" s="10" t="s">
        <v>1399</v>
      </c>
      <c r="Y5099" s="6" t="s">
        <v>42</v>
      </c>
      <c r="Z5099" s="4">
        <v>0.23</v>
      </c>
      <c r="AA5099" s="4" t="s">
        <v>36</v>
      </c>
      <c r="AB5099" s="3" t="s">
        <v>43</v>
      </c>
      <c r="AC5099" s="3" t="s">
        <v>24374</v>
      </c>
      <c r="AD5099" s="9">
        <v>43384</v>
      </c>
      <c r="AE5099" s="3" t="s">
        <v>89</v>
      </c>
      <c r="AF5099" s="3" t="s">
        <v>24375</v>
      </c>
      <c r="AG5099" s="3" t="s">
        <v>23974</v>
      </c>
      <c r="AH5099" s="11">
        <f>HYPERLINK("https://my.pitchbook.com?c=207313-30T","View Company Online")</f>
      </c>
    </row>
    <row r="5100">
      <c r="A5100" s="12" t="s">
        <v>24376</v>
      </c>
      <c r="B5100" s="12" t="s">
        <v>20116</v>
      </c>
      <c r="C5100" s="19">
        <v>1</v>
      </c>
      <c r="D5100" s="19">
        <v>2</v>
      </c>
      <c r="E5100" s="19">
        <v>1</v>
      </c>
      <c r="F5100" s="19">
        <v>3</v>
      </c>
      <c r="G5100" s="15" t="s">
        <v>36</v>
      </c>
      <c r="H5100" s="14" t="s">
        <v>36</v>
      </c>
      <c r="I5100" s="18" t="s">
        <v>36</v>
      </c>
      <c r="J5100" s="12" t="s">
        <v>36</v>
      </c>
      <c r="K5100" s="13" t="s">
        <v>36</v>
      </c>
      <c r="L5100" s="15" t="s">
        <v>122</v>
      </c>
      <c r="M5100" s="12" t="s">
        <v>36</v>
      </c>
      <c r="N5100" s="12" t="s">
        <v>122</v>
      </c>
      <c r="O5100" s="17" t="s">
        <v>36</v>
      </c>
      <c r="P5100" s="12" t="s">
        <v>36</v>
      </c>
      <c r="Q5100" s="12" t="s">
        <v>36</v>
      </c>
      <c r="R5100" s="12" t="s">
        <v>36</v>
      </c>
      <c r="S5100" s="12" t="s">
        <v>36</v>
      </c>
      <c r="T5100" s="12" t="s">
        <v>4917</v>
      </c>
      <c r="U5100" s="12" t="s">
        <v>38</v>
      </c>
      <c r="V5100" s="12" t="s">
        <v>39</v>
      </c>
      <c r="W5100" s="12" t="s">
        <v>20117</v>
      </c>
      <c r="X5100" s="16" t="s">
        <v>24377</v>
      </c>
      <c r="Y5100" s="15" t="s">
        <v>55</v>
      </c>
      <c r="Z5100" s="14">
        <v>11.63</v>
      </c>
      <c r="AA5100" s="14" t="s">
        <v>36</v>
      </c>
      <c r="AB5100" s="12" t="s">
        <v>56</v>
      </c>
      <c r="AC5100" s="12" t="s">
        <v>20119</v>
      </c>
      <c r="AD5100" s="13">
        <v>43384</v>
      </c>
      <c r="AE5100" s="12" t="s">
        <v>134</v>
      </c>
      <c r="AF5100" s="12" t="s">
        <v>7730</v>
      </c>
      <c r="AG5100" s="12" t="s">
        <v>81</v>
      </c>
      <c r="AH5100" s="1">
        <f>HYPERLINK("https://my.pitchbook.com?c=112797-64T","View Company Online")</f>
      </c>
    </row>
    <row r="5101">
      <c r="A5101" s="3" t="s">
        <v>24378</v>
      </c>
      <c r="B5101" s="3" t="s">
        <v>24379</v>
      </c>
      <c r="C5101" s="5" t="s">
        <v>36</v>
      </c>
      <c r="D5101" s="5" t="s">
        <v>36</v>
      </c>
      <c r="E5101" s="5" t="s">
        <v>36</v>
      </c>
      <c r="F5101" s="5" t="s">
        <v>36</v>
      </c>
      <c r="G5101" s="6" t="s">
        <v>326</v>
      </c>
      <c r="H5101" s="4">
        <v>112.99</v>
      </c>
      <c r="I5101" s="7">
        <v>54.37</v>
      </c>
      <c r="J5101" s="3" t="s">
        <v>521</v>
      </c>
      <c r="K5101" s="9">
        <v>42619</v>
      </c>
      <c r="L5101" s="6" t="s">
        <v>122</v>
      </c>
      <c r="M5101" s="3" t="s">
        <v>36</v>
      </c>
      <c r="N5101" s="3" t="s">
        <v>122</v>
      </c>
      <c r="O5101" s="8" t="s">
        <v>36</v>
      </c>
      <c r="P5101" s="3" t="s">
        <v>36</v>
      </c>
      <c r="Q5101" s="3" t="s">
        <v>36</v>
      </c>
      <c r="R5101" s="3" t="s">
        <v>36</v>
      </c>
      <c r="S5101" s="3" t="s">
        <v>36</v>
      </c>
      <c r="T5101" s="3" t="s">
        <v>9159</v>
      </c>
      <c r="U5101" s="3" t="s">
        <v>74</v>
      </c>
      <c r="V5101" s="3" t="s">
        <v>75</v>
      </c>
      <c r="W5101" s="3" t="s">
        <v>24380</v>
      </c>
      <c r="X5101" s="10" t="s">
        <v>24381</v>
      </c>
      <c r="Y5101" s="6" t="s">
        <v>108</v>
      </c>
      <c r="Z5101" s="4">
        <v>17.71</v>
      </c>
      <c r="AA5101" s="4">
        <v>32.57</v>
      </c>
      <c r="AB5101" s="3" t="s">
        <v>43</v>
      </c>
      <c r="AC5101" s="3" t="s">
        <v>24382</v>
      </c>
      <c r="AD5101" s="9">
        <v>43384</v>
      </c>
      <c r="AE5101" s="3" t="s">
        <v>3144</v>
      </c>
      <c r="AF5101" s="3" t="s">
        <v>6801</v>
      </c>
      <c r="AG5101" s="3" t="s">
        <v>81</v>
      </c>
      <c r="AH5101" s="11">
        <f>HYPERLINK("https://my.pitchbook.com?c=96271-12T","View Company Online")</f>
      </c>
    </row>
    <row r="5102">
      <c r="A5102" s="12" t="s">
        <v>24383</v>
      </c>
      <c r="B5102" s="12" t="s">
        <v>8778</v>
      </c>
      <c r="C5102" s="19">
        <v>8</v>
      </c>
      <c r="D5102" s="19">
        <v>54</v>
      </c>
      <c r="E5102" s="19">
        <v>24</v>
      </c>
      <c r="F5102" s="19">
        <v>62</v>
      </c>
      <c r="G5102" s="15" t="s">
        <v>326</v>
      </c>
      <c r="H5102" s="14">
        <v>2.65</v>
      </c>
      <c r="I5102" s="18">
        <v>38.83</v>
      </c>
      <c r="J5102" s="12" t="s">
        <v>521</v>
      </c>
      <c r="K5102" s="13" t="s">
        <v>36</v>
      </c>
      <c r="L5102" s="15" t="s">
        <v>94</v>
      </c>
      <c r="M5102" s="12" t="s">
        <v>36</v>
      </c>
      <c r="N5102" s="12" t="s">
        <v>94</v>
      </c>
      <c r="O5102" s="17" t="s">
        <v>36</v>
      </c>
      <c r="P5102" s="12" t="s">
        <v>36</v>
      </c>
      <c r="Q5102" s="12" t="s">
        <v>36</v>
      </c>
      <c r="R5102" s="12" t="s">
        <v>36</v>
      </c>
      <c r="S5102" s="12" t="s">
        <v>36</v>
      </c>
      <c r="T5102" s="12" t="s">
        <v>3208</v>
      </c>
      <c r="U5102" s="12" t="s">
        <v>1798</v>
      </c>
      <c r="V5102" s="12" t="s">
        <v>39</v>
      </c>
      <c r="W5102" s="12" t="s">
        <v>8779</v>
      </c>
      <c r="X5102" s="16" t="s">
        <v>24384</v>
      </c>
      <c r="Y5102" s="15" t="s">
        <v>55</v>
      </c>
      <c r="Z5102" s="14">
        <v>9.69</v>
      </c>
      <c r="AA5102" s="14">
        <v>24.96</v>
      </c>
      <c r="AB5102" s="12" t="s">
        <v>43</v>
      </c>
      <c r="AC5102" s="12" t="s">
        <v>8781</v>
      </c>
      <c r="AD5102" s="13">
        <v>43384</v>
      </c>
      <c r="AE5102" s="12" t="s">
        <v>1802</v>
      </c>
      <c r="AF5102" s="12" t="s">
        <v>8782</v>
      </c>
      <c r="AG5102" s="12" t="s">
        <v>765</v>
      </c>
      <c r="AH5102" s="1">
        <f>HYPERLINK("https://my.pitchbook.com?c=112800-52T","View Company Online")</f>
      </c>
    </row>
    <row r="5103">
      <c r="A5103" s="3" t="s">
        <v>24385</v>
      </c>
      <c r="B5103" s="3" t="s">
        <v>15151</v>
      </c>
      <c r="C5103" s="5" t="s">
        <v>36</v>
      </c>
      <c r="D5103" s="5" t="s">
        <v>36</v>
      </c>
      <c r="E5103" s="5" t="s">
        <v>36</v>
      </c>
      <c r="F5103" s="5" t="s">
        <v>36</v>
      </c>
      <c r="G5103" s="6" t="s">
        <v>36</v>
      </c>
      <c r="H5103" s="4">
        <v>23.86</v>
      </c>
      <c r="I5103" s="7">
        <v>12.19</v>
      </c>
      <c r="J5103" s="3" t="s">
        <v>521</v>
      </c>
      <c r="K5103" s="9">
        <v>43049</v>
      </c>
      <c r="L5103" s="6" t="s">
        <v>36</v>
      </c>
      <c r="M5103" s="3" t="s">
        <v>36</v>
      </c>
      <c r="N5103" s="3" t="s">
        <v>36</v>
      </c>
      <c r="O5103" s="8" t="s">
        <v>36</v>
      </c>
      <c r="P5103" s="3" t="s">
        <v>36</v>
      </c>
      <c r="Q5103" s="3" t="s">
        <v>36</v>
      </c>
      <c r="R5103" s="3" t="s">
        <v>36</v>
      </c>
      <c r="S5103" s="3" t="s">
        <v>36</v>
      </c>
      <c r="T5103" s="3" t="s">
        <v>522</v>
      </c>
      <c r="U5103" s="3" t="s">
        <v>38</v>
      </c>
      <c r="V5103" s="3" t="s">
        <v>39</v>
      </c>
      <c r="W5103" s="3" t="s">
        <v>15152</v>
      </c>
      <c r="X5103" s="10" t="s">
        <v>11407</v>
      </c>
      <c r="Y5103" s="6" t="s">
        <v>108</v>
      </c>
      <c r="Z5103" s="4">
        <v>0.7</v>
      </c>
      <c r="AA5103" s="4">
        <v>3.29</v>
      </c>
      <c r="AB5103" s="3" t="s">
        <v>43</v>
      </c>
      <c r="AC5103" s="3" t="s">
        <v>15154</v>
      </c>
      <c r="AD5103" s="9">
        <v>43383</v>
      </c>
      <c r="AE5103" s="3" t="s">
        <v>110</v>
      </c>
      <c r="AF5103" s="3" t="s">
        <v>2830</v>
      </c>
      <c r="AG5103" s="3" t="s">
        <v>1705</v>
      </c>
      <c r="AH5103" s="11">
        <f>HYPERLINK("https://my.pitchbook.com?c=103073-32T","View Company Online")</f>
      </c>
    </row>
    <row r="5104">
      <c r="A5104" s="12" t="s">
        <v>24386</v>
      </c>
      <c r="B5104" s="12" t="s">
        <v>18828</v>
      </c>
      <c r="C5104" s="19" t="s">
        <v>36</v>
      </c>
      <c r="D5104" s="19" t="s">
        <v>36</v>
      </c>
      <c r="E5104" s="19" t="s">
        <v>36</v>
      </c>
      <c r="F5104" s="19" t="s">
        <v>36</v>
      </c>
      <c r="G5104" s="15" t="s">
        <v>326</v>
      </c>
      <c r="H5104" s="14">
        <v>204.6</v>
      </c>
      <c r="I5104" s="18">
        <v>22.44</v>
      </c>
      <c r="J5104" s="12" t="s">
        <v>521</v>
      </c>
      <c r="K5104" s="13" t="s">
        <v>36</v>
      </c>
      <c r="L5104" s="15" t="s">
        <v>36</v>
      </c>
      <c r="M5104" s="12" t="s">
        <v>36</v>
      </c>
      <c r="N5104" s="12" t="s">
        <v>36</v>
      </c>
      <c r="O5104" s="17" t="s">
        <v>36</v>
      </c>
      <c r="P5104" s="12" t="s">
        <v>36</v>
      </c>
      <c r="Q5104" s="12" t="s">
        <v>36</v>
      </c>
      <c r="R5104" s="12" t="s">
        <v>36</v>
      </c>
      <c r="S5104" s="12" t="s">
        <v>36</v>
      </c>
      <c r="T5104" s="12" t="s">
        <v>4827</v>
      </c>
      <c r="U5104" s="12" t="s">
        <v>648</v>
      </c>
      <c r="V5104" s="12" t="s">
        <v>64</v>
      </c>
      <c r="W5104" s="12" t="s">
        <v>18829</v>
      </c>
      <c r="X5104" s="16" t="s">
        <v>24387</v>
      </c>
      <c r="Y5104" s="15" t="s">
        <v>55</v>
      </c>
      <c r="Z5104" s="14">
        <v>1</v>
      </c>
      <c r="AA5104" s="14">
        <v>4.48</v>
      </c>
      <c r="AB5104" s="12" t="s">
        <v>56</v>
      </c>
      <c r="AC5104" s="12" t="s">
        <v>18830</v>
      </c>
      <c r="AD5104" s="13">
        <v>43383</v>
      </c>
      <c r="AE5104" s="12" t="s">
        <v>3988</v>
      </c>
      <c r="AF5104" s="12" t="s">
        <v>4284</v>
      </c>
      <c r="AG5104" s="12" t="s">
        <v>81</v>
      </c>
      <c r="AH5104" s="1">
        <f>HYPERLINK("https://my.pitchbook.com?c=169817-05T","View Company Online")</f>
      </c>
    </row>
    <row r="5105">
      <c r="A5105" s="3" t="s">
        <v>24388</v>
      </c>
      <c r="B5105" s="3" t="s">
        <v>7751</v>
      </c>
      <c r="C5105" s="5" t="s">
        <v>36</v>
      </c>
      <c r="D5105" s="5" t="s">
        <v>36</v>
      </c>
      <c r="E5105" s="5" t="s">
        <v>36</v>
      </c>
      <c r="F5105" s="5" t="s">
        <v>36</v>
      </c>
      <c r="G5105" s="6" t="s">
        <v>326</v>
      </c>
      <c r="H5105" s="4">
        <v>16.53</v>
      </c>
      <c r="I5105" s="7">
        <v>29.65</v>
      </c>
      <c r="J5105" s="3" t="s">
        <v>521</v>
      </c>
      <c r="K5105" s="9" t="s">
        <v>36</v>
      </c>
      <c r="L5105" s="6" t="s">
        <v>122</v>
      </c>
      <c r="M5105" s="3" t="s">
        <v>36</v>
      </c>
      <c r="N5105" s="3" t="s">
        <v>122</v>
      </c>
      <c r="O5105" s="8" t="s">
        <v>36</v>
      </c>
      <c r="P5105" s="3" t="s">
        <v>36</v>
      </c>
      <c r="Q5105" s="3" t="s">
        <v>36</v>
      </c>
      <c r="R5105" s="3" t="s">
        <v>36</v>
      </c>
      <c r="S5105" s="3" t="s">
        <v>36</v>
      </c>
      <c r="T5105" s="3" t="s">
        <v>7752</v>
      </c>
      <c r="U5105" s="3" t="s">
        <v>38</v>
      </c>
      <c r="V5105" s="3" t="s">
        <v>39</v>
      </c>
      <c r="W5105" s="3" t="s">
        <v>7753</v>
      </c>
      <c r="X5105" s="10" t="s">
        <v>24389</v>
      </c>
      <c r="Y5105" s="6" t="s">
        <v>108</v>
      </c>
      <c r="Z5105" s="4">
        <v>6.98</v>
      </c>
      <c r="AA5105" s="4">
        <v>23.54</v>
      </c>
      <c r="AB5105" s="3" t="s">
        <v>43</v>
      </c>
      <c r="AC5105" s="3" t="s">
        <v>7754</v>
      </c>
      <c r="AD5105" s="9">
        <v>43383</v>
      </c>
      <c r="AE5105" s="3" t="s">
        <v>110</v>
      </c>
      <c r="AF5105" s="3" t="s">
        <v>952</v>
      </c>
      <c r="AG5105" s="3" t="s">
        <v>81</v>
      </c>
      <c r="AH5105" s="11">
        <f>HYPERLINK("https://my.pitchbook.com?c=112800-34T","View Company Online")</f>
      </c>
    </row>
    <row r="5106">
      <c r="A5106" s="12" t="s">
        <v>24390</v>
      </c>
      <c r="B5106" s="12" t="s">
        <v>24391</v>
      </c>
      <c r="C5106" s="19" t="s">
        <v>36</v>
      </c>
      <c r="D5106" s="19" t="s">
        <v>36</v>
      </c>
      <c r="E5106" s="19" t="s">
        <v>36</v>
      </c>
      <c r="F5106" s="19" t="s">
        <v>36</v>
      </c>
      <c r="G5106" s="15" t="s">
        <v>36</v>
      </c>
      <c r="H5106" s="14">
        <v>11.48</v>
      </c>
      <c r="I5106" s="18">
        <v>23.52</v>
      </c>
      <c r="J5106" s="12" t="s">
        <v>521</v>
      </c>
      <c r="K5106" s="13">
        <v>43377</v>
      </c>
      <c r="L5106" s="15" t="s">
        <v>36</v>
      </c>
      <c r="M5106" s="12" t="s">
        <v>36</v>
      </c>
      <c r="N5106" s="12" t="s">
        <v>36</v>
      </c>
      <c r="O5106" s="17" t="s">
        <v>36</v>
      </c>
      <c r="P5106" s="12" t="s">
        <v>36</v>
      </c>
      <c r="Q5106" s="12" t="s">
        <v>36</v>
      </c>
      <c r="R5106" s="12" t="s">
        <v>36</v>
      </c>
      <c r="S5106" s="12" t="s">
        <v>36</v>
      </c>
      <c r="T5106" s="12" t="s">
        <v>5702</v>
      </c>
      <c r="U5106" s="12" t="s">
        <v>38</v>
      </c>
      <c r="V5106" s="12" t="s">
        <v>39</v>
      </c>
      <c r="W5106" s="12" t="s">
        <v>24392</v>
      </c>
      <c r="X5106" s="16" t="s">
        <v>24393</v>
      </c>
      <c r="Y5106" s="15" t="s">
        <v>42</v>
      </c>
      <c r="Z5106" s="14">
        <v>6.1</v>
      </c>
      <c r="AA5106" s="14">
        <v>16.81</v>
      </c>
      <c r="AB5106" s="12" t="s">
        <v>43</v>
      </c>
      <c r="AC5106" s="12" t="s">
        <v>24394</v>
      </c>
      <c r="AD5106" s="13">
        <v>43382</v>
      </c>
      <c r="AE5106" s="12" t="s">
        <v>134</v>
      </c>
      <c r="AF5106" s="12" t="s">
        <v>2752</v>
      </c>
      <c r="AG5106" s="12" t="s">
        <v>4520</v>
      </c>
      <c r="AH5106" s="1">
        <f>HYPERLINK("https://my.pitchbook.com?c=112727-35T","View Company Online")</f>
      </c>
    </row>
    <row r="5107">
      <c r="A5107" s="3" t="s">
        <v>24395</v>
      </c>
      <c r="B5107" s="3" t="s">
        <v>24396</v>
      </c>
      <c r="C5107" s="5">
        <v>24</v>
      </c>
      <c r="D5107" s="5">
        <v>52</v>
      </c>
      <c r="E5107" s="5">
        <v>15</v>
      </c>
      <c r="F5107" s="5">
        <v>76</v>
      </c>
      <c r="G5107" s="6" t="s">
        <v>36</v>
      </c>
      <c r="H5107" s="4" t="s">
        <v>36</v>
      </c>
      <c r="I5107" s="7" t="s">
        <v>36</v>
      </c>
      <c r="J5107" s="3" t="s">
        <v>36</v>
      </c>
      <c r="K5107" s="9" t="s">
        <v>36</v>
      </c>
      <c r="L5107" s="6" t="s">
        <v>122</v>
      </c>
      <c r="M5107" s="3" t="s">
        <v>36</v>
      </c>
      <c r="N5107" s="3" t="s">
        <v>122</v>
      </c>
      <c r="O5107" s="8" t="s">
        <v>36</v>
      </c>
      <c r="P5107" s="3" t="s">
        <v>36</v>
      </c>
      <c r="Q5107" s="3" t="s">
        <v>36</v>
      </c>
      <c r="R5107" s="3" t="s">
        <v>36</v>
      </c>
      <c r="S5107" s="3" t="s">
        <v>36</v>
      </c>
      <c r="T5107" s="3" t="s">
        <v>24397</v>
      </c>
      <c r="U5107" s="3" t="s">
        <v>318</v>
      </c>
      <c r="V5107" s="3" t="s">
        <v>39</v>
      </c>
      <c r="W5107" s="3" t="s">
        <v>24398</v>
      </c>
      <c r="X5107" s="10" t="s">
        <v>24399</v>
      </c>
      <c r="Y5107" s="6" t="s">
        <v>42</v>
      </c>
      <c r="Z5107" s="4">
        <v>4.65</v>
      </c>
      <c r="AA5107" s="4" t="s">
        <v>36</v>
      </c>
      <c r="AB5107" s="3" t="s">
        <v>56</v>
      </c>
      <c r="AC5107" s="3" t="s">
        <v>24400</v>
      </c>
      <c r="AD5107" s="9">
        <v>43382</v>
      </c>
      <c r="AE5107" s="3" t="s">
        <v>763</v>
      </c>
      <c r="AF5107" s="3" t="s">
        <v>7294</v>
      </c>
      <c r="AG5107" s="3" t="s">
        <v>24401</v>
      </c>
      <c r="AH5107" s="11">
        <f>HYPERLINK("https://my.pitchbook.com?c=116373-07T","View Company Online")</f>
      </c>
    </row>
    <row r="5108">
      <c r="A5108" s="12" t="s">
        <v>24402</v>
      </c>
      <c r="B5108" s="12" t="s">
        <v>10288</v>
      </c>
      <c r="C5108" s="19">
        <v>3</v>
      </c>
      <c r="D5108" s="19">
        <v>2</v>
      </c>
      <c r="E5108" s="19">
        <v>2</v>
      </c>
      <c r="F5108" s="19">
        <v>5</v>
      </c>
      <c r="G5108" s="15" t="s">
        <v>36</v>
      </c>
      <c r="H5108" s="14">
        <v>143.32</v>
      </c>
      <c r="I5108" s="18">
        <v>35.38</v>
      </c>
      <c r="J5108" s="12" t="s">
        <v>521</v>
      </c>
      <c r="K5108" s="13" t="s">
        <v>36</v>
      </c>
      <c r="L5108" s="15" t="s">
        <v>36</v>
      </c>
      <c r="M5108" s="12" t="s">
        <v>36</v>
      </c>
      <c r="N5108" s="12" t="s">
        <v>36</v>
      </c>
      <c r="O5108" s="17" t="s">
        <v>36</v>
      </c>
      <c r="P5108" s="12" t="s">
        <v>36</v>
      </c>
      <c r="Q5108" s="12" t="s">
        <v>36</v>
      </c>
      <c r="R5108" s="12" t="s">
        <v>36</v>
      </c>
      <c r="S5108" s="12" t="s">
        <v>36</v>
      </c>
      <c r="T5108" s="12" t="s">
        <v>10289</v>
      </c>
      <c r="U5108" s="12" t="s">
        <v>96</v>
      </c>
      <c r="V5108" s="12" t="s">
        <v>52</v>
      </c>
      <c r="W5108" s="12" t="s">
        <v>10290</v>
      </c>
      <c r="X5108" s="16" t="s">
        <v>24403</v>
      </c>
      <c r="Y5108" s="15" t="s">
        <v>42</v>
      </c>
      <c r="Z5108" s="14">
        <v>1.47</v>
      </c>
      <c r="AA5108" s="14">
        <v>4.14</v>
      </c>
      <c r="AB5108" s="12" t="s">
        <v>43</v>
      </c>
      <c r="AC5108" s="12" t="s">
        <v>10291</v>
      </c>
      <c r="AD5108" s="13">
        <v>43382</v>
      </c>
      <c r="AE5108" s="12" t="s">
        <v>143</v>
      </c>
      <c r="AF5108" s="12" t="s">
        <v>10292</v>
      </c>
      <c r="AG5108" s="12" t="s">
        <v>991</v>
      </c>
      <c r="AH5108" s="1">
        <f>HYPERLINK("https://my.pitchbook.com?c=120305-35T","View Company Online")</f>
      </c>
    </row>
    <row r="5109">
      <c r="A5109" s="3" t="s">
        <v>24404</v>
      </c>
      <c r="B5109" s="3" t="s">
        <v>14642</v>
      </c>
      <c r="C5109" s="5" t="s">
        <v>36</v>
      </c>
      <c r="D5109" s="5" t="s">
        <v>36</v>
      </c>
      <c r="E5109" s="5" t="s">
        <v>36</v>
      </c>
      <c r="F5109" s="5" t="s">
        <v>36</v>
      </c>
      <c r="G5109" s="6" t="s">
        <v>36</v>
      </c>
      <c r="H5109" s="4">
        <v>315.68</v>
      </c>
      <c r="I5109" s="7">
        <v>49.67</v>
      </c>
      <c r="J5109" s="3" t="s">
        <v>521</v>
      </c>
      <c r="K5109" s="9" t="s">
        <v>36</v>
      </c>
      <c r="L5109" s="6" t="s">
        <v>36</v>
      </c>
      <c r="M5109" s="3" t="s">
        <v>36</v>
      </c>
      <c r="N5109" s="3" t="s">
        <v>36</v>
      </c>
      <c r="O5109" s="8" t="s">
        <v>36</v>
      </c>
      <c r="P5109" s="3" t="s">
        <v>36</v>
      </c>
      <c r="Q5109" s="3" t="s">
        <v>36</v>
      </c>
      <c r="R5109" s="3" t="s">
        <v>36</v>
      </c>
      <c r="S5109" s="3" t="s">
        <v>36</v>
      </c>
      <c r="T5109" s="3" t="s">
        <v>14643</v>
      </c>
      <c r="U5109" s="3" t="s">
        <v>74</v>
      </c>
      <c r="V5109" s="3" t="s">
        <v>75</v>
      </c>
      <c r="W5109" s="3" t="s">
        <v>14644</v>
      </c>
      <c r="X5109" s="10" t="s">
        <v>24405</v>
      </c>
      <c r="Y5109" s="6" t="s">
        <v>108</v>
      </c>
      <c r="Z5109" s="4">
        <v>2.33</v>
      </c>
      <c r="AA5109" s="4">
        <v>3.51</v>
      </c>
      <c r="AB5109" s="3" t="s">
        <v>43</v>
      </c>
      <c r="AC5109" s="3" t="s">
        <v>14646</v>
      </c>
      <c r="AD5109" s="9">
        <v>43382</v>
      </c>
      <c r="AE5109" s="3" t="s">
        <v>975</v>
      </c>
      <c r="AF5109" s="3" t="s">
        <v>36</v>
      </c>
      <c r="AG5109" s="3" t="s">
        <v>186</v>
      </c>
      <c r="AH5109" s="11">
        <f>HYPERLINK("https://my.pitchbook.com?c=120391-21T","View Company Online")</f>
      </c>
    </row>
    <row r="5110">
      <c r="A5110" s="12" t="s">
        <v>24406</v>
      </c>
      <c r="B5110" s="12" t="s">
        <v>4015</v>
      </c>
      <c r="C5110" s="19">
        <v>7</v>
      </c>
      <c r="D5110" s="19" t="s">
        <v>36</v>
      </c>
      <c r="E5110" s="19">
        <v>3</v>
      </c>
      <c r="F5110" s="19">
        <v>7</v>
      </c>
      <c r="G5110" s="15" t="s">
        <v>36</v>
      </c>
      <c r="H5110" s="14">
        <v>1.38</v>
      </c>
      <c r="I5110" s="18">
        <v>75</v>
      </c>
      <c r="J5110" s="12" t="s">
        <v>327</v>
      </c>
      <c r="K5110" s="13" t="s">
        <v>36</v>
      </c>
      <c r="L5110" s="15" t="s">
        <v>36</v>
      </c>
      <c r="M5110" s="12" t="s">
        <v>36</v>
      </c>
      <c r="N5110" s="12" t="s">
        <v>36</v>
      </c>
      <c r="O5110" s="17" t="s">
        <v>36</v>
      </c>
      <c r="P5110" s="12" t="s">
        <v>36</v>
      </c>
      <c r="Q5110" s="12" t="s">
        <v>36</v>
      </c>
      <c r="R5110" s="12" t="s">
        <v>36</v>
      </c>
      <c r="S5110" s="12" t="s">
        <v>36</v>
      </c>
      <c r="T5110" s="12" t="s">
        <v>4016</v>
      </c>
      <c r="U5110" s="12" t="s">
        <v>423</v>
      </c>
      <c r="V5110" s="12" t="s">
        <v>64</v>
      </c>
      <c r="W5110" s="12" t="s">
        <v>4017</v>
      </c>
      <c r="X5110" s="16" t="s">
        <v>23707</v>
      </c>
      <c r="Y5110" s="15" t="s">
        <v>42</v>
      </c>
      <c r="Z5110" s="14">
        <v>2.33</v>
      </c>
      <c r="AA5110" s="14">
        <v>3.1</v>
      </c>
      <c r="AB5110" s="12" t="s">
        <v>43</v>
      </c>
      <c r="AC5110" s="12" t="s">
        <v>4019</v>
      </c>
      <c r="AD5110" s="13">
        <v>43382</v>
      </c>
      <c r="AE5110" s="12" t="s">
        <v>1051</v>
      </c>
      <c r="AF5110" s="12" t="s">
        <v>4020</v>
      </c>
      <c r="AG5110" s="12" t="s">
        <v>81</v>
      </c>
      <c r="AH5110" s="1">
        <f>HYPERLINK("https://my.pitchbook.com?c=113450-68T","View Company Online")</f>
      </c>
    </row>
    <row r="5111">
      <c r="A5111" s="3" t="s">
        <v>24407</v>
      </c>
      <c r="B5111" s="3" t="s">
        <v>5345</v>
      </c>
      <c r="C5111" s="5">
        <v>1</v>
      </c>
      <c r="D5111" s="5">
        <v>7</v>
      </c>
      <c r="E5111" s="5">
        <v>5</v>
      </c>
      <c r="F5111" s="5">
        <v>10</v>
      </c>
      <c r="G5111" s="6" t="s">
        <v>36</v>
      </c>
      <c r="H5111" s="4">
        <v>19.06</v>
      </c>
      <c r="I5111" s="7">
        <v>26.31</v>
      </c>
      <c r="J5111" s="3" t="s">
        <v>521</v>
      </c>
      <c r="K5111" s="9" t="s">
        <v>36</v>
      </c>
      <c r="L5111" s="6" t="s">
        <v>122</v>
      </c>
      <c r="M5111" s="3" t="s">
        <v>36</v>
      </c>
      <c r="N5111" s="3" t="s">
        <v>122</v>
      </c>
      <c r="O5111" s="8" t="s">
        <v>36</v>
      </c>
      <c r="P5111" s="3" t="s">
        <v>36</v>
      </c>
      <c r="Q5111" s="3" t="s">
        <v>36</v>
      </c>
      <c r="R5111" s="3" t="s">
        <v>36</v>
      </c>
      <c r="S5111" s="3" t="s">
        <v>36</v>
      </c>
      <c r="T5111" s="3" t="s">
        <v>5346</v>
      </c>
      <c r="U5111" s="3" t="s">
        <v>38</v>
      </c>
      <c r="V5111" s="3" t="s">
        <v>39</v>
      </c>
      <c r="W5111" s="3" t="s">
        <v>5347</v>
      </c>
      <c r="X5111" s="10" t="s">
        <v>24408</v>
      </c>
      <c r="Y5111" s="6" t="s">
        <v>42</v>
      </c>
      <c r="Z5111" s="4">
        <v>13.96</v>
      </c>
      <c r="AA5111" s="4">
        <v>53.07</v>
      </c>
      <c r="AB5111" s="3" t="s">
        <v>56</v>
      </c>
      <c r="AC5111" s="3" t="s">
        <v>5349</v>
      </c>
      <c r="AD5111" s="9">
        <v>43381</v>
      </c>
      <c r="AE5111" s="3" t="s">
        <v>110</v>
      </c>
      <c r="AF5111" s="3" t="s">
        <v>5350</v>
      </c>
      <c r="AG5111" s="3" t="s">
        <v>2574</v>
      </c>
      <c r="AH5111" s="11">
        <f>HYPERLINK("https://my.pitchbook.com?c=112687-12T","View Company Online")</f>
      </c>
    </row>
    <row r="5112">
      <c r="A5112" s="12" t="s">
        <v>24409</v>
      </c>
      <c r="B5112" s="12" t="s">
        <v>24410</v>
      </c>
      <c r="C5112" s="19" t="s">
        <v>36</v>
      </c>
      <c r="D5112" s="19" t="s">
        <v>36</v>
      </c>
      <c r="E5112" s="19" t="s">
        <v>36</v>
      </c>
      <c r="F5112" s="19" t="s">
        <v>36</v>
      </c>
      <c r="G5112" s="15" t="s">
        <v>36</v>
      </c>
      <c r="H5112" s="14" t="s">
        <v>36</v>
      </c>
      <c r="I5112" s="18" t="s">
        <v>36</v>
      </c>
      <c r="J5112" s="12" t="s">
        <v>36</v>
      </c>
      <c r="K5112" s="13" t="s">
        <v>36</v>
      </c>
      <c r="L5112" s="15" t="s">
        <v>36</v>
      </c>
      <c r="M5112" s="12" t="s">
        <v>36</v>
      </c>
      <c r="N5112" s="12" t="s">
        <v>36</v>
      </c>
      <c r="O5112" s="17" t="s">
        <v>36</v>
      </c>
      <c r="P5112" s="12" t="s">
        <v>36</v>
      </c>
      <c r="Q5112" s="12" t="s">
        <v>36</v>
      </c>
      <c r="R5112" s="12" t="s">
        <v>36</v>
      </c>
      <c r="S5112" s="12" t="s">
        <v>36</v>
      </c>
      <c r="T5112" s="12" t="s">
        <v>3386</v>
      </c>
      <c r="U5112" s="12" t="s">
        <v>74</v>
      </c>
      <c r="V5112" s="12" t="s">
        <v>75</v>
      </c>
      <c r="W5112" s="12" t="s">
        <v>24411</v>
      </c>
      <c r="X5112" s="16" t="s">
        <v>17838</v>
      </c>
      <c r="Y5112" s="15" t="s">
        <v>42</v>
      </c>
      <c r="Z5112" s="14">
        <v>0.35</v>
      </c>
      <c r="AA5112" s="14" t="s">
        <v>36</v>
      </c>
      <c r="AB5112" s="12" t="s">
        <v>56</v>
      </c>
      <c r="AC5112" s="12" t="s">
        <v>24412</v>
      </c>
      <c r="AD5112" s="13">
        <v>43381</v>
      </c>
      <c r="AE5112" s="12" t="s">
        <v>1243</v>
      </c>
      <c r="AF5112" s="12" t="s">
        <v>5494</v>
      </c>
      <c r="AG5112" s="12" t="s">
        <v>652</v>
      </c>
      <c r="AH5112" s="1">
        <f>HYPERLINK("https://my.pitchbook.com?c=169820-29T","View Company Online")</f>
      </c>
    </row>
    <row r="5113">
      <c r="A5113" s="3" t="s">
        <v>24413</v>
      </c>
      <c r="B5113" s="3" t="s">
        <v>11120</v>
      </c>
      <c r="C5113" s="5" t="s">
        <v>36</v>
      </c>
      <c r="D5113" s="5" t="s">
        <v>36</v>
      </c>
      <c r="E5113" s="5" t="s">
        <v>36</v>
      </c>
      <c r="F5113" s="5" t="s">
        <v>36</v>
      </c>
      <c r="G5113" s="6" t="s">
        <v>36</v>
      </c>
      <c r="H5113" s="4">
        <v>31.16</v>
      </c>
      <c r="I5113" s="7">
        <v>28.26</v>
      </c>
      <c r="J5113" s="3" t="s">
        <v>521</v>
      </c>
      <c r="K5113" s="9" t="s">
        <v>36</v>
      </c>
      <c r="L5113" s="6" t="s">
        <v>36</v>
      </c>
      <c r="M5113" s="3" t="s">
        <v>36</v>
      </c>
      <c r="N5113" s="3" t="s">
        <v>36</v>
      </c>
      <c r="O5113" s="8" t="s">
        <v>36</v>
      </c>
      <c r="P5113" s="3" t="s">
        <v>36</v>
      </c>
      <c r="Q5113" s="3" t="s">
        <v>36</v>
      </c>
      <c r="R5113" s="3" t="s">
        <v>36</v>
      </c>
      <c r="S5113" s="3" t="s">
        <v>36</v>
      </c>
      <c r="T5113" s="3" t="s">
        <v>11121</v>
      </c>
      <c r="U5113" s="3" t="s">
        <v>423</v>
      </c>
      <c r="V5113" s="3" t="s">
        <v>64</v>
      </c>
      <c r="W5113" s="3" t="s">
        <v>11122</v>
      </c>
      <c r="X5113" s="10" t="s">
        <v>24387</v>
      </c>
      <c r="Y5113" s="6" t="s">
        <v>42</v>
      </c>
      <c r="Z5113" s="4">
        <v>0.76</v>
      </c>
      <c r="AA5113" s="4">
        <v>2.68</v>
      </c>
      <c r="AB5113" s="3" t="s">
        <v>56</v>
      </c>
      <c r="AC5113" s="3" t="s">
        <v>11123</v>
      </c>
      <c r="AD5113" s="9">
        <v>43381</v>
      </c>
      <c r="AE5113" s="3" t="s">
        <v>562</v>
      </c>
      <c r="AF5113" s="3" t="s">
        <v>4270</v>
      </c>
      <c r="AG5113" s="3" t="s">
        <v>81</v>
      </c>
      <c r="AH5113" s="11">
        <f>HYPERLINK("https://my.pitchbook.com?c=169783-93T","View Company Online")</f>
      </c>
    </row>
    <row r="5114">
      <c r="A5114" s="12" t="s">
        <v>24414</v>
      </c>
      <c r="B5114" s="12" t="s">
        <v>12414</v>
      </c>
      <c r="C5114" s="19" t="s">
        <v>36</v>
      </c>
      <c r="D5114" s="19" t="s">
        <v>36</v>
      </c>
      <c r="E5114" s="19" t="s">
        <v>36</v>
      </c>
      <c r="F5114" s="19" t="s">
        <v>36</v>
      </c>
      <c r="G5114" s="15" t="s">
        <v>326</v>
      </c>
      <c r="H5114" s="14">
        <v>167.11</v>
      </c>
      <c r="I5114" s="18">
        <v>31.35</v>
      </c>
      <c r="J5114" s="12" t="s">
        <v>521</v>
      </c>
      <c r="K5114" s="13" t="s">
        <v>36</v>
      </c>
      <c r="L5114" s="15" t="s">
        <v>36</v>
      </c>
      <c r="M5114" s="12" t="s">
        <v>36</v>
      </c>
      <c r="N5114" s="12" t="s">
        <v>36</v>
      </c>
      <c r="O5114" s="17" t="s">
        <v>36</v>
      </c>
      <c r="P5114" s="12" t="s">
        <v>36</v>
      </c>
      <c r="Q5114" s="12" t="s">
        <v>36</v>
      </c>
      <c r="R5114" s="12" t="s">
        <v>36</v>
      </c>
      <c r="S5114" s="12" t="s">
        <v>36</v>
      </c>
      <c r="T5114" s="12" t="s">
        <v>7809</v>
      </c>
      <c r="U5114" s="12" t="s">
        <v>648</v>
      </c>
      <c r="V5114" s="12" t="s">
        <v>64</v>
      </c>
      <c r="W5114" s="12" t="s">
        <v>12415</v>
      </c>
      <c r="X5114" s="16" t="s">
        <v>24415</v>
      </c>
      <c r="Y5114" s="15" t="s">
        <v>108</v>
      </c>
      <c r="Z5114" s="14">
        <v>4.07</v>
      </c>
      <c r="AA5114" s="14">
        <v>7.71</v>
      </c>
      <c r="AB5114" s="12" t="s">
        <v>56</v>
      </c>
      <c r="AC5114" s="12" t="s">
        <v>12417</v>
      </c>
      <c r="AD5114" s="13">
        <v>43381</v>
      </c>
      <c r="AE5114" s="12" t="s">
        <v>1897</v>
      </c>
      <c r="AF5114" s="12" t="s">
        <v>1115</v>
      </c>
      <c r="AG5114" s="12" t="s">
        <v>652</v>
      </c>
      <c r="AH5114" s="1">
        <f>HYPERLINK("https://my.pitchbook.com?c=44294-50T","View Company Online")</f>
      </c>
    </row>
    <row r="5115">
      <c r="A5115" s="3" t="s">
        <v>24416</v>
      </c>
      <c r="B5115" s="3" t="s">
        <v>24417</v>
      </c>
      <c r="C5115" s="5" t="s">
        <v>36</v>
      </c>
      <c r="D5115" s="5" t="s">
        <v>36</v>
      </c>
      <c r="E5115" s="5" t="s">
        <v>36</v>
      </c>
      <c r="F5115" s="5" t="s">
        <v>36</v>
      </c>
      <c r="G5115" s="6" t="s">
        <v>36</v>
      </c>
      <c r="H5115" s="4" t="s">
        <v>36</v>
      </c>
      <c r="I5115" s="7" t="s">
        <v>36</v>
      </c>
      <c r="J5115" s="3" t="s">
        <v>36</v>
      </c>
      <c r="K5115" s="9" t="s">
        <v>36</v>
      </c>
      <c r="L5115" s="6" t="s">
        <v>122</v>
      </c>
      <c r="M5115" s="3" t="s">
        <v>36</v>
      </c>
      <c r="N5115" s="3" t="s">
        <v>122</v>
      </c>
      <c r="O5115" s="8" t="s">
        <v>36</v>
      </c>
      <c r="P5115" s="3" t="s">
        <v>36</v>
      </c>
      <c r="Q5115" s="3" t="s">
        <v>36</v>
      </c>
      <c r="R5115" s="3" t="s">
        <v>36</v>
      </c>
      <c r="S5115" s="3" t="s">
        <v>36</v>
      </c>
      <c r="T5115" s="3" t="s">
        <v>105</v>
      </c>
      <c r="U5115" s="3" t="s">
        <v>38</v>
      </c>
      <c r="V5115" s="3" t="s">
        <v>39</v>
      </c>
      <c r="W5115" s="3" t="s">
        <v>24418</v>
      </c>
      <c r="X5115" s="10" t="s">
        <v>24419</v>
      </c>
      <c r="Y5115" s="6" t="s">
        <v>192</v>
      </c>
      <c r="Z5115" s="4">
        <v>0.5</v>
      </c>
      <c r="AA5115" s="4" t="s">
        <v>36</v>
      </c>
      <c r="AB5115" s="3" t="s">
        <v>56</v>
      </c>
      <c r="AC5115" s="3" t="s">
        <v>24420</v>
      </c>
      <c r="AD5115" s="9">
        <v>43380</v>
      </c>
      <c r="AE5115" s="3" t="s">
        <v>110</v>
      </c>
      <c r="AF5115" s="3" t="s">
        <v>176</v>
      </c>
      <c r="AG5115" s="3" t="s">
        <v>81</v>
      </c>
      <c r="AH5115" s="11">
        <f>HYPERLINK("https://my.pitchbook.com?c=195837-49T","View Company Online")</f>
      </c>
    </row>
    <row r="5116">
      <c r="A5116" s="12" t="s">
        <v>24421</v>
      </c>
      <c r="B5116" s="12" t="s">
        <v>24422</v>
      </c>
      <c r="C5116" s="19" t="s">
        <v>36</v>
      </c>
      <c r="D5116" s="19" t="s">
        <v>36</v>
      </c>
      <c r="E5116" s="19">
        <v>1</v>
      </c>
      <c r="F5116" s="19">
        <v>1</v>
      </c>
      <c r="G5116" s="15" t="s">
        <v>36</v>
      </c>
      <c r="H5116" s="14">
        <v>154.75</v>
      </c>
      <c r="I5116" s="18">
        <v>40.4</v>
      </c>
      <c r="J5116" s="12" t="s">
        <v>521</v>
      </c>
      <c r="K5116" s="13" t="s">
        <v>36</v>
      </c>
      <c r="L5116" s="15" t="s">
        <v>36</v>
      </c>
      <c r="M5116" s="12" t="s">
        <v>36</v>
      </c>
      <c r="N5116" s="12" t="s">
        <v>36</v>
      </c>
      <c r="O5116" s="17" t="s">
        <v>36</v>
      </c>
      <c r="P5116" s="12" t="s">
        <v>36</v>
      </c>
      <c r="Q5116" s="12" t="s">
        <v>36</v>
      </c>
      <c r="R5116" s="12" t="s">
        <v>36</v>
      </c>
      <c r="S5116" s="12" t="s">
        <v>36</v>
      </c>
      <c r="T5116" s="12" t="s">
        <v>2213</v>
      </c>
      <c r="U5116" s="12" t="s">
        <v>219</v>
      </c>
      <c r="V5116" s="12" t="s">
        <v>75</v>
      </c>
      <c r="W5116" s="12" t="s">
        <v>24423</v>
      </c>
      <c r="X5116" s="16" t="s">
        <v>24424</v>
      </c>
      <c r="Y5116" s="15" t="s">
        <v>42</v>
      </c>
      <c r="Z5116" s="14">
        <v>1.91</v>
      </c>
      <c r="AA5116" s="14">
        <v>4.72</v>
      </c>
      <c r="AB5116" s="12" t="s">
        <v>43</v>
      </c>
      <c r="AC5116" s="12" t="s">
        <v>24425</v>
      </c>
      <c r="AD5116" s="13">
        <v>43378</v>
      </c>
      <c r="AE5116" s="12" t="s">
        <v>1912</v>
      </c>
      <c r="AF5116" s="12" t="s">
        <v>2369</v>
      </c>
      <c r="AG5116" s="12" t="s">
        <v>10521</v>
      </c>
      <c r="AH5116" s="1">
        <f>HYPERLINK("https://my.pitchbook.com?c=111885-13T","View Company Online")</f>
      </c>
    </row>
    <row r="5117">
      <c r="A5117" s="3" t="s">
        <v>24426</v>
      </c>
      <c r="B5117" s="3" t="s">
        <v>7451</v>
      </c>
      <c r="C5117" s="5" t="s">
        <v>36</v>
      </c>
      <c r="D5117" s="5" t="s">
        <v>36</v>
      </c>
      <c r="E5117" s="5" t="s">
        <v>36</v>
      </c>
      <c r="F5117" s="5" t="s">
        <v>36</v>
      </c>
      <c r="G5117" s="6" t="s">
        <v>36</v>
      </c>
      <c r="H5117" s="4" t="s">
        <v>36</v>
      </c>
      <c r="I5117" s="7" t="s">
        <v>36</v>
      </c>
      <c r="J5117" s="3" t="s">
        <v>36</v>
      </c>
      <c r="K5117" s="9" t="s">
        <v>36</v>
      </c>
      <c r="L5117" s="6" t="s">
        <v>36</v>
      </c>
      <c r="M5117" s="3" t="s">
        <v>36</v>
      </c>
      <c r="N5117" s="3" t="s">
        <v>36</v>
      </c>
      <c r="O5117" s="8" t="s">
        <v>36</v>
      </c>
      <c r="P5117" s="3" t="s">
        <v>36</v>
      </c>
      <c r="Q5117" s="3" t="s">
        <v>36</v>
      </c>
      <c r="R5117" s="3" t="s">
        <v>36</v>
      </c>
      <c r="S5117" s="3" t="s">
        <v>36</v>
      </c>
      <c r="T5117" s="3" t="s">
        <v>7452</v>
      </c>
      <c r="U5117" s="3" t="s">
        <v>38</v>
      </c>
      <c r="V5117" s="3" t="s">
        <v>39</v>
      </c>
      <c r="W5117" s="3" t="s">
        <v>7453</v>
      </c>
      <c r="X5117" s="10" t="s">
        <v>24427</v>
      </c>
      <c r="Y5117" s="6" t="s">
        <v>108</v>
      </c>
      <c r="Z5117" s="4">
        <v>1.86</v>
      </c>
      <c r="AA5117" s="4" t="s">
        <v>36</v>
      </c>
      <c r="AB5117" s="3" t="s">
        <v>43</v>
      </c>
      <c r="AC5117" s="3" t="s">
        <v>7455</v>
      </c>
      <c r="AD5117" s="9">
        <v>43378</v>
      </c>
      <c r="AE5117" s="3" t="s">
        <v>45</v>
      </c>
      <c r="AF5117" s="3" t="s">
        <v>4569</v>
      </c>
      <c r="AG5117" s="3" t="s">
        <v>741</v>
      </c>
      <c r="AH5117" s="11">
        <f>HYPERLINK("https://my.pitchbook.com?c=133549-57T","View Company Online")</f>
      </c>
    </row>
    <row r="5118">
      <c r="A5118" s="12" t="s">
        <v>24428</v>
      </c>
      <c r="B5118" s="12" t="s">
        <v>24429</v>
      </c>
      <c r="C5118" s="19" t="s">
        <v>36</v>
      </c>
      <c r="D5118" s="19" t="s">
        <v>36</v>
      </c>
      <c r="E5118" s="19" t="s">
        <v>36</v>
      </c>
      <c r="F5118" s="19" t="s">
        <v>36</v>
      </c>
      <c r="G5118" s="15" t="s">
        <v>36</v>
      </c>
      <c r="H5118" s="14" t="s">
        <v>36</v>
      </c>
      <c r="I5118" s="18">
        <v>43.72</v>
      </c>
      <c r="J5118" s="12" t="s">
        <v>327</v>
      </c>
      <c r="K5118" s="13">
        <v>43376</v>
      </c>
      <c r="L5118" s="15" t="s">
        <v>36</v>
      </c>
      <c r="M5118" s="12" t="s">
        <v>36</v>
      </c>
      <c r="N5118" s="12" t="s">
        <v>36</v>
      </c>
      <c r="O5118" s="17" t="s">
        <v>36</v>
      </c>
      <c r="P5118" s="12" t="s">
        <v>36</v>
      </c>
      <c r="Q5118" s="12" t="s">
        <v>36</v>
      </c>
      <c r="R5118" s="12" t="s">
        <v>36</v>
      </c>
      <c r="S5118" s="12" t="s">
        <v>36</v>
      </c>
      <c r="T5118" s="12" t="s">
        <v>5576</v>
      </c>
      <c r="U5118" s="12" t="s">
        <v>38</v>
      </c>
      <c r="V5118" s="12" t="s">
        <v>39</v>
      </c>
      <c r="W5118" s="12" t="s">
        <v>24430</v>
      </c>
      <c r="X5118" s="16" t="s">
        <v>24431</v>
      </c>
      <c r="Y5118" s="15" t="s">
        <v>55</v>
      </c>
      <c r="Z5118" s="14">
        <v>23.29</v>
      </c>
      <c r="AA5118" s="14">
        <v>53.27</v>
      </c>
      <c r="AB5118" s="12" t="s">
        <v>56</v>
      </c>
      <c r="AC5118" s="12" t="s">
        <v>24432</v>
      </c>
      <c r="AD5118" s="13">
        <v>43378</v>
      </c>
      <c r="AE5118" s="12" t="s">
        <v>110</v>
      </c>
      <c r="AF5118" s="12" t="s">
        <v>24433</v>
      </c>
      <c r="AG5118" s="12" t="s">
        <v>81</v>
      </c>
      <c r="AH5118" s="1">
        <f>HYPERLINK("https://my.pitchbook.com?c=112431-88T","View Company Online")</f>
      </c>
    </row>
    <row r="5119">
      <c r="A5119" s="3" t="s">
        <v>24434</v>
      </c>
      <c r="B5119" s="3" t="s">
        <v>24435</v>
      </c>
      <c r="C5119" s="5" t="s">
        <v>36</v>
      </c>
      <c r="D5119" s="5" t="s">
        <v>36</v>
      </c>
      <c r="E5119" s="5" t="s">
        <v>36</v>
      </c>
      <c r="F5119" s="5" t="s">
        <v>36</v>
      </c>
      <c r="G5119" s="6" t="s">
        <v>326</v>
      </c>
      <c r="H5119" s="4">
        <v>256.86</v>
      </c>
      <c r="I5119" s="7">
        <v>16.88</v>
      </c>
      <c r="J5119" s="3" t="s">
        <v>521</v>
      </c>
      <c r="K5119" s="9" t="s">
        <v>36</v>
      </c>
      <c r="L5119" s="6" t="s">
        <v>36</v>
      </c>
      <c r="M5119" s="3" t="s">
        <v>36</v>
      </c>
      <c r="N5119" s="3" t="s">
        <v>36</v>
      </c>
      <c r="O5119" s="8" t="s">
        <v>36</v>
      </c>
      <c r="P5119" s="3" t="s">
        <v>36</v>
      </c>
      <c r="Q5119" s="3" t="s">
        <v>36</v>
      </c>
      <c r="R5119" s="3" t="s">
        <v>36</v>
      </c>
      <c r="S5119" s="3" t="s">
        <v>36</v>
      </c>
      <c r="T5119" s="3" t="s">
        <v>24436</v>
      </c>
      <c r="U5119" s="3" t="s">
        <v>289</v>
      </c>
      <c r="V5119" s="3" t="s">
        <v>64</v>
      </c>
      <c r="W5119" s="3" t="s">
        <v>24437</v>
      </c>
      <c r="X5119" s="10" t="s">
        <v>24438</v>
      </c>
      <c r="Y5119" s="6" t="s">
        <v>108</v>
      </c>
      <c r="Z5119" s="4">
        <v>0.95</v>
      </c>
      <c r="AA5119" s="4">
        <v>5.61</v>
      </c>
      <c r="AB5119" s="3" t="s">
        <v>43</v>
      </c>
      <c r="AC5119" s="3" t="s">
        <v>24439</v>
      </c>
      <c r="AD5119" s="9">
        <v>43377</v>
      </c>
      <c r="AE5119" s="3" t="s">
        <v>292</v>
      </c>
      <c r="AF5119" s="3" t="s">
        <v>2118</v>
      </c>
      <c r="AG5119" s="3" t="s">
        <v>81</v>
      </c>
      <c r="AH5119" s="11">
        <f>HYPERLINK("https://my.pitchbook.com?c=119743-30T","View Company Online")</f>
      </c>
    </row>
    <row r="5120">
      <c r="A5120" s="12" t="s">
        <v>24440</v>
      </c>
      <c r="B5120" s="12" t="s">
        <v>24441</v>
      </c>
      <c r="C5120" s="19" t="s">
        <v>36</v>
      </c>
      <c r="D5120" s="19">
        <v>14</v>
      </c>
      <c r="E5120" s="19">
        <v>7</v>
      </c>
      <c r="F5120" s="19">
        <v>29</v>
      </c>
      <c r="G5120" s="15" t="s">
        <v>683</v>
      </c>
      <c r="H5120" s="14">
        <v>259.64</v>
      </c>
      <c r="I5120" s="18">
        <v>5.89</v>
      </c>
      <c r="J5120" s="12" t="s">
        <v>521</v>
      </c>
      <c r="K5120" s="13" t="s">
        <v>36</v>
      </c>
      <c r="L5120" s="15" t="s">
        <v>36</v>
      </c>
      <c r="M5120" s="12" t="s">
        <v>36</v>
      </c>
      <c r="N5120" s="12" t="s">
        <v>36</v>
      </c>
      <c r="O5120" s="17" t="s">
        <v>36</v>
      </c>
      <c r="P5120" s="12" t="s">
        <v>36</v>
      </c>
      <c r="Q5120" s="12" t="s">
        <v>36</v>
      </c>
      <c r="R5120" s="12" t="s">
        <v>36</v>
      </c>
      <c r="S5120" s="12" t="s">
        <v>36</v>
      </c>
      <c r="T5120" s="12" t="s">
        <v>24442</v>
      </c>
      <c r="U5120" s="12" t="s">
        <v>318</v>
      </c>
      <c r="V5120" s="12" t="s">
        <v>39</v>
      </c>
      <c r="W5120" s="12" t="s">
        <v>24443</v>
      </c>
      <c r="X5120" s="16" t="s">
        <v>24444</v>
      </c>
      <c r="Y5120" s="15" t="s">
        <v>55</v>
      </c>
      <c r="Z5120" s="14">
        <v>0.77</v>
      </c>
      <c r="AA5120" s="14">
        <v>13.16</v>
      </c>
      <c r="AB5120" s="12" t="s">
        <v>56</v>
      </c>
      <c r="AC5120" s="12" t="s">
        <v>24445</v>
      </c>
      <c r="AD5120" s="13">
        <v>43376</v>
      </c>
      <c r="AE5120" s="12" t="s">
        <v>763</v>
      </c>
      <c r="AF5120" s="12" t="s">
        <v>7294</v>
      </c>
      <c r="AG5120" s="12" t="s">
        <v>81</v>
      </c>
      <c r="AH5120" s="1">
        <f>HYPERLINK("https://my.pitchbook.com?c=191133-19T","View Company Online")</f>
      </c>
    </row>
    <row r="5121">
      <c r="A5121" s="3" t="s">
        <v>24446</v>
      </c>
      <c r="B5121" s="3" t="s">
        <v>901</v>
      </c>
      <c r="C5121" s="5" t="s">
        <v>36</v>
      </c>
      <c r="D5121" s="5" t="s">
        <v>36</v>
      </c>
      <c r="E5121" s="5" t="s">
        <v>36</v>
      </c>
      <c r="F5121" s="5" t="s">
        <v>36</v>
      </c>
      <c r="G5121" s="6" t="s">
        <v>326</v>
      </c>
      <c r="H5121" s="4">
        <v>288.78</v>
      </c>
      <c r="I5121" s="7">
        <v>17.95</v>
      </c>
      <c r="J5121" s="3" t="s">
        <v>521</v>
      </c>
      <c r="K5121" s="9" t="s">
        <v>36</v>
      </c>
      <c r="L5121" s="6" t="s">
        <v>36</v>
      </c>
      <c r="M5121" s="3" t="s">
        <v>36</v>
      </c>
      <c r="N5121" s="3" t="s">
        <v>36</v>
      </c>
      <c r="O5121" s="8" t="s">
        <v>36</v>
      </c>
      <c r="P5121" s="3" t="s">
        <v>36</v>
      </c>
      <c r="Q5121" s="3" t="s">
        <v>36</v>
      </c>
      <c r="R5121" s="3" t="s">
        <v>36</v>
      </c>
      <c r="S5121" s="3" t="s">
        <v>36</v>
      </c>
      <c r="T5121" s="3" t="s">
        <v>522</v>
      </c>
      <c r="U5121" s="3" t="s">
        <v>38</v>
      </c>
      <c r="V5121" s="3" t="s">
        <v>39</v>
      </c>
      <c r="W5121" s="3" t="s">
        <v>902</v>
      </c>
      <c r="X5121" s="10" t="s">
        <v>24447</v>
      </c>
      <c r="Y5121" s="6" t="s">
        <v>108</v>
      </c>
      <c r="Z5121" s="4">
        <v>1.53</v>
      </c>
      <c r="AA5121" s="4">
        <v>8.54</v>
      </c>
      <c r="AB5121" s="3" t="s">
        <v>43</v>
      </c>
      <c r="AC5121" s="3" t="s">
        <v>904</v>
      </c>
      <c r="AD5121" s="9">
        <v>43376</v>
      </c>
      <c r="AE5121" s="3" t="s">
        <v>110</v>
      </c>
      <c r="AF5121" s="3" t="s">
        <v>905</v>
      </c>
      <c r="AG5121" s="3" t="s">
        <v>81</v>
      </c>
      <c r="AH5121" s="11">
        <f>HYPERLINK("https://my.pitchbook.com?c=120042-01T","View Company Online")</f>
      </c>
    </row>
    <row r="5122">
      <c r="A5122" s="12" t="s">
        <v>24448</v>
      </c>
      <c r="B5122" s="12" t="s">
        <v>17076</v>
      </c>
      <c r="C5122" s="19">
        <v>1</v>
      </c>
      <c r="D5122" s="19">
        <v>4</v>
      </c>
      <c r="E5122" s="19">
        <v>3</v>
      </c>
      <c r="F5122" s="19">
        <v>5</v>
      </c>
      <c r="G5122" s="15" t="s">
        <v>36</v>
      </c>
      <c r="H5122" s="14" t="s">
        <v>36</v>
      </c>
      <c r="I5122" s="18" t="s">
        <v>36</v>
      </c>
      <c r="J5122" s="12" t="s">
        <v>36</v>
      </c>
      <c r="K5122" s="13" t="s">
        <v>36</v>
      </c>
      <c r="L5122" s="15" t="s">
        <v>36</v>
      </c>
      <c r="M5122" s="12" t="s">
        <v>36</v>
      </c>
      <c r="N5122" s="12" t="s">
        <v>36</v>
      </c>
      <c r="O5122" s="17" t="s">
        <v>36</v>
      </c>
      <c r="P5122" s="12" t="s">
        <v>36</v>
      </c>
      <c r="Q5122" s="12" t="s">
        <v>36</v>
      </c>
      <c r="R5122" s="12" t="s">
        <v>36</v>
      </c>
      <c r="S5122" s="12" t="s">
        <v>7012</v>
      </c>
      <c r="T5122" s="12" t="s">
        <v>342</v>
      </c>
      <c r="U5122" s="12" t="s">
        <v>38</v>
      </c>
      <c r="V5122" s="12" t="s">
        <v>39</v>
      </c>
      <c r="W5122" s="12" t="s">
        <v>17077</v>
      </c>
      <c r="X5122" s="16" t="s">
        <v>13670</v>
      </c>
      <c r="Y5122" s="15" t="s">
        <v>42</v>
      </c>
      <c r="Z5122" s="14" t="s">
        <v>36</v>
      </c>
      <c r="AA5122" s="14" t="s">
        <v>36</v>
      </c>
      <c r="AB5122" s="12" t="s">
        <v>56</v>
      </c>
      <c r="AC5122" s="12" t="s">
        <v>17079</v>
      </c>
      <c r="AD5122" s="13">
        <v>43375</v>
      </c>
      <c r="AE5122" s="12" t="s">
        <v>110</v>
      </c>
      <c r="AF5122" s="12" t="s">
        <v>111</v>
      </c>
      <c r="AG5122" s="12" t="s">
        <v>81</v>
      </c>
      <c r="AH5122" s="1">
        <f>HYPERLINK("https://my.pitchbook.com?c=117210-88T","View Company Online")</f>
      </c>
    </row>
    <row r="5123">
      <c r="A5123" s="3" t="s">
        <v>24449</v>
      </c>
      <c r="B5123" s="3" t="s">
        <v>24450</v>
      </c>
      <c r="C5123" s="5" t="s">
        <v>36</v>
      </c>
      <c r="D5123" s="5" t="s">
        <v>36</v>
      </c>
      <c r="E5123" s="5" t="s">
        <v>36</v>
      </c>
      <c r="F5123" s="5" t="s">
        <v>36</v>
      </c>
      <c r="G5123" s="6" t="s">
        <v>326</v>
      </c>
      <c r="H5123" s="4" t="s">
        <v>36</v>
      </c>
      <c r="I5123" s="7">
        <v>26.84</v>
      </c>
      <c r="J5123" s="3" t="s">
        <v>327</v>
      </c>
      <c r="K5123" s="9" t="s">
        <v>36</v>
      </c>
      <c r="L5123" s="6" t="s">
        <v>36</v>
      </c>
      <c r="M5123" s="3" t="s">
        <v>36</v>
      </c>
      <c r="N5123" s="3" t="s">
        <v>36</v>
      </c>
      <c r="O5123" s="8" t="s">
        <v>36</v>
      </c>
      <c r="P5123" s="3" t="s">
        <v>36</v>
      </c>
      <c r="Q5123" s="3" t="s">
        <v>36</v>
      </c>
      <c r="R5123" s="3" t="s">
        <v>36</v>
      </c>
      <c r="S5123" s="3" t="s">
        <v>36</v>
      </c>
      <c r="T5123" s="3" t="s">
        <v>24451</v>
      </c>
      <c r="U5123" s="3" t="s">
        <v>648</v>
      </c>
      <c r="V5123" s="3" t="s">
        <v>64</v>
      </c>
      <c r="W5123" s="3" t="s">
        <v>24452</v>
      </c>
      <c r="X5123" s="10" t="s">
        <v>24453</v>
      </c>
      <c r="Y5123" s="6" t="s">
        <v>108</v>
      </c>
      <c r="Z5123" s="4">
        <v>1.75</v>
      </c>
      <c r="AA5123" s="4">
        <v>6.51</v>
      </c>
      <c r="AB5123" s="3" t="s">
        <v>43</v>
      </c>
      <c r="AC5123" s="3" t="s">
        <v>24454</v>
      </c>
      <c r="AD5123" s="9">
        <v>43375</v>
      </c>
      <c r="AE5123" s="3" t="s">
        <v>1897</v>
      </c>
      <c r="AF5123" s="3" t="s">
        <v>1115</v>
      </c>
      <c r="AG5123" s="3" t="s">
        <v>81</v>
      </c>
      <c r="AH5123" s="11">
        <f>HYPERLINK("https://my.pitchbook.com?c=112448-80T","View Company Online")</f>
      </c>
    </row>
    <row r="5124">
      <c r="A5124" s="12" t="s">
        <v>24455</v>
      </c>
      <c r="B5124" s="12" t="s">
        <v>24456</v>
      </c>
      <c r="C5124" s="19">
        <v>1</v>
      </c>
      <c r="D5124" s="19">
        <v>5</v>
      </c>
      <c r="E5124" s="19">
        <v>4</v>
      </c>
      <c r="F5124" s="19">
        <v>10</v>
      </c>
      <c r="G5124" s="15" t="s">
        <v>36</v>
      </c>
      <c r="H5124" s="14">
        <v>11424.23</v>
      </c>
      <c r="I5124" s="18">
        <v>8.75</v>
      </c>
      <c r="J5124" s="12" t="s">
        <v>521</v>
      </c>
      <c r="K5124" s="13" t="s">
        <v>36</v>
      </c>
      <c r="L5124" s="15" t="s">
        <v>36</v>
      </c>
      <c r="M5124" s="12" t="s">
        <v>36</v>
      </c>
      <c r="N5124" s="12" t="s">
        <v>36</v>
      </c>
      <c r="O5124" s="17" t="s">
        <v>36</v>
      </c>
      <c r="P5124" s="12" t="s">
        <v>36</v>
      </c>
      <c r="Q5124" s="12" t="s">
        <v>36</v>
      </c>
      <c r="R5124" s="12" t="s">
        <v>36</v>
      </c>
      <c r="S5124" s="12" t="s">
        <v>18940</v>
      </c>
      <c r="T5124" s="12" t="s">
        <v>24457</v>
      </c>
      <c r="U5124" s="12" t="s">
        <v>833</v>
      </c>
      <c r="V5124" s="12" t="s">
        <v>64</v>
      </c>
      <c r="W5124" s="12" t="s">
        <v>24458</v>
      </c>
      <c r="X5124" s="16" t="s">
        <v>24459</v>
      </c>
      <c r="Y5124" s="15" t="s">
        <v>108</v>
      </c>
      <c r="Z5124" s="14">
        <v>0.86</v>
      </c>
      <c r="AA5124" s="14">
        <v>9.82</v>
      </c>
      <c r="AB5124" s="12" t="s">
        <v>43</v>
      </c>
      <c r="AC5124" s="12" t="s">
        <v>24460</v>
      </c>
      <c r="AD5124" s="13">
        <v>43374</v>
      </c>
      <c r="AE5124" s="12" t="s">
        <v>1069</v>
      </c>
      <c r="AF5124" s="12" t="s">
        <v>7294</v>
      </c>
      <c r="AG5124" s="12" t="s">
        <v>3188</v>
      </c>
      <c r="AH5124" s="1">
        <f>HYPERLINK("https://my.pitchbook.com?c=130967-65T","View Company Online")</f>
      </c>
    </row>
    <row r="5125">
      <c r="A5125" s="3" t="s">
        <v>24461</v>
      </c>
      <c r="B5125" s="3" t="s">
        <v>24462</v>
      </c>
      <c r="C5125" s="5" t="s">
        <v>36</v>
      </c>
      <c r="D5125" s="5" t="s">
        <v>36</v>
      </c>
      <c r="E5125" s="5" t="s">
        <v>36</v>
      </c>
      <c r="F5125" s="5" t="s">
        <v>36</v>
      </c>
      <c r="G5125" s="6" t="s">
        <v>36</v>
      </c>
      <c r="H5125" s="4">
        <v>4.15</v>
      </c>
      <c r="I5125" s="7">
        <v>27.27</v>
      </c>
      <c r="J5125" s="3" t="s">
        <v>521</v>
      </c>
      <c r="K5125" s="9" t="s">
        <v>36</v>
      </c>
      <c r="L5125" s="6" t="s">
        <v>36</v>
      </c>
      <c r="M5125" s="3" t="s">
        <v>36</v>
      </c>
      <c r="N5125" s="3" t="s">
        <v>36</v>
      </c>
      <c r="O5125" s="8" t="s">
        <v>36</v>
      </c>
      <c r="P5125" s="3" t="s">
        <v>36</v>
      </c>
      <c r="Q5125" s="3" t="s">
        <v>36</v>
      </c>
      <c r="R5125" s="3" t="s">
        <v>36</v>
      </c>
      <c r="S5125" s="3" t="s">
        <v>36</v>
      </c>
      <c r="T5125" s="3" t="s">
        <v>16445</v>
      </c>
      <c r="U5125" s="3" t="s">
        <v>279</v>
      </c>
      <c r="V5125" s="3" t="s">
        <v>64</v>
      </c>
      <c r="W5125" s="3" t="s">
        <v>24463</v>
      </c>
      <c r="X5125" s="10" t="s">
        <v>9764</v>
      </c>
      <c r="Y5125" s="6" t="s">
        <v>42</v>
      </c>
      <c r="Z5125" s="4">
        <v>0.7</v>
      </c>
      <c r="AA5125" s="4">
        <v>1.28</v>
      </c>
      <c r="AB5125" s="3" t="s">
        <v>43</v>
      </c>
      <c r="AC5125" s="3" t="s">
        <v>24464</v>
      </c>
      <c r="AD5125" s="9">
        <v>43374</v>
      </c>
      <c r="AE5125" s="3" t="s">
        <v>283</v>
      </c>
      <c r="AF5125" s="3" t="s">
        <v>176</v>
      </c>
      <c r="AG5125" s="3" t="s">
        <v>24465</v>
      </c>
      <c r="AH5125" s="11">
        <f>HYPERLINK("https://my.pitchbook.com?c=121781-44T","View Company Online")</f>
      </c>
    </row>
    <row r="5126">
      <c r="A5126" s="12" t="s">
        <v>24466</v>
      </c>
      <c r="B5126" s="12" t="s">
        <v>9094</v>
      </c>
      <c r="C5126" s="19">
        <v>5</v>
      </c>
      <c r="D5126" s="19">
        <v>27</v>
      </c>
      <c r="E5126" s="19">
        <v>4</v>
      </c>
      <c r="F5126" s="19">
        <v>32</v>
      </c>
      <c r="G5126" s="15" t="s">
        <v>36</v>
      </c>
      <c r="H5126" s="14" t="s">
        <v>36</v>
      </c>
      <c r="I5126" s="18" t="s">
        <v>36</v>
      </c>
      <c r="J5126" s="12" t="s">
        <v>36</v>
      </c>
      <c r="K5126" s="13" t="s">
        <v>36</v>
      </c>
      <c r="L5126" s="15" t="s">
        <v>94</v>
      </c>
      <c r="M5126" s="12" t="s">
        <v>36</v>
      </c>
      <c r="N5126" s="12" t="s">
        <v>94</v>
      </c>
      <c r="O5126" s="17" t="s">
        <v>36</v>
      </c>
      <c r="P5126" s="12" t="s">
        <v>36</v>
      </c>
      <c r="Q5126" s="12" t="s">
        <v>36</v>
      </c>
      <c r="R5126" s="12" t="s">
        <v>36</v>
      </c>
      <c r="S5126" s="12" t="s">
        <v>36</v>
      </c>
      <c r="T5126" s="12" t="s">
        <v>596</v>
      </c>
      <c r="U5126" s="12" t="s">
        <v>366</v>
      </c>
      <c r="V5126" s="12" t="s">
        <v>367</v>
      </c>
      <c r="W5126" s="12" t="s">
        <v>9095</v>
      </c>
      <c r="X5126" s="16" t="s">
        <v>24467</v>
      </c>
      <c r="Y5126" s="15" t="s">
        <v>55</v>
      </c>
      <c r="Z5126" s="14">
        <v>3.26</v>
      </c>
      <c r="AA5126" s="14" t="s">
        <v>36</v>
      </c>
      <c r="AB5126" s="12" t="s">
        <v>56</v>
      </c>
      <c r="AC5126" s="12" t="s">
        <v>9096</v>
      </c>
      <c r="AD5126" s="13">
        <v>43374</v>
      </c>
      <c r="AE5126" s="12" t="s">
        <v>600</v>
      </c>
      <c r="AF5126" s="12" t="s">
        <v>9097</v>
      </c>
      <c r="AG5126" s="12" t="s">
        <v>9098</v>
      </c>
      <c r="AH5126" s="1">
        <f>HYPERLINK("https://my.pitchbook.com?c=134076-70T","View Company Online")</f>
      </c>
    </row>
    <row r="5127">
      <c r="A5127" s="3" t="s">
        <v>24468</v>
      </c>
      <c r="B5127" s="3" t="s">
        <v>24469</v>
      </c>
      <c r="C5127" s="5" t="s">
        <v>36</v>
      </c>
      <c r="D5127" s="5" t="s">
        <v>36</v>
      </c>
      <c r="E5127" s="5" t="s">
        <v>36</v>
      </c>
      <c r="F5127" s="5" t="s">
        <v>36</v>
      </c>
      <c r="G5127" s="6" t="s">
        <v>326</v>
      </c>
      <c r="H5127" s="4">
        <v>61.28</v>
      </c>
      <c r="I5127" s="7">
        <v>29.87</v>
      </c>
      <c r="J5127" s="3" t="s">
        <v>521</v>
      </c>
      <c r="K5127" s="9" t="s">
        <v>36</v>
      </c>
      <c r="L5127" s="6" t="s">
        <v>122</v>
      </c>
      <c r="M5127" s="3" t="s">
        <v>36</v>
      </c>
      <c r="N5127" s="3" t="s">
        <v>122</v>
      </c>
      <c r="O5127" s="8" t="s">
        <v>36</v>
      </c>
      <c r="P5127" s="3" t="s">
        <v>36</v>
      </c>
      <c r="Q5127" s="3" t="s">
        <v>36</v>
      </c>
      <c r="R5127" s="3" t="s">
        <v>36</v>
      </c>
      <c r="S5127" s="3" t="s">
        <v>36</v>
      </c>
      <c r="T5127" s="3" t="s">
        <v>464</v>
      </c>
      <c r="U5127" s="3" t="s">
        <v>38</v>
      </c>
      <c r="V5127" s="3" t="s">
        <v>39</v>
      </c>
      <c r="W5127" s="3" t="s">
        <v>24470</v>
      </c>
      <c r="X5127" s="10" t="s">
        <v>24471</v>
      </c>
      <c r="Y5127" s="6" t="s">
        <v>42</v>
      </c>
      <c r="Z5127" s="4">
        <v>3.25</v>
      </c>
      <c r="AA5127" s="4">
        <v>10.89</v>
      </c>
      <c r="AB5127" s="3" t="s">
        <v>43</v>
      </c>
      <c r="AC5127" s="3" t="s">
        <v>24472</v>
      </c>
      <c r="AD5127" s="9">
        <v>43374</v>
      </c>
      <c r="AE5127" s="3" t="s">
        <v>110</v>
      </c>
      <c r="AF5127" s="3" t="s">
        <v>468</v>
      </c>
      <c r="AG5127" s="3" t="s">
        <v>81</v>
      </c>
      <c r="AH5127" s="11">
        <f>HYPERLINK("https://my.pitchbook.com?c=125199-19T","View Company Online")</f>
      </c>
    </row>
    <row r="5128">
      <c r="A5128" s="12" t="s">
        <v>24473</v>
      </c>
      <c r="B5128" s="12" t="s">
        <v>24474</v>
      </c>
      <c r="C5128" s="19" t="s">
        <v>36</v>
      </c>
      <c r="D5128" s="19" t="s">
        <v>36</v>
      </c>
      <c r="E5128" s="19" t="s">
        <v>36</v>
      </c>
      <c r="F5128" s="19" t="s">
        <v>36</v>
      </c>
      <c r="G5128" s="15" t="s">
        <v>36</v>
      </c>
      <c r="H5128" s="14">
        <v>20.77</v>
      </c>
      <c r="I5128" s="18">
        <v>23.81</v>
      </c>
      <c r="J5128" s="12" t="s">
        <v>521</v>
      </c>
      <c r="K5128" s="13" t="s">
        <v>36</v>
      </c>
      <c r="L5128" s="15" t="s">
        <v>36</v>
      </c>
      <c r="M5128" s="12" t="s">
        <v>36</v>
      </c>
      <c r="N5128" s="12" t="s">
        <v>36</v>
      </c>
      <c r="O5128" s="17" t="s">
        <v>36</v>
      </c>
      <c r="P5128" s="12" t="s">
        <v>36</v>
      </c>
      <c r="Q5128" s="12" t="s">
        <v>36</v>
      </c>
      <c r="R5128" s="12" t="s">
        <v>36</v>
      </c>
      <c r="S5128" s="12" t="s">
        <v>36</v>
      </c>
      <c r="T5128" s="12" t="s">
        <v>14922</v>
      </c>
      <c r="U5128" s="12" t="s">
        <v>38</v>
      </c>
      <c r="V5128" s="12" t="s">
        <v>39</v>
      </c>
      <c r="W5128" s="12" t="s">
        <v>24475</v>
      </c>
      <c r="X5128" s="16" t="s">
        <v>24476</v>
      </c>
      <c r="Y5128" s="15" t="s">
        <v>42</v>
      </c>
      <c r="Z5128" s="14">
        <v>0.73</v>
      </c>
      <c r="AA5128" s="14">
        <v>3.06</v>
      </c>
      <c r="AB5128" s="12" t="s">
        <v>43</v>
      </c>
      <c r="AC5128" s="12" t="s">
        <v>24477</v>
      </c>
      <c r="AD5128" s="13">
        <v>43374</v>
      </c>
      <c r="AE5128" s="12" t="s">
        <v>554</v>
      </c>
      <c r="AF5128" s="12" t="s">
        <v>7783</v>
      </c>
      <c r="AG5128" s="12" t="s">
        <v>81</v>
      </c>
      <c r="AH5128" s="1">
        <f>HYPERLINK("https://my.pitchbook.com?c=123042-88T","View Company Online")</f>
      </c>
    </row>
    <row r="5129">
      <c r="A5129" s="3" t="s">
        <v>24478</v>
      </c>
      <c r="B5129" s="3" t="s">
        <v>24479</v>
      </c>
      <c r="C5129" s="5" t="s">
        <v>36</v>
      </c>
      <c r="D5129" s="5" t="s">
        <v>36</v>
      </c>
      <c r="E5129" s="5" t="s">
        <v>36</v>
      </c>
      <c r="F5129" s="5" t="s">
        <v>36</v>
      </c>
      <c r="G5129" s="6" t="s">
        <v>36</v>
      </c>
      <c r="H5129" s="4">
        <v>13352.99</v>
      </c>
      <c r="I5129" s="7">
        <v>43.73</v>
      </c>
      <c r="J5129" s="3" t="s">
        <v>521</v>
      </c>
      <c r="K5129" s="9" t="s">
        <v>36</v>
      </c>
      <c r="L5129" s="6" t="s">
        <v>36</v>
      </c>
      <c r="M5129" s="3" t="s">
        <v>36</v>
      </c>
      <c r="N5129" s="3" t="s">
        <v>36</v>
      </c>
      <c r="O5129" s="8" t="s">
        <v>36</v>
      </c>
      <c r="P5129" s="3" t="s">
        <v>36</v>
      </c>
      <c r="Q5129" s="3" t="s">
        <v>36</v>
      </c>
      <c r="R5129" s="3" t="s">
        <v>36</v>
      </c>
      <c r="S5129" s="3" t="s">
        <v>36</v>
      </c>
      <c r="T5129" s="3" t="s">
        <v>1162</v>
      </c>
      <c r="U5129" s="3" t="s">
        <v>423</v>
      </c>
      <c r="V5129" s="3" t="s">
        <v>64</v>
      </c>
      <c r="W5129" s="3" t="s">
        <v>24480</v>
      </c>
      <c r="X5129" s="10" t="s">
        <v>24481</v>
      </c>
      <c r="Y5129" s="6" t="s">
        <v>42</v>
      </c>
      <c r="Z5129" s="4">
        <v>4.08</v>
      </c>
      <c r="AA5129" s="4">
        <v>9.32</v>
      </c>
      <c r="AB5129" s="3" t="s">
        <v>43</v>
      </c>
      <c r="AC5129" s="3" t="s">
        <v>24482</v>
      </c>
      <c r="AD5129" s="9">
        <v>43374</v>
      </c>
      <c r="AE5129" s="3" t="s">
        <v>562</v>
      </c>
      <c r="AF5129" s="3" t="s">
        <v>938</v>
      </c>
      <c r="AG5129" s="3" t="s">
        <v>24483</v>
      </c>
      <c r="AH5129" s="11">
        <f>HYPERLINK("https://my.pitchbook.com?c=123350-32T","View Company Online")</f>
      </c>
    </row>
    <row r="5130">
      <c r="A5130" s="12" t="s">
        <v>24484</v>
      </c>
      <c r="B5130" s="12" t="s">
        <v>20665</v>
      </c>
      <c r="C5130" s="19" t="s">
        <v>36</v>
      </c>
      <c r="D5130" s="19" t="s">
        <v>36</v>
      </c>
      <c r="E5130" s="19" t="s">
        <v>36</v>
      </c>
      <c r="F5130" s="19" t="s">
        <v>36</v>
      </c>
      <c r="G5130" s="15" t="s">
        <v>36</v>
      </c>
      <c r="H5130" s="14" t="s">
        <v>36</v>
      </c>
      <c r="I5130" s="18" t="s">
        <v>36</v>
      </c>
      <c r="J5130" s="12" t="s">
        <v>36</v>
      </c>
      <c r="K5130" s="13" t="s">
        <v>36</v>
      </c>
      <c r="L5130" s="15" t="s">
        <v>122</v>
      </c>
      <c r="M5130" s="12" t="s">
        <v>36</v>
      </c>
      <c r="N5130" s="12" t="s">
        <v>122</v>
      </c>
      <c r="O5130" s="17" t="s">
        <v>36</v>
      </c>
      <c r="P5130" s="12" t="s">
        <v>36</v>
      </c>
      <c r="Q5130" s="12" t="s">
        <v>36</v>
      </c>
      <c r="R5130" s="12" t="s">
        <v>36</v>
      </c>
      <c r="S5130" s="12" t="s">
        <v>36</v>
      </c>
      <c r="T5130" s="12" t="s">
        <v>105</v>
      </c>
      <c r="U5130" s="12" t="s">
        <v>38</v>
      </c>
      <c r="V5130" s="12" t="s">
        <v>39</v>
      </c>
      <c r="W5130" s="12" t="s">
        <v>20666</v>
      </c>
      <c r="X5130" s="16" t="s">
        <v>24485</v>
      </c>
      <c r="Y5130" s="15" t="s">
        <v>192</v>
      </c>
      <c r="Z5130" s="14" t="s">
        <v>36</v>
      </c>
      <c r="AA5130" s="14" t="s">
        <v>36</v>
      </c>
      <c r="AB5130" s="12" t="s">
        <v>43</v>
      </c>
      <c r="AC5130" s="12" t="s">
        <v>20667</v>
      </c>
      <c r="AD5130" s="13">
        <v>43374</v>
      </c>
      <c r="AE5130" s="12" t="s">
        <v>110</v>
      </c>
      <c r="AF5130" s="12" t="s">
        <v>20668</v>
      </c>
      <c r="AG5130" s="12" t="s">
        <v>81</v>
      </c>
      <c r="AH5130" s="1">
        <f>HYPERLINK("https://my.pitchbook.com?c=125535-61T","View Company Online")</f>
      </c>
    </row>
    <row r="5131">
      <c r="A5131" s="3" t="s">
        <v>24486</v>
      </c>
      <c r="B5131" s="3" t="s">
        <v>24487</v>
      </c>
      <c r="C5131" s="5" t="s">
        <v>36</v>
      </c>
      <c r="D5131" s="5" t="s">
        <v>36</v>
      </c>
      <c r="E5131" s="5" t="s">
        <v>36</v>
      </c>
      <c r="F5131" s="5" t="s">
        <v>36</v>
      </c>
      <c r="G5131" s="6" t="s">
        <v>36</v>
      </c>
      <c r="H5131" s="4" t="s">
        <v>36</v>
      </c>
      <c r="I5131" s="7" t="s">
        <v>36</v>
      </c>
      <c r="J5131" s="3" t="s">
        <v>36</v>
      </c>
      <c r="K5131" s="9" t="s">
        <v>36</v>
      </c>
      <c r="L5131" s="6" t="s">
        <v>36</v>
      </c>
      <c r="M5131" s="3" t="s">
        <v>36</v>
      </c>
      <c r="N5131" s="3" t="s">
        <v>36</v>
      </c>
      <c r="O5131" s="8" t="s">
        <v>36</v>
      </c>
      <c r="P5131" s="3" t="s">
        <v>36</v>
      </c>
      <c r="Q5131" s="3" t="s">
        <v>36</v>
      </c>
      <c r="R5131" s="3" t="s">
        <v>36</v>
      </c>
      <c r="S5131" s="3" t="s">
        <v>36</v>
      </c>
      <c r="T5131" s="3" t="s">
        <v>1260</v>
      </c>
      <c r="U5131" s="3" t="s">
        <v>38</v>
      </c>
      <c r="V5131" s="3" t="s">
        <v>39</v>
      </c>
      <c r="W5131" s="3" t="s">
        <v>24488</v>
      </c>
      <c r="X5131" s="10" t="s">
        <v>21624</v>
      </c>
      <c r="Y5131" s="6" t="s">
        <v>42</v>
      </c>
      <c r="Z5131" s="4" t="s">
        <v>36</v>
      </c>
      <c r="AA5131" s="4" t="s">
        <v>36</v>
      </c>
      <c r="AB5131" s="3" t="s">
        <v>43</v>
      </c>
      <c r="AC5131" s="3" t="s">
        <v>24489</v>
      </c>
      <c r="AD5131" s="9">
        <v>43374</v>
      </c>
      <c r="AE5131" s="3" t="s">
        <v>110</v>
      </c>
      <c r="AF5131" s="3" t="s">
        <v>1159</v>
      </c>
      <c r="AG5131" s="3" t="s">
        <v>81</v>
      </c>
      <c r="AH5131" s="11">
        <f>HYPERLINK("https://my.pitchbook.com?c=112331-53T","View Company Online")</f>
      </c>
    </row>
    <row r="5132">
      <c r="A5132" s="12" t="s">
        <v>24490</v>
      </c>
      <c r="B5132" s="12" t="s">
        <v>1117</v>
      </c>
      <c r="C5132" s="19" t="s">
        <v>36</v>
      </c>
      <c r="D5132" s="19" t="s">
        <v>36</v>
      </c>
      <c r="E5132" s="19" t="s">
        <v>36</v>
      </c>
      <c r="F5132" s="19" t="s">
        <v>36</v>
      </c>
      <c r="G5132" s="15" t="s">
        <v>36</v>
      </c>
      <c r="H5132" s="14">
        <v>50.47</v>
      </c>
      <c r="I5132" s="18">
        <v>53.57</v>
      </c>
      <c r="J5132" s="12" t="s">
        <v>521</v>
      </c>
      <c r="K5132" s="13" t="s">
        <v>36</v>
      </c>
      <c r="L5132" s="15" t="s">
        <v>1981</v>
      </c>
      <c r="M5132" s="12" t="s">
        <v>36</v>
      </c>
      <c r="N5132" s="12" t="s">
        <v>1981</v>
      </c>
      <c r="O5132" s="17" t="s">
        <v>36</v>
      </c>
      <c r="P5132" s="12" t="s">
        <v>36</v>
      </c>
      <c r="Q5132" s="12" t="s">
        <v>36</v>
      </c>
      <c r="R5132" s="12" t="s">
        <v>36</v>
      </c>
      <c r="S5132" s="12" t="s">
        <v>36</v>
      </c>
      <c r="T5132" s="12" t="s">
        <v>522</v>
      </c>
      <c r="U5132" s="12" t="s">
        <v>38</v>
      </c>
      <c r="V5132" s="12" t="s">
        <v>39</v>
      </c>
      <c r="W5132" s="12" t="s">
        <v>1118</v>
      </c>
      <c r="X5132" s="16" t="s">
        <v>24491</v>
      </c>
      <c r="Y5132" s="15" t="s">
        <v>55</v>
      </c>
      <c r="Z5132" s="14">
        <v>10.74</v>
      </c>
      <c r="AA5132" s="14">
        <v>20.05</v>
      </c>
      <c r="AB5132" s="12" t="s">
        <v>56</v>
      </c>
      <c r="AC5132" s="12" t="s">
        <v>1121</v>
      </c>
      <c r="AD5132" s="13">
        <v>43373</v>
      </c>
      <c r="AE5132" s="12" t="s">
        <v>110</v>
      </c>
      <c r="AF5132" s="12" t="s">
        <v>1122</v>
      </c>
      <c r="AG5132" s="12" t="s">
        <v>81</v>
      </c>
      <c r="AH5132" s="1">
        <f>HYPERLINK("https://my.pitchbook.com?c=113002-84T","View Company Online")</f>
      </c>
    </row>
    <row r="5133">
      <c r="A5133" s="3" t="s">
        <v>24492</v>
      </c>
      <c r="B5133" s="3" t="s">
        <v>9259</v>
      </c>
      <c r="C5133" s="5" t="s">
        <v>36</v>
      </c>
      <c r="D5133" s="5" t="s">
        <v>36</v>
      </c>
      <c r="E5133" s="5" t="s">
        <v>36</v>
      </c>
      <c r="F5133" s="5" t="s">
        <v>36</v>
      </c>
      <c r="G5133" s="6" t="s">
        <v>36</v>
      </c>
      <c r="H5133" s="4">
        <v>32.71</v>
      </c>
      <c r="I5133" s="7">
        <v>6.37</v>
      </c>
      <c r="J5133" s="3" t="s">
        <v>521</v>
      </c>
      <c r="K5133" s="9" t="s">
        <v>36</v>
      </c>
      <c r="L5133" s="6" t="s">
        <v>36</v>
      </c>
      <c r="M5133" s="3" t="s">
        <v>36</v>
      </c>
      <c r="N5133" s="3" t="s">
        <v>36</v>
      </c>
      <c r="O5133" s="8" t="s">
        <v>36</v>
      </c>
      <c r="P5133" s="3" t="s">
        <v>36</v>
      </c>
      <c r="Q5133" s="3" t="s">
        <v>36</v>
      </c>
      <c r="R5133" s="3" t="s">
        <v>36</v>
      </c>
      <c r="S5133" s="3" t="s">
        <v>36</v>
      </c>
      <c r="T5133" s="3" t="s">
        <v>4361</v>
      </c>
      <c r="U5133" s="3" t="s">
        <v>648</v>
      </c>
      <c r="V5133" s="3" t="s">
        <v>64</v>
      </c>
      <c r="W5133" s="3" t="s">
        <v>9260</v>
      </c>
      <c r="X5133" s="10" t="s">
        <v>24493</v>
      </c>
      <c r="Y5133" s="6" t="s">
        <v>42</v>
      </c>
      <c r="Z5133" s="4">
        <v>0.54</v>
      </c>
      <c r="AA5133" s="4">
        <v>8.51</v>
      </c>
      <c r="AB5133" s="3" t="s">
        <v>43</v>
      </c>
      <c r="AC5133" s="3" t="s">
        <v>9262</v>
      </c>
      <c r="AD5133" s="9">
        <v>43373</v>
      </c>
      <c r="AE5133" s="3" t="s">
        <v>651</v>
      </c>
      <c r="AF5133" s="3" t="s">
        <v>118</v>
      </c>
      <c r="AG5133" s="3" t="s">
        <v>81</v>
      </c>
      <c r="AH5133" s="11">
        <f>HYPERLINK("https://my.pitchbook.com?c=136359-91T","View Company Online")</f>
      </c>
    </row>
    <row r="5134">
      <c r="A5134" s="12" t="s">
        <v>24494</v>
      </c>
      <c r="B5134" s="12" t="s">
        <v>6570</v>
      </c>
      <c r="C5134" s="19" t="s">
        <v>36</v>
      </c>
      <c r="D5134" s="19" t="s">
        <v>36</v>
      </c>
      <c r="E5134" s="19" t="s">
        <v>36</v>
      </c>
      <c r="F5134" s="19" t="s">
        <v>36</v>
      </c>
      <c r="G5134" s="15" t="s">
        <v>326</v>
      </c>
      <c r="H5134" s="14">
        <v>1466.98</v>
      </c>
      <c r="I5134" s="18">
        <v>20.56</v>
      </c>
      <c r="J5134" s="12" t="s">
        <v>521</v>
      </c>
      <c r="K5134" s="13" t="s">
        <v>36</v>
      </c>
      <c r="L5134" s="15" t="s">
        <v>36</v>
      </c>
      <c r="M5134" s="12" t="s">
        <v>36</v>
      </c>
      <c r="N5134" s="12" t="s">
        <v>36</v>
      </c>
      <c r="O5134" s="17" t="s">
        <v>36</v>
      </c>
      <c r="P5134" s="12" t="s">
        <v>36</v>
      </c>
      <c r="Q5134" s="12" t="s">
        <v>36</v>
      </c>
      <c r="R5134" s="12" t="s">
        <v>36</v>
      </c>
      <c r="S5134" s="12" t="s">
        <v>36</v>
      </c>
      <c r="T5134" s="12" t="s">
        <v>4827</v>
      </c>
      <c r="U5134" s="12" t="s">
        <v>648</v>
      </c>
      <c r="V5134" s="12" t="s">
        <v>64</v>
      </c>
      <c r="W5134" s="12" t="s">
        <v>6571</v>
      </c>
      <c r="X5134" s="16" t="s">
        <v>6406</v>
      </c>
      <c r="Y5134" s="15" t="s">
        <v>42</v>
      </c>
      <c r="Z5134" s="14">
        <v>3.5</v>
      </c>
      <c r="AA5134" s="14">
        <v>17.01</v>
      </c>
      <c r="AB5134" s="12" t="s">
        <v>56</v>
      </c>
      <c r="AC5134" s="12" t="s">
        <v>6573</v>
      </c>
      <c r="AD5134" s="13">
        <v>43373</v>
      </c>
      <c r="AE5134" s="12" t="s">
        <v>3988</v>
      </c>
      <c r="AF5134" s="12" t="s">
        <v>4200</v>
      </c>
      <c r="AG5134" s="12" t="s">
        <v>6574</v>
      </c>
      <c r="AH5134" s="1">
        <f>HYPERLINK("https://my.pitchbook.com?c=113540-05T","View Company Online")</f>
      </c>
    </row>
    <row r="5135">
      <c r="A5135" s="3" t="s">
        <v>24495</v>
      </c>
      <c r="B5135" s="3" t="s">
        <v>20955</v>
      </c>
      <c r="C5135" s="5">
        <v>1</v>
      </c>
      <c r="D5135" s="5" t="s">
        <v>36</v>
      </c>
      <c r="E5135" s="5">
        <v>2</v>
      </c>
      <c r="F5135" s="5">
        <v>2</v>
      </c>
      <c r="G5135" s="6" t="s">
        <v>36</v>
      </c>
      <c r="H5135" s="4">
        <v>23.48</v>
      </c>
      <c r="I5135" s="7">
        <v>29.62</v>
      </c>
      <c r="J5135" s="3" t="s">
        <v>521</v>
      </c>
      <c r="K5135" s="9" t="s">
        <v>36</v>
      </c>
      <c r="L5135" s="6" t="s">
        <v>36</v>
      </c>
      <c r="M5135" s="3" t="s">
        <v>36</v>
      </c>
      <c r="N5135" s="3" t="s">
        <v>36</v>
      </c>
      <c r="O5135" s="8" t="s">
        <v>36</v>
      </c>
      <c r="P5135" s="3" t="s">
        <v>36</v>
      </c>
      <c r="Q5135" s="3" t="s">
        <v>36</v>
      </c>
      <c r="R5135" s="3" t="s">
        <v>36</v>
      </c>
      <c r="S5135" s="3" t="s">
        <v>36</v>
      </c>
      <c r="T5135" s="3" t="s">
        <v>5772</v>
      </c>
      <c r="U5135" s="3" t="s">
        <v>96</v>
      </c>
      <c r="V5135" s="3" t="s">
        <v>52</v>
      </c>
      <c r="W5135" s="3" t="s">
        <v>20956</v>
      </c>
      <c r="X5135" s="10" t="s">
        <v>24496</v>
      </c>
      <c r="Y5135" s="6" t="s">
        <v>42</v>
      </c>
      <c r="Z5135" s="4">
        <v>1.75</v>
      </c>
      <c r="AA5135" s="4">
        <v>4.39</v>
      </c>
      <c r="AB5135" s="3" t="s">
        <v>43</v>
      </c>
      <c r="AC5135" s="3" t="s">
        <v>20958</v>
      </c>
      <c r="AD5135" s="9">
        <v>43371</v>
      </c>
      <c r="AE5135" s="3" t="s">
        <v>755</v>
      </c>
      <c r="AF5135" s="3" t="s">
        <v>885</v>
      </c>
      <c r="AG5135" s="3" t="s">
        <v>899</v>
      </c>
      <c r="AH5135" s="11">
        <f>HYPERLINK("https://my.pitchbook.com?c=117045-55T","View Company Online")</f>
      </c>
    </row>
    <row r="5136">
      <c r="A5136" s="12" t="s">
        <v>24497</v>
      </c>
      <c r="B5136" s="12" t="s">
        <v>24498</v>
      </c>
      <c r="C5136" s="19" t="s">
        <v>36</v>
      </c>
      <c r="D5136" s="19" t="s">
        <v>36</v>
      </c>
      <c r="E5136" s="19" t="s">
        <v>36</v>
      </c>
      <c r="F5136" s="19" t="s">
        <v>36</v>
      </c>
      <c r="G5136" s="15" t="s">
        <v>683</v>
      </c>
      <c r="H5136" s="14">
        <v>155.45</v>
      </c>
      <c r="I5136" s="18">
        <v>7.23</v>
      </c>
      <c r="J5136" s="12" t="s">
        <v>521</v>
      </c>
      <c r="K5136" s="13" t="s">
        <v>36</v>
      </c>
      <c r="L5136" s="15" t="s">
        <v>36</v>
      </c>
      <c r="M5136" s="12" t="s">
        <v>36</v>
      </c>
      <c r="N5136" s="12" t="s">
        <v>36</v>
      </c>
      <c r="O5136" s="17" t="s">
        <v>36</v>
      </c>
      <c r="P5136" s="12" t="s">
        <v>36</v>
      </c>
      <c r="Q5136" s="12" t="s">
        <v>36</v>
      </c>
      <c r="R5136" s="12" t="s">
        <v>36</v>
      </c>
      <c r="S5136" s="12" t="s">
        <v>36</v>
      </c>
      <c r="T5136" s="12" t="s">
        <v>7415</v>
      </c>
      <c r="U5136" s="12" t="s">
        <v>38</v>
      </c>
      <c r="V5136" s="12" t="s">
        <v>39</v>
      </c>
      <c r="W5136" s="12" t="s">
        <v>24499</v>
      </c>
      <c r="X5136" s="16" t="s">
        <v>24500</v>
      </c>
      <c r="Y5136" s="15" t="s">
        <v>108</v>
      </c>
      <c r="Z5136" s="14">
        <v>0.23</v>
      </c>
      <c r="AA5136" s="14">
        <v>3.12</v>
      </c>
      <c r="AB5136" s="12" t="s">
        <v>56</v>
      </c>
      <c r="AC5136" s="12" t="s">
        <v>24501</v>
      </c>
      <c r="AD5136" s="13">
        <v>43371</v>
      </c>
      <c r="AE5136" s="12" t="s">
        <v>1422</v>
      </c>
      <c r="AF5136" s="12" t="s">
        <v>4842</v>
      </c>
      <c r="AG5136" s="12" t="s">
        <v>81</v>
      </c>
      <c r="AH5136" s="1">
        <f>HYPERLINK("https://my.pitchbook.com?c=199956-25T","View Company Online")</f>
      </c>
    </row>
    <row r="5137">
      <c r="A5137" s="3" t="s">
        <v>24502</v>
      </c>
      <c r="B5137" s="3" t="s">
        <v>21917</v>
      </c>
      <c r="C5137" s="5">
        <v>3</v>
      </c>
      <c r="D5137" s="5" t="s">
        <v>36</v>
      </c>
      <c r="E5137" s="5">
        <v>3</v>
      </c>
      <c r="F5137" s="5">
        <v>5</v>
      </c>
      <c r="G5137" s="6" t="s">
        <v>326</v>
      </c>
      <c r="H5137" s="4">
        <v>3456.35</v>
      </c>
      <c r="I5137" s="7">
        <v>17.54</v>
      </c>
      <c r="J5137" s="3" t="s">
        <v>521</v>
      </c>
      <c r="K5137" s="9" t="s">
        <v>36</v>
      </c>
      <c r="L5137" s="6" t="s">
        <v>36</v>
      </c>
      <c r="M5137" s="3" t="s">
        <v>36</v>
      </c>
      <c r="N5137" s="3" t="s">
        <v>36</v>
      </c>
      <c r="O5137" s="8" t="s">
        <v>36</v>
      </c>
      <c r="P5137" s="3" t="s">
        <v>36</v>
      </c>
      <c r="Q5137" s="3" t="s">
        <v>36</v>
      </c>
      <c r="R5137" s="3" t="s">
        <v>36</v>
      </c>
      <c r="S5137" s="3" t="s">
        <v>36</v>
      </c>
      <c r="T5137" s="3" t="s">
        <v>154</v>
      </c>
      <c r="U5137" s="3" t="s">
        <v>51</v>
      </c>
      <c r="V5137" s="3" t="s">
        <v>52</v>
      </c>
      <c r="W5137" s="3" t="s">
        <v>21918</v>
      </c>
      <c r="X5137" s="10" t="s">
        <v>24503</v>
      </c>
      <c r="Y5137" s="6" t="s">
        <v>108</v>
      </c>
      <c r="Z5137" s="4">
        <v>0.47</v>
      </c>
      <c r="AA5137" s="4">
        <v>2.65</v>
      </c>
      <c r="AB5137" s="3" t="s">
        <v>43</v>
      </c>
      <c r="AC5137" s="3" t="s">
        <v>21920</v>
      </c>
      <c r="AD5137" s="9">
        <v>43371</v>
      </c>
      <c r="AE5137" s="3" t="s">
        <v>158</v>
      </c>
      <c r="AF5137" s="3" t="s">
        <v>665</v>
      </c>
      <c r="AG5137" s="3" t="s">
        <v>741</v>
      </c>
      <c r="AH5137" s="11">
        <f>HYPERLINK("https://my.pitchbook.com?c=135254-53T","View Company Online")</f>
      </c>
    </row>
    <row r="5138">
      <c r="A5138" s="12" t="s">
        <v>24504</v>
      </c>
      <c r="B5138" s="12" t="s">
        <v>7548</v>
      </c>
      <c r="C5138" s="19" t="s">
        <v>36</v>
      </c>
      <c r="D5138" s="19" t="s">
        <v>36</v>
      </c>
      <c r="E5138" s="19" t="s">
        <v>36</v>
      </c>
      <c r="F5138" s="19" t="s">
        <v>36</v>
      </c>
      <c r="G5138" s="15" t="s">
        <v>36</v>
      </c>
      <c r="H5138" s="14" t="s">
        <v>36</v>
      </c>
      <c r="I5138" s="18" t="s">
        <v>36</v>
      </c>
      <c r="J5138" s="12" t="s">
        <v>36</v>
      </c>
      <c r="K5138" s="13" t="s">
        <v>36</v>
      </c>
      <c r="L5138" s="15" t="s">
        <v>122</v>
      </c>
      <c r="M5138" s="12" t="s">
        <v>36</v>
      </c>
      <c r="N5138" s="12" t="s">
        <v>122</v>
      </c>
      <c r="O5138" s="17" t="s">
        <v>36</v>
      </c>
      <c r="P5138" s="12" t="s">
        <v>36</v>
      </c>
      <c r="Q5138" s="12" t="s">
        <v>36</v>
      </c>
      <c r="R5138" s="12" t="s">
        <v>36</v>
      </c>
      <c r="S5138" s="12" t="s">
        <v>36</v>
      </c>
      <c r="T5138" s="12" t="s">
        <v>5302</v>
      </c>
      <c r="U5138" s="12" t="s">
        <v>74</v>
      </c>
      <c r="V5138" s="12" t="s">
        <v>75</v>
      </c>
      <c r="W5138" s="12" t="s">
        <v>7549</v>
      </c>
      <c r="X5138" s="16" t="s">
        <v>24505</v>
      </c>
      <c r="Y5138" s="15" t="s">
        <v>42</v>
      </c>
      <c r="Z5138" s="14">
        <v>9.33</v>
      </c>
      <c r="AA5138" s="14" t="s">
        <v>36</v>
      </c>
      <c r="AB5138" s="12" t="s">
        <v>43</v>
      </c>
      <c r="AC5138" s="12" t="s">
        <v>7551</v>
      </c>
      <c r="AD5138" s="13">
        <v>43371</v>
      </c>
      <c r="AE5138" s="12" t="s">
        <v>362</v>
      </c>
      <c r="AF5138" s="12" t="s">
        <v>250</v>
      </c>
      <c r="AG5138" s="12" t="s">
        <v>81</v>
      </c>
      <c r="AH5138" s="1">
        <f>HYPERLINK("https://my.pitchbook.com?c=113941-90T","View Company Online")</f>
      </c>
    </row>
    <row r="5139">
      <c r="A5139" s="3" t="s">
        <v>24506</v>
      </c>
      <c r="B5139" s="3" t="s">
        <v>24507</v>
      </c>
      <c r="C5139" s="5" t="s">
        <v>36</v>
      </c>
      <c r="D5139" s="5" t="s">
        <v>36</v>
      </c>
      <c r="E5139" s="5" t="s">
        <v>36</v>
      </c>
      <c r="F5139" s="5" t="s">
        <v>36</v>
      </c>
      <c r="G5139" s="6" t="s">
        <v>326</v>
      </c>
      <c r="H5139" s="4">
        <v>4.94</v>
      </c>
      <c r="I5139" s="7">
        <v>30.77</v>
      </c>
      <c r="J5139" s="3" t="s">
        <v>521</v>
      </c>
      <c r="K5139" s="9" t="s">
        <v>36</v>
      </c>
      <c r="L5139" s="6" t="s">
        <v>36</v>
      </c>
      <c r="M5139" s="3" t="s">
        <v>36</v>
      </c>
      <c r="N5139" s="3" t="s">
        <v>36</v>
      </c>
      <c r="O5139" s="8" t="s">
        <v>36</v>
      </c>
      <c r="P5139" s="3" t="s">
        <v>36</v>
      </c>
      <c r="Q5139" s="3" t="s">
        <v>36</v>
      </c>
      <c r="R5139" s="3" t="s">
        <v>36</v>
      </c>
      <c r="S5139" s="3" t="s">
        <v>36</v>
      </c>
      <c r="T5139" s="3" t="s">
        <v>2359</v>
      </c>
      <c r="U5139" s="3" t="s">
        <v>279</v>
      </c>
      <c r="V5139" s="3" t="s">
        <v>64</v>
      </c>
      <c r="W5139" s="3" t="s">
        <v>24508</v>
      </c>
      <c r="X5139" s="10" t="s">
        <v>24509</v>
      </c>
      <c r="Y5139" s="6" t="s">
        <v>108</v>
      </c>
      <c r="Z5139" s="4">
        <v>1.28</v>
      </c>
      <c r="AA5139" s="4">
        <v>3.03</v>
      </c>
      <c r="AB5139" s="3" t="s">
        <v>43</v>
      </c>
      <c r="AC5139" s="3" t="s">
        <v>24510</v>
      </c>
      <c r="AD5139" s="9">
        <v>43371</v>
      </c>
      <c r="AE5139" s="3" t="s">
        <v>283</v>
      </c>
      <c r="AF5139" s="3" t="s">
        <v>118</v>
      </c>
      <c r="AG5139" s="3" t="s">
        <v>81</v>
      </c>
      <c r="AH5139" s="11">
        <f>HYPERLINK("https://my.pitchbook.com?c=119873-44T","View Company Online")</f>
      </c>
    </row>
    <row r="5140">
      <c r="A5140" s="12" t="s">
        <v>24511</v>
      </c>
      <c r="B5140" s="12" t="s">
        <v>15939</v>
      </c>
      <c r="C5140" s="19" t="s">
        <v>36</v>
      </c>
      <c r="D5140" s="19" t="s">
        <v>36</v>
      </c>
      <c r="E5140" s="19" t="s">
        <v>36</v>
      </c>
      <c r="F5140" s="19" t="s">
        <v>36</v>
      </c>
      <c r="G5140" s="15" t="s">
        <v>36</v>
      </c>
      <c r="H5140" s="14" t="s">
        <v>36</v>
      </c>
      <c r="I5140" s="18">
        <v>21.05</v>
      </c>
      <c r="J5140" s="12" t="s">
        <v>521</v>
      </c>
      <c r="K5140" s="13" t="s">
        <v>36</v>
      </c>
      <c r="L5140" s="15" t="s">
        <v>36</v>
      </c>
      <c r="M5140" s="12" t="s">
        <v>36</v>
      </c>
      <c r="N5140" s="12" t="s">
        <v>36</v>
      </c>
      <c r="O5140" s="17" t="s">
        <v>36</v>
      </c>
      <c r="P5140" s="12" t="s">
        <v>36</v>
      </c>
      <c r="Q5140" s="12" t="s">
        <v>36</v>
      </c>
      <c r="R5140" s="12" t="s">
        <v>36</v>
      </c>
      <c r="S5140" s="12" t="s">
        <v>36</v>
      </c>
      <c r="T5140" s="12" t="s">
        <v>15940</v>
      </c>
      <c r="U5140" s="12" t="s">
        <v>279</v>
      </c>
      <c r="V5140" s="12" t="s">
        <v>64</v>
      </c>
      <c r="W5140" s="12" t="s">
        <v>15941</v>
      </c>
      <c r="X5140" s="16" t="s">
        <v>24512</v>
      </c>
      <c r="Y5140" s="15" t="s">
        <v>42</v>
      </c>
      <c r="Z5140" s="14">
        <v>5.48</v>
      </c>
      <c r="AA5140" s="14">
        <v>13.3</v>
      </c>
      <c r="AB5140" s="12" t="s">
        <v>43</v>
      </c>
      <c r="AC5140" s="12" t="s">
        <v>15942</v>
      </c>
      <c r="AD5140" s="13">
        <v>43371</v>
      </c>
      <c r="AE5140" s="12" t="s">
        <v>851</v>
      </c>
      <c r="AF5140" s="12" t="s">
        <v>36</v>
      </c>
      <c r="AG5140" s="12" t="s">
        <v>7046</v>
      </c>
      <c r="AH5140" s="1">
        <f>HYPERLINK("https://my.pitchbook.com?c=112558-42T","View Company Online")</f>
      </c>
    </row>
    <row r="5141">
      <c r="A5141" s="3" t="s">
        <v>24513</v>
      </c>
      <c r="B5141" s="3" t="s">
        <v>18421</v>
      </c>
      <c r="C5141" s="5">
        <v>9</v>
      </c>
      <c r="D5141" s="5">
        <v>26</v>
      </c>
      <c r="E5141" s="5">
        <v>8</v>
      </c>
      <c r="F5141" s="5">
        <v>37</v>
      </c>
      <c r="G5141" s="6" t="s">
        <v>36</v>
      </c>
      <c r="H5141" s="4" t="s">
        <v>36</v>
      </c>
      <c r="I5141" s="7" t="s">
        <v>36</v>
      </c>
      <c r="J5141" s="3" t="s">
        <v>36</v>
      </c>
      <c r="K5141" s="9" t="s">
        <v>36</v>
      </c>
      <c r="L5141" s="6" t="s">
        <v>122</v>
      </c>
      <c r="M5141" s="3" t="s">
        <v>36</v>
      </c>
      <c r="N5141" s="3" t="s">
        <v>122</v>
      </c>
      <c r="O5141" s="8" t="s">
        <v>36</v>
      </c>
      <c r="P5141" s="3" t="s">
        <v>36</v>
      </c>
      <c r="Q5141" s="3" t="s">
        <v>36</v>
      </c>
      <c r="R5141" s="3" t="s">
        <v>36</v>
      </c>
      <c r="S5141" s="3" t="s">
        <v>36</v>
      </c>
      <c r="T5141" s="3" t="s">
        <v>7773</v>
      </c>
      <c r="U5141" s="3" t="s">
        <v>96</v>
      </c>
      <c r="V5141" s="3" t="s">
        <v>52</v>
      </c>
      <c r="W5141" s="3" t="s">
        <v>18422</v>
      </c>
      <c r="X5141" s="10" t="s">
        <v>24514</v>
      </c>
      <c r="Y5141" s="6" t="s">
        <v>55</v>
      </c>
      <c r="Z5141" s="4">
        <v>5.25</v>
      </c>
      <c r="AA5141" s="4" t="s">
        <v>36</v>
      </c>
      <c r="AB5141" s="3" t="s">
        <v>43</v>
      </c>
      <c r="AC5141" s="3" t="s">
        <v>18424</v>
      </c>
      <c r="AD5141" s="9">
        <v>43370</v>
      </c>
      <c r="AE5141" s="3" t="s">
        <v>143</v>
      </c>
      <c r="AF5141" s="3" t="s">
        <v>36</v>
      </c>
      <c r="AG5141" s="3" t="s">
        <v>2088</v>
      </c>
      <c r="AH5141" s="11">
        <f>HYPERLINK("https://my.pitchbook.com?c=208495-90T","View Company Online")</f>
      </c>
    </row>
    <row r="5142">
      <c r="A5142" s="12" t="s">
        <v>24515</v>
      </c>
      <c r="B5142" s="12" t="s">
        <v>24516</v>
      </c>
      <c r="C5142" s="19" t="s">
        <v>36</v>
      </c>
      <c r="D5142" s="19" t="s">
        <v>36</v>
      </c>
      <c r="E5142" s="19" t="s">
        <v>36</v>
      </c>
      <c r="F5142" s="19" t="s">
        <v>36</v>
      </c>
      <c r="G5142" s="15" t="s">
        <v>36</v>
      </c>
      <c r="H5142" s="14" t="s">
        <v>36</v>
      </c>
      <c r="I5142" s="18" t="s">
        <v>36</v>
      </c>
      <c r="J5142" s="12" t="s">
        <v>36</v>
      </c>
      <c r="K5142" s="13">
        <v>43277</v>
      </c>
      <c r="L5142" s="15" t="s">
        <v>36</v>
      </c>
      <c r="M5142" s="12" t="s">
        <v>36</v>
      </c>
      <c r="N5142" s="12" t="s">
        <v>36</v>
      </c>
      <c r="O5142" s="17" t="s">
        <v>36</v>
      </c>
      <c r="P5142" s="12" t="s">
        <v>36</v>
      </c>
      <c r="Q5142" s="12" t="s">
        <v>36</v>
      </c>
      <c r="R5142" s="12" t="s">
        <v>36</v>
      </c>
      <c r="S5142" s="12" t="s">
        <v>36</v>
      </c>
      <c r="T5142" s="12" t="s">
        <v>123</v>
      </c>
      <c r="U5142" s="12" t="s">
        <v>38</v>
      </c>
      <c r="V5142" s="12" t="s">
        <v>39</v>
      </c>
      <c r="W5142" s="12" t="s">
        <v>24517</v>
      </c>
      <c r="X5142" s="16" t="s">
        <v>24518</v>
      </c>
      <c r="Y5142" s="15" t="s">
        <v>42</v>
      </c>
      <c r="Z5142" s="14">
        <v>1.63</v>
      </c>
      <c r="AA5142" s="14" t="s">
        <v>36</v>
      </c>
      <c r="AB5142" s="12" t="s">
        <v>43</v>
      </c>
      <c r="AC5142" s="12" t="s">
        <v>24519</v>
      </c>
      <c r="AD5142" s="13">
        <v>43370</v>
      </c>
      <c r="AE5142" s="12" t="s">
        <v>110</v>
      </c>
      <c r="AF5142" s="12" t="s">
        <v>526</v>
      </c>
      <c r="AG5142" s="12" t="s">
        <v>81</v>
      </c>
      <c r="AH5142" s="1">
        <f>HYPERLINK("https://my.pitchbook.com?c=112527-10T","View Company Online")</f>
      </c>
    </row>
    <row r="5143">
      <c r="A5143" s="3" t="s">
        <v>24520</v>
      </c>
      <c r="B5143" s="3" t="s">
        <v>18382</v>
      </c>
      <c r="C5143" s="5">
        <v>8</v>
      </c>
      <c r="D5143" s="5">
        <v>28</v>
      </c>
      <c r="E5143" s="5">
        <v>8</v>
      </c>
      <c r="F5143" s="5">
        <v>38</v>
      </c>
      <c r="G5143" s="6" t="s">
        <v>683</v>
      </c>
      <c r="H5143" s="4">
        <v>6.54</v>
      </c>
      <c r="I5143" s="7">
        <v>21.92</v>
      </c>
      <c r="J5143" s="3" t="s">
        <v>521</v>
      </c>
      <c r="K5143" s="9" t="s">
        <v>36</v>
      </c>
      <c r="L5143" s="6" t="s">
        <v>36</v>
      </c>
      <c r="M5143" s="3" t="s">
        <v>36</v>
      </c>
      <c r="N5143" s="3" t="s">
        <v>36</v>
      </c>
      <c r="O5143" s="8" t="s">
        <v>36</v>
      </c>
      <c r="P5143" s="3" t="s">
        <v>36</v>
      </c>
      <c r="Q5143" s="3" t="s">
        <v>36</v>
      </c>
      <c r="R5143" s="3" t="s">
        <v>36</v>
      </c>
      <c r="S5143" s="3" t="s">
        <v>36</v>
      </c>
      <c r="T5143" s="3" t="s">
        <v>18383</v>
      </c>
      <c r="U5143" s="3" t="s">
        <v>1082</v>
      </c>
      <c r="V5143" s="3" t="s">
        <v>378</v>
      </c>
      <c r="W5143" s="3" t="s">
        <v>18384</v>
      </c>
      <c r="X5143" s="10" t="s">
        <v>24521</v>
      </c>
      <c r="Y5143" s="6" t="s">
        <v>108</v>
      </c>
      <c r="Z5143" s="4">
        <v>0.47</v>
      </c>
      <c r="AA5143" s="4">
        <v>2.14</v>
      </c>
      <c r="AB5143" s="3" t="s">
        <v>56</v>
      </c>
      <c r="AC5143" s="3" t="s">
        <v>18386</v>
      </c>
      <c r="AD5143" s="9">
        <v>43370</v>
      </c>
      <c r="AE5143" s="3" t="s">
        <v>2068</v>
      </c>
      <c r="AF5143" s="3" t="s">
        <v>2422</v>
      </c>
      <c r="AG5143" s="3" t="s">
        <v>1078</v>
      </c>
      <c r="AH5143" s="11">
        <f>HYPERLINK("https://my.pitchbook.com?c=120283-12T","View Company Online")</f>
      </c>
    </row>
    <row r="5144">
      <c r="A5144" s="12" t="s">
        <v>24522</v>
      </c>
      <c r="B5144" s="12" t="s">
        <v>9401</v>
      </c>
      <c r="C5144" s="19" t="s">
        <v>36</v>
      </c>
      <c r="D5144" s="19" t="s">
        <v>36</v>
      </c>
      <c r="E5144" s="19" t="s">
        <v>36</v>
      </c>
      <c r="F5144" s="19" t="s">
        <v>36</v>
      </c>
      <c r="G5144" s="15" t="s">
        <v>36</v>
      </c>
      <c r="H5144" s="14" t="s">
        <v>36</v>
      </c>
      <c r="I5144" s="18" t="s">
        <v>36</v>
      </c>
      <c r="J5144" s="12" t="s">
        <v>36</v>
      </c>
      <c r="K5144" s="13" t="s">
        <v>36</v>
      </c>
      <c r="L5144" s="15" t="s">
        <v>36</v>
      </c>
      <c r="M5144" s="12" t="s">
        <v>36</v>
      </c>
      <c r="N5144" s="12" t="s">
        <v>36</v>
      </c>
      <c r="O5144" s="17" t="s">
        <v>36</v>
      </c>
      <c r="P5144" s="12" t="s">
        <v>36</v>
      </c>
      <c r="Q5144" s="12" t="s">
        <v>36</v>
      </c>
      <c r="R5144" s="12" t="s">
        <v>36</v>
      </c>
      <c r="S5144" s="12" t="s">
        <v>36</v>
      </c>
      <c r="T5144" s="12" t="s">
        <v>9402</v>
      </c>
      <c r="U5144" s="12" t="s">
        <v>233</v>
      </c>
      <c r="V5144" s="12" t="s">
        <v>39</v>
      </c>
      <c r="W5144" s="12" t="s">
        <v>9403</v>
      </c>
      <c r="X5144" s="16" t="s">
        <v>24523</v>
      </c>
      <c r="Y5144" s="15" t="s">
        <v>108</v>
      </c>
      <c r="Z5144" s="14">
        <v>18.67</v>
      </c>
      <c r="AA5144" s="14" t="s">
        <v>36</v>
      </c>
      <c r="AB5144" s="12" t="s">
        <v>56</v>
      </c>
      <c r="AC5144" s="12" t="s">
        <v>9405</v>
      </c>
      <c r="AD5144" s="13">
        <v>43369</v>
      </c>
      <c r="AE5144" s="12" t="s">
        <v>236</v>
      </c>
      <c r="AF5144" s="12" t="s">
        <v>36</v>
      </c>
      <c r="AG5144" s="12" t="s">
        <v>81</v>
      </c>
      <c r="AH5144" s="1">
        <f>HYPERLINK("https://my.pitchbook.com?c=112188-43T","View Company Online")</f>
      </c>
    </row>
    <row r="5145">
      <c r="A5145" s="3" t="s">
        <v>24524</v>
      </c>
      <c r="B5145" s="3" t="s">
        <v>16049</v>
      </c>
      <c r="C5145" s="5">
        <v>70</v>
      </c>
      <c r="D5145" s="5">
        <v>254</v>
      </c>
      <c r="E5145" s="5">
        <v>95</v>
      </c>
      <c r="F5145" s="5">
        <v>406</v>
      </c>
      <c r="G5145" s="6" t="s">
        <v>326</v>
      </c>
      <c r="H5145" s="4">
        <v>80.19</v>
      </c>
      <c r="I5145" s="7">
        <v>43.46</v>
      </c>
      <c r="J5145" s="3" t="s">
        <v>521</v>
      </c>
      <c r="K5145" s="9" t="s">
        <v>36</v>
      </c>
      <c r="L5145" s="6" t="s">
        <v>94</v>
      </c>
      <c r="M5145" s="3" t="s">
        <v>36</v>
      </c>
      <c r="N5145" s="3" t="s">
        <v>94</v>
      </c>
      <c r="O5145" s="8" t="s">
        <v>36</v>
      </c>
      <c r="P5145" s="3" t="s">
        <v>36</v>
      </c>
      <c r="Q5145" s="3" t="s">
        <v>36</v>
      </c>
      <c r="R5145" s="3" t="s">
        <v>36</v>
      </c>
      <c r="S5145" s="3" t="s">
        <v>36</v>
      </c>
      <c r="T5145" s="3" t="s">
        <v>16050</v>
      </c>
      <c r="U5145" s="3" t="s">
        <v>318</v>
      </c>
      <c r="V5145" s="3" t="s">
        <v>39</v>
      </c>
      <c r="W5145" s="3" t="s">
        <v>16051</v>
      </c>
      <c r="X5145" s="10" t="s">
        <v>24525</v>
      </c>
      <c r="Y5145" s="6" t="s">
        <v>55</v>
      </c>
      <c r="Z5145" s="4">
        <v>28</v>
      </c>
      <c r="AA5145" s="4">
        <v>61.9</v>
      </c>
      <c r="AB5145" s="3" t="s">
        <v>56</v>
      </c>
      <c r="AC5145" s="3" t="s">
        <v>16053</v>
      </c>
      <c r="AD5145" s="9">
        <v>43369</v>
      </c>
      <c r="AE5145" s="3" t="s">
        <v>763</v>
      </c>
      <c r="AF5145" s="3" t="s">
        <v>16054</v>
      </c>
      <c r="AG5145" s="3" t="s">
        <v>512</v>
      </c>
      <c r="AH5145" s="11">
        <f>HYPERLINK("https://my.pitchbook.com?c=112186-72T","View Company Online")</f>
      </c>
    </row>
    <row r="5146">
      <c r="A5146" s="12" t="s">
        <v>24526</v>
      </c>
      <c r="B5146" s="12" t="s">
        <v>24527</v>
      </c>
      <c r="C5146" s="19" t="s">
        <v>36</v>
      </c>
      <c r="D5146" s="19" t="s">
        <v>36</v>
      </c>
      <c r="E5146" s="19" t="s">
        <v>36</v>
      </c>
      <c r="F5146" s="19" t="s">
        <v>36</v>
      </c>
      <c r="G5146" s="15" t="s">
        <v>683</v>
      </c>
      <c r="H5146" s="14">
        <v>22.95</v>
      </c>
      <c r="I5146" s="18">
        <v>18.05</v>
      </c>
      <c r="J5146" s="12" t="s">
        <v>521</v>
      </c>
      <c r="K5146" s="13" t="s">
        <v>36</v>
      </c>
      <c r="L5146" s="15" t="s">
        <v>122</v>
      </c>
      <c r="M5146" s="12" t="s">
        <v>36</v>
      </c>
      <c r="N5146" s="12" t="s">
        <v>122</v>
      </c>
      <c r="O5146" s="17" t="s">
        <v>36</v>
      </c>
      <c r="P5146" s="12" t="s">
        <v>36</v>
      </c>
      <c r="Q5146" s="12" t="s">
        <v>36</v>
      </c>
      <c r="R5146" s="12" t="s">
        <v>36</v>
      </c>
      <c r="S5146" s="12" t="s">
        <v>5353</v>
      </c>
      <c r="T5146" s="12" t="s">
        <v>13349</v>
      </c>
      <c r="U5146" s="12" t="s">
        <v>619</v>
      </c>
      <c r="V5146" s="12" t="s">
        <v>378</v>
      </c>
      <c r="W5146" s="12" t="s">
        <v>24528</v>
      </c>
      <c r="X5146" s="16" t="s">
        <v>24529</v>
      </c>
      <c r="Y5146" s="15" t="s">
        <v>55</v>
      </c>
      <c r="Z5146" s="14">
        <v>0.85</v>
      </c>
      <c r="AA5146" s="14">
        <v>4.7</v>
      </c>
      <c r="AB5146" s="12" t="s">
        <v>43</v>
      </c>
      <c r="AC5146" s="12" t="s">
        <v>24530</v>
      </c>
      <c r="AD5146" s="13">
        <v>43369</v>
      </c>
      <c r="AE5146" s="12" t="s">
        <v>623</v>
      </c>
      <c r="AF5146" s="12" t="s">
        <v>3719</v>
      </c>
      <c r="AG5146" s="12" t="s">
        <v>24531</v>
      </c>
      <c r="AH5146" s="1">
        <f>HYPERLINK("https://my.pitchbook.com?c=127472-95T","View Company Online")</f>
      </c>
    </row>
    <row r="5147">
      <c r="A5147" s="3" t="s">
        <v>24532</v>
      </c>
      <c r="B5147" s="3" t="s">
        <v>1155</v>
      </c>
      <c r="C5147" s="5" t="s">
        <v>36</v>
      </c>
      <c r="D5147" s="5" t="s">
        <v>36</v>
      </c>
      <c r="E5147" s="5" t="s">
        <v>36</v>
      </c>
      <c r="F5147" s="5" t="s">
        <v>36</v>
      </c>
      <c r="G5147" s="6" t="s">
        <v>326</v>
      </c>
      <c r="H5147" s="4">
        <v>220.5</v>
      </c>
      <c r="I5147" s="7">
        <v>27.39</v>
      </c>
      <c r="J5147" s="3" t="s">
        <v>521</v>
      </c>
      <c r="K5147" s="9" t="s">
        <v>36</v>
      </c>
      <c r="L5147" s="6" t="s">
        <v>36</v>
      </c>
      <c r="M5147" s="3" t="s">
        <v>36</v>
      </c>
      <c r="N5147" s="3" t="s">
        <v>36</v>
      </c>
      <c r="O5147" s="8" t="s">
        <v>36</v>
      </c>
      <c r="P5147" s="3" t="s">
        <v>36</v>
      </c>
      <c r="Q5147" s="3" t="s">
        <v>36</v>
      </c>
      <c r="R5147" s="3" t="s">
        <v>36</v>
      </c>
      <c r="S5147" s="3" t="s">
        <v>36</v>
      </c>
      <c r="T5147" s="3" t="s">
        <v>522</v>
      </c>
      <c r="U5147" s="3" t="s">
        <v>38</v>
      </c>
      <c r="V5147" s="3" t="s">
        <v>39</v>
      </c>
      <c r="W5147" s="3" t="s">
        <v>1156</v>
      </c>
      <c r="X5147" s="10" t="s">
        <v>24533</v>
      </c>
      <c r="Y5147" s="6" t="s">
        <v>42</v>
      </c>
      <c r="Z5147" s="4">
        <v>2.92</v>
      </c>
      <c r="AA5147" s="4">
        <v>6.39</v>
      </c>
      <c r="AB5147" s="3" t="s">
        <v>56</v>
      </c>
      <c r="AC5147" s="3" t="s">
        <v>1158</v>
      </c>
      <c r="AD5147" s="9">
        <v>43368</v>
      </c>
      <c r="AE5147" s="3" t="s">
        <v>110</v>
      </c>
      <c r="AF5147" s="3" t="s">
        <v>1159</v>
      </c>
      <c r="AG5147" s="3" t="s">
        <v>81</v>
      </c>
      <c r="AH5147" s="11">
        <f>HYPERLINK("https://my.pitchbook.com?c=118271-17T","View Company Online")</f>
      </c>
    </row>
    <row r="5148">
      <c r="A5148" s="12" t="s">
        <v>24534</v>
      </c>
      <c r="B5148" s="12" t="s">
        <v>7772</v>
      </c>
      <c r="C5148" s="19">
        <v>3</v>
      </c>
      <c r="D5148" s="19">
        <v>6</v>
      </c>
      <c r="E5148" s="19">
        <v>4</v>
      </c>
      <c r="F5148" s="19">
        <v>9</v>
      </c>
      <c r="G5148" s="15" t="s">
        <v>326</v>
      </c>
      <c r="H5148" s="14">
        <v>690.65</v>
      </c>
      <c r="I5148" s="18">
        <v>17.91</v>
      </c>
      <c r="J5148" s="12" t="s">
        <v>521</v>
      </c>
      <c r="K5148" s="13" t="s">
        <v>36</v>
      </c>
      <c r="L5148" s="15" t="s">
        <v>122</v>
      </c>
      <c r="M5148" s="12" t="s">
        <v>36</v>
      </c>
      <c r="N5148" s="12" t="s">
        <v>122</v>
      </c>
      <c r="O5148" s="17" t="s">
        <v>36</v>
      </c>
      <c r="P5148" s="12" t="s">
        <v>36</v>
      </c>
      <c r="Q5148" s="12" t="s">
        <v>36</v>
      </c>
      <c r="R5148" s="12" t="s">
        <v>36</v>
      </c>
      <c r="S5148" s="12" t="s">
        <v>36</v>
      </c>
      <c r="T5148" s="12" t="s">
        <v>7773</v>
      </c>
      <c r="U5148" s="12" t="s">
        <v>96</v>
      </c>
      <c r="V5148" s="12" t="s">
        <v>52</v>
      </c>
      <c r="W5148" s="12" t="s">
        <v>7774</v>
      </c>
      <c r="X5148" s="16" t="s">
        <v>24535</v>
      </c>
      <c r="Y5148" s="15" t="s">
        <v>42</v>
      </c>
      <c r="Z5148" s="14">
        <v>0.56</v>
      </c>
      <c r="AA5148" s="14">
        <v>3.13</v>
      </c>
      <c r="AB5148" s="12" t="s">
        <v>43</v>
      </c>
      <c r="AC5148" s="12" t="s">
        <v>7776</v>
      </c>
      <c r="AD5148" s="13">
        <v>43368</v>
      </c>
      <c r="AE5148" s="12" t="s">
        <v>143</v>
      </c>
      <c r="AF5148" s="12" t="s">
        <v>159</v>
      </c>
      <c r="AG5148" s="12" t="s">
        <v>7777</v>
      </c>
      <c r="AH5148" s="1">
        <f>HYPERLINK("https://my.pitchbook.com?c=186602-77T","View Company Online")</f>
      </c>
    </row>
    <row r="5149">
      <c r="A5149" s="3" t="s">
        <v>24536</v>
      </c>
      <c r="B5149" s="3" t="s">
        <v>24537</v>
      </c>
      <c r="C5149" s="5" t="s">
        <v>36</v>
      </c>
      <c r="D5149" s="5" t="s">
        <v>36</v>
      </c>
      <c r="E5149" s="5" t="s">
        <v>36</v>
      </c>
      <c r="F5149" s="5" t="s">
        <v>36</v>
      </c>
      <c r="G5149" s="6" t="s">
        <v>326</v>
      </c>
      <c r="H5149" s="4">
        <v>1928.01</v>
      </c>
      <c r="I5149" s="7">
        <v>21.31</v>
      </c>
      <c r="J5149" s="3" t="s">
        <v>521</v>
      </c>
      <c r="K5149" s="9" t="s">
        <v>36</v>
      </c>
      <c r="L5149" s="6" t="s">
        <v>122</v>
      </c>
      <c r="M5149" s="3" t="s">
        <v>36</v>
      </c>
      <c r="N5149" s="3" t="s">
        <v>122</v>
      </c>
      <c r="O5149" s="8" t="s">
        <v>36</v>
      </c>
      <c r="P5149" s="3" t="s">
        <v>36</v>
      </c>
      <c r="Q5149" s="3" t="s">
        <v>36</v>
      </c>
      <c r="R5149" s="3" t="s">
        <v>36</v>
      </c>
      <c r="S5149" s="3" t="s">
        <v>36</v>
      </c>
      <c r="T5149" s="3" t="s">
        <v>62</v>
      </c>
      <c r="U5149" s="3" t="s">
        <v>63</v>
      </c>
      <c r="V5149" s="3" t="s">
        <v>64</v>
      </c>
      <c r="W5149" s="3" t="s">
        <v>24538</v>
      </c>
      <c r="X5149" s="10" t="s">
        <v>24539</v>
      </c>
      <c r="Y5149" s="6" t="s">
        <v>108</v>
      </c>
      <c r="Z5149" s="4">
        <v>3.5</v>
      </c>
      <c r="AA5149" s="4">
        <v>11.49</v>
      </c>
      <c r="AB5149" s="3" t="s">
        <v>56</v>
      </c>
      <c r="AC5149" s="3" t="s">
        <v>24540</v>
      </c>
      <c r="AD5149" s="9">
        <v>43368</v>
      </c>
      <c r="AE5149" s="3" t="s">
        <v>68</v>
      </c>
      <c r="AF5149" s="3" t="s">
        <v>36</v>
      </c>
      <c r="AG5149" s="3" t="s">
        <v>1743</v>
      </c>
      <c r="AH5149" s="11">
        <f>HYPERLINK("https://my.pitchbook.com?c=112168-81T","View Company Online")</f>
      </c>
    </row>
    <row r="5150">
      <c r="A5150" s="12" t="s">
        <v>24541</v>
      </c>
      <c r="B5150" s="12" t="s">
        <v>24542</v>
      </c>
      <c r="C5150" s="19">
        <v>2</v>
      </c>
      <c r="D5150" s="19">
        <v>11</v>
      </c>
      <c r="E5150" s="19">
        <v>4</v>
      </c>
      <c r="F5150" s="19">
        <v>13</v>
      </c>
      <c r="G5150" s="15" t="s">
        <v>36</v>
      </c>
      <c r="H5150" s="14">
        <v>10.49</v>
      </c>
      <c r="I5150" s="18">
        <v>40.62</v>
      </c>
      <c r="J5150" s="12" t="s">
        <v>521</v>
      </c>
      <c r="K5150" s="13" t="s">
        <v>36</v>
      </c>
      <c r="L5150" s="15" t="s">
        <v>36</v>
      </c>
      <c r="M5150" s="12" t="s">
        <v>36</v>
      </c>
      <c r="N5150" s="12" t="s">
        <v>36</v>
      </c>
      <c r="O5150" s="17" t="s">
        <v>36</v>
      </c>
      <c r="P5150" s="12" t="s">
        <v>36</v>
      </c>
      <c r="Q5150" s="12" t="s">
        <v>36</v>
      </c>
      <c r="R5150" s="12" t="s">
        <v>36</v>
      </c>
      <c r="S5150" s="12" t="s">
        <v>36</v>
      </c>
      <c r="T5150" s="12" t="s">
        <v>14612</v>
      </c>
      <c r="U5150" s="12" t="s">
        <v>833</v>
      </c>
      <c r="V5150" s="12" t="s">
        <v>64</v>
      </c>
      <c r="W5150" s="12" t="s">
        <v>24543</v>
      </c>
      <c r="X5150" s="16" t="s">
        <v>23669</v>
      </c>
      <c r="Y5150" s="15" t="s">
        <v>42</v>
      </c>
      <c r="Z5150" s="14">
        <v>2.33</v>
      </c>
      <c r="AA5150" s="14">
        <v>4.88</v>
      </c>
      <c r="AB5150" s="12" t="s">
        <v>43</v>
      </c>
      <c r="AC5150" s="12" t="s">
        <v>24544</v>
      </c>
      <c r="AD5150" s="13">
        <v>43368</v>
      </c>
      <c r="AE5150" s="12" t="s">
        <v>1769</v>
      </c>
      <c r="AF5150" s="12" t="s">
        <v>24545</v>
      </c>
      <c r="AG5150" s="12" t="s">
        <v>969</v>
      </c>
      <c r="AH5150" s="1">
        <f>HYPERLINK("https://my.pitchbook.com?c=121969-45T","View Company Online")</f>
      </c>
    </row>
    <row r="5151">
      <c r="A5151" s="3" t="s">
        <v>24546</v>
      </c>
      <c r="B5151" s="3" t="s">
        <v>24547</v>
      </c>
      <c r="C5151" s="5">
        <v>46</v>
      </c>
      <c r="D5151" s="5">
        <v>180</v>
      </c>
      <c r="E5151" s="5">
        <v>93</v>
      </c>
      <c r="F5151" s="5">
        <v>263</v>
      </c>
      <c r="G5151" s="6" t="s">
        <v>326</v>
      </c>
      <c r="H5151" s="4">
        <v>168.61</v>
      </c>
      <c r="I5151" s="7">
        <v>44.69</v>
      </c>
      <c r="J5151" s="3" t="s">
        <v>521</v>
      </c>
      <c r="K5151" s="9" t="s">
        <v>36</v>
      </c>
      <c r="L5151" s="6" t="s">
        <v>36</v>
      </c>
      <c r="M5151" s="3" t="s">
        <v>36</v>
      </c>
      <c r="N5151" s="3" t="s">
        <v>36</v>
      </c>
      <c r="O5151" s="8" t="s">
        <v>36</v>
      </c>
      <c r="P5151" s="3" t="s">
        <v>36</v>
      </c>
      <c r="Q5151" s="3" t="s">
        <v>36</v>
      </c>
      <c r="R5151" s="3" t="s">
        <v>36</v>
      </c>
      <c r="S5151" s="3" t="s">
        <v>36</v>
      </c>
      <c r="T5151" s="3" t="s">
        <v>24548</v>
      </c>
      <c r="U5151" s="3" t="s">
        <v>423</v>
      </c>
      <c r="V5151" s="3" t="s">
        <v>64</v>
      </c>
      <c r="W5151" s="3" t="s">
        <v>24549</v>
      </c>
      <c r="X5151" s="10" t="s">
        <v>24550</v>
      </c>
      <c r="Y5151" s="6" t="s">
        <v>108</v>
      </c>
      <c r="Z5151" s="4">
        <v>22.91</v>
      </c>
      <c r="AA5151" s="4">
        <v>51.28</v>
      </c>
      <c r="AB5151" s="3" t="s">
        <v>56</v>
      </c>
      <c r="AC5151" s="3" t="s">
        <v>24551</v>
      </c>
      <c r="AD5151" s="9">
        <v>43367</v>
      </c>
      <c r="AE5151" s="3" t="s">
        <v>1051</v>
      </c>
      <c r="AF5151" s="3" t="s">
        <v>1008</v>
      </c>
      <c r="AG5151" s="3" t="s">
        <v>899</v>
      </c>
      <c r="AH5151" s="11">
        <f>HYPERLINK("https://my.pitchbook.com?c=188288-83T","View Company Online")</f>
      </c>
    </row>
    <row r="5152">
      <c r="A5152" s="12" t="s">
        <v>24552</v>
      </c>
      <c r="B5152" s="12" t="s">
        <v>5903</v>
      </c>
      <c r="C5152" s="19">
        <v>6</v>
      </c>
      <c r="D5152" s="19">
        <v>6</v>
      </c>
      <c r="E5152" s="19">
        <v>8</v>
      </c>
      <c r="F5152" s="19">
        <v>15</v>
      </c>
      <c r="G5152" s="15" t="s">
        <v>326</v>
      </c>
      <c r="H5152" s="14">
        <v>0.62</v>
      </c>
      <c r="I5152" s="18">
        <v>40.53</v>
      </c>
      <c r="J5152" s="12" t="s">
        <v>521</v>
      </c>
      <c r="K5152" s="13" t="s">
        <v>36</v>
      </c>
      <c r="L5152" s="15" t="s">
        <v>1862</v>
      </c>
      <c r="M5152" s="12" t="s">
        <v>36</v>
      </c>
      <c r="N5152" s="12" t="s">
        <v>1862</v>
      </c>
      <c r="O5152" s="17" t="s">
        <v>36</v>
      </c>
      <c r="P5152" s="12" t="s">
        <v>36</v>
      </c>
      <c r="Q5152" s="12" t="s">
        <v>36</v>
      </c>
      <c r="R5152" s="12" t="s">
        <v>36</v>
      </c>
      <c r="S5152" s="12" t="s">
        <v>36</v>
      </c>
      <c r="T5152" s="12" t="s">
        <v>189</v>
      </c>
      <c r="U5152" s="12" t="s">
        <v>180</v>
      </c>
      <c r="V5152" s="12" t="s">
        <v>52</v>
      </c>
      <c r="W5152" s="12" t="s">
        <v>5905</v>
      </c>
      <c r="X5152" s="16" t="s">
        <v>19454</v>
      </c>
      <c r="Y5152" s="15" t="s">
        <v>108</v>
      </c>
      <c r="Z5152" s="14">
        <v>4.66</v>
      </c>
      <c r="AA5152" s="14">
        <v>11.51</v>
      </c>
      <c r="AB5152" s="12" t="s">
        <v>43</v>
      </c>
      <c r="AC5152" s="12" t="s">
        <v>5907</v>
      </c>
      <c r="AD5152" s="13">
        <v>43367</v>
      </c>
      <c r="AE5152" s="12" t="s">
        <v>184</v>
      </c>
      <c r="AF5152" s="12" t="s">
        <v>5908</v>
      </c>
      <c r="AG5152" s="12" t="s">
        <v>81</v>
      </c>
      <c r="AH5152" s="1">
        <f>HYPERLINK("https://my.pitchbook.com?c=126966-07T","View Company Online")</f>
      </c>
    </row>
    <row r="5153">
      <c r="A5153" s="3" t="s">
        <v>24553</v>
      </c>
      <c r="B5153" s="3" t="s">
        <v>11506</v>
      </c>
      <c r="C5153" s="5">
        <v>2</v>
      </c>
      <c r="D5153" s="5">
        <v>4</v>
      </c>
      <c r="E5153" s="5">
        <v>1</v>
      </c>
      <c r="F5153" s="5">
        <v>6</v>
      </c>
      <c r="G5153" s="6" t="s">
        <v>36</v>
      </c>
      <c r="H5153" s="4">
        <v>1.49</v>
      </c>
      <c r="I5153" s="7">
        <v>17.27</v>
      </c>
      <c r="J5153" s="3" t="s">
        <v>521</v>
      </c>
      <c r="K5153" s="9" t="s">
        <v>36</v>
      </c>
      <c r="L5153" s="6" t="s">
        <v>122</v>
      </c>
      <c r="M5153" s="3" t="s">
        <v>36</v>
      </c>
      <c r="N5153" s="3" t="s">
        <v>122</v>
      </c>
      <c r="O5153" s="8" t="s">
        <v>36</v>
      </c>
      <c r="P5153" s="3" t="s">
        <v>36</v>
      </c>
      <c r="Q5153" s="3" t="s">
        <v>36</v>
      </c>
      <c r="R5153" s="3" t="s">
        <v>36</v>
      </c>
      <c r="S5153" s="3" t="s">
        <v>36</v>
      </c>
      <c r="T5153" s="3" t="s">
        <v>11507</v>
      </c>
      <c r="U5153" s="3" t="s">
        <v>1336</v>
      </c>
      <c r="V5153" s="3" t="s">
        <v>367</v>
      </c>
      <c r="W5153" s="3" t="s">
        <v>11508</v>
      </c>
      <c r="X5153" s="10" t="s">
        <v>24554</v>
      </c>
      <c r="Y5153" s="6" t="s">
        <v>42</v>
      </c>
      <c r="Z5153" s="4">
        <v>3.26</v>
      </c>
      <c r="AA5153" s="4">
        <v>10.1</v>
      </c>
      <c r="AB5153" s="3" t="s">
        <v>43</v>
      </c>
      <c r="AC5153" s="3" t="s">
        <v>11510</v>
      </c>
      <c r="AD5153" s="9">
        <v>43363</v>
      </c>
      <c r="AE5153" s="3" t="s">
        <v>2464</v>
      </c>
      <c r="AF5153" s="3" t="s">
        <v>11511</v>
      </c>
      <c r="AG5153" s="3" t="s">
        <v>47</v>
      </c>
      <c r="AH5153" s="11">
        <f>HYPERLINK("https://my.pitchbook.com?c=189735-85T","View Company Online")</f>
      </c>
    </row>
    <row r="5154">
      <c r="A5154" s="12" t="s">
        <v>24555</v>
      </c>
      <c r="B5154" s="12" t="s">
        <v>24556</v>
      </c>
      <c r="C5154" s="19" t="s">
        <v>36</v>
      </c>
      <c r="D5154" s="19" t="s">
        <v>36</v>
      </c>
      <c r="E5154" s="19" t="s">
        <v>36</v>
      </c>
      <c r="F5154" s="19" t="s">
        <v>36</v>
      </c>
      <c r="G5154" s="15" t="s">
        <v>683</v>
      </c>
      <c r="H5154" s="14">
        <v>28.04</v>
      </c>
      <c r="I5154" s="18">
        <v>11.97</v>
      </c>
      <c r="J5154" s="12" t="s">
        <v>521</v>
      </c>
      <c r="K5154" s="13" t="s">
        <v>36</v>
      </c>
      <c r="L5154" s="15" t="s">
        <v>36</v>
      </c>
      <c r="M5154" s="12" t="s">
        <v>36</v>
      </c>
      <c r="N5154" s="12" t="s">
        <v>36</v>
      </c>
      <c r="O5154" s="17" t="s">
        <v>36</v>
      </c>
      <c r="P5154" s="12" t="s">
        <v>36</v>
      </c>
      <c r="Q5154" s="12" t="s">
        <v>36</v>
      </c>
      <c r="R5154" s="12" t="s">
        <v>36</v>
      </c>
      <c r="S5154" s="12" t="s">
        <v>36</v>
      </c>
      <c r="T5154" s="12" t="s">
        <v>5929</v>
      </c>
      <c r="U5154" s="12" t="s">
        <v>38</v>
      </c>
      <c r="V5154" s="12" t="s">
        <v>39</v>
      </c>
      <c r="W5154" s="12" t="s">
        <v>24557</v>
      </c>
      <c r="X5154" s="16" t="s">
        <v>24558</v>
      </c>
      <c r="Y5154" s="15" t="s">
        <v>192</v>
      </c>
      <c r="Z5154" s="14">
        <v>2.18</v>
      </c>
      <c r="AA5154" s="14">
        <v>18.24</v>
      </c>
      <c r="AB5154" s="12" t="s">
        <v>56</v>
      </c>
      <c r="AC5154" s="12" t="s">
        <v>24559</v>
      </c>
      <c r="AD5154" s="13">
        <v>43363</v>
      </c>
      <c r="AE5154" s="12" t="s">
        <v>110</v>
      </c>
      <c r="AF5154" s="12" t="s">
        <v>4891</v>
      </c>
      <c r="AG5154" s="12" t="s">
        <v>81</v>
      </c>
      <c r="AH5154" s="1">
        <f>HYPERLINK("https://my.pitchbook.com?c=139652-11T","View Company Online")</f>
      </c>
    </row>
    <row r="5155">
      <c r="A5155" s="3" t="s">
        <v>24560</v>
      </c>
      <c r="B5155" s="3" t="s">
        <v>24561</v>
      </c>
      <c r="C5155" s="5" t="s">
        <v>36</v>
      </c>
      <c r="D5155" s="5" t="s">
        <v>36</v>
      </c>
      <c r="E5155" s="5" t="s">
        <v>36</v>
      </c>
      <c r="F5155" s="5" t="s">
        <v>36</v>
      </c>
      <c r="G5155" s="6" t="s">
        <v>36</v>
      </c>
      <c r="H5155" s="4">
        <v>3.03</v>
      </c>
      <c r="I5155" s="7">
        <v>30</v>
      </c>
      <c r="J5155" s="3" t="s">
        <v>521</v>
      </c>
      <c r="K5155" s="9" t="s">
        <v>36</v>
      </c>
      <c r="L5155" s="6" t="s">
        <v>36</v>
      </c>
      <c r="M5155" s="3" t="s">
        <v>36</v>
      </c>
      <c r="N5155" s="3" t="s">
        <v>36</v>
      </c>
      <c r="O5155" s="8" t="s">
        <v>36</v>
      </c>
      <c r="P5155" s="3" t="s">
        <v>36</v>
      </c>
      <c r="Q5155" s="3" t="s">
        <v>36</v>
      </c>
      <c r="R5155" s="3" t="s">
        <v>36</v>
      </c>
      <c r="S5155" s="3" t="s">
        <v>36</v>
      </c>
      <c r="T5155" s="3" t="s">
        <v>5159</v>
      </c>
      <c r="U5155" s="3" t="s">
        <v>74</v>
      </c>
      <c r="V5155" s="3" t="s">
        <v>75</v>
      </c>
      <c r="W5155" s="3" t="s">
        <v>24562</v>
      </c>
      <c r="X5155" s="10" t="s">
        <v>6176</v>
      </c>
      <c r="Y5155" s="6" t="s">
        <v>42</v>
      </c>
      <c r="Z5155" s="4">
        <v>0.58</v>
      </c>
      <c r="AA5155" s="4">
        <v>1.94</v>
      </c>
      <c r="AB5155" s="3" t="s">
        <v>43</v>
      </c>
      <c r="AC5155" s="3" t="s">
        <v>24563</v>
      </c>
      <c r="AD5155" s="9">
        <v>43363</v>
      </c>
      <c r="AE5155" s="3" t="s">
        <v>79</v>
      </c>
      <c r="AF5155" s="3" t="s">
        <v>176</v>
      </c>
      <c r="AG5155" s="3" t="s">
        <v>81</v>
      </c>
      <c r="AH5155" s="11">
        <f>HYPERLINK("https://my.pitchbook.com?c=116078-14T","View Company Online")</f>
      </c>
    </row>
    <row r="5156">
      <c r="A5156" s="12" t="s">
        <v>24564</v>
      </c>
      <c r="B5156" s="12" t="s">
        <v>15877</v>
      </c>
      <c r="C5156" s="19" t="s">
        <v>36</v>
      </c>
      <c r="D5156" s="19" t="s">
        <v>36</v>
      </c>
      <c r="E5156" s="19" t="s">
        <v>36</v>
      </c>
      <c r="F5156" s="19" t="s">
        <v>36</v>
      </c>
      <c r="G5156" s="15" t="s">
        <v>36</v>
      </c>
      <c r="H5156" s="14">
        <v>2.8</v>
      </c>
      <c r="I5156" s="18">
        <v>27.03</v>
      </c>
      <c r="J5156" s="12" t="s">
        <v>521</v>
      </c>
      <c r="K5156" s="13" t="s">
        <v>36</v>
      </c>
      <c r="L5156" s="15" t="s">
        <v>36</v>
      </c>
      <c r="M5156" s="12" t="s">
        <v>36</v>
      </c>
      <c r="N5156" s="12" t="s">
        <v>36</v>
      </c>
      <c r="O5156" s="17" t="s">
        <v>36</v>
      </c>
      <c r="P5156" s="12" t="s">
        <v>36</v>
      </c>
      <c r="Q5156" s="12" t="s">
        <v>36</v>
      </c>
      <c r="R5156" s="12" t="s">
        <v>36</v>
      </c>
      <c r="S5156" s="12" t="s">
        <v>36</v>
      </c>
      <c r="T5156" s="12" t="s">
        <v>15878</v>
      </c>
      <c r="U5156" s="12" t="s">
        <v>289</v>
      </c>
      <c r="V5156" s="12" t="s">
        <v>64</v>
      </c>
      <c r="W5156" s="12" t="s">
        <v>15879</v>
      </c>
      <c r="X5156" s="16" t="s">
        <v>24565</v>
      </c>
      <c r="Y5156" s="15" t="s">
        <v>42</v>
      </c>
      <c r="Z5156" s="14">
        <v>1.16</v>
      </c>
      <c r="AA5156" s="14">
        <v>4.3</v>
      </c>
      <c r="AB5156" s="12" t="s">
        <v>43</v>
      </c>
      <c r="AC5156" s="12" t="s">
        <v>15881</v>
      </c>
      <c r="AD5156" s="13">
        <v>43362</v>
      </c>
      <c r="AE5156" s="12" t="s">
        <v>292</v>
      </c>
      <c r="AF5156" s="12" t="s">
        <v>15882</v>
      </c>
      <c r="AG5156" s="12" t="s">
        <v>81</v>
      </c>
      <c r="AH5156" s="1">
        <f>HYPERLINK("https://my.pitchbook.com?c=137721-61T","View Company Online")</f>
      </c>
    </row>
    <row r="5157">
      <c r="A5157" s="3" t="s">
        <v>24566</v>
      </c>
      <c r="B5157" s="3" t="s">
        <v>22633</v>
      </c>
      <c r="C5157" s="5" t="s">
        <v>36</v>
      </c>
      <c r="D5157" s="5" t="s">
        <v>36</v>
      </c>
      <c r="E5157" s="5" t="s">
        <v>36</v>
      </c>
      <c r="F5157" s="5" t="s">
        <v>36</v>
      </c>
      <c r="G5157" s="6" t="s">
        <v>36</v>
      </c>
      <c r="H5157" s="4">
        <v>3.62</v>
      </c>
      <c r="I5157" s="7">
        <v>19.01</v>
      </c>
      <c r="J5157" s="3" t="s">
        <v>521</v>
      </c>
      <c r="K5157" s="9" t="s">
        <v>36</v>
      </c>
      <c r="L5157" s="6" t="s">
        <v>36</v>
      </c>
      <c r="M5157" s="3" t="s">
        <v>36</v>
      </c>
      <c r="N5157" s="3" t="s">
        <v>36</v>
      </c>
      <c r="O5157" s="8" t="s">
        <v>36</v>
      </c>
      <c r="P5157" s="3" t="s">
        <v>36</v>
      </c>
      <c r="Q5157" s="3" t="s">
        <v>36</v>
      </c>
      <c r="R5157" s="3" t="s">
        <v>36</v>
      </c>
      <c r="S5157" s="3" t="s">
        <v>36</v>
      </c>
      <c r="T5157" s="3" t="s">
        <v>1645</v>
      </c>
      <c r="U5157" s="3" t="s">
        <v>38</v>
      </c>
      <c r="V5157" s="3" t="s">
        <v>39</v>
      </c>
      <c r="W5157" s="3" t="s">
        <v>22634</v>
      </c>
      <c r="X5157" s="10" t="s">
        <v>24567</v>
      </c>
      <c r="Y5157" s="6" t="s">
        <v>108</v>
      </c>
      <c r="Z5157" s="4">
        <v>0.7</v>
      </c>
      <c r="AA5157" s="4">
        <v>2.51</v>
      </c>
      <c r="AB5157" s="3" t="s">
        <v>56</v>
      </c>
      <c r="AC5157" s="3" t="s">
        <v>22636</v>
      </c>
      <c r="AD5157" s="9">
        <v>43362</v>
      </c>
      <c r="AE5157" s="3" t="s">
        <v>110</v>
      </c>
      <c r="AF5157" s="3" t="s">
        <v>4552</v>
      </c>
      <c r="AG5157" s="3" t="s">
        <v>102</v>
      </c>
      <c r="AH5157" s="11">
        <f>HYPERLINK("https://my.pitchbook.com?c=122311-63T","View Company Online")</f>
      </c>
    </row>
    <row r="5158">
      <c r="A5158" s="12" t="s">
        <v>24568</v>
      </c>
      <c r="B5158" s="12" t="s">
        <v>22871</v>
      </c>
      <c r="C5158" s="19" t="s">
        <v>36</v>
      </c>
      <c r="D5158" s="19">
        <v>3</v>
      </c>
      <c r="E5158" s="19">
        <v>1</v>
      </c>
      <c r="F5158" s="19">
        <v>3</v>
      </c>
      <c r="G5158" s="15" t="s">
        <v>36</v>
      </c>
      <c r="H5158" s="14">
        <v>1.72</v>
      </c>
      <c r="I5158" s="18">
        <v>59.99</v>
      </c>
      <c r="J5158" s="12" t="s">
        <v>327</v>
      </c>
      <c r="K5158" s="13">
        <v>43314</v>
      </c>
      <c r="L5158" s="15" t="s">
        <v>36</v>
      </c>
      <c r="M5158" s="12" t="s">
        <v>36</v>
      </c>
      <c r="N5158" s="12" t="s">
        <v>36</v>
      </c>
      <c r="O5158" s="17" t="s">
        <v>36</v>
      </c>
      <c r="P5158" s="12" t="s">
        <v>36</v>
      </c>
      <c r="Q5158" s="12" t="s">
        <v>36</v>
      </c>
      <c r="R5158" s="12" t="s">
        <v>36</v>
      </c>
      <c r="S5158" s="12" t="s">
        <v>36</v>
      </c>
      <c r="T5158" s="12" t="s">
        <v>9552</v>
      </c>
      <c r="U5158" s="12" t="s">
        <v>51</v>
      </c>
      <c r="V5158" s="12" t="s">
        <v>52</v>
      </c>
      <c r="W5158" s="12" t="s">
        <v>22872</v>
      </c>
      <c r="X5158" s="16" t="s">
        <v>24569</v>
      </c>
      <c r="Y5158" s="15" t="s">
        <v>42</v>
      </c>
      <c r="Z5158" s="14">
        <v>5.81</v>
      </c>
      <c r="AA5158" s="14">
        <v>9.69</v>
      </c>
      <c r="AB5158" s="12" t="s">
        <v>43</v>
      </c>
      <c r="AC5158" s="12" t="s">
        <v>22874</v>
      </c>
      <c r="AD5158" s="13">
        <v>43362</v>
      </c>
      <c r="AE5158" s="12" t="s">
        <v>158</v>
      </c>
      <c r="AF5158" s="12" t="s">
        <v>665</v>
      </c>
      <c r="AG5158" s="12" t="s">
        <v>81</v>
      </c>
      <c r="AH5158" s="1">
        <f>HYPERLINK("https://my.pitchbook.com?c=115912-00T","View Company Online")</f>
      </c>
    </row>
    <row r="5159">
      <c r="A5159" s="3" t="s">
        <v>24570</v>
      </c>
      <c r="B5159" s="3" t="s">
        <v>499</v>
      </c>
      <c r="C5159" s="5">
        <v>9</v>
      </c>
      <c r="D5159" s="5">
        <v>2</v>
      </c>
      <c r="E5159" s="5">
        <v>3</v>
      </c>
      <c r="F5159" s="5">
        <v>11</v>
      </c>
      <c r="G5159" s="6" t="s">
        <v>683</v>
      </c>
      <c r="H5159" s="4">
        <v>1246.28</v>
      </c>
      <c r="I5159" s="7">
        <v>11.15</v>
      </c>
      <c r="J5159" s="3" t="s">
        <v>521</v>
      </c>
      <c r="K5159" s="9">
        <v>43062</v>
      </c>
      <c r="L5159" s="6" t="s">
        <v>94</v>
      </c>
      <c r="M5159" s="3" t="s">
        <v>36</v>
      </c>
      <c r="N5159" s="3" t="s">
        <v>94</v>
      </c>
      <c r="O5159" s="8" t="s">
        <v>36</v>
      </c>
      <c r="P5159" s="3" t="s">
        <v>36</v>
      </c>
      <c r="Q5159" s="3" t="s">
        <v>36</v>
      </c>
      <c r="R5159" s="3" t="s">
        <v>36</v>
      </c>
      <c r="S5159" s="3" t="s">
        <v>36</v>
      </c>
      <c r="T5159" s="3" t="s">
        <v>500</v>
      </c>
      <c r="U5159" s="3" t="s">
        <v>51</v>
      </c>
      <c r="V5159" s="3" t="s">
        <v>52</v>
      </c>
      <c r="W5159" s="3" t="s">
        <v>501</v>
      </c>
      <c r="X5159" s="10" t="s">
        <v>24571</v>
      </c>
      <c r="Y5159" s="6" t="s">
        <v>55</v>
      </c>
      <c r="Z5159" s="4">
        <v>6.52</v>
      </c>
      <c r="AA5159" s="4">
        <v>58.43</v>
      </c>
      <c r="AB5159" s="3" t="s">
        <v>43</v>
      </c>
      <c r="AC5159" s="3" t="s">
        <v>503</v>
      </c>
      <c r="AD5159" s="9">
        <v>43361</v>
      </c>
      <c r="AE5159" s="3" t="s">
        <v>504</v>
      </c>
      <c r="AF5159" s="3" t="s">
        <v>159</v>
      </c>
      <c r="AG5159" s="3" t="s">
        <v>81</v>
      </c>
      <c r="AH5159" s="11">
        <f>HYPERLINK("https://my.pitchbook.com?c=96959-89T","View Company Online")</f>
      </c>
    </row>
    <row r="5160">
      <c r="A5160" s="12" t="s">
        <v>24572</v>
      </c>
      <c r="B5160" s="12" t="s">
        <v>13060</v>
      </c>
      <c r="C5160" s="19">
        <v>9</v>
      </c>
      <c r="D5160" s="19">
        <v>10</v>
      </c>
      <c r="E5160" s="19">
        <v>9</v>
      </c>
      <c r="F5160" s="19">
        <v>22</v>
      </c>
      <c r="G5160" s="15" t="s">
        <v>326</v>
      </c>
      <c r="H5160" s="14">
        <v>345.84</v>
      </c>
      <c r="I5160" s="18">
        <v>26.42</v>
      </c>
      <c r="J5160" s="12" t="s">
        <v>521</v>
      </c>
      <c r="K5160" s="13">
        <v>43346</v>
      </c>
      <c r="L5160" s="15" t="s">
        <v>94</v>
      </c>
      <c r="M5160" s="12" t="s">
        <v>36</v>
      </c>
      <c r="N5160" s="12" t="s">
        <v>94</v>
      </c>
      <c r="O5160" s="17" t="s">
        <v>36</v>
      </c>
      <c r="P5160" s="12" t="s">
        <v>36</v>
      </c>
      <c r="Q5160" s="12" t="s">
        <v>36</v>
      </c>
      <c r="R5160" s="12" t="s">
        <v>36</v>
      </c>
      <c r="S5160" s="12" t="s">
        <v>36</v>
      </c>
      <c r="T5160" s="12" t="s">
        <v>1645</v>
      </c>
      <c r="U5160" s="12" t="s">
        <v>38</v>
      </c>
      <c r="V5160" s="12" t="s">
        <v>39</v>
      </c>
      <c r="W5160" s="12" t="s">
        <v>13061</v>
      </c>
      <c r="X5160" s="16" t="s">
        <v>24573</v>
      </c>
      <c r="Y5160" s="15" t="s">
        <v>55</v>
      </c>
      <c r="Z5160" s="14">
        <v>24.33</v>
      </c>
      <c r="AA5160" s="14">
        <v>92.09</v>
      </c>
      <c r="AB5160" s="12" t="s">
        <v>43</v>
      </c>
      <c r="AC5160" s="12" t="s">
        <v>13063</v>
      </c>
      <c r="AD5160" s="13">
        <v>43361</v>
      </c>
      <c r="AE5160" s="12" t="s">
        <v>110</v>
      </c>
      <c r="AF5160" s="12" t="s">
        <v>13064</v>
      </c>
      <c r="AG5160" s="12" t="s">
        <v>81</v>
      </c>
      <c r="AH5160" s="1">
        <f>HYPERLINK("https://my.pitchbook.com?c=111823-12T","View Company Online")</f>
      </c>
    </row>
    <row r="5161">
      <c r="A5161" s="3" t="s">
        <v>24574</v>
      </c>
      <c r="B5161" s="3" t="s">
        <v>11576</v>
      </c>
      <c r="C5161" s="5" t="s">
        <v>36</v>
      </c>
      <c r="D5161" s="5" t="s">
        <v>36</v>
      </c>
      <c r="E5161" s="5" t="s">
        <v>36</v>
      </c>
      <c r="F5161" s="5" t="s">
        <v>36</v>
      </c>
      <c r="G5161" s="6" t="s">
        <v>36</v>
      </c>
      <c r="H5161" s="4">
        <v>12.46</v>
      </c>
      <c r="I5161" s="7">
        <v>24.03</v>
      </c>
      <c r="J5161" s="3" t="s">
        <v>521</v>
      </c>
      <c r="K5161" s="9" t="s">
        <v>36</v>
      </c>
      <c r="L5161" s="6" t="s">
        <v>36</v>
      </c>
      <c r="M5161" s="3" t="s">
        <v>36</v>
      </c>
      <c r="N5161" s="3" t="s">
        <v>36</v>
      </c>
      <c r="O5161" s="8" t="s">
        <v>36</v>
      </c>
      <c r="P5161" s="3" t="s">
        <v>36</v>
      </c>
      <c r="Q5161" s="3" t="s">
        <v>36</v>
      </c>
      <c r="R5161" s="3" t="s">
        <v>36</v>
      </c>
      <c r="S5161" s="3" t="s">
        <v>36</v>
      </c>
      <c r="T5161" s="3" t="s">
        <v>11577</v>
      </c>
      <c r="U5161" s="3" t="s">
        <v>318</v>
      </c>
      <c r="V5161" s="3" t="s">
        <v>39</v>
      </c>
      <c r="W5161" s="3" t="s">
        <v>11578</v>
      </c>
      <c r="X5161" s="10" t="s">
        <v>11579</v>
      </c>
      <c r="Y5161" s="6" t="s">
        <v>108</v>
      </c>
      <c r="Z5161" s="4">
        <v>0.47</v>
      </c>
      <c r="AA5161" s="4">
        <v>1.95</v>
      </c>
      <c r="AB5161" s="3" t="s">
        <v>56</v>
      </c>
      <c r="AC5161" s="3" t="s">
        <v>11580</v>
      </c>
      <c r="AD5161" s="9">
        <v>43360</v>
      </c>
      <c r="AE5161" s="3" t="s">
        <v>763</v>
      </c>
      <c r="AF5161" s="3" t="s">
        <v>11581</v>
      </c>
      <c r="AG5161" s="3" t="s">
        <v>11582</v>
      </c>
      <c r="AH5161" s="11">
        <f>HYPERLINK("https://my.pitchbook.com?c=158498-65T","View Company Online")</f>
      </c>
    </row>
    <row r="5162">
      <c r="A5162" s="12" t="s">
        <v>24575</v>
      </c>
      <c r="B5162" s="12" t="s">
        <v>24576</v>
      </c>
      <c r="C5162" s="19" t="s">
        <v>36</v>
      </c>
      <c r="D5162" s="19" t="s">
        <v>36</v>
      </c>
      <c r="E5162" s="19" t="s">
        <v>36</v>
      </c>
      <c r="F5162" s="19" t="s">
        <v>36</v>
      </c>
      <c r="G5162" s="15" t="s">
        <v>36</v>
      </c>
      <c r="H5162" s="14">
        <v>727</v>
      </c>
      <c r="I5162" s="18">
        <v>30</v>
      </c>
      <c r="J5162" s="12" t="s">
        <v>521</v>
      </c>
      <c r="K5162" s="13" t="s">
        <v>36</v>
      </c>
      <c r="L5162" s="15" t="s">
        <v>36</v>
      </c>
      <c r="M5162" s="12" t="s">
        <v>36</v>
      </c>
      <c r="N5162" s="12" t="s">
        <v>36</v>
      </c>
      <c r="O5162" s="17" t="s">
        <v>36</v>
      </c>
      <c r="P5162" s="12" t="s">
        <v>36</v>
      </c>
      <c r="Q5162" s="12" t="s">
        <v>36</v>
      </c>
      <c r="R5162" s="12" t="s">
        <v>36</v>
      </c>
      <c r="S5162" s="12" t="s">
        <v>36</v>
      </c>
      <c r="T5162" s="12" t="s">
        <v>23277</v>
      </c>
      <c r="U5162" s="12" t="s">
        <v>38</v>
      </c>
      <c r="V5162" s="12" t="s">
        <v>39</v>
      </c>
      <c r="W5162" s="12" t="s">
        <v>24577</v>
      </c>
      <c r="X5162" s="16" t="s">
        <v>24578</v>
      </c>
      <c r="Y5162" s="15" t="s">
        <v>42</v>
      </c>
      <c r="Z5162" s="14">
        <v>3.48</v>
      </c>
      <c r="AA5162" s="14">
        <v>11.61</v>
      </c>
      <c r="AB5162" s="12" t="s">
        <v>43</v>
      </c>
      <c r="AC5162" s="12" t="s">
        <v>24579</v>
      </c>
      <c r="AD5162" s="13">
        <v>43360</v>
      </c>
      <c r="AE5162" s="12" t="s">
        <v>554</v>
      </c>
      <c r="AF5162" s="12" t="s">
        <v>24580</v>
      </c>
      <c r="AG5162" s="12" t="s">
        <v>81</v>
      </c>
      <c r="AH5162" s="1">
        <f>HYPERLINK("https://my.pitchbook.com?c=153567-91T","View Company Online")</f>
      </c>
    </row>
    <row r="5163">
      <c r="A5163" s="3" t="s">
        <v>24581</v>
      </c>
      <c r="B5163" s="3" t="s">
        <v>24582</v>
      </c>
      <c r="C5163" s="5">
        <v>1</v>
      </c>
      <c r="D5163" s="5">
        <v>8</v>
      </c>
      <c r="E5163" s="5">
        <v>6</v>
      </c>
      <c r="F5163" s="5">
        <v>17</v>
      </c>
      <c r="G5163" s="6" t="s">
        <v>326</v>
      </c>
      <c r="H5163" s="4">
        <v>13.68</v>
      </c>
      <c r="I5163" s="7">
        <v>31.58</v>
      </c>
      <c r="J5163" s="3" t="s">
        <v>521</v>
      </c>
      <c r="K5163" s="9" t="s">
        <v>36</v>
      </c>
      <c r="L5163" s="6" t="s">
        <v>36</v>
      </c>
      <c r="M5163" s="3" t="s">
        <v>36</v>
      </c>
      <c r="N5163" s="3" t="s">
        <v>36</v>
      </c>
      <c r="O5163" s="8" t="s">
        <v>36</v>
      </c>
      <c r="P5163" s="3" t="s">
        <v>36</v>
      </c>
      <c r="Q5163" s="3" t="s">
        <v>36</v>
      </c>
      <c r="R5163" s="3" t="s">
        <v>36</v>
      </c>
      <c r="S5163" s="3" t="s">
        <v>36</v>
      </c>
      <c r="T5163" s="3" t="s">
        <v>24583</v>
      </c>
      <c r="U5163" s="3" t="s">
        <v>833</v>
      </c>
      <c r="V5163" s="3" t="s">
        <v>64</v>
      </c>
      <c r="W5163" s="3" t="s">
        <v>24584</v>
      </c>
      <c r="X5163" s="10" t="s">
        <v>24585</v>
      </c>
      <c r="Y5163" s="6" t="s">
        <v>166</v>
      </c>
      <c r="Z5163" s="4">
        <v>2.15</v>
      </c>
      <c r="AA5163" s="4">
        <v>6.82</v>
      </c>
      <c r="AB5163" s="3" t="s">
        <v>56</v>
      </c>
      <c r="AC5163" s="3" t="s">
        <v>24586</v>
      </c>
      <c r="AD5163" s="9">
        <v>43357</v>
      </c>
      <c r="AE5163" s="3" t="s">
        <v>1069</v>
      </c>
      <c r="AF5163" s="3" t="s">
        <v>1977</v>
      </c>
      <c r="AG5163" s="3" t="s">
        <v>787</v>
      </c>
      <c r="AH5163" s="11">
        <f>HYPERLINK("https://my.pitchbook.com?c=113946-67T","View Company Online")</f>
      </c>
    </row>
    <row r="5164">
      <c r="A5164" s="12" t="s">
        <v>24587</v>
      </c>
      <c r="B5164" s="12" t="s">
        <v>24588</v>
      </c>
      <c r="C5164" s="19" t="s">
        <v>36</v>
      </c>
      <c r="D5164" s="19" t="s">
        <v>36</v>
      </c>
      <c r="E5164" s="19" t="s">
        <v>36</v>
      </c>
      <c r="F5164" s="19" t="s">
        <v>36</v>
      </c>
      <c r="G5164" s="15" t="s">
        <v>326</v>
      </c>
      <c r="H5164" s="14">
        <v>208.75</v>
      </c>
      <c r="I5164" s="18">
        <v>11.78</v>
      </c>
      <c r="J5164" s="12" t="s">
        <v>521</v>
      </c>
      <c r="K5164" s="13" t="s">
        <v>36</v>
      </c>
      <c r="L5164" s="15" t="s">
        <v>36</v>
      </c>
      <c r="M5164" s="12" t="s">
        <v>36</v>
      </c>
      <c r="N5164" s="12" t="s">
        <v>36</v>
      </c>
      <c r="O5164" s="17" t="s">
        <v>36</v>
      </c>
      <c r="P5164" s="12" t="s">
        <v>36</v>
      </c>
      <c r="Q5164" s="12" t="s">
        <v>36</v>
      </c>
      <c r="R5164" s="12" t="s">
        <v>36</v>
      </c>
      <c r="S5164" s="12" t="s">
        <v>36</v>
      </c>
      <c r="T5164" s="12" t="s">
        <v>19457</v>
      </c>
      <c r="U5164" s="12" t="s">
        <v>318</v>
      </c>
      <c r="V5164" s="12" t="s">
        <v>39</v>
      </c>
      <c r="W5164" s="12" t="s">
        <v>24589</v>
      </c>
      <c r="X5164" s="16" t="s">
        <v>24590</v>
      </c>
      <c r="Y5164" s="15" t="s">
        <v>42</v>
      </c>
      <c r="Z5164" s="14">
        <v>0.46</v>
      </c>
      <c r="AA5164" s="14">
        <v>3.93</v>
      </c>
      <c r="AB5164" s="12" t="s">
        <v>56</v>
      </c>
      <c r="AC5164" s="12" t="s">
        <v>24591</v>
      </c>
      <c r="AD5164" s="13">
        <v>43357</v>
      </c>
      <c r="AE5164" s="12" t="s">
        <v>763</v>
      </c>
      <c r="AF5164" s="12" t="s">
        <v>24592</v>
      </c>
      <c r="AG5164" s="12" t="s">
        <v>24593</v>
      </c>
      <c r="AH5164" s="1">
        <f>HYPERLINK("https://my.pitchbook.com?c=189585-10T","View Company Online")</f>
      </c>
    </row>
    <row r="5165">
      <c r="A5165" s="3" t="s">
        <v>24594</v>
      </c>
      <c r="B5165" s="3" t="s">
        <v>13905</v>
      </c>
      <c r="C5165" s="5" t="s">
        <v>36</v>
      </c>
      <c r="D5165" s="5">
        <v>6</v>
      </c>
      <c r="E5165" s="5">
        <v>3</v>
      </c>
      <c r="F5165" s="5">
        <v>6</v>
      </c>
      <c r="G5165" s="6" t="s">
        <v>36</v>
      </c>
      <c r="H5165" s="4">
        <v>125.58</v>
      </c>
      <c r="I5165" s="7">
        <v>33.38</v>
      </c>
      <c r="J5165" s="3" t="s">
        <v>521</v>
      </c>
      <c r="K5165" s="9" t="s">
        <v>36</v>
      </c>
      <c r="L5165" s="6" t="s">
        <v>36</v>
      </c>
      <c r="M5165" s="3" t="s">
        <v>36</v>
      </c>
      <c r="N5165" s="3" t="s">
        <v>36</v>
      </c>
      <c r="O5165" s="8" t="s">
        <v>36</v>
      </c>
      <c r="P5165" s="3" t="s">
        <v>36</v>
      </c>
      <c r="Q5165" s="3" t="s">
        <v>36</v>
      </c>
      <c r="R5165" s="3" t="s">
        <v>36</v>
      </c>
      <c r="S5165" s="3" t="s">
        <v>36</v>
      </c>
      <c r="T5165" s="3" t="s">
        <v>13906</v>
      </c>
      <c r="U5165" s="3" t="s">
        <v>318</v>
      </c>
      <c r="V5165" s="3" t="s">
        <v>39</v>
      </c>
      <c r="W5165" s="3" t="s">
        <v>13907</v>
      </c>
      <c r="X5165" s="10" t="s">
        <v>24595</v>
      </c>
      <c r="Y5165" s="6" t="s">
        <v>42</v>
      </c>
      <c r="Z5165" s="4">
        <v>2.78</v>
      </c>
      <c r="AA5165" s="4">
        <v>4.17</v>
      </c>
      <c r="AB5165" s="3" t="s">
        <v>43</v>
      </c>
      <c r="AC5165" s="3" t="s">
        <v>13909</v>
      </c>
      <c r="AD5165" s="9">
        <v>43357</v>
      </c>
      <c r="AE5165" s="3" t="s">
        <v>417</v>
      </c>
      <c r="AF5165" s="3" t="s">
        <v>13910</v>
      </c>
      <c r="AG5165" s="3" t="s">
        <v>81</v>
      </c>
      <c r="AH5165" s="11">
        <f>HYPERLINK("https://my.pitchbook.com?c=136443-52T","View Company Online")</f>
      </c>
    </row>
    <row r="5166">
      <c r="A5166" s="12" t="s">
        <v>24596</v>
      </c>
      <c r="B5166" s="12" t="s">
        <v>24597</v>
      </c>
      <c r="C5166" s="19" t="s">
        <v>36</v>
      </c>
      <c r="D5166" s="19" t="s">
        <v>36</v>
      </c>
      <c r="E5166" s="19" t="s">
        <v>36</v>
      </c>
      <c r="F5166" s="19" t="s">
        <v>36</v>
      </c>
      <c r="G5166" s="15" t="s">
        <v>36</v>
      </c>
      <c r="H5166" s="14">
        <v>173.44</v>
      </c>
      <c r="I5166" s="18">
        <v>24.24</v>
      </c>
      <c r="J5166" s="12" t="s">
        <v>521</v>
      </c>
      <c r="K5166" s="13" t="s">
        <v>36</v>
      </c>
      <c r="L5166" s="15" t="s">
        <v>36</v>
      </c>
      <c r="M5166" s="12" t="s">
        <v>36</v>
      </c>
      <c r="N5166" s="12" t="s">
        <v>36</v>
      </c>
      <c r="O5166" s="17" t="s">
        <v>36</v>
      </c>
      <c r="P5166" s="12" t="s">
        <v>36</v>
      </c>
      <c r="Q5166" s="12" t="s">
        <v>36</v>
      </c>
      <c r="R5166" s="12" t="s">
        <v>36</v>
      </c>
      <c r="S5166" s="12" t="s">
        <v>36</v>
      </c>
      <c r="T5166" s="12" t="s">
        <v>24598</v>
      </c>
      <c r="U5166" s="12" t="s">
        <v>38</v>
      </c>
      <c r="V5166" s="12" t="s">
        <v>39</v>
      </c>
      <c r="W5166" s="12" t="s">
        <v>24599</v>
      </c>
      <c r="X5166" s="16" t="s">
        <v>22617</v>
      </c>
      <c r="Y5166" s="15" t="s">
        <v>42</v>
      </c>
      <c r="Z5166" s="14">
        <v>0.37</v>
      </c>
      <c r="AA5166" s="14">
        <v>1.53</v>
      </c>
      <c r="AB5166" s="12" t="s">
        <v>43</v>
      </c>
      <c r="AC5166" s="12" t="s">
        <v>24600</v>
      </c>
      <c r="AD5166" s="13">
        <v>43357</v>
      </c>
      <c r="AE5166" s="12" t="s">
        <v>110</v>
      </c>
      <c r="AF5166" s="12" t="s">
        <v>4284</v>
      </c>
      <c r="AG5166" s="12" t="s">
        <v>512</v>
      </c>
      <c r="AH5166" s="1">
        <f>HYPERLINK("https://my.pitchbook.com?c=112156-57T","View Company Online")</f>
      </c>
    </row>
    <row r="5167">
      <c r="A5167" s="3" t="s">
        <v>24601</v>
      </c>
      <c r="B5167" s="3" t="s">
        <v>12033</v>
      </c>
      <c r="C5167" s="5" t="s">
        <v>36</v>
      </c>
      <c r="D5167" s="5" t="s">
        <v>36</v>
      </c>
      <c r="E5167" s="5" t="s">
        <v>36</v>
      </c>
      <c r="F5167" s="5" t="s">
        <v>36</v>
      </c>
      <c r="G5167" s="6" t="s">
        <v>36</v>
      </c>
      <c r="H5167" s="4">
        <v>1.85</v>
      </c>
      <c r="I5167" s="7">
        <v>29.9</v>
      </c>
      <c r="J5167" s="3" t="s">
        <v>521</v>
      </c>
      <c r="K5167" s="9">
        <v>43248</v>
      </c>
      <c r="L5167" s="6" t="s">
        <v>122</v>
      </c>
      <c r="M5167" s="3" t="s">
        <v>36</v>
      </c>
      <c r="N5167" s="3" t="s">
        <v>122</v>
      </c>
      <c r="O5167" s="8" t="s">
        <v>36</v>
      </c>
      <c r="P5167" s="3" t="s">
        <v>36</v>
      </c>
      <c r="Q5167" s="3" t="s">
        <v>36</v>
      </c>
      <c r="R5167" s="3" t="s">
        <v>36</v>
      </c>
      <c r="S5167" s="3" t="s">
        <v>36</v>
      </c>
      <c r="T5167" s="3" t="s">
        <v>4648</v>
      </c>
      <c r="U5167" s="3" t="s">
        <v>74</v>
      </c>
      <c r="V5167" s="3" t="s">
        <v>75</v>
      </c>
      <c r="W5167" s="3" t="s">
        <v>12034</v>
      </c>
      <c r="X5167" s="10" t="s">
        <v>24602</v>
      </c>
      <c r="Y5167" s="6" t="s">
        <v>108</v>
      </c>
      <c r="Z5167" s="4">
        <v>11.57</v>
      </c>
      <c r="AA5167" s="4">
        <v>52.08</v>
      </c>
      <c r="AB5167" s="3" t="s">
        <v>43</v>
      </c>
      <c r="AC5167" s="3" t="s">
        <v>12036</v>
      </c>
      <c r="AD5167" s="9">
        <v>43356</v>
      </c>
      <c r="AE5167" s="3" t="s">
        <v>362</v>
      </c>
      <c r="AF5167" s="3" t="s">
        <v>12037</v>
      </c>
      <c r="AG5167" s="3" t="s">
        <v>81</v>
      </c>
      <c r="AH5167" s="11">
        <f>HYPERLINK("https://my.pitchbook.com?c=106573-33T","View Company Online")</f>
      </c>
    </row>
    <row r="5168">
      <c r="A5168" s="12" t="s">
        <v>24603</v>
      </c>
      <c r="B5168" s="12" t="s">
        <v>24604</v>
      </c>
      <c r="C5168" s="19" t="s">
        <v>36</v>
      </c>
      <c r="D5168" s="19">
        <v>1</v>
      </c>
      <c r="E5168" s="19">
        <v>1</v>
      </c>
      <c r="F5168" s="19">
        <v>3</v>
      </c>
      <c r="G5168" s="15" t="s">
        <v>326</v>
      </c>
      <c r="H5168" s="14">
        <v>16.64</v>
      </c>
      <c r="I5168" s="18">
        <v>17.53</v>
      </c>
      <c r="J5168" s="12" t="s">
        <v>521</v>
      </c>
      <c r="K5168" s="13">
        <v>43292</v>
      </c>
      <c r="L5168" s="15" t="s">
        <v>94</v>
      </c>
      <c r="M5168" s="12" t="s">
        <v>36</v>
      </c>
      <c r="N5168" s="12" t="s">
        <v>94</v>
      </c>
      <c r="O5168" s="17" t="s">
        <v>36</v>
      </c>
      <c r="P5168" s="12" t="s">
        <v>36</v>
      </c>
      <c r="Q5168" s="12" t="s">
        <v>36</v>
      </c>
      <c r="R5168" s="12" t="s">
        <v>36</v>
      </c>
      <c r="S5168" s="12" t="s">
        <v>36</v>
      </c>
      <c r="T5168" s="12" t="s">
        <v>24605</v>
      </c>
      <c r="U5168" s="12" t="s">
        <v>219</v>
      </c>
      <c r="V5168" s="12" t="s">
        <v>75</v>
      </c>
      <c r="W5168" s="12" t="s">
        <v>24606</v>
      </c>
      <c r="X5168" s="16" t="s">
        <v>24607</v>
      </c>
      <c r="Y5168" s="15" t="s">
        <v>55</v>
      </c>
      <c r="Z5168" s="14">
        <v>19.82</v>
      </c>
      <c r="AA5168" s="14">
        <v>113.06</v>
      </c>
      <c r="AB5168" s="12" t="s">
        <v>56</v>
      </c>
      <c r="AC5168" s="12" t="s">
        <v>24608</v>
      </c>
      <c r="AD5168" s="13">
        <v>43356</v>
      </c>
      <c r="AE5168" s="12" t="s">
        <v>243</v>
      </c>
      <c r="AF5168" s="12" t="s">
        <v>24609</v>
      </c>
      <c r="AG5168" s="12" t="s">
        <v>539</v>
      </c>
      <c r="AH5168" s="1">
        <f>HYPERLINK("https://my.pitchbook.com?c=111674-08T","View Company Online")</f>
      </c>
    </row>
    <row r="5169">
      <c r="A5169" s="3" t="s">
        <v>24610</v>
      </c>
      <c r="B5169" s="3" t="s">
        <v>12975</v>
      </c>
      <c r="C5169" s="5" t="s">
        <v>36</v>
      </c>
      <c r="D5169" s="5" t="s">
        <v>36</v>
      </c>
      <c r="E5169" s="5" t="s">
        <v>36</v>
      </c>
      <c r="F5169" s="5" t="s">
        <v>36</v>
      </c>
      <c r="G5169" s="6" t="s">
        <v>36</v>
      </c>
      <c r="H5169" s="4">
        <v>727</v>
      </c>
      <c r="I5169" s="7">
        <v>38.89</v>
      </c>
      <c r="J5169" s="3" t="s">
        <v>521</v>
      </c>
      <c r="K5169" s="9">
        <v>43255</v>
      </c>
      <c r="L5169" s="6" t="s">
        <v>36</v>
      </c>
      <c r="M5169" s="3" t="s">
        <v>36</v>
      </c>
      <c r="N5169" s="3" t="s">
        <v>36</v>
      </c>
      <c r="O5169" s="8" t="s">
        <v>36</v>
      </c>
      <c r="P5169" s="3" t="s">
        <v>36</v>
      </c>
      <c r="Q5169" s="3" t="s">
        <v>36</v>
      </c>
      <c r="R5169" s="3" t="s">
        <v>36</v>
      </c>
      <c r="S5169" s="3" t="s">
        <v>36</v>
      </c>
      <c r="T5169" s="3" t="s">
        <v>2558</v>
      </c>
      <c r="U5169" s="3" t="s">
        <v>38</v>
      </c>
      <c r="V5169" s="3" t="s">
        <v>39</v>
      </c>
      <c r="W5169" s="3" t="s">
        <v>12976</v>
      </c>
      <c r="X5169" s="10" t="s">
        <v>24611</v>
      </c>
      <c r="Y5169" s="6" t="s">
        <v>42</v>
      </c>
      <c r="Z5169" s="4">
        <v>5.79</v>
      </c>
      <c r="AA5169" s="4">
        <v>13.26</v>
      </c>
      <c r="AB5169" s="3" t="s">
        <v>56</v>
      </c>
      <c r="AC5169" s="3" t="s">
        <v>12977</v>
      </c>
      <c r="AD5169" s="9">
        <v>43356</v>
      </c>
      <c r="AE5169" s="3" t="s">
        <v>110</v>
      </c>
      <c r="AF5169" s="3" t="s">
        <v>2759</v>
      </c>
      <c r="AG5169" s="3" t="s">
        <v>899</v>
      </c>
      <c r="AH5169" s="11">
        <f>HYPERLINK("https://my.pitchbook.com?c=112626-19T","View Company Online")</f>
      </c>
    </row>
    <row r="5170">
      <c r="A5170" s="12" t="s">
        <v>24612</v>
      </c>
      <c r="B5170" s="12" t="s">
        <v>24613</v>
      </c>
      <c r="C5170" s="19" t="s">
        <v>36</v>
      </c>
      <c r="D5170" s="19" t="s">
        <v>36</v>
      </c>
      <c r="E5170" s="19" t="s">
        <v>36</v>
      </c>
      <c r="F5170" s="19" t="s">
        <v>36</v>
      </c>
      <c r="G5170" s="15" t="s">
        <v>326</v>
      </c>
      <c r="H5170" s="14">
        <v>29.23</v>
      </c>
      <c r="I5170" s="18">
        <v>7.66</v>
      </c>
      <c r="J5170" s="12" t="s">
        <v>521</v>
      </c>
      <c r="K5170" s="13" t="s">
        <v>36</v>
      </c>
      <c r="L5170" s="15" t="s">
        <v>36</v>
      </c>
      <c r="M5170" s="12" t="s">
        <v>36</v>
      </c>
      <c r="N5170" s="12" t="s">
        <v>36</v>
      </c>
      <c r="O5170" s="17" t="s">
        <v>36</v>
      </c>
      <c r="P5170" s="12" t="s">
        <v>36</v>
      </c>
      <c r="Q5170" s="12" t="s">
        <v>36</v>
      </c>
      <c r="R5170" s="12" t="s">
        <v>36</v>
      </c>
      <c r="S5170" s="12" t="s">
        <v>36</v>
      </c>
      <c r="T5170" s="12" t="s">
        <v>24614</v>
      </c>
      <c r="U5170" s="12" t="s">
        <v>833</v>
      </c>
      <c r="V5170" s="12" t="s">
        <v>64</v>
      </c>
      <c r="W5170" s="12" t="s">
        <v>24615</v>
      </c>
      <c r="X5170" s="16" t="s">
        <v>24616</v>
      </c>
      <c r="Y5170" s="15" t="s">
        <v>192</v>
      </c>
      <c r="Z5170" s="14">
        <v>0.24</v>
      </c>
      <c r="AA5170" s="14">
        <v>3.18</v>
      </c>
      <c r="AB5170" s="12" t="s">
        <v>56</v>
      </c>
      <c r="AC5170" s="12" t="s">
        <v>24617</v>
      </c>
      <c r="AD5170" s="13">
        <v>43356</v>
      </c>
      <c r="AE5170" s="12" t="s">
        <v>1069</v>
      </c>
      <c r="AF5170" s="12" t="s">
        <v>24618</v>
      </c>
      <c r="AG5170" s="12" t="s">
        <v>652</v>
      </c>
      <c r="AH5170" s="1">
        <f>HYPERLINK("https://my.pitchbook.com?c=190789-30T","View Company Online")</f>
      </c>
    </row>
    <row r="5171">
      <c r="A5171" s="3" t="s">
        <v>24619</v>
      </c>
      <c r="B5171" s="3" t="s">
        <v>17477</v>
      </c>
      <c r="C5171" s="5" t="s">
        <v>36</v>
      </c>
      <c r="D5171" s="5" t="s">
        <v>36</v>
      </c>
      <c r="E5171" s="5">
        <v>1</v>
      </c>
      <c r="F5171" s="5">
        <v>1</v>
      </c>
      <c r="G5171" s="6" t="s">
        <v>326</v>
      </c>
      <c r="H5171" s="4" t="s">
        <v>36</v>
      </c>
      <c r="I5171" s="7">
        <v>28.37</v>
      </c>
      <c r="J5171" s="3" t="s">
        <v>327</v>
      </c>
      <c r="K5171" s="9" t="s">
        <v>36</v>
      </c>
      <c r="L5171" s="6" t="s">
        <v>36</v>
      </c>
      <c r="M5171" s="3" t="s">
        <v>36</v>
      </c>
      <c r="N5171" s="3" t="s">
        <v>36</v>
      </c>
      <c r="O5171" s="8" t="s">
        <v>36</v>
      </c>
      <c r="P5171" s="3" t="s">
        <v>36</v>
      </c>
      <c r="Q5171" s="3" t="s">
        <v>36</v>
      </c>
      <c r="R5171" s="3" t="s">
        <v>36</v>
      </c>
      <c r="S5171" s="3" t="s">
        <v>36</v>
      </c>
      <c r="T5171" s="3" t="s">
        <v>17478</v>
      </c>
      <c r="U5171" s="3" t="s">
        <v>38</v>
      </c>
      <c r="V5171" s="3" t="s">
        <v>39</v>
      </c>
      <c r="W5171" s="3" t="s">
        <v>17479</v>
      </c>
      <c r="X5171" s="10" t="s">
        <v>24620</v>
      </c>
      <c r="Y5171" s="6" t="s">
        <v>108</v>
      </c>
      <c r="Z5171" s="4">
        <v>5.78</v>
      </c>
      <c r="AA5171" s="4">
        <v>20.38</v>
      </c>
      <c r="AB5171" s="3" t="s">
        <v>56</v>
      </c>
      <c r="AC5171" s="3" t="s">
        <v>17481</v>
      </c>
      <c r="AD5171" s="9">
        <v>43355</v>
      </c>
      <c r="AE5171" s="3" t="s">
        <v>110</v>
      </c>
      <c r="AF5171" s="3" t="s">
        <v>1115</v>
      </c>
      <c r="AG5171" s="3" t="s">
        <v>81</v>
      </c>
      <c r="AH5171" s="11">
        <f>HYPERLINK("https://my.pitchbook.com?c=112016-35T","View Company Online")</f>
      </c>
    </row>
    <row r="5172">
      <c r="A5172" s="12" t="s">
        <v>24621</v>
      </c>
      <c r="B5172" s="12" t="s">
        <v>24622</v>
      </c>
      <c r="C5172" s="19" t="s">
        <v>36</v>
      </c>
      <c r="D5172" s="19" t="s">
        <v>36</v>
      </c>
      <c r="E5172" s="19">
        <v>1</v>
      </c>
      <c r="F5172" s="19">
        <v>1</v>
      </c>
      <c r="G5172" s="15" t="s">
        <v>683</v>
      </c>
      <c r="H5172" s="14">
        <v>311.57</v>
      </c>
      <c r="I5172" s="18">
        <v>12.82</v>
      </c>
      <c r="J5172" s="12" t="s">
        <v>521</v>
      </c>
      <c r="K5172" s="13" t="s">
        <v>36</v>
      </c>
      <c r="L5172" s="15" t="s">
        <v>122</v>
      </c>
      <c r="M5172" s="12" t="s">
        <v>36</v>
      </c>
      <c r="N5172" s="12" t="s">
        <v>122</v>
      </c>
      <c r="O5172" s="17" t="s">
        <v>36</v>
      </c>
      <c r="P5172" s="12" t="s">
        <v>36</v>
      </c>
      <c r="Q5172" s="12" t="s">
        <v>36</v>
      </c>
      <c r="R5172" s="12" t="s">
        <v>36</v>
      </c>
      <c r="S5172" s="12" t="s">
        <v>36</v>
      </c>
      <c r="T5172" s="12" t="s">
        <v>105</v>
      </c>
      <c r="U5172" s="12" t="s">
        <v>38</v>
      </c>
      <c r="V5172" s="12" t="s">
        <v>39</v>
      </c>
      <c r="W5172" s="12" t="s">
        <v>24623</v>
      </c>
      <c r="X5172" s="16" t="s">
        <v>24624</v>
      </c>
      <c r="Y5172" s="15" t="s">
        <v>42</v>
      </c>
      <c r="Z5172" s="14">
        <v>0.58</v>
      </c>
      <c r="AA5172" s="14">
        <v>4.51</v>
      </c>
      <c r="AB5172" s="12" t="s">
        <v>56</v>
      </c>
      <c r="AC5172" s="12" t="s">
        <v>24625</v>
      </c>
      <c r="AD5172" s="13">
        <v>43355</v>
      </c>
      <c r="AE5172" s="12" t="s">
        <v>110</v>
      </c>
      <c r="AF5172" s="12" t="s">
        <v>2350</v>
      </c>
      <c r="AG5172" s="12" t="s">
        <v>24626</v>
      </c>
      <c r="AH5172" s="1">
        <f>HYPERLINK("https://my.pitchbook.com?c=193169-17T","View Company Online")</f>
      </c>
    </row>
    <row r="5173">
      <c r="A5173" s="3" t="s">
        <v>24627</v>
      </c>
      <c r="B5173" s="3" t="s">
        <v>24628</v>
      </c>
      <c r="C5173" s="5" t="s">
        <v>36</v>
      </c>
      <c r="D5173" s="5">
        <v>2</v>
      </c>
      <c r="E5173" s="5">
        <v>1</v>
      </c>
      <c r="F5173" s="5">
        <v>2</v>
      </c>
      <c r="G5173" s="6" t="s">
        <v>36</v>
      </c>
      <c r="H5173" s="4">
        <v>727</v>
      </c>
      <c r="I5173" s="7">
        <v>33.33</v>
      </c>
      <c r="J5173" s="3" t="s">
        <v>521</v>
      </c>
      <c r="K5173" s="9">
        <v>43300</v>
      </c>
      <c r="L5173" s="6" t="s">
        <v>36</v>
      </c>
      <c r="M5173" s="3" t="s">
        <v>36</v>
      </c>
      <c r="N5173" s="3" t="s">
        <v>36</v>
      </c>
      <c r="O5173" s="8" t="s">
        <v>36</v>
      </c>
      <c r="P5173" s="3" t="s">
        <v>36</v>
      </c>
      <c r="Q5173" s="3" t="s">
        <v>36</v>
      </c>
      <c r="R5173" s="3" t="s">
        <v>36</v>
      </c>
      <c r="S5173" s="3" t="s">
        <v>36</v>
      </c>
      <c r="T5173" s="3" t="s">
        <v>4509</v>
      </c>
      <c r="U5173" s="3" t="s">
        <v>1091</v>
      </c>
      <c r="V5173" s="3" t="s">
        <v>378</v>
      </c>
      <c r="W5173" s="3" t="s">
        <v>24629</v>
      </c>
      <c r="X5173" s="10" t="s">
        <v>24630</v>
      </c>
      <c r="Y5173" s="6" t="s">
        <v>42</v>
      </c>
      <c r="Z5173" s="4">
        <v>1.16</v>
      </c>
      <c r="AA5173" s="4">
        <v>2.43</v>
      </c>
      <c r="AB5173" s="3" t="s">
        <v>43</v>
      </c>
      <c r="AC5173" s="3" t="s">
        <v>24631</v>
      </c>
      <c r="AD5173" s="9">
        <v>43355</v>
      </c>
      <c r="AE5173" s="3" t="s">
        <v>1095</v>
      </c>
      <c r="AF5173" s="3" t="s">
        <v>372</v>
      </c>
      <c r="AG5173" s="3" t="s">
        <v>1078</v>
      </c>
      <c r="AH5173" s="11">
        <f>HYPERLINK("https://my.pitchbook.com?c=120434-77T","View Company Online")</f>
      </c>
    </row>
    <row r="5174">
      <c r="A5174" s="12" t="s">
        <v>24632</v>
      </c>
      <c r="B5174" s="12" t="s">
        <v>24633</v>
      </c>
      <c r="C5174" s="19" t="s">
        <v>36</v>
      </c>
      <c r="D5174" s="19" t="s">
        <v>36</v>
      </c>
      <c r="E5174" s="19" t="s">
        <v>36</v>
      </c>
      <c r="F5174" s="19" t="s">
        <v>36</v>
      </c>
      <c r="G5174" s="15" t="s">
        <v>36</v>
      </c>
      <c r="H5174" s="14">
        <v>166.17</v>
      </c>
      <c r="I5174" s="18">
        <v>24.7</v>
      </c>
      <c r="J5174" s="12" t="s">
        <v>521</v>
      </c>
      <c r="K5174" s="13" t="s">
        <v>36</v>
      </c>
      <c r="L5174" s="15" t="s">
        <v>36</v>
      </c>
      <c r="M5174" s="12" t="s">
        <v>36</v>
      </c>
      <c r="N5174" s="12" t="s">
        <v>36</v>
      </c>
      <c r="O5174" s="17" t="s">
        <v>36</v>
      </c>
      <c r="P5174" s="12" t="s">
        <v>36</v>
      </c>
      <c r="Q5174" s="12" t="s">
        <v>36</v>
      </c>
      <c r="R5174" s="12" t="s">
        <v>36</v>
      </c>
      <c r="S5174" s="12" t="s">
        <v>36</v>
      </c>
      <c r="T5174" s="12" t="s">
        <v>811</v>
      </c>
      <c r="U5174" s="12" t="s">
        <v>38</v>
      </c>
      <c r="V5174" s="12" t="s">
        <v>39</v>
      </c>
      <c r="W5174" s="12" t="s">
        <v>24634</v>
      </c>
      <c r="X5174" s="16" t="s">
        <v>24635</v>
      </c>
      <c r="Y5174" s="15" t="s">
        <v>42</v>
      </c>
      <c r="Z5174" s="14">
        <v>1.21</v>
      </c>
      <c r="AA5174" s="14">
        <v>4.91</v>
      </c>
      <c r="AB5174" s="12" t="s">
        <v>43</v>
      </c>
      <c r="AC5174" s="12" t="s">
        <v>24636</v>
      </c>
      <c r="AD5174" s="13">
        <v>43355</v>
      </c>
      <c r="AE5174" s="12" t="s">
        <v>339</v>
      </c>
      <c r="AF5174" s="12" t="s">
        <v>4060</v>
      </c>
      <c r="AG5174" s="12" t="s">
        <v>81</v>
      </c>
      <c r="AH5174" s="1">
        <f>HYPERLINK("https://my.pitchbook.com?c=117149-95T","View Company Online")</f>
      </c>
    </row>
    <row r="5175">
      <c r="A5175" s="3" t="s">
        <v>24637</v>
      </c>
      <c r="B5175" s="3" t="s">
        <v>24638</v>
      </c>
      <c r="C5175" s="5">
        <v>19</v>
      </c>
      <c r="D5175" s="5">
        <v>53</v>
      </c>
      <c r="E5175" s="5">
        <v>26</v>
      </c>
      <c r="F5175" s="5">
        <v>80</v>
      </c>
      <c r="G5175" s="6" t="s">
        <v>326</v>
      </c>
      <c r="H5175" s="4">
        <v>182.27</v>
      </c>
      <c r="I5175" s="7">
        <v>37.67</v>
      </c>
      <c r="J5175" s="3" t="s">
        <v>521</v>
      </c>
      <c r="K5175" s="9" t="s">
        <v>36</v>
      </c>
      <c r="L5175" s="6" t="s">
        <v>36</v>
      </c>
      <c r="M5175" s="3" t="s">
        <v>36</v>
      </c>
      <c r="N5175" s="3" t="s">
        <v>36</v>
      </c>
      <c r="O5175" s="8" t="s">
        <v>36</v>
      </c>
      <c r="P5175" s="3" t="s">
        <v>36</v>
      </c>
      <c r="Q5175" s="3" t="s">
        <v>36</v>
      </c>
      <c r="R5175" s="3" t="s">
        <v>36</v>
      </c>
      <c r="S5175" s="3" t="s">
        <v>36</v>
      </c>
      <c r="T5175" s="3" t="s">
        <v>24639</v>
      </c>
      <c r="U5175" s="3" t="s">
        <v>318</v>
      </c>
      <c r="V5175" s="3" t="s">
        <v>39</v>
      </c>
      <c r="W5175" s="3" t="s">
        <v>24640</v>
      </c>
      <c r="X5175" s="10" t="s">
        <v>24641</v>
      </c>
      <c r="Y5175" s="6" t="s">
        <v>108</v>
      </c>
      <c r="Z5175" s="4">
        <v>13.29</v>
      </c>
      <c r="AA5175" s="4">
        <v>35.28</v>
      </c>
      <c r="AB5175" s="3" t="s">
        <v>56</v>
      </c>
      <c r="AC5175" s="3" t="s">
        <v>24642</v>
      </c>
      <c r="AD5175" s="9">
        <v>43354</v>
      </c>
      <c r="AE5175" s="3" t="s">
        <v>763</v>
      </c>
      <c r="AF5175" s="3" t="s">
        <v>24643</v>
      </c>
      <c r="AG5175" s="3" t="s">
        <v>24644</v>
      </c>
      <c r="AH5175" s="11">
        <f>HYPERLINK("https://my.pitchbook.com?c=111563-56T","View Company Online")</f>
      </c>
    </row>
    <row r="5176">
      <c r="A5176" s="12" t="s">
        <v>24645</v>
      </c>
      <c r="B5176" s="12" t="s">
        <v>535</v>
      </c>
      <c r="C5176" s="19" t="s">
        <v>36</v>
      </c>
      <c r="D5176" s="19" t="s">
        <v>36</v>
      </c>
      <c r="E5176" s="19" t="s">
        <v>36</v>
      </c>
      <c r="F5176" s="19" t="s">
        <v>36</v>
      </c>
      <c r="G5176" s="15" t="s">
        <v>326</v>
      </c>
      <c r="H5176" s="14">
        <v>15.41</v>
      </c>
      <c r="I5176" s="18">
        <v>21.89</v>
      </c>
      <c r="J5176" s="12" t="s">
        <v>521</v>
      </c>
      <c r="K5176" s="13" t="s">
        <v>36</v>
      </c>
      <c r="L5176" s="15" t="s">
        <v>36</v>
      </c>
      <c r="M5176" s="12" t="s">
        <v>36</v>
      </c>
      <c r="N5176" s="12" t="s">
        <v>36</v>
      </c>
      <c r="O5176" s="17" t="s">
        <v>36</v>
      </c>
      <c r="P5176" s="12" t="s">
        <v>36</v>
      </c>
      <c r="Q5176" s="12" t="s">
        <v>36</v>
      </c>
      <c r="R5176" s="12" t="s">
        <v>36</v>
      </c>
      <c r="S5176" s="12" t="s">
        <v>36</v>
      </c>
      <c r="T5176" s="12" t="s">
        <v>522</v>
      </c>
      <c r="U5176" s="12" t="s">
        <v>38</v>
      </c>
      <c r="V5176" s="12" t="s">
        <v>39</v>
      </c>
      <c r="W5176" s="12" t="s">
        <v>536</v>
      </c>
      <c r="X5176" s="16" t="s">
        <v>24646</v>
      </c>
      <c r="Y5176" s="15" t="s">
        <v>55</v>
      </c>
      <c r="Z5176" s="14">
        <v>22.88</v>
      </c>
      <c r="AA5176" s="14">
        <v>104.52</v>
      </c>
      <c r="AB5176" s="12" t="s">
        <v>56</v>
      </c>
      <c r="AC5176" s="12" t="s">
        <v>538</v>
      </c>
      <c r="AD5176" s="13">
        <v>43354</v>
      </c>
      <c r="AE5176" s="12" t="s">
        <v>110</v>
      </c>
      <c r="AF5176" s="12" t="s">
        <v>526</v>
      </c>
      <c r="AG5176" s="12" t="s">
        <v>539</v>
      </c>
      <c r="AH5176" s="1">
        <f>HYPERLINK("https://my.pitchbook.com?c=178051-06T","View Company Online")</f>
      </c>
    </row>
    <row r="5177">
      <c r="A5177" s="3" t="s">
        <v>24647</v>
      </c>
      <c r="B5177" s="3" t="s">
        <v>11470</v>
      </c>
      <c r="C5177" s="5" t="s">
        <v>36</v>
      </c>
      <c r="D5177" s="5" t="s">
        <v>36</v>
      </c>
      <c r="E5177" s="5" t="s">
        <v>36</v>
      </c>
      <c r="F5177" s="5" t="s">
        <v>36</v>
      </c>
      <c r="G5177" s="6" t="s">
        <v>326</v>
      </c>
      <c r="H5177" s="4">
        <v>166.17</v>
      </c>
      <c r="I5177" s="7">
        <v>52.17</v>
      </c>
      <c r="J5177" s="3" t="s">
        <v>521</v>
      </c>
      <c r="K5177" s="9" t="s">
        <v>36</v>
      </c>
      <c r="L5177" s="6" t="s">
        <v>36</v>
      </c>
      <c r="M5177" s="3" t="s">
        <v>36</v>
      </c>
      <c r="N5177" s="3" t="s">
        <v>36</v>
      </c>
      <c r="O5177" s="8" t="s">
        <v>36</v>
      </c>
      <c r="P5177" s="3" t="s">
        <v>36</v>
      </c>
      <c r="Q5177" s="3" t="s">
        <v>36</v>
      </c>
      <c r="R5177" s="3" t="s">
        <v>36</v>
      </c>
      <c r="S5177" s="3" t="s">
        <v>36</v>
      </c>
      <c r="T5177" s="3" t="s">
        <v>11471</v>
      </c>
      <c r="U5177" s="3" t="s">
        <v>648</v>
      </c>
      <c r="V5177" s="3" t="s">
        <v>64</v>
      </c>
      <c r="W5177" s="3" t="s">
        <v>11472</v>
      </c>
      <c r="X5177" s="10" t="s">
        <v>24648</v>
      </c>
      <c r="Y5177" s="6" t="s">
        <v>42</v>
      </c>
      <c r="Z5177" s="4">
        <v>1.39</v>
      </c>
      <c r="AA5177" s="4">
        <v>2.67</v>
      </c>
      <c r="AB5177" s="3" t="s">
        <v>43</v>
      </c>
      <c r="AC5177" s="3" t="s">
        <v>11473</v>
      </c>
      <c r="AD5177" s="9">
        <v>43354</v>
      </c>
      <c r="AE5177" s="3" t="s">
        <v>1897</v>
      </c>
      <c r="AF5177" s="3" t="s">
        <v>4276</v>
      </c>
      <c r="AG5177" s="3" t="s">
        <v>102</v>
      </c>
      <c r="AH5177" s="11">
        <f>HYPERLINK("https://my.pitchbook.com?c=112522-96T","View Company Online")</f>
      </c>
    </row>
    <row r="5178">
      <c r="A5178" s="12" t="s">
        <v>24649</v>
      </c>
      <c r="B5178" s="12" t="s">
        <v>9111</v>
      </c>
      <c r="C5178" s="19">
        <v>3</v>
      </c>
      <c r="D5178" s="19">
        <v>6</v>
      </c>
      <c r="E5178" s="19">
        <v>2</v>
      </c>
      <c r="F5178" s="19">
        <v>11</v>
      </c>
      <c r="G5178" s="15" t="s">
        <v>326</v>
      </c>
      <c r="H5178" s="14">
        <v>1.27</v>
      </c>
      <c r="I5178" s="18">
        <v>39.72</v>
      </c>
      <c r="J5178" s="12" t="s">
        <v>521</v>
      </c>
      <c r="K5178" s="13">
        <v>43307</v>
      </c>
      <c r="L5178" s="15" t="s">
        <v>94</v>
      </c>
      <c r="M5178" s="12" t="s">
        <v>36</v>
      </c>
      <c r="N5178" s="12" t="s">
        <v>94</v>
      </c>
      <c r="O5178" s="17" t="s">
        <v>36</v>
      </c>
      <c r="P5178" s="12" t="s">
        <v>36</v>
      </c>
      <c r="Q5178" s="12" t="s">
        <v>36</v>
      </c>
      <c r="R5178" s="12" t="s">
        <v>36</v>
      </c>
      <c r="S5178" s="12" t="s">
        <v>36</v>
      </c>
      <c r="T5178" s="12" t="s">
        <v>9112</v>
      </c>
      <c r="U5178" s="12" t="s">
        <v>38</v>
      </c>
      <c r="V5178" s="12" t="s">
        <v>39</v>
      </c>
      <c r="W5178" s="12" t="s">
        <v>9113</v>
      </c>
      <c r="X5178" s="16" t="s">
        <v>24650</v>
      </c>
      <c r="Y5178" s="15" t="s">
        <v>108</v>
      </c>
      <c r="Z5178" s="14">
        <v>24.02</v>
      </c>
      <c r="AA5178" s="14">
        <v>52.03</v>
      </c>
      <c r="AB5178" s="12" t="s">
        <v>56</v>
      </c>
      <c r="AC5178" s="12" t="s">
        <v>9115</v>
      </c>
      <c r="AD5178" s="13">
        <v>43354</v>
      </c>
      <c r="AE5178" s="12" t="s">
        <v>110</v>
      </c>
      <c r="AF5178" s="12" t="s">
        <v>176</v>
      </c>
      <c r="AG5178" s="12" t="s">
        <v>47</v>
      </c>
      <c r="AH5178" s="1">
        <f>HYPERLINK("https://my.pitchbook.com?c=111563-29T","View Company Online")</f>
      </c>
    </row>
    <row r="5179">
      <c r="A5179" s="3" t="s">
        <v>24651</v>
      </c>
      <c r="B5179" s="3" t="s">
        <v>24652</v>
      </c>
      <c r="C5179" s="5" t="s">
        <v>36</v>
      </c>
      <c r="D5179" s="5" t="s">
        <v>36</v>
      </c>
      <c r="E5179" s="5" t="s">
        <v>36</v>
      </c>
      <c r="F5179" s="5" t="s">
        <v>36</v>
      </c>
      <c r="G5179" s="6" t="s">
        <v>36</v>
      </c>
      <c r="H5179" s="4">
        <v>17.23</v>
      </c>
      <c r="I5179" s="7">
        <v>20.72</v>
      </c>
      <c r="J5179" s="3" t="s">
        <v>521</v>
      </c>
      <c r="K5179" s="9">
        <v>43305</v>
      </c>
      <c r="L5179" s="6" t="s">
        <v>36</v>
      </c>
      <c r="M5179" s="3" t="s">
        <v>36</v>
      </c>
      <c r="N5179" s="3" t="s">
        <v>36</v>
      </c>
      <c r="O5179" s="8" t="s">
        <v>36</v>
      </c>
      <c r="P5179" s="3" t="s">
        <v>36</v>
      </c>
      <c r="Q5179" s="3" t="s">
        <v>36</v>
      </c>
      <c r="R5179" s="3" t="s">
        <v>36</v>
      </c>
      <c r="S5179" s="3" t="s">
        <v>36</v>
      </c>
      <c r="T5179" s="3" t="s">
        <v>24653</v>
      </c>
      <c r="U5179" s="3" t="s">
        <v>38</v>
      </c>
      <c r="V5179" s="3" t="s">
        <v>39</v>
      </c>
      <c r="W5179" s="3" t="s">
        <v>24654</v>
      </c>
      <c r="X5179" s="10" t="s">
        <v>24655</v>
      </c>
      <c r="Y5179" s="6" t="s">
        <v>42</v>
      </c>
      <c r="Z5179" s="4">
        <v>2.31</v>
      </c>
      <c r="AA5179" s="4">
        <v>3.3</v>
      </c>
      <c r="AB5179" s="3" t="s">
        <v>56</v>
      </c>
      <c r="AC5179" s="3" t="s">
        <v>24656</v>
      </c>
      <c r="AD5179" s="9">
        <v>43354</v>
      </c>
      <c r="AE5179" s="3" t="s">
        <v>554</v>
      </c>
      <c r="AF5179" s="3" t="s">
        <v>24657</v>
      </c>
      <c r="AG5179" s="3" t="s">
        <v>81</v>
      </c>
      <c r="AH5179" s="11">
        <f>HYPERLINK("https://my.pitchbook.com?c=116204-05T","View Company Online")</f>
      </c>
    </row>
    <row r="5180">
      <c r="A5180" s="12" t="s">
        <v>24658</v>
      </c>
      <c r="B5180" s="12" t="s">
        <v>24659</v>
      </c>
      <c r="C5180" s="19" t="s">
        <v>36</v>
      </c>
      <c r="D5180" s="19" t="s">
        <v>36</v>
      </c>
      <c r="E5180" s="19" t="s">
        <v>36</v>
      </c>
      <c r="F5180" s="19" t="s">
        <v>36</v>
      </c>
      <c r="G5180" s="15" t="s">
        <v>36</v>
      </c>
      <c r="H5180" s="14">
        <v>60.13</v>
      </c>
      <c r="I5180" s="18">
        <v>13.63</v>
      </c>
      <c r="J5180" s="12" t="s">
        <v>521</v>
      </c>
      <c r="K5180" s="13" t="s">
        <v>36</v>
      </c>
      <c r="L5180" s="15" t="s">
        <v>36</v>
      </c>
      <c r="M5180" s="12" t="s">
        <v>36</v>
      </c>
      <c r="N5180" s="12" t="s">
        <v>36</v>
      </c>
      <c r="O5180" s="17" t="s">
        <v>36</v>
      </c>
      <c r="P5180" s="12" t="s">
        <v>36</v>
      </c>
      <c r="Q5180" s="12" t="s">
        <v>36</v>
      </c>
      <c r="R5180" s="12" t="s">
        <v>36</v>
      </c>
      <c r="S5180" s="12" t="s">
        <v>36</v>
      </c>
      <c r="T5180" s="12" t="s">
        <v>847</v>
      </c>
      <c r="U5180" s="12" t="s">
        <v>279</v>
      </c>
      <c r="V5180" s="12" t="s">
        <v>64</v>
      </c>
      <c r="W5180" s="12" t="s">
        <v>24660</v>
      </c>
      <c r="X5180" s="16" t="s">
        <v>7099</v>
      </c>
      <c r="Y5180" s="15" t="s">
        <v>42</v>
      </c>
      <c r="Z5180" s="14">
        <v>0.35</v>
      </c>
      <c r="AA5180" s="14">
        <v>2.54</v>
      </c>
      <c r="AB5180" s="12" t="s">
        <v>56</v>
      </c>
      <c r="AC5180" s="12" t="s">
        <v>24661</v>
      </c>
      <c r="AD5180" s="13">
        <v>43354</v>
      </c>
      <c r="AE5180" s="12" t="s">
        <v>851</v>
      </c>
      <c r="AF5180" s="12" t="s">
        <v>36</v>
      </c>
      <c r="AG5180" s="12" t="s">
        <v>969</v>
      </c>
      <c r="AH5180" s="1">
        <f>HYPERLINK("https://my.pitchbook.com?c=204533-83T","View Company Online")</f>
      </c>
    </row>
    <row r="5181">
      <c r="A5181" s="3" t="s">
        <v>24662</v>
      </c>
      <c r="B5181" s="3" t="s">
        <v>24663</v>
      </c>
      <c r="C5181" s="5" t="s">
        <v>36</v>
      </c>
      <c r="D5181" s="5" t="s">
        <v>36</v>
      </c>
      <c r="E5181" s="5" t="s">
        <v>36</v>
      </c>
      <c r="F5181" s="5" t="s">
        <v>36</v>
      </c>
      <c r="G5181" s="6" t="s">
        <v>36</v>
      </c>
      <c r="H5181" s="4">
        <v>0.24</v>
      </c>
      <c r="I5181" s="7">
        <v>19.48</v>
      </c>
      <c r="J5181" s="3" t="s">
        <v>521</v>
      </c>
      <c r="K5181" s="9" t="s">
        <v>36</v>
      </c>
      <c r="L5181" s="6" t="s">
        <v>36</v>
      </c>
      <c r="M5181" s="3" t="s">
        <v>36</v>
      </c>
      <c r="N5181" s="3" t="s">
        <v>36</v>
      </c>
      <c r="O5181" s="8" t="s">
        <v>36</v>
      </c>
      <c r="P5181" s="3" t="s">
        <v>36</v>
      </c>
      <c r="Q5181" s="3" t="s">
        <v>36</v>
      </c>
      <c r="R5181" s="3" t="s">
        <v>36</v>
      </c>
      <c r="S5181" s="3" t="s">
        <v>36</v>
      </c>
      <c r="T5181" s="3" t="s">
        <v>522</v>
      </c>
      <c r="U5181" s="3" t="s">
        <v>38</v>
      </c>
      <c r="V5181" s="3" t="s">
        <v>39</v>
      </c>
      <c r="W5181" s="3" t="s">
        <v>24664</v>
      </c>
      <c r="X5181" s="10" t="s">
        <v>24665</v>
      </c>
      <c r="Y5181" s="6" t="s">
        <v>192</v>
      </c>
      <c r="Z5181" s="4">
        <v>1.34</v>
      </c>
      <c r="AA5181" s="4">
        <v>6.87</v>
      </c>
      <c r="AB5181" s="3" t="s">
        <v>56</v>
      </c>
      <c r="AC5181" s="3" t="s">
        <v>24666</v>
      </c>
      <c r="AD5181" s="9">
        <v>43354</v>
      </c>
      <c r="AE5181" s="3" t="s">
        <v>110</v>
      </c>
      <c r="AF5181" s="3" t="s">
        <v>24667</v>
      </c>
      <c r="AG5181" s="3" t="s">
        <v>2088</v>
      </c>
      <c r="AH5181" s="11">
        <f>HYPERLINK("https://my.pitchbook.com?c=135967-87T","View Company Online")</f>
      </c>
    </row>
    <row r="5182">
      <c r="A5182" s="12" t="s">
        <v>24668</v>
      </c>
      <c r="B5182" s="12" t="s">
        <v>13439</v>
      </c>
      <c r="C5182" s="19" t="s">
        <v>36</v>
      </c>
      <c r="D5182" s="19" t="s">
        <v>36</v>
      </c>
      <c r="E5182" s="19" t="s">
        <v>36</v>
      </c>
      <c r="F5182" s="19" t="s">
        <v>36</v>
      </c>
      <c r="G5182" s="15" t="s">
        <v>36</v>
      </c>
      <c r="H5182" s="14">
        <v>8.82</v>
      </c>
      <c r="I5182" s="18">
        <v>22.23</v>
      </c>
      <c r="J5182" s="12" t="s">
        <v>521</v>
      </c>
      <c r="K5182" s="13" t="s">
        <v>36</v>
      </c>
      <c r="L5182" s="15" t="s">
        <v>122</v>
      </c>
      <c r="M5182" s="12" t="s">
        <v>36</v>
      </c>
      <c r="N5182" s="12" t="s">
        <v>122</v>
      </c>
      <c r="O5182" s="17" t="s">
        <v>36</v>
      </c>
      <c r="P5182" s="12" t="s">
        <v>36</v>
      </c>
      <c r="Q5182" s="12" t="s">
        <v>36</v>
      </c>
      <c r="R5182" s="12" t="s">
        <v>36</v>
      </c>
      <c r="S5182" s="12" t="s">
        <v>36</v>
      </c>
      <c r="T5182" s="12" t="s">
        <v>522</v>
      </c>
      <c r="U5182" s="12" t="s">
        <v>38</v>
      </c>
      <c r="V5182" s="12" t="s">
        <v>39</v>
      </c>
      <c r="W5182" s="12" t="s">
        <v>13440</v>
      </c>
      <c r="X5182" s="16" t="s">
        <v>24669</v>
      </c>
      <c r="Y5182" s="15" t="s">
        <v>108</v>
      </c>
      <c r="Z5182" s="14">
        <v>4.21</v>
      </c>
      <c r="AA5182" s="14">
        <v>18.92</v>
      </c>
      <c r="AB5182" s="12" t="s">
        <v>43</v>
      </c>
      <c r="AC5182" s="12" t="s">
        <v>13442</v>
      </c>
      <c r="AD5182" s="13">
        <v>43354</v>
      </c>
      <c r="AE5182" s="12" t="s">
        <v>110</v>
      </c>
      <c r="AF5182" s="12" t="s">
        <v>7844</v>
      </c>
      <c r="AG5182" s="12" t="s">
        <v>81</v>
      </c>
      <c r="AH5182" s="1">
        <f>HYPERLINK("https://my.pitchbook.com?c=111570-04T","View Company Online")</f>
      </c>
    </row>
    <row r="5183">
      <c r="A5183" s="3" t="s">
        <v>24670</v>
      </c>
      <c r="B5183" s="3" t="s">
        <v>4235</v>
      </c>
      <c r="C5183" s="5">
        <v>4</v>
      </c>
      <c r="D5183" s="5" t="s">
        <v>36</v>
      </c>
      <c r="E5183" s="5">
        <v>3</v>
      </c>
      <c r="F5183" s="5">
        <v>4</v>
      </c>
      <c r="G5183" s="6" t="s">
        <v>36</v>
      </c>
      <c r="H5183" s="4" t="s">
        <v>36</v>
      </c>
      <c r="I5183" s="7" t="s">
        <v>36</v>
      </c>
      <c r="J5183" s="3" t="s">
        <v>36</v>
      </c>
      <c r="K5183" s="9" t="s">
        <v>36</v>
      </c>
      <c r="L5183" s="6" t="s">
        <v>36</v>
      </c>
      <c r="M5183" s="3" t="s">
        <v>36</v>
      </c>
      <c r="N5183" s="3" t="s">
        <v>36</v>
      </c>
      <c r="O5183" s="8" t="s">
        <v>36</v>
      </c>
      <c r="P5183" s="3" t="s">
        <v>36</v>
      </c>
      <c r="Q5183" s="3" t="s">
        <v>36</v>
      </c>
      <c r="R5183" s="3" t="s">
        <v>36</v>
      </c>
      <c r="S5183" s="3" t="s">
        <v>4236</v>
      </c>
      <c r="T5183" s="3" t="s">
        <v>4237</v>
      </c>
      <c r="U5183" s="3" t="s">
        <v>219</v>
      </c>
      <c r="V5183" s="3" t="s">
        <v>75</v>
      </c>
      <c r="W5183" s="3" t="s">
        <v>4238</v>
      </c>
      <c r="X5183" s="10" t="s">
        <v>24671</v>
      </c>
      <c r="Y5183" s="6" t="s">
        <v>42</v>
      </c>
      <c r="Z5183" s="4">
        <v>8.65</v>
      </c>
      <c r="AA5183" s="4" t="s">
        <v>36</v>
      </c>
      <c r="AB5183" s="3" t="s">
        <v>43</v>
      </c>
      <c r="AC5183" s="3" t="s">
        <v>4240</v>
      </c>
      <c r="AD5183" s="9">
        <v>43350</v>
      </c>
      <c r="AE5183" s="3" t="s">
        <v>243</v>
      </c>
      <c r="AF5183" s="3" t="s">
        <v>4241</v>
      </c>
      <c r="AG5183" s="3" t="s">
        <v>1078</v>
      </c>
      <c r="AH5183" s="11">
        <f>HYPERLINK("https://my.pitchbook.com?c=122865-04T","View Company Online")</f>
      </c>
    </row>
    <row r="5184">
      <c r="A5184" s="12" t="s">
        <v>24672</v>
      </c>
      <c r="B5184" s="12" t="s">
        <v>6749</v>
      </c>
      <c r="C5184" s="19">
        <v>2</v>
      </c>
      <c r="D5184" s="19">
        <v>4</v>
      </c>
      <c r="E5184" s="19">
        <v>2</v>
      </c>
      <c r="F5184" s="19">
        <v>7</v>
      </c>
      <c r="G5184" s="15" t="s">
        <v>36</v>
      </c>
      <c r="H5184" s="14">
        <v>14.22</v>
      </c>
      <c r="I5184" s="18">
        <v>31.7</v>
      </c>
      <c r="J5184" s="12" t="s">
        <v>521</v>
      </c>
      <c r="K5184" s="13" t="s">
        <v>36</v>
      </c>
      <c r="L5184" s="15" t="s">
        <v>36</v>
      </c>
      <c r="M5184" s="12" t="s">
        <v>36</v>
      </c>
      <c r="N5184" s="12" t="s">
        <v>36</v>
      </c>
      <c r="O5184" s="17" t="s">
        <v>36</v>
      </c>
      <c r="P5184" s="12" t="s">
        <v>36</v>
      </c>
      <c r="Q5184" s="12" t="s">
        <v>36</v>
      </c>
      <c r="R5184" s="12" t="s">
        <v>36</v>
      </c>
      <c r="S5184" s="12" t="s">
        <v>36</v>
      </c>
      <c r="T5184" s="12" t="s">
        <v>6750</v>
      </c>
      <c r="U5184" s="12" t="s">
        <v>318</v>
      </c>
      <c r="V5184" s="12" t="s">
        <v>39</v>
      </c>
      <c r="W5184" s="12" t="s">
        <v>6751</v>
      </c>
      <c r="X5184" s="16" t="s">
        <v>24673</v>
      </c>
      <c r="Y5184" s="15" t="s">
        <v>42</v>
      </c>
      <c r="Z5184" s="14">
        <v>1.15</v>
      </c>
      <c r="AA5184" s="14">
        <v>2.56</v>
      </c>
      <c r="AB5184" s="12" t="s">
        <v>43</v>
      </c>
      <c r="AC5184" s="12" t="s">
        <v>6753</v>
      </c>
      <c r="AD5184" s="13">
        <v>43349</v>
      </c>
      <c r="AE5184" s="12" t="s">
        <v>323</v>
      </c>
      <c r="AF5184" s="12" t="s">
        <v>571</v>
      </c>
      <c r="AG5184" s="12" t="s">
        <v>81</v>
      </c>
      <c r="AH5184" s="1">
        <f>HYPERLINK("https://my.pitchbook.com?c=115206-31T","View Company Online")</f>
      </c>
    </row>
    <row r="5185">
      <c r="A5185" s="3" t="s">
        <v>24674</v>
      </c>
      <c r="B5185" s="3" t="s">
        <v>8514</v>
      </c>
      <c r="C5185" s="5" t="s">
        <v>36</v>
      </c>
      <c r="D5185" s="5" t="s">
        <v>36</v>
      </c>
      <c r="E5185" s="5" t="s">
        <v>36</v>
      </c>
      <c r="F5185" s="5" t="s">
        <v>36</v>
      </c>
      <c r="G5185" s="6" t="s">
        <v>36</v>
      </c>
      <c r="H5185" s="4" t="s">
        <v>36</v>
      </c>
      <c r="I5185" s="7" t="s">
        <v>36</v>
      </c>
      <c r="J5185" s="3" t="s">
        <v>36</v>
      </c>
      <c r="K5185" s="9" t="s">
        <v>36</v>
      </c>
      <c r="L5185" s="6" t="s">
        <v>36</v>
      </c>
      <c r="M5185" s="3" t="s">
        <v>36</v>
      </c>
      <c r="N5185" s="3" t="s">
        <v>36</v>
      </c>
      <c r="O5185" s="8" t="s">
        <v>36</v>
      </c>
      <c r="P5185" s="3" t="s">
        <v>36</v>
      </c>
      <c r="Q5185" s="3" t="s">
        <v>36</v>
      </c>
      <c r="R5185" s="3" t="s">
        <v>36</v>
      </c>
      <c r="S5185" s="3" t="s">
        <v>36</v>
      </c>
      <c r="T5185" s="3" t="s">
        <v>8515</v>
      </c>
      <c r="U5185" s="3" t="s">
        <v>279</v>
      </c>
      <c r="V5185" s="3" t="s">
        <v>64</v>
      </c>
      <c r="W5185" s="3" t="s">
        <v>8516</v>
      </c>
      <c r="X5185" s="10" t="s">
        <v>24675</v>
      </c>
      <c r="Y5185" s="6" t="s">
        <v>42</v>
      </c>
      <c r="Z5185" s="4">
        <v>7.62</v>
      </c>
      <c r="AA5185" s="4" t="s">
        <v>36</v>
      </c>
      <c r="AB5185" s="3" t="s">
        <v>43</v>
      </c>
      <c r="AC5185" s="3" t="s">
        <v>8518</v>
      </c>
      <c r="AD5185" s="9">
        <v>43349</v>
      </c>
      <c r="AE5185" s="3" t="s">
        <v>8519</v>
      </c>
      <c r="AF5185" s="3" t="s">
        <v>36</v>
      </c>
      <c r="AG5185" s="3" t="s">
        <v>81</v>
      </c>
      <c r="AH5185" s="11">
        <f>HYPERLINK("https://my.pitchbook.com?c=108369-46T","View Company Online")</f>
      </c>
    </row>
    <row r="5186">
      <c r="A5186" s="12" t="s">
        <v>24676</v>
      </c>
      <c r="B5186" s="12" t="s">
        <v>24677</v>
      </c>
      <c r="C5186" s="19">
        <v>1</v>
      </c>
      <c r="D5186" s="19">
        <v>2</v>
      </c>
      <c r="E5186" s="19">
        <v>1</v>
      </c>
      <c r="F5186" s="19">
        <v>3</v>
      </c>
      <c r="G5186" s="15" t="s">
        <v>326</v>
      </c>
      <c r="H5186" s="14">
        <v>924.32</v>
      </c>
      <c r="I5186" s="18">
        <v>21.29</v>
      </c>
      <c r="J5186" s="12" t="s">
        <v>521</v>
      </c>
      <c r="K5186" s="13" t="s">
        <v>36</v>
      </c>
      <c r="L5186" s="15" t="s">
        <v>36</v>
      </c>
      <c r="M5186" s="12" t="s">
        <v>36</v>
      </c>
      <c r="N5186" s="12" t="s">
        <v>36</v>
      </c>
      <c r="O5186" s="17" t="s">
        <v>36</v>
      </c>
      <c r="P5186" s="12" t="s">
        <v>36</v>
      </c>
      <c r="Q5186" s="12" t="s">
        <v>36</v>
      </c>
      <c r="R5186" s="12" t="s">
        <v>36</v>
      </c>
      <c r="S5186" s="12" t="s">
        <v>36</v>
      </c>
      <c r="T5186" s="12" t="s">
        <v>1305</v>
      </c>
      <c r="U5186" s="12" t="s">
        <v>38</v>
      </c>
      <c r="V5186" s="12" t="s">
        <v>39</v>
      </c>
      <c r="W5186" s="12" t="s">
        <v>24678</v>
      </c>
      <c r="X5186" s="16" t="s">
        <v>24679</v>
      </c>
      <c r="Y5186" s="15" t="s">
        <v>108</v>
      </c>
      <c r="Z5186" s="14">
        <v>1.15</v>
      </c>
      <c r="AA5186" s="14">
        <v>5.42</v>
      </c>
      <c r="AB5186" s="12" t="s">
        <v>43</v>
      </c>
      <c r="AC5186" s="12" t="s">
        <v>24680</v>
      </c>
      <c r="AD5186" s="13">
        <v>43349</v>
      </c>
      <c r="AE5186" s="12" t="s">
        <v>110</v>
      </c>
      <c r="AF5186" s="12" t="s">
        <v>24681</v>
      </c>
      <c r="AG5186" s="12" t="s">
        <v>382</v>
      </c>
      <c r="AH5186" s="1">
        <f>HYPERLINK("https://my.pitchbook.com?c=128266-39T","View Company Online")</f>
      </c>
    </row>
    <row r="5187">
      <c r="A5187" s="3" t="s">
        <v>24682</v>
      </c>
      <c r="B5187" s="3" t="s">
        <v>24683</v>
      </c>
      <c r="C5187" s="5" t="s">
        <v>36</v>
      </c>
      <c r="D5187" s="5" t="s">
        <v>36</v>
      </c>
      <c r="E5187" s="5" t="s">
        <v>36</v>
      </c>
      <c r="F5187" s="5" t="s">
        <v>36</v>
      </c>
      <c r="G5187" s="6" t="s">
        <v>2497</v>
      </c>
      <c r="H5187" s="4">
        <v>438.28</v>
      </c>
      <c r="I5187" s="7">
        <v>61.58</v>
      </c>
      <c r="J5187" s="3" t="s">
        <v>521</v>
      </c>
      <c r="K5187" s="9" t="s">
        <v>36</v>
      </c>
      <c r="L5187" s="6" t="s">
        <v>36</v>
      </c>
      <c r="M5187" s="3" t="s">
        <v>36</v>
      </c>
      <c r="N5187" s="3" t="s">
        <v>36</v>
      </c>
      <c r="O5187" s="8" t="s">
        <v>36</v>
      </c>
      <c r="P5187" s="3" t="s">
        <v>36</v>
      </c>
      <c r="Q5187" s="3" t="s">
        <v>36</v>
      </c>
      <c r="R5187" s="3" t="s">
        <v>36</v>
      </c>
      <c r="S5187" s="3" t="s">
        <v>36</v>
      </c>
      <c r="T5187" s="3" t="s">
        <v>3754</v>
      </c>
      <c r="U5187" s="3" t="s">
        <v>1357</v>
      </c>
      <c r="V5187" s="3" t="s">
        <v>52</v>
      </c>
      <c r="W5187" s="3" t="s">
        <v>24684</v>
      </c>
      <c r="X5187" s="10" t="s">
        <v>24685</v>
      </c>
      <c r="Y5187" s="6" t="s">
        <v>108</v>
      </c>
      <c r="Z5187" s="4">
        <v>2.92</v>
      </c>
      <c r="AA5187" s="4">
        <v>4.74</v>
      </c>
      <c r="AB5187" s="3" t="s">
        <v>43</v>
      </c>
      <c r="AC5187" s="3" t="s">
        <v>24686</v>
      </c>
      <c r="AD5187" s="9">
        <v>43348</v>
      </c>
      <c r="AE5187" s="3" t="s">
        <v>3204</v>
      </c>
      <c r="AF5187" s="3" t="s">
        <v>917</v>
      </c>
      <c r="AG5187" s="3" t="s">
        <v>81</v>
      </c>
      <c r="AH5187" s="11">
        <f>HYPERLINK("https://my.pitchbook.com?c=111322-36T","View Company Online")</f>
      </c>
    </row>
    <row r="5188">
      <c r="A5188" s="12" t="s">
        <v>24687</v>
      </c>
      <c r="B5188" s="12" t="s">
        <v>4664</v>
      </c>
      <c r="C5188" s="19" t="s">
        <v>36</v>
      </c>
      <c r="D5188" s="19" t="s">
        <v>36</v>
      </c>
      <c r="E5188" s="19" t="s">
        <v>36</v>
      </c>
      <c r="F5188" s="19" t="s">
        <v>36</v>
      </c>
      <c r="G5188" s="15" t="s">
        <v>326</v>
      </c>
      <c r="H5188" s="14">
        <v>685.74</v>
      </c>
      <c r="I5188" s="18">
        <v>28.57</v>
      </c>
      <c r="J5188" s="12" t="s">
        <v>521</v>
      </c>
      <c r="K5188" s="13" t="s">
        <v>36</v>
      </c>
      <c r="L5188" s="15" t="s">
        <v>36</v>
      </c>
      <c r="M5188" s="12" t="s">
        <v>36</v>
      </c>
      <c r="N5188" s="12" t="s">
        <v>36</v>
      </c>
      <c r="O5188" s="17" t="s">
        <v>36</v>
      </c>
      <c r="P5188" s="12" t="s">
        <v>36</v>
      </c>
      <c r="Q5188" s="12" t="s">
        <v>36</v>
      </c>
      <c r="R5188" s="12" t="s">
        <v>36</v>
      </c>
      <c r="S5188" s="12" t="s">
        <v>36</v>
      </c>
      <c r="T5188" s="12" t="s">
        <v>855</v>
      </c>
      <c r="U5188" s="12" t="s">
        <v>648</v>
      </c>
      <c r="V5188" s="12" t="s">
        <v>64</v>
      </c>
      <c r="W5188" s="12" t="s">
        <v>4665</v>
      </c>
      <c r="X5188" s="16" t="s">
        <v>24688</v>
      </c>
      <c r="Y5188" s="15" t="s">
        <v>108</v>
      </c>
      <c r="Z5188" s="14">
        <v>6.92</v>
      </c>
      <c r="AA5188" s="14">
        <v>16.15</v>
      </c>
      <c r="AB5188" s="12" t="s">
        <v>43</v>
      </c>
      <c r="AC5188" s="12" t="s">
        <v>4667</v>
      </c>
      <c r="AD5188" s="13">
        <v>43348</v>
      </c>
      <c r="AE5188" s="12" t="s">
        <v>651</v>
      </c>
      <c r="AF5188" s="12" t="s">
        <v>4668</v>
      </c>
      <c r="AG5188" s="12" t="s">
        <v>81</v>
      </c>
      <c r="AH5188" s="1">
        <f>HYPERLINK("https://my.pitchbook.com?c=116550-19T","View Company Online")</f>
      </c>
    </row>
    <row r="5189">
      <c r="A5189" s="3" t="s">
        <v>24689</v>
      </c>
      <c r="B5189" s="3" t="s">
        <v>24690</v>
      </c>
      <c r="C5189" s="5" t="s">
        <v>36</v>
      </c>
      <c r="D5189" s="5" t="s">
        <v>36</v>
      </c>
      <c r="E5189" s="5" t="s">
        <v>36</v>
      </c>
      <c r="F5189" s="5" t="s">
        <v>36</v>
      </c>
      <c r="G5189" s="6" t="s">
        <v>36</v>
      </c>
      <c r="H5189" s="4">
        <v>162.67</v>
      </c>
      <c r="I5189" s="7">
        <v>26.36</v>
      </c>
      <c r="J5189" s="3" t="s">
        <v>521</v>
      </c>
      <c r="K5189" s="9" t="s">
        <v>36</v>
      </c>
      <c r="L5189" s="6" t="s">
        <v>122</v>
      </c>
      <c r="M5189" s="3" t="s">
        <v>36</v>
      </c>
      <c r="N5189" s="3" t="s">
        <v>122</v>
      </c>
      <c r="O5189" s="8" t="s">
        <v>36</v>
      </c>
      <c r="P5189" s="3" t="s">
        <v>36</v>
      </c>
      <c r="Q5189" s="3" t="s">
        <v>36</v>
      </c>
      <c r="R5189" s="3" t="s">
        <v>36</v>
      </c>
      <c r="S5189" s="3" t="s">
        <v>36</v>
      </c>
      <c r="T5189" s="3" t="s">
        <v>8202</v>
      </c>
      <c r="U5189" s="3" t="s">
        <v>38</v>
      </c>
      <c r="V5189" s="3" t="s">
        <v>39</v>
      </c>
      <c r="W5189" s="3" t="s">
        <v>24691</v>
      </c>
      <c r="X5189" s="10" t="s">
        <v>24692</v>
      </c>
      <c r="Y5189" s="6" t="s">
        <v>108</v>
      </c>
      <c r="Z5189" s="4">
        <v>9.23</v>
      </c>
      <c r="AA5189" s="4">
        <v>35.03</v>
      </c>
      <c r="AB5189" s="3" t="s">
        <v>43</v>
      </c>
      <c r="AC5189" s="3" t="s">
        <v>24693</v>
      </c>
      <c r="AD5189" s="9">
        <v>43347</v>
      </c>
      <c r="AE5189" s="3" t="s">
        <v>45</v>
      </c>
      <c r="AF5189" s="3" t="s">
        <v>21031</v>
      </c>
      <c r="AG5189" s="3" t="s">
        <v>81</v>
      </c>
      <c r="AH5189" s="11">
        <f>HYPERLINK("https://my.pitchbook.com?c=111248-83T","View Company Online")</f>
      </c>
    </row>
    <row r="5190">
      <c r="A5190" s="12" t="s">
        <v>24694</v>
      </c>
      <c r="B5190" s="12" t="s">
        <v>5044</v>
      </c>
      <c r="C5190" s="19">
        <v>1</v>
      </c>
      <c r="D5190" s="19">
        <v>16</v>
      </c>
      <c r="E5190" s="19">
        <v>6</v>
      </c>
      <c r="F5190" s="19">
        <v>20</v>
      </c>
      <c r="G5190" s="15" t="s">
        <v>326</v>
      </c>
      <c r="H5190" s="14">
        <v>64.2</v>
      </c>
      <c r="I5190" s="18">
        <v>23.08</v>
      </c>
      <c r="J5190" s="12" t="s">
        <v>521</v>
      </c>
      <c r="K5190" s="13" t="s">
        <v>36</v>
      </c>
      <c r="L5190" s="15" t="s">
        <v>36</v>
      </c>
      <c r="M5190" s="12" t="s">
        <v>36</v>
      </c>
      <c r="N5190" s="12" t="s">
        <v>36</v>
      </c>
      <c r="O5190" s="17" t="s">
        <v>36</v>
      </c>
      <c r="P5190" s="12" t="s">
        <v>36</v>
      </c>
      <c r="Q5190" s="12" t="s">
        <v>36</v>
      </c>
      <c r="R5190" s="12" t="s">
        <v>36</v>
      </c>
      <c r="S5190" s="12" t="s">
        <v>36</v>
      </c>
      <c r="T5190" s="12" t="s">
        <v>5045</v>
      </c>
      <c r="U5190" s="12" t="s">
        <v>318</v>
      </c>
      <c r="V5190" s="12" t="s">
        <v>39</v>
      </c>
      <c r="W5190" s="12" t="s">
        <v>5046</v>
      </c>
      <c r="X5190" s="16" t="s">
        <v>24695</v>
      </c>
      <c r="Y5190" s="15" t="s">
        <v>55</v>
      </c>
      <c r="Z5190" s="14">
        <v>0.83</v>
      </c>
      <c r="AA5190" s="14">
        <v>3.6</v>
      </c>
      <c r="AB5190" s="12" t="s">
        <v>43</v>
      </c>
      <c r="AC5190" s="12" t="s">
        <v>5048</v>
      </c>
      <c r="AD5190" s="13">
        <v>43347</v>
      </c>
      <c r="AE5190" s="12" t="s">
        <v>763</v>
      </c>
      <c r="AF5190" s="12" t="s">
        <v>5049</v>
      </c>
      <c r="AG5190" s="12" t="s">
        <v>186</v>
      </c>
      <c r="AH5190" s="1">
        <f>HYPERLINK("https://my.pitchbook.com?c=121426-03T","View Company Online")</f>
      </c>
    </row>
    <row r="5191">
      <c r="A5191" s="3" t="s">
        <v>24696</v>
      </c>
      <c r="B5191" s="3" t="s">
        <v>9203</v>
      </c>
      <c r="C5191" s="5" t="s">
        <v>36</v>
      </c>
      <c r="D5191" s="5" t="s">
        <v>36</v>
      </c>
      <c r="E5191" s="5" t="s">
        <v>36</v>
      </c>
      <c r="F5191" s="5" t="s">
        <v>36</v>
      </c>
      <c r="G5191" s="6" t="s">
        <v>36</v>
      </c>
      <c r="H5191" s="4">
        <v>311.57</v>
      </c>
      <c r="I5191" s="7">
        <v>16.67</v>
      </c>
      <c r="J5191" s="3" t="s">
        <v>521</v>
      </c>
      <c r="K5191" s="9" t="s">
        <v>36</v>
      </c>
      <c r="L5191" s="6" t="s">
        <v>36</v>
      </c>
      <c r="M5191" s="3" t="s">
        <v>36</v>
      </c>
      <c r="N5191" s="3" t="s">
        <v>36</v>
      </c>
      <c r="O5191" s="8" t="s">
        <v>36</v>
      </c>
      <c r="P5191" s="3" t="s">
        <v>36</v>
      </c>
      <c r="Q5191" s="3" t="s">
        <v>36</v>
      </c>
      <c r="R5191" s="3" t="s">
        <v>36</v>
      </c>
      <c r="S5191" s="3" t="s">
        <v>36</v>
      </c>
      <c r="T5191" s="3" t="s">
        <v>9204</v>
      </c>
      <c r="U5191" s="3" t="s">
        <v>38</v>
      </c>
      <c r="V5191" s="3" t="s">
        <v>39</v>
      </c>
      <c r="W5191" s="3" t="s">
        <v>9205</v>
      </c>
      <c r="X5191" s="10" t="s">
        <v>24697</v>
      </c>
      <c r="Y5191" s="6" t="s">
        <v>42</v>
      </c>
      <c r="Z5191" s="4">
        <v>0.92</v>
      </c>
      <c r="AA5191" s="4">
        <v>4.15</v>
      </c>
      <c r="AB5191" s="3" t="s">
        <v>43</v>
      </c>
      <c r="AC5191" s="3" t="s">
        <v>9207</v>
      </c>
      <c r="AD5191" s="9">
        <v>43346</v>
      </c>
      <c r="AE5191" s="3" t="s">
        <v>45</v>
      </c>
      <c r="AF5191" s="3" t="s">
        <v>9208</v>
      </c>
      <c r="AG5191" s="3" t="s">
        <v>81</v>
      </c>
      <c r="AH5191" s="11">
        <f>HYPERLINK("https://my.pitchbook.com?c=127155-70T","View Company Online")</f>
      </c>
    </row>
    <row r="5192">
      <c r="A5192" s="12" t="s">
        <v>24698</v>
      </c>
      <c r="B5192" s="12" t="s">
        <v>24699</v>
      </c>
      <c r="C5192" s="19" t="s">
        <v>36</v>
      </c>
      <c r="D5192" s="19" t="s">
        <v>36</v>
      </c>
      <c r="E5192" s="19" t="s">
        <v>36</v>
      </c>
      <c r="F5192" s="19" t="s">
        <v>36</v>
      </c>
      <c r="G5192" s="15" t="s">
        <v>36</v>
      </c>
      <c r="H5192" s="14" t="s">
        <v>36</v>
      </c>
      <c r="I5192" s="18" t="s">
        <v>36</v>
      </c>
      <c r="J5192" s="12" t="s">
        <v>36</v>
      </c>
      <c r="K5192" s="13" t="s">
        <v>36</v>
      </c>
      <c r="L5192" s="15" t="s">
        <v>36</v>
      </c>
      <c r="M5192" s="12" t="s">
        <v>36</v>
      </c>
      <c r="N5192" s="12" t="s">
        <v>36</v>
      </c>
      <c r="O5192" s="17" t="s">
        <v>36</v>
      </c>
      <c r="P5192" s="12" t="s">
        <v>36</v>
      </c>
      <c r="Q5192" s="12" t="s">
        <v>36</v>
      </c>
      <c r="R5192" s="12" t="s">
        <v>36</v>
      </c>
      <c r="S5192" s="12" t="s">
        <v>36</v>
      </c>
      <c r="T5192" s="12" t="s">
        <v>3843</v>
      </c>
      <c r="U5192" s="12" t="s">
        <v>180</v>
      </c>
      <c r="V5192" s="12" t="s">
        <v>52</v>
      </c>
      <c r="W5192" s="12" t="s">
        <v>24700</v>
      </c>
      <c r="X5192" s="16" t="s">
        <v>24701</v>
      </c>
      <c r="Y5192" s="15" t="s">
        <v>42</v>
      </c>
      <c r="Z5192" s="14" t="s">
        <v>36</v>
      </c>
      <c r="AA5192" s="14" t="s">
        <v>36</v>
      </c>
      <c r="AB5192" s="12" t="s">
        <v>56</v>
      </c>
      <c r="AC5192" s="12" t="s">
        <v>24702</v>
      </c>
      <c r="AD5192" s="13">
        <v>43346</v>
      </c>
      <c r="AE5192" s="12" t="s">
        <v>3847</v>
      </c>
      <c r="AF5192" s="12" t="s">
        <v>3514</v>
      </c>
      <c r="AG5192" s="12" t="s">
        <v>81</v>
      </c>
      <c r="AH5192" s="1">
        <f>HYPERLINK("https://my.pitchbook.com?c=136702-63T","View Company Online")</f>
      </c>
    </row>
    <row r="5193">
      <c r="A5193" s="3" t="s">
        <v>24703</v>
      </c>
      <c r="B5193" s="3" t="s">
        <v>24704</v>
      </c>
      <c r="C5193" s="5" t="s">
        <v>36</v>
      </c>
      <c r="D5193" s="5" t="s">
        <v>36</v>
      </c>
      <c r="E5193" s="5" t="s">
        <v>36</v>
      </c>
      <c r="F5193" s="5" t="s">
        <v>36</v>
      </c>
      <c r="G5193" s="6" t="s">
        <v>36</v>
      </c>
      <c r="H5193" s="4" t="s">
        <v>36</v>
      </c>
      <c r="I5193" s="7" t="s">
        <v>36</v>
      </c>
      <c r="J5193" s="3" t="s">
        <v>36</v>
      </c>
      <c r="K5193" s="9" t="s">
        <v>36</v>
      </c>
      <c r="L5193" s="6" t="s">
        <v>36</v>
      </c>
      <c r="M5193" s="3" t="s">
        <v>36</v>
      </c>
      <c r="N5193" s="3" t="s">
        <v>36</v>
      </c>
      <c r="O5193" s="8" t="s">
        <v>36</v>
      </c>
      <c r="P5193" s="3" t="s">
        <v>36</v>
      </c>
      <c r="Q5193" s="3" t="s">
        <v>36</v>
      </c>
      <c r="R5193" s="3" t="s">
        <v>36</v>
      </c>
      <c r="S5193" s="3" t="s">
        <v>36</v>
      </c>
      <c r="T5193" s="3" t="s">
        <v>20823</v>
      </c>
      <c r="U5193" s="3" t="s">
        <v>63</v>
      </c>
      <c r="V5193" s="3" t="s">
        <v>64</v>
      </c>
      <c r="W5193" s="3" t="s">
        <v>24705</v>
      </c>
      <c r="X5193" s="10" t="s">
        <v>4794</v>
      </c>
      <c r="Y5193" s="6" t="s">
        <v>42</v>
      </c>
      <c r="Z5193" s="4" t="s">
        <v>36</v>
      </c>
      <c r="AA5193" s="4" t="s">
        <v>36</v>
      </c>
      <c r="AB5193" s="3" t="s">
        <v>43</v>
      </c>
      <c r="AC5193" s="3" t="s">
        <v>24706</v>
      </c>
      <c r="AD5193" s="9">
        <v>43344</v>
      </c>
      <c r="AE5193" s="3" t="s">
        <v>4310</v>
      </c>
      <c r="AF5193" s="3" t="s">
        <v>36</v>
      </c>
      <c r="AG5193" s="3" t="s">
        <v>24707</v>
      </c>
      <c r="AH5193" s="11">
        <f>HYPERLINK("https://my.pitchbook.com?c=140581-45T","View Company Online")</f>
      </c>
    </row>
    <row r="5194">
      <c r="A5194" s="12" t="s">
        <v>24708</v>
      </c>
      <c r="B5194" s="12" t="s">
        <v>24709</v>
      </c>
      <c r="C5194" s="19" t="s">
        <v>36</v>
      </c>
      <c r="D5194" s="19" t="s">
        <v>36</v>
      </c>
      <c r="E5194" s="19">
        <v>10</v>
      </c>
      <c r="F5194" s="19">
        <v>10</v>
      </c>
      <c r="G5194" s="15" t="s">
        <v>36</v>
      </c>
      <c r="H5194" s="14" t="s">
        <v>36</v>
      </c>
      <c r="I5194" s="18" t="s">
        <v>36</v>
      </c>
      <c r="J5194" s="12" t="s">
        <v>36</v>
      </c>
      <c r="K5194" s="13" t="s">
        <v>36</v>
      </c>
      <c r="L5194" s="15" t="s">
        <v>36</v>
      </c>
      <c r="M5194" s="12" t="s">
        <v>36</v>
      </c>
      <c r="N5194" s="12" t="s">
        <v>36</v>
      </c>
      <c r="O5194" s="17" t="s">
        <v>36</v>
      </c>
      <c r="P5194" s="12" t="s">
        <v>36</v>
      </c>
      <c r="Q5194" s="12" t="s">
        <v>36</v>
      </c>
      <c r="R5194" s="12" t="s">
        <v>36</v>
      </c>
      <c r="S5194" s="12" t="s">
        <v>36</v>
      </c>
      <c r="T5194" s="12" t="s">
        <v>3141</v>
      </c>
      <c r="U5194" s="12" t="s">
        <v>74</v>
      </c>
      <c r="V5194" s="12" t="s">
        <v>75</v>
      </c>
      <c r="W5194" s="12" t="s">
        <v>24710</v>
      </c>
      <c r="X5194" s="16" t="s">
        <v>24711</v>
      </c>
      <c r="Y5194" s="15" t="s">
        <v>108</v>
      </c>
      <c r="Z5194" s="14" t="s">
        <v>36</v>
      </c>
      <c r="AA5194" s="14" t="s">
        <v>36</v>
      </c>
      <c r="AB5194" s="12" t="s">
        <v>43</v>
      </c>
      <c r="AC5194" s="12" t="s">
        <v>24712</v>
      </c>
      <c r="AD5194" s="13">
        <v>43344</v>
      </c>
      <c r="AE5194" s="12" t="s">
        <v>3144</v>
      </c>
      <c r="AF5194" s="12" t="s">
        <v>13299</v>
      </c>
      <c r="AG5194" s="12" t="s">
        <v>81</v>
      </c>
      <c r="AH5194" s="1">
        <f>HYPERLINK("https://my.pitchbook.com?c=215675-29T","View Company Online")</f>
      </c>
    </row>
    <row r="5195">
      <c r="A5195" s="3" t="s">
        <v>24713</v>
      </c>
      <c r="B5195" s="3" t="s">
        <v>9898</v>
      </c>
      <c r="C5195" s="5">
        <v>2</v>
      </c>
      <c r="D5195" s="5">
        <v>7</v>
      </c>
      <c r="E5195" s="5">
        <v>2</v>
      </c>
      <c r="F5195" s="5">
        <v>10</v>
      </c>
      <c r="G5195" s="6" t="s">
        <v>326</v>
      </c>
      <c r="H5195" s="4">
        <v>307.73</v>
      </c>
      <c r="I5195" s="7">
        <v>7.87</v>
      </c>
      <c r="J5195" s="3" t="s">
        <v>521</v>
      </c>
      <c r="K5195" s="9" t="s">
        <v>36</v>
      </c>
      <c r="L5195" s="6" t="s">
        <v>36</v>
      </c>
      <c r="M5195" s="3" t="s">
        <v>36</v>
      </c>
      <c r="N5195" s="3" t="s">
        <v>36</v>
      </c>
      <c r="O5195" s="8" t="s">
        <v>36</v>
      </c>
      <c r="P5195" s="3" t="s">
        <v>36</v>
      </c>
      <c r="Q5195" s="3" t="s">
        <v>36</v>
      </c>
      <c r="R5195" s="3" t="s">
        <v>36</v>
      </c>
      <c r="S5195" s="3" t="s">
        <v>36</v>
      </c>
      <c r="T5195" s="3" t="s">
        <v>4225</v>
      </c>
      <c r="U5195" s="3" t="s">
        <v>96</v>
      </c>
      <c r="V5195" s="3" t="s">
        <v>52</v>
      </c>
      <c r="W5195" s="3" t="s">
        <v>9899</v>
      </c>
      <c r="X5195" s="10" t="s">
        <v>18926</v>
      </c>
      <c r="Y5195" s="6" t="s">
        <v>108</v>
      </c>
      <c r="Z5195" s="4">
        <v>0.99</v>
      </c>
      <c r="AA5195" s="4">
        <v>12.52</v>
      </c>
      <c r="AB5195" s="3" t="s">
        <v>56</v>
      </c>
      <c r="AC5195" s="3" t="s">
        <v>9901</v>
      </c>
      <c r="AD5195" s="9">
        <v>43344</v>
      </c>
      <c r="AE5195" s="3" t="s">
        <v>143</v>
      </c>
      <c r="AF5195" s="3" t="s">
        <v>1166</v>
      </c>
      <c r="AG5195" s="3" t="s">
        <v>3595</v>
      </c>
      <c r="AH5195" s="11">
        <f>HYPERLINK("https://my.pitchbook.com?c=190587-34T","View Company Online")</f>
      </c>
    </row>
    <row r="5196">
      <c r="A5196" s="12" t="s">
        <v>24714</v>
      </c>
      <c r="B5196" s="12" t="s">
        <v>24715</v>
      </c>
      <c r="C5196" s="19" t="s">
        <v>36</v>
      </c>
      <c r="D5196" s="19">
        <v>1</v>
      </c>
      <c r="E5196" s="19">
        <v>1</v>
      </c>
      <c r="F5196" s="19">
        <v>2</v>
      </c>
      <c r="G5196" s="15" t="s">
        <v>683</v>
      </c>
      <c r="H5196" s="14">
        <v>17.81</v>
      </c>
      <c r="I5196" s="18">
        <v>4.12</v>
      </c>
      <c r="J5196" s="12" t="s">
        <v>521</v>
      </c>
      <c r="K5196" s="13" t="s">
        <v>36</v>
      </c>
      <c r="L5196" s="15" t="s">
        <v>36</v>
      </c>
      <c r="M5196" s="12" t="s">
        <v>36</v>
      </c>
      <c r="N5196" s="12" t="s">
        <v>36</v>
      </c>
      <c r="O5196" s="17" t="s">
        <v>36</v>
      </c>
      <c r="P5196" s="12" t="s">
        <v>36</v>
      </c>
      <c r="Q5196" s="12" t="s">
        <v>36</v>
      </c>
      <c r="R5196" s="12" t="s">
        <v>36</v>
      </c>
      <c r="S5196" s="12" t="s">
        <v>36</v>
      </c>
      <c r="T5196" s="12" t="s">
        <v>630</v>
      </c>
      <c r="U5196" s="12" t="s">
        <v>38</v>
      </c>
      <c r="V5196" s="12" t="s">
        <v>39</v>
      </c>
      <c r="W5196" s="12" t="s">
        <v>24716</v>
      </c>
      <c r="X5196" s="16" t="s">
        <v>24717</v>
      </c>
      <c r="Y5196" s="15" t="s">
        <v>166</v>
      </c>
      <c r="Z5196" s="14">
        <v>1.48</v>
      </c>
      <c r="AA5196" s="14">
        <v>35.9</v>
      </c>
      <c r="AB5196" s="12" t="s">
        <v>56</v>
      </c>
      <c r="AC5196" s="12" t="s">
        <v>24718</v>
      </c>
      <c r="AD5196" s="13">
        <v>43344</v>
      </c>
      <c r="AE5196" s="12" t="s">
        <v>110</v>
      </c>
      <c r="AF5196" s="12" t="s">
        <v>2118</v>
      </c>
      <c r="AG5196" s="12" t="s">
        <v>81</v>
      </c>
      <c r="AH5196" s="1">
        <f>HYPERLINK("https://my.pitchbook.com?c=200015-29T","View Company Online")</f>
      </c>
    </row>
    <row r="5197">
      <c r="A5197" s="3" t="s">
        <v>24719</v>
      </c>
      <c r="B5197" s="3" t="s">
        <v>12109</v>
      </c>
      <c r="C5197" s="5" t="s">
        <v>36</v>
      </c>
      <c r="D5197" s="5" t="s">
        <v>36</v>
      </c>
      <c r="E5197" s="5" t="s">
        <v>36</v>
      </c>
      <c r="F5197" s="5" t="s">
        <v>36</v>
      </c>
      <c r="G5197" s="6" t="s">
        <v>36</v>
      </c>
      <c r="H5197" s="4" t="s">
        <v>36</v>
      </c>
      <c r="I5197" s="7" t="s">
        <v>36</v>
      </c>
      <c r="J5197" s="3" t="s">
        <v>36</v>
      </c>
      <c r="K5197" s="9" t="s">
        <v>36</v>
      </c>
      <c r="L5197" s="6" t="s">
        <v>36</v>
      </c>
      <c r="M5197" s="3" t="s">
        <v>36</v>
      </c>
      <c r="N5197" s="3" t="s">
        <v>36</v>
      </c>
      <c r="O5197" s="8" t="s">
        <v>36</v>
      </c>
      <c r="P5197" s="3" t="s">
        <v>36</v>
      </c>
      <c r="Q5197" s="3" t="s">
        <v>36</v>
      </c>
      <c r="R5197" s="3" t="s">
        <v>36</v>
      </c>
      <c r="S5197" s="3" t="s">
        <v>36</v>
      </c>
      <c r="T5197" s="3" t="s">
        <v>9281</v>
      </c>
      <c r="U5197" s="3" t="s">
        <v>38</v>
      </c>
      <c r="V5197" s="3" t="s">
        <v>39</v>
      </c>
      <c r="W5197" s="3" t="s">
        <v>12110</v>
      </c>
      <c r="X5197" s="10" t="s">
        <v>9445</v>
      </c>
      <c r="Y5197" s="6" t="s">
        <v>108</v>
      </c>
      <c r="Z5197" s="4">
        <v>2.31</v>
      </c>
      <c r="AA5197" s="4" t="s">
        <v>36</v>
      </c>
      <c r="AB5197" s="3" t="s">
        <v>43</v>
      </c>
      <c r="AC5197" s="3" t="s">
        <v>12112</v>
      </c>
      <c r="AD5197" s="9">
        <v>43344</v>
      </c>
      <c r="AE5197" s="3" t="s">
        <v>1945</v>
      </c>
      <c r="AF5197" s="3" t="s">
        <v>1401</v>
      </c>
      <c r="AG5197" s="3" t="s">
        <v>102</v>
      </c>
      <c r="AH5197" s="11">
        <f>HYPERLINK("https://my.pitchbook.com?c=115955-20T","View Company Online")</f>
      </c>
    </row>
    <row r="5198">
      <c r="A5198" s="12" t="s">
        <v>24720</v>
      </c>
      <c r="B5198" s="12" t="s">
        <v>24721</v>
      </c>
      <c r="C5198" s="19" t="s">
        <v>36</v>
      </c>
      <c r="D5198" s="19" t="s">
        <v>36</v>
      </c>
      <c r="E5198" s="19" t="s">
        <v>36</v>
      </c>
      <c r="F5198" s="19" t="s">
        <v>36</v>
      </c>
      <c r="G5198" s="15" t="s">
        <v>36</v>
      </c>
      <c r="H5198" s="14" t="s">
        <v>36</v>
      </c>
      <c r="I5198" s="18">
        <v>25.82</v>
      </c>
      <c r="J5198" s="12" t="s">
        <v>327</v>
      </c>
      <c r="K5198" s="13" t="s">
        <v>36</v>
      </c>
      <c r="L5198" s="15" t="s">
        <v>36</v>
      </c>
      <c r="M5198" s="12" t="s">
        <v>36</v>
      </c>
      <c r="N5198" s="12" t="s">
        <v>36</v>
      </c>
      <c r="O5198" s="17" t="s">
        <v>36</v>
      </c>
      <c r="P5198" s="12" t="s">
        <v>36</v>
      </c>
      <c r="Q5198" s="12" t="s">
        <v>36</v>
      </c>
      <c r="R5198" s="12" t="s">
        <v>36</v>
      </c>
      <c r="S5198" s="12" t="s">
        <v>36</v>
      </c>
      <c r="T5198" s="12" t="s">
        <v>2992</v>
      </c>
      <c r="U5198" s="12" t="s">
        <v>96</v>
      </c>
      <c r="V5198" s="12" t="s">
        <v>52</v>
      </c>
      <c r="W5198" s="12" t="s">
        <v>24722</v>
      </c>
      <c r="X5198" s="16" t="s">
        <v>24723</v>
      </c>
      <c r="Y5198" s="15" t="s">
        <v>108</v>
      </c>
      <c r="Z5198" s="14">
        <v>4.61</v>
      </c>
      <c r="AA5198" s="14">
        <v>17.86</v>
      </c>
      <c r="AB5198" s="12" t="s">
        <v>56</v>
      </c>
      <c r="AC5198" s="12" t="s">
        <v>24724</v>
      </c>
      <c r="AD5198" s="13">
        <v>43344</v>
      </c>
      <c r="AE5198" s="12" t="s">
        <v>100</v>
      </c>
      <c r="AF5198" s="12" t="s">
        <v>101</v>
      </c>
      <c r="AG5198" s="12" t="s">
        <v>443</v>
      </c>
      <c r="AH5198" s="1">
        <f>HYPERLINK("https://my.pitchbook.com?c=111585-97T","View Company Online")</f>
      </c>
    </row>
    <row r="5199">
      <c r="A5199" s="3" t="s">
        <v>24725</v>
      </c>
      <c r="B5199" s="3" t="s">
        <v>15754</v>
      </c>
      <c r="C5199" s="5" t="s">
        <v>36</v>
      </c>
      <c r="D5199" s="5" t="s">
        <v>36</v>
      </c>
      <c r="E5199" s="5" t="s">
        <v>36</v>
      </c>
      <c r="F5199" s="5" t="s">
        <v>36</v>
      </c>
      <c r="G5199" s="6" t="s">
        <v>36</v>
      </c>
      <c r="H5199" s="4">
        <v>93.09</v>
      </c>
      <c r="I5199" s="7">
        <v>7.15</v>
      </c>
      <c r="J5199" s="3" t="s">
        <v>521</v>
      </c>
      <c r="K5199" s="9" t="s">
        <v>36</v>
      </c>
      <c r="L5199" s="6" t="s">
        <v>11273</v>
      </c>
      <c r="M5199" s="3" t="s">
        <v>36</v>
      </c>
      <c r="N5199" s="3" t="s">
        <v>11273</v>
      </c>
      <c r="O5199" s="8" t="s">
        <v>36</v>
      </c>
      <c r="P5199" s="3" t="s">
        <v>36</v>
      </c>
      <c r="Q5199" s="3" t="s">
        <v>36</v>
      </c>
      <c r="R5199" s="3" t="s">
        <v>36</v>
      </c>
      <c r="S5199" s="3" t="s">
        <v>36</v>
      </c>
      <c r="T5199" s="3" t="s">
        <v>15755</v>
      </c>
      <c r="U5199" s="3" t="s">
        <v>318</v>
      </c>
      <c r="V5199" s="3" t="s">
        <v>39</v>
      </c>
      <c r="W5199" s="3" t="s">
        <v>15756</v>
      </c>
      <c r="X5199" s="10" t="s">
        <v>24726</v>
      </c>
      <c r="Y5199" s="6" t="s">
        <v>42</v>
      </c>
      <c r="Z5199" s="4">
        <v>0.29</v>
      </c>
      <c r="AA5199" s="4">
        <v>4.02</v>
      </c>
      <c r="AB5199" s="3" t="s">
        <v>43</v>
      </c>
      <c r="AC5199" s="3" t="s">
        <v>15758</v>
      </c>
      <c r="AD5199" s="9">
        <v>43344</v>
      </c>
      <c r="AE5199" s="3" t="s">
        <v>763</v>
      </c>
      <c r="AF5199" s="3" t="s">
        <v>6536</v>
      </c>
      <c r="AG5199" s="3" t="s">
        <v>81</v>
      </c>
      <c r="AH5199" s="11">
        <f>HYPERLINK("https://my.pitchbook.com?c=177302-17T","View Company Online")</f>
      </c>
    </row>
    <row r="5200">
      <c r="A5200" s="12" t="s">
        <v>24727</v>
      </c>
      <c r="B5200" s="12" t="s">
        <v>24728</v>
      </c>
      <c r="C5200" s="19" t="s">
        <v>36</v>
      </c>
      <c r="D5200" s="19" t="s">
        <v>36</v>
      </c>
      <c r="E5200" s="19" t="s">
        <v>36</v>
      </c>
      <c r="F5200" s="19" t="s">
        <v>36</v>
      </c>
      <c r="G5200" s="15" t="s">
        <v>36</v>
      </c>
      <c r="H5200" s="14" t="s">
        <v>36</v>
      </c>
      <c r="I5200" s="18" t="s">
        <v>36</v>
      </c>
      <c r="J5200" s="12" t="s">
        <v>36</v>
      </c>
      <c r="K5200" s="13" t="s">
        <v>36</v>
      </c>
      <c r="L5200" s="15" t="s">
        <v>36</v>
      </c>
      <c r="M5200" s="12" t="s">
        <v>36</v>
      </c>
      <c r="N5200" s="12" t="s">
        <v>36</v>
      </c>
      <c r="O5200" s="17" t="s">
        <v>36</v>
      </c>
      <c r="P5200" s="12" t="s">
        <v>36</v>
      </c>
      <c r="Q5200" s="12" t="s">
        <v>36</v>
      </c>
      <c r="R5200" s="12" t="s">
        <v>36</v>
      </c>
      <c r="S5200" s="12" t="s">
        <v>36</v>
      </c>
      <c r="T5200" s="12" t="s">
        <v>24729</v>
      </c>
      <c r="U5200" s="12" t="s">
        <v>180</v>
      </c>
      <c r="V5200" s="12" t="s">
        <v>52</v>
      </c>
      <c r="W5200" s="12" t="s">
        <v>24730</v>
      </c>
      <c r="X5200" s="16" t="s">
        <v>20713</v>
      </c>
      <c r="Y5200" s="15" t="s">
        <v>42</v>
      </c>
      <c r="Z5200" s="14" t="s">
        <v>36</v>
      </c>
      <c r="AA5200" s="14" t="s">
        <v>36</v>
      </c>
      <c r="AB5200" s="12" t="s">
        <v>43</v>
      </c>
      <c r="AC5200" s="12" t="s">
        <v>24731</v>
      </c>
      <c r="AD5200" s="13">
        <v>43344</v>
      </c>
      <c r="AE5200" s="12" t="s">
        <v>184</v>
      </c>
      <c r="AF5200" s="12" t="s">
        <v>917</v>
      </c>
      <c r="AG5200" s="12" t="s">
        <v>24732</v>
      </c>
      <c r="AH5200" s="1">
        <f>HYPERLINK("https://my.pitchbook.com?c=165409-39T","View Company Online")</f>
      </c>
    </row>
    <row r="5201">
      <c r="A5201" s="3" t="s">
        <v>24733</v>
      </c>
      <c r="B5201" s="3" t="s">
        <v>24734</v>
      </c>
      <c r="C5201" s="5">
        <v>4</v>
      </c>
      <c r="D5201" s="5">
        <v>27</v>
      </c>
      <c r="E5201" s="5">
        <v>9</v>
      </c>
      <c r="F5201" s="5">
        <v>41</v>
      </c>
      <c r="G5201" s="6" t="s">
        <v>36</v>
      </c>
      <c r="H5201" s="4" t="s">
        <v>36</v>
      </c>
      <c r="I5201" s="7" t="s">
        <v>36</v>
      </c>
      <c r="J5201" s="3" t="s">
        <v>36</v>
      </c>
      <c r="K5201" s="9" t="s">
        <v>36</v>
      </c>
      <c r="L5201" s="6" t="s">
        <v>36</v>
      </c>
      <c r="M5201" s="3" t="s">
        <v>36</v>
      </c>
      <c r="N5201" s="3" t="s">
        <v>36</v>
      </c>
      <c r="O5201" s="8" t="s">
        <v>36</v>
      </c>
      <c r="P5201" s="3" t="s">
        <v>36</v>
      </c>
      <c r="Q5201" s="3" t="s">
        <v>36</v>
      </c>
      <c r="R5201" s="3" t="s">
        <v>36</v>
      </c>
      <c r="S5201" s="3" t="s">
        <v>36</v>
      </c>
      <c r="T5201" s="3" t="s">
        <v>24735</v>
      </c>
      <c r="U5201" s="3" t="s">
        <v>219</v>
      </c>
      <c r="V5201" s="3" t="s">
        <v>75</v>
      </c>
      <c r="W5201" s="3" t="s">
        <v>24736</v>
      </c>
      <c r="X5201" s="10" t="s">
        <v>24737</v>
      </c>
      <c r="Y5201" s="6" t="s">
        <v>55</v>
      </c>
      <c r="Z5201" s="4">
        <v>0.38</v>
      </c>
      <c r="AA5201" s="4" t="s">
        <v>36</v>
      </c>
      <c r="AB5201" s="3" t="s">
        <v>56</v>
      </c>
      <c r="AC5201" s="3" t="s">
        <v>24738</v>
      </c>
      <c r="AD5201" s="9">
        <v>43344</v>
      </c>
      <c r="AE5201" s="3" t="s">
        <v>1912</v>
      </c>
      <c r="AF5201" s="3" t="s">
        <v>1636</v>
      </c>
      <c r="AG5201" s="3" t="s">
        <v>652</v>
      </c>
      <c r="AH5201" s="11">
        <f>HYPERLINK("https://my.pitchbook.com?c=140458-78T","View Company Online")</f>
      </c>
    </row>
    <row r="5202">
      <c r="A5202" s="12" t="s">
        <v>24739</v>
      </c>
      <c r="B5202" s="12" t="s">
        <v>24740</v>
      </c>
      <c r="C5202" s="19" t="s">
        <v>36</v>
      </c>
      <c r="D5202" s="19" t="s">
        <v>36</v>
      </c>
      <c r="E5202" s="19" t="s">
        <v>36</v>
      </c>
      <c r="F5202" s="19" t="s">
        <v>36</v>
      </c>
      <c r="G5202" s="15" t="s">
        <v>683</v>
      </c>
      <c r="H5202" s="14">
        <v>32.2</v>
      </c>
      <c r="I5202" s="18">
        <v>16.66</v>
      </c>
      <c r="J5202" s="12" t="s">
        <v>521</v>
      </c>
      <c r="K5202" s="13" t="s">
        <v>36</v>
      </c>
      <c r="L5202" s="15" t="s">
        <v>36</v>
      </c>
      <c r="M5202" s="12" t="s">
        <v>36</v>
      </c>
      <c r="N5202" s="12" t="s">
        <v>36</v>
      </c>
      <c r="O5202" s="17" t="s">
        <v>36</v>
      </c>
      <c r="P5202" s="12" t="s">
        <v>36</v>
      </c>
      <c r="Q5202" s="12" t="s">
        <v>36</v>
      </c>
      <c r="R5202" s="12" t="s">
        <v>36</v>
      </c>
      <c r="S5202" s="12" t="s">
        <v>36</v>
      </c>
      <c r="T5202" s="12" t="s">
        <v>24741</v>
      </c>
      <c r="U5202" s="12" t="s">
        <v>38</v>
      </c>
      <c r="V5202" s="12" t="s">
        <v>39</v>
      </c>
      <c r="W5202" s="12" t="s">
        <v>24742</v>
      </c>
      <c r="X5202" s="16" t="s">
        <v>24743</v>
      </c>
      <c r="Y5202" s="15" t="s">
        <v>55</v>
      </c>
      <c r="Z5202" s="14">
        <v>1.21</v>
      </c>
      <c r="AA5202" s="14">
        <v>7.23</v>
      </c>
      <c r="AB5202" s="12" t="s">
        <v>56</v>
      </c>
      <c r="AC5202" s="12" t="s">
        <v>24744</v>
      </c>
      <c r="AD5202" s="13">
        <v>43342</v>
      </c>
      <c r="AE5202" s="12" t="s">
        <v>1330</v>
      </c>
      <c r="AF5202" s="12" t="s">
        <v>24745</v>
      </c>
      <c r="AG5202" s="12" t="s">
        <v>81</v>
      </c>
      <c r="AH5202" s="1">
        <f>HYPERLINK("https://my.pitchbook.com?c=117633-34T","View Company Online")</f>
      </c>
    </row>
    <row r="5203">
      <c r="A5203" s="3" t="s">
        <v>24746</v>
      </c>
      <c r="B5203" s="3" t="s">
        <v>24747</v>
      </c>
      <c r="C5203" s="5" t="s">
        <v>36</v>
      </c>
      <c r="D5203" s="5" t="s">
        <v>36</v>
      </c>
      <c r="E5203" s="5" t="s">
        <v>36</v>
      </c>
      <c r="F5203" s="5" t="s">
        <v>36</v>
      </c>
      <c r="G5203" s="6" t="s">
        <v>36</v>
      </c>
      <c r="H5203" s="4">
        <v>46.99</v>
      </c>
      <c r="I5203" s="7">
        <v>19.38</v>
      </c>
      <c r="J5203" s="3" t="s">
        <v>521</v>
      </c>
      <c r="K5203" s="9" t="s">
        <v>36</v>
      </c>
      <c r="L5203" s="6" t="s">
        <v>36</v>
      </c>
      <c r="M5203" s="3" t="s">
        <v>36</v>
      </c>
      <c r="N5203" s="3" t="s">
        <v>36</v>
      </c>
      <c r="O5203" s="8" t="s">
        <v>36</v>
      </c>
      <c r="P5203" s="3" t="s">
        <v>36</v>
      </c>
      <c r="Q5203" s="3" t="s">
        <v>36</v>
      </c>
      <c r="R5203" s="3" t="s">
        <v>36</v>
      </c>
      <c r="S5203" s="3" t="s">
        <v>36</v>
      </c>
      <c r="T5203" s="3" t="s">
        <v>18811</v>
      </c>
      <c r="U5203" s="3" t="s">
        <v>233</v>
      </c>
      <c r="V5203" s="3" t="s">
        <v>39</v>
      </c>
      <c r="W5203" s="3" t="s">
        <v>24748</v>
      </c>
      <c r="X5203" s="10" t="s">
        <v>24749</v>
      </c>
      <c r="Y5203" s="6" t="s">
        <v>42</v>
      </c>
      <c r="Z5203" s="4">
        <v>1.48</v>
      </c>
      <c r="AA5203" s="4">
        <v>7.65</v>
      </c>
      <c r="AB5203" s="3" t="s">
        <v>43</v>
      </c>
      <c r="AC5203" s="3" t="s">
        <v>24750</v>
      </c>
      <c r="AD5203" s="9">
        <v>43339</v>
      </c>
      <c r="AE5203" s="3" t="s">
        <v>236</v>
      </c>
      <c r="AF5203" s="3" t="s">
        <v>16414</v>
      </c>
      <c r="AG5203" s="3" t="s">
        <v>3733</v>
      </c>
      <c r="AH5203" s="11">
        <f>HYPERLINK("https://my.pitchbook.com?c=192122-83T","View Company Online")</f>
      </c>
    </row>
    <row r="5204">
      <c r="A5204" s="12" t="s">
        <v>24751</v>
      </c>
      <c r="B5204" s="12" t="s">
        <v>4472</v>
      </c>
      <c r="C5204" s="19">
        <v>1</v>
      </c>
      <c r="D5204" s="19">
        <v>22</v>
      </c>
      <c r="E5204" s="19">
        <v>8</v>
      </c>
      <c r="F5204" s="19">
        <v>26</v>
      </c>
      <c r="G5204" s="15" t="s">
        <v>683</v>
      </c>
      <c r="H5204" s="14">
        <v>6.65</v>
      </c>
      <c r="I5204" s="18">
        <v>14.2</v>
      </c>
      <c r="J5204" s="12" t="s">
        <v>521</v>
      </c>
      <c r="K5204" s="13" t="s">
        <v>36</v>
      </c>
      <c r="L5204" s="15" t="s">
        <v>36</v>
      </c>
      <c r="M5204" s="12" t="s">
        <v>36</v>
      </c>
      <c r="N5204" s="12" t="s">
        <v>36</v>
      </c>
      <c r="O5204" s="17" t="s">
        <v>36</v>
      </c>
      <c r="P5204" s="12" t="s">
        <v>36</v>
      </c>
      <c r="Q5204" s="12" t="s">
        <v>36</v>
      </c>
      <c r="R5204" s="12" t="s">
        <v>36</v>
      </c>
      <c r="S5204" s="12" t="s">
        <v>36</v>
      </c>
      <c r="T5204" s="12" t="s">
        <v>4473</v>
      </c>
      <c r="U5204" s="12" t="s">
        <v>318</v>
      </c>
      <c r="V5204" s="12" t="s">
        <v>39</v>
      </c>
      <c r="W5204" s="12" t="s">
        <v>4474</v>
      </c>
      <c r="X5204" s="16" t="s">
        <v>590</v>
      </c>
      <c r="Y5204" s="15" t="s">
        <v>192</v>
      </c>
      <c r="Z5204" s="14">
        <v>1.01</v>
      </c>
      <c r="AA5204" s="14">
        <v>7.12</v>
      </c>
      <c r="AB5204" s="12" t="s">
        <v>56</v>
      </c>
      <c r="AC5204" s="12" t="s">
        <v>4476</v>
      </c>
      <c r="AD5204" s="13">
        <v>43336</v>
      </c>
      <c r="AE5204" s="12" t="s">
        <v>417</v>
      </c>
      <c r="AF5204" s="12" t="s">
        <v>4477</v>
      </c>
      <c r="AG5204" s="12" t="s">
        <v>765</v>
      </c>
      <c r="AH5204" s="1">
        <f>HYPERLINK("https://my.pitchbook.com?c=195571-81T","View Company Online")</f>
      </c>
    </row>
    <row r="5205">
      <c r="A5205" s="3" t="s">
        <v>24752</v>
      </c>
      <c r="B5205" s="3" t="s">
        <v>24753</v>
      </c>
      <c r="C5205" s="5" t="s">
        <v>36</v>
      </c>
      <c r="D5205" s="5" t="s">
        <v>36</v>
      </c>
      <c r="E5205" s="5" t="s">
        <v>36</v>
      </c>
      <c r="F5205" s="5" t="s">
        <v>36</v>
      </c>
      <c r="G5205" s="6" t="s">
        <v>326</v>
      </c>
      <c r="H5205" s="4">
        <v>1232.49</v>
      </c>
      <c r="I5205" s="7">
        <v>8.06</v>
      </c>
      <c r="J5205" s="3" t="s">
        <v>521</v>
      </c>
      <c r="K5205" s="9" t="s">
        <v>36</v>
      </c>
      <c r="L5205" s="6" t="s">
        <v>36</v>
      </c>
      <c r="M5205" s="3" t="s">
        <v>36</v>
      </c>
      <c r="N5205" s="3" t="s">
        <v>36</v>
      </c>
      <c r="O5205" s="8" t="s">
        <v>36</v>
      </c>
      <c r="P5205" s="3" t="s">
        <v>36</v>
      </c>
      <c r="Q5205" s="3" t="s">
        <v>36</v>
      </c>
      <c r="R5205" s="3" t="s">
        <v>36</v>
      </c>
      <c r="S5205" s="3" t="s">
        <v>36</v>
      </c>
      <c r="T5205" s="3" t="s">
        <v>4692</v>
      </c>
      <c r="U5205" s="3" t="s">
        <v>85</v>
      </c>
      <c r="V5205" s="3" t="s">
        <v>64</v>
      </c>
      <c r="W5205" s="3" t="s">
        <v>24754</v>
      </c>
      <c r="X5205" s="10" t="s">
        <v>24755</v>
      </c>
      <c r="Y5205" s="6" t="s">
        <v>108</v>
      </c>
      <c r="Z5205" s="4">
        <v>0.91</v>
      </c>
      <c r="AA5205" s="4">
        <v>11.31</v>
      </c>
      <c r="AB5205" s="3" t="s">
        <v>43</v>
      </c>
      <c r="AC5205" s="3" t="s">
        <v>24756</v>
      </c>
      <c r="AD5205" s="9">
        <v>43333</v>
      </c>
      <c r="AE5205" s="3" t="s">
        <v>89</v>
      </c>
      <c r="AF5205" s="3" t="s">
        <v>36</v>
      </c>
      <c r="AG5205" s="3" t="s">
        <v>81</v>
      </c>
      <c r="AH5205" s="11">
        <f>HYPERLINK("https://my.pitchbook.com?c=252162-73T","View Company Online")</f>
      </c>
    </row>
    <row r="5206">
      <c r="A5206" s="12" t="s">
        <v>24757</v>
      </c>
      <c r="B5206" s="12" t="s">
        <v>24758</v>
      </c>
      <c r="C5206" s="19" t="s">
        <v>36</v>
      </c>
      <c r="D5206" s="19" t="s">
        <v>36</v>
      </c>
      <c r="E5206" s="19" t="s">
        <v>36</v>
      </c>
      <c r="F5206" s="19" t="s">
        <v>36</v>
      </c>
      <c r="G5206" s="15" t="s">
        <v>36</v>
      </c>
      <c r="H5206" s="14" t="s">
        <v>36</v>
      </c>
      <c r="I5206" s="18" t="s">
        <v>36</v>
      </c>
      <c r="J5206" s="12" t="s">
        <v>36</v>
      </c>
      <c r="K5206" s="13" t="s">
        <v>36</v>
      </c>
      <c r="L5206" s="15" t="s">
        <v>36</v>
      </c>
      <c r="M5206" s="12" t="s">
        <v>36</v>
      </c>
      <c r="N5206" s="12" t="s">
        <v>36</v>
      </c>
      <c r="O5206" s="17" t="s">
        <v>36</v>
      </c>
      <c r="P5206" s="12" t="s">
        <v>36</v>
      </c>
      <c r="Q5206" s="12" t="s">
        <v>36</v>
      </c>
      <c r="R5206" s="12" t="s">
        <v>36</v>
      </c>
      <c r="S5206" s="12" t="s">
        <v>36</v>
      </c>
      <c r="T5206" s="12" t="s">
        <v>9390</v>
      </c>
      <c r="U5206" s="12" t="s">
        <v>63</v>
      </c>
      <c r="V5206" s="12" t="s">
        <v>64</v>
      </c>
      <c r="W5206" s="12" t="s">
        <v>24759</v>
      </c>
      <c r="X5206" s="16" t="s">
        <v>1872</v>
      </c>
      <c r="Y5206" s="15" t="s">
        <v>42</v>
      </c>
      <c r="Z5206" s="14">
        <v>47.35</v>
      </c>
      <c r="AA5206" s="14" t="s">
        <v>36</v>
      </c>
      <c r="AB5206" s="12" t="s">
        <v>56</v>
      </c>
      <c r="AC5206" s="12" t="s">
        <v>24760</v>
      </c>
      <c r="AD5206" s="13">
        <v>43333</v>
      </c>
      <c r="AE5206" s="12" t="s">
        <v>399</v>
      </c>
      <c r="AF5206" s="12" t="s">
        <v>643</v>
      </c>
      <c r="AG5206" s="12" t="s">
        <v>1362</v>
      </c>
      <c r="AH5206" s="1">
        <f>HYPERLINK("https://my.pitchbook.com?c=93745-09T","View Company Online")</f>
      </c>
    </row>
    <row r="5207">
      <c r="A5207" s="3" t="s">
        <v>24761</v>
      </c>
      <c r="B5207" s="3" t="s">
        <v>24762</v>
      </c>
      <c r="C5207" s="5" t="s">
        <v>36</v>
      </c>
      <c r="D5207" s="5" t="s">
        <v>36</v>
      </c>
      <c r="E5207" s="5" t="s">
        <v>36</v>
      </c>
      <c r="F5207" s="5" t="s">
        <v>36</v>
      </c>
      <c r="G5207" s="6" t="s">
        <v>683</v>
      </c>
      <c r="H5207" s="4">
        <v>42.58</v>
      </c>
      <c r="I5207" s="7">
        <v>11.07</v>
      </c>
      <c r="J5207" s="3" t="s">
        <v>521</v>
      </c>
      <c r="K5207" s="9" t="s">
        <v>36</v>
      </c>
      <c r="L5207" s="6" t="s">
        <v>36</v>
      </c>
      <c r="M5207" s="3" t="s">
        <v>36</v>
      </c>
      <c r="N5207" s="3" t="s">
        <v>36</v>
      </c>
      <c r="O5207" s="8" t="s">
        <v>36</v>
      </c>
      <c r="P5207" s="3" t="s">
        <v>36</v>
      </c>
      <c r="Q5207" s="3" t="s">
        <v>36</v>
      </c>
      <c r="R5207" s="3" t="s">
        <v>36</v>
      </c>
      <c r="S5207" s="3" t="s">
        <v>36</v>
      </c>
      <c r="T5207" s="3" t="s">
        <v>24763</v>
      </c>
      <c r="U5207" s="3" t="s">
        <v>1798</v>
      </c>
      <c r="V5207" s="3" t="s">
        <v>39</v>
      </c>
      <c r="W5207" s="3" t="s">
        <v>24764</v>
      </c>
      <c r="X5207" s="10" t="s">
        <v>24765</v>
      </c>
      <c r="Y5207" s="6" t="s">
        <v>108</v>
      </c>
      <c r="Z5207" s="4">
        <v>0.17</v>
      </c>
      <c r="AA5207" s="4">
        <v>1.56</v>
      </c>
      <c r="AB5207" s="3" t="s">
        <v>56</v>
      </c>
      <c r="AC5207" s="3" t="s">
        <v>24766</v>
      </c>
      <c r="AD5207" s="9">
        <v>43332</v>
      </c>
      <c r="AE5207" s="3" t="s">
        <v>4247</v>
      </c>
      <c r="AF5207" s="3" t="s">
        <v>24767</v>
      </c>
      <c r="AG5207" s="3" t="s">
        <v>9713</v>
      </c>
      <c r="AH5207" s="11">
        <f>HYPERLINK("https://my.pitchbook.com?c=188244-01T","View Company Online")</f>
      </c>
    </row>
    <row r="5208">
      <c r="A5208" s="12" t="s">
        <v>24768</v>
      </c>
      <c r="B5208" s="12" t="s">
        <v>24769</v>
      </c>
      <c r="C5208" s="19" t="s">
        <v>36</v>
      </c>
      <c r="D5208" s="19" t="s">
        <v>36</v>
      </c>
      <c r="E5208" s="19" t="s">
        <v>36</v>
      </c>
      <c r="F5208" s="19" t="s">
        <v>36</v>
      </c>
      <c r="G5208" s="15" t="s">
        <v>36</v>
      </c>
      <c r="H5208" s="14">
        <v>519.57</v>
      </c>
      <c r="I5208" s="18">
        <v>40.76</v>
      </c>
      <c r="J5208" s="12" t="s">
        <v>521</v>
      </c>
      <c r="K5208" s="13" t="s">
        <v>36</v>
      </c>
      <c r="L5208" s="15" t="s">
        <v>36</v>
      </c>
      <c r="M5208" s="12" t="s">
        <v>36</v>
      </c>
      <c r="N5208" s="12" t="s">
        <v>36</v>
      </c>
      <c r="O5208" s="17" t="s">
        <v>36</v>
      </c>
      <c r="P5208" s="12" t="s">
        <v>36</v>
      </c>
      <c r="Q5208" s="12" t="s">
        <v>36</v>
      </c>
      <c r="R5208" s="12" t="s">
        <v>36</v>
      </c>
      <c r="S5208" s="12" t="s">
        <v>36</v>
      </c>
      <c r="T5208" s="12" t="s">
        <v>278</v>
      </c>
      <c r="U5208" s="12" t="s">
        <v>279</v>
      </c>
      <c r="V5208" s="12" t="s">
        <v>64</v>
      </c>
      <c r="W5208" s="12" t="s">
        <v>24770</v>
      </c>
      <c r="X5208" s="16" t="s">
        <v>1840</v>
      </c>
      <c r="Y5208" s="15" t="s">
        <v>42</v>
      </c>
      <c r="Z5208" s="14">
        <v>0.87</v>
      </c>
      <c r="AA5208" s="14">
        <v>1.46</v>
      </c>
      <c r="AB5208" s="12" t="s">
        <v>43</v>
      </c>
      <c r="AC5208" s="12" t="s">
        <v>24771</v>
      </c>
      <c r="AD5208" s="13">
        <v>43332</v>
      </c>
      <c r="AE5208" s="12" t="s">
        <v>283</v>
      </c>
      <c r="AF5208" s="12" t="s">
        <v>36</v>
      </c>
      <c r="AG5208" s="12" t="s">
        <v>24772</v>
      </c>
      <c r="AH5208" s="1">
        <f>HYPERLINK("https://my.pitchbook.com?c=125387-65T","View Company Online")</f>
      </c>
    </row>
    <row r="5209">
      <c r="A5209" s="3" t="s">
        <v>24773</v>
      </c>
      <c r="B5209" s="3" t="s">
        <v>9186</v>
      </c>
      <c r="C5209" s="5" t="s">
        <v>36</v>
      </c>
      <c r="D5209" s="5" t="s">
        <v>36</v>
      </c>
      <c r="E5209" s="5" t="s">
        <v>36</v>
      </c>
      <c r="F5209" s="5" t="s">
        <v>36</v>
      </c>
      <c r="G5209" s="6" t="s">
        <v>36</v>
      </c>
      <c r="H5209" s="4">
        <v>687.28</v>
      </c>
      <c r="I5209" s="7">
        <v>6.69</v>
      </c>
      <c r="J5209" s="3" t="s">
        <v>521</v>
      </c>
      <c r="K5209" s="9" t="s">
        <v>36</v>
      </c>
      <c r="L5209" s="6" t="s">
        <v>36</v>
      </c>
      <c r="M5209" s="3" t="s">
        <v>36</v>
      </c>
      <c r="N5209" s="3" t="s">
        <v>36</v>
      </c>
      <c r="O5209" s="8" t="s">
        <v>36</v>
      </c>
      <c r="P5209" s="3" t="s">
        <v>36</v>
      </c>
      <c r="Q5209" s="3" t="s">
        <v>36</v>
      </c>
      <c r="R5209" s="3" t="s">
        <v>36</v>
      </c>
      <c r="S5209" s="3" t="s">
        <v>36</v>
      </c>
      <c r="T5209" s="3" t="s">
        <v>727</v>
      </c>
      <c r="U5209" s="3" t="s">
        <v>728</v>
      </c>
      <c r="V5209" s="3" t="s">
        <v>64</v>
      </c>
      <c r="W5209" s="3" t="s">
        <v>9187</v>
      </c>
      <c r="X5209" s="10" t="s">
        <v>9188</v>
      </c>
      <c r="Y5209" s="6" t="s">
        <v>42</v>
      </c>
      <c r="Z5209" s="4">
        <v>0.06</v>
      </c>
      <c r="AA5209" s="4">
        <v>0.87</v>
      </c>
      <c r="AB5209" s="3" t="s">
        <v>43</v>
      </c>
      <c r="AC5209" s="3" t="s">
        <v>9189</v>
      </c>
      <c r="AD5209" s="9">
        <v>43332</v>
      </c>
      <c r="AE5209" s="3" t="s">
        <v>732</v>
      </c>
      <c r="AF5209" s="3" t="s">
        <v>90</v>
      </c>
      <c r="AG5209" s="3" t="s">
        <v>9190</v>
      </c>
      <c r="AH5209" s="11">
        <f>HYPERLINK("https://my.pitchbook.com?c=243056-44T","View Company Online")</f>
      </c>
    </row>
    <row r="5210">
      <c r="A5210" s="12" t="s">
        <v>24774</v>
      </c>
      <c r="B5210" s="12" t="s">
        <v>16691</v>
      </c>
      <c r="C5210" s="19">
        <v>3</v>
      </c>
      <c r="D5210" s="19">
        <v>13</v>
      </c>
      <c r="E5210" s="19">
        <v>6</v>
      </c>
      <c r="F5210" s="19">
        <v>17</v>
      </c>
      <c r="G5210" s="15" t="s">
        <v>36</v>
      </c>
      <c r="H5210" s="14">
        <v>33.21</v>
      </c>
      <c r="I5210" s="18">
        <v>6.28</v>
      </c>
      <c r="J5210" s="12" t="s">
        <v>521</v>
      </c>
      <c r="K5210" s="13">
        <v>43299</v>
      </c>
      <c r="L5210" s="15" t="s">
        <v>36</v>
      </c>
      <c r="M5210" s="12" t="s">
        <v>36</v>
      </c>
      <c r="N5210" s="12" t="s">
        <v>36</v>
      </c>
      <c r="O5210" s="17" t="s">
        <v>36</v>
      </c>
      <c r="P5210" s="12" t="s">
        <v>36</v>
      </c>
      <c r="Q5210" s="12" t="s">
        <v>36</v>
      </c>
      <c r="R5210" s="12" t="s">
        <v>36</v>
      </c>
      <c r="S5210" s="12" t="s">
        <v>36</v>
      </c>
      <c r="T5210" s="12" t="s">
        <v>11036</v>
      </c>
      <c r="U5210" s="12" t="s">
        <v>38</v>
      </c>
      <c r="V5210" s="12" t="s">
        <v>39</v>
      </c>
      <c r="W5210" s="12" t="s">
        <v>16692</v>
      </c>
      <c r="X5210" s="16" t="s">
        <v>24775</v>
      </c>
      <c r="Y5210" s="15" t="s">
        <v>42</v>
      </c>
      <c r="Z5210" s="14">
        <v>7.52</v>
      </c>
      <c r="AA5210" s="14">
        <v>119.81</v>
      </c>
      <c r="AB5210" s="12" t="s">
        <v>43</v>
      </c>
      <c r="AC5210" s="12" t="s">
        <v>16694</v>
      </c>
      <c r="AD5210" s="13">
        <v>43329</v>
      </c>
      <c r="AE5210" s="12" t="s">
        <v>110</v>
      </c>
      <c r="AF5210" s="12" t="s">
        <v>16695</v>
      </c>
      <c r="AG5210" s="12" t="s">
        <v>144</v>
      </c>
      <c r="AH5210" s="1">
        <f>HYPERLINK("https://my.pitchbook.com?c=121346-92T","View Company Online")</f>
      </c>
    </row>
    <row r="5211">
      <c r="A5211" s="3" t="s">
        <v>24776</v>
      </c>
      <c r="B5211" s="3" t="s">
        <v>15903</v>
      </c>
      <c r="C5211" s="5">
        <v>6</v>
      </c>
      <c r="D5211" s="5">
        <v>34</v>
      </c>
      <c r="E5211" s="5">
        <v>11</v>
      </c>
      <c r="F5211" s="5">
        <v>44</v>
      </c>
      <c r="G5211" s="6" t="s">
        <v>326</v>
      </c>
      <c r="H5211" s="4">
        <v>15.14</v>
      </c>
      <c r="I5211" s="7">
        <v>8.58</v>
      </c>
      <c r="J5211" s="3" t="s">
        <v>521</v>
      </c>
      <c r="K5211" s="9" t="s">
        <v>36</v>
      </c>
      <c r="L5211" s="6" t="s">
        <v>36</v>
      </c>
      <c r="M5211" s="3" t="s">
        <v>36</v>
      </c>
      <c r="N5211" s="3" t="s">
        <v>36</v>
      </c>
      <c r="O5211" s="8" t="s">
        <v>36</v>
      </c>
      <c r="P5211" s="3" t="s">
        <v>36</v>
      </c>
      <c r="Q5211" s="3" t="s">
        <v>36</v>
      </c>
      <c r="R5211" s="3" t="s">
        <v>36</v>
      </c>
      <c r="S5211" s="3" t="s">
        <v>15904</v>
      </c>
      <c r="T5211" s="3" t="s">
        <v>3729</v>
      </c>
      <c r="U5211" s="3" t="s">
        <v>219</v>
      </c>
      <c r="V5211" s="3" t="s">
        <v>75</v>
      </c>
      <c r="W5211" s="3" t="s">
        <v>15905</v>
      </c>
      <c r="X5211" s="10" t="s">
        <v>24777</v>
      </c>
      <c r="Y5211" s="6" t="s">
        <v>108</v>
      </c>
      <c r="Z5211" s="4">
        <v>0.6</v>
      </c>
      <c r="AA5211" s="4">
        <v>6.96</v>
      </c>
      <c r="AB5211" s="3" t="s">
        <v>43</v>
      </c>
      <c r="AC5211" s="3" t="s">
        <v>15906</v>
      </c>
      <c r="AD5211" s="9">
        <v>43328</v>
      </c>
      <c r="AE5211" s="3" t="s">
        <v>1032</v>
      </c>
      <c r="AF5211" s="3" t="s">
        <v>15907</v>
      </c>
      <c r="AG5211" s="3" t="s">
        <v>4514</v>
      </c>
      <c r="AH5211" s="11">
        <f>HYPERLINK("https://my.pitchbook.com?c=194422-24T","View Company Online")</f>
      </c>
    </row>
    <row r="5212">
      <c r="A5212" s="12" t="s">
        <v>24778</v>
      </c>
      <c r="B5212" s="12" t="s">
        <v>24779</v>
      </c>
      <c r="C5212" s="19" t="s">
        <v>36</v>
      </c>
      <c r="D5212" s="19" t="s">
        <v>36</v>
      </c>
      <c r="E5212" s="19" t="s">
        <v>36</v>
      </c>
      <c r="F5212" s="19" t="s">
        <v>36</v>
      </c>
      <c r="G5212" s="15" t="s">
        <v>326</v>
      </c>
      <c r="H5212" s="14">
        <v>5.22</v>
      </c>
      <c r="I5212" s="18">
        <v>26.31</v>
      </c>
      <c r="J5212" s="12" t="s">
        <v>521</v>
      </c>
      <c r="K5212" s="13" t="s">
        <v>36</v>
      </c>
      <c r="L5212" s="15" t="s">
        <v>122</v>
      </c>
      <c r="M5212" s="12" t="s">
        <v>36</v>
      </c>
      <c r="N5212" s="12" t="s">
        <v>122</v>
      </c>
      <c r="O5212" s="17" t="s">
        <v>36</v>
      </c>
      <c r="P5212" s="12" t="s">
        <v>36</v>
      </c>
      <c r="Q5212" s="12" t="s">
        <v>36</v>
      </c>
      <c r="R5212" s="12" t="s">
        <v>36</v>
      </c>
      <c r="S5212" s="12" t="s">
        <v>36</v>
      </c>
      <c r="T5212" s="12" t="s">
        <v>8394</v>
      </c>
      <c r="U5212" s="12" t="s">
        <v>85</v>
      </c>
      <c r="V5212" s="12" t="s">
        <v>64</v>
      </c>
      <c r="W5212" s="12" t="s">
        <v>24780</v>
      </c>
      <c r="X5212" s="16" t="s">
        <v>16418</v>
      </c>
      <c r="Y5212" s="15" t="s">
        <v>192</v>
      </c>
      <c r="Z5212" s="14">
        <v>2.91</v>
      </c>
      <c r="AA5212" s="14">
        <v>11.06</v>
      </c>
      <c r="AB5212" s="12" t="s">
        <v>43</v>
      </c>
      <c r="AC5212" s="12" t="s">
        <v>24781</v>
      </c>
      <c r="AD5212" s="13">
        <v>43323</v>
      </c>
      <c r="AE5212" s="12" t="s">
        <v>89</v>
      </c>
      <c r="AF5212" s="12" t="s">
        <v>5398</v>
      </c>
      <c r="AG5212" s="12" t="s">
        <v>24782</v>
      </c>
      <c r="AH5212" s="1">
        <f>HYPERLINK("https://my.pitchbook.com?c=140080-51T","View Company Online")</f>
      </c>
    </row>
    <row r="5213">
      <c r="A5213" s="3" t="s">
        <v>24783</v>
      </c>
      <c r="B5213" s="3" t="s">
        <v>24784</v>
      </c>
      <c r="C5213" s="5" t="s">
        <v>36</v>
      </c>
      <c r="D5213" s="5" t="s">
        <v>36</v>
      </c>
      <c r="E5213" s="5" t="s">
        <v>36</v>
      </c>
      <c r="F5213" s="5" t="s">
        <v>36</v>
      </c>
      <c r="G5213" s="6" t="s">
        <v>36</v>
      </c>
      <c r="H5213" s="4">
        <v>3946.55</v>
      </c>
      <c r="I5213" s="7">
        <v>16.74</v>
      </c>
      <c r="J5213" s="3" t="s">
        <v>521</v>
      </c>
      <c r="K5213" s="9">
        <v>43090</v>
      </c>
      <c r="L5213" s="6" t="s">
        <v>36</v>
      </c>
      <c r="M5213" s="3" t="s">
        <v>36</v>
      </c>
      <c r="N5213" s="3" t="s">
        <v>36</v>
      </c>
      <c r="O5213" s="8" t="s">
        <v>36</v>
      </c>
      <c r="P5213" s="3" t="s">
        <v>36</v>
      </c>
      <c r="Q5213" s="3" t="s">
        <v>36</v>
      </c>
      <c r="R5213" s="3" t="s">
        <v>36</v>
      </c>
      <c r="S5213" s="3" t="s">
        <v>36</v>
      </c>
      <c r="T5213" s="3" t="s">
        <v>105</v>
      </c>
      <c r="U5213" s="3" t="s">
        <v>38</v>
      </c>
      <c r="V5213" s="3" t="s">
        <v>39</v>
      </c>
      <c r="W5213" s="3" t="s">
        <v>24785</v>
      </c>
      <c r="X5213" s="10" t="s">
        <v>24786</v>
      </c>
      <c r="Y5213" s="6" t="s">
        <v>42</v>
      </c>
      <c r="Z5213" s="4">
        <v>0.89</v>
      </c>
      <c r="AA5213" s="4">
        <v>5.32</v>
      </c>
      <c r="AB5213" s="3" t="s">
        <v>56</v>
      </c>
      <c r="AC5213" s="3" t="s">
        <v>24787</v>
      </c>
      <c r="AD5213" s="9">
        <v>43321</v>
      </c>
      <c r="AE5213" s="3" t="s">
        <v>110</v>
      </c>
      <c r="AF5213" s="3" t="s">
        <v>1842</v>
      </c>
      <c r="AG5213" s="3" t="s">
        <v>81</v>
      </c>
      <c r="AH5213" s="11">
        <f>HYPERLINK("https://my.pitchbook.com?c=77294-08T","View Company Online")</f>
      </c>
    </row>
    <row r="5214">
      <c r="A5214" s="12" t="s">
        <v>24788</v>
      </c>
      <c r="B5214" s="12" t="s">
        <v>24789</v>
      </c>
      <c r="C5214" s="19" t="s">
        <v>36</v>
      </c>
      <c r="D5214" s="19" t="s">
        <v>36</v>
      </c>
      <c r="E5214" s="19" t="s">
        <v>36</v>
      </c>
      <c r="F5214" s="19" t="s">
        <v>36</v>
      </c>
      <c r="G5214" s="15" t="s">
        <v>36</v>
      </c>
      <c r="H5214" s="14" t="s">
        <v>36</v>
      </c>
      <c r="I5214" s="18" t="s">
        <v>36</v>
      </c>
      <c r="J5214" s="12" t="s">
        <v>36</v>
      </c>
      <c r="K5214" s="13" t="s">
        <v>36</v>
      </c>
      <c r="L5214" s="15" t="s">
        <v>122</v>
      </c>
      <c r="M5214" s="12" t="s">
        <v>36</v>
      </c>
      <c r="N5214" s="12" t="s">
        <v>122</v>
      </c>
      <c r="O5214" s="17" t="s">
        <v>36</v>
      </c>
      <c r="P5214" s="12" t="s">
        <v>36</v>
      </c>
      <c r="Q5214" s="12" t="s">
        <v>36</v>
      </c>
      <c r="R5214" s="12" t="s">
        <v>36</v>
      </c>
      <c r="S5214" s="12" t="s">
        <v>36</v>
      </c>
      <c r="T5214" s="12" t="s">
        <v>2490</v>
      </c>
      <c r="U5214" s="12" t="s">
        <v>318</v>
      </c>
      <c r="V5214" s="12" t="s">
        <v>39</v>
      </c>
      <c r="W5214" s="12" t="s">
        <v>24790</v>
      </c>
      <c r="X5214" s="16" t="s">
        <v>24791</v>
      </c>
      <c r="Y5214" s="15" t="s">
        <v>108</v>
      </c>
      <c r="Z5214" s="14" t="s">
        <v>36</v>
      </c>
      <c r="AA5214" s="14" t="s">
        <v>36</v>
      </c>
      <c r="AB5214" s="12" t="s">
        <v>43</v>
      </c>
      <c r="AC5214" s="12" t="s">
        <v>24792</v>
      </c>
      <c r="AD5214" s="13">
        <v>43321</v>
      </c>
      <c r="AE5214" s="12" t="s">
        <v>417</v>
      </c>
      <c r="AF5214" s="12" t="s">
        <v>24793</v>
      </c>
      <c r="AG5214" s="12" t="s">
        <v>81</v>
      </c>
      <c r="AH5214" s="1">
        <f>HYPERLINK("https://my.pitchbook.com?c=119781-28T","View Company Online")</f>
      </c>
    </row>
    <row r="5215">
      <c r="A5215" s="3" t="s">
        <v>24794</v>
      </c>
      <c r="B5215" s="3" t="s">
        <v>18703</v>
      </c>
      <c r="C5215" s="5" t="s">
        <v>36</v>
      </c>
      <c r="D5215" s="5">
        <v>2</v>
      </c>
      <c r="E5215" s="5">
        <v>1</v>
      </c>
      <c r="F5215" s="5">
        <v>2</v>
      </c>
      <c r="G5215" s="6" t="s">
        <v>326</v>
      </c>
      <c r="H5215" s="4">
        <v>27.22</v>
      </c>
      <c r="I5215" s="7">
        <v>34.63</v>
      </c>
      <c r="J5215" s="3" t="s">
        <v>521</v>
      </c>
      <c r="K5215" s="9">
        <v>43293</v>
      </c>
      <c r="L5215" s="6" t="s">
        <v>94</v>
      </c>
      <c r="M5215" s="3" t="s">
        <v>36</v>
      </c>
      <c r="N5215" s="3" t="s">
        <v>94</v>
      </c>
      <c r="O5215" s="8" t="s">
        <v>36</v>
      </c>
      <c r="P5215" s="3" t="s">
        <v>36</v>
      </c>
      <c r="Q5215" s="3" t="s">
        <v>36</v>
      </c>
      <c r="R5215" s="3" t="s">
        <v>36</v>
      </c>
      <c r="S5215" s="3" t="s">
        <v>36</v>
      </c>
      <c r="T5215" s="3" t="s">
        <v>105</v>
      </c>
      <c r="U5215" s="3" t="s">
        <v>38</v>
      </c>
      <c r="V5215" s="3" t="s">
        <v>39</v>
      </c>
      <c r="W5215" s="3" t="s">
        <v>18704</v>
      </c>
      <c r="X5215" s="10" t="s">
        <v>24795</v>
      </c>
      <c r="Y5215" s="6" t="s">
        <v>55</v>
      </c>
      <c r="Z5215" s="4">
        <v>52.46</v>
      </c>
      <c r="AA5215" s="4">
        <v>101</v>
      </c>
      <c r="AB5215" s="3" t="s">
        <v>43</v>
      </c>
      <c r="AC5215" s="3" t="s">
        <v>18706</v>
      </c>
      <c r="AD5215" s="9">
        <v>43320</v>
      </c>
      <c r="AE5215" s="3" t="s">
        <v>110</v>
      </c>
      <c r="AF5215" s="3" t="s">
        <v>4552</v>
      </c>
      <c r="AG5215" s="3" t="s">
        <v>81</v>
      </c>
      <c r="AH5215" s="11">
        <f>HYPERLINK("https://my.pitchbook.com?c=108825-85T","View Company Online")</f>
      </c>
    </row>
    <row r="5216">
      <c r="A5216" s="12" t="s">
        <v>24796</v>
      </c>
      <c r="B5216" s="12" t="s">
        <v>23249</v>
      </c>
      <c r="C5216" s="19" t="s">
        <v>36</v>
      </c>
      <c r="D5216" s="19" t="s">
        <v>36</v>
      </c>
      <c r="E5216" s="19" t="s">
        <v>36</v>
      </c>
      <c r="F5216" s="19" t="s">
        <v>36</v>
      </c>
      <c r="G5216" s="15" t="s">
        <v>36</v>
      </c>
      <c r="H5216" s="14">
        <v>55.64</v>
      </c>
      <c r="I5216" s="18">
        <v>25</v>
      </c>
      <c r="J5216" s="12" t="s">
        <v>521</v>
      </c>
      <c r="K5216" s="13" t="s">
        <v>36</v>
      </c>
      <c r="L5216" s="15" t="s">
        <v>36</v>
      </c>
      <c r="M5216" s="12" t="s">
        <v>36</v>
      </c>
      <c r="N5216" s="12" t="s">
        <v>36</v>
      </c>
      <c r="O5216" s="17" t="s">
        <v>36</v>
      </c>
      <c r="P5216" s="12" t="s">
        <v>36</v>
      </c>
      <c r="Q5216" s="12" t="s">
        <v>36</v>
      </c>
      <c r="R5216" s="12" t="s">
        <v>36</v>
      </c>
      <c r="S5216" s="12" t="s">
        <v>36</v>
      </c>
      <c r="T5216" s="12" t="s">
        <v>23250</v>
      </c>
      <c r="U5216" s="12" t="s">
        <v>63</v>
      </c>
      <c r="V5216" s="12" t="s">
        <v>64</v>
      </c>
      <c r="W5216" s="12" t="s">
        <v>23251</v>
      </c>
      <c r="X5216" s="16" t="s">
        <v>20907</v>
      </c>
      <c r="Y5216" s="15" t="s">
        <v>108</v>
      </c>
      <c r="Z5216" s="14">
        <v>0.29</v>
      </c>
      <c r="AA5216" s="14">
        <v>1.17</v>
      </c>
      <c r="AB5216" s="12" t="s">
        <v>43</v>
      </c>
      <c r="AC5216" s="12" t="s">
        <v>23252</v>
      </c>
      <c r="AD5216" s="13">
        <v>43315</v>
      </c>
      <c r="AE5216" s="12" t="s">
        <v>399</v>
      </c>
      <c r="AF5216" s="12" t="s">
        <v>4270</v>
      </c>
      <c r="AG5216" s="12" t="s">
        <v>81</v>
      </c>
      <c r="AH5216" s="1">
        <f>HYPERLINK("https://my.pitchbook.com?c=188149-06T","View Company Online")</f>
      </c>
    </row>
    <row r="5217">
      <c r="A5217" s="3" t="s">
        <v>24797</v>
      </c>
      <c r="B5217" s="3" t="s">
        <v>24798</v>
      </c>
      <c r="C5217" s="5" t="s">
        <v>36</v>
      </c>
      <c r="D5217" s="5" t="s">
        <v>36</v>
      </c>
      <c r="E5217" s="5" t="s">
        <v>36</v>
      </c>
      <c r="F5217" s="5" t="s">
        <v>36</v>
      </c>
      <c r="G5217" s="6" t="s">
        <v>683</v>
      </c>
      <c r="H5217" s="4">
        <v>13.11</v>
      </c>
      <c r="I5217" s="7">
        <v>30.68</v>
      </c>
      <c r="J5217" s="3" t="s">
        <v>521</v>
      </c>
      <c r="K5217" s="9" t="s">
        <v>36</v>
      </c>
      <c r="L5217" s="6" t="s">
        <v>36</v>
      </c>
      <c r="M5217" s="3" t="s">
        <v>36</v>
      </c>
      <c r="N5217" s="3" t="s">
        <v>36</v>
      </c>
      <c r="O5217" s="8" t="s">
        <v>36</v>
      </c>
      <c r="P5217" s="3" t="s">
        <v>36</v>
      </c>
      <c r="Q5217" s="3" t="s">
        <v>36</v>
      </c>
      <c r="R5217" s="3" t="s">
        <v>36</v>
      </c>
      <c r="S5217" s="3" t="s">
        <v>36</v>
      </c>
      <c r="T5217" s="3" t="s">
        <v>6288</v>
      </c>
      <c r="U5217" s="3" t="s">
        <v>85</v>
      </c>
      <c r="V5217" s="3" t="s">
        <v>64</v>
      </c>
      <c r="W5217" s="3" t="s">
        <v>24799</v>
      </c>
      <c r="X5217" s="10" t="s">
        <v>24800</v>
      </c>
      <c r="Y5217" s="6" t="s">
        <v>55</v>
      </c>
      <c r="Z5217" s="4">
        <v>2.66</v>
      </c>
      <c r="AA5217" s="4">
        <v>8.68</v>
      </c>
      <c r="AB5217" s="3" t="s">
        <v>56</v>
      </c>
      <c r="AC5217" s="3" t="s">
        <v>24801</v>
      </c>
      <c r="AD5217" s="9">
        <v>43314</v>
      </c>
      <c r="AE5217" s="3" t="s">
        <v>89</v>
      </c>
      <c r="AF5217" s="3" t="s">
        <v>24802</v>
      </c>
      <c r="AG5217" s="3" t="s">
        <v>434</v>
      </c>
      <c r="AH5217" s="11">
        <f>HYPERLINK("https://my.pitchbook.com?c=169456-33T","View Company Online")</f>
      </c>
    </row>
    <row r="5218">
      <c r="A5218" s="12" t="s">
        <v>24803</v>
      </c>
      <c r="B5218" s="12" t="s">
        <v>24804</v>
      </c>
      <c r="C5218" s="19" t="s">
        <v>36</v>
      </c>
      <c r="D5218" s="19" t="s">
        <v>36</v>
      </c>
      <c r="E5218" s="19" t="s">
        <v>36</v>
      </c>
      <c r="F5218" s="19" t="s">
        <v>36</v>
      </c>
      <c r="G5218" s="15" t="s">
        <v>326</v>
      </c>
      <c r="H5218" s="14">
        <v>155.49</v>
      </c>
      <c r="I5218" s="18">
        <v>23.63</v>
      </c>
      <c r="J5218" s="12" t="s">
        <v>521</v>
      </c>
      <c r="K5218" s="13" t="s">
        <v>36</v>
      </c>
      <c r="L5218" s="15" t="s">
        <v>36</v>
      </c>
      <c r="M5218" s="12" t="s">
        <v>36</v>
      </c>
      <c r="N5218" s="12" t="s">
        <v>36</v>
      </c>
      <c r="O5218" s="17" t="s">
        <v>36</v>
      </c>
      <c r="P5218" s="12" t="s">
        <v>36</v>
      </c>
      <c r="Q5218" s="12" t="s">
        <v>36</v>
      </c>
      <c r="R5218" s="12" t="s">
        <v>36</v>
      </c>
      <c r="S5218" s="12" t="s">
        <v>36</v>
      </c>
      <c r="T5218" s="12" t="s">
        <v>24805</v>
      </c>
      <c r="U5218" s="12" t="s">
        <v>74</v>
      </c>
      <c r="V5218" s="12" t="s">
        <v>75</v>
      </c>
      <c r="W5218" s="12" t="s">
        <v>24806</v>
      </c>
      <c r="X5218" s="16" t="s">
        <v>1043</v>
      </c>
      <c r="Y5218" s="15" t="s">
        <v>42</v>
      </c>
      <c r="Z5218" s="14">
        <v>0.96</v>
      </c>
      <c r="AA5218" s="14">
        <v>4.06</v>
      </c>
      <c r="AB5218" s="12" t="s">
        <v>43</v>
      </c>
      <c r="AC5218" s="12" t="s">
        <v>24807</v>
      </c>
      <c r="AD5218" s="13">
        <v>43314</v>
      </c>
      <c r="AE5218" s="12" t="s">
        <v>79</v>
      </c>
      <c r="AF5218" s="12" t="s">
        <v>2343</v>
      </c>
      <c r="AG5218" s="12" t="s">
        <v>81</v>
      </c>
      <c r="AH5218" s="1">
        <f>HYPERLINK("https://my.pitchbook.com?c=190661-23T","View Company Online")</f>
      </c>
    </row>
    <row r="5219">
      <c r="A5219" s="3" t="s">
        <v>24808</v>
      </c>
      <c r="B5219" s="3" t="s">
        <v>11458</v>
      </c>
      <c r="C5219" s="5" t="s">
        <v>36</v>
      </c>
      <c r="D5219" s="5" t="s">
        <v>36</v>
      </c>
      <c r="E5219" s="5" t="s">
        <v>36</v>
      </c>
      <c r="F5219" s="5" t="s">
        <v>36</v>
      </c>
      <c r="G5219" s="6" t="s">
        <v>36</v>
      </c>
      <c r="H5219" s="4">
        <v>126.71</v>
      </c>
      <c r="I5219" s="7">
        <v>13.35</v>
      </c>
      <c r="J5219" s="3" t="s">
        <v>521</v>
      </c>
      <c r="K5219" s="9" t="s">
        <v>36</v>
      </c>
      <c r="L5219" s="6" t="s">
        <v>36</v>
      </c>
      <c r="M5219" s="3" t="s">
        <v>36</v>
      </c>
      <c r="N5219" s="3" t="s">
        <v>36</v>
      </c>
      <c r="O5219" s="8" t="s">
        <v>36</v>
      </c>
      <c r="P5219" s="3" t="s">
        <v>36</v>
      </c>
      <c r="Q5219" s="3" t="s">
        <v>36</v>
      </c>
      <c r="R5219" s="3" t="s">
        <v>36</v>
      </c>
      <c r="S5219" s="3" t="s">
        <v>196</v>
      </c>
      <c r="T5219" s="3" t="s">
        <v>1106</v>
      </c>
      <c r="U5219" s="3" t="s">
        <v>38</v>
      </c>
      <c r="V5219" s="3" t="s">
        <v>39</v>
      </c>
      <c r="W5219" s="3" t="s">
        <v>11459</v>
      </c>
      <c r="X5219" s="10" t="s">
        <v>24809</v>
      </c>
      <c r="Y5219" s="6" t="s">
        <v>108</v>
      </c>
      <c r="Z5219" s="4">
        <v>0.35</v>
      </c>
      <c r="AA5219" s="4">
        <v>1.76</v>
      </c>
      <c r="AB5219" s="3" t="s">
        <v>43</v>
      </c>
      <c r="AC5219" s="3" t="s">
        <v>11461</v>
      </c>
      <c r="AD5219" s="9">
        <v>43313</v>
      </c>
      <c r="AE5219" s="3" t="s">
        <v>110</v>
      </c>
      <c r="AF5219" s="3" t="s">
        <v>11462</v>
      </c>
      <c r="AG5219" s="3" t="s">
        <v>741</v>
      </c>
      <c r="AH5219" s="11">
        <f>HYPERLINK("https://my.pitchbook.com?c=121377-79T","View Company Online")</f>
      </c>
    </row>
    <row r="5220">
      <c r="A5220" s="12" t="s">
        <v>24810</v>
      </c>
      <c r="B5220" s="12" t="s">
        <v>24811</v>
      </c>
      <c r="C5220" s="19" t="s">
        <v>36</v>
      </c>
      <c r="D5220" s="19" t="s">
        <v>36</v>
      </c>
      <c r="E5220" s="19" t="s">
        <v>36</v>
      </c>
      <c r="F5220" s="19" t="s">
        <v>36</v>
      </c>
      <c r="G5220" s="15" t="s">
        <v>36</v>
      </c>
      <c r="H5220" s="14" t="s">
        <v>36</v>
      </c>
      <c r="I5220" s="18">
        <v>23.61</v>
      </c>
      <c r="J5220" s="12" t="s">
        <v>327</v>
      </c>
      <c r="K5220" s="13" t="s">
        <v>36</v>
      </c>
      <c r="L5220" s="15" t="s">
        <v>36</v>
      </c>
      <c r="M5220" s="12" t="s">
        <v>36</v>
      </c>
      <c r="N5220" s="12" t="s">
        <v>36</v>
      </c>
      <c r="O5220" s="17" t="s">
        <v>36</v>
      </c>
      <c r="P5220" s="12" t="s">
        <v>36</v>
      </c>
      <c r="Q5220" s="12" t="s">
        <v>36</v>
      </c>
      <c r="R5220" s="12" t="s">
        <v>36</v>
      </c>
      <c r="S5220" s="12" t="s">
        <v>36</v>
      </c>
      <c r="T5220" s="12" t="s">
        <v>24812</v>
      </c>
      <c r="U5220" s="12" t="s">
        <v>38</v>
      </c>
      <c r="V5220" s="12" t="s">
        <v>39</v>
      </c>
      <c r="W5220" s="12" t="s">
        <v>24813</v>
      </c>
      <c r="X5220" s="16" t="s">
        <v>24814</v>
      </c>
      <c r="Y5220" s="15" t="s">
        <v>108</v>
      </c>
      <c r="Z5220" s="14">
        <v>0.32</v>
      </c>
      <c r="AA5220" s="14">
        <v>1.34</v>
      </c>
      <c r="AB5220" s="12" t="s">
        <v>43</v>
      </c>
      <c r="AC5220" s="12" t="s">
        <v>24815</v>
      </c>
      <c r="AD5220" s="13">
        <v>43313</v>
      </c>
      <c r="AE5220" s="12" t="s">
        <v>110</v>
      </c>
      <c r="AF5220" s="12" t="s">
        <v>8265</v>
      </c>
      <c r="AG5220" s="12" t="s">
        <v>24816</v>
      </c>
      <c r="AH5220" s="1">
        <f>HYPERLINK("https://my.pitchbook.com?c=111435-49T","View Company Online")</f>
      </c>
    </row>
    <row r="5221">
      <c r="A5221" s="3" t="s">
        <v>24817</v>
      </c>
      <c r="B5221" s="3" t="s">
        <v>9800</v>
      </c>
      <c r="C5221" s="5" t="s">
        <v>36</v>
      </c>
      <c r="D5221" s="5" t="s">
        <v>36</v>
      </c>
      <c r="E5221" s="5" t="s">
        <v>36</v>
      </c>
      <c r="F5221" s="5" t="s">
        <v>36</v>
      </c>
      <c r="G5221" s="6" t="s">
        <v>36</v>
      </c>
      <c r="H5221" s="4" t="s">
        <v>36</v>
      </c>
      <c r="I5221" s="7" t="s">
        <v>36</v>
      </c>
      <c r="J5221" s="3" t="s">
        <v>36</v>
      </c>
      <c r="K5221" s="9" t="s">
        <v>36</v>
      </c>
      <c r="L5221" s="6" t="s">
        <v>3736</v>
      </c>
      <c r="M5221" s="3" t="s">
        <v>36</v>
      </c>
      <c r="N5221" s="3" t="s">
        <v>3736</v>
      </c>
      <c r="O5221" s="8" t="s">
        <v>36</v>
      </c>
      <c r="P5221" s="3" t="s">
        <v>36</v>
      </c>
      <c r="Q5221" s="3" t="s">
        <v>36</v>
      </c>
      <c r="R5221" s="3" t="s">
        <v>36</v>
      </c>
      <c r="S5221" s="3" t="s">
        <v>36</v>
      </c>
      <c r="T5221" s="3" t="s">
        <v>115</v>
      </c>
      <c r="U5221" s="3" t="s">
        <v>63</v>
      </c>
      <c r="V5221" s="3" t="s">
        <v>64</v>
      </c>
      <c r="W5221" s="3" t="s">
        <v>9801</v>
      </c>
      <c r="X5221" s="10" t="s">
        <v>24818</v>
      </c>
      <c r="Y5221" s="6" t="s">
        <v>192</v>
      </c>
      <c r="Z5221" s="4">
        <v>93.52</v>
      </c>
      <c r="AA5221" s="4" t="s">
        <v>36</v>
      </c>
      <c r="AB5221" s="3" t="s">
        <v>56</v>
      </c>
      <c r="AC5221" s="3" t="s">
        <v>9803</v>
      </c>
      <c r="AD5221" s="9">
        <v>43313</v>
      </c>
      <c r="AE5221" s="3" t="s">
        <v>68</v>
      </c>
      <c r="AF5221" s="3" t="s">
        <v>176</v>
      </c>
      <c r="AG5221" s="3" t="s">
        <v>81</v>
      </c>
      <c r="AH5221" s="11">
        <f>HYPERLINK("https://my.pitchbook.com?c=111500-11T","View Company Online")</f>
      </c>
    </row>
    <row r="5222">
      <c r="A5222" s="12" t="s">
        <v>24819</v>
      </c>
      <c r="B5222" s="12" t="s">
        <v>24820</v>
      </c>
      <c r="C5222" s="19" t="s">
        <v>36</v>
      </c>
      <c r="D5222" s="19" t="s">
        <v>36</v>
      </c>
      <c r="E5222" s="19">
        <v>1</v>
      </c>
      <c r="F5222" s="19">
        <v>1</v>
      </c>
      <c r="G5222" s="15" t="s">
        <v>36</v>
      </c>
      <c r="H5222" s="14" t="s">
        <v>36</v>
      </c>
      <c r="I5222" s="18" t="s">
        <v>36</v>
      </c>
      <c r="J5222" s="12" t="s">
        <v>36</v>
      </c>
      <c r="K5222" s="13" t="s">
        <v>36</v>
      </c>
      <c r="L5222" s="15" t="s">
        <v>36</v>
      </c>
      <c r="M5222" s="12" t="s">
        <v>36</v>
      </c>
      <c r="N5222" s="12" t="s">
        <v>36</v>
      </c>
      <c r="O5222" s="17" t="s">
        <v>36</v>
      </c>
      <c r="P5222" s="12" t="s">
        <v>36</v>
      </c>
      <c r="Q5222" s="12" t="s">
        <v>36</v>
      </c>
      <c r="R5222" s="12" t="s">
        <v>36</v>
      </c>
      <c r="S5222" s="12" t="s">
        <v>36</v>
      </c>
      <c r="T5222" s="12" t="s">
        <v>1162</v>
      </c>
      <c r="U5222" s="12" t="s">
        <v>423</v>
      </c>
      <c r="V5222" s="12" t="s">
        <v>64</v>
      </c>
      <c r="W5222" s="12" t="s">
        <v>24821</v>
      </c>
      <c r="X5222" s="16" t="s">
        <v>24822</v>
      </c>
      <c r="Y5222" s="15" t="s">
        <v>42</v>
      </c>
      <c r="Z5222" s="14" t="s">
        <v>36</v>
      </c>
      <c r="AA5222" s="14" t="s">
        <v>36</v>
      </c>
      <c r="AB5222" s="12" t="s">
        <v>43</v>
      </c>
      <c r="AC5222" s="12" t="s">
        <v>24823</v>
      </c>
      <c r="AD5222" s="13">
        <v>43313</v>
      </c>
      <c r="AE5222" s="12" t="s">
        <v>562</v>
      </c>
      <c r="AF5222" s="12" t="s">
        <v>36</v>
      </c>
      <c r="AG5222" s="12" t="s">
        <v>1353</v>
      </c>
      <c r="AH5222" s="1">
        <f>HYPERLINK("https://my.pitchbook.com?c=187390-99T","View Company Online")</f>
      </c>
    </row>
    <row r="5223">
      <c r="A5223" s="3" t="s">
        <v>24824</v>
      </c>
      <c r="B5223" s="3" t="s">
        <v>24825</v>
      </c>
      <c r="C5223" s="5" t="s">
        <v>36</v>
      </c>
      <c r="D5223" s="5" t="s">
        <v>36</v>
      </c>
      <c r="E5223" s="5" t="s">
        <v>36</v>
      </c>
      <c r="F5223" s="5" t="s">
        <v>36</v>
      </c>
      <c r="G5223" s="6" t="s">
        <v>683</v>
      </c>
      <c r="H5223" s="4">
        <v>238.35</v>
      </c>
      <c r="I5223" s="7">
        <v>23.89</v>
      </c>
      <c r="J5223" s="3" t="s">
        <v>521</v>
      </c>
      <c r="K5223" s="9" t="s">
        <v>36</v>
      </c>
      <c r="L5223" s="6" t="s">
        <v>36</v>
      </c>
      <c r="M5223" s="3" t="s">
        <v>36</v>
      </c>
      <c r="N5223" s="3" t="s">
        <v>36</v>
      </c>
      <c r="O5223" s="8" t="s">
        <v>36</v>
      </c>
      <c r="P5223" s="3" t="s">
        <v>36</v>
      </c>
      <c r="Q5223" s="3" t="s">
        <v>36</v>
      </c>
      <c r="R5223" s="3" t="s">
        <v>36</v>
      </c>
      <c r="S5223" s="3" t="s">
        <v>36</v>
      </c>
      <c r="T5223" s="3" t="s">
        <v>24826</v>
      </c>
      <c r="U5223" s="3" t="s">
        <v>38</v>
      </c>
      <c r="V5223" s="3" t="s">
        <v>39</v>
      </c>
      <c r="W5223" s="3" t="s">
        <v>24827</v>
      </c>
      <c r="X5223" s="10" t="s">
        <v>24822</v>
      </c>
      <c r="Y5223" s="6" t="s">
        <v>55</v>
      </c>
      <c r="Z5223" s="4">
        <v>1.2</v>
      </c>
      <c r="AA5223" s="4">
        <v>5.03</v>
      </c>
      <c r="AB5223" s="3" t="s">
        <v>43</v>
      </c>
      <c r="AC5223" s="3" t="s">
        <v>24828</v>
      </c>
      <c r="AD5223" s="9">
        <v>43313</v>
      </c>
      <c r="AE5223" s="3" t="s">
        <v>1330</v>
      </c>
      <c r="AF5223" s="3" t="s">
        <v>1077</v>
      </c>
      <c r="AG5223" s="3" t="s">
        <v>81</v>
      </c>
      <c r="AH5223" s="11">
        <f>HYPERLINK("https://my.pitchbook.com?c=119872-36T","View Company Online")</f>
      </c>
    </row>
    <row r="5224">
      <c r="A5224" s="12" t="s">
        <v>24829</v>
      </c>
      <c r="B5224" s="12" t="s">
        <v>15068</v>
      </c>
      <c r="C5224" s="19">
        <v>1</v>
      </c>
      <c r="D5224" s="19">
        <v>3</v>
      </c>
      <c r="E5224" s="19">
        <v>4</v>
      </c>
      <c r="F5224" s="19">
        <v>4</v>
      </c>
      <c r="G5224" s="15" t="s">
        <v>36</v>
      </c>
      <c r="H5224" s="14" t="s">
        <v>36</v>
      </c>
      <c r="I5224" s="18" t="s">
        <v>36</v>
      </c>
      <c r="J5224" s="12" t="s">
        <v>36</v>
      </c>
      <c r="K5224" s="13" t="s">
        <v>36</v>
      </c>
      <c r="L5224" s="15" t="s">
        <v>36</v>
      </c>
      <c r="M5224" s="12" t="s">
        <v>36</v>
      </c>
      <c r="N5224" s="12" t="s">
        <v>36</v>
      </c>
      <c r="O5224" s="17" t="s">
        <v>36</v>
      </c>
      <c r="P5224" s="12" t="s">
        <v>36</v>
      </c>
      <c r="Q5224" s="12" t="s">
        <v>36</v>
      </c>
      <c r="R5224" s="12" t="s">
        <v>36</v>
      </c>
      <c r="S5224" s="12" t="s">
        <v>36</v>
      </c>
      <c r="T5224" s="12" t="s">
        <v>15069</v>
      </c>
      <c r="U5224" s="12" t="s">
        <v>38</v>
      </c>
      <c r="V5224" s="12" t="s">
        <v>39</v>
      </c>
      <c r="W5224" s="12" t="s">
        <v>15070</v>
      </c>
      <c r="X5224" s="16" t="s">
        <v>24830</v>
      </c>
      <c r="Y5224" s="15" t="s">
        <v>55</v>
      </c>
      <c r="Z5224" s="14">
        <v>0.73</v>
      </c>
      <c r="AA5224" s="14" t="s">
        <v>36</v>
      </c>
      <c r="AB5224" s="12" t="s">
        <v>43</v>
      </c>
      <c r="AC5224" s="12" t="s">
        <v>15072</v>
      </c>
      <c r="AD5224" s="13">
        <v>43313</v>
      </c>
      <c r="AE5224" s="12" t="s">
        <v>554</v>
      </c>
      <c r="AF5224" s="12" t="s">
        <v>15073</v>
      </c>
      <c r="AG5224" s="12" t="s">
        <v>81</v>
      </c>
      <c r="AH5224" s="1">
        <f>HYPERLINK("https://my.pitchbook.com?c=113641-39T","View Company Online")</f>
      </c>
    </row>
    <row r="5225">
      <c r="A5225" s="3" t="s">
        <v>24831</v>
      </c>
      <c r="B5225" s="3" t="s">
        <v>9944</v>
      </c>
      <c r="C5225" s="5" t="s">
        <v>36</v>
      </c>
      <c r="D5225" s="5" t="s">
        <v>36</v>
      </c>
      <c r="E5225" s="5" t="s">
        <v>36</v>
      </c>
      <c r="F5225" s="5" t="s">
        <v>36</v>
      </c>
      <c r="G5225" s="6" t="s">
        <v>326</v>
      </c>
      <c r="H5225" s="4">
        <v>7.35</v>
      </c>
      <c r="I5225" s="7">
        <v>25.95</v>
      </c>
      <c r="J5225" s="3" t="s">
        <v>521</v>
      </c>
      <c r="K5225" s="9">
        <v>42877</v>
      </c>
      <c r="L5225" s="6" t="s">
        <v>94</v>
      </c>
      <c r="M5225" s="3" t="s">
        <v>36</v>
      </c>
      <c r="N5225" s="3" t="s">
        <v>94</v>
      </c>
      <c r="O5225" s="8" t="s">
        <v>36</v>
      </c>
      <c r="P5225" s="3" t="s">
        <v>36</v>
      </c>
      <c r="Q5225" s="3" t="s">
        <v>36</v>
      </c>
      <c r="R5225" s="3" t="s">
        <v>36</v>
      </c>
      <c r="S5225" s="3" t="s">
        <v>36</v>
      </c>
      <c r="T5225" s="3" t="s">
        <v>522</v>
      </c>
      <c r="U5225" s="3" t="s">
        <v>38</v>
      </c>
      <c r="V5225" s="3" t="s">
        <v>39</v>
      </c>
      <c r="W5225" s="3" t="s">
        <v>9945</v>
      </c>
      <c r="X5225" s="10" t="s">
        <v>24832</v>
      </c>
      <c r="Y5225" s="6" t="s">
        <v>55</v>
      </c>
      <c r="Z5225" s="4">
        <v>15.6</v>
      </c>
      <c r="AA5225" s="4">
        <v>60.13</v>
      </c>
      <c r="AB5225" s="3" t="s">
        <v>56</v>
      </c>
      <c r="AC5225" s="3" t="s">
        <v>9947</v>
      </c>
      <c r="AD5225" s="9">
        <v>43312</v>
      </c>
      <c r="AE5225" s="3" t="s">
        <v>110</v>
      </c>
      <c r="AF5225" s="3" t="s">
        <v>4552</v>
      </c>
      <c r="AG5225" s="3" t="s">
        <v>81</v>
      </c>
      <c r="AH5225" s="11">
        <f>HYPERLINK("https://my.pitchbook.com?c=88384-60T","View Company Online")</f>
      </c>
    </row>
    <row r="5226">
      <c r="A5226" s="12" t="s">
        <v>24833</v>
      </c>
      <c r="B5226" s="12" t="s">
        <v>24834</v>
      </c>
      <c r="C5226" s="19" t="s">
        <v>36</v>
      </c>
      <c r="D5226" s="19" t="s">
        <v>36</v>
      </c>
      <c r="E5226" s="19" t="s">
        <v>36</v>
      </c>
      <c r="F5226" s="19" t="s">
        <v>36</v>
      </c>
      <c r="G5226" s="15" t="s">
        <v>36</v>
      </c>
      <c r="H5226" s="14" t="s">
        <v>36</v>
      </c>
      <c r="I5226" s="18" t="s">
        <v>36</v>
      </c>
      <c r="J5226" s="12" t="s">
        <v>36</v>
      </c>
      <c r="K5226" s="13" t="s">
        <v>36</v>
      </c>
      <c r="L5226" s="15" t="s">
        <v>36</v>
      </c>
      <c r="M5226" s="12" t="s">
        <v>36</v>
      </c>
      <c r="N5226" s="12" t="s">
        <v>36</v>
      </c>
      <c r="O5226" s="17" t="s">
        <v>36</v>
      </c>
      <c r="P5226" s="12" t="s">
        <v>36</v>
      </c>
      <c r="Q5226" s="12" t="s">
        <v>36</v>
      </c>
      <c r="R5226" s="12" t="s">
        <v>36</v>
      </c>
      <c r="S5226" s="12" t="s">
        <v>36</v>
      </c>
      <c r="T5226" s="12" t="s">
        <v>4529</v>
      </c>
      <c r="U5226" s="12" t="s">
        <v>38</v>
      </c>
      <c r="V5226" s="12" t="s">
        <v>39</v>
      </c>
      <c r="W5226" s="12" t="s">
        <v>24835</v>
      </c>
      <c r="X5226" s="16" t="s">
        <v>640</v>
      </c>
      <c r="Y5226" s="15" t="s">
        <v>108</v>
      </c>
      <c r="Z5226" s="14">
        <v>0.6</v>
      </c>
      <c r="AA5226" s="14" t="s">
        <v>36</v>
      </c>
      <c r="AB5226" s="12" t="s">
        <v>56</v>
      </c>
      <c r="AC5226" s="12" t="s">
        <v>24836</v>
      </c>
      <c r="AD5226" s="13">
        <v>43312</v>
      </c>
      <c r="AE5226" s="12" t="s">
        <v>1422</v>
      </c>
      <c r="AF5226" s="12" t="s">
        <v>4200</v>
      </c>
      <c r="AG5226" s="12" t="s">
        <v>186</v>
      </c>
      <c r="AH5226" s="1">
        <f>HYPERLINK("https://my.pitchbook.com?c=138793-42T","View Company Online")</f>
      </c>
    </row>
    <row r="5227">
      <c r="A5227" s="3" t="s">
        <v>24837</v>
      </c>
      <c r="B5227" s="3" t="s">
        <v>24838</v>
      </c>
      <c r="C5227" s="5" t="s">
        <v>36</v>
      </c>
      <c r="D5227" s="5" t="s">
        <v>36</v>
      </c>
      <c r="E5227" s="5" t="s">
        <v>36</v>
      </c>
      <c r="F5227" s="5" t="s">
        <v>36</v>
      </c>
      <c r="G5227" s="6" t="s">
        <v>36</v>
      </c>
      <c r="H5227" s="4">
        <v>885.9</v>
      </c>
      <c r="I5227" s="7">
        <v>9.55</v>
      </c>
      <c r="J5227" s="3" t="s">
        <v>521</v>
      </c>
      <c r="K5227" s="9" t="s">
        <v>36</v>
      </c>
      <c r="L5227" s="6" t="s">
        <v>36</v>
      </c>
      <c r="M5227" s="3" t="s">
        <v>36</v>
      </c>
      <c r="N5227" s="3" t="s">
        <v>36</v>
      </c>
      <c r="O5227" s="8" t="s">
        <v>36</v>
      </c>
      <c r="P5227" s="3" t="s">
        <v>36</v>
      </c>
      <c r="Q5227" s="3" t="s">
        <v>36</v>
      </c>
      <c r="R5227" s="3" t="s">
        <v>36</v>
      </c>
      <c r="S5227" s="3" t="s">
        <v>36</v>
      </c>
      <c r="T5227" s="3" t="s">
        <v>5302</v>
      </c>
      <c r="U5227" s="3" t="s">
        <v>74</v>
      </c>
      <c r="V5227" s="3" t="s">
        <v>75</v>
      </c>
      <c r="W5227" s="3" t="s">
        <v>24839</v>
      </c>
      <c r="X5227" s="10" t="s">
        <v>24370</v>
      </c>
      <c r="Y5227" s="6" t="s">
        <v>192</v>
      </c>
      <c r="Z5227" s="4">
        <v>0.49</v>
      </c>
      <c r="AA5227" s="4">
        <v>5.17</v>
      </c>
      <c r="AB5227" s="3" t="s">
        <v>56</v>
      </c>
      <c r="AC5227" s="3" t="s">
        <v>24840</v>
      </c>
      <c r="AD5227" s="9">
        <v>43311</v>
      </c>
      <c r="AE5227" s="3" t="s">
        <v>362</v>
      </c>
      <c r="AF5227" s="3" t="s">
        <v>24841</v>
      </c>
      <c r="AG5227" s="3" t="s">
        <v>81</v>
      </c>
      <c r="AH5227" s="11">
        <f>HYPERLINK("https://my.pitchbook.com?c=126856-54T","View Company Online")</f>
      </c>
    </row>
    <row r="5228">
      <c r="A5228" s="12" t="s">
        <v>24842</v>
      </c>
      <c r="B5228" s="12" t="s">
        <v>24843</v>
      </c>
      <c r="C5228" s="19" t="s">
        <v>36</v>
      </c>
      <c r="D5228" s="19" t="s">
        <v>36</v>
      </c>
      <c r="E5228" s="19" t="s">
        <v>36</v>
      </c>
      <c r="F5228" s="19" t="s">
        <v>36</v>
      </c>
      <c r="G5228" s="15" t="s">
        <v>326</v>
      </c>
      <c r="H5228" s="14">
        <v>1.56</v>
      </c>
      <c r="I5228" s="18">
        <v>18.37</v>
      </c>
      <c r="J5228" s="12" t="s">
        <v>521</v>
      </c>
      <c r="K5228" s="13" t="s">
        <v>36</v>
      </c>
      <c r="L5228" s="15" t="s">
        <v>36</v>
      </c>
      <c r="M5228" s="12" t="s">
        <v>36</v>
      </c>
      <c r="N5228" s="12" t="s">
        <v>36</v>
      </c>
      <c r="O5228" s="17" t="s">
        <v>36</v>
      </c>
      <c r="P5228" s="12" t="s">
        <v>36</v>
      </c>
      <c r="Q5228" s="12" t="s">
        <v>36</v>
      </c>
      <c r="R5228" s="12" t="s">
        <v>36</v>
      </c>
      <c r="S5228" s="12" t="s">
        <v>36</v>
      </c>
      <c r="T5228" s="12" t="s">
        <v>1048</v>
      </c>
      <c r="U5228" s="12" t="s">
        <v>423</v>
      </c>
      <c r="V5228" s="12" t="s">
        <v>64</v>
      </c>
      <c r="W5228" s="12" t="s">
        <v>24844</v>
      </c>
      <c r="X5228" s="16" t="s">
        <v>24845</v>
      </c>
      <c r="Y5228" s="15" t="s">
        <v>108</v>
      </c>
      <c r="Z5228" s="14">
        <v>1.75</v>
      </c>
      <c r="AA5228" s="14">
        <v>9.55</v>
      </c>
      <c r="AB5228" s="12" t="s">
        <v>56</v>
      </c>
      <c r="AC5228" s="12" t="s">
        <v>24846</v>
      </c>
      <c r="AD5228" s="13">
        <v>43311</v>
      </c>
      <c r="AE5228" s="12" t="s">
        <v>1051</v>
      </c>
      <c r="AF5228" s="12" t="s">
        <v>11839</v>
      </c>
      <c r="AG5228" s="12" t="s">
        <v>24847</v>
      </c>
      <c r="AH5228" s="1">
        <f>HYPERLINK("https://my.pitchbook.com?c=204700-78T","View Company Online")</f>
      </c>
    </row>
    <row r="5229">
      <c r="A5229" s="3" t="s">
        <v>24848</v>
      </c>
      <c r="B5229" s="3" t="s">
        <v>24849</v>
      </c>
      <c r="C5229" s="5" t="s">
        <v>36</v>
      </c>
      <c r="D5229" s="5" t="s">
        <v>36</v>
      </c>
      <c r="E5229" s="5" t="s">
        <v>36</v>
      </c>
      <c r="F5229" s="5" t="s">
        <v>36</v>
      </c>
      <c r="G5229" s="6" t="s">
        <v>36</v>
      </c>
      <c r="H5229" s="4">
        <v>51.93</v>
      </c>
      <c r="I5229" s="7">
        <v>20</v>
      </c>
      <c r="J5229" s="3" t="s">
        <v>521</v>
      </c>
      <c r="K5229" s="9" t="s">
        <v>36</v>
      </c>
      <c r="L5229" s="6" t="s">
        <v>36</v>
      </c>
      <c r="M5229" s="3" t="s">
        <v>36</v>
      </c>
      <c r="N5229" s="3" t="s">
        <v>36</v>
      </c>
      <c r="O5229" s="8" t="s">
        <v>36</v>
      </c>
      <c r="P5229" s="3" t="s">
        <v>36</v>
      </c>
      <c r="Q5229" s="3" t="s">
        <v>36</v>
      </c>
      <c r="R5229" s="3" t="s">
        <v>36</v>
      </c>
      <c r="S5229" s="3" t="s">
        <v>36</v>
      </c>
      <c r="T5229" s="3" t="s">
        <v>24850</v>
      </c>
      <c r="U5229" s="3" t="s">
        <v>74</v>
      </c>
      <c r="V5229" s="3" t="s">
        <v>75</v>
      </c>
      <c r="W5229" s="3" t="s">
        <v>24851</v>
      </c>
      <c r="X5229" s="10" t="s">
        <v>24852</v>
      </c>
      <c r="Y5229" s="6" t="s">
        <v>42</v>
      </c>
      <c r="Z5229" s="4">
        <v>0.69</v>
      </c>
      <c r="AA5229" s="4">
        <v>1.46</v>
      </c>
      <c r="AB5229" s="3" t="s">
        <v>43</v>
      </c>
      <c r="AC5229" s="3" t="s">
        <v>24853</v>
      </c>
      <c r="AD5229" s="9">
        <v>43311</v>
      </c>
      <c r="AE5229" s="3" t="s">
        <v>362</v>
      </c>
      <c r="AF5229" s="3" t="s">
        <v>19562</v>
      </c>
      <c r="AG5229" s="3" t="s">
        <v>741</v>
      </c>
      <c r="AH5229" s="11">
        <f>HYPERLINK("https://my.pitchbook.com?c=120262-60T","View Company Online")</f>
      </c>
    </row>
    <row r="5230">
      <c r="A5230" s="12" t="s">
        <v>24854</v>
      </c>
      <c r="B5230" s="12" t="s">
        <v>24855</v>
      </c>
      <c r="C5230" s="19" t="s">
        <v>36</v>
      </c>
      <c r="D5230" s="19" t="s">
        <v>36</v>
      </c>
      <c r="E5230" s="19" t="s">
        <v>36</v>
      </c>
      <c r="F5230" s="19" t="s">
        <v>36</v>
      </c>
      <c r="G5230" s="15" t="s">
        <v>36</v>
      </c>
      <c r="H5230" s="14">
        <v>1402.7</v>
      </c>
      <c r="I5230" s="18">
        <v>36.39</v>
      </c>
      <c r="J5230" s="12" t="s">
        <v>521</v>
      </c>
      <c r="K5230" s="13" t="s">
        <v>36</v>
      </c>
      <c r="L5230" s="15" t="s">
        <v>36</v>
      </c>
      <c r="M5230" s="12" t="s">
        <v>36</v>
      </c>
      <c r="N5230" s="12" t="s">
        <v>36</v>
      </c>
      <c r="O5230" s="17" t="s">
        <v>36</v>
      </c>
      <c r="P5230" s="12" t="s">
        <v>36</v>
      </c>
      <c r="Q5230" s="12" t="s">
        <v>36</v>
      </c>
      <c r="R5230" s="12" t="s">
        <v>36</v>
      </c>
      <c r="S5230" s="12" t="s">
        <v>36</v>
      </c>
      <c r="T5230" s="12" t="s">
        <v>24856</v>
      </c>
      <c r="U5230" s="12" t="s">
        <v>833</v>
      </c>
      <c r="V5230" s="12" t="s">
        <v>64</v>
      </c>
      <c r="W5230" s="12" t="s">
        <v>24857</v>
      </c>
      <c r="X5230" s="16" t="s">
        <v>5892</v>
      </c>
      <c r="Y5230" s="15" t="s">
        <v>42</v>
      </c>
      <c r="Z5230" s="14">
        <v>1.05</v>
      </c>
      <c r="AA5230" s="14">
        <v>2.89</v>
      </c>
      <c r="AB5230" s="12" t="s">
        <v>43</v>
      </c>
      <c r="AC5230" s="12" t="s">
        <v>24858</v>
      </c>
      <c r="AD5230" s="13">
        <v>43309</v>
      </c>
      <c r="AE5230" s="12" t="s">
        <v>1069</v>
      </c>
      <c r="AF5230" s="12" t="s">
        <v>24859</v>
      </c>
      <c r="AG5230" s="12" t="s">
        <v>81</v>
      </c>
      <c r="AH5230" s="1">
        <f>HYPERLINK("https://my.pitchbook.com?c=118273-51T","View Company Online")</f>
      </c>
    </row>
    <row r="5231">
      <c r="A5231" s="3" t="s">
        <v>24860</v>
      </c>
      <c r="B5231" s="3" t="s">
        <v>21135</v>
      </c>
      <c r="C5231" s="5">
        <v>13</v>
      </c>
      <c r="D5231" s="5">
        <v>12</v>
      </c>
      <c r="E5231" s="5">
        <v>11</v>
      </c>
      <c r="F5231" s="5">
        <v>33</v>
      </c>
      <c r="G5231" s="6" t="s">
        <v>36</v>
      </c>
      <c r="H5231" s="4">
        <v>1.56</v>
      </c>
      <c r="I5231" s="7">
        <v>8.37</v>
      </c>
      <c r="J5231" s="3" t="s">
        <v>521</v>
      </c>
      <c r="K5231" s="9">
        <v>43241</v>
      </c>
      <c r="L5231" s="6" t="s">
        <v>36</v>
      </c>
      <c r="M5231" s="3" t="s">
        <v>36</v>
      </c>
      <c r="N5231" s="3" t="s">
        <v>36</v>
      </c>
      <c r="O5231" s="8" t="s">
        <v>36</v>
      </c>
      <c r="P5231" s="3" t="s">
        <v>36</v>
      </c>
      <c r="Q5231" s="3" t="s">
        <v>36</v>
      </c>
      <c r="R5231" s="3" t="s">
        <v>36</v>
      </c>
      <c r="S5231" s="3" t="s">
        <v>36</v>
      </c>
      <c r="T5231" s="3" t="s">
        <v>154</v>
      </c>
      <c r="U5231" s="3" t="s">
        <v>51</v>
      </c>
      <c r="V5231" s="3" t="s">
        <v>52</v>
      </c>
      <c r="W5231" s="3" t="s">
        <v>21136</v>
      </c>
      <c r="X5231" s="10" t="s">
        <v>24861</v>
      </c>
      <c r="Y5231" s="6" t="s">
        <v>42</v>
      </c>
      <c r="Z5231" s="4">
        <v>1.64</v>
      </c>
      <c r="AA5231" s="4">
        <v>19.54</v>
      </c>
      <c r="AB5231" s="3" t="s">
        <v>56</v>
      </c>
      <c r="AC5231" s="3" t="s">
        <v>21138</v>
      </c>
      <c r="AD5231" s="9">
        <v>43308</v>
      </c>
      <c r="AE5231" s="3" t="s">
        <v>158</v>
      </c>
      <c r="AF5231" s="3" t="s">
        <v>159</v>
      </c>
      <c r="AG5231" s="3" t="s">
        <v>21139</v>
      </c>
      <c r="AH5231" s="11">
        <f>HYPERLINK("https://my.pitchbook.com?c=116675-56T","View Company Online")</f>
      </c>
    </row>
    <row r="5232">
      <c r="A5232" s="12" t="s">
        <v>24862</v>
      </c>
      <c r="B5232" s="12" t="s">
        <v>24863</v>
      </c>
      <c r="C5232" s="19" t="s">
        <v>36</v>
      </c>
      <c r="D5232" s="19">
        <v>4</v>
      </c>
      <c r="E5232" s="19">
        <v>1</v>
      </c>
      <c r="F5232" s="19">
        <v>4</v>
      </c>
      <c r="G5232" s="15" t="s">
        <v>36</v>
      </c>
      <c r="H5232" s="14">
        <v>13.31</v>
      </c>
      <c r="I5232" s="18">
        <v>15.43</v>
      </c>
      <c r="J5232" s="12" t="s">
        <v>521</v>
      </c>
      <c r="K5232" s="13" t="s">
        <v>36</v>
      </c>
      <c r="L5232" s="15" t="s">
        <v>122</v>
      </c>
      <c r="M5232" s="12" t="s">
        <v>36</v>
      </c>
      <c r="N5232" s="12" t="s">
        <v>122</v>
      </c>
      <c r="O5232" s="17" t="s">
        <v>36</v>
      </c>
      <c r="P5232" s="12" t="s">
        <v>36</v>
      </c>
      <c r="Q5232" s="12" t="s">
        <v>36</v>
      </c>
      <c r="R5232" s="12" t="s">
        <v>36</v>
      </c>
      <c r="S5232" s="12" t="s">
        <v>36</v>
      </c>
      <c r="T5232" s="12" t="s">
        <v>2321</v>
      </c>
      <c r="U5232" s="12" t="s">
        <v>51</v>
      </c>
      <c r="V5232" s="12" t="s">
        <v>52</v>
      </c>
      <c r="W5232" s="12" t="s">
        <v>24864</v>
      </c>
      <c r="X5232" s="16" t="s">
        <v>24865</v>
      </c>
      <c r="Y5232" s="15" t="s">
        <v>108</v>
      </c>
      <c r="Z5232" s="14">
        <v>2.32</v>
      </c>
      <c r="AA5232" s="14">
        <v>15.04</v>
      </c>
      <c r="AB5232" s="12" t="s">
        <v>56</v>
      </c>
      <c r="AC5232" s="12" t="s">
        <v>24866</v>
      </c>
      <c r="AD5232" s="13">
        <v>43308</v>
      </c>
      <c r="AE5232" s="12" t="s">
        <v>504</v>
      </c>
      <c r="AF5232" s="12" t="s">
        <v>159</v>
      </c>
      <c r="AG5232" s="12" t="s">
        <v>144</v>
      </c>
      <c r="AH5232" s="1">
        <f>HYPERLINK("https://my.pitchbook.com?c=126811-81T","View Company Online")</f>
      </c>
    </row>
    <row r="5233">
      <c r="A5233" s="3" t="s">
        <v>24867</v>
      </c>
      <c r="B5233" s="3" t="s">
        <v>8023</v>
      </c>
      <c r="C5233" s="5" t="s">
        <v>36</v>
      </c>
      <c r="D5233" s="5" t="s">
        <v>36</v>
      </c>
      <c r="E5233" s="5" t="s">
        <v>36</v>
      </c>
      <c r="F5233" s="5" t="s">
        <v>36</v>
      </c>
      <c r="G5233" s="6" t="s">
        <v>36</v>
      </c>
      <c r="H5233" s="4" t="s">
        <v>36</v>
      </c>
      <c r="I5233" s="7">
        <v>22.74</v>
      </c>
      <c r="J5233" s="3" t="s">
        <v>327</v>
      </c>
      <c r="K5233" s="9">
        <v>43213</v>
      </c>
      <c r="L5233" s="6" t="s">
        <v>36</v>
      </c>
      <c r="M5233" s="3" t="s">
        <v>36</v>
      </c>
      <c r="N5233" s="3" t="s">
        <v>36</v>
      </c>
      <c r="O5233" s="8" t="s">
        <v>36</v>
      </c>
      <c r="P5233" s="3" t="s">
        <v>36</v>
      </c>
      <c r="Q5233" s="3" t="s">
        <v>36</v>
      </c>
      <c r="R5233" s="3" t="s">
        <v>36</v>
      </c>
      <c r="S5233" s="3" t="s">
        <v>36</v>
      </c>
      <c r="T5233" s="3" t="s">
        <v>3445</v>
      </c>
      <c r="U5233" s="3" t="s">
        <v>38</v>
      </c>
      <c r="V5233" s="3" t="s">
        <v>39</v>
      </c>
      <c r="W5233" s="3" t="s">
        <v>8024</v>
      </c>
      <c r="X5233" s="10" t="s">
        <v>24868</v>
      </c>
      <c r="Y5233" s="6" t="s">
        <v>42</v>
      </c>
      <c r="Z5233" s="4">
        <v>3.5</v>
      </c>
      <c r="AA5233" s="4">
        <v>15.41</v>
      </c>
      <c r="AB5233" s="3" t="s">
        <v>43</v>
      </c>
      <c r="AC5233" s="3" t="s">
        <v>8026</v>
      </c>
      <c r="AD5233" s="9">
        <v>43308</v>
      </c>
      <c r="AE5233" s="3" t="s">
        <v>110</v>
      </c>
      <c r="AF5233" s="3" t="s">
        <v>526</v>
      </c>
      <c r="AG5233" s="3" t="s">
        <v>81</v>
      </c>
      <c r="AH5233" s="11">
        <f>HYPERLINK("https://my.pitchbook.com?c=108629-20T","View Company Online")</f>
      </c>
    </row>
    <row r="5234">
      <c r="A5234" s="12" t="s">
        <v>24869</v>
      </c>
      <c r="B5234" s="12" t="s">
        <v>14478</v>
      </c>
      <c r="C5234" s="19" t="s">
        <v>36</v>
      </c>
      <c r="D5234" s="19" t="s">
        <v>36</v>
      </c>
      <c r="E5234" s="19" t="s">
        <v>36</v>
      </c>
      <c r="F5234" s="19" t="s">
        <v>36</v>
      </c>
      <c r="G5234" s="15" t="s">
        <v>326</v>
      </c>
      <c r="H5234" s="14">
        <v>46.71</v>
      </c>
      <c r="I5234" s="18">
        <v>25.5</v>
      </c>
      <c r="J5234" s="12" t="s">
        <v>521</v>
      </c>
      <c r="K5234" s="13" t="s">
        <v>36</v>
      </c>
      <c r="L5234" s="15" t="s">
        <v>36</v>
      </c>
      <c r="M5234" s="12" t="s">
        <v>36</v>
      </c>
      <c r="N5234" s="12" t="s">
        <v>36</v>
      </c>
      <c r="O5234" s="17" t="s">
        <v>36</v>
      </c>
      <c r="P5234" s="12" t="s">
        <v>36</v>
      </c>
      <c r="Q5234" s="12" t="s">
        <v>36</v>
      </c>
      <c r="R5234" s="12" t="s">
        <v>36</v>
      </c>
      <c r="S5234" s="12" t="s">
        <v>14479</v>
      </c>
      <c r="T5234" s="12" t="s">
        <v>14480</v>
      </c>
      <c r="U5234" s="12" t="s">
        <v>38</v>
      </c>
      <c r="V5234" s="12" t="s">
        <v>39</v>
      </c>
      <c r="W5234" s="12" t="s">
        <v>14481</v>
      </c>
      <c r="X5234" s="16" t="s">
        <v>24870</v>
      </c>
      <c r="Y5234" s="15" t="s">
        <v>42</v>
      </c>
      <c r="Z5234" s="14">
        <v>2.01</v>
      </c>
      <c r="AA5234" s="14">
        <v>7.86</v>
      </c>
      <c r="AB5234" s="12" t="s">
        <v>43</v>
      </c>
      <c r="AC5234" s="12" t="s">
        <v>14483</v>
      </c>
      <c r="AD5234" s="13">
        <v>43307</v>
      </c>
      <c r="AE5234" s="12" t="s">
        <v>134</v>
      </c>
      <c r="AF5234" s="12" t="s">
        <v>7989</v>
      </c>
      <c r="AG5234" s="12" t="s">
        <v>81</v>
      </c>
      <c r="AH5234" s="1">
        <f>HYPERLINK("https://my.pitchbook.com?c=114421-51T","View Company Online")</f>
      </c>
    </row>
    <row r="5235">
      <c r="A5235" s="3" t="s">
        <v>24871</v>
      </c>
      <c r="B5235" s="3" t="s">
        <v>21746</v>
      </c>
      <c r="C5235" s="5" t="s">
        <v>36</v>
      </c>
      <c r="D5235" s="5" t="s">
        <v>36</v>
      </c>
      <c r="E5235" s="5" t="s">
        <v>36</v>
      </c>
      <c r="F5235" s="5" t="s">
        <v>36</v>
      </c>
      <c r="G5235" s="6" t="s">
        <v>683</v>
      </c>
      <c r="H5235" s="4">
        <v>854.32</v>
      </c>
      <c r="I5235" s="7">
        <v>9.25</v>
      </c>
      <c r="J5235" s="3" t="s">
        <v>521</v>
      </c>
      <c r="K5235" s="9" t="s">
        <v>36</v>
      </c>
      <c r="L5235" s="6" t="s">
        <v>36</v>
      </c>
      <c r="M5235" s="3" t="s">
        <v>36</v>
      </c>
      <c r="N5235" s="3" t="s">
        <v>36</v>
      </c>
      <c r="O5235" s="8" t="s">
        <v>36</v>
      </c>
      <c r="P5235" s="3" t="s">
        <v>36</v>
      </c>
      <c r="Q5235" s="3" t="s">
        <v>36</v>
      </c>
      <c r="R5235" s="3" t="s">
        <v>36</v>
      </c>
      <c r="S5235" s="3" t="s">
        <v>36</v>
      </c>
      <c r="T5235" s="3" t="s">
        <v>21747</v>
      </c>
      <c r="U5235" s="3" t="s">
        <v>833</v>
      </c>
      <c r="V5235" s="3" t="s">
        <v>64</v>
      </c>
      <c r="W5235" s="3" t="s">
        <v>21748</v>
      </c>
      <c r="X5235" s="10" t="s">
        <v>21749</v>
      </c>
      <c r="Y5235" s="6" t="s">
        <v>55</v>
      </c>
      <c r="Z5235" s="4">
        <v>1.29</v>
      </c>
      <c r="AA5235" s="4">
        <v>13.99</v>
      </c>
      <c r="AB5235" s="3" t="s">
        <v>56</v>
      </c>
      <c r="AC5235" s="3" t="s">
        <v>21750</v>
      </c>
      <c r="AD5235" s="9">
        <v>43306</v>
      </c>
      <c r="AE5235" s="3" t="s">
        <v>3615</v>
      </c>
      <c r="AF5235" s="3" t="s">
        <v>571</v>
      </c>
      <c r="AG5235" s="3" t="s">
        <v>21751</v>
      </c>
      <c r="AH5235" s="11">
        <f>HYPERLINK("https://my.pitchbook.com?c=208623-34T","View Company Online")</f>
      </c>
    </row>
    <row r="5236">
      <c r="A5236" s="12" t="s">
        <v>24872</v>
      </c>
      <c r="B5236" s="12" t="s">
        <v>10510</v>
      </c>
      <c r="C5236" s="19" t="s">
        <v>36</v>
      </c>
      <c r="D5236" s="19">
        <v>1</v>
      </c>
      <c r="E5236" s="19">
        <v>1</v>
      </c>
      <c r="F5236" s="19">
        <v>2</v>
      </c>
      <c r="G5236" s="15" t="s">
        <v>36</v>
      </c>
      <c r="H5236" s="14">
        <v>2.88</v>
      </c>
      <c r="I5236" s="18">
        <v>31.11</v>
      </c>
      <c r="J5236" s="12" t="s">
        <v>521</v>
      </c>
      <c r="K5236" s="13" t="s">
        <v>36</v>
      </c>
      <c r="L5236" s="15" t="s">
        <v>36</v>
      </c>
      <c r="M5236" s="12" t="s">
        <v>36</v>
      </c>
      <c r="N5236" s="12" t="s">
        <v>36</v>
      </c>
      <c r="O5236" s="17" t="s">
        <v>36</v>
      </c>
      <c r="P5236" s="12" t="s">
        <v>36</v>
      </c>
      <c r="Q5236" s="12" t="s">
        <v>36</v>
      </c>
      <c r="R5236" s="12" t="s">
        <v>36</v>
      </c>
      <c r="S5236" s="12" t="s">
        <v>36</v>
      </c>
      <c r="T5236" s="12" t="s">
        <v>10511</v>
      </c>
      <c r="U5236" s="12" t="s">
        <v>366</v>
      </c>
      <c r="V5236" s="12" t="s">
        <v>367</v>
      </c>
      <c r="W5236" s="12" t="s">
        <v>10512</v>
      </c>
      <c r="X5236" s="16" t="s">
        <v>24873</v>
      </c>
      <c r="Y5236" s="15" t="s">
        <v>108</v>
      </c>
      <c r="Z5236" s="14">
        <v>2.69</v>
      </c>
      <c r="AA5236" s="14">
        <v>5.23</v>
      </c>
      <c r="AB5236" s="12" t="s">
        <v>56</v>
      </c>
      <c r="AC5236" s="12" t="s">
        <v>10514</v>
      </c>
      <c r="AD5236" s="13">
        <v>43306</v>
      </c>
      <c r="AE5236" s="12" t="s">
        <v>600</v>
      </c>
      <c r="AF5236" s="12" t="s">
        <v>982</v>
      </c>
      <c r="AG5236" s="12" t="s">
        <v>652</v>
      </c>
      <c r="AH5236" s="1">
        <f>HYPERLINK("https://my.pitchbook.com?c=136470-79T","View Company Online")</f>
      </c>
    </row>
    <row r="5237">
      <c r="A5237" s="3" t="s">
        <v>24874</v>
      </c>
      <c r="B5237" s="3" t="s">
        <v>24875</v>
      </c>
      <c r="C5237" s="5" t="s">
        <v>36</v>
      </c>
      <c r="D5237" s="5" t="s">
        <v>36</v>
      </c>
      <c r="E5237" s="5" t="s">
        <v>36</v>
      </c>
      <c r="F5237" s="5" t="s">
        <v>36</v>
      </c>
      <c r="G5237" s="6" t="s">
        <v>326</v>
      </c>
      <c r="H5237" s="4">
        <v>462.05</v>
      </c>
      <c r="I5237" s="7">
        <v>15.09</v>
      </c>
      <c r="J5237" s="3" t="s">
        <v>521</v>
      </c>
      <c r="K5237" s="9" t="s">
        <v>36</v>
      </c>
      <c r="L5237" s="6" t="s">
        <v>36</v>
      </c>
      <c r="M5237" s="3" t="s">
        <v>36</v>
      </c>
      <c r="N5237" s="3" t="s">
        <v>36</v>
      </c>
      <c r="O5237" s="8" t="s">
        <v>36</v>
      </c>
      <c r="P5237" s="3" t="s">
        <v>36</v>
      </c>
      <c r="Q5237" s="3" t="s">
        <v>36</v>
      </c>
      <c r="R5237" s="3" t="s">
        <v>36</v>
      </c>
      <c r="S5237" s="3" t="s">
        <v>36</v>
      </c>
      <c r="T5237" s="3" t="s">
        <v>5490</v>
      </c>
      <c r="U5237" s="3" t="s">
        <v>648</v>
      </c>
      <c r="V5237" s="3" t="s">
        <v>64</v>
      </c>
      <c r="W5237" s="3" t="s">
        <v>24876</v>
      </c>
      <c r="X5237" s="10" t="s">
        <v>24877</v>
      </c>
      <c r="Y5237" s="6" t="s">
        <v>192</v>
      </c>
      <c r="Z5237" s="4">
        <v>2.95</v>
      </c>
      <c r="AA5237" s="4">
        <v>19.53</v>
      </c>
      <c r="AB5237" s="3" t="s">
        <v>56</v>
      </c>
      <c r="AC5237" s="3" t="s">
        <v>24878</v>
      </c>
      <c r="AD5237" s="9">
        <v>43306</v>
      </c>
      <c r="AE5237" s="3" t="s">
        <v>3988</v>
      </c>
      <c r="AF5237" s="3" t="s">
        <v>24879</v>
      </c>
      <c r="AG5237" s="3" t="s">
        <v>81</v>
      </c>
      <c r="AH5237" s="11">
        <f>HYPERLINK("https://my.pitchbook.com?c=116550-37T","View Company Online")</f>
      </c>
    </row>
    <row r="5238">
      <c r="A5238" s="12" t="s">
        <v>24880</v>
      </c>
      <c r="B5238" s="12" t="s">
        <v>6720</v>
      </c>
      <c r="C5238" s="19" t="s">
        <v>36</v>
      </c>
      <c r="D5238" s="19" t="s">
        <v>36</v>
      </c>
      <c r="E5238" s="19" t="s">
        <v>36</v>
      </c>
      <c r="F5238" s="19" t="s">
        <v>36</v>
      </c>
      <c r="G5238" s="15" t="s">
        <v>36</v>
      </c>
      <c r="H5238" s="14">
        <v>24.72</v>
      </c>
      <c r="I5238" s="18">
        <v>20.64</v>
      </c>
      <c r="J5238" s="12" t="s">
        <v>521</v>
      </c>
      <c r="K5238" s="13" t="s">
        <v>36</v>
      </c>
      <c r="L5238" s="15" t="s">
        <v>36</v>
      </c>
      <c r="M5238" s="12" t="s">
        <v>36</v>
      </c>
      <c r="N5238" s="12" t="s">
        <v>36</v>
      </c>
      <c r="O5238" s="17" t="s">
        <v>36</v>
      </c>
      <c r="P5238" s="12" t="s">
        <v>36</v>
      </c>
      <c r="Q5238" s="12" t="s">
        <v>36</v>
      </c>
      <c r="R5238" s="12" t="s">
        <v>36</v>
      </c>
      <c r="S5238" s="12" t="s">
        <v>36</v>
      </c>
      <c r="T5238" s="12" t="s">
        <v>6721</v>
      </c>
      <c r="U5238" s="12" t="s">
        <v>318</v>
      </c>
      <c r="V5238" s="12" t="s">
        <v>39</v>
      </c>
      <c r="W5238" s="12" t="s">
        <v>6722</v>
      </c>
      <c r="X5238" s="16" t="s">
        <v>24881</v>
      </c>
      <c r="Y5238" s="15" t="s">
        <v>42</v>
      </c>
      <c r="Z5238" s="14">
        <v>0.76</v>
      </c>
      <c r="AA5238" s="14">
        <v>3.68</v>
      </c>
      <c r="AB5238" s="12" t="s">
        <v>43</v>
      </c>
      <c r="AC5238" s="12" t="s">
        <v>6724</v>
      </c>
      <c r="AD5238" s="13">
        <v>43306</v>
      </c>
      <c r="AE5238" s="12" t="s">
        <v>763</v>
      </c>
      <c r="AF5238" s="12" t="s">
        <v>6725</v>
      </c>
      <c r="AG5238" s="12" t="s">
        <v>102</v>
      </c>
      <c r="AH5238" s="1">
        <f>HYPERLINK("https://my.pitchbook.com?c=121428-55T","View Company Online")</f>
      </c>
    </row>
    <row r="5239">
      <c r="A5239" s="3" t="s">
        <v>24882</v>
      </c>
      <c r="B5239" s="3" t="s">
        <v>24883</v>
      </c>
      <c r="C5239" s="5" t="s">
        <v>36</v>
      </c>
      <c r="D5239" s="5">
        <v>5</v>
      </c>
      <c r="E5239" s="5">
        <v>6</v>
      </c>
      <c r="F5239" s="5">
        <v>6</v>
      </c>
      <c r="G5239" s="6" t="s">
        <v>36</v>
      </c>
      <c r="H5239" s="4" t="s">
        <v>36</v>
      </c>
      <c r="I5239" s="7" t="s">
        <v>36</v>
      </c>
      <c r="J5239" s="3" t="s">
        <v>36</v>
      </c>
      <c r="K5239" s="9" t="s">
        <v>36</v>
      </c>
      <c r="L5239" s="6" t="s">
        <v>36</v>
      </c>
      <c r="M5239" s="3" t="s">
        <v>36</v>
      </c>
      <c r="N5239" s="3" t="s">
        <v>36</v>
      </c>
      <c r="O5239" s="8" t="s">
        <v>36</v>
      </c>
      <c r="P5239" s="3" t="s">
        <v>36</v>
      </c>
      <c r="Q5239" s="3" t="s">
        <v>36</v>
      </c>
      <c r="R5239" s="3" t="s">
        <v>36</v>
      </c>
      <c r="S5239" s="3" t="s">
        <v>36</v>
      </c>
      <c r="T5239" s="3" t="s">
        <v>1973</v>
      </c>
      <c r="U5239" s="3" t="s">
        <v>728</v>
      </c>
      <c r="V5239" s="3" t="s">
        <v>64</v>
      </c>
      <c r="W5239" s="3" t="s">
        <v>24884</v>
      </c>
      <c r="X5239" s="10" t="s">
        <v>24885</v>
      </c>
      <c r="Y5239" s="6" t="s">
        <v>108</v>
      </c>
      <c r="Z5239" s="4">
        <v>5.26</v>
      </c>
      <c r="AA5239" s="4" t="s">
        <v>36</v>
      </c>
      <c r="AB5239" s="3" t="s">
        <v>56</v>
      </c>
      <c r="AC5239" s="3" t="s">
        <v>24886</v>
      </c>
      <c r="AD5239" s="9">
        <v>43305</v>
      </c>
      <c r="AE5239" s="3" t="s">
        <v>1600</v>
      </c>
      <c r="AF5239" s="3" t="s">
        <v>90</v>
      </c>
      <c r="AG5239" s="3" t="s">
        <v>81</v>
      </c>
      <c r="AH5239" s="11">
        <f>HYPERLINK("https://my.pitchbook.com?c=109719-82T","View Company Online")</f>
      </c>
    </row>
    <row r="5240">
      <c r="A5240" s="12" t="s">
        <v>24887</v>
      </c>
      <c r="B5240" s="12" t="s">
        <v>21339</v>
      </c>
      <c r="C5240" s="19" t="s">
        <v>36</v>
      </c>
      <c r="D5240" s="19">
        <v>6</v>
      </c>
      <c r="E5240" s="19">
        <v>1</v>
      </c>
      <c r="F5240" s="19">
        <v>6</v>
      </c>
      <c r="G5240" s="15" t="s">
        <v>36</v>
      </c>
      <c r="H5240" s="14">
        <v>25.96</v>
      </c>
      <c r="I5240" s="18">
        <v>28.98</v>
      </c>
      <c r="J5240" s="12" t="s">
        <v>521</v>
      </c>
      <c r="K5240" s="13" t="s">
        <v>36</v>
      </c>
      <c r="L5240" s="15" t="s">
        <v>36</v>
      </c>
      <c r="M5240" s="12" t="s">
        <v>36</v>
      </c>
      <c r="N5240" s="12" t="s">
        <v>36</v>
      </c>
      <c r="O5240" s="17" t="s">
        <v>36</v>
      </c>
      <c r="P5240" s="12" t="s">
        <v>36</v>
      </c>
      <c r="Q5240" s="12" t="s">
        <v>36</v>
      </c>
      <c r="R5240" s="12" t="s">
        <v>36</v>
      </c>
      <c r="S5240" s="12" t="s">
        <v>36</v>
      </c>
      <c r="T5240" s="12" t="s">
        <v>21340</v>
      </c>
      <c r="U5240" s="12" t="s">
        <v>318</v>
      </c>
      <c r="V5240" s="12" t="s">
        <v>39</v>
      </c>
      <c r="W5240" s="12" t="s">
        <v>21341</v>
      </c>
      <c r="X5240" s="16" t="s">
        <v>24888</v>
      </c>
      <c r="Y5240" s="15" t="s">
        <v>42</v>
      </c>
      <c r="Z5240" s="14">
        <v>0.71</v>
      </c>
      <c r="AA5240" s="14">
        <v>2.47</v>
      </c>
      <c r="AB5240" s="12" t="s">
        <v>43</v>
      </c>
      <c r="AC5240" s="12" t="s">
        <v>21343</v>
      </c>
      <c r="AD5240" s="13">
        <v>43305</v>
      </c>
      <c r="AE5240" s="12" t="s">
        <v>763</v>
      </c>
      <c r="AF5240" s="12" t="s">
        <v>21344</v>
      </c>
      <c r="AG5240" s="12" t="s">
        <v>3520</v>
      </c>
      <c r="AH5240" s="1">
        <f>HYPERLINK("https://my.pitchbook.com?c=124599-25T","View Company Online")</f>
      </c>
    </row>
    <row r="5241">
      <c r="A5241" s="3" t="s">
        <v>24889</v>
      </c>
      <c r="B5241" s="3" t="s">
        <v>24890</v>
      </c>
      <c r="C5241" s="5" t="s">
        <v>36</v>
      </c>
      <c r="D5241" s="5" t="s">
        <v>36</v>
      </c>
      <c r="E5241" s="5" t="s">
        <v>36</v>
      </c>
      <c r="F5241" s="5" t="s">
        <v>36</v>
      </c>
      <c r="G5241" s="6" t="s">
        <v>326</v>
      </c>
      <c r="H5241" s="4">
        <v>362.46</v>
      </c>
      <c r="I5241" s="7">
        <v>14.1</v>
      </c>
      <c r="J5241" s="3" t="s">
        <v>521</v>
      </c>
      <c r="K5241" s="9" t="s">
        <v>36</v>
      </c>
      <c r="L5241" s="6" t="s">
        <v>36</v>
      </c>
      <c r="M5241" s="3" t="s">
        <v>36</v>
      </c>
      <c r="N5241" s="3" t="s">
        <v>36</v>
      </c>
      <c r="O5241" s="8" t="s">
        <v>36</v>
      </c>
      <c r="P5241" s="3" t="s">
        <v>36</v>
      </c>
      <c r="Q5241" s="3" t="s">
        <v>36</v>
      </c>
      <c r="R5241" s="3" t="s">
        <v>36</v>
      </c>
      <c r="S5241" s="3" t="s">
        <v>36</v>
      </c>
      <c r="T5241" s="3" t="s">
        <v>24891</v>
      </c>
      <c r="U5241" s="3" t="s">
        <v>38</v>
      </c>
      <c r="V5241" s="3" t="s">
        <v>39</v>
      </c>
      <c r="W5241" s="3" t="s">
        <v>24892</v>
      </c>
      <c r="X5241" s="10" t="s">
        <v>24893</v>
      </c>
      <c r="Y5241" s="6" t="s">
        <v>108</v>
      </c>
      <c r="Z5241" s="4">
        <v>0.54</v>
      </c>
      <c r="AA5241" s="4">
        <v>3.86</v>
      </c>
      <c r="AB5241" s="3" t="s">
        <v>43</v>
      </c>
      <c r="AC5241" s="3" t="s">
        <v>24894</v>
      </c>
      <c r="AD5241" s="9">
        <v>43305</v>
      </c>
      <c r="AE5241" s="3" t="s">
        <v>1330</v>
      </c>
      <c r="AF5241" s="3" t="s">
        <v>1465</v>
      </c>
      <c r="AG5241" s="3" t="s">
        <v>347</v>
      </c>
      <c r="AH5241" s="11">
        <f>HYPERLINK("https://my.pitchbook.com?c=202143-70T","View Company Online")</f>
      </c>
    </row>
    <row r="5242">
      <c r="A5242" s="12" t="s">
        <v>24895</v>
      </c>
      <c r="B5242" s="12" t="s">
        <v>8784</v>
      </c>
      <c r="C5242" s="19" t="s">
        <v>36</v>
      </c>
      <c r="D5242" s="19">
        <v>8</v>
      </c>
      <c r="E5242" s="19">
        <v>5</v>
      </c>
      <c r="F5242" s="19">
        <v>11</v>
      </c>
      <c r="G5242" s="15" t="s">
        <v>326</v>
      </c>
      <c r="H5242" s="14">
        <v>6.89</v>
      </c>
      <c r="I5242" s="18">
        <v>6.97</v>
      </c>
      <c r="J5242" s="12" t="s">
        <v>521</v>
      </c>
      <c r="K5242" s="13" t="s">
        <v>36</v>
      </c>
      <c r="L5242" s="15" t="s">
        <v>36</v>
      </c>
      <c r="M5242" s="12" t="s">
        <v>36</v>
      </c>
      <c r="N5242" s="12" t="s">
        <v>36</v>
      </c>
      <c r="O5242" s="17" t="s">
        <v>36</v>
      </c>
      <c r="P5242" s="12" t="s">
        <v>36</v>
      </c>
      <c r="Q5242" s="12" t="s">
        <v>36</v>
      </c>
      <c r="R5242" s="12" t="s">
        <v>36</v>
      </c>
      <c r="S5242" s="12" t="s">
        <v>36</v>
      </c>
      <c r="T5242" s="12" t="s">
        <v>8785</v>
      </c>
      <c r="U5242" s="12" t="s">
        <v>219</v>
      </c>
      <c r="V5242" s="12" t="s">
        <v>75</v>
      </c>
      <c r="W5242" s="12" t="s">
        <v>8786</v>
      </c>
      <c r="X5242" s="16" t="s">
        <v>11579</v>
      </c>
      <c r="Y5242" s="15" t="s">
        <v>55</v>
      </c>
      <c r="Z5242" s="14">
        <v>0.61</v>
      </c>
      <c r="AA5242" s="14">
        <v>8.79</v>
      </c>
      <c r="AB5242" s="12" t="s">
        <v>56</v>
      </c>
      <c r="AC5242" s="12" t="s">
        <v>8788</v>
      </c>
      <c r="AD5242" s="13">
        <v>43304</v>
      </c>
      <c r="AE5242" s="12" t="s">
        <v>223</v>
      </c>
      <c r="AF5242" s="12" t="s">
        <v>8789</v>
      </c>
      <c r="AG5242" s="12" t="s">
        <v>8790</v>
      </c>
      <c r="AH5242" s="1">
        <f>HYPERLINK("https://my.pitchbook.com?c=215595-64T","View Company Online")</f>
      </c>
    </row>
    <row r="5243">
      <c r="A5243" s="3" t="s">
        <v>24896</v>
      </c>
      <c r="B5243" s="3" t="s">
        <v>24897</v>
      </c>
      <c r="C5243" s="5" t="s">
        <v>36</v>
      </c>
      <c r="D5243" s="5" t="s">
        <v>36</v>
      </c>
      <c r="E5243" s="5" t="s">
        <v>36</v>
      </c>
      <c r="F5243" s="5" t="s">
        <v>36</v>
      </c>
      <c r="G5243" s="6" t="s">
        <v>326</v>
      </c>
      <c r="H5243" s="4">
        <v>591.98</v>
      </c>
      <c r="I5243" s="7">
        <v>21.04</v>
      </c>
      <c r="J5243" s="3" t="s">
        <v>521</v>
      </c>
      <c r="K5243" s="9" t="s">
        <v>36</v>
      </c>
      <c r="L5243" s="6" t="s">
        <v>36</v>
      </c>
      <c r="M5243" s="3" t="s">
        <v>36</v>
      </c>
      <c r="N5243" s="3" t="s">
        <v>36</v>
      </c>
      <c r="O5243" s="8" t="s">
        <v>36</v>
      </c>
      <c r="P5243" s="3" t="s">
        <v>36</v>
      </c>
      <c r="Q5243" s="3" t="s">
        <v>36</v>
      </c>
      <c r="R5243" s="3" t="s">
        <v>36</v>
      </c>
      <c r="S5243" s="3" t="s">
        <v>36</v>
      </c>
      <c r="T5243" s="3" t="s">
        <v>647</v>
      </c>
      <c r="U5243" s="3" t="s">
        <v>648</v>
      </c>
      <c r="V5243" s="3" t="s">
        <v>64</v>
      </c>
      <c r="W5243" s="3" t="s">
        <v>24898</v>
      </c>
      <c r="X5243" s="10" t="s">
        <v>24899</v>
      </c>
      <c r="Y5243" s="6" t="s">
        <v>108</v>
      </c>
      <c r="Z5243" s="4">
        <v>1.09</v>
      </c>
      <c r="AA5243" s="4">
        <v>5.17</v>
      </c>
      <c r="AB5243" s="3" t="s">
        <v>43</v>
      </c>
      <c r="AC5243" s="3" t="s">
        <v>24900</v>
      </c>
      <c r="AD5243" s="9">
        <v>43304</v>
      </c>
      <c r="AE5243" s="3" t="s">
        <v>651</v>
      </c>
      <c r="AF5243" s="3" t="s">
        <v>2118</v>
      </c>
      <c r="AG5243" s="3" t="s">
        <v>81</v>
      </c>
      <c r="AH5243" s="11">
        <f>HYPERLINK("https://my.pitchbook.com?c=135859-33T","View Company Online")</f>
      </c>
    </row>
    <row r="5244">
      <c r="A5244" s="12" t="s">
        <v>24901</v>
      </c>
      <c r="B5244" s="12" t="s">
        <v>24902</v>
      </c>
      <c r="C5244" s="19" t="s">
        <v>36</v>
      </c>
      <c r="D5244" s="19" t="s">
        <v>36</v>
      </c>
      <c r="E5244" s="19" t="s">
        <v>36</v>
      </c>
      <c r="F5244" s="19" t="s">
        <v>36</v>
      </c>
      <c r="G5244" s="15" t="s">
        <v>36</v>
      </c>
      <c r="H5244" s="14" t="s">
        <v>36</v>
      </c>
      <c r="I5244" s="18" t="s">
        <v>36</v>
      </c>
      <c r="J5244" s="12" t="s">
        <v>36</v>
      </c>
      <c r="K5244" s="13" t="s">
        <v>36</v>
      </c>
      <c r="L5244" s="15" t="s">
        <v>36</v>
      </c>
      <c r="M5244" s="12" t="s">
        <v>36</v>
      </c>
      <c r="N5244" s="12" t="s">
        <v>36</v>
      </c>
      <c r="O5244" s="17" t="s">
        <v>36</v>
      </c>
      <c r="P5244" s="12" t="s">
        <v>36</v>
      </c>
      <c r="Q5244" s="12" t="s">
        <v>36</v>
      </c>
      <c r="R5244" s="12" t="s">
        <v>36</v>
      </c>
      <c r="S5244" s="12" t="s">
        <v>36</v>
      </c>
      <c r="T5244" s="12" t="s">
        <v>123</v>
      </c>
      <c r="U5244" s="12" t="s">
        <v>38</v>
      </c>
      <c r="V5244" s="12" t="s">
        <v>39</v>
      </c>
      <c r="W5244" s="12" t="s">
        <v>24903</v>
      </c>
      <c r="X5244" s="16" t="s">
        <v>1840</v>
      </c>
      <c r="Y5244" s="15" t="s">
        <v>166</v>
      </c>
      <c r="Z5244" s="14">
        <v>1.4</v>
      </c>
      <c r="AA5244" s="14" t="s">
        <v>36</v>
      </c>
      <c r="AB5244" s="12" t="s">
        <v>56</v>
      </c>
      <c r="AC5244" s="12" t="s">
        <v>24904</v>
      </c>
      <c r="AD5244" s="13">
        <v>43304</v>
      </c>
      <c r="AE5244" s="12" t="s">
        <v>110</v>
      </c>
      <c r="AF5244" s="12" t="s">
        <v>1842</v>
      </c>
      <c r="AG5244" s="12" t="s">
        <v>81</v>
      </c>
      <c r="AH5244" s="1">
        <f>HYPERLINK("https://my.pitchbook.com?c=109407-43T","View Company Online")</f>
      </c>
    </row>
    <row r="5245">
      <c r="A5245" s="3" t="s">
        <v>24905</v>
      </c>
      <c r="B5245" s="3" t="s">
        <v>18546</v>
      </c>
      <c r="C5245" s="5" t="s">
        <v>36</v>
      </c>
      <c r="D5245" s="5" t="s">
        <v>36</v>
      </c>
      <c r="E5245" s="5" t="s">
        <v>36</v>
      </c>
      <c r="F5245" s="5" t="s">
        <v>36</v>
      </c>
      <c r="G5245" s="6" t="s">
        <v>36</v>
      </c>
      <c r="H5245" s="4" t="s">
        <v>36</v>
      </c>
      <c r="I5245" s="7" t="s">
        <v>36</v>
      </c>
      <c r="J5245" s="3" t="s">
        <v>36</v>
      </c>
      <c r="K5245" s="9" t="s">
        <v>36</v>
      </c>
      <c r="L5245" s="6" t="s">
        <v>36</v>
      </c>
      <c r="M5245" s="3" t="s">
        <v>36</v>
      </c>
      <c r="N5245" s="3" t="s">
        <v>36</v>
      </c>
      <c r="O5245" s="8" t="s">
        <v>36</v>
      </c>
      <c r="P5245" s="3" t="s">
        <v>36</v>
      </c>
      <c r="Q5245" s="3" t="s">
        <v>36</v>
      </c>
      <c r="R5245" s="3" t="s">
        <v>36</v>
      </c>
      <c r="S5245" s="3" t="s">
        <v>36</v>
      </c>
      <c r="T5245" s="3" t="s">
        <v>18203</v>
      </c>
      <c r="U5245" s="3" t="s">
        <v>38</v>
      </c>
      <c r="V5245" s="3" t="s">
        <v>39</v>
      </c>
      <c r="W5245" s="3" t="s">
        <v>18547</v>
      </c>
      <c r="X5245" s="10" t="s">
        <v>13670</v>
      </c>
      <c r="Y5245" s="6" t="s">
        <v>108</v>
      </c>
      <c r="Z5245" s="4" t="s">
        <v>36</v>
      </c>
      <c r="AA5245" s="4" t="s">
        <v>36</v>
      </c>
      <c r="AB5245" s="3" t="s">
        <v>56</v>
      </c>
      <c r="AC5245" s="3" t="s">
        <v>18549</v>
      </c>
      <c r="AD5245" s="9">
        <v>43301</v>
      </c>
      <c r="AE5245" s="3" t="s">
        <v>110</v>
      </c>
      <c r="AF5245" s="3" t="s">
        <v>815</v>
      </c>
      <c r="AG5245" s="3" t="s">
        <v>81</v>
      </c>
      <c r="AH5245" s="11">
        <f>HYPERLINK("https://my.pitchbook.com?c=116527-51T","View Company Online")</f>
      </c>
    </row>
    <row r="5246">
      <c r="A5246" s="12" t="s">
        <v>24906</v>
      </c>
      <c r="B5246" s="12" t="s">
        <v>21221</v>
      </c>
      <c r="C5246" s="19" t="s">
        <v>36</v>
      </c>
      <c r="D5246" s="19" t="s">
        <v>36</v>
      </c>
      <c r="E5246" s="19" t="s">
        <v>36</v>
      </c>
      <c r="F5246" s="19" t="s">
        <v>36</v>
      </c>
      <c r="G5246" s="15" t="s">
        <v>36</v>
      </c>
      <c r="H5246" s="14">
        <v>34.37</v>
      </c>
      <c r="I5246" s="18">
        <v>26.32</v>
      </c>
      <c r="J5246" s="12" t="s">
        <v>521</v>
      </c>
      <c r="K5246" s="13" t="s">
        <v>36</v>
      </c>
      <c r="L5246" s="15" t="s">
        <v>36</v>
      </c>
      <c r="M5246" s="12" t="s">
        <v>36</v>
      </c>
      <c r="N5246" s="12" t="s">
        <v>36</v>
      </c>
      <c r="O5246" s="17" t="s">
        <v>36</v>
      </c>
      <c r="P5246" s="12" t="s">
        <v>36</v>
      </c>
      <c r="Q5246" s="12" t="s">
        <v>36</v>
      </c>
      <c r="R5246" s="12" t="s">
        <v>36</v>
      </c>
      <c r="S5246" s="12" t="s">
        <v>36</v>
      </c>
      <c r="T5246" s="12" t="s">
        <v>9494</v>
      </c>
      <c r="U5246" s="12" t="s">
        <v>38</v>
      </c>
      <c r="V5246" s="12" t="s">
        <v>39</v>
      </c>
      <c r="W5246" s="12" t="s">
        <v>21222</v>
      </c>
      <c r="X5246" s="16" t="s">
        <v>21223</v>
      </c>
      <c r="Y5246" s="15" t="s">
        <v>42</v>
      </c>
      <c r="Z5246" s="14">
        <v>3.5</v>
      </c>
      <c r="AA5246" s="14">
        <v>13.3</v>
      </c>
      <c r="AB5246" s="12" t="s">
        <v>43</v>
      </c>
      <c r="AC5246" s="12" t="s">
        <v>21224</v>
      </c>
      <c r="AD5246" s="13">
        <v>43300</v>
      </c>
      <c r="AE5246" s="12" t="s">
        <v>554</v>
      </c>
      <c r="AF5246" s="12" t="s">
        <v>1296</v>
      </c>
      <c r="AG5246" s="12" t="s">
        <v>81</v>
      </c>
      <c r="AH5246" s="1">
        <f>HYPERLINK("https://my.pitchbook.com?c=113285-44T","View Company Online")</f>
      </c>
    </row>
    <row r="5247">
      <c r="A5247" s="3" t="s">
        <v>24907</v>
      </c>
      <c r="B5247" s="3" t="s">
        <v>24908</v>
      </c>
      <c r="C5247" s="5">
        <v>18</v>
      </c>
      <c r="D5247" s="5">
        <v>26</v>
      </c>
      <c r="E5247" s="5">
        <v>30</v>
      </c>
      <c r="F5247" s="5">
        <v>44</v>
      </c>
      <c r="G5247" s="6" t="s">
        <v>36</v>
      </c>
      <c r="H5247" s="4">
        <v>2.33</v>
      </c>
      <c r="I5247" s="7">
        <v>31.5</v>
      </c>
      <c r="J5247" s="3" t="s">
        <v>521</v>
      </c>
      <c r="K5247" s="9" t="s">
        <v>36</v>
      </c>
      <c r="L5247" s="6" t="s">
        <v>122</v>
      </c>
      <c r="M5247" s="3" t="s">
        <v>36</v>
      </c>
      <c r="N5247" s="3" t="s">
        <v>122</v>
      </c>
      <c r="O5247" s="8" t="s">
        <v>36</v>
      </c>
      <c r="P5247" s="3" t="s">
        <v>36</v>
      </c>
      <c r="Q5247" s="3" t="s">
        <v>36</v>
      </c>
      <c r="R5247" s="3" t="s">
        <v>36</v>
      </c>
      <c r="S5247" s="3" t="s">
        <v>36</v>
      </c>
      <c r="T5247" s="3" t="s">
        <v>19823</v>
      </c>
      <c r="U5247" s="3" t="s">
        <v>38</v>
      </c>
      <c r="V5247" s="3" t="s">
        <v>39</v>
      </c>
      <c r="W5247" s="3" t="s">
        <v>24909</v>
      </c>
      <c r="X5247" s="10" t="s">
        <v>24910</v>
      </c>
      <c r="Y5247" s="6" t="s">
        <v>42</v>
      </c>
      <c r="Z5247" s="4">
        <v>6.01</v>
      </c>
      <c r="AA5247" s="4">
        <v>19.07</v>
      </c>
      <c r="AB5247" s="3" t="s">
        <v>43</v>
      </c>
      <c r="AC5247" s="3" t="s">
        <v>24911</v>
      </c>
      <c r="AD5247" s="9">
        <v>43300</v>
      </c>
      <c r="AE5247" s="3" t="s">
        <v>110</v>
      </c>
      <c r="AF5247" s="3" t="s">
        <v>526</v>
      </c>
      <c r="AG5247" s="3" t="s">
        <v>1803</v>
      </c>
      <c r="AH5247" s="11">
        <f>HYPERLINK("https://my.pitchbook.com?c=113282-02T","View Company Online")</f>
      </c>
    </row>
    <row r="5248">
      <c r="A5248" s="12" t="s">
        <v>24912</v>
      </c>
      <c r="B5248" s="12" t="s">
        <v>24913</v>
      </c>
      <c r="C5248" s="19" t="s">
        <v>36</v>
      </c>
      <c r="D5248" s="19" t="s">
        <v>36</v>
      </c>
      <c r="E5248" s="19" t="s">
        <v>36</v>
      </c>
      <c r="F5248" s="19" t="s">
        <v>36</v>
      </c>
      <c r="G5248" s="15" t="s">
        <v>326</v>
      </c>
      <c r="H5248" s="14">
        <v>13.32</v>
      </c>
      <c r="I5248" s="18">
        <v>12.87</v>
      </c>
      <c r="J5248" s="12" t="s">
        <v>521</v>
      </c>
      <c r="K5248" s="13">
        <v>43213</v>
      </c>
      <c r="L5248" s="15" t="s">
        <v>36</v>
      </c>
      <c r="M5248" s="12" t="s">
        <v>36</v>
      </c>
      <c r="N5248" s="12" t="s">
        <v>36</v>
      </c>
      <c r="O5248" s="17" t="s">
        <v>36</v>
      </c>
      <c r="P5248" s="12" t="s">
        <v>36</v>
      </c>
      <c r="Q5248" s="12" t="s">
        <v>36</v>
      </c>
      <c r="R5248" s="12" t="s">
        <v>36</v>
      </c>
      <c r="S5248" s="12" t="s">
        <v>36</v>
      </c>
      <c r="T5248" s="12" t="s">
        <v>37</v>
      </c>
      <c r="U5248" s="12" t="s">
        <v>38</v>
      </c>
      <c r="V5248" s="12" t="s">
        <v>39</v>
      </c>
      <c r="W5248" s="12" t="s">
        <v>24914</v>
      </c>
      <c r="X5248" s="16" t="s">
        <v>16874</v>
      </c>
      <c r="Y5248" s="15" t="s">
        <v>12154</v>
      </c>
      <c r="Z5248" s="14">
        <v>2.58</v>
      </c>
      <c r="AA5248" s="14">
        <v>20.07</v>
      </c>
      <c r="AB5248" s="12" t="s">
        <v>56</v>
      </c>
      <c r="AC5248" s="12" t="s">
        <v>24915</v>
      </c>
      <c r="AD5248" s="13">
        <v>43300</v>
      </c>
      <c r="AE5248" s="12" t="s">
        <v>45</v>
      </c>
      <c r="AF5248" s="12" t="s">
        <v>17475</v>
      </c>
      <c r="AG5248" s="12" t="s">
        <v>2760</v>
      </c>
      <c r="AH5248" s="1">
        <f>HYPERLINK("https://my.pitchbook.com?c=115322-50T","View Company Online")</f>
      </c>
    </row>
    <row r="5249">
      <c r="A5249" s="3" t="s">
        <v>24916</v>
      </c>
      <c r="B5249" s="3" t="s">
        <v>24917</v>
      </c>
      <c r="C5249" s="5" t="s">
        <v>36</v>
      </c>
      <c r="D5249" s="5" t="s">
        <v>36</v>
      </c>
      <c r="E5249" s="5" t="s">
        <v>36</v>
      </c>
      <c r="F5249" s="5" t="s">
        <v>36</v>
      </c>
      <c r="G5249" s="6" t="s">
        <v>326</v>
      </c>
      <c r="H5249" s="4">
        <v>124.63</v>
      </c>
      <c r="I5249" s="7">
        <v>21.93</v>
      </c>
      <c r="J5249" s="3" t="s">
        <v>521</v>
      </c>
      <c r="K5249" s="9" t="s">
        <v>36</v>
      </c>
      <c r="L5249" s="6" t="s">
        <v>36</v>
      </c>
      <c r="M5249" s="3" t="s">
        <v>36</v>
      </c>
      <c r="N5249" s="3" t="s">
        <v>36</v>
      </c>
      <c r="O5249" s="8" t="s">
        <v>36</v>
      </c>
      <c r="P5249" s="3" t="s">
        <v>36</v>
      </c>
      <c r="Q5249" s="3" t="s">
        <v>36</v>
      </c>
      <c r="R5249" s="3" t="s">
        <v>36</v>
      </c>
      <c r="S5249" s="3" t="s">
        <v>36</v>
      </c>
      <c r="T5249" s="3" t="s">
        <v>13447</v>
      </c>
      <c r="U5249" s="3" t="s">
        <v>74</v>
      </c>
      <c r="V5249" s="3" t="s">
        <v>75</v>
      </c>
      <c r="W5249" s="3" t="s">
        <v>24918</v>
      </c>
      <c r="X5249" s="10" t="s">
        <v>24919</v>
      </c>
      <c r="Y5249" s="6" t="s">
        <v>108</v>
      </c>
      <c r="Z5249" s="4">
        <v>1.09</v>
      </c>
      <c r="AA5249" s="4">
        <v>4.99</v>
      </c>
      <c r="AB5249" s="3" t="s">
        <v>43</v>
      </c>
      <c r="AC5249" s="3" t="s">
        <v>24920</v>
      </c>
      <c r="AD5249" s="9">
        <v>43299</v>
      </c>
      <c r="AE5249" s="3" t="s">
        <v>79</v>
      </c>
      <c r="AF5249" s="3" t="s">
        <v>36</v>
      </c>
      <c r="AG5249" s="3" t="s">
        <v>81</v>
      </c>
      <c r="AH5249" s="11">
        <f>HYPERLINK("https://my.pitchbook.com?c=123185-35T","View Company Online")</f>
      </c>
    </row>
    <row r="5250">
      <c r="A5250" s="12" t="s">
        <v>24921</v>
      </c>
      <c r="B5250" s="12" t="s">
        <v>24922</v>
      </c>
      <c r="C5250" s="19" t="s">
        <v>36</v>
      </c>
      <c r="D5250" s="19" t="s">
        <v>36</v>
      </c>
      <c r="E5250" s="19" t="s">
        <v>36</v>
      </c>
      <c r="F5250" s="19" t="s">
        <v>36</v>
      </c>
      <c r="G5250" s="15" t="s">
        <v>36</v>
      </c>
      <c r="H5250" s="14">
        <v>103.86</v>
      </c>
      <c r="I5250" s="18">
        <v>27.54</v>
      </c>
      <c r="J5250" s="12" t="s">
        <v>521</v>
      </c>
      <c r="K5250" s="13" t="s">
        <v>36</v>
      </c>
      <c r="L5250" s="15" t="s">
        <v>36</v>
      </c>
      <c r="M5250" s="12" t="s">
        <v>36</v>
      </c>
      <c r="N5250" s="12" t="s">
        <v>36</v>
      </c>
      <c r="O5250" s="17" t="s">
        <v>36</v>
      </c>
      <c r="P5250" s="12" t="s">
        <v>36</v>
      </c>
      <c r="Q5250" s="12" t="s">
        <v>36</v>
      </c>
      <c r="R5250" s="12" t="s">
        <v>36</v>
      </c>
      <c r="S5250" s="12" t="s">
        <v>36</v>
      </c>
      <c r="T5250" s="12" t="s">
        <v>19164</v>
      </c>
      <c r="U5250" s="12" t="s">
        <v>74</v>
      </c>
      <c r="V5250" s="12" t="s">
        <v>75</v>
      </c>
      <c r="W5250" s="12" t="s">
        <v>24923</v>
      </c>
      <c r="X5250" s="16" t="s">
        <v>2090</v>
      </c>
      <c r="Y5250" s="15" t="s">
        <v>42</v>
      </c>
      <c r="Z5250" s="14">
        <v>0.66</v>
      </c>
      <c r="AA5250" s="14">
        <v>2.41</v>
      </c>
      <c r="AB5250" s="12" t="s">
        <v>43</v>
      </c>
      <c r="AC5250" s="12" t="s">
        <v>24924</v>
      </c>
      <c r="AD5250" s="13">
        <v>43299</v>
      </c>
      <c r="AE5250" s="12" t="s">
        <v>362</v>
      </c>
      <c r="AF5250" s="12" t="s">
        <v>1465</v>
      </c>
      <c r="AG5250" s="12" t="s">
        <v>24925</v>
      </c>
      <c r="AH5250" s="1">
        <f>HYPERLINK("https://my.pitchbook.com?c=116582-77T","View Company Online")</f>
      </c>
    </row>
    <row r="5251">
      <c r="A5251" s="3" t="s">
        <v>24926</v>
      </c>
      <c r="B5251" s="3" t="s">
        <v>10419</v>
      </c>
      <c r="C5251" s="5">
        <v>1</v>
      </c>
      <c r="D5251" s="5">
        <v>14</v>
      </c>
      <c r="E5251" s="5">
        <v>6</v>
      </c>
      <c r="F5251" s="5">
        <v>15</v>
      </c>
      <c r="G5251" s="6" t="s">
        <v>36</v>
      </c>
      <c r="H5251" s="4">
        <v>415.43</v>
      </c>
      <c r="I5251" s="7">
        <v>47.3</v>
      </c>
      <c r="J5251" s="3" t="s">
        <v>521</v>
      </c>
      <c r="K5251" s="9">
        <v>43294</v>
      </c>
      <c r="L5251" s="6" t="s">
        <v>36</v>
      </c>
      <c r="M5251" s="3" t="s">
        <v>36</v>
      </c>
      <c r="N5251" s="3" t="s">
        <v>36</v>
      </c>
      <c r="O5251" s="8" t="s">
        <v>36</v>
      </c>
      <c r="P5251" s="3" t="s">
        <v>36</v>
      </c>
      <c r="Q5251" s="3" t="s">
        <v>36</v>
      </c>
      <c r="R5251" s="3" t="s">
        <v>36</v>
      </c>
      <c r="S5251" s="3" t="s">
        <v>36</v>
      </c>
      <c r="T5251" s="3" t="s">
        <v>3729</v>
      </c>
      <c r="U5251" s="3" t="s">
        <v>219</v>
      </c>
      <c r="V5251" s="3" t="s">
        <v>75</v>
      </c>
      <c r="W5251" s="3" t="s">
        <v>10420</v>
      </c>
      <c r="X5251" s="10" t="s">
        <v>24927</v>
      </c>
      <c r="Y5251" s="6" t="s">
        <v>108</v>
      </c>
      <c r="Z5251" s="4">
        <v>0.82</v>
      </c>
      <c r="AA5251" s="4">
        <v>1.73</v>
      </c>
      <c r="AB5251" s="3" t="s">
        <v>43</v>
      </c>
      <c r="AC5251" s="3" t="s">
        <v>10422</v>
      </c>
      <c r="AD5251" s="9">
        <v>43299</v>
      </c>
      <c r="AE5251" s="3" t="s">
        <v>1032</v>
      </c>
      <c r="AF5251" s="3" t="s">
        <v>10423</v>
      </c>
      <c r="AG5251" s="3" t="s">
        <v>10424</v>
      </c>
      <c r="AH5251" s="11">
        <f>HYPERLINK("https://my.pitchbook.com?c=112496-59T","View Company Online")</f>
      </c>
    </row>
    <row r="5252">
      <c r="A5252" s="12" t="s">
        <v>24928</v>
      </c>
      <c r="B5252" s="12" t="s">
        <v>24929</v>
      </c>
      <c r="C5252" s="19" t="s">
        <v>36</v>
      </c>
      <c r="D5252" s="19" t="s">
        <v>36</v>
      </c>
      <c r="E5252" s="19" t="s">
        <v>36</v>
      </c>
      <c r="F5252" s="19" t="s">
        <v>36</v>
      </c>
      <c r="G5252" s="15" t="s">
        <v>2497</v>
      </c>
      <c r="H5252" s="14">
        <v>519.28</v>
      </c>
      <c r="I5252" s="18">
        <v>9.05</v>
      </c>
      <c r="J5252" s="12" t="s">
        <v>521</v>
      </c>
      <c r="K5252" s="13" t="s">
        <v>36</v>
      </c>
      <c r="L5252" s="15" t="s">
        <v>36</v>
      </c>
      <c r="M5252" s="12" t="s">
        <v>36</v>
      </c>
      <c r="N5252" s="12" t="s">
        <v>36</v>
      </c>
      <c r="O5252" s="17" t="s">
        <v>36</v>
      </c>
      <c r="P5252" s="12" t="s">
        <v>36</v>
      </c>
      <c r="Q5252" s="12" t="s">
        <v>36</v>
      </c>
      <c r="R5252" s="12" t="s">
        <v>36</v>
      </c>
      <c r="S5252" s="12" t="s">
        <v>36</v>
      </c>
      <c r="T5252" s="12" t="s">
        <v>9456</v>
      </c>
      <c r="U5252" s="12" t="s">
        <v>63</v>
      </c>
      <c r="V5252" s="12" t="s">
        <v>64</v>
      </c>
      <c r="W5252" s="12" t="s">
        <v>24930</v>
      </c>
      <c r="X5252" s="16" t="s">
        <v>15402</v>
      </c>
      <c r="Y5252" s="15" t="s">
        <v>108</v>
      </c>
      <c r="Z5252" s="14">
        <v>0.47</v>
      </c>
      <c r="AA5252" s="14">
        <v>5.15</v>
      </c>
      <c r="AB5252" s="12" t="s">
        <v>43</v>
      </c>
      <c r="AC5252" s="12" t="s">
        <v>24931</v>
      </c>
      <c r="AD5252" s="13">
        <v>43298</v>
      </c>
      <c r="AE5252" s="12" t="s">
        <v>4310</v>
      </c>
      <c r="AF5252" s="12" t="s">
        <v>36</v>
      </c>
      <c r="AG5252" s="12" t="s">
        <v>24932</v>
      </c>
      <c r="AH5252" s="1">
        <f>HYPERLINK("https://my.pitchbook.com?c=123116-68T","View Company Online")</f>
      </c>
    </row>
    <row r="5253">
      <c r="A5253" s="3" t="s">
        <v>24933</v>
      </c>
      <c r="B5253" s="3" t="s">
        <v>17957</v>
      </c>
      <c r="C5253" s="5" t="s">
        <v>36</v>
      </c>
      <c r="D5253" s="5" t="s">
        <v>36</v>
      </c>
      <c r="E5253" s="5" t="s">
        <v>36</v>
      </c>
      <c r="F5253" s="5" t="s">
        <v>36</v>
      </c>
      <c r="G5253" s="6" t="s">
        <v>36</v>
      </c>
      <c r="H5253" s="4">
        <v>103.86</v>
      </c>
      <c r="I5253" s="7">
        <v>31.51</v>
      </c>
      <c r="J5253" s="3" t="s">
        <v>521</v>
      </c>
      <c r="K5253" s="9" t="s">
        <v>36</v>
      </c>
      <c r="L5253" s="6" t="s">
        <v>36</v>
      </c>
      <c r="M5253" s="3" t="s">
        <v>36</v>
      </c>
      <c r="N5253" s="3" t="s">
        <v>36</v>
      </c>
      <c r="O5253" s="8" t="s">
        <v>36</v>
      </c>
      <c r="P5253" s="3" t="s">
        <v>36</v>
      </c>
      <c r="Q5253" s="3" t="s">
        <v>36</v>
      </c>
      <c r="R5253" s="3" t="s">
        <v>36</v>
      </c>
      <c r="S5253" s="3" t="s">
        <v>36</v>
      </c>
      <c r="T5253" s="3" t="s">
        <v>17958</v>
      </c>
      <c r="U5253" s="3" t="s">
        <v>289</v>
      </c>
      <c r="V5253" s="3" t="s">
        <v>64</v>
      </c>
      <c r="W5253" s="3" t="s">
        <v>17959</v>
      </c>
      <c r="X5253" s="10" t="s">
        <v>23669</v>
      </c>
      <c r="Y5253" s="6" t="s">
        <v>42</v>
      </c>
      <c r="Z5253" s="4">
        <v>0.54</v>
      </c>
      <c r="AA5253" s="4">
        <v>1.7</v>
      </c>
      <c r="AB5253" s="3" t="s">
        <v>43</v>
      </c>
      <c r="AC5253" s="3" t="s">
        <v>17960</v>
      </c>
      <c r="AD5253" s="9">
        <v>43297</v>
      </c>
      <c r="AE5253" s="3" t="s">
        <v>292</v>
      </c>
      <c r="AF5253" s="3" t="s">
        <v>4270</v>
      </c>
      <c r="AG5253" s="3" t="s">
        <v>81</v>
      </c>
      <c r="AH5253" s="11">
        <f>HYPERLINK("https://my.pitchbook.com?c=123001-93T","View Company Online")</f>
      </c>
    </row>
    <row r="5254">
      <c r="A5254" s="12" t="s">
        <v>24934</v>
      </c>
      <c r="B5254" s="12" t="s">
        <v>24935</v>
      </c>
      <c r="C5254" s="19" t="s">
        <v>36</v>
      </c>
      <c r="D5254" s="19" t="s">
        <v>36</v>
      </c>
      <c r="E5254" s="19" t="s">
        <v>36</v>
      </c>
      <c r="F5254" s="19" t="s">
        <v>36</v>
      </c>
      <c r="G5254" s="15" t="s">
        <v>36</v>
      </c>
      <c r="H5254" s="14">
        <v>1888.3</v>
      </c>
      <c r="I5254" s="18">
        <v>21.57</v>
      </c>
      <c r="J5254" s="12" t="s">
        <v>327</v>
      </c>
      <c r="K5254" s="13" t="s">
        <v>36</v>
      </c>
      <c r="L5254" s="15" t="s">
        <v>36</v>
      </c>
      <c r="M5254" s="12" t="s">
        <v>36</v>
      </c>
      <c r="N5254" s="12" t="s">
        <v>36</v>
      </c>
      <c r="O5254" s="17" t="s">
        <v>36</v>
      </c>
      <c r="P5254" s="12" t="s">
        <v>36</v>
      </c>
      <c r="Q5254" s="12" t="s">
        <v>36</v>
      </c>
      <c r="R5254" s="12" t="s">
        <v>36</v>
      </c>
      <c r="S5254" s="12" t="s">
        <v>36</v>
      </c>
      <c r="T5254" s="12" t="s">
        <v>2285</v>
      </c>
      <c r="U5254" s="12" t="s">
        <v>38</v>
      </c>
      <c r="V5254" s="12" t="s">
        <v>39</v>
      </c>
      <c r="W5254" s="12" t="s">
        <v>24936</v>
      </c>
      <c r="X5254" s="16" t="s">
        <v>24937</v>
      </c>
      <c r="Y5254" s="15" t="s">
        <v>42</v>
      </c>
      <c r="Z5254" s="14">
        <v>1.17</v>
      </c>
      <c r="AA5254" s="14">
        <v>5.41</v>
      </c>
      <c r="AB5254" s="12" t="s">
        <v>43</v>
      </c>
      <c r="AC5254" s="12" t="s">
        <v>24938</v>
      </c>
      <c r="AD5254" s="13">
        <v>43297</v>
      </c>
      <c r="AE5254" s="12" t="s">
        <v>110</v>
      </c>
      <c r="AF5254" s="12" t="s">
        <v>176</v>
      </c>
      <c r="AG5254" s="12" t="s">
        <v>2760</v>
      </c>
      <c r="AH5254" s="1">
        <f>HYPERLINK("https://my.pitchbook.com?c=115047-19T","View Company Online")</f>
      </c>
    </row>
    <row r="5255">
      <c r="A5255" s="3" t="s">
        <v>24939</v>
      </c>
      <c r="B5255" s="3" t="s">
        <v>14955</v>
      </c>
      <c r="C5255" s="5">
        <v>13</v>
      </c>
      <c r="D5255" s="5">
        <v>42</v>
      </c>
      <c r="E5255" s="5">
        <v>10</v>
      </c>
      <c r="F5255" s="5">
        <v>56</v>
      </c>
      <c r="G5255" s="6" t="s">
        <v>683</v>
      </c>
      <c r="H5255" s="4">
        <v>51.51</v>
      </c>
      <c r="I5255" s="7">
        <v>13.39</v>
      </c>
      <c r="J5255" s="3" t="s">
        <v>521</v>
      </c>
      <c r="K5255" s="9">
        <v>43258</v>
      </c>
      <c r="L5255" s="6" t="s">
        <v>36</v>
      </c>
      <c r="M5255" s="3" t="s">
        <v>36</v>
      </c>
      <c r="N5255" s="3" t="s">
        <v>36</v>
      </c>
      <c r="O5255" s="8" t="s">
        <v>36</v>
      </c>
      <c r="P5255" s="3" t="s">
        <v>36</v>
      </c>
      <c r="Q5255" s="3" t="s">
        <v>36</v>
      </c>
      <c r="R5255" s="3" t="s">
        <v>36</v>
      </c>
      <c r="S5255" s="3" t="s">
        <v>36</v>
      </c>
      <c r="T5255" s="3" t="s">
        <v>14956</v>
      </c>
      <c r="U5255" s="3" t="s">
        <v>318</v>
      </c>
      <c r="V5255" s="3" t="s">
        <v>39</v>
      </c>
      <c r="W5255" s="3" t="s">
        <v>14957</v>
      </c>
      <c r="X5255" s="10" t="s">
        <v>24940</v>
      </c>
      <c r="Y5255" s="6" t="s">
        <v>108</v>
      </c>
      <c r="Z5255" s="4">
        <v>1.75</v>
      </c>
      <c r="AA5255" s="4">
        <v>13.06</v>
      </c>
      <c r="AB5255" s="3" t="s">
        <v>43</v>
      </c>
      <c r="AC5255" s="3" t="s">
        <v>14959</v>
      </c>
      <c r="AD5255" s="9">
        <v>43297</v>
      </c>
      <c r="AE5255" s="3" t="s">
        <v>417</v>
      </c>
      <c r="AF5255" s="3" t="s">
        <v>592</v>
      </c>
      <c r="AG5255" s="3" t="s">
        <v>81</v>
      </c>
      <c r="AH5255" s="11">
        <f>HYPERLINK("https://my.pitchbook.com?c=117366-22T","View Company Online")</f>
      </c>
    </row>
    <row r="5256">
      <c r="A5256" s="12" t="s">
        <v>24941</v>
      </c>
      <c r="B5256" s="12" t="s">
        <v>19275</v>
      </c>
      <c r="C5256" s="19" t="s">
        <v>36</v>
      </c>
      <c r="D5256" s="19" t="s">
        <v>36</v>
      </c>
      <c r="E5256" s="19" t="s">
        <v>36</v>
      </c>
      <c r="F5256" s="19" t="s">
        <v>36</v>
      </c>
      <c r="G5256" s="15" t="s">
        <v>36</v>
      </c>
      <c r="H5256" s="14" t="s">
        <v>36</v>
      </c>
      <c r="I5256" s="18" t="s">
        <v>36</v>
      </c>
      <c r="J5256" s="12" t="s">
        <v>36</v>
      </c>
      <c r="K5256" s="13" t="s">
        <v>36</v>
      </c>
      <c r="L5256" s="15" t="s">
        <v>3736</v>
      </c>
      <c r="M5256" s="12" t="s">
        <v>21485</v>
      </c>
      <c r="N5256" s="12" t="s">
        <v>3736</v>
      </c>
      <c r="O5256" s="17" t="s">
        <v>36</v>
      </c>
      <c r="P5256" s="12" t="s">
        <v>36</v>
      </c>
      <c r="Q5256" s="12" t="s">
        <v>36</v>
      </c>
      <c r="R5256" s="12" t="s">
        <v>36</v>
      </c>
      <c r="S5256" s="12" t="s">
        <v>36</v>
      </c>
      <c r="T5256" s="12" t="s">
        <v>522</v>
      </c>
      <c r="U5256" s="12" t="s">
        <v>38</v>
      </c>
      <c r="V5256" s="12" t="s">
        <v>39</v>
      </c>
      <c r="W5256" s="12" t="s">
        <v>19276</v>
      </c>
      <c r="X5256" s="16" t="s">
        <v>24942</v>
      </c>
      <c r="Y5256" s="15" t="s">
        <v>192</v>
      </c>
      <c r="Z5256" s="14">
        <v>20.97</v>
      </c>
      <c r="AA5256" s="14" t="s">
        <v>36</v>
      </c>
      <c r="AB5256" s="12" t="s">
        <v>56</v>
      </c>
      <c r="AC5256" s="12" t="s">
        <v>19278</v>
      </c>
      <c r="AD5256" s="13">
        <v>43294</v>
      </c>
      <c r="AE5256" s="12" t="s">
        <v>110</v>
      </c>
      <c r="AF5256" s="12" t="s">
        <v>36</v>
      </c>
      <c r="AG5256" s="12" t="s">
        <v>81</v>
      </c>
      <c r="AH5256" s="1">
        <f>HYPERLINK("https://my.pitchbook.com?c=112392-55T","View Company Online")</f>
      </c>
    </row>
    <row r="5257">
      <c r="A5257" s="3" t="s">
        <v>24943</v>
      </c>
      <c r="B5257" s="3" t="s">
        <v>24944</v>
      </c>
      <c r="C5257" s="5">
        <v>1</v>
      </c>
      <c r="D5257" s="5">
        <v>10</v>
      </c>
      <c r="E5257" s="5">
        <v>4</v>
      </c>
      <c r="F5257" s="5">
        <v>18</v>
      </c>
      <c r="G5257" s="6" t="s">
        <v>36</v>
      </c>
      <c r="H5257" s="4">
        <v>2596.42</v>
      </c>
      <c r="I5257" s="7">
        <v>20.37</v>
      </c>
      <c r="J5257" s="3" t="s">
        <v>521</v>
      </c>
      <c r="K5257" s="9" t="s">
        <v>36</v>
      </c>
      <c r="L5257" s="6" t="s">
        <v>36</v>
      </c>
      <c r="M5257" s="3" t="s">
        <v>36</v>
      </c>
      <c r="N5257" s="3" t="s">
        <v>36</v>
      </c>
      <c r="O5257" s="8" t="s">
        <v>36</v>
      </c>
      <c r="P5257" s="3" t="s">
        <v>36</v>
      </c>
      <c r="Q5257" s="3" t="s">
        <v>36</v>
      </c>
      <c r="R5257" s="3" t="s">
        <v>36</v>
      </c>
      <c r="S5257" s="3" t="s">
        <v>36</v>
      </c>
      <c r="T5257" s="3" t="s">
        <v>24945</v>
      </c>
      <c r="U5257" s="3" t="s">
        <v>85</v>
      </c>
      <c r="V5257" s="3" t="s">
        <v>64</v>
      </c>
      <c r="W5257" s="3" t="s">
        <v>24946</v>
      </c>
      <c r="X5257" s="10" t="s">
        <v>20076</v>
      </c>
      <c r="Y5257" s="6" t="s">
        <v>108</v>
      </c>
      <c r="Z5257" s="4">
        <v>0.83</v>
      </c>
      <c r="AA5257" s="4">
        <v>4.07</v>
      </c>
      <c r="AB5257" s="3" t="s">
        <v>43</v>
      </c>
      <c r="AC5257" s="3" t="s">
        <v>24947</v>
      </c>
      <c r="AD5257" s="9">
        <v>43294</v>
      </c>
      <c r="AE5257" s="3" t="s">
        <v>1822</v>
      </c>
      <c r="AF5257" s="3" t="s">
        <v>7790</v>
      </c>
      <c r="AG5257" s="3" t="s">
        <v>1905</v>
      </c>
      <c r="AH5257" s="11">
        <f>HYPERLINK("https://my.pitchbook.com?c=136712-44T","View Company Online")</f>
      </c>
    </row>
    <row r="5258">
      <c r="A5258" s="12" t="s">
        <v>24948</v>
      </c>
      <c r="B5258" s="12" t="s">
        <v>5339</v>
      </c>
      <c r="C5258" s="19">
        <v>12</v>
      </c>
      <c r="D5258" s="19">
        <v>31</v>
      </c>
      <c r="E5258" s="19">
        <v>16</v>
      </c>
      <c r="F5258" s="19">
        <v>58</v>
      </c>
      <c r="G5258" s="15" t="s">
        <v>326</v>
      </c>
      <c r="H5258" s="14">
        <v>235.75</v>
      </c>
      <c r="I5258" s="18">
        <v>60.88</v>
      </c>
      <c r="J5258" s="12" t="s">
        <v>521</v>
      </c>
      <c r="K5258" s="13">
        <v>43009</v>
      </c>
      <c r="L5258" s="15" t="s">
        <v>122</v>
      </c>
      <c r="M5258" s="12" t="s">
        <v>36</v>
      </c>
      <c r="N5258" s="12" t="s">
        <v>122</v>
      </c>
      <c r="O5258" s="17" t="s">
        <v>36</v>
      </c>
      <c r="P5258" s="12" t="s">
        <v>36</v>
      </c>
      <c r="Q5258" s="12" t="s">
        <v>36</v>
      </c>
      <c r="R5258" s="12" t="s">
        <v>36</v>
      </c>
      <c r="S5258" s="12" t="s">
        <v>36</v>
      </c>
      <c r="T5258" s="12" t="s">
        <v>881</v>
      </c>
      <c r="U5258" s="12" t="s">
        <v>51</v>
      </c>
      <c r="V5258" s="12" t="s">
        <v>52</v>
      </c>
      <c r="W5258" s="12" t="s">
        <v>5340</v>
      </c>
      <c r="X5258" s="16" t="s">
        <v>24949</v>
      </c>
      <c r="Y5258" s="15" t="s">
        <v>108</v>
      </c>
      <c r="Z5258" s="14">
        <v>15.94</v>
      </c>
      <c r="AA5258" s="14">
        <v>26.18</v>
      </c>
      <c r="AB5258" s="12" t="s">
        <v>56</v>
      </c>
      <c r="AC5258" s="12" t="s">
        <v>5342</v>
      </c>
      <c r="AD5258" s="13">
        <v>43293</v>
      </c>
      <c r="AE5258" s="12" t="s">
        <v>504</v>
      </c>
      <c r="AF5258" s="12" t="s">
        <v>5343</v>
      </c>
      <c r="AG5258" s="12" t="s">
        <v>539</v>
      </c>
      <c r="AH5258" s="1">
        <f>HYPERLINK("https://my.pitchbook.com?c=95538-79T","View Company Online")</f>
      </c>
    </row>
    <row r="5259">
      <c r="A5259" s="3" t="s">
        <v>24950</v>
      </c>
      <c r="B5259" s="3" t="s">
        <v>7096</v>
      </c>
      <c r="C5259" s="5" t="s">
        <v>36</v>
      </c>
      <c r="D5259" s="5" t="s">
        <v>36</v>
      </c>
      <c r="E5259" s="5" t="s">
        <v>36</v>
      </c>
      <c r="F5259" s="5" t="s">
        <v>36</v>
      </c>
      <c r="G5259" s="6" t="s">
        <v>36</v>
      </c>
      <c r="H5259" s="4">
        <v>14.54</v>
      </c>
      <c r="I5259" s="7">
        <v>15.26</v>
      </c>
      <c r="J5259" s="3" t="s">
        <v>521</v>
      </c>
      <c r="K5259" s="9" t="s">
        <v>36</v>
      </c>
      <c r="L5259" s="6" t="s">
        <v>36</v>
      </c>
      <c r="M5259" s="3" t="s">
        <v>36</v>
      </c>
      <c r="N5259" s="3" t="s">
        <v>36</v>
      </c>
      <c r="O5259" s="8" t="s">
        <v>36</v>
      </c>
      <c r="P5259" s="3" t="s">
        <v>36</v>
      </c>
      <c r="Q5259" s="3" t="s">
        <v>36</v>
      </c>
      <c r="R5259" s="3" t="s">
        <v>36</v>
      </c>
      <c r="S5259" s="3" t="s">
        <v>36</v>
      </c>
      <c r="T5259" s="3" t="s">
        <v>7097</v>
      </c>
      <c r="U5259" s="3" t="s">
        <v>728</v>
      </c>
      <c r="V5259" s="3" t="s">
        <v>64</v>
      </c>
      <c r="W5259" s="3" t="s">
        <v>7098</v>
      </c>
      <c r="X5259" s="10" t="s">
        <v>7099</v>
      </c>
      <c r="Y5259" s="6" t="s">
        <v>42</v>
      </c>
      <c r="Z5259" s="4">
        <v>0.18</v>
      </c>
      <c r="AA5259" s="4">
        <v>1.16</v>
      </c>
      <c r="AB5259" s="3" t="s">
        <v>56</v>
      </c>
      <c r="AC5259" s="3" t="s">
        <v>7100</v>
      </c>
      <c r="AD5259" s="9">
        <v>43292</v>
      </c>
      <c r="AE5259" s="3" t="s">
        <v>732</v>
      </c>
      <c r="AF5259" s="3" t="s">
        <v>571</v>
      </c>
      <c r="AG5259" s="3" t="s">
        <v>7101</v>
      </c>
      <c r="AH5259" s="11">
        <f>HYPERLINK("https://my.pitchbook.com?c=204533-02T","View Company Online")</f>
      </c>
    </row>
    <row r="5260">
      <c r="A5260" s="12" t="s">
        <v>24951</v>
      </c>
      <c r="B5260" s="12" t="s">
        <v>24952</v>
      </c>
      <c r="C5260" s="19" t="s">
        <v>36</v>
      </c>
      <c r="D5260" s="19">
        <v>2</v>
      </c>
      <c r="E5260" s="19">
        <v>1</v>
      </c>
      <c r="F5260" s="19">
        <v>3</v>
      </c>
      <c r="G5260" s="15" t="s">
        <v>36</v>
      </c>
      <c r="H5260" s="14" t="s">
        <v>36</v>
      </c>
      <c r="I5260" s="18" t="s">
        <v>36</v>
      </c>
      <c r="J5260" s="12" t="s">
        <v>36</v>
      </c>
      <c r="K5260" s="13" t="s">
        <v>36</v>
      </c>
      <c r="L5260" s="15" t="s">
        <v>36</v>
      </c>
      <c r="M5260" s="12" t="s">
        <v>36</v>
      </c>
      <c r="N5260" s="12" t="s">
        <v>36</v>
      </c>
      <c r="O5260" s="17" t="s">
        <v>36</v>
      </c>
      <c r="P5260" s="12" t="s">
        <v>36</v>
      </c>
      <c r="Q5260" s="12" t="s">
        <v>36</v>
      </c>
      <c r="R5260" s="12" t="s">
        <v>36</v>
      </c>
      <c r="S5260" s="12" t="s">
        <v>36</v>
      </c>
      <c r="T5260" s="12" t="s">
        <v>472</v>
      </c>
      <c r="U5260" s="12" t="s">
        <v>38</v>
      </c>
      <c r="V5260" s="12" t="s">
        <v>39</v>
      </c>
      <c r="W5260" s="12" t="s">
        <v>24953</v>
      </c>
      <c r="X5260" s="16" t="s">
        <v>24954</v>
      </c>
      <c r="Y5260" s="15" t="s">
        <v>108</v>
      </c>
      <c r="Z5260" s="14">
        <v>1.98</v>
      </c>
      <c r="AA5260" s="14" t="s">
        <v>36</v>
      </c>
      <c r="AB5260" s="12" t="s">
        <v>43</v>
      </c>
      <c r="AC5260" s="12" t="s">
        <v>24955</v>
      </c>
      <c r="AD5260" s="13">
        <v>43292</v>
      </c>
      <c r="AE5260" s="12" t="s">
        <v>110</v>
      </c>
      <c r="AF5260" s="12" t="s">
        <v>24956</v>
      </c>
      <c r="AG5260" s="12" t="s">
        <v>102</v>
      </c>
      <c r="AH5260" s="1">
        <f>HYPERLINK("https://my.pitchbook.com?c=111077-92T","View Company Online")</f>
      </c>
    </row>
    <row r="5261">
      <c r="A5261" s="3" t="s">
        <v>24957</v>
      </c>
      <c r="B5261" s="3" t="s">
        <v>20856</v>
      </c>
      <c r="C5261" s="5" t="s">
        <v>36</v>
      </c>
      <c r="D5261" s="5" t="s">
        <v>36</v>
      </c>
      <c r="E5261" s="5">
        <v>1</v>
      </c>
      <c r="F5261" s="5">
        <v>1</v>
      </c>
      <c r="G5261" s="6" t="s">
        <v>326</v>
      </c>
      <c r="H5261" s="4" t="s">
        <v>36</v>
      </c>
      <c r="I5261" s="7">
        <v>8</v>
      </c>
      <c r="J5261" s="3" t="s">
        <v>327</v>
      </c>
      <c r="K5261" s="9" t="s">
        <v>36</v>
      </c>
      <c r="L5261" s="6" t="s">
        <v>122</v>
      </c>
      <c r="M5261" s="3" t="s">
        <v>36</v>
      </c>
      <c r="N5261" s="3" t="s">
        <v>122</v>
      </c>
      <c r="O5261" s="8" t="s">
        <v>36</v>
      </c>
      <c r="P5261" s="3" t="s">
        <v>36</v>
      </c>
      <c r="Q5261" s="3" t="s">
        <v>36</v>
      </c>
      <c r="R5261" s="3" t="s">
        <v>36</v>
      </c>
      <c r="S5261" s="3" t="s">
        <v>36</v>
      </c>
      <c r="T5261" s="3" t="s">
        <v>522</v>
      </c>
      <c r="U5261" s="3" t="s">
        <v>38</v>
      </c>
      <c r="V5261" s="3" t="s">
        <v>39</v>
      </c>
      <c r="W5261" s="3" t="s">
        <v>20857</v>
      </c>
      <c r="X5261" s="10" t="s">
        <v>24958</v>
      </c>
      <c r="Y5261" s="6" t="s">
        <v>55</v>
      </c>
      <c r="Z5261" s="4">
        <v>6.41</v>
      </c>
      <c r="AA5261" s="4">
        <v>80.11</v>
      </c>
      <c r="AB5261" s="3" t="s">
        <v>43</v>
      </c>
      <c r="AC5261" s="3" t="s">
        <v>20859</v>
      </c>
      <c r="AD5261" s="9">
        <v>43291</v>
      </c>
      <c r="AE5261" s="3" t="s">
        <v>110</v>
      </c>
      <c r="AF5261" s="3" t="s">
        <v>905</v>
      </c>
      <c r="AG5261" s="3" t="s">
        <v>81</v>
      </c>
      <c r="AH5261" s="11">
        <f>HYPERLINK("https://my.pitchbook.com?c=108667-90T","View Company Online")</f>
      </c>
    </row>
    <row r="5262">
      <c r="A5262" s="12" t="s">
        <v>24959</v>
      </c>
      <c r="B5262" s="12" t="s">
        <v>16037</v>
      </c>
      <c r="C5262" s="19" t="s">
        <v>36</v>
      </c>
      <c r="D5262" s="19" t="s">
        <v>36</v>
      </c>
      <c r="E5262" s="19" t="s">
        <v>36</v>
      </c>
      <c r="F5262" s="19" t="s">
        <v>36</v>
      </c>
      <c r="G5262" s="15" t="s">
        <v>36</v>
      </c>
      <c r="H5262" s="14">
        <v>6.53</v>
      </c>
      <c r="I5262" s="18">
        <v>24.05</v>
      </c>
      <c r="J5262" s="12" t="s">
        <v>521</v>
      </c>
      <c r="K5262" s="13">
        <v>43279</v>
      </c>
      <c r="L5262" s="15" t="s">
        <v>36</v>
      </c>
      <c r="M5262" s="12" t="s">
        <v>36</v>
      </c>
      <c r="N5262" s="12" t="s">
        <v>36</v>
      </c>
      <c r="O5262" s="17" t="s">
        <v>36</v>
      </c>
      <c r="P5262" s="12" t="s">
        <v>36</v>
      </c>
      <c r="Q5262" s="12" t="s">
        <v>36</v>
      </c>
      <c r="R5262" s="12" t="s">
        <v>36</v>
      </c>
      <c r="S5262" s="12" t="s">
        <v>36</v>
      </c>
      <c r="T5262" s="12" t="s">
        <v>16038</v>
      </c>
      <c r="U5262" s="12" t="s">
        <v>219</v>
      </c>
      <c r="V5262" s="12" t="s">
        <v>75</v>
      </c>
      <c r="W5262" s="12" t="s">
        <v>16039</v>
      </c>
      <c r="X5262" s="16" t="s">
        <v>24960</v>
      </c>
      <c r="Y5262" s="15" t="s">
        <v>42</v>
      </c>
      <c r="Z5262" s="14">
        <v>1.23</v>
      </c>
      <c r="AA5262" s="14">
        <v>2.96</v>
      </c>
      <c r="AB5262" s="12" t="s">
        <v>56</v>
      </c>
      <c r="AC5262" s="12" t="s">
        <v>16040</v>
      </c>
      <c r="AD5262" s="13">
        <v>43291</v>
      </c>
      <c r="AE5262" s="12" t="s">
        <v>1032</v>
      </c>
      <c r="AF5262" s="12" t="s">
        <v>10212</v>
      </c>
      <c r="AG5262" s="12" t="s">
        <v>373</v>
      </c>
      <c r="AH5262" s="1">
        <f>HYPERLINK("https://my.pitchbook.com?c=109750-24T","View Company Online")</f>
      </c>
    </row>
    <row r="5263">
      <c r="A5263" s="3" t="s">
        <v>24961</v>
      </c>
      <c r="B5263" s="3" t="s">
        <v>6057</v>
      </c>
      <c r="C5263" s="5" t="s">
        <v>36</v>
      </c>
      <c r="D5263" s="5" t="s">
        <v>36</v>
      </c>
      <c r="E5263" s="5" t="s">
        <v>36</v>
      </c>
      <c r="F5263" s="5" t="s">
        <v>36</v>
      </c>
      <c r="G5263" s="6" t="s">
        <v>36</v>
      </c>
      <c r="H5263" s="4">
        <v>10.71</v>
      </c>
      <c r="I5263" s="7">
        <v>39.66</v>
      </c>
      <c r="J5263" s="3" t="s">
        <v>521</v>
      </c>
      <c r="K5263" s="9" t="s">
        <v>36</v>
      </c>
      <c r="L5263" s="6" t="s">
        <v>36</v>
      </c>
      <c r="M5263" s="3" t="s">
        <v>36</v>
      </c>
      <c r="N5263" s="3" t="s">
        <v>36</v>
      </c>
      <c r="O5263" s="8" t="s">
        <v>36</v>
      </c>
      <c r="P5263" s="3" t="s">
        <v>36</v>
      </c>
      <c r="Q5263" s="3" t="s">
        <v>36</v>
      </c>
      <c r="R5263" s="3" t="s">
        <v>36</v>
      </c>
      <c r="S5263" s="3" t="s">
        <v>36</v>
      </c>
      <c r="T5263" s="3" t="s">
        <v>6058</v>
      </c>
      <c r="U5263" s="3" t="s">
        <v>38</v>
      </c>
      <c r="V5263" s="3" t="s">
        <v>39</v>
      </c>
      <c r="W5263" s="3" t="s">
        <v>6059</v>
      </c>
      <c r="X5263" s="10" t="s">
        <v>24962</v>
      </c>
      <c r="Y5263" s="6" t="s">
        <v>42</v>
      </c>
      <c r="Z5263" s="4">
        <v>3.5</v>
      </c>
      <c r="AA5263" s="4">
        <v>6.66</v>
      </c>
      <c r="AB5263" s="3" t="s">
        <v>43</v>
      </c>
      <c r="AC5263" s="3" t="s">
        <v>6061</v>
      </c>
      <c r="AD5263" s="9">
        <v>43291</v>
      </c>
      <c r="AE5263" s="3" t="s">
        <v>688</v>
      </c>
      <c r="AF5263" s="3" t="s">
        <v>6062</v>
      </c>
      <c r="AG5263" s="3" t="s">
        <v>102</v>
      </c>
      <c r="AH5263" s="11">
        <f>HYPERLINK("https://my.pitchbook.com?c=108665-29T","View Company Online")</f>
      </c>
    </row>
    <row r="5264">
      <c r="A5264" s="12" t="s">
        <v>24963</v>
      </c>
      <c r="B5264" s="12" t="s">
        <v>93</v>
      </c>
      <c r="C5264" s="19">
        <v>14</v>
      </c>
      <c r="D5264" s="19">
        <v>78</v>
      </c>
      <c r="E5264" s="19">
        <v>18</v>
      </c>
      <c r="F5264" s="19">
        <v>103</v>
      </c>
      <c r="G5264" s="15" t="s">
        <v>36</v>
      </c>
      <c r="H5264" s="14">
        <v>11.72</v>
      </c>
      <c r="I5264" s="18">
        <v>20.89</v>
      </c>
      <c r="J5264" s="12" t="s">
        <v>521</v>
      </c>
      <c r="K5264" s="13" t="s">
        <v>36</v>
      </c>
      <c r="L5264" s="15" t="s">
        <v>36</v>
      </c>
      <c r="M5264" s="12" t="s">
        <v>36</v>
      </c>
      <c r="N5264" s="12" t="s">
        <v>36</v>
      </c>
      <c r="O5264" s="17" t="s">
        <v>36</v>
      </c>
      <c r="P5264" s="12" t="s">
        <v>36</v>
      </c>
      <c r="Q5264" s="12" t="s">
        <v>36</v>
      </c>
      <c r="R5264" s="12" t="s">
        <v>36</v>
      </c>
      <c r="S5264" s="12" t="s">
        <v>36</v>
      </c>
      <c r="T5264" s="12" t="s">
        <v>95</v>
      </c>
      <c r="U5264" s="12" t="s">
        <v>96</v>
      </c>
      <c r="V5264" s="12" t="s">
        <v>52</v>
      </c>
      <c r="W5264" s="12" t="s">
        <v>97</v>
      </c>
      <c r="X5264" s="16" t="s">
        <v>24964</v>
      </c>
      <c r="Y5264" s="15" t="s">
        <v>42</v>
      </c>
      <c r="Z5264" s="14">
        <v>4.66</v>
      </c>
      <c r="AA5264" s="14">
        <v>22.32</v>
      </c>
      <c r="AB5264" s="12" t="s">
        <v>56</v>
      </c>
      <c r="AC5264" s="12" t="s">
        <v>99</v>
      </c>
      <c r="AD5264" s="13">
        <v>43291</v>
      </c>
      <c r="AE5264" s="12" t="s">
        <v>100</v>
      </c>
      <c r="AF5264" s="12" t="s">
        <v>101</v>
      </c>
      <c r="AG5264" s="12" t="s">
        <v>102</v>
      </c>
      <c r="AH5264" s="1">
        <f>HYPERLINK("https://my.pitchbook.com?c=171869-41T","View Company Online")</f>
      </c>
    </row>
    <row r="5265">
      <c r="A5265" s="3" t="s">
        <v>24965</v>
      </c>
      <c r="B5265" s="3" t="s">
        <v>21046</v>
      </c>
      <c r="C5265" s="5" t="s">
        <v>36</v>
      </c>
      <c r="D5265" s="5" t="s">
        <v>36</v>
      </c>
      <c r="E5265" s="5" t="s">
        <v>36</v>
      </c>
      <c r="F5265" s="5" t="s">
        <v>36</v>
      </c>
      <c r="G5265" s="6" t="s">
        <v>683</v>
      </c>
      <c r="H5265" s="4">
        <v>27</v>
      </c>
      <c r="I5265" s="7">
        <v>38</v>
      </c>
      <c r="J5265" s="3" t="s">
        <v>521</v>
      </c>
      <c r="K5265" s="9">
        <v>42699</v>
      </c>
      <c r="L5265" s="6" t="s">
        <v>36</v>
      </c>
      <c r="M5265" s="3" t="s">
        <v>36</v>
      </c>
      <c r="N5265" s="3" t="s">
        <v>36</v>
      </c>
      <c r="O5265" s="8" t="s">
        <v>36</v>
      </c>
      <c r="P5265" s="3" t="s">
        <v>36</v>
      </c>
      <c r="Q5265" s="3" t="s">
        <v>36</v>
      </c>
      <c r="R5265" s="3" t="s">
        <v>36</v>
      </c>
      <c r="S5265" s="3" t="s">
        <v>36</v>
      </c>
      <c r="T5265" s="3" t="s">
        <v>17385</v>
      </c>
      <c r="U5265" s="3" t="s">
        <v>423</v>
      </c>
      <c r="V5265" s="3" t="s">
        <v>64</v>
      </c>
      <c r="W5265" s="3" t="s">
        <v>21047</v>
      </c>
      <c r="X5265" s="10" t="s">
        <v>24966</v>
      </c>
      <c r="Y5265" s="6" t="s">
        <v>42</v>
      </c>
      <c r="Z5265" s="4">
        <v>1.44</v>
      </c>
      <c r="AA5265" s="4">
        <v>3.8</v>
      </c>
      <c r="AB5265" s="3" t="s">
        <v>43</v>
      </c>
      <c r="AC5265" s="3" t="s">
        <v>21049</v>
      </c>
      <c r="AD5265" s="9">
        <v>43291</v>
      </c>
      <c r="AE5265" s="3" t="s">
        <v>562</v>
      </c>
      <c r="AF5265" s="3" t="s">
        <v>1061</v>
      </c>
      <c r="AG5265" s="3" t="s">
        <v>652</v>
      </c>
      <c r="AH5265" s="11">
        <f>HYPERLINK("https://my.pitchbook.com?c=90022-42T","View Company Online")</f>
      </c>
    </row>
    <row r="5266">
      <c r="A5266" s="12" t="s">
        <v>24967</v>
      </c>
      <c r="B5266" s="12" t="s">
        <v>20343</v>
      </c>
      <c r="C5266" s="19" t="s">
        <v>36</v>
      </c>
      <c r="D5266" s="19" t="s">
        <v>36</v>
      </c>
      <c r="E5266" s="19" t="s">
        <v>36</v>
      </c>
      <c r="F5266" s="19" t="s">
        <v>36</v>
      </c>
      <c r="G5266" s="15" t="s">
        <v>36</v>
      </c>
      <c r="H5266" s="14">
        <v>14.25</v>
      </c>
      <c r="I5266" s="18">
        <v>25.53</v>
      </c>
      <c r="J5266" s="12" t="s">
        <v>521</v>
      </c>
      <c r="K5266" s="13" t="s">
        <v>36</v>
      </c>
      <c r="L5266" s="15" t="s">
        <v>122</v>
      </c>
      <c r="M5266" s="12" t="s">
        <v>36</v>
      </c>
      <c r="N5266" s="12" t="s">
        <v>122</v>
      </c>
      <c r="O5266" s="17" t="s">
        <v>36</v>
      </c>
      <c r="P5266" s="12" t="s">
        <v>36</v>
      </c>
      <c r="Q5266" s="12" t="s">
        <v>36</v>
      </c>
      <c r="R5266" s="12" t="s">
        <v>36</v>
      </c>
      <c r="S5266" s="12" t="s">
        <v>36</v>
      </c>
      <c r="T5266" s="12" t="s">
        <v>522</v>
      </c>
      <c r="U5266" s="12" t="s">
        <v>38</v>
      </c>
      <c r="V5266" s="12" t="s">
        <v>39</v>
      </c>
      <c r="W5266" s="12" t="s">
        <v>20344</v>
      </c>
      <c r="X5266" s="16" t="s">
        <v>24968</v>
      </c>
      <c r="Y5266" s="15" t="s">
        <v>55</v>
      </c>
      <c r="Z5266" s="14">
        <v>2.33</v>
      </c>
      <c r="AA5266" s="14">
        <v>5.48</v>
      </c>
      <c r="AB5266" s="12" t="s">
        <v>56</v>
      </c>
      <c r="AC5266" s="12" t="s">
        <v>20346</v>
      </c>
      <c r="AD5266" s="13">
        <v>43290</v>
      </c>
      <c r="AE5266" s="12" t="s">
        <v>110</v>
      </c>
      <c r="AF5266" s="12" t="s">
        <v>2759</v>
      </c>
      <c r="AG5266" s="12" t="s">
        <v>186</v>
      </c>
      <c r="AH5266" s="1">
        <f>HYPERLINK("https://my.pitchbook.com?c=124197-85T","View Company Online")</f>
      </c>
    </row>
    <row r="5267">
      <c r="A5267" s="3" t="s">
        <v>24969</v>
      </c>
      <c r="B5267" s="3" t="s">
        <v>24970</v>
      </c>
      <c r="C5267" s="5" t="s">
        <v>36</v>
      </c>
      <c r="D5267" s="5">
        <v>3</v>
      </c>
      <c r="E5267" s="5">
        <v>1</v>
      </c>
      <c r="F5267" s="5">
        <v>4</v>
      </c>
      <c r="G5267" s="6" t="s">
        <v>326</v>
      </c>
      <c r="H5267" s="4" t="s">
        <v>36</v>
      </c>
      <c r="I5267" s="7">
        <v>47.38</v>
      </c>
      <c r="J5267" s="3" t="s">
        <v>327</v>
      </c>
      <c r="K5267" s="9" t="s">
        <v>36</v>
      </c>
      <c r="L5267" s="6" t="s">
        <v>36</v>
      </c>
      <c r="M5267" s="3" t="s">
        <v>36</v>
      </c>
      <c r="N5267" s="3" t="s">
        <v>36</v>
      </c>
      <c r="O5267" s="8" t="s">
        <v>36</v>
      </c>
      <c r="P5267" s="3" t="s">
        <v>36</v>
      </c>
      <c r="Q5267" s="3" t="s">
        <v>36</v>
      </c>
      <c r="R5267" s="3" t="s">
        <v>36</v>
      </c>
      <c r="S5267" s="3" t="s">
        <v>36</v>
      </c>
      <c r="T5267" s="3" t="s">
        <v>2992</v>
      </c>
      <c r="U5267" s="3" t="s">
        <v>96</v>
      </c>
      <c r="V5267" s="3" t="s">
        <v>52</v>
      </c>
      <c r="W5267" s="3" t="s">
        <v>24971</v>
      </c>
      <c r="X5267" s="10" t="s">
        <v>24972</v>
      </c>
      <c r="Y5267" s="6" t="s">
        <v>192</v>
      </c>
      <c r="Z5267" s="4">
        <v>10.49</v>
      </c>
      <c r="AA5267" s="4">
        <v>22.15</v>
      </c>
      <c r="AB5267" s="3" t="s">
        <v>56</v>
      </c>
      <c r="AC5267" s="3" t="s">
        <v>24973</v>
      </c>
      <c r="AD5267" s="9">
        <v>43290</v>
      </c>
      <c r="AE5267" s="3" t="s">
        <v>100</v>
      </c>
      <c r="AF5267" s="3" t="s">
        <v>15704</v>
      </c>
      <c r="AG5267" s="3" t="s">
        <v>991</v>
      </c>
      <c r="AH5267" s="11">
        <f>HYPERLINK("https://my.pitchbook.com?c=118358-38T","View Company Online")</f>
      </c>
    </row>
    <row r="5268">
      <c r="A5268" s="12" t="s">
        <v>24974</v>
      </c>
      <c r="B5268" s="12" t="s">
        <v>16635</v>
      </c>
      <c r="C5268" s="19">
        <v>32</v>
      </c>
      <c r="D5268" s="19">
        <v>18</v>
      </c>
      <c r="E5268" s="19">
        <v>12</v>
      </c>
      <c r="F5268" s="19">
        <v>54</v>
      </c>
      <c r="G5268" s="15" t="s">
        <v>36</v>
      </c>
      <c r="H5268" s="14" t="s">
        <v>36</v>
      </c>
      <c r="I5268" s="18" t="s">
        <v>36</v>
      </c>
      <c r="J5268" s="12" t="s">
        <v>36</v>
      </c>
      <c r="K5268" s="13" t="s">
        <v>36</v>
      </c>
      <c r="L5268" s="15" t="s">
        <v>36</v>
      </c>
      <c r="M5268" s="12" t="s">
        <v>36</v>
      </c>
      <c r="N5268" s="12" t="s">
        <v>36</v>
      </c>
      <c r="O5268" s="17" t="s">
        <v>36</v>
      </c>
      <c r="P5268" s="12" t="s">
        <v>36</v>
      </c>
      <c r="Q5268" s="12" t="s">
        <v>36</v>
      </c>
      <c r="R5268" s="12" t="s">
        <v>36</v>
      </c>
      <c r="S5268" s="12" t="s">
        <v>16636</v>
      </c>
      <c r="T5268" s="12" t="s">
        <v>15724</v>
      </c>
      <c r="U5268" s="12" t="s">
        <v>51</v>
      </c>
      <c r="V5268" s="12" t="s">
        <v>52</v>
      </c>
      <c r="W5268" s="12" t="s">
        <v>16637</v>
      </c>
      <c r="X5268" s="16" t="s">
        <v>22496</v>
      </c>
      <c r="Y5268" s="15" t="s">
        <v>108</v>
      </c>
      <c r="Z5268" s="14">
        <v>1.28</v>
      </c>
      <c r="AA5268" s="14" t="s">
        <v>36</v>
      </c>
      <c r="AB5268" s="12" t="s">
        <v>43</v>
      </c>
      <c r="AC5268" s="12" t="s">
        <v>16639</v>
      </c>
      <c r="AD5268" s="13">
        <v>43288</v>
      </c>
      <c r="AE5268" s="12" t="s">
        <v>6868</v>
      </c>
      <c r="AF5268" s="12" t="s">
        <v>16640</v>
      </c>
      <c r="AG5268" s="12" t="s">
        <v>1353</v>
      </c>
      <c r="AH5268" s="1">
        <f>HYPERLINK("https://my.pitchbook.com?c=118133-11T","View Company Online")</f>
      </c>
    </row>
    <row r="5269">
      <c r="A5269" s="3" t="s">
        <v>24975</v>
      </c>
      <c r="B5269" s="3" t="s">
        <v>18272</v>
      </c>
      <c r="C5269" s="5" t="s">
        <v>36</v>
      </c>
      <c r="D5269" s="5" t="s">
        <v>36</v>
      </c>
      <c r="E5269" s="5">
        <v>2</v>
      </c>
      <c r="F5269" s="5">
        <v>2</v>
      </c>
      <c r="G5269" s="6" t="s">
        <v>36</v>
      </c>
      <c r="H5269" s="4">
        <v>18.49</v>
      </c>
      <c r="I5269" s="7">
        <v>80.53</v>
      </c>
      <c r="J5269" s="3" t="s">
        <v>521</v>
      </c>
      <c r="K5269" s="9" t="s">
        <v>36</v>
      </c>
      <c r="L5269" s="6" t="s">
        <v>36</v>
      </c>
      <c r="M5269" s="3" t="s">
        <v>36</v>
      </c>
      <c r="N5269" s="3" t="s">
        <v>36</v>
      </c>
      <c r="O5269" s="8" t="s">
        <v>36</v>
      </c>
      <c r="P5269" s="3" t="s">
        <v>36</v>
      </c>
      <c r="Q5269" s="3" t="s">
        <v>36</v>
      </c>
      <c r="R5269" s="3" t="s">
        <v>36</v>
      </c>
      <c r="S5269" s="3" t="s">
        <v>36</v>
      </c>
      <c r="T5269" s="3" t="s">
        <v>881</v>
      </c>
      <c r="U5269" s="3" t="s">
        <v>51</v>
      </c>
      <c r="V5269" s="3" t="s">
        <v>52</v>
      </c>
      <c r="W5269" s="3" t="s">
        <v>18273</v>
      </c>
      <c r="X5269" s="10" t="s">
        <v>24976</v>
      </c>
      <c r="Y5269" s="6" t="s">
        <v>55</v>
      </c>
      <c r="Z5269" s="4">
        <v>54.82</v>
      </c>
      <c r="AA5269" s="4">
        <v>46.71</v>
      </c>
      <c r="AB5269" s="3" t="s">
        <v>43</v>
      </c>
      <c r="AC5269" s="3" t="s">
        <v>18275</v>
      </c>
      <c r="AD5269" s="9">
        <v>43287</v>
      </c>
      <c r="AE5269" s="3" t="s">
        <v>504</v>
      </c>
      <c r="AF5269" s="3" t="s">
        <v>9908</v>
      </c>
      <c r="AG5269" s="3" t="s">
        <v>1276</v>
      </c>
      <c r="AH5269" s="11">
        <f>HYPERLINK("https://my.pitchbook.com?c=108517-24T","View Company Online")</f>
      </c>
    </row>
    <row r="5270">
      <c r="A5270" s="12" t="s">
        <v>24977</v>
      </c>
      <c r="B5270" s="12" t="s">
        <v>24978</v>
      </c>
      <c r="C5270" s="19" t="s">
        <v>36</v>
      </c>
      <c r="D5270" s="19" t="s">
        <v>36</v>
      </c>
      <c r="E5270" s="19" t="s">
        <v>36</v>
      </c>
      <c r="F5270" s="19" t="s">
        <v>36</v>
      </c>
      <c r="G5270" s="15" t="s">
        <v>36</v>
      </c>
      <c r="H5270" s="14" t="s">
        <v>36</v>
      </c>
      <c r="I5270" s="18" t="s">
        <v>36</v>
      </c>
      <c r="J5270" s="12" t="s">
        <v>36</v>
      </c>
      <c r="K5270" s="13" t="s">
        <v>36</v>
      </c>
      <c r="L5270" s="15" t="s">
        <v>36</v>
      </c>
      <c r="M5270" s="12" t="s">
        <v>36</v>
      </c>
      <c r="N5270" s="12" t="s">
        <v>36</v>
      </c>
      <c r="O5270" s="17" t="s">
        <v>36</v>
      </c>
      <c r="P5270" s="12" t="s">
        <v>36</v>
      </c>
      <c r="Q5270" s="12" t="s">
        <v>36</v>
      </c>
      <c r="R5270" s="12" t="s">
        <v>36</v>
      </c>
      <c r="S5270" s="12" t="s">
        <v>36</v>
      </c>
      <c r="T5270" s="12" t="s">
        <v>472</v>
      </c>
      <c r="U5270" s="12" t="s">
        <v>38</v>
      </c>
      <c r="V5270" s="12" t="s">
        <v>39</v>
      </c>
      <c r="W5270" s="12" t="s">
        <v>24979</v>
      </c>
      <c r="X5270" s="16" t="s">
        <v>24980</v>
      </c>
      <c r="Y5270" s="15" t="s">
        <v>42</v>
      </c>
      <c r="Z5270" s="14">
        <v>1.17</v>
      </c>
      <c r="AA5270" s="14" t="s">
        <v>36</v>
      </c>
      <c r="AB5270" s="12" t="s">
        <v>56</v>
      </c>
      <c r="AC5270" s="12" t="s">
        <v>24981</v>
      </c>
      <c r="AD5270" s="13">
        <v>43286</v>
      </c>
      <c r="AE5270" s="12" t="s">
        <v>110</v>
      </c>
      <c r="AF5270" s="12" t="s">
        <v>24982</v>
      </c>
      <c r="AG5270" s="12" t="s">
        <v>24983</v>
      </c>
      <c r="AH5270" s="1">
        <f>HYPERLINK("https://my.pitchbook.com?c=191391-85T","View Company Online")</f>
      </c>
    </row>
    <row r="5271">
      <c r="A5271" s="3" t="s">
        <v>24984</v>
      </c>
      <c r="B5271" s="3" t="s">
        <v>8863</v>
      </c>
      <c r="C5271" s="5">
        <v>1</v>
      </c>
      <c r="D5271" s="5" t="s">
        <v>36</v>
      </c>
      <c r="E5271" s="5">
        <v>1</v>
      </c>
      <c r="F5271" s="5">
        <v>1</v>
      </c>
      <c r="G5271" s="6" t="s">
        <v>36</v>
      </c>
      <c r="H5271" s="4">
        <v>129.82</v>
      </c>
      <c r="I5271" s="7">
        <v>37.93</v>
      </c>
      <c r="J5271" s="3" t="s">
        <v>521</v>
      </c>
      <c r="K5271" s="9" t="s">
        <v>36</v>
      </c>
      <c r="L5271" s="6" t="s">
        <v>36</v>
      </c>
      <c r="M5271" s="3" t="s">
        <v>36</v>
      </c>
      <c r="N5271" s="3" t="s">
        <v>36</v>
      </c>
      <c r="O5271" s="8" t="s">
        <v>36</v>
      </c>
      <c r="P5271" s="3" t="s">
        <v>36</v>
      </c>
      <c r="Q5271" s="3" t="s">
        <v>36</v>
      </c>
      <c r="R5271" s="3" t="s">
        <v>36</v>
      </c>
      <c r="S5271" s="3" t="s">
        <v>8864</v>
      </c>
      <c r="T5271" s="3" t="s">
        <v>2529</v>
      </c>
      <c r="U5271" s="3" t="s">
        <v>219</v>
      </c>
      <c r="V5271" s="3" t="s">
        <v>75</v>
      </c>
      <c r="W5271" s="3" t="s">
        <v>8865</v>
      </c>
      <c r="X5271" s="10" t="s">
        <v>24985</v>
      </c>
      <c r="Y5271" s="6" t="s">
        <v>108</v>
      </c>
      <c r="Z5271" s="4">
        <v>4.13</v>
      </c>
      <c r="AA5271" s="4">
        <v>9.4</v>
      </c>
      <c r="AB5271" s="3" t="s">
        <v>43</v>
      </c>
      <c r="AC5271" s="3" t="s">
        <v>8867</v>
      </c>
      <c r="AD5271" s="9">
        <v>43286</v>
      </c>
      <c r="AE5271" s="3" t="s">
        <v>243</v>
      </c>
      <c r="AF5271" s="3" t="s">
        <v>8868</v>
      </c>
      <c r="AG5271" s="3" t="s">
        <v>2542</v>
      </c>
      <c r="AH5271" s="11">
        <f>HYPERLINK("https://my.pitchbook.com?c=111528-01T","View Company Online")</f>
      </c>
    </row>
    <row r="5272">
      <c r="A5272" s="12" t="s">
        <v>24986</v>
      </c>
      <c r="B5272" s="12" t="s">
        <v>5588</v>
      </c>
      <c r="C5272" s="19" t="s">
        <v>36</v>
      </c>
      <c r="D5272" s="19" t="s">
        <v>36</v>
      </c>
      <c r="E5272" s="19" t="s">
        <v>36</v>
      </c>
      <c r="F5272" s="19" t="s">
        <v>36</v>
      </c>
      <c r="G5272" s="15" t="s">
        <v>36</v>
      </c>
      <c r="H5272" s="14">
        <v>6057.96</v>
      </c>
      <c r="I5272" s="18">
        <v>17.01</v>
      </c>
      <c r="J5272" s="12" t="s">
        <v>521</v>
      </c>
      <c r="K5272" s="13" t="s">
        <v>36</v>
      </c>
      <c r="L5272" s="15" t="s">
        <v>122</v>
      </c>
      <c r="M5272" s="12" t="s">
        <v>36</v>
      </c>
      <c r="N5272" s="12" t="s">
        <v>122</v>
      </c>
      <c r="O5272" s="17" t="s">
        <v>36</v>
      </c>
      <c r="P5272" s="12" t="s">
        <v>36</v>
      </c>
      <c r="Q5272" s="12" t="s">
        <v>36</v>
      </c>
      <c r="R5272" s="12" t="s">
        <v>36</v>
      </c>
      <c r="S5272" s="12" t="s">
        <v>36</v>
      </c>
      <c r="T5272" s="12" t="s">
        <v>5589</v>
      </c>
      <c r="U5272" s="12" t="s">
        <v>38</v>
      </c>
      <c r="V5272" s="12" t="s">
        <v>39</v>
      </c>
      <c r="W5272" s="12" t="s">
        <v>5590</v>
      </c>
      <c r="X5272" s="16" t="s">
        <v>24987</v>
      </c>
      <c r="Y5272" s="15" t="s">
        <v>42</v>
      </c>
      <c r="Z5272" s="14">
        <v>1.17</v>
      </c>
      <c r="AA5272" s="14">
        <v>4.92</v>
      </c>
      <c r="AB5272" s="12" t="s">
        <v>43</v>
      </c>
      <c r="AC5272" s="12" t="s">
        <v>5592</v>
      </c>
      <c r="AD5272" s="13">
        <v>43286</v>
      </c>
      <c r="AE5272" s="12" t="s">
        <v>110</v>
      </c>
      <c r="AF5272" s="12" t="s">
        <v>2409</v>
      </c>
      <c r="AG5272" s="12" t="s">
        <v>81</v>
      </c>
      <c r="AH5272" s="1">
        <f>HYPERLINK("https://my.pitchbook.com?c=100658-98T","View Company Online")</f>
      </c>
    </row>
    <row r="5273">
      <c r="A5273" s="3" t="s">
        <v>24988</v>
      </c>
      <c r="B5273" s="3" t="s">
        <v>11079</v>
      </c>
      <c r="C5273" s="5" t="s">
        <v>36</v>
      </c>
      <c r="D5273" s="5" t="s">
        <v>36</v>
      </c>
      <c r="E5273" s="5" t="s">
        <v>36</v>
      </c>
      <c r="F5273" s="5" t="s">
        <v>36</v>
      </c>
      <c r="G5273" s="6" t="s">
        <v>326</v>
      </c>
      <c r="H5273" s="4">
        <v>2213.19</v>
      </c>
      <c r="I5273" s="7">
        <v>23.38</v>
      </c>
      <c r="J5273" s="3" t="s">
        <v>521</v>
      </c>
      <c r="K5273" s="9">
        <v>43249</v>
      </c>
      <c r="L5273" s="6" t="s">
        <v>36</v>
      </c>
      <c r="M5273" s="3" t="s">
        <v>36</v>
      </c>
      <c r="N5273" s="3" t="s">
        <v>36</v>
      </c>
      <c r="O5273" s="8" t="s">
        <v>36</v>
      </c>
      <c r="P5273" s="3" t="s">
        <v>36</v>
      </c>
      <c r="Q5273" s="3" t="s">
        <v>36</v>
      </c>
      <c r="R5273" s="3" t="s">
        <v>36</v>
      </c>
      <c r="S5273" s="3" t="s">
        <v>36</v>
      </c>
      <c r="T5273" s="3" t="s">
        <v>522</v>
      </c>
      <c r="U5273" s="3" t="s">
        <v>38</v>
      </c>
      <c r="V5273" s="3" t="s">
        <v>39</v>
      </c>
      <c r="W5273" s="3" t="s">
        <v>11080</v>
      </c>
      <c r="X5273" s="10" t="s">
        <v>20754</v>
      </c>
      <c r="Y5273" s="6" t="s">
        <v>108</v>
      </c>
      <c r="Z5273" s="4">
        <v>1.01</v>
      </c>
      <c r="AA5273" s="4">
        <v>4.31</v>
      </c>
      <c r="AB5273" s="3" t="s">
        <v>43</v>
      </c>
      <c r="AC5273" s="3" t="s">
        <v>11082</v>
      </c>
      <c r="AD5273" s="9">
        <v>43285</v>
      </c>
      <c r="AE5273" s="3" t="s">
        <v>110</v>
      </c>
      <c r="AF5273" s="3" t="s">
        <v>176</v>
      </c>
      <c r="AG5273" s="3" t="s">
        <v>2760</v>
      </c>
      <c r="AH5273" s="11">
        <f>HYPERLINK("https://my.pitchbook.com?c=134014-87T","View Company Online")</f>
      </c>
    </row>
    <row r="5274">
      <c r="A5274" s="12" t="s">
        <v>24989</v>
      </c>
      <c r="B5274" s="12" t="s">
        <v>21110</v>
      </c>
      <c r="C5274" s="19" t="s">
        <v>36</v>
      </c>
      <c r="D5274" s="19" t="s">
        <v>36</v>
      </c>
      <c r="E5274" s="19" t="s">
        <v>36</v>
      </c>
      <c r="F5274" s="19" t="s">
        <v>36</v>
      </c>
      <c r="G5274" s="15" t="s">
        <v>36</v>
      </c>
      <c r="H5274" s="14">
        <v>13.83</v>
      </c>
      <c r="I5274" s="18">
        <v>38.22</v>
      </c>
      <c r="J5274" s="12" t="s">
        <v>521</v>
      </c>
      <c r="K5274" s="13" t="s">
        <v>36</v>
      </c>
      <c r="L5274" s="15" t="s">
        <v>122</v>
      </c>
      <c r="M5274" s="12" t="s">
        <v>36</v>
      </c>
      <c r="N5274" s="12" t="s">
        <v>122</v>
      </c>
      <c r="O5274" s="17" t="s">
        <v>36</v>
      </c>
      <c r="P5274" s="12" t="s">
        <v>36</v>
      </c>
      <c r="Q5274" s="12" t="s">
        <v>36</v>
      </c>
      <c r="R5274" s="12" t="s">
        <v>36</v>
      </c>
      <c r="S5274" s="12" t="s">
        <v>36</v>
      </c>
      <c r="T5274" s="12" t="s">
        <v>2925</v>
      </c>
      <c r="U5274" s="12" t="s">
        <v>38</v>
      </c>
      <c r="V5274" s="12" t="s">
        <v>39</v>
      </c>
      <c r="W5274" s="12" t="s">
        <v>21111</v>
      </c>
      <c r="X5274" s="16" t="s">
        <v>24990</v>
      </c>
      <c r="Y5274" s="15" t="s">
        <v>108</v>
      </c>
      <c r="Z5274" s="14">
        <v>7.5</v>
      </c>
      <c r="AA5274" s="14">
        <v>19.63</v>
      </c>
      <c r="AB5274" s="12" t="s">
        <v>56</v>
      </c>
      <c r="AC5274" s="12" t="s">
        <v>21113</v>
      </c>
      <c r="AD5274" s="13">
        <v>43285</v>
      </c>
      <c r="AE5274" s="12" t="s">
        <v>110</v>
      </c>
      <c r="AF5274" s="12" t="s">
        <v>21114</v>
      </c>
      <c r="AG5274" s="12" t="s">
        <v>924</v>
      </c>
      <c r="AH5274" s="1">
        <f>HYPERLINK("https://my.pitchbook.com?c=109048-42T","View Company Online")</f>
      </c>
    </row>
    <row r="5275">
      <c r="A5275" s="3" t="s">
        <v>24991</v>
      </c>
      <c r="B5275" s="3" t="s">
        <v>24992</v>
      </c>
      <c r="C5275" s="5" t="s">
        <v>36</v>
      </c>
      <c r="D5275" s="5" t="s">
        <v>36</v>
      </c>
      <c r="E5275" s="5" t="s">
        <v>36</v>
      </c>
      <c r="F5275" s="5" t="s">
        <v>36</v>
      </c>
      <c r="G5275" s="6" t="s">
        <v>36</v>
      </c>
      <c r="H5275" s="4" t="s">
        <v>36</v>
      </c>
      <c r="I5275" s="7" t="s">
        <v>36</v>
      </c>
      <c r="J5275" s="3" t="s">
        <v>36</v>
      </c>
      <c r="K5275" s="9" t="s">
        <v>36</v>
      </c>
      <c r="L5275" s="6" t="s">
        <v>122</v>
      </c>
      <c r="M5275" s="3" t="s">
        <v>36</v>
      </c>
      <c r="N5275" s="3" t="s">
        <v>122</v>
      </c>
      <c r="O5275" s="8" t="s">
        <v>36</v>
      </c>
      <c r="P5275" s="3" t="s">
        <v>36</v>
      </c>
      <c r="Q5275" s="3" t="s">
        <v>36</v>
      </c>
      <c r="R5275" s="3" t="s">
        <v>36</v>
      </c>
      <c r="S5275" s="3" t="s">
        <v>36</v>
      </c>
      <c r="T5275" s="3" t="s">
        <v>24993</v>
      </c>
      <c r="U5275" s="3" t="s">
        <v>74</v>
      </c>
      <c r="V5275" s="3" t="s">
        <v>75</v>
      </c>
      <c r="W5275" s="3" t="s">
        <v>24994</v>
      </c>
      <c r="X5275" s="10" t="s">
        <v>24995</v>
      </c>
      <c r="Y5275" s="6" t="s">
        <v>42</v>
      </c>
      <c r="Z5275" s="4">
        <v>5.83</v>
      </c>
      <c r="AA5275" s="4" t="s">
        <v>36</v>
      </c>
      <c r="AB5275" s="3" t="s">
        <v>43</v>
      </c>
      <c r="AC5275" s="3" t="s">
        <v>24996</v>
      </c>
      <c r="AD5275" s="9">
        <v>43284</v>
      </c>
      <c r="AE5275" s="3" t="s">
        <v>362</v>
      </c>
      <c r="AF5275" s="3" t="s">
        <v>9664</v>
      </c>
      <c r="AG5275" s="3" t="s">
        <v>81</v>
      </c>
      <c r="AH5275" s="11">
        <f>HYPERLINK("https://my.pitchbook.com?c=111310-66T","View Company Online")</f>
      </c>
    </row>
    <row r="5276">
      <c r="A5276" s="12" t="s">
        <v>24997</v>
      </c>
      <c r="B5276" s="12" t="s">
        <v>24998</v>
      </c>
      <c r="C5276" s="19" t="s">
        <v>36</v>
      </c>
      <c r="D5276" s="19" t="s">
        <v>36</v>
      </c>
      <c r="E5276" s="19" t="s">
        <v>36</v>
      </c>
      <c r="F5276" s="19" t="s">
        <v>36</v>
      </c>
      <c r="G5276" s="15" t="s">
        <v>36</v>
      </c>
      <c r="H5276" s="14">
        <v>311.57</v>
      </c>
      <c r="I5276" s="18">
        <v>33.58</v>
      </c>
      <c r="J5276" s="12" t="s">
        <v>521</v>
      </c>
      <c r="K5276" s="13" t="s">
        <v>36</v>
      </c>
      <c r="L5276" s="15" t="s">
        <v>122</v>
      </c>
      <c r="M5276" s="12" t="s">
        <v>36</v>
      </c>
      <c r="N5276" s="12" t="s">
        <v>122</v>
      </c>
      <c r="O5276" s="17" t="s">
        <v>36</v>
      </c>
      <c r="P5276" s="12" t="s">
        <v>36</v>
      </c>
      <c r="Q5276" s="12" t="s">
        <v>36</v>
      </c>
      <c r="R5276" s="12" t="s">
        <v>36</v>
      </c>
      <c r="S5276" s="12" t="s">
        <v>36</v>
      </c>
      <c r="T5276" s="12" t="s">
        <v>24999</v>
      </c>
      <c r="U5276" s="12" t="s">
        <v>366</v>
      </c>
      <c r="V5276" s="12" t="s">
        <v>367</v>
      </c>
      <c r="W5276" s="12" t="s">
        <v>25000</v>
      </c>
      <c r="X5276" s="16" t="s">
        <v>25001</v>
      </c>
      <c r="Y5276" s="15" t="s">
        <v>42</v>
      </c>
      <c r="Z5276" s="14">
        <v>1.77</v>
      </c>
      <c r="AA5276" s="14">
        <v>5.27</v>
      </c>
      <c r="AB5276" s="12" t="s">
        <v>56</v>
      </c>
      <c r="AC5276" s="12" t="s">
        <v>25002</v>
      </c>
      <c r="AD5276" s="13">
        <v>43283</v>
      </c>
      <c r="AE5276" s="12" t="s">
        <v>600</v>
      </c>
      <c r="AF5276" s="12" t="s">
        <v>1340</v>
      </c>
      <c r="AG5276" s="12" t="s">
        <v>25003</v>
      </c>
      <c r="AH5276" s="1">
        <f>HYPERLINK("https://my.pitchbook.com?c=112156-93T","View Company Online")</f>
      </c>
    </row>
    <row r="5277">
      <c r="A5277" s="3" t="s">
        <v>25004</v>
      </c>
      <c r="B5277" s="3" t="s">
        <v>25005</v>
      </c>
      <c r="C5277" s="5" t="s">
        <v>36</v>
      </c>
      <c r="D5277" s="5" t="s">
        <v>36</v>
      </c>
      <c r="E5277" s="5" t="s">
        <v>36</v>
      </c>
      <c r="F5277" s="5" t="s">
        <v>36</v>
      </c>
      <c r="G5277" s="6" t="s">
        <v>36</v>
      </c>
      <c r="H5277" s="4">
        <v>366.66</v>
      </c>
      <c r="I5277" s="7">
        <v>24.99</v>
      </c>
      <c r="J5277" s="3" t="s">
        <v>521</v>
      </c>
      <c r="K5277" s="9" t="s">
        <v>36</v>
      </c>
      <c r="L5277" s="6" t="s">
        <v>36</v>
      </c>
      <c r="M5277" s="3" t="s">
        <v>36</v>
      </c>
      <c r="N5277" s="3" t="s">
        <v>36</v>
      </c>
      <c r="O5277" s="8" t="s">
        <v>36</v>
      </c>
      <c r="P5277" s="3" t="s">
        <v>36</v>
      </c>
      <c r="Q5277" s="3" t="s">
        <v>36</v>
      </c>
      <c r="R5277" s="3" t="s">
        <v>36</v>
      </c>
      <c r="S5277" s="3" t="s">
        <v>1461</v>
      </c>
      <c r="T5277" s="3" t="s">
        <v>25006</v>
      </c>
      <c r="U5277" s="3" t="s">
        <v>38</v>
      </c>
      <c r="V5277" s="3" t="s">
        <v>39</v>
      </c>
      <c r="W5277" s="3" t="s">
        <v>25007</v>
      </c>
      <c r="X5277" s="10" t="s">
        <v>23669</v>
      </c>
      <c r="Y5277" s="6" t="s">
        <v>42</v>
      </c>
      <c r="Z5277" s="4">
        <v>0.47</v>
      </c>
      <c r="AA5277" s="4">
        <v>1.87</v>
      </c>
      <c r="AB5277" s="3" t="s">
        <v>56</v>
      </c>
      <c r="AC5277" s="3" t="s">
        <v>25008</v>
      </c>
      <c r="AD5277" s="9">
        <v>43283</v>
      </c>
      <c r="AE5277" s="3" t="s">
        <v>110</v>
      </c>
      <c r="AF5277" s="3" t="s">
        <v>25009</v>
      </c>
      <c r="AG5277" s="3" t="s">
        <v>186</v>
      </c>
      <c r="AH5277" s="11">
        <f>HYPERLINK("https://my.pitchbook.com?c=123004-45T","View Company Online")</f>
      </c>
    </row>
    <row r="5278">
      <c r="A5278" s="12" t="s">
        <v>25010</v>
      </c>
      <c r="B5278" s="12" t="s">
        <v>25011</v>
      </c>
      <c r="C5278" s="19" t="s">
        <v>36</v>
      </c>
      <c r="D5278" s="19" t="s">
        <v>36</v>
      </c>
      <c r="E5278" s="19" t="s">
        <v>36</v>
      </c>
      <c r="F5278" s="19" t="s">
        <v>36</v>
      </c>
      <c r="G5278" s="15" t="s">
        <v>326</v>
      </c>
      <c r="H5278" s="14">
        <v>14.85</v>
      </c>
      <c r="I5278" s="18">
        <v>23.69</v>
      </c>
      <c r="J5278" s="12" t="s">
        <v>521</v>
      </c>
      <c r="K5278" s="13">
        <v>43278</v>
      </c>
      <c r="L5278" s="15" t="s">
        <v>36</v>
      </c>
      <c r="M5278" s="12" t="s">
        <v>36</v>
      </c>
      <c r="N5278" s="12" t="s">
        <v>36</v>
      </c>
      <c r="O5278" s="17" t="s">
        <v>36</v>
      </c>
      <c r="P5278" s="12" t="s">
        <v>36</v>
      </c>
      <c r="Q5278" s="12" t="s">
        <v>36</v>
      </c>
      <c r="R5278" s="12" t="s">
        <v>36</v>
      </c>
      <c r="S5278" s="12" t="s">
        <v>36</v>
      </c>
      <c r="T5278" s="12" t="s">
        <v>25012</v>
      </c>
      <c r="U5278" s="12" t="s">
        <v>38</v>
      </c>
      <c r="V5278" s="12" t="s">
        <v>39</v>
      </c>
      <c r="W5278" s="12" t="s">
        <v>25013</v>
      </c>
      <c r="X5278" s="16" t="s">
        <v>25014</v>
      </c>
      <c r="Y5278" s="15" t="s">
        <v>108</v>
      </c>
      <c r="Z5278" s="14">
        <v>2.57</v>
      </c>
      <c r="AA5278" s="14">
        <v>5.42</v>
      </c>
      <c r="AB5278" s="12" t="s">
        <v>56</v>
      </c>
      <c r="AC5278" s="12" t="s">
        <v>25015</v>
      </c>
      <c r="AD5278" s="13">
        <v>43283</v>
      </c>
      <c r="AE5278" s="12" t="s">
        <v>110</v>
      </c>
      <c r="AF5278" s="12" t="s">
        <v>25016</v>
      </c>
      <c r="AG5278" s="12" t="s">
        <v>81</v>
      </c>
      <c r="AH5278" s="1">
        <f>HYPERLINK("https://my.pitchbook.com?c=122796-19T","View Company Online")</f>
      </c>
    </row>
    <row r="5279">
      <c r="A5279" s="3" t="s">
        <v>25017</v>
      </c>
      <c r="B5279" s="3" t="s">
        <v>13248</v>
      </c>
      <c r="C5279" s="5" t="s">
        <v>36</v>
      </c>
      <c r="D5279" s="5" t="s">
        <v>36</v>
      </c>
      <c r="E5279" s="5" t="s">
        <v>36</v>
      </c>
      <c r="F5279" s="5" t="s">
        <v>36</v>
      </c>
      <c r="G5279" s="6" t="s">
        <v>326</v>
      </c>
      <c r="H5279" s="4">
        <v>43.57</v>
      </c>
      <c r="I5279" s="7">
        <v>27.96</v>
      </c>
      <c r="J5279" s="3" t="s">
        <v>521</v>
      </c>
      <c r="K5279" s="9" t="s">
        <v>36</v>
      </c>
      <c r="L5279" s="6" t="s">
        <v>36</v>
      </c>
      <c r="M5279" s="3" t="s">
        <v>36</v>
      </c>
      <c r="N5279" s="3" t="s">
        <v>36</v>
      </c>
      <c r="O5279" s="8" t="s">
        <v>36</v>
      </c>
      <c r="P5279" s="3" t="s">
        <v>36</v>
      </c>
      <c r="Q5279" s="3" t="s">
        <v>36</v>
      </c>
      <c r="R5279" s="3" t="s">
        <v>36</v>
      </c>
      <c r="S5279" s="3" t="s">
        <v>36</v>
      </c>
      <c r="T5279" s="3" t="s">
        <v>13249</v>
      </c>
      <c r="U5279" s="3" t="s">
        <v>74</v>
      </c>
      <c r="V5279" s="3" t="s">
        <v>75</v>
      </c>
      <c r="W5279" s="3" t="s">
        <v>13250</v>
      </c>
      <c r="X5279" s="10" t="s">
        <v>25018</v>
      </c>
      <c r="Y5279" s="6" t="s">
        <v>42</v>
      </c>
      <c r="Z5279" s="4">
        <v>2.16</v>
      </c>
      <c r="AA5279" s="4">
        <v>7.72</v>
      </c>
      <c r="AB5279" s="3" t="s">
        <v>43</v>
      </c>
      <c r="AC5279" s="3" t="s">
        <v>13252</v>
      </c>
      <c r="AD5279" s="9">
        <v>43282</v>
      </c>
      <c r="AE5279" s="3" t="s">
        <v>3144</v>
      </c>
      <c r="AF5279" s="3" t="s">
        <v>168</v>
      </c>
      <c r="AG5279" s="3" t="s">
        <v>81</v>
      </c>
      <c r="AH5279" s="11">
        <f>HYPERLINK("https://my.pitchbook.com?c=116620-30T","View Company Online")</f>
      </c>
    </row>
    <row r="5280">
      <c r="A5280" s="12" t="s">
        <v>25019</v>
      </c>
      <c r="B5280" s="12" t="s">
        <v>25020</v>
      </c>
      <c r="C5280" s="19" t="s">
        <v>36</v>
      </c>
      <c r="D5280" s="19">
        <v>20</v>
      </c>
      <c r="E5280" s="19">
        <v>11</v>
      </c>
      <c r="F5280" s="19">
        <v>21</v>
      </c>
      <c r="G5280" s="15" t="s">
        <v>683</v>
      </c>
      <c r="H5280" s="14">
        <v>41.54</v>
      </c>
      <c r="I5280" s="18">
        <v>41.6</v>
      </c>
      <c r="J5280" s="12" t="s">
        <v>521</v>
      </c>
      <c r="K5280" s="13" t="s">
        <v>36</v>
      </c>
      <c r="L5280" s="15" t="s">
        <v>36</v>
      </c>
      <c r="M5280" s="12" t="s">
        <v>36</v>
      </c>
      <c r="N5280" s="12" t="s">
        <v>36</v>
      </c>
      <c r="O5280" s="17" t="s">
        <v>36</v>
      </c>
      <c r="P5280" s="12" t="s">
        <v>36</v>
      </c>
      <c r="Q5280" s="12" t="s">
        <v>36</v>
      </c>
      <c r="R5280" s="12" t="s">
        <v>36</v>
      </c>
      <c r="S5280" s="12" t="s">
        <v>36</v>
      </c>
      <c r="T5280" s="12" t="s">
        <v>3462</v>
      </c>
      <c r="U5280" s="12" t="s">
        <v>219</v>
      </c>
      <c r="V5280" s="12" t="s">
        <v>75</v>
      </c>
      <c r="W5280" s="12" t="s">
        <v>25021</v>
      </c>
      <c r="X5280" s="16" t="s">
        <v>820</v>
      </c>
      <c r="Y5280" s="15" t="s">
        <v>42</v>
      </c>
      <c r="Z5280" s="14">
        <v>1.41</v>
      </c>
      <c r="AA5280" s="14">
        <v>3.37</v>
      </c>
      <c r="AB5280" s="12" t="s">
        <v>56</v>
      </c>
      <c r="AC5280" s="12" t="s">
        <v>25022</v>
      </c>
      <c r="AD5280" s="13">
        <v>43282</v>
      </c>
      <c r="AE5280" s="12" t="s">
        <v>223</v>
      </c>
      <c r="AF5280" s="12" t="s">
        <v>90</v>
      </c>
      <c r="AG5280" s="12" t="s">
        <v>25023</v>
      </c>
      <c r="AH5280" s="1">
        <f>HYPERLINK("https://my.pitchbook.com?c=118226-35T","View Company Online")</f>
      </c>
    </row>
    <row r="5281">
      <c r="A5281" s="3" t="s">
        <v>25024</v>
      </c>
      <c r="B5281" s="3" t="s">
        <v>25025</v>
      </c>
      <c r="C5281" s="5" t="s">
        <v>36</v>
      </c>
      <c r="D5281" s="5" t="s">
        <v>36</v>
      </c>
      <c r="E5281" s="5" t="s">
        <v>36</v>
      </c>
      <c r="F5281" s="5" t="s">
        <v>36</v>
      </c>
      <c r="G5281" s="6" t="s">
        <v>36</v>
      </c>
      <c r="H5281" s="4" t="s">
        <v>36</v>
      </c>
      <c r="I5281" s="7" t="s">
        <v>36</v>
      </c>
      <c r="J5281" s="3" t="s">
        <v>36</v>
      </c>
      <c r="K5281" s="9" t="s">
        <v>36</v>
      </c>
      <c r="L5281" s="6" t="s">
        <v>36</v>
      </c>
      <c r="M5281" s="3" t="s">
        <v>36</v>
      </c>
      <c r="N5281" s="3" t="s">
        <v>36</v>
      </c>
      <c r="O5281" s="8" t="s">
        <v>36</v>
      </c>
      <c r="P5281" s="3" t="s">
        <v>36</v>
      </c>
      <c r="Q5281" s="3" t="s">
        <v>36</v>
      </c>
      <c r="R5281" s="3" t="s">
        <v>36</v>
      </c>
      <c r="S5281" s="3" t="s">
        <v>36</v>
      </c>
      <c r="T5281" s="3" t="s">
        <v>1884</v>
      </c>
      <c r="U5281" s="3" t="s">
        <v>74</v>
      </c>
      <c r="V5281" s="3" t="s">
        <v>75</v>
      </c>
      <c r="W5281" s="3" t="s">
        <v>25026</v>
      </c>
      <c r="X5281" s="10" t="s">
        <v>25027</v>
      </c>
      <c r="Y5281" s="6" t="s">
        <v>42</v>
      </c>
      <c r="Z5281" s="4" t="s">
        <v>36</v>
      </c>
      <c r="AA5281" s="4" t="s">
        <v>36</v>
      </c>
      <c r="AB5281" s="3" t="s">
        <v>56</v>
      </c>
      <c r="AC5281" s="3" t="s">
        <v>25028</v>
      </c>
      <c r="AD5281" s="9">
        <v>43282</v>
      </c>
      <c r="AE5281" s="3" t="s">
        <v>1888</v>
      </c>
      <c r="AF5281" s="3" t="s">
        <v>546</v>
      </c>
      <c r="AG5281" s="3" t="s">
        <v>25029</v>
      </c>
      <c r="AH5281" s="11">
        <f>HYPERLINK("https://my.pitchbook.com?c=109679-23T","View Company Online")</f>
      </c>
    </row>
    <row r="5282">
      <c r="A5282" s="12" t="s">
        <v>25030</v>
      </c>
      <c r="B5282" s="12" t="s">
        <v>6816</v>
      </c>
      <c r="C5282" s="19">
        <v>13</v>
      </c>
      <c r="D5282" s="19">
        <v>27</v>
      </c>
      <c r="E5282" s="19">
        <v>7</v>
      </c>
      <c r="F5282" s="19">
        <v>41</v>
      </c>
      <c r="G5282" s="15" t="s">
        <v>326</v>
      </c>
      <c r="H5282" s="14">
        <v>126.56</v>
      </c>
      <c r="I5282" s="18">
        <v>37.78</v>
      </c>
      <c r="J5282" s="12" t="s">
        <v>521</v>
      </c>
      <c r="K5282" s="13">
        <v>43282</v>
      </c>
      <c r="L5282" s="15" t="s">
        <v>36</v>
      </c>
      <c r="M5282" s="12" t="s">
        <v>36</v>
      </c>
      <c r="N5282" s="12" t="s">
        <v>36</v>
      </c>
      <c r="O5282" s="17" t="s">
        <v>36</v>
      </c>
      <c r="P5282" s="12" t="s">
        <v>36</v>
      </c>
      <c r="Q5282" s="12" t="s">
        <v>36</v>
      </c>
      <c r="R5282" s="12" t="s">
        <v>36</v>
      </c>
      <c r="S5282" s="12" t="s">
        <v>36</v>
      </c>
      <c r="T5282" s="12" t="s">
        <v>881</v>
      </c>
      <c r="U5282" s="12" t="s">
        <v>51</v>
      </c>
      <c r="V5282" s="12" t="s">
        <v>52</v>
      </c>
      <c r="W5282" s="12" t="s">
        <v>6817</v>
      </c>
      <c r="X5282" s="16" t="s">
        <v>25031</v>
      </c>
      <c r="Y5282" s="15" t="s">
        <v>108</v>
      </c>
      <c r="Z5282" s="14">
        <v>4.62</v>
      </c>
      <c r="AA5282" s="14">
        <v>12.24</v>
      </c>
      <c r="AB5282" s="12" t="s">
        <v>43</v>
      </c>
      <c r="AC5282" s="12" t="s">
        <v>6819</v>
      </c>
      <c r="AD5282" s="13">
        <v>43282</v>
      </c>
      <c r="AE5282" s="12" t="s">
        <v>504</v>
      </c>
      <c r="AF5282" s="12" t="s">
        <v>6820</v>
      </c>
      <c r="AG5282" s="12" t="s">
        <v>47</v>
      </c>
      <c r="AH5282" s="1">
        <f>HYPERLINK("https://my.pitchbook.com?c=113921-65T","View Company Online")</f>
      </c>
    </row>
    <row r="5283">
      <c r="A5283" s="3" t="s">
        <v>25032</v>
      </c>
      <c r="B5283" s="3" t="s">
        <v>25033</v>
      </c>
      <c r="C5283" s="5" t="s">
        <v>36</v>
      </c>
      <c r="D5283" s="5" t="s">
        <v>36</v>
      </c>
      <c r="E5283" s="5" t="s">
        <v>36</v>
      </c>
      <c r="F5283" s="5" t="s">
        <v>36</v>
      </c>
      <c r="G5283" s="6" t="s">
        <v>36</v>
      </c>
      <c r="H5283" s="4">
        <v>26.03</v>
      </c>
      <c r="I5283" s="7">
        <v>7.41</v>
      </c>
      <c r="J5283" s="3" t="s">
        <v>521</v>
      </c>
      <c r="K5283" s="9" t="s">
        <v>36</v>
      </c>
      <c r="L5283" s="6" t="s">
        <v>36</v>
      </c>
      <c r="M5283" s="3" t="s">
        <v>36</v>
      </c>
      <c r="N5283" s="3" t="s">
        <v>36</v>
      </c>
      <c r="O5283" s="8" t="s">
        <v>36</v>
      </c>
      <c r="P5283" s="3" t="s">
        <v>36</v>
      </c>
      <c r="Q5283" s="3" t="s">
        <v>36</v>
      </c>
      <c r="R5283" s="3" t="s">
        <v>36</v>
      </c>
      <c r="S5283" s="3" t="s">
        <v>36</v>
      </c>
      <c r="T5283" s="3" t="s">
        <v>105</v>
      </c>
      <c r="U5283" s="3" t="s">
        <v>38</v>
      </c>
      <c r="V5283" s="3" t="s">
        <v>39</v>
      </c>
      <c r="W5283" s="3" t="s">
        <v>25034</v>
      </c>
      <c r="X5283" s="10" t="s">
        <v>25035</v>
      </c>
      <c r="Y5283" s="6" t="s">
        <v>42</v>
      </c>
      <c r="Z5283" s="4">
        <v>0.14</v>
      </c>
      <c r="AA5283" s="4">
        <v>1.89</v>
      </c>
      <c r="AB5283" s="3" t="s">
        <v>43</v>
      </c>
      <c r="AC5283" s="3" t="s">
        <v>25036</v>
      </c>
      <c r="AD5283" s="9">
        <v>43281</v>
      </c>
      <c r="AE5283" s="3" t="s">
        <v>110</v>
      </c>
      <c r="AF5283" s="3" t="s">
        <v>1636</v>
      </c>
      <c r="AG5283" s="3" t="s">
        <v>81</v>
      </c>
      <c r="AH5283" s="11">
        <f>HYPERLINK("https://my.pitchbook.com?c=136805-86T","View Company Online")</f>
      </c>
    </row>
    <row r="5284">
      <c r="A5284" s="12" t="s">
        <v>25037</v>
      </c>
      <c r="B5284" s="12" t="s">
        <v>25038</v>
      </c>
      <c r="C5284" s="19" t="s">
        <v>36</v>
      </c>
      <c r="D5284" s="19" t="s">
        <v>36</v>
      </c>
      <c r="E5284" s="19" t="s">
        <v>36</v>
      </c>
      <c r="F5284" s="19" t="s">
        <v>36</v>
      </c>
      <c r="G5284" s="15" t="s">
        <v>36</v>
      </c>
      <c r="H5284" s="14" t="s">
        <v>36</v>
      </c>
      <c r="I5284" s="18" t="s">
        <v>36</v>
      </c>
      <c r="J5284" s="12" t="s">
        <v>36</v>
      </c>
      <c r="K5284" s="13" t="s">
        <v>36</v>
      </c>
      <c r="L5284" s="15" t="s">
        <v>122</v>
      </c>
      <c r="M5284" s="12" t="s">
        <v>36</v>
      </c>
      <c r="N5284" s="12" t="s">
        <v>122</v>
      </c>
      <c r="O5284" s="17" t="s">
        <v>36</v>
      </c>
      <c r="P5284" s="12" t="s">
        <v>36</v>
      </c>
      <c r="Q5284" s="12" t="s">
        <v>36</v>
      </c>
      <c r="R5284" s="12" t="s">
        <v>36</v>
      </c>
      <c r="S5284" s="12" t="s">
        <v>36</v>
      </c>
      <c r="T5284" s="12" t="s">
        <v>172</v>
      </c>
      <c r="U5284" s="12" t="s">
        <v>38</v>
      </c>
      <c r="V5284" s="12" t="s">
        <v>39</v>
      </c>
      <c r="W5284" s="12" t="s">
        <v>25039</v>
      </c>
      <c r="X5284" s="16" t="s">
        <v>25040</v>
      </c>
      <c r="Y5284" s="15" t="s">
        <v>108</v>
      </c>
      <c r="Z5284" s="14">
        <v>11.67</v>
      </c>
      <c r="AA5284" s="14" t="s">
        <v>36</v>
      </c>
      <c r="AB5284" s="12" t="s">
        <v>43</v>
      </c>
      <c r="AC5284" s="12" t="s">
        <v>25041</v>
      </c>
      <c r="AD5284" s="13">
        <v>43280</v>
      </c>
      <c r="AE5284" s="12" t="s">
        <v>110</v>
      </c>
      <c r="AF5284" s="12" t="s">
        <v>8607</v>
      </c>
      <c r="AG5284" s="12" t="s">
        <v>81</v>
      </c>
      <c r="AH5284" s="1">
        <f>HYPERLINK("https://my.pitchbook.com?c=108147-88T","View Company Online")</f>
      </c>
    </row>
    <row r="5285">
      <c r="A5285" s="3" t="s">
        <v>25042</v>
      </c>
      <c r="B5285" s="3" t="s">
        <v>25043</v>
      </c>
      <c r="C5285" s="5" t="s">
        <v>36</v>
      </c>
      <c r="D5285" s="5">
        <v>7</v>
      </c>
      <c r="E5285" s="5">
        <v>2</v>
      </c>
      <c r="F5285" s="5">
        <v>11</v>
      </c>
      <c r="G5285" s="6" t="s">
        <v>36</v>
      </c>
      <c r="H5285" s="4">
        <v>127.74</v>
      </c>
      <c r="I5285" s="7">
        <v>4.84</v>
      </c>
      <c r="J5285" s="3" t="s">
        <v>521</v>
      </c>
      <c r="K5285" s="9" t="s">
        <v>36</v>
      </c>
      <c r="L5285" s="6" t="s">
        <v>36</v>
      </c>
      <c r="M5285" s="3" t="s">
        <v>36</v>
      </c>
      <c r="N5285" s="3" t="s">
        <v>36</v>
      </c>
      <c r="O5285" s="8" t="s">
        <v>36</v>
      </c>
      <c r="P5285" s="3" t="s">
        <v>36</v>
      </c>
      <c r="Q5285" s="3" t="s">
        <v>36</v>
      </c>
      <c r="R5285" s="3" t="s">
        <v>36</v>
      </c>
      <c r="S5285" s="3" t="s">
        <v>36</v>
      </c>
      <c r="T5285" s="3" t="s">
        <v>2736</v>
      </c>
      <c r="U5285" s="3" t="s">
        <v>51</v>
      </c>
      <c r="V5285" s="3" t="s">
        <v>52</v>
      </c>
      <c r="W5285" s="3" t="s">
        <v>25044</v>
      </c>
      <c r="X5285" s="10" t="s">
        <v>20888</v>
      </c>
      <c r="Y5285" s="6" t="s">
        <v>55</v>
      </c>
      <c r="Z5285" s="4">
        <v>0.12</v>
      </c>
      <c r="AA5285" s="4">
        <v>2.41</v>
      </c>
      <c r="AB5285" s="3" t="s">
        <v>56</v>
      </c>
      <c r="AC5285" s="3" t="s">
        <v>25045</v>
      </c>
      <c r="AD5285" s="9">
        <v>43280</v>
      </c>
      <c r="AE5285" s="3" t="s">
        <v>2740</v>
      </c>
      <c r="AF5285" s="3" t="s">
        <v>159</v>
      </c>
      <c r="AG5285" s="3" t="s">
        <v>3823</v>
      </c>
      <c r="AH5285" s="11">
        <f>HYPERLINK("https://my.pitchbook.com?c=153658-09T","View Company Online")</f>
      </c>
    </row>
    <row r="5286">
      <c r="A5286" s="12" t="s">
        <v>25046</v>
      </c>
      <c r="B5286" s="12" t="s">
        <v>1089</v>
      </c>
      <c r="C5286" s="19">
        <v>10</v>
      </c>
      <c r="D5286" s="19">
        <v>6</v>
      </c>
      <c r="E5286" s="19">
        <v>6</v>
      </c>
      <c r="F5286" s="19">
        <v>16</v>
      </c>
      <c r="G5286" s="15" t="s">
        <v>326</v>
      </c>
      <c r="H5286" s="14">
        <v>174.51</v>
      </c>
      <c r="I5286" s="18">
        <v>31.78</v>
      </c>
      <c r="J5286" s="12" t="s">
        <v>521</v>
      </c>
      <c r="K5286" s="13" t="s">
        <v>36</v>
      </c>
      <c r="L5286" s="15" t="s">
        <v>94</v>
      </c>
      <c r="M5286" s="12" t="s">
        <v>36</v>
      </c>
      <c r="N5286" s="12" t="s">
        <v>94</v>
      </c>
      <c r="O5286" s="17" t="s">
        <v>36</v>
      </c>
      <c r="P5286" s="12" t="s">
        <v>36</v>
      </c>
      <c r="Q5286" s="12" t="s">
        <v>36</v>
      </c>
      <c r="R5286" s="12" t="s">
        <v>36</v>
      </c>
      <c r="S5286" s="12" t="s">
        <v>565</v>
      </c>
      <c r="T5286" s="12" t="s">
        <v>1090</v>
      </c>
      <c r="U5286" s="12" t="s">
        <v>1091</v>
      </c>
      <c r="V5286" s="12" t="s">
        <v>378</v>
      </c>
      <c r="W5286" s="12" t="s">
        <v>1092</v>
      </c>
      <c r="X5286" s="16" t="s">
        <v>25047</v>
      </c>
      <c r="Y5286" s="15" t="s">
        <v>108</v>
      </c>
      <c r="Z5286" s="14">
        <v>5.52</v>
      </c>
      <c r="AA5286" s="14">
        <v>17.38</v>
      </c>
      <c r="AB5286" s="12" t="s">
        <v>43</v>
      </c>
      <c r="AC5286" s="12" t="s">
        <v>1094</v>
      </c>
      <c r="AD5286" s="13">
        <v>43280</v>
      </c>
      <c r="AE5286" s="12" t="s">
        <v>1095</v>
      </c>
      <c r="AF5286" s="12" t="s">
        <v>1096</v>
      </c>
      <c r="AG5286" s="12" t="s">
        <v>1097</v>
      </c>
      <c r="AH5286" s="1">
        <f>HYPERLINK("https://my.pitchbook.com?c=110968-66T","View Company Online")</f>
      </c>
    </row>
    <row r="5287">
      <c r="A5287" s="3" t="s">
        <v>25048</v>
      </c>
      <c r="B5287" s="3" t="s">
        <v>25049</v>
      </c>
      <c r="C5287" s="5" t="s">
        <v>36</v>
      </c>
      <c r="D5287" s="5" t="s">
        <v>36</v>
      </c>
      <c r="E5287" s="5" t="s">
        <v>36</v>
      </c>
      <c r="F5287" s="5" t="s">
        <v>36</v>
      </c>
      <c r="G5287" s="6" t="s">
        <v>36</v>
      </c>
      <c r="H5287" s="4">
        <v>88.45</v>
      </c>
      <c r="I5287" s="7">
        <v>35.81</v>
      </c>
      <c r="J5287" s="3" t="s">
        <v>327</v>
      </c>
      <c r="K5287" s="9">
        <v>43008</v>
      </c>
      <c r="L5287" s="6" t="s">
        <v>36</v>
      </c>
      <c r="M5287" s="3" t="s">
        <v>36</v>
      </c>
      <c r="N5287" s="3" t="s">
        <v>36</v>
      </c>
      <c r="O5287" s="8" t="s">
        <v>36</v>
      </c>
      <c r="P5287" s="3" t="s">
        <v>36</v>
      </c>
      <c r="Q5287" s="3" t="s">
        <v>36</v>
      </c>
      <c r="R5287" s="3" t="s">
        <v>36</v>
      </c>
      <c r="S5287" s="3" t="s">
        <v>36</v>
      </c>
      <c r="T5287" s="3" t="s">
        <v>25050</v>
      </c>
      <c r="U5287" s="3" t="s">
        <v>38</v>
      </c>
      <c r="V5287" s="3" t="s">
        <v>39</v>
      </c>
      <c r="W5287" s="3" t="s">
        <v>25051</v>
      </c>
      <c r="X5287" s="10" t="s">
        <v>25052</v>
      </c>
      <c r="Y5287" s="6" t="s">
        <v>42</v>
      </c>
      <c r="Z5287" s="4">
        <v>1.17</v>
      </c>
      <c r="AA5287" s="4">
        <v>3.26</v>
      </c>
      <c r="AB5287" s="3" t="s">
        <v>43</v>
      </c>
      <c r="AC5287" s="3" t="s">
        <v>25053</v>
      </c>
      <c r="AD5287" s="9">
        <v>43280</v>
      </c>
      <c r="AE5287" s="3" t="s">
        <v>785</v>
      </c>
      <c r="AF5287" s="3" t="s">
        <v>4605</v>
      </c>
      <c r="AG5287" s="3" t="s">
        <v>81</v>
      </c>
      <c r="AH5287" s="11">
        <f>HYPERLINK("https://my.pitchbook.com?c=111647-44T","View Company Online")</f>
      </c>
    </row>
    <row r="5288">
      <c r="A5288" s="12" t="s">
        <v>25054</v>
      </c>
      <c r="B5288" s="12" t="s">
        <v>7871</v>
      </c>
      <c r="C5288" s="19">
        <v>2</v>
      </c>
      <c r="D5288" s="19" t="s">
        <v>36</v>
      </c>
      <c r="E5288" s="19">
        <v>2</v>
      </c>
      <c r="F5288" s="19">
        <v>2</v>
      </c>
      <c r="G5288" s="15" t="s">
        <v>36</v>
      </c>
      <c r="H5288" s="14">
        <v>311.57</v>
      </c>
      <c r="I5288" s="18">
        <v>30.57</v>
      </c>
      <c r="J5288" s="12" t="s">
        <v>521</v>
      </c>
      <c r="K5288" s="13" t="s">
        <v>36</v>
      </c>
      <c r="L5288" s="15" t="s">
        <v>36</v>
      </c>
      <c r="M5288" s="12" t="s">
        <v>36</v>
      </c>
      <c r="N5288" s="12" t="s">
        <v>36</v>
      </c>
      <c r="O5288" s="17" t="s">
        <v>36</v>
      </c>
      <c r="P5288" s="12" t="s">
        <v>36</v>
      </c>
      <c r="Q5288" s="12" t="s">
        <v>36</v>
      </c>
      <c r="R5288" s="12" t="s">
        <v>36</v>
      </c>
      <c r="S5288" s="12" t="s">
        <v>36</v>
      </c>
      <c r="T5288" s="12" t="s">
        <v>7872</v>
      </c>
      <c r="U5288" s="12" t="s">
        <v>1082</v>
      </c>
      <c r="V5288" s="12" t="s">
        <v>378</v>
      </c>
      <c r="W5288" s="12" t="s">
        <v>7873</v>
      </c>
      <c r="X5288" s="16" t="s">
        <v>25055</v>
      </c>
      <c r="Y5288" s="15" t="s">
        <v>42</v>
      </c>
      <c r="Z5288" s="14">
        <v>0.65</v>
      </c>
      <c r="AA5288" s="14">
        <v>2.1</v>
      </c>
      <c r="AB5288" s="12" t="s">
        <v>43</v>
      </c>
      <c r="AC5288" s="12" t="s">
        <v>7875</v>
      </c>
      <c r="AD5288" s="13">
        <v>43279</v>
      </c>
      <c r="AE5288" s="12" t="s">
        <v>7876</v>
      </c>
      <c r="AF5288" s="12" t="s">
        <v>4248</v>
      </c>
      <c r="AG5288" s="12" t="s">
        <v>3406</v>
      </c>
      <c r="AH5288" s="1">
        <f>HYPERLINK("https://my.pitchbook.com?c=170605-72T","View Company Online")</f>
      </c>
    </row>
    <row r="5289">
      <c r="A5289" s="3" t="s">
        <v>25056</v>
      </c>
      <c r="B5289" s="3" t="s">
        <v>25057</v>
      </c>
      <c r="C5289" s="5" t="s">
        <v>36</v>
      </c>
      <c r="D5289" s="5" t="s">
        <v>36</v>
      </c>
      <c r="E5289" s="5">
        <v>1</v>
      </c>
      <c r="F5289" s="5">
        <v>2</v>
      </c>
      <c r="G5289" s="6" t="s">
        <v>326</v>
      </c>
      <c r="H5289" s="4">
        <v>45.35</v>
      </c>
      <c r="I5289" s="7">
        <v>13.41</v>
      </c>
      <c r="J5289" s="3" t="s">
        <v>521</v>
      </c>
      <c r="K5289" s="9" t="s">
        <v>36</v>
      </c>
      <c r="L5289" s="6" t="s">
        <v>36</v>
      </c>
      <c r="M5289" s="3" t="s">
        <v>36</v>
      </c>
      <c r="N5289" s="3" t="s">
        <v>36</v>
      </c>
      <c r="O5289" s="8" t="s">
        <v>36</v>
      </c>
      <c r="P5289" s="3" t="s">
        <v>36</v>
      </c>
      <c r="Q5289" s="3" t="s">
        <v>36</v>
      </c>
      <c r="R5289" s="3" t="s">
        <v>36</v>
      </c>
      <c r="S5289" s="3" t="s">
        <v>25058</v>
      </c>
      <c r="T5289" s="3" t="s">
        <v>942</v>
      </c>
      <c r="U5289" s="3" t="s">
        <v>38</v>
      </c>
      <c r="V5289" s="3" t="s">
        <v>39</v>
      </c>
      <c r="W5289" s="3" t="s">
        <v>25059</v>
      </c>
      <c r="X5289" s="10" t="s">
        <v>25060</v>
      </c>
      <c r="Y5289" s="6" t="s">
        <v>166</v>
      </c>
      <c r="Z5289" s="4">
        <v>2.36</v>
      </c>
      <c r="AA5289" s="4">
        <v>17.61</v>
      </c>
      <c r="AB5289" s="3" t="s">
        <v>56</v>
      </c>
      <c r="AC5289" s="3" t="s">
        <v>25061</v>
      </c>
      <c r="AD5289" s="9">
        <v>43279</v>
      </c>
      <c r="AE5289" s="3" t="s">
        <v>45</v>
      </c>
      <c r="AF5289" s="3" t="s">
        <v>25062</v>
      </c>
      <c r="AG5289" s="3" t="s">
        <v>81</v>
      </c>
      <c r="AH5289" s="11">
        <f>HYPERLINK("https://my.pitchbook.com?c=116718-04T","View Company Online")</f>
      </c>
    </row>
    <row r="5290">
      <c r="A5290" s="12" t="s">
        <v>25063</v>
      </c>
      <c r="B5290" s="12" t="s">
        <v>25064</v>
      </c>
      <c r="C5290" s="19" t="s">
        <v>36</v>
      </c>
      <c r="D5290" s="19" t="s">
        <v>36</v>
      </c>
      <c r="E5290" s="19" t="s">
        <v>36</v>
      </c>
      <c r="F5290" s="19" t="s">
        <v>36</v>
      </c>
      <c r="G5290" s="15" t="s">
        <v>36</v>
      </c>
      <c r="H5290" s="14">
        <v>642.28</v>
      </c>
      <c r="I5290" s="18">
        <v>35</v>
      </c>
      <c r="J5290" s="12" t="s">
        <v>521</v>
      </c>
      <c r="K5290" s="13" t="s">
        <v>36</v>
      </c>
      <c r="L5290" s="15" t="s">
        <v>36</v>
      </c>
      <c r="M5290" s="12" t="s">
        <v>36</v>
      </c>
      <c r="N5290" s="12" t="s">
        <v>36</v>
      </c>
      <c r="O5290" s="17" t="s">
        <v>36</v>
      </c>
      <c r="P5290" s="12" t="s">
        <v>36</v>
      </c>
      <c r="Q5290" s="12" t="s">
        <v>36</v>
      </c>
      <c r="R5290" s="12" t="s">
        <v>36</v>
      </c>
      <c r="S5290" s="12" t="s">
        <v>36</v>
      </c>
      <c r="T5290" s="12" t="s">
        <v>9456</v>
      </c>
      <c r="U5290" s="12" t="s">
        <v>63</v>
      </c>
      <c r="V5290" s="12" t="s">
        <v>64</v>
      </c>
      <c r="W5290" s="12" t="s">
        <v>25065</v>
      </c>
      <c r="X5290" s="16" t="s">
        <v>25066</v>
      </c>
      <c r="Y5290" s="15" t="s">
        <v>42</v>
      </c>
      <c r="Z5290" s="14">
        <v>2.33</v>
      </c>
      <c r="AA5290" s="14">
        <v>6.67</v>
      </c>
      <c r="AB5290" s="12" t="s">
        <v>56</v>
      </c>
      <c r="AC5290" s="12" t="s">
        <v>25067</v>
      </c>
      <c r="AD5290" s="13">
        <v>43279</v>
      </c>
      <c r="AE5290" s="12" t="s">
        <v>4310</v>
      </c>
      <c r="AF5290" s="12" t="s">
        <v>36</v>
      </c>
      <c r="AG5290" s="12" t="s">
        <v>47</v>
      </c>
      <c r="AH5290" s="1">
        <f>HYPERLINK("https://my.pitchbook.com?c=192180-61T","View Company Online")</f>
      </c>
    </row>
    <row r="5291">
      <c r="A5291" s="3" t="s">
        <v>25068</v>
      </c>
      <c r="B5291" s="3" t="s">
        <v>19245</v>
      </c>
      <c r="C5291" s="5" t="s">
        <v>36</v>
      </c>
      <c r="D5291" s="5" t="s">
        <v>36</v>
      </c>
      <c r="E5291" s="5" t="s">
        <v>36</v>
      </c>
      <c r="F5291" s="5" t="s">
        <v>36</v>
      </c>
      <c r="G5291" s="6" t="s">
        <v>2497</v>
      </c>
      <c r="H5291" s="4">
        <v>146.34</v>
      </c>
      <c r="I5291" s="7">
        <v>34.04</v>
      </c>
      <c r="J5291" s="3" t="s">
        <v>521</v>
      </c>
      <c r="K5291" s="9" t="s">
        <v>36</v>
      </c>
      <c r="L5291" s="6" t="s">
        <v>36</v>
      </c>
      <c r="M5291" s="3" t="s">
        <v>36</v>
      </c>
      <c r="N5291" s="3" t="s">
        <v>36</v>
      </c>
      <c r="O5291" s="8" t="s">
        <v>36</v>
      </c>
      <c r="P5291" s="3" t="s">
        <v>36</v>
      </c>
      <c r="Q5291" s="3" t="s">
        <v>36</v>
      </c>
      <c r="R5291" s="3" t="s">
        <v>36</v>
      </c>
      <c r="S5291" s="3" t="s">
        <v>36</v>
      </c>
      <c r="T5291" s="3" t="s">
        <v>19246</v>
      </c>
      <c r="U5291" s="3" t="s">
        <v>63</v>
      </c>
      <c r="V5291" s="3" t="s">
        <v>64</v>
      </c>
      <c r="W5291" s="3" t="s">
        <v>19247</v>
      </c>
      <c r="X5291" s="10" t="s">
        <v>25069</v>
      </c>
      <c r="Y5291" s="6" t="s">
        <v>42</v>
      </c>
      <c r="Z5291" s="4">
        <v>1.17</v>
      </c>
      <c r="AA5291" s="4">
        <v>2.78</v>
      </c>
      <c r="AB5291" s="3" t="s">
        <v>43</v>
      </c>
      <c r="AC5291" s="3" t="s">
        <v>19249</v>
      </c>
      <c r="AD5291" s="9">
        <v>43279</v>
      </c>
      <c r="AE5291" s="3" t="s">
        <v>68</v>
      </c>
      <c r="AF5291" s="3" t="s">
        <v>12865</v>
      </c>
      <c r="AG5291" s="3" t="s">
        <v>924</v>
      </c>
      <c r="AH5291" s="11">
        <f>HYPERLINK("https://my.pitchbook.com?c=109495-09T","View Company Online")</f>
      </c>
    </row>
    <row r="5292">
      <c r="A5292" s="12" t="s">
        <v>25070</v>
      </c>
      <c r="B5292" s="12" t="s">
        <v>25071</v>
      </c>
      <c r="C5292" s="19" t="s">
        <v>36</v>
      </c>
      <c r="D5292" s="19" t="s">
        <v>36</v>
      </c>
      <c r="E5292" s="19" t="s">
        <v>36</v>
      </c>
      <c r="F5292" s="19" t="s">
        <v>36</v>
      </c>
      <c r="G5292" s="15" t="s">
        <v>36</v>
      </c>
      <c r="H5292" s="14" t="s">
        <v>36</v>
      </c>
      <c r="I5292" s="18" t="s">
        <v>36</v>
      </c>
      <c r="J5292" s="12" t="s">
        <v>36</v>
      </c>
      <c r="K5292" s="13" t="s">
        <v>36</v>
      </c>
      <c r="L5292" s="15" t="s">
        <v>36</v>
      </c>
      <c r="M5292" s="12" t="s">
        <v>36</v>
      </c>
      <c r="N5292" s="12" t="s">
        <v>36</v>
      </c>
      <c r="O5292" s="17" t="s">
        <v>36</v>
      </c>
      <c r="P5292" s="12" t="s">
        <v>36</v>
      </c>
      <c r="Q5292" s="12" t="s">
        <v>36</v>
      </c>
      <c r="R5292" s="12" t="s">
        <v>36</v>
      </c>
      <c r="S5292" s="12" t="s">
        <v>36</v>
      </c>
      <c r="T5292" s="12" t="s">
        <v>2084</v>
      </c>
      <c r="U5292" s="12" t="s">
        <v>74</v>
      </c>
      <c r="V5292" s="12" t="s">
        <v>75</v>
      </c>
      <c r="W5292" s="12" t="s">
        <v>25072</v>
      </c>
      <c r="X5292" s="16" t="s">
        <v>25073</v>
      </c>
      <c r="Y5292" s="15" t="s">
        <v>55</v>
      </c>
      <c r="Z5292" s="14">
        <v>3.5</v>
      </c>
      <c r="AA5292" s="14" t="s">
        <v>36</v>
      </c>
      <c r="AB5292" s="12" t="s">
        <v>43</v>
      </c>
      <c r="AC5292" s="12" t="s">
        <v>25074</v>
      </c>
      <c r="AD5292" s="13">
        <v>43278</v>
      </c>
      <c r="AE5292" s="12" t="s">
        <v>362</v>
      </c>
      <c r="AF5292" s="12" t="s">
        <v>250</v>
      </c>
      <c r="AG5292" s="12" t="s">
        <v>81</v>
      </c>
      <c r="AH5292" s="1">
        <f>HYPERLINK("https://my.pitchbook.com?c=108003-25T","View Company Online")</f>
      </c>
    </row>
    <row r="5293">
      <c r="A5293" s="3" t="s">
        <v>25075</v>
      </c>
      <c r="B5293" s="3" t="s">
        <v>25076</v>
      </c>
      <c r="C5293" s="5" t="s">
        <v>36</v>
      </c>
      <c r="D5293" s="5" t="s">
        <v>36</v>
      </c>
      <c r="E5293" s="5" t="s">
        <v>36</v>
      </c>
      <c r="F5293" s="5" t="s">
        <v>36</v>
      </c>
      <c r="G5293" s="6" t="s">
        <v>326</v>
      </c>
      <c r="H5293" s="4">
        <v>1.13</v>
      </c>
      <c r="I5293" s="7">
        <v>29.58</v>
      </c>
      <c r="J5293" s="3" t="s">
        <v>521</v>
      </c>
      <c r="K5293" s="9">
        <v>43266</v>
      </c>
      <c r="L5293" s="6" t="s">
        <v>122</v>
      </c>
      <c r="M5293" s="3" t="s">
        <v>36</v>
      </c>
      <c r="N5293" s="3" t="s">
        <v>122</v>
      </c>
      <c r="O5293" s="8" t="s">
        <v>36</v>
      </c>
      <c r="P5293" s="3" t="s">
        <v>36</v>
      </c>
      <c r="Q5293" s="3" t="s">
        <v>36</v>
      </c>
      <c r="R5293" s="3" t="s">
        <v>36</v>
      </c>
      <c r="S5293" s="3" t="s">
        <v>36</v>
      </c>
      <c r="T5293" s="3" t="s">
        <v>16221</v>
      </c>
      <c r="U5293" s="3" t="s">
        <v>38</v>
      </c>
      <c r="V5293" s="3" t="s">
        <v>39</v>
      </c>
      <c r="W5293" s="3" t="s">
        <v>25077</v>
      </c>
      <c r="X5293" s="10" t="s">
        <v>25078</v>
      </c>
      <c r="Y5293" s="6" t="s">
        <v>55</v>
      </c>
      <c r="Z5293" s="4">
        <v>2.71</v>
      </c>
      <c r="AA5293" s="4">
        <v>7.39</v>
      </c>
      <c r="AB5293" s="3" t="s">
        <v>56</v>
      </c>
      <c r="AC5293" s="3" t="s">
        <v>25079</v>
      </c>
      <c r="AD5293" s="9">
        <v>43278</v>
      </c>
      <c r="AE5293" s="3" t="s">
        <v>110</v>
      </c>
      <c r="AF5293" s="3" t="s">
        <v>25080</v>
      </c>
      <c r="AG5293" s="3" t="s">
        <v>25081</v>
      </c>
      <c r="AH5293" s="11">
        <f>HYPERLINK("https://my.pitchbook.com?c=113810-14T","View Company Online")</f>
      </c>
    </row>
    <row r="5294">
      <c r="A5294" s="12" t="s">
        <v>25082</v>
      </c>
      <c r="B5294" s="12" t="s">
        <v>25083</v>
      </c>
      <c r="C5294" s="19" t="s">
        <v>36</v>
      </c>
      <c r="D5294" s="19">
        <v>17</v>
      </c>
      <c r="E5294" s="19">
        <v>23</v>
      </c>
      <c r="F5294" s="19">
        <v>43</v>
      </c>
      <c r="G5294" s="15" t="s">
        <v>326</v>
      </c>
      <c r="H5294" s="14">
        <v>14.16</v>
      </c>
      <c r="I5294" s="18">
        <v>29.87</v>
      </c>
      <c r="J5294" s="12" t="s">
        <v>521</v>
      </c>
      <c r="K5294" s="13">
        <v>43277</v>
      </c>
      <c r="L5294" s="15" t="s">
        <v>122</v>
      </c>
      <c r="M5294" s="12" t="s">
        <v>36</v>
      </c>
      <c r="N5294" s="12" t="s">
        <v>122</v>
      </c>
      <c r="O5294" s="17" t="s">
        <v>36</v>
      </c>
      <c r="P5294" s="12" t="s">
        <v>36</v>
      </c>
      <c r="Q5294" s="12" t="s">
        <v>36</v>
      </c>
      <c r="R5294" s="12" t="s">
        <v>36</v>
      </c>
      <c r="S5294" s="12" t="s">
        <v>12240</v>
      </c>
      <c r="T5294" s="12" t="s">
        <v>15292</v>
      </c>
      <c r="U5294" s="12" t="s">
        <v>1357</v>
      </c>
      <c r="V5294" s="12" t="s">
        <v>52</v>
      </c>
      <c r="W5294" s="12" t="s">
        <v>25084</v>
      </c>
      <c r="X5294" s="16" t="s">
        <v>25085</v>
      </c>
      <c r="Y5294" s="15" t="s">
        <v>42</v>
      </c>
      <c r="Z5294" s="14">
        <v>36.18</v>
      </c>
      <c r="AA5294" s="14">
        <v>121.12</v>
      </c>
      <c r="AB5294" s="12" t="s">
        <v>43</v>
      </c>
      <c r="AC5294" s="12" t="s">
        <v>25086</v>
      </c>
      <c r="AD5294" s="13">
        <v>43278</v>
      </c>
      <c r="AE5294" s="12" t="s">
        <v>3204</v>
      </c>
      <c r="AF5294" s="12" t="s">
        <v>25087</v>
      </c>
      <c r="AG5294" s="12" t="s">
        <v>81</v>
      </c>
      <c r="AH5294" s="1">
        <f>HYPERLINK("https://my.pitchbook.com?c=107936-29T","View Company Online")</f>
      </c>
    </row>
    <row r="5295">
      <c r="A5295" s="3" t="s">
        <v>25088</v>
      </c>
      <c r="B5295" s="3" t="s">
        <v>23692</v>
      </c>
      <c r="C5295" s="5" t="s">
        <v>36</v>
      </c>
      <c r="D5295" s="5" t="s">
        <v>36</v>
      </c>
      <c r="E5295" s="5" t="s">
        <v>36</v>
      </c>
      <c r="F5295" s="5" t="s">
        <v>36</v>
      </c>
      <c r="G5295" s="6" t="s">
        <v>36</v>
      </c>
      <c r="H5295" s="4" t="s">
        <v>36</v>
      </c>
      <c r="I5295" s="7" t="s">
        <v>36</v>
      </c>
      <c r="J5295" s="3" t="s">
        <v>36</v>
      </c>
      <c r="K5295" s="9" t="s">
        <v>36</v>
      </c>
      <c r="L5295" s="6" t="s">
        <v>94</v>
      </c>
      <c r="M5295" s="3" t="s">
        <v>36</v>
      </c>
      <c r="N5295" s="3" t="s">
        <v>94</v>
      </c>
      <c r="O5295" s="8" t="s">
        <v>36</v>
      </c>
      <c r="P5295" s="3" t="s">
        <v>36</v>
      </c>
      <c r="Q5295" s="3" t="s">
        <v>36</v>
      </c>
      <c r="R5295" s="3" t="s">
        <v>36</v>
      </c>
      <c r="S5295" s="3" t="s">
        <v>36</v>
      </c>
      <c r="T5295" s="3" t="s">
        <v>9494</v>
      </c>
      <c r="U5295" s="3" t="s">
        <v>38</v>
      </c>
      <c r="V5295" s="3" t="s">
        <v>39</v>
      </c>
      <c r="W5295" s="3" t="s">
        <v>23693</v>
      </c>
      <c r="X5295" s="10" t="s">
        <v>25089</v>
      </c>
      <c r="Y5295" s="6" t="s">
        <v>108</v>
      </c>
      <c r="Z5295" s="4">
        <v>25</v>
      </c>
      <c r="AA5295" s="4" t="s">
        <v>36</v>
      </c>
      <c r="AB5295" s="3" t="s">
        <v>56</v>
      </c>
      <c r="AC5295" s="3" t="s">
        <v>23695</v>
      </c>
      <c r="AD5295" s="9">
        <v>43278</v>
      </c>
      <c r="AE5295" s="3" t="s">
        <v>554</v>
      </c>
      <c r="AF5295" s="3" t="s">
        <v>1296</v>
      </c>
      <c r="AG5295" s="3" t="s">
        <v>81</v>
      </c>
      <c r="AH5295" s="11">
        <f>HYPERLINK("https://my.pitchbook.com?c=108073-36T","View Company Online")</f>
      </c>
    </row>
    <row r="5296">
      <c r="A5296" s="12" t="s">
        <v>25090</v>
      </c>
      <c r="B5296" s="12" t="s">
        <v>25091</v>
      </c>
      <c r="C5296" s="19" t="s">
        <v>36</v>
      </c>
      <c r="D5296" s="19" t="s">
        <v>36</v>
      </c>
      <c r="E5296" s="19" t="s">
        <v>36</v>
      </c>
      <c r="F5296" s="19" t="s">
        <v>36</v>
      </c>
      <c r="G5296" s="15" t="s">
        <v>36</v>
      </c>
      <c r="H5296" s="14">
        <v>29.08</v>
      </c>
      <c r="I5296" s="18">
        <v>50.46</v>
      </c>
      <c r="J5296" s="12" t="s">
        <v>521</v>
      </c>
      <c r="K5296" s="13" t="s">
        <v>36</v>
      </c>
      <c r="L5296" s="15" t="s">
        <v>36</v>
      </c>
      <c r="M5296" s="12" t="s">
        <v>36</v>
      </c>
      <c r="N5296" s="12" t="s">
        <v>36</v>
      </c>
      <c r="O5296" s="17" t="s">
        <v>36</v>
      </c>
      <c r="P5296" s="12" t="s">
        <v>36</v>
      </c>
      <c r="Q5296" s="12" t="s">
        <v>36</v>
      </c>
      <c r="R5296" s="12" t="s">
        <v>36</v>
      </c>
      <c r="S5296" s="12" t="s">
        <v>6677</v>
      </c>
      <c r="T5296" s="12" t="s">
        <v>6288</v>
      </c>
      <c r="U5296" s="12" t="s">
        <v>85</v>
      </c>
      <c r="V5296" s="12" t="s">
        <v>64</v>
      </c>
      <c r="W5296" s="12" t="s">
        <v>25092</v>
      </c>
      <c r="X5296" s="16" t="s">
        <v>25093</v>
      </c>
      <c r="Y5296" s="15" t="s">
        <v>55</v>
      </c>
      <c r="Z5296" s="14">
        <v>2.65</v>
      </c>
      <c r="AA5296" s="14">
        <v>5.25</v>
      </c>
      <c r="AB5296" s="12" t="s">
        <v>43</v>
      </c>
      <c r="AC5296" s="12" t="s">
        <v>25094</v>
      </c>
      <c r="AD5296" s="13">
        <v>43278</v>
      </c>
      <c r="AE5296" s="12" t="s">
        <v>89</v>
      </c>
      <c r="AF5296" s="12" t="s">
        <v>12984</v>
      </c>
      <c r="AG5296" s="12" t="s">
        <v>899</v>
      </c>
      <c r="AH5296" s="1">
        <f>HYPERLINK("https://my.pitchbook.com?c=131577-67T","View Company Online")</f>
      </c>
    </row>
    <row r="5297">
      <c r="A5297" s="3" t="s">
        <v>25095</v>
      </c>
      <c r="B5297" s="3" t="s">
        <v>25096</v>
      </c>
      <c r="C5297" s="5">
        <v>1</v>
      </c>
      <c r="D5297" s="5">
        <v>5</v>
      </c>
      <c r="E5297" s="5">
        <v>2</v>
      </c>
      <c r="F5297" s="5">
        <v>9</v>
      </c>
      <c r="G5297" s="6" t="s">
        <v>36</v>
      </c>
      <c r="H5297" s="4" t="s">
        <v>36</v>
      </c>
      <c r="I5297" s="7" t="s">
        <v>36</v>
      </c>
      <c r="J5297" s="3" t="s">
        <v>36</v>
      </c>
      <c r="K5297" s="9" t="s">
        <v>36</v>
      </c>
      <c r="L5297" s="6" t="s">
        <v>36</v>
      </c>
      <c r="M5297" s="3" t="s">
        <v>36</v>
      </c>
      <c r="N5297" s="3" t="s">
        <v>36</v>
      </c>
      <c r="O5297" s="8" t="s">
        <v>36</v>
      </c>
      <c r="P5297" s="3" t="s">
        <v>36</v>
      </c>
      <c r="Q5297" s="3" t="s">
        <v>36</v>
      </c>
      <c r="R5297" s="3" t="s">
        <v>36</v>
      </c>
      <c r="S5297" s="3" t="s">
        <v>36</v>
      </c>
      <c r="T5297" s="3" t="s">
        <v>25097</v>
      </c>
      <c r="U5297" s="3" t="s">
        <v>96</v>
      </c>
      <c r="V5297" s="3" t="s">
        <v>52</v>
      </c>
      <c r="W5297" s="3" t="s">
        <v>25098</v>
      </c>
      <c r="X5297" s="10" t="s">
        <v>20888</v>
      </c>
      <c r="Y5297" s="6" t="s">
        <v>108</v>
      </c>
      <c r="Z5297" s="4">
        <v>1.17</v>
      </c>
      <c r="AA5297" s="4" t="s">
        <v>36</v>
      </c>
      <c r="AB5297" s="3" t="s">
        <v>43</v>
      </c>
      <c r="AC5297" s="3" t="s">
        <v>25099</v>
      </c>
      <c r="AD5297" s="9">
        <v>43277</v>
      </c>
      <c r="AE5297" s="3" t="s">
        <v>755</v>
      </c>
      <c r="AF5297" s="3" t="s">
        <v>101</v>
      </c>
      <c r="AG5297" s="3" t="s">
        <v>3823</v>
      </c>
      <c r="AH5297" s="11">
        <f>HYPERLINK("https://my.pitchbook.com?c=111993-49T","View Company Online")</f>
      </c>
    </row>
    <row r="5298">
      <c r="A5298" s="12" t="s">
        <v>25100</v>
      </c>
      <c r="B5298" s="12" t="s">
        <v>25101</v>
      </c>
      <c r="C5298" s="19" t="s">
        <v>36</v>
      </c>
      <c r="D5298" s="19">
        <v>4</v>
      </c>
      <c r="E5298" s="19">
        <v>4</v>
      </c>
      <c r="F5298" s="19">
        <v>8</v>
      </c>
      <c r="G5298" s="15" t="s">
        <v>683</v>
      </c>
      <c r="H5298" s="14">
        <v>1557.85</v>
      </c>
      <c r="I5298" s="18">
        <v>13.97</v>
      </c>
      <c r="J5298" s="12" t="s">
        <v>521</v>
      </c>
      <c r="K5298" s="13" t="s">
        <v>36</v>
      </c>
      <c r="L5298" s="15" t="s">
        <v>36</v>
      </c>
      <c r="M5298" s="12" t="s">
        <v>36</v>
      </c>
      <c r="N5298" s="12" t="s">
        <v>36</v>
      </c>
      <c r="O5298" s="17" t="s">
        <v>36</v>
      </c>
      <c r="P5298" s="12" t="s">
        <v>36</v>
      </c>
      <c r="Q5298" s="12" t="s">
        <v>36</v>
      </c>
      <c r="R5298" s="12" t="s">
        <v>36</v>
      </c>
      <c r="S5298" s="12" t="s">
        <v>36</v>
      </c>
      <c r="T5298" s="12" t="s">
        <v>25102</v>
      </c>
      <c r="U5298" s="12" t="s">
        <v>96</v>
      </c>
      <c r="V5298" s="12" t="s">
        <v>52</v>
      </c>
      <c r="W5298" s="12" t="s">
        <v>25103</v>
      </c>
      <c r="X5298" s="16" t="s">
        <v>10887</v>
      </c>
      <c r="Y5298" s="15" t="s">
        <v>108</v>
      </c>
      <c r="Z5298" s="14">
        <v>0.52</v>
      </c>
      <c r="AA5298" s="14">
        <v>3.75</v>
      </c>
      <c r="AB5298" s="12" t="s">
        <v>56</v>
      </c>
      <c r="AC5298" s="12" t="s">
        <v>25104</v>
      </c>
      <c r="AD5298" s="13">
        <v>43277</v>
      </c>
      <c r="AE5298" s="12" t="s">
        <v>12392</v>
      </c>
      <c r="AF5298" s="12" t="s">
        <v>25105</v>
      </c>
      <c r="AG5298" s="12" t="s">
        <v>991</v>
      </c>
      <c r="AH5298" s="1">
        <f>HYPERLINK("https://my.pitchbook.com?c=81784-99T","View Company Online")</f>
      </c>
    </row>
    <row r="5299">
      <c r="A5299" s="3" t="s">
        <v>25106</v>
      </c>
      <c r="B5299" s="3" t="s">
        <v>11794</v>
      </c>
      <c r="C5299" s="5" t="s">
        <v>36</v>
      </c>
      <c r="D5299" s="5" t="s">
        <v>36</v>
      </c>
      <c r="E5299" s="5" t="s">
        <v>36</v>
      </c>
      <c r="F5299" s="5" t="s">
        <v>36</v>
      </c>
      <c r="G5299" s="6" t="s">
        <v>36</v>
      </c>
      <c r="H5299" s="4" t="s">
        <v>36</v>
      </c>
      <c r="I5299" s="7" t="s">
        <v>36</v>
      </c>
      <c r="J5299" s="3" t="s">
        <v>36</v>
      </c>
      <c r="K5299" s="9" t="s">
        <v>36</v>
      </c>
      <c r="L5299" s="6" t="s">
        <v>36</v>
      </c>
      <c r="M5299" s="3" t="s">
        <v>36</v>
      </c>
      <c r="N5299" s="3" t="s">
        <v>36</v>
      </c>
      <c r="O5299" s="8" t="s">
        <v>36</v>
      </c>
      <c r="P5299" s="3" t="s">
        <v>36</v>
      </c>
      <c r="Q5299" s="3" t="s">
        <v>36</v>
      </c>
      <c r="R5299" s="3" t="s">
        <v>36</v>
      </c>
      <c r="S5299" s="3" t="s">
        <v>36</v>
      </c>
      <c r="T5299" s="3" t="s">
        <v>11795</v>
      </c>
      <c r="U5299" s="3" t="s">
        <v>438</v>
      </c>
      <c r="V5299" s="3" t="s">
        <v>405</v>
      </c>
      <c r="W5299" s="3" t="s">
        <v>11796</v>
      </c>
      <c r="X5299" s="10" t="s">
        <v>1840</v>
      </c>
      <c r="Y5299" s="6" t="s">
        <v>42</v>
      </c>
      <c r="Z5299" s="4">
        <v>1.17</v>
      </c>
      <c r="AA5299" s="4" t="s">
        <v>36</v>
      </c>
      <c r="AB5299" s="3" t="s">
        <v>43</v>
      </c>
      <c r="AC5299" s="3" t="s">
        <v>11798</v>
      </c>
      <c r="AD5299" s="9">
        <v>43276</v>
      </c>
      <c r="AE5299" s="3" t="s">
        <v>10018</v>
      </c>
      <c r="AF5299" s="3" t="s">
        <v>11799</v>
      </c>
      <c r="AG5299" s="3" t="s">
        <v>81</v>
      </c>
      <c r="AH5299" s="11">
        <f>HYPERLINK("https://my.pitchbook.com?c=206515-00T","View Company Online")</f>
      </c>
    </row>
    <row r="5300">
      <c r="A5300" s="12" t="s">
        <v>25107</v>
      </c>
      <c r="B5300" s="12" t="s">
        <v>25108</v>
      </c>
      <c r="C5300" s="19" t="s">
        <v>36</v>
      </c>
      <c r="D5300" s="19" t="s">
        <v>36</v>
      </c>
      <c r="E5300" s="19" t="s">
        <v>36</v>
      </c>
      <c r="F5300" s="19" t="s">
        <v>36</v>
      </c>
      <c r="G5300" s="15" t="s">
        <v>326</v>
      </c>
      <c r="H5300" s="14">
        <v>6.47</v>
      </c>
      <c r="I5300" s="18">
        <v>17.63</v>
      </c>
      <c r="J5300" s="12" t="s">
        <v>521</v>
      </c>
      <c r="K5300" s="13" t="s">
        <v>36</v>
      </c>
      <c r="L5300" s="15" t="s">
        <v>36</v>
      </c>
      <c r="M5300" s="12" t="s">
        <v>36</v>
      </c>
      <c r="N5300" s="12" t="s">
        <v>36</v>
      </c>
      <c r="O5300" s="17" t="s">
        <v>36</v>
      </c>
      <c r="P5300" s="12" t="s">
        <v>36</v>
      </c>
      <c r="Q5300" s="12" t="s">
        <v>36</v>
      </c>
      <c r="R5300" s="12" t="s">
        <v>36</v>
      </c>
      <c r="S5300" s="12" t="s">
        <v>36</v>
      </c>
      <c r="T5300" s="12" t="s">
        <v>3397</v>
      </c>
      <c r="U5300" s="12" t="s">
        <v>423</v>
      </c>
      <c r="V5300" s="12" t="s">
        <v>64</v>
      </c>
      <c r="W5300" s="12" t="s">
        <v>25109</v>
      </c>
      <c r="X5300" s="16" t="s">
        <v>25110</v>
      </c>
      <c r="Y5300" s="15" t="s">
        <v>108</v>
      </c>
      <c r="Z5300" s="14">
        <v>0.35</v>
      </c>
      <c r="AA5300" s="14">
        <v>1.99</v>
      </c>
      <c r="AB5300" s="12" t="s">
        <v>56</v>
      </c>
      <c r="AC5300" s="12" t="s">
        <v>25111</v>
      </c>
      <c r="AD5300" s="13">
        <v>43276</v>
      </c>
      <c r="AE5300" s="12" t="s">
        <v>562</v>
      </c>
      <c r="AF5300" s="12" t="s">
        <v>4270</v>
      </c>
      <c r="AG5300" s="12" t="s">
        <v>382</v>
      </c>
      <c r="AH5300" s="1">
        <f>HYPERLINK("https://my.pitchbook.com?c=187794-64T","View Company Online")</f>
      </c>
    </row>
    <row r="5301">
      <c r="A5301" s="3" t="s">
        <v>25112</v>
      </c>
      <c r="B5301" s="3" t="s">
        <v>25113</v>
      </c>
      <c r="C5301" s="5" t="s">
        <v>36</v>
      </c>
      <c r="D5301" s="5" t="s">
        <v>36</v>
      </c>
      <c r="E5301" s="5" t="s">
        <v>36</v>
      </c>
      <c r="F5301" s="5" t="s">
        <v>36</v>
      </c>
      <c r="G5301" s="6" t="s">
        <v>36</v>
      </c>
      <c r="H5301" s="4">
        <v>26.66</v>
      </c>
      <c r="I5301" s="7">
        <v>35.99</v>
      </c>
      <c r="J5301" s="3" t="s">
        <v>521</v>
      </c>
      <c r="K5301" s="9" t="s">
        <v>36</v>
      </c>
      <c r="L5301" s="6" t="s">
        <v>122</v>
      </c>
      <c r="M5301" s="3" t="s">
        <v>36</v>
      </c>
      <c r="N5301" s="3" t="s">
        <v>122</v>
      </c>
      <c r="O5301" s="8" t="s">
        <v>36</v>
      </c>
      <c r="P5301" s="3" t="s">
        <v>36</v>
      </c>
      <c r="Q5301" s="3" t="s">
        <v>36</v>
      </c>
      <c r="R5301" s="3" t="s">
        <v>36</v>
      </c>
      <c r="S5301" s="3" t="s">
        <v>36</v>
      </c>
      <c r="T5301" s="3" t="s">
        <v>25114</v>
      </c>
      <c r="U5301" s="3" t="s">
        <v>404</v>
      </c>
      <c r="V5301" s="3" t="s">
        <v>405</v>
      </c>
      <c r="W5301" s="3" t="s">
        <v>25115</v>
      </c>
      <c r="X5301" s="10" t="s">
        <v>25116</v>
      </c>
      <c r="Y5301" s="6" t="s">
        <v>42</v>
      </c>
      <c r="Z5301" s="4">
        <v>2.1</v>
      </c>
      <c r="AA5301" s="4">
        <v>5.84</v>
      </c>
      <c r="AB5301" s="3" t="s">
        <v>43</v>
      </c>
      <c r="AC5301" s="3" t="s">
        <v>25117</v>
      </c>
      <c r="AD5301" s="9">
        <v>43275</v>
      </c>
      <c r="AE5301" s="3" t="s">
        <v>3608</v>
      </c>
      <c r="AF5301" s="3" t="s">
        <v>25118</v>
      </c>
      <c r="AG5301" s="3" t="s">
        <v>20903</v>
      </c>
      <c r="AH5301" s="11">
        <f>HYPERLINK("https://my.pitchbook.com?c=114164-02T","View Company Online")</f>
      </c>
    </row>
    <row r="5302">
      <c r="A5302" s="12" t="s">
        <v>25119</v>
      </c>
      <c r="B5302" s="12" t="s">
        <v>8852</v>
      </c>
      <c r="C5302" s="19" t="s">
        <v>36</v>
      </c>
      <c r="D5302" s="19" t="s">
        <v>36</v>
      </c>
      <c r="E5302" s="19" t="s">
        <v>36</v>
      </c>
      <c r="F5302" s="19" t="s">
        <v>36</v>
      </c>
      <c r="G5302" s="15" t="s">
        <v>36</v>
      </c>
      <c r="H5302" s="14" t="s">
        <v>36</v>
      </c>
      <c r="I5302" s="18" t="s">
        <v>36</v>
      </c>
      <c r="J5302" s="12" t="s">
        <v>36</v>
      </c>
      <c r="K5302" s="13" t="s">
        <v>36</v>
      </c>
      <c r="L5302" s="15" t="s">
        <v>36</v>
      </c>
      <c r="M5302" s="12" t="s">
        <v>36</v>
      </c>
      <c r="N5302" s="12" t="s">
        <v>36</v>
      </c>
      <c r="O5302" s="17" t="s">
        <v>36</v>
      </c>
      <c r="P5302" s="12" t="s">
        <v>36</v>
      </c>
      <c r="Q5302" s="12" t="s">
        <v>36</v>
      </c>
      <c r="R5302" s="12" t="s">
        <v>36</v>
      </c>
      <c r="S5302" s="12" t="s">
        <v>36</v>
      </c>
      <c r="T5302" s="12" t="s">
        <v>342</v>
      </c>
      <c r="U5302" s="12" t="s">
        <v>38</v>
      </c>
      <c r="V5302" s="12" t="s">
        <v>39</v>
      </c>
      <c r="W5302" s="12" t="s">
        <v>8853</v>
      </c>
      <c r="X5302" s="16" t="s">
        <v>25120</v>
      </c>
      <c r="Y5302" s="15" t="s">
        <v>108</v>
      </c>
      <c r="Z5302" s="14">
        <v>0.71</v>
      </c>
      <c r="AA5302" s="14" t="s">
        <v>36</v>
      </c>
      <c r="AB5302" s="12" t="s">
        <v>43</v>
      </c>
      <c r="AC5302" s="12" t="s">
        <v>8855</v>
      </c>
      <c r="AD5302" s="13">
        <v>43273</v>
      </c>
      <c r="AE5302" s="12" t="s">
        <v>110</v>
      </c>
      <c r="AF5302" s="12" t="s">
        <v>4552</v>
      </c>
      <c r="AG5302" s="12" t="s">
        <v>47</v>
      </c>
      <c r="AH5302" s="1">
        <f>HYPERLINK("https://my.pitchbook.com?c=133565-32T","View Company Online")</f>
      </c>
    </row>
    <row r="5303">
      <c r="A5303" s="3" t="s">
        <v>25121</v>
      </c>
      <c r="B5303" s="3" t="s">
        <v>2113</v>
      </c>
      <c r="C5303" s="5" t="s">
        <v>36</v>
      </c>
      <c r="D5303" s="5">
        <v>2</v>
      </c>
      <c r="E5303" s="5">
        <v>1</v>
      </c>
      <c r="F5303" s="5">
        <v>2</v>
      </c>
      <c r="G5303" s="6" t="s">
        <v>326</v>
      </c>
      <c r="H5303" s="4">
        <v>66.73</v>
      </c>
      <c r="I5303" s="7">
        <v>13.94</v>
      </c>
      <c r="J5303" s="3" t="s">
        <v>521</v>
      </c>
      <c r="K5303" s="9">
        <v>43264</v>
      </c>
      <c r="L5303" s="6" t="s">
        <v>94</v>
      </c>
      <c r="M5303" s="3" t="s">
        <v>36</v>
      </c>
      <c r="N5303" s="3" t="s">
        <v>94</v>
      </c>
      <c r="O5303" s="8" t="s">
        <v>36</v>
      </c>
      <c r="P5303" s="3" t="s">
        <v>36</v>
      </c>
      <c r="Q5303" s="3" t="s">
        <v>36</v>
      </c>
      <c r="R5303" s="3" t="s">
        <v>36</v>
      </c>
      <c r="S5303" s="3" t="s">
        <v>36</v>
      </c>
      <c r="T5303" s="3" t="s">
        <v>2114</v>
      </c>
      <c r="U5303" s="3" t="s">
        <v>289</v>
      </c>
      <c r="V5303" s="3" t="s">
        <v>64</v>
      </c>
      <c r="W5303" s="3" t="s">
        <v>2115</v>
      </c>
      <c r="X5303" s="10" t="s">
        <v>25122</v>
      </c>
      <c r="Y5303" s="6" t="s">
        <v>55</v>
      </c>
      <c r="Z5303" s="4">
        <v>47.88</v>
      </c>
      <c r="AA5303" s="4">
        <v>254.11</v>
      </c>
      <c r="AB5303" s="3" t="s">
        <v>43</v>
      </c>
      <c r="AC5303" s="3" t="s">
        <v>2117</v>
      </c>
      <c r="AD5303" s="9">
        <v>43273</v>
      </c>
      <c r="AE5303" s="3" t="s">
        <v>292</v>
      </c>
      <c r="AF5303" s="3" t="s">
        <v>2118</v>
      </c>
      <c r="AG5303" s="3" t="s">
        <v>81</v>
      </c>
      <c r="AH5303" s="11">
        <f>HYPERLINK("https://my.pitchbook.com?c=107073-91T","View Company Online")</f>
      </c>
    </row>
    <row r="5304">
      <c r="A5304" s="12" t="s">
        <v>25123</v>
      </c>
      <c r="B5304" s="12" t="s">
        <v>25124</v>
      </c>
      <c r="C5304" s="19">
        <v>8</v>
      </c>
      <c r="D5304" s="19">
        <v>23</v>
      </c>
      <c r="E5304" s="19">
        <v>28</v>
      </c>
      <c r="F5304" s="19">
        <v>58</v>
      </c>
      <c r="G5304" s="15" t="s">
        <v>36</v>
      </c>
      <c r="H5304" s="14" t="s">
        <v>36</v>
      </c>
      <c r="I5304" s="18" t="s">
        <v>36</v>
      </c>
      <c r="J5304" s="12" t="s">
        <v>36</v>
      </c>
      <c r="K5304" s="13" t="s">
        <v>36</v>
      </c>
      <c r="L5304" s="15" t="s">
        <v>36</v>
      </c>
      <c r="M5304" s="12" t="s">
        <v>36</v>
      </c>
      <c r="N5304" s="12" t="s">
        <v>36</v>
      </c>
      <c r="O5304" s="17" t="s">
        <v>36</v>
      </c>
      <c r="P5304" s="12" t="s">
        <v>36</v>
      </c>
      <c r="Q5304" s="12" t="s">
        <v>36</v>
      </c>
      <c r="R5304" s="12" t="s">
        <v>36</v>
      </c>
      <c r="S5304" s="12" t="s">
        <v>36</v>
      </c>
      <c r="T5304" s="12" t="s">
        <v>818</v>
      </c>
      <c r="U5304" s="12" t="s">
        <v>74</v>
      </c>
      <c r="V5304" s="12" t="s">
        <v>75</v>
      </c>
      <c r="W5304" s="12" t="s">
        <v>25125</v>
      </c>
      <c r="X5304" s="16" t="s">
        <v>25126</v>
      </c>
      <c r="Y5304" s="15" t="s">
        <v>55</v>
      </c>
      <c r="Z5304" s="14">
        <v>1.17</v>
      </c>
      <c r="AA5304" s="14" t="s">
        <v>36</v>
      </c>
      <c r="AB5304" s="12" t="s">
        <v>43</v>
      </c>
      <c r="AC5304" s="12" t="s">
        <v>25127</v>
      </c>
      <c r="AD5304" s="13">
        <v>43273</v>
      </c>
      <c r="AE5304" s="12" t="s">
        <v>570</v>
      </c>
      <c r="AF5304" s="12" t="s">
        <v>372</v>
      </c>
      <c r="AG5304" s="12" t="s">
        <v>2760</v>
      </c>
      <c r="AH5304" s="1">
        <f>HYPERLINK("https://my.pitchbook.com?c=175414-96T","View Company Online")</f>
      </c>
    </row>
    <row r="5305">
      <c r="A5305" s="3" t="s">
        <v>25128</v>
      </c>
      <c r="B5305" s="3" t="s">
        <v>13934</v>
      </c>
      <c r="C5305" s="5">
        <v>1</v>
      </c>
      <c r="D5305" s="5">
        <v>16</v>
      </c>
      <c r="E5305" s="5">
        <v>3</v>
      </c>
      <c r="F5305" s="5">
        <v>18</v>
      </c>
      <c r="G5305" s="6" t="s">
        <v>683</v>
      </c>
      <c r="H5305" s="4">
        <v>419.8</v>
      </c>
      <c r="I5305" s="7">
        <v>11.82</v>
      </c>
      <c r="J5305" s="3" t="s">
        <v>521</v>
      </c>
      <c r="K5305" s="9" t="s">
        <v>36</v>
      </c>
      <c r="L5305" s="6" t="s">
        <v>36</v>
      </c>
      <c r="M5305" s="3" t="s">
        <v>36</v>
      </c>
      <c r="N5305" s="3" t="s">
        <v>36</v>
      </c>
      <c r="O5305" s="8" t="s">
        <v>36</v>
      </c>
      <c r="P5305" s="3" t="s">
        <v>36</v>
      </c>
      <c r="Q5305" s="3" t="s">
        <v>36</v>
      </c>
      <c r="R5305" s="3" t="s">
        <v>36</v>
      </c>
      <c r="S5305" s="3" t="s">
        <v>8864</v>
      </c>
      <c r="T5305" s="3" t="s">
        <v>927</v>
      </c>
      <c r="U5305" s="3" t="s">
        <v>219</v>
      </c>
      <c r="V5305" s="3" t="s">
        <v>75</v>
      </c>
      <c r="W5305" s="3" t="s">
        <v>13935</v>
      </c>
      <c r="X5305" s="10" t="s">
        <v>25129</v>
      </c>
      <c r="Y5305" s="6" t="s">
        <v>108</v>
      </c>
      <c r="Z5305" s="4">
        <v>0.83</v>
      </c>
      <c r="AA5305" s="4">
        <v>7.04</v>
      </c>
      <c r="AB5305" s="3" t="s">
        <v>43</v>
      </c>
      <c r="AC5305" s="3" t="s">
        <v>13937</v>
      </c>
      <c r="AD5305" s="9">
        <v>43273</v>
      </c>
      <c r="AE5305" s="3" t="s">
        <v>243</v>
      </c>
      <c r="AF5305" s="3" t="s">
        <v>3114</v>
      </c>
      <c r="AG5305" s="3" t="s">
        <v>81</v>
      </c>
      <c r="AH5305" s="11">
        <f>HYPERLINK("https://my.pitchbook.com?c=120168-46T","View Company Online")</f>
      </c>
    </row>
    <row r="5306">
      <c r="A5306" s="12" t="s">
        <v>25130</v>
      </c>
      <c r="B5306" s="12" t="s">
        <v>21859</v>
      </c>
      <c r="C5306" s="19" t="s">
        <v>36</v>
      </c>
      <c r="D5306" s="19" t="s">
        <v>36</v>
      </c>
      <c r="E5306" s="19" t="s">
        <v>36</v>
      </c>
      <c r="F5306" s="19" t="s">
        <v>36</v>
      </c>
      <c r="G5306" s="15" t="s">
        <v>36</v>
      </c>
      <c r="H5306" s="14" t="s">
        <v>36</v>
      </c>
      <c r="I5306" s="18" t="s">
        <v>36</v>
      </c>
      <c r="J5306" s="12" t="s">
        <v>36</v>
      </c>
      <c r="K5306" s="13" t="s">
        <v>36</v>
      </c>
      <c r="L5306" s="15" t="s">
        <v>36</v>
      </c>
      <c r="M5306" s="12" t="s">
        <v>36</v>
      </c>
      <c r="N5306" s="12" t="s">
        <v>36</v>
      </c>
      <c r="O5306" s="17" t="s">
        <v>36</v>
      </c>
      <c r="P5306" s="12" t="s">
        <v>36</v>
      </c>
      <c r="Q5306" s="12" t="s">
        <v>36</v>
      </c>
      <c r="R5306" s="12" t="s">
        <v>36</v>
      </c>
      <c r="S5306" s="12" t="s">
        <v>36</v>
      </c>
      <c r="T5306" s="12" t="s">
        <v>3505</v>
      </c>
      <c r="U5306" s="12" t="s">
        <v>85</v>
      </c>
      <c r="V5306" s="12" t="s">
        <v>64</v>
      </c>
      <c r="W5306" s="12" t="s">
        <v>21860</v>
      </c>
      <c r="X5306" s="16" t="s">
        <v>25131</v>
      </c>
      <c r="Y5306" s="15" t="s">
        <v>55</v>
      </c>
      <c r="Z5306" s="14">
        <v>1.58</v>
      </c>
      <c r="AA5306" s="14" t="s">
        <v>36</v>
      </c>
      <c r="AB5306" s="12" t="s">
        <v>56</v>
      </c>
      <c r="AC5306" s="12" t="s">
        <v>21861</v>
      </c>
      <c r="AD5306" s="13">
        <v>43272</v>
      </c>
      <c r="AE5306" s="12" t="s">
        <v>89</v>
      </c>
      <c r="AF5306" s="12" t="s">
        <v>12614</v>
      </c>
      <c r="AG5306" s="12" t="s">
        <v>81</v>
      </c>
      <c r="AH5306" s="1">
        <f>HYPERLINK("https://my.pitchbook.com?c=206061-40T","View Company Online")</f>
      </c>
    </row>
    <row r="5307">
      <c r="A5307" s="3" t="s">
        <v>25132</v>
      </c>
      <c r="B5307" s="3" t="s">
        <v>25133</v>
      </c>
      <c r="C5307" s="5">
        <v>2</v>
      </c>
      <c r="D5307" s="5">
        <v>6</v>
      </c>
      <c r="E5307" s="5">
        <v>5</v>
      </c>
      <c r="F5307" s="5">
        <v>12</v>
      </c>
      <c r="G5307" s="6" t="s">
        <v>36</v>
      </c>
      <c r="H5307" s="4" t="s">
        <v>36</v>
      </c>
      <c r="I5307" s="7" t="s">
        <v>36</v>
      </c>
      <c r="J5307" s="3" t="s">
        <v>36</v>
      </c>
      <c r="K5307" s="9" t="s">
        <v>36</v>
      </c>
      <c r="L5307" s="6" t="s">
        <v>36</v>
      </c>
      <c r="M5307" s="3" t="s">
        <v>36</v>
      </c>
      <c r="N5307" s="3" t="s">
        <v>36</v>
      </c>
      <c r="O5307" s="8" t="s">
        <v>36</v>
      </c>
      <c r="P5307" s="3" t="s">
        <v>36</v>
      </c>
      <c r="Q5307" s="3" t="s">
        <v>36</v>
      </c>
      <c r="R5307" s="3" t="s">
        <v>36</v>
      </c>
      <c r="S5307" s="3" t="s">
        <v>36</v>
      </c>
      <c r="T5307" s="3" t="s">
        <v>9026</v>
      </c>
      <c r="U5307" s="3" t="s">
        <v>96</v>
      </c>
      <c r="V5307" s="3" t="s">
        <v>52</v>
      </c>
      <c r="W5307" s="3" t="s">
        <v>25134</v>
      </c>
      <c r="X5307" s="10" t="s">
        <v>25135</v>
      </c>
      <c r="Y5307" s="6" t="s">
        <v>192</v>
      </c>
      <c r="Z5307" s="4">
        <v>1.52</v>
      </c>
      <c r="AA5307" s="4" t="s">
        <v>36</v>
      </c>
      <c r="AB5307" s="3" t="s">
        <v>56</v>
      </c>
      <c r="AC5307" s="3" t="s">
        <v>25136</v>
      </c>
      <c r="AD5307" s="9">
        <v>43272</v>
      </c>
      <c r="AE5307" s="3" t="s">
        <v>100</v>
      </c>
      <c r="AF5307" s="3" t="s">
        <v>885</v>
      </c>
      <c r="AG5307" s="3" t="s">
        <v>81</v>
      </c>
      <c r="AH5307" s="11">
        <f>HYPERLINK("https://my.pitchbook.com?c=107764-39T","View Company Online")</f>
      </c>
    </row>
    <row r="5308">
      <c r="A5308" s="12" t="s">
        <v>25137</v>
      </c>
      <c r="B5308" s="12" t="s">
        <v>18918</v>
      </c>
      <c r="C5308" s="19" t="s">
        <v>36</v>
      </c>
      <c r="D5308" s="19" t="s">
        <v>36</v>
      </c>
      <c r="E5308" s="19" t="s">
        <v>36</v>
      </c>
      <c r="F5308" s="19" t="s">
        <v>36</v>
      </c>
      <c r="G5308" s="15" t="s">
        <v>36</v>
      </c>
      <c r="H5308" s="14" t="s">
        <v>36</v>
      </c>
      <c r="I5308" s="18" t="s">
        <v>36</v>
      </c>
      <c r="J5308" s="12" t="s">
        <v>36</v>
      </c>
      <c r="K5308" s="13" t="s">
        <v>36</v>
      </c>
      <c r="L5308" s="15" t="s">
        <v>36</v>
      </c>
      <c r="M5308" s="12" t="s">
        <v>36</v>
      </c>
      <c r="N5308" s="12" t="s">
        <v>36</v>
      </c>
      <c r="O5308" s="17" t="s">
        <v>36</v>
      </c>
      <c r="P5308" s="12" t="s">
        <v>36</v>
      </c>
      <c r="Q5308" s="12" t="s">
        <v>36</v>
      </c>
      <c r="R5308" s="12" t="s">
        <v>36</v>
      </c>
      <c r="S5308" s="12" t="s">
        <v>36</v>
      </c>
      <c r="T5308" s="12" t="s">
        <v>1299</v>
      </c>
      <c r="U5308" s="12" t="s">
        <v>38</v>
      </c>
      <c r="V5308" s="12" t="s">
        <v>39</v>
      </c>
      <c r="W5308" s="12" t="s">
        <v>18919</v>
      </c>
      <c r="X5308" s="16" t="s">
        <v>18920</v>
      </c>
      <c r="Y5308" s="15" t="s">
        <v>55</v>
      </c>
      <c r="Z5308" s="14">
        <v>4.67</v>
      </c>
      <c r="AA5308" s="14" t="s">
        <v>36</v>
      </c>
      <c r="AB5308" s="12" t="s">
        <v>43</v>
      </c>
      <c r="AC5308" s="12" t="s">
        <v>18921</v>
      </c>
      <c r="AD5308" s="13">
        <v>43272</v>
      </c>
      <c r="AE5308" s="12" t="s">
        <v>110</v>
      </c>
      <c r="AF5308" s="12" t="s">
        <v>1401</v>
      </c>
      <c r="AG5308" s="12" t="s">
        <v>81</v>
      </c>
      <c r="AH5308" s="1">
        <f>HYPERLINK("https://my.pitchbook.com?c=107703-73T","View Company Online")</f>
      </c>
    </row>
    <row r="5309">
      <c r="A5309" s="3" t="s">
        <v>25138</v>
      </c>
      <c r="B5309" s="3" t="s">
        <v>25139</v>
      </c>
      <c r="C5309" s="5" t="s">
        <v>36</v>
      </c>
      <c r="D5309" s="5" t="s">
        <v>36</v>
      </c>
      <c r="E5309" s="5" t="s">
        <v>36</v>
      </c>
      <c r="F5309" s="5" t="s">
        <v>36</v>
      </c>
      <c r="G5309" s="6" t="s">
        <v>36</v>
      </c>
      <c r="H5309" s="4">
        <v>8.31</v>
      </c>
      <c r="I5309" s="7">
        <v>13.67</v>
      </c>
      <c r="J5309" s="3" t="s">
        <v>521</v>
      </c>
      <c r="K5309" s="9">
        <v>43216</v>
      </c>
      <c r="L5309" s="6" t="s">
        <v>36</v>
      </c>
      <c r="M5309" s="3" t="s">
        <v>36</v>
      </c>
      <c r="N5309" s="3" t="s">
        <v>36</v>
      </c>
      <c r="O5309" s="8" t="s">
        <v>36</v>
      </c>
      <c r="P5309" s="3" t="s">
        <v>36</v>
      </c>
      <c r="Q5309" s="3" t="s">
        <v>36</v>
      </c>
      <c r="R5309" s="3" t="s">
        <v>36</v>
      </c>
      <c r="S5309" s="3" t="s">
        <v>36</v>
      </c>
      <c r="T5309" s="3" t="s">
        <v>25140</v>
      </c>
      <c r="U5309" s="3" t="s">
        <v>219</v>
      </c>
      <c r="V5309" s="3" t="s">
        <v>75</v>
      </c>
      <c r="W5309" s="3" t="s">
        <v>25141</v>
      </c>
      <c r="X5309" s="10" t="s">
        <v>1872</v>
      </c>
      <c r="Y5309" s="6" t="s">
        <v>42</v>
      </c>
      <c r="Z5309" s="4">
        <v>0.2</v>
      </c>
      <c r="AA5309" s="4">
        <v>1.5</v>
      </c>
      <c r="AB5309" s="3" t="s">
        <v>43</v>
      </c>
      <c r="AC5309" s="3" t="s">
        <v>25142</v>
      </c>
      <c r="AD5309" s="9">
        <v>43271</v>
      </c>
      <c r="AE5309" s="3" t="s">
        <v>1912</v>
      </c>
      <c r="AF5309" s="3" t="s">
        <v>372</v>
      </c>
      <c r="AG5309" s="3" t="s">
        <v>25143</v>
      </c>
      <c r="AH5309" s="11">
        <f>HYPERLINK("https://my.pitchbook.com?c=117967-51T","View Company Online")</f>
      </c>
    </row>
    <row r="5310">
      <c r="A5310" s="12" t="s">
        <v>25144</v>
      </c>
      <c r="B5310" s="12" t="s">
        <v>20736</v>
      </c>
      <c r="C5310" s="19" t="s">
        <v>36</v>
      </c>
      <c r="D5310" s="19" t="s">
        <v>36</v>
      </c>
      <c r="E5310" s="19" t="s">
        <v>36</v>
      </c>
      <c r="F5310" s="19" t="s">
        <v>36</v>
      </c>
      <c r="G5310" s="15" t="s">
        <v>36</v>
      </c>
      <c r="H5310" s="14">
        <v>21.43</v>
      </c>
      <c r="I5310" s="18">
        <v>28.02</v>
      </c>
      <c r="J5310" s="12" t="s">
        <v>521</v>
      </c>
      <c r="K5310" s="13">
        <v>42982</v>
      </c>
      <c r="L5310" s="15" t="s">
        <v>122</v>
      </c>
      <c r="M5310" s="12" t="s">
        <v>36</v>
      </c>
      <c r="N5310" s="12" t="s">
        <v>122</v>
      </c>
      <c r="O5310" s="17" t="s">
        <v>36</v>
      </c>
      <c r="P5310" s="12" t="s">
        <v>36</v>
      </c>
      <c r="Q5310" s="12" t="s">
        <v>36</v>
      </c>
      <c r="R5310" s="12" t="s">
        <v>36</v>
      </c>
      <c r="S5310" s="12" t="s">
        <v>36</v>
      </c>
      <c r="T5310" s="12" t="s">
        <v>2609</v>
      </c>
      <c r="U5310" s="12" t="s">
        <v>423</v>
      </c>
      <c r="V5310" s="12" t="s">
        <v>64</v>
      </c>
      <c r="W5310" s="12" t="s">
        <v>20737</v>
      </c>
      <c r="X5310" s="16" t="s">
        <v>25145</v>
      </c>
      <c r="Y5310" s="15" t="s">
        <v>55</v>
      </c>
      <c r="Z5310" s="14">
        <v>17.53</v>
      </c>
      <c r="AA5310" s="14">
        <v>42.97</v>
      </c>
      <c r="AB5310" s="12" t="s">
        <v>56</v>
      </c>
      <c r="AC5310" s="12" t="s">
        <v>20739</v>
      </c>
      <c r="AD5310" s="13">
        <v>43271</v>
      </c>
      <c r="AE5310" s="12" t="s">
        <v>562</v>
      </c>
      <c r="AF5310" s="12" t="s">
        <v>1061</v>
      </c>
      <c r="AG5310" s="12" t="s">
        <v>81</v>
      </c>
      <c r="AH5310" s="1">
        <f>HYPERLINK("https://my.pitchbook.com?c=107625-52T","View Company Online")</f>
      </c>
    </row>
    <row r="5311">
      <c r="A5311" s="3" t="s">
        <v>25146</v>
      </c>
      <c r="B5311" s="3" t="s">
        <v>15460</v>
      </c>
      <c r="C5311" s="5">
        <v>1</v>
      </c>
      <c r="D5311" s="5">
        <v>14</v>
      </c>
      <c r="E5311" s="5">
        <v>6</v>
      </c>
      <c r="F5311" s="5">
        <v>20</v>
      </c>
      <c r="G5311" s="6" t="s">
        <v>36</v>
      </c>
      <c r="H5311" s="4">
        <v>97.37</v>
      </c>
      <c r="I5311" s="7">
        <v>15.01</v>
      </c>
      <c r="J5311" s="3" t="s">
        <v>521</v>
      </c>
      <c r="K5311" s="9" t="s">
        <v>36</v>
      </c>
      <c r="L5311" s="6" t="s">
        <v>36</v>
      </c>
      <c r="M5311" s="3" t="s">
        <v>36</v>
      </c>
      <c r="N5311" s="3" t="s">
        <v>36</v>
      </c>
      <c r="O5311" s="8" t="s">
        <v>36</v>
      </c>
      <c r="P5311" s="3" t="s">
        <v>36</v>
      </c>
      <c r="Q5311" s="3" t="s">
        <v>36</v>
      </c>
      <c r="R5311" s="3" t="s">
        <v>36</v>
      </c>
      <c r="S5311" s="3" t="s">
        <v>36</v>
      </c>
      <c r="T5311" s="3" t="s">
        <v>2321</v>
      </c>
      <c r="U5311" s="3" t="s">
        <v>51</v>
      </c>
      <c r="V5311" s="3" t="s">
        <v>52</v>
      </c>
      <c r="W5311" s="3" t="s">
        <v>15461</v>
      </c>
      <c r="X5311" s="10" t="s">
        <v>19009</v>
      </c>
      <c r="Y5311" s="6" t="s">
        <v>192</v>
      </c>
      <c r="Z5311" s="4">
        <v>4.09</v>
      </c>
      <c r="AA5311" s="4">
        <v>27.25</v>
      </c>
      <c r="AB5311" s="3" t="s">
        <v>43</v>
      </c>
      <c r="AC5311" s="3" t="s">
        <v>15463</v>
      </c>
      <c r="AD5311" s="9">
        <v>43271</v>
      </c>
      <c r="AE5311" s="3" t="s">
        <v>504</v>
      </c>
      <c r="AF5311" s="3" t="s">
        <v>665</v>
      </c>
      <c r="AG5311" s="3" t="s">
        <v>144</v>
      </c>
      <c r="AH5311" s="11">
        <f>HYPERLINK("https://my.pitchbook.com?c=194730-22T","View Company Online")</f>
      </c>
    </row>
    <row r="5312">
      <c r="A5312" s="12" t="s">
        <v>25147</v>
      </c>
      <c r="B5312" s="12" t="s">
        <v>15609</v>
      </c>
      <c r="C5312" s="19" t="s">
        <v>36</v>
      </c>
      <c r="D5312" s="19" t="s">
        <v>36</v>
      </c>
      <c r="E5312" s="19" t="s">
        <v>36</v>
      </c>
      <c r="F5312" s="19" t="s">
        <v>36</v>
      </c>
      <c r="G5312" s="15" t="s">
        <v>36</v>
      </c>
      <c r="H5312" s="14" t="s">
        <v>36</v>
      </c>
      <c r="I5312" s="18" t="s">
        <v>36</v>
      </c>
      <c r="J5312" s="12" t="s">
        <v>36</v>
      </c>
      <c r="K5312" s="13" t="s">
        <v>36</v>
      </c>
      <c r="L5312" s="15" t="s">
        <v>36</v>
      </c>
      <c r="M5312" s="12" t="s">
        <v>36</v>
      </c>
      <c r="N5312" s="12" t="s">
        <v>36</v>
      </c>
      <c r="O5312" s="17" t="s">
        <v>36</v>
      </c>
      <c r="P5312" s="12" t="s">
        <v>36</v>
      </c>
      <c r="Q5312" s="12" t="s">
        <v>36</v>
      </c>
      <c r="R5312" s="12" t="s">
        <v>36</v>
      </c>
      <c r="S5312" s="12" t="s">
        <v>36</v>
      </c>
      <c r="T5312" s="12" t="s">
        <v>522</v>
      </c>
      <c r="U5312" s="12" t="s">
        <v>38</v>
      </c>
      <c r="V5312" s="12" t="s">
        <v>39</v>
      </c>
      <c r="W5312" s="12" t="s">
        <v>15610</v>
      </c>
      <c r="X5312" s="16" t="s">
        <v>25148</v>
      </c>
      <c r="Y5312" s="15" t="s">
        <v>42</v>
      </c>
      <c r="Z5312" s="14">
        <v>0.58</v>
      </c>
      <c r="AA5312" s="14" t="s">
        <v>36</v>
      </c>
      <c r="AB5312" s="12" t="s">
        <v>56</v>
      </c>
      <c r="AC5312" s="12" t="s">
        <v>15612</v>
      </c>
      <c r="AD5312" s="13">
        <v>43271</v>
      </c>
      <c r="AE5312" s="12" t="s">
        <v>110</v>
      </c>
      <c r="AF5312" s="12" t="s">
        <v>3904</v>
      </c>
      <c r="AG5312" s="12" t="s">
        <v>81</v>
      </c>
      <c r="AH5312" s="1">
        <f>HYPERLINK("https://my.pitchbook.com?c=94724-20T","View Company Online")</f>
      </c>
    </row>
    <row r="5313">
      <c r="A5313" s="3" t="s">
        <v>25149</v>
      </c>
      <c r="B5313" s="3" t="s">
        <v>25150</v>
      </c>
      <c r="C5313" s="5" t="s">
        <v>36</v>
      </c>
      <c r="D5313" s="5" t="s">
        <v>36</v>
      </c>
      <c r="E5313" s="5" t="s">
        <v>36</v>
      </c>
      <c r="F5313" s="5" t="s">
        <v>36</v>
      </c>
      <c r="G5313" s="6" t="s">
        <v>36</v>
      </c>
      <c r="H5313" s="4" t="s">
        <v>36</v>
      </c>
      <c r="I5313" s="7" t="s">
        <v>36</v>
      </c>
      <c r="J5313" s="3" t="s">
        <v>36</v>
      </c>
      <c r="K5313" s="9" t="s">
        <v>36</v>
      </c>
      <c r="L5313" s="6" t="s">
        <v>36</v>
      </c>
      <c r="M5313" s="3" t="s">
        <v>36</v>
      </c>
      <c r="N5313" s="3" t="s">
        <v>36</v>
      </c>
      <c r="O5313" s="8" t="s">
        <v>36</v>
      </c>
      <c r="P5313" s="3" t="s">
        <v>36</v>
      </c>
      <c r="Q5313" s="3" t="s">
        <v>36</v>
      </c>
      <c r="R5313" s="3" t="s">
        <v>36</v>
      </c>
      <c r="S5313" s="3" t="s">
        <v>36</v>
      </c>
      <c r="T5313" s="3" t="s">
        <v>647</v>
      </c>
      <c r="U5313" s="3" t="s">
        <v>648</v>
      </c>
      <c r="V5313" s="3" t="s">
        <v>64</v>
      </c>
      <c r="W5313" s="3" t="s">
        <v>25151</v>
      </c>
      <c r="X5313" s="10" t="s">
        <v>25152</v>
      </c>
      <c r="Y5313" s="6" t="s">
        <v>42</v>
      </c>
      <c r="Z5313" s="4">
        <v>0.23</v>
      </c>
      <c r="AA5313" s="4" t="s">
        <v>36</v>
      </c>
      <c r="AB5313" s="3" t="s">
        <v>56</v>
      </c>
      <c r="AC5313" s="3" t="s">
        <v>25153</v>
      </c>
      <c r="AD5313" s="9">
        <v>43271</v>
      </c>
      <c r="AE5313" s="3" t="s">
        <v>651</v>
      </c>
      <c r="AF5313" s="3" t="s">
        <v>36</v>
      </c>
      <c r="AG5313" s="3" t="s">
        <v>81</v>
      </c>
      <c r="AH5313" s="11">
        <f>HYPERLINK("https://my.pitchbook.com?c=169816-51T","View Company Online")</f>
      </c>
    </row>
    <row r="5314">
      <c r="A5314" s="12" t="s">
        <v>25154</v>
      </c>
      <c r="B5314" s="12" t="s">
        <v>25155</v>
      </c>
      <c r="C5314" s="19" t="s">
        <v>36</v>
      </c>
      <c r="D5314" s="19">
        <v>12</v>
      </c>
      <c r="E5314" s="19">
        <v>3</v>
      </c>
      <c r="F5314" s="19">
        <v>14</v>
      </c>
      <c r="G5314" s="15" t="s">
        <v>683</v>
      </c>
      <c r="H5314" s="14">
        <v>332.34</v>
      </c>
      <c r="I5314" s="18">
        <v>7.09</v>
      </c>
      <c r="J5314" s="12" t="s">
        <v>521</v>
      </c>
      <c r="K5314" s="13">
        <v>43083</v>
      </c>
      <c r="L5314" s="15" t="s">
        <v>36</v>
      </c>
      <c r="M5314" s="12" t="s">
        <v>36</v>
      </c>
      <c r="N5314" s="12" t="s">
        <v>36</v>
      </c>
      <c r="O5314" s="17" t="s">
        <v>36</v>
      </c>
      <c r="P5314" s="12" t="s">
        <v>36</v>
      </c>
      <c r="Q5314" s="12" t="s">
        <v>36</v>
      </c>
      <c r="R5314" s="12" t="s">
        <v>36</v>
      </c>
      <c r="S5314" s="12" t="s">
        <v>36</v>
      </c>
      <c r="T5314" s="12" t="s">
        <v>25156</v>
      </c>
      <c r="U5314" s="12" t="s">
        <v>38</v>
      </c>
      <c r="V5314" s="12" t="s">
        <v>39</v>
      </c>
      <c r="W5314" s="12" t="s">
        <v>25157</v>
      </c>
      <c r="X5314" s="16" t="s">
        <v>25158</v>
      </c>
      <c r="Y5314" s="15" t="s">
        <v>166</v>
      </c>
      <c r="Z5314" s="14">
        <v>0.94</v>
      </c>
      <c r="AA5314" s="14">
        <v>13.19</v>
      </c>
      <c r="AB5314" s="12" t="s">
        <v>56</v>
      </c>
      <c r="AC5314" s="12" t="s">
        <v>25159</v>
      </c>
      <c r="AD5314" s="13">
        <v>43270</v>
      </c>
      <c r="AE5314" s="12" t="s">
        <v>339</v>
      </c>
      <c r="AF5314" s="12" t="s">
        <v>176</v>
      </c>
      <c r="AG5314" s="12" t="s">
        <v>47</v>
      </c>
      <c r="AH5314" s="1">
        <f>HYPERLINK("https://my.pitchbook.com?c=191732-05T","View Company Online")</f>
      </c>
    </row>
    <row r="5315">
      <c r="A5315" s="3" t="s">
        <v>25160</v>
      </c>
      <c r="B5315" s="3" t="s">
        <v>13628</v>
      </c>
      <c r="C5315" s="5">
        <v>3</v>
      </c>
      <c r="D5315" s="5">
        <v>23</v>
      </c>
      <c r="E5315" s="5">
        <v>6</v>
      </c>
      <c r="F5315" s="5">
        <v>26</v>
      </c>
      <c r="G5315" s="6" t="s">
        <v>36</v>
      </c>
      <c r="H5315" s="4">
        <v>3874.89</v>
      </c>
      <c r="I5315" s="7">
        <v>15.02</v>
      </c>
      <c r="J5315" s="3" t="s">
        <v>36</v>
      </c>
      <c r="K5315" s="9" t="s">
        <v>36</v>
      </c>
      <c r="L5315" s="6" t="s">
        <v>122</v>
      </c>
      <c r="M5315" s="3" t="s">
        <v>36</v>
      </c>
      <c r="N5315" s="3" t="s">
        <v>122</v>
      </c>
      <c r="O5315" s="8" t="s">
        <v>36</v>
      </c>
      <c r="P5315" s="3" t="s">
        <v>36</v>
      </c>
      <c r="Q5315" s="3" t="s">
        <v>36</v>
      </c>
      <c r="R5315" s="3" t="s">
        <v>36</v>
      </c>
      <c r="S5315" s="3" t="s">
        <v>36</v>
      </c>
      <c r="T5315" s="3" t="s">
        <v>13629</v>
      </c>
      <c r="U5315" s="3" t="s">
        <v>38</v>
      </c>
      <c r="V5315" s="3" t="s">
        <v>39</v>
      </c>
      <c r="W5315" s="3" t="s">
        <v>13630</v>
      </c>
      <c r="X5315" s="10" t="s">
        <v>25161</v>
      </c>
      <c r="Y5315" s="6" t="s">
        <v>55</v>
      </c>
      <c r="Z5315" s="4">
        <v>11.69</v>
      </c>
      <c r="AA5315" s="4" t="s">
        <v>36</v>
      </c>
      <c r="AB5315" s="3" t="s">
        <v>43</v>
      </c>
      <c r="AC5315" s="3" t="s">
        <v>13632</v>
      </c>
      <c r="AD5315" s="9">
        <v>43270</v>
      </c>
      <c r="AE5315" s="3" t="s">
        <v>339</v>
      </c>
      <c r="AF5315" s="3" t="s">
        <v>815</v>
      </c>
      <c r="AG5315" s="3" t="s">
        <v>2760</v>
      </c>
      <c r="AH5315" s="11">
        <f>HYPERLINK("https://my.pitchbook.com?c=106936-03T","View Company Online")</f>
      </c>
    </row>
    <row r="5316">
      <c r="A5316" s="12" t="s">
        <v>25162</v>
      </c>
      <c r="B5316" s="12" t="s">
        <v>20686</v>
      </c>
      <c r="C5316" s="19" t="s">
        <v>36</v>
      </c>
      <c r="D5316" s="19" t="s">
        <v>36</v>
      </c>
      <c r="E5316" s="19">
        <v>1</v>
      </c>
      <c r="F5316" s="19">
        <v>1</v>
      </c>
      <c r="G5316" s="15" t="s">
        <v>36</v>
      </c>
      <c r="H5316" s="14" t="s">
        <v>36</v>
      </c>
      <c r="I5316" s="18" t="s">
        <v>36</v>
      </c>
      <c r="J5316" s="12" t="s">
        <v>36</v>
      </c>
      <c r="K5316" s="13" t="s">
        <v>36</v>
      </c>
      <c r="L5316" s="15" t="s">
        <v>94</v>
      </c>
      <c r="M5316" s="12" t="s">
        <v>36</v>
      </c>
      <c r="N5316" s="12" t="s">
        <v>94</v>
      </c>
      <c r="O5316" s="17" t="s">
        <v>36</v>
      </c>
      <c r="P5316" s="12" t="s">
        <v>36</v>
      </c>
      <c r="Q5316" s="12" t="s">
        <v>36</v>
      </c>
      <c r="R5316" s="12" t="s">
        <v>36</v>
      </c>
      <c r="S5316" s="12" t="s">
        <v>36</v>
      </c>
      <c r="T5316" s="12" t="s">
        <v>105</v>
      </c>
      <c r="U5316" s="12" t="s">
        <v>38</v>
      </c>
      <c r="V5316" s="12" t="s">
        <v>39</v>
      </c>
      <c r="W5316" s="12" t="s">
        <v>20687</v>
      </c>
      <c r="X5316" s="16" t="s">
        <v>25163</v>
      </c>
      <c r="Y5316" s="15" t="s">
        <v>55</v>
      </c>
      <c r="Z5316" s="14">
        <v>14.03</v>
      </c>
      <c r="AA5316" s="14" t="s">
        <v>36</v>
      </c>
      <c r="AB5316" s="12" t="s">
        <v>43</v>
      </c>
      <c r="AC5316" s="12" t="s">
        <v>20689</v>
      </c>
      <c r="AD5316" s="13">
        <v>43270</v>
      </c>
      <c r="AE5316" s="12" t="s">
        <v>110</v>
      </c>
      <c r="AF5316" s="12" t="s">
        <v>615</v>
      </c>
      <c r="AG5316" s="12" t="s">
        <v>81</v>
      </c>
      <c r="AH5316" s="1">
        <f>HYPERLINK("https://my.pitchbook.com?c=107630-02T","View Company Online")</f>
      </c>
    </row>
    <row r="5317">
      <c r="A5317" s="3" t="s">
        <v>25164</v>
      </c>
      <c r="B5317" s="3" t="s">
        <v>25165</v>
      </c>
      <c r="C5317" s="5" t="s">
        <v>36</v>
      </c>
      <c r="D5317" s="5" t="s">
        <v>36</v>
      </c>
      <c r="E5317" s="5" t="s">
        <v>36</v>
      </c>
      <c r="F5317" s="5" t="s">
        <v>36</v>
      </c>
      <c r="G5317" s="6" t="s">
        <v>36</v>
      </c>
      <c r="H5317" s="4">
        <v>311.57</v>
      </c>
      <c r="I5317" s="7">
        <v>28.57</v>
      </c>
      <c r="J5317" s="3" t="s">
        <v>521</v>
      </c>
      <c r="K5317" s="9" t="s">
        <v>36</v>
      </c>
      <c r="L5317" s="6" t="s">
        <v>36</v>
      </c>
      <c r="M5317" s="3" t="s">
        <v>36</v>
      </c>
      <c r="N5317" s="3" t="s">
        <v>36</v>
      </c>
      <c r="O5317" s="8" t="s">
        <v>36</v>
      </c>
      <c r="P5317" s="3" t="s">
        <v>36</v>
      </c>
      <c r="Q5317" s="3" t="s">
        <v>36</v>
      </c>
      <c r="R5317" s="3" t="s">
        <v>36</v>
      </c>
      <c r="S5317" s="3" t="s">
        <v>36</v>
      </c>
      <c r="T5317" s="3" t="s">
        <v>1863</v>
      </c>
      <c r="U5317" s="3" t="s">
        <v>96</v>
      </c>
      <c r="V5317" s="3" t="s">
        <v>52</v>
      </c>
      <c r="W5317" s="3" t="s">
        <v>25166</v>
      </c>
      <c r="X5317" s="10" t="s">
        <v>25167</v>
      </c>
      <c r="Y5317" s="6" t="s">
        <v>42</v>
      </c>
      <c r="Z5317" s="4">
        <v>0.53</v>
      </c>
      <c r="AA5317" s="4">
        <v>1.23</v>
      </c>
      <c r="AB5317" s="3" t="s">
        <v>43</v>
      </c>
      <c r="AC5317" s="3" t="s">
        <v>25168</v>
      </c>
      <c r="AD5317" s="9">
        <v>43269</v>
      </c>
      <c r="AE5317" s="3" t="s">
        <v>1414</v>
      </c>
      <c r="AF5317" s="3" t="s">
        <v>12554</v>
      </c>
      <c r="AG5317" s="3" t="s">
        <v>5504</v>
      </c>
      <c r="AH5317" s="11">
        <f>HYPERLINK("https://my.pitchbook.com?c=117362-89T","View Company Online")</f>
      </c>
    </row>
    <row r="5318">
      <c r="A5318" s="12" t="s">
        <v>25169</v>
      </c>
      <c r="B5318" s="12" t="s">
        <v>25170</v>
      </c>
      <c r="C5318" s="19" t="s">
        <v>36</v>
      </c>
      <c r="D5318" s="19" t="s">
        <v>36</v>
      </c>
      <c r="E5318" s="19" t="s">
        <v>36</v>
      </c>
      <c r="F5318" s="19" t="s">
        <v>36</v>
      </c>
      <c r="G5318" s="15" t="s">
        <v>36</v>
      </c>
      <c r="H5318" s="14">
        <v>99.86</v>
      </c>
      <c r="I5318" s="18">
        <v>10.58</v>
      </c>
      <c r="J5318" s="12" t="s">
        <v>521</v>
      </c>
      <c r="K5318" s="13" t="s">
        <v>36</v>
      </c>
      <c r="L5318" s="15" t="s">
        <v>36</v>
      </c>
      <c r="M5318" s="12" t="s">
        <v>36</v>
      </c>
      <c r="N5318" s="12" t="s">
        <v>36</v>
      </c>
      <c r="O5318" s="17" t="s">
        <v>36</v>
      </c>
      <c r="P5318" s="12" t="s">
        <v>36</v>
      </c>
      <c r="Q5318" s="12" t="s">
        <v>36</v>
      </c>
      <c r="R5318" s="12" t="s">
        <v>36</v>
      </c>
      <c r="S5318" s="12" t="s">
        <v>36</v>
      </c>
      <c r="T5318" s="12" t="s">
        <v>25171</v>
      </c>
      <c r="U5318" s="12" t="s">
        <v>38</v>
      </c>
      <c r="V5318" s="12" t="s">
        <v>39</v>
      </c>
      <c r="W5318" s="12" t="s">
        <v>25172</v>
      </c>
      <c r="X5318" s="16" t="s">
        <v>25173</v>
      </c>
      <c r="Y5318" s="15" t="s">
        <v>192</v>
      </c>
      <c r="Z5318" s="14">
        <v>0.42</v>
      </c>
      <c r="AA5318" s="14">
        <v>3.93</v>
      </c>
      <c r="AB5318" s="12" t="s">
        <v>56</v>
      </c>
      <c r="AC5318" s="12" t="s">
        <v>25174</v>
      </c>
      <c r="AD5318" s="13">
        <v>43269</v>
      </c>
      <c r="AE5318" s="12" t="s">
        <v>110</v>
      </c>
      <c r="AF5318" s="12" t="s">
        <v>17475</v>
      </c>
      <c r="AG5318" s="12" t="s">
        <v>6368</v>
      </c>
      <c r="AH5318" s="1">
        <f>HYPERLINK("https://my.pitchbook.com?c=134103-61T","View Company Online")</f>
      </c>
    </row>
    <row r="5319">
      <c r="A5319" s="3" t="s">
        <v>25175</v>
      </c>
      <c r="B5319" s="3" t="s">
        <v>2083</v>
      </c>
      <c r="C5319" s="5" t="s">
        <v>36</v>
      </c>
      <c r="D5319" s="5" t="s">
        <v>36</v>
      </c>
      <c r="E5319" s="5" t="s">
        <v>36</v>
      </c>
      <c r="F5319" s="5" t="s">
        <v>36</v>
      </c>
      <c r="G5319" s="6" t="s">
        <v>36</v>
      </c>
      <c r="H5319" s="4" t="s">
        <v>36</v>
      </c>
      <c r="I5319" s="7" t="s">
        <v>36</v>
      </c>
      <c r="J5319" s="3" t="s">
        <v>36</v>
      </c>
      <c r="K5319" s="9" t="s">
        <v>36</v>
      </c>
      <c r="L5319" s="6" t="s">
        <v>36</v>
      </c>
      <c r="M5319" s="3" t="s">
        <v>36</v>
      </c>
      <c r="N5319" s="3" t="s">
        <v>36</v>
      </c>
      <c r="O5319" s="8" t="s">
        <v>36</v>
      </c>
      <c r="P5319" s="3" t="s">
        <v>36</v>
      </c>
      <c r="Q5319" s="3" t="s">
        <v>36</v>
      </c>
      <c r="R5319" s="3" t="s">
        <v>36</v>
      </c>
      <c r="S5319" s="3" t="s">
        <v>36</v>
      </c>
      <c r="T5319" s="3" t="s">
        <v>2084</v>
      </c>
      <c r="U5319" s="3" t="s">
        <v>74</v>
      </c>
      <c r="V5319" s="3" t="s">
        <v>75</v>
      </c>
      <c r="W5319" s="3" t="s">
        <v>2085</v>
      </c>
      <c r="X5319" s="10" t="s">
        <v>1562</v>
      </c>
      <c r="Y5319" s="6" t="s">
        <v>108</v>
      </c>
      <c r="Z5319" s="4">
        <v>3.51</v>
      </c>
      <c r="AA5319" s="4" t="s">
        <v>36</v>
      </c>
      <c r="AB5319" s="3" t="s">
        <v>43</v>
      </c>
      <c r="AC5319" s="3" t="s">
        <v>2086</v>
      </c>
      <c r="AD5319" s="9">
        <v>43269</v>
      </c>
      <c r="AE5319" s="3" t="s">
        <v>362</v>
      </c>
      <c r="AF5319" s="3" t="s">
        <v>2087</v>
      </c>
      <c r="AG5319" s="3" t="s">
        <v>2088</v>
      </c>
      <c r="AH5319" s="11">
        <f>HYPERLINK("https://my.pitchbook.com?c=107563-42T","View Company Online")</f>
      </c>
    </row>
    <row r="5320">
      <c r="A5320" s="12" t="s">
        <v>25176</v>
      </c>
      <c r="B5320" s="12" t="s">
        <v>19053</v>
      </c>
      <c r="C5320" s="19">
        <v>2</v>
      </c>
      <c r="D5320" s="19">
        <v>2</v>
      </c>
      <c r="E5320" s="19">
        <v>1</v>
      </c>
      <c r="F5320" s="19">
        <v>5</v>
      </c>
      <c r="G5320" s="15" t="s">
        <v>36</v>
      </c>
      <c r="H5320" s="14">
        <v>27</v>
      </c>
      <c r="I5320" s="18">
        <v>9.74</v>
      </c>
      <c r="J5320" s="12" t="s">
        <v>521</v>
      </c>
      <c r="K5320" s="13" t="s">
        <v>36</v>
      </c>
      <c r="L5320" s="15" t="s">
        <v>36</v>
      </c>
      <c r="M5320" s="12" t="s">
        <v>36</v>
      </c>
      <c r="N5320" s="12" t="s">
        <v>36</v>
      </c>
      <c r="O5320" s="17" t="s">
        <v>36</v>
      </c>
      <c r="P5320" s="12" t="s">
        <v>36</v>
      </c>
      <c r="Q5320" s="12" t="s">
        <v>36</v>
      </c>
      <c r="R5320" s="12" t="s">
        <v>36</v>
      </c>
      <c r="S5320" s="12" t="s">
        <v>36</v>
      </c>
      <c r="T5320" s="12" t="s">
        <v>881</v>
      </c>
      <c r="U5320" s="12" t="s">
        <v>51</v>
      </c>
      <c r="V5320" s="12" t="s">
        <v>52</v>
      </c>
      <c r="W5320" s="12" t="s">
        <v>19054</v>
      </c>
      <c r="X5320" s="16" t="s">
        <v>22004</v>
      </c>
      <c r="Y5320" s="15" t="s">
        <v>42</v>
      </c>
      <c r="Z5320" s="14">
        <v>0.88</v>
      </c>
      <c r="AA5320" s="14">
        <v>9.01</v>
      </c>
      <c r="AB5320" s="12" t="s">
        <v>43</v>
      </c>
      <c r="AC5320" s="12" t="s">
        <v>19056</v>
      </c>
      <c r="AD5320" s="13">
        <v>43269</v>
      </c>
      <c r="AE5320" s="12" t="s">
        <v>504</v>
      </c>
      <c r="AF5320" s="12" t="s">
        <v>665</v>
      </c>
      <c r="AG5320" s="12" t="s">
        <v>47</v>
      </c>
      <c r="AH5320" s="1">
        <f>HYPERLINK("https://my.pitchbook.com?c=139353-67T","View Company Online")</f>
      </c>
    </row>
    <row r="5321">
      <c r="A5321" s="3" t="s">
        <v>25177</v>
      </c>
      <c r="B5321" s="3" t="s">
        <v>25178</v>
      </c>
      <c r="C5321" s="5" t="s">
        <v>36</v>
      </c>
      <c r="D5321" s="5" t="s">
        <v>36</v>
      </c>
      <c r="E5321" s="5" t="s">
        <v>36</v>
      </c>
      <c r="F5321" s="5" t="s">
        <v>36</v>
      </c>
      <c r="G5321" s="6" t="s">
        <v>36</v>
      </c>
      <c r="H5321" s="4">
        <v>15.02</v>
      </c>
      <c r="I5321" s="7">
        <v>12.5</v>
      </c>
      <c r="J5321" s="3" t="s">
        <v>521</v>
      </c>
      <c r="K5321" s="9" t="s">
        <v>36</v>
      </c>
      <c r="L5321" s="6" t="s">
        <v>36</v>
      </c>
      <c r="M5321" s="3" t="s">
        <v>36</v>
      </c>
      <c r="N5321" s="3" t="s">
        <v>36</v>
      </c>
      <c r="O5321" s="8" t="s">
        <v>36</v>
      </c>
      <c r="P5321" s="3" t="s">
        <v>36</v>
      </c>
      <c r="Q5321" s="3" t="s">
        <v>36</v>
      </c>
      <c r="R5321" s="3" t="s">
        <v>36</v>
      </c>
      <c r="S5321" s="3" t="s">
        <v>36</v>
      </c>
      <c r="T5321" s="3" t="s">
        <v>37</v>
      </c>
      <c r="U5321" s="3" t="s">
        <v>38</v>
      </c>
      <c r="V5321" s="3" t="s">
        <v>39</v>
      </c>
      <c r="W5321" s="3" t="s">
        <v>25179</v>
      </c>
      <c r="X5321" s="10" t="s">
        <v>25180</v>
      </c>
      <c r="Y5321" s="6" t="s">
        <v>108</v>
      </c>
      <c r="Z5321" s="4">
        <v>1.17</v>
      </c>
      <c r="AA5321" s="4">
        <v>4.69</v>
      </c>
      <c r="AB5321" s="3" t="s">
        <v>43</v>
      </c>
      <c r="AC5321" s="3" t="s">
        <v>25181</v>
      </c>
      <c r="AD5321" s="9">
        <v>43267</v>
      </c>
      <c r="AE5321" s="3" t="s">
        <v>45</v>
      </c>
      <c r="AF5321" s="3" t="s">
        <v>5816</v>
      </c>
      <c r="AG5321" s="3" t="s">
        <v>25182</v>
      </c>
      <c r="AH5321" s="11">
        <f>HYPERLINK("https://my.pitchbook.com?c=109112-68T","View Company Online")</f>
      </c>
    </row>
    <row r="5322">
      <c r="A5322" s="12" t="s">
        <v>25183</v>
      </c>
      <c r="B5322" s="12" t="s">
        <v>16750</v>
      </c>
      <c r="C5322" s="19" t="s">
        <v>36</v>
      </c>
      <c r="D5322" s="19" t="s">
        <v>36</v>
      </c>
      <c r="E5322" s="19" t="s">
        <v>36</v>
      </c>
      <c r="F5322" s="19" t="s">
        <v>36</v>
      </c>
      <c r="G5322" s="15" t="s">
        <v>36</v>
      </c>
      <c r="H5322" s="14">
        <v>3356.38</v>
      </c>
      <c r="I5322" s="18">
        <v>47.32</v>
      </c>
      <c r="J5322" s="12" t="s">
        <v>521</v>
      </c>
      <c r="K5322" s="13" t="s">
        <v>36</v>
      </c>
      <c r="L5322" s="15" t="s">
        <v>36</v>
      </c>
      <c r="M5322" s="12" t="s">
        <v>36</v>
      </c>
      <c r="N5322" s="12" t="s">
        <v>36</v>
      </c>
      <c r="O5322" s="17" t="s">
        <v>36</v>
      </c>
      <c r="P5322" s="12" t="s">
        <v>36</v>
      </c>
      <c r="Q5322" s="12" t="s">
        <v>36</v>
      </c>
      <c r="R5322" s="12" t="s">
        <v>36</v>
      </c>
      <c r="S5322" s="12" t="s">
        <v>36</v>
      </c>
      <c r="T5322" s="12" t="s">
        <v>1260</v>
      </c>
      <c r="U5322" s="12" t="s">
        <v>38</v>
      </c>
      <c r="V5322" s="12" t="s">
        <v>39</v>
      </c>
      <c r="W5322" s="12" t="s">
        <v>16751</v>
      </c>
      <c r="X5322" s="16" t="s">
        <v>25184</v>
      </c>
      <c r="Y5322" s="15" t="s">
        <v>55</v>
      </c>
      <c r="Z5322" s="14">
        <v>4.68</v>
      </c>
      <c r="AA5322" s="14">
        <v>9.85</v>
      </c>
      <c r="AB5322" s="12" t="s">
        <v>43</v>
      </c>
      <c r="AC5322" s="12" t="s">
        <v>16753</v>
      </c>
      <c r="AD5322" s="13">
        <v>43266</v>
      </c>
      <c r="AE5322" s="12" t="s">
        <v>110</v>
      </c>
      <c r="AF5322" s="12" t="s">
        <v>275</v>
      </c>
      <c r="AG5322" s="12" t="s">
        <v>81</v>
      </c>
      <c r="AH5322" s="1">
        <f>HYPERLINK("https://my.pitchbook.com?c=118914-22T","View Company Online")</f>
      </c>
    </row>
    <row r="5323">
      <c r="A5323" s="3" t="s">
        <v>25185</v>
      </c>
      <c r="B5323" s="3" t="s">
        <v>9835</v>
      </c>
      <c r="C5323" s="5">
        <v>2</v>
      </c>
      <c r="D5323" s="5">
        <v>21</v>
      </c>
      <c r="E5323" s="5">
        <v>6</v>
      </c>
      <c r="F5323" s="5">
        <v>23</v>
      </c>
      <c r="G5323" s="6" t="s">
        <v>683</v>
      </c>
      <c r="H5323" s="4">
        <v>51.93</v>
      </c>
      <c r="I5323" s="7">
        <v>54.05</v>
      </c>
      <c r="J5323" s="3" t="s">
        <v>521</v>
      </c>
      <c r="K5323" s="9" t="s">
        <v>36</v>
      </c>
      <c r="L5323" s="6" t="s">
        <v>122</v>
      </c>
      <c r="M5323" s="3" t="s">
        <v>36</v>
      </c>
      <c r="N5323" s="3" t="s">
        <v>122</v>
      </c>
      <c r="O5323" s="8" t="s">
        <v>36</v>
      </c>
      <c r="P5323" s="3" t="s">
        <v>36</v>
      </c>
      <c r="Q5323" s="3" t="s">
        <v>36</v>
      </c>
      <c r="R5323" s="3" t="s">
        <v>36</v>
      </c>
      <c r="S5323" s="3" t="s">
        <v>36</v>
      </c>
      <c r="T5323" s="3" t="s">
        <v>9836</v>
      </c>
      <c r="U5323" s="3" t="s">
        <v>96</v>
      </c>
      <c r="V5323" s="3" t="s">
        <v>52</v>
      </c>
      <c r="W5323" s="3" t="s">
        <v>9837</v>
      </c>
      <c r="X5323" s="10" t="s">
        <v>9838</v>
      </c>
      <c r="Y5323" s="6" t="s">
        <v>55</v>
      </c>
      <c r="Z5323" s="4">
        <v>2.35</v>
      </c>
      <c r="AA5323" s="4">
        <v>4.34</v>
      </c>
      <c r="AB5323" s="3" t="s">
        <v>56</v>
      </c>
      <c r="AC5323" s="3" t="s">
        <v>9839</v>
      </c>
      <c r="AD5323" s="9">
        <v>43265</v>
      </c>
      <c r="AE5323" s="3" t="s">
        <v>100</v>
      </c>
      <c r="AF5323" s="3" t="s">
        <v>9840</v>
      </c>
      <c r="AG5323" s="3" t="s">
        <v>1843</v>
      </c>
      <c r="AH5323" s="11">
        <f>HYPERLINK("https://my.pitchbook.com?c=117755-74T","View Company Online")</f>
      </c>
    </row>
    <row r="5324">
      <c r="A5324" s="12" t="s">
        <v>25186</v>
      </c>
      <c r="B5324" s="12" t="s">
        <v>8128</v>
      </c>
      <c r="C5324" s="19">
        <v>4</v>
      </c>
      <c r="D5324" s="19">
        <v>33</v>
      </c>
      <c r="E5324" s="19">
        <v>9</v>
      </c>
      <c r="F5324" s="19">
        <v>45</v>
      </c>
      <c r="G5324" s="15" t="s">
        <v>36</v>
      </c>
      <c r="H5324" s="14">
        <v>72.7</v>
      </c>
      <c r="I5324" s="18">
        <v>27.76</v>
      </c>
      <c r="J5324" s="12" t="s">
        <v>521</v>
      </c>
      <c r="K5324" s="13" t="s">
        <v>36</v>
      </c>
      <c r="L5324" s="15" t="s">
        <v>122</v>
      </c>
      <c r="M5324" s="12" t="s">
        <v>36</v>
      </c>
      <c r="N5324" s="12" t="s">
        <v>122</v>
      </c>
      <c r="O5324" s="17" t="s">
        <v>36</v>
      </c>
      <c r="P5324" s="12" t="s">
        <v>36</v>
      </c>
      <c r="Q5324" s="12" t="s">
        <v>36</v>
      </c>
      <c r="R5324" s="12" t="s">
        <v>36</v>
      </c>
      <c r="S5324" s="12" t="s">
        <v>36</v>
      </c>
      <c r="T5324" s="12" t="s">
        <v>2176</v>
      </c>
      <c r="U5324" s="12" t="s">
        <v>51</v>
      </c>
      <c r="V5324" s="12" t="s">
        <v>52</v>
      </c>
      <c r="W5324" s="12" t="s">
        <v>8129</v>
      </c>
      <c r="X5324" s="16" t="s">
        <v>25187</v>
      </c>
      <c r="Y5324" s="15" t="s">
        <v>166</v>
      </c>
      <c r="Z5324" s="14">
        <v>4.76</v>
      </c>
      <c r="AA5324" s="14">
        <v>17.14</v>
      </c>
      <c r="AB5324" s="12" t="s">
        <v>56</v>
      </c>
      <c r="AC5324" s="12" t="s">
        <v>8131</v>
      </c>
      <c r="AD5324" s="13">
        <v>43265</v>
      </c>
      <c r="AE5324" s="12" t="s">
        <v>158</v>
      </c>
      <c r="AF5324" s="12" t="s">
        <v>8132</v>
      </c>
      <c r="AG5324" s="12" t="s">
        <v>81</v>
      </c>
      <c r="AH5324" s="1">
        <f>HYPERLINK("https://my.pitchbook.com?c=120485-89T","View Company Online")</f>
      </c>
    </row>
    <row r="5325">
      <c r="A5325" s="3" t="s">
        <v>25188</v>
      </c>
      <c r="B5325" s="3" t="s">
        <v>25189</v>
      </c>
      <c r="C5325" s="5" t="s">
        <v>36</v>
      </c>
      <c r="D5325" s="5" t="s">
        <v>36</v>
      </c>
      <c r="E5325" s="5" t="s">
        <v>36</v>
      </c>
      <c r="F5325" s="5" t="s">
        <v>36</v>
      </c>
      <c r="G5325" s="6" t="s">
        <v>326</v>
      </c>
      <c r="H5325" s="4">
        <v>179.06</v>
      </c>
      <c r="I5325" s="7">
        <v>12.76</v>
      </c>
      <c r="J5325" s="3" t="s">
        <v>521</v>
      </c>
      <c r="K5325" s="9" t="s">
        <v>36</v>
      </c>
      <c r="L5325" s="6" t="s">
        <v>36</v>
      </c>
      <c r="M5325" s="3" t="s">
        <v>36</v>
      </c>
      <c r="N5325" s="3" t="s">
        <v>36</v>
      </c>
      <c r="O5325" s="8" t="s">
        <v>36</v>
      </c>
      <c r="P5325" s="3" t="s">
        <v>36</v>
      </c>
      <c r="Q5325" s="3" t="s">
        <v>36</v>
      </c>
      <c r="R5325" s="3" t="s">
        <v>36</v>
      </c>
      <c r="S5325" s="3" t="s">
        <v>36</v>
      </c>
      <c r="T5325" s="3" t="s">
        <v>3397</v>
      </c>
      <c r="U5325" s="3" t="s">
        <v>423</v>
      </c>
      <c r="V5325" s="3" t="s">
        <v>64</v>
      </c>
      <c r="W5325" s="3" t="s">
        <v>25190</v>
      </c>
      <c r="X5325" s="10" t="s">
        <v>25191</v>
      </c>
      <c r="Y5325" s="6" t="s">
        <v>42</v>
      </c>
      <c r="Z5325" s="4">
        <v>0.59</v>
      </c>
      <c r="AA5325" s="4">
        <v>2.94</v>
      </c>
      <c r="AB5325" s="3" t="s">
        <v>43</v>
      </c>
      <c r="AC5325" s="3" t="s">
        <v>25192</v>
      </c>
      <c r="AD5325" s="9">
        <v>43264</v>
      </c>
      <c r="AE5325" s="3" t="s">
        <v>562</v>
      </c>
      <c r="AF5325" s="3" t="s">
        <v>90</v>
      </c>
      <c r="AG5325" s="3" t="s">
        <v>81</v>
      </c>
      <c r="AH5325" s="11">
        <f>HYPERLINK("https://my.pitchbook.com?c=108562-24T","View Company Online")</f>
      </c>
    </row>
    <row r="5326">
      <c r="A5326" s="12" t="s">
        <v>25193</v>
      </c>
      <c r="B5326" s="12" t="s">
        <v>21289</v>
      </c>
      <c r="C5326" s="19" t="s">
        <v>36</v>
      </c>
      <c r="D5326" s="19" t="s">
        <v>36</v>
      </c>
      <c r="E5326" s="19" t="s">
        <v>36</v>
      </c>
      <c r="F5326" s="19" t="s">
        <v>36</v>
      </c>
      <c r="G5326" s="15" t="s">
        <v>326</v>
      </c>
      <c r="H5326" s="14">
        <v>122.54</v>
      </c>
      <c r="I5326" s="18">
        <v>20.39</v>
      </c>
      <c r="J5326" s="12" t="s">
        <v>521</v>
      </c>
      <c r="K5326" s="13" t="s">
        <v>36</v>
      </c>
      <c r="L5326" s="15" t="s">
        <v>122</v>
      </c>
      <c r="M5326" s="12" t="s">
        <v>36</v>
      </c>
      <c r="N5326" s="12" t="s">
        <v>122</v>
      </c>
      <c r="O5326" s="17" t="s">
        <v>36</v>
      </c>
      <c r="P5326" s="12" t="s">
        <v>36</v>
      </c>
      <c r="Q5326" s="12" t="s">
        <v>36</v>
      </c>
      <c r="R5326" s="12" t="s">
        <v>36</v>
      </c>
      <c r="S5326" s="12" t="s">
        <v>36</v>
      </c>
      <c r="T5326" s="12" t="s">
        <v>21237</v>
      </c>
      <c r="U5326" s="12" t="s">
        <v>74</v>
      </c>
      <c r="V5326" s="12" t="s">
        <v>75</v>
      </c>
      <c r="W5326" s="12" t="s">
        <v>21290</v>
      </c>
      <c r="X5326" s="16" t="s">
        <v>25194</v>
      </c>
      <c r="Y5326" s="15" t="s">
        <v>108</v>
      </c>
      <c r="Z5326" s="14">
        <v>0.76</v>
      </c>
      <c r="AA5326" s="14">
        <v>2.36</v>
      </c>
      <c r="AB5326" s="12" t="s">
        <v>43</v>
      </c>
      <c r="AC5326" s="12" t="s">
        <v>21292</v>
      </c>
      <c r="AD5326" s="13">
        <v>43264</v>
      </c>
      <c r="AE5326" s="12" t="s">
        <v>362</v>
      </c>
      <c r="AF5326" s="12" t="s">
        <v>21293</v>
      </c>
      <c r="AG5326" s="12" t="s">
        <v>6068</v>
      </c>
      <c r="AH5326" s="1">
        <f>HYPERLINK("https://my.pitchbook.com?c=141160-51T","View Company Online")</f>
      </c>
    </row>
    <row r="5327">
      <c r="A5327" s="3" t="s">
        <v>25195</v>
      </c>
      <c r="B5327" s="3" t="s">
        <v>25196</v>
      </c>
      <c r="C5327" s="5" t="s">
        <v>36</v>
      </c>
      <c r="D5327" s="5" t="s">
        <v>36</v>
      </c>
      <c r="E5327" s="5" t="s">
        <v>36</v>
      </c>
      <c r="F5327" s="5" t="s">
        <v>36</v>
      </c>
      <c r="G5327" s="6" t="s">
        <v>326</v>
      </c>
      <c r="H5327" s="4">
        <v>5979.03</v>
      </c>
      <c r="I5327" s="7">
        <v>8.19</v>
      </c>
      <c r="J5327" s="3" t="s">
        <v>327</v>
      </c>
      <c r="K5327" s="9" t="s">
        <v>36</v>
      </c>
      <c r="L5327" s="6" t="s">
        <v>36</v>
      </c>
      <c r="M5327" s="3" t="s">
        <v>36</v>
      </c>
      <c r="N5327" s="3" t="s">
        <v>36</v>
      </c>
      <c r="O5327" s="8" t="s">
        <v>36</v>
      </c>
      <c r="P5327" s="3" t="s">
        <v>36</v>
      </c>
      <c r="Q5327" s="3" t="s">
        <v>36</v>
      </c>
      <c r="R5327" s="3" t="s">
        <v>36</v>
      </c>
      <c r="S5327" s="3" t="s">
        <v>36</v>
      </c>
      <c r="T5327" s="3" t="s">
        <v>647</v>
      </c>
      <c r="U5327" s="3" t="s">
        <v>648</v>
      </c>
      <c r="V5327" s="3" t="s">
        <v>64</v>
      </c>
      <c r="W5327" s="3" t="s">
        <v>25197</v>
      </c>
      <c r="X5327" s="10" t="s">
        <v>25198</v>
      </c>
      <c r="Y5327" s="6" t="s">
        <v>192</v>
      </c>
      <c r="Z5327" s="4">
        <v>4.7</v>
      </c>
      <c r="AA5327" s="4">
        <v>28.05</v>
      </c>
      <c r="AB5327" s="3" t="s">
        <v>43</v>
      </c>
      <c r="AC5327" s="3" t="s">
        <v>25199</v>
      </c>
      <c r="AD5327" s="9">
        <v>43263</v>
      </c>
      <c r="AE5327" s="3" t="s">
        <v>651</v>
      </c>
      <c r="AF5327" s="3" t="s">
        <v>36</v>
      </c>
      <c r="AG5327" s="3" t="s">
        <v>81</v>
      </c>
      <c r="AH5327" s="11">
        <f>HYPERLINK("https://my.pitchbook.com?c=107256-07T","View Company Online")</f>
      </c>
    </row>
    <row r="5328">
      <c r="A5328" s="12" t="s">
        <v>25200</v>
      </c>
      <c r="B5328" s="12" t="s">
        <v>13660</v>
      </c>
      <c r="C5328" s="19" t="s">
        <v>36</v>
      </c>
      <c r="D5328" s="19" t="s">
        <v>36</v>
      </c>
      <c r="E5328" s="19" t="s">
        <v>36</v>
      </c>
      <c r="F5328" s="19" t="s">
        <v>36</v>
      </c>
      <c r="G5328" s="15" t="s">
        <v>326</v>
      </c>
      <c r="H5328" s="14">
        <v>2.26</v>
      </c>
      <c r="I5328" s="18">
        <v>39.09</v>
      </c>
      <c r="J5328" s="12" t="s">
        <v>521</v>
      </c>
      <c r="K5328" s="13" t="s">
        <v>36</v>
      </c>
      <c r="L5328" s="15" t="s">
        <v>36</v>
      </c>
      <c r="M5328" s="12" t="s">
        <v>36</v>
      </c>
      <c r="N5328" s="12" t="s">
        <v>36</v>
      </c>
      <c r="O5328" s="17" t="s">
        <v>36</v>
      </c>
      <c r="P5328" s="12" t="s">
        <v>36</v>
      </c>
      <c r="Q5328" s="12" t="s">
        <v>36</v>
      </c>
      <c r="R5328" s="12" t="s">
        <v>36</v>
      </c>
      <c r="S5328" s="12" t="s">
        <v>36</v>
      </c>
      <c r="T5328" s="12" t="s">
        <v>13661</v>
      </c>
      <c r="U5328" s="12" t="s">
        <v>289</v>
      </c>
      <c r="V5328" s="12" t="s">
        <v>64</v>
      </c>
      <c r="W5328" s="12" t="s">
        <v>13662</v>
      </c>
      <c r="X5328" s="16" t="s">
        <v>25201</v>
      </c>
      <c r="Y5328" s="15" t="s">
        <v>42</v>
      </c>
      <c r="Z5328" s="14">
        <v>1.51</v>
      </c>
      <c r="AA5328" s="14">
        <v>3.85</v>
      </c>
      <c r="AB5328" s="12" t="s">
        <v>43</v>
      </c>
      <c r="AC5328" s="12" t="s">
        <v>13664</v>
      </c>
      <c r="AD5328" s="13">
        <v>43263</v>
      </c>
      <c r="AE5328" s="12" t="s">
        <v>13665</v>
      </c>
      <c r="AF5328" s="12" t="s">
        <v>90</v>
      </c>
      <c r="AG5328" s="12" t="s">
        <v>13666</v>
      </c>
      <c r="AH5328" s="1">
        <f>HYPERLINK("https://my.pitchbook.com?c=157721-86T","View Company Online")</f>
      </c>
    </row>
    <row r="5329">
      <c r="A5329" s="3" t="s">
        <v>25202</v>
      </c>
      <c r="B5329" s="3" t="s">
        <v>11179</v>
      </c>
      <c r="C5329" s="5">
        <v>2</v>
      </c>
      <c r="D5329" s="5">
        <v>44</v>
      </c>
      <c r="E5329" s="5">
        <v>8</v>
      </c>
      <c r="F5329" s="5">
        <v>52</v>
      </c>
      <c r="G5329" s="6" t="s">
        <v>36</v>
      </c>
      <c r="H5329" s="4">
        <v>147.19</v>
      </c>
      <c r="I5329" s="7">
        <v>36</v>
      </c>
      <c r="J5329" s="3" t="s">
        <v>521</v>
      </c>
      <c r="K5329" s="9" t="s">
        <v>36</v>
      </c>
      <c r="L5329" s="6" t="s">
        <v>36</v>
      </c>
      <c r="M5329" s="3" t="s">
        <v>36</v>
      </c>
      <c r="N5329" s="3" t="s">
        <v>36</v>
      </c>
      <c r="O5329" s="8" t="s">
        <v>36</v>
      </c>
      <c r="P5329" s="3" t="s">
        <v>36</v>
      </c>
      <c r="Q5329" s="3" t="s">
        <v>36</v>
      </c>
      <c r="R5329" s="3" t="s">
        <v>36</v>
      </c>
      <c r="S5329" s="3" t="s">
        <v>36</v>
      </c>
      <c r="T5329" s="3" t="s">
        <v>596</v>
      </c>
      <c r="U5329" s="3" t="s">
        <v>366</v>
      </c>
      <c r="V5329" s="3" t="s">
        <v>367</v>
      </c>
      <c r="W5329" s="3" t="s">
        <v>11180</v>
      </c>
      <c r="X5329" s="10" t="s">
        <v>25203</v>
      </c>
      <c r="Y5329" s="6" t="s">
        <v>55</v>
      </c>
      <c r="Z5329" s="4">
        <v>3.99</v>
      </c>
      <c r="AA5329" s="4">
        <v>5.87</v>
      </c>
      <c r="AB5329" s="3" t="s">
        <v>56</v>
      </c>
      <c r="AC5329" s="3" t="s">
        <v>11182</v>
      </c>
      <c r="AD5329" s="9">
        <v>43263</v>
      </c>
      <c r="AE5329" s="3" t="s">
        <v>600</v>
      </c>
      <c r="AF5329" s="3" t="s">
        <v>982</v>
      </c>
      <c r="AG5329" s="3" t="s">
        <v>899</v>
      </c>
      <c r="AH5329" s="11">
        <f>HYPERLINK("https://my.pitchbook.com?c=109487-17T","View Company Online")</f>
      </c>
    </row>
    <row r="5330">
      <c r="A5330" s="12" t="s">
        <v>25204</v>
      </c>
      <c r="B5330" s="12" t="s">
        <v>13939</v>
      </c>
      <c r="C5330" s="19">
        <v>36</v>
      </c>
      <c r="D5330" s="19">
        <v>36</v>
      </c>
      <c r="E5330" s="19">
        <v>31</v>
      </c>
      <c r="F5330" s="19">
        <v>78</v>
      </c>
      <c r="G5330" s="15" t="s">
        <v>36</v>
      </c>
      <c r="H5330" s="14">
        <v>422.11</v>
      </c>
      <c r="I5330" s="18">
        <v>31.47</v>
      </c>
      <c r="J5330" s="12" t="s">
        <v>521</v>
      </c>
      <c r="K5330" s="13">
        <v>43099</v>
      </c>
      <c r="L5330" s="15" t="s">
        <v>94</v>
      </c>
      <c r="M5330" s="12" t="s">
        <v>36</v>
      </c>
      <c r="N5330" s="12" t="s">
        <v>94</v>
      </c>
      <c r="O5330" s="17" t="s">
        <v>36</v>
      </c>
      <c r="P5330" s="12" t="s">
        <v>36</v>
      </c>
      <c r="Q5330" s="12" t="s">
        <v>36</v>
      </c>
      <c r="R5330" s="12" t="s">
        <v>36</v>
      </c>
      <c r="S5330" s="12" t="s">
        <v>2489</v>
      </c>
      <c r="T5330" s="12" t="s">
        <v>13940</v>
      </c>
      <c r="U5330" s="12" t="s">
        <v>318</v>
      </c>
      <c r="V5330" s="12" t="s">
        <v>39</v>
      </c>
      <c r="W5330" s="12" t="s">
        <v>13941</v>
      </c>
      <c r="X5330" s="16" t="s">
        <v>25205</v>
      </c>
      <c r="Y5330" s="15" t="s">
        <v>108</v>
      </c>
      <c r="Z5330" s="14">
        <v>18.02</v>
      </c>
      <c r="AA5330" s="14">
        <v>57.26</v>
      </c>
      <c r="AB5330" s="12" t="s">
        <v>43</v>
      </c>
      <c r="AC5330" s="12" t="s">
        <v>13943</v>
      </c>
      <c r="AD5330" s="13">
        <v>43263</v>
      </c>
      <c r="AE5330" s="12" t="s">
        <v>417</v>
      </c>
      <c r="AF5330" s="12" t="s">
        <v>13944</v>
      </c>
      <c r="AG5330" s="12" t="s">
        <v>13945</v>
      </c>
      <c r="AH5330" s="1">
        <f>HYPERLINK("https://my.pitchbook.com?c=99590-23T","View Company Online")</f>
      </c>
    </row>
    <row r="5331">
      <c r="A5331" s="3" t="s">
        <v>25206</v>
      </c>
      <c r="B5331" s="3" t="s">
        <v>17980</v>
      </c>
      <c r="C5331" s="5">
        <v>6</v>
      </c>
      <c r="D5331" s="5">
        <v>11</v>
      </c>
      <c r="E5331" s="5">
        <v>8</v>
      </c>
      <c r="F5331" s="5">
        <v>18</v>
      </c>
      <c r="G5331" s="6" t="s">
        <v>326</v>
      </c>
      <c r="H5331" s="4">
        <v>585.07</v>
      </c>
      <c r="I5331" s="7">
        <v>33.32</v>
      </c>
      <c r="J5331" s="3" t="s">
        <v>521</v>
      </c>
      <c r="K5331" s="9" t="s">
        <v>36</v>
      </c>
      <c r="L5331" s="6" t="s">
        <v>122</v>
      </c>
      <c r="M5331" s="3" t="s">
        <v>36</v>
      </c>
      <c r="N5331" s="3" t="s">
        <v>122</v>
      </c>
      <c r="O5331" s="8" t="s">
        <v>36</v>
      </c>
      <c r="P5331" s="3" t="s">
        <v>36</v>
      </c>
      <c r="Q5331" s="3" t="s">
        <v>36</v>
      </c>
      <c r="R5331" s="3" t="s">
        <v>36</v>
      </c>
      <c r="S5331" s="3" t="s">
        <v>36</v>
      </c>
      <c r="T5331" s="3" t="s">
        <v>17981</v>
      </c>
      <c r="U5331" s="3" t="s">
        <v>1082</v>
      </c>
      <c r="V5331" s="3" t="s">
        <v>378</v>
      </c>
      <c r="W5331" s="3" t="s">
        <v>17982</v>
      </c>
      <c r="X5331" s="10" t="s">
        <v>25207</v>
      </c>
      <c r="Y5331" s="6" t="s">
        <v>108</v>
      </c>
      <c r="Z5331" s="4">
        <v>5.28</v>
      </c>
      <c r="AA5331" s="4">
        <v>15.28</v>
      </c>
      <c r="AB5331" s="3" t="s">
        <v>43</v>
      </c>
      <c r="AC5331" s="3" t="s">
        <v>17984</v>
      </c>
      <c r="AD5331" s="9">
        <v>43263</v>
      </c>
      <c r="AE5331" s="3" t="s">
        <v>2068</v>
      </c>
      <c r="AF5331" s="3" t="s">
        <v>571</v>
      </c>
      <c r="AG5331" s="3" t="s">
        <v>3406</v>
      </c>
      <c r="AH5331" s="11">
        <f>HYPERLINK("https://my.pitchbook.com?c=135673-30T","View Company Online")</f>
      </c>
    </row>
    <row r="5332">
      <c r="A5332" s="12" t="s">
        <v>25208</v>
      </c>
      <c r="B5332" s="12" t="s">
        <v>15037</v>
      </c>
      <c r="C5332" s="19">
        <v>44</v>
      </c>
      <c r="D5332" s="19">
        <v>72</v>
      </c>
      <c r="E5332" s="19">
        <v>25</v>
      </c>
      <c r="F5332" s="19">
        <v>118</v>
      </c>
      <c r="G5332" s="15" t="s">
        <v>36</v>
      </c>
      <c r="H5332" s="14">
        <v>207.71</v>
      </c>
      <c r="I5332" s="18">
        <v>33.33</v>
      </c>
      <c r="J5332" s="12" t="s">
        <v>521</v>
      </c>
      <c r="K5332" s="13" t="s">
        <v>36</v>
      </c>
      <c r="L5332" s="15" t="s">
        <v>36</v>
      </c>
      <c r="M5332" s="12" t="s">
        <v>36</v>
      </c>
      <c r="N5332" s="12" t="s">
        <v>36</v>
      </c>
      <c r="O5332" s="17" t="s">
        <v>36</v>
      </c>
      <c r="P5332" s="12" t="s">
        <v>36</v>
      </c>
      <c r="Q5332" s="12" t="s">
        <v>36</v>
      </c>
      <c r="R5332" s="12" t="s">
        <v>36</v>
      </c>
      <c r="S5332" s="12" t="s">
        <v>36</v>
      </c>
      <c r="T5332" s="12" t="s">
        <v>492</v>
      </c>
      <c r="U5332" s="12" t="s">
        <v>96</v>
      </c>
      <c r="V5332" s="12" t="s">
        <v>52</v>
      </c>
      <c r="W5332" s="12" t="s">
        <v>15038</v>
      </c>
      <c r="X5332" s="16" t="s">
        <v>25209</v>
      </c>
      <c r="Y5332" s="15" t="s">
        <v>108</v>
      </c>
      <c r="Z5332" s="14">
        <v>5.87</v>
      </c>
      <c r="AA5332" s="14">
        <v>17.62</v>
      </c>
      <c r="AB5332" s="12" t="s">
        <v>43</v>
      </c>
      <c r="AC5332" s="12" t="s">
        <v>15040</v>
      </c>
      <c r="AD5332" s="13">
        <v>43262</v>
      </c>
      <c r="AE5332" s="12" t="s">
        <v>496</v>
      </c>
      <c r="AF5332" s="12" t="s">
        <v>15041</v>
      </c>
      <c r="AG5332" s="12" t="s">
        <v>652</v>
      </c>
      <c r="AH5332" s="1">
        <f>HYPERLINK("https://my.pitchbook.com?c=136698-13T","View Company Online")</f>
      </c>
    </row>
    <row r="5333">
      <c r="A5333" s="3" t="s">
        <v>25210</v>
      </c>
      <c r="B5333" s="3" t="s">
        <v>20472</v>
      </c>
      <c r="C5333" s="5">
        <v>14</v>
      </c>
      <c r="D5333" s="5">
        <v>21</v>
      </c>
      <c r="E5333" s="5">
        <v>8</v>
      </c>
      <c r="F5333" s="5">
        <v>38</v>
      </c>
      <c r="G5333" s="6" t="s">
        <v>326</v>
      </c>
      <c r="H5333" s="4">
        <v>2.87</v>
      </c>
      <c r="I5333" s="7">
        <v>28.34</v>
      </c>
      <c r="J5333" s="3" t="s">
        <v>521</v>
      </c>
      <c r="K5333" s="9">
        <v>43250</v>
      </c>
      <c r="L5333" s="6" t="s">
        <v>36</v>
      </c>
      <c r="M5333" s="3" t="s">
        <v>36</v>
      </c>
      <c r="N5333" s="3" t="s">
        <v>36</v>
      </c>
      <c r="O5333" s="8" t="s">
        <v>36</v>
      </c>
      <c r="P5333" s="3" t="s">
        <v>36</v>
      </c>
      <c r="Q5333" s="3" t="s">
        <v>36</v>
      </c>
      <c r="R5333" s="3" t="s">
        <v>36</v>
      </c>
      <c r="S5333" s="3" t="s">
        <v>36</v>
      </c>
      <c r="T5333" s="3" t="s">
        <v>2992</v>
      </c>
      <c r="U5333" s="3" t="s">
        <v>96</v>
      </c>
      <c r="V5333" s="3" t="s">
        <v>52</v>
      </c>
      <c r="W5333" s="3" t="s">
        <v>20473</v>
      </c>
      <c r="X5333" s="10" t="s">
        <v>25211</v>
      </c>
      <c r="Y5333" s="6" t="s">
        <v>55</v>
      </c>
      <c r="Z5333" s="4">
        <v>5.38</v>
      </c>
      <c r="AA5333" s="4">
        <v>18.98</v>
      </c>
      <c r="AB5333" s="3" t="s">
        <v>43</v>
      </c>
      <c r="AC5333" s="3" t="s">
        <v>20475</v>
      </c>
      <c r="AD5333" s="9">
        <v>43262</v>
      </c>
      <c r="AE5333" s="3" t="s">
        <v>100</v>
      </c>
      <c r="AF5333" s="3" t="s">
        <v>20476</v>
      </c>
      <c r="AG5333" s="3" t="s">
        <v>2542</v>
      </c>
      <c r="AH5333" s="11">
        <f>HYPERLINK("https://my.pitchbook.com?c=107189-02T","View Company Online")</f>
      </c>
    </row>
    <row r="5334">
      <c r="A5334" s="12" t="s">
        <v>25212</v>
      </c>
      <c r="B5334" s="12" t="s">
        <v>25213</v>
      </c>
      <c r="C5334" s="19" t="s">
        <v>36</v>
      </c>
      <c r="D5334" s="19" t="s">
        <v>36</v>
      </c>
      <c r="E5334" s="19" t="s">
        <v>36</v>
      </c>
      <c r="F5334" s="19" t="s">
        <v>36</v>
      </c>
      <c r="G5334" s="15" t="s">
        <v>326</v>
      </c>
      <c r="H5334" s="14">
        <v>99.86</v>
      </c>
      <c r="I5334" s="18">
        <v>27.18</v>
      </c>
      <c r="J5334" s="12" t="s">
        <v>521</v>
      </c>
      <c r="K5334" s="13">
        <v>43165</v>
      </c>
      <c r="L5334" s="15" t="s">
        <v>36</v>
      </c>
      <c r="M5334" s="12" t="s">
        <v>36</v>
      </c>
      <c r="N5334" s="12" t="s">
        <v>36</v>
      </c>
      <c r="O5334" s="17" t="s">
        <v>36</v>
      </c>
      <c r="P5334" s="12" t="s">
        <v>36</v>
      </c>
      <c r="Q5334" s="12" t="s">
        <v>36</v>
      </c>
      <c r="R5334" s="12" t="s">
        <v>36</v>
      </c>
      <c r="S5334" s="12" t="s">
        <v>36</v>
      </c>
      <c r="T5334" s="12" t="s">
        <v>2044</v>
      </c>
      <c r="U5334" s="12" t="s">
        <v>74</v>
      </c>
      <c r="V5334" s="12" t="s">
        <v>75</v>
      </c>
      <c r="W5334" s="12" t="s">
        <v>25214</v>
      </c>
      <c r="X5334" s="16" t="s">
        <v>25215</v>
      </c>
      <c r="Y5334" s="15" t="s">
        <v>42</v>
      </c>
      <c r="Z5334" s="14">
        <v>1.18</v>
      </c>
      <c r="AA5334" s="14">
        <v>2.42</v>
      </c>
      <c r="AB5334" s="12" t="s">
        <v>43</v>
      </c>
      <c r="AC5334" s="12" t="s">
        <v>25216</v>
      </c>
      <c r="AD5334" s="13">
        <v>43259</v>
      </c>
      <c r="AE5334" s="12" t="s">
        <v>79</v>
      </c>
      <c r="AF5334" s="12" t="s">
        <v>2759</v>
      </c>
      <c r="AG5334" s="12" t="s">
        <v>81</v>
      </c>
      <c r="AH5334" s="1">
        <f>HYPERLINK("https://my.pitchbook.com?c=116044-84T","View Company Online")</f>
      </c>
    </row>
    <row r="5335">
      <c r="A5335" s="3" t="s">
        <v>25217</v>
      </c>
      <c r="B5335" s="3" t="s">
        <v>25218</v>
      </c>
      <c r="C5335" s="5" t="s">
        <v>36</v>
      </c>
      <c r="D5335" s="5" t="s">
        <v>36</v>
      </c>
      <c r="E5335" s="5" t="s">
        <v>36</v>
      </c>
      <c r="F5335" s="5" t="s">
        <v>36</v>
      </c>
      <c r="G5335" s="6" t="s">
        <v>36</v>
      </c>
      <c r="H5335" s="4" t="s">
        <v>36</v>
      </c>
      <c r="I5335" s="7" t="s">
        <v>36</v>
      </c>
      <c r="J5335" s="3" t="s">
        <v>36</v>
      </c>
      <c r="K5335" s="9" t="s">
        <v>36</v>
      </c>
      <c r="L5335" s="6" t="s">
        <v>36</v>
      </c>
      <c r="M5335" s="3" t="s">
        <v>36</v>
      </c>
      <c r="N5335" s="3" t="s">
        <v>36</v>
      </c>
      <c r="O5335" s="8" t="s">
        <v>36</v>
      </c>
      <c r="P5335" s="3" t="s">
        <v>36</v>
      </c>
      <c r="Q5335" s="3" t="s">
        <v>36</v>
      </c>
      <c r="R5335" s="3" t="s">
        <v>36</v>
      </c>
      <c r="S5335" s="3" t="s">
        <v>36</v>
      </c>
      <c r="T5335" s="3" t="s">
        <v>11522</v>
      </c>
      <c r="U5335" s="3" t="s">
        <v>38</v>
      </c>
      <c r="V5335" s="3" t="s">
        <v>39</v>
      </c>
      <c r="W5335" s="3" t="s">
        <v>25219</v>
      </c>
      <c r="X5335" s="10" t="s">
        <v>25220</v>
      </c>
      <c r="Y5335" s="6" t="s">
        <v>42</v>
      </c>
      <c r="Z5335" s="4">
        <v>5</v>
      </c>
      <c r="AA5335" s="4" t="s">
        <v>36</v>
      </c>
      <c r="AB5335" s="3" t="s">
        <v>56</v>
      </c>
      <c r="AC5335" s="3" t="s">
        <v>25221</v>
      </c>
      <c r="AD5335" s="9">
        <v>43258</v>
      </c>
      <c r="AE5335" s="3" t="s">
        <v>45</v>
      </c>
      <c r="AF5335" s="3" t="s">
        <v>215</v>
      </c>
      <c r="AG5335" s="3" t="s">
        <v>81</v>
      </c>
      <c r="AH5335" s="11">
        <f>HYPERLINK("https://my.pitchbook.com?c=169387-48T","View Company Online")</f>
      </c>
    </row>
    <row r="5336">
      <c r="A5336" s="12" t="s">
        <v>25222</v>
      </c>
      <c r="B5336" s="12" t="s">
        <v>25223</v>
      </c>
      <c r="C5336" s="19" t="s">
        <v>36</v>
      </c>
      <c r="D5336" s="19" t="s">
        <v>36</v>
      </c>
      <c r="E5336" s="19" t="s">
        <v>36</v>
      </c>
      <c r="F5336" s="19" t="s">
        <v>36</v>
      </c>
      <c r="G5336" s="15" t="s">
        <v>36</v>
      </c>
      <c r="H5336" s="14">
        <v>4154.27</v>
      </c>
      <c r="I5336" s="18">
        <v>20</v>
      </c>
      <c r="J5336" s="12" t="s">
        <v>521</v>
      </c>
      <c r="K5336" s="13" t="s">
        <v>36</v>
      </c>
      <c r="L5336" s="15" t="s">
        <v>36</v>
      </c>
      <c r="M5336" s="12" t="s">
        <v>36</v>
      </c>
      <c r="N5336" s="12" t="s">
        <v>36</v>
      </c>
      <c r="O5336" s="17" t="s">
        <v>36</v>
      </c>
      <c r="P5336" s="12" t="s">
        <v>36</v>
      </c>
      <c r="Q5336" s="12" t="s">
        <v>36</v>
      </c>
      <c r="R5336" s="12" t="s">
        <v>36</v>
      </c>
      <c r="S5336" s="12" t="s">
        <v>36</v>
      </c>
      <c r="T5336" s="12" t="s">
        <v>25224</v>
      </c>
      <c r="U5336" s="12" t="s">
        <v>619</v>
      </c>
      <c r="V5336" s="12" t="s">
        <v>378</v>
      </c>
      <c r="W5336" s="12" t="s">
        <v>25225</v>
      </c>
      <c r="X5336" s="16" t="s">
        <v>7099</v>
      </c>
      <c r="Y5336" s="15" t="s">
        <v>42</v>
      </c>
      <c r="Z5336" s="14">
        <v>0.59</v>
      </c>
      <c r="AA5336" s="14">
        <v>2.94</v>
      </c>
      <c r="AB5336" s="12" t="s">
        <v>56</v>
      </c>
      <c r="AC5336" s="12" t="s">
        <v>25226</v>
      </c>
      <c r="AD5336" s="13">
        <v>43258</v>
      </c>
      <c r="AE5336" s="12" t="s">
        <v>2040</v>
      </c>
      <c r="AF5336" s="12" t="s">
        <v>90</v>
      </c>
      <c r="AG5336" s="12" t="s">
        <v>25227</v>
      </c>
      <c r="AH5336" s="1">
        <f>HYPERLINK("https://my.pitchbook.com?c=204534-82T","View Company Online")</f>
      </c>
    </row>
    <row r="5337">
      <c r="A5337" s="3" t="s">
        <v>25228</v>
      </c>
      <c r="B5337" s="3" t="s">
        <v>13009</v>
      </c>
      <c r="C5337" s="5" t="s">
        <v>36</v>
      </c>
      <c r="D5337" s="5" t="s">
        <v>36</v>
      </c>
      <c r="E5337" s="5" t="s">
        <v>36</v>
      </c>
      <c r="F5337" s="5" t="s">
        <v>36</v>
      </c>
      <c r="G5337" s="6" t="s">
        <v>326</v>
      </c>
      <c r="H5337" s="4">
        <v>37.64</v>
      </c>
      <c r="I5337" s="7">
        <v>26.63</v>
      </c>
      <c r="J5337" s="3" t="s">
        <v>521</v>
      </c>
      <c r="K5337" s="9" t="s">
        <v>36</v>
      </c>
      <c r="L5337" s="6" t="s">
        <v>36</v>
      </c>
      <c r="M5337" s="3" t="s">
        <v>36</v>
      </c>
      <c r="N5337" s="3" t="s">
        <v>36</v>
      </c>
      <c r="O5337" s="8" t="s">
        <v>36</v>
      </c>
      <c r="P5337" s="3" t="s">
        <v>36</v>
      </c>
      <c r="Q5337" s="3" t="s">
        <v>36</v>
      </c>
      <c r="R5337" s="3" t="s">
        <v>36</v>
      </c>
      <c r="S5337" s="3" t="s">
        <v>36</v>
      </c>
      <c r="T5337" s="3" t="s">
        <v>5196</v>
      </c>
      <c r="U5337" s="3" t="s">
        <v>38</v>
      </c>
      <c r="V5337" s="3" t="s">
        <v>39</v>
      </c>
      <c r="W5337" s="3" t="s">
        <v>13010</v>
      </c>
      <c r="X5337" s="10" t="s">
        <v>25229</v>
      </c>
      <c r="Y5337" s="6" t="s">
        <v>108</v>
      </c>
      <c r="Z5337" s="4">
        <v>3.27</v>
      </c>
      <c r="AA5337" s="4">
        <v>12.28</v>
      </c>
      <c r="AB5337" s="3" t="s">
        <v>43</v>
      </c>
      <c r="AC5337" s="3" t="s">
        <v>13012</v>
      </c>
      <c r="AD5337" s="9">
        <v>43258</v>
      </c>
      <c r="AE5337" s="3" t="s">
        <v>1422</v>
      </c>
      <c r="AF5337" s="3" t="s">
        <v>13013</v>
      </c>
      <c r="AG5337" s="3" t="s">
        <v>3406</v>
      </c>
      <c r="AH5337" s="11">
        <f>HYPERLINK("https://my.pitchbook.com?c=135429-94T","View Company Online")</f>
      </c>
    </row>
    <row r="5338">
      <c r="A5338" s="12" t="s">
        <v>25230</v>
      </c>
      <c r="B5338" s="12" t="s">
        <v>17924</v>
      </c>
      <c r="C5338" s="19" t="s">
        <v>36</v>
      </c>
      <c r="D5338" s="19" t="s">
        <v>36</v>
      </c>
      <c r="E5338" s="19" t="s">
        <v>36</v>
      </c>
      <c r="F5338" s="19" t="s">
        <v>36</v>
      </c>
      <c r="G5338" s="15" t="s">
        <v>2497</v>
      </c>
      <c r="H5338" s="14">
        <v>92.6</v>
      </c>
      <c r="I5338" s="18">
        <v>28.53</v>
      </c>
      <c r="J5338" s="12" t="s">
        <v>521</v>
      </c>
      <c r="K5338" s="13">
        <v>43181</v>
      </c>
      <c r="L5338" s="15" t="s">
        <v>36</v>
      </c>
      <c r="M5338" s="12" t="s">
        <v>36</v>
      </c>
      <c r="N5338" s="12" t="s">
        <v>36</v>
      </c>
      <c r="O5338" s="17" t="s">
        <v>36</v>
      </c>
      <c r="P5338" s="12" t="s">
        <v>36</v>
      </c>
      <c r="Q5338" s="12" t="s">
        <v>36</v>
      </c>
      <c r="R5338" s="12" t="s">
        <v>36</v>
      </c>
      <c r="S5338" s="12" t="s">
        <v>36</v>
      </c>
      <c r="T5338" s="12" t="s">
        <v>3545</v>
      </c>
      <c r="U5338" s="12" t="s">
        <v>38</v>
      </c>
      <c r="V5338" s="12" t="s">
        <v>39</v>
      </c>
      <c r="W5338" s="12" t="s">
        <v>17925</v>
      </c>
      <c r="X5338" s="16" t="s">
        <v>25231</v>
      </c>
      <c r="Y5338" s="15" t="s">
        <v>192</v>
      </c>
      <c r="Z5338" s="14">
        <v>0.93</v>
      </c>
      <c r="AA5338" s="14">
        <v>3.41</v>
      </c>
      <c r="AB5338" s="12" t="s">
        <v>56</v>
      </c>
      <c r="AC5338" s="12" t="s">
        <v>17926</v>
      </c>
      <c r="AD5338" s="13">
        <v>43258</v>
      </c>
      <c r="AE5338" s="12" t="s">
        <v>1945</v>
      </c>
      <c r="AF5338" s="12" t="s">
        <v>36</v>
      </c>
      <c r="AG5338" s="12" t="s">
        <v>741</v>
      </c>
      <c r="AH5338" s="1">
        <f>HYPERLINK("https://my.pitchbook.com?c=117766-81T","View Company Online")</f>
      </c>
    </row>
    <row r="5339">
      <c r="A5339" s="3" t="s">
        <v>25232</v>
      </c>
      <c r="B5339" s="3" t="s">
        <v>25233</v>
      </c>
      <c r="C5339" s="5" t="s">
        <v>36</v>
      </c>
      <c r="D5339" s="5" t="s">
        <v>36</v>
      </c>
      <c r="E5339" s="5" t="s">
        <v>36</v>
      </c>
      <c r="F5339" s="5" t="s">
        <v>36</v>
      </c>
      <c r="G5339" s="6" t="s">
        <v>326</v>
      </c>
      <c r="H5339" s="4">
        <v>384.27</v>
      </c>
      <c r="I5339" s="7">
        <v>12.51</v>
      </c>
      <c r="J5339" s="3" t="s">
        <v>521</v>
      </c>
      <c r="K5339" s="9">
        <v>43251</v>
      </c>
      <c r="L5339" s="6" t="s">
        <v>36</v>
      </c>
      <c r="M5339" s="3" t="s">
        <v>36</v>
      </c>
      <c r="N5339" s="3" t="s">
        <v>36</v>
      </c>
      <c r="O5339" s="8" t="s">
        <v>36</v>
      </c>
      <c r="P5339" s="3" t="s">
        <v>36</v>
      </c>
      <c r="Q5339" s="3" t="s">
        <v>36</v>
      </c>
      <c r="R5339" s="3" t="s">
        <v>36</v>
      </c>
      <c r="S5339" s="3" t="s">
        <v>36</v>
      </c>
      <c r="T5339" s="3" t="s">
        <v>25234</v>
      </c>
      <c r="U5339" s="3" t="s">
        <v>38</v>
      </c>
      <c r="V5339" s="3" t="s">
        <v>39</v>
      </c>
      <c r="W5339" s="3" t="s">
        <v>25235</v>
      </c>
      <c r="X5339" s="10" t="s">
        <v>1840</v>
      </c>
      <c r="Y5339" s="6" t="s">
        <v>108</v>
      </c>
      <c r="Z5339" s="4">
        <v>1.76</v>
      </c>
      <c r="AA5339" s="4">
        <v>7.14</v>
      </c>
      <c r="AB5339" s="3" t="s">
        <v>56</v>
      </c>
      <c r="AC5339" s="3" t="s">
        <v>25236</v>
      </c>
      <c r="AD5339" s="9">
        <v>43258</v>
      </c>
      <c r="AE5339" s="3" t="s">
        <v>1330</v>
      </c>
      <c r="AF5339" s="3" t="s">
        <v>1115</v>
      </c>
      <c r="AG5339" s="3" t="s">
        <v>25237</v>
      </c>
      <c r="AH5339" s="11">
        <f>HYPERLINK("https://my.pitchbook.com?c=117969-04T","View Company Online")</f>
      </c>
    </row>
    <row r="5340">
      <c r="A5340" s="12" t="s">
        <v>25238</v>
      </c>
      <c r="B5340" s="12" t="s">
        <v>7959</v>
      </c>
      <c r="C5340" s="19">
        <v>11</v>
      </c>
      <c r="D5340" s="19">
        <v>48</v>
      </c>
      <c r="E5340" s="19">
        <v>9</v>
      </c>
      <c r="F5340" s="19">
        <v>60</v>
      </c>
      <c r="G5340" s="15" t="s">
        <v>683</v>
      </c>
      <c r="H5340" s="14">
        <v>71.66</v>
      </c>
      <c r="I5340" s="18">
        <v>12.02</v>
      </c>
      <c r="J5340" s="12" t="s">
        <v>327</v>
      </c>
      <c r="K5340" s="13">
        <v>42940</v>
      </c>
      <c r="L5340" s="15" t="s">
        <v>36</v>
      </c>
      <c r="M5340" s="12" t="s">
        <v>36</v>
      </c>
      <c r="N5340" s="12" t="s">
        <v>36</v>
      </c>
      <c r="O5340" s="17" t="s">
        <v>36</v>
      </c>
      <c r="P5340" s="12" t="s">
        <v>36</v>
      </c>
      <c r="Q5340" s="12" t="s">
        <v>36</v>
      </c>
      <c r="R5340" s="12" t="s">
        <v>36</v>
      </c>
      <c r="S5340" s="12" t="s">
        <v>36</v>
      </c>
      <c r="T5340" s="12" t="s">
        <v>7960</v>
      </c>
      <c r="U5340" s="12" t="s">
        <v>51</v>
      </c>
      <c r="V5340" s="12" t="s">
        <v>52</v>
      </c>
      <c r="W5340" s="12" t="s">
        <v>7961</v>
      </c>
      <c r="X5340" s="16" t="s">
        <v>25239</v>
      </c>
      <c r="Y5340" s="15" t="s">
        <v>166</v>
      </c>
      <c r="Z5340" s="14">
        <v>4.12</v>
      </c>
      <c r="AA5340" s="14">
        <v>31.02</v>
      </c>
      <c r="AB5340" s="12" t="s">
        <v>56</v>
      </c>
      <c r="AC5340" s="12" t="s">
        <v>7963</v>
      </c>
      <c r="AD5340" s="13">
        <v>43258</v>
      </c>
      <c r="AE5340" s="12" t="s">
        <v>6868</v>
      </c>
      <c r="AF5340" s="12" t="s">
        <v>159</v>
      </c>
      <c r="AG5340" s="12" t="s">
        <v>899</v>
      </c>
      <c r="AH5340" s="1">
        <f>HYPERLINK("https://my.pitchbook.com?c=107064-19T","View Company Online")</f>
      </c>
    </row>
    <row r="5341">
      <c r="A5341" s="3" t="s">
        <v>25240</v>
      </c>
      <c r="B5341" s="3" t="s">
        <v>25241</v>
      </c>
      <c r="C5341" s="5" t="s">
        <v>36</v>
      </c>
      <c r="D5341" s="5" t="s">
        <v>36</v>
      </c>
      <c r="E5341" s="5" t="s">
        <v>36</v>
      </c>
      <c r="F5341" s="5" t="s">
        <v>36</v>
      </c>
      <c r="G5341" s="6" t="s">
        <v>36</v>
      </c>
      <c r="H5341" s="4" t="s">
        <v>36</v>
      </c>
      <c r="I5341" s="7" t="s">
        <v>36</v>
      </c>
      <c r="J5341" s="3" t="s">
        <v>36</v>
      </c>
      <c r="K5341" s="9">
        <v>43152</v>
      </c>
      <c r="L5341" s="6" t="s">
        <v>36</v>
      </c>
      <c r="M5341" s="3" t="s">
        <v>36</v>
      </c>
      <c r="N5341" s="3" t="s">
        <v>36</v>
      </c>
      <c r="O5341" s="8" t="s">
        <v>36</v>
      </c>
      <c r="P5341" s="3" t="s">
        <v>36</v>
      </c>
      <c r="Q5341" s="3" t="s">
        <v>36</v>
      </c>
      <c r="R5341" s="3" t="s">
        <v>36</v>
      </c>
      <c r="S5341" s="3" t="s">
        <v>36</v>
      </c>
      <c r="T5341" s="3" t="s">
        <v>25242</v>
      </c>
      <c r="U5341" s="3" t="s">
        <v>74</v>
      </c>
      <c r="V5341" s="3" t="s">
        <v>75</v>
      </c>
      <c r="W5341" s="3" t="s">
        <v>25243</v>
      </c>
      <c r="X5341" s="10" t="s">
        <v>25244</v>
      </c>
      <c r="Y5341" s="6" t="s">
        <v>42</v>
      </c>
      <c r="Z5341" s="4">
        <v>0.88</v>
      </c>
      <c r="AA5341" s="4" t="s">
        <v>36</v>
      </c>
      <c r="AB5341" s="3" t="s">
        <v>43</v>
      </c>
      <c r="AC5341" s="3" t="s">
        <v>25245</v>
      </c>
      <c r="AD5341" s="9">
        <v>43257</v>
      </c>
      <c r="AE5341" s="3" t="s">
        <v>696</v>
      </c>
      <c r="AF5341" s="3" t="s">
        <v>2087</v>
      </c>
      <c r="AG5341" s="3" t="s">
        <v>392</v>
      </c>
      <c r="AH5341" s="11">
        <f>HYPERLINK("https://my.pitchbook.com?c=122284-09T","View Company Online")</f>
      </c>
    </row>
    <row r="5342">
      <c r="A5342" s="12" t="s">
        <v>25246</v>
      </c>
      <c r="B5342" s="12" t="s">
        <v>25247</v>
      </c>
      <c r="C5342" s="19" t="s">
        <v>36</v>
      </c>
      <c r="D5342" s="19" t="s">
        <v>36</v>
      </c>
      <c r="E5342" s="19" t="s">
        <v>36</v>
      </c>
      <c r="F5342" s="19" t="s">
        <v>36</v>
      </c>
      <c r="G5342" s="15" t="s">
        <v>36</v>
      </c>
      <c r="H5342" s="14">
        <v>298.8</v>
      </c>
      <c r="I5342" s="18">
        <v>30.23</v>
      </c>
      <c r="J5342" s="12" t="s">
        <v>521</v>
      </c>
      <c r="K5342" s="13" t="s">
        <v>36</v>
      </c>
      <c r="L5342" s="15" t="s">
        <v>36</v>
      </c>
      <c r="M5342" s="12" t="s">
        <v>36</v>
      </c>
      <c r="N5342" s="12" t="s">
        <v>36</v>
      </c>
      <c r="O5342" s="17" t="s">
        <v>36</v>
      </c>
      <c r="P5342" s="12" t="s">
        <v>36</v>
      </c>
      <c r="Q5342" s="12" t="s">
        <v>36</v>
      </c>
      <c r="R5342" s="12" t="s">
        <v>36</v>
      </c>
      <c r="S5342" s="12" t="s">
        <v>36</v>
      </c>
      <c r="T5342" s="12" t="s">
        <v>1162</v>
      </c>
      <c r="U5342" s="12" t="s">
        <v>423</v>
      </c>
      <c r="V5342" s="12" t="s">
        <v>64</v>
      </c>
      <c r="W5342" s="12" t="s">
        <v>25248</v>
      </c>
      <c r="X5342" s="16" t="s">
        <v>15311</v>
      </c>
      <c r="Y5342" s="15" t="s">
        <v>42</v>
      </c>
      <c r="Z5342" s="14">
        <v>0.22</v>
      </c>
      <c r="AA5342" s="14">
        <v>0.73</v>
      </c>
      <c r="AB5342" s="12" t="s">
        <v>43</v>
      </c>
      <c r="AC5342" s="12" t="s">
        <v>25249</v>
      </c>
      <c r="AD5342" s="13">
        <v>43257</v>
      </c>
      <c r="AE5342" s="12" t="s">
        <v>562</v>
      </c>
      <c r="AF5342" s="12" t="s">
        <v>18630</v>
      </c>
      <c r="AG5342" s="12" t="s">
        <v>8417</v>
      </c>
      <c r="AH5342" s="1">
        <f>HYPERLINK("https://my.pitchbook.com?c=189796-69T","View Company Online")</f>
      </c>
    </row>
    <row r="5343">
      <c r="A5343" s="3" t="s">
        <v>25250</v>
      </c>
      <c r="B5343" s="3" t="s">
        <v>4707</v>
      </c>
      <c r="C5343" s="5">
        <v>46</v>
      </c>
      <c r="D5343" s="5">
        <v>28</v>
      </c>
      <c r="E5343" s="5">
        <v>18</v>
      </c>
      <c r="F5343" s="5">
        <v>82</v>
      </c>
      <c r="G5343" s="6" t="s">
        <v>683</v>
      </c>
      <c r="H5343" s="4">
        <v>191.93</v>
      </c>
      <c r="I5343" s="7">
        <v>59.62</v>
      </c>
      <c r="J5343" s="3" t="s">
        <v>521</v>
      </c>
      <c r="K5343" s="9" t="s">
        <v>36</v>
      </c>
      <c r="L5343" s="6" t="s">
        <v>94</v>
      </c>
      <c r="M5343" s="3" t="s">
        <v>36</v>
      </c>
      <c r="N5343" s="3" t="s">
        <v>94</v>
      </c>
      <c r="O5343" s="8" t="s">
        <v>36</v>
      </c>
      <c r="P5343" s="3" t="s">
        <v>36</v>
      </c>
      <c r="Q5343" s="3" t="s">
        <v>36</v>
      </c>
      <c r="R5343" s="3" t="s">
        <v>36</v>
      </c>
      <c r="S5343" s="3" t="s">
        <v>36</v>
      </c>
      <c r="T5343" s="3" t="s">
        <v>881</v>
      </c>
      <c r="U5343" s="3" t="s">
        <v>51</v>
      </c>
      <c r="V5343" s="3" t="s">
        <v>52</v>
      </c>
      <c r="W5343" s="3" t="s">
        <v>4708</v>
      </c>
      <c r="X5343" s="10" t="s">
        <v>25251</v>
      </c>
      <c r="Y5343" s="6" t="s">
        <v>55</v>
      </c>
      <c r="Z5343" s="4">
        <v>49.48</v>
      </c>
      <c r="AA5343" s="4">
        <v>83</v>
      </c>
      <c r="AB5343" s="3" t="s">
        <v>43</v>
      </c>
      <c r="AC5343" s="3" t="s">
        <v>4710</v>
      </c>
      <c r="AD5343" s="9">
        <v>43255</v>
      </c>
      <c r="AE5343" s="3" t="s">
        <v>504</v>
      </c>
      <c r="AF5343" s="3" t="s">
        <v>885</v>
      </c>
      <c r="AG5343" s="3" t="s">
        <v>47</v>
      </c>
      <c r="AH5343" s="11">
        <f>HYPERLINK("https://my.pitchbook.com?c=106868-53T","View Company Online")</f>
      </c>
    </row>
    <row r="5344">
      <c r="A5344" s="12" t="s">
        <v>25252</v>
      </c>
      <c r="B5344" s="12" t="s">
        <v>25253</v>
      </c>
      <c r="C5344" s="19">
        <v>4</v>
      </c>
      <c r="D5344" s="19">
        <v>4</v>
      </c>
      <c r="E5344" s="19">
        <v>3</v>
      </c>
      <c r="F5344" s="19">
        <v>9</v>
      </c>
      <c r="G5344" s="15" t="s">
        <v>36</v>
      </c>
      <c r="H5344" s="14" t="s">
        <v>36</v>
      </c>
      <c r="I5344" s="18" t="s">
        <v>36</v>
      </c>
      <c r="J5344" s="12" t="s">
        <v>36</v>
      </c>
      <c r="K5344" s="13" t="s">
        <v>36</v>
      </c>
      <c r="L5344" s="15" t="s">
        <v>36</v>
      </c>
      <c r="M5344" s="12" t="s">
        <v>36</v>
      </c>
      <c r="N5344" s="12" t="s">
        <v>36</v>
      </c>
      <c r="O5344" s="17" t="s">
        <v>36</v>
      </c>
      <c r="P5344" s="12" t="s">
        <v>36</v>
      </c>
      <c r="Q5344" s="12" t="s">
        <v>36</v>
      </c>
      <c r="R5344" s="12" t="s">
        <v>36</v>
      </c>
      <c r="S5344" s="12" t="s">
        <v>36</v>
      </c>
      <c r="T5344" s="12" t="s">
        <v>751</v>
      </c>
      <c r="U5344" s="12" t="s">
        <v>96</v>
      </c>
      <c r="V5344" s="12" t="s">
        <v>52</v>
      </c>
      <c r="W5344" s="12" t="s">
        <v>25254</v>
      </c>
      <c r="X5344" s="16" t="s">
        <v>25255</v>
      </c>
      <c r="Y5344" s="15" t="s">
        <v>108</v>
      </c>
      <c r="Z5344" s="14">
        <v>0.52</v>
      </c>
      <c r="AA5344" s="14" t="s">
        <v>36</v>
      </c>
      <c r="AB5344" s="12" t="s">
        <v>56</v>
      </c>
      <c r="AC5344" s="12" t="s">
        <v>25256</v>
      </c>
      <c r="AD5344" s="13">
        <v>43255</v>
      </c>
      <c r="AE5344" s="12" t="s">
        <v>755</v>
      </c>
      <c r="AF5344" s="12" t="s">
        <v>25257</v>
      </c>
      <c r="AG5344" s="12" t="s">
        <v>25258</v>
      </c>
      <c r="AH5344" s="1">
        <f>HYPERLINK("https://my.pitchbook.com?c=161134-30T","View Company Online")</f>
      </c>
    </row>
    <row r="5345">
      <c r="A5345" s="3" t="s">
        <v>25259</v>
      </c>
      <c r="B5345" s="3" t="s">
        <v>25260</v>
      </c>
      <c r="C5345" s="5" t="s">
        <v>36</v>
      </c>
      <c r="D5345" s="5" t="s">
        <v>36</v>
      </c>
      <c r="E5345" s="5" t="s">
        <v>36</v>
      </c>
      <c r="F5345" s="5" t="s">
        <v>36</v>
      </c>
      <c r="G5345" s="6" t="s">
        <v>683</v>
      </c>
      <c r="H5345" s="4">
        <v>1401.37</v>
      </c>
      <c r="I5345" s="7">
        <v>22.2</v>
      </c>
      <c r="J5345" s="3" t="s">
        <v>521</v>
      </c>
      <c r="K5345" s="9" t="s">
        <v>36</v>
      </c>
      <c r="L5345" s="6" t="s">
        <v>36</v>
      </c>
      <c r="M5345" s="3" t="s">
        <v>36</v>
      </c>
      <c r="N5345" s="3" t="s">
        <v>36</v>
      </c>
      <c r="O5345" s="8" t="s">
        <v>36</v>
      </c>
      <c r="P5345" s="3" t="s">
        <v>36</v>
      </c>
      <c r="Q5345" s="3" t="s">
        <v>36</v>
      </c>
      <c r="R5345" s="3" t="s">
        <v>36</v>
      </c>
      <c r="S5345" s="3" t="s">
        <v>36</v>
      </c>
      <c r="T5345" s="3" t="s">
        <v>9088</v>
      </c>
      <c r="U5345" s="3" t="s">
        <v>38</v>
      </c>
      <c r="V5345" s="3" t="s">
        <v>39</v>
      </c>
      <c r="W5345" s="3" t="s">
        <v>25261</v>
      </c>
      <c r="X5345" s="10" t="s">
        <v>2765</v>
      </c>
      <c r="Y5345" s="6" t="s">
        <v>108</v>
      </c>
      <c r="Z5345" s="4">
        <v>1.18</v>
      </c>
      <c r="AA5345" s="4">
        <v>2.65</v>
      </c>
      <c r="AB5345" s="3" t="s">
        <v>43</v>
      </c>
      <c r="AC5345" s="3" t="s">
        <v>25262</v>
      </c>
      <c r="AD5345" s="9">
        <v>43255</v>
      </c>
      <c r="AE5345" s="3" t="s">
        <v>110</v>
      </c>
      <c r="AF5345" s="3" t="s">
        <v>176</v>
      </c>
      <c r="AG5345" s="3" t="s">
        <v>186</v>
      </c>
      <c r="AH5345" s="11">
        <f>HYPERLINK("https://my.pitchbook.com?c=189713-08T","View Company Online")</f>
      </c>
    </row>
    <row r="5346">
      <c r="A5346" s="12" t="s">
        <v>25263</v>
      </c>
      <c r="B5346" s="12" t="s">
        <v>4684</v>
      </c>
      <c r="C5346" s="19" t="s">
        <v>36</v>
      </c>
      <c r="D5346" s="19" t="s">
        <v>36</v>
      </c>
      <c r="E5346" s="19" t="s">
        <v>36</v>
      </c>
      <c r="F5346" s="19" t="s">
        <v>36</v>
      </c>
      <c r="G5346" s="15" t="s">
        <v>36</v>
      </c>
      <c r="H5346" s="14">
        <v>1.25</v>
      </c>
      <c r="I5346" s="18">
        <v>14.01</v>
      </c>
      <c r="J5346" s="12" t="s">
        <v>521</v>
      </c>
      <c r="K5346" s="13" t="s">
        <v>36</v>
      </c>
      <c r="L5346" s="15" t="s">
        <v>36</v>
      </c>
      <c r="M5346" s="12" t="s">
        <v>36</v>
      </c>
      <c r="N5346" s="12" t="s">
        <v>36</v>
      </c>
      <c r="O5346" s="17" t="s">
        <v>36</v>
      </c>
      <c r="P5346" s="12" t="s">
        <v>36</v>
      </c>
      <c r="Q5346" s="12" t="s">
        <v>36</v>
      </c>
      <c r="R5346" s="12" t="s">
        <v>36</v>
      </c>
      <c r="S5346" s="12" t="s">
        <v>196</v>
      </c>
      <c r="T5346" s="12" t="s">
        <v>189</v>
      </c>
      <c r="U5346" s="12" t="s">
        <v>180</v>
      </c>
      <c r="V5346" s="12" t="s">
        <v>52</v>
      </c>
      <c r="W5346" s="12" t="s">
        <v>4685</v>
      </c>
      <c r="X5346" s="16" t="s">
        <v>25264</v>
      </c>
      <c r="Y5346" s="15" t="s">
        <v>42</v>
      </c>
      <c r="Z5346" s="14">
        <v>2.3</v>
      </c>
      <c r="AA5346" s="14">
        <v>16.44</v>
      </c>
      <c r="AB5346" s="12" t="s">
        <v>43</v>
      </c>
      <c r="AC5346" s="12" t="s">
        <v>4687</v>
      </c>
      <c r="AD5346" s="13">
        <v>43255</v>
      </c>
      <c r="AE5346" s="12" t="s">
        <v>184</v>
      </c>
      <c r="AF5346" s="12" t="s">
        <v>3024</v>
      </c>
      <c r="AG5346" s="12" t="s">
        <v>81</v>
      </c>
      <c r="AH5346" s="1">
        <f>HYPERLINK("https://my.pitchbook.com?c=128815-93T","View Company Online")</f>
      </c>
    </row>
    <row r="5347">
      <c r="A5347" s="3" t="s">
        <v>25265</v>
      </c>
      <c r="B5347" s="3" t="s">
        <v>25266</v>
      </c>
      <c r="C5347" s="5">
        <v>5</v>
      </c>
      <c r="D5347" s="5">
        <v>37</v>
      </c>
      <c r="E5347" s="5">
        <v>7</v>
      </c>
      <c r="F5347" s="5">
        <v>50</v>
      </c>
      <c r="G5347" s="6" t="s">
        <v>36</v>
      </c>
      <c r="H5347" s="4" t="s">
        <v>36</v>
      </c>
      <c r="I5347" s="7" t="s">
        <v>36</v>
      </c>
      <c r="J5347" s="3" t="s">
        <v>36</v>
      </c>
      <c r="K5347" s="9" t="s">
        <v>36</v>
      </c>
      <c r="L5347" s="6" t="s">
        <v>36</v>
      </c>
      <c r="M5347" s="3" t="s">
        <v>36</v>
      </c>
      <c r="N5347" s="3" t="s">
        <v>36</v>
      </c>
      <c r="O5347" s="8" t="s">
        <v>36</v>
      </c>
      <c r="P5347" s="3" t="s">
        <v>36</v>
      </c>
      <c r="Q5347" s="3" t="s">
        <v>36</v>
      </c>
      <c r="R5347" s="3" t="s">
        <v>36</v>
      </c>
      <c r="S5347" s="3" t="s">
        <v>36</v>
      </c>
      <c r="T5347" s="3" t="s">
        <v>25267</v>
      </c>
      <c r="U5347" s="3" t="s">
        <v>1082</v>
      </c>
      <c r="V5347" s="3" t="s">
        <v>378</v>
      </c>
      <c r="W5347" s="3" t="s">
        <v>25268</v>
      </c>
      <c r="X5347" s="10" t="s">
        <v>25269</v>
      </c>
      <c r="Y5347" s="6" t="s">
        <v>166</v>
      </c>
      <c r="Z5347" s="4">
        <v>2</v>
      </c>
      <c r="AA5347" s="4" t="s">
        <v>36</v>
      </c>
      <c r="AB5347" s="3" t="s">
        <v>56</v>
      </c>
      <c r="AC5347" s="3" t="s">
        <v>25270</v>
      </c>
      <c r="AD5347" s="9">
        <v>43255</v>
      </c>
      <c r="AE5347" s="3" t="s">
        <v>7876</v>
      </c>
      <c r="AF5347" s="3" t="s">
        <v>20655</v>
      </c>
      <c r="AG5347" s="3" t="s">
        <v>382</v>
      </c>
      <c r="AH5347" s="11">
        <f>HYPERLINK("https://my.pitchbook.com?c=106853-95T","View Company Online")</f>
      </c>
    </row>
    <row r="5348">
      <c r="A5348" s="12" t="s">
        <v>25271</v>
      </c>
      <c r="B5348" s="12" t="s">
        <v>9166</v>
      </c>
      <c r="C5348" s="19" t="s">
        <v>36</v>
      </c>
      <c r="D5348" s="19" t="s">
        <v>36</v>
      </c>
      <c r="E5348" s="19" t="s">
        <v>36</v>
      </c>
      <c r="F5348" s="19" t="s">
        <v>36</v>
      </c>
      <c r="G5348" s="15" t="s">
        <v>326</v>
      </c>
      <c r="H5348" s="14">
        <v>480.86</v>
      </c>
      <c r="I5348" s="18">
        <v>24.64</v>
      </c>
      <c r="J5348" s="12" t="s">
        <v>521</v>
      </c>
      <c r="K5348" s="13" t="s">
        <v>36</v>
      </c>
      <c r="L5348" s="15" t="s">
        <v>36</v>
      </c>
      <c r="M5348" s="12" t="s">
        <v>36</v>
      </c>
      <c r="N5348" s="12" t="s">
        <v>36</v>
      </c>
      <c r="O5348" s="17" t="s">
        <v>36</v>
      </c>
      <c r="P5348" s="12" t="s">
        <v>36</v>
      </c>
      <c r="Q5348" s="12" t="s">
        <v>36</v>
      </c>
      <c r="R5348" s="12" t="s">
        <v>36</v>
      </c>
      <c r="S5348" s="12" t="s">
        <v>36</v>
      </c>
      <c r="T5348" s="12" t="s">
        <v>1560</v>
      </c>
      <c r="U5348" s="12" t="s">
        <v>438</v>
      </c>
      <c r="V5348" s="12" t="s">
        <v>405</v>
      </c>
      <c r="W5348" s="12" t="s">
        <v>9167</v>
      </c>
      <c r="X5348" s="16" t="s">
        <v>25272</v>
      </c>
      <c r="Y5348" s="15" t="s">
        <v>192</v>
      </c>
      <c r="Z5348" s="14">
        <v>38.25</v>
      </c>
      <c r="AA5348" s="14">
        <v>155.22</v>
      </c>
      <c r="AB5348" s="12" t="s">
        <v>43</v>
      </c>
      <c r="AC5348" s="12" t="s">
        <v>9169</v>
      </c>
      <c r="AD5348" s="13">
        <v>43255</v>
      </c>
      <c r="AE5348" s="12" t="s">
        <v>438</v>
      </c>
      <c r="AF5348" s="12" t="s">
        <v>215</v>
      </c>
      <c r="AG5348" s="12" t="s">
        <v>81</v>
      </c>
      <c r="AH5348" s="1">
        <f>HYPERLINK("https://my.pitchbook.com?c=106932-52T","View Company Online")</f>
      </c>
    </row>
    <row r="5349">
      <c r="A5349" s="3" t="s">
        <v>25273</v>
      </c>
      <c r="B5349" s="3" t="s">
        <v>2600</v>
      </c>
      <c r="C5349" s="5" t="s">
        <v>36</v>
      </c>
      <c r="D5349" s="5" t="s">
        <v>36</v>
      </c>
      <c r="E5349" s="5" t="s">
        <v>36</v>
      </c>
      <c r="F5349" s="5" t="s">
        <v>36</v>
      </c>
      <c r="G5349" s="6" t="s">
        <v>36</v>
      </c>
      <c r="H5349" s="4">
        <v>117.03</v>
      </c>
      <c r="I5349" s="7">
        <v>29.15</v>
      </c>
      <c r="J5349" s="3" t="s">
        <v>521</v>
      </c>
      <c r="K5349" s="9">
        <v>43223</v>
      </c>
      <c r="L5349" s="6" t="s">
        <v>122</v>
      </c>
      <c r="M5349" s="3" t="s">
        <v>36</v>
      </c>
      <c r="N5349" s="3" t="s">
        <v>122</v>
      </c>
      <c r="O5349" s="8" t="s">
        <v>36</v>
      </c>
      <c r="P5349" s="3" t="s">
        <v>36</v>
      </c>
      <c r="Q5349" s="3" t="s">
        <v>36</v>
      </c>
      <c r="R5349" s="3" t="s">
        <v>36</v>
      </c>
      <c r="S5349" s="3" t="s">
        <v>36</v>
      </c>
      <c r="T5349" s="3" t="s">
        <v>2601</v>
      </c>
      <c r="U5349" s="3" t="s">
        <v>74</v>
      </c>
      <c r="V5349" s="3" t="s">
        <v>75</v>
      </c>
      <c r="W5349" s="3" t="s">
        <v>2602</v>
      </c>
      <c r="X5349" s="10" t="s">
        <v>25274</v>
      </c>
      <c r="Y5349" s="6" t="s">
        <v>42</v>
      </c>
      <c r="Z5349" s="4">
        <v>16.49</v>
      </c>
      <c r="AA5349" s="4">
        <v>56.57</v>
      </c>
      <c r="AB5349" s="3" t="s">
        <v>43</v>
      </c>
      <c r="AC5349" s="3" t="s">
        <v>2604</v>
      </c>
      <c r="AD5349" s="9">
        <v>43255</v>
      </c>
      <c r="AE5349" s="3" t="s">
        <v>79</v>
      </c>
      <c r="AF5349" s="3" t="s">
        <v>36</v>
      </c>
      <c r="AG5349" s="3" t="s">
        <v>81</v>
      </c>
      <c r="AH5349" s="11">
        <f>HYPERLINK("https://my.pitchbook.com?c=106864-66T","View Company Online")</f>
      </c>
    </row>
    <row r="5350">
      <c r="A5350" s="12" t="s">
        <v>25275</v>
      </c>
      <c r="B5350" s="12" t="s">
        <v>25276</v>
      </c>
      <c r="C5350" s="19" t="s">
        <v>36</v>
      </c>
      <c r="D5350" s="19" t="s">
        <v>36</v>
      </c>
      <c r="E5350" s="19" t="s">
        <v>36</v>
      </c>
      <c r="F5350" s="19" t="s">
        <v>36</v>
      </c>
      <c r="G5350" s="15" t="s">
        <v>326</v>
      </c>
      <c r="H5350" s="14">
        <v>180.75</v>
      </c>
      <c r="I5350" s="18">
        <v>28.43</v>
      </c>
      <c r="J5350" s="12" t="s">
        <v>521</v>
      </c>
      <c r="K5350" s="13">
        <v>43161</v>
      </c>
      <c r="L5350" s="15" t="s">
        <v>122</v>
      </c>
      <c r="M5350" s="12" t="s">
        <v>36</v>
      </c>
      <c r="N5350" s="12" t="s">
        <v>122</v>
      </c>
      <c r="O5350" s="17" t="s">
        <v>36</v>
      </c>
      <c r="P5350" s="12" t="s">
        <v>36</v>
      </c>
      <c r="Q5350" s="12" t="s">
        <v>36</v>
      </c>
      <c r="R5350" s="12" t="s">
        <v>36</v>
      </c>
      <c r="S5350" s="12" t="s">
        <v>36</v>
      </c>
      <c r="T5350" s="12" t="s">
        <v>522</v>
      </c>
      <c r="U5350" s="12" t="s">
        <v>38</v>
      </c>
      <c r="V5350" s="12" t="s">
        <v>39</v>
      </c>
      <c r="W5350" s="12" t="s">
        <v>25277</v>
      </c>
      <c r="X5350" s="16" t="s">
        <v>25278</v>
      </c>
      <c r="Y5350" s="15" t="s">
        <v>108</v>
      </c>
      <c r="Z5350" s="14">
        <v>7.07</v>
      </c>
      <c r="AA5350" s="14">
        <v>21.56</v>
      </c>
      <c r="AB5350" s="12" t="s">
        <v>43</v>
      </c>
      <c r="AC5350" s="12" t="s">
        <v>25279</v>
      </c>
      <c r="AD5350" s="13">
        <v>43254</v>
      </c>
      <c r="AE5350" s="12" t="s">
        <v>110</v>
      </c>
      <c r="AF5350" s="12" t="s">
        <v>905</v>
      </c>
      <c r="AG5350" s="12" t="s">
        <v>81</v>
      </c>
      <c r="AH5350" s="1">
        <f>HYPERLINK("https://my.pitchbook.com?c=112485-79T","View Company Online")</f>
      </c>
    </row>
    <row r="5351">
      <c r="A5351" s="3" t="s">
        <v>25280</v>
      </c>
      <c r="B5351" s="3" t="s">
        <v>25281</v>
      </c>
      <c r="C5351" s="5" t="s">
        <v>36</v>
      </c>
      <c r="D5351" s="5" t="s">
        <v>36</v>
      </c>
      <c r="E5351" s="5" t="s">
        <v>36</v>
      </c>
      <c r="F5351" s="5" t="s">
        <v>36</v>
      </c>
      <c r="G5351" s="6" t="s">
        <v>683</v>
      </c>
      <c r="H5351" s="4">
        <v>67.96</v>
      </c>
      <c r="I5351" s="7">
        <v>17.2</v>
      </c>
      <c r="J5351" s="3" t="s">
        <v>521</v>
      </c>
      <c r="K5351" s="9" t="s">
        <v>36</v>
      </c>
      <c r="L5351" s="6" t="s">
        <v>122</v>
      </c>
      <c r="M5351" s="3" t="s">
        <v>36</v>
      </c>
      <c r="N5351" s="3" t="s">
        <v>122</v>
      </c>
      <c r="O5351" s="8" t="s">
        <v>36</v>
      </c>
      <c r="P5351" s="3" t="s">
        <v>36</v>
      </c>
      <c r="Q5351" s="3" t="s">
        <v>36</v>
      </c>
      <c r="R5351" s="3" t="s">
        <v>36</v>
      </c>
      <c r="S5351" s="3" t="s">
        <v>36</v>
      </c>
      <c r="T5351" s="3" t="s">
        <v>1935</v>
      </c>
      <c r="U5351" s="3" t="s">
        <v>38</v>
      </c>
      <c r="V5351" s="3" t="s">
        <v>39</v>
      </c>
      <c r="W5351" s="3" t="s">
        <v>25282</v>
      </c>
      <c r="X5351" s="10" t="s">
        <v>25283</v>
      </c>
      <c r="Y5351" s="6" t="s">
        <v>108</v>
      </c>
      <c r="Z5351" s="4">
        <v>0.59</v>
      </c>
      <c r="AA5351" s="4">
        <v>3.43</v>
      </c>
      <c r="AB5351" s="3" t="s">
        <v>43</v>
      </c>
      <c r="AC5351" s="3" t="s">
        <v>25284</v>
      </c>
      <c r="AD5351" s="9">
        <v>43254</v>
      </c>
      <c r="AE5351" s="3" t="s">
        <v>45</v>
      </c>
      <c r="AF5351" s="3" t="s">
        <v>25285</v>
      </c>
      <c r="AG5351" s="3" t="s">
        <v>81</v>
      </c>
      <c r="AH5351" s="11">
        <f>HYPERLINK("https://my.pitchbook.com?c=118271-71T","View Company Online")</f>
      </c>
    </row>
    <row r="5352">
      <c r="A5352" s="12" t="s">
        <v>25286</v>
      </c>
      <c r="B5352" s="12" t="s">
        <v>25287</v>
      </c>
      <c r="C5352" s="19" t="s">
        <v>36</v>
      </c>
      <c r="D5352" s="19" t="s">
        <v>36</v>
      </c>
      <c r="E5352" s="19" t="s">
        <v>36</v>
      </c>
      <c r="F5352" s="19" t="s">
        <v>36</v>
      </c>
      <c r="G5352" s="15" t="s">
        <v>36</v>
      </c>
      <c r="H5352" s="14">
        <v>481.71</v>
      </c>
      <c r="I5352" s="18">
        <v>35.02</v>
      </c>
      <c r="J5352" s="12" t="s">
        <v>521</v>
      </c>
      <c r="K5352" s="13" t="s">
        <v>36</v>
      </c>
      <c r="L5352" s="15" t="s">
        <v>36</v>
      </c>
      <c r="M5352" s="12" t="s">
        <v>36</v>
      </c>
      <c r="N5352" s="12" t="s">
        <v>36</v>
      </c>
      <c r="O5352" s="17" t="s">
        <v>36</v>
      </c>
      <c r="P5352" s="12" t="s">
        <v>36</v>
      </c>
      <c r="Q5352" s="12" t="s">
        <v>36</v>
      </c>
      <c r="R5352" s="12" t="s">
        <v>36</v>
      </c>
      <c r="S5352" s="12" t="s">
        <v>36</v>
      </c>
      <c r="T5352" s="12" t="s">
        <v>25288</v>
      </c>
      <c r="U5352" s="12" t="s">
        <v>38</v>
      </c>
      <c r="V5352" s="12" t="s">
        <v>39</v>
      </c>
      <c r="W5352" s="12" t="s">
        <v>25289</v>
      </c>
      <c r="X5352" s="16" t="s">
        <v>11058</v>
      </c>
      <c r="Y5352" s="15" t="s">
        <v>42</v>
      </c>
      <c r="Z5352" s="14">
        <v>0.29</v>
      </c>
      <c r="AA5352" s="14">
        <v>0.84</v>
      </c>
      <c r="AB5352" s="12" t="s">
        <v>43</v>
      </c>
      <c r="AC5352" s="12" t="s">
        <v>25290</v>
      </c>
      <c r="AD5352" s="13">
        <v>43253</v>
      </c>
      <c r="AE5352" s="12" t="s">
        <v>339</v>
      </c>
      <c r="AF5352" s="12" t="s">
        <v>36</v>
      </c>
      <c r="AG5352" s="12" t="s">
        <v>81</v>
      </c>
      <c r="AH5352" s="1">
        <f>HYPERLINK("https://my.pitchbook.com?c=89344-00T","View Company Online")</f>
      </c>
    </row>
    <row r="5353">
      <c r="A5353" s="3" t="s">
        <v>25291</v>
      </c>
      <c r="B5353" s="3" t="s">
        <v>25292</v>
      </c>
      <c r="C5353" s="5" t="s">
        <v>36</v>
      </c>
      <c r="D5353" s="5" t="s">
        <v>36</v>
      </c>
      <c r="E5353" s="5" t="s">
        <v>36</v>
      </c>
      <c r="F5353" s="5" t="s">
        <v>36</v>
      </c>
      <c r="G5353" s="6" t="s">
        <v>36</v>
      </c>
      <c r="H5353" s="4">
        <v>13.74</v>
      </c>
      <c r="I5353" s="7">
        <v>33.86</v>
      </c>
      <c r="J5353" s="3" t="s">
        <v>521</v>
      </c>
      <c r="K5353" s="9" t="s">
        <v>36</v>
      </c>
      <c r="L5353" s="6" t="s">
        <v>36</v>
      </c>
      <c r="M5353" s="3" t="s">
        <v>36</v>
      </c>
      <c r="N5353" s="3" t="s">
        <v>36</v>
      </c>
      <c r="O5353" s="8" t="s">
        <v>36</v>
      </c>
      <c r="P5353" s="3" t="s">
        <v>36</v>
      </c>
      <c r="Q5353" s="3" t="s">
        <v>36</v>
      </c>
      <c r="R5353" s="3" t="s">
        <v>36</v>
      </c>
      <c r="S5353" s="3" t="s">
        <v>36</v>
      </c>
      <c r="T5353" s="3" t="s">
        <v>2483</v>
      </c>
      <c r="U5353" s="3" t="s">
        <v>63</v>
      </c>
      <c r="V5353" s="3" t="s">
        <v>64</v>
      </c>
      <c r="W5353" s="3" t="s">
        <v>25293</v>
      </c>
      <c r="X5353" s="10" t="s">
        <v>25294</v>
      </c>
      <c r="Y5353" s="6" t="s">
        <v>42</v>
      </c>
      <c r="Z5353" s="4">
        <v>42.06</v>
      </c>
      <c r="AA5353" s="4">
        <v>124.2</v>
      </c>
      <c r="AB5353" s="3" t="s">
        <v>56</v>
      </c>
      <c r="AC5353" s="3" t="s">
        <v>25295</v>
      </c>
      <c r="AD5353" s="9">
        <v>43252</v>
      </c>
      <c r="AE5353" s="3" t="s">
        <v>399</v>
      </c>
      <c r="AF5353" s="3" t="s">
        <v>36</v>
      </c>
      <c r="AG5353" s="3" t="s">
        <v>81</v>
      </c>
      <c r="AH5353" s="11">
        <f>HYPERLINK("https://my.pitchbook.com?c=127142-29T","View Company Online")</f>
      </c>
    </row>
    <row r="5354">
      <c r="A5354" s="12" t="s">
        <v>25296</v>
      </c>
      <c r="B5354" s="12" t="s">
        <v>25297</v>
      </c>
      <c r="C5354" s="19" t="s">
        <v>36</v>
      </c>
      <c r="D5354" s="19" t="s">
        <v>36</v>
      </c>
      <c r="E5354" s="19" t="s">
        <v>36</v>
      </c>
      <c r="F5354" s="19" t="s">
        <v>36</v>
      </c>
      <c r="G5354" s="15" t="s">
        <v>36</v>
      </c>
      <c r="H5354" s="14" t="s">
        <v>36</v>
      </c>
      <c r="I5354" s="18" t="s">
        <v>36</v>
      </c>
      <c r="J5354" s="12" t="s">
        <v>36</v>
      </c>
      <c r="K5354" s="13" t="s">
        <v>36</v>
      </c>
      <c r="L5354" s="15" t="s">
        <v>36</v>
      </c>
      <c r="M5354" s="12" t="s">
        <v>36</v>
      </c>
      <c r="N5354" s="12" t="s">
        <v>36</v>
      </c>
      <c r="O5354" s="17" t="s">
        <v>36</v>
      </c>
      <c r="P5354" s="12" t="s">
        <v>36</v>
      </c>
      <c r="Q5354" s="12" t="s">
        <v>36</v>
      </c>
      <c r="R5354" s="12" t="s">
        <v>36</v>
      </c>
      <c r="S5354" s="12" t="s">
        <v>36</v>
      </c>
      <c r="T5354" s="12" t="s">
        <v>20799</v>
      </c>
      <c r="U5354" s="12" t="s">
        <v>619</v>
      </c>
      <c r="V5354" s="12" t="s">
        <v>378</v>
      </c>
      <c r="W5354" s="12" t="s">
        <v>25298</v>
      </c>
      <c r="X5354" s="16" t="s">
        <v>25299</v>
      </c>
      <c r="Y5354" s="15" t="s">
        <v>42</v>
      </c>
      <c r="Z5354" s="14" t="s">
        <v>36</v>
      </c>
      <c r="AA5354" s="14" t="s">
        <v>36</v>
      </c>
      <c r="AB5354" s="12" t="s">
        <v>56</v>
      </c>
      <c r="AC5354" s="12" t="s">
        <v>25300</v>
      </c>
      <c r="AD5354" s="13">
        <v>43252</v>
      </c>
      <c r="AE5354" s="12" t="s">
        <v>20803</v>
      </c>
      <c r="AF5354" s="12" t="s">
        <v>36</v>
      </c>
      <c r="AG5354" s="12" t="s">
        <v>25301</v>
      </c>
      <c r="AH5354" s="1">
        <f>HYPERLINK("https://my.pitchbook.com?c=57871-45T","View Company Online")</f>
      </c>
    </row>
    <row r="5355">
      <c r="A5355" s="3" t="s">
        <v>25302</v>
      </c>
      <c r="B5355" s="3" t="s">
        <v>25303</v>
      </c>
      <c r="C5355" s="5" t="s">
        <v>36</v>
      </c>
      <c r="D5355" s="5" t="s">
        <v>36</v>
      </c>
      <c r="E5355" s="5" t="s">
        <v>36</v>
      </c>
      <c r="F5355" s="5" t="s">
        <v>36</v>
      </c>
      <c r="G5355" s="6" t="s">
        <v>326</v>
      </c>
      <c r="H5355" s="4">
        <v>1.55</v>
      </c>
      <c r="I5355" s="7">
        <v>30.95</v>
      </c>
      <c r="J5355" s="3" t="s">
        <v>521</v>
      </c>
      <c r="K5355" s="9" t="s">
        <v>36</v>
      </c>
      <c r="L5355" s="6" t="s">
        <v>36</v>
      </c>
      <c r="M5355" s="3" t="s">
        <v>36</v>
      </c>
      <c r="N5355" s="3" t="s">
        <v>36</v>
      </c>
      <c r="O5355" s="8" t="s">
        <v>36</v>
      </c>
      <c r="P5355" s="3" t="s">
        <v>36</v>
      </c>
      <c r="Q5355" s="3" t="s">
        <v>36</v>
      </c>
      <c r="R5355" s="3" t="s">
        <v>36</v>
      </c>
      <c r="S5355" s="3" t="s">
        <v>36</v>
      </c>
      <c r="T5355" s="3" t="s">
        <v>1701</v>
      </c>
      <c r="U5355" s="3" t="s">
        <v>74</v>
      </c>
      <c r="V5355" s="3" t="s">
        <v>75</v>
      </c>
      <c r="W5355" s="3" t="s">
        <v>25304</v>
      </c>
      <c r="X5355" s="10" t="s">
        <v>25305</v>
      </c>
      <c r="Y5355" s="6" t="s">
        <v>166</v>
      </c>
      <c r="Z5355" s="4">
        <v>15.12</v>
      </c>
      <c r="AA5355" s="4">
        <v>36.22</v>
      </c>
      <c r="AB5355" s="3" t="s">
        <v>56</v>
      </c>
      <c r="AC5355" s="3" t="s">
        <v>25306</v>
      </c>
      <c r="AD5355" s="9">
        <v>43252</v>
      </c>
      <c r="AE5355" s="3" t="s">
        <v>79</v>
      </c>
      <c r="AF5355" s="3" t="s">
        <v>25307</v>
      </c>
      <c r="AG5355" s="3" t="s">
        <v>81</v>
      </c>
      <c r="AH5355" s="11">
        <f>HYPERLINK("https://my.pitchbook.com?c=108676-09T","View Company Online")</f>
      </c>
    </row>
    <row r="5356">
      <c r="A5356" s="12" t="s">
        <v>25308</v>
      </c>
      <c r="B5356" s="12" t="s">
        <v>25309</v>
      </c>
      <c r="C5356" s="19" t="s">
        <v>36</v>
      </c>
      <c r="D5356" s="19" t="s">
        <v>36</v>
      </c>
      <c r="E5356" s="19" t="s">
        <v>36</v>
      </c>
      <c r="F5356" s="19" t="s">
        <v>36</v>
      </c>
      <c r="G5356" s="15" t="s">
        <v>36</v>
      </c>
      <c r="H5356" s="14" t="s">
        <v>36</v>
      </c>
      <c r="I5356" s="18" t="s">
        <v>36</v>
      </c>
      <c r="J5356" s="12" t="s">
        <v>36</v>
      </c>
      <c r="K5356" s="13" t="s">
        <v>36</v>
      </c>
      <c r="L5356" s="15" t="s">
        <v>36</v>
      </c>
      <c r="M5356" s="12" t="s">
        <v>36</v>
      </c>
      <c r="N5356" s="12" t="s">
        <v>36</v>
      </c>
      <c r="O5356" s="17" t="s">
        <v>36</v>
      </c>
      <c r="P5356" s="12" t="s">
        <v>36</v>
      </c>
      <c r="Q5356" s="12" t="s">
        <v>36</v>
      </c>
      <c r="R5356" s="12" t="s">
        <v>36</v>
      </c>
      <c r="S5356" s="12" t="s">
        <v>36</v>
      </c>
      <c r="T5356" s="12" t="s">
        <v>25310</v>
      </c>
      <c r="U5356" s="12" t="s">
        <v>833</v>
      </c>
      <c r="V5356" s="12" t="s">
        <v>64</v>
      </c>
      <c r="W5356" s="12" t="s">
        <v>25311</v>
      </c>
      <c r="X5356" s="16" t="s">
        <v>20713</v>
      </c>
      <c r="Y5356" s="15" t="s">
        <v>42</v>
      </c>
      <c r="Z5356" s="14" t="s">
        <v>36</v>
      </c>
      <c r="AA5356" s="14" t="s">
        <v>36</v>
      </c>
      <c r="AB5356" s="12" t="s">
        <v>43</v>
      </c>
      <c r="AC5356" s="12" t="s">
        <v>25312</v>
      </c>
      <c r="AD5356" s="13">
        <v>43252</v>
      </c>
      <c r="AE5356" s="12" t="s">
        <v>1769</v>
      </c>
      <c r="AF5356" s="12" t="s">
        <v>36</v>
      </c>
      <c r="AG5356" s="12" t="s">
        <v>652</v>
      </c>
      <c r="AH5356" s="1">
        <f>HYPERLINK("https://my.pitchbook.com?c=165411-01T","View Company Online")</f>
      </c>
    </row>
    <row r="5357">
      <c r="A5357" s="3" t="s">
        <v>25313</v>
      </c>
      <c r="B5357" s="3" t="s">
        <v>25314</v>
      </c>
      <c r="C5357" s="5" t="s">
        <v>36</v>
      </c>
      <c r="D5357" s="5" t="s">
        <v>36</v>
      </c>
      <c r="E5357" s="5" t="s">
        <v>36</v>
      </c>
      <c r="F5357" s="5" t="s">
        <v>36</v>
      </c>
      <c r="G5357" s="6" t="s">
        <v>683</v>
      </c>
      <c r="H5357" s="4">
        <v>164.63</v>
      </c>
      <c r="I5357" s="7">
        <v>8.12</v>
      </c>
      <c r="J5357" s="3" t="s">
        <v>521</v>
      </c>
      <c r="K5357" s="9" t="s">
        <v>36</v>
      </c>
      <c r="L5357" s="6" t="s">
        <v>36</v>
      </c>
      <c r="M5357" s="3" t="s">
        <v>36</v>
      </c>
      <c r="N5357" s="3" t="s">
        <v>36</v>
      </c>
      <c r="O5357" s="8" t="s">
        <v>36</v>
      </c>
      <c r="P5357" s="3" t="s">
        <v>36</v>
      </c>
      <c r="Q5357" s="3" t="s">
        <v>36</v>
      </c>
      <c r="R5357" s="3" t="s">
        <v>36</v>
      </c>
      <c r="S5357" s="3" t="s">
        <v>36</v>
      </c>
      <c r="T5357" s="3" t="s">
        <v>18838</v>
      </c>
      <c r="U5357" s="3" t="s">
        <v>38</v>
      </c>
      <c r="V5357" s="3" t="s">
        <v>39</v>
      </c>
      <c r="W5357" s="3" t="s">
        <v>25315</v>
      </c>
      <c r="X5357" s="10" t="s">
        <v>8652</v>
      </c>
      <c r="Y5357" s="6" t="s">
        <v>42</v>
      </c>
      <c r="Z5357" s="4">
        <v>0.78</v>
      </c>
      <c r="AA5357" s="4">
        <v>9.59</v>
      </c>
      <c r="AB5357" s="3" t="s">
        <v>43</v>
      </c>
      <c r="AC5357" s="3" t="s">
        <v>25316</v>
      </c>
      <c r="AD5357" s="9">
        <v>43252</v>
      </c>
      <c r="AE5357" s="3" t="s">
        <v>1330</v>
      </c>
      <c r="AF5357" s="3" t="s">
        <v>1077</v>
      </c>
      <c r="AG5357" s="3" t="s">
        <v>3250</v>
      </c>
      <c r="AH5357" s="11">
        <f>HYPERLINK("https://my.pitchbook.com?c=125473-96T","View Company Online")</f>
      </c>
    </row>
    <row r="5358">
      <c r="A5358" s="12" t="s">
        <v>25317</v>
      </c>
      <c r="B5358" s="12" t="s">
        <v>25318</v>
      </c>
      <c r="C5358" s="19" t="s">
        <v>36</v>
      </c>
      <c r="D5358" s="19" t="s">
        <v>36</v>
      </c>
      <c r="E5358" s="19">
        <v>1</v>
      </c>
      <c r="F5358" s="19">
        <v>1</v>
      </c>
      <c r="G5358" s="15" t="s">
        <v>36</v>
      </c>
      <c r="H5358" s="14" t="s">
        <v>36</v>
      </c>
      <c r="I5358" s="18" t="s">
        <v>36</v>
      </c>
      <c r="J5358" s="12" t="s">
        <v>36</v>
      </c>
      <c r="K5358" s="13" t="s">
        <v>36</v>
      </c>
      <c r="L5358" s="15" t="s">
        <v>36</v>
      </c>
      <c r="M5358" s="12" t="s">
        <v>36</v>
      </c>
      <c r="N5358" s="12" t="s">
        <v>36</v>
      </c>
      <c r="O5358" s="17" t="s">
        <v>36</v>
      </c>
      <c r="P5358" s="12" t="s">
        <v>36</v>
      </c>
      <c r="Q5358" s="12" t="s">
        <v>36</v>
      </c>
      <c r="R5358" s="12" t="s">
        <v>36</v>
      </c>
      <c r="S5358" s="12" t="s">
        <v>36</v>
      </c>
      <c r="T5358" s="12" t="s">
        <v>25319</v>
      </c>
      <c r="U5358" s="12" t="s">
        <v>38</v>
      </c>
      <c r="V5358" s="12" t="s">
        <v>39</v>
      </c>
      <c r="W5358" s="12" t="s">
        <v>25320</v>
      </c>
      <c r="X5358" s="16" t="s">
        <v>25321</v>
      </c>
      <c r="Y5358" s="15" t="s">
        <v>42</v>
      </c>
      <c r="Z5358" s="14">
        <v>1</v>
      </c>
      <c r="AA5358" s="14" t="s">
        <v>36</v>
      </c>
      <c r="AB5358" s="12" t="s">
        <v>56</v>
      </c>
      <c r="AC5358" s="12" t="s">
        <v>25322</v>
      </c>
      <c r="AD5358" s="13">
        <v>43252</v>
      </c>
      <c r="AE5358" s="12" t="s">
        <v>1945</v>
      </c>
      <c r="AF5358" s="12" t="s">
        <v>25323</v>
      </c>
      <c r="AG5358" s="12" t="s">
        <v>22318</v>
      </c>
      <c r="AH5358" s="1">
        <f>HYPERLINK("https://my.pitchbook.com?c=118802-98T","View Company Online")</f>
      </c>
    </row>
    <row r="5359">
      <c r="A5359" s="3" t="s">
        <v>25324</v>
      </c>
      <c r="B5359" s="3" t="s">
        <v>25325</v>
      </c>
      <c r="C5359" s="5" t="s">
        <v>36</v>
      </c>
      <c r="D5359" s="5" t="s">
        <v>36</v>
      </c>
      <c r="E5359" s="5" t="s">
        <v>36</v>
      </c>
      <c r="F5359" s="5" t="s">
        <v>36</v>
      </c>
      <c r="G5359" s="6" t="s">
        <v>36</v>
      </c>
      <c r="H5359" s="4" t="s">
        <v>36</v>
      </c>
      <c r="I5359" s="7" t="s">
        <v>36</v>
      </c>
      <c r="J5359" s="3" t="s">
        <v>36</v>
      </c>
      <c r="K5359" s="9" t="s">
        <v>36</v>
      </c>
      <c r="L5359" s="6" t="s">
        <v>36</v>
      </c>
      <c r="M5359" s="3" t="s">
        <v>36</v>
      </c>
      <c r="N5359" s="3" t="s">
        <v>36</v>
      </c>
      <c r="O5359" s="8" t="s">
        <v>36</v>
      </c>
      <c r="P5359" s="3" t="s">
        <v>36</v>
      </c>
      <c r="Q5359" s="3" t="s">
        <v>36</v>
      </c>
      <c r="R5359" s="3" t="s">
        <v>36</v>
      </c>
      <c r="S5359" s="3" t="s">
        <v>36</v>
      </c>
      <c r="T5359" s="3" t="s">
        <v>11886</v>
      </c>
      <c r="U5359" s="3" t="s">
        <v>648</v>
      </c>
      <c r="V5359" s="3" t="s">
        <v>64</v>
      </c>
      <c r="W5359" s="3" t="s">
        <v>25326</v>
      </c>
      <c r="X5359" s="10" t="s">
        <v>25327</v>
      </c>
      <c r="Y5359" s="6" t="s">
        <v>192</v>
      </c>
      <c r="Z5359" s="4" t="s">
        <v>36</v>
      </c>
      <c r="AA5359" s="4" t="s">
        <v>36</v>
      </c>
      <c r="AB5359" s="3" t="s">
        <v>56</v>
      </c>
      <c r="AC5359" s="3" t="s">
        <v>25328</v>
      </c>
      <c r="AD5359" s="9">
        <v>43252</v>
      </c>
      <c r="AE5359" s="3" t="s">
        <v>651</v>
      </c>
      <c r="AF5359" s="3" t="s">
        <v>36</v>
      </c>
      <c r="AG5359" s="3" t="s">
        <v>81</v>
      </c>
      <c r="AH5359" s="11">
        <f>HYPERLINK("https://my.pitchbook.com?c=107354-62T","View Company Online")</f>
      </c>
    </row>
    <row r="5360">
      <c r="A5360" s="12" t="s">
        <v>25329</v>
      </c>
      <c r="B5360" s="12" t="s">
        <v>25330</v>
      </c>
      <c r="C5360" s="19" t="s">
        <v>36</v>
      </c>
      <c r="D5360" s="19" t="s">
        <v>36</v>
      </c>
      <c r="E5360" s="19" t="s">
        <v>36</v>
      </c>
      <c r="F5360" s="19" t="s">
        <v>36</v>
      </c>
      <c r="G5360" s="15" t="s">
        <v>326</v>
      </c>
      <c r="H5360" s="14">
        <v>61.5</v>
      </c>
      <c r="I5360" s="18">
        <v>20.41</v>
      </c>
      <c r="J5360" s="12" t="s">
        <v>521</v>
      </c>
      <c r="K5360" s="13" t="s">
        <v>36</v>
      </c>
      <c r="L5360" s="15" t="s">
        <v>36</v>
      </c>
      <c r="M5360" s="12" t="s">
        <v>36</v>
      </c>
      <c r="N5360" s="12" t="s">
        <v>36</v>
      </c>
      <c r="O5360" s="17" t="s">
        <v>36</v>
      </c>
      <c r="P5360" s="12" t="s">
        <v>36</v>
      </c>
      <c r="Q5360" s="12" t="s">
        <v>36</v>
      </c>
      <c r="R5360" s="12" t="s">
        <v>36</v>
      </c>
      <c r="S5360" s="12" t="s">
        <v>36</v>
      </c>
      <c r="T5360" s="12" t="s">
        <v>105</v>
      </c>
      <c r="U5360" s="12" t="s">
        <v>38</v>
      </c>
      <c r="V5360" s="12" t="s">
        <v>39</v>
      </c>
      <c r="W5360" s="12" t="s">
        <v>25331</v>
      </c>
      <c r="X5360" s="16" t="s">
        <v>25332</v>
      </c>
      <c r="Y5360" s="15" t="s">
        <v>108</v>
      </c>
      <c r="Z5360" s="14">
        <v>4.05</v>
      </c>
      <c r="AA5360" s="14">
        <v>11.58</v>
      </c>
      <c r="AB5360" s="12" t="s">
        <v>43</v>
      </c>
      <c r="AC5360" s="12" t="s">
        <v>25333</v>
      </c>
      <c r="AD5360" s="13">
        <v>43251</v>
      </c>
      <c r="AE5360" s="12" t="s">
        <v>110</v>
      </c>
      <c r="AF5360" s="12" t="s">
        <v>4552</v>
      </c>
      <c r="AG5360" s="12" t="s">
        <v>4172</v>
      </c>
      <c r="AH5360" s="1">
        <f>HYPERLINK("https://my.pitchbook.com?c=107373-70T","View Company Online")</f>
      </c>
    </row>
    <row r="5361">
      <c r="A5361" s="3" t="s">
        <v>25334</v>
      </c>
      <c r="B5361" s="3" t="s">
        <v>25335</v>
      </c>
      <c r="C5361" s="5">
        <v>11</v>
      </c>
      <c r="D5361" s="5">
        <v>6</v>
      </c>
      <c r="E5361" s="5">
        <v>8</v>
      </c>
      <c r="F5361" s="5">
        <v>25</v>
      </c>
      <c r="G5361" s="6" t="s">
        <v>326</v>
      </c>
      <c r="H5361" s="4">
        <v>57.52</v>
      </c>
      <c r="I5361" s="7">
        <v>30.68</v>
      </c>
      <c r="J5361" s="3" t="s">
        <v>521</v>
      </c>
      <c r="K5361" s="9" t="s">
        <v>36</v>
      </c>
      <c r="L5361" s="6" t="s">
        <v>122</v>
      </c>
      <c r="M5361" s="3" t="s">
        <v>36</v>
      </c>
      <c r="N5361" s="3" t="s">
        <v>122</v>
      </c>
      <c r="O5361" s="8" t="s">
        <v>36</v>
      </c>
      <c r="P5361" s="3" t="s">
        <v>36</v>
      </c>
      <c r="Q5361" s="3" t="s">
        <v>36</v>
      </c>
      <c r="R5361" s="3" t="s">
        <v>36</v>
      </c>
      <c r="S5361" s="3" t="s">
        <v>36</v>
      </c>
      <c r="T5361" s="3" t="s">
        <v>1863</v>
      </c>
      <c r="U5361" s="3" t="s">
        <v>96</v>
      </c>
      <c r="V5361" s="3" t="s">
        <v>52</v>
      </c>
      <c r="W5361" s="3" t="s">
        <v>25336</v>
      </c>
      <c r="X5361" s="10" t="s">
        <v>25337</v>
      </c>
      <c r="Y5361" s="6" t="s">
        <v>108</v>
      </c>
      <c r="Z5361" s="4">
        <v>15.8</v>
      </c>
      <c r="AA5361" s="4">
        <v>31.49</v>
      </c>
      <c r="AB5361" s="3" t="s">
        <v>43</v>
      </c>
      <c r="AC5361" s="3" t="s">
        <v>25338</v>
      </c>
      <c r="AD5361" s="9">
        <v>43250</v>
      </c>
      <c r="AE5361" s="3" t="s">
        <v>1414</v>
      </c>
      <c r="AF5361" s="3" t="s">
        <v>25339</v>
      </c>
      <c r="AG5361" s="3" t="s">
        <v>81</v>
      </c>
      <c r="AH5361" s="11">
        <f>HYPERLINK("https://my.pitchbook.com?c=107011-18T","View Company Online")</f>
      </c>
    </row>
    <row r="5362">
      <c r="A5362" s="12" t="s">
        <v>25340</v>
      </c>
      <c r="B5362" s="12" t="s">
        <v>8729</v>
      </c>
      <c r="C5362" s="19">
        <v>2</v>
      </c>
      <c r="D5362" s="19" t="s">
        <v>36</v>
      </c>
      <c r="E5362" s="19">
        <v>1</v>
      </c>
      <c r="F5362" s="19">
        <v>2</v>
      </c>
      <c r="G5362" s="15" t="s">
        <v>326</v>
      </c>
      <c r="H5362" s="14">
        <v>78.85</v>
      </c>
      <c r="I5362" s="18">
        <v>38.72</v>
      </c>
      <c r="J5362" s="12" t="s">
        <v>521</v>
      </c>
      <c r="K5362" s="13" t="s">
        <v>36</v>
      </c>
      <c r="L5362" s="15" t="s">
        <v>94</v>
      </c>
      <c r="M5362" s="12" t="s">
        <v>36</v>
      </c>
      <c r="N5362" s="12" t="s">
        <v>94</v>
      </c>
      <c r="O5362" s="17" t="s">
        <v>36</v>
      </c>
      <c r="P5362" s="12" t="s">
        <v>36</v>
      </c>
      <c r="Q5362" s="12" t="s">
        <v>36</v>
      </c>
      <c r="R5362" s="12" t="s">
        <v>36</v>
      </c>
      <c r="S5362" s="12" t="s">
        <v>36</v>
      </c>
      <c r="T5362" s="12" t="s">
        <v>1397</v>
      </c>
      <c r="U5362" s="12" t="s">
        <v>38</v>
      </c>
      <c r="V5362" s="12" t="s">
        <v>39</v>
      </c>
      <c r="W5362" s="12" t="s">
        <v>8730</v>
      </c>
      <c r="X5362" s="16" t="s">
        <v>25341</v>
      </c>
      <c r="Y5362" s="15" t="s">
        <v>55</v>
      </c>
      <c r="Z5362" s="14">
        <v>50.71</v>
      </c>
      <c r="AA5362" s="14">
        <v>76.38</v>
      </c>
      <c r="AB5362" s="12" t="s">
        <v>56</v>
      </c>
      <c r="AC5362" s="12" t="s">
        <v>8732</v>
      </c>
      <c r="AD5362" s="13">
        <v>43250</v>
      </c>
      <c r="AE5362" s="12" t="s">
        <v>110</v>
      </c>
      <c r="AF5362" s="12" t="s">
        <v>1842</v>
      </c>
      <c r="AG5362" s="12" t="s">
        <v>1525</v>
      </c>
      <c r="AH5362" s="1">
        <f>HYPERLINK("https://my.pitchbook.com?c=106706-26T","View Company Online")</f>
      </c>
    </row>
    <row r="5363">
      <c r="A5363" s="3" t="s">
        <v>25342</v>
      </c>
      <c r="B5363" s="3" t="s">
        <v>13126</v>
      </c>
      <c r="C5363" s="5" t="s">
        <v>36</v>
      </c>
      <c r="D5363" s="5" t="s">
        <v>36</v>
      </c>
      <c r="E5363" s="5" t="s">
        <v>36</v>
      </c>
      <c r="F5363" s="5" t="s">
        <v>36</v>
      </c>
      <c r="G5363" s="6" t="s">
        <v>36</v>
      </c>
      <c r="H5363" s="4">
        <v>134.32</v>
      </c>
      <c r="I5363" s="7">
        <v>20.09</v>
      </c>
      <c r="J5363" s="3" t="s">
        <v>521</v>
      </c>
      <c r="K5363" s="9" t="s">
        <v>36</v>
      </c>
      <c r="L5363" s="6" t="s">
        <v>122</v>
      </c>
      <c r="M5363" s="3" t="s">
        <v>36</v>
      </c>
      <c r="N5363" s="3" t="s">
        <v>122</v>
      </c>
      <c r="O5363" s="8" t="s">
        <v>36</v>
      </c>
      <c r="P5363" s="3" t="s">
        <v>36</v>
      </c>
      <c r="Q5363" s="3" t="s">
        <v>36</v>
      </c>
      <c r="R5363" s="3" t="s">
        <v>36</v>
      </c>
      <c r="S5363" s="3" t="s">
        <v>36</v>
      </c>
      <c r="T5363" s="3" t="s">
        <v>3790</v>
      </c>
      <c r="U5363" s="3" t="s">
        <v>318</v>
      </c>
      <c r="V5363" s="3" t="s">
        <v>39</v>
      </c>
      <c r="W5363" s="3" t="s">
        <v>13127</v>
      </c>
      <c r="X5363" s="10" t="s">
        <v>25343</v>
      </c>
      <c r="Y5363" s="6" t="s">
        <v>108</v>
      </c>
      <c r="Z5363" s="4">
        <v>2.38</v>
      </c>
      <c r="AA5363" s="4">
        <v>11.84</v>
      </c>
      <c r="AB5363" s="3" t="s">
        <v>43</v>
      </c>
      <c r="AC5363" s="3" t="s">
        <v>13129</v>
      </c>
      <c r="AD5363" s="9">
        <v>43250</v>
      </c>
      <c r="AE5363" s="3" t="s">
        <v>763</v>
      </c>
      <c r="AF5363" s="3" t="s">
        <v>4668</v>
      </c>
      <c r="AG5363" s="3" t="s">
        <v>81</v>
      </c>
      <c r="AH5363" s="11">
        <f>HYPERLINK("https://my.pitchbook.com?c=108700-03T","View Company Online")</f>
      </c>
    </row>
    <row r="5364">
      <c r="A5364" s="12" t="s">
        <v>25344</v>
      </c>
      <c r="B5364" s="12" t="s">
        <v>9624</v>
      </c>
      <c r="C5364" s="19">
        <v>1</v>
      </c>
      <c r="D5364" s="19" t="s">
        <v>36</v>
      </c>
      <c r="E5364" s="19">
        <v>1</v>
      </c>
      <c r="F5364" s="19">
        <v>1</v>
      </c>
      <c r="G5364" s="15" t="s">
        <v>36</v>
      </c>
      <c r="H5364" s="14">
        <v>174.93</v>
      </c>
      <c r="I5364" s="18">
        <v>14.85</v>
      </c>
      <c r="J5364" s="12" t="s">
        <v>521</v>
      </c>
      <c r="K5364" s="13" t="s">
        <v>36</v>
      </c>
      <c r="L5364" s="15" t="s">
        <v>122</v>
      </c>
      <c r="M5364" s="12" t="s">
        <v>36</v>
      </c>
      <c r="N5364" s="12" t="s">
        <v>122</v>
      </c>
      <c r="O5364" s="17" t="s">
        <v>36</v>
      </c>
      <c r="P5364" s="12" t="s">
        <v>36</v>
      </c>
      <c r="Q5364" s="12" t="s">
        <v>36</v>
      </c>
      <c r="R5364" s="12" t="s">
        <v>36</v>
      </c>
      <c r="S5364" s="12" t="s">
        <v>36</v>
      </c>
      <c r="T5364" s="12" t="s">
        <v>9625</v>
      </c>
      <c r="U5364" s="12" t="s">
        <v>38</v>
      </c>
      <c r="V5364" s="12" t="s">
        <v>39</v>
      </c>
      <c r="W5364" s="12" t="s">
        <v>9626</v>
      </c>
      <c r="X5364" s="16" t="s">
        <v>25345</v>
      </c>
      <c r="Y5364" s="15" t="s">
        <v>192</v>
      </c>
      <c r="Z5364" s="14">
        <v>4.74</v>
      </c>
      <c r="AA5364" s="14">
        <v>31.9</v>
      </c>
      <c r="AB5364" s="12" t="s">
        <v>56</v>
      </c>
      <c r="AC5364" s="12" t="s">
        <v>9628</v>
      </c>
      <c r="AD5364" s="13">
        <v>43249</v>
      </c>
      <c r="AE5364" s="12" t="s">
        <v>110</v>
      </c>
      <c r="AF5364" s="12" t="s">
        <v>526</v>
      </c>
      <c r="AG5364" s="12" t="s">
        <v>81</v>
      </c>
      <c r="AH5364" s="1">
        <f>HYPERLINK("https://my.pitchbook.com?c=106572-16T","View Company Online")</f>
      </c>
    </row>
    <row r="5365">
      <c r="A5365" s="3" t="s">
        <v>25346</v>
      </c>
      <c r="B5365" s="3" t="s">
        <v>2248</v>
      </c>
      <c r="C5365" s="5" t="s">
        <v>36</v>
      </c>
      <c r="D5365" s="5" t="s">
        <v>36</v>
      </c>
      <c r="E5365" s="5" t="s">
        <v>36</v>
      </c>
      <c r="F5365" s="5" t="s">
        <v>36</v>
      </c>
      <c r="G5365" s="6" t="s">
        <v>683</v>
      </c>
      <c r="H5365" s="4">
        <v>46.74</v>
      </c>
      <c r="I5365" s="7">
        <v>7.41</v>
      </c>
      <c r="J5365" s="3" t="s">
        <v>521</v>
      </c>
      <c r="K5365" s="9" t="s">
        <v>36</v>
      </c>
      <c r="L5365" s="6" t="s">
        <v>36</v>
      </c>
      <c r="M5365" s="3" t="s">
        <v>36</v>
      </c>
      <c r="N5365" s="3" t="s">
        <v>36</v>
      </c>
      <c r="O5365" s="8" t="s">
        <v>36</v>
      </c>
      <c r="P5365" s="3" t="s">
        <v>36</v>
      </c>
      <c r="Q5365" s="3" t="s">
        <v>36</v>
      </c>
      <c r="R5365" s="3" t="s">
        <v>36</v>
      </c>
      <c r="S5365" s="3" t="s">
        <v>36</v>
      </c>
      <c r="T5365" s="3" t="s">
        <v>1589</v>
      </c>
      <c r="U5365" s="3" t="s">
        <v>38</v>
      </c>
      <c r="V5365" s="3" t="s">
        <v>39</v>
      </c>
      <c r="W5365" s="3" t="s">
        <v>2249</v>
      </c>
      <c r="X5365" s="10" t="s">
        <v>25347</v>
      </c>
      <c r="Y5365" s="6" t="s">
        <v>108</v>
      </c>
      <c r="Z5365" s="4">
        <v>0.38</v>
      </c>
      <c r="AA5365" s="4">
        <v>5.11</v>
      </c>
      <c r="AB5365" s="3" t="s">
        <v>56</v>
      </c>
      <c r="AC5365" s="3" t="s">
        <v>2251</v>
      </c>
      <c r="AD5365" s="9">
        <v>43249</v>
      </c>
      <c r="AE5365" s="3" t="s">
        <v>110</v>
      </c>
      <c r="AF5365" s="3" t="s">
        <v>2252</v>
      </c>
      <c r="AG5365" s="3" t="s">
        <v>1843</v>
      </c>
      <c r="AH5365" s="11">
        <f>HYPERLINK("https://my.pitchbook.com?c=120458-44T","View Company Online")</f>
      </c>
    </row>
    <row r="5366">
      <c r="A5366" s="12" t="s">
        <v>25348</v>
      </c>
      <c r="B5366" s="12" t="s">
        <v>25349</v>
      </c>
      <c r="C5366" s="19" t="s">
        <v>36</v>
      </c>
      <c r="D5366" s="19" t="s">
        <v>36</v>
      </c>
      <c r="E5366" s="19" t="s">
        <v>36</v>
      </c>
      <c r="F5366" s="19" t="s">
        <v>36</v>
      </c>
      <c r="G5366" s="15" t="s">
        <v>36</v>
      </c>
      <c r="H5366" s="14">
        <v>311.57</v>
      </c>
      <c r="I5366" s="18">
        <v>37.5</v>
      </c>
      <c r="J5366" s="12" t="s">
        <v>521</v>
      </c>
      <c r="K5366" s="13" t="s">
        <v>36</v>
      </c>
      <c r="L5366" s="15" t="s">
        <v>36</v>
      </c>
      <c r="M5366" s="12" t="s">
        <v>36</v>
      </c>
      <c r="N5366" s="12" t="s">
        <v>36</v>
      </c>
      <c r="O5366" s="17" t="s">
        <v>36</v>
      </c>
      <c r="P5366" s="12" t="s">
        <v>36</v>
      </c>
      <c r="Q5366" s="12" t="s">
        <v>36</v>
      </c>
      <c r="R5366" s="12" t="s">
        <v>36</v>
      </c>
      <c r="S5366" s="12" t="s">
        <v>36</v>
      </c>
      <c r="T5366" s="12" t="s">
        <v>2044</v>
      </c>
      <c r="U5366" s="12" t="s">
        <v>74</v>
      </c>
      <c r="V5366" s="12" t="s">
        <v>75</v>
      </c>
      <c r="W5366" s="12" t="s">
        <v>25350</v>
      </c>
      <c r="X5366" s="16" t="s">
        <v>17638</v>
      </c>
      <c r="Y5366" s="15" t="s">
        <v>42</v>
      </c>
      <c r="Z5366" s="14">
        <v>0.21</v>
      </c>
      <c r="AA5366" s="14">
        <v>0.57</v>
      </c>
      <c r="AB5366" s="12" t="s">
        <v>56</v>
      </c>
      <c r="AC5366" s="12" t="s">
        <v>25351</v>
      </c>
      <c r="AD5366" s="13">
        <v>43248</v>
      </c>
      <c r="AE5366" s="12" t="s">
        <v>79</v>
      </c>
      <c r="AF5366" s="12" t="s">
        <v>2759</v>
      </c>
      <c r="AG5366" s="12" t="s">
        <v>81</v>
      </c>
      <c r="AH5366" s="1">
        <f>HYPERLINK("https://my.pitchbook.com?c=165779-20T","View Company Online")</f>
      </c>
    </row>
    <row r="5367">
      <c r="A5367" s="3" t="s">
        <v>25352</v>
      </c>
      <c r="B5367" s="3" t="s">
        <v>9687</v>
      </c>
      <c r="C5367" s="5" t="s">
        <v>36</v>
      </c>
      <c r="D5367" s="5" t="s">
        <v>36</v>
      </c>
      <c r="E5367" s="5" t="s">
        <v>36</v>
      </c>
      <c r="F5367" s="5" t="s">
        <v>36</v>
      </c>
      <c r="G5367" s="6" t="s">
        <v>326</v>
      </c>
      <c r="H5367" s="4">
        <v>75.25</v>
      </c>
      <c r="I5367" s="7">
        <v>41.87</v>
      </c>
      <c r="J5367" s="3" t="s">
        <v>521</v>
      </c>
      <c r="K5367" s="9" t="s">
        <v>36</v>
      </c>
      <c r="L5367" s="6" t="s">
        <v>122</v>
      </c>
      <c r="M5367" s="3" t="s">
        <v>36</v>
      </c>
      <c r="N5367" s="3" t="s">
        <v>122</v>
      </c>
      <c r="O5367" s="8" t="s">
        <v>36</v>
      </c>
      <c r="P5367" s="3" t="s">
        <v>36</v>
      </c>
      <c r="Q5367" s="3" t="s">
        <v>36</v>
      </c>
      <c r="R5367" s="3" t="s">
        <v>36</v>
      </c>
      <c r="S5367" s="3" t="s">
        <v>36</v>
      </c>
      <c r="T5367" s="3" t="s">
        <v>3330</v>
      </c>
      <c r="U5367" s="3" t="s">
        <v>438</v>
      </c>
      <c r="V5367" s="3" t="s">
        <v>405</v>
      </c>
      <c r="W5367" s="3" t="s">
        <v>9688</v>
      </c>
      <c r="X5367" s="10" t="s">
        <v>25353</v>
      </c>
      <c r="Y5367" s="6" t="s">
        <v>108</v>
      </c>
      <c r="Z5367" s="4">
        <v>13.05</v>
      </c>
      <c r="AA5367" s="4">
        <v>22.67</v>
      </c>
      <c r="AB5367" s="3" t="s">
        <v>43</v>
      </c>
      <c r="AC5367" s="3" t="s">
        <v>9690</v>
      </c>
      <c r="AD5367" s="9">
        <v>43248</v>
      </c>
      <c r="AE5367" s="3" t="s">
        <v>438</v>
      </c>
      <c r="AF5367" s="3" t="s">
        <v>9691</v>
      </c>
      <c r="AG5367" s="3" t="s">
        <v>652</v>
      </c>
      <c r="AH5367" s="11">
        <f>HYPERLINK("https://my.pitchbook.com?c=106567-66T","View Company Online")</f>
      </c>
    </row>
    <row r="5368">
      <c r="A5368" s="12" t="s">
        <v>25354</v>
      </c>
      <c r="B5368" s="12" t="s">
        <v>8324</v>
      </c>
      <c r="C5368" s="19" t="s">
        <v>36</v>
      </c>
      <c r="D5368" s="19">
        <v>9</v>
      </c>
      <c r="E5368" s="19">
        <v>5</v>
      </c>
      <c r="F5368" s="19">
        <v>9</v>
      </c>
      <c r="G5368" s="15" t="s">
        <v>36</v>
      </c>
      <c r="H5368" s="14" t="s">
        <v>36</v>
      </c>
      <c r="I5368" s="18" t="s">
        <v>36</v>
      </c>
      <c r="J5368" s="12" t="s">
        <v>36</v>
      </c>
      <c r="K5368" s="13" t="s">
        <v>36</v>
      </c>
      <c r="L5368" s="15" t="s">
        <v>36</v>
      </c>
      <c r="M5368" s="12" t="s">
        <v>36</v>
      </c>
      <c r="N5368" s="12" t="s">
        <v>36</v>
      </c>
      <c r="O5368" s="17" t="s">
        <v>36</v>
      </c>
      <c r="P5368" s="12" t="s">
        <v>36</v>
      </c>
      <c r="Q5368" s="12" t="s">
        <v>36</v>
      </c>
      <c r="R5368" s="12" t="s">
        <v>36</v>
      </c>
      <c r="S5368" s="12" t="s">
        <v>36</v>
      </c>
      <c r="T5368" s="12" t="s">
        <v>550</v>
      </c>
      <c r="U5368" s="12" t="s">
        <v>38</v>
      </c>
      <c r="V5368" s="12" t="s">
        <v>39</v>
      </c>
      <c r="W5368" s="12" t="s">
        <v>8325</v>
      </c>
      <c r="X5368" s="16" t="s">
        <v>25355</v>
      </c>
      <c r="Y5368" s="15" t="s">
        <v>55</v>
      </c>
      <c r="Z5368" s="14">
        <v>200</v>
      </c>
      <c r="AA5368" s="14" t="s">
        <v>36</v>
      </c>
      <c r="AB5368" s="12" t="s">
        <v>56</v>
      </c>
      <c r="AC5368" s="12" t="s">
        <v>8327</v>
      </c>
      <c r="AD5368" s="13">
        <v>43248</v>
      </c>
      <c r="AE5368" s="12" t="s">
        <v>554</v>
      </c>
      <c r="AF5368" s="12" t="s">
        <v>4438</v>
      </c>
      <c r="AG5368" s="12" t="s">
        <v>81</v>
      </c>
      <c r="AH5368" s="1">
        <f>HYPERLINK("https://my.pitchbook.com?c=106545-52T","View Company Online")</f>
      </c>
    </row>
    <row r="5369">
      <c r="A5369" s="3" t="s">
        <v>25356</v>
      </c>
      <c r="B5369" s="3" t="s">
        <v>25357</v>
      </c>
      <c r="C5369" s="5" t="s">
        <v>36</v>
      </c>
      <c r="D5369" s="5" t="s">
        <v>36</v>
      </c>
      <c r="E5369" s="5" t="s">
        <v>36</v>
      </c>
      <c r="F5369" s="5" t="s">
        <v>36</v>
      </c>
      <c r="G5369" s="6" t="s">
        <v>36</v>
      </c>
      <c r="H5369" s="4" t="s">
        <v>36</v>
      </c>
      <c r="I5369" s="7" t="s">
        <v>36</v>
      </c>
      <c r="J5369" s="3" t="s">
        <v>36</v>
      </c>
      <c r="K5369" s="9" t="s">
        <v>36</v>
      </c>
      <c r="L5369" s="6" t="s">
        <v>36</v>
      </c>
      <c r="M5369" s="3" t="s">
        <v>36</v>
      </c>
      <c r="N5369" s="3" t="s">
        <v>36</v>
      </c>
      <c r="O5369" s="8" t="s">
        <v>36</v>
      </c>
      <c r="P5369" s="3" t="s">
        <v>36</v>
      </c>
      <c r="Q5369" s="3" t="s">
        <v>36</v>
      </c>
      <c r="R5369" s="3" t="s">
        <v>36</v>
      </c>
      <c r="S5369" s="3" t="s">
        <v>36</v>
      </c>
      <c r="T5369" s="3" t="s">
        <v>9456</v>
      </c>
      <c r="U5369" s="3" t="s">
        <v>63</v>
      </c>
      <c r="V5369" s="3" t="s">
        <v>64</v>
      </c>
      <c r="W5369" s="3" t="s">
        <v>25358</v>
      </c>
      <c r="X5369" s="10" t="s">
        <v>1872</v>
      </c>
      <c r="Y5369" s="6" t="s">
        <v>42</v>
      </c>
      <c r="Z5369" s="4" t="s">
        <v>36</v>
      </c>
      <c r="AA5369" s="4" t="s">
        <v>36</v>
      </c>
      <c r="AB5369" s="3" t="s">
        <v>56</v>
      </c>
      <c r="AC5369" s="3" t="s">
        <v>25359</v>
      </c>
      <c r="AD5369" s="9">
        <v>43247</v>
      </c>
      <c r="AE5369" s="3" t="s">
        <v>4310</v>
      </c>
      <c r="AF5369" s="3" t="s">
        <v>36</v>
      </c>
      <c r="AG5369" s="3" t="s">
        <v>25360</v>
      </c>
      <c r="AH5369" s="11">
        <f>HYPERLINK("https://my.pitchbook.com?c=116506-36T","View Company Online")</f>
      </c>
    </row>
    <row r="5370">
      <c r="A5370" s="12" t="s">
        <v>25361</v>
      </c>
      <c r="B5370" s="12" t="s">
        <v>25362</v>
      </c>
      <c r="C5370" s="19" t="s">
        <v>36</v>
      </c>
      <c r="D5370" s="19" t="s">
        <v>36</v>
      </c>
      <c r="E5370" s="19" t="s">
        <v>36</v>
      </c>
      <c r="F5370" s="19" t="s">
        <v>36</v>
      </c>
      <c r="G5370" s="15" t="s">
        <v>36</v>
      </c>
      <c r="H5370" s="14" t="s">
        <v>36</v>
      </c>
      <c r="I5370" s="18" t="s">
        <v>36</v>
      </c>
      <c r="J5370" s="12" t="s">
        <v>36</v>
      </c>
      <c r="K5370" s="13" t="s">
        <v>36</v>
      </c>
      <c r="L5370" s="15" t="s">
        <v>36</v>
      </c>
      <c r="M5370" s="12" t="s">
        <v>36</v>
      </c>
      <c r="N5370" s="12" t="s">
        <v>36</v>
      </c>
      <c r="O5370" s="17" t="s">
        <v>36</v>
      </c>
      <c r="P5370" s="12" t="s">
        <v>36</v>
      </c>
      <c r="Q5370" s="12" t="s">
        <v>36</v>
      </c>
      <c r="R5370" s="12" t="s">
        <v>36</v>
      </c>
      <c r="S5370" s="12" t="s">
        <v>36</v>
      </c>
      <c r="T5370" s="12" t="s">
        <v>25363</v>
      </c>
      <c r="U5370" s="12" t="s">
        <v>74</v>
      </c>
      <c r="V5370" s="12" t="s">
        <v>75</v>
      </c>
      <c r="W5370" s="12" t="s">
        <v>25364</v>
      </c>
      <c r="X5370" s="16" t="s">
        <v>25365</v>
      </c>
      <c r="Y5370" s="15" t="s">
        <v>55</v>
      </c>
      <c r="Z5370" s="14">
        <v>2.3</v>
      </c>
      <c r="AA5370" s="14" t="s">
        <v>36</v>
      </c>
      <c r="AB5370" s="12" t="s">
        <v>43</v>
      </c>
      <c r="AC5370" s="12" t="s">
        <v>25366</v>
      </c>
      <c r="AD5370" s="13">
        <v>43245</v>
      </c>
      <c r="AE5370" s="12" t="s">
        <v>362</v>
      </c>
      <c r="AF5370" s="12" t="s">
        <v>8083</v>
      </c>
      <c r="AG5370" s="12" t="s">
        <v>81</v>
      </c>
      <c r="AH5370" s="1">
        <f>HYPERLINK("https://my.pitchbook.com?c=106500-70T","View Company Online")</f>
      </c>
    </row>
    <row r="5371">
      <c r="A5371" s="3" t="s">
        <v>25367</v>
      </c>
      <c r="B5371" s="3" t="s">
        <v>22149</v>
      </c>
      <c r="C5371" s="5" t="s">
        <v>36</v>
      </c>
      <c r="D5371" s="5" t="s">
        <v>36</v>
      </c>
      <c r="E5371" s="5">
        <v>1</v>
      </c>
      <c r="F5371" s="5">
        <v>1</v>
      </c>
      <c r="G5371" s="6" t="s">
        <v>326</v>
      </c>
      <c r="H5371" s="4">
        <v>160.98</v>
      </c>
      <c r="I5371" s="7">
        <v>41.08</v>
      </c>
      <c r="J5371" s="3" t="s">
        <v>521</v>
      </c>
      <c r="K5371" s="9" t="s">
        <v>36</v>
      </c>
      <c r="L5371" s="6" t="s">
        <v>122</v>
      </c>
      <c r="M5371" s="3" t="s">
        <v>36</v>
      </c>
      <c r="N5371" s="3" t="s">
        <v>122</v>
      </c>
      <c r="O5371" s="8" t="s">
        <v>36</v>
      </c>
      <c r="P5371" s="3" t="s">
        <v>36</v>
      </c>
      <c r="Q5371" s="3" t="s">
        <v>36</v>
      </c>
      <c r="R5371" s="3" t="s">
        <v>36</v>
      </c>
      <c r="S5371" s="3" t="s">
        <v>36</v>
      </c>
      <c r="T5371" s="3" t="s">
        <v>588</v>
      </c>
      <c r="U5371" s="3" t="s">
        <v>318</v>
      </c>
      <c r="V5371" s="3" t="s">
        <v>39</v>
      </c>
      <c r="W5371" s="3" t="s">
        <v>22150</v>
      </c>
      <c r="X5371" s="10" t="s">
        <v>25368</v>
      </c>
      <c r="Y5371" s="6" t="s">
        <v>108</v>
      </c>
      <c r="Z5371" s="4">
        <v>2.22</v>
      </c>
      <c r="AA5371" s="4">
        <v>5.41</v>
      </c>
      <c r="AB5371" s="3" t="s">
        <v>43</v>
      </c>
      <c r="AC5371" s="3" t="s">
        <v>22152</v>
      </c>
      <c r="AD5371" s="9">
        <v>43244</v>
      </c>
      <c r="AE5371" s="3" t="s">
        <v>417</v>
      </c>
      <c r="AF5371" s="3" t="s">
        <v>5236</v>
      </c>
      <c r="AG5371" s="3" t="s">
        <v>899</v>
      </c>
      <c r="AH5371" s="11">
        <f>HYPERLINK("https://my.pitchbook.com?c=109484-74T","View Company Online")</f>
      </c>
    </row>
    <row r="5372">
      <c r="A5372" s="12" t="s">
        <v>25369</v>
      </c>
      <c r="B5372" s="12" t="s">
        <v>12731</v>
      </c>
      <c r="C5372" s="19">
        <v>11</v>
      </c>
      <c r="D5372" s="19">
        <v>123</v>
      </c>
      <c r="E5372" s="19">
        <v>31</v>
      </c>
      <c r="F5372" s="19">
        <v>140</v>
      </c>
      <c r="G5372" s="15" t="s">
        <v>326</v>
      </c>
      <c r="H5372" s="14">
        <v>9.13</v>
      </c>
      <c r="I5372" s="18">
        <v>36.68</v>
      </c>
      <c r="J5372" s="12" t="s">
        <v>521</v>
      </c>
      <c r="K5372" s="13" t="s">
        <v>36</v>
      </c>
      <c r="L5372" s="15" t="s">
        <v>36</v>
      </c>
      <c r="M5372" s="12" t="s">
        <v>36</v>
      </c>
      <c r="N5372" s="12" t="s">
        <v>36</v>
      </c>
      <c r="O5372" s="17" t="s">
        <v>36</v>
      </c>
      <c r="P5372" s="12" t="s">
        <v>36</v>
      </c>
      <c r="Q5372" s="12" t="s">
        <v>36</v>
      </c>
      <c r="R5372" s="12" t="s">
        <v>36</v>
      </c>
      <c r="S5372" s="12" t="s">
        <v>36</v>
      </c>
      <c r="T5372" s="12" t="s">
        <v>12732</v>
      </c>
      <c r="U5372" s="12" t="s">
        <v>318</v>
      </c>
      <c r="V5372" s="12" t="s">
        <v>39</v>
      </c>
      <c r="W5372" s="12" t="s">
        <v>12733</v>
      </c>
      <c r="X5372" s="16" t="s">
        <v>25370</v>
      </c>
      <c r="Y5372" s="15" t="s">
        <v>108</v>
      </c>
      <c r="Z5372" s="14">
        <v>8.36</v>
      </c>
      <c r="AA5372" s="14">
        <v>22.79</v>
      </c>
      <c r="AB5372" s="12" t="s">
        <v>43</v>
      </c>
      <c r="AC5372" s="12" t="s">
        <v>12735</v>
      </c>
      <c r="AD5372" s="13">
        <v>43243</v>
      </c>
      <c r="AE5372" s="12" t="s">
        <v>763</v>
      </c>
      <c r="AF5372" s="12" t="s">
        <v>12736</v>
      </c>
      <c r="AG5372" s="12" t="s">
        <v>969</v>
      </c>
      <c r="AH5372" s="1">
        <f>HYPERLINK("https://my.pitchbook.com?c=106272-46T","View Company Online")</f>
      </c>
    </row>
    <row r="5373">
      <c r="A5373" s="3" t="s">
        <v>25371</v>
      </c>
      <c r="B5373" s="3" t="s">
        <v>10918</v>
      </c>
      <c r="C5373" s="5" t="s">
        <v>36</v>
      </c>
      <c r="D5373" s="5">
        <v>2</v>
      </c>
      <c r="E5373" s="5">
        <v>1</v>
      </c>
      <c r="F5373" s="5">
        <v>2</v>
      </c>
      <c r="G5373" s="6" t="s">
        <v>326</v>
      </c>
      <c r="H5373" s="4">
        <v>100.57</v>
      </c>
      <c r="I5373" s="7">
        <v>29.02</v>
      </c>
      <c r="J5373" s="3" t="s">
        <v>521</v>
      </c>
      <c r="K5373" s="9" t="s">
        <v>36</v>
      </c>
      <c r="L5373" s="6" t="s">
        <v>1279</v>
      </c>
      <c r="M5373" s="3" t="s">
        <v>36</v>
      </c>
      <c r="N5373" s="3" t="s">
        <v>1279</v>
      </c>
      <c r="O5373" s="8" t="s">
        <v>36</v>
      </c>
      <c r="P5373" s="3" t="s">
        <v>36</v>
      </c>
      <c r="Q5373" s="3" t="s">
        <v>36</v>
      </c>
      <c r="R5373" s="3" t="s">
        <v>36</v>
      </c>
      <c r="S5373" s="3" t="s">
        <v>36</v>
      </c>
      <c r="T5373" s="3" t="s">
        <v>10919</v>
      </c>
      <c r="U5373" s="3" t="s">
        <v>38</v>
      </c>
      <c r="V5373" s="3" t="s">
        <v>39</v>
      </c>
      <c r="W5373" s="3" t="s">
        <v>10920</v>
      </c>
      <c r="X5373" s="10" t="s">
        <v>25372</v>
      </c>
      <c r="Y5373" s="6" t="s">
        <v>192</v>
      </c>
      <c r="Z5373" s="4">
        <v>34.14</v>
      </c>
      <c r="AA5373" s="4">
        <v>58.83</v>
      </c>
      <c r="AB5373" s="3" t="s">
        <v>56</v>
      </c>
      <c r="AC5373" s="3" t="s">
        <v>10922</v>
      </c>
      <c r="AD5373" s="9">
        <v>43243</v>
      </c>
      <c r="AE5373" s="3" t="s">
        <v>785</v>
      </c>
      <c r="AF5373" s="3" t="s">
        <v>5001</v>
      </c>
      <c r="AG5373" s="3" t="s">
        <v>81</v>
      </c>
      <c r="AH5373" s="11">
        <f>HYPERLINK("https://my.pitchbook.com?c=106293-34T","View Company Online")</f>
      </c>
    </row>
    <row r="5374">
      <c r="A5374" s="12" t="s">
        <v>25373</v>
      </c>
      <c r="B5374" s="12" t="s">
        <v>25374</v>
      </c>
      <c r="C5374" s="19" t="s">
        <v>36</v>
      </c>
      <c r="D5374" s="19">
        <v>8</v>
      </c>
      <c r="E5374" s="19">
        <v>4</v>
      </c>
      <c r="F5374" s="19">
        <v>10</v>
      </c>
      <c r="G5374" s="15" t="s">
        <v>36</v>
      </c>
      <c r="H5374" s="14" t="s">
        <v>36</v>
      </c>
      <c r="I5374" s="18" t="s">
        <v>36</v>
      </c>
      <c r="J5374" s="12" t="s">
        <v>36</v>
      </c>
      <c r="K5374" s="13" t="s">
        <v>36</v>
      </c>
      <c r="L5374" s="15" t="s">
        <v>122</v>
      </c>
      <c r="M5374" s="12" t="s">
        <v>36</v>
      </c>
      <c r="N5374" s="12" t="s">
        <v>122</v>
      </c>
      <c r="O5374" s="17" t="s">
        <v>36</v>
      </c>
      <c r="P5374" s="12" t="s">
        <v>36</v>
      </c>
      <c r="Q5374" s="12" t="s">
        <v>36</v>
      </c>
      <c r="R5374" s="12" t="s">
        <v>36</v>
      </c>
      <c r="S5374" s="12" t="s">
        <v>36</v>
      </c>
      <c r="T5374" s="12" t="s">
        <v>25375</v>
      </c>
      <c r="U5374" s="12" t="s">
        <v>38</v>
      </c>
      <c r="V5374" s="12" t="s">
        <v>39</v>
      </c>
      <c r="W5374" s="12" t="s">
        <v>25376</v>
      </c>
      <c r="X5374" s="16" t="s">
        <v>25377</v>
      </c>
      <c r="Y5374" s="15" t="s">
        <v>108</v>
      </c>
      <c r="Z5374" s="14">
        <v>4</v>
      </c>
      <c r="AA5374" s="14" t="s">
        <v>36</v>
      </c>
      <c r="AB5374" s="12" t="s">
        <v>43</v>
      </c>
      <c r="AC5374" s="12" t="s">
        <v>25378</v>
      </c>
      <c r="AD5374" s="13">
        <v>43243</v>
      </c>
      <c r="AE5374" s="12" t="s">
        <v>1330</v>
      </c>
      <c r="AF5374" s="12" t="s">
        <v>7783</v>
      </c>
      <c r="AG5374" s="12" t="s">
        <v>81</v>
      </c>
      <c r="AH5374" s="1">
        <f>HYPERLINK("https://my.pitchbook.com?c=106303-24T","View Company Online")</f>
      </c>
    </row>
    <row r="5375">
      <c r="A5375" s="3" t="s">
        <v>25379</v>
      </c>
      <c r="B5375" s="3" t="s">
        <v>14872</v>
      </c>
      <c r="C5375" s="5" t="s">
        <v>36</v>
      </c>
      <c r="D5375" s="5" t="s">
        <v>36</v>
      </c>
      <c r="E5375" s="5" t="s">
        <v>36</v>
      </c>
      <c r="F5375" s="5" t="s">
        <v>36</v>
      </c>
      <c r="G5375" s="6" t="s">
        <v>36</v>
      </c>
      <c r="H5375" s="4">
        <v>571.21</v>
      </c>
      <c r="I5375" s="7">
        <v>31.26</v>
      </c>
      <c r="J5375" s="3" t="s">
        <v>521</v>
      </c>
      <c r="K5375" s="9" t="s">
        <v>36</v>
      </c>
      <c r="L5375" s="6" t="s">
        <v>36</v>
      </c>
      <c r="M5375" s="3" t="s">
        <v>36</v>
      </c>
      <c r="N5375" s="3" t="s">
        <v>36</v>
      </c>
      <c r="O5375" s="8" t="s">
        <v>36</v>
      </c>
      <c r="P5375" s="3" t="s">
        <v>36</v>
      </c>
      <c r="Q5375" s="3" t="s">
        <v>36</v>
      </c>
      <c r="R5375" s="3" t="s">
        <v>36</v>
      </c>
      <c r="S5375" s="3" t="s">
        <v>36</v>
      </c>
      <c r="T5375" s="3" t="s">
        <v>464</v>
      </c>
      <c r="U5375" s="3" t="s">
        <v>38</v>
      </c>
      <c r="V5375" s="3" t="s">
        <v>39</v>
      </c>
      <c r="W5375" s="3" t="s">
        <v>14873</v>
      </c>
      <c r="X5375" s="10" t="s">
        <v>25380</v>
      </c>
      <c r="Y5375" s="6" t="s">
        <v>42</v>
      </c>
      <c r="Z5375" s="4">
        <v>3.23</v>
      </c>
      <c r="AA5375" s="4">
        <v>5.74</v>
      </c>
      <c r="AB5375" s="3" t="s">
        <v>43</v>
      </c>
      <c r="AC5375" s="3" t="s">
        <v>14875</v>
      </c>
      <c r="AD5375" s="9">
        <v>43242</v>
      </c>
      <c r="AE5375" s="3" t="s">
        <v>110</v>
      </c>
      <c r="AF5375" s="3" t="s">
        <v>8083</v>
      </c>
      <c r="AG5375" s="3" t="s">
        <v>47</v>
      </c>
      <c r="AH5375" s="11">
        <f>HYPERLINK("https://my.pitchbook.com?c=106270-21T","View Company Online")</f>
      </c>
    </row>
    <row r="5376">
      <c r="A5376" s="12" t="s">
        <v>25381</v>
      </c>
      <c r="B5376" s="12" t="s">
        <v>25382</v>
      </c>
      <c r="C5376" s="19" t="s">
        <v>36</v>
      </c>
      <c r="D5376" s="19" t="s">
        <v>36</v>
      </c>
      <c r="E5376" s="19" t="s">
        <v>36</v>
      </c>
      <c r="F5376" s="19" t="s">
        <v>36</v>
      </c>
      <c r="G5376" s="15" t="s">
        <v>326</v>
      </c>
      <c r="H5376" s="14">
        <v>11.42</v>
      </c>
      <c r="I5376" s="18">
        <v>10.79</v>
      </c>
      <c r="J5376" s="12" t="s">
        <v>521</v>
      </c>
      <c r="K5376" s="13" t="s">
        <v>36</v>
      </c>
      <c r="L5376" s="15" t="s">
        <v>36</v>
      </c>
      <c r="M5376" s="12" t="s">
        <v>36</v>
      </c>
      <c r="N5376" s="12" t="s">
        <v>36</v>
      </c>
      <c r="O5376" s="17" t="s">
        <v>36</v>
      </c>
      <c r="P5376" s="12" t="s">
        <v>36</v>
      </c>
      <c r="Q5376" s="12" t="s">
        <v>36</v>
      </c>
      <c r="R5376" s="12" t="s">
        <v>36</v>
      </c>
      <c r="S5376" s="12" t="s">
        <v>36</v>
      </c>
      <c r="T5376" s="12" t="s">
        <v>6299</v>
      </c>
      <c r="U5376" s="12" t="s">
        <v>728</v>
      </c>
      <c r="V5376" s="12" t="s">
        <v>64</v>
      </c>
      <c r="W5376" s="12" t="s">
        <v>25383</v>
      </c>
      <c r="X5376" s="16" t="s">
        <v>25384</v>
      </c>
      <c r="Y5376" s="15" t="s">
        <v>166</v>
      </c>
      <c r="Z5376" s="14">
        <v>1.85</v>
      </c>
      <c r="AA5376" s="14">
        <v>17.18</v>
      </c>
      <c r="AB5376" s="12" t="s">
        <v>56</v>
      </c>
      <c r="AC5376" s="12" t="s">
        <v>25385</v>
      </c>
      <c r="AD5376" s="13">
        <v>43242</v>
      </c>
      <c r="AE5376" s="12" t="s">
        <v>1600</v>
      </c>
      <c r="AF5376" s="12" t="s">
        <v>90</v>
      </c>
      <c r="AG5376" s="12" t="s">
        <v>81</v>
      </c>
      <c r="AH5376" s="1">
        <f>HYPERLINK("https://my.pitchbook.com?c=206298-46T","View Company Online")</f>
      </c>
    </row>
    <row r="5377">
      <c r="A5377" s="3" t="s">
        <v>25386</v>
      </c>
      <c r="B5377" s="3" t="s">
        <v>18972</v>
      </c>
      <c r="C5377" s="5" t="s">
        <v>36</v>
      </c>
      <c r="D5377" s="5" t="s">
        <v>36</v>
      </c>
      <c r="E5377" s="5" t="s">
        <v>36</v>
      </c>
      <c r="F5377" s="5" t="s">
        <v>36</v>
      </c>
      <c r="G5377" s="6" t="s">
        <v>36</v>
      </c>
      <c r="H5377" s="4" t="s">
        <v>36</v>
      </c>
      <c r="I5377" s="7" t="s">
        <v>36</v>
      </c>
      <c r="J5377" s="3" t="s">
        <v>36</v>
      </c>
      <c r="K5377" s="9" t="s">
        <v>36</v>
      </c>
      <c r="L5377" s="6" t="s">
        <v>36</v>
      </c>
      <c r="M5377" s="3" t="s">
        <v>36</v>
      </c>
      <c r="N5377" s="3" t="s">
        <v>36</v>
      </c>
      <c r="O5377" s="8" t="s">
        <v>36</v>
      </c>
      <c r="P5377" s="3" t="s">
        <v>36</v>
      </c>
      <c r="Q5377" s="3" t="s">
        <v>36</v>
      </c>
      <c r="R5377" s="3" t="s">
        <v>36</v>
      </c>
      <c r="S5377" s="3" t="s">
        <v>36</v>
      </c>
      <c r="T5377" s="3" t="s">
        <v>18973</v>
      </c>
      <c r="U5377" s="3" t="s">
        <v>289</v>
      </c>
      <c r="V5377" s="3" t="s">
        <v>64</v>
      </c>
      <c r="W5377" s="3" t="s">
        <v>18974</v>
      </c>
      <c r="X5377" s="10" t="s">
        <v>22004</v>
      </c>
      <c r="Y5377" s="6" t="s">
        <v>42</v>
      </c>
      <c r="Z5377" s="4">
        <v>0.84</v>
      </c>
      <c r="AA5377" s="4" t="s">
        <v>36</v>
      </c>
      <c r="AB5377" s="3" t="s">
        <v>43</v>
      </c>
      <c r="AC5377" s="3" t="s">
        <v>18976</v>
      </c>
      <c r="AD5377" s="9">
        <v>43242</v>
      </c>
      <c r="AE5377" s="3" t="s">
        <v>3134</v>
      </c>
      <c r="AF5377" s="3" t="s">
        <v>90</v>
      </c>
      <c r="AG5377" s="3" t="s">
        <v>81</v>
      </c>
      <c r="AH5377" s="11">
        <f>HYPERLINK("https://my.pitchbook.com?c=158744-53T","View Company Online")</f>
      </c>
    </row>
    <row r="5378">
      <c r="A5378" s="12" t="s">
        <v>25387</v>
      </c>
      <c r="B5378" s="12" t="s">
        <v>7475</v>
      </c>
      <c r="C5378" s="19" t="s">
        <v>36</v>
      </c>
      <c r="D5378" s="19" t="s">
        <v>36</v>
      </c>
      <c r="E5378" s="19" t="s">
        <v>36</v>
      </c>
      <c r="F5378" s="19" t="s">
        <v>36</v>
      </c>
      <c r="G5378" s="15" t="s">
        <v>36</v>
      </c>
      <c r="H5378" s="14">
        <v>348.13</v>
      </c>
      <c r="I5378" s="18">
        <v>16.2</v>
      </c>
      <c r="J5378" s="12" t="s">
        <v>521</v>
      </c>
      <c r="K5378" s="13" t="s">
        <v>36</v>
      </c>
      <c r="L5378" s="15" t="s">
        <v>36</v>
      </c>
      <c r="M5378" s="12" t="s">
        <v>36</v>
      </c>
      <c r="N5378" s="12" t="s">
        <v>36</v>
      </c>
      <c r="O5378" s="17" t="s">
        <v>36</v>
      </c>
      <c r="P5378" s="12" t="s">
        <v>36</v>
      </c>
      <c r="Q5378" s="12" t="s">
        <v>36</v>
      </c>
      <c r="R5378" s="12" t="s">
        <v>36</v>
      </c>
      <c r="S5378" s="12" t="s">
        <v>36</v>
      </c>
      <c r="T5378" s="12" t="s">
        <v>7476</v>
      </c>
      <c r="U5378" s="12" t="s">
        <v>279</v>
      </c>
      <c r="V5378" s="12" t="s">
        <v>64</v>
      </c>
      <c r="W5378" s="12" t="s">
        <v>7477</v>
      </c>
      <c r="X5378" s="16" t="s">
        <v>25388</v>
      </c>
      <c r="Y5378" s="15" t="s">
        <v>42</v>
      </c>
      <c r="Z5378" s="14">
        <v>0.69</v>
      </c>
      <c r="AA5378" s="14">
        <v>4.28</v>
      </c>
      <c r="AB5378" s="12" t="s">
        <v>43</v>
      </c>
      <c r="AC5378" s="12" t="s">
        <v>7479</v>
      </c>
      <c r="AD5378" s="13">
        <v>43242</v>
      </c>
      <c r="AE5378" s="12" t="s">
        <v>283</v>
      </c>
      <c r="AF5378" s="12" t="s">
        <v>90</v>
      </c>
      <c r="AG5378" s="12" t="s">
        <v>81</v>
      </c>
      <c r="AH5378" s="1">
        <f>HYPERLINK("https://my.pitchbook.com?c=122441-32T","View Company Online")</f>
      </c>
    </row>
    <row r="5379">
      <c r="A5379" s="3" t="s">
        <v>25389</v>
      </c>
      <c r="B5379" s="3" t="s">
        <v>22344</v>
      </c>
      <c r="C5379" s="5">
        <v>1</v>
      </c>
      <c r="D5379" s="5">
        <v>32</v>
      </c>
      <c r="E5379" s="5">
        <v>5</v>
      </c>
      <c r="F5379" s="5">
        <v>33</v>
      </c>
      <c r="G5379" s="6" t="s">
        <v>36</v>
      </c>
      <c r="H5379" s="4">
        <v>11.74</v>
      </c>
      <c r="I5379" s="7">
        <v>17.69</v>
      </c>
      <c r="J5379" s="3" t="s">
        <v>521</v>
      </c>
      <c r="K5379" s="9" t="s">
        <v>36</v>
      </c>
      <c r="L5379" s="6" t="s">
        <v>36</v>
      </c>
      <c r="M5379" s="3" t="s">
        <v>36</v>
      </c>
      <c r="N5379" s="3" t="s">
        <v>36</v>
      </c>
      <c r="O5379" s="8" t="s">
        <v>36</v>
      </c>
      <c r="P5379" s="3" t="s">
        <v>36</v>
      </c>
      <c r="Q5379" s="3" t="s">
        <v>36</v>
      </c>
      <c r="R5379" s="3" t="s">
        <v>36</v>
      </c>
      <c r="S5379" s="3" t="s">
        <v>22345</v>
      </c>
      <c r="T5379" s="3" t="s">
        <v>588</v>
      </c>
      <c r="U5379" s="3" t="s">
        <v>318</v>
      </c>
      <c r="V5379" s="3" t="s">
        <v>39</v>
      </c>
      <c r="W5379" s="3" t="s">
        <v>22346</v>
      </c>
      <c r="X5379" s="10" t="s">
        <v>25390</v>
      </c>
      <c r="Y5379" s="6" t="s">
        <v>42</v>
      </c>
      <c r="Z5379" s="4">
        <v>2.63</v>
      </c>
      <c r="AA5379" s="4">
        <v>9.8</v>
      </c>
      <c r="AB5379" s="3" t="s">
        <v>56</v>
      </c>
      <c r="AC5379" s="3" t="s">
        <v>22348</v>
      </c>
      <c r="AD5379" s="9">
        <v>43242</v>
      </c>
      <c r="AE5379" s="3" t="s">
        <v>417</v>
      </c>
      <c r="AF5379" s="3" t="s">
        <v>22349</v>
      </c>
      <c r="AG5379" s="3" t="s">
        <v>22350</v>
      </c>
      <c r="AH5379" s="11">
        <f>HYPERLINK("https://my.pitchbook.com?c=106215-85T","View Company Online")</f>
      </c>
    </row>
    <row r="5380">
      <c r="A5380" s="12" t="s">
        <v>25391</v>
      </c>
      <c r="B5380" s="12" t="s">
        <v>14402</v>
      </c>
      <c r="C5380" s="19" t="s">
        <v>36</v>
      </c>
      <c r="D5380" s="19" t="s">
        <v>36</v>
      </c>
      <c r="E5380" s="19" t="s">
        <v>36</v>
      </c>
      <c r="F5380" s="19" t="s">
        <v>36</v>
      </c>
      <c r="G5380" s="15" t="s">
        <v>36</v>
      </c>
      <c r="H5380" s="14" t="s">
        <v>36</v>
      </c>
      <c r="I5380" s="18" t="s">
        <v>36</v>
      </c>
      <c r="J5380" s="12" t="s">
        <v>36</v>
      </c>
      <c r="K5380" s="13" t="s">
        <v>36</v>
      </c>
      <c r="L5380" s="15" t="s">
        <v>36</v>
      </c>
      <c r="M5380" s="12" t="s">
        <v>36</v>
      </c>
      <c r="N5380" s="12" t="s">
        <v>36</v>
      </c>
      <c r="O5380" s="17" t="s">
        <v>36</v>
      </c>
      <c r="P5380" s="12" t="s">
        <v>36</v>
      </c>
      <c r="Q5380" s="12" t="s">
        <v>36</v>
      </c>
      <c r="R5380" s="12" t="s">
        <v>36</v>
      </c>
      <c r="S5380" s="12" t="s">
        <v>36</v>
      </c>
      <c r="T5380" s="12" t="s">
        <v>3397</v>
      </c>
      <c r="U5380" s="12" t="s">
        <v>423</v>
      </c>
      <c r="V5380" s="12" t="s">
        <v>64</v>
      </c>
      <c r="W5380" s="12" t="s">
        <v>14403</v>
      </c>
      <c r="X5380" s="16" t="s">
        <v>25392</v>
      </c>
      <c r="Y5380" s="15" t="s">
        <v>42</v>
      </c>
      <c r="Z5380" s="14">
        <v>6.59</v>
      </c>
      <c r="AA5380" s="14" t="s">
        <v>36</v>
      </c>
      <c r="AB5380" s="12" t="s">
        <v>43</v>
      </c>
      <c r="AC5380" s="12" t="s">
        <v>14405</v>
      </c>
      <c r="AD5380" s="13">
        <v>43240</v>
      </c>
      <c r="AE5380" s="12" t="s">
        <v>562</v>
      </c>
      <c r="AF5380" s="12" t="s">
        <v>4270</v>
      </c>
      <c r="AG5380" s="12" t="s">
        <v>81</v>
      </c>
      <c r="AH5380" s="1">
        <f>HYPERLINK("https://my.pitchbook.com?c=106143-94T","View Company Online")</f>
      </c>
    </row>
    <row r="5381">
      <c r="A5381" s="3" t="s">
        <v>25393</v>
      </c>
      <c r="B5381" s="3" t="s">
        <v>25394</v>
      </c>
      <c r="C5381" s="5" t="s">
        <v>36</v>
      </c>
      <c r="D5381" s="5" t="s">
        <v>36</v>
      </c>
      <c r="E5381" s="5" t="s">
        <v>36</v>
      </c>
      <c r="F5381" s="5" t="s">
        <v>36</v>
      </c>
      <c r="G5381" s="6" t="s">
        <v>326</v>
      </c>
      <c r="H5381" s="4">
        <v>2488.01</v>
      </c>
      <c r="I5381" s="7">
        <v>30.5</v>
      </c>
      <c r="J5381" s="3" t="s">
        <v>521</v>
      </c>
      <c r="K5381" s="9" t="s">
        <v>36</v>
      </c>
      <c r="L5381" s="6" t="s">
        <v>36</v>
      </c>
      <c r="M5381" s="3" t="s">
        <v>36</v>
      </c>
      <c r="N5381" s="3" t="s">
        <v>36</v>
      </c>
      <c r="O5381" s="8" t="s">
        <v>36</v>
      </c>
      <c r="P5381" s="3" t="s">
        <v>36</v>
      </c>
      <c r="Q5381" s="3" t="s">
        <v>36</v>
      </c>
      <c r="R5381" s="3" t="s">
        <v>36</v>
      </c>
      <c r="S5381" s="3" t="s">
        <v>36</v>
      </c>
      <c r="T5381" s="3" t="s">
        <v>1253</v>
      </c>
      <c r="U5381" s="3" t="s">
        <v>38</v>
      </c>
      <c r="V5381" s="3" t="s">
        <v>39</v>
      </c>
      <c r="W5381" s="3" t="s">
        <v>25395</v>
      </c>
      <c r="X5381" s="10" t="s">
        <v>25396</v>
      </c>
      <c r="Y5381" s="6" t="s">
        <v>42</v>
      </c>
      <c r="Z5381" s="4">
        <v>1.81</v>
      </c>
      <c r="AA5381" s="4">
        <v>5.92</v>
      </c>
      <c r="AB5381" s="3" t="s">
        <v>56</v>
      </c>
      <c r="AC5381" s="3" t="s">
        <v>25397</v>
      </c>
      <c r="AD5381" s="9">
        <v>43238</v>
      </c>
      <c r="AE5381" s="3" t="s">
        <v>45</v>
      </c>
      <c r="AF5381" s="3" t="s">
        <v>25398</v>
      </c>
      <c r="AG5381" s="3" t="s">
        <v>81</v>
      </c>
      <c r="AH5381" s="11">
        <f>HYPERLINK("https://my.pitchbook.com?c=108156-25T","View Company Online")</f>
      </c>
    </row>
    <row r="5382">
      <c r="A5382" s="12" t="s">
        <v>25399</v>
      </c>
      <c r="B5382" s="12" t="s">
        <v>25400</v>
      </c>
      <c r="C5382" s="19" t="s">
        <v>36</v>
      </c>
      <c r="D5382" s="19" t="s">
        <v>36</v>
      </c>
      <c r="E5382" s="19" t="s">
        <v>36</v>
      </c>
      <c r="F5382" s="19" t="s">
        <v>36</v>
      </c>
      <c r="G5382" s="15" t="s">
        <v>36</v>
      </c>
      <c r="H5382" s="14">
        <v>1.82</v>
      </c>
      <c r="I5382" s="18">
        <v>43.61</v>
      </c>
      <c r="J5382" s="12" t="s">
        <v>521</v>
      </c>
      <c r="K5382" s="13">
        <v>42562</v>
      </c>
      <c r="L5382" s="15" t="s">
        <v>36</v>
      </c>
      <c r="M5382" s="12" t="s">
        <v>36</v>
      </c>
      <c r="N5382" s="12" t="s">
        <v>36</v>
      </c>
      <c r="O5382" s="17" t="s">
        <v>36</v>
      </c>
      <c r="P5382" s="12" t="s">
        <v>36</v>
      </c>
      <c r="Q5382" s="12" t="s">
        <v>36</v>
      </c>
      <c r="R5382" s="12" t="s">
        <v>36</v>
      </c>
      <c r="S5382" s="12" t="s">
        <v>36</v>
      </c>
      <c r="T5382" s="12" t="s">
        <v>4406</v>
      </c>
      <c r="U5382" s="12" t="s">
        <v>833</v>
      </c>
      <c r="V5382" s="12" t="s">
        <v>64</v>
      </c>
      <c r="W5382" s="12" t="s">
        <v>25401</v>
      </c>
      <c r="X5382" s="16" t="s">
        <v>25402</v>
      </c>
      <c r="Y5382" s="15" t="s">
        <v>42</v>
      </c>
      <c r="Z5382" s="14">
        <v>1.8</v>
      </c>
      <c r="AA5382" s="14">
        <v>4.12</v>
      </c>
      <c r="AB5382" s="12" t="s">
        <v>43</v>
      </c>
      <c r="AC5382" s="12" t="s">
        <v>25403</v>
      </c>
      <c r="AD5382" s="13">
        <v>43238</v>
      </c>
      <c r="AE5382" s="12" t="s">
        <v>1069</v>
      </c>
      <c r="AF5382" s="12" t="s">
        <v>1636</v>
      </c>
      <c r="AG5382" s="12" t="s">
        <v>186</v>
      </c>
      <c r="AH5382" s="1">
        <f>HYPERLINK("https://my.pitchbook.com?c=87252-76T","View Company Online")</f>
      </c>
    </row>
    <row r="5383">
      <c r="A5383" s="3" t="s">
        <v>25404</v>
      </c>
      <c r="B5383" s="3" t="s">
        <v>25405</v>
      </c>
      <c r="C5383" s="5" t="s">
        <v>36</v>
      </c>
      <c r="D5383" s="5" t="s">
        <v>36</v>
      </c>
      <c r="E5383" s="5" t="s">
        <v>36</v>
      </c>
      <c r="F5383" s="5" t="s">
        <v>36</v>
      </c>
      <c r="G5383" s="6" t="s">
        <v>326</v>
      </c>
      <c r="H5383" s="4">
        <v>185.9</v>
      </c>
      <c r="I5383" s="7">
        <v>22.32</v>
      </c>
      <c r="J5383" s="3" t="s">
        <v>521</v>
      </c>
      <c r="K5383" s="9">
        <v>43208</v>
      </c>
      <c r="L5383" s="6" t="s">
        <v>36</v>
      </c>
      <c r="M5383" s="3" t="s">
        <v>36</v>
      </c>
      <c r="N5383" s="3" t="s">
        <v>36</v>
      </c>
      <c r="O5383" s="8" t="s">
        <v>36</v>
      </c>
      <c r="P5383" s="3" t="s">
        <v>36</v>
      </c>
      <c r="Q5383" s="3" t="s">
        <v>36</v>
      </c>
      <c r="R5383" s="3" t="s">
        <v>36</v>
      </c>
      <c r="S5383" s="3" t="s">
        <v>6531</v>
      </c>
      <c r="T5383" s="3" t="s">
        <v>105</v>
      </c>
      <c r="U5383" s="3" t="s">
        <v>38</v>
      </c>
      <c r="V5383" s="3" t="s">
        <v>39</v>
      </c>
      <c r="W5383" s="3" t="s">
        <v>25406</v>
      </c>
      <c r="X5383" s="10" t="s">
        <v>25407</v>
      </c>
      <c r="Y5383" s="6" t="s">
        <v>55</v>
      </c>
      <c r="Z5383" s="4">
        <v>1.62</v>
      </c>
      <c r="AA5383" s="4">
        <v>5.43</v>
      </c>
      <c r="AB5383" s="3" t="s">
        <v>56</v>
      </c>
      <c r="AC5383" s="3" t="s">
        <v>25408</v>
      </c>
      <c r="AD5383" s="9">
        <v>43237</v>
      </c>
      <c r="AE5383" s="3" t="s">
        <v>110</v>
      </c>
      <c r="AF5383" s="3" t="s">
        <v>6488</v>
      </c>
      <c r="AG5383" s="3" t="s">
        <v>25409</v>
      </c>
      <c r="AH5383" s="11">
        <f>HYPERLINK("https://my.pitchbook.com?c=116129-71T","View Company Online")</f>
      </c>
    </row>
    <row r="5384">
      <c r="A5384" s="12" t="s">
        <v>25410</v>
      </c>
      <c r="B5384" s="12" t="s">
        <v>25411</v>
      </c>
      <c r="C5384" s="19">
        <v>1</v>
      </c>
      <c r="D5384" s="19">
        <v>17</v>
      </c>
      <c r="E5384" s="19">
        <v>3</v>
      </c>
      <c r="F5384" s="19">
        <v>21</v>
      </c>
      <c r="G5384" s="15" t="s">
        <v>326</v>
      </c>
      <c r="H5384" s="14">
        <v>20.77</v>
      </c>
      <c r="I5384" s="18">
        <v>30.77</v>
      </c>
      <c r="J5384" s="12" t="s">
        <v>521</v>
      </c>
      <c r="K5384" s="13" t="s">
        <v>36</v>
      </c>
      <c r="L5384" s="15" t="s">
        <v>36</v>
      </c>
      <c r="M5384" s="12" t="s">
        <v>36</v>
      </c>
      <c r="N5384" s="12" t="s">
        <v>36</v>
      </c>
      <c r="O5384" s="17" t="s">
        <v>36</v>
      </c>
      <c r="P5384" s="12" t="s">
        <v>36</v>
      </c>
      <c r="Q5384" s="12" t="s">
        <v>36</v>
      </c>
      <c r="R5384" s="12" t="s">
        <v>36</v>
      </c>
      <c r="S5384" s="12" t="s">
        <v>36</v>
      </c>
      <c r="T5384" s="12" t="s">
        <v>3264</v>
      </c>
      <c r="U5384" s="12" t="s">
        <v>96</v>
      </c>
      <c r="V5384" s="12" t="s">
        <v>52</v>
      </c>
      <c r="W5384" s="12" t="s">
        <v>25412</v>
      </c>
      <c r="X5384" s="16" t="s">
        <v>25413</v>
      </c>
      <c r="Y5384" s="15" t="s">
        <v>55</v>
      </c>
      <c r="Z5384" s="14">
        <v>1.31</v>
      </c>
      <c r="AA5384" s="14">
        <v>4.26</v>
      </c>
      <c r="AB5384" s="12" t="s">
        <v>56</v>
      </c>
      <c r="AC5384" s="12" t="s">
        <v>25414</v>
      </c>
      <c r="AD5384" s="13">
        <v>43237</v>
      </c>
      <c r="AE5384" s="12" t="s">
        <v>496</v>
      </c>
      <c r="AF5384" s="12" t="s">
        <v>885</v>
      </c>
      <c r="AG5384" s="12" t="s">
        <v>1276</v>
      </c>
      <c r="AH5384" s="1">
        <f>HYPERLINK("https://my.pitchbook.com?c=132009-49T","View Company Online")</f>
      </c>
    </row>
    <row r="5385">
      <c r="A5385" s="3" t="s">
        <v>25415</v>
      </c>
      <c r="B5385" s="3" t="s">
        <v>25416</v>
      </c>
      <c r="C5385" s="5">
        <v>1</v>
      </c>
      <c r="D5385" s="5">
        <v>1</v>
      </c>
      <c r="E5385" s="5">
        <v>1</v>
      </c>
      <c r="F5385" s="5">
        <v>5</v>
      </c>
      <c r="G5385" s="6" t="s">
        <v>36</v>
      </c>
      <c r="H5385" s="4">
        <v>0.48</v>
      </c>
      <c r="I5385" s="7">
        <v>8</v>
      </c>
      <c r="J5385" s="3" t="s">
        <v>521</v>
      </c>
      <c r="K5385" s="9" t="s">
        <v>36</v>
      </c>
      <c r="L5385" s="6" t="s">
        <v>36</v>
      </c>
      <c r="M5385" s="3" t="s">
        <v>36</v>
      </c>
      <c r="N5385" s="3" t="s">
        <v>36</v>
      </c>
      <c r="O5385" s="8" t="s">
        <v>36</v>
      </c>
      <c r="P5385" s="3" t="s">
        <v>36</v>
      </c>
      <c r="Q5385" s="3" t="s">
        <v>36</v>
      </c>
      <c r="R5385" s="3" t="s">
        <v>36</v>
      </c>
      <c r="S5385" s="3" t="s">
        <v>36</v>
      </c>
      <c r="T5385" s="3" t="s">
        <v>25417</v>
      </c>
      <c r="U5385" s="3" t="s">
        <v>619</v>
      </c>
      <c r="V5385" s="3" t="s">
        <v>378</v>
      </c>
      <c r="W5385" s="3" t="s">
        <v>25418</v>
      </c>
      <c r="X5385" s="10" t="s">
        <v>25419</v>
      </c>
      <c r="Y5385" s="6" t="s">
        <v>42</v>
      </c>
      <c r="Z5385" s="4">
        <v>0.05</v>
      </c>
      <c r="AA5385" s="4">
        <v>0.6</v>
      </c>
      <c r="AB5385" s="3" t="s">
        <v>43</v>
      </c>
      <c r="AC5385" s="3" t="s">
        <v>25420</v>
      </c>
      <c r="AD5385" s="9">
        <v>43237</v>
      </c>
      <c r="AE5385" s="3" t="s">
        <v>623</v>
      </c>
      <c r="AF5385" s="3" t="s">
        <v>10715</v>
      </c>
      <c r="AG5385" s="3" t="s">
        <v>25421</v>
      </c>
      <c r="AH5385" s="11">
        <f>HYPERLINK("https://my.pitchbook.com?c=180003-52T","View Company Online")</f>
      </c>
    </row>
    <row r="5386">
      <c r="A5386" s="12" t="s">
        <v>25422</v>
      </c>
      <c r="B5386" s="12" t="s">
        <v>14937</v>
      </c>
      <c r="C5386" s="19">
        <v>1</v>
      </c>
      <c r="D5386" s="19">
        <v>2</v>
      </c>
      <c r="E5386" s="19">
        <v>2</v>
      </c>
      <c r="F5386" s="19">
        <v>6</v>
      </c>
      <c r="G5386" s="15" t="s">
        <v>36</v>
      </c>
      <c r="H5386" s="14">
        <v>41.54</v>
      </c>
      <c r="I5386" s="18">
        <v>15.9</v>
      </c>
      <c r="J5386" s="12" t="s">
        <v>521</v>
      </c>
      <c r="K5386" s="13" t="s">
        <v>36</v>
      </c>
      <c r="L5386" s="15" t="s">
        <v>36</v>
      </c>
      <c r="M5386" s="12" t="s">
        <v>36</v>
      </c>
      <c r="N5386" s="12" t="s">
        <v>36</v>
      </c>
      <c r="O5386" s="17" t="s">
        <v>36</v>
      </c>
      <c r="P5386" s="12" t="s">
        <v>36</v>
      </c>
      <c r="Q5386" s="12" t="s">
        <v>36</v>
      </c>
      <c r="R5386" s="12" t="s">
        <v>36</v>
      </c>
      <c r="S5386" s="12" t="s">
        <v>36</v>
      </c>
      <c r="T5386" s="12" t="s">
        <v>2490</v>
      </c>
      <c r="U5386" s="12" t="s">
        <v>318</v>
      </c>
      <c r="V5386" s="12" t="s">
        <v>39</v>
      </c>
      <c r="W5386" s="12" t="s">
        <v>14938</v>
      </c>
      <c r="X5386" s="16" t="s">
        <v>25423</v>
      </c>
      <c r="Y5386" s="15" t="s">
        <v>42</v>
      </c>
      <c r="Z5386" s="14">
        <v>2.41</v>
      </c>
      <c r="AA5386" s="14">
        <v>5.73</v>
      </c>
      <c r="AB5386" s="12" t="s">
        <v>43</v>
      </c>
      <c r="AC5386" s="12" t="s">
        <v>14940</v>
      </c>
      <c r="AD5386" s="13">
        <v>43237</v>
      </c>
      <c r="AE5386" s="12" t="s">
        <v>417</v>
      </c>
      <c r="AF5386" s="12" t="s">
        <v>14941</v>
      </c>
      <c r="AG5386" s="12" t="s">
        <v>373</v>
      </c>
      <c r="AH5386" s="1">
        <f>HYPERLINK("https://my.pitchbook.com?c=119874-43T","View Company Online")</f>
      </c>
    </row>
    <row r="5387">
      <c r="A5387" s="3" t="s">
        <v>25424</v>
      </c>
      <c r="B5387" s="3" t="s">
        <v>16697</v>
      </c>
      <c r="C5387" s="5" t="s">
        <v>36</v>
      </c>
      <c r="D5387" s="5" t="s">
        <v>36</v>
      </c>
      <c r="E5387" s="5" t="s">
        <v>36</v>
      </c>
      <c r="F5387" s="5" t="s">
        <v>36</v>
      </c>
      <c r="G5387" s="6" t="s">
        <v>326</v>
      </c>
      <c r="H5387" s="4">
        <v>80.52</v>
      </c>
      <c r="I5387" s="7">
        <v>37.22</v>
      </c>
      <c r="J5387" s="3" t="s">
        <v>521</v>
      </c>
      <c r="K5387" s="9" t="s">
        <v>36</v>
      </c>
      <c r="L5387" s="6" t="s">
        <v>94</v>
      </c>
      <c r="M5387" s="3" t="s">
        <v>36</v>
      </c>
      <c r="N5387" s="3" t="s">
        <v>94</v>
      </c>
      <c r="O5387" s="8" t="s">
        <v>36</v>
      </c>
      <c r="P5387" s="3" t="s">
        <v>36</v>
      </c>
      <c r="Q5387" s="3" t="s">
        <v>36</v>
      </c>
      <c r="R5387" s="3" t="s">
        <v>36</v>
      </c>
      <c r="S5387" s="3" t="s">
        <v>36</v>
      </c>
      <c r="T5387" s="3" t="s">
        <v>7415</v>
      </c>
      <c r="U5387" s="3" t="s">
        <v>38</v>
      </c>
      <c r="V5387" s="3" t="s">
        <v>39</v>
      </c>
      <c r="W5387" s="3" t="s">
        <v>16698</v>
      </c>
      <c r="X5387" s="10" t="s">
        <v>25425</v>
      </c>
      <c r="Y5387" s="6" t="s">
        <v>192</v>
      </c>
      <c r="Z5387" s="4">
        <v>72.4</v>
      </c>
      <c r="AA5387" s="4">
        <v>159.98</v>
      </c>
      <c r="AB5387" s="3" t="s">
        <v>56</v>
      </c>
      <c r="AC5387" s="3" t="s">
        <v>16700</v>
      </c>
      <c r="AD5387" s="9">
        <v>43236</v>
      </c>
      <c r="AE5387" s="3" t="s">
        <v>1422</v>
      </c>
      <c r="AF5387" s="3" t="s">
        <v>4842</v>
      </c>
      <c r="AG5387" s="3" t="s">
        <v>81</v>
      </c>
      <c r="AH5387" s="11">
        <f>HYPERLINK("https://my.pitchbook.com?c=106005-88T","View Company Online")</f>
      </c>
    </row>
    <row r="5388">
      <c r="A5388" s="12" t="s">
        <v>25426</v>
      </c>
      <c r="B5388" s="12" t="s">
        <v>25427</v>
      </c>
      <c r="C5388" s="19" t="s">
        <v>36</v>
      </c>
      <c r="D5388" s="19" t="s">
        <v>36</v>
      </c>
      <c r="E5388" s="19" t="s">
        <v>36</v>
      </c>
      <c r="F5388" s="19" t="s">
        <v>36</v>
      </c>
      <c r="G5388" s="15" t="s">
        <v>326</v>
      </c>
      <c r="H5388" s="14">
        <v>195.25</v>
      </c>
      <c r="I5388" s="18">
        <v>33.33</v>
      </c>
      <c r="J5388" s="12" t="s">
        <v>521</v>
      </c>
      <c r="K5388" s="13">
        <v>40682</v>
      </c>
      <c r="L5388" s="15" t="s">
        <v>122</v>
      </c>
      <c r="M5388" s="12" t="s">
        <v>36</v>
      </c>
      <c r="N5388" s="12" t="s">
        <v>122</v>
      </c>
      <c r="O5388" s="17" t="s">
        <v>36</v>
      </c>
      <c r="P5388" s="12" t="s">
        <v>36</v>
      </c>
      <c r="Q5388" s="12" t="s">
        <v>36</v>
      </c>
      <c r="R5388" s="12" t="s">
        <v>36</v>
      </c>
      <c r="S5388" s="12" t="s">
        <v>36</v>
      </c>
      <c r="T5388" s="12" t="s">
        <v>9494</v>
      </c>
      <c r="U5388" s="12" t="s">
        <v>38</v>
      </c>
      <c r="V5388" s="12" t="s">
        <v>39</v>
      </c>
      <c r="W5388" s="12" t="s">
        <v>25428</v>
      </c>
      <c r="X5388" s="16" t="s">
        <v>25429</v>
      </c>
      <c r="Y5388" s="15" t="s">
        <v>108</v>
      </c>
      <c r="Z5388" s="14">
        <v>3.02</v>
      </c>
      <c r="AA5388" s="14">
        <v>9.05</v>
      </c>
      <c r="AB5388" s="12" t="s">
        <v>56</v>
      </c>
      <c r="AC5388" s="12" t="s">
        <v>25430</v>
      </c>
      <c r="AD5388" s="13">
        <v>43236</v>
      </c>
      <c r="AE5388" s="12" t="s">
        <v>554</v>
      </c>
      <c r="AF5388" s="12" t="s">
        <v>1296</v>
      </c>
      <c r="AG5388" s="12" t="s">
        <v>81</v>
      </c>
      <c r="AH5388" s="1">
        <f>HYPERLINK("https://my.pitchbook.com?c=30131-20T","View Company Online")</f>
      </c>
    </row>
    <row r="5389">
      <c r="A5389" s="3" t="s">
        <v>25431</v>
      </c>
      <c r="B5389" s="3" t="s">
        <v>22590</v>
      </c>
      <c r="C5389" s="5" t="s">
        <v>36</v>
      </c>
      <c r="D5389" s="5" t="s">
        <v>36</v>
      </c>
      <c r="E5389" s="5" t="s">
        <v>36</v>
      </c>
      <c r="F5389" s="5" t="s">
        <v>36</v>
      </c>
      <c r="G5389" s="6" t="s">
        <v>326</v>
      </c>
      <c r="H5389" s="4">
        <v>49.66</v>
      </c>
      <c r="I5389" s="7">
        <v>34.26</v>
      </c>
      <c r="J5389" s="3" t="s">
        <v>521</v>
      </c>
      <c r="K5389" s="9" t="s">
        <v>36</v>
      </c>
      <c r="L5389" s="6" t="s">
        <v>36</v>
      </c>
      <c r="M5389" s="3" t="s">
        <v>36</v>
      </c>
      <c r="N5389" s="3" t="s">
        <v>36</v>
      </c>
      <c r="O5389" s="8" t="s">
        <v>36</v>
      </c>
      <c r="P5389" s="3" t="s">
        <v>36</v>
      </c>
      <c r="Q5389" s="3" t="s">
        <v>36</v>
      </c>
      <c r="R5389" s="3" t="s">
        <v>36</v>
      </c>
      <c r="S5389" s="3" t="s">
        <v>36</v>
      </c>
      <c r="T5389" s="3" t="s">
        <v>6557</v>
      </c>
      <c r="U5389" s="3" t="s">
        <v>648</v>
      </c>
      <c r="V5389" s="3" t="s">
        <v>64</v>
      </c>
      <c r="W5389" s="3" t="s">
        <v>22591</v>
      </c>
      <c r="X5389" s="10" t="s">
        <v>25432</v>
      </c>
      <c r="Y5389" s="6" t="s">
        <v>108</v>
      </c>
      <c r="Z5389" s="4">
        <v>6.03</v>
      </c>
      <c r="AA5389" s="4">
        <v>12.33</v>
      </c>
      <c r="AB5389" s="3" t="s">
        <v>43</v>
      </c>
      <c r="AC5389" s="3" t="s">
        <v>22593</v>
      </c>
      <c r="AD5389" s="9">
        <v>43236</v>
      </c>
      <c r="AE5389" s="3" t="s">
        <v>1897</v>
      </c>
      <c r="AF5389" s="3" t="s">
        <v>22594</v>
      </c>
      <c r="AG5389" s="3" t="s">
        <v>81</v>
      </c>
      <c r="AH5389" s="11">
        <f>HYPERLINK("https://my.pitchbook.com?c=108635-41T","View Company Online")</f>
      </c>
    </row>
    <row r="5390">
      <c r="A5390" s="12" t="s">
        <v>25433</v>
      </c>
      <c r="B5390" s="12" t="s">
        <v>14587</v>
      </c>
      <c r="C5390" s="19" t="s">
        <v>36</v>
      </c>
      <c r="D5390" s="19" t="s">
        <v>36</v>
      </c>
      <c r="E5390" s="19" t="s">
        <v>36</v>
      </c>
      <c r="F5390" s="19" t="s">
        <v>36</v>
      </c>
      <c r="G5390" s="15" t="s">
        <v>326</v>
      </c>
      <c r="H5390" s="14">
        <v>24.77</v>
      </c>
      <c r="I5390" s="18">
        <v>27.7</v>
      </c>
      <c r="J5390" s="12" t="s">
        <v>521</v>
      </c>
      <c r="K5390" s="13" t="s">
        <v>36</v>
      </c>
      <c r="L5390" s="15" t="s">
        <v>36</v>
      </c>
      <c r="M5390" s="12" t="s">
        <v>36</v>
      </c>
      <c r="N5390" s="12" t="s">
        <v>36</v>
      </c>
      <c r="O5390" s="17" t="s">
        <v>36</v>
      </c>
      <c r="P5390" s="12" t="s">
        <v>36</v>
      </c>
      <c r="Q5390" s="12" t="s">
        <v>36</v>
      </c>
      <c r="R5390" s="12" t="s">
        <v>36</v>
      </c>
      <c r="S5390" s="12" t="s">
        <v>36</v>
      </c>
      <c r="T5390" s="12" t="s">
        <v>1048</v>
      </c>
      <c r="U5390" s="12" t="s">
        <v>423</v>
      </c>
      <c r="V5390" s="12" t="s">
        <v>64</v>
      </c>
      <c r="W5390" s="12" t="s">
        <v>14588</v>
      </c>
      <c r="X5390" s="16" t="s">
        <v>25434</v>
      </c>
      <c r="Y5390" s="15" t="s">
        <v>42</v>
      </c>
      <c r="Z5390" s="14">
        <v>1.75</v>
      </c>
      <c r="AA5390" s="14">
        <v>6.3</v>
      </c>
      <c r="AB5390" s="12" t="s">
        <v>43</v>
      </c>
      <c r="AC5390" s="12" t="s">
        <v>14590</v>
      </c>
      <c r="AD5390" s="13">
        <v>43235</v>
      </c>
      <c r="AE5390" s="12" t="s">
        <v>1051</v>
      </c>
      <c r="AF5390" s="12" t="s">
        <v>90</v>
      </c>
      <c r="AG5390" s="12" t="s">
        <v>81</v>
      </c>
      <c r="AH5390" s="1">
        <f>HYPERLINK("https://my.pitchbook.com?c=115942-06T","View Company Online")</f>
      </c>
    </row>
    <row r="5391">
      <c r="A5391" s="3" t="s">
        <v>25435</v>
      </c>
      <c r="B5391" s="3" t="s">
        <v>25436</v>
      </c>
      <c r="C5391" s="5" t="s">
        <v>36</v>
      </c>
      <c r="D5391" s="5" t="s">
        <v>36</v>
      </c>
      <c r="E5391" s="5" t="s">
        <v>36</v>
      </c>
      <c r="F5391" s="5" t="s">
        <v>36</v>
      </c>
      <c r="G5391" s="6" t="s">
        <v>36</v>
      </c>
      <c r="H5391" s="4">
        <v>4.88</v>
      </c>
      <c r="I5391" s="7">
        <v>21.67</v>
      </c>
      <c r="J5391" s="3" t="s">
        <v>521</v>
      </c>
      <c r="K5391" s="9" t="s">
        <v>36</v>
      </c>
      <c r="L5391" s="6" t="s">
        <v>36</v>
      </c>
      <c r="M5391" s="3" t="s">
        <v>36</v>
      </c>
      <c r="N5391" s="3" t="s">
        <v>36</v>
      </c>
      <c r="O5391" s="8" t="s">
        <v>36</v>
      </c>
      <c r="P5391" s="3" t="s">
        <v>36</v>
      </c>
      <c r="Q5391" s="3" t="s">
        <v>36</v>
      </c>
      <c r="R5391" s="3" t="s">
        <v>36</v>
      </c>
      <c r="S5391" s="3" t="s">
        <v>36</v>
      </c>
      <c r="T5391" s="3" t="s">
        <v>16221</v>
      </c>
      <c r="U5391" s="3" t="s">
        <v>38</v>
      </c>
      <c r="V5391" s="3" t="s">
        <v>39</v>
      </c>
      <c r="W5391" s="3" t="s">
        <v>25437</v>
      </c>
      <c r="X5391" s="10" t="s">
        <v>25438</v>
      </c>
      <c r="Y5391" s="6" t="s">
        <v>42</v>
      </c>
      <c r="Z5391" s="4">
        <v>2.42</v>
      </c>
      <c r="AA5391" s="4">
        <v>7.25</v>
      </c>
      <c r="AB5391" s="3" t="s">
        <v>43</v>
      </c>
      <c r="AC5391" s="3" t="s">
        <v>25439</v>
      </c>
      <c r="AD5391" s="9">
        <v>43235</v>
      </c>
      <c r="AE5391" s="3" t="s">
        <v>110</v>
      </c>
      <c r="AF5391" s="3" t="s">
        <v>526</v>
      </c>
      <c r="AG5391" s="3" t="s">
        <v>81</v>
      </c>
      <c r="AH5391" s="11">
        <f>HYPERLINK("https://my.pitchbook.com?c=106587-01T","View Company Online")</f>
      </c>
    </row>
    <row r="5392">
      <c r="A5392" s="12" t="s">
        <v>25440</v>
      </c>
      <c r="B5392" s="12" t="s">
        <v>25441</v>
      </c>
      <c r="C5392" s="19" t="s">
        <v>36</v>
      </c>
      <c r="D5392" s="19" t="s">
        <v>36</v>
      </c>
      <c r="E5392" s="19" t="s">
        <v>36</v>
      </c>
      <c r="F5392" s="19" t="s">
        <v>36</v>
      </c>
      <c r="G5392" s="15" t="s">
        <v>326</v>
      </c>
      <c r="H5392" s="14">
        <v>269.87</v>
      </c>
      <c r="I5392" s="18">
        <v>26.65</v>
      </c>
      <c r="J5392" s="12" t="s">
        <v>521</v>
      </c>
      <c r="K5392" s="13" t="s">
        <v>36</v>
      </c>
      <c r="L5392" s="15" t="s">
        <v>94</v>
      </c>
      <c r="M5392" s="12" t="s">
        <v>36</v>
      </c>
      <c r="N5392" s="12" t="s">
        <v>94</v>
      </c>
      <c r="O5392" s="17" t="s">
        <v>36</v>
      </c>
      <c r="P5392" s="12" t="s">
        <v>36</v>
      </c>
      <c r="Q5392" s="12" t="s">
        <v>36</v>
      </c>
      <c r="R5392" s="12" t="s">
        <v>36</v>
      </c>
      <c r="S5392" s="12" t="s">
        <v>36</v>
      </c>
      <c r="T5392" s="12" t="s">
        <v>1701</v>
      </c>
      <c r="U5392" s="12" t="s">
        <v>74</v>
      </c>
      <c r="V5392" s="12" t="s">
        <v>75</v>
      </c>
      <c r="W5392" s="12" t="s">
        <v>25442</v>
      </c>
      <c r="X5392" s="16" t="s">
        <v>25443</v>
      </c>
      <c r="Y5392" s="15" t="s">
        <v>108</v>
      </c>
      <c r="Z5392" s="14">
        <v>12.22</v>
      </c>
      <c r="AA5392" s="14">
        <v>36.28</v>
      </c>
      <c r="AB5392" s="12" t="s">
        <v>56</v>
      </c>
      <c r="AC5392" s="12" t="s">
        <v>25444</v>
      </c>
      <c r="AD5392" s="13">
        <v>43235</v>
      </c>
      <c r="AE5392" s="12" t="s">
        <v>79</v>
      </c>
      <c r="AF5392" s="12" t="s">
        <v>4724</v>
      </c>
      <c r="AG5392" s="12" t="s">
        <v>81</v>
      </c>
      <c r="AH5392" s="1">
        <f>HYPERLINK("https://my.pitchbook.com?c=118958-86T","View Company Online")</f>
      </c>
    </row>
    <row r="5393">
      <c r="A5393" s="3" t="s">
        <v>25445</v>
      </c>
      <c r="B5393" s="3" t="s">
        <v>10572</v>
      </c>
      <c r="C5393" s="5" t="s">
        <v>36</v>
      </c>
      <c r="D5393" s="5" t="s">
        <v>36</v>
      </c>
      <c r="E5393" s="5" t="s">
        <v>36</v>
      </c>
      <c r="F5393" s="5" t="s">
        <v>36</v>
      </c>
      <c r="G5393" s="6" t="s">
        <v>36</v>
      </c>
      <c r="H5393" s="4">
        <v>0.86</v>
      </c>
      <c r="I5393" s="7">
        <v>19.42</v>
      </c>
      <c r="J5393" s="3" t="s">
        <v>521</v>
      </c>
      <c r="K5393" s="9" t="s">
        <v>36</v>
      </c>
      <c r="L5393" s="6" t="s">
        <v>36</v>
      </c>
      <c r="M5393" s="3" t="s">
        <v>36</v>
      </c>
      <c r="N5393" s="3" t="s">
        <v>36</v>
      </c>
      <c r="O5393" s="8" t="s">
        <v>36</v>
      </c>
      <c r="P5393" s="3" t="s">
        <v>36</v>
      </c>
      <c r="Q5393" s="3" t="s">
        <v>36</v>
      </c>
      <c r="R5393" s="3" t="s">
        <v>36</v>
      </c>
      <c r="S5393" s="3" t="s">
        <v>36</v>
      </c>
      <c r="T5393" s="3" t="s">
        <v>4917</v>
      </c>
      <c r="U5393" s="3" t="s">
        <v>38</v>
      </c>
      <c r="V5393" s="3" t="s">
        <v>39</v>
      </c>
      <c r="W5393" s="3" t="s">
        <v>10573</v>
      </c>
      <c r="X5393" s="10" t="s">
        <v>25446</v>
      </c>
      <c r="Y5393" s="6" t="s">
        <v>42</v>
      </c>
      <c r="Z5393" s="4">
        <v>1.33</v>
      </c>
      <c r="AA5393" s="4">
        <v>3.73</v>
      </c>
      <c r="AB5393" s="3" t="s">
        <v>43</v>
      </c>
      <c r="AC5393" s="3" t="s">
        <v>10575</v>
      </c>
      <c r="AD5393" s="9">
        <v>43235</v>
      </c>
      <c r="AE5393" s="3" t="s">
        <v>134</v>
      </c>
      <c r="AF5393" s="3" t="s">
        <v>10576</v>
      </c>
      <c r="AG5393" s="3" t="s">
        <v>81</v>
      </c>
      <c r="AH5393" s="11">
        <f>HYPERLINK("https://my.pitchbook.com?c=107420-50T","View Company Online")</f>
      </c>
    </row>
    <row r="5394">
      <c r="A5394" s="12" t="s">
        <v>25447</v>
      </c>
      <c r="B5394" s="12" t="s">
        <v>2860</v>
      </c>
      <c r="C5394" s="19" t="s">
        <v>36</v>
      </c>
      <c r="D5394" s="19" t="s">
        <v>36</v>
      </c>
      <c r="E5394" s="19" t="s">
        <v>36</v>
      </c>
      <c r="F5394" s="19" t="s">
        <v>36</v>
      </c>
      <c r="G5394" s="15" t="s">
        <v>326</v>
      </c>
      <c r="H5394" s="14">
        <v>36.12</v>
      </c>
      <c r="I5394" s="18">
        <v>35.89</v>
      </c>
      <c r="J5394" s="12" t="s">
        <v>521</v>
      </c>
      <c r="K5394" s="13" t="s">
        <v>36</v>
      </c>
      <c r="L5394" s="15" t="s">
        <v>122</v>
      </c>
      <c r="M5394" s="12" t="s">
        <v>36</v>
      </c>
      <c r="N5394" s="12" t="s">
        <v>122</v>
      </c>
      <c r="O5394" s="17" t="s">
        <v>36</v>
      </c>
      <c r="P5394" s="12" t="s">
        <v>36</v>
      </c>
      <c r="Q5394" s="12" t="s">
        <v>36</v>
      </c>
      <c r="R5394" s="12" t="s">
        <v>36</v>
      </c>
      <c r="S5394" s="12" t="s">
        <v>36</v>
      </c>
      <c r="T5394" s="12" t="s">
        <v>2861</v>
      </c>
      <c r="U5394" s="12" t="s">
        <v>74</v>
      </c>
      <c r="V5394" s="12" t="s">
        <v>75</v>
      </c>
      <c r="W5394" s="12" t="s">
        <v>2862</v>
      </c>
      <c r="X5394" s="16" t="s">
        <v>25448</v>
      </c>
      <c r="Y5394" s="15" t="s">
        <v>55</v>
      </c>
      <c r="Z5394" s="14">
        <v>8.46</v>
      </c>
      <c r="AA5394" s="14">
        <v>21.04</v>
      </c>
      <c r="AB5394" s="12" t="s">
        <v>43</v>
      </c>
      <c r="AC5394" s="12" t="s">
        <v>2864</v>
      </c>
      <c r="AD5394" s="13">
        <v>43235</v>
      </c>
      <c r="AE5394" s="12" t="s">
        <v>362</v>
      </c>
      <c r="AF5394" s="12" t="s">
        <v>250</v>
      </c>
      <c r="AG5394" s="12" t="s">
        <v>81</v>
      </c>
      <c r="AH5394" s="1">
        <f>HYPERLINK("https://my.pitchbook.com?c=105855-76T","View Company Online")</f>
      </c>
    </row>
    <row r="5395">
      <c r="A5395" s="3" t="s">
        <v>25449</v>
      </c>
      <c r="B5395" s="3" t="s">
        <v>25450</v>
      </c>
      <c r="C5395" s="5" t="s">
        <v>36</v>
      </c>
      <c r="D5395" s="5" t="s">
        <v>36</v>
      </c>
      <c r="E5395" s="5" t="s">
        <v>36</v>
      </c>
      <c r="F5395" s="5" t="s">
        <v>36</v>
      </c>
      <c r="G5395" s="6" t="s">
        <v>326</v>
      </c>
      <c r="H5395" s="4">
        <v>518.66</v>
      </c>
      <c r="I5395" s="7">
        <v>27.62</v>
      </c>
      <c r="J5395" s="3" t="s">
        <v>521</v>
      </c>
      <c r="K5395" s="9" t="s">
        <v>36</v>
      </c>
      <c r="L5395" s="6" t="s">
        <v>122</v>
      </c>
      <c r="M5395" s="3" t="s">
        <v>36</v>
      </c>
      <c r="N5395" s="3" t="s">
        <v>122</v>
      </c>
      <c r="O5395" s="8" t="s">
        <v>36</v>
      </c>
      <c r="P5395" s="3" t="s">
        <v>36</v>
      </c>
      <c r="Q5395" s="3" t="s">
        <v>36</v>
      </c>
      <c r="R5395" s="3" t="s">
        <v>36</v>
      </c>
      <c r="S5395" s="3" t="s">
        <v>36</v>
      </c>
      <c r="T5395" s="3" t="s">
        <v>10694</v>
      </c>
      <c r="U5395" s="3" t="s">
        <v>74</v>
      </c>
      <c r="V5395" s="3" t="s">
        <v>75</v>
      </c>
      <c r="W5395" s="3" t="s">
        <v>25451</v>
      </c>
      <c r="X5395" s="10" t="s">
        <v>25452</v>
      </c>
      <c r="Y5395" s="6" t="s">
        <v>108</v>
      </c>
      <c r="Z5395" s="4">
        <v>12.1</v>
      </c>
      <c r="AA5395" s="4">
        <v>23.41</v>
      </c>
      <c r="AB5395" s="3" t="s">
        <v>43</v>
      </c>
      <c r="AC5395" s="3" t="s">
        <v>25453</v>
      </c>
      <c r="AD5395" s="9">
        <v>43234</v>
      </c>
      <c r="AE5395" s="3" t="s">
        <v>79</v>
      </c>
      <c r="AF5395" s="3" t="s">
        <v>118</v>
      </c>
      <c r="AG5395" s="3" t="s">
        <v>81</v>
      </c>
      <c r="AH5395" s="11">
        <f>HYPERLINK("https://my.pitchbook.com?c=106256-17T","View Company Online")</f>
      </c>
    </row>
    <row r="5396">
      <c r="A5396" s="12" t="s">
        <v>25454</v>
      </c>
      <c r="B5396" s="12" t="s">
        <v>1845</v>
      </c>
      <c r="C5396" s="19" t="s">
        <v>36</v>
      </c>
      <c r="D5396" s="19" t="s">
        <v>36</v>
      </c>
      <c r="E5396" s="19" t="s">
        <v>36</v>
      </c>
      <c r="F5396" s="19" t="s">
        <v>36</v>
      </c>
      <c r="G5396" s="15" t="s">
        <v>326</v>
      </c>
      <c r="H5396" s="14">
        <v>765.42</v>
      </c>
      <c r="I5396" s="18">
        <v>21.64</v>
      </c>
      <c r="J5396" s="12" t="s">
        <v>521</v>
      </c>
      <c r="K5396" s="13">
        <v>43186</v>
      </c>
      <c r="L5396" s="15" t="s">
        <v>122</v>
      </c>
      <c r="M5396" s="12" t="s">
        <v>36</v>
      </c>
      <c r="N5396" s="12" t="s">
        <v>122</v>
      </c>
      <c r="O5396" s="17" t="s">
        <v>36</v>
      </c>
      <c r="P5396" s="12" t="s">
        <v>36</v>
      </c>
      <c r="Q5396" s="12" t="s">
        <v>36</v>
      </c>
      <c r="R5396" s="12" t="s">
        <v>36</v>
      </c>
      <c r="S5396" s="12" t="s">
        <v>36</v>
      </c>
      <c r="T5396" s="12" t="s">
        <v>1847</v>
      </c>
      <c r="U5396" s="12" t="s">
        <v>956</v>
      </c>
      <c r="V5396" s="12" t="s">
        <v>405</v>
      </c>
      <c r="W5396" s="12" t="s">
        <v>1848</v>
      </c>
      <c r="X5396" s="16" t="s">
        <v>25455</v>
      </c>
      <c r="Y5396" s="15" t="s">
        <v>108</v>
      </c>
      <c r="Z5396" s="14">
        <v>25.83</v>
      </c>
      <c r="AA5396" s="14">
        <v>119.38</v>
      </c>
      <c r="AB5396" s="12" t="s">
        <v>43</v>
      </c>
      <c r="AC5396" s="12" t="s">
        <v>1850</v>
      </c>
      <c r="AD5396" s="13">
        <v>43230</v>
      </c>
      <c r="AE5396" s="12" t="s">
        <v>1851</v>
      </c>
      <c r="AF5396" s="12" t="s">
        <v>1852</v>
      </c>
      <c r="AG5396" s="12" t="s">
        <v>81</v>
      </c>
      <c r="AH5396" s="1">
        <f>HYPERLINK("https://my.pitchbook.com?c=104156-83T","View Company Online")</f>
      </c>
    </row>
    <row r="5397">
      <c r="A5397" s="3" t="s">
        <v>25456</v>
      </c>
      <c r="B5397" s="3" t="s">
        <v>19240</v>
      </c>
      <c r="C5397" s="5" t="s">
        <v>36</v>
      </c>
      <c r="D5397" s="5" t="s">
        <v>36</v>
      </c>
      <c r="E5397" s="5" t="s">
        <v>36</v>
      </c>
      <c r="F5397" s="5" t="s">
        <v>36</v>
      </c>
      <c r="G5397" s="6" t="s">
        <v>326</v>
      </c>
      <c r="H5397" s="4">
        <v>289.29</v>
      </c>
      <c r="I5397" s="7">
        <v>25.53</v>
      </c>
      <c r="J5397" s="3" t="s">
        <v>521</v>
      </c>
      <c r="K5397" s="9">
        <v>43167</v>
      </c>
      <c r="L5397" s="6" t="s">
        <v>122</v>
      </c>
      <c r="M5397" s="3" t="s">
        <v>36</v>
      </c>
      <c r="N5397" s="3" t="s">
        <v>122</v>
      </c>
      <c r="O5397" s="8" t="s">
        <v>36</v>
      </c>
      <c r="P5397" s="3" t="s">
        <v>36</v>
      </c>
      <c r="Q5397" s="3" t="s">
        <v>36</v>
      </c>
      <c r="R5397" s="3" t="s">
        <v>36</v>
      </c>
      <c r="S5397" s="3" t="s">
        <v>36</v>
      </c>
      <c r="T5397" s="3" t="s">
        <v>19241</v>
      </c>
      <c r="U5397" s="3" t="s">
        <v>279</v>
      </c>
      <c r="V5397" s="3" t="s">
        <v>64</v>
      </c>
      <c r="W5397" s="3" t="s">
        <v>19242</v>
      </c>
      <c r="X5397" s="10" t="s">
        <v>19253</v>
      </c>
      <c r="Y5397" s="6" t="s">
        <v>42</v>
      </c>
      <c r="Z5397" s="4">
        <v>1.46</v>
      </c>
      <c r="AA5397" s="4">
        <v>5.72</v>
      </c>
      <c r="AB5397" s="3" t="s">
        <v>43</v>
      </c>
      <c r="AC5397" s="3" t="s">
        <v>19243</v>
      </c>
      <c r="AD5397" s="9">
        <v>43229</v>
      </c>
      <c r="AE5397" s="3" t="s">
        <v>283</v>
      </c>
      <c r="AF5397" s="3" t="s">
        <v>4284</v>
      </c>
      <c r="AG5397" s="3" t="s">
        <v>2662</v>
      </c>
      <c r="AH5397" s="11">
        <f>HYPERLINK("https://my.pitchbook.com?c=105851-17T","View Company Online")</f>
      </c>
    </row>
    <row r="5398">
      <c r="A5398" s="12" t="s">
        <v>25457</v>
      </c>
      <c r="B5398" s="12" t="s">
        <v>7462</v>
      </c>
      <c r="C5398" s="19">
        <v>1</v>
      </c>
      <c r="D5398" s="19">
        <v>7</v>
      </c>
      <c r="E5398" s="19">
        <v>11</v>
      </c>
      <c r="F5398" s="19">
        <v>14</v>
      </c>
      <c r="G5398" s="15" t="s">
        <v>36</v>
      </c>
      <c r="H5398" s="14" t="s">
        <v>36</v>
      </c>
      <c r="I5398" s="18" t="s">
        <v>36</v>
      </c>
      <c r="J5398" s="12" t="s">
        <v>36</v>
      </c>
      <c r="K5398" s="13" t="s">
        <v>36</v>
      </c>
      <c r="L5398" s="15" t="s">
        <v>36</v>
      </c>
      <c r="M5398" s="12" t="s">
        <v>36</v>
      </c>
      <c r="N5398" s="12" t="s">
        <v>36</v>
      </c>
      <c r="O5398" s="17" t="s">
        <v>36</v>
      </c>
      <c r="P5398" s="12" t="s">
        <v>36</v>
      </c>
      <c r="Q5398" s="12" t="s">
        <v>36</v>
      </c>
      <c r="R5398" s="12" t="s">
        <v>36</v>
      </c>
      <c r="S5398" s="12" t="s">
        <v>36</v>
      </c>
      <c r="T5398" s="12" t="s">
        <v>37</v>
      </c>
      <c r="U5398" s="12" t="s">
        <v>38</v>
      </c>
      <c r="V5398" s="12" t="s">
        <v>39</v>
      </c>
      <c r="W5398" s="12" t="s">
        <v>7463</v>
      </c>
      <c r="X5398" s="16" t="s">
        <v>25458</v>
      </c>
      <c r="Y5398" s="15" t="s">
        <v>42</v>
      </c>
      <c r="Z5398" s="14">
        <v>2.68</v>
      </c>
      <c r="AA5398" s="14" t="s">
        <v>36</v>
      </c>
      <c r="AB5398" s="12" t="s">
        <v>43</v>
      </c>
      <c r="AC5398" s="12" t="s">
        <v>7465</v>
      </c>
      <c r="AD5398" s="13">
        <v>43229</v>
      </c>
      <c r="AE5398" s="12" t="s">
        <v>45</v>
      </c>
      <c r="AF5398" s="12" t="s">
        <v>7466</v>
      </c>
      <c r="AG5398" s="12" t="s">
        <v>81</v>
      </c>
      <c r="AH5398" s="1">
        <f>HYPERLINK("https://my.pitchbook.com?c=71257-69T","View Company Online")</f>
      </c>
    </row>
    <row r="5399">
      <c r="A5399" s="3" t="s">
        <v>25459</v>
      </c>
      <c r="B5399" s="3" t="s">
        <v>25460</v>
      </c>
      <c r="C5399" s="5" t="s">
        <v>36</v>
      </c>
      <c r="D5399" s="5" t="s">
        <v>36</v>
      </c>
      <c r="E5399" s="5" t="s">
        <v>36</v>
      </c>
      <c r="F5399" s="5" t="s">
        <v>36</v>
      </c>
      <c r="G5399" s="6" t="s">
        <v>683</v>
      </c>
      <c r="H5399" s="4">
        <v>69.24</v>
      </c>
      <c r="I5399" s="7">
        <v>13.89</v>
      </c>
      <c r="J5399" s="3" t="s">
        <v>521</v>
      </c>
      <c r="K5399" s="9" t="s">
        <v>36</v>
      </c>
      <c r="L5399" s="6" t="s">
        <v>36</v>
      </c>
      <c r="M5399" s="3" t="s">
        <v>36</v>
      </c>
      <c r="N5399" s="3" t="s">
        <v>36</v>
      </c>
      <c r="O5399" s="8" t="s">
        <v>36</v>
      </c>
      <c r="P5399" s="3" t="s">
        <v>36</v>
      </c>
      <c r="Q5399" s="3" t="s">
        <v>36</v>
      </c>
      <c r="R5399" s="3" t="s">
        <v>36</v>
      </c>
      <c r="S5399" s="3" t="s">
        <v>36</v>
      </c>
      <c r="T5399" s="3" t="s">
        <v>522</v>
      </c>
      <c r="U5399" s="3" t="s">
        <v>38</v>
      </c>
      <c r="V5399" s="3" t="s">
        <v>39</v>
      </c>
      <c r="W5399" s="3" t="s">
        <v>25461</v>
      </c>
      <c r="X5399" s="10" t="s">
        <v>25462</v>
      </c>
      <c r="Y5399" s="6" t="s">
        <v>108</v>
      </c>
      <c r="Z5399" s="4">
        <v>1.22</v>
      </c>
      <c r="AA5399" s="4">
        <v>4.39</v>
      </c>
      <c r="AB5399" s="3" t="s">
        <v>43</v>
      </c>
      <c r="AC5399" s="3" t="s">
        <v>25463</v>
      </c>
      <c r="AD5399" s="9">
        <v>43228</v>
      </c>
      <c r="AE5399" s="3" t="s">
        <v>110</v>
      </c>
      <c r="AF5399" s="3" t="s">
        <v>4552</v>
      </c>
      <c r="AG5399" s="3" t="s">
        <v>652</v>
      </c>
      <c r="AH5399" s="11">
        <f>HYPERLINK("https://my.pitchbook.com?c=134332-66T","View Company Online")</f>
      </c>
    </row>
    <row r="5400">
      <c r="A5400" s="12" t="s">
        <v>25464</v>
      </c>
      <c r="B5400" s="12" t="s">
        <v>25465</v>
      </c>
      <c r="C5400" s="19" t="s">
        <v>36</v>
      </c>
      <c r="D5400" s="19" t="s">
        <v>36</v>
      </c>
      <c r="E5400" s="19" t="s">
        <v>36</v>
      </c>
      <c r="F5400" s="19" t="s">
        <v>36</v>
      </c>
      <c r="G5400" s="15" t="s">
        <v>326</v>
      </c>
      <c r="H5400" s="14">
        <v>60.61</v>
      </c>
      <c r="I5400" s="18">
        <v>17.87</v>
      </c>
      <c r="J5400" s="12" t="s">
        <v>521</v>
      </c>
      <c r="K5400" s="13" t="s">
        <v>36</v>
      </c>
      <c r="L5400" s="15" t="s">
        <v>1981</v>
      </c>
      <c r="M5400" s="12" t="s">
        <v>36</v>
      </c>
      <c r="N5400" s="12" t="s">
        <v>1981</v>
      </c>
      <c r="O5400" s="17" t="s">
        <v>36</v>
      </c>
      <c r="P5400" s="12" t="s">
        <v>36</v>
      </c>
      <c r="Q5400" s="12" t="s">
        <v>36</v>
      </c>
      <c r="R5400" s="12" t="s">
        <v>36</v>
      </c>
      <c r="S5400" s="12" t="s">
        <v>36</v>
      </c>
      <c r="T5400" s="12" t="s">
        <v>16221</v>
      </c>
      <c r="U5400" s="12" t="s">
        <v>38</v>
      </c>
      <c r="V5400" s="12" t="s">
        <v>39</v>
      </c>
      <c r="W5400" s="12" t="s">
        <v>25466</v>
      </c>
      <c r="X5400" s="16" t="s">
        <v>25467</v>
      </c>
      <c r="Y5400" s="15" t="s">
        <v>192</v>
      </c>
      <c r="Z5400" s="14">
        <v>4.21</v>
      </c>
      <c r="AA5400" s="14">
        <v>23.56</v>
      </c>
      <c r="AB5400" s="12" t="s">
        <v>56</v>
      </c>
      <c r="AC5400" s="12" t="s">
        <v>25468</v>
      </c>
      <c r="AD5400" s="13">
        <v>43227</v>
      </c>
      <c r="AE5400" s="12" t="s">
        <v>110</v>
      </c>
      <c r="AF5400" s="12" t="s">
        <v>4552</v>
      </c>
      <c r="AG5400" s="12" t="s">
        <v>81</v>
      </c>
      <c r="AH5400" s="1">
        <f>HYPERLINK("https://my.pitchbook.com?c=117224-65T","View Company Online")</f>
      </c>
    </row>
    <row r="5401">
      <c r="A5401" s="3" t="s">
        <v>25469</v>
      </c>
      <c r="B5401" s="3" t="s">
        <v>7432</v>
      </c>
      <c r="C5401" s="5" t="s">
        <v>36</v>
      </c>
      <c r="D5401" s="5" t="s">
        <v>36</v>
      </c>
      <c r="E5401" s="5" t="s">
        <v>36</v>
      </c>
      <c r="F5401" s="5" t="s">
        <v>36</v>
      </c>
      <c r="G5401" s="6" t="s">
        <v>36</v>
      </c>
      <c r="H5401" s="4" t="s">
        <v>36</v>
      </c>
      <c r="I5401" s="7" t="s">
        <v>36</v>
      </c>
      <c r="J5401" s="3" t="s">
        <v>36</v>
      </c>
      <c r="K5401" s="9" t="s">
        <v>36</v>
      </c>
      <c r="L5401" s="6" t="s">
        <v>36</v>
      </c>
      <c r="M5401" s="3" t="s">
        <v>36</v>
      </c>
      <c r="N5401" s="3" t="s">
        <v>36</v>
      </c>
      <c r="O5401" s="8" t="s">
        <v>36</v>
      </c>
      <c r="P5401" s="3" t="s">
        <v>36</v>
      </c>
      <c r="Q5401" s="3" t="s">
        <v>36</v>
      </c>
      <c r="R5401" s="3" t="s">
        <v>36</v>
      </c>
      <c r="S5401" s="3" t="s">
        <v>36</v>
      </c>
      <c r="T5401" s="3" t="s">
        <v>1941</v>
      </c>
      <c r="U5401" s="3" t="s">
        <v>38</v>
      </c>
      <c r="V5401" s="3" t="s">
        <v>39</v>
      </c>
      <c r="W5401" s="3" t="s">
        <v>7433</v>
      </c>
      <c r="X5401" s="10" t="s">
        <v>13670</v>
      </c>
      <c r="Y5401" s="6" t="s">
        <v>42</v>
      </c>
      <c r="Z5401" s="4" t="s">
        <v>36</v>
      </c>
      <c r="AA5401" s="4" t="s">
        <v>36</v>
      </c>
      <c r="AB5401" s="3" t="s">
        <v>43</v>
      </c>
      <c r="AC5401" s="3" t="s">
        <v>7434</v>
      </c>
      <c r="AD5401" s="9">
        <v>43227</v>
      </c>
      <c r="AE5401" s="3" t="s">
        <v>1945</v>
      </c>
      <c r="AF5401" s="3" t="s">
        <v>4674</v>
      </c>
      <c r="AG5401" s="3" t="s">
        <v>81</v>
      </c>
      <c r="AH5401" s="11">
        <f>HYPERLINK("https://my.pitchbook.com?c=116537-95T","View Company Online")</f>
      </c>
    </row>
    <row r="5402">
      <c r="A5402" s="12" t="s">
        <v>25470</v>
      </c>
      <c r="B5402" s="12" t="s">
        <v>10732</v>
      </c>
      <c r="C5402" s="19" t="s">
        <v>36</v>
      </c>
      <c r="D5402" s="19" t="s">
        <v>36</v>
      </c>
      <c r="E5402" s="19" t="s">
        <v>36</v>
      </c>
      <c r="F5402" s="19" t="s">
        <v>36</v>
      </c>
      <c r="G5402" s="15" t="s">
        <v>326</v>
      </c>
      <c r="H5402" s="14">
        <v>3319.62</v>
      </c>
      <c r="I5402" s="18">
        <v>16.49</v>
      </c>
      <c r="J5402" s="12" t="s">
        <v>521</v>
      </c>
      <c r="K5402" s="13" t="s">
        <v>36</v>
      </c>
      <c r="L5402" s="15" t="s">
        <v>36</v>
      </c>
      <c r="M5402" s="12" t="s">
        <v>36</v>
      </c>
      <c r="N5402" s="12" t="s">
        <v>36</v>
      </c>
      <c r="O5402" s="17" t="s">
        <v>36</v>
      </c>
      <c r="P5402" s="12" t="s">
        <v>36</v>
      </c>
      <c r="Q5402" s="12" t="s">
        <v>36</v>
      </c>
      <c r="R5402" s="12" t="s">
        <v>36</v>
      </c>
      <c r="S5402" s="12" t="s">
        <v>36</v>
      </c>
      <c r="T5402" s="12" t="s">
        <v>10733</v>
      </c>
      <c r="U5402" s="12" t="s">
        <v>648</v>
      </c>
      <c r="V5402" s="12" t="s">
        <v>64</v>
      </c>
      <c r="W5402" s="12" t="s">
        <v>10734</v>
      </c>
      <c r="X5402" s="16" t="s">
        <v>25471</v>
      </c>
      <c r="Y5402" s="15" t="s">
        <v>42</v>
      </c>
      <c r="Z5402" s="14">
        <v>0.85</v>
      </c>
      <c r="AA5402" s="14">
        <v>5.18</v>
      </c>
      <c r="AB5402" s="12" t="s">
        <v>43</v>
      </c>
      <c r="AC5402" s="12" t="s">
        <v>10736</v>
      </c>
      <c r="AD5402" s="13">
        <v>43227</v>
      </c>
      <c r="AE5402" s="12" t="s">
        <v>3988</v>
      </c>
      <c r="AF5402" s="12" t="s">
        <v>4284</v>
      </c>
      <c r="AG5402" s="12" t="s">
        <v>81</v>
      </c>
      <c r="AH5402" s="1">
        <f>HYPERLINK("https://my.pitchbook.com?c=165264-58T","View Company Online")</f>
      </c>
    </row>
    <row r="5403">
      <c r="A5403" s="3" t="s">
        <v>25472</v>
      </c>
      <c r="B5403" s="3" t="s">
        <v>25473</v>
      </c>
      <c r="C5403" s="5" t="s">
        <v>36</v>
      </c>
      <c r="D5403" s="5">
        <v>1</v>
      </c>
      <c r="E5403" s="5">
        <v>1</v>
      </c>
      <c r="F5403" s="5">
        <v>2</v>
      </c>
      <c r="G5403" s="6" t="s">
        <v>36</v>
      </c>
      <c r="H5403" s="4">
        <v>110.76</v>
      </c>
      <c r="I5403" s="7">
        <v>37.5</v>
      </c>
      <c r="J5403" s="3" t="s">
        <v>521</v>
      </c>
      <c r="K5403" s="9" t="s">
        <v>36</v>
      </c>
      <c r="L5403" s="6" t="s">
        <v>36</v>
      </c>
      <c r="M5403" s="3" t="s">
        <v>36</v>
      </c>
      <c r="N5403" s="3" t="s">
        <v>36</v>
      </c>
      <c r="O5403" s="8" t="s">
        <v>36</v>
      </c>
      <c r="P5403" s="3" t="s">
        <v>36</v>
      </c>
      <c r="Q5403" s="3" t="s">
        <v>36</v>
      </c>
      <c r="R5403" s="3" t="s">
        <v>36</v>
      </c>
      <c r="S5403" s="3" t="s">
        <v>36</v>
      </c>
      <c r="T5403" s="3" t="s">
        <v>3611</v>
      </c>
      <c r="U5403" s="3" t="s">
        <v>833</v>
      </c>
      <c r="V5403" s="3" t="s">
        <v>64</v>
      </c>
      <c r="W5403" s="3" t="s">
        <v>25474</v>
      </c>
      <c r="X5403" s="10" t="s">
        <v>7099</v>
      </c>
      <c r="Y5403" s="6" t="s">
        <v>42</v>
      </c>
      <c r="Z5403" s="4">
        <v>0.39</v>
      </c>
      <c r="AA5403" s="4">
        <v>1.04</v>
      </c>
      <c r="AB5403" s="3" t="s">
        <v>43</v>
      </c>
      <c r="AC5403" s="3" t="s">
        <v>25475</v>
      </c>
      <c r="AD5403" s="9">
        <v>43224</v>
      </c>
      <c r="AE5403" s="3" t="s">
        <v>3615</v>
      </c>
      <c r="AF5403" s="3" t="s">
        <v>571</v>
      </c>
      <c r="AG5403" s="3" t="s">
        <v>25476</v>
      </c>
      <c r="AH5403" s="11">
        <f>HYPERLINK("https://my.pitchbook.com?c=204542-83T","View Company Online")</f>
      </c>
    </row>
    <row r="5404">
      <c r="A5404" s="12" t="s">
        <v>25477</v>
      </c>
      <c r="B5404" s="12" t="s">
        <v>19456</v>
      </c>
      <c r="C5404" s="19" t="s">
        <v>36</v>
      </c>
      <c r="D5404" s="19">
        <v>3</v>
      </c>
      <c r="E5404" s="19">
        <v>1</v>
      </c>
      <c r="F5404" s="19">
        <v>4</v>
      </c>
      <c r="G5404" s="15" t="s">
        <v>326</v>
      </c>
      <c r="H5404" s="14">
        <v>10.32</v>
      </c>
      <c r="I5404" s="18">
        <v>32.58</v>
      </c>
      <c r="J5404" s="12" t="s">
        <v>521</v>
      </c>
      <c r="K5404" s="13">
        <v>42669</v>
      </c>
      <c r="L5404" s="15" t="s">
        <v>122</v>
      </c>
      <c r="M5404" s="12" t="s">
        <v>36</v>
      </c>
      <c r="N5404" s="12" t="s">
        <v>122</v>
      </c>
      <c r="O5404" s="17" t="s">
        <v>36</v>
      </c>
      <c r="P5404" s="12" t="s">
        <v>36</v>
      </c>
      <c r="Q5404" s="12" t="s">
        <v>36</v>
      </c>
      <c r="R5404" s="12" t="s">
        <v>36</v>
      </c>
      <c r="S5404" s="12" t="s">
        <v>36</v>
      </c>
      <c r="T5404" s="12" t="s">
        <v>19457</v>
      </c>
      <c r="U5404" s="12" t="s">
        <v>318</v>
      </c>
      <c r="V5404" s="12" t="s">
        <v>39</v>
      </c>
      <c r="W5404" s="12" t="s">
        <v>19458</v>
      </c>
      <c r="X5404" s="16" t="s">
        <v>25478</v>
      </c>
      <c r="Y5404" s="15" t="s">
        <v>108</v>
      </c>
      <c r="Z5404" s="14">
        <v>5.48</v>
      </c>
      <c r="AA5404" s="14">
        <v>16.81</v>
      </c>
      <c r="AB5404" s="12" t="s">
        <v>43</v>
      </c>
      <c r="AC5404" s="12" t="s">
        <v>19460</v>
      </c>
      <c r="AD5404" s="13">
        <v>43224</v>
      </c>
      <c r="AE5404" s="12" t="s">
        <v>763</v>
      </c>
      <c r="AF5404" s="12" t="s">
        <v>7294</v>
      </c>
      <c r="AG5404" s="12" t="s">
        <v>144</v>
      </c>
      <c r="AH5404" s="1">
        <f>HYPERLINK("https://my.pitchbook.com?c=91615-78T","View Company Online")</f>
      </c>
    </row>
    <row r="5405">
      <c r="A5405" s="3" t="s">
        <v>25479</v>
      </c>
      <c r="B5405" s="3" t="s">
        <v>25480</v>
      </c>
      <c r="C5405" s="5">
        <v>14</v>
      </c>
      <c r="D5405" s="5">
        <v>126</v>
      </c>
      <c r="E5405" s="5">
        <v>32</v>
      </c>
      <c r="F5405" s="5">
        <v>155</v>
      </c>
      <c r="G5405" s="6" t="s">
        <v>36</v>
      </c>
      <c r="H5405" s="4" t="s">
        <v>36</v>
      </c>
      <c r="I5405" s="7" t="s">
        <v>36</v>
      </c>
      <c r="J5405" s="3" t="s">
        <v>36</v>
      </c>
      <c r="K5405" s="9" t="s">
        <v>36</v>
      </c>
      <c r="L5405" s="6" t="s">
        <v>36</v>
      </c>
      <c r="M5405" s="3" t="s">
        <v>36</v>
      </c>
      <c r="N5405" s="3" t="s">
        <v>36</v>
      </c>
      <c r="O5405" s="8" t="s">
        <v>36</v>
      </c>
      <c r="P5405" s="3" t="s">
        <v>36</v>
      </c>
      <c r="Q5405" s="3" t="s">
        <v>36</v>
      </c>
      <c r="R5405" s="3" t="s">
        <v>36</v>
      </c>
      <c r="S5405" s="3" t="s">
        <v>36</v>
      </c>
      <c r="T5405" s="3" t="s">
        <v>25481</v>
      </c>
      <c r="U5405" s="3" t="s">
        <v>1798</v>
      </c>
      <c r="V5405" s="3" t="s">
        <v>39</v>
      </c>
      <c r="W5405" s="3" t="s">
        <v>25482</v>
      </c>
      <c r="X5405" s="10" t="s">
        <v>25483</v>
      </c>
      <c r="Y5405" s="6" t="s">
        <v>321</v>
      </c>
      <c r="Z5405" s="4">
        <v>28.92</v>
      </c>
      <c r="AA5405" s="4" t="s">
        <v>36</v>
      </c>
      <c r="AB5405" s="3" t="s">
        <v>56</v>
      </c>
      <c r="AC5405" s="3" t="s">
        <v>25484</v>
      </c>
      <c r="AD5405" s="9">
        <v>43222</v>
      </c>
      <c r="AE5405" s="3" t="s">
        <v>1802</v>
      </c>
      <c r="AF5405" s="3" t="s">
        <v>1636</v>
      </c>
      <c r="AG5405" s="3" t="s">
        <v>969</v>
      </c>
      <c r="AH5405" s="11">
        <f>HYPERLINK("https://my.pitchbook.com?c=89552-26T","View Company Online")</f>
      </c>
    </row>
    <row r="5406">
      <c r="A5406" s="12" t="s">
        <v>25485</v>
      </c>
      <c r="B5406" s="12" t="s">
        <v>16165</v>
      </c>
      <c r="C5406" s="19" t="s">
        <v>36</v>
      </c>
      <c r="D5406" s="19" t="s">
        <v>36</v>
      </c>
      <c r="E5406" s="19" t="s">
        <v>36</v>
      </c>
      <c r="F5406" s="19" t="s">
        <v>36</v>
      </c>
      <c r="G5406" s="15" t="s">
        <v>36</v>
      </c>
      <c r="H5406" s="14">
        <v>149.55</v>
      </c>
      <c r="I5406" s="18">
        <v>24.71</v>
      </c>
      <c r="J5406" s="12" t="s">
        <v>521</v>
      </c>
      <c r="K5406" s="13" t="s">
        <v>36</v>
      </c>
      <c r="L5406" s="15" t="s">
        <v>36</v>
      </c>
      <c r="M5406" s="12" t="s">
        <v>36</v>
      </c>
      <c r="N5406" s="12" t="s">
        <v>36</v>
      </c>
      <c r="O5406" s="17" t="s">
        <v>36</v>
      </c>
      <c r="P5406" s="12" t="s">
        <v>36</v>
      </c>
      <c r="Q5406" s="12" t="s">
        <v>36</v>
      </c>
      <c r="R5406" s="12" t="s">
        <v>36</v>
      </c>
      <c r="S5406" s="12" t="s">
        <v>36</v>
      </c>
      <c r="T5406" s="12" t="s">
        <v>1260</v>
      </c>
      <c r="U5406" s="12" t="s">
        <v>38</v>
      </c>
      <c r="V5406" s="12" t="s">
        <v>39</v>
      </c>
      <c r="W5406" s="12" t="s">
        <v>16166</v>
      </c>
      <c r="X5406" s="16" t="s">
        <v>25486</v>
      </c>
      <c r="Y5406" s="15" t="s">
        <v>108</v>
      </c>
      <c r="Z5406" s="14">
        <v>1.04</v>
      </c>
      <c r="AA5406" s="14">
        <v>4.21</v>
      </c>
      <c r="AB5406" s="12" t="s">
        <v>43</v>
      </c>
      <c r="AC5406" s="12" t="s">
        <v>16168</v>
      </c>
      <c r="AD5406" s="13">
        <v>43222</v>
      </c>
      <c r="AE5406" s="12" t="s">
        <v>110</v>
      </c>
      <c r="AF5406" s="12" t="s">
        <v>1401</v>
      </c>
      <c r="AG5406" s="12" t="s">
        <v>81</v>
      </c>
      <c r="AH5406" s="1">
        <f>HYPERLINK("https://my.pitchbook.com?c=135964-63T","View Company Online")</f>
      </c>
    </row>
    <row r="5407">
      <c r="A5407" s="3" t="s">
        <v>25487</v>
      </c>
      <c r="B5407" s="3" t="s">
        <v>2614</v>
      </c>
      <c r="C5407" s="5" t="s">
        <v>36</v>
      </c>
      <c r="D5407" s="5" t="s">
        <v>36</v>
      </c>
      <c r="E5407" s="5" t="s">
        <v>36</v>
      </c>
      <c r="F5407" s="5" t="s">
        <v>36</v>
      </c>
      <c r="G5407" s="6" t="s">
        <v>36</v>
      </c>
      <c r="H5407" s="4">
        <v>24.93</v>
      </c>
      <c r="I5407" s="7">
        <v>22.08</v>
      </c>
      <c r="J5407" s="3" t="s">
        <v>521</v>
      </c>
      <c r="K5407" s="9" t="s">
        <v>36</v>
      </c>
      <c r="L5407" s="6" t="s">
        <v>36</v>
      </c>
      <c r="M5407" s="3" t="s">
        <v>36</v>
      </c>
      <c r="N5407" s="3" t="s">
        <v>36</v>
      </c>
      <c r="O5407" s="8" t="s">
        <v>36</v>
      </c>
      <c r="P5407" s="3" t="s">
        <v>36</v>
      </c>
      <c r="Q5407" s="3" t="s">
        <v>36</v>
      </c>
      <c r="R5407" s="3" t="s">
        <v>36</v>
      </c>
      <c r="S5407" s="3" t="s">
        <v>36</v>
      </c>
      <c r="T5407" s="3" t="s">
        <v>1253</v>
      </c>
      <c r="U5407" s="3" t="s">
        <v>38</v>
      </c>
      <c r="V5407" s="3" t="s">
        <v>39</v>
      </c>
      <c r="W5407" s="3" t="s">
        <v>2615</v>
      </c>
      <c r="X5407" s="10" t="s">
        <v>25488</v>
      </c>
      <c r="Y5407" s="6" t="s">
        <v>42</v>
      </c>
      <c r="Z5407" s="4">
        <v>0.83</v>
      </c>
      <c r="AA5407" s="4">
        <v>3.78</v>
      </c>
      <c r="AB5407" s="3" t="s">
        <v>43</v>
      </c>
      <c r="AC5407" s="3" t="s">
        <v>2617</v>
      </c>
      <c r="AD5407" s="9">
        <v>43221</v>
      </c>
      <c r="AE5407" s="3" t="s">
        <v>45</v>
      </c>
      <c r="AF5407" s="3" t="s">
        <v>215</v>
      </c>
      <c r="AG5407" s="3" t="s">
        <v>2618</v>
      </c>
      <c r="AH5407" s="11">
        <f>HYPERLINK("https://my.pitchbook.com?c=121464-28T","View Company Online")</f>
      </c>
    </row>
    <row r="5408">
      <c r="A5408" s="12" t="s">
        <v>25489</v>
      </c>
      <c r="B5408" s="12" t="s">
        <v>25490</v>
      </c>
      <c r="C5408" s="19" t="s">
        <v>36</v>
      </c>
      <c r="D5408" s="19" t="s">
        <v>36</v>
      </c>
      <c r="E5408" s="19" t="s">
        <v>36</v>
      </c>
      <c r="F5408" s="19" t="s">
        <v>36</v>
      </c>
      <c r="G5408" s="15" t="s">
        <v>36</v>
      </c>
      <c r="H5408" s="14" t="s">
        <v>36</v>
      </c>
      <c r="I5408" s="18" t="s">
        <v>36</v>
      </c>
      <c r="J5408" s="12" t="s">
        <v>36</v>
      </c>
      <c r="K5408" s="13" t="s">
        <v>36</v>
      </c>
      <c r="L5408" s="15" t="s">
        <v>36</v>
      </c>
      <c r="M5408" s="12" t="s">
        <v>36</v>
      </c>
      <c r="N5408" s="12" t="s">
        <v>36</v>
      </c>
      <c r="O5408" s="17" t="s">
        <v>36</v>
      </c>
      <c r="P5408" s="12" t="s">
        <v>36</v>
      </c>
      <c r="Q5408" s="12" t="s">
        <v>36</v>
      </c>
      <c r="R5408" s="12" t="s">
        <v>36</v>
      </c>
      <c r="S5408" s="12" t="s">
        <v>36</v>
      </c>
      <c r="T5408" s="12" t="s">
        <v>5965</v>
      </c>
      <c r="U5408" s="12" t="s">
        <v>423</v>
      </c>
      <c r="V5408" s="12" t="s">
        <v>64</v>
      </c>
      <c r="W5408" s="12" t="s">
        <v>25491</v>
      </c>
      <c r="X5408" s="16" t="s">
        <v>18222</v>
      </c>
      <c r="Y5408" s="15" t="s">
        <v>42</v>
      </c>
      <c r="Z5408" s="14" t="s">
        <v>36</v>
      </c>
      <c r="AA5408" s="14" t="s">
        <v>36</v>
      </c>
      <c r="AB5408" s="12" t="s">
        <v>56</v>
      </c>
      <c r="AC5408" s="12" t="s">
        <v>25492</v>
      </c>
      <c r="AD5408" s="13">
        <v>43221</v>
      </c>
      <c r="AE5408" s="12" t="s">
        <v>5969</v>
      </c>
      <c r="AF5408" s="12" t="s">
        <v>546</v>
      </c>
      <c r="AG5408" s="12" t="s">
        <v>25493</v>
      </c>
      <c r="AH5408" s="1">
        <f>HYPERLINK("https://my.pitchbook.com?c=138820-69T","View Company Online")</f>
      </c>
    </row>
    <row r="5409">
      <c r="A5409" s="3" t="s">
        <v>25494</v>
      </c>
      <c r="B5409" s="3" t="s">
        <v>2459</v>
      </c>
      <c r="C5409" s="5" t="s">
        <v>36</v>
      </c>
      <c r="D5409" s="5" t="s">
        <v>36</v>
      </c>
      <c r="E5409" s="5" t="s">
        <v>36</v>
      </c>
      <c r="F5409" s="5" t="s">
        <v>36</v>
      </c>
      <c r="G5409" s="6" t="s">
        <v>36</v>
      </c>
      <c r="H5409" s="4">
        <v>415.43</v>
      </c>
      <c r="I5409" s="7">
        <v>37.88</v>
      </c>
      <c r="J5409" s="3" t="s">
        <v>521</v>
      </c>
      <c r="K5409" s="9" t="s">
        <v>36</v>
      </c>
      <c r="L5409" s="6" t="s">
        <v>36</v>
      </c>
      <c r="M5409" s="3" t="s">
        <v>36</v>
      </c>
      <c r="N5409" s="3" t="s">
        <v>36</v>
      </c>
      <c r="O5409" s="8" t="s">
        <v>36</v>
      </c>
      <c r="P5409" s="3" t="s">
        <v>36</v>
      </c>
      <c r="Q5409" s="3" t="s">
        <v>36</v>
      </c>
      <c r="R5409" s="3" t="s">
        <v>36</v>
      </c>
      <c r="S5409" s="3" t="s">
        <v>36</v>
      </c>
      <c r="T5409" s="3" t="s">
        <v>2460</v>
      </c>
      <c r="U5409" s="3" t="s">
        <v>1336</v>
      </c>
      <c r="V5409" s="3" t="s">
        <v>367</v>
      </c>
      <c r="W5409" s="3" t="s">
        <v>2461</v>
      </c>
      <c r="X5409" s="10" t="s">
        <v>25495</v>
      </c>
      <c r="Y5409" s="6" t="s">
        <v>42</v>
      </c>
      <c r="Z5409" s="4">
        <v>1.47</v>
      </c>
      <c r="AA5409" s="4">
        <v>2.37</v>
      </c>
      <c r="AB5409" s="3" t="s">
        <v>43</v>
      </c>
      <c r="AC5409" s="3" t="s">
        <v>2463</v>
      </c>
      <c r="AD5409" s="9">
        <v>43221</v>
      </c>
      <c r="AE5409" s="3" t="s">
        <v>2464</v>
      </c>
      <c r="AF5409" s="3" t="s">
        <v>2465</v>
      </c>
      <c r="AG5409" s="3" t="s">
        <v>186</v>
      </c>
      <c r="AH5409" s="11">
        <f>HYPERLINK("https://my.pitchbook.com?c=138826-45T","View Company Online")</f>
      </c>
    </row>
    <row r="5410">
      <c r="A5410" s="12" t="s">
        <v>25496</v>
      </c>
      <c r="B5410" s="12" t="s">
        <v>21570</v>
      </c>
      <c r="C5410" s="19" t="s">
        <v>36</v>
      </c>
      <c r="D5410" s="19" t="s">
        <v>36</v>
      </c>
      <c r="E5410" s="19" t="s">
        <v>36</v>
      </c>
      <c r="F5410" s="19" t="s">
        <v>36</v>
      </c>
      <c r="G5410" s="15" t="s">
        <v>326</v>
      </c>
      <c r="H5410" s="14">
        <v>16.74</v>
      </c>
      <c r="I5410" s="18">
        <v>24.56</v>
      </c>
      <c r="J5410" s="12" t="s">
        <v>521</v>
      </c>
      <c r="K5410" s="13" t="s">
        <v>36</v>
      </c>
      <c r="L5410" s="15" t="s">
        <v>36</v>
      </c>
      <c r="M5410" s="12" t="s">
        <v>36</v>
      </c>
      <c r="N5410" s="12" t="s">
        <v>36</v>
      </c>
      <c r="O5410" s="17" t="s">
        <v>36</v>
      </c>
      <c r="P5410" s="12" t="s">
        <v>36</v>
      </c>
      <c r="Q5410" s="12" t="s">
        <v>36</v>
      </c>
      <c r="R5410" s="12" t="s">
        <v>36</v>
      </c>
      <c r="S5410" s="12" t="s">
        <v>36</v>
      </c>
      <c r="T5410" s="12" t="s">
        <v>21571</v>
      </c>
      <c r="U5410" s="12" t="s">
        <v>74</v>
      </c>
      <c r="V5410" s="12" t="s">
        <v>75</v>
      </c>
      <c r="W5410" s="12" t="s">
        <v>21572</v>
      </c>
      <c r="X5410" s="16" t="s">
        <v>22384</v>
      </c>
      <c r="Y5410" s="15" t="s">
        <v>108</v>
      </c>
      <c r="Z5410" s="14">
        <v>1.51</v>
      </c>
      <c r="AA5410" s="14">
        <v>6.15</v>
      </c>
      <c r="AB5410" s="12" t="s">
        <v>43</v>
      </c>
      <c r="AC5410" s="12" t="s">
        <v>21574</v>
      </c>
      <c r="AD5410" s="13">
        <v>43221</v>
      </c>
      <c r="AE5410" s="12" t="s">
        <v>79</v>
      </c>
      <c r="AF5410" s="12" t="s">
        <v>21575</v>
      </c>
      <c r="AG5410" s="12" t="s">
        <v>144</v>
      </c>
      <c r="AH5410" s="1">
        <f>HYPERLINK("https://my.pitchbook.com?c=123693-22T","View Company Online")</f>
      </c>
    </row>
    <row r="5411">
      <c r="A5411" s="3" t="s">
        <v>25497</v>
      </c>
      <c r="B5411" s="3" t="s">
        <v>25498</v>
      </c>
      <c r="C5411" s="5" t="s">
        <v>36</v>
      </c>
      <c r="D5411" s="5">
        <v>1</v>
      </c>
      <c r="E5411" s="5">
        <v>1</v>
      </c>
      <c r="F5411" s="5">
        <v>3</v>
      </c>
      <c r="G5411" s="6" t="s">
        <v>36</v>
      </c>
      <c r="H5411" s="4">
        <v>1050.87</v>
      </c>
      <c r="I5411" s="7">
        <v>22.33</v>
      </c>
      <c r="J5411" s="3" t="s">
        <v>521</v>
      </c>
      <c r="K5411" s="9" t="s">
        <v>36</v>
      </c>
      <c r="L5411" s="6" t="s">
        <v>36</v>
      </c>
      <c r="M5411" s="3" t="s">
        <v>36</v>
      </c>
      <c r="N5411" s="3" t="s">
        <v>36</v>
      </c>
      <c r="O5411" s="8" t="s">
        <v>36</v>
      </c>
      <c r="P5411" s="3" t="s">
        <v>36</v>
      </c>
      <c r="Q5411" s="3" t="s">
        <v>36</v>
      </c>
      <c r="R5411" s="3" t="s">
        <v>36</v>
      </c>
      <c r="S5411" s="3" t="s">
        <v>36</v>
      </c>
      <c r="T5411" s="3" t="s">
        <v>1941</v>
      </c>
      <c r="U5411" s="3" t="s">
        <v>38</v>
      </c>
      <c r="V5411" s="3" t="s">
        <v>39</v>
      </c>
      <c r="W5411" s="3" t="s">
        <v>25499</v>
      </c>
      <c r="X5411" s="10" t="s">
        <v>25500</v>
      </c>
      <c r="Y5411" s="6" t="s">
        <v>108</v>
      </c>
      <c r="Z5411" s="4">
        <v>1.25</v>
      </c>
      <c r="AA5411" s="4">
        <v>5.62</v>
      </c>
      <c r="AB5411" s="3" t="s">
        <v>56</v>
      </c>
      <c r="AC5411" s="3" t="s">
        <v>25501</v>
      </c>
      <c r="AD5411" s="9">
        <v>43221</v>
      </c>
      <c r="AE5411" s="3" t="s">
        <v>1945</v>
      </c>
      <c r="AF5411" s="3" t="s">
        <v>25502</v>
      </c>
      <c r="AG5411" s="3" t="s">
        <v>25503</v>
      </c>
      <c r="AH5411" s="11">
        <f>HYPERLINK("https://my.pitchbook.com?c=120811-42T","View Company Online")</f>
      </c>
    </row>
    <row r="5412">
      <c r="A5412" s="12" t="s">
        <v>25504</v>
      </c>
      <c r="B5412" s="12" t="s">
        <v>25505</v>
      </c>
      <c r="C5412" s="19" t="s">
        <v>36</v>
      </c>
      <c r="D5412" s="19" t="s">
        <v>36</v>
      </c>
      <c r="E5412" s="19" t="s">
        <v>36</v>
      </c>
      <c r="F5412" s="19" t="s">
        <v>36</v>
      </c>
      <c r="G5412" s="15" t="s">
        <v>2497</v>
      </c>
      <c r="H5412" s="14">
        <v>73.1</v>
      </c>
      <c r="I5412" s="18">
        <v>15</v>
      </c>
      <c r="J5412" s="12" t="s">
        <v>521</v>
      </c>
      <c r="K5412" s="13" t="s">
        <v>36</v>
      </c>
      <c r="L5412" s="15" t="s">
        <v>36</v>
      </c>
      <c r="M5412" s="12" t="s">
        <v>36</v>
      </c>
      <c r="N5412" s="12" t="s">
        <v>36</v>
      </c>
      <c r="O5412" s="17" t="s">
        <v>36</v>
      </c>
      <c r="P5412" s="12" t="s">
        <v>36</v>
      </c>
      <c r="Q5412" s="12" t="s">
        <v>36</v>
      </c>
      <c r="R5412" s="12" t="s">
        <v>36</v>
      </c>
      <c r="S5412" s="12" t="s">
        <v>36</v>
      </c>
      <c r="T5412" s="12" t="s">
        <v>25506</v>
      </c>
      <c r="U5412" s="12" t="s">
        <v>833</v>
      </c>
      <c r="V5412" s="12" t="s">
        <v>64</v>
      </c>
      <c r="W5412" s="12" t="s">
        <v>25507</v>
      </c>
      <c r="X5412" s="16" t="s">
        <v>25508</v>
      </c>
      <c r="Y5412" s="15" t="s">
        <v>42</v>
      </c>
      <c r="Z5412" s="14">
        <v>0.15</v>
      </c>
      <c r="AA5412" s="14">
        <v>0.98</v>
      </c>
      <c r="AB5412" s="12" t="s">
        <v>56</v>
      </c>
      <c r="AC5412" s="12" t="s">
        <v>25509</v>
      </c>
      <c r="AD5412" s="13">
        <v>43220</v>
      </c>
      <c r="AE5412" s="12" t="s">
        <v>1069</v>
      </c>
      <c r="AF5412" s="12" t="s">
        <v>571</v>
      </c>
      <c r="AG5412" s="12" t="s">
        <v>512</v>
      </c>
      <c r="AH5412" s="1">
        <f>HYPERLINK("https://my.pitchbook.com?c=203285-80T","View Company Online")</f>
      </c>
    </row>
    <row r="5413">
      <c r="A5413" s="3" t="s">
        <v>25510</v>
      </c>
      <c r="B5413" s="3" t="s">
        <v>25511</v>
      </c>
      <c r="C5413" s="5" t="s">
        <v>36</v>
      </c>
      <c r="D5413" s="5" t="s">
        <v>36</v>
      </c>
      <c r="E5413" s="5" t="s">
        <v>36</v>
      </c>
      <c r="F5413" s="5" t="s">
        <v>36</v>
      </c>
      <c r="G5413" s="6" t="s">
        <v>36</v>
      </c>
      <c r="H5413" s="4">
        <v>124.97</v>
      </c>
      <c r="I5413" s="7">
        <v>24.64</v>
      </c>
      <c r="J5413" s="3" t="s">
        <v>521</v>
      </c>
      <c r="K5413" s="9">
        <v>42769</v>
      </c>
      <c r="L5413" s="6" t="s">
        <v>36</v>
      </c>
      <c r="M5413" s="3" t="s">
        <v>36</v>
      </c>
      <c r="N5413" s="3" t="s">
        <v>36</v>
      </c>
      <c r="O5413" s="8" t="s">
        <v>36</v>
      </c>
      <c r="P5413" s="3" t="s">
        <v>36</v>
      </c>
      <c r="Q5413" s="3" t="s">
        <v>36</v>
      </c>
      <c r="R5413" s="3" t="s">
        <v>36</v>
      </c>
      <c r="S5413" s="3" t="s">
        <v>36</v>
      </c>
      <c r="T5413" s="3" t="s">
        <v>25512</v>
      </c>
      <c r="U5413" s="3" t="s">
        <v>38</v>
      </c>
      <c r="V5413" s="3" t="s">
        <v>39</v>
      </c>
      <c r="W5413" s="3" t="s">
        <v>25513</v>
      </c>
      <c r="X5413" s="10" t="s">
        <v>25514</v>
      </c>
      <c r="Y5413" s="6" t="s">
        <v>321</v>
      </c>
      <c r="Z5413" s="4">
        <v>3.05</v>
      </c>
      <c r="AA5413" s="4">
        <v>12.39</v>
      </c>
      <c r="AB5413" s="3" t="s">
        <v>56</v>
      </c>
      <c r="AC5413" s="3" t="s">
        <v>25515</v>
      </c>
      <c r="AD5413" s="9">
        <v>43217</v>
      </c>
      <c r="AE5413" s="3" t="s">
        <v>785</v>
      </c>
      <c r="AF5413" s="3" t="s">
        <v>3040</v>
      </c>
      <c r="AG5413" s="3" t="s">
        <v>787</v>
      </c>
      <c r="AH5413" s="11">
        <f>HYPERLINK("https://my.pitchbook.com?c=89155-90T","View Company Online")</f>
      </c>
    </row>
    <row r="5414">
      <c r="A5414" s="12" t="s">
        <v>25516</v>
      </c>
      <c r="B5414" s="12" t="s">
        <v>25517</v>
      </c>
      <c r="C5414" s="19" t="s">
        <v>36</v>
      </c>
      <c r="D5414" s="19" t="s">
        <v>36</v>
      </c>
      <c r="E5414" s="19" t="s">
        <v>36</v>
      </c>
      <c r="F5414" s="19" t="s">
        <v>36</v>
      </c>
      <c r="G5414" s="15" t="s">
        <v>326</v>
      </c>
      <c r="H5414" s="14">
        <v>348.51</v>
      </c>
      <c r="I5414" s="18">
        <v>5</v>
      </c>
      <c r="J5414" s="12" t="s">
        <v>521</v>
      </c>
      <c r="K5414" s="13" t="s">
        <v>36</v>
      </c>
      <c r="L5414" s="15" t="s">
        <v>36</v>
      </c>
      <c r="M5414" s="12" t="s">
        <v>36</v>
      </c>
      <c r="N5414" s="12" t="s">
        <v>36</v>
      </c>
      <c r="O5414" s="17" t="s">
        <v>36</v>
      </c>
      <c r="P5414" s="12" t="s">
        <v>36</v>
      </c>
      <c r="Q5414" s="12" t="s">
        <v>36</v>
      </c>
      <c r="R5414" s="12" t="s">
        <v>36</v>
      </c>
      <c r="S5414" s="12" t="s">
        <v>36</v>
      </c>
      <c r="T5414" s="12" t="s">
        <v>14922</v>
      </c>
      <c r="U5414" s="12" t="s">
        <v>38</v>
      </c>
      <c r="V5414" s="12" t="s">
        <v>39</v>
      </c>
      <c r="W5414" s="12" t="s">
        <v>25518</v>
      </c>
      <c r="X5414" s="16" t="s">
        <v>4852</v>
      </c>
      <c r="Y5414" s="15" t="s">
        <v>42</v>
      </c>
      <c r="Z5414" s="14">
        <v>0.25</v>
      </c>
      <c r="AA5414" s="14">
        <v>4.92</v>
      </c>
      <c r="AB5414" s="12" t="s">
        <v>43</v>
      </c>
      <c r="AC5414" s="12" t="s">
        <v>25519</v>
      </c>
      <c r="AD5414" s="13">
        <v>43216</v>
      </c>
      <c r="AE5414" s="12" t="s">
        <v>554</v>
      </c>
      <c r="AF5414" s="12" t="s">
        <v>1380</v>
      </c>
      <c r="AG5414" s="12" t="s">
        <v>81</v>
      </c>
      <c r="AH5414" s="1">
        <f>HYPERLINK("https://my.pitchbook.com?c=232474-24T","View Company Online")</f>
      </c>
    </row>
    <row r="5415">
      <c r="A5415" s="3" t="s">
        <v>25520</v>
      </c>
      <c r="B5415" s="3" t="s">
        <v>21207</v>
      </c>
      <c r="C5415" s="5" t="s">
        <v>36</v>
      </c>
      <c r="D5415" s="5" t="s">
        <v>36</v>
      </c>
      <c r="E5415" s="5" t="s">
        <v>36</v>
      </c>
      <c r="F5415" s="5" t="s">
        <v>36</v>
      </c>
      <c r="G5415" s="6" t="s">
        <v>326</v>
      </c>
      <c r="H5415" s="4">
        <v>7.01</v>
      </c>
      <c r="I5415" s="7">
        <v>6.25</v>
      </c>
      <c r="J5415" s="3" t="s">
        <v>521</v>
      </c>
      <c r="K5415" s="9" t="s">
        <v>36</v>
      </c>
      <c r="L5415" s="6" t="s">
        <v>36</v>
      </c>
      <c r="M5415" s="3" t="s">
        <v>36</v>
      </c>
      <c r="N5415" s="3" t="s">
        <v>36</v>
      </c>
      <c r="O5415" s="8" t="s">
        <v>36</v>
      </c>
      <c r="P5415" s="3" t="s">
        <v>36</v>
      </c>
      <c r="Q5415" s="3" t="s">
        <v>36</v>
      </c>
      <c r="R5415" s="3" t="s">
        <v>36</v>
      </c>
      <c r="S5415" s="3" t="s">
        <v>36</v>
      </c>
      <c r="T5415" s="3" t="s">
        <v>630</v>
      </c>
      <c r="U5415" s="3" t="s">
        <v>38</v>
      </c>
      <c r="V5415" s="3" t="s">
        <v>39</v>
      </c>
      <c r="W5415" s="3" t="s">
        <v>21208</v>
      </c>
      <c r="X5415" s="10" t="s">
        <v>20599</v>
      </c>
      <c r="Y5415" s="6" t="s">
        <v>108</v>
      </c>
      <c r="Z5415" s="4">
        <v>0.25</v>
      </c>
      <c r="AA5415" s="4">
        <v>3.94</v>
      </c>
      <c r="AB5415" s="3" t="s">
        <v>43</v>
      </c>
      <c r="AC5415" s="3" t="s">
        <v>21209</v>
      </c>
      <c r="AD5415" s="9">
        <v>43216</v>
      </c>
      <c r="AE5415" s="3" t="s">
        <v>110</v>
      </c>
      <c r="AF5415" s="3" t="s">
        <v>36</v>
      </c>
      <c r="AG5415" s="3" t="s">
        <v>5504</v>
      </c>
      <c r="AH5415" s="11">
        <f>HYPERLINK("https://my.pitchbook.com?c=125877-07T","View Company Online")</f>
      </c>
    </row>
    <row r="5416">
      <c r="A5416" s="12" t="s">
        <v>25521</v>
      </c>
      <c r="B5416" s="12" t="s">
        <v>25522</v>
      </c>
      <c r="C5416" s="19" t="s">
        <v>36</v>
      </c>
      <c r="D5416" s="19" t="s">
        <v>36</v>
      </c>
      <c r="E5416" s="19" t="s">
        <v>36</v>
      </c>
      <c r="F5416" s="19" t="s">
        <v>36</v>
      </c>
      <c r="G5416" s="15" t="s">
        <v>36</v>
      </c>
      <c r="H5416" s="14">
        <v>197.83</v>
      </c>
      <c r="I5416" s="18">
        <v>20</v>
      </c>
      <c r="J5416" s="12" t="s">
        <v>521</v>
      </c>
      <c r="K5416" s="13" t="s">
        <v>36</v>
      </c>
      <c r="L5416" s="15" t="s">
        <v>36</v>
      </c>
      <c r="M5416" s="12" t="s">
        <v>36</v>
      </c>
      <c r="N5416" s="12" t="s">
        <v>36</v>
      </c>
      <c r="O5416" s="17" t="s">
        <v>36</v>
      </c>
      <c r="P5416" s="12" t="s">
        <v>36</v>
      </c>
      <c r="Q5416" s="12" t="s">
        <v>36</v>
      </c>
      <c r="R5416" s="12" t="s">
        <v>36</v>
      </c>
      <c r="S5416" s="12" t="s">
        <v>36</v>
      </c>
      <c r="T5416" s="12" t="s">
        <v>18335</v>
      </c>
      <c r="U5416" s="12" t="s">
        <v>279</v>
      </c>
      <c r="V5416" s="12" t="s">
        <v>64</v>
      </c>
      <c r="W5416" s="12" t="s">
        <v>25523</v>
      </c>
      <c r="X5416" s="16" t="s">
        <v>25524</v>
      </c>
      <c r="Y5416" s="15" t="s">
        <v>42</v>
      </c>
      <c r="Z5416" s="14">
        <v>1.23</v>
      </c>
      <c r="AA5416" s="14">
        <v>6.16</v>
      </c>
      <c r="AB5416" s="12" t="s">
        <v>43</v>
      </c>
      <c r="AC5416" s="12" t="s">
        <v>25525</v>
      </c>
      <c r="AD5416" s="13">
        <v>43215</v>
      </c>
      <c r="AE5416" s="12" t="s">
        <v>740</v>
      </c>
      <c r="AF5416" s="12" t="s">
        <v>36</v>
      </c>
      <c r="AG5416" s="12" t="s">
        <v>81</v>
      </c>
      <c r="AH5416" s="1">
        <f>HYPERLINK("https://my.pitchbook.com?c=140966-92T","View Company Online")</f>
      </c>
    </row>
    <row r="5417">
      <c r="A5417" s="3" t="s">
        <v>25526</v>
      </c>
      <c r="B5417" s="3" t="s">
        <v>25527</v>
      </c>
      <c r="C5417" s="5" t="s">
        <v>36</v>
      </c>
      <c r="D5417" s="5" t="s">
        <v>36</v>
      </c>
      <c r="E5417" s="5" t="s">
        <v>36</v>
      </c>
      <c r="F5417" s="5" t="s">
        <v>36</v>
      </c>
      <c r="G5417" s="6" t="s">
        <v>326</v>
      </c>
      <c r="H5417" s="4">
        <v>205.64</v>
      </c>
      <c r="I5417" s="7">
        <v>32.85</v>
      </c>
      <c r="J5417" s="3" t="s">
        <v>327</v>
      </c>
      <c r="K5417" s="9" t="s">
        <v>36</v>
      </c>
      <c r="L5417" s="6" t="s">
        <v>36</v>
      </c>
      <c r="M5417" s="3" t="s">
        <v>36</v>
      </c>
      <c r="N5417" s="3" t="s">
        <v>36</v>
      </c>
      <c r="O5417" s="8" t="s">
        <v>36</v>
      </c>
      <c r="P5417" s="3" t="s">
        <v>36</v>
      </c>
      <c r="Q5417" s="3" t="s">
        <v>36</v>
      </c>
      <c r="R5417" s="3" t="s">
        <v>36</v>
      </c>
      <c r="S5417" s="3" t="s">
        <v>36</v>
      </c>
      <c r="T5417" s="3" t="s">
        <v>647</v>
      </c>
      <c r="U5417" s="3" t="s">
        <v>648</v>
      </c>
      <c r="V5417" s="3" t="s">
        <v>64</v>
      </c>
      <c r="W5417" s="3" t="s">
        <v>25528</v>
      </c>
      <c r="X5417" s="10" t="s">
        <v>25529</v>
      </c>
      <c r="Y5417" s="6" t="s">
        <v>42</v>
      </c>
      <c r="Z5417" s="4">
        <v>1.97</v>
      </c>
      <c r="AA5417" s="4">
        <v>4.15</v>
      </c>
      <c r="AB5417" s="3" t="s">
        <v>43</v>
      </c>
      <c r="AC5417" s="3" t="s">
        <v>25530</v>
      </c>
      <c r="AD5417" s="9">
        <v>43215</v>
      </c>
      <c r="AE5417" s="3" t="s">
        <v>651</v>
      </c>
      <c r="AF5417" s="3" t="s">
        <v>36</v>
      </c>
      <c r="AG5417" s="3" t="s">
        <v>25531</v>
      </c>
      <c r="AH5417" s="11">
        <f>HYPERLINK("https://my.pitchbook.com?c=106040-26T","View Company Online")</f>
      </c>
    </row>
    <row r="5418">
      <c r="A5418" s="12" t="s">
        <v>25532</v>
      </c>
      <c r="B5418" s="12" t="s">
        <v>8676</v>
      </c>
      <c r="C5418" s="19">
        <v>5</v>
      </c>
      <c r="D5418" s="19">
        <v>1</v>
      </c>
      <c r="E5418" s="19">
        <v>4</v>
      </c>
      <c r="F5418" s="19">
        <v>10</v>
      </c>
      <c r="G5418" s="15" t="s">
        <v>36</v>
      </c>
      <c r="H5418" s="14" t="s">
        <v>36</v>
      </c>
      <c r="I5418" s="18" t="s">
        <v>36</v>
      </c>
      <c r="J5418" s="12" t="s">
        <v>36</v>
      </c>
      <c r="K5418" s="13">
        <v>43187</v>
      </c>
      <c r="L5418" s="15" t="s">
        <v>36</v>
      </c>
      <c r="M5418" s="12" t="s">
        <v>36</v>
      </c>
      <c r="N5418" s="12" t="s">
        <v>36</v>
      </c>
      <c r="O5418" s="17" t="s">
        <v>36</v>
      </c>
      <c r="P5418" s="12" t="s">
        <v>36</v>
      </c>
      <c r="Q5418" s="12" t="s">
        <v>36</v>
      </c>
      <c r="R5418" s="12" t="s">
        <v>36</v>
      </c>
      <c r="S5418" s="12" t="s">
        <v>3570</v>
      </c>
      <c r="T5418" s="12" t="s">
        <v>8677</v>
      </c>
      <c r="U5418" s="12" t="s">
        <v>1082</v>
      </c>
      <c r="V5418" s="12" t="s">
        <v>378</v>
      </c>
      <c r="W5418" s="12" t="s">
        <v>8678</v>
      </c>
      <c r="X5418" s="16" t="s">
        <v>25533</v>
      </c>
      <c r="Y5418" s="15" t="s">
        <v>42</v>
      </c>
      <c r="Z5418" s="14">
        <v>3.09</v>
      </c>
      <c r="AA5418" s="14" t="s">
        <v>36</v>
      </c>
      <c r="AB5418" s="12" t="s">
        <v>43</v>
      </c>
      <c r="AC5418" s="12" t="s">
        <v>8680</v>
      </c>
      <c r="AD5418" s="13">
        <v>43215</v>
      </c>
      <c r="AE5418" s="12" t="s">
        <v>7876</v>
      </c>
      <c r="AF5418" s="12" t="s">
        <v>1977</v>
      </c>
      <c r="AG5418" s="12" t="s">
        <v>144</v>
      </c>
      <c r="AH5418" s="1">
        <f>HYPERLINK("https://my.pitchbook.com?c=119982-70T","View Company Online")</f>
      </c>
    </row>
    <row r="5419">
      <c r="A5419" s="3" t="s">
        <v>25534</v>
      </c>
      <c r="B5419" s="3" t="s">
        <v>25535</v>
      </c>
      <c r="C5419" s="5" t="s">
        <v>36</v>
      </c>
      <c r="D5419" s="5" t="s">
        <v>36</v>
      </c>
      <c r="E5419" s="5" t="s">
        <v>36</v>
      </c>
      <c r="F5419" s="5" t="s">
        <v>36</v>
      </c>
      <c r="G5419" s="6" t="s">
        <v>326</v>
      </c>
      <c r="H5419" s="4">
        <v>166.86</v>
      </c>
      <c r="I5419" s="7">
        <v>34.87</v>
      </c>
      <c r="J5419" s="3" t="s">
        <v>521</v>
      </c>
      <c r="K5419" s="9" t="s">
        <v>36</v>
      </c>
      <c r="L5419" s="6" t="s">
        <v>94</v>
      </c>
      <c r="M5419" s="3" t="s">
        <v>36</v>
      </c>
      <c r="N5419" s="3" t="s">
        <v>94</v>
      </c>
      <c r="O5419" s="8" t="s">
        <v>36</v>
      </c>
      <c r="P5419" s="3" t="s">
        <v>36</v>
      </c>
      <c r="Q5419" s="3" t="s">
        <v>36</v>
      </c>
      <c r="R5419" s="3" t="s">
        <v>36</v>
      </c>
      <c r="S5419" s="3" t="s">
        <v>36</v>
      </c>
      <c r="T5419" s="3" t="s">
        <v>522</v>
      </c>
      <c r="U5419" s="3" t="s">
        <v>38</v>
      </c>
      <c r="V5419" s="3" t="s">
        <v>39</v>
      </c>
      <c r="W5419" s="3" t="s">
        <v>25536</v>
      </c>
      <c r="X5419" s="10" t="s">
        <v>25537</v>
      </c>
      <c r="Y5419" s="6" t="s">
        <v>192</v>
      </c>
      <c r="Z5419" s="4">
        <v>4.31</v>
      </c>
      <c r="AA5419" s="4">
        <v>7.11</v>
      </c>
      <c r="AB5419" s="3" t="s">
        <v>43</v>
      </c>
      <c r="AC5419" s="3" t="s">
        <v>25538</v>
      </c>
      <c r="AD5419" s="9">
        <v>43215</v>
      </c>
      <c r="AE5419" s="3" t="s">
        <v>110</v>
      </c>
      <c r="AF5419" s="3" t="s">
        <v>4552</v>
      </c>
      <c r="AG5419" s="3" t="s">
        <v>47</v>
      </c>
      <c r="AH5419" s="11">
        <f>HYPERLINK("https://my.pitchbook.com?c=105271-93T","View Company Online")</f>
      </c>
    </row>
    <row r="5420">
      <c r="A5420" s="12" t="s">
        <v>25539</v>
      </c>
      <c r="B5420" s="12" t="s">
        <v>8329</v>
      </c>
      <c r="C5420" s="19">
        <v>10</v>
      </c>
      <c r="D5420" s="19" t="s">
        <v>36</v>
      </c>
      <c r="E5420" s="19">
        <v>3</v>
      </c>
      <c r="F5420" s="19">
        <v>11</v>
      </c>
      <c r="G5420" s="15" t="s">
        <v>36</v>
      </c>
      <c r="H5420" s="14">
        <v>9.02</v>
      </c>
      <c r="I5420" s="18">
        <v>26.3</v>
      </c>
      <c r="J5420" s="12" t="s">
        <v>521</v>
      </c>
      <c r="K5420" s="13" t="s">
        <v>36</v>
      </c>
      <c r="L5420" s="15" t="s">
        <v>36</v>
      </c>
      <c r="M5420" s="12" t="s">
        <v>36</v>
      </c>
      <c r="N5420" s="12" t="s">
        <v>36</v>
      </c>
      <c r="O5420" s="17" t="s">
        <v>36</v>
      </c>
      <c r="P5420" s="12" t="s">
        <v>36</v>
      </c>
      <c r="Q5420" s="12" t="s">
        <v>36</v>
      </c>
      <c r="R5420" s="12" t="s">
        <v>36</v>
      </c>
      <c r="S5420" s="12" t="s">
        <v>36</v>
      </c>
      <c r="T5420" s="12" t="s">
        <v>1725</v>
      </c>
      <c r="U5420" s="12" t="s">
        <v>318</v>
      </c>
      <c r="V5420" s="12" t="s">
        <v>39</v>
      </c>
      <c r="W5420" s="12" t="s">
        <v>8330</v>
      </c>
      <c r="X5420" s="16" t="s">
        <v>25540</v>
      </c>
      <c r="Y5420" s="15" t="s">
        <v>42</v>
      </c>
      <c r="Z5420" s="14">
        <v>0.76</v>
      </c>
      <c r="AA5420" s="14">
        <v>2.9</v>
      </c>
      <c r="AB5420" s="12" t="s">
        <v>43</v>
      </c>
      <c r="AC5420" s="12" t="s">
        <v>8332</v>
      </c>
      <c r="AD5420" s="13">
        <v>43214</v>
      </c>
      <c r="AE5420" s="12" t="s">
        <v>763</v>
      </c>
      <c r="AF5420" s="12" t="s">
        <v>36</v>
      </c>
      <c r="AG5420" s="12" t="s">
        <v>3064</v>
      </c>
      <c r="AH5420" s="1">
        <f>HYPERLINK("https://my.pitchbook.com?c=190671-49T","View Company Online")</f>
      </c>
    </row>
    <row r="5421">
      <c r="A5421" s="3" t="s">
        <v>25541</v>
      </c>
      <c r="B5421" s="3" t="s">
        <v>17485</v>
      </c>
      <c r="C5421" s="5" t="s">
        <v>36</v>
      </c>
      <c r="D5421" s="5" t="s">
        <v>36</v>
      </c>
      <c r="E5421" s="5" t="s">
        <v>36</v>
      </c>
      <c r="F5421" s="5" t="s">
        <v>36</v>
      </c>
      <c r="G5421" s="6" t="s">
        <v>36</v>
      </c>
      <c r="H5421" s="4">
        <v>607.07</v>
      </c>
      <c r="I5421" s="7">
        <v>10.07</v>
      </c>
      <c r="J5421" s="3" t="s">
        <v>521</v>
      </c>
      <c r="K5421" s="9" t="s">
        <v>36</v>
      </c>
      <c r="L5421" s="6" t="s">
        <v>36</v>
      </c>
      <c r="M5421" s="3" t="s">
        <v>36</v>
      </c>
      <c r="N5421" s="3" t="s">
        <v>36</v>
      </c>
      <c r="O5421" s="8" t="s">
        <v>36</v>
      </c>
      <c r="P5421" s="3" t="s">
        <v>36</v>
      </c>
      <c r="Q5421" s="3" t="s">
        <v>36</v>
      </c>
      <c r="R5421" s="3" t="s">
        <v>36</v>
      </c>
      <c r="S5421" s="3" t="s">
        <v>36</v>
      </c>
      <c r="T5421" s="3" t="s">
        <v>972</v>
      </c>
      <c r="U5421" s="3" t="s">
        <v>74</v>
      </c>
      <c r="V5421" s="3" t="s">
        <v>75</v>
      </c>
      <c r="W5421" s="3" t="s">
        <v>17486</v>
      </c>
      <c r="X5421" s="10" t="s">
        <v>25542</v>
      </c>
      <c r="Y5421" s="6" t="s">
        <v>42</v>
      </c>
      <c r="Z5421" s="4">
        <v>0.08</v>
      </c>
      <c r="AA5421" s="4">
        <v>0.8</v>
      </c>
      <c r="AB5421" s="3" t="s">
        <v>43</v>
      </c>
      <c r="AC5421" s="3" t="s">
        <v>17487</v>
      </c>
      <c r="AD5421" s="9">
        <v>43213</v>
      </c>
      <c r="AE5421" s="3" t="s">
        <v>975</v>
      </c>
      <c r="AF5421" s="3" t="s">
        <v>2759</v>
      </c>
      <c r="AG5421" s="3" t="s">
        <v>2450</v>
      </c>
      <c r="AH5421" s="11">
        <f>HYPERLINK("https://my.pitchbook.com?c=212939-02T","View Company Online")</f>
      </c>
    </row>
    <row r="5422">
      <c r="A5422" s="12" t="s">
        <v>25543</v>
      </c>
      <c r="B5422" s="12" t="s">
        <v>25544</v>
      </c>
      <c r="C5422" s="19" t="s">
        <v>36</v>
      </c>
      <c r="D5422" s="19" t="s">
        <v>36</v>
      </c>
      <c r="E5422" s="19" t="s">
        <v>36</v>
      </c>
      <c r="F5422" s="19" t="s">
        <v>36</v>
      </c>
      <c r="G5422" s="15" t="s">
        <v>36</v>
      </c>
      <c r="H5422" s="14">
        <v>0.69</v>
      </c>
      <c r="I5422" s="18">
        <v>19.51</v>
      </c>
      <c r="J5422" s="12" t="s">
        <v>521</v>
      </c>
      <c r="K5422" s="13" t="s">
        <v>36</v>
      </c>
      <c r="L5422" s="15" t="s">
        <v>36</v>
      </c>
      <c r="M5422" s="12" t="s">
        <v>36</v>
      </c>
      <c r="N5422" s="12" t="s">
        <v>36</v>
      </c>
      <c r="O5422" s="17" t="s">
        <v>36</v>
      </c>
      <c r="P5422" s="12" t="s">
        <v>36</v>
      </c>
      <c r="Q5422" s="12" t="s">
        <v>36</v>
      </c>
      <c r="R5422" s="12" t="s">
        <v>36</v>
      </c>
      <c r="S5422" s="12" t="s">
        <v>36</v>
      </c>
      <c r="T5422" s="12" t="s">
        <v>522</v>
      </c>
      <c r="U5422" s="12" t="s">
        <v>38</v>
      </c>
      <c r="V5422" s="12" t="s">
        <v>39</v>
      </c>
      <c r="W5422" s="12" t="s">
        <v>25545</v>
      </c>
      <c r="X5422" s="16" t="s">
        <v>25546</v>
      </c>
      <c r="Y5422" s="15" t="s">
        <v>42</v>
      </c>
      <c r="Z5422" s="14">
        <v>0.59</v>
      </c>
      <c r="AA5422" s="14">
        <v>3.03</v>
      </c>
      <c r="AB5422" s="12" t="s">
        <v>43</v>
      </c>
      <c r="AC5422" s="12" t="s">
        <v>25547</v>
      </c>
      <c r="AD5422" s="13">
        <v>43213</v>
      </c>
      <c r="AE5422" s="12" t="s">
        <v>110</v>
      </c>
      <c r="AF5422" s="12" t="s">
        <v>25548</v>
      </c>
      <c r="AG5422" s="12" t="s">
        <v>81</v>
      </c>
      <c r="AH5422" s="1">
        <f>HYPERLINK("https://my.pitchbook.com?c=118679-86T","View Company Online")</f>
      </c>
    </row>
    <row r="5423">
      <c r="A5423" s="3" t="s">
        <v>25549</v>
      </c>
      <c r="B5423" s="3" t="s">
        <v>7913</v>
      </c>
      <c r="C5423" s="5" t="s">
        <v>36</v>
      </c>
      <c r="D5423" s="5" t="s">
        <v>36</v>
      </c>
      <c r="E5423" s="5" t="s">
        <v>36</v>
      </c>
      <c r="F5423" s="5" t="s">
        <v>36</v>
      </c>
      <c r="G5423" s="6" t="s">
        <v>36</v>
      </c>
      <c r="H5423" s="4" t="s">
        <v>36</v>
      </c>
      <c r="I5423" s="7" t="s">
        <v>36</v>
      </c>
      <c r="J5423" s="3" t="s">
        <v>36</v>
      </c>
      <c r="K5423" s="9" t="s">
        <v>36</v>
      </c>
      <c r="L5423" s="6" t="s">
        <v>36</v>
      </c>
      <c r="M5423" s="3" t="s">
        <v>36</v>
      </c>
      <c r="N5423" s="3" t="s">
        <v>36</v>
      </c>
      <c r="O5423" s="8" t="s">
        <v>36</v>
      </c>
      <c r="P5423" s="3" t="s">
        <v>36</v>
      </c>
      <c r="Q5423" s="3" t="s">
        <v>36</v>
      </c>
      <c r="R5423" s="3" t="s">
        <v>36</v>
      </c>
      <c r="S5423" s="3" t="s">
        <v>36</v>
      </c>
      <c r="T5423" s="3" t="s">
        <v>522</v>
      </c>
      <c r="U5423" s="3" t="s">
        <v>38</v>
      </c>
      <c r="V5423" s="3" t="s">
        <v>39</v>
      </c>
      <c r="W5423" s="3" t="s">
        <v>7914</v>
      </c>
      <c r="X5423" s="10" t="s">
        <v>221</v>
      </c>
      <c r="Y5423" s="6" t="s">
        <v>42</v>
      </c>
      <c r="Z5423" s="4" t="s">
        <v>36</v>
      </c>
      <c r="AA5423" s="4" t="s">
        <v>36</v>
      </c>
      <c r="AB5423" s="3" t="s">
        <v>43</v>
      </c>
      <c r="AC5423" s="3" t="s">
        <v>7916</v>
      </c>
      <c r="AD5423" s="9">
        <v>43211</v>
      </c>
      <c r="AE5423" s="3" t="s">
        <v>110</v>
      </c>
      <c r="AF5423" s="3" t="s">
        <v>526</v>
      </c>
      <c r="AG5423" s="3" t="s">
        <v>81</v>
      </c>
      <c r="AH5423" s="11">
        <f>HYPERLINK("https://my.pitchbook.com?c=120104-92T","View Company Online")</f>
      </c>
    </row>
    <row r="5424">
      <c r="A5424" s="12" t="s">
        <v>25550</v>
      </c>
      <c r="B5424" s="12" t="s">
        <v>25551</v>
      </c>
      <c r="C5424" s="19" t="s">
        <v>36</v>
      </c>
      <c r="D5424" s="19" t="s">
        <v>36</v>
      </c>
      <c r="E5424" s="19" t="s">
        <v>36</v>
      </c>
      <c r="F5424" s="19" t="s">
        <v>36</v>
      </c>
      <c r="G5424" s="15" t="s">
        <v>326</v>
      </c>
      <c r="H5424" s="14">
        <v>2.99</v>
      </c>
      <c r="I5424" s="18">
        <v>7.23</v>
      </c>
      <c r="J5424" s="12" t="s">
        <v>521</v>
      </c>
      <c r="K5424" s="13" t="s">
        <v>36</v>
      </c>
      <c r="L5424" s="15" t="s">
        <v>36</v>
      </c>
      <c r="M5424" s="12" t="s">
        <v>36</v>
      </c>
      <c r="N5424" s="12" t="s">
        <v>36</v>
      </c>
      <c r="O5424" s="17" t="s">
        <v>36</v>
      </c>
      <c r="P5424" s="12" t="s">
        <v>36</v>
      </c>
      <c r="Q5424" s="12" t="s">
        <v>36</v>
      </c>
      <c r="R5424" s="12" t="s">
        <v>36</v>
      </c>
      <c r="S5424" s="12" t="s">
        <v>36</v>
      </c>
      <c r="T5424" s="12" t="s">
        <v>25552</v>
      </c>
      <c r="U5424" s="12" t="s">
        <v>180</v>
      </c>
      <c r="V5424" s="12" t="s">
        <v>52</v>
      </c>
      <c r="W5424" s="12" t="s">
        <v>25553</v>
      </c>
      <c r="X5424" s="16" t="s">
        <v>25554</v>
      </c>
      <c r="Y5424" s="15" t="s">
        <v>55</v>
      </c>
      <c r="Z5424" s="14">
        <v>2.03</v>
      </c>
      <c r="AA5424" s="14">
        <v>8.01</v>
      </c>
      <c r="AB5424" s="12" t="s">
        <v>56</v>
      </c>
      <c r="AC5424" s="12" t="s">
        <v>25555</v>
      </c>
      <c r="AD5424" s="13">
        <v>43211</v>
      </c>
      <c r="AE5424" s="12" t="s">
        <v>8291</v>
      </c>
      <c r="AF5424" s="12" t="s">
        <v>917</v>
      </c>
      <c r="AG5424" s="12" t="s">
        <v>102</v>
      </c>
      <c r="AH5424" s="1">
        <f>HYPERLINK("https://my.pitchbook.com?c=116492-86T","View Company Online")</f>
      </c>
    </row>
    <row r="5425">
      <c r="A5425" s="3" t="s">
        <v>25556</v>
      </c>
      <c r="B5425" s="3" t="s">
        <v>25557</v>
      </c>
      <c r="C5425" s="5" t="s">
        <v>36</v>
      </c>
      <c r="D5425" s="5" t="s">
        <v>36</v>
      </c>
      <c r="E5425" s="5" t="s">
        <v>36</v>
      </c>
      <c r="F5425" s="5" t="s">
        <v>36</v>
      </c>
      <c r="G5425" s="6" t="s">
        <v>36</v>
      </c>
      <c r="H5425" s="4" t="s">
        <v>36</v>
      </c>
      <c r="I5425" s="7" t="s">
        <v>36</v>
      </c>
      <c r="J5425" s="3" t="s">
        <v>36</v>
      </c>
      <c r="K5425" s="9" t="s">
        <v>36</v>
      </c>
      <c r="L5425" s="6" t="s">
        <v>36</v>
      </c>
      <c r="M5425" s="3" t="s">
        <v>36</v>
      </c>
      <c r="N5425" s="3" t="s">
        <v>36</v>
      </c>
      <c r="O5425" s="8" t="s">
        <v>36</v>
      </c>
      <c r="P5425" s="3" t="s">
        <v>36</v>
      </c>
      <c r="Q5425" s="3" t="s">
        <v>36</v>
      </c>
      <c r="R5425" s="3" t="s">
        <v>36</v>
      </c>
      <c r="S5425" s="3" t="s">
        <v>36</v>
      </c>
      <c r="T5425" s="3" t="s">
        <v>25558</v>
      </c>
      <c r="U5425" s="3" t="s">
        <v>279</v>
      </c>
      <c r="V5425" s="3" t="s">
        <v>64</v>
      </c>
      <c r="W5425" s="3" t="s">
        <v>25559</v>
      </c>
      <c r="X5425" s="10" t="s">
        <v>25560</v>
      </c>
      <c r="Y5425" s="6" t="s">
        <v>42</v>
      </c>
      <c r="Z5425" s="4">
        <v>0.49</v>
      </c>
      <c r="AA5425" s="4" t="s">
        <v>36</v>
      </c>
      <c r="AB5425" s="3" t="s">
        <v>43</v>
      </c>
      <c r="AC5425" s="3" t="s">
        <v>25561</v>
      </c>
      <c r="AD5425" s="9">
        <v>43210</v>
      </c>
      <c r="AE5425" s="3" t="s">
        <v>851</v>
      </c>
      <c r="AF5425" s="3" t="s">
        <v>1636</v>
      </c>
      <c r="AG5425" s="3" t="s">
        <v>10645</v>
      </c>
      <c r="AH5425" s="11">
        <f>HYPERLINK("https://my.pitchbook.com?c=106185-43T","View Company Online")</f>
      </c>
    </row>
    <row r="5426">
      <c r="A5426" s="12" t="s">
        <v>25562</v>
      </c>
      <c r="B5426" s="12" t="s">
        <v>25563</v>
      </c>
      <c r="C5426" s="19" t="s">
        <v>36</v>
      </c>
      <c r="D5426" s="19" t="s">
        <v>36</v>
      </c>
      <c r="E5426" s="19" t="s">
        <v>36</v>
      </c>
      <c r="F5426" s="19" t="s">
        <v>36</v>
      </c>
      <c r="G5426" s="15" t="s">
        <v>36</v>
      </c>
      <c r="H5426" s="14" t="s">
        <v>36</v>
      </c>
      <c r="I5426" s="18" t="s">
        <v>36</v>
      </c>
      <c r="J5426" s="12" t="s">
        <v>36</v>
      </c>
      <c r="K5426" s="13" t="s">
        <v>36</v>
      </c>
      <c r="L5426" s="15" t="s">
        <v>36</v>
      </c>
      <c r="M5426" s="12" t="s">
        <v>36</v>
      </c>
      <c r="N5426" s="12" t="s">
        <v>36</v>
      </c>
      <c r="O5426" s="17" t="s">
        <v>36</v>
      </c>
      <c r="P5426" s="12" t="s">
        <v>36</v>
      </c>
      <c r="Q5426" s="12" t="s">
        <v>36</v>
      </c>
      <c r="R5426" s="12" t="s">
        <v>36</v>
      </c>
      <c r="S5426" s="12" t="s">
        <v>36</v>
      </c>
      <c r="T5426" s="12" t="s">
        <v>25564</v>
      </c>
      <c r="U5426" s="12" t="s">
        <v>38</v>
      </c>
      <c r="V5426" s="12" t="s">
        <v>39</v>
      </c>
      <c r="W5426" s="12" t="s">
        <v>25565</v>
      </c>
      <c r="X5426" s="16" t="s">
        <v>25566</v>
      </c>
      <c r="Y5426" s="15" t="s">
        <v>108</v>
      </c>
      <c r="Z5426" s="14">
        <v>8.63</v>
      </c>
      <c r="AA5426" s="14" t="s">
        <v>36</v>
      </c>
      <c r="AB5426" s="12" t="s">
        <v>43</v>
      </c>
      <c r="AC5426" s="12" t="s">
        <v>25567</v>
      </c>
      <c r="AD5426" s="13">
        <v>43209</v>
      </c>
      <c r="AE5426" s="12" t="s">
        <v>110</v>
      </c>
      <c r="AF5426" s="12" t="s">
        <v>25568</v>
      </c>
      <c r="AG5426" s="12" t="s">
        <v>81</v>
      </c>
      <c r="AH5426" s="1">
        <f>HYPERLINK("https://my.pitchbook.com?c=104695-03T","View Company Online")</f>
      </c>
    </row>
    <row r="5427">
      <c r="A5427" s="3" t="s">
        <v>25569</v>
      </c>
      <c r="B5427" s="3" t="s">
        <v>25570</v>
      </c>
      <c r="C5427" s="5">
        <v>8</v>
      </c>
      <c r="D5427" s="5">
        <v>53</v>
      </c>
      <c r="E5427" s="5">
        <v>16</v>
      </c>
      <c r="F5427" s="5">
        <v>73</v>
      </c>
      <c r="G5427" s="6" t="s">
        <v>683</v>
      </c>
      <c r="H5427" s="4">
        <v>172.16</v>
      </c>
      <c r="I5427" s="7">
        <v>14.33</v>
      </c>
      <c r="J5427" s="3" t="s">
        <v>521</v>
      </c>
      <c r="K5427" s="9" t="s">
        <v>36</v>
      </c>
      <c r="L5427" s="6" t="s">
        <v>36</v>
      </c>
      <c r="M5427" s="3" t="s">
        <v>36</v>
      </c>
      <c r="N5427" s="3" t="s">
        <v>36</v>
      </c>
      <c r="O5427" s="8" t="s">
        <v>36</v>
      </c>
      <c r="P5427" s="3" t="s">
        <v>36</v>
      </c>
      <c r="Q5427" s="3" t="s">
        <v>36</v>
      </c>
      <c r="R5427" s="3" t="s">
        <v>36</v>
      </c>
      <c r="S5427" s="3" t="s">
        <v>36</v>
      </c>
      <c r="T5427" s="3" t="s">
        <v>25571</v>
      </c>
      <c r="U5427" s="3" t="s">
        <v>219</v>
      </c>
      <c r="V5427" s="3" t="s">
        <v>75</v>
      </c>
      <c r="W5427" s="3" t="s">
        <v>25572</v>
      </c>
      <c r="X5427" s="10" t="s">
        <v>25573</v>
      </c>
      <c r="Y5427" s="6" t="s">
        <v>108</v>
      </c>
      <c r="Z5427" s="4">
        <v>0.66</v>
      </c>
      <c r="AA5427" s="4">
        <v>4.57</v>
      </c>
      <c r="AB5427" s="3" t="s">
        <v>56</v>
      </c>
      <c r="AC5427" s="3" t="s">
        <v>25574</v>
      </c>
      <c r="AD5427" s="9">
        <v>43209</v>
      </c>
      <c r="AE5427" s="3" t="s">
        <v>2914</v>
      </c>
      <c r="AF5427" s="3" t="s">
        <v>23405</v>
      </c>
      <c r="AG5427" s="3" t="s">
        <v>2246</v>
      </c>
      <c r="AH5427" s="11">
        <f>HYPERLINK("https://my.pitchbook.com?c=117559-00T","View Company Online")</f>
      </c>
    </row>
    <row r="5428">
      <c r="A5428" s="12" t="s">
        <v>25575</v>
      </c>
      <c r="B5428" s="12" t="s">
        <v>25576</v>
      </c>
      <c r="C5428" s="19" t="s">
        <v>36</v>
      </c>
      <c r="D5428" s="19" t="s">
        <v>36</v>
      </c>
      <c r="E5428" s="19" t="s">
        <v>36</v>
      </c>
      <c r="F5428" s="19" t="s">
        <v>36</v>
      </c>
      <c r="G5428" s="15" t="s">
        <v>683</v>
      </c>
      <c r="H5428" s="14">
        <v>27</v>
      </c>
      <c r="I5428" s="18">
        <v>31.9</v>
      </c>
      <c r="J5428" s="12" t="s">
        <v>521</v>
      </c>
      <c r="K5428" s="13" t="s">
        <v>36</v>
      </c>
      <c r="L5428" s="15" t="s">
        <v>36</v>
      </c>
      <c r="M5428" s="12" t="s">
        <v>36</v>
      </c>
      <c r="N5428" s="12" t="s">
        <v>36</v>
      </c>
      <c r="O5428" s="17" t="s">
        <v>36</v>
      </c>
      <c r="P5428" s="12" t="s">
        <v>36</v>
      </c>
      <c r="Q5428" s="12" t="s">
        <v>36</v>
      </c>
      <c r="R5428" s="12" t="s">
        <v>36</v>
      </c>
      <c r="S5428" s="12" t="s">
        <v>36</v>
      </c>
      <c r="T5428" s="12" t="s">
        <v>25577</v>
      </c>
      <c r="U5428" s="12" t="s">
        <v>233</v>
      </c>
      <c r="V5428" s="12" t="s">
        <v>39</v>
      </c>
      <c r="W5428" s="12" t="s">
        <v>25578</v>
      </c>
      <c r="X5428" s="16" t="s">
        <v>25579</v>
      </c>
      <c r="Y5428" s="15" t="s">
        <v>108</v>
      </c>
      <c r="Z5428" s="14">
        <v>1.85</v>
      </c>
      <c r="AA5428" s="14">
        <v>5.8</v>
      </c>
      <c r="AB5428" s="12" t="s">
        <v>56</v>
      </c>
      <c r="AC5428" s="12" t="s">
        <v>25580</v>
      </c>
      <c r="AD5428" s="13">
        <v>43209</v>
      </c>
      <c r="AE5428" s="12" t="s">
        <v>12061</v>
      </c>
      <c r="AF5428" s="12" t="s">
        <v>25581</v>
      </c>
      <c r="AG5428" s="12" t="s">
        <v>81</v>
      </c>
      <c r="AH5428" s="1">
        <f>HYPERLINK("https://my.pitchbook.com?c=123709-33T","View Company Online")</f>
      </c>
    </row>
    <row r="5429">
      <c r="A5429" s="3" t="s">
        <v>25582</v>
      </c>
      <c r="B5429" s="3" t="s">
        <v>10693</v>
      </c>
      <c r="C5429" s="5" t="s">
        <v>36</v>
      </c>
      <c r="D5429" s="5" t="s">
        <v>36</v>
      </c>
      <c r="E5429" s="5" t="s">
        <v>36</v>
      </c>
      <c r="F5429" s="5" t="s">
        <v>36</v>
      </c>
      <c r="G5429" s="6" t="s">
        <v>326</v>
      </c>
      <c r="H5429" s="4">
        <v>17.55</v>
      </c>
      <c r="I5429" s="7">
        <v>22.86</v>
      </c>
      <c r="J5429" s="3" t="s">
        <v>521</v>
      </c>
      <c r="K5429" s="9">
        <v>43172</v>
      </c>
      <c r="L5429" s="6" t="s">
        <v>94</v>
      </c>
      <c r="M5429" s="3" t="s">
        <v>36</v>
      </c>
      <c r="N5429" s="3" t="s">
        <v>94</v>
      </c>
      <c r="O5429" s="8" t="s">
        <v>36</v>
      </c>
      <c r="P5429" s="3" t="s">
        <v>36</v>
      </c>
      <c r="Q5429" s="3" t="s">
        <v>36</v>
      </c>
      <c r="R5429" s="3" t="s">
        <v>36</v>
      </c>
      <c r="S5429" s="3" t="s">
        <v>36</v>
      </c>
      <c r="T5429" s="3" t="s">
        <v>10694</v>
      </c>
      <c r="U5429" s="3" t="s">
        <v>74</v>
      </c>
      <c r="V5429" s="3" t="s">
        <v>75</v>
      </c>
      <c r="W5429" s="3" t="s">
        <v>10695</v>
      </c>
      <c r="X5429" s="10" t="s">
        <v>25583</v>
      </c>
      <c r="Y5429" s="6" t="s">
        <v>192</v>
      </c>
      <c r="Z5429" s="4">
        <v>12.33</v>
      </c>
      <c r="AA5429" s="4">
        <v>32.89</v>
      </c>
      <c r="AB5429" s="3" t="s">
        <v>43</v>
      </c>
      <c r="AC5429" s="3" t="s">
        <v>10697</v>
      </c>
      <c r="AD5429" s="9">
        <v>43208</v>
      </c>
      <c r="AE5429" s="3" t="s">
        <v>79</v>
      </c>
      <c r="AF5429" s="3" t="s">
        <v>815</v>
      </c>
      <c r="AG5429" s="3" t="s">
        <v>81</v>
      </c>
      <c r="AH5429" s="11">
        <f>HYPERLINK("https://my.pitchbook.com?c=102694-15T","View Company Online")</f>
      </c>
    </row>
    <row r="5430">
      <c r="A5430" s="12" t="s">
        <v>25584</v>
      </c>
      <c r="B5430" s="12" t="s">
        <v>25585</v>
      </c>
      <c r="C5430" s="19" t="s">
        <v>36</v>
      </c>
      <c r="D5430" s="19" t="s">
        <v>36</v>
      </c>
      <c r="E5430" s="19" t="s">
        <v>36</v>
      </c>
      <c r="F5430" s="19" t="s">
        <v>36</v>
      </c>
      <c r="G5430" s="15" t="s">
        <v>36</v>
      </c>
      <c r="H5430" s="14" t="s">
        <v>36</v>
      </c>
      <c r="I5430" s="18" t="s">
        <v>36</v>
      </c>
      <c r="J5430" s="12" t="s">
        <v>521</v>
      </c>
      <c r="K5430" s="13" t="s">
        <v>36</v>
      </c>
      <c r="L5430" s="15" t="s">
        <v>36</v>
      </c>
      <c r="M5430" s="12" t="s">
        <v>36</v>
      </c>
      <c r="N5430" s="12" t="s">
        <v>36</v>
      </c>
      <c r="O5430" s="17" t="s">
        <v>36</v>
      </c>
      <c r="P5430" s="12" t="s">
        <v>36</v>
      </c>
      <c r="Q5430" s="12" t="s">
        <v>36</v>
      </c>
      <c r="R5430" s="12" t="s">
        <v>36</v>
      </c>
      <c r="S5430" s="12" t="s">
        <v>36</v>
      </c>
      <c r="T5430" s="12" t="s">
        <v>9522</v>
      </c>
      <c r="U5430" s="12" t="s">
        <v>423</v>
      </c>
      <c r="V5430" s="12" t="s">
        <v>64</v>
      </c>
      <c r="W5430" s="12" t="s">
        <v>25586</v>
      </c>
      <c r="X5430" s="16" t="s">
        <v>25587</v>
      </c>
      <c r="Y5430" s="15" t="s">
        <v>42</v>
      </c>
      <c r="Z5430" s="14">
        <v>8.63</v>
      </c>
      <c r="AA5430" s="14">
        <v>33.29</v>
      </c>
      <c r="AB5430" s="12" t="s">
        <v>43</v>
      </c>
      <c r="AC5430" s="12" t="s">
        <v>25588</v>
      </c>
      <c r="AD5430" s="13">
        <v>43208</v>
      </c>
      <c r="AE5430" s="12" t="s">
        <v>2871</v>
      </c>
      <c r="AF5430" s="12" t="s">
        <v>571</v>
      </c>
      <c r="AG5430" s="12" t="s">
        <v>18701</v>
      </c>
      <c r="AH5430" s="1">
        <f>HYPERLINK("https://my.pitchbook.com?c=104915-17T","View Company Online")</f>
      </c>
    </row>
    <row r="5431">
      <c r="A5431" s="3" t="s">
        <v>25589</v>
      </c>
      <c r="B5431" s="3" t="s">
        <v>15195</v>
      </c>
      <c r="C5431" s="5" t="s">
        <v>36</v>
      </c>
      <c r="D5431" s="5" t="s">
        <v>36</v>
      </c>
      <c r="E5431" s="5" t="s">
        <v>36</v>
      </c>
      <c r="F5431" s="5" t="s">
        <v>36</v>
      </c>
      <c r="G5431" s="6" t="s">
        <v>36</v>
      </c>
      <c r="H5431" s="4">
        <v>23966.92</v>
      </c>
      <c r="I5431" s="7">
        <v>9.22</v>
      </c>
      <c r="J5431" s="3" t="s">
        <v>521</v>
      </c>
      <c r="K5431" s="9" t="s">
        <v>36</v>
      </c>
      <c r="L5431" s="6" t="s">
        <v>36</v>
      </c>
      <c r="M5431" s="3" t="s">
        <v>36</v>
      </c>
      <c r="N5431" s="3" t="s">
        <v>36</v>
      </c>
      <c r="O5431" s="8" t="s">
        <v>36</v>
      </c>
      <c r="P5431" s="3" t="s">
        <v>36</v>
      </c>
      <c r="Q5431" s="3" t="s">
        <v>36</v>
      </c>
      <c r="R5431" s="3" t="s">
        <v>36</v>
      </c>
      <c r="S5431" s="3" t="s">
        <v>36</v>
      </c>
      <c r="T5431" s="3" t="s">
        <v>8394</v>
      </c>
      <c r="U5431" s="3" t="s">
        <v>85</v>
      </c>
      <c r="V5431" s="3" t="s">
        <v>64</v>
      </c>
      <c r="W5431" s="3" t="s">
        <v>15196</v>
      </c>
      <c r="X5431" s="10" t="s">
        <v>2455</v>
      </c>
      <c r="Y5431" s="6" t="s">
        <v>42</v>
      </c>
      <c r="Z5431" s="4">
        <v>0.37</v>
      </c>
      <c r="AA5431" s="4">
        <v>4.01</v>
      </c>
      <c r="AB5431" s="3" t="s">
        <v>43</v>
      </c>
      <c r="AC5431" s="3" t="s">
        <v>15198</v>
      </c>
      <c r="AD5431" s="9">
        <v>43207</v>
      </c>
      <c r="AE5431" s="3" t="s">
        <v>89</v>
      </c>
      <c r="AF5431" s="3" t="s">
        <v>36</v>
      </c>
      <c r="AG5431" s="3" t="s">
        <v>81</v>
      </c>
      <c r="AH5431" s="11">
        <f>HYPERLINK("https://my.pitchbook.com?c=207213-67T","View Company Online")</f>
      </c>
    </row>
    <row r="5432">
      <c r="A5432" s="12" t="s">
        <v>25590</v>
      </c>
      <c r="B5432" s="12" t="s">
        <v>25591</v>
      </c>
      <c r="C5432" s="19" t="s">
        <v>36</v>
      </c>
      <c r="D5432" s="19" t="s">
        <v>36</v>
      </c>
      <c r="E5432" s="19" t="s">
        <v>36</v>
      </c>
      <c r="F5432" s="19" t="s">
        <v>36</v>
      </c>
      <c r="G5432" s="15" t="s">
        <v>36</v>
      </c>
      <c r="H5432" s="14">
        <v>2804.13</v>
      </c>
      <c r="I5432" s="18">
        <v>10.07</v>
      </c>
      <c r="J5432" s="12" t="s">
        <v>521</v>
      </c>
      <c r="K5432" s="13" t="s">
        <v>36</v>
      </c>
      <c r="L5432" s="15" t="s">
        <v>36</v>
      </c>
      <c r="M5432" s="12" t="s">
        <v>36</v>
      </c>
      <c r="N5432" s="12" t="s">
        <v>36</v>
      </c>
      <c r="O5432" s="17" t="s">
        <v>36</v>
      </c>
      <c r="P5432" s="12" t="s">
        <v>36</v>
      </c>
      <c r="Q5432" s="12" t="s">
        <v>36</v>
      </c>
      <c r="R5432" s="12" t="s">
        <v>36</v>
      </c>
      <c r="S5432" s="12" t="s">
        <v>36</v>
      </c>
      <c r="T5432" s="12" t="s">
        <v>9757</v>
      </c>
      <c r="U5432" s="12" t="s">
        <v>38</v>
      </c>
      <c r="V5432" s="12" t="s">
        <v>39</v>
      </c>
      <c r="W5432" s="12" t="s">
        <v>25592</v>
      </c>
      <c r="X5432" s="16" t="s">
        <v>25593</v>
      </c>
      <c r="Y5432" s="15" t="s">
        <v>42</v>
      </c>
      <c r="Z5432" s="14">
        <v>0.37</v>
      </c>
      <c r="AA5432" s="14">
        <v>3.7</v>
      </c>
      <c r="AB5432" s="12" t="s">
        <v>43</v>
      </c>
      <c r="AC5432" s="12" t="s">
        <v>25594</v>
      </c>
      <c r="AD5432" s="13">
        <v>43207</v>
      </c>
      <c r="AE5432" s="12" t="s">
        <v>785</v>
      </c>
      <c r="AF5432" s="12" t="s">
        <v>176</v>
      </c>
      <c r="AG5432" s="12" t="s">
        <v>81</v>
      </c>
      <c r="AH5432" s="1">
        <f>HYPERLINK("https://my.pitchbook.com?c=133427-98T","View Company Online")</f>
      </c>
    </row>
    <row r="5433">
      <c r="A5433" s="3" t="s">
        <v>25595</v>
      </c>
      <c r="B5433" s="3" t="s">
        <v>12849</v>
      </c>
      <c r="C5433" s="5">
        <v>21</v>
      </c>
      <c r="D5433" s="5">
        <v>52</v>
      </c>
      <c r="E5433" s="5">
        <v>7</v>
      </c>
      <c r="F5433" s="5">
        <v>73</v>
      </c>
      <c r="G5433" s="6" t="s">
        <v>326</v>
      </c>
      <c r="H5433" s="4">
        <v>237.52</v>
      </c>
      <c r="I5433" s="7">
        <v>47</v>
      </c>
      <c r="J5433" s="3" t="s">
        <v>521</v>
      </c>
      <c r="K5433" s="9">
        <v>42831</v>
      </c>
      <c r="L5433" s="6" t="s">
        <v>1279</v>
      </c>
      <c r="M5433" s="3" t="s">
        <v>36</v>
      </c>
      <c r="N5433" s="3" t="s">
        <v>1279</v>
      </c>
      <c r="O5433" s="8" t="s">
        <v>36</v>
      </c>
      <c r="P5433" s="3" t="s">
        <v>36</v>
      </c>
      <c r="Q5433" s="3" t="s">
        <v>36</v>
      </c>
      <c r="R5433" s="3" t="s">
        <v>3531</v>
      </c>
      <c r="S5433" s="3" t="s">
        <v>36</v>
      </c>
      <c r="T5433" s="3" t="s">
        <v>4225</v>
      </c>
      <c r="U5433" s="3" t="s">
        <v>96</v>
      </c>
      <c r="V5433" s="3" t="s">
        <v>52</v>
      </c>
      <c r="W5433" s="3" t="s">
        <v>12850</v>
      </c>
      <c r="X5433" s="10" t="s">
        <v>19224</v>
      </c>
      <c r="Y5433" s="6" t="s">
        <v>166</v>
      </c>
      <c r="Z5433" s="4">
        <v>33.28</v>
      </c>
      <c r="AA5433" s="4">
        <v>70.81</v>
      </c>
      <c r="AB5433" s="3" t="s">
        <v>56</v>
      </c>
      <c r="AC5433" s="3" t="s">
        <v>12852</v>
      </c>
      <c r="AD5433" s="9">
        <v>43206</v>
      </c>
      <c r="AE5433" s="3" t="s">
        <v>143</v>
      </c>
      <c r="AF5433" s="3" t="s">
        <v>6285</v>
      </c>
      <c r="AG5433" s="3" t="s">
        <v>81</v>
      </c>
      <c r="AH5433" s="11">
        <f>HYPERLINK("https://my.pitchbook.com?c=104542-21T","View Company Online")</f>
      </c>
    </row>
    <row r="5434">
      <c r="A5434" s="12" t="s">
        <v>25596</v>
      </c>
      <c r="B5434" s="12" t="s">
        <v>16265</v>
      </c>
      <c r="C5434" s="19" t="s">
        <v>36</v>
      </c>
      <c r="D5434" s="19" t="s">
        <v>36</v>
      </c>
      <c r="E5434" s="19" t="s">
        <v>36</v>
      </c>
      <c r="F5434" s="19" t="s">
        <v>36</v>
      </c>
      <c r="G5434" s="15" t="s">
        <v>36</v>
      </c>
      <c r="H5434" s="14">
        <v>41.54</v>
      </c>
      <c r="I5434" s="18">
        <v>37.25</v>
      </c>
      <c r="J5434" s="12" t="s">
        <v>521</v>
      </c>
      <c r="K5434" s="13" t="s">
        <v>36</v>
      </c>
      <c r="L5434" s="15" t="s">
        <v>36</v>
      </c>
      <c r="M5434" s="12" t="s">
        <v>36</v>
      </c>
      <c r="N5434" s="12" t="s">
        <v>36</v>
      </c>
      <c r="O5434" s="17" t="s">
        <v>36</v>
      </c>
      <c r="P5434" s="12" t="s">
        <v>36</v>
      </c>
      <c r="Q5434" s="12" t="s">
        <v>36</v>
      </c>
      <c r="R5434" s="12" t="s">
        <v>36</v>
      </c>
      <c r="S5434" s="12" t="s">
        <v>36</v>
      </c>
      <c r="T5434" s="12" t="s">
        <v>16266</v>
      </c>
      <c r="U5434" s="12" t="s">
        <v>423</v>
      </c>
      <c r="V5434" s="12" t="s">
        <v>64</v>
      </c>
      <c r="W5434" s="12" t="s">
        <v>16267</v>
      </c>
      <c r="X5434" s="16" t="s">
        <v>730</v>
      </c>
      <c r="Y5434" s="15" t="s">
        <v>42</v>
      </c>
      <c r="Z5434" s="14">
        <v>0.74</v>
      </c>
      <c r="AA5434" s="14">
        <v>1.57</v>
      </c>
      <c r="AB5434" s="12" t="s">
        <v>43</v>
      </c>
      <c r="AC5434" s="12" t="s">
        <v>16269</v>
      </c>
      <c r="AD5434" s="13">
        <v>43206</v>
      </c>
      <c r="AE5434" s="12" t="s">
        <v>562</v>
      </c>
      <c r="AF5434" s="12" t="s">
        <v>16270</v>
      </c>
      <c r="AG5434" s="12" t="s">
        <v>16271</v>
      </c>
      <c r="AH5434" s="1">
        <f>HYPERLINK("https://my.pitchbook.com?c=104618-71T","View Company Online")</f>
      </c>
    </row>
    <row r="5435">
      <c r="A5435" s="3" t="s">
        <v>25597</v>
      </c>
      <c r="B5435" s="3" t="s">
        <v>18153</v>
      </c>
      <c r="C5435" s="5" t="s">
        <v>36</v>
      </c>
      <c r="D5435" s="5">
        <v>1</v>
      </c>
      <c r="E5435" s="5">
        <v>23</v>
      </c>
      <c r="F5435" s="5">
        <v>24</v>
      </c>
      <c r="G5435" s="6" t="s">
        <v>36</v>
      </c>
      <c r="H5435" s="4" t="s">
        <v>36</v>
      </c>
      <c r="I5435" s="7" t="s">
        <v>36</v>
      </c>
      <c r="J5435" s="3" t="s">
        <v>36</v>
      </c>
      <c r="K5435" s="9" t="s">
        <v>36</v>
      </c>
      <c r="L5435" s="6" t="s">
        <v>122</v>
      </c>
      <c r="M5435" s="3" t="s">
        <v>36</v>
      </c>
      <c r="N5435" s="3" t="s">
        <v>122</v>
      </c>
      <c r="O5435" s="8" t="s">
        <v>36</v>
      </c>
      <c r="P5435" s="3" t="s">
        <v>36</v>
      </c>
      <c r="Q5435" s="3" t="s">
        <v>36</v>
      </c>
      <c r="R5435" s="3" t="s">
        <v>36</v>
      </c>
      <c r="S5435" s="3" t="s">
        <v>36</v>
      </c>
      <c r="T5435" s="3" t="s">
        <v>18154</v>
      </c>
      <c r="U5435" s="3" t="s">
        <v>1798</v>
      </c>
      <c r="V5435" s="3" t="s">
        <v>39</v>
      </c>
      <c r="W5435" s="3" t="s">
        <v>18155</v>
      </c>
      <c r="X5435" s="10" t="s">
        <v>25598</v>
      </c>
      <c r="Y5435" s="6" t="s">
        <v>42</v>
      </c>
      <c r="Z5435" s="4">
        <v>15</v>
      </c>
      <c r="AA5435" s="4" t="s">
        <v>36</v>
      </c>
      <c r="AB5435" s="3" t="s">
        <v>43</v>
      </c>
      <c r="AC5435" s="3" t="s">
        <v>18157</v>
      </c>
      <c r="AD5435" s="9">
        <v>43202</v>
      </c>
      <c r="AE5435" s="3" t="s">
        <v>1802</v>
      </c>
      <c r="AF5435" s="3" t="s">
        <v>8952</v>
      </c>
      <c r="AG5435" s="3" t="s">
        <v>81</v>
      </c>
      <c r="AH5435" s="11">
        <f>HYPERLINK("https://my.pitchbook.com?c=104322-88T","View Company Online")</f>
      </c>
    </row>
    <row r="5436">
      <c r="A5436" s="12" t="s">
        <v>25599</v>
      </c>
      <c r="B5436" s="12" t="s">
        <v>25600</v>
      </c>
      <c r="C5436" s="19" t="s">
        <v>36</v>
      </c>
      <c r="D5436" s="19" t="s">
        <v>36</v>
      </c>
      <c r="E5436" s="19" t="s">
        <v>36</v>
      </c>
      <c r="F5436" s="19" t="s">
        <v>36</v>
      </c>
      <c r="G5436" s="15" t="s">
        <v>36</v>
      </c>
      <c r="H5436" s="14" t="s">
        <v>36</v>
      </c>
      <c r="I5436" s="18" t="s">
        <v>36</v>
      </c>
      <c r="J5436" s="12" t="s">
        <v>36</v>
      </c>
      <c r="K5436" s="13" t="s">
        <v>36</v>
      </c>
      <c r="L5436" s="15" t="s">
        <v>36</v>
      </c>
      <c r="M5436" s="12" t="s">
        <v>36</v>
      </c>
      <c r="N5436" s="12" t="s">
        <v>36</v>
      </c>
      <c r="O5436" s="17" t="s">
        <v>36</v>
      </c>
      <c r="P5436" s="12" t="s">
        <v>36</v>
      </c>
      <c r="Q5436" s="12" t="s">
        <v>36</v>
      </c>
      <c r="R5436" s="12" t="s">
        <v>36</v>
      </c>
      <c r="S5436" s="12" t="s">
        <v>36</v>
      </c>
      <c r="T5436" s="12" t="s">
        <v>927</v>
      </c>
      <c r="U5436" s="12" t="s">
        <v>219</v>
      </c>
      <c r="V5436" s="12" t="s">
        <v>75</v>
      </c>
      <c r="W5436" s="12" t="s">
        <v>25601</v>
      </c>
      <c r="X5436" s="16" t="s">
        <v>25602</v>
      </c>
      <c r="Y5436" s="15" t="s">
        <v>42</v>
      </c>
      <c r="Z5436" s="14">
        <v>3.7</v>
      </c>
      <c r="AA5436" s="14" t="s">
        <v>36</v>
      </c>
      <c r="AB5436" s="12" t="s">
        <v>43</v>
      </c>
      <c r="AC5436" s="12" t="s">
        <v>25603</v>
      </c>
      <c r="AD5436" s="13">
        <v>43201</v>
      </c>
      <c r="AE5436" s="12" t="s">
        <v>243</v>
      </c>
      <c r="AF5436" s="12" t="s">
        <v>1969</v>
      </c>
      <c r="AG5436" s="12" t="s">
        <v>25604</v>
      </c>
      <c r="AH5436" s="1">
        <f>HYPERLINK("https://my.pitchbook.com?c=104507-83T","View Company Online")</f>
      </c>
    </row>
    <row r="5437">
      <c r="A5437" s="3" t="s">
        <v>25605</v>
      </c>
      <c r="B5437" s="3" t="s">
        <v>25606</v>
      </c>
      <c r="C5437" s="5" t="s">
        <v>36</v>
      </c>
      <c r="D5437" s="5" t="s">
        <v>36</v>
      </c>
      <c r="E5437" s="5" t="s">
        <v>36</v>
      </c>
      <c r="F5437" s="5" t="s">
        <v>36</v>
      </c>
      <c r="G5437" s="6" t="s">
        <v>36</v>
      </c>
      <c r="H5437" s="4">
        <v>67.51</v>
      </c>
      <c r="I5437" s="7">
        <v>23.54</v>
      </c>
      <c r="J5437" s="3" t="s">
        <v>521</v>
      </c>
      <c r="K5437" s="9" t="s">
        <v>36</v>
      </c>
      <c r="L5437" s="6" t="s">
        <v>36</v>
      </c>
      <c r="M5437" s="3" t="s">
        <v>36</v>
      </c>
      <c r="N5437" s="3" t="s">
        <v>36</v>
      </c>
      <c r="O5437" s="8" t="s">
        <v>36</v>
      </c>
      <c r="P5437" s="3" t="s">
        <v>36</v>
      </c>
      <c r="Q5437" s="3" t="s">
        <v>36</v>
      </c>
      <c r="R5437" s="3" t="s">
        <v>36</v>
      </c>
      <c r="S5437" s="3" t="s">
        <v>36</v>
      </c>
      <c r="T5437" s="3" t="s">
        <v>1701</v>
      </c>
      <c r="U5437" s="3" t="s">
        <v>74</v>
      </c>
      <c r="V5437" s="3" t="s">
        <v>75</v>
      </c>
      <c r="W5437" s="3" t="s">
        <v>25607</v>
      </c>
      <c r="X5437" s="10" t="s">
        <v>25608</v>
      </c>
      <c r="Y5437" s="6" t="s">
        <v>42</v>
      </c>
      <c r="Z5437" s="4">
        <v>0.25</v>
      </c>
      <c r="AA5437" s="4">
        <v>1.05</v>
      </c>
      <c r="AB5437" s="3" t="s">
        <v>43</v>
      </c>
      <c r="AC5437" s="3" t="s">
        <v>25609</v>
      </c>
      <c r="AD5437" s="9">
        <v>43201</v>
      </c>
      <c r="AE5437" s="3" t="s">
        <v>79</v>
      </c>
      <c r="AF5437" s="3" t="s">
        <v>938</v>
      </c>
      <c r="AG5437" s="3" t="s">
        <v>25610</v>
      </c>
      <c r="AH5437" s="11">
        <f>HYPERLINK("https://my.pitchbook.com?c=117960-13T","View Company Online")</f>
      </c>
    </row>
    <row r="5438">
      <c r="A5438" s="12" t="s">
        <v>25611</v>
      </c>
      <c r="B5438" s="12" t="s">
        <v>25612</v>
      </c>
      <c r="C5438" s="19">
        <v>1</v>
      </c>
      <c r="D5438" s="19">
        <v>3</v>
      </c>
      <c r="E5438" s="19">
        <v>4</v>
      </c>
      <c r="F5438" s="19">
        <v>6</v>
      </c>
      <c r="G5438" s="15" t="s">
        <v>36</v>
      </c>
      <c r="H5438" s="14">
        <v>155.78</v>
      </c>
      <c r="I5438" s="18">
        <v>17.85</v>
      </c>
      <c r="J5438" s="12" t="s">
        <v>521</v>
      </c>
      <c r="K5438" s="13" t="s">
        <v>36</v>
      </c>
      <c r="L5438" s="15" t="s">
        <v>36</v>
      </c>
      <c r="M5438" s="12" t="s">
        <v>36</v>
      </c>
      <c r="N5438" s="12" t="s">
        <v>36</v>
      </c>
      <c r="O5438" s="17" t="s">
        <v>36</v>
      </c>
      <c r="P5438" s="12" t="s">
        <v>36</v>
      </c>
      <c r="Q5438" s="12" t="s">
        <v>36</v>
      </c>
      <c r="R5438" s="12" t="s">
        <v>36</v>
      </c>
      <c r="S5438" s="12" t="s">
        <v>36</v>
      </c>
      <c r="T5438" s="12" t="s">
        <v>25613</v>
      </c>
      <c r="U5438" s="12" t="s">
        <v>74</v>
      </c>
      <c r="V5438" s="12" t="s">
        <v>75</v>
      </c>
      <c r="W5438" s="12" t="s">
        <v>25614</v>
      </c>
      <c r="X5438" s="16" t="s">
        <v>25615</v>
      </c>
      <c r="Y5438" s="15" t="s">
        <v>42</v>
      </c>
      <c r="Z5438" s="14">
        <v>0.4</v>
      </c>
      <c r="AA5438" s="14">
        <v>2.25</v>
      </c>
      <c r="AB5438" s="12" t="s">
        <v>43</v>
      </c>
      <c r="AC5438" s="12" t="s">
        <v>25616</v>
      </c>
      <c r="AD5438" s="13">
        <v>43201</v>
      </c>
      <c r="AE5438" s="12" t="s">
        <v>1243</v>
      </c>
      <c r="AF5438" s="12" t="s">
        <v>25617</v>
      </c>
      <c r="AG5438" s="12" t="s">
        <v>12062</v>
      </c>
      <c r="AH5438" s="1">
        <f>HYPERLINK("https://my.pitchbook.com?c=123006-88T","View Company Online")</f>
      </c>
    </row>
    <row r="5439">
      <c r="A5439" s="3" t="s">
        <v>25618</v>
      </c>
      <c r="B5439" s="3" t="s">
        <v>25619</v>
      </c>
      <c r="C5439" s="5" t="s">
        <v>36</v>
      </c>
      <c r="D5439" s="5" t="s">
        <v>36</v>
      </c>
      <c r="E5439" s="5" t="s">
        <v>36</v>
      </c>
      <c r="F5439" s="5" t="s">
        <v>36</v>
      </c>
      <c r="G5439" s="6" t="s">
        <v>36</v>
      </c>
      <c r="H5439" s="4" t="s">
        <v>36</v>
      </c>
      <c r="I5439" s="7" t="s">
        <v>36</v>
      </c>
      <c r="J5439" s="3" t="s">
        <v>36</v>
      </c>
      <c r="K5439" s="9" t="s">
        <v>36</v>
      </c>
      <c r="L5439" s="6" t="s">
        <v>122</v>
      </c>
      <c r="M5439" s="3" t="s">
        <v>36</v>
      </c>
      <c r="N5439" s="3" t="s">
        <v>122</v>
      </c>
      <c r="O5439" s="8" t="s">
        <v>36</v>
      </c>
      <c r="P5439" s="3" t="s">
        <v>36</v>
      </c>
      <c r="Q5439" s="3" t="s">
        <v>36</v>
      </c>
      <c r="R5439" s="3" t="s">
        <v>36</v>
      </c>
      <c r="S5439" s="3" t="s">
        <v>36</v>
      </c>
      <c r="T5439" s="3" t="s">
        <v>1125</v>
      </c>
      <c r="U5439" s="3" t="s">
        <v>74</v>
      </c>
      <c r="V5439" s="3" t="s">
        <v>75</v>
      </c>
      <c r="W5439" s="3" t="s">
        <v>25620</v>
      </c>
      <c r="X5439" s="10" t="s">
        <v>25621</v>
      </c>
      <c r="Y5439" s="6" t="s">
        <v>42</v>
      </c>
      <c r="Z5439" s="4">
        <v>3.2</v>
      </c>
      <c r="AA5439" s="4" t="s">
        <v>36</v>
      </c>
      <c r="AB5439" s="3" t="s">
        <v>43</v>
      </c>
      <c r="AC5439" s="3" t="s">
        <v>25622</v>
      </c>
      <c r="AD5439" s="9">
        <v>43200</v>
      </c>
      <c r="AE5439" s="3" t="s">
        <v>975</v>
      </c>
      <c r="AF5439" s="3" t="s">
        <v>36</v>
      </c>
      <c r="AG5439" s="3" t="s">
        <v>81</v>
      </c>
      <c r="AH5439" s="11">
        <f>HYPERLINK("https://my.pitchbook.com?c=104331-43T","View Company Online")</f>
      </c>
    </row>
    <row r="5440">
      <c r="A5440" s="12" t="s">
        <v>25623</v>
      </c>
      <c r="B5440" s="12" t="s">
        <v>25624</v>
      </c>
      <c r="C5440" s="19" t="s">
        <v>36</v>
      </c>
      <c r="D5440" s="19" t="s">
        <v>36</v>
      </c>
      <c r="E5440" s="19" t="s">
        <v>36</v>
      </c>
      <c r="F5440" s="19" t="s">
        <v>36</v>
      </c>
      <c r="G5440" s="15" t="s">
        <v>326</v>
      </c>
      <c r="H5440" s="14">
        <v>410.89</v>
      </c>
      <c r="I5440" s="18">
        <v>24.07</v>
      </c>
      <c r="J5440" s="12" t="s">
        <v>521</v>
      </c>
      <c r="K5440" s="13" t="s">
        <v>36</v>
      </c>
      <c r="L5440" s="15" t="s">
        <v>36</v>
      </c>
      <c r="M5440" s="12" t="s">
        <v>36</v>
      </c>
      <c r="N5440" s="12" t="s">
        <v>36</v>
      </c>
      <c r="O5440" s="17" t="s">
        <v>36</v>
      </c>
      <c r="P5440" s="12" t="s">
        <v>36</v>
      </c>
      <c r="Q5440" s="12" t="s">
        <v>36</v>
      </c>
      <c r="R5440" s="12" t="s">
        <v>36</v>
      </c>
      <c r="S5440" s="12" t="s">
        <v>36</v>
      </c>
      <c r="T5440" s="12" t="s">
        <v>1048</v>
      </c>
      <c r="U5440" s="12" t="s">
        <v>423</v>
      </c>
      <c r="V5440" s="12" t="s">
        <v>64</v>
      </c>
      <c r="W5440" s="12" t="s">
        <v>25625</v>
      </c>
      <c r="X5440" s="16" t="s">
        <v>25626</v>
      </c>
      <c r="Y5440" s="15" t="s">
        <v>42</v>
      </c>
      <c r="Z5440" s="14">
        <v>1.84</v>
      </c>
      <c r="AA5440" s="14">
        <v>7.66</v>
      </c>
      <c r="AB5440" s="12" t="s">
        <v>43</v>
      </c>
      <c r="AC5440" s="12" t="s">
        <v>25627</v>
      </c>
      <c r="AD5440" s="13">
        <v>43200</v>
      </c>
      <c r="AE5440" s="12" t="s">
        <v>1051</v>
      </c>
      <c r="AF5440" s="12" t="s">
        <v>4397</v>
      </c>
      <c r="AG5440" s="12" t="s">
        <v>81</v>
      </c>
      <c r="AH5440" s="1">
        <f>HYPERLINK("https://my.pitchbook.com?c=108589-96T","View Company Online")</f>
      </c>
    </row>
    <row r="5441">
      <c r="A5441" s="3" t="s">
        <v>25628</v>
      </c>
      <c r="B5441" s="3" t="s">
        <v>10686</v>
      </c>
      <c r="C5441" s="5">
        <v>1</v>
      </c>
      <c r="D5441" s="5">
        <v>34</v>
      </c>
      <c r="E5441" s="5">
        <v>11</v>
      </c>
      <c r="F5441" s="5">
        <v>41</v>
      </c>
      <c r="G5441" s="6" t="s">
        <v>683</v>
      </c>
      <c r="H5441" s="4">
        <v>43.62</v>
      </c>
      <c r="I5441" s="7">
        <v>20.84</v>
      </c>
      <c r="J5441" s="3" t="s">
        <v>521</v>
      </c>
      <c r="K5441" s="9">
        <v>43097</v>
      </c>
      <c r="L5441" s="6" t="s">
        <v>36</v>
      </c>
      <c r="M5441" s="3" t="s">
        <v>36</v>
      </c>
      <c r="N5441" s="3" t="s">
        <v>36</v>
      </c>
      <c r="O5441" s="8" t="s">
        <v>36</v>
      </c>
      <c r="P5441" s="3" t="s">
        <v>36</v>
      </c>
      <c r="Q5441" s="3" t="s">
        <v>36</v>
      </c>
      <c r="R5441" s="3" t="s">
        <v>36</v>
      </c>
      <c r="S5441" s="3" t="s">
        <v>595</v>
      </c>
      <c r="T5441" s="3" t="s">
        <v>10687</v>
      </c>
      <c r="U5441" s="3" t="s">
        <v>366</v>
      </c>
      <c r="V5441" s="3" t="s">
        <v>367</v>
      </c>
      <c r="W5441" s="3" t="s">
        <v>10688</v>
      </c>
      <c r="X5441" s="10" t="s">
        <v>25629</v>
      </c>
      <c r="Y5441" s="6" t="s">
        <v>475</v>
      </c>
      <c r="Z5441" s="4">
        <v>1.97</v>
      </c>
      <c r="AA5441" s="4">
        <v>8.32</v>
      </c>
      <c r="AB5441" s="3" t="s">
        <v>56</v>
      </c>
      <c r="AC5441" s="3" t="s">
        <v>10690</v>
      </c>
      <c r="AD5441" s="9">
        <v>43200</v>
      </c>
      <c r="AE5441" s="3" t="s">
        <v>600</v>
      </c>
      <c r="AF5441" s="3" t="s">
        <v>10691</v>
      </c>
      <c r="AG5441" s="3" t="s">
        <v>6013</v>
      </c>
      <c r="AH5441" s="11">
        <f>HYPERLINK("https://my.pitchbook.com?c=133655-86T","View Company Online")</f>
      </c>
    </row>
    <row r="5442">
      <c r="A5442" s="12" t="s">
        <v>25630</v>
      </c>
      <c r="B5442" s="12" t="s">
        <v>25631</v>
      </c>
      <c r="C5442" s="19" t="s">
        <v>36</v>
      </c>
      <c r="D5442" s="19" t="s">
        <v>36</v>
      </c>
      <c r="E5442" s="19" t="s">
        <v>36</v>
      </c>
      <c r="F5442" s="19" t="s">
        <v>36</v>
      </c>
      <c r="G5442" s="15" t="s">
        <v>36</v>
      </c>
      <c r="H5442" s="14">
        <v>27.45</v>
      </c>
      <c r="I5442" s="18">
        <v>34.27</v>
      </c>
      <c r="J5442" s="12" t="s">
        <v>521</v>
      </c>
      <c r="K5442" s="13" t="s">
        <v>36</v>
      </c>
      <c r="L5442" s="15" t="s">
        <v>122</v>
      </c>
      <c r="M5442" s="12" t="s">
        <v>36</v>
      </c>
      <c r="N5442" s="12" t="s">
        <v>122</v>
      </c>
      <c r="O5442" s="17" t="s">
        <v>36</v>
      </c>
      <c r="P5442" s="12" t="s">
        <v>36</v>
      </c>
      <c r="Q5442" s="12" t="s">
        <v>36</v>
      </c>
      <c r="R5442" s="12" t="s">
        <v>36</v>
      </c>
      <c r="S5442" s="12" t="s">
        <v>36</v>
      </c>
      <c r="T5442" s="12" t="s">
        <v>2044</v>
      </c>
      <c r="U5442" s="12" t="s">
        <v>74</v>
      </c>
      <c r="V5442" s="12" t="s">
        <v>75</v>
      </c>
      <c r="W5442" s="12" t="s">
        <v>25632</v>
      </c>
      <c r="X5442" s="16" t="s">
        <v>25633</v>
      </c>
      <c r="Y5442" s="15" t="s">
        <v>42</v>
      </c>
      <c r="Z5442" s="14">
        <v>7.39</v>
      </c>
      <c r="AA5442" s="14">
        <v>17.08</v>
      </c>
      <c r="AB5442" s="12" t="s">
        <v>43</v>
      </c>
      <c r="AC5442" s="12" t="s">
        <v>25634</v>
      </c>
      <c r="AD5442" s="13">
        <v>43200</v>
      </c>
      <c r="AE5442" s="12" t="s">
        <v>79</v>
      </c>
      <c r="AF5442" s="12" t="s">
        <v>36</v>
      </c>
      <c r="AG5442" s="12" t="s">
        <v>81</v>
      </c>
      <c r="AH5442" s="1">
        <f>HYPERLINK("https://my.pitchbook.com?c=104267-44T","View Company Online")</f>
      </c>
    </row>
    <row r="5443">
      <c r="A5443" s="3" t="s">
        <v>25635</v>
      </c>
      <c r="B5443" s="3" t="s">
        <v>25636</v>
      </c>
      <c r="C5443" s="5" t="s">
        <v>36</v>
      </c>
      <c r="D5443" s="5" t="s">
        <v>36</v>
      </c>
      <c r="E5443" s="5" t="s">
        <v>36</v>
      </c>
      <c r="F5443" s="5" t="s">
        <v>36</v>
      </c>
      <c r="G5443" s="6" t="s">
        <v>36</v>
      </c>
      <c r="H5443" s="4" t="s">
        <v>36</v>
      </c>
      <c r="I5443" s="7" t="s">
        <v>36</v>
      </c>
      <c r="J5443" s="3" t="s">
        <v>36</v>
      </c>
      <c r="K5443" s="9" t="s">
        <v>36</v>
      </c>
      <c r="L5443" s="6" t="s">
        <v>36</v>
      </c>
      <c r="M5443" s="3" t="s">
        <v>36</v>
      </c>
      <c r="N5443" s="3" t="s">
        <v>36</v>
      </c>
      <c r="O5443" s="8" t="s">
        <v>36</v>
      </c>
      <c r="P5443" s="3" t="s">
        <v>36</v>
      </c>
      <c r="Q5443" s="3" t="s">
        <v>36</v>
      </c>
      <c r="R5443" s="3" t="s">
        <v>36</v>
      </c>
      <c r="S5443" s="3" t="s">
        <v>36</v>
      </c>
      <c r="T5443" s="3" t="s">
        <v>25637</v>
      </c>
      <c r="U5443" s="3" t="s">
        <v>7149</v>
      </c>
      <c r="V5443" s="3" t="s">
        <v>378</v>
      </c>
      <c r="W5443" s="3" t="s">
        <v>25638</v>
      </c>
      <c r="X5443" s="10" t="s">
        <v>5661</v>
      </c>
      <c r="Y5443" s="6" t="s">
        <v>42</v>
      </c>
      <c r="Z5443" s="4" t="s">
        <v>36</v>
      </c>
      <c r="AA5443" s="4" t="s">
        <v>36</v>
      </c>
      <c r="AB5443" s="3" t="s">
        <v>43</v>
      </c>
      <c r="AC5443" s="3" t="s">
        <v>25639</v>
      </c>
      <c r="AD5443" s="9">
        <v>43199</v>
      </c>
      <c r="AE5443" s="3" t="s">
        <v>8230</v>
      </c>
      <c r="AF5443" s="3" t="s">
        <v>36</v>
      </c>
      <c r="AG5443" s="3" t="s">
        <v>25640</v>
      </c>
      <c r="AH5443" s="11">
        <f>HYPERLINK("https://my.pitchbook.com?c=160982-47T","View Company Online")</f>
      </c>
    </row>
    <row r="5444">
      <c r="A5444" s="12" t="s">
        <v>25641</v>
      </c>
      <c r="B5444" s="12" t="s">
        <v>8040</v>
      </c>
      <c r="C5444" s="19" t="s">
        <v>36</v>
      </c>
      <c r="D5444" s="19" t="s">
        <v>36</v>
      </c>
      <c r="E5444" s="19" t="s">
        <v>36</v>
      </c>
      <c r="F5444" s="19" t="s">
        <v>36</v>
      </c>
      <c r="G5444" s="15" t="s">
        <v>326</v>
      </c>
      <c r="H5444" s="14">
        <v>281.1</v>
      </c>
      <c r="I5444" s="18">
        <v>43.3</v>
      </c>
      <c r="J5444" s="12" t="s">
        <v>521</v>
      </c>
      <c r="K5444" s="13" t="s">
        <v>36</v>
      </c>
      <c r="L5444" s="15" t="s">
        <v>122</v>
      </c>
      <c r="M5444" s="12" t="s">
        <v>36</v>
      </c>
      <c r="N5444" s="12" t="s">
        <v>122</v>
      </c>
      <c r="O5444" s="17" t="s">
        <v>36</v>
      </c>
      <c r="P5444" s="12" t="s">
        <v>36</v>
      </c>
      <c r="Q5444" s="12" t="s">
        <v>36</v>
      </c>
      <c r="R5444" s="12" t="s">
        <v>36</v>
      </c>
      <c r="S5444" s="12" t="s">
        <v>36</v>
      </c>
      <c r="T5444" s="12" t="s">
        <v>8041</v>
      </c>
      <c r="U5444" s="12" t="s">
        <v>279</v>
      </c>
      <c r="V5444" s="12" t="s">
        <v>64</v>
      </c>
      <c r="W5444" s="12" t="s">
        <v>8042</v>
      </c>
      <c r="X5444" s="16" t="s">
        <v>25642</v>
      </c>
      <c r="Y5444" s="15" t="s">
        <v>42</v>
      </c>
      <c r="Z5444" s="14">
        <v>14.56</v>
      </c>
      <c r="AA5444" s="14">
        <v>33.61</v>
      </c>
      <c r="AB5444" s="12" t="s">
        <v>43</v>
      </c>
      <c r="AC5444" s="12" t="s">
        <v>8044</v>
      </c>
      <c r="AD5444" s="13">
        <v>43197</v>
      </c>
      <c r="AE5444" s="12" t="s">
        <v>851</v>
      </c>
      <c r="AF5444" s="12" t="s">
        <v>815</v>
      </c>
      <c r="AG5444" s="12" t="s">
        <v>81</v>
      </c>
      <c r="AH5444" s="1">
        <f>HYPERLINK("https://my.pitchbook.com?c=118423-99T","View Company Online")</f>
      </c>
    </row>
    <row r="5445">
      <c r="A5445" s="3" t="s">
        <v>25643</v>
      </c>
      <c r="B5445" s="3" t="s">
        <v>25644</v>
      </c>
      <c r="C5445" s="5" t="s">
        <v>36</v>
      </c>
      <c r="D5445" s="5">
        <v>2</v>
      </c>
      <c r="E5445" s="5">
        <v>3</v>
      </c>
      <c r="F5445" s="5">
        <v>5</v>
      </c>
      <c r="G5445" s="6" t="s">
        <v>326</v>
      </c>
      <c r="H5445" s="4">
        <v>12.96</v>
      </c>
      <c r="I5445" s="7">
        <v>25.06</v>
      </c>
      <c r="J5445" s="3" t="s">
        <v>521</v>
      </c>
      <c r="K5445" s="9" t="s">
        <v>36</v>
      </c>
      <c r="L5445" s="6" t="s">
        <v>36</v>
      </c>
      <c r="M5445" s="3" t="s">
        <v>36</v>
      </c>
      <c r="N5445" s="3" t="s">
        <v>36</v>
      </c>
      <c r="O5445" s="8" t="s">
        <v>36</v>
      </c>
      <c r="P5445" s="3" t="s">
        <v>36</v>
      </c>
      <c r="Q5445" s="3" t="s">
        <v>36</v>
      </c>
      <c r="R5445" s="3" t="s">
        <v>36</v>
      </c>
      <c r="S5445" s="3" t="s">
        <v>36</v>
      </c>
      <c r="T5445" s="3" t="s">
        <v>1990</v>
      </c>
      <c r="U5445" s="3" t="s">
        <v>38</v>
      </c>
      <c r="V5445" s="3" t="s">
        <v>39</v>
      </c>
      <c r="W5445" s="3" t="s">
        <v>25645</v>
      </c>
      <c r="X5445" s="10" t="s">
        <v>25646</v>
      </c>
      <c r="Y5445" s="6" t="s">
        <v>108</v>
      </c>
      <c r="Z5445" s="4">
        <v>1.23</v>
      </c>
      <c r="AA5445" s="4">
        <v>2.93</v>
      </c>
      <c r="AB5445" s="3" t="s">
        <v>43</v>
      </c>
      <c r="AC5445" s="3" t="s">
        <v>25647</v>
      </c>
      <c r="AD5445" s="9">
        <v>43197</v>
      </c>
      <c r="AE5445" s="3" t="s">
        <v>110</v>
      </c>
      <c r="AF5445" s="3" t="s">
        <v>118</v>
      </c>
      <c r="AG5445" s="3" t="s">
        <v>81</v>
      </c>
      <c r="AH5445" s="11">
        <f>HYPERLINK("https://my.pitchbook.com?c=86136-40T","View Company Online")</f>
      </c>
    </row>
    <row r="5446">
      <c r="A5446" s="12" t="s">
        <v>25648</v>
      </c>
      <c r="B5446" s="12" t="s">
        <v>13539</v>
      </c>
      <c r="C5446" s="19" t="s">
        <v>36</v>
      </c>
      <c r="D5446" s="19" t="s">
        <v>36</v>
      </c>
      <c r="E5446" s="19" t="s">
        <v>36</v>
      </c>
      <c r="F5446" s="19" t="s">
        <v>36</v>
      </c>
      <c r="G5446" s="15" t="s">
        <v>683</v>
      </c>
      <c r="H5446" s="14">
        <v>74.15</v>
      </c>
      <c r="I5446" s="18">
        <v>21.8</v>
      </c>
      <c r="J5446" s="12" t="s">
        <v>521</v>
      </c>
      <c r="K5446" s="13" t="s">
        <v>36</v>
      </c>
      <c r="L5446" s="15" t="s">
        <v>36</v>
      </c>
      <c r="M5446" s="12" t="s">
        <v>36</v>
      </c>
      <c r="N5446" s="12" t="s">
        <v>36</v>
      </c>
      <c r="O5446" s="17" t="s">
        <v>36</v>
      </c>
      <c r="P5446" s="12" t="s">
        <v>36</v>
      </c>
      <c r="Q5446" s="12" t="s">
        <v>36</v>
      </c>
      <c r="R5446" s="12" t="s">
        <v>36</v>
      </c>
      <c r="S5446" s="12" t="s">
        <v>36</v>
      </c>
      <c r="T5446" s="12" t="s">
        <v>13540</v>
      </c>
      <c r="U5446" s="12" t="s">
        <v>279</v>
      </c>
      <c r="V5446" s="12" t="s">
        <v>64</v>
      </c>
      <c r="W5446" s="12" t="s">
        <v>13541</v>
      </c>
      <c r="X5446" s="16" t="s">
        <v>25649</v>
      </c>
      <c r="Y5446" s="15" t="s">
        <v>321</v>
      </c>
      <c r="Z5446" s="14">
        <v>0.75</v>
      </c>
      <c r="AA5446" s="14">
        <v>3.45</v>
      </c>
      <c r="AB5446" s="12" t="s">
        <v>56</v>
      </c>
      <c r="AC5446" s="12" t="s">
        <v>13543</v>
      </c>
      <c r="AD5446" s="13">
        <v>43197</v>
      </c>
      <c r="AE5446" s="12" t="s">
        <v>851</v>
      </c>
      <c r="AF5446" s="12" t="s">
        <v>1077</v>
      </c>
      <c r="AG5446" s="12" t="s">
        <v>81</v>
      </c>
      <c r="AH5446" s="1">
        <f>HYPERLINK("https://my.pitchbook.com?c=196443-73T","View Company Online")</f>
      </c>
    </row>
    <row r="5447">
      <c r="A5447" s="3" t="s">
        <v>25650</v>
      </c>
      <c r="B5447" s="3" t="s">
        <v>25651</v>
      </c>
      <c r="C5447" s="5">
        <v>4</v>
      </c>
      <c r="D5447" s="5">
        <v>4</v>
      </c>
      <c r="E5447" s="5">
        <v>3</v>
      </c>
      <c r="F5447" s="5">
        <v>8</v>
      </c>
      <c r="G5447" s="6" t="s">
        <v>36</v>
      </c>
      <c r="H5447" s="4">
        <v>238.87</v>
      </c>
      <c r="I5447" s="7">
        <v>23.33</v>
      </c>
      <c r="J5447" s="3" t="s">
        <v>521</v>
      </c>
      <c r="K5447" s="9" t="s">
        <v>36</v>
      </c>
      <c r="L5447" s="6" t="s">
        <v>36</v>
      </c>
      <c r="M5447" s="3" t="s">
        <v>36</v>
      </c>
      <c r="N5447" s="3" t="s">
        <v>36</v>
      </c>
      <c r="O5447" s="8" t="s">
        <v>36</v>
      </c>
      <c r="P5447" s="3" t="s">
        <v>36</v>
      </c>
      <c r="Q5447" s="3" t="s">
        <v>36</v>
      </c>
      <c r="R5447" s="3" t="s">
        <v>36</v>
      </c>
      <c r="S5447" s="3" t="s">
        <v>36</v>
      </c>
      <c r="T5447" s="3" t="s">
        <v>7767</v>
      </c>
      <c r="U5447" s="3" t="s">
        <v>51</v>
      </c>
      <c r="V5447" s="3" t="s">
        <v>52</v>
      </c>
      <c r="W5447" s="3" t="s">
        <v>25652</v>
      </c>
      <c r="X5447" s="10" t="s">
        <v>509</v>
      </c>
      <c r="Y5447" s="6" t="s">
        <v>42</v>
      </c>
      <c r="Z5447" s="4">
        <v>0.94</v>
      </c>
      <c r="AA5447" s="4">
        <v>4.02</v>
      </c>
      <c r="AB5447" s="3" t="s">
        <v>43</v>
      </c>
      <c r="AC5447" s="3" t="s">
        <v>25653</v>
      </c>
      <c r="AD5447" s="9">
        <v>43196</v>
      </c>
      <c r="AE5447" s="3" t="s">
        <v>158</v>
      </c>
      <c r="AF5447" s="3" t="s">
        <v>3193</v>
      </c>
      <c r="AG5447" s="3" t="s">
        <v>25654</v>
      </c>
      <c r="AH5447" s="11">
        <f>HYPERLINK("https://my.pitchbook.com?c=188140-78T","View Company Online")</f>
      </c>
    </row>
    <row r="5448">
      <c r="A5448" s="12" t="s">
        <v>25655</v>
      </c>
      <c r="B5448" s="12" t="s">
        <v>25656</v>
      </c>
      <c r="C5448" s="19">
        <v>4</v>
      </c>
      <c r="D5448" s="19">
        <v>4</v>
      </c>
      <c r="E5448" s="19">
        <v>6</v>
      </c>
      <c r="F5448" s="19">
        <v>17</v>
      </c>
      <c r="G5448" s="15" t="s">
        <v>683</v>
      </c>
      <c r="H5448" s="14">
        <v>1.56</v>
      </c>
      <c r="I5448" s="18">
        <v>27.54</v>
      </c>
      <c r="J5448" s="12" t="s">
        <v>521</v>
      </c>
      <c r="K5448" s="13">
        <v>43189</v>
      </c>
      <c r="L5448" s="15" t="s">
        <v>36</v>
      </c>
      <c r="M5448" s="12" t="s">
        <v>36</v>
      </c>
      <c r="N5448" s="12" t="s">
        <v>36</v>
      </c>
      <c r="O5448" s="17" t="s">
        <v>36</v>
      </c>
      <c r="P5448" s="12" t="s">
        <v>36</v>
      </c>
      <c r="Q5448" s="12" t="s">
        <v>36</v>
      </c>
      <c r="R5448" s="12" t="s">
        <v>36</v>
      </c>
      <c r="S5448" s="12" t="s">
        <v>36</v>
      </c>
      <c r="T5448" s="12" t="s">
        <v>25657</v>
      </c>
      <c r="U5448" s="12" t="s">
        <v>1082</v>
      </c>
      <c r="V5448" s="12" t="s">
        <v>378</v>
      </c>
      <c r="W5448" s="12" t="s">
        <v>25658</v>
      </c>
      <c r="X5448" s="16" t="s">
        <v>25659</v>
      </c>
      <c r="Y5448" s="15" t="s">
        <v>108</v>
      </c>
      <c r="Z5448" s="14">
        <v>1.85</v>
      </c>
      <c r="AA5448" s="14">
        <v>6.71</v>
      </c>
      <c r="AB5448" s="12" t="s">
        <v>43</v>
      </c>
      <c r="AC5448" s="12" t="s">
        <v>25660</v>
      </c>
      <c r="AD5448" s="13">
        <v>43196</v>
      </c>
      <c r="AE5448" s="12" t="s">
        <v>10211</v>
      </c>
      <c r="AF5448" s="12" t="s">
        <v>1340</v>
      </c>
      <c r="AG5448" s="12" t="s">
        <v>25661</v>
      </c>
      <c r="AH5448" s="1">
        <f>HYPERLINK("https://my.pitchbook.com?c=118609-30T","View Company Online")</f>
      </c>
    </row>
    <row r="5449">
      <c r="A5449" s="3" t="s">
        <v>25662</v>
      </c>
      <c r="B5449" s="3" t="s">
        <v>11869</v>
      </c>
      <c r="C5449" s="5" t="s">
        <v>36</v>
      </c>
      <c r="D5449" s="5" t="s">
        <v>36</v>
      </c>
      <c r="E5449" s="5" t="s">
        <v>36</v>
      </c>
      <c r="F5449" s="5" t="s">
        <v>36</v>
      </c>
      <c r="G5449" s="6" t="s">
        <v>36</v>
      </c>
      <c r="H5449" s="4">
        <v>10.39</v>
      </c>
      <c r="I5449" s="7">
        <v>17.13</v>
      </c>
      <c r="J5449" s="3" t="s">
        <v>36</v>
      </c>
      <c r="K5449" s="9" t="s">
        <v>36</v>
      </c>
      <c r="L5449" s="6" t="s">
        <v>122</v>
      </c>
      <c r="M5449" s="3" t="s">
        <v>36</v>
      </c>
      <c r="N5449" s="3" t="s">
        <v>122</v>
      </c>
      <c r="O5449" s="8" t="s">
        <v>36</v>
      </c>
      <c r="P5449" s="3" t="s">
        <v>36</v>
      </c>
      <c r="Q5449" s="3" t="s">
        <v>36</v>
      </c>
      <c r="R5449" s="3" t="s">
        <v>36</v>
      </c>
      <c r="S5449" s="3" t="s">
        <v>36</v>
      </c>
      <c r="T5449" s="3" t="s">
        <v>542</v>
      </c>
      <c r="U5449" s="3" t="s">
        <v>74</v>
      </c>
      <c r="V5449" s="3" t="s">
        <v>75</v>
      </c>
      <c r="W5449" s="3" t="s">
        <v>11870</v>
      </c>
      <c r="X5449" s="10" t="s">
        <v>25663</v>
      </c>
      <c r="Y5449" s="6" t="s">
        <v>192</v>
      </c>
      <c r="Z5449" s="4">
        <v>1.73</v>
      </c>
      <c r="AA5449" s="4" t="s">
        <v>36</v>
      </c>
      <c r="AB5449" s="3" t="s">
        <v>43</v>
      </c>
      <c r="AC5449" s="3" t="s">
        <v>11872</v>
      </c>
      <c r="AD5449" s="9">
        <v>43196</v>
      </c>
      <c r="AE5449" s="3" t="s">
        <v>362</v>
      </c>
      <c r="AF5449" s="3" t="s">
        <v>2087</v>
      </c>
      <c r="AG5449" s="3" t="s">
        <v>2618</v>
      </c>
      <c r="AH5449" s="11">
        <f>HYPERLINK("https://my.pitchbook.com?c=174906-64T","View Company Online")</f>
      </c>
    </row>
    <row r="5450">
      <c r="A5450" s="12" t="s">
        <v>25664</v>
      </c>
      <c r="B5450" s="12" t="s">
        <v>25665</v>
      </c>
      <c r="C5450" s="19" t="s">
        <v>36</v>
      </c>
      <c r="D5450" s="19" t="s">
        <v>36</v>
      </c>
      <c r="E5450" s="19">
        <v>1</v>
      </c>
      <c r="F5450" s="19">
        <v>1</v>
      </c>
      <c r="G5450" s="15" t="s">
        <v>36</v>
      </c>
      <c r="H5450" s="14">
        <v>587.83</v>
      </c>
      <c r="I5450" s="18">
        <v>6.67</v>
      </c>
      <c r="J5450" s="12" t="s">
        <v>521</v>
      </c>
      <c r="K5450" s="13" t="s">
        <v>36</v>
      </c>
      <c r="L5450" s="15" t="s">
        <v>36</v>
      </c>
      <c r="M5450" s="12" t="s">
        <v>36</v>
      </c>
      <c r="N5450" s="12" t="s">
        <v>36</v>
      </c>
      <c r="O5450" s="17" t="s">
        <v>36</v>
      </c>
      <c r="P5450" s="12" t="s">
        <v>36</v>
      </c>
      <c r="Q5450" s="12" t="s">
        <v>36</v>
      </c>
      <c r="R5450" s="12" t="s">
        <v>36</v>
      </c>
      <c r="S5450" s="12" t="s">
        <v>36</v>
      </c>
      <c r="T5450" s="12" t="s">
        <v>25666</v>
      </c>
      <c r="U5450" s="12" t="s">
        <v>423</v>
      </c>
      <c r="V5450" s="12" t="s">
        <v>64</v>
      </c>
      <c r="W5450" s="12" t="s">
        <v>25667</v>
      </c>
      <c r="X5450" s="16" t="s">
        <v>6004</v>
      </c>
      <c r="Y5450" s="15" t="s">
        <v>42</v>
      </c>
      <c r="Z5450" s="14">
        <v>0.18</v>
      </c>
      <c r="AA5450" s="14">
        <v>2.77</v>
      </c>
      <c r="AB5450" s="12" t="s">
        <v>43</v>
      </c>
      <c r="AC5450" s="12" t="s">
        <v>25668</v>
      </c>
      <c r="AD5450" s="13">
        <v>43196</v>
      </c>
      <c r="AE5450" s="12" t="s">
        <v>562</v>
      </c>
      <c r="AF5450" s="12" t="s">
        <v>15548</v>
      </c>
      <c r="AG5450" s="12" t="s">
        <v>1898</v>
      </c>
      <c r="AH5450" s="1">
        <f>HYPERLINK("https://my.pitchbook.com?c=105314-68T","View Company Online")</f>
      </c>
    </row>
    <row r="5451">
      <c r="A5451" s="3" t="s">
        <v>25669</v>
      </c>
      <c r="B5451" s="3" t="s">
        <v>20916</v>
      </c>
      <c r="C5451" s="5" t="s">
        <v>36</v>
      </c>
      <c r="D5451" s="5" t="s">
        <v>36</v>
      </c>
      <c r="E5451" s="5" t="s">
        <v>36</v>
      </c>
      <c r="F5451" s="5" t="s">
        <v>36</v>
      </c>
      <c r="G5451" s="6" t="s">
        <v>36</v>
      </c>
      <c r="H5451" s="4">
        <v>8.36</v>
      </c>
      <c r="I5451" s="7">
        <v>25.14</v>
      </c>
      <c r="J5451" s="3" t="s">
        <v>521</v>
      </c>
      <c r="K5451" s="9">
        <v>43171</v>
      </c>
      <c r="L5451" s="6" t="s">
        <v>36</v>
      </c>
      <c r="M5451" s="3" t="s">
        <v>36</v>
      </c>
      <c r="N5451" s="3" t="s">
        <v>36</v>
      </c>
      <c r="O5451" s="8" t="s">
        <v>36</v>
      </c>
      <c r="P5451" s="3" t="s">
        <v>36</v>
      </c>
      <c r="Q5451" s="3" t="s">
        <v>36</v>
      </c>
      <c r="R5451" s="3" t="s">
        <v>36</v>
      </c>
      <c r="S5451" s="3" t="s">
        <v>36</v>
      </c>
      <c r="T5451" s="3" t="s">
        <v>1106</v>
      </c>
      <c r="U5451" s="3" t="s">
        <v>38</v>
      </c>
      <c r="V5451" s="3" t="s">
        <v>39</v>
      </c>
      <c r="W5451" s="3" t="s">
        <v>20917</v>
      </c>
      <c r="X5451" s="10" t="s">
        <v>25670</v>
      </c>
      <c r="Y5451" s="6" t="s">
        <v>42</v>
      </c>
      <c r="Z5451" s="4">
        <v>1.23</v>
      </c>
      <c r="AA5451" s="4">
        <v>4.9</v>
      </c>
      <c r="AB5451" s="3" t="s">
        <v>43</v>
      </c>
      <c r="AC5451" s="3" t="s">
        <v>20919</v>
      </c>
      <c r="AD5451" s="9">
        <v>43195</v>
      </c>
      <c r="AE5451" s="3" t="s">
        <v>110</v>
      </c>
      <c r="AF5451" s="3" t="s">
        <v>468</v>
      </c>
      <c r="AG5451" s="3" t="s">
        <v>332</v>
      </c>
      <c r="AH5451" s="11">
        <f>HYPERLINK("https://my.pitchbook.com?c=104232-43T","View Company Online")</f>
      </c>
    </row>
    <row r="5452">
      <c r="A5452" s="12" t="s">
        <v>25671</v>
      </c>
      <c r="B5452" s="12" t="s">
        <v>20158</v>
      </c>
      <c r="C5452" s="19" t="s">
        <v>36</v>
      </c>
      <c r="D5452" s="19">
        <v>6</v>
      </c>
      <c r="E5452" s="19">
        <v>3</v>
      </c>
      <c r="F5452" s="19">
        <v>6</v>
      </c>
      <c r="G5452" s="15" t="s">
        <v>36</v>
      </c>
      <c r="H5452" s="14">
        <v>453.19</v>
      </c>
      <c r="I5452" s="18">
        <v>20.75</v>
      </c>
      <c r="J5452" s="12" t="s">
        <v>521</v>
      </c>
      <c r="K5452" s="13" t="s">
        <v>36</v>
      </c>
      <c r="L5452" s="15" t="s">
        <v>36</v>
      </c>
      <c r="M5452" s="12" t="s">
        <v>36</v>
      </c>
      <c r="N5452" s="12" t="s">
        <v>36</v>
      </c>
      <c r="O5452" s="17" t="s">
        <v>36</v>
      </c>
      <c r="P5452" s="12" t="s">
        <v>36</v>
      </c>
      <c r="Q5452" s="12" t="s">
        <v>36</v>
      </c>
      <c r="R5452" s="12" t="s">
        <v>36</v>
      </c>
      <c r="S5452" s="12" t="s">
        <v>36</v>
      </c>
      <c r="T5452" s="12" t="s">
        <v>20159</v>
      </c>
      <c r="U5452" s="12" t="s">
        <v>318</v>
      </c>
      <c r="V5452" s="12" t="s">
        <v>39</v>
      </c>
      <c r="W5452" s="12" t="s">
        <v>20160</v>
      </c>
      <c r="X5452" s="16" t="s">
        <v>25672</v>
      </c>
      <c r="Y5452" s="15" t="s">
        <v>42</v>
      </c>
      <c r="Z5452" s="14">
        <v>1.48</v>
      </c>
      <c r="AA5452" s="14">
        <v>7.13</v>
      </c>
      <c r="AB5452" s="12" t="s">
        <v>43</v>
      </c>
      <c r="AC5452" s="12" t="s">
        <v>20162</v>
      </c>
      <c r="AD5452" s="13">
        <v>43195</v>
      </c>
      <c r="AE5452" s="12" t="s">
        <v>417</v>
      </c>
      <c r="AF5452" s="12" t="s">
        <v>12243</v>
      </c>
      <c r="AG5452" s="12" t="s">
        <v>81</v>
      </c>
      <c r="AH5452" s="1">
        <f>HYPERLINK("https://my.pitchbook.com?c=131732-83T","View Company Online")</f>
      </c>
    </row>
    <row r="5453">
      <c r="A5453" s="3" t="s">
        <v>25673</v>
      </c>
      <c r="B5453" s="3" t="s">
        <v>10535</v>
      </c>
      <c r="C5453" s="5">
        <v>2</v>
      </c>
      <c r="D5453" s="5">
        <v>42</v>
      </c>
      <c r="E5453" s="5">
        <v>8</v>
      </c>
      <c r="F5453" s="5">
        <v>45</v>
      </c>
      <c r="G5453" s="6" t="s">
        <v>36</v>
      </c>
      <c r="H5453" s="4" t="s">
        <v>36</v>
      </c>
      <c r="I5453" s="7" t="s">
        <v>36</v>
      </c>
      <c r="J5453" s="3" t="s">
        <v>36</v>
      </c>
      <c r="K5453" s="9" t="s">
        <v>36</v>
      </c>
      <c r="L5453" s="6" t="s">
        <v>36</v>
      </c>
      <c r="M5453" s="3" t="s">
        <v>36</v>
      </c>
      <c r="N5453" s="3" t="s">
        <v>36</v>
      </c>
      <c r="O5453" s="8" t="s">
        <v>36</v>
      </c>
      <c r="P5453" s="3" t="s">
        <v>36</v>
      </c>
      <c r="Q5453" s="3" t="s">
        <v>36</v>
      </c>
      <c r="R5453" s="3" t="s">
        <v>36</v>
      </c>
      <c r="S5453" s="3" t="s">
        <v>36</v>
      </c>
      <c r="T5453" s="3" t="s">
        <v>10536</v>
      </c>
      <c r="U5453" s="3" t="s">
        <v>180</v>
      </c>
      <c r="V5453" s="3" t="s">
        <v>52</v>
      </c>
      <c r="W5453" s="3" t="s">
        <v>10537</v>
      </c>
      <c r="X5453" s="10" t="s">
        <v>25674</v>
      </c>
      <c r="Y5453" s="6" t="s">
        <v>108</v>
      </c>
      <c r="Z5453" s="4">
        <v>1.85</v>
      </c>
      <c r="AA5453" s="4" t="s">
        <v>36</v>
      </c>
      <c r="AB5453" s="3" t="s">
        <v>56</v>
      </c>
      <c r="AC5453" s="3" t="s">
        <v>10538</v>
      </c>
      <c r="AD5453" s="9">
        <v>43194</v>
      </c>
      <c r="AE5453" s="3" t="s">
        <v>10539</v>
      </c>
      <c r="AF5453" s="3" t="s">
        <v>756</v>
      </c>
      <c r="AG5453" s="3" t="s">
        <v>10540</v>
      </c>
      <c r="AH5453" s="11">
        <f>HYPERLINK("https://my.pitchbook.com?c=135255-25T","View Company Online")</f>
      </c>
    </row>
    <row r="5454">
      <c r="A5454" s="12" t="s">
        <v>25675</v>
      </c>
      <c r="B5454" s="12" t="s">
        <v>25676</v>
      </c>
      <c r="C5454" s="19" t="s">
        <v>36</v>
      </c>
      <c r="D5454" s="19" t="s">
        <v>36</v>
      </c>
      <c r="E5454" s="19" t="s">
        <v>36</v>
      </c>
      <c r="F5454" s="19" t="s">
        <v>36</v>
      </c>
      <c r="G5454" s="15" t="s">
        <v>36</v>
      </c>
      <c r="H5454" s="14">
        <v>134.01</v>
      </c>
      <c r="I5454" s="18">
        <v>33.34</v>
      </c>
      <c r="J5454" s="12" t="s">
        <v>521</v>
      </c>
      <c r="K5454" s="13" t="s">
        <v>36</v>
      </c>
      <c r="L5454" s="15" t="s">
        <v>122</v>
      </c>
      <c r="M5454" s="12" t="s">
        <v>36</v>
      </c>
      <c r="N5454" s="12" t="s">
        <v>122</v>
      </c>
      <c r="O5454" s="17" t="s">
        <v>36</v>
      </c>
      <c r="P5454" s="12" t="s">
        <v>36</v>
      </c>
      <c r="Q5454" s="12" t="s">
        <v>36</v>
      </c>
      <c r="R5454" s="12" t="s">
        <v>36</v>
      </c>
      <c r="S5454" s="12" t="s">
        <v>36</v>
      </c>
      <c r="T5454" s="12" t="s">
        <v>3445</v>
      </c>
      <c r="U5454" s="12" t="s">
        <v>38</v>
      </c>
      <c r="V5454" s="12" t="s">
        <v>39</v>
      </c>
      <c r="W5454" s="12" t="s">
        <v>25677</v>
      </c>
      <c r="X5454" s="16" t="s">
        <v>25678</v>
      </c>
      <c r="Y5454" s="15" t="s">
        <v>42</v>
      </c>
      <c r="Z5454" s="14">
        <v>2.47</v>
      </c>
      <c r="AA5454" s="14">
        <v>7.4</v>
      </c>
      <c r="AB5454" s="12" t="s">
        <v>43</v>
      </c>
      <c r="AC5454" s="12" t="s">
        <v>25679</v>
      </c>
      <c r="AD5454" s="13">
        <v>43193</v>
      </c>
      <c r="AE5454" s="12" t="s">
        <v>110</v>
      </c>
      <c r="AF5454" s="12" t="s">
        <v>176</v>
      </c>
      <c r="AG5454" s="12" t="s">
        <v>652</v>
      </c>
      <c r="AH5454" s="1">
        <f>HYPERLINK("https://my.pitchbook.com?c=189275-32T","View Company Online")</f>
      </c>
    </row>
    <row r="5455">
      <c r="A5455" s="3" t="s">
        <v>25680</v>
      </c>
      <c r="B5455" s="3" t="s">
        <v>25681</v>
      </c>
      <c r="C5455" s="5" t="s">
        <v>36</v>
      </c>
      <c r="D5455" s="5" t="s">
        <v>36</v>
      </c>
      <c r="E5455" s="5" t="s">
        <v>36</v>
      </c>
      <c r="F5455" s="5" t="s">
        <v>36</v>
      </c>
      <c r="G5455" s="6" t="s">
        <v>36</v>
      </c>
      <c r="H5455" s="4">
        <v>2430.25</v>
      </c>
      <c r="I5455" s="7">
        <v>15.95</v>
      </c>
      <c r="J5455" s="3" t="s">
        <v>521</v>
      </c>
      <c r="K5455" s="9" t="s">
        <v>36</v>
      </c>
      <c r="L5455" s="6" t="s">
        <v>36</v>
      </c>
      <c r="M5455" s="3" t="s">
        <v>36</v>
      </c>
      <c r="N5455" s="3" t="s">
        <v>36</v>
      </c>
      <c r="O5455" s="8" t="s">
        <v>36</v>
      </c>
      <c r="P5455" s="3" t="s">
        <v>36</v>
      </c>
      <c r="Q5455" s="3" t="s">
        <v>36</v>
      </c>
      <c r="R5455" s="3" t="s">
        <v>36</v>
      </c>
      <c r="S5455" s="3" t="s">
        <v>36</v>
      </c>
      <c r="T5455" s="3" t="s">
        <v>5490</v>
      </c>
      <c r="U5455" s="3" t="s">
        <v>648</v>
      </c>
      <c r="V5455" s="3" t="s">
        <v>64</v>
      </c>
      <c r="W5455" s="3" t="s">
        <v>25682</v>
      </c>
      <c r="X5455" s="10" t="s">
        <v>221</v>
      </c>
      <c r="Y5455" s="6" t="s">
        <v>42</v>
      </c>
      <c r="Z5455" s="4">
        <v>0.61</v>
      </c>
      <c r="AA5455" s="4">
        <v>3.8</v>
      </c>
      <c r="AB5455" s="3" t="s">
        <v>43</v>
      </c>
      <c r="AC5455" s="3" t="s">
        <v>25683</v>
      </c>
      <c r="AD5455" s="9">
        <v>43193</v>
      </c>
      <c r="AE5455" s="3" t="s">
        <v>3988</v>
      </c>
      <c r="AF5455" s="3" t="s">
        <v>4284</v>
      </c>
      <c r="AG5455" s="3" t="s">
        <v>7647</v>
      </c>
      <c r="AH5455" s="11">
        <f>HYPERLINK("https://my.pitchbook.com?c=132821-83T","View Company Online")</f>
      </c>
    </row>
    <row r="5456">
      <c r="A5456" s="12" t="s">
        <v>25684</v>
      </c>
      <c r="B5456" s="12" t="s">
        <v>25685</v>
      </c>
      <c r="C5456" s="19" t="s">
        <v>36</v>
      </c>
      <c r="D5456" s="19" t="s">
        <v>36</v>
      </c>
      <c r="E5456" s="19" t="s">
        <v>36</v>
      </c>
      <c r="F5456" s="19" t="s">
        <v>36</v>
      </c>
      <c r="G5456" s="15" t="s">
        <v>36</v>
      </c>
      <c r="H5456" s="14" t="s">
        <v>36</v>
      </c>
      <c r="I5456" s="18" t="s">
        <v>36</v>
      </c>
      <c r="J5456" s="12" t="s">
        <v>36</v>
      </c>
      <c r="K5456" s="13" t="s">
        <v>36</v>
      </c>
      <c r="L5456" s="15" t="s">
        <v>36</v>
      </c>
      <c r="M5456" s="12" t="s">
        <v>36</v>
      </c>
      <c r="N5456" s="12" t="s">
        <v>36</v>
      </c>
      <c r="O5456" s="17" t="s">
        <v>36</v>
      </c>
      <c r="P5456" s="12" t="s">
        <v>36</v>
      </c>
      <c r="Q5456" s="12" t="s">
        <v>36</v>
      </c>
      <c r="R5456" s="12" t="s">
        <v>36</v>
      </c>
      <c r="S5456" s="12" t="s">
        <v>36</v>
      </c>
      <c r="T5456" s="12" t="s">
        <v>1125</v>
      </c>
      <c r="U5456" s="12" t="s">
        <v>74</v>
      </c>
      <c r="V5456" s="12" t="s">
        <v>75</v>
      </c>
      <c r="W5456" s="12" t="s">
        <v>25686</v>
      </c>
      <c r="X5456" s="16" t="s">
        <v>1399</v>
      </c>
      <c r="Y5456" s="15" t="s">
        <v>42</v>
      </c>
      <c r="Z5456" s="14" t="s">
        <v>36</v>
      </c>
      <c r="AA5456" s="14" t="s">
        <v>36</v>
      </c>
      <c r="AB5456" s="12" t="s">
        <v>56</v>
      </c>
      <c r="AC5456" s="12" t="s">
        <v>25687</v>
      </c>
      <c r="AD5456" s="13">
        <v>43191</v>
      </c>
      <c r="AE5456" s="12" t="s">
        <v>975</v>
      </c>
      <c r="AF5456" s="12" t="s">
        <v>36</v>
      </c>
      <c r="AG5456" s="12" t="s">
        <v>81</v>
      </c>
      <c r="AH5456" s="1">
        <f>HYPERLINK("https://my.pitchbook.com?c=218290-42T","View Company Online")</f>
      </c>
    </row>
    <row r="5457">
      <c r="A5457" s="3" t="s">
        <v>25688</v>
      </c>
      <c r="B5457" s="3" t="s">
        <v>25689</v>
      </c>
      <c r="C5457" s="5" t="s">
        <v>36</v>
      </c>
      <c r="D5457" s="5" t="s">
        <v>36</v>
      </c>
      <c r="E5457" s="5" t="s">
        <v>36</v>
      </c>
      <c r="F5457" s="5" t="s">
        <v>36</v>
      </c>
      <c r="G5457" s="6" t="s">
        <v>36</v>
      </c>
      <c r="H5457" s="4" t="s">
        <v>36</v>
      </c>
      <c r="I5457" s="7" t="s">
        <v>36</v>
      </c>
      <c r="J5457" s="3" t="s">
        <v>36</v>
      </c>
      <c r="K5457" s="9" t="s">
        <v>36</v>
      </c>
      <c r="L5457" s="6" t="s">
        <v>36</v>
      </c>
      <c r="M5457" s="3" t="s">
        <v>36</v>
      </c>
      <c r="N5457" s="3" t="s">
        <v>36</v>
      </c>
      <c r="O5457" s="8" t="s">
        <v>36</v>
      </c>
      <c r="P5457" s="3" t="s">
        <v>36</v>
      </c>
      <c r="Q5457" s="3" t="s">
        <v>36</v>
      </c>
      <c r="R5457" s="3" t="s">
        <v>36</v>
      </c>
      <c r="S5457" s="3" t="s">
        <v>36</v>
      </c>
      <c r="T5457" s="3" t="s">
        <v>21718</v>
      </c>
      <c r="U5457" s="3" t="s">
        <v>74</v>
      </c>
      <c r="V5457" s="3" t="s">
        <v>75</v>
      </c>
      <c r="W5457" s="3" t="s">
        <v>25690</v>
      </c>
      <c r="X5457" s="10" t="s">
        <v>25691</v>
      </c>
      <c r="Y5457" s="6" t="s">
        <v>42</v>
      </c>
      <c r="Z5457" s="4" t="s">
        <v>36</v>
      </c>
      <c r="AA5457" s="4" t="s">
        <v>36</v>
      </c>
      <c r="AB5457" s="3" t="s">
        <v>43</v>
      </c>
      <c r="AC5457" s="3" t="s">
        <v>25692</v>
      </c>
      <c r="AD5457" s="9">
        <v>43191</v>
      </c>
      <c r="AE5457" s="3" t="s">
        <v>1888</v>
      </c>
      <c r="AF5457" s="3" t="s">
        <v>546</v>
      </c>
      <c r="AG5457" s="3" t="s">
        <v>81</v>
      </c>
      <c r="AH5457" s="11">
        <f>HYPERLINK("https://my.pitchbook.com?c=104959-63T","View Company Online")</f>
      </c>
    </row>
    <row r="5458">
      <c r="A5458" s="12" t="s">
        <v>25693</v>
      </c>
      <c r="B5458" s="12" t="s">
        <v>12771</v>
      </c>
      <c r="C5458" s="19" t="s">
        <v>36</v>
      </c>
      <c r="D5458" s="19" t="s">
        <v>36</v>
      </c>
      <c r="E5458" s="19" t="s">
        <v>36</v>
      </c>
      <c r="F5458" s="19" t="s">
        <v>36</v>
      </c>
      <c r="G5458" s="15" t="s">
        <v>326</v>
      </c>
      <c r="H5458" s="14">
        <v>45.29</v>
      </c>
      <c r="I5458" s="18">
        <v>27.4</v>
      </c>
      <c r="J5458" s="12" t="s">
        <v>521</v>
      </c>
      <c r="K5458" s="13" t="s">
        <v>36</v>
      </c>
      <c r="L5458" s="15" t="s">
        <v>36</v>
      </c>
      <c r="M5458" s="12" t="s">
        <v>36</v>
      </c>
      <c r="N5458" s="12" t="s">
        <v>36</v>
      </c>
      <c r="O5458" s="17" t="s">
        <v>36</v>
      </c>
      <c r="P5458" s="12" t="s">
        <v>36</v>
      </c>
      <c r="Q5458" s="12" t="s">
        <v>36</v>
      </c>
      <c r="R5458" s="12" t="s">
        <v>36</v>
      </c>
      <c r="S5458" s="12" t="s">
        <v>36</v>
      </c>
      <c r="T5458" s="12" t="s">
        <v>522</v>
      </c>
      <c r="U5458" s="12" t="s">
        <v>38</v>
      </c>
      <c r="V5458" s="12" t="s">
        <v>39</v>
      </c>
      <c r="W5458" s="12" t="s">
        <v>12772</v>
      </c>
      <c r="X5458" s="16" t="s">
        <v>25694</v>
      </c>
      <c r="Y5458" s="15" t="s">
        <v>166</v>
      </c>
      <c r="Z5458" s="14">
        <v>1.86</v>
      </c>
      <c r="AA5458" s="14">
        <v>6.8</v>
      </c>
      <c r="AB5458" s="12" t="s">
        <v>56</v>
      </c>
      <c r="AC5458" s="12" t="s">
        <v>12774</v>
      </c>
      <c r="AD5458" s="13">
        <v>43191</v>
      </c>
      <c r="AE5458" s="12" t="s">
        <v>110</v>
      </c>
      <c r="AF5458" s="12" t="s">
        <v>3860</v>
      </c>
      <c r="AG5458" s="12" t="s">
        <v>741</v>
      </c>
      <c r="AH5458" s="1">
        <f>HYPERLINK("https://my.pitchbook.com?c=105052-33T","View Company Online")</f>
      </c>
    </row>
    <row r="5459">
      <c r="A5459" s="3" t="s">
        <v>25695</v>
      </c>
      <c r="B5459" s="3" t="s">
        <v>25696</v>
      </c>
      <c r="C5459" s="5" t="s">
        <v>36</v>
      </c>
      <c r="D5459" s="5" t="s">
        <v>36</v>
      </c>
      <c r="E5459" s="5" t="s">
        <v>36</v>
      </c>
      <c r="F5459" s="5" t="s">
        <v>36</v>
      </c>
      <c r="G5459" s="6" t="s">
        <v>36</v>
      </c>
      <c r="H5459" s="4" t="s">
        <v>36</v>
      </c>
      <c r="I5459" s="7" t="s">
        <v>36</v>
      </c>
      <c r="J5459" s="3" t="s">
        <v>36</v>
      </c>
      <c r="K5459" s="9" t="s">
        <v>36</v>
      </c>
      <c r="L5459" s="6" t="s">
        <v>36</v>
      </c>
      <c r="M5459" s="3" t="s">
        <v>36</v>
      </c>
      <c r="N5459" s="3" t="s">
        <v>36</v>
      </c>
      <c r="O5459" s="8" t="s">
        <v>36</v>
      </c>
      <c r="P5459" s="3" t="s">
        <v>36</v>
      </c>
      <c r="Q5459" s="3" t="s">
        <v>36</v>
      </c>
      <c r="R5459" s="3" t="s">
        <v>36</v>
      </c>
      <c r="S5459" s="3" t="s">
        <v>36</v>
      </c>
      <c r="T5459" s="3" t="s">
        <v>25697</v>
      </c>
      <c r="U5459" s="3" t="s">
        <v>51</v>
      </c>
      <c r="V5459" s="3" t="s">
        <v>52</v>
      </c>
      <c r="W5459" s="3" t="s">
        <v>25698</v>
      </c>
      <c r="X5459" s="10" t="s">
        <v>25699</v>
      </c>
      <c r="Y5459" s="6" t="s">
        <v>42</v>
      </c>
      <c r="Z5459" s="4">
        <v>2.47</v>
      </c>
      <c r="AA5459" s="4" t="s">
        <v>36</v>
      </c>
      <c r="AB5459" s="3" t="s">
        <v>43</v>
      </c>
      <c r="AC5459" s="3" t="s">
        <v>25700</v>
      </c>
      <c r="AD5459" s="9">
        <v>43191</v>
      </c>
      <c r="AE5459" s="3" t="s">
        <v>1060</v>
      </c>
      <c r="AF5459" s="3" t="s">
        <v>571</v>
      </c>
      <c r="AG5459" s="3" t="s">
        <v>1479</v>
      </c>
      <c r="AH5459" s="11">
        <f>HYPERLINK("https://my.pitchbook.com?c=174251-44T","View Company Online")</f>
      </c>
    </row>
    <row r="5460">
      <c r="A5460" s="12" t="s">
        <v>25701</v>
      </c>
      <c r="B5460" s="12" t="s">
        <v>25702</v>
      </c>
      <c r="C5460" s="19">
        <v>1</v>
      </c>
      <c r="D5460" s="19">
        <v>19</v>
      </c>
      <c r="E5460" s="19">
        <v>5</v>
      </c>
      <c r="F5460" s="19">
        <v>23</v>
      </c>
      <c r="G5460" s="15" t="s">
        <v>326</v>
      </c>
      <c r="H5460" s="14">
        <v>11.42</v>
      </c>
      <c r="I5460" s="18">
        <v>11.88</v>
      </c>
      <c r="J5460" s="12" t="s">
        <v>521</v>
      </c>
      <c r="K5460" s="13" t="s">
        <v>36</v>
      </c>
      <c r="L5460" s="15" t="s">
        <v>36</v>
      </c>
      <c r="M5460" s="12" t="s">
        <v>36</v>
      </c>
      <c r="N5460" s="12" t="s">
        <v>36</v>
      </c>
      <c r="O5460" s="17" t="s">
        <v>36</v>
      </c>
      <c r="P5460" s="12" t="s">
        <v>36</v>
      </c>
      <c r="Q5460" s="12" t="s">
        <v>36</v>
      </c>
      <c r="R5460" s="12" t="s">
        <v>36</v>
      </c>
      <c r="S5460" s="12" t="s">
        <v>36</v>
      </c>
      <c r="T5460" s="12" t="s">
        <v>189</v>
      </c>
      <c r="U5460" s="12" t="s">
        <v>180</v>
      </c>
      <c r="V5460" s="12" t="s">
        <v>52</v>
      </c>
      <c r="W5460" s="12" t="s">
        <v>25703</v>
      </c>
      <c r="X5460" s="16" t="s">
        <v>25704</v>
      </c>
      <c r="Y5460" s="15" t="s">
        <v>321</v>
      </c>
      <c r="Z5460" s="14">
        <v>7.74</v>
      </c>
      <c r="AA5460" s="14">
        <v>65.16</v>
      </c>
      <c r="AB5460" s="12" t="s">
        <v>56</v>
      </c>
      <c r="AC5460" s="12" t="s">
        <v>25705</v>
      </c>
      <c r="AD5460" s="13">
        <v>43191</v>
      </c>
      <c r="AE5460" s="12" t="s">
        <v>184</v>
      </c>
      <c r="AF5460" s="12" t="s">
        <v>25706</v>
      </c>
      <c r="AG5460" s="12" t="s">
        <v>1202</v>
      </c>
      <c r="AH5460" s="1">
        <f>HYPERLINK("https://my.pitchbook.com?c=112932-73T","View Company Online")</f>
      </c>
    </row>
    <row r="5461">
      <c r="A5461" s="3" t="s">
        <v>25707</v>
      </c>
      <c r="B5461" s="3" t="s">
        <v>25708</v>
      </c>
      <c r="C5461" s="5" t="s">
        <v>36</v>
      </c>
      <c r="D5461" s="5">
        <v>5</v>
      </c>
      <c r="E5461" s="5">
        <v>1</v>
      </c>
      <c r="F5461" s="5">
        <v>6</v>
      </c>
      <c r="G5461" s="6" t="s">
        <v>36</v>
      </c>
      <c r="H5461" s="4">
        <v>467.82</v>
      </c>
      <c r="I5461" s="7">
        <v>5.84</v>
      </c>
      <c r="J5461" s="3" t="s">
        <v>521</v>
      </c>
      <c r="K5461" s="9">
        <v>43180</v>
      </c>
      <c r="L5461" s="6" t="s">
        <v>36</v>
      </c>
      <c r="M5461" s="3" t="s">
        <v>36</v>
      </c>
      <c r="N5461" s="3" t="s">
        <v>36</v>
      </c>
      <c r="O5461" s="8" t="s">
        <v>36</v>
      </c>
      <c r="P5461" s="3" t="s">
        <v>36</v>
      </c>
      <c r="Q5461" s="3" t="s">
        <v>36</v>
      </c>
      <c r="R5461" s="3" t="s">
        <v>36</v>
      </c>
      <c r="S5461" s="3" t="s">
        <v>36</v>
      </c>
      <c r="T5461" s="3" t="s">
        <v>7330</v>
      </c>
      <c r="U5461" s="3" t="s">
        <v>728</v>
      </c>
      <c r="V5461" s="3" t="s">
        <v>64</v>
      </c>
      <c r="W5461" s="3" t="s">
        <v>25709</v>
      </c>
      <c r="X5461" s="10" t="s">
        <v>25710</v>
      </c>
      <c r="Y5461" s="6" t="s">
        <v>42</v>
      </c>
      <c r="Z5461" s="4">
        <v>0.14</v>
      </c>
      <c r="AA5461" s="4">
        <v>2.36</v>
      </c>
      <c r="AB5461" s="3" t="s">
        <v>43</v>
      </c>
      <c r="AC5461" s="3" t="s">
        <v>25711</v>
      </c>
      <c r="AD5461" s="9">
        <v>43190</v>
      </c>
      <c r="AE5461" s="3" t="s">
        <v>1600</v>
      </c>
      <c r="AF5461" s="3" t="s">
        <v>1061</v>
      </c>
      <c r="AG5461" s="3" t="s">
        <v>25712</v>
      </c>
      <c r="AH5461" s="11">
        <f>HYPERLINK("https://my.pitchbook.com?c=115952-59T","View Company Online")</f>
      </c>
    </row>
    <row r="5462">
      <c r="A5462" s="12" t="s">
        <v>25713</v>
      </c>
      <c r="B5462" s="12" t="s">
        <v>16494</v>
      </c>
      <c r="C5462" s="19" t="s">
        <v>36</v>
      </c>
      <c r="D5462" s="19" t="s">
        <v>36</v>
      </c>
      <c r="E5462" s="19" t="s">
        <v>36</v>
      </c>
      <c r="F5462" s="19" t="s">
        <v>36</v>
      </c>
      <c r="G5462" s="15" t="s">
        <v>36</v>
      </c>
      <c r="H5462" s="14">
        <v>3.26</v>
      </c>
      <c r="I5462" s="18">
        <v>32.33</v>
      </c>
      <c r="J5462" s="12" t="s">
        <v>521</v>
      </c>
      <c r="K5462" s="13" t="s">
        <v>36</v>
      </c>
      <c r="L5462" s="15" t="s">
        <v>36</v>
      </c>
      <c r="M5462" s="12" t="s">
        <v>36</v>
      </c>
      <c r="N5462" s="12" t="s">
        <v>36</v>
      </c>
      <c r="O5462" s="17" t="s">
        <v>36</v>
      </c>
      <c r="P5462" s="12" t="s">
        <v>36</v>
      </c>
      <c r="Q5462" s="12" t="s">
        <v>36</v>
      </c>
      <c r="R5462" s="12" t="s">
        <v>36</v>
      </c>
      <c r="S5462" s="12" t="s">
        <v>36</v>
      </c>
      <c r="T5462" s="12" t="s">
        <v>1893</v>
      </c>
      <c r="U5462" s="12" t="s">
        <v>648</v>
      </c>
      <c r="V5462" s="12" t="s">
        <v>64</v>
      </c>
      <c r="W5462" s="12" t="s">
        <v>16495</v>
      </c>
      <c r="X5462" s="16" t="s">
        <v>25714</v>
      </c>
      <c r="Y5462" s="15" t="s">
        <v>42</v>
      </c>
      <c r="Z5462" s="14">
        <v>0.86</v>
      </c>
      <c r="AA5462" s="14">
        <v>1.72</v>
      </c>
      <c r="AB5462" s="12" t="s">
        <v>43</v>
      </c>
      <c r="AC5462" s="12" t="s">
        <v>16497</v>
      </c>
      <c r="AD5462" s="13">
        <v>43189</v>
      </c>
      <c r="AE5462" s="12" t="s">
        <v>1897</v>
      </c>
      <c r="AF5462" s="12" t="s">
        <v>1115</v>
      </c>
      <c r="AG5462" s="12" t="s">
        <v>102</v>
      </c>
      <c r="AH5462" s="1">
        <f>HYPERLINK("https://my.pitchbook.com?c=132679-00T","View Company Online")</f>
      </c>
    </row>
    <row r="5463">
      <c r="A5463" s="3" t="s">
        <v>25715</v>
      </c>
      <c r="B5463" s="3" t="s">
        <v>9003</v>
      </c>
      <c r="C5463" s="5" t="s">
        <v>36</v>
      </c>
      <c r="D5463" s="5" t="s">
        <v>36</v>
      </c>
      <c r="E5463" s="5" t="s">
        <v>36</v>
      </c>
      <c r="F5463" s="5" t="s">
        <v>36</v>
      </c>
      <c r="G5463" s="6" t="s">
        <v>36</v>
      </c>
      <c r="H5463" s="4">
        <v>1.56</v>
      </c>
      <c r="I5463" s="7">
        <v>29.08</v>
      </c>
      <c r="J5463" s="3" t="s">
        <v>521</v>
      </c>
      <c r="K5463" s="9" t="s">
        <v>36</v>
      </c>
      <c r="L5463" s="6" t="s">
        <v>36</v>
      </c>
      <c r="M5463" s="3" t="s">
        <v>36</v>
      </c>
      <c r="N5463" s="3" t="s">
        <v>36</v>
      </c>
      <c r="O5463" s="8" t="s">
        <v>36</v>
      </c>
      <c r="P5463" s="3" t="s">
        <v>36</v>
      </c>
      <c r="Q5463" s="3" t="s">
        <v>36</v>
      </c>
      <c r="R5463" s="3" t="s">
        <v>36</v>
      </c>
      <c r="S5463" s="3" t="s">
        <v>36</v>
      </c>
      <c r="T5463" s="3" t="s">
        <v>115</v>
      </c>
      <c r="U5463" s="3" t="s">
        <v>63</v>
      </c>
      <c r="V5463" s="3" t="s">
        <v>64</v>
      </c>
      <c r="W5463" s="3" t="s">
        <v>9004</v>
      </c>
      <c r="X5463" s="10" t="s">
        <v>25716</v>
      </c>
      <c r="Y5463" s="6" t="s">
        <v>42</v>
      </c>
      <c r="Z5463" s="4">
        <v>0.76</v>
      </c>
      <c r="AA5463" s="4">
        <v>2.61</v>
      </c>
      <c r="AB5463" s="3" t="s">
        <v>43</v>
      </c>
      <c r="AC5463" s="3" t="s">
        <v>9006</v>
      </c>
      <c r="AD5463" s="9">
        <v>43189</v>
      </c>
      <c r="AE5463" s="3" t="s">
        <v>68</v>
      </c>
      <c r="AF5463" s="3" t="s">
        <v>118</v>
      </c>
      <c r="AG5463" s="3" t="s">
        <v>2299</v>
      </c>
      <c r="AH5463" s="11">
        <f>HYPERLINK("https://my.pitchbook.com?c=120354-22T","View Company Online")</f>
      </c>
    </row>
    <row r="5464">
      <c r="A5464" s="12" t="s">
        <v>25717</v>
      </c>
      <c r="B5464" s="12" t="s">
        <v>5570</v>
      </c>
      <c r="C5464" s="19">
        <v>9</v>
      </c>
      <c r="D5464" s="19">
        <v>6</v>
      </c>
      <c r="E5464" s="19">
        <v>6</v>
      </c>
      <c r="F5464" s="19">
        <v>15</v>
      </c>
      <c r="G5464" s="15" t="s">
        <v>36</v>
      </c>
      <c r="H5464" s="14">
        <v>83.09</v>
      </c>
      <c r="I5464" s="18">
        <v>46.32</v>
      </c>
      <c r="J5464" s="12" t="s">
        <v>521</v>
      </c>
      <c r="K5464" s="13" t="s">
        <v>36</v>
      </c>
      <c r="L5464" s="15" t="s">
        <v>36</v>
      </c>
      <c r="M5464" s="12" t="s">
        <v>36</v>
      </c>
      <c r="N5464" s="12" t="s">
        <v>36</v>
      </c>
      <c r="O5464" s="17" t="s">
        <v>36</v>
      </c>
      <c r="P5464" s="12" t="s">
        <v>36</v>
      </c>
      <c r="Q5464" s="12" t="s">
        <v>36</v>
      </c>
      <c r="R5464" s="12" t="s">
        <v>36</v>
      </c>
      <c r="S5464" s="12" t="s">
        <v>36</v>
      </c>
      <c r="T5464" s="12" t="s">
        <v>2992</v>
      </c>
      <c r="U5464" s="12" t="s">
        <v>96</v>
      </c>
      <c r="V5464" s="12" t="s">
        <v>52</v>
      </c>
      <c r="W5464" s="12" t="s">
        <v>5571</v>
      </c>
      <c r="X5464" s="16" t="s">
        <v>25718</v>
      </c>
      <c r="Y5464" s="15" t="s">
        <v>42</v>
      </c>
      <c r="Z5464" s="14">
        <v>1.06</v>
      </c>
      <c r="AA5464" s="14">
        <v>2.3</v>
      </c>
      <c r="AB5464" s="12" t="s">
        <v>43</v>
      </c>
      <c r="AC5464" s="12" t="s">
        <v>5572</v>
      </c>
      <c r="AD5464" s="13">
        <v>43188</v>
      </c>
      <c r="AE5464" s="12" t="s">
        <v>100</v>
      </c>
      <c r="AF5464" s="12" t="s">
        <v>5573</v>
      </c>
      <c r="AG5464" s="12" t="s">
        <v>382</v>
      </c>
      <c r="AH5464" s="1">
        <f>HYPERLINK("https://my.pitchbook.com?c=104602-33T","View Company Online")</f>
      </c>
    </row>
    <row r="5465">
      <c r="A5465" s="3" t="s">
        <v>25719</v>
      </c>
      <c r="B5465" s="3" t="s">
        <v>13696</v>
      </c>
      <c r="C5465" s="5">
        <v>9</v>
      </c>
      <c r="D5465" s="5">
        <v>22</v>
      </c>
      <c r="E5465" s="5">
        <v>4</v>
      </c>
      <c r="F5465" s="5">
        <v>32</v>
      </c>
      <c r="G5465" s="6" t="s">
        <v>36</v>
      </c>
      <c r="H5465" s="4">
        <v>1.93</v>
      </c>
      <c r="I5465" s="7">
        <v>60.57</v>
      </c>
      <c r="J5465" s="3" t="s">
        <v>521</v>
      </c>
      <c r="K5465" s="9">
        <v>43182</v>
      </c>
      <c r="L5465" s="6" t="s">
        <v>122</v>
      </c>
      <c r="M5465" s="3" t="s">
        <v>36</v>
      </c>
      <c r="N5465" s="3" t="s">
        <v>122</v>
      </c>
      <c r="O5465" s="8" t="s">
        <v>36</v>
      </c>
      <c r="P5465" s="3" t="s">
        <v>36</v>
      </c>
      <c r="Q5465" s="3" t="s">
        <v>36</v>
      </c>
      <c r="R5465" s="3" t="s">
        <v>36</v>
      </c>
      <c r="S5465" s="3" t="s">
        <v>36</v>
      </c>
      <c r="T5465" s="3" t="s">
        <v>13697</v>
      </c>
      <c r="U5465" s="3" t="s">
        <v>96</v>
      </c>
      <c r="V5465" s="3" t="s">
        <v>52</v>
      </c>
      <c r="W5465" s="3" t="s">
        <v>13698</v>
      </c>
      <c r="X5465" s="10" t="s">
        <v>14569</v>
      </c>
      <c r="Y5465" s="6" t="s">
        <v>108</v>
      </c>
      <c r="Z5465" s="4">
        <v>7.4</v>
      </c>
      <c r="AA5465" s="4">
        <v>12.21</v>
      </c>
      <c r="AB5465" s="3" t="s">
        <v>43</v>
      </c>
      <c r="AC5465" s="3" t="s">
        <v>13700</v>
      </c>
      <c r="AD5465" s="9">
        <v>43188</v>
      </c>
      <c r="AE5465" s="3" t="s">
        <v>143</v>
      </c>
      <c r="AF5465" s="3" t="s">
        <v>13701</v>
      </c>
      <c r="AG5465" s="3" t="s">
        <v>81</v>
      </c>
      <c r="AH5465" s="11">
        <f>HYPERLINK("https://my.pitchbook.com?c=103221-91T","View Company Online")</f>
      </c>
    </row>
    <row r="5466">
      <c r="A5466" s="12" t="s">
        <v>25720</v>
      </c>
      <c r="B5466" s="12" t="s">
        <v>25721</v>
      </c>
      <c r="C5466" s="19" t="s">
        <v>36</v>
      </c>
      <c r="D5466" s="19" t="s">
        <v>36</v>
      </c>
      <c r="E5466" s="19" t="s">
        <v>36</v>
      </c>
      <c r="F5466" s="19" t="s">
        <v>36</v>
      </c>
      <c r="G5466" s="15" t="s">
        <v>36</v>
      </c>
      <c r="H5466" s="14">
        <v>18.23</v>
      </c>
      <c r="I5466" s="18">
        <v>7.69</v>
      </c>
      <c r="J5466" s="12" t="s">
        <v>521</v>
      </c>
      <c r="K5466" s="13" t="s">
        <v>36</v>
      </c>
      <c r="L5466" s="15" t="s">
        <v>36</v>
      </c>
      <c r="M5466" s="12" t="s">
        <v>36</v>
      </c>
      <c r="N5466" s="12" t="s">
        <v>36</v>
      </c>
      <c r="O5466" s="17" t="s">
        <v>36</v>
      </c>
      <c r="P5466" s="12" t="s">
        <v>36</v>
      </c>
      <c r="Q5466" s="12" t="s">
        <v>36</v>
      </c>
      <c r="R5466" s="12" t="s">
        <v>36</v>
      </c>
      <c r="S5466" s="12" t="s">
        <v>36</v>
      </c>
      <c r="T5466" s="12" t="s">
        <v>25722</v>
      </c>
      <c r="U5466" s="12" t="s">
        <v>219</v>
      </c>
      <c r="V5466" s="12" t="s">
        <v>75</v>
      </c>
      <c r="W5466" s="12" t="s">
        <v>25723</v>
      </c>
      <c r="X5466" s="16" t="s">
        <v>20907</v>
      </c>
      <c r="Y5466" s="15" t="s">
        <v>42</v>
      </c>
      <c r="Z5466" s="14">
        <v>0.13</v>
      </c>
      <c r="AA5466" s="14">
        <v>1.7</v>
      </c>
      <c r="AB5466" s="12" t="s">
        <v>43</v>
      </c>
      <c r="AC5466" s="12" t="s">
        <v>25724</v>
      </c>
      <c r="AD5466" s="13">
        <v>43187</v>
      </c>
      <c r="AE5466" s="12" t="s">
        <v>1007</v>
      </c>
      <c r="AF5466" s="12" t="s">
        <v>36</v>
      </c>
      <c r="AG5466" s="12" t="s">
        <v>81</v>
      </c>
      <c r="AH5466" s="1">
        <f>HYPERLINK("https://my.pitchbook.com?c=125322-67T","View Company Online")</f>
      </c>
    </row>
    <row r="5467">
      <c r="A5467" s="3" t="s">
        <v>25725</v>
      </c>
      <c r="B5467" s="3" t="s">
        <v>23231</v>
      </c>
      <c r="C5467" s="5" t="s">
        <v>36</v>
      </c>
      <c r="D5467" s="5" t="s">
        <v>36</v>
      </c>
      <c r="E5467" s="5" t="s">
        <v>36</v>
      </c>
      <c r="F5467" s="5" t="s">
        <v>36</v>
      </c>
      <c r="G5467" s="6" t="s">
        <v>2497</v>
      </c>
      <c r="H5467" s="4">
        <v>2356.51</v>
      </c>
      <c r="I5467" s="7">
        <v>8.47</v>
      </c>
      <c r="J5467" s="3" t="s">
        <v>521</v>
      </c>
      <c r="K5467" s="9" t="s">
        <v>36</v>
      </c>
      <c r="L5467" s="6" t="s">
        <v>36</v>
      </c>
      <c r="M5467" s="3" t="s">
        <v>36</v>
      </c>
      <c r="N5467" s="3" t="s">
        <v>36</v>
      </c>
      <c r="O5467" s="8" t="s">
        <v>36</v>
      </c>
      <c r="P5467" s="3" t="s">
        <v>36</v>
      </c>
      <c r="Q5467" s="3" t="s">
        <v>36</v>
      </c>
      <c r="R5467" s="3" t="s">
        <v>36</v>
      </c>
      <c r="S5467" s="3" t="s">
        <v>36</v>
      </c>
      <c r="T5467" s="3" t="s">
        <v>4933</v>
      </c>
      <c r="U5467" s="3" t="s">
        <v>74</v>
      </c>
      <c r="V5467" s="3" t="s">
        <v>75</v>
      </c>
      <c r="W5467" s="3" t="s">
        <v>23232</v>
      </c>
      <c r="X5467" s="10" t="s">
        <v>25726</v>
      </c>
      <c r="Y5467" s="6" t="s">
        <v>108</v>
      </c>
      <c r="Z5467" s="4">
        <v>0.29</v>
      </c>
      <c r="AA5467" s="4">
        <v>3.37</v>
      </c>
      <c r="AB5467" s="3" t="s">
        <v>43</v>
      </c>
      <c r="AC5467" s="3" t="s">
        <v>23233</v>
      </c>
      <c r="AD5467" s="9">
        <v>43187</v>
      </c>
      <c r="AE5467" s="3" t="s">
        <v>79</v>
      </c>
      <c r="AF5467" s="3" t="s">
        <v>815</v>
      </c>
      <c r="AG5467" s="3" t="s">
        <v>5504</v>
      </c>
      <c r="AH5467" s="11">
        <f>HYPERLINK("https://my.pitchbook.com?c=141100-66T","View Company Online")</f>
      </c>
    </row>
    <row r="5468">
      <c r="A5468" s="12" t="s">
        <v>25727</v>
      </c>
      <c r="B5468" s="12" t="s">
        <v>25728</v>
      </c>
      <c r="C5468" s="19" t="s">
        <v>36</v>
      </c>
      <c r="D5468" s="19" t="s">
        <v>36</v>
      </c>
      <c r="E5468" s="19" t="s">
        <v>36</v>
      </c>
      <c r="F5468" s="19" t="s">
        <v>36</v>
      </c>
      <c r="G5468" s="15" t="s">
        <v>36</v>
      </c>
      <c r="H5468" s="14">
        <v>171.16</v>
      </c>
      <c r="I5468" s="18">
        <v>25.21</v>
      </c>
      <c r="J5468" s="12" t="s">
        <v>521</v>
      </c>
      <c r="K5468" s="13">
        <v>43174</v>
      </c>
      <c r="L5468" s="15" t="s">
        <v>122</v>
      </c>
      <c r="M5468" s="12" t="s">
        <v>36</v>
      </c>
      <c r="N5468" s="12" t="s">
        <v>122</v>
      </c>
      <c r="O5468" s="17" t="s">
        <v>36</v>
      </c>
      <c r="P5468" s="12" t="s">
        <v>36</v>
      </c>
      <c r="Q5468" s="12" t="s">
        <v>36</v>
      </c>
      <c r="R5468" s="12" t="s">
        <v>36</v>
      </c>
      <c r="S5468" s="12" t="s">
        <v>36</v>
      </c>
      <c r="T5468" s="12" t="s">
        <v>37</v>
      </c>
      <c r="U5468" s="12" t="s">
        <v>38</v>
      </c>
      <c r="V5468" s="12" t="s">
        <v>39</v>
      </c>
      <c r="W5468" s="12" t="s">
        <v>25729</v>
      </c>
      <c r="X5468" s="16" t="s">
        <v>25730</v>
      </c>
      <c r="Y5468" s="15" t="s">
        <v>55</v>
      </c>
      <c r="Z5468" s="14">
        <v>5.88</v>
      </c>
      <c r="AA5468" s="14">
        <v>23.32</v>
      </c>
      <c r="AB5468" s="12" t="s">
        <v>43</v>
      </c>
      <c r="AC5468" s="12" t="s">
        <v>25731</v>
      </c>
      <c r="AD5468" s="13">
        <v>43187</v>
      </c>
      <c r="AE5468" s="12" t="s">
        <v>45</v>
      </c>
      <c r="AF5468" s="12" t="s">
        <v>1257</v>
      </c>
      <c r="AG5468" s="12" t="s">
        <v>81</v>
      </c>
      <c r="AH5468" s="1">
        <f>HYPERLINK("https://my.pitchbook.com?c=116907-31T","View Company Online")</f>
      </c>
    </row>
    <row r="5469">
      <c r="A5469" s="3" t="s">
        <v>25732</v>
      </c>
      <c r="B5469" s="3" t="s">
        <v>10583</v>
      </c>
      <c r="C5469" s="5" t="s">
        <v>36</v>
      </c>
      <c r="D5469" s="5" t="s">
        <v>36</v>
      </c>
      <c r="E5469" s="5" t="s">
        <v>36</v>
      </c>
      <c r="F5469" s="5" t="s">
        <v>36</v>
      </c>
      <c r="G5469" s="6" t="s">
        <v>326</v>
      </c>
      <c r="H5469" s="4">
        <v>517.21</v>
      </c>
      <c r="I5469" s="7">
        <v>32.15</v>
      </c>
      <c r="J5469" s="3" t="s">
        <v>327</v>
      </c>
      <c r="K5469" s="9" t="s">
        <v>36</v>
      </c>
      <c r="L5469" s="6" t="s">
        <v>122</v>
      </c>
      <c r="M5469" s="3" t="s">
        <v>36</v>
      </c>
      <c r="N5469" s="3" t="s">
        <v>122</v>
      </c>
      <c r="O5469" s="8" t="s">
        <v>36</v>
      </c>
      <c r="P5469" s="3" t="s">
        <v>36</v>
      </c>
      <c r="Q5469" s="3" t="s">
        <v>36</v>
      </c>
      <c r="R5469" s="3" t="s">
        <v>36</v>
      </c>
      <c r="S5469" s="3" t="s">
        <v>36</v>
      </c>
      <c r="T5469" s="3" t="s">
        <v>464</v>
      </c>
      <c r="U5469" s="3" t="s">
        <v>38</v>
      </c>
      <c r="V5469" s="3" t="s">
        <v>39</v>
      </c>
      <c r="W5469" s="3" t="s">
        <v>10584</v>
      </c>
      <c r="X5469" s="10" t="s">
        <v>25733</v>
      </c>
      <c r="Y5469" s="6" t="s">
        <v>55</v>
      </c>
      <c r="Z5469" s="4">
        <v>6.16</v>
      </c>
      <c r="AA5469" s="4">
        <v>19.17</v>
      </c>
      <c r="AB5469" s="3" t="s">
        <v>43</v>
      </c>
      <c r="AC5469" s="3" t="s">
        <v>10586</v>
      </c>
      <c r="AD5469" s="9">
        <v>43186</v>
      </c>
      <c r="AE5469" s="3" t="s">
        <v>110</v>
      </c>
      <c r="AF5469" s="3" t="s">
        <v>468</v>
      </c>
      <c r="AG5469" s="3" t="s">
        <v>81</v>
      </c>
      <c r="AH5469" s="11">
        <f>HYPERLINK("https://my.pitchbook.com?c=103410-64T","View Company Online")</f>
      </c>
    </row>
    <row r="5470">
      <c r="A5470" s="12" t="s">
        <v>25734</v>
      </c>
      <c r="B5470" s="12" t="s">
        <v>25735</v>
      </c>
      <c r="C5470" s="19" t="s">
        <v>36</v>
      </c>
      <c r="D5470" s="19" t="s">
        <v>36</v>
      </c>
      <c r="E5470" s="19" t="s">
        <v>36</v>
      </c>
      <c r="F5470" s="19" t="s">
        <v>36</v>
      </c>
      <c r="G5470" s="15" t="s">
        <v>326</v>
      </c>
      <c r="H5470" s="14">
        <v>26.1</v>
      </c>
      <c r="I5470" s="18">
        <v>26.8</v>
      </c>
      <c r="J5470" s="12" t="s">
        <v>521</v>
      </c>
      <c r="K5470" s="13">
        <v>43087</v>
      </c>
      <c r="L5470" s="15" t="s">
        <v>36</v>
      </c>
      <c r="M5470" s="12" t="s">
        <v>36</v>
      </c>
      <c r="N5470" s="12" t="s">
        <v>36</v>
      </c>
      <c r="O5470" s="17" t="s">
        <v>36</v>
      </c>
      <c r="P5470" s="12" t="s">
        <v>36</v>
      </c>
      <c r="Q5470" s="12" t="s">
        <v>36</v>
      </c>
      <c r="R5470" s="12" t="s">
        <v>36</v>
      </c>
      <c r="S5470" s="12" t="s">
        <v>36</v>
      </c>
      <c r="T5470" s="12" t="s">
        <v>1701</v>
      </c>
      <c r="U5470" s="12" t="s">
        <v>74</v>
      </c>
      <c r="V5470" s="12" t="s">
        <v>75</v>
      </c>
      <c r="W5470" s="12" t="s">
        <v>25736</v>
      </c>
      <c r="X5470" s="16" t="s">
        <v>25737</v>
      </c>
      <c r="Y5470" s="15" t="s">
        <v>192</v>
      </c>
      <c r="Z5470" s="14">
        <v>2.42</v>
      </c>
      <c r="AA5470" s="14">
        <v>9.02</v>
      </c>
      <c r="AB5470" s="12" t="s">
        <v>56</v>
      </c>
      <c r="AC5470" s="12" t="s">
        <v>25738</v>
      </c>
      <c r="AD5470" s="13">
        <v>43186</v>
      </c>
      <c r="AE5470" s="12" t="s">
        <v>79</v>
      </c>
      <c r="AF5470" s="12" t="s">
        <v>256</v>
      </c>
      <c r="AG5470" s="12" t="s">
        <v>81</v>
      </c>
      <c r="AH5470" s="1">
        <f>HYPERLINK("https://my.pitchbook.com?c=107944-12T","View Company Online")</f>
      </c>
    </row>
    <row r="5471">
      <c r="A5471" s="3" t="s">
        <v>25739</v>
      </c>
      <c r="B5471" s="3" t="s">
        <v>25740</v>
      </c>
      <c r="C5471" s="5">
        <v>9</v>
      </c>
      <c r="D5471" s="5">
        <v>35</v>
      </c>
      <c r="E5471" s="5">
        <v>11</v>
      </c>
      <c r="F5471" s="5">
        <v>46</v>
      </c>
      <c r="G5471" s="6" t="s">
        <v>326</v>
      </c>
      <c r="H5471" s="4">
        <v>837.22</v>
      </c>
      <c r="I5471" s="7">
        <v>12.53</v>
      </c>
      <c r="J5471" s="3" t="s">
        <v>521</v>
      </c>
      <c r="K5471" s="9" t="s">
        <v>36</v>
      </c>
      <c r="L5471" s="6" t="s">
        <v>36</v>
      </c>
      <c r="M5471" s="3" t="s">
        <v>36</v>
      </c>
      <c r="N5471" s="3" t="s">
        <v>36</v>
      </c>
      <c r="O5471" s="8" t="s">
        <v>36</v>
      </c>
      <c r="P5471" s="3" t="s">
        <v>36</v>
      </c>
      <c r="Q5471" s="3" t="s">
        <v>36</v>
      </c>
      <c r="R5471" s="3" t="s">
        <v>36</v>
      </c>
      <c r="S5471" s="3" t="s">
        <v>36</v>
      </c>
      <c r="T5471" s="3" t="s">
        <v>10993</v>
      </c>
      <c r="U5471" s="3" t="s">
        <v>51</v>
      </c>
      <c r="V5471" s="3" t="s">
        <v>52</v>
      </c>
      <c r="W5471" s="3" t="s">
        <v>25741</v>
      </c>
      <c r="X5471" s="10" t="s">
        <v>15508</v>
      </c>
      <c r="Y5471" s="6" t="s">
        <v>108</v>
      </c>
      <c r="Z5471" s="4">
        <v>6.23</v>
      </c>
      <c r="AA5471" s="4">
        <v>24.87</v>
      </c>
      <c r="AB5471" s="3" t="s">
        <v>43</v>
      </c>
      <c r="AC5471" s="3" t="s">
        <v>25742</v>
      </c>
      <c r="AD5471" s="9">
        <v>43186</v>
      </c>
      <c r="AE5471" s="3" t="s">
        <v>158</v>
      </c>
      <c r="AF5471" s="3" t="s">
        <v>159</v>
      </c>
      <c r="AG5471" s="3" t="s">
        <v>3406</v>
      </c>
      <c r="AH5471" s="11">
        <f>HYPERLINK("https://my.pitchbook.com?c=131304-88T","View Company Online")</f>
      </c>
    </row>
    <row r="5472">
      <c r="A5472" s="12" t="s">
        <v>25743</v>
      </c>
      <c r="B5472" s="12" t="s">
        <v>25744</v>
      </c>
      <c r="C5472" s="19" t="s">
        <v>36</v>
      </c>
      <c r="D5472" s="19" t="s">
        <v>36</v>
      </c>
      <c r="E5472" s="19" t="s">
        <v>36</v>
      </c>
      <c r="F5472" s="19" t="s">
        <v>36</v>
      </c>
      <c r="G5472" s="15" t="s">
        <v>36</v>
      </c>
      <c r="H5472" s="14" t="s">
        <v>36</v>
      </c>
      <c r="I5472" s="18" t="s">
        <v>36</v>
      </c>
      <c r="J5472" s="12" t="s">
        <v>36</v>
      </c>
      <c r="K5472" s="13" t="s">
        <v>36</v>
      </c>
      <c r="L5472" s="15" t="s">
        <v>36</v>
      </c>
      <c r="M5472" s="12" t="s">
        <v>36</v>
      </c>
      <c r="N5472" s="12" t="s">
        <v>36</v>
      </c>
      <c r="O5472" s="17" t="s">
        <v>36</v>
      </c>
      <c r="P5472" s="12" t="s">
        <v>36</v>
      </c>
      <c r="Q5472" s="12" t="s">
        <v>36</v>
      </c>
      <c r="R5472" s="12" t="s">
        <v>36</v>
      </c>
      <c r="S5472" s="12" t="s">
        <v>453</v>
      </c>
      <c r="T5472" s="12" t="s">
        <v>25745</v>
      </c>
      <c r="U5472" s="12" t="s">
        <v>74</v>
      </c>
      <c r="V5472" s="12" t="s">
        <v>75</v>
      </c>
      <c r="W5472" s="12" t="s">
        <v>25746</v>
      </c>
      <c r="X5472" s="16" t="s">
        <v>25747</v>
      </c>
      <c r="Y5472" s="15" t="s">
        <v>42</v>
      </c>
      <c r="Z5472" s="14" t="s">
        <v>36</v>
      </c>
      <c r="AA5472" s="14" t="s">
        <v>36</v>
      </c>
      <c r="AB5472" s="12" t="s">
        <v>43</v>
      </c>
      <c r="AC5472" s="12" t="s">
        <v>25748</v>
      </c>
      <c r="AD5472" s="13">
        <v>43186</v>
      </c>
      <c r="AE5472" s="12" t="s">
        <v>975</v>
      </c>
      <c r="AF5472" s="12" t="s">
        <v>7379</v>
      </c>
      <c r="AG5472" s="12" t="s">
        <v>25749</v>
      </c>
      <c r="AH5472" s="1">
        <f>HYPERLINK("https://my.pitchbook.com?c=106442-65T","View Company Online")</f>
      </c>
    </row>
    <row r="5473">
      <c r="A5473" s="3" t="s">
        <v>25750</v>
      </c>
      <c r="B5473" s="3" t="s">
        <v>17520</v>
      </c>
      <c r="C5473" s="5">
        <v>40</v>
      </c>
      <c r="D5473" s="5">
        <v>39</v>
      </c>
      <c r="E5473" s="5">
        <v>36</v>
      </c>
      <c r="F5473" s="5">
        <v>98</v>
      </c>
      <c r="G5473" s="6" t="s">
        <v>683</v>
      </c>
      <c r="H5473" s="4">
        <v>8.57</v>
      </c>
      <c r="I5473" s="7">
        <v>39.22</v>
      </c>
      <c r="J5473" s="3" t="s">
        <v>521</v>
      </c>
      <c r="K5473" s="9" t="s">
        <v>36</v>
      </c>
      <c r="L5473" s="6" t="s">
        <v>94</v>
      </c>
      <c r="M5473" s="3" t="s">
        <v>36</v>
      </c>
      <c r="N5473" s="3" t="s">
        <v>94</v>
      </c>
      <c r="O5473" s="8" t="s">
        <v>36</v>
      </c>
      <c r="P5473" s="3" t="s">
        <v>36</v>
      </c>
      <c r="Q5473" s="3" t="s">
        <v>36</v>
      </c>
      <c r="R5473" s="3" t="s">
        <v>36</v>
      </c>
      <c r="S5473" s="3" t="s">
        <v>36</v>
      </c>
      <c r="T5473" s="3" t="s">
        <v>751</v>
      </c>
      <c r="U5473" s="3" t="s">
        <v>96</v>
      </c>
      <c r="V5473" s="3" t="s">
        <v>52</v>
      </c>
      <c r="W5473" s="3" t="s">
        <v>17521</v>
      </c>
      <c r="X5473" s="10" t="s">
        <v>25751</v>
      </c>
      <c r="Y5473" s="6" t="s">
        <v>108</v>
      </c>
      <c r="Z5473" s="4">
        <v>12.32</v>
      </c>
      <c r="AA5473" s="4">
        <v>31.42</v>
      </c>
      <c r="AB5473" s="3" t="s">
        <v>56</v>
      </c>
      <c r="AC5473" s="3" t="s">
        <v>17523</v>
      </c>
      <c r="AD5473" s="9">
        <v>43185</v>
      </c>
      <c r="AE5473" s="3" t="s">
        <v>755</v>
      </c>
      <c r="AF5473" s="3" t="s">
        <v>13878</v>
      </c>
      <c r="AG5473" s="3" t="s">
        <v>4619</v>
      </c>
      <c r="AH5473" s="11">
        <f>HYPERLINK("https://my.pitchbook.com?c=103816-18T","View Company Online")</f>
      </c>
    </row>
    <row r="5474">
      <c r="A5474" s="12" t="s">
        <v>25752</v>
      </c>
      <c r="B5474" s="12" t="s">
        <v>25753</v>
      </c>
      <c r="C5474" s="19" t="s">
        <v>36</v>
      </c>
      <c r="D5474" s="19" t="s">
        <v>36</v>
      </c>
      <c r="E5474" s="19" t="s">
        <v>36</v>
      </c>
      <c r="F5474" s="19" t="s">
        <v>36</v>
      </c>
      <c r="G5474" s="15" t="s">
        <v>326</v>
      </c>
      <c r="H5474" s="14">
        <v>13.92</v>
      </c>
      <c r="I5474" s="18">
        <v>27.24</v>
      </c>
      <c r="J5474" s="12" t="s">
        <v>521</v>
      </c>
      <c r="K5474" s="13">
        <v>43173</v>
      </c>
      <c r="L5474" s="15" t="s">
        <v>36</v>
      </c>
      <c r="M5474" s="12" t="s">
        <v>36</v>
      </c>
      <c r="N5474" s="12" t="s">
        <v>36</v>
      </c>
      <c r="O5474" s="17" t="s">
        <v>36</v>
      </c>
      <c r="P5474" s="12" t="s">
        <v>36</v>
      </c>
      <c r="Q5474" s="12" t="s">
        <v>36</v>
      </c>
      <c r="R5474" s="12" t="s">
        <v>36</v>
      </c>
      <c r="S5474" s="12" t="s">
        <v>36</v>
      </c>
      <c r="T5474" s="12" t="s">
        <v>25754</v>
      </c>
      <c r="U5474" s="12" t="s">
        <v>74</v>
      </c>
      <c r="V5474" s="12" t="s">
        <v>75</v>
      </c>
      <c r="W5474" s="12" t="s">
        <v>25755</v>
      </c>
      <c r="X5474" s="16" t="s">
        <v>25756</v>
      </c>
      <c r="Y5474" s="15" t="s">
        <v>108</v>
      </c>
      <c r="Z5474" s="14">
        <v>3.7</v>
      </c>
      <c r="AA5474" s="14">
        <v>6.79</v>
      </c>
      <c r="AB5474" s="12" t="s">
        <v>56</v>
      </c>
      <c r="AC5474" s="12" t="s">
        <v>25757</v>
      </c>
      <c r="AD5474" s="13">
        <v>43185</v>
      </c>
      <c r="AE5474" s="12" t="s">
        <v>696</v>
      </c>
      <c r="AF5474" s="12" t="s">
        <v>4200</v>
      </c>
      <c r="AG5474" s="12" t="s">
        <v>81</v>
      </c>
      <c r="AH5474" s="1">
        <f>HYPERLINK("https://my.pitchbook.com?c=102901-24T","View Company Online")</f>
      </c>
    </row>
    <row r="5475">
      <c r="A5475" s="3" t="s">
        <v>25758</v>
      </c>
      <c r="B5475" s="3" t="s">
        <v>25759</v>
      </c>
      <c r="C5475" s="5" t="s">
        <v>36</v>
      </c>
      <c r="D5475" s="5" t="s">
        <v>36</v>
      </c>
      <c r="E5475" s="5" t="s">
        <v>36</v>
      </c>
      <c r="F5475" s="5" t="s">
        <v>36</v>
      </c>
      <c r="G5475" s="6" t="s">
        <v>36</v>
      </c>
      <c r="H5475" s="4">
        <v>5.38</v>
      </c>
      <c r="I5475" s="7">
        <v>30.02</v>
      </c>
      <c r="J5475" s="3" t="s">
        <v>327</v>
      </c>
      <c r="K5475" s="9">
        <v>43110</v>
      </c>
      <c r="L5475" s="6" t="s">
        <v>36</v>
      </c>
      <c r="M5475" s="3" t="s">
        <v>36</v>
      </c>
      <c r="N5475" s="3" t="s">
        <v>36</v>
      </c>
      <c r="O5475" s="8" t="s">
        <v>36</v>
      </c>
      <c r="P5475" s="3" t="s">
        <v>36</v>
      </c>
      <c r="Q5475" s="3" t="s">
        <v>36</v>
      </c>
      <c r="R5475" s="3" t="s">
        <v>36</v>
      </c>
      <c r="S5475" s="3" t="s">
        <v>36</v>
      </c>
      <c r="T5475" s="3" t="s">
        <v>105</v>
      </c>
      <c r="U5475" s="3" t="s">
        <v>38</v>
      </c>
      <c r="V5475" s="3" t="s">
        <v>39</v>
      </c>
      <c r="W5475" s="3" t="s">
        <v>25760</v>
      </c>
      <c r="X5475" s="10" t="s">
        <v>25761</v>
      </c>
      <c r="Y5475" s="6" t="s">
        <v>42</v>
      </c>
      <c r="Z5475" s="4">
        <v>3.08</v>
      </c>
      <c r="AA5475" s="4">
        <v>8.2</v>
      </c>
      <c r="AB5475" s="3" t="s">
        <v>43</v>
      </c>
      <c r="AC5475" s="3" t="s">
        <v>25762</v>
      </c>
      <c r="AD5475" s="9">
        <v>43181</v>
      </c>
      <c r="AE5475" s="3" t="s">
        <v>110</v>
      </c>
      <c r="AF5475" s="3" t="s">
        <v>4552</v>
      </c>
      <c r="AG5475" s="3" t="s">
        <v>81</v>
      </c>
      <c r="AH5475" s="11">
        <f>HYPERLINK("https://my.pitchbook.com?c=102937-60T","View Company Online")</f>
      </c>
    </row>
    <row r="5476">
      <c r="A5476" s="12" t="s">
        <v>25763</v>
      </c>
      <c r="B5476" s="12" t="s">
        <v>20851</v>
      </c>
      <c r="C5476" s="19" t="s">
        <v>36</v>
      </c>
      <c r="D5476" s="19" t="s">
        <v>36</v>
      </c>
      <c r="E5476" s="19" t="s">
        <v>36</v>
      </c>
      <c r="F5476" s="19" t="s">
        <v>36</v>
      </c>
      <c r="G5476" s="15" t="s">
        <v>36</v>
      </c>
      <c r="H5476" s="14" t="s">
        <v>36</v>
      </c>
      <c r="I5476" s="18" t="s">
        <v>36</v>
      </c>
      <c r="J5476" s="12" t="s">
        <v>36</v>
      </c>
      <c r="K5476" s="13">
        <v>43070</v>
      </c>
      <c r="L5476" s="15" t="s">
        <v>36</v>
      </c>
      <c r="M5476" s="12" t="s">
        <v>36</v>
      </c>
      <c r="N5476" s="12" t="s">
        <v>36</v>
      </c>
      <c r="O5476" s="17" t="s">
        <v>36</v>
      </c>
      <c r="P5476" s="12" t="s">
        <v>36</v>
      </c>
      <c r="Q5476" s="12" t="s">
        <v>36</v>
      </c>
      <c r="R5476" s="12" t="s">
        <v>36</v>
      </c>
      <c r="S5476" s="12" t="s">
        <v>36</v>
      </c>
      <c r="T5476" s="12" t="s">
        <v>1162</v>
      </c>
      <c r="U5476" s="12" t="s">
        <v>423</v>
      </c>
      <c r="V5476" s="12" t="s">
        <v>64</v>
      </c>
      <c r="W5476" s="12" t="s">
        <v>20852</v>
      </c>
      <c r="X5476" s="16" t="s">
        <v>15402</v>
      </c>
      <c r="Y5476" s="15" t="s">
        <v>108</v>
      </c>
      <c r="Z5476" s="14">
        <v>2.83</v>
      </c>
      <c r="AA5476" s="14" t="s">
        <v>36</v>
      </c>
      <c r="AB5476" s="12" t="s">
        <v>43</v>
      </c>
      <c r="AC5476" s="12" t="s">
        <v>20854</v>
      </c>
      <c r="AD5476" s="13">
        <v>43181</v>
      </c>
      <c r="AE5476" s="12" t="s">
        <v>562</v>
      </c>
      <c r="AF5476" s="12" t="s">
        <v>7222</v>
      </c>
      <c r="AG5476" s="12" t="s">
        <v>47</v>
      </c>
      <c r="AH5476" s="1">
        <f>HYPERLINK("https://my.pitchbook.com?c=107533-63T","View Company Online")</f>
      </c>
    </row>
    <row r="5477">
      <c r="A5477" s="3" t="s">
        <v>25764</v>
      </c>
      <c r="B5477" s="3" t="s">
        <v>5393</v>
      </c>
      <c r="C5477" s="5" t="s">
        <v>36</v>
      </c>
      <c r="D5477" s="5" t="s">
        <v>36</v>
      </c>
      <c r="E5477" s="5" t="s">
        <v>36</v>
      </c>
      <c r="F5477" s="5" t="s">
        <v>36</v>
      </c>
      <c r="G5477" s="6" t="s">
        <v>326</v>
      </c>
      <c r="H5477" s="4" t="s">
        <v>36</v>
      </c>
      <c r="I5477" s="7">
        <v>38.31</v>
      </c>
      <c r="J5477" s="3" t="s">
        <v>521</v>
      </c>
      <c r="K5477" s="9" t="s">
        <v>36</v>
      </c>
      <c r="L5477" s="6" t="s">
        <v>122</v>
      </c>
      <c r="M5477" s="3" t="s">
        <v>36</v>
      </c>
      <c r="N5477" s="3" t="s">
        <v>122</v>
      </c>
      <c r="O5477" s="8" t="s">
        <v>36</v>
      </c>
      <c r="P5477" s="3" t="s">
        <v>36</v>
      </c>
      <c r="Q5477" s="3" t="s">
        <v>36</v>
      </c>
      <c r="R5477" s="3" t="s">
        <v>36</v>
      </c>
      <c r="S5477" s="3" t="s">
        <v>36</v>
      </c>
      <c r="T5477" s="3" t="s">
        <v>5394</v>
      </c>
      <c r="U5477" s="3" t="s">
        <v>85</v>
      </c>
      <c r="V5477" s="3" t="s">
        <v>64</v>
      </c>
      <c r="W5477" s="3" t="s">
        <v>5395</v>
      </c>
      <c r="X5477" s="10" t="s">
        <v>25765</v>
      </c>
      <c r="Y5477" s="6" t="s">
        <v>55</v>
      </c>
      <c r="Z5477" s="4">
        <v>5.54</v>
      </c>
      <c r="AA5477" s="4">
        <v>14.28</v>
      </c>
      <c r="AB5477" s="3" t="s">
        <v>43</v>
      </c>
      <c r="AC5477" s="3" t="s">
        <v>5397</v>
      </c>
      <c r="AD5477" s="9">
        <v>43181</v>
      </c>
      <c r="AE5477" s="3" t="s">
        <v>89</v>
      </c>
      <c r="AF5477" s="3" t="s">
        <v>5398</v>
      </c>
      <c r="AG5477" s="3" t="s">
        <v>81</v>
      </c>
      <c r="AH5477" s="11">
        <f>HYPERLINK("https://my.pitchbook.com?c=104509-36T","View Company Online")</f>
      </c>
    </row>
    <row r="5478">
      <c r="A5478" s="12" t="s">
        <v>25766</v>
      </c>
      <c r="B5478" s="12" t="s">
        <v>7795</v>
      </c>
      <c r="C5478" s="19" t="s">
        <v>36</v>
      </c>
      <c r="D5478" s="19" t="s">
        <v>36</v>
      </c>
      <c r="E5478" s="19" t="s">
        <v>36</v>
      </c>
      <c r="F5478" s="19" t="s">
        <v>36</v>
      </c>
      <c r="G5478" s="15" t="s">
        <v>36</v>
      </c>
      <c r="H5478" s="14" t="s">
        <v>36</v>
      </c>
      <c r="I5478" s="18" t="s">
        <v>36</v>
      </c>
      <c r="J5478" s="12" t="s">
        <v>36</v>
      </c>
      <c r="K5478" s="13" t="s">
        <v>36</v>
      </c>
      <c r="L5478" s="15" t="s">
        <v>36</v>
      </c>
      <c r="M5478" s="12" t="s">
        <v>36</v>
      </c>
      <c r="N5478" s="12" t="s">
        <v>36</v>
      </c>
      <c r="O5478" s="17" t="s">
        <v>36</v>
      </c>
      <c r="P5478" s="12" t="s">
        <v>36</v>
      </c>
      <c r="Q5478" s="12" t="s">
        <v>36</v>
      </c>
      <c r="R5478" s="12" t="s">
        <v>36</v>
      </c>
      <c r="S5478" s="12" t="s">
        <v>36</v>
      </c>
      <c r="T5478" s="12" t="s">
        <v>522</v>
      </c>
      <c r="U5478" s="12" t="s">
        <v>38</v>
      </c>
      <c r="V5478" s="12" t="s">
        <v>39</v>
      </c>
      <c r="W5478" s="12" t="s">
        <v>7796</v>
      </c>
      <c r="X5478" s="16" t="s">
        <v>25767</v>
      </c>
      <c r="Y5478" s="15" t="s">
        <v>108</v>
      </c>
      <c r="Z5478" s="14">
        <v>0.69</v>
      </c>
      <c r="AA5478" s="14" t="s">
        <v>36</v>
      </c>
      <c r="AB5478" s="12" t="s">
        <v>43</v>
      </c>
      <c r="AC5478" s="12" t="s">
        <v>7798</v>
      </c>
      <c r="AD5478" s="13">
        <v>43181</v>
      </c>
      <c r="AE5478" s="12" t="s">
        <v>110</v>
      </c>
      <c r="AF5478" s="12" t="s">
        <v>1401</v>
      </c>
      <c r="AG5478" s="12" t="s">
        <v>3527</v>
      </c>
      <c r="AH5478" s="1">
        <f>HYPERLINK("https://my.pitchbook.com?c=128355-67T","View Company Online")</f>
      </c>
    </row>
    <row r="5479">
      <c r="A5479" s="3" t="s">
        <v>25768</v>
      </c>
      <c r="B5479" s="3" t="s">
        <v>12250</v>
      </c>
      <c r="C5479" s="5" t="s">
        <v>36</v>
      </c>
      <c r="D5479" s="5" t="s">
        <v>36</v>
      </c>
      <c r="E5479" s="5" t="s">
        <v>36</v>
      </c>
      <c r="F5479" s="5" t="s">
        <v>36</v>
      </c>
      <c r="G5479" s="6" t="s">
        <v>36</v>
      </c>
      <c r="H5479" s="4">
        <v>36.89</v>
      </c>
      <c r="I5479" s="7">
        <v>10.64</v>
      </c>
      <c r="J5479" s="3" t="s">
        <v>521</v>
      </c>
      <c r="K5479" s="9">
        <v>43153</v>
      </c>
      <c r="L5479" s="6" t="s">
        <v>36</v>
      </c>
      <c r="M5479" s="3" t="s">
        <v>36</v>
      </c>
      <c r="N5479" s="3" t="s">
        <v>36</v>
      </c>
      <c r="O5479" s="8" t="s">
        <v>36</v>
      </c>
      <c r="P5479" s="3" t="s">
        <v>36</v>
      </c>
      <c r="Q5479" s="3" t="s">
        <v>36</v>
      </c>
      <c r="R5479" s="3" t="s">
        <v>36</v>
      </c>
      <c r="S5479" s="3" t="s">
        <v>36</v>
      </c>
      <c r="T5479" s="3" t="s">
        <v>6989</v>
      </c>
      <c r="U5479" s="3" t="s">
        <v>63</v>
      </c>
      <c r="V5479" s="3" t="s">
        <v>64</v>
      </c>
      <c r="W5479" s="3" t="s">
        <v>12251</v>
      </c>
      <c r="X5479" s="10" t="s">
        <v>25769</v>
      </c>
      <c r="Y5479" s="6" t="s">
        <v>42</v>
      </c>
      <c r="Z5479" s="4">
        <v>0.38</v>
      </c>
      <c r="AA5479" s="4">
        <v>1.24</v>
      </c>
      <c r="AB5479" s="3" t="s">
        <v>43</v>
      </c>
      <c r="AC5479" s="3" t="s">
        <v>12253</v>
      </c>
      <c r="AD5479" s="9">
        <v>43180</v>
      </c>
      <c r="AE5479" s="3" t="s">
        <v>68</v>
      </c>
      <c r="AF5479" s="3" t="s">
        <v>36</v>
      </c>
      <c r="AG5479" s="3" t="s">
        <v>12254</v>
      </c>
      <c r="AH5479" s="11">
        <f>HYPERLINK("https://my.pitchbook.com?c=104204-89T","View Company Online")</f>
      </c>
    </row>
    <row r="5480">
      <c r="A5480" s="12" t="s">
        <v>25770</v>
      </c>
      <c r="B5480" s="12" t="s">
        <v>25771</v>
      </c>
      <c r="C5480" s="19">
        <v>8</v>
      </c>
      <c r="D5480" s="19">
        <v>19</v>
      </c>
      <c r="E5480" s="19">
        <v>9</v>
      </c>
      <c r="F5480" s="19">
        <v>40</v>
      </c>
      <c r="G5480" s="15" t="s">
        <v>36</v>
      </c>
      <c r="H5480" s="14">
        <v>176.56</v>
      </c>
      <c r="I5480" s="18">
        <v>15.81</v>
      </c>
      <c r="J5480" s="12" t="s">
        <v>521</v>
      </c>
      <c r="K5480" s="13" t="s">
        <v>36</v>
      </c>
      <c r="L5480" s="15" t="s">
        <v>122</v>
      </c>
      <c r="M5480" s="12" t="s">
        <v>36</v>
      </c>
      <c r="N5480" s="12" t="s">
        <v>122</v>
      </c>
      <c r="O5480" s="17" t="s">
        <v>36</v>
      </c>
      <c r="P5480" s="12" t="s">
        <v>36</v>
      </c>
      <c r="Q5480" s="12" t="s">
        <v>36</v>
      </c>
      <c r="R5480" s="12" t="s">
        <v>36</v>
      </c>
      <c r="S5480" s="12" t="s">
        <v>2489</v>
      </c>
      <c r="T5480" s="12" t="s">
        <v>25772</v>
      </c>
      <c r="U5480" s="12" t="s">
        <v>318</v>
      </c>
      <c r="V5480" s="12" t="s">
        <v>39</v>
      </c>
      <c r="W5480" s="12" t="s">
        <v>25773</v>
      </c>
      <c r="X5480" s="16" t="s">
        <v>25774</v>
      </c>
      <c r="Y5480" s="15" t="s">
        <v>42</v>
      </c>
      <c r="Z5480" s="14">
        <v>5.82</v>
      </c>
      <c r="AA5480" s="14">
        <v>36.8</v>
      </c>
      <c r="AB5480" s="12" t="s">
        <v>56</v>
      </c>
      <c r="AC5480" s="12" t="s">
        <v>25775</v>
      </c>
      <c r="AD5480" s="13">
        <v>43180</v>
      </c>
      <c r="AE5480" s="12" t="s">
        <v>763</v>
      </c>
      <c r="AF5480" s="12" t="s">
        <v>25776</v>
      </c>
      <c r="AG5480" s="12" t="s">
        <v>382</v>
      </c>
      <c r="AH5480" s="1">
        <f>HYPERLINK("https://my.pitchbook.com?c=134241-13T","View Company Online")</f>
      </c>
    </row>
    <row r="5481">
      <c r="A5481" s="3" t="s">
        <v>25777</v>
      </c>
      <c r="B5481" s="3" t="s">
        <v>25778</v>
      </c>
      <c r="C5481" s="5" t="s">
        <v>36</v>
      </c>
      <c r="D5481" s="5">
        <v>2</v>
      </c>
      <c r="E5481" s="5">
        <v>1</v>
      </c>
      <c r="F5481" s="5">
        <v>2</v>
      </c>
      <c r="G5481" s="6" t="s">
        <v>326</v>
      </c>
      <c r="H5481" s="4">
        <v>6.26</v>
      </c>
      <c r="I5481" s="7">
        <v>18.73</v>
      </c>
      <c r="J5481" s="3" t="s">
        <v>521</v>
      </c>
      <c r="K5481" s="9">
        <v>43054</v>
      </c>
      <c r="L5481" s="6" t="s">
        <v>122</v>
      </c>
      <c r="M5481" s="3" t="s">
        <v>36</v>
      </c>
      <c r="N5481" s="3" t="s">
        <v>122</v>
      </c>
      <c r="O5481" s="8" t="s">
        <v>36</v>
      </c>
      <c r="P5481" s="3" t="s">
        <v>36</v>
      </c>
      <c r="Q5481" s="3" t="s">
        <v>36</v>
      </c>
      <c r="R5481" s="3" t="s">
        <v>36</v>
      </c>
      <c r="S5481" s="3" t="s">
        <v>36</v>
      </c>
      <c r="T5481" s="3" t="s">
        <v>1701</v>
      </c>
      <c r="U5481" s="3" t="s">
        <v>74</v>
      </c>
      <c r="V5481" s="3" t="s">
        <v>75</v>
      </c>
      <c r="W5481" s="3" t="s">
        <v>25779</v>
      </c>
      <c r="X5481" s="10" t="s">
        <v>25780</v>
      </c>
      <c r="Y5481" s="6" t="s">
        <v>108</v>
      </c>
      <c r="Z5481" s="4">
        <v>3.18</v>
      </c>
      <c r="AA5481" s="4">
        <v>8.48</v>
      </c>
      <c r="AB5481" s="3" t="s">
        <v>43</v>
      </c>
      <c r="AC5481" s="3" t="s">
        <v>25781</v>
      </c>
      <c r="AD5481" s="9">
        <v>43179</v>
      </c>
      <c r="AE5481" s="3" t="s">
        <v>79</v>
      </c>
      <c r="AF5481" s="3" t="s">
        <v>1331</v>
      </c>
      <c r="AG5481" s="3" t="s">
        <v>16218</v>
      </c>
      <c r="AH5481" s="11">
        <f>HYPERLINK("https://my.pitchbook.com?c=102696-85T","View Company Online")</f>
      </c>
    </row>
    <row r="5482">
      <c r="A5482" s="12" t="s">
        <v>25782</v>
      </c>
      <c r="B5482" s="12" t="s">
        <v>25783</v>
      </c>
      <c r="C5482" s="19" t="s">
        <v>36</v>
      </c>
      <c r="D5482" s="19" t="s">
        <v>36</v>
      </c>
      <c r="E5482" s="19" t="s">
        <v>36</v>
      </c>
      <c r="F5482" s="19" t="s">
        <v>36</v>
      </c>
      <c r="G5482" s="15" t="s">
        <v>36</v>
      </c>
      <c r="H5482" s="14">
        <v>124.63</v>
      </c>
      <c r="I5482" s="18">
        <v>24.19</v>
      </c>
      <c r="J5482" s="12" t="s">
        <v>521</v>
      </c>
      <c r="K5482" s="13" t="s">
        <v>36</v>
      </c>
      <c r="L5482" s="15" t="s">
        <v>36</v>
      </c>
      <c r="M5482" s="12" t="s">
        <v>36</v>
      </c>
      <c r="N5482" s="12" t="s">
        <v>36</v>
      </c>
      <c r="O5482" s="17" t="s">
        <v>36</v>
      </c>
      <c r="P5482" s="12" t="s">
        <v>36</v>
      </c>
      <c r="Q5482" s="12" t="s">
        <v>36</v>
      </c>
      <c r="R5482" s="12" t="s">
        <v>36</v>
      </c>
      <c r="S5482" s="12" t="s">
        <v>36</v>
      </c>
      <c r="T5482" s="12" t="s">
        <v>25784</v>
      </c>
      <c r="U5482" s="12" t="s">
        <v>63</v>
      </c>
      <c r="V5482" s="12" t="s">
        <v>64</v>
      </c>
      <c r="W5482" s="12" t="s">
        <v>25785</v>
      </c>
      <c r="X5482" s="16" t="s">
        <v>19677</v>
      </c>
      <c r="Y5482" s="15" t="s">
        <v>42</v>
      </c>
      <c r="Z5482" s="14">
        <v>0.71</v>
      </c>
      <c r="AA5482" s="14">
        <v>2.93</v>
      </c>
      <c r="AB5482" s="12" t="s">
        <v>56</v>
      </c>
      <c r="AC5482" s="12" t="s">
        <v>25786</v>
      </c>
      <c r="AD5482" s="13">
        <v>43178</v>
      </c>
      <c r="AE5482" s="12" t="s">
        <v>4310</v>
      </c>
      <c r="AF5482" s="12" t="s">
        <v>176</v>
      </c>
      <c r="AG5482" s="12" t="s">
        <v>81</v>
      </c>
      <c r="AH5482" s="1">
        <f>HYPERLINK("https://my.pitchbook.com?c=108259-66T","View Company Online")</f>
      </c>
    </row>
    <row r="5483">
      <c r="A5483" s="3" t="s">
        <v>25787</v>
      </c>
      <c r="B5483" s="3" t="s">
        <v>17919</v>
      </c>
      <c r="C5483" s="5">
        <v>8</v>
      </c>
      <c r="D5483" s="5">
        <v>9</v>
      </c>
      <c r="E5483" s="5">
        <v>7</v>
      </c>
      <c r="F5483" s="5">
        <v>17</v>
      </c>
      <c r="G5483" s="6" t="s">
        <v>36</v>
      </c>
      <c r="H5483" s="4">
        <v>28.07</v>
      </c>
      <c r="I5483" s="7">
        <v>22.19</v>
      </c>
      <c r="J5483" s="3" t="s">
        <v>521</v>
      </c>
      <c r="K5483" s="9" t="s">
        <v>36</v>
      </c>
      <c r="L5483" s="6" t="s">
        <v>36</v>
      </c>
      <c r="M5483" s="3" t="s">
        <v>36</v>
      </c>
      <c r="N5483" s="3" t="s">
        <v>36</v>
      </c>
      <c r="O5483" s="8" t="s">
        <v>36</v>
      </c>
      <c r="P5483" s="3" t="s">
        <v>36</v>
      </c>
      <c r="Q5483" s="3" t="s">
        <v>36</v>
      </c>
      <c r="R5483" s="3" t="s">
        <v>36</v>
      </c>
      <c r="S5483" s="3" t="s">
        <v>36</v>
      </c>
      <c r="T5483" s="3" t="s">
        <v>3790</v>
      </c>
      <c r="U5483" s="3" t="s">
        <v>318</v>
      </c>
      <c r="V5483" s="3" t="s">
        <v>39</v>
      </c>
      <c r="W5483" s="3" t="s">
        <v>17920</v>
      </c>
      <c r="X5483" s="10" t="s">
        <v>25788</v>
      </c>
      <c r="Y5483" s="6" t="s">
        <v>42</v>
      </c>
      <c r="Z5483" s="4">
        <v>0.35</v>
      </c>
      <c r="AA5483" s="4">
        <v>1.58</v>
      </c>
      <c r="AB5483" s="3" t="s">
        <v>43</v>
      </c>
      <c r="AC5483" s="3" t="s">
        <v>17922</v>
      </c>
      <c r="AD5483" s="9">
        <v>43178</v>
      </c>
      <c r="AE5483" s="3" t="s">
        <v>763</v>
      </c>
      <c r="AF5483" s="3" t="s">
        <v>4477</v>
      </c>
      <c r="AG5483" s="3" t="s">
        <v>3288</v>
      </c>
      <c r="AH5483" s="11">
        <f>HYPERLINK("https://my.pitchbook.com?c=131216-23T","View Company Online")</f>
      </c>
    </row>
    <row r="5484">
      <c r="A5484" s="12" t="s">
        <v>25789</v>
      </c>
      <c r="B5484" s="12" t="s">
        <v>16759</v>
      </c>
      <c r="C5484" s="19" t="s">
        <v>36</v>
      </c>
      <c r="D5484" s="19" t="s">
        <v>36</v>
      </c>
      <c r="E5484" s="19" t="s">
        <v>36</v>
      </c>
      <c r="F5484" s="19" t="s">
        <v>36</v>
      </c>
      <c r="G5484" s="15" t="s">
        <v>326</v>
      </c>
      <c r="H5484" s="14" t="s">
        <v>36</v>
      </c>
      <c r="I5484" s="18">
        <v>35.47</v>
      </c>
      <c r="J5484" s="12" t="s">
        <v>327</v>
      </c>
      <c r="K5484" s="13" t="s">
        <v>36</v>
      </c>
      <c r="L5484" s="15" t="s">
        <v>122</v>
      </c>
      <c r="M5484" s="12" t="s">
        <v>36</v>
      </c>
      <c r="N5484" s="12" t="s">
        <v>122</v>
      </c>
      <c r="O5484" s="17" t="s">
        <v>36</v>
      </c>
      <c r="P5484" s="12" t="s">
        <v>36</v>
      </c>
      <c r="Q5484" s="12" t="s">
        <v>36</v>
      </c>
      <c r="R5484" s="12" t="s">
        <v>36</v>
      </c>
      <c r="S5484" s="12" t="s">
        <v>36</v>
      </c>
      <c r="T5484" s="12" t="s">
        <v>16760</v>
      </c>
      <c r="U5484" s="12" t="s">
        <v>648</v>
      </c>
      <c r="V5484" s="12" t="s">
        <v>64</v>
      </c>
      <c r="W5484" s="12" t="s">
        <v>16761</v>
      </c>
      <c r="X5484" s="16" t="s">
        <v>25790</v>
      </c>
      <c r="Y5484" s="15" t="s">
        <v>108</v>
      </c>
      <c r="Z5484" s="14">
        <v>11.55</v>
      </c>
      <c r="AA5484" s="14">
        <v>32.56</v>
      </c>
      <c r="AB5484" s="12" t="s">
        <v>56</v>
      </c>
      <c r="AC5484" s="12" t="s">
        <v>16763</v>
      </c>
      <c r="AD5484" s="13">
        <v>43178</v>
      </c>
      <c r="AE5484" s="12" t="s">
        <v>3988</v>
      </c>
      <c r="AF5484" s="12" t="s">
        <v>16764</v>
      </c>
      <c r="AG5484" s="12" t="s">
        <v>81</v>
      </c>
      <c r="AH5484" s="1">
        <f>HYPERLINK("https://my.pitchbook.com?c=103040-92T","View Company Online")</f>
      </c>
    </row>
    <row r="5485">
      <c r="A5485" s="3" t="s">
        <v>25791</v>
      </c>
      <c r="B5485" s="3" t="s">
        <v>25792</v>
      </c>
      <c r="C5485" s="5" t="s">
        <v>36</v>
      </c>
      <c r="D5485" s="5">
        <v>2</v>
      </c>
      <c r="E5485" s="5">
        <v>2</v>
      </c>
      <c r="F5485" s="5">
        <v>3</v>
      </c>
      <c r="G5485" s="6" t="s">
        <v>36</v>
      </c>
      <c r="H5485" s="4">
        <v>59.34</v>
      </c>
      <c r="I5485" s="7">
        <v>34.73</v>
      </c>
      <c r="J5485" s="3" t="s">
        <v>521</v>
      </c>
      <c r="K5485" s="9" t="s">
        <v>36</v>
      </c>
      <c r="L5485" s="6" t="s">
        <v>36</v>
      </c>
      <c r="M5485" s="3" t="s">
        <v>36</v>
      </c>
      <c r="N5485" s="3" t="s">
        <v>36</v>
      </c>
      <c r="O5485" s="8" t="s">
        <v>36</v>
      </c>
      <c r="P5485" s="3" t="s">
        <v>36</v>
      </c>
      <c r="Q5485" s="3" t="s">
        <v>36</v>
      </c>
      <c r="R5485" s="3" t="s">
        <v>36</v>
      </c>
      <c r="S5485" s="3" t="s">
        <v>36</v>
      </c>
      <c r="T5485" s="3" t="s">
        <v>25793</v>
      </c>
      <c r="U5485" s="3" t="s">
        <v>219</v>
      </c>
      <c r="V5485" s="3" t="s">
        <v>75</v>
      </c>
      <c r="W5485" s="3" t="s">
        <v>25794</v>
      </c>
      <c r="X5485" s="10" t="s">
        <v>12909</v>
      </c>
      <c r="Y5485" s="6" t="s">
        <v>42</v>
      </c>
      <c r="Z5485" s="4">
        <v>0.24</v>
      </c>
      <c r="AA5485" s="4">
        <v>0.68</v>
      </c>
      <c r="AB5485" s="3" t="s">
        <v>43</v>
      </c>
      <c r="AC5485" s="3" t="s">
        <v>25795</v>
      </c>
      <c r="AD5485" s="9">
        <v>43178</v>
      </c>
      <c r="AE5485" s="3" t="s">
        <v>223</v>
      </c>
      <c r="AF5485" s="3" t="s">
        <v>36</v>
      </c>
      <c r="AG5485" s="3" t="s">
        <v>12911</v>
      </c>
      <c r="AH5485" s="11">
        <f>HYPERLINK("https://my.pitchbook.com?c=135163-36T","View Company Online")</f>
      </c>
    </row>
    <row r="5486">
      <c r="A5486" s="12" t="s">
        <v>25796</v>
      </c>
      <c r="B5486" s="12" t="s">
        <v>25797</v>
      </c>
      <c r="C5486" s="19">
        <v>4</v>
      </c>
      <c r="D5486" s="19">
        <v>59</v>
      </c>
      <c r="E5486" s="19">
        <v>10</v>
      </c>
      <c r="F5486" s="19">
        <v>66</v>
      </c>
      <c r="G5486" s="15" t="s">
        <v>326</v>
      </c>
      <c r="H5486" s="14">
        <v>438.22</v>
      </c>
      <c r="I5486" s="18">
        <v>20</v>
      </c>
      <c r="J5486" s="12" t="s">
        <v>521</v>
      </c>
      <c r="K5486" s="13" t="s">
        <v>36</v>
      </c>
      <c r="L5486" s="15" t="s">
        <v>36</v>
      </c>
      <c r="M5486" s="12" t="s">
        <v>36</v>
      </c>
      <c r="N5486" s="12" t="s">
        <v>36</v>
      </c>
      <c r="O5486" s="17" t="s">
        <v>36</v>
      </c>
      <c r="P5486" s="12" t="s">
        <v>36</v>
      </c>
      <c r="Q5486" s="12" t="s">
        <v>36</v>
      </c>
      <c r="R5486" s="12" t="s">
        <v>36</v>
      </c>
      <c r="S5486" s="12" t="s">
        <v>36</v>
      </c>
      <c r="T5486" s="12" t="s">
        <v>365</v>
      </c>
      <c r="U5486" s="12" t="s">
        <v>366</v>
      </c>
      <c r="V5486" s="12" t="s">
        <v>367</v>
      </c>
      <c r="W5486" s="12" t="s">
        <v>25798</v>
      </c>
      <c r="X5486" s="16" t="s">
        <v>25799</v>
      </c>
      <c r="Y5486" s="15" t="s">
        <v>192</v>
      </c>
      <c r="Z5486" s="14">
        <v>2.47</v>
      </c>
      <c r="AA5486" s="14">
        <v>12.33</v>
      </c>
      <c r="AB5486" s="12" t="s">
        <v>56</v>
      </c>
      <c r="AC5486" s="12" t="s">
        <v>25800</v>
      </c>
      <c r="AD5486" s="13">
        <v>43175</v>
      </c>
      <c r="AE5486" s="12" t="s">
        <v>371</v>
      </c>
      <c r="AF5486" s="12" t="s">
        <v>17559</v>
      </c>
      <c r="AG5486" s="12" t="s">
        <v>899</v>
      </c>
      <c r="AH5486" s="1">
        <f>HYPERLINK("https://my.pitchbook.com?c=105669-73T","View Company Online")</f>
      </c>
    </row>
    <row r="5487">
      <c r="A5487" s="3" t="s">
        <v>25801</v>
      </c>
      <c r="B5487" s="3" t="s">
        <v>25802</v>
      </c>
      <c r="C5487" s="5" t="s">
        <v>36</v>
      </c>
      <c r="D5487" s="5" t="s">
        <v>36</v>
      </c>
      <c r="E5487" s="5" t="s">
        <v>36</v>
      </c>
      <c r="F5487" s="5" t="s">
        <v>36</v>
      </c>
      <c r="G5487" s="6" t="s">
        <v>683</v>
      </c>
      <c r="H5487" s="4">
        <v>8.31</v>
      </c>
      <c r="I5487" s="7">
        <v>10.7</v>
      </c>
      <c r="J5487" s="3" t="s">
        <v>521</v>
      </c>
      <c r="K5487" s="9" t="s">
        <v>36</v>
      </c>
      <c r="L5487" s="6" t="s">
        <v>36</v>
      </c>
      <c r="M5487" s="3" t="s">
        <v>36</v>
      </c>
      <c r="N5487" s="3" t="s">
        <v>36</v>
      </c>
      <c r="O5487" s="8" t="s">
        <v>36</v>
      </c>
      <c r="P5487" s="3" t="s">
        <v>36</v>
      </c>
      <c r="Q5487" s="3" t="s">
        <v>36</v>
      </c>
      <c r="R5487" s="3" t="s">
        <v>36</v>
      </c>
      <c r="S5487" s="3" t="s">
        <v>36</v>
      </c>
      <c r="T5487" s="3" t="s">
        <v>25803</v>
      </c>
      <c r="U5487" s="3" t="s">
        <v>38</v>
      </c>
      <c r="V5487" s="3" t="s">
        <v>39</v>
      </c>
      <c r="W5487" s="3" t="s">
        <v>25804</v>
      </c>
      <c r="X5487" s="10" t="s">
        <v>25805</v>
      </c>
      <c r="Y5487" s="6" t="s">
        <v>192</v>
      </c>
      <c r="Z5487" s="4">
        <v>0.54</v>
      </c>
      <c r="AA5487" s="4">
        <v>5.07</v>
      </c>
      <c r="AB5487" s="3" t="s">
        <v>56</v>
      </c>
      <c r="AC5487" s="3" t="s">
        <v>25806</v>
      </c>
      <c r="AD5487" s="9">
        <v>43175</v>
      </c>
      <c r="AE5487" s="3" t="s">
        <v>1422</v>
      </c>
      <c r="AF5487" s="3" t="s">
        <v>4842</v>
      </c>
      <c r="AG5487" s="3" t="s">
        <v>81</v>
      </c>
      <c r="AH5487" s="11">
        <f>HYPERLINK("https://my.pitchbook.com?c=201987-91T","View Company Online")</f>
      </c>
    </row>
    <row r="5488">
      <c r="A5488" s="12" t="s">
        <v>25807</v>
      </c>
      <c r="B5488" s="12" t="s">
        <v>25808</v>
      </c>
      <c r="C5488" s="19" t="s">
        <v>36</v>
      </c>
      <c r="D5488" s="19" t="s">
        <v>36</v>
      </c>
      <c r="E5488" s="19" t="s">
        <v>36</v>
      </c>
      <c r="F5488" s="19" t="s">
        <v>36</v>
      </c>
      <c r="G5488" s="15" t="s">
        <v>36</v>
      </c>
      <c r="H5488" s="14">
        <v>592.06</v>
      </c>
      <c r="I5488" s="18">
        <v>25.99</v>
      </c>
      <c r="J5488" s="12" t="s">
        <v>521</v>
      </c>
      <c r="K5488" s="13" t="s">
        <v>36</v>
      </c>
      <c r="L5488" s="15" t="s">
        <v>122</v>
      </c>
      <c r="M5488" s="12" t="s">
        <v>36</v>
      </c>
      <c r="N5488" s="12" t="s">
        <v>122</v>
      </c>
      <c r="O5488" s="17" t="s">
        <v>36</v>
      </c>
      <c r="P5488" s="12" t="s">
        <v>36</v>
      </c>
      <c r="Q5488" s="12" t="s">
        <v>36</v>
      </c>
      <c r="R5488" s="12" t="s">
        <v>36</v>
      </c>
      <c r="S5488" s="12" t="s">
        <v>36</v>
      </c>
      <c r="T5488" s="12" t="s">
        <v>4917</v>
      </c>
      <c r="U5488" s="12" t="s">
        <v>38</v>
      </c>
      <c r="V5488" s="12" t="s">
        <v>39</v>
      </c>
      <c r="W5488" s="12" t="s">
        <v>25809</v>
      </c>
      <c r="X5488" s="16" t="s">
        <v>25810</v>
      </c>
      <c r="Y5488" s="15" t="s">
        <v>42</v>
      </c>
      <c r="Z5488" s="14">
        <v>0.99</v>
      </c>
      <c r="AA5488" s="14">
        <v>3.8</v>
      </c>
      <c r="AB5488" s="12" t="s">
        <v>43</v>
      </c>
      <c r="AC5488" s="12" t="s">
        <v>25811</v>
      </c>
      <c r="AD5488" s="13">
        <v>43175</v>
      </c>
      <c r="AE5488" s="12" t="s">
        <v>134</v>
      </c>
      <c r="AF5488" s="12" t="s">
        <v>135</v>
      </c>
      <c r="AG5488" s="12" t="s">
        <v>25812</v>
      </c>
      <c r="AH5488" s="1">
        <f>HYPERLINK("https://my.pitchbook.com?c=129255-13T","View Company Online")</f>
      </c>
    </row>
    <row r="5489">
      <c r="A5489" s="3" t="s">
        <v>25813</v>
      </c>
      <c r="B5489" s="3" t="s">
        <v>25814</v>
      </c>
      <c r="C5489" s="5" t="s">
        <v>36</v>
      </c>
      <c r="D5489" s="5" t="s">
        <v>36</v>
      </c>
      <c r="E5489" s="5" t="s">
        <v>36</v>
      </c>
      <c r="F5489" s="5" t="s">
        <v>36</v>
      </c>
      <c r="G5489" s="6" t="s">
        <v>36</v>
      </c>
      <c r="H5489" s="4" t="s">
        <v>36</v>
      </c>
      <c r="I5489" s="7" t="s">
        <v>36</v>
      </c>
      <c r="J5489" s="3" t="s">
        <v>36</v>
      </c>
      <c r="K5489" s="9" t="s">
        <v>36</v>
      </c>
      <c r="L5489" s="6" t="s">
        <v>36</v>
      </c>
      <c r="M5489" s="3" t="s">
        <v>36</v>
      </c>
      <c r="N5489" s="3" t="s">
        <v>36</v>
      </c>
      <c r="O5489" s="8" t="s">
        <v>36</v>
      </c>
      <c r="P5489" s="3" t="s">
        <v>36</v>
      </c>
      <c r="Q5489" s="3" t="s">
        <v>36</v>
      </c>
      <c r="R5489" s="3" t="s">
        <v>36</v>
      </c>
      <c r="S5489" s="3" t="s">
        <v>36</v>
      </c>
      <c r="T5489" s="3" t="s">
        <v>21580</v>
      </c>
      <c r="U5489" s="3" t="s">
        <v>1357</v>
      </c>
      <c r="V5489" s="3" t="s">
        <v>52</v>
      </c>
      <c r="W5489" s="3" t="s">
        <v>25815</v>
      </c>
      <c r="X5489" s="10" t="s">
        <v>25816</v>
      </c>
      <c r="Y5489" s="6" t="s">
        <v>42</v>
      </c>
      <c r="Z5489" s="4">
        <v>30</v>
      </c>
      <c r="AA5489" s="4" t="s">
        <v>36</v>
      </c>
      <c r="AB5489" s="3" t="s">
        <v>56</v>
      </c>
      <c r="AC5489" s="3" t="s">
        <v>25817</v>
      </c>
      <c r="AD5489" s="9">
        <v>43174</v>
      </c>
      <c r="AE5489" s="3" t="s">
        <v>3204</v>
      </c>
      <c r="AF5489" s="3" t="s">
        <v>25818</v>
      </c>
      <c r="AG5489" s="3" t="s">
        <v>81</v>
      </c>
      <c r="AH5489" s="11">
        <f>HYPERLINK("https://my.pitchbook.com?c=105911-29T","View Company Online")</f>
      </c>
    </row>
    <row r="5490">
      <c r="A5490" s="12" t="s">
        <v>25819</v>
      </c>
      <c r="B5490" s="12" t="s">
        <v>25820</v>
      </c>
      <c r="C5490" s="19" t="s">
        <v>36</v>
      </c>
      <c r="D5490" s="19" t="s">
        <v>36</v>
      </c>
      <c r="E5490" s="19" t="s">
        <v>36</v>
      </c>
      <c r="F5490" s="19" t="s">
        <v>36</v>
      </c>
      <c r="G5490" s="15" t="s">
        <v>326</v>
      </c>
      <c r="H5490" s="14">
        <v>1407.25</v>
      </c>
      <c r="I5490" s="18">
        <v>35.64</v>
      </c>
      <c r="J5490" s="12" t="s">
        <v>521</v>
      </c>
      <c r="K5490" s="13" t="s">
        <v>36</v>
      </c>
      <c r="L5490" s="15" t="s">
        <v>1862</v>
      </c>
      <c r="M5490" s="12" t="s">
        <v>36</v>
      </c>
      <c r="N5490" s="12" t="s">
        <v>1862</v>
      </c>
      <c r="O5490" s="17" t="s">
        <v>36</v>
      </c>
      <c r="P5490" s="12" t="s">
        <v>36</v>
      </c>
      <c r="Q5490" s="12" t="s">
        <v>36</v>
      </c>
      <c r="R5490" s="12" t="s">
        <v>36</v>
      </c>
      <c r="S5490" s="12" t="s">
        <v>6531</v>
      </c>
      <c r="T5490" s="12" t="s">
        <v>647</v>
      </c>
      <c r="U5490" s="12" t="s">
        <v>648</v>
      </c>
      <c r="V5490" s="12" t="s">
        <v>64</v>
      </c>
      <c r="W5490" s="12" t="s">
        <v>25821</v>
      </c>
      <c r="X5490" s="16" t="s">
        <v>25822</v>
      </c>
      <c r="Y5490" s="15" t="s">
        <v>108</v>
      </c>
      <c r="Z5490" s="14">
        <v>3.09</v>
      </c>
      <c r="AA5490" s="14">
        <v>8.66</v>
      </c>
      <c r="AB5490" s="12" t="s">
        <v>43</v>
      </c>
      <c r="AC5490" s="12" t="s">
        <v>25823</v>
      </c>
      <c r="AD5490" s="13">
        <v>43174</v>
      </c>
      <c r="AE5490" s="12" t="s">
        <v>651</v>
      </c>
      <c r="AF5490" s="12" t="s">
        <v>25824</v>
      </c>
      <c r="AG5490" s="12" t="s">
        <v>25825</v>
      </c>
      <c r="AH5490" s="1">
        <f>HYPERLINK("https://my.pitchbook.com?c=116160-49T","View Company Online")</f>
      </c>
    </row>
    <row r="5491">
      <c r="A5491" s="3" t="s">
        <v>25826</v>
      </c>
      <c r="B5491" s="3" t="s">
        <v>16230</v>
      </c>
      <c r="C5491" s="5" t="s">
        <v>36</v>
      </c>
      <c r="D5491" s="5" t="s">
        <v>36</v>
      </c>
      <c r="E5491" s="5" t="s">
        <v>36</v>
      </c>
      <c r="F5491" s="5" t="s">
        <v>36</v>
      </c>
      <c r="G5491" s="6" t="s">
        <v>36</v>
      </c>
      <c r="H5491" s="4">
        <v>9.09</v>
      </c>
      <c r="I5491" s="7">
        <v>26.72</v>
      </c>
      <c r="J5491" s="3" t="s">
        <v>521</v>
      </c>
      <c r="K5491" s="9">
        <v>43076</v>
      </c>
      <c r="L5491" s="6" t="s">
        <v>36</v>
      </c>
      <c r="M5491" s="3" t="s">
        <v>36</v>
      </c>
      <c r="N5491" s="3" t="s">
        <v>36</v>
      </c>
      <c r="O5491" s="8" t="s">
        <v>36</v>
      </c>
      <c r="P5491" s="3" t="s">
        <v>36</v>
      </c>
      <c r="Q5491" s="3" t="s">
        <v>36</v>
      </c>
      <c r="R5491" s="3" t="s">
        <v>36</v>
      </c>
      <c r="S5491" s="3" t="s">
        <v>36</v>
      </c>
      <c r="T5491" s="3" t="s">
        <v>16231</v>
      </c>
      <c r="U5491" s="3" t="s">
        <v>16232</v>
      </c>
      <c r="V5491" s="3" t="s">
        <v>405</v>
      </c>
      <c r="W5491" s="3" t="s">
        <v>16233</v>
      </c>
      <c r="X5491" s="10" t="s">
        <v>25827</v>
      </c>
      <c r="Y5491" s="6" t="s">
        <v>42</v>
      </c>
      <c r="Z5491" s="4">
        <v>7.87</v>
      </c>
      <c r="AA5491" s="4">
        <v>29.47</v>
      </c>
      <c r="AB5491" s="3" t="s">
        <v>43</v>
      </c>
      <c r="AC5491" s="3" t="s">
        <v>16235</v>
      </c>
      <c r="AD5491" s="9">
        <v>43173</v>
      </c>
      <c r="AE5491" s="3" t="s">
        <v>16236</v>
      </c>
      <c r="AF5491" s="3" t="s">
        <v>215</v>
      </c>
      <c r="AG5491" s="3" t="s">
        <v>81</v>
      </c>
      <c r="AH5491" s="11">
        <f>HYPERLINK("https://my.pitchbook.com?c=102904-93T","View Company Online")</f>
      </c>
    </row>
    <row r="5492">
      <c r="A5492" s="12" t="s">
        <v>25828</v>
      </c>
      <c r="B5492" s="12" t="s">
        <v>25829</v>
      </c>
      <c r="C5492" s="19" t="s">
        <v>36</v>
      </c>
      <c r="D5492" s="19" t="s">
        <v>36</v>
      </c>
      <c r="E5492" s="19" t="s">
        <v>36</v>
      </c>
      <c r="F5492" s="19" t="s">
        <v>36</v>
      </c>
      <c r="G5492" s="15" t="s">
        <v>36</v>
      </c>
      <c r="H5492" s="14" t="s">
        <v>36</v>
      </c>
      <c r="I5492" s="18" t="s">
        <v>36</v>
      </c>
      <c r="J5492" s="12" t="s">
        <v>36</v>
      </c>
      <c r="K5492" s="13" t="s">
        <v>36</v>
      </c>
      <c r="L5492" s="15" t="s">
        <v>36</v>
      </c>
      <c r="M5492" s="12" t="s">
        <v>36</v>
      </c>
      <c r="N5492" s="12" t="s">
        <v>36</v>
      </c>
      <c r="O5492" s="17" t="s">
        <v>36</v>
      </c>
      <c r="P5492" s="12" t="s">
        <v>36</v>
      </c>
      <c r="Q5492" s="12" t="s">
        <v>36</v>
      </c>
      <c r="R5492" s="12" t="s">
        <v>36</v>
      </c>
      <c r="S5492" s="12" t="s">
        <v>36</v>
      </c>
      <c r="T5492" s="12" t="s">
        <v>6159</v>
      </c>
      <c r="U5492" s="12" t="s">
        <v>648</v>
      </c>
      <c r="V5492" s="12" t="s">
        <v>64</v>
      </c>
      <c r="W5492" s="12" t="s">
        <v>25830</v>
      </c>
      <c r="X5492" s="16" t="s">
        <v>25831</v>
      </c>
      <c r="Y5492" s="15" t="s">
        <v>55</v>
      </c>
      <c r="Z5492" s="14">
        <v>3.7</v>
      </c>
      <c r="AA5492" s="14" t="s">
        <v>36</v>
      </c>
      <c r="AB5492" s="12" t="s">
        <v>43</v>
      </c>
      <c r="AC5492" s="12" t="s">
        <v>25832</v>
      </c>
      <c r="AD5492" s="13">
        <v>43172</v>
      </c>
      <c r="AE5492" s="12" t="s">
        <v>3988</v>
      </c>
      <c r="AF5492" s="12" t="s">
        <v>4842</v>
      </c>
      <c r="AG5492" s="12" t="s">
        <v>81</v>
      </c>
      <c r="AH5492" s="1">
        <f>HYPERLINK("https://my.pitchbook.com?c=102694-87T","View Company Online")</f>
      </c>
    </row>
    <row r="5493">
      <c r="A5493" s="3" t="s">
        <v>25833</v>
      </c>
      <c r="B5493" s="3" t="s">
        <v>10115</v>
      </c>
      <c r="C5493" s="5" t="s">
        <v>36</v>
      </c>
      <c r="D5493" s="5" t="s">
        <v>36</v>
      </c>
      <c r="E5493" s="5" t="s">
        <v>36</v>
      </c>
      <c r="F5493" s="5" t="s">
        <v>36</v>
      </c>
      <c r="G5493" s="6" t="s">
        <v>683</v>
      </c>
      <c r="H5493" s="4">
        <v>11.1</v>
      </c>
      <c r="I5493" s="7">
        <v>19.7</v>
      </c>
      <c r="J5493" s="3" t="s">
        <v>521</v>
      </c>
      <c r="K5493" s="9" t="s">
        <v>36</v>
      </c>
      <c r="L5493" s="6" t="s">
        <v>122</v>
      </c>
      <c r="M5493" s="3" t="s">
        <v>36</v>
      </c>
      <c r="N5493" s="3" t="s">
        <v>122</v>
      </c>
      <c r="O5493" s="8" t="s">
        <v>36</v>
      </c>
      <c r="P5493" s="3" t="s">
        <v>36</v>
      </c>
      <c r="Q5493" s="3" t="s">
        <v>36</v>
      </c>
      <c r="R5493" s="3" t="s">
        <v>36</v>
      </c>
      <c r="S5493" s="3" t="s">
        <v>36</v>
      </c>
      <c r="T5493" s="3" t="s">
        <v>10116</v>
      </c>
      <c r="U5493" s="3" t="s">
        <v>289</v>
      </c>
      <c r="V5493" s="3" t="s">
        <v>64</v>
      </c>
      <c r="W5493" s="3" t="s">
        <v>10117</v>
      </c>
      <c r="X5493" s="10" t="s">
        <v>25834</v>
      </c>
      <c r="Y5493" s="6" t="s">
        <v>55</v>
      </c>
      <c r="Z5493" s="4">
        <v>6.37</v>
      </c>
      <c r="AA5493" s="4">
        <v>32.33</v>
      </c>
      <c r="AB5493" s="3" t="s">
        <v>56</v>
      </c>
      <c r="AC5493" s="3" t="s">
        <v>10119</v>
      </c>
      <c r="AD5493" s="9">
        <v>43171</v>
      </c>
      <c r="AE5493" s="3" t="s">
        <v>292</v>
      </c>
      <c r="AF5493" s="3" t="s">
        <v>90</v>
      </c>
      <c r="AG5493" s="3" t="s">
        <v>10120</v>
      </c>
      <c r="AH5493" s="11">
        <f>HYPERLINK("https://my.pitchbook.com?c=121872-61T","View Company Online")</f>
      </c>
    </row>
    <row r="5494">
      <c r="A5494" s="12" t="s">
        <v>25835</v>
      </c>
      <c r="B5494" s="12" t="s">
        <v>25836</v>
      </c>
      <c r="C5494" s="19" t="s">
        <v>36</v>
      </c>
      <c r="D5494" s="19" t="s">
        <v>36</v>
      </c>
      <c r="E5494" s="19" t="s">
        <v>36</v>
      </c>
      <c r="F5494" s="19" t="s">
        <v>36</v>
      </c>
      <c r="G5494" s="15" t="s">
        <v>36</v>
      </c>
      <c r="H5494" s="14">
        <v>37.39</v>
      </c>
      <c r="I5494" s="18">
        <v>10.99</v>
      </c>
      <c r="J5494" s="12" t="s">
        <v>521</v>
      </c>
      <c r="K5494" s="13" t="s">
        <v>36</v>
      </c>
      <c r="L5494" s="15" t="s">
        <v>36</v>
      </c>
      <c r="M5494" s="12" t="s">
        <v>36</v>
      </c>
      <c r="N5494" s="12" t="s">
        <v>36</v>
      </c>
      <c r="O5494" s="17" t="s">
        <v>36</v>
      </c>
      <c r="P5494" s="12" t="s">
        <v>36</v>
      </c>
      <c r="Q5494" s="12" t="s">
        <v>36</v>
      </c>
      <c r="R5494" s="12" t="s">
        <v>36</v>
      </c>
      <c r="S5494" s="12" t="s">
        <v>36</v>
      </c>
      <c r="T5494" s="12" t="s">
        <v>1701</v>
      </c>
      <c r="U5494" s="12" t="s">
        <v>74</v>
      </c>
      <c r="V5494" s="12" t="s">
        <v>75</v>
      </c>
      <c r="W5494" s="12" t="s">
        <v>25837</v>
      </c>
      <c r="X5494" s="16" t="s">
        <v>23312</v>
      </c>
      <c r="Y5494" s="15" t="s">
        <v>42</v>
      </c>
      <c r="Z5494" s="14">
        <v>0.12</v>
      </c>
      <c r="AA5494" s="14">
        <v>1.12</v>
      </c>
      <c r="AB5494" s="12" t="s">
        <v>43</v>
      </c>
      <c r="AC5494" s="12" t="s">
        <v>25838</v>
      </c>
      <c r="AD5494" s="13">
        <v>43171</v>
      </c>
      <c r="AE5494" s="12" t="s">
        <v>79</v>
      </c>
      <c r="AF5494" s="12" t="s">
        <v>1401</v>
      </c>
      <c r="AG5494" s="12" t="s">
        <v>102</v>
      </c>
      <c r="AH5494" s="1">
        <f>HYPERLINK("https://my.pitchbook.com?c=191195-11T","View Company Online")</f>
      </c>
    </row>
    <row r="5495">
      <c r="A5495" s="3" t="s">
        <v>25839</v>
      </c>
      <c r="B5495" s="3" t="s">
        <v>25840</v>
      </c>
      <c r="C5495" s="5">
        <v>2</v>
      </c>
      <c r="D5495" s="5">
        <v>9</v>
      </c>
      <c r="E5495" s="5">
        <v>4</v>
      </c>
      <c r="F5495" s="5">
        <v>11</v>
      </c>
      <c r="G5495" s="6" t="s">
        <v>36</v>
      </c>
      <c r="H5495" s="4">
        <v>271.07</v>
      </c>
      <c r="I5495" s="7">
        <v>21.05</v>
      </c>
      <c r="J5495" s="3" t="s">
        <v>521</v>
      </c>
      <c r="K5495" s="9" t="s">
        <v>36</v>
      </c>
      <c r="L5495" s="6" t="s">
        <v>36</v>
      </c>
      <c r="M5495" s="3" t="s">
        <v>36</v>
      </c>
      <c r="N5495" s="3" t="s">
        <v>36</v>
      </c>
      <c r="O5495" s="8" t="s">
        <v>36</v>
      </c>
      <c r="P5495" s="3" t="s">
        <v>36</v>
      </c>
      <c r="Q5495" s="3" t="s">
        <v>36</v>
      </c>
      <c r="R5495" s="3" t="s">
        <v>36</v>
      </c>
      <c r="S5495" s="3" t="s">
        <v>36</v>
      </c>
      <c r="T5495" s="3" t="s">
        <v>818</v>
      </c>
      <c r="U5495" s="3" t="s">
        <v>74</v>
      </c>
      <c r="V5495" s="3" t="s">
        <v>75</v>
      </c>
      <c r="W5495" s="3" t="s">
        <v>25841</v>
      </c>
      <c r="X5495" s="10" t="s">
        <v>25842</v>
      </c>
      <c r="Y5495" s="6" t="s">
        <v>108</v>
      </c>
      <c r="Z5495" s="4">
        <v>0.99</v>
      </c>
      <c r="AA5495" s="4">
        <v>4.69</v>
      </c>
      <c r="AB5495" s="3" t="s">
        <v>56</v>
      </c>
      <c r="AC5495" s="3" t="s">
        <v>25843</v>
      </c>
      <c r="AD5495" s="9">
        <v>43171</v>
      </c>
      <c r="AE5495" s="3" t="s">
        <v>570</v>
      </c>
      <c r="AF5495" s="3" t="s">
        <v>25844</v>
      </c>
      <c r="AG5495" s="3" t="s">
        <v>2246</v>
      </c>
      <c r="AH5495" s="11">
        <f>HYPERLINK("https://my.pitchbook.com?c=194005-00T","View Company Online")</f>
      </c>
    </row>
    <row r="5496">
      <c r="A5496" s="12" t="s">
        <v>25845</v>
      </c>
      <c r="B5496" s="12" t="s">
        <v>25846</v>
      </c>
      <c r="C5496" s="19" t="s">
        <v>36</v>
      </c>
      <c r="D5496" s="19" t="s">
        <v>36</v>
      </c>
      <c r="E5496" s="19" t="s">
        <v>36</v>
      </c>
      <c r="F5496" s="19" t="s">
        <v>36</v>
      </c>
      <c r="G5496" s="15" t="s">
        <v>36</v>
      </c>
      <c r="H5496" s="14" t="s">
        <v>36</v>
      </c>
      <c r="I5496" s="18" t="s">
        <v>36</v>
      </c>
      <c r="J5496" s="12" t="s">
        <v>36</v>
      </c>
      <c r="K5496" s="13" t="s">
        <v>36</v>
      </c>
      <c r="L5496" s="15" t="s">
        <v>36</v>
      </c>
      <c r="M5496" s="12" t="s">
        <v>36</v>
      </c>
      <c r="N5496" s="12" t="s">
        <v>36</v>
      </c>
      <c r="O5496" s="17" t="s">
        <v>36</v>
      </c>
      <c r="P5496" s="12" t="s">
        <v>36</v>
      </c>
      <c r="Q5496" s="12" t="s">
        <v>36</v>
      </c>
      <c r="R5496" s="12" t="s">
        <v>36</v>
      </c>
      <c r="S5496" s="12" t="s">
        <v>36</v>
      </c>
      <c r="T5496" s="12" t="s">
        <v>522</v>
      </c>
      <c r="U5496" s="12" t="s">
        <v>38</v>
      </c>
      <c r="V5496" s="12" t="s">
        <v>39</v>
      </c>
      <c r="W5496" s="12" t="s">
        <v>25847</v>
      </c>
      <c r="X5496" s="16" t="s">
        <v>25848</v>
      </c>
      <c r="Y5496" s="15" t="s">
        <v>108</v>
      </c>
      <c r="Z5496" s="14">
        <v>2.47</v>
      </c>
      <c r="AA5496" s="14" t="s">
        <v>36</v>
      </c>
      <c r="AB5496" s="12" t="s">
        <v>56</v>
      </c>
      <c r="AC5496" s="12" t="s">
        <v>25849</v>
      </c>
      <c r="AD5496" s="13">
        <v>43170</v>
      </c>
      <c r="AE5496" s="12" t="s">
        <v>110</v>
      </c>
      <c r="AF5496" s="12" t="s">
        <v>22104</v>
      </c>
      <c r="AG5496" s="12" t="s">
        <v>81</v>
      </c>
      <c r="AH5496" s="1">
        <f>HYPERLINK("https://my.pitchbook.com?c=118763-92T","View Company Online")</f>
      </c>
    </row>
    <row r="5497">
      <c r="A5497" s="3" t="s">
        <v>25850</v>
      </c>
      <c r="B5497" s="3" t="s">
        <v>25851</v>
      </c>
      <c r="C5497" s="5" t="s">
        <v>36</v>
      </c>
      <c r="D5497" s="5" t="s">
        <v>36</v>
      </c>
      <c r="E5497" s="5" t="s">
        <v>36</v>
      </c>
      <c r="F5497" s="5" t="s">
        <v>36</v>
      </c>
      <c r="G5497" s="6" t="s">
        <v>326</v>
      </c>
      <c r="H5497" s="4">
        <v>1995.09</v>
      </c>
      <c r="I5497" s="7">
        <v>32.72</v>
      </c>
      <c r="J5497" s="3" t="s">
        <v>521</v>
      </c>
      <c r="K5497" s="9" t="s">
        <v>36</v>
      </c>
      <c r="L5497" s="6" t="s">
        <v>122</v>
      </c>
      <c r="M5497" s="3" t="s">
        <v>36</v>
      </c>
      <c r="N5497" s="3" t="s">
        <v>122</v>
      </c>
      <c r="O5497" s="8" t="s">
        <v>36</v>
      </c>
      <c r="P5497" s="3" t="s">
        <v>36</v>
      </c>
      <c r="Q5497" s="3" t="s">
        <v>36</v>
      </c>
      <c r="R5497" s="3" t="s">
        <v>36</v>
      </c>
      <c r="S5497" s="3" t="s">
        <v>36</v>
      </c>
      <c r="T5497" s="3" t="s">
        <v>25852</v>
      </c>
      <c r="U5497" s="3" t="s">
        <v>289</v>
      </c>
      <c r="V5497" s="3" t="s">
        <v>64</v>
      </c>
      <c r="W5497" s="3" t="s">
        <v>25853</v>
      </c>
      <c r="X5497" s="10" t="s">
        <v>25854</v>
      </c>
      <c r="Y5497" s="6" t="s">
        <v>42</v>
      </c>
      <c r="Z5497" s="4">
        <v>1.86</v>
      </c>
      <c r="AA5497" s="4">
        <v>5.68</v>
      </c>
      <c r="AB5497" s="3" t="s">
        <v>43</v>
      </c>
      <c r="AC5497" s="3" t="s">
        <v>25855</v>
      </c>
      <c r="AD5497" s="9">
        <v>43168</v>
      </c>
      <c r="AE5497" s="3" t="s">
        <v>292</v>
      </c>
      <c r="AF5497" s="3" t="s">
        <v>8032</v>
      </c>
      <c r="AG5497" s="3" t="s">
        <v>81</v>
      </c>
      <c r="AH5497" s="11">
        <f>HYPERLINK("https://my.pitchbook.com?c=179897-68T","View Company Online")</f>
      </c>
    </row>
    <row r="5498">
      <c r="A5498" s="12" t="s">
        <v>25856</v>
      </c>
      <c r="B5498" s="12" t="s">
        <v>25857</v>
      </c>
      <c r="C5498" s="19" t="s">
        <v>36</v>
      </c>
      <c r="D5498" s="19" t="s">
        <v>36</v>
      </c>
      <c r="E5498" s="19" t="s">
        <v>36</v>
      </c>
      <c r="F5498" s="19" t="s">
        <v>36</v>
      </c>
      <c r="G5498" s="15" t="s">
        <v>36</v>
      </c>
      <c r="H5498" s="14" t="s">
        <v>36</v>
      </c>
      <c r="I5498" s="18" t="s">
        <v>36</v>
      </c>
      <c r="J5498" s="12" t="s">
        <v>36</v>
      </c>
      <c r="K5498" s="13" t="s">
        <v>36</v>
      </c>
      <c r="L5498" s="15" t="s">
        <v>36</v>
      </c>
      <c r="M5498" s="12" t="s">
        <v>36</v>
      </c>
      <c r="N5498" s="12" t="s">
        <v>36</v>
      </c>
      <c r="O5498" s="17" t="s">
        <v>36</v>
      </c>
      <c r="P5498" s="12" t="s">
        <v>36</v>
      </c>
      <c r="Q5498" s="12" t="s">
        <v>36</v>
      </c>
      <c r="R5498" s="12" t="s">
        <v>36</v>
      </c>
      <c r="S5498" s="12" t="s">
        <v>36</v>
      </c>
      <c r="T5498" s="12" t="s">
        <v>4640</v>
      </c>
      <c r="U5498" s="12" t="s">
        <v>833</v>
      </c>
      <c r="V5498" s="12" t="s">
        <v>64</v>
      </c>
      <c r="W5498" s="12" t="s">
        <v>25858</v>
      </c>
      <c r="X5498" s="16" t="s">
        <v>25859</v>
      </c>
      <c r="Y5498" s="15" t="s">
        <v>42</v>
      </c>
      <c r="Z5498" s="14">
        <v>3.7</v>
      </c>
      <c r="AA5498" s="14" t="s">
        <v>36</v>
      </c>
      <c r="AB5498" s="12" t="s">
        <v>56</v>
      </c>
      <c r="AC5498" s="12" t="s">
        <v>25860</v>
      </c>
      <c r="AD5498" s="13">
        <v>43167</v>
      </c>
      <c r="AE5498" s="12" t="s">
        <v>1687</v>
      </c>
      <c r="AF5498" s="12" t="s">
        <v>36</v>
      </c>
      <c r="AG5498" s="12" t="s">
        <v>25861</v>
      </c>
      <c r="AH5498" s="1">
        <f>HYPERLINK("https://my.pitchbook.com?c=118213-39T","View Company Online")</f>
      </c>
    </row>
    <row r="5499">
      <c r="A5499" s="3" t="s">
        <v>25862</v>
      </c>
      <c r="B5499" s="3" t="s">
        <v>13487</v>
      </c>
      <c r="C5499" s="5" t="s">
        <v>36</v>
      </c>
      <c r="D5499" s="5" t="s">
        <v>36</v>
      </c>
      <c r="E5499" s="5" t="s">
        <v>36</v>
      </c>
      <c r="F5499" s="5" t="s">
        <v>36</v>
      </c>
      <c r="G5499" s="6" t="s">
        <v>36</v>
      </c>
      <c r="H5499" s="4">
        <v>498.51</v>
      </c>
      <c r="I5499" s="7">
        <v>27.21</v>
      </c>
      <c r="J5499" s="3" t="s">
        <v>521</v>
      </c>
      <c r="K5499" s="9" t="s">
        <v>36</v>
      </c>
      <c r="L5499" s="6" t="s">
        <v>36</v>
      </c>
      <c r="M5499" s="3" t="s">
        <v>36</v>
      </c>
      <c r="N5499" s="3" t="s">
        <v>36</v>
      </c>
      <c r="O5499" s="8" t="s">
        <v>36</v>
      </c>
      <c r="P5499" s="3" t="s">
        <v>36</v>
      </c>
      <c r="Q5499" s="3" t="s">
        <v>36</v>
      </c>
      <c r="R5499" s="3" t="s">
        <v>36</v>
      </c>
      <c r="S5499" s="3" t="s">
        <v>36</v>
      </c>
      <c r="T5499" s="3" t="s">
        <v>422</v>
      </c>
      <c r="U5499" s="3" t="s">
        <v>423</v>
      </c>
      <c r="V5499" s="3" t="s">
        <v>64</v>
      </c>
      <c r="W5499" s="3" t="s">
        <v>13488</v>
      </c>
      <c r="X5499" s="10" t="s">
        <v>221</v>
      </c>
      <c r="Y5499" s="6" t="s">
        <v>42</v>
      </c>
      <c r="Z5499" s="4">
        <v>1.1</v>
      </c>
      <c r="AA5499" s="4">
        <v>4.05</v>
      </c>
      <c r="AB5499" s="3" t="s">
        <v>43</v>
      </c>
      <c r="AC5499" s="3" t="s">
        <v>13489</v>
      </c>
      <c r="AD5499" s="9">
        <v>43167</v>
      </c>
      <c r="AE5499" s="3" t="s">
        <v>427</v>
      </c>
      <c r="AF5499" s="3" t="s">
        <v>90</v>
      </c>
      <c r="AG5499" s="3" t="s">
        <v>81</v>
      </c>
      <c r="AH5499" s="11">
        <f>HYPERLINK("https://my.pitchbook.com?c=120289-15T","View Company Online")</f>
      </c>
    </row>
    <row r="5500">
      <c r="A5500" s="12" t="s">
        <v>25863</v>
      </c>
      <c r="B5500" s="12" t="s">
        <v>14830</v>
      </c>
      <c r="C5500" s="19" t="s">
        <v>36</v>
      </c>
      <c r="D5500" s="19" t="s">
        <v>36</v>
      </c>
      <c r="E5500" s="19" t="s">
        <v>36</v>
      </c>
      <c r="F5500" s="19" t="s">
        <v>36</v>
      </c>
      <c r="G5500" s="15" t="s">
        <v>326</v>
      </c>
      <c r="H5500" s="14">
        <v>3.92</v>
      </c>
      <c r="I5500" s="18">
        <v>31.65</v>
      </c>
      <c r="J5500" s="12" t="s">
        <v>521</v>
      </c>
      <c r="K5500" s="13" t="s">
        <v>36</v>
      </c>
      <c r="L5500" s="15" t="s">
        <v>122</v>
      </c>
      <c r="M5500" s="12" t="s">
        <v>36</v>
      </c>
      <c r="N5500" s="12" t="s">
        <v>122</v>
      </c>
      <c r="O5500" s="17" t="s">
        <v>36</v>
      </c>
      <c r="P5500" s="12" t="s">
        <v>36</v>
      </c>
      <c r="Q5500" s="12" t="s">
        <v>36</v>
      </c>
      <c r="R5500" s="12" t="s">
        <v>36</v>
      </c>
      <c r="S5500" s="12" t="s">
        <v>36</v>
      </c>
      <c r="T5500" s="12" t="s">
        <v>5696</v>
      </c>
      <c r="U5500" s="12" t="s">
        <v>180</v>
      </c>
      <c r="V5500" s="12" t="s">
        <v>52</v>
      </c>
      <c r="W5500" s="12" t="s">
        <v>14831</v>
      </c>
      <c r="X5500" s="16" t="s">
        <v>25864</v>
      </c>
      <c r="Y5500" s="15" t="s">
        <v>42</v>
      </c>
      <c r="Z5500" s="14">
        <v>9.24</v>
      </c>
      <c r="AA5500" s="14">
        <v>29.21</v>
      </c>
      <c r="AB5500" s="12" t="s">
        <v>43</v>
      </c>
      <c r="AC5500" s="12" t="s">
        <v>14833</v>
      </c>
      <c r="AD5500" s="13">
        <v>43167</v>
      </c>
      <c r="AE5500" s="12" t="s">
        <v>3847</v>
      </c>
      <c r="AF5500" s="12" t="s">
        <v>101</v>
      </c>
      <c r="AG5500" s="12" t="s">
        <v>81</v>
      </c>
      <c r="AH5500" s="1">
        <f>HYPERLINK("https://my.pitchbook.com?c=102581-47T","View Company Online")</f>
      </c>
    </row>
    <row r="5501">
      <c r="A5501" s="3" t="s">
        <v>25865</v>
      </c>
      <c r="B5501" s="3" t="s">
        <v>25866</v>
      </c>
      <c r="C5501" s="5" t="s">
        <v>36</v>
      </c>
      <c r="D5501" s="5" t="s">
        <v>36</v>
      </c>
      <c r="E5501" s="5" t="s">
        <v>36</v>
      </c>
      <c r="F5501" s="5" t="s">
        <v>36</v>
      </c>
      <c r="G5501" s="6" t="s">
        <v>36</v>
      </c>
      <c r="H5501" s="4" t="s">
        <v>36</v>
      </c>
      <c r="I5501" s="7" t="s">
        <v>36</v>
      </c>
      <c r="J5501" s="3" t="s">
        <v>36</v>
      </c>
      <c r="K5501" s="9" t="s">
        <v>36</v>
      </c>
      <c r="L5501" s="6" t="s">
        <v>36</v>
      </c>
      <c r="M5501" s="3" t="s">
        <v>36</v>
      </c>
      <c r="N5501" s="3" t="s">
        <v>36</v>
      </c>
      <c r="O5501" s="8" t="s">
        <v>36</v>
      </c>
      <c r="P5501" s="3" t="s">
        <v>36</v>
      </c>
      <c r="Q5501" s="3" t="s">
        <v>36</v>
      </c>
      <c r="R5501" s="3" t="s">
        <v>36</v>
      </c>
      <c r="S5501" s="3" t="s">
        <v>36</v>
      </c>
      <c r="T5501" s="3" t="s">
        <v>1701</v>
      </c>
      <c r="U5501" s="3" t="s">
        <v>74</v>
      </c>
      <c r="V5501" s="3" t="s">
        <v>75</v>
      </c>
      <c r="W5501" s="3" t="s">
        <v>25867</v>
      </c>
      <c r="X5501" s="10" t="s">
        <v>25868</v>
      </c>
      <c r="Y5501" s="6" t="s">
        <v>166</v>
      </c>
      <c r="Z5501" s="4">
        <v>18.49</v>
      </c>
      <c r="AA5501" s="4" t="s">
        <v>36</v>
      </c>
      <c r="AB5501" s="3" t="s">
        <v>56</v>
      </c>
      <c r="AC5501" s="3" t="s">
        <v>25869</v>
      </c>
      <c r="AD5501" s="9">
        <v>43165</v>
      </c>
      <c r="AE5501" s="3" t="s">
        <v>79</v>
      </c>
      <c r="AF5501" s="3" t="s">
        <v>4099</v>
      </c>
      <c r="AG5501" s="3" t="s">
        <v>47</v>
      </c>
      <c r="AH5501" s="11">
        <f>HYPERLINK("https://my.pitchbook.com?c=102305-44T","View Company Online")</f>
      </c>
    </row>
    <row r="5502">
      <c r="A5502" s="12" t="s">
        <v>25870</v>
      </c>
      <c r="B5502" s="12" t="s">
        <v>1777</v>
      </c>
      <c r="C5502" s="19">
        <v>1</v>
      </c>
      <c r="D5502" s="19" t="s">
        <v>36</v>
      </c>
      <c r="E5502" s="19">
        <v>1</v>
      </c>
      <c r="F5502" s="19">
        <v>1</v>
      </c>
      <c r="G5502" s="15" t="s">
        <v>36</v>
      </c>
      <c r="H5502" s="14">
        <v>20.77</v>
      </c>
      <c r="I5502" s="18">
        <v>70.15</v>
      </c>
      <c r="J5502" s="12" t="s">
        <v>521</v>
      </c>
      <c r="K5502" s="13" t="s">
        <v>36</v>
      </c>
      <c r="L5502" s="15" t="s">
        <v>122</v>
      </c>
      <c r="M5502" s="12" t="s">
        <v>36</v>
      </c>
      <c r="N5502" s="12" t="s">
        <v>122</v>
      </c>
      <c r="O5502" s="17" t="s">
        <v>36</v>
      </c>
      <c r="P5502" s="12" t="s">
        <v>36</v>
      </c>
      <c r="Q5502" s="12" t="s">
        <v>36</v>
      </c>
      <c r="R5502" s="12" t="s">
        <v>36</v>
      </c>
      <c r="S5502" s="12" t="s">
        <v>36</v>
      </c>
      <c r="T5502" s="12" t="s">
        <v>1081</v>
      </c>
      <c r="U5502" s="12" t="s">
        <v>1082</v>
      </c>
      <c r="V5502" s="12" t="s">
        <v>378</v>
      </c>
      <c r="W5502" s="12" t="s">
        <v>1778</v>
      </c>
      <c r="X5502" s="16" t="s">
        <v>25871</v>
      </c>
      <c r="Y5502" s="15" t="s">
        <v>42</v>
      </c>
      <c r="Z5502" s="14">
        <v>5.49</v>
      </c>
      <c r="AA5502" s="14">
        <v>7.83</v>
      </c>
      <c r="AB5502" s="12" t="s">
        <v>43</v>
      </c>
      <c r="AC5502" s="12" t="s">
        <v>1780</v>
      </c>
      <c r="AD5502" s="13">
        <v>43165</v>
      </c>
      <c r="AE5502" s="12" t="s">
        <v>1086</v>
      </c>
      <c r="AF5502" s="12" t="s">
        <v>1781</v>
      </c>
      <c r="AG5502" s="12" t="s">
        <v>1782</v>
      </c>
      <c r="AH5502" s="1">
        <f>HYPERLINK("https://my.pitchbook.com?c=102363-94T","View Company Online")</f>
      </c>
    </row>
    <row r="5503">
      <c r="A5503" s="3" t="s">
        <v>25872</v>
      </c>
      <c r="B5503" s="3" t="s">
        <v>25873</v>
      </c>
      <c r="C5503" s="5" t="s">
        <v>36</v>
      </c>
      <c r="D5503" s="5" t="s">
        <v>36</v>
      </c>
      <c r="E5503" s="5" t="s">
        <v>36</v>
      </c>
      <c r="F5503" s="5" t="s">
        <v>36</v>
      </c>
      <c r="G5503" s="6" t="s">
        <v>36</v>
      </c>
      <c r="H5503" s="4">
        <v>13.74</v>
      </c>
      <c r="I5503" s="7">
        <v>0.46</v>
      </c>
      <c r="J5503" s="3" t="s">
        <v>521</v>
      </c>
      <c r="K5503" s="9" t="s">
        <v>36</v>
      </c>
      <c r="L5503" s="6" t="s">
        <v>36</v>
      </c>
      <c r="M5503" s="3" t="s">
        <v>36</v>
      </c>
      <c r="N5503" s="3" t="s">
        <v>36</v>
      </c>
      <c r="O5503" s="8" t="s">
        <v>36</v>
      </c>
      <c r="P5503" s="3" t="s">
        <v>36</v>
      </c>
      <c r="Q5503" s="3" t="s">
        <v>36</v>
      </c>
      <c r="R5503" s="3" t="s">
        <v>36</v>
      </c>
      <c r="S5503" s="3" t="s">
        <v>36</v>
      </c>
      <c r="T5503" s="3" t="s">
        <v>25874</v>
      </c>
      <c r="U5503" s="3" t="s">
        <v>38</v>
      </c>
      <c r="V5503" s="3" t="s">
        <v>39</v>
      </c>
      <c r="W5503" s="3" t="s">
        <v>25875</v>
      </c>
      <c r="X5503" s="10" t="s">
        <v>12813</v>
      </c>
      <c r="Y5503" s="6" t="s">
        <v>166</v>
      </c>
      <c r="Z5503" s="4">
        <v>0.03</v>
      </c>
      <c r="AA5503" s="4">
        <v>6.93</v>
      </c>
      <c r="AB5503" s="3" t="s">
        <v>56</v>
      </c>
      <c r="AC5503" s="3" t="s">
        <v>25876</v>
      </c>
      <c r="AD5503" s="9">
        <v>43165</v>
      </c>
      <c r="AE5503" s="3" t="s">
        <v>1330</v>
      </c>
      <c r="AF5503" s="3" t="s">
        <v>25877</v>
      </c>
      <c r="AG5503" s="3" t="s">
        <v>81</v>
      </c>
      <c r="AH5503" s="11">
        <f>HYPERLINK("https://my.pitchbook.com?c=129546-01T","View Company Online")</f>
      </c>
    </row>
    <row r="5504">
      <c r="A5504" s="12" t="s">
        <v>25878</v>
      </c>
      <c r="B5504" s="12" t="s">
        <v>25879</v>
      </c>
      <c r="C5504" s="19" t="s">
        <v>36</v>
      </c>
      <c r="D5504" s="19" t="s">
        <v>36</v>
      </c>
      <c r="E5504" s="19" t="s">
        <v>36</v>
      </c>
      <c r="F5504" s="19" t="s">
        <v>36</v>
      </c>
      <c r="G5504" s="15" t="s">
        <v>326</v>
      </c>
      <c r="H5504" s="14">
        <v>0.52</v>
      </c>
      <c r="I5504" s="18">
        <v>10.64</v>
      </c>
      <c r="J5504" s="12" t="s">
        <v>521</v>
      </c>
      <c r="K5504" s="13">
        <v>42431</v>
      </c>
      <c r="L5504" s="15" t="s">
        <v>36</v>
      </c>
      <c r="M5504" s="12" t="s">
        <v>36</v>
      </c>
      <c r="N5504" s="12" t="s">
        <v>36</v>
      </c>
      <c r="O5504" s="17" t="s">
        <v>36</v>
      </c>
      <c r="P5504" s="12" t="s">
        <v>36</v>
      </c>
      <c r="Q5504" s="12" t="s">
        <v>36</v>
      </c>
      <c r="R5504" s="12" t="s">
        <v>36</v>
      </c>
      <c r="S5504" s="12" t="s">
        <v>36</v>
      </c>
      <c r="T5504" s="12" t="s">
        <v>25880</v>
      </c>
      <c r="U5504" s="12" t="s">
        <v>38</v>
      </c>
      <c r="V5504" s="12" t="s">
        <v>39</v>
      </c>
      <c r="W5504" s="12" t="s">
        <v>25881</v>
      </c>
      <c r="X5504" s="16" t="s">
        <v>25882</v>
      </c>
      <c r="Y5504" s="15" t="s">
        <v>42</v>
      </c>
      <c r="Z5504" s="14">
        <v>0.68</v>
      </c>
      <c r="AA5504" s="14">
        <v>6.37</v>
      </c>
      <c r="AB5504" s="12" t="s">
        <v>56</v>
      </c>
      <c r="AC5504" s="12" t="s">
        <v>25883</v>
      </c>
      <c r="AD5504" s="13">
        <v>43164</v>
      </c>
      <c r="AE5504" s="12" t="s">
        <v>1330</v>
      </c>
      <c r="AF5504" s="12" t="s">
        <v>36</v>
      </c>
      <c r="AG5504" s="12" t="s">
        <v>81</v>
      </c>
      <c r="AH5504" s="1">
        <f>HYPERLINK("https://my.pitchbook.com?c=69007-69T","View Company Online")</f>
      </c>
    </row>
    <row r="5505">
      <c r="A5505" s="3" t="s">
        <v>25884</v>
      </c>
      <c r="B5505" s="3" t="s">
        <v>10453</v>
      </c>
      <c r="C5505" s="5">
        <v>11</v>
      </c>
      <c r="D5505" s="5">
        <v>40</v>
      </c>
      <c r="E5505" s="5">
        <v>8</v>
      </c>
      <c r="F5505" s="5">
        <v>67</v>
      </c>
      <c r="G5505" s="6" t="s">
        <v>36</v>
      </c>
      <c r="H5505" s="4">
        <v>1422.84</v>
      </c>
      <c r="I5505" s="7">
        <v>4.06</v>
      </c>
      <c r="J5505" s="3" t="s">
        <v>521</v>
      </c>
      <c r="K5505" s="9" t="s">
        <v>36</v>
      </c>
      <c r="L5505" s="6" t="s">
        <v>36</v>
      </c>
      <c r="M5505" s="3" t="s">
        <v>36</v>
      </c>
      <c r="N5505" s="3" t="s">
        <v>36</v>
      </c>
      <c r="O5505" s="8" t="s">
        <v>36</v>
      </c>
      <c r="P5505" s="3" t="s">
        <v>36</v>
      </c>
      <c r="Q5505" s="3" t="s">
        <v>36</v>
      </c>
      <c r="R5505" s="3" t="s">
        <v>36</v>
      </c>
      <c r="S5505" s="3" t="s">
        <v>36</v>
      </c>
      <c r="T5505" s="3" t="s">
        <v>8799</v>
      </c>
      <c r="U5505" s="3" t="s">
        <v>51</v>
      </c>
      <c r="V5505" s="3" t="s">
        <v>52</v>
      </c>
      <c r="W5505" s="3" t="s">
        <v>10454</v>
      </c>
      <c r="X5505" s="10" t="s">
        <v>18390</v>
      </c>
      <c r="Y5505" s="6" t="s">
        <v>108</v>
      </c>
      <c r="Z5505" s="4">
        <v>0.23</v>
      </c>
      <c r="AA5505" s="4">
        <v>5.62</v>
      </c>
      <c r="AB5505" s="3" t="s">
        <v>56</v>
      </c>
      <c r="AC5505" s="3" t="s">
        <v>10456</v>
      </c>
      <c r="AD5505" s="9">
        <v>43161</v>
      </c>
      <c r="AE5505" s="3" t="s">
        <v>158</v>
      </c>
      <c r="AF5505" s="3" t="s">
        <v>159</v>
      </c>
      <c r="AG5505" s="3" t="s">
        <v>2370</v>
      </c>
      <c r="AH5505" s="11">
        <f>HYPERLINK("https://my.pitchbook.com?c=25918-03T","View Company Online")</f>
      </c>
    </row>
    <row r="5506">
      <c r="A5506" s="12" t="s">
        <v>25885</v>
      </c>
      <c r="B5506" s="12" t="s">
        <v>15835</v>
      </c>
      <c r="C5506" s="19" t="s">
        <v>36</v>
      </c>
      <c r="D5506" s="19" t="s">
        <v>36</v>
      </c>
      <c r="E5506" s="19" t="s">
        <v>36</v>
      </c>
      <c r="F5506" s="19" t="s">
        <v>36</v>
      </c>
      <c r="G5506" s="15" t="s">
        <v>36</v>
      </c>
      <c r="H5506" s="14" t="s">
        <v>36</v>
      </c>
      <c r="I5506" s="18" t="s">
        <v>36</v>
      </c>
      <c r="J5506" s="12" t="s">
        <v>36</v>
      </c>
      <c r="K5506" s="13" t="s">
        <v>36</v>
      </c>
      <c r="L5506" s="15" t="s">
        <v>36</v>
      </c>
      <c r="M5506" s="12" t="s">
        <v>36</v>
      </c>
      <c r="N5506" s="12" t="s">
        <v>36</v>
      </c>
      <c r="O5506" s="17" t="s">
        <v>36</v>
      </c>
      <c r="P5506" s="12" t="s">
        <v>36</v>
      </c>
      <c r="Q5506" s="12" t="s">
        <v>36</v>
      </c>
      <c r="R5506" s="12" t="s">
        <v>36</v>
      </c>
      <c r="S5506" s="12" t="s">
        <v>36</v>
      </c>
      <c r="T5506" s="12" t="s">
        <v>105</v>
      </c>
      <c r="U5506" s="12" t="s">
        <v>38</v>
      </c>
      <c r="V5506" s="12" t="s">
        <v>39</v>
      </c>
      <c r="W5506" s="12" t="s">
        <v>15836</v>
      </c>
      <c r="X5506" s="16" t="s">
        <v>1840</v>
      </c>
      <c r="Y5506" s="15" t="s">
        <v>42</v>
      </c>
      <c r="Z5506" s="14">
        <v>0.74</v>
      </c>
      <c r="AA5506" s="14" t="s">
        <v>36</v>
      </c>
      <c r="AB5506" s="12" t="s">
        <v>43</v>
      </c>
      <c r="AC5506" s="12" t="s">
        <v>15838</v>
      </c>
      <c r="AD5506" s="13">
        <v>43161</v>
      </c>
      <c r="AE5506" s="12" t="s">
        <v>110</v>
      </c>
      <c r="AF5506" s="12" t="s">
        <v>8083</v>
      </c>
      <c r="AG5506" s="12" t="s">
        <v>144</v>
      </c>
      <c r="AH5506" s="1">
        <f>HYPERLINK("https://my.pitchbook.com?c=168538-60T","View Company Online")</f>
      </c>
    </row>
    <row r="5507">
      <c r="A5507" s="3" t="s">
        <v>25886</v>
      </c>
      <c r="B5507" s="3" t="s">
        <v>25887</v>
      </c>
      <c r="C5507" s="5" t="s">
        <v>36</v>
      </c>
      <c r="D5507" s="5" t="s">
        <v>36</v>
      </c>
      <c r="E5507" s="5" t="s">
        <v>36</v>
      </c>
      <c r="F5507" s="5" t="s">
        <v>36</v>
      </c>
      <c r="G5507" s="6" t="s">
        <v>36</v>
      </c>
      <c r="H5507" s="4" t="s">
        <v>36</v>
      </c>
      <c r="I5507" s="7" t="s">
        <v>36</v>
      </c>
      <c r="J5507" s="3" t="s">
        <v>36</v>
      </c>
      <c r="K5507" s="9" t="s">
        <v>36</v>
      </c>
      <c r="L5507" s="6" t="s">
        <v>36</v>
      </c>
      <c r="M5507" s="3" t="s">
        <v>36</v>
      </c>
      <c r="N5507" s="3" t="s">
        <v>36</v>
      </c>
      <c r="O5507" s="8" t="s">
        <v>36</v>
      </c>
      <c r="P5507" s="3" t="s">
        <v>36</v>
      </c>
      <c r="Q5507" s="3" t="s">
        <v>36</v>
      </c>
      <c r="R5507" s="3" t="s">
        <v>36</v>
      </c>
      <c r="S5507" s="3" t="s">
        <v>36</v>
      </c>
      <c r="T5507" s="3" t="s">
        <v>11214</v>
      </c>
      <c r="U5507" s="3" t="s">
        <v>38</v>
      </c>
      <c r="V5507" s="3" t="s">
        <v>39</v>
      </c>
      <c r="W5507" s="3" t="s">
        <v>25888</v>
      </c>
      <c r="X5507" s="10" t="s">
        <v>25889</v>
      </c>
      <c r="Y5507" s="6" t="s">
        <v>42</v>
      </c>
      <c r="Z5507" s="4">
        <v>0.04</v>
      </c>
      <c r="AA5507" s="4" t="s">
        <v>36</v>
      </c>
      <c r="AB5507" s="3" t="s">
        <v>43</v>
      </c>
      <c r="AC5507" s="3" t="s">
        <v>25890</v>
      </c>
      <c r="AD5507" s="9">
        <v>43161</v>
      </c>
      <c r="AE5507" s="3" t="s">
        <v>1422</v>
      </c>
      <c r="AF5507" s="3" t="s">
        <v>16669</v>
      </c>
      <c r="AG5507" s="3" t="s">
        <v>81</v>
      </c>
      <c r="AH5507" s="11">
        <f>HYPERLINK("https://my.pitchbook.com?c=102219-31T","View Company Online")</f>
      </c>
    </row>
    <row r="5508">
      <c r="A5508" s="12" t="s">
        <v>25891</v>
      </c>
      <c r="B5508" s="12" t="s">
        <v>25892</v>
      </c>
      <c r="C5508" s="19" t="s">
        <v>36</v>
      </c>
      <c r="D5508" s="19" t="s">
        <v>36</v>
      </c>
      <c r="E5508" s="19" t="s">
        <v>36</v>
      </c>
      <c r="F5508" s="19" t="s">
        <v>36</v>
      </c>
      <c r="G5508" s="15" t="s">
        <v>36</v>
      </c>
      <c r="H5508" s="14" t="s">
        <v>36</v>
      </c>
      <c r="I5508" s="18" t="s">
        <v>36</v>
      </c>
      <c r="J5508" s="12" t="s">
        <v>36</v>
      </c>
      <c r="K5508" s="13" t="s">
        <v>36</v>
      </c>
      <c r="L5508" s="15" t="s">
        <v>122</v>
      </c>
      <c r="M5508" s="12" t="s">
        <v>36</v>
      </c>
      <c r="N5508" s="12" t="s">
        <v>122</v>
      </c>
      <c r="O5508" s="17" t="s">
        <v>36</v>
      </c>
      <c r="P5508" s="12" t="s">
        <v>36</v>
      </c>
      <c r="Q5508" s="12" t="s">
        <v>36</v>
      </c>
      <c r="R5508" s="12" t="s">
        <v>36</v>
      </c>
      <c r="S5508" s="12" t="s">
        <v>36</v>
      </c>
      <c r="T5508" s="12" t="s">
        <v>10733</v>
      </c>
      <c r="U5508" s="12" t="s">
        <v>648</v>
      </c>
      <c r="V5508" s="12" t="s">
        <v>64</v>
      </c>
      <c r="W5508" s="12" t="s">
        <v>25893</v>
      </c>
      <c r="X5508" s="16" t="s">
        <v>17750</v>
      </c>
      <c r="Y5508" s="15" t="s">
        <v>42</v>
      </c>
      <c r="Z5508" s="14" t="s">
        <v>36</v>
      </c>
      <c r="AA5508" s="14" t="s">
        <v>36</v>
      </c>
      <c r="AB5508" s="12" t="s">
        <v>43</v>
      </c>
      <c r="AC5508" s="12" t="s">
        <v>25894</v>
      </c>
      <c r="AD5508" s="13">
        <v>43161</v>
      </c>
      <c r="AE5508" s="12" t="s">
        <v>3988</v>
      </c>
      <c r="AF5508" s="12" t="s">
        <v>25895</v>
      </c>
      <c r="AG5508" s="12" t="s">
        <v>47</v>
      </c>
      <c r="AH5508" s="1">
        <f>HYPERLINK("https://my.pitchbook.com?c=165789-55T","View Company Online")</f>
      </c>
    </row>
    <row r="5509">
      <c r="A5509" s="3" t="s">
        <v>25896</v>
      </c>
      <c r="B5509" s="3" t="s">
        <v>25897</v>
      </c>
      <c r="C5509" s="5" t="s">
        <v>36</v>
      </c>
      <c r="D5509" s="5" t="s">
        <v>36</v>
      </c>
      <c r="E5509" s="5" t="s">
        <v>36</v>
      </c>
      <c r="F5509" s="5" t="s">
        <v>36</v>
      </c>
      <c r="G5509" s="6" t="s">
        <v>326</v>
      </c>
      <c r="H5509" s="4">
        <v>3.92</v>
      </c>
      <c r="I5509" s="7">
        <v>31.65</v>
      </c>
      <c r="J5509" s="3" t="s">
        <v>521</v>
      </c>
      <c r="K5509" s="9" t="s">
        <v>36</v>
      </c>
      <c r="L5509" s="6" t="s">
        <v>36</v>
      </c>
      <c r="M5509" s="3" t="s">
        <v>36</v>
      </c>
      <c r="N5509" s="3" t="s">
        <v>36</v>
      </c>
      <c r="O5509" s="8" t="s">
        <v>36</v>
      </c>
      <c r="P5509" s="3" t="s">
        <v>36</v>
      </c>
      <c r="Q5509" s="3" t="s">
        <v>36</v>
      </c>
      <c r="R5509" s="3" t="s">
        <v>36</v>
      </c>
      <c r="S5509" s="3" t="s">
        <v>36</v>
      </c>
      <c r="T5509" s="3" t="s">
        <v>25898</v>
      </c>
      <c r="U5509" s="3" t="s">
        <v>74</v>
      </c>
      <c r="V5509" s="3" t="s">
        <v>75</v>
      </c>
      <c r="W5509" s="3" t="s">
        <v>25899</v>
      </c>
      <c r="X5509" s="10" t="s">
        <v>25900</v>
      </c>
      <c r="Y5509" s="6" t="s">
        <v>42</v>
      </c>
      <c r="Z5509" s="4">
        <v>9.26</v>
      </c>
      <c r="AA5509" s="4">
        <v>29.25</v>
      </c>
      <c r="AB5509" s="3" t="s">
        <v>43</v>
      </c>
      <c r="AC5509" s="3" t="s">
        <v>25901</v>
      </c>
      <c r="AD5509" s="9">
        <v>43161</v>
      </c>
      <c r="AE5509" s="3" t="s">
        <v>79</v>
      </c>
      <c r="AF5509" s="3" t="s">
        <v>101</v>
      </c>
      <c r="AG5509" s="3" t="s">
        <v>1276</v>
      </c>
      <c r="AH5509" s="11">
        <f>HYPERLINK("https://my.pitchbook.com?c=194811-49T","View Company Online")</f>
      </c>
    </row>
    <row r="5510">
      <c r="A5510" s="12" t="s">
        <v>25902</v>
      </c>
      <c r="B5510" s="12" t="s">
        <v>25903</v>
      </c>
      <c r="C5510" s="19" t="s">
        <v>36</v>
      </c>
      <c r="D5510" s="19" t="s">
        <v>36</v>
      </c>
      <c r="E5510" s="19" t="s">
        <v>36</v>
      </c>
      <c r="F5510" s="19" t="s">
        <v>36</v>
      </c>
      <c r="G5510" s="15" t="s">
        <v>2497</v>
      </c>
      <c r="H5510" s="14">
        <v>29.08</v>
      </c>
      <c r="I5510" s="18">
        <v>6.55</v>
      </c>
      <c r="J5510" s="12" t="s">
        <v>521</v>
      </c>
      <c r="K5510" s="13" t="s">
        <v>36</v>
      </c>
      <c r="L5510" s="15" t="s">
        <v>36</v>
      </c>
      <c r="M5510" s="12" t="s">
        <v>36</v>
      </c>
      <c r="N5510" s="12" t="s">
        <v>36</v>
      </c>
      <c r="O5510" s="17" t="s">
        <v>36</v>
      </c>
      <c r="P5510" s="12" t="s">
        <v>36</v>
      </c>
      <c r="Q5510" s="12" t="s">
        <v>36</v>
      </c>
      <c r="R5510" s="12" t="s">
        <v>36</v>
      </c>
      <c r="S5510" s="12" t="s">
        <v>36</v>
      </c>
      <c r="T5510" s="12" t="s">
        <v>9281</v>
      </c>
      <c r="U5510" s="12" t="s">
        <v>38</v>
      </c>
      <c r="V5510" s="12" t="s">
        <v>39</v>
      </c>
      <c r="W5510" s="12" t="s">
        <v>25904</v>
      </c>
      <c r="X5510" s="16" t="s">
        <v>20521</v>
      </c>
      <c r="Y5510" s="15" t="s">
        <v>108</v>
      </c>
      <c r="Z5510" s="14">
        <v>0.09</v>
      </c>
      <c r="AA5510" s="14">
        <v>1.36</v>
      </c>
      <c r="AB5510" s="12" t="s">
        <v>43</v>
      </c>
      <c r="AC5510" s="12" t="s">
        <v>25905</v>
      </c>
      <c r="AD5510" s="13">
        <v>43161</v>
      </c>
      <c r="AE5510" s="12" t="s">
        <v>1945</v>
      </c>
      <c r="AF5510" s="12" t="s">
        <v>25906</v>
      </c>
      <c r="AG5510" s="12" t="s">
        <v>332</v>
      </c>
      <c r="AH5510" s="1">
        <f>HYPERLINK("https://my.pitchbook.com?c=204134-59T","View Company Online")</f>
      </c>
    </row>
    <row r="5511">
      <c r="A5511" s="3" t="s">
        <v>25907</v>
      </c>
      <c r="B5511" s="3" t="s">
        <v>25908</v>
      </c>
      <c r="C5511" s="5" t="s">
        <v>36</v>
      </c>
      <c r="D5511" s="5" t="s">
        <v>36</v>
      </c>
      <c r="E5511" s="5" t="s">
        <v>36</v>
      </c>
      <c r="F5511" s="5" t="s">
        <v>36</v>
      </c>
      <c r="G5511" s="6" t="s">
        <v>36</v>
      </c>
      <c r="H5511" s="4" t="s">
        <v>36</v>
      </c>
      <c r="I5511" s="7" t="s">
        <v>36</v>
      </c>
      <c r="J5511" s="3" t="s">
        <v>36</v>
      </c>
      <c r="K5511" s="9" t="s">
        <v>36</v>
      </c>
      <c r="L5511" s="6" t="s">
        <v>36</v>
      </c>
      <c r="M5511" s="3" t="s">
        <v>36</v>
      </c>
      <c r="N5511" s="3" t="s">
        <v>36</v>
      </c>
      <c r="O5511" s="8" t="s">
        <v>36</v>
      </c>
      <c r="P5511" s="3" t="s">
        <v>36</v>
      </c>
      <c r="Q5511" s="3" t="s">
        <v>36</v>
      </c>
      <c r="R5511" s="3" t="s">
        <v>36</v>
      </c>
      <c r="S5511" s="3" t="s">
        <v>36</v>
      </c>
      <c r="T5511" s="3" t="s">
        <v>2483</v>
      </c>
      <c r="U5511" s="3" t="s">
        <v>63</v>
      </c>
      <c r="V5511" s="3" t="s">
        <v>64</v>
      </c>
      <c r="W5511" s="3" t="s">
        <v>25909</v>
      </c>
      <c r="X5511" s="10" t="s">
        <v>15676</v>
      </c>
      <c r="Y5511" s="6" t="s">
        <v>42</v>
      </c>
      <c r="Z5511" s="4" t="s">
        <v>36</v>
      </c>
      <c r="AA5511" s="4" t="s">
        <v>36</v>
      </c>
      <c r="AB5511" s="3" t="s">
        <v>56</v>
      </c>
      <c r="AC5511" s="3" t="s">
        <v>25910</v>
      </c>
      <c r="AD5511" s="9">
        <v>43160</v>
      </c>
      <c r="AE5511" s="3" t="s">
        <v>399</v>
      </c>
      <c r="AF5511" s="3" t="s">
        <v>36</v>
      </c>
      <c r="AG5511" s="3" t="s">
        <v>81</v>
      </c>
      <c r="AH5511" s="11">
        <f>HYPERLINK("https://my.pitchbook.com?c=177382-81T","View Company Online")</f>
      </c>
    </row>
    <row r="5512">
      <c r="A5512" s="12" t="s">
        <v>25911</v>
      </c>
      <c r="B5512" s="12" t="s">
        <v>25912</v>
      </c>
      <c r="C5512" s="19" t="s">
        <v>36</v>
      </c>
      <c r="D5512" s="19" t="s">
        <v>36</v>
      </c>
      <c r="E5512" s="19" t="s">
        <v>36</v>
      </c>
      <c r="F5512" s="19" t="s">
        <v>36</v>
      </c>
      <c r="G5512" s="15" t="s">
        <v>36</v>
      </c>
      <c r="H5512" s="14" t="s">
        <v>36</v>
      </c>
      <c r="I5512" s="18" t="s">
        <v>36</v>
      </c>
      <c r="J5512" s="12" t="s">
        <v>36</v>
      </c>
      <c r="K5512" s="13" t="s">
        <v>36</v>
      </c>
      <c r="L5512" s="15" t="s">
        <v>36</v>
      </c>
      <c r="M5512" s="12" t="s">
        <v>36</v>
      </c>
      <c r="N5512" s="12" t="s">
        <v>36</v>
      </c>
      <c r="O5512" s="17" t="s">
        <v>36</v>
      </c>
      <c r="P5512" s="12" t="s">
        <v>36</v>
      </c>
      <c r="Q5512" s="12" t="s">
        <v>36</v>
      </c>
      <c r="R5512" s="12" t="s">
        <v>36</v>
      </c>
      <c r="S5512" s="12" t="s">
        <v>36</v>
      </c>
      <c r="T5512" s="12" t="s">
        <v>105</v>
      </c>
      <c r="U5512" s="12" t="s">
        <v>38</v>
      </c>
      <c r="V5512" s="12" t="s">
        <v>39</v>
      </c>
      <c r="W5512" s="12" t="s">
        <v>25913</v>
      </c>
      <c r="X5512" s="16" t="s">
        <v>12411</v>
      </c>
      <c r="Y5512" s="15" t="s">
        <v>42</v>
      </c>
      <c r="Z5512" s="14">
        <v>6.17</v>
      </c>
      <c r="AA5512" s="14" t="s">
        <v>36</v>
      </c>
      <c r="AB5512" s="12" t="s">
        <v>56</v>
      </c>
      <c r="AC5512" s="12" t="s">
        <v>25914</v>
      </c>
      <c r="AD5512" s="13">
        <v>43160</v>
      </c>
      <c r="AE5512" s="12" t="s">
        <v>110</v>
      </c>
      <c r="AF5512" s="12" t="s">
        <v>176</v>
      </c>
      <c r="AG5512" s="12" t="s">
        <v>47</v>
      </c>
      <c r="AH5512" s="1">
        <f>HYPERLINK("https://my.pitchbook.com?c=118082-26T","View Company Online")</f>
      </c>
    </row>
    <row r="5513">
      <c r="A5513" s="3" t="s">
        <v>25915</v>
      </c>
      <c r="B5513" s="3" t="s">
        <v>9660</v>
      </c>
      <c r="C5513" s="5" t="s">
        <v>36</v>
      </c>
      <c r="D5513" s="5" t="s">
        <v>36</v>
      </c>
      <c r="E5513" s="5" t="s">
        <v>36</v>
      </c>
      <c r="F5513" s="5" t="s">
        <v>36</v>
      </c>
      <c r="G5513" s="6" t="s">
        <v>36</v>
      </c>
      <c r="H5513" s="4" t="s">
        <v>36</v>
      </c>
      <c r="I5513" s="7" t="s">
        <v>36</v>
      </c>
      <c r="J5513" s="3" t="s">
        <v>36</v>
      </c>
      <c r="K5513" s="9" t="s">
        <v>36</v>
      </c>
      <c r="L5513" s="6" t="s">
        <v>36</v>
      </c>
      <c r="M5513" s="3" t="s">
        <v>36</v>
      </c>
      <c r="N5513" s="3" t="s">
        <v>36</v>
      </c>
      <c r="O5513" s="8" t="s">
        <v>36</v>
      </c>
      <c r="P5513" s="3" t="s">
        <v>36</v>
      </c>
      <c r="Q5513" s="3" t="s">
        <v>36</v>
      </c>
      <c r="R5513" s="3" t="s">
        <v>36</v>
      </c>
      <c r="S5513" s="3" t="s">
        <v>36</v>
      </c>
      <c r="T5513" s="3" t="s">
        <v>5302</v>
      </c>
      <c r="U5513" s="3" t="s">
        <v>74</v>
      </c>
      <c r="V5513" s="3" t="s">
        <v>75</v>
      </c>
      <c r="W5513" s="3" t="s">
        <v>9661</v>
      </c>
      <c r="X5513" s="10" t="s">
        <v>25916</v>
      </c>
      <c r="Y5513" s="6" t="s">
        <v>55</v>
      </c>
      <c r="Z5513" s="4">
        <v>3.5</v>
      </c>
      <c r="AA5513" s="4" t="s">
        <v>36</v>
      </c>
      <c r="AB5513" s="3" t="s">
        <v>43</v>
      </c>
      <c r="AC5513" s="3" t="s">
        <v>9663</v>
      </c>
      <c r="AD5513" s="9">
        <v>43160</v>
      </c>
      <c r="AE5513" s="3" t="s">
        <v>362</v>
      </c>
      <c r="AF5513" s="3" t="s">
        <v>9664</v>
      </c>
      <c r="AG5513" s="3" t="s">
        <v>81</v>
      </c>
      <c r="AH5513" s="11">
        <f>HYPERLINK("https://my.pitchbook.com?c=215152-39T","View Company Online")</f>
      </c>
    </row>
    <row r="5514">
      <c r="A5514" s="12" t="s">
        <v>25917</v>
      </c>
      <c r="B5514" s="12" t="s">
        <v>25918</v>
      </c>
      <c r="C5514" s="19" t="s">
        <v>36</v>
      </c>
      <c r="D5514" s="19" t="s">
        <v>36</v>
      </c>
      <c r="E5514" s="19" t="s">
        <v>36</v>
      </c>
      <c r="F5514" s="19" t="s">
        <v>36</v>
      </c>
      <c r="G5514" s="15" t="s">
        <v>36</v>
      </c>
      <c r="H5514" s="14">
        <v>459.05</v>
      </c>
      <c r="I5514" s="18">
        <v>33.25</v>
      </c>
      <c r="J5514" s="12" t="s">
        <v>521</v>
      </c>
      <c r="K5514" s="13" t="s">
        <v>36</v>
      </c>
      <c r="L5514" s="15" t="s">
        <v>36</v>
      </c>
      <c r="M5514" s="12" t="s">
        <v>36</v>
      </c>
      <c r="N5514" s="12" t="s">
        <v>36</v>
      </c>
      <c r="O5514" s="17" t="s">
        <v>36</v>
      </c>
      <c r="P5514" s="12" t="s">
        <v>36</v>
      </c>
      <c r="Q5514" s="12" t="s">
        <v>36</v>
      </c>
      <c r="R5514" s="12" t="s">
        <v>36</v>
      </c>
      <c r="S5514" s="12" t="s">
        <v>36</v>
      </c>
      <c r="T5514" s="12" t="s">
        <v>1266</v>
      </c>
      <c r="U5514" s="12" t="s">
        <v>74</v>
      </c>
      <c r="V5514" s="12" t="s">
        <v>75</v>
      </c>
      <c r="W5514" s="12" t="s">
        <v>25919</v>
      </c>
      <c r="X5514" s="16" t="s">
        <v>25920</v>
      </c>
      <c r="Y5514" s="15" t="s">
        <v>42</v>
      </c>
      <c r="Z5514" s="14">
        <v>2.1</v>
      </c>
      <c r="AA5514" s="14">
        <v>4.09</v>
      </c>
      <c r="AB5514" s="12" t="s">
        <v>56</v>
      </c>
      <c r="AC5514" s="12" t="s">
        <v>25921</v>
      </c>
      <c r="AD5514" s="13">
        <v>43160</v>
      </c>
      <c r="AE5514" s="12" t="s">
        <v>79</v>
      </c>
      <c r="AF5514" s="12" t="s">
        <v>3040</v>
      </c>
      <c r="AG5514" s="12" t="s">
        <v>81</v>
      </c>
      <c r="AH5514" s="1">
        <f>HYPERLINK("https://my.pitchbook.com?c=103732-21T","View Company Online")</f>
      </c>
    </row>
    <row r="5515">
      <c r="A5515" s="3" t="s">
        <v>25922</v>
      </c>
      <c r="B5515" s="3" t="s">
        <v>6712</v>
      </c>
      <c r="C5515" s="5" t="s">
        <v>36</v>
      </c>
      <c r="D5515" s="5">
        <v>5</v>
      </c>
      <c r="E5515" s="5">
        <v>1</v>
      </c>
      <c r="F5515" s="5">
        <v>5</v>
      </c>
      <c r="G5515" s="6" t="s">
        <v>36</v>
      </c>
      <c r="H5515" s="4">
        <v>3.7</v>
      </c>
      <c r="I5515" s="7">
        <v>45.71</v>
      </c>
      <c r="J5515" s="3" t="s">
        <v>327</v>
      </c>
      <c r="K5515" s="9" t="s">
        <v>36</v>
      </c>
      <c r="L5515" s="6" t="s">
        <v>36</v>
      </c>
      <c r="M5515" s="3" t="s">
        <v>36</v>
      </c>
      <c r="N5515" s="3" t="s">
        <v>36</v>
      </c>
      <c r="O5515" s="8" t="s">
        <v>36</v>
      </c>
      <c r="P5515" s="3" t="s">
        <v>36</v>
      </c>
      <c r="Q5515" s="3" t="s">
        <v>36</v>
      </c>
      <c r="R5515" s="3" t="s">
        <v>36</v>
      </c>
      <c r="S5515" s="3" t="s">
        <v>36</v>
      </c>
      <c r="T5515" s="3" t="s">
        <v>6713</v>
      </c>
      <c r="U5515" s="3" t="s">
        <v>728</v>
      </c>
      <c r="V5515" s="3" t="s">
        <v>64</v>
      </c>
      <c r="W5515" s="3" t="s">
        <v>6714</v>
      </c>
      <c r="X5515" s="10" t="s">
        <v>8652</v>
      </c>
      <c r="Y5515" s="6" t="s">
        <v>42</v>
      </c>
      <c r="Z5515" s="4">
        <v>3.46</v>
      </c>
      <c r="AA5515" s="4">
        <v>3.24</v>
      </c>
      <c r="AB5515" s="3" t="s">
        <v>43</v>
      </c>
      <c r="AC5515" s="3" t="s">
        <v>6716</v>
      </c>
      <c r="AD5515" s="9">
        <v>43160</v>
      </c>
      <c r="AE5515" s="3" t="s">
        <v>6717</v>
      </c>
      <c r="AF5515" s="3" t="s">
        <v>6718</v>
      </c>
      <c r="AG5515" s="3" t="s">
        <v>81</v>
      </c>
      <c r="AH5515" s="11">
        <f>HYPERLINK("https://my.pitchbook.com?c=121467-61T","View Company Online")</f>
      </c>
    </row>
    <row r="5516">
      <c r="A5516" s="12" t="s">
        <v>25923</v>
      </c>
      <c r="B5516" s="12" t="s">
        <v>25924</v>
      </c>
      <c r="C5516" s="19" t="s">
        <v>36</v>
      </c>
      <c r="D5516" s="19" t="s">
        <v>36</v>
      </c>
      <c r="E5516" s="19" t="s">
        <v>36</v>
      </c>
      <c r="F5516" s="19" t="s">
        <v>36</v>
      </c>
      <c r="G5516" s="15" t="s">
        <v>36</v>
      </c>
      <c r="H5516" s="14">
        <v>12.76</v>
      </c>
      <c r="I5516" s="18">
        <v>35.17</v>
      </c>
      <c r="J5516" s="12" t="s">
        <v>521</v>
      </c>
      <c r="K5516" s="13" t="s">
        <v>36</v>
      </c>
      <c r="L5516" s="15" t="s">
        <v>36</v>
      </c>
      <c r="M5516" s="12" t="s">
        <v>36</v>
      </c>
      <c r="N5516" s="12" t="s">
        <v>36</v>
      </c>
      <c r="O5516" s="17" t="s">
        <v>36</v>
      </c>
      <c r="P5516" s="12" t="s">
        <v>36</v>
      </c>
      <c r="Q5516" s="12" t="s">
        <v>36</v>
      </c>
      <c r="R5516" s="12" t="s">
        <v>36</v>
      </c>
      <c r="S5516" s="12" t="s">
        <v>36</v>
      </c>
      <c r="T5516" s="12" t="s">
        <v>25925</v>
      </c>
      <c r="U5516" s="12" t="s">
        <v>85</v>
      </c>
      <c r="V5516" s="12" t="s">
        <v>64</v>
      </c>
      <c r="W5516" s="12" t="s">
        <v>25926</v>
      </c>
      <c r="X5516" s="16" t="s">
        <v>25927</v>
      </c>
      <c r="Y5516" s="15" t="s">
        <v>42</v>
      </c>
      <c r="Z5516" s="14">
        <v>1.85</v>
      </c>
      <c r="AA5516" s="14">
        <v>4.21</v>
      </c>
      <c r="AB5516" s="12" t="s">
        <v>56</v>
      </c>
      <c r="AC5516" s="12" t="s">
        <v>25928</v>
      </c>
      <c r="AD5516" s="13">
        <v>43160</v>
      </c>
      <c r="AE5516" s="12" t="s">
        <v>89</v>
      </c>
      <c r="AF5516" s="12" t="s">
        <v>11966</v>
      </c>
      <c r="AG5516" s="12" t="s">
        <v>25929</v>
      </c>
      <c r="AH5516" s="1">
        <f>HYPERLINK("https://my.pitchbook.com?c=104913-01T","View Company Online")</f>
      </c>
    </row>
    <row r="5517">
      <c r="A5517" s="3" t="s">
        <v>25930</v>
      </c>
      <c r="B5517" s="3" t="s">
        <v>25931</v>
      </c>
      <c r="C5517" s="5">
        <v>6</v>
      </c>
      <c r="D5517" s="5">
        <v>13</v>
      </c>
      <c r="E5517" s="5">
        <v>3</v>
      </c>
      <c r="F5517" s="5">
        <v>22</v>
      </c>
      <c r="G5517" s="6" t="s">
        <v>326</v>
      </c>
      <c r="H5517" s="4">
        <v>968.98</v>
      </c>
      <c r="I5517" s="7">
        <v>42.87</v>
      </c>
      <c r="J5517" s="3" t="s">
        <v>521</v>
      </c>
      <c r="K5517" s="9" t="s">
        <v>36</v>
      </c>
      <c r="L5517" s="6" t="s">
        <v>122</v>
      </c>
      <c r="M5517" s="3" t="s">
        <v>36</v>
      </c>
      <c r="N5517" s="3" t="s">
        <v>122</v>
      </c>
      <c r="O5517" s="8" t="s">
        <v>36</v>
      </c>
      <c r="P5517" s="3" t="s">
        <v>36</v>
      </c>
      <c r="Q5517" s="3" t="s">
        <v>36</v>
      </c>
      <c r="R5517" s="3" t="s">
        <v>36</v>
      </c>
      <c r="S5517" s="3" t="s">
        <v>36</v>
      </c>
      <c r="T5517" s="3" t="s">
        <v>661</v>
      </c>
      <c r="U5517" s="3" t="s">
        <v>51</v>
      </c>
      <c r="V5517" s="3" t="s">
        <v>52</v>
      </c>
      <c r="W5517" s="3" t="s">
        <v>25932</v>
      </c>
      <c r="X5517" s="10" t="s">
        <v>25933</v>
      </c>
      <c r="Y5517" s="6" t="s">
        <v>108</v>
      </c>
      <c r="Z5517" s="4">
        <v>2.19</v>
      </c>
      <c r="AA5517" s="4">
        <v>5.1</v>
      </c>
      <c r="AB5517" s="3" t="s">
        <v>56</v>
      </c>
      <c r="AC5517" s="3" t="s">
        <v>25934</v>
      </c>
      <c r="AD5517" s="9">
        <v>43160</v>
      </c>
      <c r="AE5517" s="3" t="s">
        <v>158</v>
      </c>
      <c r="AF5517" s="3" t="s">
        <v>25935</v>
      </c>
      <c r="AG5517" s="3" t="s">
        <v>13639</v>
      </c>
      <c r="AH5517" s="11">
        <f>HYPERLINK("https://my.pitchbook.com?c=135808-12T","View Company Online")</f>
      </c>
    </row>
    <row r="5518">
      <c r="A5518" s="12" t="s">
        <v>25936</v>
      </c>
      <c r="B5518" s="12" t="s">
        <v>13084</v>
      </c>
      <c r="C5518" s="19">
        <v>40</v>
      </c>
      <c r="D5518" s="19">
        <v>97</v>
      </c>
      <c r="E5518" s="19">
        <v>38</v>
      </c>
      <c r="F5518" s="19">
        <v>142</v>
      </c>
      <c r="G5518" s="15" t="s">
        <v>326</v>
      </c>
      <c r="H5518" s="14">
        <v>50.37</v>
      </c>
      <c r="I5518" s="18">
        <v>53.71</v>
      </c>
      <c r="J5518" s="12" t="s">
        <v>521</v>
      </c>
      <c r="K5518" s="13">
        <v>42873</v>
      </c>
      <c r="L5518" s="15" t="s">
        <v>36</v>
      </c>
      <c r="M5518" s="12" t="s">
        <v>36</v>
      </c>
      <c r="N5518" s="12" t="s">
        <v>36</v>
      </c>
      <c r="O5518" s="17" t="s">
        <v>36</v>
      </c>
      <c r="P5518" s="12" t="s">
        <v>36</v>
      </c>
      <c r="Q5518" s="12" t="s">
        <v>36</v>
      </c>
      <c r="R5518" s="12" t="s">
        <v>36</v>
      </c>
      <c r="S5518" s="12" t="s">
        <v>36</v>
      </c>
      <c r="T5518" s="12" t="s">
        <v>13085</v>
      </c>
      <c r="U5518" s="12" t="s">
        <v>96</v>
      </c>
      <c r="V5518" s="12" t="s">
        <v>52</v>
      </c>
      <c r="W5518" s="12" t="s">
        <v>13086</v>
      </c>
      <c r="X5518" s="16" t="s">
        <v>25937</v>
      </c>
      <c r="Y5518" s="15" t="s">
        <v>55</v>
      </c>
      <c r="Z5518" s="14">
        <v>8.19</v>
      </c>
      <c r="AA5518" s="14">
        <v>15.24</v>
      </c>
      <c r="AB5518" s="12" t="s">
        <v>56</v>
      </c>
      <c r="AC5518" s="12" t="s">
        <v>13088</v>
      </c>
      <c r="AD5518" s="13">
        <v>43160</v>
      </c>
      <c r="AE5518" s="12" t="s">
        <v>496</v>
      </c>
      <c r="AF5518" s="12" t="s">
        <v>885</v>
      </c>
      <c r="AG5518" s="12" t="s">
        <v>1978</v>
      </c>
      <c r="AH5518" s="1">
        <f>HYPERLINK("https://my.pitchbook.com?c=87870-70T","View Company Online")</f>
      </c>
    </row>
    <row r="5519">
      <c r="A5519" s="3" t="s">
        <v>25938</v>
      </c>
      <c r="B5519" s="3" t="s">
        <v>7103</v>
      </c>
      <c r="C5519" s="5" t="s">
        <v>36</v>
      </c>
      <c r="D5519" s="5" t="s">
        <v>36</v>
      </c>
      <c r="E5519" s="5" t="s">
        <v>36</v>
      </c>
      <c r="F5519" s="5" t="s">
        <v>36</v>
      </c>
      <c r="G5519" s="6" t="s">
        <v>36</v>
      </c>
      <c r="H5519" s="4">
        <v>35.52</v>
      </c>
      <c r="I5519" s="7">
        <v>25.66</v>
      </c>
      <c r="J5519" s="3" t="s">
        <v>327</v>
      </c>
      <c r="K5519" s="9" t="s">
        <v>36</v>
      </c>
      <c r="L5519" s="6" t="s">
        <v>36</v>
      </c>
      <c r="M5519" s="3" t="s">
        <v>36</v>
      </c>
      <c r="N5519" s="3" t="s">
        <v>36</v>
      </c>
      <c r="O5519" s="8" t="s">
        <v>36</v>
      </c>
      <c r="P5519" s="3" t="s">
        <v>36</v>
      </c>
      <c r="Q5519" s="3" t="s">
        <v>36</v>
      </c>
      <c r="R5519" s="3" t="s">
        <v>36</v>
      </c>
      <c r="S5519" s="3" t="s">
        <v>36</v>
      </c>
      <c r="T5519" s="3" t="s">
        <v>1501</v>
      </c>
      <c r="U5519" s="3" t="s">
        <v>1502</v>
      </c>
      <c r="V5519" s="3" t="s">
        <v>75</v>
      </c>
      <c r="W5519" s="3" t="s">
        <v>7104</v>
      </c>
      <c r="X5519" s="10" t="s">
        <v>25939</v>
      </c>
      <c r="Y5519" s="6" t="s">
        <v>42</v>
      </c>
      <c r="Z5519" s="4">
        <v>0.26</v>
      </c>
      <c r="AA5519" s="4">
        <v>1.01</v>
      </c>
      <c r="AB5519" s="3" t="s">
        <v>43</v>
      </c>
      <c r="AC5519" s="3" t="s">
        <v>7106</v>
      </c>
      <c r="AD5519" s="9">
        <v>43159</v>
      </c>
      <c r="AE5519" s="3" t="s">
        <v>1506</v>
      </c>
      <c r="AF5519" s="3" t="s">
        <v>7107</v>
      </c>
      <c r="AG5519" s="3" t="s">
        <v>899</v>
      </c>
      <c r="AH5519" s="11">
        <f>HYPERLINK("https://my.pitchbook.com?c=122323-33T","View Company Online")</f>
      </c>
    </row>
    <row r="5520">
      <c r="A5520" s="12" t="s">
        <v>25940</v>
      </c>
      <c r="B5520" s="12" t="s">
        <v>23667</v>
      </c>
      <c r="C5520" s="19" t="s">
        <v>36</v>
      </c>
      <c r="D5520" s="19" t="s">
        <v>36</v>
      </c>
      <c r="E5520" s="19" t="s">
        <v>36</v>
      </c>
      <c r="F5520" s="19" t="s">
        <v>36</v>
      </c>
      <c r="G5520" s="15" t="s">
        <v>326</v>
      </c>
      <c r="H5520" s="14">
        <v>571.27</v>
      </c>
      <c r="I5520" s="18">
        <v>19.99</v>
      </c>
      <c r="J5520" s="12" t="s">
        <v>521</v>
      </c>
      <c r="K5520" s="13">
        <v>43139</v>
      </c>
      <c r="L5520" s="15" t="s">
        <v>36</v>
      </c>
      <c r="M5520" s="12" t="s">
        <v>36</v>
      </c>
      <c r="N5520" s="12" t="s">
        <v>36</v>
      </c>
      <c r="O5520" s="17" t="s">
        <v>36</v>
      </c>
      <c r="P5520" s="12" t="s">
        <v>36</v>
      </c>
      <c r="Q5520" s="12" t="s">
        <v>36</v>
      </c>
      <c r="R5520" s="12" t="s">
        <v>36</v>
      </c>
      <c r="S5520" s="12" t="s">
        <v>36</v>
      </c>
      <c r="T5520" s="12" t="s">
        <v>5470</v>
      </c>
      <c r="U5520" s="12" t="s">
        <v>38</v>
      </c>
      <c r="V5520" s="12" t="s">
        <v>39</v>
      </c>
      <c r="W5520" s="12" t="s">
        <v>23668</v>
      </c>
      <c r="X5520" s="16" t="s">
        <v>25941</v>
      </c>
      <c r="Y5520" s="15" t="s">
        <v>42</v>
      </c>
      <c r="Z5520" s="14">
        <v>1.23</v>
      </c>
      <c r="AA5520" s="14">
        <v>6.18</v>
      </c>
      <c r="AB5520" s="12" t="s">
        <v>56</v>
      </c>
      <c r="AC5520" s="12" t="s">
        <v>23670</v>
      </c>
      <c r="AD5520" s="13">
        <v>43159</v>
      </c>
      <c r="AE5520" s="12" t="s">
        <v>1422</v>
      </c>
      <c r="AF5520" s="12" t="s">
        <v>4284</v>
      </c>
      <c r="AG5520" s="12" t="s">
        <v>81</v>
      </c>
      <c r="AH5520" s="1">
        <f>HYPERLINK("https://my.pitchbook.com?c=123778-09T","View Company Online")</f>
      </c>
    </row>
    <row r="5521">
      <c r="A5521" s="3" t="s">
        <v>25942</v>
      </c>
      <c r="B5521" s="3" t="s">
        <v>25943</v>
      </c>
      <c r="C5521" s="5">
        <v>2</v>
      </c>
      <c r="D5521" s="5">
        <v>4</v>
      </c>
      <c r="E5521" s="5">
        <v>2</v>
      </c>
      <c r="F5521" s="5">
        <v>7</v>
      </c>
      <c r="G5521" s="6" t="s">
        <v>326</v>
      </c>
      <c r="H5521" s="4">
        <v>313.13</v>
      </c>
      <c r="I5521" s="7">
        <v>23.24</v>
      </c>
      <c r="J5521" s="3" t="s">
        <v>521</v>
      </c>
      <c r="K5521" s="9" t="s">
        <v>36</v>
      </c>
      <c r="L5521" s="6" t="s">
        <v>36</v>
      </c>
      <c r="M5521" s="3" t="s">
        <v>36</v>
      </c>
      <c r="N5521" s="3" t="s">
        <v>36</v>
      </c>
      <c r="O5521" s="8" t="s">
        <v>36</v>
      </c>
      <c r="P5521" s="3" t="s">
        <v>36</v>
      </c>
      <c r="Q5521" s="3" t="s">
        <v>36</v>
      </c>
      <c r="R5521" s="3" t="s">
        <v>36</v>
      </c>
      <c r="S5521" s="3" t="s">
        <v>36</v>
      </c>
      <c r="T5521" s="3" t="s">
        <v>20019</v>
      </c>
      <c r="U5521" s="3" t="s">
        <v>289</v>
      </c>
      <c r="V5521" s="3" t="s">
        <v>64</v>
      </c>
      <c r="W5521" s="3" t="s">
        <v>25944</v>
      </c>
      <c r="X5521" s="10" t="s">
        <v>25945</v>
      </c>
      <c r="Y5521" s="6" t="s">
        <v>108</v>
      </c>
      <c r="Z5521" s="4">
        <v>8.65</v>
      </c>
      <c r="AA5521" s="4">
        <v>37.21</v>
      </c>
      <c r="AB5521" s="3" t="s">
        <v>43</v>
      </c>
      <c r="AC5521" s="3" t="s">
        <v>25946</v>
      </c>
      <c r="AD5521" s="9">
        <v>43158</v>
      </c>
      <c r="AE5521" s="3" t="s">
        <v>292</v>
      </c>
      <c r="AF5521" s="3" t="s">
        <v>1077</v>
      </c>
      <c r="AG5521" s="3" t="s">
        <v>81</v>
      </c>
      <c r="AH5521" s="11">
        <f>HYPERLINK("https://my.pitchbook.com?c=117674-29T","View Company Online")</f>
      </c>
    </row>
    <row r="5522">
      <c r="A5522" s="12" t="s">
        <v>25947</v>
      </c>
      <c r="B5522" s="12" t="s">
        <v>25948</v>
      </c>
      <c r="C5522" s="19" t="s">
        <v>36</v>
      </c>
      <c r="D5522" s="19" t="s">
        <v>36</v>
      </c>
      <c r="E5522" s="19" t="s">
        <v>36</v>
      </c>
      <c r="F5522" s="19" t="s">
        <v>36</v>
      </c>
      <c r="G5522" s="15" t="s">
        <v>36</v>
      </c>
      <c r="H5522" s="14" t="s">
        <v>36</v>
      </c>
      <c r="I5522" s="18" t="s">
        <v>36</v>
      </c>
      <c r="J5522" s="12" t="s">
        <v>36</v>
      </c>
      <c r="K5522" s="13" t="s">
        <v>36</v>
      </c>
      <c r="L5522" s="15" t="s">
        <v>94</v>
      </c>
      <c r="M5522" s="12" t="s">
        <v>36</v>
      </c>
      <c r="N5522" s="12" t="s">
        <v>94</v>
      </c>
      <c r="O5522" s="17" t="s">
        <v>36</v>
      </c>
      <c r="P5522" s="12" t="s">
        <v>36</v>
      </c>
      <c r="Q5522" s="12" t="s">
        <v>36</v>
      </c>
      <c r="R5522" s="12" t="s">
        <v>36</v>
      </c>
      <c r="S5522" s="12" t="s">
        <v>36</v>
      </c>
      <c r="T5522" s="12" t="s">
        <v>2044</v>
      </c>
      <c r="U5522" s="12" t="s">
        <v>74</v>
      </c>
      <c r="V5522" s="12" t="s">
        <v>75</v>
      </c>
      <c r="W5522" s="12" t="s">
        <v>25949</v>
      </c>
      <c r="X5522" s="16" t="s">
        <v>25950</v>
      </c>
      <c r="Y5522" s="15" t="s">
        <v>108</v>
      </c>
      <c r="Z5522" s="14">
        <v>8.65</v>
      </c>
      <c r="AA5522" s="14" t="s">
        <v>36</v>
      </c>
      <c r="AB5522" s="12" t="s">
        <v>56</v>
      </c>
      <c r="AC5522" s="12" t="s">
        <v>25951</v>
      </c>
      <c r="AD5522" s="13">
        <v>43158</v>
      </c>
      <c r="AE5522" s="12" t="s">
        <v>79</v>
      </c>
      <c r="AF5522" s="12" t="s">
        <v>19161</v>
      </c>
      <c r="AG5522" s="12" t="s">
        <v>81</v>
      </c>
      <c r="AH5522" s="1">
        <f>HYPERLINK("https://my.pitchbook.com?c=102250-09T","View Company Online")</f>
      </c>
    </row>
    <row r="5523">
      <c r="A5523" s="3" t="s">
        <v>25952</v>
      </c>
      <c r="B5523" s="3" t="s">
        <v>25953</v>
      </c>
      <c r="C5523" s="5" t="s">
        <v>36</v>
      </c>
      <c r="D5523" s="5" t="s">
        <v>36</v>
      </c>
      <c r="E5523" s="5" t="s">
        <v>36</v>
      </c>
      <c r="F5523" s="5" t="s">
        <v>36</v>
      </c>
      <c r="G5523" s="6" t="s">
        <v>683</v>
      </c>
      <c r="H5523" s="4">
        <v>22.85</v>
      </c>
      <c r="I5523" s="7">
        <v>25.29</v>
      </c>
      <c r="J5523" s="3" t="s">
        <v>521</v>
      </c>
      <c r="K5523" s="9" t="s">
        <v>36</v>
      </c>
      <c r="L5523" s="6" t="s">
        <v>36</v>
      </c>
      <c r="M5523" s="3" t="s">
        <v>36</v>
      </c>
      <c r="N5523" s="3" t="s">
        <v>36</v>
      </c>
      <c r="O5523" s="8" t="s">
        <v>36</v>
      </c>
      <c r="P5523" s="3" t="s">
        <v>36</v>
      </c>
      <c r="Q5523" s="3" t="s">
        <v>36</v>
      </c>
      <c r="R5523" s="3" t="s">
        <v>36</v>
      </c>
      <c r="S5523" s="3" t="s">
        <v>36</v>
      </c>
      <c r="T5523" s="3" t="s">
        <v>522</v>
      </c>
      <c r="U5523" s="3" t="s">
        <v>38</v>
      </c>
      <c r="V5523" s="3" t="s">
        <v>39</v>
      </c>
      <c r="W5523" s="3" t="s">
        <v>25954</v>
      </c>
      <c r="X5523" s="10" t="s">
        <v>730</v>
      </c>
      <c r="Y5523" s="6" t="s">
        <v>108</v>
      </c>
      <c r="Z5523" s="4">
        <v>0.62</v>
      </c>
      <c r="AA5523" s="4">
        <v>1.71</v>
      </c>
      <c r="AB5523" s="3" t="s">
        <v>43</v>
      </c>
      <c r="AC5523" s="3" t="s">
        <v>25955</v>
      </c>
      <c r="AD5523" s="9">
        <v>43157</v>
      </c>
      <c r="AE5523" s="3" t="s">
        <v>110</v>
      </c>
      <c r="AF5523" s="3" t="s">
        <v>4477</v>
      </c>
      <c r="AG5523" s="3" t="s">
        <v>25956</v>
      </c>
      <c r="AH5523" s="11">
        <f>HYPERLINK("https://my.pitchbook.com?c=118276-66T","View Company Online")</f>
      </c>
    </row>
    <row r="5524">
      <c r="A5524" s="12" t="s">
        <v>25957</v>
      </c>
      <c r="B5524" s="12" t="s">
        <v>11571</v>
      </c>
      <c r="C5524" s="19" t="s">
        <v>36</v>
      </c>
      <c r="D5524" s="19" t="s">
        <v>36</v>
      </c>
      <c r="E5524" s="19" t="s">
        <v>36</v>
      </c>
      <c r="F5524" s="19" t="s">
        <v>36</v>
      </c>
      <c r="G5524" s="15" t="s">
        <v>326</v>
      </c>
      <c r="H5524" s="14">
        <v>44.43</v>
      </c>
      <c r="I5524" s="18">
        <v>46.58</v>
      </c>
      <c r="J5524" s="12" t="s">
        <v>521</v>
      </c>
      <c r="K5524" s="13" t="s">
        <v>36</v>
      </c>
      <c r="L5524" s="15" t="s">
        <v>122</v>
      </c>
      <c r="M5524" s="12" t="s">
        <v>36</v>
      </c>
      <c r="N5524" s="12" t="s">
        <v>122</v>
      </c>
      <c r="O5524" s="17" t="s">
        <v>36</v>
      </c>
      <c r="P5524" s="12" t="s">
        <v>36</v>
      </c>
      <c r="Q5524" s="12" t="s">
        <v>36</v>
      </c>
      <c r="R5524" s="12" t="s">
        <v>36</v>
      </c>
      <c r="S5524" s="12" t="s">
        <v>36</v>
      </c>
      <c r="T5524" s="12" t="s">
        <v>522</v>
      </c>
      <c r="U5524" s="12" t="s">
        <v>38</v>
      </c>
      <c r="V5524" s="12" t="s">
        <v>39</v>
      </c>
      <c r="W5524" s="12" t="s">
        <v>11572</v>
      </c>
      <c r="X5524" s="16" t="s">
        <v>25958</v>
      </c>
      <c r="Y5524" s="15" t="s">
        <v>108</v>
      </c>
      <c r="Z5524" s="14">
        <v>12.27</v>
      </c>
      <c r="AA5524" s="14">
        <v>26.34</v>
      </c>
      <c r="AB5524" s="12" t="s">
        <v>43</v>
      </c>
      <c r="AC5524" s="12" t="s">
        <v>11574</v>
      </c>
      <c r="AD5524" s="13">
        <v>43157</v>
      </c>
      <c r="AE5524" s="12" t="s">
        <v>110</v>
      </c>
      <c r="AF5524" s="12" t="s">
        <v>2409</v>
      </c>
      <c r="AG5524" s="12" t="s">
        <v>81</v>
      </c>
      <c r="AH5524" s="1">
        <f>HYPERLINK("https://my.pitchbook.com?c=102034-09T","View Company Online")</f>
      </c>
    </row>
    <row r="5525">
      <c r="A5525" s="3" t="s">
        <v>25959</v>
      </c>
      <c r="B5525" s="3" t="s">
        <v>25960</v>
      </c>
      <c r="C5525" s="5" t="s">
        <v>36</v>
      </c>
      <c r="D5525" s="5" t="s">
        <v>36</v>
      </c>
      <c r="E5525" s="5" t="s">
        <v>36</v>
      </c>
      <c r="F5525" s="5" t="s">
        <v>36</v>
      </c>
      <c r="G5525" s="6" t="s">
        <v>36</v>
      </c>
      <c r="H5525" s="4">
        <v>8.38</v>
      </c>
      <c r="I5525" s="7">
        <v>20.64</v>
      </c>
      <c r="J5525" s="3" t="s">
        <v>521</v>
      </c>
      <c r="K5525" s="9">
        <v>42917</v>
      </c>
      <c r="L5525" s="6" t="s">
        <v>36</v>
      </c>
      <c r="M5525" s="3" t="s">
        <v>36</v>
      </c>
      <c r="N5525" s="3" t="s">
        <v>36</v>
      </c>
      <c r="O5525" s="8" t="s">
        <v>36</v>
      </c>
      <c r="P5525" s="3" t="s">
        <v>36</v>
      </c>
      <c r="Q5525" s="3" t="s">
        <v>36</v>
      </c>
      <c r="R5525" s="3" t="s">
        <v>36</v>
      </c>
      <c r="S5525" s="3" t="s">
        <v>36</v>
      </c>
      <c r="T5525" s="3" t="s">
        <v>522</v>
      </c>
      <c r="U5525" s="3" t="s">
        <v>38</v>
      </c>
      <c r="V5525" s="3" t="s">
        <v>39</v>
      </c>
      <c r="W5525" s="3" t="s">
        <v>25961</v>
      </c>
      <c r="X5525" s="10" t="s">
        <v>25962</v>
      </c>
      <c r="Y5525" s="6" t="s">
        <v>42</v>
      </c>
      <c r="Z5525" s="4">
        <v>1.24</v>
      </c>
      <c r="AA5525" s="4">
        <v>4.2</v>
      </c>
      <c r="AB5525" s="3" t="s">
        <v>43</v>
      </c>
      <c r="AC5525" s="3" t="s">
        <v>25963</v>
      </c>
      <c r="AD5525" s="9">
        <v>43152</v>
      </c>
      <c r="AE5525" s="3" t="s">
        <v>110</v>
      </c>
      <c r="AF5525" s="3" t="s">
        <v>22104</v>
      </c>
      <c r="AG5525" s="3" t="s">
        <v>10342</v>
      </c>
      <c r="AH5525" s="11">
        <f>HYPERLINK("https://my.pitchbook.com?c=100528-30T","View Company Online")</f>
      </c>
    </row>
    <row r="5526">
      <c r="A5526" s="12" t="s">
        <v>25964</v>
      </c>
      <c r="B5526" s="12" t="s">
        <v>11926</v>
      </c>
      <c r="C5526" s="19" t="s">
        <v>36</v>
      </c>
      <c r="D5526" s="19" t="s">
        <v>36</v>
      </c>
      <c r="E5526" s="19" t="s">
        <v>36</v>
      </c>
      <c r="F5526" s="19" t="s">
        <v>36</v>
      </c>
      <c r="G5526" s="15" t="s">
        <v>36</v>
      </c>
      <c r="H5526" s="14">
        <v>50.96</v>
      </c>
      <c r="I5526" s="18">
        <v>24.6</v>
      </c>
      <c r="J5526" s="12" t="s">
        <v>521</v>
      </c>
      <c r="K5526" s="13">
        <v>43131</v>
      </c>
      <c r="L5526" s="15" t="s">
        <v>122</v>
      </c>
      <c r="M5526" s="12" t="s">
        <v>36</v>
      </c>
      <c r="N5526" s="12" t="s">
        <v>122</v>
      </c>
      <c r="O5526" s="17" t="s">
        <v>36</v>
      </c>
      <c r="P5526" s="12" t="s">
        <v>36</v>
      </c>
      <c r="Q5526" s="12" t="s">
        <v>36</v>
      </c>
      <c r="R5526" s="12" t="s">
        <v>36</v>
      </c>
      <c r="S5526" s="12" t="s">
        <v>36</v>
      </c>
      <c r="T5526" s="12" t="s">
        <v>105</v>
      </c>
      <c r="U5526" s="12" t="s">
        <v>38</v>
      </c>
      <c r="V5526" s="12" t="s">
        <v>39</v>
      </c>
      <c r="W5526" s="12" t="s">
        <v>11927</v>
      </c>
      <c r="X5526" s="16" t="s">
        <v>25965</v>
      </c>
      <c r="Y5526" s="15" t="s">
        <v>42</v>
      </c>
      <c r="Z5526" s="14">
        <v>1.62</v>
      </c>
      <c r="AA5526" s="14">
        <v>6.57</v>
      </c>
      <c r="AB5526" s="12" t="s">
        <v>43</v>
      </c>
      <c r="AC5526" s="12" t="s">
        <v>11929</v>
      </c>
      <c r="AD5526" s="13">
        <v>43152</v>
      </c>
      <c r="AE5526" s="12" t="s">
        <v>110</v>
      </c>
      <c r="AF5526" s="12" t="s">
        <v>11930</v>
      </c>
      <c r="AG5526" s="12" t="s">
        <v>81</v>
      </c>
      <c r="AH5526" s="1">
        <f>HYPERLINK("https://my.pitchbook.com?c=106848-19T","View Company Online")</f>
      </c>
    </row>
    <row r="5527">
      <c r="A5527" s="3" t="s">
        <v>25966</v>
      </c>
      <c r="B5527" s="3" t="s">
        <v>10770</v>
      </c>
      <c r="C5527" s="5">
        <v>45</v>
      </c>
      <c r="D5527" s="5">
        <v>96</v>
      </c>
      <c r="E5527" s="5">
        <v>38</v>
      </c>
      <c r="F5527" s="5">
        <v>154</v>
      </c>
      <c r="G5527" s="6" t="s">
        <v>326</v>
      </c>
      <c r="H5527" s="4">
        <v>0.37</v>
      </c>
      <c r="I5527" s="7">
        <v>23.21</v>
      </c>
      <c r="J5527" s="3" t="s">
        <v>521</v>
      </c>
      <c r="K5527" s="9" t="s">
        <v>36</v>
      </c>
      <c r="L5527" s="6" t="s">
        <v>94</v>
      </c>
      <c r="M5527" s="3" t="s">
        <v>36</v>
      </c>
      <c r="N5527" s="3" t="s">
        <v>94</v>
      </c>
      <c r="O5527" s="8" t="s">
        <v>36</v>
      </c>
      <c r="P5527" s="3" t="s">
        <v>36</v>
      </c>
      <c r="Q5527" s="3" t="s">
        <v>36</v>
      </c>
      <c r="R5527" s="3" t="s">
        <v>36</v>
      </c>
      <c r="S5527" s="3" t="s">
        <v>36</v>
      </c>
      <c r="T5527" s="3" t="s">
        <v>10771</v>
      </c>
      <c r="U5527" s="3" t="s">
        <v>318</v>
      </c>
      <c r="V5527" s="3" t="s">
        <v>39</v>
      </c>
      <c r="W5527" s="3" t="s">
        <v>10772</v>
      </c>
      <c r="X5527" s="10" t="s">
        <v>25967</v>
      </c>
      <c r="Y5527" s="6" t="s">
        <v>192</v>
      </c>
      <c r="Z5527" s="4">
        <v>19.1</v>
      </c>
      <c r="AA5527" s="4">
        <v>58.64</v>
      </c>
      <c r="AB5527" s="3" t="s">
        <v>43</v>
      </c>
      <c r="AC5527" s="3" t="s">
        <v>10774</v>
      </c>
      <c r="AD5527" s="9">
        <v>43152</v>
      </c>
      <c r="AE5527" s="3" t="s">
        <v>763</v>
      </c>
      <c r="AF5527" s="3" t="s">
        <v>10775</v>
      </c>
      <c r="AG5527" s="3" t="s">
        <v>81</v>
      </c>
      <c r="AH5527" s="11">
        <f>HYPERLINK("https://my.pitchbook.com?c=101758-06T","View Company Online")</f>
      </c>
    </row>
    <row r="5528">
      <c r="A5528" s="12" t="s">
        <v>25968</v>
      </c>
      <c r="B5528" s="12" t="s">
        <v>25969</v>
      </c>
      <c r="C5528" s="19" t="s">
        <v>36</v>
      </c>
      <c r="D5528" s="19" t="s">
        <v>36</v>
      </c>
      <c r="E5528" s="19" t="s">
        <v>36</v>
      </c>
      <c r="F5528" s="19" t="s">
        <v>36</v>
      </c>
      <c r="G5528" s="15" t="s">
        <v>36</v>
      </c>
      <c r="H5528" s="14">
        <v>1686.63</v>
      </c>
      <c r="I5528" s="18">
        <v>18.77</v>
      </c>
      <c r="J5528" s="12" t="s">
        <v>521</v>
      </c>
      <c r="K5528" s="13" t="s">
        <v>36</v>
      </c>
      <c r="L5528" s="15" t="s">
        <v>36</v>
      </c>
      <c r="M5528" s="12" t="s">
        <v>36</v>
      </c>
      <c r="N5528" s="12" t="s">
        <v>36</v>
      </c>
      <c r="O5528" s="17" t="s">
        <v>36</v>
      </c>
      <c r="P5528" s="12" t="s">
        <v>36</v>
      </c>
      <c r="Q5528" s="12" t="s">
        <v>36</v>
      </c>
      <c r="R5528" s="12" t="s">
        <v>36</v>
      </c>
      <c r="S5528" s="12" t="s">
        <v>36</v>
      </c>
      <c r="T5528" s="12" t="s">
        <v>3545</v>
      </c>
      <c r="U5528" s="12" t="s">
        <v>38</v>
      </c>
      <c r="V5528" s="12" t="s">
        <v>39</v>
      </c>
      <c r="W5528" s="12" t="s">
        <v>25970</v>
      </c>
      <c r="X5528" s="16" t="s">
        <v>25971</v>
      </c>
      <c r="Y5528" s="15" t="s">
        <v>108</v>
      </c>
      <c r="Z5528" s="14">
        <v>0.8</v>
      </c>
      <c r="AA5528" s="14">
        <v>2.47</v>
      </c>
      <c r="AB5528" s="12" t="s">
        <v>56</v>
      </c>
      <c r="AC5528" s="12" t="s">
        <v>25972</v>
      </c>
      <c r="AD5528" s="13">
        <v>43151</v>
      </c>
      <c r="AE5528" s="12" t="s">
        <v>1945</v>
      </c>
      <c r="AF5528" s="12" t="s">
        <v>25973</v>
      </c>
      <c r="AG5528" s="12" t="s">
        <v>25974</v>
      </c>
      <c r="AH5528" s="1">
        <f>HYPERLINK("https://my.pitchbook.com?c=138484-09T","View Company Online")</f>
      </c>
    </row>
    <row r="5529">
      <c r="A5529" s="3" t="s">
        <v>25975</v>
      </c>
      <c r="B5529" s="3" t="s">
        <v>25976</v>
      </c>
      <c r="C5529" s="5" t="s">
        <v>36</v>
      </c>
      <c r="D5529" s="5" t="s">
        <v>36</v>
      </c>
      <c r="E5529" s="5" t="s">
        <v>36</v>
      </c>
      <c r="F5529" s="5" t="s">
        <v>36</v>
      </c>
      <c r="G5529" s="6" t="s">
        <v>36</v>
      </c>
      <c r="H5529" s="4">
        <v>44.51</v>
      </c>
      <c r="I5529" s="7">
        <v>30.56</v>
      </c>
      <c r="J5529" s="3" t="s">
        <v>521</v>
      </c>
      <c r="K5529" s="9" t="s">
        <v>36</v>
      </c>
      <c r="L5529" s="6" t="s">
        <v>36</v>
      </c>
      <c r="M5529" s="3" t="s">
        <v>36</v>
      </c>
      <c r="N5529" s="3" t="s">
        <v>36</v>
      </c>
      <c r="O5529" s="8" t="s">
        <v>36</v>
      </c>
      <c r="P5529" s="3" t="s">
        <v>36</v>
      </c>
      <c r="Q5529" s="3" t="s">
        <v>36</v>
      </c>
      <c r="R5529" s="3" t="s">
        <v>36</v>
      </c>
      <c r="S5529" s="3" t="s">
        <v>36</v>
      </c>
      <c r="T5529" s="3" t="s">
        <v>9456</v>
      </c>
      <c r="U5529" s="3" t="s">
        <v>63</v>
      </c>
      <c r="V5529" s="3" t="s">
        <v>64</v>
      </c>
      <c r="W5529" s="3" t="s">
        <v>25977</v>
      </c>
      <c r="X5529" s="10" t="s">
        <v>21450</v>
      </c>
      <c r="Y5529" s="6" t="s">
        <v>42</v>
      </c>
      <c r="Z5529" s="4">
        <v>0.33</v>
      </c>
      <c r="AA5529" s="4">
        <v>0.27</v>
      </c>
      <c r="AB5529" s="3" t="s">
        <v>43</v>
      </c>
      <c r="AC5529" s="3" t="s">
        <v>25978</v>
      </c>
      <c r="AD5529" s="9">
        <v>43151</v>
      </c>
      <c r="AE5529" s="3" t="s">
        <v>4310</v>
      </c>
      <c r="AF5529" s="3" t="s">
        <v>36</v>
      </c>
      <c r="AG5529" s="3" t="s">
        <v>25979</v>
      </c>
      <c r="AH5529" s="11">
        <f>HYPERLINK("https://my.pitchbook.com?c=110385-46T","View Company Online")</f>
      </c>
    </row>
    <row r="5530">
      <c r="A5530" s="12" t="s">
        <v>25980</v>
      </c>
      <c r="B5530" s="12" t="s">
        <v>10412</v>
      </c>
      <c r="C5530" s="19" t="s">
        <v>36</v>
      </c>
      <c r="D5530" s="19" t="s">
        <v>36</v>
      </c>
      <c r="E5530" s="19" t="s">
        <v>36</v>
      </c>
      <c r="F5530" s="19" t="s">
        <v>36</v>
      </c>
      <c r="G5530" s="15" t="s">
        <v>36</v>
      </c>
      <c r="H5530" s="14" t="s">
        <v>36</v>
      </c>
      <c r="I5530" s="18" t="s">
        <v>36</v>
      </c>
      <c r="J5530" s="12" t="s">
        <v>36</v>
      </c>
      <c r="K5530" s="13" t="s">
        <v>36</v>
      </c>
      <c r="L5530" s="15" t="s">
        <v>122</v>
      </c>
      <c r="M5530" s="12" t="s">
        <v>36</v>
      </c>
      <c r="N5530" s="12" t="s">
        <v>122</v>
      </c>
      <c r="O5530" s="17" t="s">
        <v>36</v>
      </c>
      <c r="P5530" s="12" t="s">
        <v>36</v>
      </c>
      <c r="Q5530" s="12" t="s">
        <v>36</v>
      </c>
      <c r="R5530" s="12" t="s">
        <v>36</v>
      </c>
      <c r="S5530" s="12" t="s">
        <v>36</v>
      </c>
      <c r="T5530" s="12" t="s">
        <v>4225</v>
      </c>
      <c r="U5530" s="12" t="s">
        <v>96</v>
      </c>
      <c r="V5530" s="12" t="s">
        <v>52</v>
      </c>
      <c r="W5530" s="12" t="s">
        <v>10413</v>
      </c>
      <c r="X5530" s="16" t="s">
        <v>25981</v>
      </c>
      <c r="Y5530" s="15" t="s">
        <v>42</v>
      </c>
      <c r="Z5530" s="14">
        <v>183.58</v>
      </c>
      <c r="AA5530" s="14" t="s">
        <v>36</v>
      </c>
      <c r="AB5530" s="12" t="s">
        <v>43</v>
      </c>
      <c r="AC5530" s="12" t="s">
        <v>10415</v>
      </c>
      <c r="AD5530" s="13">
        <v>43151</v>
      </c>
      <c r="AE5530" s="12" t="s">
        <v>143</v>
      </c>
      <c r="AF5530" s="12" t="s">
        <v>101</v>
      </c>
      <c r="AG5530" s="12" t="s">
        <v>8596</v>
      </c>
      <c r="AH5530" s="1">
        <f>HYPERLINK("https://my.pitchbook.com?c=224825-68T","View Company Online")</f>
      </c>
    </row>
    <row r="5531">
      <c r="A5531" s="3" t="s">
        <v>25982</v>
      </c>
      <c r="B5531" s="3" t="s">
        <v>25983</v>
      </c>
      <c r="C5531" s="5">
        <v>4</v>
      </c>
      <c r="D5531" s="5">
        <v>12</v>
      </c>
      <c r="E5531" s="5">
        <v>5</v>
      </c>
      <c r="F5531" s="5">
        <v>16</v>
      </c>
      <c r="G5531" s="6" t="s">
        <v>36</v>
      </c>
      <c r="H5531" s="4">
        <v>58.16</v>
      </c>
      <c r="I5531" s="7">
        <v>44</v>
      </c>
      <c r="J5531" s="3" t="s">
        <v>521</v>
      </c>
      <c r="K5531" s="9" t="s">
        <v>36</v>
      </c>
      <c r="L5531" s="6" t="s">
        <v>36</v>
      </c>
      <c r="M5531" s="3" t="s">
        <v>36</v>
      </c>
      <c r="N5531" s="3" t="s">
        <v>36</v>
      </c>
      <c r="O5531" s="8" t="s">
        <v>36</v>
      </c>
      <c r="P5531" s="3" t="s">
        <v>36</v>
      </c>
      <c r="Q5531" s="3" t="s">
        <v>36</v>
      </c>
      <c r="R5531" s="3" t="s">
        <v>36</v>
      </c>
      <c r="S5531" s="3" t="s">
        <v>36</v>
      </c>
      <c r="T5531" s="3" t="s">
        <v>18982</v>
      </c>
      <c r="U5531" s="3" t="s">
        <v>1798</v>
      </c>
      <c r="V5531" s="3" t="s">
        <v>39</v>
      </c>
      <c r="W5531" s="3" t="s">
        <v>25984</v>
      </c>
      <c r="X5531" s="10" t="s">
        <v>25985</v>
      </c>
      <c r="Y5531" s="6" t="s">
        <v>42</v>
      </c>
      <c r="Z5531" s="4">
        <v>2.72</v>
      </c>
      <c r="AA5531" s="4">
        <v>6.19</v>
      </c>
      <c r="AB5531" s="3" t="s">
        <v>43</v>
      </c>
      <c r="AC5531" s="3" t="s">
        <v>25986</v>
      </c>
      <c r="AD5531" s="9">
        <v>43151</v>
      </c>
      <c r="AE5531" s="3" t="s">
        <v>1802</v>
      </c>
      <c r="AF5531" s="3" t="s">
        <v>4668</v>
      </c>
      <c r="AG5531" s="3" t="s">
        <v>81</v>
      </c>
      <c r="AH5531" s="11">
        <f>HYPERLINK("https://my.pitchbook.com?c=102055-96T","View Company Online")</f>
      </c>
    </row>
    <row r="5532">
      <c r="A5532" s="12" t="s">
        <v>25987</v>
      </c>
      <c r="B5532" s="12" t="s">
        <v>25988</v>
      </c>
      <c r="C5532" s="19" t="s">
        <v>36</v>
      </c>
      <c r="D5532" s="19" t="s">
        <v>36</v>
      </c>
      <c r="E5532" s="19" t="s">
        <v>36</v>
      </c>
      <c r="F5532" s="19" t="s">
        <v>36</v>
      </c>
      <c r="G5532" s="15" t="s">
        <v>683</v>
      </c>
      <c r="H5532" s="14">
        <v>18.49</v>
      </c>
      <c r="I5532" s="18">
        <v>15.99</v>
      </c>
      <c r="J5532" s="12" t="s">
        <v>521</v>
      </c>
      <c r="K5532" s="13" t="s">
        <v>36</v>
      </c>
      <c r="L5532" s="15" t="s">
        <v>36</v>
      </c>
      <c r="M5532" s="12" t="s">
        <v>36</v>
      </c>
      <c r="N5532" s="12" t="s">
        <v>36</v>
      </c>
      <c r="O5532" s="17" t="s">
        <v>36</v>
      </c>
      <c r="P5532" s="12" t="s">
        <v>36</v>
      </c>
      <c r="Q5532" s="12" t="s">
        <v>36</v>
      </c>
      <c r="R5532" s="12" t="s">
        <v>36</v>
      </c>
      <c r="S5532" s="12" t="s">
        <v>36</v>
      </c>
      <c r="T5532" s="12" t="s">
        <v>25989</v>
      </c>
      <c r="U5532" s="12" t="s">
        <v>219</v>
      </c>
      <c r="V5532" s="12" t="s">
        <v>75</v>
      </c>
      <c r="W5532" s="12" t="s">
        <v>25990</v>
      </c>
      <c r="X5532" s="16" t="s">
        <v>12909</v>
      </c>
      <c r="Y5532" s="15" t="s">
        <v>108</v>
      </c>
      <c r="Z5532" s="14">
        <v>0.19</v>
      </c>
      <c r="AA5532" s="14">
        <v>1.16</v>
      </c>
      <c r="AB5532" s="12" t="s">
        <v>56</v>
      </c>
      <c r="AC5532" s="12" t="s">
        <v>25991</v>
      </c>
      <c r="AD5532" s="13">
        <v>43151</v>
      </c>
      <c r="AE5532" s="12" t="s">
        <v>223</v>
      </c>
      <c r="AF5532" s="12" t="s">
        <v>372</v>
      </c>
      <c r="AG5532" s="12" t="s">
        <v>25992</v>
      </c>
      <c r="AH5532" s="1">
        <f>HYPERLINK("https://my.pitchbook.com?c=115870-51T","View Company Online")</f>
      </c>
    </row>
    <row r="5533">
      <c r="A5533" s="3" t="s">
        <v>25993</v>
      </c>
      <c r="B5533" s="3" t="s">
        <v>25994</v>
      </c>
      <c r="C5533" s="5" t="s">
        <v>36</v>
      </c>
      <c r="D5533" s="5" t="s">
        <v>36</v>
      </c>
      <c r="E5533" s="5" t="s">
        <v>36</v>
      </c>
      <c r="F5533" s="5" t="s">
        <v>36</v>
      </c>
      <c r="G5533" s="6" t="s">
        <v>36</v>
      </c>
      <c r="H5533" s="4">
        <v>1.82</v>
      </c>
      <c r="I5533" s="7">
        <v>11.78</v>
      </c>
      <c r="J5533" s="3" t="s">
        <v>521</v>
      </c>
      <c r="K5533" s="9" t="s">
        <v>36</v>
      </c>
      <c r="L5533" s="6" t="s">
        <v>36</v>
      </c>
      <c r="M5533" s="3" t="s">
        <v>36</v>
      </c>
      <c r="N5533" s="3" t="s">
        <v>36</v>
      </c>
      <c r="O5533" s="8" t="s">
        <v>36</v>
      </c>
      <c r="P5533" s="3" t="s">
        <v>36</v>
      </c>
      <c r="Q5533" s="3" t="s">
        <v>36</v>
      </c>
      <c r="R5533" s="3" t="s">
        <v>36</v>
      </c>
      <c r="S5533" s="3" t="s">
        <v>36</v>
      </c>
      <c r="T5533" s="3" t="s">
        <v>25995</v>
      </c>
      <c r="U5533" s="3" t="s">
        <v>38</v>
      </c>
      <c r="V5533" s="3" t="s">
        <v>39</v>
      </c>
      <c r="W5533" s="3" t="s">
        <v>25996</v>
      </c>
      <c r="X5533" s="10" t="s">
        <v>25997</v>
      </c>
      <c r="Y5533" s="6" t="s">
        <v>108</v>
      </c>
      <c r="Z5533" s="4">
        <v>1.61</v>
      </c>
      <c r="AA5533" s="4">
        <v>9.82</v>
      </c>
      <c r="AB5533" s="3" t="s">
        <v>43</v>
      </c>
      <c r="AC5533" s="3" t="s">
        <v>25998</v>
      </c>
      <c r="AD5533" s="9">
        <v>43151</v>
      </c>
      <c r="AE5533" s="3" t="s">
        <v>688</v>
      </c>
      <c r="AF5533" s="3" t="s">
        <v>1077</v>
      </c>
      <c r="AG5533" s="3" t="s">
        <v>419</v>
      </c>
      <c r="AH5533" s="11">
        <f>HYPERLINK("https://my.pitchbook.com?c=105688-00T","View Company Online")</f>
      </c>
    </row>
    <row r="5534">
      <c r="A5534" s="12" t="s">
        <v>25999</v>
      </c>
      <c r="B5534" s="12" t="s">
        <v>1304</v>
      </c>
      <c r="C5534" s="19" t="s">
        <v>36</v>
      </c>
      <c r="D5534" s="19" t="s">
        <v>36</v>
      </c>
      <c r="E5534" s="19" t="s">
        <v>36</v>
      </c>
      <c r="F5534" s="19" t="s">
        <v>36</v>
      </c>
      <c r="G5534" s="15" t="s">
        <v>36</v>
      </c>
      <c r="H5534" s="14" t="s">
        <v>36</v>
      </c>
      <c r="I5534" s="18" t="s">
        <v>36</v>
      </c>
      <c r="J5534" s="12" t="s">
        <v>36</v>
      </c>
      <c r="K5534" s="13" t="s">
        <v>36</v>
      </c>
      <c r="L5534" s="15" t="s">
        <v>36</v>
      </c>
      <c r="M5534" s="12" t="s">
        <v>36</v>
      </c>
      <c r="N5534" s="12" t="s">
        <v>36</v>
      </c>
      <c r="O5534" s="17" t="s">
        <v>36</v>
      </c>
      <c r="P5534" s="12" t="s">
        <v>36</v>
      </c>
      <c r="Q5534" s="12" t="s">
        <v>36</v>
      </c>
      <c r="R5534" s="12" t="s">
        <v>36</v>
      </c>
      <c r="S5534" s="12" t="s">
        <v>36</v>
      </c>
      <c r="T5534" s="12" t="s">
        <v>1305</v>
      </c>
      <c r="U5534" s="12" t="s">
        <v>38</v>
      </c>
      <c r="V5534" s="12" t="s">
        <v>39</v>
      </c>
      <c r="W5534" s="12" t="s">
        <v>1306</v>
      </c>
      <c r="X5534" s="16" t="s">
        <v>26000</v>
      </c>
      <c r="Y5534" s="15" t="s">
        <v>108</v>
      </c>
      <c r="Z5534" s="14">
        <v>1.24</v>
      </c>
      <c r="AA5534" s="14" t="s">
        <v>36</v>
      </c>
      <c r="AB5534" s="12" t="s">
        <v>56</v>
      </c>
      <c r="AC5534" s="12" t="s">
        <v>1308</v>
      </c>
      <c r="AD5534" s="13">
        <v>43150</v>
      </c>
      <c r="AE5534" s="12" t="s">
        <v>110</v>
      </c>
      <c r="AF5534" s="12" t="s">
        <v>526</v>
      </c>
      <c r="AG5534" s="12" t="s">
        <v>144</v>
      </c>
      <c r="AH5534" s="1">
        <f>HYPERLINK("https://my.pitchbook.com?c=101759-41T","View Company Online")</f>
      </c>
    </row>
    <row r="5535">
      <c r="A5535" s="3" t="s">
        <v>26001</v>
      </c>
      <c r="B5535" s="3" t="s">
        <v>26002</v>
      </c>
      <c r="C5535" s="5" t="s">
        <v>36</v>
      </c>
      <c r="D5535" s="5" t="s">
        <v>36</v>
      </c>
      <c r="E5535" s="5" t="s">
        <v>36</v>
      </c>
      <c r="F5535" s="5" t="s">
        <v>36</v>
      </c>
      <c r="G5535" s="6" t="s">
        <v>36</v>
      </c>
      <c r="H5535" s="4">
        <v>62.31</v>
      </c>
      <c r="I5535" s="7">
        <v>16.37</v>
      </c>
      <c r="J5535" s="3" t="s">
        <v>521</v>
      </c>
      <c r="K5535" s="9" t="s">
        <v>36</v>
      </c>
      <c r="L5535" s="6" t="s">
        <v>36</v>
      </c>
      <c r="M5535" s="3" t="s">
        <v>36</v>
      </c>
      <c r="N5535" s="3" t="s">
        <v>36</v>
      </c>
      <c r="O5535" s="8" t="s">
        <v>36</v>
      </c>
      <c r="P5535" s="3" t="s">
        <v>36</v>
      </c>
      <c r="Q5535" s="3" t="s">
        <v>36</v>
      </c>
      <c r="R5535" s="3" t="s">
        <v>36</v>
      </c>
      <c r="S5535" s="3" t="s">
        <v>36</v>
      </c>
      <c r="T5535" s="3" t="s">
        <v>13714</v>
      </c>
      <c r="U5535" s="3" t="s">
        <v>63</v>
      </c>
      <c r="V5535" s="3" t="s">
        <v>64</v>
      </c>
      <c r="W5535" s="3" t="s">
        <v>26003</v>
      </c>
      <c r="X5535" s="10" t="s">
        <v>11535</v>
      </c>
      <c r="Y5535" s="6" t="s">
        <v>42</v>
      </c>
      <c r="Z5535" s="4">
        <v>0.29</v>
      </c>
      <c r="AA5535" s="4">
        <v>1.78</v>
      </c>
      <c r="AB5535" s="3" t="s">
        <v>43</v>
      </c>
      <c r="AC5535" s="3" t="s">
        <v>26004</v>
      </c>
      <c r="AD5535" s="9">
        <v>43150</v>
      </c>
      <c r="AE5535" s="3" t="s">
        <v>68</v>
      </c>
      <c r="AF5535" s="3" t="s">
        <v>36</v>
      </c>
      <c r="AG5535" s="3" t="s">
        <v>81</v>
      </c>
      <c r="AH5535" s="11">
        <f>HYPERLINK("https://my.pitchbook.com?c=158868-73T","View Company Online")</f>
      </c>
    </row>
    <row r="5536">
      <c r="A5536" s="12" t="s">
        <v>26005</v>
      </c>
      <c r="B5536" s="12" t="s">
        <v>7621</v>
      </c>
      <c r="C5536" s="19" t="s">
        <v>36</v>
      </c>
      <c r="D5536" s="19" t="s">
        <v>36</v>
      </c>
      <c r="E5536" s="19" t="s">
        <v>36</v>
      </c>
      <c r="F5536" s="19" t="s">
        <v>36</v>
      </c>
      <c r="G5536" s="15" t="s">
        <v>36</v>
      </c>
      <c r="H5536" s="14">
        <v>32.95</v>
      </c>
      <c r="I5536" s="18">
        <v>31.63</v>
      </c>
      <c r="J5536" s="12" t="s">
        <v>521</v>
      </c>
      <c r="K5536" s="13">
        <v>43013</v>
      </c>
      <c r="L5536" s="15" t="s">
        <v>122</v>
      </c>
      <c r="M5536" s="12" t="s">
        <v>36</v>
      </c>
      <c r="N5536" s="12" t="s">
        <v>122</v>
      </c>
      <c r="O5536" s="17" t="s">
        <v>36</v>
      </c>
      <c r="P5536" s="12" t="s">
        <v>36</v>
      </c>
      <c r="Q5536" s="12" t="s">
        <v>36</v>
      </c>
      <c r="R5536" s="12" t="s">
        <v>36</v>
      </c>
      <c r="S5536" s="12" t="s">
        <v>36</v>
      </c>
      <c r="T5536" s="12" t="s">
        <v>7622</v>
      </c>
      <c r="U5536" s="12" t="s">
        <v>74</v>
      </c>
      <c r="V5536" s="12" t="s">
        <v>75</v>
      </c>
      <c r="W5536" s="12" t="s">
        <v>7623</v>
      </c>
      <c r="X5536" s="16" t="s">
        <v>26006</v>
      </c>
      <c r="Y5536" s="15" t="s">
        <v>42</v>
      </c>
      <c r="Z5536" s="14">
        <v>3.09</v>
      </c>
      <c r="AA5536" s="14">
        <v>8.88</v>
      </c>
      <c r="AB5536" s="12" t="s">
        <v>43</v>
      </c>
      <c r="AC5536" s="12" t="s">
        <v>7625</v>
      </c>
      <c r="AD5536" s="13">
        <v>43150</v>
      </c>
      <c r="AE5536" s="12" t="s">
        <v>79</v>
      </c>
      <c r="AF5536" s="12" t="s">
        <v>468</v>
      </c>
      <c r="AG5536" s="12" t="s">
        <v>81</v>
      </c>
      <c r="AH5536" s="1">
        <f>HYPERLINK("https://my.pitchbook.com?c=101691-73T","View Company Online")</f>
      </c>
    </row>
    <row r="5537">
      <c r="A5537" s="3" t="s">
        <v>26007</v>
      </c>
      <c r="B5537" s="3" t="s">
        <v>26008</v>
      </c>
      <c r="C5537" s="5" t="s">
        <v>36</v>
      </c>
      <c r="D5537" s="5" t="s">
        <v>36</v>
      </c>
      <c r="E5537" s="5" t="s">
        <v>36</v>
      </c>
      <c r="F5537" s="5" t="s">
        <v>36</v>
      </c>
      <c r="G5537" s="6" t="s">
        <v>36</v>
      </c>
      <c r="H5537" s="4" t="s">
        <v>36</v>
      </c>
      <c r="I5537" s="7" t="s">
        <v>36</v>
      </c>
      <c r="J5537" s="3" t="s">
        <v>36</v>
      </c>
      <c r="K5537" s="9" t="s">
        <v>36</v>
      </c>
      <c r="L5537" s="6" t="s">
        <v>36</v>
      </c>
      <c r="M5537" s="3" t="s">
        <v>36</v>
      </c>
      <c r="N5537" s="3" t="s">
        <v>36</v>
      </c>
      <c r="O5537" s="8" t="s">
        <v>36</v>
      </c>
      <c r="P5537" s="3" t="s">
        <v>36</v>
      </c>
      <c r="Q5537" s="3" t="s">
        <v>36</v>
      </c>
      <c r="R5537" s="3" t="s">
        <v>36</v>
      </c>
      <c r="S5537" s="3" t="s">
        <v>36</v>
      </c>
      <c r="T5537" s="3" t="s">
        <v>26009</v>
      </c>
      <c r="U5537" s="3" t="s">
        <v>279</v>
      </c>
      <c r="V5537" s="3" t="s">
        <v>64</v>
      </c>
      <c r="W5537" s="3" t="s">
        <v>26010</v>
      </c>
      <c r="X5537" s="10" t="s">
        <v>26011</v>
      </c>
      <c r="Y5537" s="6" t="s">
        <v>108</v>
      </c>
      <c r="Z5537" s="4">
        <v>0.23</v>
      </c>
      <c r="AA5537" s="4" t="s">
        <v>36</v>
      </c>
      <c r="AB5537" s="3" t="s">
        <v>56</v>
      </c>
      <c r="AC5537" s="3" t="s">
        <v>26012</v>
      </c>
      <c r="AD5537" s="9">
        <v>43148</v>
      </c>
      <c r="AE5537" s="3" t="s">
        <v>11826</v>
      </c>
      <c r="AF5537" s="3" t="s">
        <v>36</v>
      </c>
      <c r="AG5537" s="3" t="s">
        <v>1905</v>
      </c>
      <c r="AH5537" s="11">
        <f>HYPERLINK("https://my.pitchbook.com?c=88617-70T","View Company Online")</f>
      </c>
    </row>
    <row r="5538">
      <c r="A5538" s="12" t="s">
        <v>26013</v>
      </c>
      <c r="B5538" s="12" t="s">
        <v>8603</v>
      </c>
      <c r="C5538" s="19" t="s">
        <v>36</v>
      </c>
      <c r="D5538" s="19" t="s">
        <v>36</v>
      </c>
      <c r="E5538" s="19" t="s">
        <v>36</v>
      </c>
      <c r="F5538" s="19" t="s">
        <v>36</v>
      </c>
      <c r="G5538" s="15" t="s">
        <v>36</v>
      </c>
      <c r="H5538" s="14" t="s">
        <v>36</v>
      </c>
      <c r="I5538" s="18" t="s">
        <v>36</v>
      </c>
      <c r="J5538" s="12" t="s">
        <v>36</v>
      </c>
      <c r="K5538" s="13" t="s">
        <v>36</v>
      </c>
      <c r="L5538" s="15" t="s">
        <v>36</v>
      </c>
      <c r="M5538" s="12" t="s">
        <v>36</v>
      </c>
      <c r="N5538" s="12" t="s">
        <v>36</v>
      </c>
      <c r="O5538" s="17" t="s">
        <v>36</v>
      </c>
      <c r="P5538" s="12" t="s">
        <v>36</v>
      </c>
      <c r="Q5538" s="12" t="s">
        <v>36</v>
      </c>
      <c r="R5538" s="12" t="s">
        <v>36</v>
      </c>
      <c r="S5538" s="12" t="s">
        <v>36</v>
      </c>
      <c r="T5538" s="12" t="s">
        <v>8604</v>
      </c>
      <c r="U5538" s="12" t="s">
        <v>74</v>
      </c>
      <c r="V5538" s="12" t="s">
        <v>75</v>
      </c>
      <c r="W5538" s="12" t="s">
        <v>8605</v>
      </c>
      <c r="X5538" s="16" t="s">
        <v>26014</v>
      </c>
      <c r="Y5538" s="15" t="s">
        <v>42</v>
      </c>
      <c r="Z5538" s="14">
        <v>1.24</v>
      </c>
      <c r="AA5538" s="14" t="s">
        <v>36</v>
      </c>
      <c r="AB5538" s="12" t="s">
        <v>43</v>
      </c>
      <c r="AC5538" s="12" t="s">
        <v>8606</v>
      </c>
      <c r="AD5538" s="13">
        <v>43147</v>
      </c>
      <c r="AE5538" s="12" t="s">
        <v>2237</v>
      </c>
      <c r="AF5538" s="12" t="s">
        <v>8607</v>
      </c>
      <c r="AG5538" s="12" t="s">
        <v>81</v>
      </c>
      <c r="AH5538" s="1">
        <f>HYPERLINK("https://my.pitchbook.com?c=120608-65T","View Company Online")</f>
      </c>
    </row>
    <row r="5539">
      <c r="A5539" s="3" t="s">
        <v>26015</v>
      </c>
      <c r="B5539" s="3" t="s">
        <v>10976</v>
      </c>
      <c r="C5539" s="5">
        <v>4</v>
      </c>
      <c r="D5539" s="5" t="s">
        <v>36</v>
      </c>
      <c r="E5539" s="5">
        <v>4</v>
      </c>
      <c r="F5539" s="5">
        <v>7</v>
      </c>
      <c r="G5539" s="6" t="s">
        <v>326</v>
      </c>
      <c r="H5539" s="4">
        <v>0.76</v>
      </c>
      <c r="I5539" s="7" t="s">
        <v>36</v>
      </c>
      <c r="J5539" s="3" t="s">
        <v>521</v>
      </c>
      <c r="K5539" s="9" t="s">
        <v>36</v>
      </c>
      <c r="L5539" s="6" t="s">
        <v>122</v>
      </c>
      <c r="M5539" s="3" t="s">
        <v>36</v>
      </c>
      <c r="N5539" s="3" t="s">
        <v>122</v>
      </c>
      <c r="O5539" s="8" t="s">
        <v>36</v>
      </c>
      <c r="P5539" s="3" t="s">
        <v>36</v>
      </c>
      <c r="Q5539" s="3" t="s">
        <v>36</v>
      </c>
      <c r="R5539" s="3" t="s">
        <v>36</v>
      </c>
      <c r="S5539" s="3" t="s">
        <v>36</v>
      </c>
      <c r="T5539" s="3" t="s">
        <v>10977</v>
      </c>
      <c r="U5539" s="3" t="s">
        <v>74</v>
      </c>
      <c r="V5539" s="3" t="s">
        <v>75</v>
      </c>
      <c r="W5539" s="3" t="s">
        <v>10978</v>
      </c>
      <c r="X5539" s="10" t="s">
        <v>26016</v>
      </c>
      <c r="Y5539" s="6" t="s">
        <v>108</v>
      </c>
      <c r="Z5539" s="4">
        <v>20.99</v>
      </c>
      <c r="AA5539" s="4">
        <v>29.02</v>
      </c>
      <c r="AB5539" s="3" t="s">
        <v>43</v>
      </c>
      <c r="AC5539" s="3" t="s">
        <v>10980</v>
      </c>
      <c r="AD5539" s="9">
        <v>43146</v>
      </c>
      <c r="AE5539" s="3" t="s">
        <v>362</v>
      </c>
      <c r="AF5539" s="3" t="s">
        <v>468</v>
      </c>
      <c r="AG5539" s="3" t="s">
        <v>392</v>
      </c>
      <c r="AH5539" s="11">
        <f>HYPERLINK("https://my.pitchbook.com?c=99590-86T","View Company Online")</f>
      </c>
    </row>
    <row r="5540">
      <c r="A5540" s="12" t="s">
        <v>26017</v>
      </c>
      <c r="B5540" s="12" t="s">
        <v>26018</v>
      </c>
      <c r="C5540" s="19" t="s">
        <v>36</v>
      </c>
      <c r="D5540" s="19" t="s">
        <v>36</v>
      </c>
      <c r="E5540" s="19" t="s">
        <v>36</v>
      </c>
      <c r="F5540" s="19" t="s">
        <v>36</v>
      </c>
      <c r="G5540" s="15" t="s">
        <v>36</v>
      </c>
      <c r="H5540" s="14" t="s">
        <v>36</v>
      </c>
      <c r="I5540" s="18">
        <v>24.39</v>
      </c>
      <c r="J5540" s="12" t="s">
        <v>521</v>
      </c>
      <c r="K5540" s="13" t="s">
        <v>36</v>
      </c>
      <c r="L5540" s="15" t="s">
        <v>36</v>
      </c>
      <c r="M5540" s="12" t="s">
        <v>36</v>
      </c>
      <c r="N5540" s="12" t="s">
        <v>36</v>
      </c>
      <c r="O5540" s="17" t="s">
        <v>36</v>
      </c>
      <c r="P5540" s="12" t="s">
        <v>36</v>
      </c>
      <c r="Q5540" s="12" t="s">
        <v>36</v>
      </c>
      <c r="R5540" s="12" t="s">
        <v>36</v>
      </c>
      <c r="S5540" s="12" t="s">
        <v>36</v>
      </c>
      <c r="T5540" s="12" t="s">
        <v>26019</v>
      </c>
      <c r="U5540" s="12" t="s">
        <v>38</v>
      </c>
      <c r="V5540" s="12" t="s">
        <v>39</v>
      </c>
      <c r="W5540" s="12" t="s">
        <v>26020</v>
      </c>
      <c r="X5540" s="16" t="s">
        <v>16109</v>
      </c>
      <c r="Y5540" s="15" t="s">
        <v>42</v>
      </c>
      <c r="Z5540" s="14">
        <v>1.23</v>
      </c>
      <c r="AA5540" s="14">
        <v>5.06</v>
      </c>
      <c r="AB5540" s="12" t="s">
        <v>43</v>
      </c>
      <c r="AC5540" s="12" t="s">
        <v>26021</v>
      </c>
      <c r="AD5540" s="13">
        <v>43146</v>
      </c>
      <c r="AE5540" s="12" t="s">
        <v>45</v>
      </c>
      <c r="AF5540" s="12" t="s">
        <v>118</v>
      </c>
      <c r="AG5540" s="12" t="s">
        <v>332</v>
      </c>
      <c r="AH5540" s="1">
        <f>HYPERLINK("https://my.pitchbook.com?c=166371-13T","View Company Online")</f>
      </c>
    </row>
    <row r="5541">
      <c r="A5541" s="3" t="s">
        <v>26022</v>
      </c>
      <c r="B5541" s="3" t="s">
        <v>14461</v>
      </c>
      <c r="C5541" s="5" t="s">
        <v>36</v>
      </c>
      <c r="D5541" s="5" t="s">
        <v>36</v>
      </c>
      <c r="E5541" s="5" t="s">
        <v>36</v>
      </c>
      <c r="F5541" s="5" t="s">
        <v>36</v>
      </c>
      <c r="G5541" s="6" t="s">
        <v>326</v>
      </c>
      <c r="H5541" s="4">
        <v>48.81</v>
      </c>
      <c r="I5541" s="7">
        <v>25.47</v>
      </c>
      <c r="J5541" s="3" t="s">
        <v>521</v>
      </c>
      <c r="K5541" s="9" t="s">
        <v>36</v>
      </c>
      <c r="L5541" s="6" t="s">
        <v>36</v>
      </c>
      <c r="M5541" s="3" t="s">
        <v>36</v>
      </c>
      <c r="N5541" s="3" t="s">
        <v>36</v>
      </c>
      <c r="O5541" s="8" t="s">
        <v>36</v>
      </c>
      <c r="P5541" s="3" t="s">
        <v>36</v>
      </c>
      <c r="Q5541" s="3" t="s">
        <v>36</v>
      </c>
      <c r="R5541" s="3" t="s">
        <v>36</v>
      </c>
      <c r="S5541" s="3" t="s">
        <v>36</v>
      </c>
      <c r="T5541" s="3" t="s">
        <v>2308</v>
      </c>
      <c r="U5541" s="3" t="s">
        <v>38</v>
      </c>
      <c r="V5541" s="3" t="s">
        <v>39</v>
      </c>
      <c r="W5541" s="3" t="s">
        <v>14462</v>
      </c>
      <c r="X5541" s="10" t="s">
        <v>26023</v>
      </c>
      <c r="Y5541" s="6" t="s">
        <v>55</v>
      </c>
      <c r="Z5541" s="4">
        <v>15.85</v>
      </c>
      <c r="AA5541" s="4">
        <v>62.21</v>
      </c>
      <c r="AB5541" s="3" t="s">
        <v>56</v>
      </c>
      <c r="AC5541" s="3" t="s">
        <v>14464</v>
      </c>
      <c r="AD5541" s="9">
        <v>43146</v>
      </c>
      <c r="AE5541" s="3" t="s">
        <v>45</v>
      </c>
      <c r="AF5541" s="3" t="s">
        <v>14465</v>
      </c>
      <c r="AG5541" s="3" t="s">
        <v>81</v>
      </c>
      <c r="AH5541" s="11">
        <f>HYPERLINK("https://my.pitchbook.com?c=101570-23T","View Company Online")</f>
      </c>
    </row>
    <row r="5542">
      <c r="A5542" s="12" t="s">
        <v>26024</v>
      </c>
      <c r="B5542" s="12" t="s">
        <v>8643</v>
      </c>
      <c r="C5542" s="19" t="s">
        <v>36</v>
      </c>
      <c r="D5542" s="19" t="s">
        <v>36</v>
      </c>
      <c r="E5542" s="19" t="s">
        <v>36</v>
      </c>
      <c r="F5542" s="19" t="s">
        <v>36</v>
      </c>
      <c r="G5542" s="15" t="s">
        <v>326</v>
      </c>
      <c r="H5542" s="14">
        <v>148.77</v>
      </c>
      <c r="I5542" s="18">
        <v>17.7</v>
      </c>
      <c r="J5542" s="12" t="s">
        <v>521</v>
      </c>
      <c r="K5542" s="13" t="s">
        <v>36</v>
      </c>
      <c r="L5542" s="15" t="s">
        <v>122</v>
      </c>
      <c r="M5542" s="12" t="s">
        <v>36</v>
      </c>
      <c r="N5542" s="12" t="s">
        <v>122</v>
      </c>
      <c r="O5542" s="17" t="s">
        <v>36</v>
      </c>
      <c r="P5542" s="12" t="s">
        <v>36</v>
      </c>
      <c r="Q5542" s="12" t="s">
        <v>36</v>
      </c>
      <c r="R5542" s="12" t="s">
        <v>36</v>
      </c>
      <c r="S5542" s="12" t="s">
        <v>36</v>
      </c>
      <c r="T5542" s="12" t="s">
        <v>37</v>
      </c>
      <c r="U5542" s="12" t="s">
        <v>38</v>
      </c>
      <c r="V5542" s="12" t="s">
        <v>39</v>
      </c>
      <c r="W5542" s="12" t="s">
        <v>8644</v>
      </c>
      <c r="X5542" s="16" t="s">
        <v>26025</v>
      </c>
      <c r="Y5542" s="15" t="s">
        <v>55</v>
      </c>
      <c r="Z5542" s="14">
        <v>3.21</v>
      </c>
      <c r="AA5542" s="14">
        <v>11.85</v>
      </c>
      <c r="AB5542" s="12" t="s">
        <v>43</v>
      </c>
      <c r="AC5542" s="12" t="s">
        <v>8646</v>
      </c>
      <c r="AD5542" s="13">
        <v>43145</v>
      </c>
      <c r="AE5542" s="12" t="s">
        <v>45</v>
      </c>
      <c r="AF5542" s="12" t="s">
        <v>5901</v>
      </c>
      <c r="AG5542" s="12" t="s">
        <v>4796</v>
      </c>
      <c r="AH5542" s="1">
        <f>HYPERLINK("https://my.pitchbook.com?c=105478-21T","View Company Online")</f>
      </c>
    </row>
    <row r="5543">
      <c r="A5543" s="3" t="s">
        <v>26026</v>
      </c>
      <c r="B5543" s="3" t="s">
        <v>26027</v>
      </c>
      <c r="C5543" s="5" t="s">
        <v>36</v>
      </c>
      <c r="D5543" s="5" t="s">
        <v>36</v>
      </c>
      <c r="E5543" s="5" t="s">
        <v>36</v>
      </c>
      <c r="F5543" s="5" t="s">
        <v>36</v>
      </c>
      <c r="G5543" s="6" t="s">
        <v>36</v>
      </c>
      <c r="H5543" s="4" t="s">
        <v>36</v>
      </c>
      <c r="I5543" s="7" t="s">
        <v>36</v>
      </c>
      <c r="J5543" s="3" t="s">
        <v>36</v>
      </c>
      <c r="K5543" s="9" t="s">
        <v>36</v>
      </c>
      <c r="L5543" s="6" t="s">
        <v>36</v>
      </c>
      <c r="M5543" s="3" t="s">
        <v>36</v>
      </c>
      <c r="N5543" s="3" t="s">
        <v>36</v>
      </c>
      <c r="O5543" s="8" t="s">
        <v>36</v>
      </c>
      <c r="P5543" s="3" t="s">
        <v>36</v>
      </c>
      <c r="Q5543" s="3" t="s">
        <v>36</v>
      </c>
      <c r="R5543" s="3" t="s">
        <v>36</v>
      </c>
      <c r="S5543" s="3" t="s">
        <v>36</v>
      </c>
      <c r="T5543" s="3" t="s">
        <v>1701</v>
      </c>
      <c r="U5543" s="3" t="s">
        <v>74</v>
      </c>
      <c r="V5543" s="3" t="s">
        <v>75</v>
      </c>
      <c r="W5543" s="3" t="s">
        <v>26028</v>
      </c>
      <c r="X5543" s="10" t="s">
        <v>26029</v>
      </c>
      <c r="Y5543" s="6" t="s">
        <v>55</v>
      </c>
      <c r="Z5543" s="4">
        <v>12</v>
      </c>
      <c r="AA5543" s="4" t="s">
        <v>36</v>
      </c>
      <c r="AB5543" s="3" t="s">
        <v>56</v>
      </c>
      <c r="AC5543" s="3" t="s">
        <v>26030</v>
      </c>
      <c r="AD5543" s="9">
        <v>43144</v>
      </c>
      <c r="AE5543" s="3" t="s">
        <v>79</v>
      </c>
      <c r="AF5543" s="3" t="s">
        <v>4099</v>
      </c>
      <c r="AG5543" s="3" t="s">
        <v>81</v>
      </c>
      <c r="AH5543" s="11">
        <f>HYPERLINK("https://my.pitchbook.com?c=101411-29T","View Company Online")</f>
      </c>
    </row>
    <row r="5544">
      <c r="A5544" s="12" t="s">
        <v>26031</v>
      </c>
      <c r="B5544" s="12" t="s">
        <v>26032</v>
      </c>
      <c r="C5544" s="19" t="s">
        <v>36</v>
      </c>
      <c r="D5544" s="19" t="s">
        <v>36</v>
      </c>
      <c r="E5544" s="19" t="s">
        <v>36</v>
      </c>
      <c r="F5544" s="19" t="s">
        <v>36</v>
      </c>
      <c r="G5544" s="15" t="s">
        <v>36</v>
      </c>
      <c r="H5544" s="14" t="s">
        <v>36</v>
      </c>
      <c r="I5544" s="18" t="s">
        <v>36</v>
      </c>
      <c r="J5544" s="12" t="s">
        <v>36</v>
      </c>
      <c r="K5544" s="13" t="s">
        <v>36</v>
      </c>
      <c r="L5544" s="15" t="s">
        <v>36</v>
      </c>
      <c r="M5544" s="12" t="s">
        <v>36</v>
      </c>
      <c r="N5544" s="12" t="s">
        <v>36</v>
      </c>
      <c r="O5544" s="17" t="s">
        <v>36</v>
      </c>
      <c r="P5544" s="12" t="s">
        <v>36</v>
      </c>
      <c r="Q5544" s="12" t="s">
        <v>36</v>
      </c>
      <c r="R5544" s="12" t="s">
        <v>36</v>
      </c>
      <c r="S5544" s="12" t="s">
        <v>36</v>
      </c>
      <c r="T5544" s="12" t="s">
        <v>1701</v>
      </c>
      <c r="U5544" s="12" t="s">
        <v>74</v>
      </c>
      <c r="V5544" s="12" t="s">
        <v>75</v>
      </c>
      <c r="W5544" s="12" t="s">
        <v>26033</v>
      </c>
      <c r="X5544" s="16" t="s">
        <v>26034</v>
      </c>
      <c r="Y5544" s="15" t="s">
        <v>55</v>
      </c>
      <c r="Z5544" s="14">
        <v>2.47</v>
      </c>
      <c r="AA5544" s="14" t="s">
        <v>36</v>
      </c>
      <c r="AB5544" s="12" t="s">
        <v>56</v>
      </c>
      <c r="AC5544" s="12" t="s">
        <v>26035</v>
      </c>
      <c r="AD5544" s="13">
        <v>43144</v>
      </c>
      <c r="AE5544" s="12" t="s">
        <v>79</v>
      </c>
      <c r="AF5544" s="12" t="s">
        <v>176</v>
      </c>
      <c r="AG5544" s="12" t="s">
        <v>81</v>
      </c>
      <c r="AH5544" s="1">
        <f>HYPERLINK("https://my.pitchbook.com?c=127351-81T","View Company Online")</f>
      </c>
    </row>
    <row r="5545">
      <c r="A5545" s="3" t="s">
        <v>26036</v>
      </c>
      <c r="B5545" s="3" t="s">
        <v>10849</v>
      </c>
      <c r="C5545" s="5">
        <v>40</v>
      </c>
      <c r="D5545" s="5">
        <v>4</v>
      </c>
      <c r="E5545" s="5">
        <v>21</v>
      </c>
      <c r="F5545" s="5">
        <v>44</v>
      </c>
      <c r="G5545" s="6" t="s">
        <v>36</v>
      </c>
      <c r="H5545" s="4" t="s">
        <v>36</v>
      </c>
      <c r="I5545" s="7" t="s">
        <v>36</v>
      </c>
      <c r="J5545" s="3" t="s">
        <v>36</v>
      </c>
      <c r="K5545" s="9" t="s">
        <v>36</v>
      </c>
      <c r="L5545" s="6" t="s">
        <v>36</v>
      </c>
      <c r="M5545" s="3" t="s">
        <v>36</v>
      </c>
      <c r="N5545" s="3" t="s">
        <v>36</v>
      </c>
      <c r="O5545" s="8" t="s">
        <v>36</v>
      </c>
      <c r="P5545" s="3" t="s">
        <v>36</v>
      </c>
      <c r="Q5545" s="3" t="s">
        <v>36</v>
      </c>
      <c r="R5545" s="3" t="s">
        <v>36</v>
      </c>
      <c r="S5545" s="3" t="s">
        <v>36</v>
      </c>
      <c r="T5545" s="3" t="s">
        <v>10850</v>
      </c>
      <c r="U5545" s="3" t="s">
        <v>51</v>
      </c>
      <c r="V5545" s="3" t="s">
        <v>52</v>
      </c>
      <c r="W5545" s="3" t="s">
        <v>10851</v>
      </c>
      <c r="X5545" s="10" t="s">
        <v>26037</v>
      </c>
      <c r="Y5545" s="6" t="s">
        <v>55</v>
      </c>
      <c r="Z5545" s="4">
        <v>18.5</v>
      </c>
      <c r="AA5545" s="4" t="s">
        <v>36</v>
      </c>
      <c r="AB5545" s="3" t="s">
        <v>43</v>
      </c>
      <c r="AC5545" s="3" t="s">
        <v>10853</v>
      </c>
      <c r="AD5545" s="9">
        <v>43144</v>
      </c>
      <c r="AE5545" s="3" t="s">
        <v>158</v>
      </c>
      <c r="AF5545" s="3" t="s">
        <v>7975</v>
      </c>
      <c r="AG5545" s="3" t="s">
        <v>81</v>
      </c>
      <c r="AH5545" s="11">
        <f>HYPERLINK("https://my.pitchbook.com?c=114256-00T","View Company Online")</f>
      </c>
    </row>
    <row r="5546">
      <c r="A5546" s="12" t="s">
        <v>26038</v>
      </c>
      <c r="B5546" s="12" t="s">
        <v>26039</v>
      </c>
      <c r="C5546" s="19" t="s">
        <v>36</v>
      </c>
      <c r="D5546" s="19">
        <v>1</v>
      </c>
      <c r="E5546" s="19">
        <v>1</v>
      </c>
      <c r="F5546" s="19">
        <v>2</v>
      </c>
      <c r="G5546" s="15" t="s">
        <v>36</v>
      </c>
      <c r="H5546" s="14" t="s">
        <v>36</v>
      </c>
      <c r="I5546" s="18" t="s">
        <v>36</v>
      </c>
      <c r="J5546" s="12" t="s">
        <v>36</v>
      </c>
      <c r="K5546" s="13">
        <v>42793</v>
      </c>
      <c r="L5546" s="15" t="s">
        <v>36</v>
      </c>
      <c r="M5546" s="12" t="s">
        <v>36</v>
      </c>
      <c r="N5546" s="12" t="s">
        <v>36</v>
      </c>
      <c r="O5546" s="17" t="s">
        <v>36</v>
      </c>
      <c r="P5546" s="12" t="s">
        <v>36</v>
      </c>
      <c r="Q5546" s="12" t="s">
        <v>36</v>
      </c>
      <c r="R5546" s="12" t="s">
        <v>36</v>
      </c>
      <c r="S5546" s="12" t="s">
        <v>36</v>
      </c>
      <c r="T5546" s="12" t="s">
        <v>1935</v>
      </c>
      <c r="U5546" s="12" t="s">
        <v>38</v>
      </c>
      <c r="V5546" s="12" t="s">
        <v>39</v>
      </c>
      <c r="W5546" s="12" t="s">
        <v>26040</v>
      </c>
      <c r="X5546" s="16" t="s">
        <v>26041</v>
      </c>
      <c r="Y5546" s="15" t="s">
        <v>108</v>
      </c>
      <c r="Z5546" s="14">
        <v>5.55</v>
      </c>
      <c r="AA5546" s="14" t="s">
        <v>36</v>
      </c>
      <c r="AB5546" s="12" t="s">
        <v>56</v>
      </c>
      <c r="AC5546" s="12" t="s">
        <v>26042</v>
      </c>
      <c r="AD5546" s="13">
        <v>43143</v>
      </c>
      <c r="AE5546" s="12" t="s">
        <v>45</v>
      </c>
      <c r="AF5546" s="12" t="s">
        <v>26043</v>
      </c>
      <c r="AG5546" s="12" t="s">
        <v>434</v>
      </c>
      <c r="AH5546" s="1">
        <f>HYPERLINK("https://my.pitchbook.com?c=83147-50T","View Company Online")</f>
      </c>
    </row>
    <row r="5547">
      <c r="A5547" s="3" t="s">
        <v>26044</v>
      </c>
      <c r="B5547" s="3" t="s">
        <v>26045</v>
      </c>
      <c r="C5547" s="5" t="s">
        <v>36</v>
      </c>
      <c r="D5547" s="5" t="s">
        <v>36</v>
      </c>
      <c r="E5547" s="5" t="s">
        <v>36</v>
      </c>
      <c r="F5547" s="5" t="s">
        <v>36</v>
      </c>
      <c r="G5547" s="6" t="s">
        <v>36</v>
      </c>
      <c r="H5547" s="4" t="s">
        <v>36</v>
      </c>
      <c r="I5547" s="7" t="s">
        <v>36</v>
      </c>
      <c r="J5547" s="3" t="s">
        <v>36</v>
      </c>
      <c r="K5547" s="9" t="s">
        <v>36</v>
      </c>
      <c r="L5547" s="6" t="s">
        <v>36</v>
      </c>
      <c r="M5547" s="3" t="s">
        <v>36</v>
      </c>
      <c r="N5547" s="3" t="s">
        <v>36</v>
      </c>
      <c r="O5547" s="8" t="s">
        <v>36</v>
      </c>
      <c r="P5547" s="3" t="s">
        <v>36</v>
      </c>
      <c r="Q5547" s="3" t="s">
        <v>36</v>
      </c>
      <c r="R5547" s="3" t="s">
        <v>36</v>
      </c>
      <c r="S5547" s="3" t="s">
        <v>36</v>
      </c>
      <c r="T5547" s="3" t="s">
        <v>1990</v>
      </c>
      <c r="U5547" s="3" t="s">
        <v>38</v>
      </c>
      <c r="V5547" s="3" t="s">
        <v>39</v>
      </c>
      <c r="W5547" s="3" t="s">
        <v>26046</v>
      </c>
      <c r="X5547" s="10" t="s">
        <v>26047</v>
      </c>
      <c r="Y5547" s="6" t="s">
        <v>108</v>
      </c>
      <c r="Z5547" s="4">
        <v>1.85</v>
      </c>
      <c r="AA5547" s="4" t="s">
        <v>36</v>
      </c>
      <c r="AB5547" s="3" t="s">
        <v>56</v>
      </c>
      <c r="AC5547" s="3" t="s">
        <v>26048</v>
      </c>
      <c r="AD5547" s="9">
        <v>43140</v>
      </c>
      <c r="AE5547" s="3" t="s">
        <v>110</v>
      </c>
      <c r="AF5547" s="3" t="s">
        <v>1842</v>
      </c>
      <c r="AG5547" s="3" t="s">
        <v>12667</v>
      </c>
      <c r="AH5547" s="11">
        <f>HYPERLINK("https://my.pitchbook.com?c=101343-70T","View Company Online")</f>
      </c>
    </row>
    <row r="5548">
      <c r="A5548" s="12" t="s">
        <v>26049</v>
      </c>
      <c r="B5548" s="12" t="s">
        <v>26050</v>
      </c>
      <c r="C5548" s="19" t="s">
        <v>36</v>
      </c>
      <c r="D5548" s="19" t="s">
        <v>36</v>
      </c>
      <c r="E5548" s="19" t="s">
        <v>36</v>
      </c>
      <c r="F5548" s="19" t="s">
        <v>36</v>
      </c>
      <c r="G5548" s="15" t="s">
        <v>326</v>
      </c>
      <c r="H5548" s="14">
        <v>133.47</v>
      </c>
      <c r="I5548" s="18">
        <v>6.31</v>
      </c>
      <c r="J5548" s="12" t="s">
        <v>521</v>
      </c>
      <c r="K5548" s="13" t="s">
        <v>36</v>
      </c>
      <c r="L5548" s="15" t="s">
        <v>36</v>
      </c>
      <c r="M5548" s="12" t="s">
        <v>36</v>
      </c>
      <c r="N5548" s="12" t="s">
        <v>36</v>
      </c>
      <c r="O5548" s="17" t="s">
        <v>36</v>
      </c>
      <c r="P5548" s="12" t="s">
        <v>36</v>
      </c>
      <c r="Q5548" s="12" t="s">
        <v>36</v>
      </c>
      <c r="R5548" s="12" t="s">
        <v>36</v>
      </c>
      <c r="S5548" s="12" t="s">
        <v>36</v>
      </c>
      <c r="T5548" s="12" t="s">
        <v>2925</v>
      </c>
      <c r="U5548" s="12" t="s">
        <v>38</v>
      </c>
      <c r="V5548" s="12" t="s">
        <v>39</v>
      </c>
      <c r="W5548" s="12" t="s">
        <v>26051</v>
      </c>
      <c r="X5548" s="16" t="s">
        <v>26052</v>
      </c>
      <c r="Y5548" s="15" t="s">
        <v>108</v>
      </c>
      <c r="Z5548" s="14">
        <v>0.67</v>
      </c>
      <c r="AA5548" s="14">
        <v>10.68</v>
      </c>
      <c r="AB5548" s="12" t="s">
        <v>43</v>
      </c>
      <c r="AC5548" s="12" t="s">
        <v>26053</v>
      </c>
      <c r="AD5548" s="13">
        <v>43139</v>
      </c>
      <c r="AE5548" s="12" t="s">
        <v>110</v>
      </c>
      <c r="AF5548" s="12" t="s">
        <v>275</v>
      </c>
      <c r="AG5548" s="12" t="s">
        <v>81</v>
      </c>
      <c r="AH5548" s="1">
        <f>HYPERLINK("https://my.pitchbook.com?c=189422-20T","View Company Online")</f>
      </c>
    </row>
    <row r="5549">
      <c r="A5549" s="3" t="s">
        <v>26054</v>
      </c>
      <c r="B5549" s="3" t="s">
        <v>26055</v>
      </c>
      <c r="C5549" s="5" t="s">
        <v>36</v>
      </c>
      <c r="D5549" s="5" t="s">
        <v>36</v>
      </c>
      <c r="E5549" s="5" t="s">
        <v>36</v>
      </c>
      <c r="F5549" s="5" t="s">
        <v>36</v>
      </c>
      <c r="G5549" s="6" t="s">
        <v>36</v>
      </c>
      <c r="H5549" s="4" t="s">
        <v>36</v>
      </c>
      <c r="I5549" s="7" t="s">
        <v>36</v>
      </c>
      <c r="J5549" s="3" t="s">
        <v>36</v>
      </c>
      <c r="K5549" s="9">
        <v>42736</v>
      </c>
      <c r="L5549" s="6" t="s">
        <v>36</v>
      </c>
      <c r="M5549" s="3" t="s">
        <v>36</v>
      </c>
      <c r="N5549" s="3" t="s">
        <v>36</v>
      </c>
      <c r="O5549" s="8" t="s">
        <v>36</v>
      </c>
      <c r="P5549" s="3" t="s">
        <v>36</v>
      </c>
      <c r="Q5549" s="3" t="s">
        <v>36</v>
      </c>
      <c r="R5549" s="3" t="s">
        <v>36</v>
      </c>
      <c r="S5549" s="3" t="s">
        <v>36</v>
      </c>
      <c r="T5549" s="3" t="s">
        <v>20146</v>
      </c>
      <c r="U5549" s="3" t="s">
        <v>318</v>
      </c>
      <c r="V5549" s="3" t="s">
        <v>39</v>
      </c>
      <c r="W5549" s="3" t="s">
        <v>26056</v>
      </c>
      <c r="X5549" s="10" t="s">
        <v>26057</v>
      </c>
      <c r="Y5549" s="6" t="s">
        <v>42</v>
      </c>
      <c r="Z5549" s="4">
        <v>1.85</v>
      </c>
      <c r="AA5549" s="4" t="s">
        <v>36</v>
      </c>
      <c r="AB5549" s="3" t="s">
        <v>56</v>
      </c>
      <c r="AC5549" s="3" t="s">
        <v>26058</v>
      </c>
      <c r="AD5549" s="9">
        <v>43139</v>
      </c>
      <c r="AE5549" s="3" t="s">
        <v>763</v>
      </c>
      <c r="AF5549" s="3" t="s">
        <v>4668</v>
      </c>
      <c r="AG5549" s="3" t="s">
        <v>1362</v>
      </c>
      <c r="AH5549" s="11">
        <f>HYPERLINK("https://my.pitchbook.com?c=132673-87T","View Company Online")</f>
      </c>
    </row>
    <row r="5550">
      <c r="A5550" s="12" t="s">
        <v>26059</v>
      </c>
      <c r="B5550" s="12" t="s">
        <v>26060</v>
      </c>
      <c r="C5550" s="19" t="s">
        <v>36</v>
      </c>
      <c r="D5550" s="19" t="s">
        <v>36</v>
      </c>
      <c r="E5550" s="19" t="s">
        <v>36</v>
      </c>
      <c r="F5550" s="19" t="s">
        <v>36</v>
      </c>
      <c r="G5550" s="15" t="s">
        <v>36</v>
      </c>
      <c r="H5550" s="14">
        <v>620.16</v>
      </c>
      <c r="I5550" s="18">
        <v>15.1</v>
      </c>
      <c r="J5550" s="12" t="s">
        <v>521</v>
      </c>
      <c r="K5550" s="13" t="s">
        <v>36</v>
      </c>
      <c r="L5550" s="15" t="s">
        <v>36</v>
      </c>
      <c r="M5550" s="12" t="s">
        <v>36</v>
      </c>
      <c r="N5550" s="12" t="s">
        <v>36</v>
      </c>
      <c r="O5550" s="17" t="s">
        <v>36</v>
      </c>
      <c r="P5550" s="12" t="s">
        <v>36</v>
      </c>
      <c r="Q5550" s="12" t="s">
        <v>36</v>
      </c>
      <c r="R5550" s="12" t="s">
        <v>36</v>
      </c>
      <c r="S5550" s="12" t="s">
        <v>36</v>
      </c>
      <c r="T5550" s="12" t="s">
        <v>24032</v>
      </c>
      <c r="U5550" s="12" t="s">
        <v>279</v>
      </c>
      <c r="V5550" s="12" t="s">
        <v>64</v>
      </c>
      <c r="W5550" s="12" t="s">
        <v>26061</v>
      </c>
      <c r="X5550" s="16" t="s">
        <v>26062</v>
      </c>
      <c r="Y5550" s="15" t="s">
        <v>166</v>
      </c>
      <c r="Z5550" s="14">
        <v>3.17</v>
      </c>
      <c r="AA5550" s="14">
        <v>21</v>
      </c>
      <c r="AB5550" s="12" t="s">
        <v>56</v>
      </c>
      <c r="AC5550" s="12" t="s">
        <v>26063</v>
      </c>
      <c r="AD5550" s="13">
        <v>43138</v>
      </c>
      <c r="AE5550" s="12" t="s">
        <v>283</v>
      </c>
      <c r="AF5550" s="12" t="s">
        <v>815</v>
      </c>
      <c r="AG5550" s="12" t="s">
        <v>16271</v>
      </c>
      <c r="AH5550" s="1">
        <f>HYPERLINK("https://my.pitchbook.com?c=190948-87T","View Company Online")</f>
      </c>
    </row>
    <row r="5551">
      <c r="A5551" s="3" t="s">
        <v>26064</v>
      </c>
      <c r="B5551" s="3" t="s">
        <v>26065</v>
      </c>
      <c r="C5551" s="5" t="s">
        <v>36</v>
      </c>
      <c r="D5551" s="5">
        <v>25</v>
      </c>
      <c r="E5551" s="5">
        <v>12</v>
      </c>
      <c r="F5551" s="5">
        <v>37</v>
      </c>
      <c r="G5551" s="6" t="s">
        <v>2497</v>
      </c>
      <c r="H5551" s="4">
        <v>39.6</v>
      </c>
      <c r="I5551" s="7">
        <v>42.03</v>
      </c>
      <c r="J5551" s="3" t="s">
        <v>521</v>
      </c>
      <c r="K5551" s="9" t="s">
        <v>36</v>
      </c>
      <c r="L5551" s="6" t="s">
        <v>122</v>
      </c>
      <c r="M5551" s="3" t="s">
        <v>36</v>
      </c>
      <c r="N5551" s="3" t="s">
        <v>122</v>
      </c>
      <c r="O5551" s="8" t="s">
        <v>36</v>
      </c>
      <c r="P5551" s="3" t="s">
        <v>36</v>
      </c>
      <c r="Q5551" s="3" t="s">
        <v>36</v>
      </c>
      <c r="R5551" s="3" t="s">
        <v>36</v>
      </c>
      <c r="S5551" s="3" t="s">
        <v>36</v>
      </c>
      <c r="T5551" s="3" t="s">
        <v>2811</v>
      </c>
      <c r="U5551" s="3" t="s">
        <v>219</v>
      </c>
      <c r="V5551" s="3" t="s">
        <v>75</v>
      </c>
      <c r="W5551" s="3" t="s">
        <v>26066</v>
      </c>
      <c r="X5551" s="10" t="s">
        <v>26067</v>
      </c>
      <c r="Y5551" s="6" t="s">
        <v>166</v>
      </c>
      <c r="Z5551" s="4">
        <v>1.78</v>
      </c>
      <c r="AA5551" s="4">
        <v>4.24</v>
      </c>
      <c r="AB5551" s="3" t="s">
        <v>56</v>
      </c>
      <c r="AC5551" s="3" t="s">
        <v>26068</v>
      </c>
      <c r="AD5551" s="9">
        <v>43138</v>
      </c>
      <c r="AE5551" s="3" t="s">
        <v>223</v>
      </c>
      <c r="AF5551" s="3" t="s">
        <v>822</v>
      </c>
      <c r="AG5551" s="3" t="s">
        <v>26069</v>
      </c>
      <c r="AH5551" s="11">
        <f>HYPERLINK("https://my.pitchbook.com?c=114081-94T","View Company Online")</f>
      </c>
    </row>
    <row r="5552">
      <c r="A5552" s="12" t="s">
        <v>26070</v>
      </c>
      <c r="B5552" s="12" t="s">
        <v>26071</v>
      </c>
      <c r="C5552" s="19" t="s">
        <v>36</v>
      </c>
      <c r="D5552" s="19" t="s">
        <v>36</v>
      </c>
      <c r="E5552" s="19" t="s">
        <v>36</v>
      </c>
      <c r="F5552" s="19" t="s">
        <v>36</v>
      </c>
      <c r="G5552" s="15" t="s">
        <v>36</v>
      </c>
      <c r="H5552" s="14" t="s">
        <v>36</v>
      </c>
      <c r="I5552" s="18">
        <v>18.31</v>
      </c>
      <c r="J5552" s="12" t="s">
        <v>327</v>
      </c>
      <c r="K5552" s="13">
        <v>42920</v>
      </c>
      <c r="L5552" s="15" t="s">
        <v>36</v>
      </c>
      <c r="M5552" s="12" t="s">
        <v>36</v>
      </c>
      <c r="N5552" s="12" t="s">
        <v>36</v>
      </c>
      <c r="O5552" s="17" t="s">
        <v>36</v>
      </c>
      <c r="P5552" s="12" t="s">
        <v>36</v>
      </c>
      <c r="Q5552" s="12" t="s">
        <v>36</v>
      </c>
      <c r="R5552" s="12" t="s">
        <v>36</v>
      </c>
      <c r="S5552" s="12" t="s">
        <v>36</v>
      </c>
      <c r="T5552" s="12" t="s">
        <v>8394</v>
      </c>
      <c r="U5552" s="12" t="s">
        <v>85</v>
      </c>
      <c r="V5552" s="12" t="s">
        <v>64</v>
      </c>
      <c r="W5552" s="12" t="s">
        <v>26072</v>
      </c>
      <c r="X5552" s="16" t="s">
        <v>26073</v>
      </c>
      <c r="Y5552" s="15" t="s">
        <v>108</v>
      </c>
      <c r="Z5552" s="14">
        <v>5.41</v>
      </c>
      <c r="AA5552" s="14">
        <v>29.55</v>
      </c>
      <c r="AB5552" s="12" t="s">
        <v>56</v>
      </c>
      <c r="AC5552" s="12" t="s">
        <v>26074</v>
      </c>
      <c r="AD5552" s="13">
        <v>43138</v>
      </c>
      <c r="AE5552" s="12" t="s">
        <v>89</v>
      </c>
      <c r="AF5552" s="12" t="s">
        <v>26075</v>
      </c>
      <c r="AG5552" s="12" t="s">
        <v>81</v>
      </c>
      <c r="AH5552" s="1">
        <f>HYPERLINK("https://my.pitchbook.com?c=101194-21T","View Company Online")</f>
      </c>
    </row>
    <row r="5553">
      <c r="A5553" s="3" t="s">
        <v>26076</v>
      </c>
      <c r="B5553" s="3" t="s">
        <v>26077</v>
      </c>
      <c r="C5553" s="5" t="s">
        <v>36</v>
      </c>
      <c r="D5553" s="5" t="s">
        <v>36</v>
      </c>
      <c r="E5553" s="5" t="s">
        <v>36</v>
      </c>
      <c r="F5553" s="5" t="s">
        <v>36</v>
      </c>
      <c r="G5553" s="6" t="s">
        <v>326</v>
      </c>
      <c r="H5553" s="4">
        <v>4.95</v>
      </c>
      <c r="I5553" s="7">
        <v>22.05</v>
      </c>
      <c r="J5553" s="3" t="s">
        <v>521</v>
      </c>
      <c r="K5553" s="9">
        <v>43089</v>
      </c>
      <c r="L5553" s="6" t="s">
        <v>94</v>
      </c>
      <c r="M5553" s="3" t="s">
        <v>36</v>
      </c>
      <c r="N5553" s="3" t="s">
        <v>94</v>
      </c>
      <c r="O5553" s="8" t="s">
        <v>36</v>
      </c>
      <c r="P5553" s="3" t="s">
        <v>36</v>
      </c>
      <c r="Q5553" s="3" t="s">
        <v>36</v>
      </c>
      <c r="R5553" s="3" t="s">
        <v>36</v>
      </c>
      <c r="S5553" s="3" t="s">
        <v>36</v>
      </c>
      <c r="T5553" s="3" t="s">
        <v>522</v>
      </c>
      <c r="U5553" s="3" t="s">
        <v>38</v>
      </c>
      <c r="V5553" s="3" t="s">
        <v>39</v>
      </c>
      <c r="W5553" s="3" t="s">
        <v>26078</v>
      </c>
      <c r="X5553" s="10" t="s">
        <v>26079</v>
      </c>
      <c r="Y5553" s="6" t="s">
        <v>55</v>
      </c>
      <c r="Z5553" s="4">
        <v>6.15</v>
      </c>
      <c r="AA5553" s="4">
        <v>27.87</v>
      </c>
      <c r="AB5553" s="3" t="s">
        <v>43</v>
      </c>
      <c r="AC5553" s="3" t="s">
        <v>26080</v>
      </c>
      <c r="AD5553" s="9">
        <v>43138</v>
      </c>
      <c r="AE5553" s="3" t="s">
        <v>110</v>
      </c>
      <c r="AF5553" s="3" t="s">
        <v>26081</v>
      </c>
      <c r="AG5553" s="3" t="s">
        <v>81</v>
      </c>
      <c r="AH5553" s="11">
        <f>HYPERLINK("https://my.pitchbook.com?c=101251-18T","View Company Online")</f>
      </c>
    </row>
    <row r="5554">
      <c r="A5554" s="12" t="s">
        <v>26082</v>
      </c>
      <c r="B5554" s="12" t="s">
        <v>26083</v>
      </c>
      <c r="C5554" s="19" t="s">
        <v>36</v>
      </c>
      <c r="D5554" s="19" t="s">
        <v>36</v>
      </c>
      <c r="E5554" s="19" t="s">
        <v>36</v>
      </c>
      <c r="F5554" s="19" t="s">
        <v>36</v>
      </c>
      <c r="G5554" s="15" t="s">
        <v>36</v>
      </c>
      <c r="H5554" s="14">
        <v>476.85</v>
      </c>
      <c r="I5554" s="18">
        <v>24.99</v>
      </c>
      <c r="J5554" s="12" t="s">
        <v>521</v>
      </c>
      <c r="K5554" s="13" t="s">
        <v>36</v>
      </c>
      <c r="L5554" s="15" t="s">
        <v>122</v>
      </c>
      <c r="M5554" s="12" t="s">
        <v>36</v>
      </c>
      <c r="N5554" s="12" t="s">
        <v>122</v>
      </c>
      <c r="O5554" s="17" t="s">
        <v>36</v>
      </c>
      <c r="P5554" s="12" t="s">
        <v>36</v>
      </c>
      <c r="Q5554" s="12" t="s">
        <v>36</v>
      </c>
      <c r="R5554" s="12" t="s">
        <v>36</v>
      </c>
      <c r="S5554" s="12" t="s">
        <v>36</v>
      </c>
      <c r="T5554" s="12" t="s">
        <v>26084</v>
      </c>
      <c r="U5554" s="12" t="s">
        <v>423</v>
      </c>
      <c r="V5554" s="12" t="s">
        <v>64</v>
      </c>
      <c r="W5554" s="12" t="s">
        <v>26085</v>
      </c>
      <c r="X5554" s="16" t="s">
        <v>26086</v>
      </c>
      <c r="Y5554" s="15" t="s">
        <v>108</v>
      </c>
      <c r="Z5554" s="14">
        <v>1.84</v>
      </c>
      <c r="AA5554" s="14">
        <v>4.91</v>
      </c>
      <c r="AB5554" s="12" t="s">
        <v>56</v>
      </c>
      <c r="AC5554" s="12" t="s">
        <v>26087</v>
      </c>
      <c r="AD5554" s="13">
        <v>43137</v>
      </c>
      <c r="AE5554" s="12" t="s">
        <v>2871</v>
      </c>
      <c r="AF5554" s="12" t="s">
        <v>1061</v>
      </c>
      <c r="AG5554" s="12" t="s">
        <v>81</v>
      </c>
      <c r="AH5554" s="1">
        <f>HYPERLINK("https://my.pitchbook.com?c=108591-85T","View Company Online")</f>
      </c>
    </row>
    <row r="5555">
      <c r="A5555" s="3" t="s">
        <v>26088</v>
      </c>
      <c r="B5555" s="3" t="s">
        <v>26089</v>
      </c>
      <c r="C5555" s="5" t="s">
        <v>36</v>
      </c>
      <c r="D5555" s="5">
        <v>16</v>
      </c>
      <c r="E5555" s="5">
        <v>6</v>
      </c>
      <c r="F5555" s="5">
        <v>23</v>
      </c>
      <c r="G5555" s="6" t="s">
        <v>326</v>
      </c>
      <c r="H5555" s="4">
        <v>135.01</v>
      </c>
      <c r="I5555" s="7">
        <v>35.73</v>
      </c>
      <c r="J5555" s="3" t="s">
        <v>521</v>
      </c>
      <c r="K5555" s="9" t="s">
        <v>36</v>
      </c>
      <c r="L5555" s="6" t="s">
        <v>122</v>
      </c>
      <c r="M5555" s="3" t="s">
        <v>36</v>
      </c>
      <c r="N5555" s="3" t="s">
        <v>122</v>
      </c>
      <c r="O5555" s="8" t="s">
        <v>36</v>
      </c>
      <c r="P5555" s="3" t="s">
        <v>36</v>
      </c>
      <c r="Q5555" s="3" t="s">
        <v>36</v>
      </c>
      <c r="R5555" s="3" t="s">
        <v>36</v>
      </c>
      <c r="S5555" s="3" t="s">
        <v>36</v>
      </c>
      <c r="T5555" s="3" t="s">
        <v>26090</v>
      </c>
      <c r="U5555" s="3" t="s">
        <v>38</v>
      </c>
      <c r="V5555" s="3" t="s">
        <v>39</v>
      </c>
      <c r="W5555" s="3" t="s">
        <v>26091</v>
      </c>
      <c r="X5555" s="10" t="s">
        <v>26092</v>
      </c>
      <c r="Y5555" s="6" t="s">
        <v>166</v>
      </c>
      <c r="Z5555" s="4">
        <v>4.54</v>
      </c>
      <c r="AA5555" s="4">
        <v>9.07</v>
      </c>
      <c r="AB5555" s="3" t="s">
        <v>56</v>
      </c>
      <c r="AC5555" s="3" t="s">
        <v>26093</v>
      </c>
      <c r="AD5555" s="9">
        <v>43137</v>
      </c>
      <c r="AE5555" s="3" t="s">
        <v>785</v>
      </c>
      <c r="AF5555" s="3" t="s">
        <v>111</v>
      </c>
      <c r="AG5555" s="3" t="s">
        <v>539</v>
      </c>
      <c r="AH5555" s="11">
        <f>HYPERLINK("https://my.pitchbook.com?c=101063-71T","View Company Online")</f>
      </c>
    </row>
    <row r="5556">
      <c r="A5556" s="12" t="s">
        <v>26094</v>
      </c>
      <c r="B5556" s="12" t="s">
        <v>21760</v>
      </c>
      <c r="C5556" s="19">
        <v>3</v>
      </c>
      <c r="D5556" s="19" t="s">
        <v>36</v>
      </c>
      <c r="E5556" s="19">
        <v>3</v>
      </c>
      <c r="F5556" s="19">
        <v>3</v>
      </c>
      <c r="G5556" s="15" t="s">
        <v>36</v>
      </c>
      <c r="H5556" s="14" t="s">
        <v>36</v>
      </c>
      <c r="I5556" s="18" t="s">
        <v>36</v>
      </c>
      <c r="J5556" s="12" t="s">
        <v>36</v>
      </c>
      <c r="K5556" s="13" t="s">
        <v>36</v>
      </c>
      <c r="L5556" s="15" t="s">
        <v>36</v>
      </c>
      <c r="M5556" s="12" t="s">
        <v>36</v>
      </c>
      <c r="N5556" s="12" t="s">
        <v>36</v>
      </c>
      <c r="O5556" s="17" t="s">
        <v>36</v>
      </c>
      <c r="P5556" s="12" t="s">
        <v>36</v>
      </c>
      <c r="Q5556" s="12" t="s">
        <v>36</v>
      </c>
      <c r="R5556" s="12" t="s">
        <v>36</v>
      </c>
      <c r="S5556" s="12" t="s">
        <v>36</v>
      </c>
      <c r="T5556" s="12" t="s">
        <v>342</v>
      </c>
      <c r="U5556" s="12" t="s">
        <v>38</v>
      </c>
      <c r="V5556" s="12" t="s">
        <v>39</v>
      </c>
      <c r="W5556" s="12" t="s">
        <v>21761</v>
      </c>
      <c r="X5556" s="16" t="s">
        <v>1840</v>
      </c>
      <c r="Y5556" s="15" t="s">
        <v>42</v>
      </c>
      <c r="Z5556" s="14">
        <v>1.23</v>
      </c>
      <c r="AA5556" s="14" t="s">
        <v>36</v>
      </c>
      <c r="AB5556" s="12" t="s">
        <v>43</v>
      </c>
      <c r="AC5556" s="12" t="s">
        <v>21763</v>
      </c>
      <c r="AD5556" s="13">
        <v>43137</v>
      </c>
      <c r="AE5556" s="12" t="s">
        <v>110</v>
      </c>
      <c r="AF5556" s="12" t="s">
        <v>275</v>
      </c>
      <c r="AG5556" s="12" t="s">
        <v>4796</v>
      </c>
      <c r="AH5556" s="1">
        <f>HYPERLINK("https://my.pitchbook.com?c=123248-08T","View Company Online")</f>
      </c>
    </row>
    <row r="5557">
      <c r="A5557" s="3" t="s">
        <v>26095</v>
      </c>
      <c r="B5557" s="3" t="s">
        <v>18696</v>
      </c>
      <c r="C5557" s="5" t="s">
        <v>36</v>
      </c>
      <c r="D5557" s="5">
        <v>6</v>
      </c>
      <c r="E5557" s="5">
        <v>2</v>
      </c>
      <c r="F5557" s="5">
        <v>10</v>
      </c>
      <c r="G5557" s="6" t="s">
        <v>2497</v>
      </c>
      <c r="H5557" s="4">
        <v>4.3</v>
      </c>
      <c r="I5557" s="7">
        <v>69.03</v>
      </c>
      <c r="J5557" s="3" t="s">
        <v>521</v>
      </c>
      <c r="K5557" s="9">
        <v>43006</v>
      </c>
      <c r="L5557" s="6" t="s">
        <v>36</v>
      </c>
      <c r="M5557" s="3" t="s">
        <v>36</v>
      </c>
      <c r="N5557" s="3" t="s">
        <v>36</v>
      </c>
      <c r="O5557" s="8" t="s">
        <v>36</v>
      </c>
      <c r="P5557" s="3" t="s">
        <v>36</v>
      </c>
      <c r="Q5557" s="3" t="s">
        <v>36</v>
      </c>
      <c r="R5557" s="3" t="s">
        <v>36</v>
      </c>
      <c r="S5557" s="3" t="s">
        <v>36</v>
      </c>
      <c r="T5557" s="3" t="s">
        <v>1162</v>
      </c>
      <c r="U5557" s="3" t="s">
        <v>423</v>
      </c>
      <c r="V5557" s="3" t="s">
        <v>64</v>
      </c>
      <c r="W5557" s="3" t="s">
        <v>18697</v>
      </c>
      <c r="X5557" s="10" t="s">
        <v>26096</v>
      </c>
      <c r="Y5557" s="6" t="s">
        <v>55</v>
      </c>
      <c r="Z5557" s="4">
        <v>4.97</v>
      </c>
      <c r="AA5557" s="4">
        <v>7.2</v>
      </c>
      <c r="AB5557" s="3" t="s">
        <v>56</v>
      </c>
      <c r="AC5557" s="3" t="s">
        <v>18699</v>
      </c>
      <c r="AD5557" s="9">
        <v>43137</v>
      </c>
      <c r="AE5557" s="3" t="s">
        <v>562</v>
      </c>
      <c r="AF5557" s="3" t="s">
        <v>18700</v>
      </c>
      <c r="AG5557" s="3" t="s">
        <v>18701</v>
      </c>
      <c r="AH5557" s="11">
        <f>HYPERLINK("https://my.pitchbook.com?c=95252-86T","View Company Online")</f>
      </c>
    </row>
    <row r="5558">
      <c r="A5558" s="12" t="s">
        <v>26097</v>
      </c>
      <c r="B5558" s="12" t="s">
        <v>26098</v>
      </c>
      <c r="C5558" s="19" t="s">
        <v>36</v>
      </c>
      <c r="D5558" s="19" t="s">
        <v>36</v>
      </c>
      <c r="E5558" s="19" t="s">
        <v>36</v>
      </c>
      <c r="F5558" s="19" t="s">
        <v>36</v>
      </c>
      <c r="G5558" s="15" t="s">
        <v>326</v>
      </c>
      <c r="H5558" s="14">
        <v>76.12</v>
      </c>
      <c r="I5558" s="18">
        <v>18.16</v>
      </c>
      <c r="J5558" s="12" t="s">
        <v>521</v>
      </c>
      <c r="K5558" s="13" t="s">
        <v>36</v>
      </c>
      <c r="L5558" s="15" t="s">
        <v>36</v>
      </c>
      <c r="M5558" s="12" t="s">
        <v>36</v>
      </c>
      <c r="N5558" s="12" t="s">
        <v>36</v>
      </c>
      <c r="O5558" s="17" t="s">
        <v>36</v>
      </c>
      <c r="P5558" s="12" t="s">
        <v>36</v>
      </c>
      <c r="Q5558" s="12" t="s">
        <v>36</v>
      </c>
      <c r="R5558" s="12" t="s">
        <v>36</v>
      </c>
      <c r="S5558" s="12" t="s">
        <v>36</v>
      </c>
      <c r="T5558" s="12" t="s">
        <v>26099</v>
      </c>
      <c r="U5558" s="12" t="s">
        <v>63</v>
      </c>
      <c r="V5558" s="12" t="s">
        <v>64</v>
      </c>
      <c r="W5558" s="12" t="s">
        <v>26100</v>
      </c>
      <c r="X5558" s="16" t="s">
        <v>26101</v>
      </c>
      <c r="Y5558" s="15" t="s">
        <v>55</v>
      </c>
      <c r="Z5558" s="14">
        <v>4.05</v>
      </c>
      <c r="AA5558" s="14">
        <v>6.8</v>
      </c>
      <c r="AB5558" s="12" t="s">
        <v>43</v>
      </c>
      <c r="AC5558" s="12" t="s">
        <v>26102</v>
      </c>
      <c r="AD5558" s="13">
        <v>43135</v>
      </c>
      <c r="AE5558" s="12" t="s">
        <v>642</v>
      </c>
      <c r="AF5558" s="12" t="s">
        <v>36</v>
      </c>
      <c r="AG5558" s="12" t="s">
        <v>400</v>
      </c>
      <c r="AH5558" s="1">
        <f>HYPERLINK("https://my.pitchbook.com?c=100987-39T","View Company Online")</f>
      </c>
    </row>
    <row r="5559">
      <c r="A5559" s="3" t="s">
        <v>26103</v>
      </c>
      <c r="B5559" s="3" t="s">
        <v>8246</v>
      </c>
      <c r="C5559" s="5" t="s">
        <v>36</v>
      </c>
      <c r="D5559" s="5" t="s">
        <v>36</v>
      </c>
      <c r="E5559" s="5" t="s">
        <v>36</v>
      </c>
      <c r="F5559" s="5" t="s">
        <v>36</v>
      </c>
      <c r="G5559" s="6" t="s">
        <v>36</v>
      </c>
      <c r="H5559" s="4" t="s">
        <v>36</v>
      </c>
      <c r="I5559" s="7" t="s">
        <v>36</v>
      </c>
      <c r="J5559" s="3" t="s">
        <v>36</v>
      </c>
      <c r="K5559" s="9" t="s">
        <v>36</v>
      </c>
      <c r="L5559" s="6" t="s">
        <v>36</v>
      </c>
      <c r="M5559" s="3" t="s">
        <v>36</v>
      </c>
      <c r="N5559" s="3" t="s">
        <v>36</v>
      </c>
      <c r="O5559" s="8" t="s">
        <v>36</v>
      </c>
      <c r="P5559" s="3" t="s">
        <v>36</v>
      </c>
      <c r="Q5559" s="3" t="s">
        <v>36</v>
      </c>
      <c r="R5559" s="3" t="s">
        <v>36</v>
      </c>
      <c r="S5559" s="3" t="s">
        <v>36</v>
      </c>
      <c r="T5559" s="3" t="s">
        <v>529</v>
      </c>
      <c r="U5559" s="3" t="s">
        <v>38</v>
      </c>
      <c r="V5559" s="3" t="s">
        <v>39</v>
      </c>
      <c r="W5559" s="3" t="s">
        <v>8247</v>
      </c>
      <c r="X5559" s="10" t="s">
        <v>26104</v>
      </c>
      <c r="Y5559" s="6" t="s">
        <v>42</v>
      </c>
      <c r="Z5559" s="4">
        <v>3.06</v>
      </c>
      <c r="AA5559" s="4" t="s">
        <v>36</v>
      </c>
      <c r="AB5559" s="3" t="s">
        <v>43</v>
      </c>
      <c r="AC5559" s="3" t="s">
        <v>8249</v>
      </c>
      <c r="AD5559" s="9">
        <v>43134</v>
      </c>
      <c r="AE5559" s="3" t="s">
        <v>134</v>
      </c>
      <c r="AF5559" s="3" t="s">
        <v>8250</v>
      </c>
      <c r="AG5559" s="3" t="s">
        <v>81</v>
      </c>
      <c r="AH5559" s="11">
        <f>HYPERLINK("https://my.pitchbook.com?c=101017-90T","View Company Online")</f>
      </c>
    </row>
    <row r="5560">
      <c r="A5560" s="12" t="s">
        <v>26105</v>
      </c>
      <c r="B5560" s="12" t="s">
        <v>14642</v>
      </c>
      <c r="C5560" s="19" t="s">
        <v>36</v>
      </c>
      <c r="D5560" s="19" t="s">
        <v>36</v>
      </c>
      <c r="E5560" s="19" t="s">
        <v>36</v>
      </c>
      <c r="F5560" s="19" t="s">
        <v>36</v>
      </c>
      <c r="G5560" s="15" t="s">
        <v>36</v>
      </c>
      <c r="H5560" s="14" t="s">
        <v>36</v>
      </c>
      <c r="I5560" s="18" t="s">
        <v>36</v>
      </c>
      <c r="J5560" s="12" t="s">
        <v>36</v>
      </c>
      <c r="K5560" s="13" t="s">
        <v>36</v>
      </c>
      <c r="L5560" s="15" t="s">
        <v>36</v>
      </c>
      <c r="M5560" s="12" t="s">
        <v>36</v>
      </c>
      <c r="N5560" s="12" t="s">
        <v>36</v>
      </c>
      <c r="O5560" s="17" t="s">
        <v>36</v>
      </c>
      <c r="P5560" s="12" t="s">
        <v>36</v>
      </c>
      <c r="Q5560" s="12" t="s">
        <v>36</v>
      </c>
      <c r="R5560" s="12" t="s">
        <v>36</v>
      </c>
      <c r="S5560" s="12" t="s">
        <v>36</v>
      </c>
      <c r="T5560" s="12" t="s">
        <v>14643</v>
      </c>
      <c r="U5560" s="12" t="s">
        <v>74</v>
      </c>
      <c r="V5560" s="12" t="s">
        <v>75</v>
      </c>
      <c r="W5560" s="12" t="s">
        <v>14644</v>
      </c>
      <c r="X5560" s="16" t="s">
        <v>26106</v>
      </c>
      <c r="Y5560" s="15" t="s">
        <v>42</v>
      </c>
      <c r="Z5560" s="14">
        <v>0.61</v>
      </c>
      <c r="AA5560" s="14" t="s">
        <v>36</v>
      </c>
      <c r="AB5560" s="12" t="s">
        <v>43</v>
      </c>
      <c r="AC5560" s="12" t="s">
        <v>14646</v>
      </c>
      <c r="AD5560" s="13">
        <v>43134</v>
      </c>
      <c r="AE5560" s="12" t="s">
        <v>975</v>
      </c>
      <c r="AF5560" s="12" t="s">
        <v>36</v>
      </c>
      <c r="AG5560" s="12" t="s">
        <v>186</v>
      </c>
      <c r="AH5560" s="1">
        <f>HYPERLINK("https://my.pitchbook.com?c=120398-05T","View Company Online")</f>
      </c>
    </row>
    <row r="5561">
      <c r="A5561" s="3" t="s">
        <v>26107</v>
      </c>
      <c r="B5561" s="3" t="s">
        <v>20741</v>
      </c>
      <c r="C5561" s="5" t="s">
        <v>36</v>
      </c>
      <c r="D5561" s="5" t="s">
        <v>36</v>
      </c>
      <c r="E5561" s="5" t="s">
        <v>36</v>
      </c>
      <c r="F5561" s="5" t="s">
        <v>36</v>
      </c>
      <c r="G5561" s="6" t="s">
        <v>326</v>
      </c>
      <c r="H5561" s="4">
        <v>64.12</v>
      </c>
      <c r="I5561" s="7">
        <v>34.84</v>
      </c>
      <c r="J5561" s="3" t="s">
        <v>521</v>
      </c>
      <c r="K5561" s="9" t="s">
        <v>36</v>
      </c>
      <c r="L5561" s="6" t="s">
        <v>94</v>
      </c>
      <c r="M5561" s="3" t="s">
        <v>36</v>
      </c>
      <c r="N5561" s="3" t="s">
        <v>94</v>
      </c>
      <c r="O5561" s="8" t="s">
        <v>36</v>
      </c>
      <c r="P5561" s="3" t="s">
        <v>36</v>
      </c>
      <c r="Q5561" s="3" t="s">
        <v>36</v>
      </c>
      <c r="R5561" s="3" t="s">
        <v>36</v>
      </c>
      <c r="S5561" s="3" t="s">
        <v>36</v>
      </c>
      <c r="T5561" s="3" t="s">
        <v>8394</v>
      </c>
      <c r="U5561" s="3" t="s">
        <v>85</v>
      </c>
      <c r="V5561" s="3" t="s">
        <v>64</v>
      </c>
      <c r="W5561" s="3" t="s">
        <v>20742</v>
      </c>
      <c r="X5561" s="10" t="s">
        <v>26108</v>
      </c>
      <c r="Y5561" s="6" t="s">
        <v>108</v>
      </c>
      <c r="Z5561" s="4">
        <v>48.41</v>
      </c>
      <c r="AA5561" s="4">
        <v>69.48</v>
      </c>
      <c r="AB5561" s="3" t="s">
        <v>43</v>
      </c>
      <c r="AC5561" s="3" t="s">
        <v>20744</v>
      </c>
      <c r="AD5561" s="9">
        <v>43133</v>
      </c>
      <c r="AE5561" s="3" t="s">
        <v>89</v>
      </c>
      <c r="AF5561" s="3" t="s">
        <v>20745</v>
      </c>
      <c r="AG5561" s="3" t="s">
        <v>81</v>
      </c>
      <c r="AH5561" s="11">
        <f>HYPERLINK("https://my.pitchbook.com?c=101169-73T","View Company Online")</f>
      </c>
    </row>
    <row r="5562">
      <c r="A5562" s="12" t="s">
        <v>26109</v>
      </c>
      <c r="B5562" s="12" t="s">
        <v>26110</v>
      </c>
      <c r="C5562" s="19" t="s">
        <v>36</v>
      </c>
      <c r="D5562" s="19" t="s">
        <v>36</v>
      </c>
      <c r="E5562" s="19" t="s">
        <v>36</v>
      </c>
      <c r="F5562" s="19" t="s">
        <v>36</v>
      </c>
      <c r="G5562" s="15" t="s">
        <v>36</v>
      </c>
      <c r="H5562" s="14" t="s">
        <v>36</v>
      </c>
      <c r="I5562" s="18" t="s">
        <v>36</v>
      </c>
      <c r="J5562" s="12" t="s">
        <v>36</v>
      </c>
      <c r="K5562" s="13" t="s">
        <v>36</v>
      </c>
      <c r="L5562" s="15" t="s">
        <v>36</v>
      </c>
      <c r="M5562" s="12" t="s">
        <v>36</v>
      </c>
      <c r="N5562" s="12" t="s">
        <v>36</v>
      </c>
      <c r="O5562" s="17" t="s">
        <v>36</v>
      </c>
      <c r="P5562" s="12" t="s">
        <v>36</v>
      </c>
      <c r="Q5562" s="12" t="s">
        <v>36</v>
      </c>
      <c r="R5562" s="12" t="s">
        <v>36</v>
      </c>
      <c r="S5562" s="12" t="s">
        <v>36</v>
      </c>
      <c r="T5562" s="12" t="s">
        <v>26111</v>
      </c>
      <c r="U5562" s="12" t="s">
        <v>63</v>
      </c>
      <c r="V5562" s="12" t="s">
        <v>64</v>
      </c>
      <c r="W5562" s="12" t="s">
        <v>26112</v>
      </c>
      <c r="X5562" s="16" t="s">
        <v>26113</v>
      </c>
      <c r="Y5562" s="15" t="s">
        <v>55</v>
      </c>
      <c r="Z5562" s="14" t="s">
        <v>36</v>
      </c>
      <c r="AA5562" s="14" t="s">
        <v>36</v>
      </c>
      <c r="AB5562" s="12" t="s">
        <v>43</v>
      </c>
      <c r="AC5562" s="12" t="s">
        <v>26114</v>
      </c>
      <c r="AD5562" s="13">
        <v>43132</v>
      </c>
      <c r="AE5562" s="12" t="s">
        <v>68</v>
      </c>
      <c r="AF5562" s="12" t="s">
        <v>26115</v>
      </c>
      <c r="AG5562" s="12" t="s">
        <v>26116</v>
      </c>
      <c r="AH5562" s="1">
        <f>HYPERLINK("https://my.pitchbook.com?c=177242-95T","View Company Online")</f>
      </c>
    </row>
    <row r="5563">
      <c r="A5563" s="3" t="s">
        <v>26117</v>
      </c>
      <c r="B5563" s="3" t="s">
        <v>26118</v>
      </c>
      <c r="C5563" s="5" t="s">
        <v>36</v>
      </c>
      <c r="D5563" s="5" t="s">
        <v>36</v>
      </c>
      <c r="E5563" s="5" t="s">
        <v>36</v>
      </c>
      <c r="F5563" s="5" t="s">
        <v>36</v>
      </c>
      <c r="G5563" s="6" t="s">
        <v>36</v>
      </c>
      <c r="H5563" s="4">
        <v>519.28</v>
      </c>
      <c r="I5563" s="7">
        <v>33</v>
      </c>
      <c r="J5563" s="3" t="s">
        <v>521</v>
      </c>
      <c r="K5563" s="9" t="s">
        <v>36</v>
      </c>
      <c r="L5563" s="6" t="s">
        <v>122</v>
      </c>
      <c r="M5563" s="3" t="s">
        <v>36</v>
      </c>
      <c r="N5563" s="3" t="s">
        <v>122</v>
      </c>
      <c r="O5563" s="8" t="s">
        <v>36</v>
      </c>
      <c r="P5563" s="3" t="s">
        <v>36</v>
      </c>
      <c r="Q5563" s="3" t="s">
        <v>36</v>
      </c>
      <c r="R5563" s="3" t="s">
        <v>36</v>
      </c>
      <c r="S5563" s="3" t="s">
        <v>36</v>
      </c>
      <c r="T5563" s="3" t="s">
        <v>4692</v>
      </c>
      <c r="U5563" s="3" t="s">
        <v>85</v>
      </c>
      <c r="V5563" s="3" t="s">
        <v>64</v>
      </c>
      <c r="W5563" s="3" t="s">
        <v>26119</v>
      </c>
      <c r="X5563" s="10" t="s">
        <v>19209</v>
      </c>
      <c r="Y5563" s="6" t="s">
        <v>42</v>
      </c>
      <c r="Z5563" s="4">
        <v>6.11</v>
      </c>
      <c r="AA5563" s="4">
        <v>14.85</v>
      </c>
      <c r="AB5563" s="3" t="s">
        <v>43</v>
      </c>
      <c r="AC5563" s="3" t="s">
        <v>26120</v>
      </c>
      <c r="AD5563" s="9">
        <v>43132</v>
      </c>
      <c r="AE5563" s="3" t="s">
        <v>89</v>
      </c>
      <c r="AF5563" s="3" t="s">
        <v>26121</v>
      </c>
      <c r="AG5563" s="3" t="s">
        <v>81</v>
      </c>
      <c r="AH5563" s="11">
        <f>HYPERLINK("https://my.pitchbook.com?c=107967-61T","View Company Online")</f>
      </c>
    </row>
    <row r="5564">
      <c r="A5564" s="12" t="s">
        <v>26122</v>
      </c>
      <c r="B5564" s="12" t="s">
        <v>26123</v>
      </c>
      <c r="C5564" s="19" t="s">
        <v>36</v>
      </c>
      <c r="D5564" s="19" t="s">
        <v>36</v>
      </c>
      <c r="E5564" s="19" t="s">
        <v>36</v>
      </c>
      <c r="F5564" s="19" t="s">
        <v>36</v>
      </c>
      <c r="G5564" s="15" t="s">
        <v>36</v>
      </c>
      <c r="H5564" s="14">
        <v>576.4</v>
      </c>
      <c r="I5564" s="18">
        <v>26.98</v>
      </c>
      <c r="J5564" s="12" t="s">
        <v>521</v>
      </c>
      <c r="K5564" s="13" t="s">
        <v>36</v>
      </c>
      <c r="L5564" s="15" t="s">
        <v>36</v>
      </c>
      <c r="M5564" s="12" t="s">
        <v>36</v>
      </c>
      <c r="N5564" s="12" t="s">
        <v>36</v>
      </c>
      <c r="O5564" s="17" t="s">
        <v>36</v>
      </c>
      <c r="P5564" s="12" t="s">
        <v>36</v>
      </c>
      <c r="Q5564" s="12" t="s">
        <v>36</v>
      </c>
      <c r="R5564" s="12" t="s">
        <v>36</v>
      </c>
      <c r="S5564" s="12" t="s">
        <v>36</v>
      </c>
      <c r="T5564" s="12" t="s">
        <v>3125</v>
      </c>
      <c r="U5564" s="12" t="s">
        <v>279</v>
      </c>
      <c r="V5564" s="12" t="s">
        <v>64</v>
      </c>
      <c r="W5564" s="12" t="s">
        <v>26124</v>
      </c>
      <c r="X5564" s="16" t="s">
        <v>26125</v>
      </c>
      <c r="Y5564" s="15" t="s">
        <v>42</v>
      </c>
      <c r="Z5564" s="14">
        <v>2.51</v>
      </c>
      <c r="AA5564" s="14">
        <v>9.29</v>
      </c>
      <c r="AB5564" s="12" t="s">
        <v>43</v>
      </c>
      <c r="AC5564" s="12" t="s">
        <v>26126</v>
      </c>
      <c r="AD5564" s="13">
        <v>43132</v>
      </c>
      <c r="AE5564" s="12" t="s">
        <v>283</v>
      </c>
      <c r="AF5564" s="12" t="s">
        <v>176</v>
      </c>
      <c r="AG5564" s="12" t="s">
        <v>81</v>
      </c>
      <c r="AH5564" s="1">
        <f>HYPERLINK("https://my.pitchbook.com?c=176935-87T","View Company Online")</f>
      </c>
    </row>
    <row r="5565">
      <c r="A5565" s="3" t="s">
        <v>26127</v>
      </c>
      <c r="B5565" s="3" t="s">
        <v>26128</v>
      </c>
      <c r="C5565" s="5" t="s">
        <v>36</v>
      </c>
      <c r="D5565" s="5" t="s">
        <v>36</v>
      </c>
      <c r="E5565" s="5" t="s">
        <v>36</v>
      </c>
      <c r="F5565" s="5" t="s">
        <v>36</v>
      </c>
      <c r="G5565" s="6" t="s">
        <v>36</v>
      </c>
      <c r="H5565" s="4" t="s">
        <v>36</v>
      </c>
      <c r="I5565" s="7" t="s">
        <v>36</v>
      </c>
      <c r="J5565" s="3" t="s">
        <v>36</v>
      </c>
      <c r="K5565" s="9" t="s">
        <v>36</v>
      </c>
      <c r="L5565" s="6" t="s">
        <v>36</v>
      </c>
      <c r="M5565" s="3" t="s">
        <v>36</v>
      </c>
      <c r="N5565" s="3" t="s">
        <v>36</v>
      </c>
      <c r="O5565" s="8" t="s">
        <v>36</v>
      </c>
      <c r="P5565" s="3" t="s">
        <v>36</v>
      </c>
      <c r="Q5565" s="3" t="s">
        <v>36</v>
      </c>
      <c r="R5565" s="3" t="s">
        <v>36</v>
      </c>
      <c r="S5565" s="3" t="s">
        <v>36</v>
      </c>
      <c r="T5565" s="3" t="s">
        <v>26129</v>
      </c>
      <c r="U5565" s="3" t="s">
        <v>74</v>
      </c>
      <c r="V5565" s="3" t="s">
        <v>75</v>
      </c>
      <c r="W5565" s="3" t="s">
        <v>26130</v>
      </c>
      <c r="X5565" s="10" t="s">
        <v>1872</v>
      </c>
      <c r="Y5565" s="6" t="s">
        <v>42</v>
      </c>
      <c r="Z5565" s="4" t="s">
        <v>36</v>
      </c>
      <c r="AA5565" s="4" t="s">
        <v>36</v>
      </c>
      <c r="AB5565" s="3" t="s">
        <v>43</v>
      </c>
      <c r="AC5565" s="3" t="s">
        <v>26131</v>
      </c>
      <c r="AD5565" s="9">
        <v>43132</v>
      </c>
      <c r="AE5565" s="3" t="s">
        <v>3144</v>
      </c>
      <c r="AF5565" s="3" t="s">
        <v>22175</v>
      </c>
      <c r="AG5565" s="3" t="s">
        <v>26132</v>
      </c>
      <c r="AH5565" s="11">
        <f>HYPERLINK("https://my.pitchbook.com?c=101005-03T","View Company Online")</f>
      </c>
    </row>
    <row r="5566">
      <c r="A5566" s="12" t="s">
        <v>26133</v>
      </c>
      <c r="B5566" s="12" t="s">
        <v>20789</v>
      </c>
      <c r="C5566" s="19" t="s">
        <v>36</v>
      </c>
      <c r="D5566" s="19" t="s">
        <v>36</v>
      </c>
      <c r="E5566" s="19" t="s">
        <v>36</v>
      </c>
      <c r="F5566" s="19" t="s">
        <v>36</v>
      </c>
      <c r="G5566" s="15" t="s">
        <v>36</v>
      </c>
      <c r="H5566" s="14" t="s">
        <v>36</v>
      </c>
      <c r="I5566" s="18" t="s">
        <v>36</v>
      </c>
      <c r="J5566" s="12" t="s">
        <v>36</v>
      </c>
      <c r="K5566" s="13" t="s">
        <v>36</v>
      </c>
      <c r="L5566" s="15" t="s">
        <v>36</v>
      </c>
      <c r="M5566" s="12" t="s">
        <v>36</v>
      </c>
      <c r="N5566" s="12" t="s">
        <v>36</v>
      </c>
      <c r="O5566" s="17" t="s">
        <v>36</v>
      </c>
      <c r="P5566" s="12" t="s">
        <v>36</v>
      </c>
      <c r="Q5566" s="12" t="s">
        <v>36</v>
      </c>
      <c r="R5566" s="12" t="s">
        <v>36</v>
      </c>
      <c r="S5566" s="12" t="s">
        <v>36</v>
      </c>
      <c r="T5566" s="12" t="s">
        <v>105</v>
      </c>
      <c r="U5566" s="12" t="s">
        <v>38</v>
      </c>
      <c r="V5566" s="12" t="s">
        <v>39</v>
      </c>
      <c r="W5566" s="12" t="s">
        <v>20790</v>
      </c>
      <c r="X5566" s="16" t="s">
        <v>26134</v>
      </c>
      <c r="Y5566" s="15" t="s">
        <v>42</v>
      </c>
      <c r="Z5566" s="14">
        <v>1.22</v>
      </c>
      <c r="AA5566" s="14" t="s">
        <v>36</v>
      </c>
      <c r="AB5566" s="12" t="s">
        <v>43</v>
      </c>
      <c r="AC5566" s="12" t="s">
        <v>20792</v>
      </c>
      <c r="AD5566" s="13">
        <v>43132</v>
      </c>
      <c r="AE5566" s="12" t="s">
        <v>110</v>
      </c>
      <c r="AF5566" s="12" t="s">
        <v>1077</v>
      </c>
      <c r="AG5566" s="12" t="s">
        <v>741</v>
      </c>
      <c r="AH5566" s="1">
        <f>HYPERLINK("https://my.pitchbook.com?c=100502-92T","View Company Online")</f>
      </c>
    </row>
    <row r="5567">
      <c r="A5567" s="3" t="s">
        <v>26135</v>
      </c>
      <c r="B5567" s="3" t="s">
        <v>26136</v>
      </c>
      <c r="C5567" s="5" t="s">
        <v>36</v>
      </c>
      <c r="D5567" s="5" t="s">
        <v>36</v>
      </c>
      <c r="E5567" s="5" t="s">
        <v>36</v>
      </c>
      <c r="F5567" s="5" t="s">
        <v>36</v>
      </c>
      <c r="G5567" s="6" t="s">
        <v>36</v>
      </c>
      <c r="H5567" s="4" t="s">
        <v>36</v>
      </c>
      <c r="I5567" s="7" t="s">
        <v>36</v>
      </c>
      <c r="J5567" s="3" t="s">
        <v>36</v>
      </c>
      <c r="K5567" s="9" t="s">
        <v>36</v>
      </c>
      <c r="L5567" s="6" t="s">
        <v>36</v>
      </c>
      <c r="M5567" s="3" t="s">
        <v>36</v>
      </c>
      <c r="N5567" s="3" t="s">
        <v>36</v>
      </c>
      <c r="O5567" s="8" t="s">
        <v>36</v>
      </c>
      <c r="P5567" s="3" t="s">
        <v>36</v>
      </c>
      <c r="Q5567" s="3" t="s">
        <v>36</v>
      </c>
      <c r="R5567" s="3" t="s">
        <v>36</v>
      </c>
      <c r="S5567" s="3" t="s">
        <v>36</v>
      </c>
      <c r="T5567" s="3" t="s">
        <v>522</v>
      </c>
      <c r="U5567" s="3" t="s">
        <v>38</v>
      </c>
      <c r="V5567" s="3" t="s">
        <v>39</v>
      </c>
      <c r="W5567" s="3" t="s">
        <v>26137</v>
      </c>
      <c r="X5567" s="10" t="s">
        <v>26138</v>
      </c>
      <c r="Y5567" s="6" t="s">
        <v>42</v>
      </c>
      <c r="Z5567" s="4">
        <v>0.92</v>
      </c>
      <c r="AA5567" s="4" t="s">
        <v>36</v>
      </c>
      <c r="AB5567" s="3" t="s">
        <v>43</v>
      </c>
      <c r="AC5567" s="3" t="s">
        <v>26139</v>
      </c>
      <c r="AD5567" s="9">
        <v>43132</v>
      </c>
      <c r="AE5567" s="3" t="s">
        <v>110</v>
      </c>
      <c r="AF5567" s="3" t="s">
        <v>4552</v>
      </c>
      <c r="AG5567" s="3" t="s">
        <v>47</v>
      </c>
      <c r="AH5567" s="11">
        <f>HYPERLINK("https://my.pitchbook.com?c=108598-33T","View Company Online")</f>
      </c>
    </row>
    <row r="5568">
      <c r="A5568" s="12" t="s">
        <v>26140</v>
      </c>
      <c r="B5568" s="12" t="s">
        <v>26141</v>
      </c>
      <c r="C5568" s="19" t="s">
        <v>36</v>
      </c>
      <c r="D5568" s="19">
        <v>4</v>
      </c>
      <c r="E5568" s="19">
        <v>2</v>
      </c>
      <c r="F5568" s="19">
        <v>5</v>
      </c>
      <c r="G5568" s="15" t="s">
        <v>326</v>
      </c>
      <c r="H5568" s="14">
        <v>68.96</v>
      </c>
      <c r="I5568" s="18">
        <v>25.95</v>
      </c>
      <c r="J5568" s="12" t="s">
        <v>521</v>
      </c>
      <c r="K5568" s="13">
        <v>43088</v>
      </c>
      <c r="L5568" s="15" t="s">
        <v>122</v>
      </c>
      <c r="M5568" s="12" t="s">
        <v>36</v>
      </c>
      <c r="N5568" s="12" t="s">
        <v>122</v>
      </c>
      <c r="O5568" s="17" t="s">
        <v>36</v>
      </c>
      <c r="P5568" s="12" t="s">
        <v>36</v>
      </c>
      <c r="Q5568" s="12" t="s">
        <v>36</v>
      </c>
      <c r="R5568" s="12" t="s">
        <v>36</v>
      </c>
      <c r="S5568" s="12" t="s">
        <v>36</v>
      </c>
      <c r="T5568" s="12" t="s">
        <v>522</v>
      </c>
      <c r="U5568" s="12" t="s">
        <v>38</v>
      </c>
      <c r="V5568" s="12" t="s">
        <v>39</v>
      </c>
      <c r="W5568" s="12" t="s">
        <v>26142</v>
      </c>
      <c r="X5568" s="16" t="s">
        <v>26143</v>
      </c>
      <c r="Y5568" s="15" t="s">
        <v>108</v>
      </c>
      <c r="Z5568" s="14">
        <v>8</v>
      </c>
      <c r="AA5568" s="14">
        <v>17.97</v>
      </c>
      <c r="AB5568" s="12" t="s">
        <v>43</v>
      </c>
      <c r="AC5568" s="12" t="s">
        <v>26144</v>
      </c>
      <c r="AD5568" s="13">
        <v>43132</v>
      </c>
      <c r="AE5568" s="12" t="s">
        <v>110</v>
      </c>
      <c r="AF5568" s="12" t="s">
        <v>6214</v>
      </c>
      <c r="AG5568" s="12" t="s">
        <v>13897</v>
      </c>
      <c r="AH5568" s="1">
        <f>HYPERLINK("https://my.pitchbook.com?c=100917-91T","View Company Online")</f>
      </c>
    </row>
    <row r="5569">
      <c r="A5569" s="3" t="s">
        <v>26145</v>
      </c>
      <c r="B5569" s="3" t="s">
        <v>26146</v>
      </c>
      <c r="C5569" s="5" t="s">
        <v>36</v>
      </c>
      <c r="D5569" s="5" t="s">
        <v>36</v>
      </c>
      <c r="E5569" s="5" t="s">
        <v>36</v>
      </c>
      <c r="F5569" s="5" t="s">
        <v>36</v>
      </c>
      <c r="G5569" s="6" t="s">
        <v>2497</v>
      </c>
      <c r="H5569" s="4">
        <v>393.13</v>
      </c>
      <c r="I5569" s="7">
        <v>42.04</v>
      </c>
      <c r="J5569" s="3" t="s">
        <v>521</v>
      </c>
      <c r="K5569" s="9" t="s">
        <v>36</v>
      </c>
      <c r="L5569" s="6" t="s">
        <v>122</v>
      </c>
      <c r="M5569" s="3" t="s">
        <v>36</v>
      </c>
      <c r="N5569" s="3" t="s">
        <v>122</v>
      </c>
      <c r="O5569" s="8" t="s">
        <v>36</v>
      </c>
      <c r="P5569" s="3" t="s">
        <v>36</v>
      </c>
      <c r="Q5569" s="3" t="s">
        <v>36</v>
      </c>
      <c r="R5569" s="3" t="s">
        <v>36</v>
      </c>
      <c r="S5569" s="3" t="s">
        <v>36</v>
      </c>
      <c r="T5569" s="3" t="s">
        <v>3226</v>
      </c>
      <c r="U5569" s="3" t="s">
        <v>38</v>
      </c>
      <c r="V5569" s="3" t="s">
        <v>39</v>
      </c>
      <c r="W5569" s="3" t="s">
        <v>26147</v>
      </c>
      <c r="X5569" s="10" t="s">
        <v>26148</v>
      </c>
      <c r="Y5569" s="6" t="s">
        <v>55</v>
      </c>
      <c r="Z5569" s="4">
        <v>9.76</v>
      </c>
      <c r="AA5569" s="4">
        <v>17.48</v>
      </c>
      <c r="AB5569" s="3" t="s">
        <v>43</v>
      </c>
      <c r="AC5569" s="3" t="s">
        <v>26149</v>
      </c>
      <c r="AD5569" s="9">
        <v>43131</v>
      </c>
      <c r="AE5569" s="3" t="s">
        <v>110</v>
      </c>
      <c r="AF5569" s="3" t="s">
        <v>1636</v>
      </c>
      <c r="AG5569" s="3" t="s">
        <v>47</v>
      </c>
      <c r="AH5569" s="11">
        <f>HYPERLINK("https://my.pitchbook.com?c=100803-43T","View Company Online")</f>
      </c>
    </row>
    <row r="5570">
      <c r="A5570" s="12" t="s">
        <v>26150</v>
      </c>
      <c r="B5570" s="12" t="s">
        <v>26151</v>
      </c>
      <c r="C5570" s="19" t="s">
        <v>36</v>
      </c>
      <c r="D5570" s="19" t="s">
        <v>36</v>
      </c>
      <c r="E5570" s="19" t="s">
        <v>36</v>
      </c>
      <c r="F5570" s="19" t="s">
        <v>36</v>
      </c>
      <c r="G5570" s="15" t="s">
        <v>36</v>
      </c>
      <c r="H5570" s="14" t="s">
        <v>36</v>
      </c>
      <c r="I5570" s="18" t="s">
        <v>36</v>
      </c>
      <c r="J5570" s="12" t="s">
        <v>36</v>
      </c>
      <c r="K5570" s="13" t="s">
        <v>36</v>
      </c>
      <c r="L5570" s="15" t="s">
        <v>36</v>
      </c>
      <c r="M5570" s="12" t="s">
        <v>36</v>
      </c>
      <c r="N5570" s="12" t="s">
        <v>36</v>
      </c>
      <c r="O5570" s="17" t="s">
        <v>36</v>
      </c>
      <c r="P5570" s="12" t="s">
        <v>36</v>
      </c>
      <c r="Q5570" s="12" t="s">
        <v>36</v>
      </c>
      <c r="R5570" s="12" t="s">
        <v>36</v>
      </c>
      <c r="S5570" s="12" t="s">
        <v>36</v>
      </c>
      <c r="T5570" s="12" t="s">
        <v>2201</v>
      </c>
      <c r="U5570" s="12" t="s">
        <v>728</v>
      </c>
      <c r="V5570" s="12" t="s">
        <v>64</v>
      </c>
      <c r="W5570" s="12" t="s">
        <v>26152</v>
      </c>
      <c r="X5570" s="16" t="s">
        <v>26153</v>
      </c>
      <c r="Y5570" s="15" t="s">
        <v>108</v>
      </c>
      <c r="Z5570" s="14">
        <v>41</v>
      </c>
      <c r="AA5570" s="14" t="s">
        <v>36</v>
      </c>
      <c r="AB5570" s="12" t="s">
        <v>56</v>
      </c>
      <c r="AC5570" s="12" t="s">
        <v>26154</v>
      </c>
      <c r="AD5570" s="13">
        <v>43131</v>
      </c>
      <c r="AE5570" s="12" t="s">
        <v>1600</v>
      </c>
      <c r="AF5570" s="12" t="s">
        <v>36</v>
      </c>
      <c r="AG5570" s="12" t="s">
        <v>81</v>
      </c>
      <c r="AH5570" s="1">
        <f>HYPERLINK("https://my.pitchbook.com?c=126957-97T","View Company Online")</f>
      </c>
    </row>
    <row r="5571">
      <c r="A5571" s="3" t="s">
        <v>26155</v>
      </c>
      <c r="B5571" s="3" t="s">
        <v>26156</v>
      </c>
      <c r="C5571" s="5" t="s">
        <v>36</v>
      </c>
      <c r="D5571" s="5" t="s">
        <v>36</v>
      </c>
      <c r="E5571" s="5" t="s">
        <v>36</v>
      </c>
      <c r="F5571" s="5" t="s">
        <v>36</v>
      </c>
      <c r="G5571" s="6" t="s">
        <v>36</v>
      </c>
      <c r="H5571" s="4" t="s">
        <v>36</v>
      </c>
      <c r="I5571" s="7" t="s">
        <v>36</v>
      </c>
      <c r="J5571" s="3" t="s">
        <v>36</v>
      </c>
      <c r="K5571" s="9" t="s">
        <v>36</v>
      </c>
      <c r="L5571" s="6" t="s">
        <v>1279</v>
      </c>
      <c r="M5571" s="3" t="s">
        <v>36</v>
      </c>
      <c r="N5571" s="3" t="s">
        <v>1279</v>
      </c>
      <c r="O5571" s="8" t="s">
        <v>36</v>
      </c>
      <c r="P5571" s="3" t="s">
        <v>36</v>
      </c>
      <c r="Q5571" s="3" t="s">
        <v>36</v>
      </c>
      <c r="R5571" s="3" t="s">
        <v>36</v>
      </c>
      <c r="S5571" s="3" t="s">
        <v>36</v>
      </c>
      <c r="T5571" s="3" t="s">
        <v>26157</v>
      </c>
      <c r="U5571" s="3" t="s">
        <v>279</v>
      </c>
      <c r="V5571" s="3" t="s">
        <v>64</v>
      </c>
      <c r="W5571" s="3" t="s">
        <v>26158</v>
      </c>
      <c r="X5571" s="10" t="s">
        <v>26159</v>
      </c>
      <c r="Y5571" s="6" t="s">
        <v>55</v>
      </c>
      <c r="Z5571" s="4">
        <v>61.02</v>
      </c>
      <c r="AA5571" s="4" t="s">
        <v>36</v>
      </c>
      <c r="AB5571" s="3" t="s">
        <v>56</v>
      </c>
      <c r="AC5571" s="3" t="s">
        <v>26160</v>
      </c>
      <c r="AD5571" s="9">
        <v>43131</v>
      </c>
      <c r="AE5571" s="3" t="s">
        <v>283</v>
      </c>
      <c r="AF5571" s="3" t="s">
        <v>2363</v>
      </c>
      <c r="AG5571" s="3" t="s">
        <v>21857</v>
      </c>
      <c r="AH5571" s="11">
        <f>HYPERLINK("https://my.pitchbook.com?c=101068-93T","View Company Online")</f>
      </c>
    </row>
    <row r="5572">
      <c r="A5572" s="12" t="s">
        <v>26161</v>
      </c>
      <c r="B5572" s="12" t="s">
        <v>26162</v>
      </c>
      <c r="C5572" s="19" t="s">
        <v>36</v>
      </c>
      <c r="D5572" s="19">
        <v>1</v>
      </c>
      <c r="E5572" s="19">
        <v>4</v>
      </c>
      <c r="F5572" s="19">
        <v>5</v>
      </c>
      <c r="G5572" s="15" t="s">
        <v>326</v>
      </c>
      <c r="H5572" s="14">
        <v>0.23</v>
      </c>
      <c r="I5572" s="18">
        <v>5</v>
      </c>
      <c r="J5572" s="12" t="s">
        <v>521</v>
      </c>
      <c r="K5572" s="13" t="s">
        <v>36</v>
      </c>
      <c r="L5572" s="15" t="s">
        <v>1279</v>
      </c>
      <c r="M5572" s="12" t="s">
        <v>36</v>
      </c>
      <c r="N5572" s="12" t="s">
        <v>1279</v>
      </c>
      <c r="O5572" s="17" t="s">
        <v>36</v>
      </c>
      <c r="P5572" s="12" t="s">
        <v>3530</v>
      </c>
      <c r="Q5572" s="12" t="s">
        <v>3530</v>
      </c>
      <c r="R5572" s="12" t="s">
        <v>3531</v>
      </c>
      <c r="S5572" s="12" t="s">
        <v>36</v>
      </c>
      <c r="T5572" s="12" t="s">
        <v>5302</v>
      </c>
      <c r="U5572" s="12" t="s">
        <v>74</v>
      </c>
      <c r="V5572" s="12" t="s">
        <v>75</v>
      </c>
      <c r="W5572" s="12" t="s">
        <v>26163</v>
      </c>
      <c r="X5572" s="16" t="s">
        <v>13128</v>
      </c>
      <c r="Y5572" s="15" t="s">
        <v>192</v>
      </c>
      <c r="Z5572" s="14">
        <v>1</v>
      </c>
      <c r="AA5572" s="14">
        <v>20</v>
      </c>
      <c r="AB5572" s="12" t="s">
        <v>56</v>
      </c>
      <c r="AC5572" s="12" t="s">
        <v>26164</v>
      </c>
      <c r="AD5572" s="13">
        <v>43130</v>
      </c>
      <c r="AE5572" s="12" t="s">
        <v>362</v>
      </c>
      <c r="AF5572" s="12" t="s">
        <v>8083</v>
      </c>
      <c r="AG5572" s="12" t="s">
        <v>81</v>
      </c>
      <c r="AH5572" s="1">
        <f>HYPERLINK("https://my.pitchbook.com?c=108278-02T","View Company Online")</f>
      </c>
    </row>
    <row r="5573">
      <c r="A5573" s="3" t="s">
        <v>26165</v>
      </c>
      <c r="B5573" s="3" t="s">
        <v>13929</v>
      </c>
      <c r="C5573" s="5" t="s">
        <v>36</v>
      </c>
      <c r="D5573" s="5" t="s">
        <v>36</v>
      </c>
      <c r="E5573" s="5" t="s">
        <v>36</v>
      </c>
      <c r="F5573" s="5" t="s">
        <v>36</v>
      </c>
      <c r="G5573" s="6" t="s">
        <v>36</v>
      </c>
      <c r="H5573" s="4">
        <v>1.7</v>
      </c>
      <c r="I5573" s="7">
        <v>33.75</v>
      </c>
      <c r="J5573" s="3" t="s">
        <v>521</v>
      </c>
      <c r="K5573" s="9">
        <v>43084</v>
      </c>
      <c r="L5573" s="6" t="s">
        <v>122</v>
      </c>
      <c r="M5573" s="3" t="s">
        <v>36</v>
      </c>
      <c r="N5573" s="3" t="s">
        <v>122</v>
      </c>
      <c r="O5573" s="8" t="s">
        <v>36</v>
      </c>
      <c r="P5573" s="3" t="s">
        <v>36</v>
      </c>
      <c r="Q5573" s="3" t="s">
        <v>36</v>
      </c>
      <c r="R5573" s="3" t="s">
        <v>36</v>
      </c>
      <c r="S5573" s="3" t="s">
        <v>36</v>
      </c>
      <c r="T5573" s="3" t="s">
        <v>8202</v>
      </c>
      <c r="U5573" s="3" t="s">
        <v>38</v>
      </c>
      <c r="V5573" s="3" t="s">
        <v>39</v>
      </c>
      <c r="W5573" s="3" t="s">
        <v>13930</v>
      </c>
      <c r="X5573" s="10" t="s">
        <v>26166</v>
      </c>
      <c r="Y5573" s="6" t="s">
        <v>108</v>
      </c>
      <c r="Z5573" s="4">
        <v>9.75</v>
      </c>
      <c r="AA5573" s="4">
        <v>28.9</v>
      </c>
      <c r="AB5573" s="3" t="s">
        <v>43</v>
      </c>
      <c r="AC5573" s="3" t="s">
        <v>13932</v>
      </c>
      <c r="AD5573" s="9">
        <v>43130</v>
      </c>
      <c r="AE5573" s="3" t="s">
        <v>45</v>
      </c>
      <c r="AF5573" s="3" t="s">
        <v>615</v>
      </c>
      <c r="AG5573" s="3" t="s">
        <v>81</v>
      </c>
      <c r="AH5573" s="11">
        <f>HYPERLINK("https://my.pitchbook.com?c=100706-86T","View Company Online")</f>
      </c>
    </row>
    <row r="5574">
      <c r="A5574" s="12" t="s">
        <v>26167</v>
      </c>
      <c r="B5574" s="12" t="s">
        <v>10836</v>
      </c>
      <c r="C5574" s="19" t="s">
        <v>36</v>
      </c>
      <c r="D5574" s="19" t="s">
        <v>36</v>
      </c>
      <c r="E5574" s="19" t="s">
        <v>36</v>
      </c>
      <c r="F5574" s="19" t="s">
        <v>36</v>
      </c>
      <c r="G5574" s="15" t="s">
        <v>36</v>
      </c>
      <c r="H5574" s="14">
        <v>1796.72</v>
      </c>
      <c r="I5574" s="18">
        <v>30.61</v>
      </c>
      <c r="J5574" s="12" t="s">
        <v>521</v>
      </c>
      <c r="K5574" s="13" t="s">
        <v>36</v>
      </c>
      <c r="L5574" s="15" t="s">
        <v>36</v>
      </c>
      <c r="M5574" s="12" t="s">
        <v>36</v>
      </c>
      <c r="N5574" s="12" t="s">
        <v>36</v>
      </c>
      <c r="O5574" s="17" t="s">
        <v>36</v>
      </c>
      <c r="P5574" s="12" t="s">
        <v>36</v>
      </c>
      <c r="Q5574" s="12" t="s">
        <v>36</v>
      </c>
      <c r="R5574" s="12" t="s">
        <v>36</v>
      </c>
      <c r="S5574" s="12" t="s">
        <v>36</v>
      </c>
      <c r="T5574" s="12" t="s">
        <v>10837</v>
      </c>
      <c r="U5574" s="12" t="s">
        <v>1357</v>
      </c>
      <c r="V5574" s="12" t="s">
        <v>52</v>
      </c>
      <c r="W5574" s="12" t="s">
        <v>10838</v>
      </c>
      <c r="X5574" s="16" t="s">
        <v>26168</v>
      </c>
      <c r="Y5574" s="15" t="s">
        <v>42</v>
      </c>
      <c r="Z5574" s="14">
        <v>2.42</v>
      </c>
      <c r="AA5574" s="14">
        <v>7.89</v>
      </c>
      <c r="AB5574" s="12" t="s">
        <v>56</v>
      </c>
      <c r="AC5574" s="12" t="s">
        <v>10840</v>
      </c>
      <c r="AD5574" s="13">
        <v>43129</v>
      </c>
      <c r="AE5574" s="12" t="s">
        <v>10392</v>
      </c>
      <c r="AF5574" s="12" t="s">
        <v>159</v>
      </c>
      <c r="AG5574" s="12" t="s">
        <v>10841</v>
      </c>
      <c r="AH5574" s="1">
        <f>HYPERLINK("https://my.pitchbook.com?c=108738-73T","View Company Online")</f>
      </c>
    </row>
    <row r="5575">
      <c r="A5575" s="3" t="s">
        <v>26169</v>
      </c>
      <c r="B5575" s="3" t="s">
        <v>26170</v>
      </c>
      <c r="C5575" s="5" t="s">
        <v>36</v>
      </c>
      <c r="D5575" s="5" t="s">
        <v>36</v>
      </c>
      <c r="E5575" s="5" t="s">
        <v>36</v>
      </c>
      <c r="F5575" s="5" t="s">
        <v>36</v>
      </c>
      <c r="G5575" s="6" t="s">
        <v>326</v>
      </c>
      <c r="H5575" s="4">
        <v>58.92</v>
      </c>
      <c r="I5575" s="7">
        <v>20.67</v>
      </c>
      <c r="J5575" s="3" t="s">
        <v>521</v>
      </c>
      <c r="K5575" s="9" t="s">
        <v>36</v>
      </c>
      <c r="L5575" s="6" t="s">
        <v>36</v>
      </c>
      <c r="M5575" s="3" t="s">
        <v>36</v>
      </c>
      <c r="N5575" s="3" t="s">
        <v>36</v>
      </c>
      <c r="O5575" s="8" t="s">
        <v>36</v>
      </c>
      <c r="P5575" s="3" t="s">
        <v>36</v>
      </c>
      <c r="Q5575" s="3" t="s">
        <v>36</v>
      </c>
      <c r="R5575" s="3" t="s">
        <v>36</v>
      </c>
      <c r="S5575" s="3" t="s">
        <v>36</v>
      </c>
      <c r="T5575" s="3" t="s">
        <v>105</v>
      </c>
      <c r="U5575" s="3" t="s">
        <v>38</v>
      </c>
      <c r="V5575" s="3" t="s">
        <v>39</v>
      </c>
      <c r="W5575" s="3" t="s">
        <v>26171</v>
      </c>
      <c r="X5575" s="10" t="s">
        <v>26172</v>
      </c>
      <c r="Y5575" s="6" t="s">
        <v>108</v>
      </c>
      <c r="Z5575" s="4">
        <v>0.71</v>
      </c>
      <c r="AA5575" s="4">
        <v>3.42</v>
      </c>
      <c r="AB5575" s="3" t="s">
        <v>56</v>
      </c>
      <c r="AC5575" s="3" t="s">
        <v>26173</v>
      </c>
      <c r="AD5575" s="9">
        <v>43129</v>
      </c>
      <c r="AE5575" s="3" t="s">
        <v>110</v>
      </c>
      <c r="AF5575" s="3" t="s">
        <v>5001</v>
      </c>
      <c r="AG5575" s="3" t="s">
        <v>81</v>
      </c>
      <c r="AH5575" s="11">
        <f>HYPERLINK("https://my.pitchbook.com?c=108865-00T","View Company Online")</f>
      </c>
    </row>
    <row r="5576">
      <c r="A5576" s="12" t="s">
        <v>26174</v>
      </c>
      <c r="B5576" s="12" t="s">
        <v>24779</v>
      </c>
      <c r="C5576" s="19" t="s">
        <v>36</v>
      </c>
      <c r="D5576" s="19" t="s">
        <v>36</v>
      </c>
      <c r="E5576" s="19" t="s">
        <v>36</v>
      </c>
      <c r="F5576" s="19" t="s">
        <v>36</v>
      </c>
      <c r="G5576" s="15" t="s">
        <v>326</v>
      </c>
      <c r="H5576" s="14">
        <v>2.08</v>
      </c>
      <c r="I5576" s="18">
        <v>28.3</v>
      </c>
      <c r="J5576" s="12" t="s">
        <v>521</v>
      </c>
      <c r="K5576" s="13">
        <v>42848</v>
      </c>
      <c r="L5576" s="15" t="s">
        <v>36</v>
      </c>
      <c r="M5576" s="12" t="s">
        <v>36</v>
      </c>
      <c r="N5576" s="12" t="s">
        <v>36</v>
      </c>
      <c r="O5576" s="17" t="s">
        <v>36</v>
      </c>
      <c r="P5576" s="12" t="s">
        <v>36</v>
      </c>
      <c r="Q5576" s="12" t="s">
        <v>36</v>
      </c>
      <c r="R5576" s="12" t="s">
        <v>36</v>
      </c>
      <c r="S5576" s="12" t="s">
        <v>36</v>
      </c>
      <c r="T5576" s="12" t="s">
        <v>8394</v>
      </c>
      <c r="U5576" s="12" t="s">
        <v>85</v>
      </c>
      <c r="V5576" s="12" t="s">
        <v>64</v>
      </c>
      <c r="W5576" s="12" t="s">
        <v>24780</v>
      </c>
      <c r="X5576" s="16" t="s">
        <v>26175</v>
      </c>
      <c r="Y5576" s="15" t="s">
        <v>55</v>
      </c>
      <c r="Z5576" s="14">
        <v>0.96</v>
      </c>
      <c r="AA5576" s="14">
        <v>3.39</v>
      </c>
      <c r="AB5576" s="12" t="s">
        <v>43</v>
      </c>
      <c r="AC5576" s="12" t="s">
        <v>24781</v>
      </c>
      <c r="AD5576" s="13">
        <v>43129</v>
      </c>
      <c r="AE5576" s="12" t="s">
        <v>89</v>
      </c>
      <c r="AF5576" s="12" t="s">
        <v>5398</v>
      </c>
      <c r="AG5576" s="12" t="s">
        <v>24782</v>
      </c>
      <c r="AH5576" s="1">
        <f>HYPERLINK("https://my.pitchbook.com?c=100667-98T","View Company Online")</f>
      </c>
    </row>
    <row r="5577">
      <c r="A5577" s="3" t="s">
        <v>26176</v>
      </c>
      <c r="B5577" s="3" t="s">
        <v>4763</v>
      </c>
      <c r="C5577" s="5">
        <v>20</v>
      </c>
      <c r="D5577" s="5">
        <v>97</v>
      </c>
      <c r="E5577" s="5">
        <v>70</v>
      </c>
      <c r="F5577" s="5">
        <v>130</v>
      </c>
      <c r="G5577" s="6" t="s">
        <v>326</v>
      </c>
      <c r="H5577" s="4" t="s">
        <v>36</v>
      </c>
      <c r="I5577" s="7">
        <v>19.89</v>
      </c>
      <c r="J5577" s="3" t="s">
        <v>327</v>
      </c>
      <c r="K5577" s="9" t="s">
        <v>36</v>
      </c>
      <c r="L5577" s="6" t="s">
        <v>94</v>
      </c>
      <c r="M5577" s="3" t="s">
        <v>36</v>
      </c>
      <c r="N5577" s="3" t="s">
        <v>94</v>
      </c>
      <c r="O5577" s="8" t="s">
        <v>36</v>
      </c>
      <c r="P5577" s="3" t="s">
        <v>36</v>
      </c>
      <c r="Q5577" s="3" t="s">
        <v>36</v>
      </c>
      <c r="R5577" s="3" t="s">
        <v>36</v>
      </c>
      <c r="S5577" s="3" t="s">
        <v>196</v>
      </c>
      <c r="T5577" s="3" t="s">
        <v>522</v>
      </c>
      <c r="U5577" s="3" t="s">
        <v>38</v>
      </c>
      <c r="V5577" s="3" t="s">
        <v>39</v>
      </c>
      <c r="W5577" s="3" t="s">
        <v>4764</v>
      </c>
      <c r="X5577" s="10" t="s">
        <v>26177</v>
      </c>
      <c r="Y5577" s="6" t="s">
        <v>55</v>
      </c>
      <c r="Z5577" s="4">
        <v>48.71</v>
      </c>
      <c r="AA5577" s="4">
        <v>215.52</v>
      </c>
      <c r="AB5577" s="3" t="s">
        <v>56</v>
      </c>
      <c r="AC5577" s="3" t="s">
        <v>4766</v>
      </c>
      <c r="AD5577" s="9">
        <v>43129</v>
      </c>
      <c r="AE5577" s="3" t="s">
        <v>110</v>
      </c>
      <c r="AF5577" s="3" t="s">
        <v>111</v>
      </c>
      <c r="AG5577" s="3" t="s">
        <v>81</v>
      </c>
      <c r="AH5577" s="11">
        <f>HYPERLINK("https://my.pitchbook.com?c=136745-11T","View Company Online")</f>
      </c>
    </row>
    <row r="5578">
      <c r="A5578" s="12" t="s">
        <v>26178</v>
      </c>
      <c r="B5578" s="12" t="s">
        <v>21599</v>
      </c>
      <c r="C5578" s="19" t="s">
        <v>36</v>
      </c>
      <c r="D5578" s="19" t="s">
        <v>36</v>
      </c>
      <c r="E5578" s="19" t="s">
        <v>36</v>
      </c>
      <c r="F5578" s="19" t="s">
        <v>36</v>
      </c>
      <c r="G5578" s="15" t="s">
        <v>36</v>
      </c>
      <c r="H5578" s="14">
        <v>836.21</v>
      </c>
      <c r="I5578" s="18">
        <v>20</v>
      </c>
      <c r="J5578" s="12" t="s">
        <v>521</v>
      </c>
      <c r="K5578" s="13">
        <v>43105</v>
      </c>
      <c r="L5578" s="15" t="s">
        <v>36</v>
      </c>
      <c r="M5578" s="12" t="s">
        <v>36</v>
      </c>
      <c r="N5578" s="12" t="s">
        <v>36</v>
      </c>
      <c r="O5578" s="17" t="s">
        <v>36</v>
      </c>
      <c r="P5578" s="12" t="s">
        <v>36</v>
      </c>
      <c r="Q5578" s="12" t="s">
        <v>36</v>
      </c>
      <c r="R5578" s="12" t="s">
        <v>36</v>
      </c>
      <c r="S5578" s="12" t="s">
        <v>36</v>
      </c>
      <c r="T5578" s="12" t="s">
        <v>2558</v>
      </c>
      <c r="U5578" s="12" t="s">
        <v>38</v>
      </c>
      <c r="V5578" s="12" t="s">
        <v>39</v>
      </c>
      <c r="W5578" s="12" t="s">
        <v>21600</v>
      </c>
      <c r="X5578" s="16" t="s">
        <v>14131</v>
      </c>
      <c r="Y5578" s="15" t="s">
        <v>42</v>
      </c>
      <c r="Z5578" s="14">
        <v>0.74</v>
      </c>
      <c r="AA5578" s="14">
        <v>3.68</v>
      </c>
      <c r="AB5578" s="12" t="s">
        <v>43</v>
      </c>
      <c r="AC5578" s="12" t="s">
        <v>21601</v>
      </c>
      <c r="AD5578" s="13">
        <v>43129</v>
      </c>
      <c r="AE5578" s="12" t="s">
        <v>110</v>
      </c>
      <c r="AF5578" s="12" t="s">
        <v>21602</v>
      </c>
      <c r="AG5578" s="12" t="s">
        <v>81</v>
      </c>
      <c r="AH5578" s="1">
        <f>HYPERLINK("https://my.pitchbook.com?c=109112-50T","View Company Online")</f>
      </c>
    </row>
    <row r="5579">
      <c r="A5579" s="3" t="s">
        <v>26179</v>
      </c>
      <c r="B5579" s="3" t="s">
        <v>26180</v>
      </c>
      <c r="C5579" s="5" t="s">
        <v>36</v>
      </c>
      <c r="D5579" s="5" t="s">
        <v>36</v>
      </c>
      <c r="E5579" s="5" t="s">
        <v>36</v>
      </c>
      <c r="F5579" s="5" t="s">
        <v>36</v>
      </c>
      <c r="G5579" s="6" t="s">
        <v>2497</v>
      </c>
      <c r="H5579" s="4">
        <v>11.54</v>
      </c>
      <c r="I5579" s="7">
        <v>37.4</v>
      </c>
      <c r="J5579" s="3" t="s">
        <v>521</v>
      </c>
      <c r="K5579" s="9" t="s">
        <v>36</v>
      </c>
      <c r="L5579" s="6" t="s">
        <v>36</v>
      </c>
      <c r="M5579" s="3" t="s">
        <v>36</v>
      </c>
      <c r="N5579" s="3" t="s">
        <v>36</v>
      </c>
      <c r="O5579" s="8" t="s">
        <v>36</v>
      </c>
      <c r="P5579" s="3" t="s">
        <v>36</v>
      </c>
      <c r="Q5579" s="3" t="s">
        <v>36</v>
      </c>
      <c r="R5579" s="3" t="s">
        <v>36</v>
      </c>
      <c r="S5579" s="3" t="s">
        <v>36</v>
      </c>
      <c r="T5579" s="3" t="s">
        <v>3397</v>
      </c>
      <c r="U5579" s="3" t="s">
        <v>423</v>
      </c>
      <c r="V5579" s="3" t="s">
        <v>64</v>
      </c>
      <c r="W5579" s="3" t="s">
        <v>26181</v>
      </c>
      <c r="X5579" s="10" t="s">
        <v>26182</v>
      </c>
      <c r="Y5579" s="6" t="s">
        <v>108</v>
      </c>
      <c r="Z5579" s="4">
        <v>2.44</v>
      </c>
      <c r="AA5579" s="4">
        <v>6.51</v>
      </c>
      <c r="AB5579" s="3" t="s">
        <v>56</v>
      </c>
      <c r="AC5579" s="3" t="s">
        <v>26183</v>
      </c>
      <c r="AD5579" s="9">
        <v>43129</v>
      </c>
      <c r="AE5579" s="3" t="s">
        <v>562</v>
      </c>
      <c r="AF5579" s="3" t="s">
        <v>90</v>
      </c>
      <c r="AG5579" s="3" t="s">
        <v>26184</v>
      </c>
      <c r="AH5579" s="11">
        <f>HYPERLINK("https://my.pitchbook.com?c=130435-57T","View Company Online")</f>
      </c>
    </row>
    <row r="5580">
      <c r="A5580" s="12" t="s">
        <v>26185</v>
      </c>
      <c r="B5580" s="12" t="s">
        <v>26186</v>
      </c>
      <c r="C5580" s="19" t="s">
        <v>36</v>
      </c>
      <c r="D5580" s="19" t="s">
        <v>36</v>
      </c>
      <c r="E5580" s="19" t="s">
        <v>36</v>
      </c>
      <c r="F5580" s="19" t="s">
        <v>36</v>
      </c>
      <c r="G5580" s="15" t="s">
        <v>36</v>
      </c>
      <c r="H5580" s="14">
        <v>62.31</v>
      </c>
      <c r="I5580" s="18">
        <v>35.71</v>
      </c>
      <c r="J5580" s="12" t="s">
        <v>521</v>
      </c>
      <c r="K5580" s="13" t="s">
        <v>36</v>
      </c>
      <c r="L5580" s="15" t="s">
        <v>36</v>
      </c>
      <c r="M5580" s="12" t="s">
        <v>36</v>
      </c>
      <c r="N5580" s="12" t="s">
        <v>36</v>
      </c>
      <c r="O5580" s="17" t="s">
        <v>36</v>
      </c>
      <c r="P5580" s="12" t="s">
        <v>36</v>
      </c>
      <c r="Q5580" s="12" t="s">
        <v>36</v>
      </c>
      <c r="R5580" s="12" t="s">
        <v>36</v>
      </c>
      <c r="S5580" s="12" t="s">
        <v>36</v>
      </c>
      <c r="T5580" s="12" t="s">
        <v>26187</v>
      </c>
      <c r="U5580" s="12" t="s">
        <v>38</v>
      </c>
      <c r="V5580" s="12" t="s">
        <v>39</v>
      </c>
      <c r="W5580" s="12" t="s">
        <v>26188</v>
      </c>
      <c r="X5580" s="16" t="s">
        <v>18564</v>
      </c>
      <c r="Y5580" s="15" t="s">
        <v>42</v>
      </c>
      <c r="Z5580" s="14">
        <v>2.44</v>
      </c>
      <c r="AA5580" s="14">
        <v>6.82</v>
      </c>
      <c r="AB5580" s="12" t="s">
        <v>43</v>
      </c>
      <c r="AC5580" s="12" t="s">
        <v>26189</v>
      </c>
      <c r="AD5580" s="13">
        <v>43129</v>
      </c>
      <c r="AE5580" s="12" t="s">
        <v>110</v>
      </c>
      <c r="AF5580" s="12" t="s">
        <v>1636</v>
      </c>
      <c r="AG5580" s="12" t="s">
        <v>976</v>
      </c>
      <c r="AH5580" s="1">
        <f>HYPERLINK("https://my.pitchbook.com?c=108735-94T","View Company Online")</f>
      </c>
    </row>
    <row r="5581">
      <c r="A5581" s="3" t="s">
        <v>26190</v>
      </c>
      <c r="B5581" s="3" t="s">
        <v>26191</v>
      </c>
      <c r="C5581" s="5" t="s">
        <v>36</v>
      </c>
      <c r="D5581" s="5" t="s">
        <v>36</v>
      </c>
      <c r="E5581" s="5" t="s">
        <v>36</v>
      </c>
      <c r="F5581" s="5" t="s">
        <v>36</v>
      </c>
      <c r="G5581" s="6" t="s">
        <v>36</v>
      </c>
      <c r="H5581" s="4" t="s">
        <v>36</v>
      </c>
      <c r="I5581" s="7">
        <v>23.1</v>
      </c>
      <c r="J5581" s="3" t="s">
        <v>327</v>
      </c>
      <c r="K5581" s="9" t="s">
        <v>36</v>
      </c>
      <c r="L5581" s="6" t="s">
        <v>36</v>
      </c>
      <c r="M5581" s="3" t="s">
        <v>36</v>
      </c>
      <c r="N5581" s="3" t="s">
        <v>36</v>
      </c>
      <c r="O5581" s="8" t="s">
        <v>36</v>
      </c>
      <c r="P5581" s="3" t="s">
        <v>36</v>
      </c>
      <c r="Q5581" s="3" t="s">
        <v>36</v>
      </c>
      <c r="R5581" s="3" t="s">
        <v>36</v>
      </c>
      <c r="S5581" s="3" t="s">
        <v>36</v>
      </c>
      <c r="T5581" s="3" t="s">
        <v>1838</v>
      </c>
      <c r="U5581" s="3" t="s">
        <v>38</v>
      </c>
      <c r="V5581" s="3" t="s">
        <v>39</v>
      </c>
      <c r="W5581" s="3" t="s">
        <v>26192</v>
      </c>
      <c r="X5581" s="10" t="s">
        <v>26193</v>
      </c>
      <c r="Y5581" s="6" t="s">
        <v>42</v>
      </c>
      <c r="Z5581" s="4">
        <v>1.22</v>
      </c>
      <c r="AA5581" s="4">
        <v>5.27</v>
      </c>
      <c r="AB5581" s="3" t="s">
        <v>43</v>
      </c>
      <c r="AC5581" s="3" t="s">
        <v>26194</v>
      </c>
      <c r="AD5581" s="9">
        <v>43129</v>
      </c>
      <c r="AE5581" s="3" t="s">
        <v>110</v>
      </c>
      <c r="AF5581" s="3" t="s">
        <v>26195</v>
      </c>
      <c r="AG5581" s="3" t="s">
        <v>81</v>
      </c>
      <c r="AH5581" s="11">
        <f>HYPERLINK("https://my.pitchbook.com?c=130333-51T","View Company Online")</f>
      </c>
    </row>
    <row r="5582">
      <c r="A5582" s="12" t="s">
        <v>26196</v>
      </c>
      <c r="B5582" s="12" t="s">
        <v>26197</v>
      </c>
      <c r="C5582" s="19" t="s">
        <v>36</v>
      </c>
      <c r="D5582" s="19">
        <v>7</v>
      </c>
      <c r="E5582" s="19">
        <v>1</v>
      </c>
      <c r="F5582" s="19">
        <v>9</v>
      </c>
      <c r="G5582" s="15" t="s">
        <v>36</v>
      </c>
      <c r="H5582" s="14">
        <v>197.82</v>
      </c>
      <c r="I5582" s="18">
        <v>23.06</v>
      </c>
      <c r="J5582" s="12" t="s">
        <v>521</v>
      </c>
      <c r="K5582" s="13" t="s">
        <v>36</v>
      </c>
      <c r="L5582" s="15" t="s">
        <v>36</v>
      </c>
      <c r="M5582" s="12" t="s">
        <v>36</v>
      </c>
      <c r="N5582" s="12" t="s">
        <v>36</v>
      </c>
      <c r="O5582" s="17" t="s">
        <v>36</v>
      </c>
      <c r="P5582" s="12" t="s">
        <v>36</v>
      </c>
      <c r="Q5582" s="12" t="s">
        <v>36</v>
      </c>
      <c r="R5582" s="12" t="s">
        <v>36</v>
      </c>
      <c r="S5582" s="12" t="s">
        <v>36</v>
      </c>
      <c r="T5582" s="12" t="s">
        <v>1048</v>
      </c>
      <c r="U5582" s="12" t="s">
        <v>423</v>
      </c>
      <c r="V5582" s="12" t="s">
        <v>64</v>
      </c>
      <c r="W5582" s="12" t="s">
        <v>26198</v>
      </c>
      <c r="X5582" s="16" t="s">
        <v>26199</v>
      </c>
      <c r="Y5582" s="15" t="s">
        <v>42</v>
      </c>
      <c r="Z5582" s="14">
        <v>0.73</v>
      </c>
      <c r="AA5582" s="14">
        <v>2.53</v>
      </c>
      <c r="AB5582" s="12" t="s">
        <v>43</v>
      </c>
      <c r="AC5582" s="12" t="s">
        <v>26200</v>
      </c>
      <c r="AD5582" s="13">
        <v>43128</v>
      </c>
      <c r="AE5582" s="12" t="s">
        <v>1051</v>
      </c>
      <c r="AF5582" s="12" t="s">
        <v>15794</v>
      </c>
      <c r="AG5582" s="12" t="s">
        <v>2618</v>
      </c>
      <c r="AH5582" s="1">
        <f>HYPERLINK("https://my.pitchbook.com?c=124449-40T","View Company Online")</f>
      </c>
    </row>
    <row r="5583">
      <c r="A5583" s="3" t="s">
        <v>26201</v>
      </c>
      <c r="B5583" s="3" t="s">
        <v>26202</v>
      </c>
      <c r="C5583" s="5" t="s">
        <v>36</v>
      </c>
      <c r="D5583" s="5" t="s">
        <v>36</v>
      </c>
      <c r="E5583" s="5" t="s">
        <v>36</v>
      </c>
      <c r="F5583" s="5" t="s">
        <v>36</v>
      </c>
      <c r="G5583" s="6" t="s">
        <v>326</v>
      </c>
      <c r="H5583" s="4">
        <v>5.97</v>
      </c>
      <c r="I5583" s="7">
        <v>21.15</v>
      </c>
      <c r="J5583" s="3" t="s">
        <v>521</v>
      </c>
      <c r="K5583" s="9" t="s">
        <v>36</v>
      </c>
      <c r="L5583" s="6" t="s">
        <v>36</v>
      </c>
      <c r="M5583" s="3" t="s">
        <v>36</v>
      </c>
      <c r="N5583" s="3" t="s">
        <v>36</v>
      </c>
      <c r="O5583" s="8" t="s">
        <v>36</v>
      </c>
      <c r="P5583" s="3" t="s">
        <v>36</v>
      </c>
      <c r="Q5583" s="3" t="s">
        <v>36</v>
      </c>
      <c r="R5583" s="3" t="s">
        <v>36</v>
      </c>
      <c r="S5583" s="3" t="s">
        <v>36</v>
      </c>
      <c r="T5583" s="3" t="s">
        <v>26203</v>
      </c>
      <c r="U5583" s="3" t="s">
        <v>423</v>
      </c>
      <c r="V5583" s="3" t="s">
        <v>64</v>
      </c>
      <c r="W5583" s="3" t="s">
        <v>26204</v>
      </c>
      <c r="X5583" s="10" t="s">
        <v>26205</v>
      </c>
      <c r="Y5583" s="6" t="s">
        <v>42</v>
      </c>
      <c r="Z5583" s="4">
        <v>2.28</v>
      </c>
      <c r="AA5583" s="4">
        <v>10.76</v>
      </c>
      <c r="AB5583" s="3" t="s">
        <v>43</v>
      </c>
      <c r="AC5583" s="3" t="s">
        <v>26206</v>
      </c>
      <c r="AD5583" s="9">
        <v>43126</v>
      </c>
      <c r="AE5583" s="3" t="s">
        <v>562</v>
      </c>
      <c r="AF5583" s="3" t="s">
        <v>69</v>
      </c>
      <c r="AG5583" s="3" t="s">
        <v>81</v>
      </c>
      <c r="AH5583" s="11">
        <f>HYPERLINK("https://my.pitchbook.com?c=108346-24T","View Company Online")</f>
      </c>
    </row>
    <row r="5584">
      <c r="A5584" s="12" t="s">
        <v>26207</v>
      </c>
      <c r="B5584" s="12" t="s">
        <v>26208</v>
      </c>
      <c r="C5584" s="19" t="s">
        <v>36</v>
      </c>
      <c r="D5584" s="19" t="s">
        <v>36</v>
      </c>
      <c r="E5584" s="19" t="s">
        <v>36</v>
      </c>
      <c r="F5584" s="19" t="s">
        <v>36</v>
      </c>
      <c r="G5584" s="15" t="s">
        <v>326</v>
      </c>
      <c r="H5584" s="14">
        <v>664.68</v>
      </c>
      <c r="I5584" s="18">
        <v>20</v>
      </c>
      <c r="J5584" s="12" t="s">
        <v>521</v>
      </c>
      <c r="K5584" s="13" t="s">
        <v>36</v>
      </c>
      <c r="L5584" s="15" t="s">
        <v>36</v>
      </c>
      <c r="M5584" s="12" t="s">
        <v>36</v>
      </c>
      <c r="N5584" s="12" t="s">
        <v>36</v>
      </c>
      <c r="O5584" s="17" t="s">
        <v>36</v>
      </c>
      <c r="P5584" s="12" t="s">
        <v>36</v>
      </c>
      <c r="Q5584" s="12" t="s">
        <v>36</v>
      </c>
      <c r="R5584" s="12" t="s">
        <v>36</v>
      </c>
      <c r="S5584" s="12" t="s">
        <v>36</v>
      </c>
      <c r="T5584" s="12" t="s">
        <v>26209</v>
      </c>
      <c r="U5584" s="12" t="s">
        <v>38</v>
      </c>
      <c r="V5584" s="12" t="s">
        <v>39</v>
      </c>
      <c r="W5584" s="12" t="s">
        <v>26210</v>
      </c>
      <c r="X5584" s="16" t="s">
        <v>26211</v>
      </c>
      <c r="Y5584" s="15" t="s">
        <v>42</v>
      </c>
      <c r="Z5584" s="14">
        <v>1.21</v>
      </c>
      <c r="AA5584" s="14">
        <v>6.07</v>
      </c>
      <c r="AB5584" s="12" t="s">
        <v>43</v>
      </c>
      <c r="AC5584" s="12" t="s">
        <v>26212</v>
      </c>
      <c r="AD5584" s="13">
        <v>43126</v>
      </c>
      <c r="AE5584" s="12" t="s">
        <v>1422</v>
      </c>
      <c r="AF5584" s="12" t="s">
        <v>4200</v>
      </c>
      <c r="AG5584" s="12" t="s">
        <v>81</v>
      </c>
      <c r="AH5584" s="1">
        <f>HYPERLINK("https://my.pitchbook.com?c=191703-70T","View Company Online")</f>
      </c>
    </row>
    <row r="5585">
      <c r="A5585" s="3" t="s">
        <v>26213</v>
      </c>
      <c r="B5585" s="3" t="s">
        <v>7335</v>
      </c>
      <c r="C5585" s="5" t="s">
        <v>36</v>
      </c>
      <c r="D5585" s="5" t="s">
        <v>36</v>
      </c>
      <c r="E5585" s="5" t="s">
        <v>36</v>
      </c>
      <c r="F5585" s="5" t="s">
        <v>36</v>
      </c>
      <c r="G5585" s="6" t="s">
        <v>326</v>
      </c>
      <c r="H5585" s="4">
        <v>20.77</v>
      </c>
      <c r="I5585" s="7">
        <v>11.58</v>
      </c>
      <c r="J5585" s="3" t="s">
        <v>521</v>
      </c>
      <c r="K5585" s="9">
        <v>43007</v>
      </c>
      <c r="L5585" s="6" t="s">
        <v>122</v>
      </c>
      <c r="M5585" s="3" t="s">
        <v>36</v>
      </c>
      <c r="N5585" s="3" t="s">
        <v>122</v>
      </c>
      <c r="O5585" s="8" t="s">
        <v>36</v>
      </c>
      <c r="P5585" s="3" t="s">
        <v>36</v>
      </c>
      <c r="Q5585" s="3" t="s">
        <v>36</v>
      </c>
      <c r="R5585" s="3" t="s">
        <v>36</v>
      </c>
      <c r="S5585" s="3" t="s">
        <v>36</v>
      </c>
      <c r="T5585" s="3" t="s">
        <v>7336</v>
      </c>
      <c r="U5585" s="3" t="s">
        <v>85</v>
      </c>
      <c r="V5585" s="3" t="s">
        <v>64</v>
      </c>
      <c r="W5585" s="3" t="s">
        <v>7337</v>
      </c>
      <c r="X5585" s="10" t="s">
        <v>26214</v>
      </c>
      <c r="Y5585" s="6" t="s">
        <v>192</v>
      </c>
      <c r="Z5585" s="4">
        <v>12.13</v>
      </c>
      <c r="AA5585" s="4">
        <v>68.1</v>
      </c>
      <c r="AB5585" s="3" t="s">
        <v>56</v>
      </c>
      <c r="AC5585" s="3" t="s">
        <v>7339</v>
      </c>
      <c r="AD5585" s="9">
        <v>43126</v>
      </c>
      <c r="AE5585" s="3" t="s">
        <v>89</v>
      </c>
      <c r="AF5585" s="3" t="s">
        <v>7340</v>
      </c>
      <c r="AG5585" s="3" t="s">
        <v>81</v>
      </c>
      <c r="AH5585" s="11">
        <f>HYPERLINK("https://my.pitchbook.com?c=95063-59T","View Company Online")</f>
      </c>
    </row>
    <row r="5586">
      <c r="A5586" s="12" t="s">
        <v>26215</v>
      </c>
      <c r="B5586" s="12" t="s">
        <v>17471</v>
      </c>
      <c r="C5586" s="19" t="s">
        <v>36</v>
      </c>
      <c r="D5586" s="19" t="s">
        <v>36</v>
      </c>
      <c r="E5586" s="19" t="s">
        <v>36</v>
      </c>
      <c r="F5586" s="19" t="s">
        <v>36</v>
      </c>
      <c r="G5586" s="15" t="s">
        <v>683</v>
      </c>
      <c r="H5586" s="14">
        <v>207.71</v>
      </c>
      <c r="I5586" s="18">
        <v>27.22</v>
      </c>
      <c r="J5586" s="12" t="s">
        <v>521</v>
      </c>
      <c r="K5586" s="13" t="s">
        <v>36</v>
      </c>
      <c r="L5586" s="15" t="s">
        <v>36</v>
      </c>
      <c r="M5586" s="12" t="s">
        <v>36</v>
      </c>
      <c r="N5586" s="12" t="s">
        <v>36</v>
      </c>
      <c r="O5586" s="17" t="s">
        <v>36</v>
      </c>
      <c r="P5586" s="12" t="s">
        <v>36</v>
      </c>
      <c r="Q5586" s="12" t="s">
        <v>36</v>
      </c>
      <c r="R5586" s="12" t="s">
        <v>36</v>
      </c>
      <c r="S5586" s="12" t="s">
        <v>36</v>
      </c>
      <c r="T5586" s="12" t="s">
        <v>1935</v>
      </c>
      <c r="U5586" s="12" t="s">
        <v>38</v>
      </c>
      <c r="V5586" s="12" t="s">
        <v>39</v>
      </c>
      <c r="W5586" s="12" t="s">
        <v>17472</v>
      </c>
      <c r="X5586" s="16" t="s">
        <v>26216</v>
      </c>
      <c r="Y5586" s="15" t="s">
        <v>108</v>
      </c>
      <c r="Z5586" s="14">
        <v>1.04</v>
      </c>
      <c r="AA5586" s="14">
        <v>3.83</v>
      </c>
      <c r="AB5586" s="12" t="s">
        <v>43</v>
      </c>
      <c r="AC5586" s="12" t="s">
        <v>17474</v>
      </c>
      <c r="AD5586" s="13">
        <v>43126</v>
      </c>
      <c r="AE5586" s="12" t="s">
        <v>45</v>
      </c>
      <c r="AF5586" s="12" t="s">
        <v>17475</v>
      </c>
      <c r="AG5586" s="12" t="s">
        <v>580</v>
      </c>
      <c r="AH5586" s="1">
        <f>HYPERLINK("https://my.pitchbook.com?c=111920-59T","View Company Online")</f>
      </c>
    </row>
    <row r="5587">
      <c r="A5587" s="3" t="s">
        <v>26217</v>
      </c>
      <c r="B5587" s="3" t="s">
        <v>9613</v>
      </c>
      <c r="C5587" s="5">
        <v>3</v>
      </c>
      <c r="D5587" s="5" t="s">
        <v>36</v>
      </c>
      <c r="E5587" s="5">
        <v>1</v>
      </c>
      <c r="F5587" s="5">
        <v>3</v>
      </c>
      <c r="G5587" s="6" t="s">
        <v>36</v>
      </c>
      <c r="H5587" s="4" t="s">
        <v>36</v>
      </c>
      <c r="I5587" s="7" t="s">
        <v>36</v>
      </c>
      <c r="J5587" s="3" t="s">
        <v>36</v>
      </c>
      <c r="K5587" s="9" t="s">
        <v>36</v>
      </c>
      <c r="L5587" s="6" t="s">
        <v>36</v>
      </c>
      <c r="M5587" s="3" t="s">
        <v>36</v>
      </c>
      <c r="N5587" s="3" t="s">
        <v>36</v>
      </c>
      <c r="O5587" s="8" t="s">
        <v>36</v>
      </c>
      <c r="P5587" s="3" t="s">
        <v>36</v>
      </c>
      <c r="Q5587" s="3" t="s">
        <v>36</v>
      </c>
      <c r="R5587" s="3" t="s">
        <v>36</v>
      </c>
      <c r="S5587" s="3" t="s">
        <v>36</v>
      </c>
      <c r="T5587" s="3" t="s">
        <v>1227</v>
      </c>
      <c r="U5587" s="3" t="s">
        <v>74</v>
      </c>
      <c r="V5587" s="3" t="s">
        <v>75</v>
      </c>
      <c r="W5587" s="3" t="s">
        <v>9614</v>
      </c>
      <c r="X5587" s="10" t="s">
        <v>980</v>
      </c>
      <c r="Y5587" s="6" t="s">
        <v>42</v>
      </c>
      <c r="Z5587" s="4" t="s">
        <v>36</v>
      </c>
      <c r="AA5587" s="4" t="s">
        <v>36</v>
      </c>
      <c r="AB5587" s="3" t="s">
        <v>43</v>
      </c>
      <c r="AC5587" s="3" t="s">
        <v>9616</v>
      </c>
      <c r="AD5587" s="9">
        <v>43125</v>
      </c>
      <c r="AE5587" s="3" t="s">
        <v>570</v>
      </c>
      <c r="AF5587" s="3" t="s">
        <v>1340</v>
      </c>
      <c r="AG5587" s="3" t="s">
        <v>144</v>
      </c>
      <c r="AH5587" s="11">
        <f>HYPERLINK("https://my.pitchbook.com?c=138502-54T","View Company Online")</f>
      </c>
    </row>
    <row r="5588">
      <c r="A5588" s="12" t="s">
        <v>26218</v>
      </c>
      <c r="B5588" s="12" t="s">
        <v>13101</v>
      </c>
      <c r="C5588" s="19" t="s">
        <v>36</v>
      </c>
      <c r="D5588" s="19" t="s">
        <v>36</v>
      </c>
      <c r="E5588" s="19" t="s">
        <v>36</v>
      </c>
      <c r="F5588" s="19" t="s">
        <v>36</v>
      </c>
      <c r="G5588" s="15" t="s">
        <v>36</v>
      </c>
      <c r="H5588" s="14">
        <v>652.22</v>
      </c>
      <c r="I5588" s="18">
        <v>25.71</v>
      </c>
      <c r="J5588" s="12" t="s">
        <v>521</v>
      </c>
      <c r="K5588" s="13" t="s">
        <v>36</v>
      </c>
      <c r="L5588" s="15" t="s">
        <v>36</v>
      </c>
      <c r="M5588" s="12" t="s">
        <v>36</v>
      </c>
      <c r="N5588" s="12" t="s">
        <v>36</v>
      </c>
      <c r="O5588" s="17" t="s">
        <v>36</v>
      </c>
      <c r="P5588" s="12" t="s">
        <v>36</v>
      </c>
      <c r="Q5588" s="12" t="s">
        <v>36</v>
      </c>
      <c r="R5588" s="12" t="s">
        <v>36</v>
      </c>
      <c r="S5588" s="12" t="s">
        <v>36</v>
      </c>
      <c r="T5588" s="12" t="s">
        <v>278</v>
      </c>
      <c r="U5588" s="12" t="s">
        <v>279</v>
      </c>
      <c r="V5588" s="12" t="s">
        <v>64</v>
      </c>
      <c r="W5588" s="12" t="s">
        <v>13102</v>
      </c>
      <c r="X5588" s="16" t="s">
        <v>26219</v>
      </c>
      <c r="Y5588" s="15" t="s">
        <v>42</v>
      </c>
      <c r="Z5588" s="14">
        <v>0.63</v>
      </c>
      <c r="AA5588" s="14">
        <v>2.45</v>
      </c>
      <c r="AB5588" s="12" t="s">
        <v>56</v>
      </c>
      <c r="AC5588" s="12" t="s">
        <v>13104</v>
      </c>
      <c r="AD5588" s="13">
        <v>43125</v>
      </c>
      <c r="AE5588" s="12" t="s">
        <v>283</v>
      </c>
      <c r="AF5588" s="12" t="s">
        <v>118</v>
      </c>
      <c r="AG5588" s="12" t="s">
        <v>1479</v>
      </c>
      <c r="AH5588" s="1">
        <f>HYPERLINK("https://my.pitchbook.com?c=125122-87T","View Company Online")</f>
      </c>
    </row>
    <row r="5589">
      <c r="A5589" s="3" t="s">
        <v>26220</v>
      </c>
      <c r="B5589" s="3" t="s">
        <v>26221</v>
      </c>
      <c r="C5589" s="5" t="s">
        <v>36</v>
      </c>
      <c r="D5589" s="5" t="s">
        <v>36</v>
      </c>
      <c r="E5589" s="5" t="s">
        <v>36</v>
      </c>
      <c r="F5589" s="5" t="s">
        <v>36</v>
      </c>
      <c r="G5589" s="6" t="s">
        <v>36</v>
      </c>
      <c r="H5589" s="4" t="s">
        <v>36</v>
      </c>
      <c r="I5589" s="7" t="s">
        <v>36</v>
      </c>
      <c r="J5589" s="3" t="s">
        <v>36</v>
      </c>
      <c r="K5589" s="9" t="s">
        <v>36</v>
      </c>
      <c r="L5589" s="6" t="s">
        <v>36</v>
      </c>
      <c r="M5589" s="3" t="s">
        <v>36</v>
      </c>
      <c r="N5589" s="3" t="s">
        <v>36</v>
      </c>
      <c r="O5589" s="8" t="s">
        <v>36</v>
      </c>
      <c r="P5589" s="3" t="s">
        <v>36</v>
      </c>
      <c r="Q5589" s="3" t="s">
        <v>36</v>
      </c>
      <c r="R5589" s="3" t="s">
        <v>36</v>
      </c>
      <c r="S5589" s="3" t="s">
        <v>36</v>
      </c>
      <c r="T5589" s="3" t="s">
        <v>37</v>
      </c>
      <c r="U5589" s="3" t="s">
        <v>38</v>
      </c>
      <c r="V5589" s="3" t="s">
        <v>39</v>
      </c>
      <c r="W5589" s="3" t="s">
        <v>26222</v>
      </c>
      <c r="X5589" s="10" t="s">
        <v>26223</v>
      </c>
      <c r="Y5589" s="6" t="s">
        <v>108</v>
      </c>
      <c r="Z5589" s="4">
        <v>0.5</v>
      </c>
      <c r="AA5589" s="4" t="s">
        <v>36</v>
      </c>
      <c r="AB5589" s="3" t="s">
        <v>43</v>
      </c>
      <c r="AC5589" s="3" t="s">
        <v>26224</v>
      </c>
      <c r="AD5589" s="9">
        <v>43125</v>
      </c>
      <c r="AE5589" s="3" t="s">
        <v>45</v>
      </c>
      <c r="AF5589" s="3" t="s">
        <v>26225</v>
      </c>
      <c r="AG5589" s="3" t="s">
        <v>443</v>
      </c>
      <c r="AH5589" s="11">
        <f>HYPERLINK("https://my.pitchbook.com?c=102614-86T","View Company Online")</f>
      </c>
    </row>
    <row r="5590">
      <c r="A5590" s="12" t="s">
        <v>26226</v>
      </c>
      <c r="B5590" s="12" t="s">
        <v>16927</v>
      </c>
      <c r="C5590" s="19" t="s">
        <v>36</v>
      </c>
      <c r="D5590" s="19" t="s">
        <v>36</v>
      </c>
      <c r="E5590" s="19" t="s">
        <v>36</v>
      </c>
      <c r="F5590" s="19" t="s">
        <v>36</v>
      </c>
      <c r="G5590" s="15" t="s">
        <v>36</v>
      </c>
      <c r="H5590" s="14">
        <v>57.1</v>
      </c>
      <c r="I5590" s="18">
        <v>31.27</v>
      </c>
      <c r="J5590" s="12" t="s">
        <v>521</v>
      </c>
      <c r="K5590" s="13" t="s">
        <v>36</v>
      </c>
      <c r="L5590" s="15" t="s">
        <v>36</v>
      </c>
      <c r="M5590" s="12" t="s">
        <v>36</v>
      </c>
      <c r="N5590" s="12" t="s">
        <v>36</v>
      </c>
      <c r="O5590" s="17" t="s">
        <v>36</v>
      </c>
      <c r="P5590" s="12" t="s">
        <v>36</v>
      </c>
      <c r="Q5590" s="12" t="s">
        <v>36</v>
      </c>
      <c r="R5590" s="12" t="s">
        <v>36</v>
      </c>
      <c r="S5590" s="12" t="s">
        <v>36</v>
      </c>
      <c r="T5590" s="12" t="s">
        <v>16928</v>
      </c>
      <c r="U5590" s="12" t="s">
        <v>648</v>
      </c>
      <c r="V5590" s="12" t="s">
        <v>64</v>
      </c>
      <c r="W5590" s="12" t="s">
        <v>16929</v>
      </c>
      <c r="X5590" s="16" t="s">
        <v>26227</v>
      </c>
      <c r="Y5590" s="15" t="s">
        <v>42</v>
      </c>
      <c r="Z5590" s="14">
        <v>0.77</v>
      </c>
      <c r="AA5590" s="14">
        <v>2.46</v>
      </c>
      <c r="AB5590" s="12" t="s">
        <v>43</v>
      </c>
      <c r="AC5590" s="12" t="s">
        <v>16931</v>
      </c>
      <c r="AD5590" s="13">
        <v>43123</v>
      </c>
      <c r="AE5590" s="12" t="s">
        <v>651</v>
      </c>
      <c r="AF5590" s="12" t="s">
        <v>2118</v>
      </c>
      <c r="AG5590" s="12" t="s">
        <v>102</v>
      </c>
      <c r="AH5590" s="1">
        <f>HYPERLINK("https://my.pitchbook.com?c=101968-03T","View Company Online")</f>
      </c>
    </row>
    <row r="5591">
      <c r="A5591" s="3" t="s">
        <v>26228</v>
      </c>
      <c r="B5591" s="3" t="s">
        <v>19407</v>
      </c>
      <c r="C5591" s="5" t="s">
        <v>36</v>
      </c>
      <c r="D5591" s="5" t="s">
        <v>36</v>
      </c>
      <c r="E5591" s="5" t="s">
        <v>36</v>
      </c>
      <c r="F5591" s="5" t="s">
        <v>36</v>
      </c>
      <c r="G5591" s="6" t="s">
        <v>326</v>
      </c>
      <c r="H5591" s="4">
        <v>6.17</v>
      </c>
      <c r="I5591" s="7">
        <v>17.7</v>
      </c>
      <c r="J5591" s="3" t="s">
        <v>521</v>
      </c>
      <c r="K5591" s="9" t="s">
        <v>36</v>
      </c>
      <c r="L5591" s="6" t="s">
        <v>122</v>
      </c>
      <c r="M5591" s="3" t="s">
        <v>36</v>
      </c>
      <c r="N5591" s="3" t="s">
        <v>122</v>
      </c>
      <c r="O5591" s="8" t="s">
        <v>36</v>
      </c>
      <c r="P5591" s="3" t="s">
        <v>36</v>
      </c>
      <c r="Q5591" s="3" t="s">
        <v>36</v>
      </c>
      <c r="R5591" s="3" t="s">
        <v>36</v>
      </c>
      <c r="S5591" s="3" t="s">
        <v>36</v>
      </c>
      <c r="T5591" s="3" t="s">
        <v>2285</v>
      </c>
      <c r="U5591" s="3" t="s">
        <v>38</v>
      </c>
      <c r="V5591" s="3" t="s">
        <v>39</v>
      </c>
      <c r="W5591" s="3" t="s">
        <v>19408</v>
      </c>
      <c r="X5591" s="10" t="s">
        <v>26229</v>
      </c>
      <c r="Y5591" s="6" t="s">
        <v>55</v>
      </c>
      <c r="Z5591" s="4">
        <v>6.04</v>
      </c>
      <c r="AA5591" s="4">
        <v>20.79</v>
      </c>
      <c r="AB5591" s="3" t="s">
        <v>56</v>
      </c>
      <c r="AC5591" s="3" t="s">
        <v>19410</v>
      </c>
      <c r="AD5591" s="9">
        <v>43123</v>
      </c>
      <c r="AE5591" s="3" t="s">
        <v>110</v>
      </c>
      <c r="AF5591" s="3" t="s">
        <v>526</v>
      </c>
      <c r="AG5591" s="3" t="s">
        <v>19411</v>
      </c>
      <c r="AH5591" s="11">
        <f>HYPERLINK("https://my.pitchbook.com?c=100663-84T","View Company Online")</f>
      </c>
    </row>
    <row r="5592">
      <c r="A5592" s="12" t="s">
        <v>26230</v>
      </c>
      <c r="B5592" s="12" t="s">
        <v>26231</v>
      </c>
      <c r="C5592" s="19" t="s">
        <v>36</v>
      </c>
      <c r="D5592" s="19" t="s">
        <v>36</v>
      </c>
      <c r="E5592" s="19" t="s">
        <v>36</v>
      </c>
      <c r="F5592" s="19" t="s">
        <v>36</v>
      </c>
      <c r="G5592" s="15" t="s">
        <v>2497</v>
      </c>
      <c r="H5592" s="14">
        <v>2.05</v>
      </c>
      <c r="I5592" s="18">
        <v>10.08</v>
      </c>
      <c r="J5592" s="12" t="s">
        <v>521</v>
      </c>
      <c r="K5592" s="13" t="s">
        <v>36</v>
      </c>
      <c r="L5592" s="15" t="s">
        <v>36</v>
      </c>
      <c r="M5592" s="12" t="s">
        <v>36</v>
      </c>
      <c r="N5592" s="12" t="s">
        <v>36</v>
      </c>
      <c r="O5592" s="17" t="s">
        <v>36</v>
      </c>
      <c r="P5592" s="12" t="s">
        <v>36</v>
      </c>
      <c r="Q5592" s="12" t="s">
        <v>36</v>
      </c>
      <c r="R5592" s="12" t="s">
        <v>36</v>
      </c>
      <c r="S5592" s="12" t="s">
        <v>36</v>
      </c>
      <c r="T5592" s="12" t="s">
        <v>26232</v>
      </c>
      <c r="U5592" s="12" t="s">
        <v>38</v>
      </c>
      <c r="V5592" s="12" t="s">
        <v>39</v>
      </c>
      <c r="W5592" s="12" t="s">
        <v>26233</v>
      </c>
      <c r="X5592" s="16" t="s">
        <v>26234</v>
      </c>
      <c r="Y5592" s="15" t="s">
        <v>108</v>
      </c>
      <c r="Z5592" s="14">
        <v>0.24</v>
      </c>
      <c r="AA5592" s="14">
        <v>2.4</v>
      </c>
      <c r="AB5592" s="12" t="s">
        <v>43</v>
      </c>
      <c r="AC5592" s="12" t="s">
        <v>26235</v>
      </c>
      <c r="AD5592" s="13">
        <v>43123</v>
      </c>
      <c r="AE5592" s="12" t="s">
        <v>1945</v>
      </c>
      <c r="AF5592" s="12" t="s">
        <v>1636</v>
      </c>
      <c r="AG5592" s="12" t="s">
        <v>572</v>
      </c>
      <c r="AH5592" s="1">
        <f>HYPERLINK("https://my.pitchbook.com?c=123526-63T","View Company Online")</f>
      </c>
    </row>
    <row r="5593">
      <c r="A5593" s="3" t="s">
        <v>26236</v>
      </c>
      <c r="B5593" s="3" t="s">
        <v>26237</v>
      </c>
      <c r="C5593" s="5" t="s">
        <v>36</v>
      </c>
      <c r="D5593" s="5" t="s">
        <v>36</v>
      </c>
      <c r="E5593" s="5" t="s">
        <v>36</v>
      </c>
      <c r="F5593" s="5" t="s">
        <v>36</v>
      </c>
      <c r="G5593" s="6" t="s">
        <v>326</v>
      </c>
      <c r="H5593" s="4">
        <v>88.26</v>
      </c>
      <c r="I5593" s="7">
        <v>33.33</v>
      </c>
      <c r="J5593" s="3" t="s">
        <v>521</v>
      </c>
      <c r="K5593" s="9" t="s">
        <v>36</v>
      </c>
      <c r="L5593" s="6" t="s">
        <v>36</v>
      </c>
      <c r="M5593" s="3" t="s">
        <v>36</v>
      </c>
      <c r="N5593" s="3" t="s">
        <v>36</v>
      </c>
      <c r="O5593" s="8" t="s">
        <v>36</v>
      </c>
      <c r="P5593" s="3" t="s">
        <v>36</v>
      </c>
      <c r="Q5593" s="3" t="s">
        <v>36</v>
      </c>
      <c r="R5593" s="3" t="s">
        <v>36</v>
      </c>
      <c r="S5593" s="3" t="s">
        <v>36</v>
      </c>
      <c r="T5593" s="3" t="s">
        <v>1418</v>
      </c>
      <c r="U5593" s="3" t="s">
        <v>38</v>
      </c>
      <c r="V5593" s="3" t="s">
        <v>39</v>
      </c>
      <c r="W5593" s="3" t="s">
        <v>26238</v>
      </c>
      <c r="X5593" s="10" t="s">
        <v>20907</v>
      </c>
      <c r="Y5593" s="6" t="s">
        <v>108</v>
      </c>
      <c r="Z5593" s="4">
        <v>0.18</v>
      </c>
      <c r="AA5593" s="4">
        <v>0.54</v>
      </c>
      <c r="AB5593" s="3" t="s">
        <v>43</v>
      </c>
      <c r="AC5593" s="3" t="s">
        <v>26239</v>
      </c>
      <c r="AD5593" s="9">
        <v>43123</v>
      </c>
      <c r="AE5593" s="3" t="s">
        <v>1422</v>
      </c>
      <c r="AF5593" s="3" t="s">
        <v>4284</v>
      </c>
      <c r="AG5593" s="3" t="s">
        <v>81</v>
      </c>
      <c r="AH5593" s="11">
        <f>HYPERLINK("https://my.pitchbook.com?c=136005-67T","View Company Online")</f>
      </c>
    </row>
    <row r="5594">
      <c r="A5594" s="12" t="s">
        <v>26240</v>
      </c>
      <c r="B5594" s="12" t="s">
        <v>1837</v>
      </c>
      <c r="C5594" s="19" t="s">
        <v>36</v>
      </c>
      <c r="D5594" s="19" t="s">
        <v>36</v>
      </c>
      <c r="E5594" s="19" t="s">
        <v>36</v>
      </c>
      <c r="F5594" s="19" t="s">
        <v>36</v>
      </c>
      <c r="G5594" s="15" t="s">
        <v>326</v>
      </c>
      <c r="H5594" s="14">
        <v>83.46</v>
      </c>
      <c r="I5594" s="18">
        <v>36.88</v>
      </c>
      <c r="J5594" s="12" t="s">
        <v>521</v>
      </c>
      <c r="K5594" s="13" t="s">
        <v>36</v>
      </c>
      <c r="L5594" s="15" t="s">
        <v>36</v>
      </c>
      <c r="M5594" s="12" t="s">
        <v>36</v>
      </c>
      <c r="N5594" s="12" t="s">
        <v>36</v>
      </c>
      <c r="O5594" s="17" t="s">
        <v>36</v>
      </c>
      <c r="P5594" s="12" t="s">
        <v>36</v>
      </c>
      <c r="Q5594" s="12" t="s">
        <v>36</v>
      </c>
      <c r="R5594" s="12" t="s">
        <v>36</v>
      </c>
      <c r="S5594" s="12" t="s">
        <v>36</v>
      </c>
      <c r="T5594" s="12" t="s">
        <v>1838</v>
      </c>
      <c r="U5594" s="12" t="s">
        <v>38</v>
      </c>
      <c r="V5594" s="12" t="s">
        <v>39</v>
      </c>
      <c r="W5594" s="12" t="s">
        <v>1839</v>
      </c>
      <c r="X5594" s="16" t="s">
        <v>26241</v>
      </c>
      <c r="Y5594" s="15" t="s">
        <v>108</v>
      </c>
      <c r="Z5594" s="14">
        <v>3.62</v>
      </c>
      <c r="AA5594" s="14">
        <v>5.68</v>
      </c>
      <c r="AB5594" s="12" t="s">
        <v>56</v>
      </c>
      <c r="AC5594" s="12" t="s">
        <v>1841</v>
      </c>
      <c r="AD5594" s="13">
        <v>43123</v>
      </c>
      <c r="AE5594" s="12" t="s">
        <v>110</v>
      </c>
      <c r="AF5594" s="12" t="s">
        <v>1842</v>
      </c>
      <c r="AG5594" s="12" t="s">
        <v>1843</v>
      </c>
      <c r="AH5594" s="1">
        <f>HYPERLINK("https://my.pitchbook.com?c=100543-96T","View Company Online")</f>
      </c>
    </row>
    <row r="5595">
      <c r="A5595" s="3" t="s">
        <v>26242</v>
      </c>
      <c r="B5595" s="3" t="s">
        <v>26243</v>
      </c>
      <c r="C5595" s="5">
        <v>9</v>
      </c>
      <c r="D5595" s="5">
        <v>28</v>
      </c>
      <c r="E5595" s="5">
        <v>6</v>
      </c>
      <c r="F5595" s="5">
        <v>37</v>
      </c>
      <c r="G5595" s="6" t="s">
        <v>36</v>
      </c>
      <c r="H5595" s="4" t="s">
        <v>36</v>
      </c>
      <c r="I5595" s="7" t="s">
        <v>36</v>
      </c>
      <c r="J5595" s="3" t="s">
        <v>36</v>
      </c>
      <c r="K5595" s="9" t="s">
        <v>36</v>
      </c>
      <c r="L5595" s="6" t="s">
        <v>94</v>
      </c>
      <c r="M5595" s="3" t="s">
        <v>36</v>
      </c>
      <c r="N5595" s="3" t="s">
        <v>94</v>
      </c>
      <c r="O5595" s="8" t="s">
        <v>36</v>
      </c>
      <c r="P5595" s="3" t="s">
        <v>36</v>
      </c>
      <c r="Q5595" s="3" t="s">
        <v>36</v>
      </c>
      <c r="R5595" s="3" t="s">
        <v>36</v>
      </c>
      <c r="S5595" s="3" t="s">
        <v>36</v>
      </c>
      <c r="T5595" s="3" t="s">
        <v>881</v>
      </c>
      <c r="U5595" s="3" t="s">
        <v>51</v>
      </c>
      <c r="V5595" s="3" t="s">
        <v>52</v>
      </c>
      <c r="W5595" s="3" t="s">
        <v>26244</v>
      </c>
      <c r="X5595" s="10" t="s">
        <v>26245</v>
      </c>
      <c r="Y5595" s="6" t="s">
        <v>166</v>
      </c>
      <c r="Z5595" s="4">
        <v>16.89</v>
      </c>
      <c r="AA5595" s="4" t="s">
        <v>36</v>
      </c>
      <c r="AB5595" s="3" t="s">
        <v>56</v>
      </c>
      <c r="AC5595" s="3" t="s">
        <v>26246</v>
      </c>
      <c r="AD5595" s="9">
        <v>43122</v>
      </c>
      <c r="AE5595" s="3" t="s">
        <v>504</v>
      </c>
      <c r="AF5595" s="3" t="s">
        <v>159</v>
      </c>
      <c r="AG5595" s="3" t="s">
        <v>991</v>
      </c>
      <c r="AH5595" s="11">
        <f>HYPERLINK("https://my.pitchbook.com?c=100443-79T","View Company Online")</f>
      </c>
    </row>
    <row r="5596">
      <c r="A5596" s="12" t="s">
        <v>26247</v>
      </c>
      <c r="B5596" s="12" t="s">
        <v>25124</v>
      </c>
      <c r="C5596" s="19">
        <v>8</v>
      </c>
      <c r="D5596" s="19">
        <v>23</v>
      </c>
      <c r="E5596" s="19">
        <v>28</v>
      </c>
      <c r="F5596" s="19">
        <v>58</v>
      </c>
      <c r="G5596" s="15" t="s">
        <v>36</v>
      </c>
      <c r="H5596" s="14" t="s">
        <v>36</v>
      </c>
      <c r="I5596" s="18" t="s">
        <v>36</v>
      </c>
      <c r="J5596" s="12" t="s">
        <v>36</v>
      </c>
      <c r="K5596" s="13" t="s">
        <v>36</v>
      </c>
      <c r="L5596" s="15" t="s">
        <v>36</v>
      </c>
      <c r="M5596" s="12" t="s">
        <v>36</v>
      </c>
      <c r="N5596" s="12" t="s">
        <v>36</v>
      </c>
      <c r="O5596" s="17" t="s">
        <v>36</v>
      </c>
      <c r="P5596" s="12" t="s">
        <v>36</v>
      </c>
      <c r="Q5596" s="12" t="s">
        <v>36</v>
      </c>
      <c r="R5596" s="12" t="s">
        <v>36</v>
      </c>
      <c r="S5596" s="12" t="s">
        <v>36</v>
      </c>
      <c r="T5596" s="12" t="s">
        <v>818</v>
      </c>
      <c r="U5596" s="12" t="s">
        <v>74</v>
      </c>
      <c r="V5596" s="12" t="s">
        <v>75</v>
      </c>
      <c r="W5596" s="12" t="s">
        <v>25125</v>
      </c>
      <c r="X5596" s="16" t="s">
        <v>26248</v>
      </c>
      <c r="Y5596" s="15" t="s">
        <v>108</v>
      </c>
      <c r="Z5596" s="14" t="s">
        <v>36</v>
      </c>
      <c r="AA5596" s="14" t="s">
        <v>36</v>
      </c>
      <c r="AB5596" s="12" t="s">
        <v>43</v>
      </c>
      <c r="AC5596" s="12" t="s">
        <v>25127</v>
      </c>
      <c r="AD5596" s="13">
        <v>43122</v>
      </c>
      <c r="AE5596" s="12" t="s">
        <v>570</v>
      </c>
      <c r="AF5596" s="12" t="s">
        <v>372</v>
      </c>
      <c r="AG5596" s="12" t="s">
        <v>2760</v>
      </c>
      <c r="AH5596" s="1">
        <f>HYPERLINK("https://my.pitchbook.com?c=175413-34T","View Company Online")</f>
      </c>
    </row>
    <row r="5597">
      <c r="A5597" s="3" t="s">
        <v>26249</v>
      </c>
      <c r="B5597" s="3" t="s">
        <v>16431</v>
      </c>
      <c r="C5597" s="5" t="s">
        <v>36</v>
      </c>
      <c r="D5597" s="5">
        <v>20</v>
      </c>
      <c r="E5597" s="5">
        <v>5</v>
      </c>
      <c r="F5597" s="5">
        <v>24</v>
      </c>
      <c r="G5597" s="6" t="s">
        <v>326</v>
      </c>
      <c r="H5597" s="4">
        <v>163.14</v>
      </c>
      <c r="I5597" s="7">
        <v>14</v>
      </c>
      <c r="J5597" s="3" t="s">
        <v>521</v>
      </c>
      <c r="K5597" s="9" t="s">
        <v>36</v>
      </c>
      <c r="L5597" s="6" t="s">
        <v>36</v>
      </c>
      <c r="M5597" s="3" t="s">
        <v>36</v>
      </c>
      <c r="N5597" s="3" t="s">
        <v>36</v>
      </c>
      <c r="O5597" s="8" t="s">
        <v>36</v>
      </c>
      <c r="P5597" s="3" t="s">
        <v>36</v>
      </c>
      <c r="Q5597" s="3" t="s">
        <v>36</v>
      </c>
      <c r="R5597" s="3" t="s">
        <v>36</v>
      </c>
      <c r="S5597" s="3" t="s">
        <v>36</v>
      </c>
      <c r="T5597" s="3" t="s">
        <v>9198</v>
      </c>
      <c r="U5597" s="3" t="s">
        <v>318</v>
      </c>
      <c r="V5597" s="3" t="s">
        <v>39</v>
      </c>
      <c r="W5597" s="3" t="s">
        <v>16432</v>
      </c>
      <c r="X5597" s="10" t="s">
        <v>26250</v>
      </c>
      <c r="Y5597" s="6" t="s">
        <v>108</v>
      </c>
      <c r="Z5597" s="4">
        <v>2.34</v>
      </c>
      <c r="AA5597" s="4">
        <v>8.37</v>
      </c>
      <c r="AB5597" s="3" t="s">
        <v>43</v>
      </c>
      <c r="AC5597" s="3" t="s">
        <v>16434</v>
      </c>
      <c r="AD5597" s="9">
        <v>43122</v>
      </c>
      <c r="AE5597" s="3" t="s">
        <v>417</v>
      </c>
      <c r="AF5597" s="3" t="s">
        <v>12607</v>
      </c>
      <c r="AG5597" s="3" t="s">
        <v>11767</v>
      </c>
      <c r="AH5597" s="11">
        <f>HYPERLINK("https://my.pitchbook.com?c=124019-02T","View Company Online")</f>
      </c>
    </row>
    <row r="5598">
      <c r="A5598" s="12" t="s">
        <v>26251</v>
      </c>
      <c r="B5598" s="12" t="s">
        <v>17380</v>
      </c>
      <c r="C5598" s="19" t="s">
        <v>36</v>
      </c>
      <c r="D5598" s="19" t="s">
        <v>36</v>
      </c>
      <c r="E5598" s="19" t="s">
        <v>36</v>
      </c>
      <c r="F5598" s="19" t="s">
        <v>36</v>
      </c>
      <c r="G5598" s="15" t="s">
        <v>36</v>
      </c>
      <c r="H5598" s="14" t="s">
        <v>36</v>
      </c>
      <c r="I5598" s="18" t="s">
        <v>36</v>
      </c>
      <c r="J5598" s="12" t="s">
        <v>36</v>
      </c>
      <c r="K5598" s="13" t="s">
        <v>36</v>
      </c>
      <c r="L5598" s="15" t="s">
        <v>36</v>
      </c>
      <c r="M5598" s="12" t="s">
        <v>36</v>
      </c>
      <c r="N5598" s="12" t="s">
        <v>36</v>
      </c>
      <c r="O5598" s="17" t="s">
        <v>36</v>
      </c>
      <c r="P5598" s="12" t="s">
        <v>36</v>
      </c>
      <c r="Q5598" s="12" t="s">
        <v>36</v>
      </c>
      <c r="R5598" s="12" t="s">
        <v>36</v>
      </c>
      <c r="S5598" s="12" t="s">
        <v>6677</v>
      </c>
      <c r="T5598" s="12" t="s">
        <v>14504</v>
      </c>
      <c r="U5598" s="12" t="s">
        <v>279</v>
      </c>
      <c r="V5598" s="12" t="s">
        <v>64</v>
      </c>
      <c r="W5598" s="12" t="s">
        <v>17381</v>
      </c>
      <c r="X5598" s="16" t="s">
        <v>8584</v>
      </c>
      <c r="Y5598" s="15" t="s">
        <v>42</v>
      </c>
      <c r="Z5598" s="14">
        <v>2.41</v>
      </c>
      <c r="AA5598" s="14" t="s">
        <v>36</v>
      </c>
      <c r="AB5598" s="12" t="s">
        <v>43</v>
      </c>
      <c r="AC5598" s="12" t="s">
        <v>17382</v>
      </c>
      <c r="AD5598" s="13">
        <v>43122</v>
      </c>
      <c r="AE5598" s="12" t="s">
        <v>283</v>
      </c>
      <c r="AF5598" s="12" t="s">
        <v>1507</v>
      </c>
      <c r="AG5598" s="12" t="s">
        <v>81</v>
      </c>
      <c r="AH5598" s="1">
        <f>HYPERLINK("https://my.pitchbook.com?c=100649-08T","View Company Online")</f>
      </c>
    </row>
    <row r="5599">
      <c r="A5599" s="3" t="s">
        <v>26252</v>
      </c>
      <c r="B5599" s="3" t="s">
        <v>26253</v>
      </c>
      <c r="C5599" s="5" t="s">
        <v>36</v>
      </c>
      <c r="D5599" s="5" t="s">
        <v>36</v>
      </c>
      <c r="E5599" s="5" t="s">
        <v>36</v>
      </c>
      <c r="F5599" s="5" t="s">
        <v>36</v>
      </c>
      <c r="G5599" s="6" t="s">
        <v>36</v>
      </c>
      <c r="H5599" s="4">
        <v>22.85</v>
      </c>
      <c r="I5599" s="7">
        <v>30.16</v>
      </c>
      <c r="J5599" s="3" t="s">
        <v>521</v>
      </c>
      <c r="K5599" s="9" t="s">
        <v>36</v>
      </c>
      <c r="L5599" s="6" t="s">
        <v>36</v>
      </c>
      <c r="M5599" s="3" t="s">
        <v>36</v>
      </c>
      <c r="N5599" s="3" t="s">
        <v>36</v>
      </c>
      <c r="O5599" s="8" t="s">
        <v>36</v>
      </c>
      <c r="P5599" s="3" t="s">
        <v>36</v>
      </c>
      <c r="Q5599" s="3" t="s">
        <v>36</v>
      </c>
      <c r="R5599" s="3" t="s">
        <v>36</v>
      </c>
      <c r="S5599" s="3" t="s">
        <v>36</v>
      </c>
      <c r="T5599" s="3" t="s">
        <v>24117</v>
      </c>
      <c r="U5599" s="3" t="s">
        <v>289</v>
      </c>
      <c r="V5599" s="3" t="s">
        <v>64</v>
      </c>
      <c r="W5599" s="3" t="s">
        <v>26254</v>
      </c>
      <c r="X5599" s="10" t="s">
        <v>14638</v>
      </c>
      <c r="Y5599" s="6" t="s">
        <v>42</v>
      </c>
      <c r="Z5599" s="4">
        <v>1.68</v>
      </c>
      <c r="AA5599" s="4">
        <v>3.79</v>
      </c>
      <c r="AB5599" s="3" t="s">
        <v>56</v>
      </c>
      <c r="AC5599" s="3" t="s">
        <v>26255</v>
      </c>
      <c r="AD5599" s="9">
        <v>43119</v>
      </c>
      <c r="AE5599" s="3" t="s">
        <v>3134</v>
      </c>
      <c r="AF5599" s="3" t="s">
        <v>90</v>
      </c>
      <c r="AG5599" s="3" t="s">
        <v>26256</v>
      </c>
      <c r="AH5599" s="11">
        <f>HYPERLINK("https://my.pitchbook.com?c=173375-83T","View Company Online")</f>
      </c>
    </row>
    <row r="5600">
      <c r="A5600" s="12" t="s">
        <v>26257</v>
      </c>
      <c r="B5600" s="12" t="s">
        <v>26258</v>
      </c>
      <c r="C5600" s="19" t="s">
        <v>36</v>
      </c>
      <c r="D5600" s="19" t="s">
        <v>36</v>
      </c>
      <c r="E5600" s="19" t="s">
        <v>36</v>
      </c>
      <c r="F5600" s="19" t="s">
        <v>36</v>
      </c>
      <c r="G5600" s="15" t="s">
        <v>36</v>
      </c>
      <c r="H5600" s="14" t="s">
        <v>36</v>
      </c>
      <c r="I5600" s="18" t="s">
        <v>36</v>
      </c>
      <c r="J5600" s="12" t="s">
        <v>36</v>
      </c>
      <c r="K5600" s="13" t="s">
        <v>36</v>
      </c>
      <c r="L5600" s="15" t="s">
        <v>36</v>
      </c>
      <c r="M5600" s="12" t="s">
        <v>36</v>
      </c>
      <c r="N5600" s="12" t="s">
        <v>36</v>
      </c>
      <c r="O5600" s="17" t="s">
        <v>36</v>
      </c>
      <c r="P5600" s="12" t="s">
        <v>36</v>
      </c>
      <c r="Q5600" s="12" t="s">
        <v>36</v>
      </c>
      <c r="R5600" s="12" t="s">
        <v>36</v>
      </c>
      <c r="S5600" s="12" t="s">
        <v>36</v>
      </c>
      <c r="T5600" s="12" t="s">
        <v>26259</v>
      </c>
      <c r="U5600" s="12" t="s">
        <v>404</v>
      </c>
      <c r="V5600" s="12" t="s">
        <v>405</v>
      </c>
      <c r="W5600" s="12" t="s">
        <v>26260</v>
      </c>
      <c r="X5600" s="16" t="s">
        <v>26261</v>
      </c>
      <c r="Y5600" s="15" t="s">
        <v>42</v>
      </c>
      <c r="Z5600" s="14" t="s">
        <v>36</v>
      </c>
      <c r="AA5600" s="14" t="s">
        <v>36</v>
      </c>
      <c r="AB5600" s="12" t="s">
        <v>43</v>
      </c>
      <c r="AC5600" s="12" t="s">
        <v>26262</v>
      </c>
      <c r="AD5600" s="13">
        <v>43119</v>
      </c>
      <c r="AE5600" s="12" t="s">
        <v>16332</v>
      </c>
      <c r="AF5600" s="12" t="s">
        <v>1115</v>
      </c>
      <c r="AG5600" s="12" t="s">
        <v>81</v>
      </c>
      <c r="AH5600" s="1">
        <f>HYPERLINK("https://my.pitchbook.com?c=158320-90T","View Company Online")</f>
      </c>
    </row>
    <row r="5601">
      <c r="A5601" s="3" t="s">
        <v>26263</v>
      </c>
      <c r="B5601" s="3" t="s">
        <v>22354</v>
      </c>
      <c r="C5601" s="5" t="s">
        <v>36</v>
      </c>
      <c r="D5601" s="5" t="s">
        <v>36</v>
      </c>
      <c r="E5601" s="5" t="s">
        <v>36</v>
      </c>
      <c r="F5601" s="5" t="s">
        <v>36</v>
      </c>
      <c r="G5601" s="6" t="s">
        <v>36</v>
      </c>
      <c r="H5601" s="4" t="s">
        <v>36</v>
      </c>
      <c r="I5601" s="7" t="s">
        <v>36</v>
      </c>
      <c r="J5601" s="3" t="s">
        <v>36</v>
      </c>
      <c r="K5601" s="9" t="s">
        <v>36</v>
      </c>
      <c r="L5601" s="6" t="s">
        <v>36</v>
      </c>
      <c r="M5601" s="3" t="s">
        <v>36</v>
      </c>
      <c r="N5601" s="3" t="s">
        <v>36</v>
      </c>
      <c r="O5601" s="8" t="s">
        <v>36</v>
      </c>
      <c r="P5601" s="3" t="s">
        <v>36</v>
      </c>
      <c r="Q5601" s="3" t="s">
        <v>36</v>
      </c>
      <c r="R5601" s="3" t="s">
        <v>36</v>
      </c>
      <c r="S5601" s="3" t="s">
        <v>36</v>
      </c>
      <c r="T5601" s="3" t="s">
        <v>22355</v>
      </c>
      <c r="U5601" s="3" t="s">
        <v>63</v>
      </c>
      <c r="V5601" s="3" t="s">
        <v>64</v>
      </c>
      <c r="W5601" s="3" t="s">
        <v>22356</v>
      </c>
      <c r="X5601" s="10" t="s">
        <v>26264</v>
      </c>
      <c r="Y5601" s="6" t="s">
        <v>55</v>
      </c>
      <c r="Z5601" s="4">
        <v>1.8</v>
      </c>
      <c r="AA5601" s="4" t="s">
        <v>36</v>
      </c>
      <c r="AB5601" s="3" t="s">
        <v>56</v>
      </c>
      <c r="AC5601" s="3" t="s">
        <v>22358</v>
      </c>
      <c r="AD5601" s="9">
        <v>43119</v>
      </c>
      <c r="AE5601" s="3" t="s">
        <v>68</v>
      </c>
      <c r="AF5601" s="3" t="s">
        <v>36</v>
      </c>
      <c r="AG5601" s="3" t="s">
        <v>8790</v>
      </c>
      <c r="AH5601" s="11">
        <f>HYPERLINK("https://my.pitchbook.com?c=119782-90T","View Company Online")</f>
      </c>
    </row>
    <row r="5602">
      <c r="A5602" s="12" t="s">
        <v>26265</v>
      </c>
      <c r="B5602" s="12" t="s">
        <v>23516</v>
      </c>
      <c r="C5602" s="19">
        <v>5</v>
      </c>
      <c r="D5602" s="19">
        <v>15</v>
      </c>
      <c r="E5602" s="19">
        <v>9</v>
      </c>
      <c r="F5602" s="19">
        <v>23</v>
      </c>
      <c r="G5602" s="15" t="s">
        <v>326</v>
      </c>
      <c r="H5602" s="14">
        <v>39.82</v>
      </c>
      <c r="I5602" s="18">
        <v>12.2</v>
      </c>
      <c r="J5602" s="12" t="s">
        <v>521</v>
      </c>
      <c r="K5602" s="13" t="s">
        <v>36</v>
      </c>
      <c r="L5602" s="15" t="s">
        <v>36</v>
      </c>
      <c r="M5602" s="12" t="s">
        <v>36</v>
      </c>
      <c r="N5602" s="12" t="s">
        <v>36</v>
      </c>
      <c r="O5602" s="17" t="s">
        <v>36</v>
      </c>
      <c r="P5602" s="12" t="s">
        <v>36</v>
      </c>
      <c r="Q5602" s="12" t="s">
        <v>36</v>
      </c>
      <c r="R5602" s="12" t="s">
        <v>36</v>
      </c>
      <c r="S5602" s="12" t="s">
        <v>36</v>
      </c>
      <c r="T5602" s="12" t="s">
        <v>23517</v>
      </c>
      <c r="U5602" s="12" t="s">
        <v>318</v>
      </c>
      <c r="V5602" s="12" t="s">
        <v>39</v>
      </c>
      <c r="W5602" s="12" t="s">
        <v>23518</v>
      </c>
      <c r="X5602" s="16" t="s">
        <v>23519</v>
      </c>
      <c r="Y5602" s="15" t="s">
        <v>108</v>
      </c>
      <c r="Z5602" s="14">
        <v>1.02</v>
      </c>
      <c r="AA5602" s="14">
        <v>8.38</v>
      </c>
      <c r="AB5602" s="12" t="s">
        <v>43</v>
      </c>
      <c r="AC5602" s="12" t="s">
        <v>23520</v>
      </c>
      <c r="AD5602" s="13">
        <v>43119</v>
      </c>
      <c r="AE5602" s="12" t="s">
        <v>763</v>
      </c>
      <c r="AF5602" s="12" t="s">
        <v>11238</v>
      </c>
      <c r="AG5602" s="12" t="s">
        <v>81</v>
      </c>
      <c r="AH5602" s="1">
        <f>HYPERLINK("https://my.pitchbook.com?c=192244-60T","View Company Online")</f>
      </c>
    </row>
    <row r="5603">
      <c r="A5603" s="3" t="s">
        <v>26266</v>
      </c>
      <c r="B5603" s="3" t="s">
        <v>26267</v>
      </c>
      <c r="C5603" s="5" t="s">
        <v>36</v>
      </c>
      <c r="D5603" s="5" t="s">
        <v>36</v>
      </c>
      <c r="E5603" s="5" t="s">
        <v>36</v>
      </c>
      <c r="F5603" s="5" t="s">
        <v>36</v>
      </c>
      <c r="G5603" s="6" t="s">
        <v>36</v>
      </c>
      <c r="H5603" s="4">
        <v>21.16</v>
      </c>
      <c r="I5603" s="7">
        <v>24.61</v>
      </c>
      <c r="J5603" s="3" t="s">
        <v>521</v>
      </c>
      <c r="K5603" s="9">
        <v>43087</v>
      </c>
      <c r="L5603" s="6" t="s">
        <v>36</v>
      </c>
      <c r="M5603" s="3" t="s">
        <v>36</v>
      </c>
      <c r="N5603" s="3" t="s">
        <v>36</v>
      </c>
      <c r="O5603" s="8" t="s">
        <v>36</v>
      </c>
      <c r="P5603" s="3" t="s">
        <v>36</v>
      </c>
      <c r="Q5603" s="3" t="s">
        <v>36</v>
      </c>
      <c r="R5603" s="3" t="s">
        <v>36</v>
      </c>
      <c r="S5603" s="3" t="s">
        <v>36</v>
      </c>
      <c r="T5603" s="3" t="s">
        <v>26268</v>
      </c>
      <c r="U5603" s="3" t="s">
        <v>38</v>
      </c>
      <c r="V5603" s="3" t="s">
        <v>39</v>
      </c>
      <c r="W5603" s="3" t="s">
        <v>26269</v>
      </c>
      <c r="X5603" s="10" t="s">
        <v>17128</v>
      </c>
      <c r="Y5603" s="6" t="s">
        <v>42</v>
      </c>
      <c r="Z5603" s="4">
        <v>0.84</v>
      </c>
      <c r="AA5603" s="4">
        <v>3.42</v>
      </c>
      <c r="AB5603" s="3" t="s">
        <v>43</v>
      </c>
      <c r="AC5603" s="3" t="s">
        <v>26270</v>
      </c>
      <c r="AD5603" s="9">
        <v>43119</v>
      </c>
      <c r="AE5603" s="3" t="s">
        <v>110</v>
      </c>
      <c r="AF5603" s="3" t="s">
        <v>26271</v>
      </c>
      <c r="AG5603" s="3" t="s">
        <v>102</v>
      </c>
      <c r="AH5603" s="11">
        <f>HYPERLINK("https://my.pitchbook.com?c=110610-19T","View Company Online")</f>
      </c>
    </row>
    <row r="5604">
      <c r="A5604" s="12" t="s">
        <v>26272</v>
      </c>
      <c r="B5604" s="12" t="s">
        <v>26273</v>
      </c>
      <c r="C5604" s="19" t="s">
        <v>36</v>
      </c>
      <c r="D5604" s="19" t="s">
        <v>36</v>
      </c>
      <c r="E5604" s="19" t="s">
        <v>36</v>
      </c>
      <c r="F5604" s="19" t="s">
        <v>36</v>
      </c>
      <c r="G5604" s="15" t="s">
        <v>326</v>
      </c>
      <c r="H5604" s="14">
        <v>30.95</v>
      </c>
      <c r="I5604" s="18">
        <v>11.68</v>
      </c>
      <c r="J5604" s="12" t="s">
        <v>521</v>
      </c>
      <c r="K5604" s="13" t="s">
        <v>36</v>
      </c>
      <c r="L5604" s="15" t="s">
        <v>36</v>
      </c>
      <c r="M5604" s="12" t="s">
        <v>36</v>
      </c>
      <c r="N5604" s="12" t="s">
        <v>36</v>
      </c>
      <c r="O5604" s="17" t="s">
        <v>36</v>
      </c>
      <c r="P5604" s="12" t="s">
        <v>36</v>
      </c>
      <c r="Q5604" s="12" t="s">
        <v>36</v>
      </c>
      <c r="R5604" s="12" t="s">
        <v>36</v>
      </c>
      <c r="S5604" s="12" t="s">
        <v>36</v>
      </c>
      <c r="T5604" s="12" t="s">
        <v>1701</v>
      </c>
      <c r="U5604" s="12" t="s">
        <v>74</v>
      </c>
      <c r="V5604" s="12" t="s">
        <v>75</v>
      </c>
      <c r="W5604" s="12" t="s">
        <v>26274</v>
      </c>
      <c r="X5604" s="16" t="s">
        <v>26275</v>
      </c>
      <c r="Y5604" s="15" t="s">
        <v>55</v>
      </c>
      <c r="Z5604" s="14">
        <v>0.29</v>
      </c>
      <c r="AA5604" s="14">
        <v>2.45</v>
      </c>
      <c r="AB5604" s="12" t="s">
        <v>56</v>
      </c>
      <c r="AC5604" s="12" t="s">
        <v>26276</v>
      </c>
      <c r="AD5604" s="13">
        <v>43118</v>
      </c>
      <c r="AE5604" s="12" t="s">
        <v>79</v>
      </c>
      <c r="AF5604" s="12" t="s">
        <v>36</v>
      </c>
      <c r="AG5604" s="12" t="s">
        <v>5193</v>
      </c>
      <c r="AH5604" s="1">
        <f>HYPERLINK("https://my.pitchbook.com?c=188270-29T","View Company Online")</f>
      </c>
    </row>
    <row r="5605">
      <c r="A5605" s="3" t="s">
        <v>26277</v>
      </c>
      <c r="B5605" s="3" t="s">
        <v>8260</v>
      </c>
      <c r="C5605" s="5">
        <v>10</v>
      </c>
      <c r="D5605" s="5">
        <v>22</v>
      </c>
      <c r="E5605" s="5">
        <v>6</v>
      </c>
      <c r="F5605" s="5">
        <v>33</v>
      </c>
      <c r="G5605" s="6" t="s">
        <v>326</v>
      </c>
      <c r="H5605" s="4">
        <v>207.71</v>
      </c>
      <c r="I5605" s="7">
        <v>25.21</v>
      </c>
      <c r="J5605" s="3" t="s">
        <v>521</v>
      </c>
      <c r="K5605" s="9" t="s">
        <v>36</v>
      </c>
      <c r="L5605" s="6" t="s">
        <v>94</v>
      </c>
      <c r="M5605" s="3" t="s">
        <v>36</v>
      </c>
      <c r="N5605" s="3" t="s">
        <v>94</v>
      </c>
      <c r="O5605" s="8" t="s">
        <v>36</v>
      </c>
      <c r="P5605" s="3" t="s">
        <v>36</v>
      </c>
      <c r="Q5605" s="3" t="s">
        <v>36</v>
      </c>
      <c r="R5605" s="3" t="s">
        <v>36</v>
      </c>
      <c r="S5605" s="3" t="s">
        <v>36</v>
      </c>
      <c r="T5605" s="3" t="s">
        <v>8261</v>
      </c>
      <c r="U5605" s="3" t="s">
        <v>318</v>
      </c>
      <c r="V5605" s="3" t="s">
        <v>39</v>
      </c>
      <c r="W5605" s="3" t="s">
        <v>8262</v>
      </c>
      <c r="X5605" s="10" t="s">
        <v>26278</v>
      </c>
      <c r="Y5605" s="6" t="s">
        <v>192</v>
      </c>
      <c r="Z5605" s="4">
        <v>73.21</v>
      </c>
      <c r="AA5605" s="4">
        <v>290.4</v>
      </c>
      <c r="AB5605" s="3" t="s">
        <v>56</v>
      </c>
      <c r="AC5605" s="3" t="s">
        <v>8264</v>
      </c>
      <c r="AD5605" s="9">
        <v>43118</v>
      </c>
      <c r="AE5605" s="3" t="s">
        <v>417</v>
      </c>
      <c r="AF5605" s="3" t="s">
        <v>8265</v>
      </c>
      <c r="AG5605" s="3" t="s">
        <v>81</v>
      </c>
      <c r="AH5605" s="11">
        <f>HYPERLINK("https://my.pitchbook.com?c=100231-03T","View Company Online")</f>
      </c>
    </row>
    <row r="5606">
      <c r="A5606" s="12" t="s">
        <v>26279</v>
      </c>
      <c r="B5606" s="12" t="s">
        <v>20139</v>
      </c>
      <c r="C5606" s="19" t="s">
        <v>36</v>
      </c>
      <c r="D5606" s="19" t="s">
        <v>36</v>
      </c>
      <c r="E5606" s="19" t="s">
        <v>36</v>
      </c>
      <c r="F5606" s="19" t="s">
        <v>36</v>
      </c>
      <c r="G5606" s="15" t="s">
        <v>36</v>
      </c>
      <c r="H5606" s="14">
        <v>20.77</v>
      </c>
      <c r="I5606" s="18">
        <v>25.93</v>
      </c>
      <c r="J5606" s="12" t="s">
        <v>521</v>
      </c>
      <c r="K5606" s="13" t="s">
        <v>36</v>
      </c>
      <c r="L5606" s="15" t="s">
        <v>36</v>
      </c>
      <c r="M5606" s="12" t="s">
        <v>36</v>
      </c>
      <c r="N5606" s="12" t="s">
        <v>36</v>
      </c>
      <c r="O5606" s="17" t="s">
        <v>36</v>
      </c>
      <c r="P5606" s="12" t="s">
        <v>36</v>
      </c>
      <c r="Q5606" s="12" t="s">
        <v>36</v>
      </c>
      <c r="R5606" s="12" t="s">
        <v>36</v>
      </c>
      <c r="S5606" s="12" t="s">
        <v>36</v>
      </c>
      <c r="T5606" s="12" t="s">
        <v>20140</v>
      </c>
      <c r="U5606" s="12" t="s">
        <v>38</v>
      </c>
      <c r="V5606" s="12" t="s">
        <v>39</v>
      </c>
      <c r="W5606" s="12" t="s">
        <v>20141</v>
      </c>
      <c r="X5606" s="16" t="s">
        <v>26280</v>
      </c>
      <c r="Y5606" s="15" t="s">
        <v>42</v>
      </c>
      <c r="Z5606" s="14">
        <v>0.84</v>
      </c>
      <c r="AA5606" s="14">
        <v>3.24</v>
      </c>
      <c r="AB5606" s="12" t="s">
        <v>43</v>
      </c>
      <c r="AC5606" s="12" t="s">
        <v>20143</v>
      </c>
      <c r="AD5606" s="13">
        <v>43118</v>
      </c>
      <c r="AE5606" s="12" t="s">
        <v>1330</v>
      </c>
      <c r="AF5606" s="12" t="s">
        <v>815</v>
      </c>
      <c r="AG5606" s="12" t="s">
        <v>144</v>
      </c>
      <c r="AH5606" s="1">
        <f>HYPERLINK("https://my.pitchbook.com?c=189796-24T","View Company Online")</f>
      </c>
    </row>
    <row r="5607">
      <c r="A5607" s="3" t="s">
        <v>26281</v>
      </c>
      <c r="B5607" s="3" t="s">
        <v>12245</v>
      </c>
      <c r="C5607" s="5" t="s">
        <v>36</v>
      </c>
      <c r="D5607" s="5" t="s">
        <v>36</v>
      </c>
      <c r="E5607" s="5" t="s">
        <v>36</v>
      </c>
      <c r="F5607" s="5" t="s">
        <v>36</v>
      </c>
      <c r="G5607" s="6" t="s">
        <v>326</v>
      </c>
      <c r="H5607" s="4">
        <v>27.46</v>
      </c>
      <c r="I5607" s="7">
        <v>25.96</v>
      </c>
      <c r="J5607" s="3" t="s">
        <v>521</v>
      </c>
      <c r="K5607" s="9">
        <v>43091</v>
      </c>
      <c r="L5607" s="6" t="s">
        <v>122</v>
      </c>
      <c r="M5607" s="3" t="s">
        <v>36</v>
      </c>
      <c r="N5607" s="3" t="s">
        <v>122</v>
      </c>
      <c r="O5607" s="8" t="s">
        <v>36</v>
      </c>
      <c r="P5607" s="3" t="s">
        <v>36</v>
      </c>
      <c r="Q5607" s="3" t="s">
        <v>36</v>
      </c>
      <c r="R5607" s="3" t="s">
        <v>36</v>
      </c>
      <c r="S5607" s="3" t="s">
        <v>36</v>
      </c>
      <c r="T5607" s="3" t="s">
        <v>4590</v>
      </c>
      <c r="U5607" s="3" t="s">
        <v>1357</v>
      </c>
      <c r="V5607" s="3" t="s">
        <v>52</v>
      </c>
      <c r="W5607" s="3" t="s">
        <v>12246</v>
      </c>
      <c r="X5607" s="10" t="s">
        <v>26282</v>
      </c>
      <c r="Y5607" s="6" t="s">
        <v>108</v>
      </c>
      <c r="Z5607" s="4">
        <v>3.6</v>
      </c>
      <c r="AA5607" s="4">
        <v>12.98</v>
      </c>
      <c r="AB5607" s="3" t="s">
        <v>43</v>
      </c>
      <c r="AC5607" s="3" t="s">
        <v>12248</v>
      </c>
      <c r="AD5607" s="9">
        <v>43118</v>
      </c>
      <c r="AE5607" s="3" t="s">
        <v>2377</v>
      </c>
      <c r="AF5607" s="3" t="s">
        <v>36</v>
      </c>
      <c r="AG5607" s="3" t="s">
        <v>81</v>
      </c>
      <c r="AH5607" s="11">
        <f>HYPERLINK("https://my.pitchbook.com?c=103044-88T","View Company Online")</f>
      </c>
    </row>
    <row r="5608">
      <c r="A5608" s="12" t="s">
        <v>26283</v>
      </c>
      <c r="B5608" s="12" t="s">
        <v>26284</v>
      </c>
      <c r="C5608" s="19" t="s">
        <v>36</v>
      </c>
      <c r="D5608" s="19" t="s">
        <v>36</v>
      </c>
      <c r="E5608" s="19" t="s">
        <v>36</v>
      </c>
      <c r="F5608" s="19" t="s">
        <v>36</v>
      </c>
      <c r="G5608" s="15" t="s">
        <v>36</v>
      </c>
      <c r="H5608" s="14">
        <v>257.65</v>
      </c>
      <c r="I5608" s="18">
        <v>27.29</v>
      </c>
      <c r="J5608" s="12" t="s">
        <v>521</v>
      </c>
      <c r="K5608" s="13" t="s">
        <v>36</v>
      </c>
      <c r="L5608" s="15" t="s">
        <v>36</v>
      </c>
      <c r="M5608" s="12" t="s">
        <v>36</v>
      </c>
      <c r="N5608" s="12" t="s">
        <v>36</v>
      </c>
      <c r="O5608" s="17" t="s">
        <v>36</v>
      </c>
      <c r="P5608" s="12" t="s">
        <v>36</v>
      </c>
      <c r="Q5608" s="12" t="s">
        <v>36</v>
      </c>
      <c r="R5608" s="12" t="s">
        <v>36</v>
      </c>
      <c r="S5608" s="12" t="s">
        <v>36</v>
      </c>
      <c r="T5608" s="12" t="s">
        <v>522</v>
      </c>
      <c r="U5608" s="12" t="s">
        <v>38</v>
      </c>
      <c r="V5608" s="12" t="s">
        <v>39</v>
      </c>
      <c r="W5608" s="12" t="s">
        <v>26285</v>
      </c>
      <c r="X5608" s="16" t="s">
        <v>26286</v>
      </c>
      <c r="Y5608" s="15" t="s">
        <v>42</v>
      </c>
      <c r="Z5608" s="14">
        <v>3</v>
      </c>
      <c r="AA5608" s="14">
        <v>6.6</v>
      </c>
      <c r="AB5608" s="12" t="s">
        <v>56</v>
      </c>
      <c r="AC5608" s="12" t="s">
        <v>26287</v>
      </c>
      <c r="AD5608" s="13">
        <v>43117</v>
      </c>
      <c r="AE5608" s="12" t="s">
        <v>110</v>
      </c>
      <c r="AF5608" s="12" t="s">
        <v>4552</v>
      </c>
      <c r="AG5608" s="12" t="s">
        <v>539</v>
      </c>
      <c r="AH5608" s="1">
        <f>HYPERLINK("https://my.pitchbook.com?c=102458-71T","View Company Online")</f>
      </c>
    </row>
    <row r="5609">
      <c r="A5609" s="3" t="s">
        <v>26288</v>
      </c>
      <c r="B5609" s="3" t="s">
        <v>26289</v>
      </c>
      <c r="C5609" s="5" t="s">
        <v>36</v>
      </c>
      <c r="D5609" s="5" t="s">
        <v>36</v>
      </c>
      <c r="E5609" s="5" t="s">
        <v>36</v>
      </c>
      <c r="F5609" s="5" t="s">
        <v>36</v>
      </c>
      <c r="G5609" s="6" t="s">
        <v>36</v>
      </c>
      <c r="H5609" s="4" t="s">
        <v>36</v>
      </c>
      <c r="I5609" s="7" t="s">
        <v>36</v>
      </c>
      <c r="J5609" s="3" t="s">
        <v>36</v>
      </c>
      <c r="K5609" s="9" t="s">
        <v>36</v>
      </c>
      <c r="L5609" s="6" t="s">
        <v>36</v>
      </c>
      <c r="M5609" s="3" t="s">
        <v>36</v>
      </c>
      <c r="N5609" s="3" t="s">
        <v>36</v>
      </c>
      <c r="O5609" s="8" t="s">
        <v>36</v>
      </c>
      <c r="P5609" s="3" t="s">
        <v>36</v>
      </c>
      <c r="Q5609" s="3" t="s">
        <v>36</v>
      </c>
      <c r="R5609" s="3" t="s">
        <v>36</v>
      </c>
      <c r="S5609" s="3" t="s">
        <v>36</v>
      </c>
      <c r="T5609" s="3" t="s">
        <v>5302</v>
      </c>
      <c r="U5609" s="3" t="s">
        <v>74</v>
      </c>
      <c r="V5609" s="3" t="s">
        <v>75</v>
      </c>
      <c r="W5609" s="3" t="s">
        <v>26290</v>
      </c>
      <c r="X5609" s="10" t="s">
        <v>560</v>
      </c>
      <c r="Y5609" s="6" t="s">
        <v>108</v>
      </c>
      <c r="Z5609" s="4" t="s">
        <v>36</v>
      </c>
      <c r="AA5609" s="4" t="s">
        <v>36</v>
      </c>
      <c r="AB5609" s="3" t="s">
        <v>56</v>
      </c>
      <c r="AC5609" s="3" t="s">
        <v>26291</v>
      </c>
      <c r="AD5609" s="9">
        <v>43116</v>
      </c>
      <c r="AE5609" s="3" t="s">
        <v>362</v>
      </c>
      <c r="AF5609" s="3" t="s">
        <v>468</v>
      </c>
      <c r="AG5609" s="3" t="s">
        <v>81</v>
      </c>
      <c r="AH5609" s="11">
        <f>HYPERLINK("https://my.pitchbook.com?c=160541-20T","View Company Online")</f>
      </c>
    </row>
    <row r="5610">
      <c r="A5610" s="12" t="s">
        <v>26292</v>
      </c>
      <c r="B5610" s="12" t="s">
        <v>21184</v>
      </c>
      <c r="C5610" s="19" t="s">
        <v>36</v>
      </c>
      <c r="D5610" s="19" t="s">
        <v>36</v>
      </c>
      <c r="E5610" s="19" t="s">
        <v>36</v>
      </c>
      <c r="F5610" s="19" t="s">
        <v>36</v>
      </c>
      <c r="G5610" s="15" t="s">
        <v>36</v>
      </c>
      <c r="H5610" s="14">
        <v>5.63</v>
      </c>
      <c r="I5610" s="18">
        <v>43.59</v>
      </c>
      <c r="J5610" s="12" t="s">
        <v>521</v>
      </c>
      <c r="K5610" s="13" t="s">
        <v>36</v>
      </c>
      <c r="L5610" s="15" t="s">
        <v>94</v>
      </c>
      <c r="M5610" s="12" t="s">
        <v>36</v>
      </c>
      <c r="N5610" s="12" t="s">
        <v>94</v>
      </c>
      <c r="O5610" s="17" t="s">
        <v>36</v>
      </c>
      <c r="P5610" s="12" t="s">
        <v>36</v>
      </c>
      <c r="Q5610" s="12" t="s">
        <v>36</v>
      </c>
      <c r="R5610" s="12" t="s">
        <v>36</v>
      </c>
      <c r="S5610" s="12" t="s">
        <v>36</v>
      </c>
      <c r="T5610" s="12" t="s">
        <v>881</v>
      </c>
      <c r="U5610" s="12" t="s">
        <v>51</v>
      </c>
      <c r="V5610" s="12" t="s">
        <v>52</v>
      </c>
      <c r="W5610" s="12" t="s">
        <v>21185</v>
      </c>
      <c r="X5610" s="16" t="s">
        <v>26293</v>
      </c>
      <c r="Y5610" s="15" t="s">
        <v>108</v>
      </c>
      <c r="Z5610" s="14">
        <v>10.43</v>
      </c>
      <c r="AA5610" s="14">
        <v>18.09</v>
      </c>
      <c r="AB5610" s="12" t="s">
        <v>56</v>
      </c>
      <c r="AC5610" s="12" t="s">
        <v>21187</v>
      </c>
      <c r="AD5610" s="13">
        <v>43116</v>
      </c>
      <c r="AE5610" s="12" t="s">
        <v>504</v>
      </c>
      <c r="AF5610" s="12" t="s">
        <v>159</v>
      </c>
      <c r="AG5610" s="12" t="s">
        <v>186</v>
      </c>
      <c r="AH5610" s="1">
        <f>HYPERLINK("https://my.pitchbook.com?c=100088-11T","View Company Online")</f>
      </c>
    </row>
    <row r="5611">
      <c r="A5611" s="3" t="s">
        <v>26294</v>
      </c>
      <c r="B5611" s="3" t="s">
        <v>8923</v>
      </c>
      <c r="C5611" s="5">
        <v>4</v>
      </c>
      <c r="D5611" s="5">
        <v>17</v>
      </c>
      <c r="E5611" s="5">
        <v>4</v>
      </c>
      <c r="F5611" s="5">
        <v>21</v>
      </c>
      <c r="G5611" s="6" t="s">
        <v>36</v>
      </c>
      <c r="H5611" s="4">
        <v>6.23</v>
      </c>
      <c r="I5611" s="7">
        <v>37.74</v>
      </c>
      <c r="J5611" s="3" t="s">
        <v>521</v>
      </c>
      <c r="K5611" s="9" t="s">
        <v>36</v>
      </c>
      <c r="L5611" s="6" t="s">
        <v>122</v>
      </c>
      <c r="M5611" s="3" t="s">
        <v>36</v>
      </c>
      <c r="N5611" s="3" t="s">
        <v>122</v>
      </c>
      <c r="O5611" s="8" t="s">
        <v>36</v>
      </c>
      <c r="P5611" s="3" t="s">
        <v>36</v>
      </c>
      <c r="Q5611" s="3" t="s">
        <v>36</v>
      </c>
      <c r="R5611" s="3" t="s">
        <v>36</v>
      </c>
      <c r="S5611" s="3" t="s">
        <v>36</v>
      </c>
      <c r="T5611" s="3" t="s">
        <v>3208</v>
      </c>
      <c r="U5611" s="3" t="s">
        <v>1798</v>
      </c>
      <c r="V5611" s="3" t="s">
        <v>39</v>
      </c>
      <c r="W5611" s="3" t="s">
        <v>8924</v>
      </c>
      <c r="X5611" s="10" t="s">
        <v>26295</v>
      </c>
      <c r="Y5611" s="6" t="s">
        <v>42</v>
      </c>
      <c r="Z5611" s="4">
        <v>1.68</v>
      </c>
      <c r="AA5611" s="4">
        <v>4.45</v>
      </c>
      <c r="AB5611" s="3" t="s">
        <v>43</v>
      </c>
      <c r="AC5611" s="3" t="s">
        <v>8925</v>
      </c>
      <c r="AD5611" s="9">
        <v>43116</v>
      </c>
      <c r="AE5611" s="3" t="s">
        <v>1802</v>
      </c>
      <c r="AF5611" s="3" t="s">
        <v>8926</v>
      </c>
      <c r="AG5611" s="3" t="s">
        <v>8927</v>
      </c>
      <c r="AH5611" s="11">
        <f>HYPERLINK("https://my.pitchbook.com?c=100169-38T","View Company Online")</f>
      </c>
    </row>
    <row r="5612">
      <c r="A5612" s="12" t="s">
        <v>26296</v>
      </c>
      <c r="B5612" s="12" t="s">
        <v>26297</v>
      </c>
      <c r="C5612" s="19" t="s">
        <v>36</v>
      </c>
      <c r="D5612" s="19" t="s">
        <v>36</v>
      </c>
      <c r="E5612" s="19" t="s">
        <v>36</v>
      </c>
      <c r="F5612" s="19" t="s">
        <v>36</v>
      </c>
      <c r="G5612" s="15" t="s">
        <v>36</v>
      </c>
      <c r="H5612" s="14">
        <v>270.03</v>
      </c>
      <c r="I5612" s="18">
        <v>14.18</v>
      </c>
      <c r="J5612" s="12" t="s">
        <v>521</v>
      </c>
      <c r="K5612" s="13" t="s">
        <v>36</v>
      </c>
      <c r="L5612" s="15" t="s">
        <v>36</v>
      </c>
      <c r="M5612" s="12" t="s">
        <v>36</v>
      </c>
      <c r="N5612" s="12" t="s">
        <v>36</v>
      </c>
      <c r="O5612" s="17" t="s">
        <v>36</v>
      </c>
      <c r="P5612" s="12" t="s">
        <v>36</v>
      </c>
      <c r="Q5612" s="12" t="s">
        <v>36</v>
      </c>
      <c r="R5612" s="12" t="s">
        <v>36</v>
      </c>
      <c r="S5612" s="12" t="s">
        <v>36</v>
      </c>
      <c r="T5612" s="12" t="s">
        <v>8394</v>
      </c>
      <c r="U5612" s="12" t="s">
        <v>85</v>
      </c>
      <c r="V5612" s="12" t="s">
        <v>64</v>
      </c>
      <c r="W5612" s="12" t="s">
        <v>26298</v>
      </c>
      <c r="X5612" s="16" t="s">
        <v>5661</v>
      </c>
      <c r="Y5612" s="15" t="s">
        <v>42</v>
      </c>
      <c r="Z5612" s="14">
        <v>0.26</v>
      </c>
      <c r="AA5612" s="14">
        <v>1.82</v>
      </c>
      <c r="AB5612" s="12" t="s">
        <v>56</v>
      </c>
      <c r="AC5612" s="12" t="s">
        <v>26299</v>
      </c>
      <c r="AD5612" s="13">
        <v>43116</v>
      </c>
      <c r="AE5612" s="12" t="s">
        <v>89</v>
      </c>
      <c r="AF5612" s="12" t="s">
        <v>12865</v>
      </c>
      <c r="AG5612" s="12" t="s">
        <v>8939</v>
      </c>
      <c r="AH5612" s="1">
        <f>HYPERLINK("https://my.pitchbook.com?c=136864-36T","View Company Online")</f>
      </c>
    </row>
    <row r="5613">
      <c r="A5613" s="3" t="s">
        <v>26300</v>
      </c>
      <c r="B5613" s="3" t="s">
        <v>26301</v>
      </c>
      <c r="C5613" s="5" t="s">
        <v>36</v>
      </c>
      <c r="D5613" s="5" t="s">
        <v>36</v>
      </c>
      <c r="E5613" s="5" t="s">
        <v>36</v>
      </c>
      <c r="F5613" s="5" t="s">
        <v>36</v>
      </c>
      <c r="G5613" s="6" t="s">
        <v>36</v>
      </c>
      <c r="H5613" s="4">
        <v>3135.08</v>
      </c>
      <c r="I5613" s="7">
        <v>16.84</v>
      </c>
      <c r="J5613" s="3" t="s">
        <v>521</v>
      </c>
      <c r="K5613" s="9" t="s">
        <v>36</v>
      </c>
      <c r="L5613" s="6" t="s">
        <v>36</v>
      </c>
      <c r="M5613" s="3" t="s">
        <v>36</v>
      </c>
      <c r="N5613" s="3" t="s">
        <v>36</v>
      </c>
      <c r="O5613" s="8" t="s">
        <v>36</v>
      </c>
      <c r="P5613" s="3" t="s">
        <v>36</v>
      </c>
      <c r="Q5613" s="3" t="s">
        <v>36</v>
      </c>
      <c r="R5613" s="3" t="s">
        <v>36</v>
      </c>
      <c r="S5613" s="3" t="s">
        <v>36</v>
      </c>
      <c r="T5613" s="3" t="s">
        <v>3270</v>
      </c>
      <c r="U5613" s="3" t="s">
        <v>1336</v>
      </c>
      <c r="V5613" s="3" t="s">
        <v>367</v>
      </c>
      <c r="W5613" s="3" t="s">
        <v>26302</v>
      </c>
      <c r="X5613" s="10" t="s">
        <v>26303</v>
      </c>
      <c r="Y5613" s="6" t="s">
        <v>42</v>
      </c>
      <c r="Z5613" s="4">
        <v>2.39</v>
      </c>
      <c r="AA5613" s="4">
        <v>7.38</v>
      </c>
      <c r="AB5613" s="3" t="s">
        <v>43</v>
      </c>
      <c r="AC5613" s="3" t="s">
        <v>26304</v>
      </c>
      <c r="AD5613" s="9">
        <v>43115</v>
      </c>
      <c r="AE5613" s="3" t="s">
        <v>2464</v>
      </c>
      <c r="AF5613" s="3" t="s">
        <v>982</v>
      </c>
      <c r="AG5613" s="3" t="s">
        <v>1362</v>
      </c>
      <c r="AH5613" s="11">
        <f>HYPERLINK("https://my.pitchbook.com?c=101245-42T","View Company Online")</f>
      </c>
    </row>
    <row r="5614">
      <c r="A5614" s="12" t="s">
        <v>26305</v>
      </c>
      <c r="B5614" s="12" t="s">
        <v>26306</v>
      </c>
      <c r="C5614" s="19" t="s">
        <v>36</v>
      </c>
      <c r="D5614" s="19" t="s">
        <v>36</v>
      </c>
      <c r="E5614" s="19" t="s">
        <v>36</v>
      </c>
      <c r="F5614" s="19" t="s">
        <v>36</v>
      </c>
      <c r="G5614" s="15" t="s">
        <v>36</v>
      </c>
      <c r="H5614" s="14" t="s">
        <v>36</v>
      </c>
      <c r="I5614" s="18" t="s">
        <v>36</v>
      </c>
      <c r="J5614" s="12" t="s">
        <v>36</v>
      </c>
      <c r="K5614" s="13" t="s">
        <v>36</v>
      </c>
      <c r="L5614" s="15" t="s">
        <v>36</v>
      </c>
      <c r="M5614" s="12" t="s">
        <v>36</v>
      </c>
      <c r="N5614" s="12" t="s">
        <v>36</v>
      </c>
      <c r="O5614" s="17" t="s">
        <v>36</v>
      </c>
      <c r="P5614" s="12" t="s">
        <v>36</v>
      </c>
      <c r="Q5614" s="12" t="s">
        <v>36</v>
      </c>
      <c r="R5614" s="12" t="s">
        <v>36</v>
      </c>
      <c r="S5614" s="12" t="s">
        <v>36</v>
      </c>
      <c r="T5614" s="12" t="s">
        <v>1023</v>
      </c>
      <c r="U5614" s="12" t="s">
        <v>74</v>
      </c>
      <c r="V5614" s="12" t="s">
        <v>75</v>
      </c>
      <c r="W5614" s="12" t="s">
        <v>26307</v>
      </c>
      <c r="X5614" s="16" t="s">
        <v>26308</v>
      </c>
      <c r="Y5614" s="15" t="s">
        <v>55</v>
      </c>
      <c r="Z5614" s="14" t="s">
        <v>36</v>
      </c>
      <c r="AA5614" s="14" t="s">
        <v>36</v>
      </c>
      <c r="AB5614" s="12" t="s">
        <v>56</v>
      </c>
      <c r="AC5614" s="12" t="s">
        <v>26309</v>
      </c>
      <c r="AD5614" s="13">
        <v>43115</v>
      </c>
      <c r="AE5614" s="12" t="s">
        <v>79</v>
      </c>
      <c r="AF5614" s="12" t="s">
        <v>36</v>
      </c>
      <c r="AG5614" s="12" t="s">
        <v>81</v>
      </c>
      <c r="AH5614" s="1">
        <f>HYPERLINK("https://my.pitchbook.com?c=103548-88T","View Company Online")</f>
      </c>
    </row>
    <row r="5615">
      <c r="A5615" s="3" t="s">
        <v>26310</v>
      </c>
      <c r="B5615" s="3" t="s">
        <v>26311</v>
      </c>
      <c r="C5615" s="5" t="s">
        <v>36</v>
      </c>
      <c r="D5615" s="5" t="s">
        <v>36</v>
      </c>
      <c r="E5615" s="5" t="s">
        <v>36</v>
      </c>
      <c r="F5615" s="5" t="s">
        <v>36</v>
      </c>
      <c r="G5615" s="6" t="s">
        <v>326</v>
      </c>
      <c r="H5615" s="4">
        <v>291.84</v>
      </c>
      <c r="I5615" s="7">
        <v>8.78</v>
      </c>
      <c r="J5615" s="3" t="s">
        <v>521</v>
      </c>
      <c r="K5615" s="9" t="s">
        <v>36</v>
      </c>
      <c r="L5615" s="6" t="s">
        <v>36</v>
      </c>
      <c r="M5615" s="3" t="s">
        <v>36</v>
      </c>
      <c r="N5615" s="3" t="s">
        <v>36</v>
      </c>
      <c r="O5615" s="8" t="s">
        <v>36</v>
      </c>
      <c r="P5615" s="3" t="s">
        <v>36</v>
      </c>
      <c r="Q5615" s="3" t="s">
        <v>36</v>
      </c>
      <c r="R5615" s="3" t="s">
        <v>36</v>
      </c>
      <c r="S5615" s="3" t="s">
        <v>36</v>
      </c>
      <c r="T5615" s="3" t="s">
        <v>21967</v>
      </c>
      <c r="U5615" s="3" t="s">
        <v>74</v>
      </c>
      <c r="V5615" s="3" t="s">
        <v>75</v>
      </c>
      <c r="W5615" s="3" t="s">
        <v>26312</v>
      </c>
      <c r="X5615" s="10" t="s">
        <v>26313</v>
      </c>
      <c r="Y5615" s="6" t="s">
        <v>55</v>
      </c>
      <c r="Z5615" s="4">
        <v>0.58</v>
      </c>
      <c r="AA5615" s="4">
        <v>6.57</v>
      </c>
      <c r="AB5615" s="3" t="s">
        <v>56</v>
      </c>
      <c r="AC5615" s="3" t="s">
        <v>26314</v>
      </c>
      <c r="AD5615" s="9">
        <v>43115</v>
      </c>
      <c r="AE5615" s="3" t="s">
        <v>362</v>
      </c>
      <c r="AF5615" s="3" t="s">
        <v>26315</v>
      </c>
      <c r="AG5615" s="3" t="s">
        <v>81</v>
      </c>
      <c r="AH5615" s="11">
        <f>HYPERLINK("https://my.pitchbook.com?c=135878-77T","View Company Online")</f>
      </c>
    </row>
    <row r="5616">
      <c r="A5616" s="12" t="s">
        <v>26316</v>
      </c>
      <c r="B5616" s="12" t="s">
        <v>26317</v>
      </c>
      <c r="C5616" s="19" t="s">
        <v>36</v>
      </c>
      <c r="D5616" s="19" t="s">
        <v>36</v>
      </c>
      <c r="E5616" s="19" t="s">
        <v>36</v>
      </c>
      <c r="F5616" s="19" t="s">
        <v>36</v>
      </c>
      <c r="G5616" s="15" t="s">
        <v>683</v>
      </c>
      <c r="H5616" s="14">
        <v>70.83</v>
      </c>
      <c r="I5616" s="18">
        <v>15.79</v>
      </c>
      <c r="J5616" s="12" t="s">
        <v>521</v>
      </c>
      <c r="K5616" s="13" t="s">
        <v>36</v>
      </c>
      <c r="L5616" s="15" t="s">
        <v>36</v>
      </c>
      <c r="M5616" s="12" t="s">
        <v>36</v>
      </c>
      <c r="N5616" s="12" t="s">
        <v>36</v>
      </c>
      <c r="O5616" s="17" t="s">
        <v>36</v>
      </c>
      <c r="P5616" s="12" t="s">
        <v>36</v>
      </c>
      <c r="Q5616" s="12" t="s">
        <v>36</v>
      </c>
      <c r="R5616" s="12" t="s">
        <v>36</v>
      </c>
      <c r="S5616" s="12" t="s">
        <v>36</v>
      </c>
      <c r="T5616" s="12" t="s">
        <v>26318</v>
      </c>
      <c r="U5616" s="12" t="s">
        <v>279</v>
      </c>
      <c r="V5616" s="12" t="s">
        <v>64</v>
      </c>
      <c r="W5616" s="12" t="s">
        <v>26319</v>
      </c>
      <c r="X5616" s="16" t="s">
        <v>26320</v>
      </c>
      <c r="Y5616" s="15" t="s">
        <v>55</v>
      </c>
      <c r="Z5616" s="14">
        <v>1.79</v>
      </c>
      <c r="AA5616" s="14">
        <v>11.36</v>
      </c>
      <c r="AB5616" s="12" t="s">
        <v>43</v>
      </c>
      <c r="AC5616" s="12" t="s">
        <v>26321</v>
      </c>
      <c r="AD5616" s="13">
        <v>43114</v>
      </c>
      <c r="AE5616" s="12" t="s">
        <v>283</v>
      </c>
      <c r="AF5616" s="12" t="s">
        <v>215</v>
      </c>
      <c r="AG5616" s="12" t="s">
        <v>81</v>
      </c>
      <c r="AH5616" s="1">
        <f>HYPERLINK("https://my.pitchbook.com?c=122914-81T","View Company Online")</f>
      </c>
    </row>
    <row r="5617">
      <c r="A5617" s="3" t="s">
        <v>26322</v>
      </c>
      <c r="B5617" s="3" t="s">
        <v>26323</v>
      </c>
      <c r="C5617" s="5" t="s">
        <v>36</v>
      </c>
      <c r="D5617" s="5" t="s">
        <v>36</v>
      </c>
      <c r="E5617" s="5" t="s">
        <v>36</v>
      </c>
      <c r="F5617" s="5" t="s">
        <v>36</v>
      </c>
      <c r="G5617" s="6" t="s">
        <v>36</v>
      </c>
      <c r="H5617" s="4" t="s">
        <v>36</v>
      </c>
      <c r="I5617" s="7" t="s">
        <v>36</v>
      </c>
      <c r="J5617" s="3" t="s">
        <v>36</v>
      </c>
      <c r="K5617" s="9" t="s">
        <v>36</v>
      </c>
      <c r="L5617" s="6" t="s">
        <v>36</v>
      </c>
      <c r="M5617" s="3" t="s">
        <v>36</v>
      </c>
      <c r="N5617" s="3" t="s">
        <v>36</v>
      </c>
      <c r="O5617" s="8" t="s">
        <v>36</v>
      </c>
      <c r="P5617" s="3" t="s">
        <v>36</v>
      </c>
      <c r="Q5617" s="3" t="s">
        <v>36</v>
      </c>
      <c r="R5617" s="3" t="s">
        <v>36</v>
      </c>
      <c r="S5617" s="3" t="s">
        <v>36</v>
      </c>
      <c r="T5617" s="3" t="s">
        <v>105</v>
      </c>
      <c r="U5617" s="3" t="s">
        <v>38</v>
      </c>
      <c r="V5617" s="3" t="s">
        <v>39</v>
      </c>
      <c r="W5617" s="3" t="s">
        <v>26324</v>
      </c>
      <c r="X5617" s="10" t="s">
        <v>26325</v>
      </c>
      <c r="Y5617" s="6" t="s">
        <v>42</v>
      </c>
      <c r="Z5617" s="4">
        <v>0.6</v>
      </c>
      <c r="AA5617" s="4" t="s">
        <v>36</v>
      </c>
      <c r="AB5617" s="3" t="s">
        <v>56</v>
      </c>
      <c r="AC5617" s="3" t="s">
        <v>26326</v>
      </c>
      <c r="AD5617" s="9">
        <v>43113</v>
      </c>
      <c r="AE5617" s="3" t="s">
        <v>110</v>
      </c>
      <c r="AF5617" s="3" t="s">
        <v>4674</v>
      </c>
      <c r="AG5617" s="3" t="s">
        <v>1485</v>
      </c>
      <c r="AH5617" s="11">
        <f>HYPERLINK("https://my.pitchbook.com?c=169776-82T","View Company Online")</f>
      </c>
    </row>
    <row r="5618">
      <c r="A5618" s="12" t="s">
        <v>26327</v>
      </c>
      <c r="B5618" s="12" t="s">
        <v>26328</v>
      </c>
      <c r="C5618" s="19" t="s">
        <v>36</v>
      </c>
      <c r="D5618" s="19" t="s">
        <v>36</v>
      </c>
      <c r="E5618" s="19" t="s">
        <v>36</v>
      </c>
      <c r="F5618" s="19" t="s">
        <v>36</v>
      </c>
      <c r="G5618" s="15" t="s">
        <v>36</v>
      </c>
      <c r="H5618" s="14">
        <v>109.05</v>
      </c>
      <c r="I5618" s="18">
        <v>21.09</v>
      </c>
      <c r="J5618" s="12" t="s">
        <v>521</v>
      </c>
      <c r="K5618" s="13" t="s">
        <v>36</v>
      </c>
      <c r="L5618" s="15" t="s">
        <v>36</v>
      </c>
      <c r="M5618" s="12" t="s">
        <v>36</v>
      </c>
      <c r="N5618" s="12" t="s">
        <v>36</v>
      </c>
      <c r="O5618" s="17" t="s">
        <v>36</v>
      </c>
      <c r="P5618" s="12" t="s">
        <v>36</v>
      </c>
      <c r="Q5618" s="12" t="s">
        <v>36</v>
      </c>
      <c r="R5618" s="12" t="s">
        <v>36</v>
      </c>
      <c r="S5618" s="12" t="s">
        <v>36</v>
      </c>
      <c r="T5618" s="12" t="s">
        <v>26329</v>
      </c>
      <c r="U5618" s="12" t="s">
        <v>279</v>
      </c>
      <c r="V5618" s="12" t="s">
        <v>64</v>
      </c>
      <c r="W5618" s="12" t="s">
        <v>26330</v>
      </c>
      <c r="X5618" s="16" t="s">
        <v>18564</v>
      </c>
      <c r="Y5618" s="15" t="s">
        <v>42</v>
      </c>
      <c r="Z5618" s="14">
        <v>1.68</v>
      </c>
      <c r="AA5618" s="14">
        <v>7.94</v>
      </c>
      <c r="AB5618" s="12" t="s">
        <v>56</v>
      </c>
      <c r="AC5618" s="12" t="s">
        <v>26331</v>
      </c>
      <c r="AD5618" s="13">
        <v>43113</v>
      </c>
      <c r="AE5618" s="12" t="s">
        <v>740</v>
      </c>
      <c r="AF5618" s="12" t="s">
        <v>546</v>
      </c>
      <c r="AG5618" s="12" t="s">
        <v>81</v>
      </c>
      <c r="AH5618" s="1">
        <f>HYPERLINK("https://my.pitchbook.com?c=140970-97T","View Company Online")</f>
      </c>
    </row>
    <row r="5619">
      <c r="A5619" s="3" t="s">
        <v>26332</v>
      </c>
      <c r="B5619" s="3" t="s">
        <v>26333</v>
      </c>
      <c r="C5619" s="5" t="s">
        <v>36</v>
      </c>
      <c r="D5619" s="5" t="s">
        <v>36</v>
      </c>
      <c r="E5619" s="5" t="s">
        <v>36</v>
      </c>
      <c r="F5619" s="5" t="s">
        <v>36</v>
      </c>
      <c r="G5619" s="6" t="s">
        <v>36</v>
      </c>
      <c r="H5619" s="4">
        <v>1066.32</v>
      </c>
      <c r="I5619" s="7">
        <v>24.17</v>
      </c>
      <c r="J5619" s="3" t="s">
        <v>521</v>
      </c>
      <c r="K5619" s="9">
        <v>43088</v>
      </c>
      <c r="L5619" s="6" t="s">
        <v>122</v>
      </c>
      <c r="M5619" s="3" t="s">
        <v>36</v>
      </c>
      <c r="N5619" s="3" t="s">
        <v>122</v>
      </c>
      <c r="O5619" s="8" t="s">
        <v>36</v>
      </c>
      <c r="P5619" s="3" t="s">
        <v>36</v>
      </c>
      <c r="Q5619" s="3" t="s">
        <v>36</v>
      </c>
      <c r="R5619" s="3" t="s">
        <v>36</v>
      </c>
      <c r="S5619" s="3" t="s">
        <v>36</v>
      </c>
      <c r="T5619" s="3" t="s">
        <v>1048</v>
      </c>
      <c r="U5619" s="3" t="s">
        <v>423</v>
      </c>
      <c r="V5619" s="3" t="s">
        <v>64</v>
      </c>
      <c r="W5619" s="3" t="s">
        <v>26334</v>
      </c>
      <c r="X5619" s="10" t="s">
        <v>26335</v>
      </c>
      <c r="Y5619" s="6" t="s">
        <v>55</v>
      </c>
      <c r="Z5619" s="4">
        <v>5.61</v>
      </c>
      <c r="AA5619" s="4">
        <v>23.22</v>
      </c>
      <c r="AB5619" s="3" t="s">
        <v>43</v>
      </c>
      <c r="AC5619" s="3" t="s">
        <v>26336</v>
      </c>
      <c r="AD5619" s="9">
        <v>43112</v>
      </c>
      <c r="AE5619" s="3" t="s">
        <v>1051</v>
      </c>
      <c r="AF5619" s="3" t="s">
        <v>22133</v>
      </c>
      <c r="AG5619" s="3" t="s">
        <v>81</v>
      </c>
      <c r="AH5619" s="11">
        <f>HYPERLINK("https://my.pitchbook.com?c=107532-73T","View Company Online")</f>
      </c>
    </row>
    <row r="5620">
      <c r="A5620" s="12" t="s">
        <v>26337</v>
      </c>
      <c r="B5620" s="12" t="s">
        <v>17698</v>
      </c>
      <c r="C5620" s="19" t="s">
        <v>36</v>
      </c>
      <c r="D5620" s="19" t="s">
        <v>36</v>
      </c>
      <c r="E5620" s="19" t="s">
        <v>36</v>
      </c>
      <c r="F5620" s="19" t="s">
        <v>36</v>
      </c>
      <c r="G5620" s="15" t="s">
        <v>683</v>
      </c>
      <c r="H5620" s="14">
        <v>123.59</v>
      </c>
      <c r="I5620" s="18">
        <v>27.11</v>
      </c>
      <c r="J5620" s="12" t="s">
        <v>521</v>
      </c>
      <c r="K5620" s="13">
        <v>43091</v>
      </c>
      <c r="L5620" s="15" t="s">
        <v>36</v>
      </c>
      <c r="M5620" s="12" t="s">
        <v>36</v>
      </c>
      <c r="N5620" s="12" t="s">
        <v>36</v>
      </c>
      <c r="O5620" s="17" t="s">
        <v>36</v>
      </c>
      <c r="P5620" s="12" t="s">
        <v>36</v>
      </c>
      <c r="Q5620" s="12" t="s">
        <v>36</v>
      </c>
      <c r="R5620" s="12" t="s">
        <v>36</v>
      </c>
      <c r="S5620" s="12" t="s">
        <v>36</v>
      </c>
      <c r="T5620" s="12" t="s">
        <v>17699</v>
      </c>
      <c r="U5620" s="12" t="s">
        <v>63</v>
      </c>
      <c r="V5620" s="12" t="s">
        <v>64</v>
      </c>
      <c r="W5620" s="12" t="s">
        <v>17700</v>
      </c>
      <c r="X5620" s="16" t="s">
        <v>26338</v>
      </c>
      <c r="Y5620" s="15" t="s">
        <v>108</v>
      </c>
      <c r="Z5620" s="14">
        <v>1.87</v>
      </c>
      <c r="AA5620" s="14">
        <v>6.91</v>
      </c>
      <c r="AB5620" s="12" t="s">
        <v>43</v>
      </c>
      <c r="AC5620" s="12" t="s">
        <v>17701</v>
      </c>
      <c r="AD5620" s="13">
        <v>43111</v>
      </c>
      <c r="AE5620" s="12" t="s">
        <v>68</v>
      </c>
      <c r="AF5620" s="12" t="s">
        <v>4270</v>
      </c>
      <c r="AG5620" s="12" t="s">
        <v>81</v>
      </c>
      <c r="AH5620" s="1">
        <f>HYPERLINK("https://my.pitchbook.com?c=123118-66T","View Company Online")</f>
      </c>
    </row>
    <row r="5621">
      <c r="A5621" s="3" t="s">
        <v>26339</v>
      </c>
      <c r="B5621" s="3" t="s">
        <v>6640</v>
      </c>
      <c r="C5621" s="5">
        <v>42</v>
      </c>
      <c r="D5621" s="5">
        <v>54</v>
      </c>
      <c r="E5621" s="5">
        <v>49</v>
      </c>
      <c r="F5621" s="5">
        <v>99</v>
      </c>
      <c r="G5621" s="6" t="s">
        <v>2497</v>
      </c>
      <c r="H5621" s="4">
        <v>498.66</v>
      </c>
      <c r="I5621" s="7">
        <v>28.35</v>
      </c>
      <c r="J5621" s="3" t="s">
        <v>521</v>
      </c>
      <c r="K5621" s="9" t="s">
        <v>36</v>
      </c>
      <c r="L5621" s="6" t="s">
        <v>36</v>
      </c>
      <c r="M5621" s="3" t="s">
        <v>36</v>
      </c>
      <c r="N5621" s="3" t="s">
        <v>36</v>
      </c>
      <c r="O5621" s="8" t="s">
        <v>36</v>
      </c>
      <c r="P5621" s="3" t="s">
        <v>36</v>
      </c>
      <c r="Q5621" s="3" t="s">
        <v>36</v>
      </c>
      <c r="R5621" s="3" t="s">
        <v>36</v>
      </c>
      <c r="S5621" s="3" t="s">
        <v>36</v>
      </c>
      <c r="T5621" s="3" t="s">
        <v>596</v>
      </c>
      <c r="U5621" s="3" t="s">
        <v>366</v>
      </c>
      <c r="V5621" s="3" t="s">
        <v>367</v>
      </c>
      <c r="W5621" s="3" t="s">
        <v>6641</v>
      </c>
      <c r="X5621" s="10" t="s">
        <v>15228</v>
      </c>
      <c r="Y5621" s="6" t="s">
        <v>192</v>
      </c>
      <c r="Z5621" s="4">
        <v>8.15</v>
      </c>
      <c r="AA5621" s="4">
        <v>28.75</v>
      </c>
      <c r="AB5621" s="3" t="s">
        <v>56</v>
      </c>
      <c r="AC5621" s="3" t="s">
        <v>6643</v>
      </c>
      <c r="AD5621" s="9">
        <v>43111</v>
      </c>
      <c r="AE5621" s="3" t="s">
        <v>600</v>
      </c>
      <c r="AF5621" s="3" t="s">
        <v>703</v>
      </c>
      <c r="AG5621" s="3" t="s">
        <v>6644</v>
      </c>
      <c r="AH5621" s="11">
        <f>HYPERLINK("https://my.pitchbook.com?c=122124-07T","View Company Online")</f>
      </c>
    </row>
    <row r="5622">
      <c r="A5622" s="12" t="s">
        <v>26340</v>
      </c>
      <c r="B5622" s="12" t="s">
        <v>26341</v>
      </c>
      <c r="C5622" s="19" t="s">
        <v>36</v>
      </c>
      <c r="D5622" s="19" t="s">
        <v>36</v>
      </c>
      <c r="E5622" s="19" t="s">
        <v>36</v>
      </c>
      <c r="F5622" s="19" t="s">
        <v>36</v>
      </c>
      <c r="G5622" s="15" t="s">
        <v>36</v>
      </c>
      <c r="H5622" s="14">
        <v>473.26</v>
      </c>
      <c r="I5622" s="18">
        <v>29.65</v>
      </c>
      <c r="J5622" s="12" t="s">
        <v>521</v>
      </c>
      <c r="K5622" s="13">
        <v>43094</v>
      </c>
      <c r="L5622" s="15" t="s">
        <v>36</v>
      </c>
      <c r="M5622" s="12" t="s">
        <v>36</v>
      </c>
      <c r="N5622" s="12" t="s">
        <v>36</v>
      </c>
      <c r="O5622" s="17" t="s">
        <v>36</v>
      </c>
      <c r="P5622" s="12" t="s">
        <v>36</v>
      </c>
      <c r="Q5622" s="12" t="s">
        <v>36</v>
      </c>
      <c r="R5622" s="12" t="s">
        <v>36</v>
      </c>
      <c r="S5622" s="12" t="s">
        <v>36</v>
      </c>
      <c r="T5622" s="12" t="s">
        <v>105</v>
      </c>
      <c r="U5622" s="12" t="s">
        <v>38</v>
      </c>
      <c r="V5622" s="12" t="s">
        <v>39</v>
      </c>
      <c r="W5622" s="12" t="s">
        <v>26342</v>
      </c>
      <c r="X5622" s="16" t="s">
        <v>26343</v>
      </c>
      <c r="Y5622" s="15" t="s">
        <v>321</v>
      </c>
      <c r="Z5622" s="14">
        <v>8.33</v>
      </c>
      <c r="AA5622" s="14">
        <v>24.59</v>
      </c>
      <c r="AB5622" s="12" t="s">
        <v>56</v>
      </c>
      <c r="AC5622" s="12" t="s">
        <v>26344</v>
      </c>
      <c r="AD5622" s="13">
        <v>43110</v>
      </c>
      <c r="AE5622" s="12" t="s">
        <v>110</v>
      </c>
      <c r="AF5622" s="12" t="s">
        <v>1401</v>
      </c>
      <c r="AG5622" s="12" t="s">
        <v>3595</v>
      </c>
      <c r="AH5622" s="1">
        <f>HYPERLINK("https://my.pitchbook.com?c=100030-96T","View Company Online")</f>
      </c>
    </row>
    <row r="5623">
      <c r="A5623" s="3" t="s">
        <v>26345</v>
      </c>
      <c r="B5623" s="3" t="s">
        <v>26346</v>
      </c>
      <c r="C5623" s="5">
        <v>1</v>
      </c>
      <c r="D5623" s="5">
        <v>1</v>
      </c>
      <c r="E5623" s="5">
        <v>2</v>
      </c>
      <c r="F5623" s="5">
        <v>5</v>
      </c>
      <c r="G5623" s="6" t="s">
        <v>36</v>
      </c>
      <c r="H5623" s="4" t="s">
        <v>36</v>
      </c>
      <c r="I5623" s="7" t="s">
        <v>36</v>
      </c>
      <c r="J5623" s="3" t="s">
        <v>36</v>
      </c>
      <c r="K5623" s="9" t="s">
        <v>36</v>
      </c>
      <c r="L5623" s="6" t="s">
        <v>36</v>
      </c>
      <c r="M5623" s="3" t="s">
        <v>36</v>
      </c>
      <c r="N5623" s="3" t="s">
        <v>36</v>
      </c>
      <c r="O5623" s="8" t="s">
        <v>36</v>
      </c>
      <c r="P5623" s="3" t="s">
        <v>36</v>
      </c>
      <c r="Q5623" s="3" t="s">
        <v>36</v>
      </c>
      <c r="R5623" s="3" t="s">
        <v>36</v>
      </c>
      <c r="S5623" s="3" t="s">
        <v>36</v>
      </c>
      <c r="T5623" s="3" t="s">
        <v>596</v>
      </c>
      <c r="U5623" s="3" t="s">
        <v>366</v>
      </c>
      <c r="V5623" s="3" t="s">
        <v>367</v>
      </c>
      <c r="W5623" s="3" t="s">
        <v>26347</v>
      </c>
      <c r="X5623" s="10" t="s">
        <v>26348</v>
      </c>
      <c r="Y5623" s="6" t="s">
        <v>55</v>
      </c>
      <c r="Z5623" s="4" t="s">
        <v>36</v>
      </c>
      <c r="AA5623" s="4" t="s">
        <v>36</v>
      </c>
      <c r="AB5623" s="3" t="s">
        <v>56</v>
      </c>
      <c r="AC5623" s="3" t="s">
        <v>26349</v>
      </c>
      <c r="AD5623" s="9">
        <v>43109</v>
      </c>
      <c r="AE5623" s="3" t="s">
        <v>600</v>
      </c>
      <c r="AF5623" s="3" t="s">
        <v>26350</v>
      </c>
      <c r="AG5623" s="3" t="s">
        <v>26351</v>
      </c>
      <c r="AH5623" s="11">
        <f>HYPERLINK("https://my.pitchbook.com?c=104653-72T","View Company Online")</f>
      </c>
    </row>
    <row r="5624">
      <c r="A5624" s="12" t="s">
        <v>26352</v>
      </c>
      <c r="B5624" s="12" t="s">
        <v>20424</v>
      </c>
      <c r="C5624" s="19" t="s">
        <v>36</v>
      </c>
      <c r="D5624" s="19" t="s">
        <v>36</v>
      </c>
      <c r="E5624" s="19" t="s">
        <v>36</v>
      </c>
      <c r="F5624" s="19" t="s">
        <v>36</v>
      </c>
      <c r="G5624" s="15" t="s">
        <v>36</v>
      </c>
      <c r="H5624" s="14" t="s">
        <v>36</v>
      </c>
      <c r="I5624" s="18" t="s">
        <v>36</v>
      </c>
      <c r="J5624" s="12" t="s">
        <v>36</v>
      </c>
      <c r="K5624" s="13" t="s">
        <v>36</v>
      </c>
      <c r="L5624" s="15" t="s">
        <v>36</v>
      </c>
      <c r="M5624" s="12" t="s">
        <v>36</v>
      </c>
      <c r="N5624" s="12" t="s">
        <v>36</v>
      </c>
      <c r="O5624" s="17" t="s">
        <v>36</v>
      </c>
      <c r="P5624" s="12" t="s">
        <v>36</v>
      </c>
      <c r="Q5624" s="12" t="s">
        <v>36</v>
      </c>
      <c r="R5624" s="12" t="s">
        <v>36</v>
      </c>
      <c r="S5624" s="12" t="s">
        <v>36</v>
      </c>
      <c r="T5624" s="12" t="s">
        <v>2084</v>
      </c>
      <c r="U5624" s="12" t="s">
        <v>74</v>
      </c>
      <c r="V5624" s="12" t="s">
        <v>75</v>
      </c>
      <c r="W5624" s="12" t="s">
        <v>20425</v>
      </c>
      <c r="X5624" s="16" t="s">
        <v>26353</v>
      </c>
      <c r="Y5624" s="15" t="s">
        <v>108</v>
      </c>
      <c r="Z5624" s="14">
        <v>1.43</v>
      </c>
      <c r="AA5624" s="14" t="s">
        <v>36</v>
      </c>
      <c r="AB5624" s="12" t="s">
        <v>43</v>
      </c>
      <c r="AC5624" s="12" t="s">
        <v>20427</v>
      </c>
      <c r="AD5624" s="13">
        <v>43109</v>
      </c>
      <c r="AE5624" s="12" t="s">
        <v>362</v>
      </c>
      <c r="AF5624" s="12" t="s">
        <v>20428</v>
      </c>
      <c r="AG5624" s="12" t="s">
        <v>81</v>
      </c>
      <c r="AH5624" s="1">
        <f>HYPERLINK("https://my.pitchbook.com?c=129994-30T","View Company Online")</f>
      </c>
    </row>
    <row r="5625">
      <c r="A5625" s="3" t="s">
        <v>26354</v>
      </c>
      <c r="B5625" s="3" t="s">
        <v>11458</v>
      </c>
      <c r="C5625" s="5" t="s">
        <v>36</v>
      </c>
      <c r="D5625" s="5" t="s">
        <v>36</v>
      </c>
      <c r="E5625" s="5" t="s">
        <v>36</v>
      </c>
      <c r="F5625" s="5" t="s">
        <v>36</v>
      </c>
      <c r="G5625" s="6" t="s">
        <v>36</v>
      </c>
      <c r="H5625" s="4" t="s">
        <v>36</v>
      </c>
      <c r="I5625" s="7" t="s">
        <v>36</v>
      </c>
      <c r="J5625" s="3" t="s">
        <v>36</v>
      </c>
      <c r="K5625" s="9" t="s">
        <v>36</v>
      </c>
      <c r="L5625" s="6" t="s">
        <v>36</v>
      </c>
      <c r="M5625" s="3" t="s">
        <v>36</v>
      </c>
      <c r="N5625" s="3" t="s">
        <v>36</v>
      </c>
      <c r="O5625" s="8" t="s">
        <v>36</v>
      </c>
      <c r="P5625" s="3" t="s">
        <v>36</v>
      </c>
      <c r="Q5625" s="3" t="s">
        <v>36</v>
      </c>
      <c r="R5625" s="3" t="s">
        <v>36</v>
      </c>
      <c r="S5625" s="3" t="s">
        <v>196</v>
      </c>
      <c r="T5625" s="3" t="s">
        <v>1106</v>
      </c>
      <c r="U5625" s="3" t="s">
        <v>38</v>
      </c>
      <c r="V5625" s="3" t="s">
        <v>39</v>
      </c>
      <c r="W5625" s="3" t="s">
        <v>11459</v>
      </c>
      <c r="X5625" s="10" t="s">
        <v>26355</v>
      </c>
      <c r="Y5625" s="6" t="s">
        <v>42</v>
      </c>
      <c r="Z5625" s="4" t="s">
        <v>36</v>
      </c>
      <c r="AA5625" s="4" t="s">
        <v>36</v>
      </c>
      <c r="AB5625" s="3" t="s">
        <v>43</v>
      </c>
      <c r="AC5625" s="3" t="s">
        <v>11461</v>
      </c>
      <c r="AD5625" s="9">
        <v>43108</v>
      </c>
      <c r="AE5625" s="3" t="s">
        <v>110</v>
      </c>
      <c r="AF5625" s="3" t="s">
        <v>11462</v>
      </c>
      <c r="AG5625" s="3" t="s">
        <v>741</v>
      </c>
      <c r="AH5625" s="11">
        <f>HYPERLINK("https://my.pitchbook.com?c=118722-88T","View Company Online")</f>
      </c>
    </row>
    <row r="5626">
      <c r="A5626" s="12" t="s">
        <v>26356</v>
      </c>
      <c r="B5626" s="12" t="s">
        <v>5760</v>
      </c>
      <c r="C5626" s="19">
        <v>48</v>
      </c>
      <c r="D5626" s="19">
        <v>52</v>
      </c>
      <c r="E5626" s="19">
        <v>20</v>
      </c>
      <c r="F5626" s="19">
        <v>109</v>
      </c>
      <c r="G5626" s="15" t="s">
        <v>326</v>
      </c>
      <c r="H5626" s="14">
        <v>8.44</v>
      </c>
      <c r="I5626" s="18">
        <v>28.2</v>
      </c>
      <c r="J5626" s="12" t="s">
        <v>521</v>
      </c>
      <c r="K5626" s="13" t="s">
        <v>36</v>
      </c>
      <c r="L5626" s="15" t="s">
        <v>3736</v>
      </c>
      <c r="M5626" s="12" t="s">
        <v>36</v>
      </c>
      <c r="N5626" s="12" t="s">
        <v>3736</v>
      </c>
      <c r="O5626" s="17" t="s">
        <v>36</v>
      </c>
      <c r="P5626" s="12" t="s">
        <v>36</v>
      </c>
      <c r="Q5626" s="12" t="s">
        <v>36</v>
      </c>
      <c r="R5626" s="12" t="s">
        <v>36</v>
      </c>
      <c r="S5626" s="12" t="s">
        <v>36</v>
      </c>
      <c r="T5626" s="12" t="s">
        <v>881</v>
      </c>
      <c r="U5626" s="12" t="s">
        <v>51</v>
      </c>
      <c r="V5626" s="12" t="s">
        <v>52</v>
      </c>
      <c r="W5626" s="12" t="s">
        <v>5761</v>
      </c>
      <c r="X5626" s="16" t="s">
        <v>26357</v>
      </c>
      <c r="Y5626" s="15" t="s">
        <v>166</v>
      </c>
      <c r="Z5626" s="14">
        <v>85.04</v>
      </c>
      <c r="AA5626" s="14">
        <v>133.34</v>
      </c>
      <c r="AB5626" s="12" t="s">
        <v>56</v>
      </c>
      <c r="AC5626" s="12" t="s">
        <v>5763</v>
      </c>
      <c r="AD5626" s="13">
        <v>43104</v>
      </c>
      <c r="AE5626" s="12" t="s">
        <v>504</v>
      </c>
      <c r="AF5626" s="12" t="s">
        <v>665</v>
      </c>
      <c r="AG5626" s="12" t="s">
        <v>81</v>
      </c>
      <c r="AH5626" s="1">
        <f>HYPERLINK("https://my.pitchbook.com?c=99557-56T","View Company Online")</f>
      </c>
    </row>
    <row r="5627">
      <c r="A5627" s="3" t="s">
        <v>26358</v>
      </c>
      <c r="B5627" s="3" t="s">
        <v>26359</v>
      </c>
      <c r="C5627" s="5" t="s">
        <v>36</v>
      </c>
      <c r="D5627" s="5" t="s">
        <v>36</v>
      </c>
      <c r="E5627" s="5" t="s">
        <v>36</v>
      </c>
      <c r="F5627" s="5" t="s">
        <v>36</v>
      </c>
      <c r="G5627" s="6" t="s">
        <v>36</v>
      </c>
      <c r="H5627" s="4">
        <v>86.78</v>
      </c>
      <c r="I5627" s="7">
        <v>18.37</v>
      </c>
      <c r="J5627" s="3" t="s">
        <v>521</v>
      </c>
      <c r="K5627" s="9">
        <v>43066</v>
      </c>
      <c r="L5627" s="6" t="s">
        <v>36</v>
      </c>
      <c r="M5627" s="3" t="s">
        <v>36</v>
      </c>
      <c r="N5627" s="3" t="s">
        <v>36</v>
      </c>
      <c r="O5627" s="8" t="s">
        <v>36</v>
      </c>
      <c r="P5627" s="3" t="s">
        <v>36</v>
      </c>
      <c r="Q5627" s="3" t="s">
        <v>36</v>
      </c>
      <c r="R5627" s="3" t="s">
        <v>36</v>
      </c>
      <c r="S5627" s="3" t="s">
        <v>36</v>
      </c>
      <c r="T5627" s="3" t="s">
        <v>26360</v>
      </c>
      <c r="U5627" s="3" t="s">
        <v>289</v>
      </c>
      <c r="V5627" s="3" t="s">
        <v>64</v>
      </c>
      <c r="W5627" s="3" t="s">
        <v>26361</v>
      </c>
      <c r="X5627" s="10" t="s">
        <v>26362</v>
      </c>
      <c r="Y5627" s="6" t="s">
        <v>42</v>
      </c>
      <c r="Z5627" s="4">
        <v>0.22</v>
      </c>
      <c r="AA5627" s="4">
        <v>1.21</v>
      </c>
      <c r="AB5627" s="3" t="s">
        <v>43</v>
      </c>
      <c r="AC5627" s="3" t="s">
        <v>26363</v>
      </c>
      <c r="AD5627" s="9">
        <v>43104</v>
      </c>
      <c r="AE5627" s="3" t="s">
        <v>3134</v>
      </c>
      <c r="AF5627" s="3" t="s">
        <v>90</v>
      </c>
      <c r="AG5627" s="3" t="s">
        <v>26364</v>
      </c>
      <c r="AH5627" s="11">
        <f>HYPERLINK("https://my.pitchbook.com?c=108623-98T","View Company Online")</f>
      </c>
    </row>
    <row r="5628">
      <c r="A5628" s="12" t="s">
        <v>26365</v>
      </c>
      <c r="B5628" s="12" t="s">
        <v>26366</v>
      </c>
      <c r="C5628" s="19" t="s">
        <v>36</v>
      </c>
      <c r="D5628" s="19" t="s">
        <v>36</v>
      </c>
      <c r="E5628" s="19" t="s">
        <v>36</v>
      </c>
      <c r="F5628" s="19" t="s">
        <v>36</v>
      </c>
      <c r="G5628" s="15" t="s">
        <v>683</v>
      </c>
      <c r="H5628" s="14">
        <v>7.76</v>
      </c>
      <c r="I5628" s="18">
        <v>5.71</v>
      </c>
      <c r="J5628" s="12" t="s">
        <v>521</v>
      </c>
      <c r="K5628" s="13" t="s">
        <v>36</v>
      </c>
      <c r="L5628" s="15" t="s">
        <v>1279</v>
      </c>
      <c r="M5628" s="12" t="s">
        <v>36</v>
      </c>
      <c r="N5628" s="12" t="s">
        <v>1279</v>
      </c>
      <c r="O5628" s="17" t="s">
        <v>36</v>
      </c>
      <c r="P5628" s="12" t="s">
        <v>36</v>
      </c>
      <c r="Q5628" s="12" t="s">
        <v>36</v>
      </c>
      <c r="R5628" s="12" t="s">
        <v>36</v>
      </c>
      <c r="S5628" s="12" t="s">
        <v>36</v>
      </c>
      <c r="T5628" s="12" t="s">
        <v>7351</v>
      </c>
      <c r="U5628" s="12" t="s">
        <v>728</v>
      </c>
      <c r="V5628" s="12" t="s">
        <v>64</v>
      </c>
      <c r="W5628" s="12" t="s">
        <v>26367</v>
      </c>
      <c r="X5628" s="16" t="s">
        <v>26368</v>
      </c>
      <c r="Y5628" s="15" t="s">
        <v>55</v>
      </c>
      <c r="Z5628" s="14">
        <v>2.13</v>
      </c>
      <c r="AA5628" s="14">
        <v>37.41</v>
      </c>
      <c r="AB5628" s="12" t="s">
        <v>56</v>
      </c>
      <c r="AC5628" s="12" t="s">
        <v>26369</v>
      </c>
      <c r="AD5628" s="13">
        <v>43104</v>
      </c>
      <c r="AE5628" s="12" t="s">
        <v>1600</v>
      </c>
      <c r="AF5628" s="12" t="s">
        <v>2118</v>
      </c>
      <c r="AG5628" s="12" t="s">
        <v>26370</v>
      </c>
      <c r="AH5628" s="1">
        <f>HYPERLINK("https://my.pitchbook.com?c=135629-20T","View Company Online")</f>
      </c>
    </row>
    <row r="5629">
      <c r="A5629" s="3" t="s">
        <v>26371</v>
      </c>
      <c r="B5629" s="3" t="s">
        <v>26372</v>
      </c>
      <c r="C5629" s="5" t="s">
        <v>36</v>
      </c>
      <c r="D5629" s="5">
        <v>8</v>
      </c>
      <c r="E5629" s="5">
        <v>2</v>
      </c>
      <c r="F5629" s="5">
        <v>8</v>
      </c>
      <c r="G5629" s="6" t="s">
        <v>36</v>
      </c>
      <c r="H5629" s="4">
        <v>311.57</v>
      </c>
      <c r="I5629" s="7">
        <v>22.57</v>
      </c>
      <c r="J5629" s="3" t="s">
        <v>521</v>
      </c>
      <c r="K5629" s="9" t="s">
        <v>36</v>
      </c>
      <c r="L5629" s="6" t="s">
        <v>36</v>
      </c>
      <c r="M5629" s="3" t="s">
        <v>36</v>
      </c>
      <c r="N5629" s="3" t="s">
        <v>36</v>
      </c>
      <c r="O5629" s="8" t="s">
        <v>36</v>
      </c>
      <c r="P5629" s="3" t="s">
        <v>36</v>
      </c>
      <c r="Q5629" s="3" t="s">
        <v>36</v>
      </c>
      <c r="R5629" s="3" t="s">
        <v>36</v>
      </c>
      <c r="S5629" s="3" t="s">
        <v>36</v>
      </c>
      <c r="T5629" s="3" t="s">
        <v>23517</v>
      </c>
      <c r="U5629" s="3" t="s">
        <v>318</v>
      </c>
      <c r="V5629" s="3" t="s">
        <v>39</v>
      </c>
      <c r="W5629" s="3" t="s">
        <v>26373</v>
      </c>
      <c r="X5629" s="10" t="s">
        <v>26374</v>
      </c>
      <c r="Y5629" s="6" t="s">
        <v>42</v>
      </c>
      <c r="Z5629" s="4">
        <v>0.41</v>
      </c>
      <c r="AA5629" s="4">
        <v>1.84</v>
      </c>
      <c r="AB5629" s="3" t="s">
        <v>43</v>
      </c>
      <c r="AC5629" s="3" t="s">
        <v>26375</v>
      </c>
      <c r="AD5629" s="9">
        <v>43103</v>
      </c>
      <c r="AE5629" s="3" t="s">
        <v>763</v>
      </c>
      <c r="AF5629" s="3" t="s">
        <v>26376</v>
      </c>
      <c r="AG5629" s="3" t="s">
        <v>512</v>
      </c>
      <c r="AH5629" s="11">
        <f>HYPERLINK("https://my.pitchbook.com?c=103121-65T","View Company Online")</f>
      </c>
    </row>
    <row r="5630">
      <c r="A5630" s="12" t="s">
        <v>26377</v>
      </c>
      <c r="B5630" s="12" t="s">
        <v>4219</v>
      </c>
      <c r="C5630" s="19" t="s">
        <v>36</v>
      </c>
      <c r="D5630" s="19" t="s">
        <v>36</v>
      </c>
      <c r="E5630" s="19" t="s">
        <v>36</v>
      </c>
      <c r="F5630" s="19" t="s">
        <v>36</v>
      </c>
      <c r="G5630" s="15" t="s">
        <v>326</v>
      </c>
      <c r="H5630" s="14">
        <v>1855.14</v>
      </c>
      <c r="I5630" s="18">
        <v>8.74</v>
      </c>
      <c r="J5630" s="12" t="s">
        <v>521</v>
      </c>
      <c r="K5630" s="13" t="s">
        <v>36</v>
      </c>
      <c r="L5630" s="15" t="s">
        <v>36</v>
      </c>
      <c r="M5630" s="12" t="s">
        <v>36</v>
      </c>
      <c r="N5630" s="12" t="s">
        <v>36</v>
      </c>
      <c r="O5630" s="17" t="s">
        <v>36</v>
      </c>
      <c r="P5630" s="12" t="s">
        <v>36</v>
      </c>
      <c r="Q5630" s="12" t="s">
        <v>36</v>
      </c>
      <c r="R5630" s="12" t="s">
        <v>36</v>
      </c>
      <c r="S5630" s="12" t="s">
        <v>36</v>
      </c>
      <c r="T5630" s="12" t="s">
        <v>472</v>
      </c>
      <c r="U5630" s="12" t="s">
        <v>38</v>
      </c>
      <c r="V5630" s="12" t="s">
        <v>39</v>
      </c>
      <c r="W5630" s="12" t="s">
        <v>4220</v>
      </c>
      <c r="X5630" s="16" t="s">
        <v>8652</v>
      </c>
      <c r="Y5630" s="15" t="s">
        <v>108</v>
      </c>
      <c r="Z5630" s="14">
        <v>1.36</v>
      </c>
      <c r="AA5630" s="14">
        <v>15.58</v>
      </c>
      <c r="AB5630" s="12" t="s">
        <v>43</v>
      </c>
      <c r="AC5630" s="12" t="s">
        <v>4222</v>
      </c>
      <c r="AD5630" s="13">
        <v>43103</v>
      </c>
      <c r="AE5630" s="12" t="s">
        <v>110</v>
      </c>
      <c r="AF5630" s="12" t="s">
        <v>176</v>
      </c>
      <c r="AG5630" s="12" t="s">
        <v>81</v>
      </c>
      <c r="AH5630" s="1">
        <f>HYPERLINK("https://my.pitchbook.com?c=203310-73T","View Company Online")</f>
      </c>
    </row>
    <row r="5631">
      <c r="A5631" s="3" t="s">
        <v>26378</v>
      </c>
      <c r="B5631" s="3" t="s">
        <v>13389</v>
      </c>
      <c r="C5631" s="5">
        <v>3</v>
      </c>
      <c r="D5631" s="5">
        <v>5</v>
      </c>
      <c r="E5631" s="5">
        <v>2</v>
      </c>
      <c r="F5631" s="5">
        <v>8</v>
      </c>
      <c r="G5631" s="6" t="s">
        <v>36</v>
      </c>
      <c r="H5631" s="4" t="s">
        <v>36</v>
      </c>
      <c r="I5631" s="7" t="s">
        <v>36</v>
      </c>
      <c r="J5631" s="3" t="s">
        <v>36</v>
      </c>
      <c r="K5631" s="9" t="s">
        <v>36</v>
      </c>
      <c r="L5631" s="6" t="s">
        <v>36</v>
      </c>
      <c r="M5631" s="3" t="s">
        <v>36</v>
      </c>
      <c r="N5631" s="3" t="s">
        <v>36</v>
      </c>
      <c r="O5631" s="8" t="s">
        <v>36</v>
      </c>
      <c r="P5631" s="3" t="s">
        <v>36</v>
      </c>
      <c r="Q5631" s="3" t="s">
        <v>36</v>
      </c>
      <c r="R5631" s="3" t="s">
        <v>36</v>
      </c>
      <c r="S5631" s="3" t="s">
        <v>36</v>
      </c>
      <c r="T5631" s="3" t="s">
        <v>10993</v>
      </c>
      <c r="U5631" s="3" t="s">
        <v>51</v>
      </c>
      <c r="V5631" s="3" t="s">
        <v>52</v>
      </c>
      <c r="W5631" s="3" t="s">
        <v>13390</v>
      </c>
      <c r="X5631" s="10" t="s">
        <v>26379</v>
      </c>
      <c r="Y5631" s="6" t="s">
        <v>42</v>
      </c>
      <c r="Z5631" s="4">
        <v>1.78</v>
      </c>
      <c r="AA5631" s="4" t="s">
        <v>36</v>
      </c>
      <c r="AB5631" s="3" t="s">
        <v>56</v>
      </c>
      <c r="AC5631" s="3" t="s">
        <v>13392</v>
      </c>
      <c r="AD5631" s="9">
        <v>43101</v>
      </c>
      <c r="AE5631" s="3" t="s">
        <v>158</v>
      </c>
      <c r="AF5631" s="3" t="s">
        <v>1275</v>
      </c>
      <c r="AG5631" s="3" t="s">
        <v>12928</v>
      </c>
      <c r="AH5631" s="11">
        <f>HYPERLINK("https://my.pitchbook.com?c=120353-68T","View Company Online")</f>
      </c>
    </row>
    <row r="5632">
      <c r="A5632" s="12" t="s">
        <v>26380</v>
      </c>
      <c r="B5632" s="12" t="s">
        <v>1534</v>
      </c>
      <c r="C5632" s="19">
        <v>4</v>
      </c>
      <c r="D5632" s="19">
        <v>31</v>
      </c>
      <c r="E5632" s="19">
        <v>8</v>
      </c>
      <c r="F5632" s="19">
        <v>35</v>
      </c>
      <c r="G5632" s="15" t="s">
        <v>36</v>
      </c>
      <c r="H5632" s="14" t="s">
        <v>36</v>
      </c>
      <c r="I5632" s="18" t="s">
        <v>36</v>
      </c>
      <c r="J5632" s="12" t="s">
        <v>36</v>
      </c>
      <c r="K5632" s="13" t="s">
        <v>36</v>
      </c>
      <c r="L5632" s="15" t="s">
        <v>36</v>
      </c>
      <c r="M5632" s="12" t="s">
        <v>36</v>
      </c>
      <c r="N5632" s="12" t="s">
        <v>36</v>
      </c>
      <c r="O5632" s="17" t="s">
        <v>36</v>
      </c>
      <c r="P5632" s="12" t="s">
        <v>36</v>
      </c>
      <c r="Q5632" s="12" t="s">
        <v>36</v>
      </c>
      <c r="R5632" s="12" t="s">
        <v>36</v>
      </c>
      <c r="S5632" s="12" t="s">
        <v>36</v>
      </c>
      <c r="T5632" s="12" t="s">
        <v>1535</v>
      </c>
      <c r="U5632" s="12" t="s">
        <v>96</v>
      </c>
      <c r="V5632" s="12" t="s">
        <v>52</v>
      </c>
      <c r="W5632" s="12" t="s">
        <v>1536</v>
      </c>
      <c r="X5632" s="16" t="s">
        <v>26381</v>
      </c>
      <c r="Y5632" s="15" t="s">
        <v>55</v>
      </c>
      <c r="Z5632" s="14">
        <v>1.18</v>
      </c>
      <c r="AA5632" s="14" t="s">
        <v>36</v>
      </c>
      <c r="AB5632" s="12" t="s">
        <v>43</v>
      </c>
      <c r="AC5632" s="12" t="s">
        <v>1538</v>
      </c>
      <c r="AD5632" s="13">
        <v>43101</v>
      </c>
      <c r="AE5632" s="12" t="s">
        <v>1414</v>
      </c>
      <c r="AF5632" s="12" t="s">
        <v>885</v>
      </c>
      <c r="AG5632" s="12" t="s">
        <v>81</v>
      </c>
      <c r="AH5632" s="1">
        <f>HYPERLINK("https://my.pitchbook.com?c=233517-79T","View Company Online")</f>
      </c>
    </row>
    <row r="5633">
      <c r="A5633" s="3" t="s">
        <v>26382</v>
      </c>
      <c r="B5633" s="3" t="s">
        <v>1957</v>
      </c>
      <c r="C5633" s="5">
        <v>3</v>
      </c>
      <c r="D5633" s="5" t="s">
        <v>36</v>
      </c>
      <c r="E5633" s="5">
        <v>1</v>
      </c>
      <c r="F5633" s="5">
        <v>4</v>
      </c>
      <c r="G5633" s="6" t="s">
        <v>36</v>
      </c>
      <c r="H5633" s="4" t="s">
        <v>36</v>
      </c>
      <c r="I5633" s="7" t="s">
        <v>36</v>
      </c>
      <c r="J5633" s="3" t="s">
        <v>36</v>
      </c>
      <c r="K5633" s="9" t="s">
        <v>36</v>
      </c>
      <c r="L5633" s="6" t="s">
        <v>36</v>
      </c>
      <c r="M5633" s="3" t="s">
        <v>36</v>
      </c>
      <c r="N5633" s="3" t="s">
        <v>36</v>
      </c>
      <c r="O5633" s="8" t="s">
        <v>36</v>
      </c>
      <c r="P5633" s="3" t="s">
        <v>36</v>
      </c>
      <c r="Q5633" s="3" t="s">
        <v>36</v>
      </c>
      <c r="R5633" s="3" t="s">
        <v>36</v>
      </c>
      <c r="S5633" s="3" t="s">
        <v>36</v>
      </c>
      <c r="T5633" s="3" t="s">
        <v>1958</v>
      </c>
      <c r="U5633" s="3" t="s">
        <v>38</v>
      </c>
      <c r="V5633" s="3" t="s">
        <v>39</v>
      </c>
      <c r="W5633" s="3" t="s">
        <v>1959</v>
      </c>
      <c r="X5633" s="10" t="s">
        <v>22868</v>
      </c>
      <c r="Y5633" s="6" t="s">
        <v>42</v>
      </c>
      <c r="Z5633" s="4">
        <v>2.37</v>
      </c>
      <c r="AA5633" s="4" t="s">
        <v>36</v>
      </c>
      <c r="AB5633" s="3" t="s">
        <v>43</v>
      </c>
      <c r="AC5633" s="3" t="s">
        <v>1961</v>
      </c>
      <c r="AD5633" s="9">
        <v>43101</v>
      </c>
      <c r="AE5633" s="3" t="s">
        <v>45</v>
      </c>
      <c r="AF5633" s="3" t="s">
        <v>1962</v>
      </c>
      <c r="AG5633" s="3" t="s">
        <v>81</v>
      </c>
      <c r="AH5633" s="11">
        <f>HYPERLINK("https://my.pitchbook.com?c=133450-12T","View Company Online")</f>
      </c>
    </row>
    <row r="5634">
      <c r="A5634" s="12" t="s">
        <v>26383</v>
      </c>
      <c r="B5634" s="12" t="s">
        <v>26384</v>
      </c>
      <c r="C5634" s="19" t="s">
        <v>36</v>
      </c>
      <c r="D5634" s="19" t="s">
        <v>36</v>
      </c>
      <c r="E5634" s="19" t="s">
        <v>36</v>
      </c>
      <c r="F5634" s="19" t="s">
        <v>36</v>
      </c>
      <c r="G5634" s="15" t="s">
        <v>36</v>
      </c>
      <c r="H5634" s="14" t="s">
        <v>36</v>
      </c>
      <c r="I5634" s="18" t="s">
        <v>36</v>
      </c>
      <c r="J5634" s="12" t="s">
        <v>36</v>
      </c>
      <c r="K5634" s="13" t="s">
        <v>36</v>
      </c>
      <c r="L5634" s="15" t="s">
        <v>36</v>
      </c>
      <c r="M5634" s="12" t="s">
        <v>36</v>
      </c>
      <c r="N5634" s="12" t="s">
        <v>36</v>
      </c>
      <c r="O5634" s="17" t="s">
        <v>36</v>
      </c>
      <c r="P5634" s="12" t="s">
        <v>36</v>
      </c>
      <c r="Q5634" s="12" t="s">
        <v>36</v>
      </c>
      <c r="R5634" s="12" t="s">
        <v>36</v>
      </c>
      <c r="S5634" s="12" t="s">
        <v>36</v>
      </c>
      <c r="T5634" s="12" t="s">
        <v>26385</v>
      </c>
      <c r="U5634" s="12" t="s">
        <v>74</v>
      </c>
      <c r="V5634" s="12" t="s">
        <v>75</v>
      </c>
      <c r="W5634" s="12" t="s">
        <v>26386</v>
      </c>
      <c r="X5634" s="16" t="s">
        <v>1685</v>
      </c>
      <c r="Y5634" s="15" t="s">
        <v>42</v>
      </c>
      <c r="Z5634" s="14" t="s">
        <v>36</v>
      </c>
      <c r="AA5634" s="14" t="s">
        <v>36</v>
      </c>
      <c r="AB5634" s="12" t="s">
        <v>56</v>
      </c>
      <c r="AC5634" s="12" t="s">
        <v>26387</v>
      </c>
      <c r="AD5634" s="13">
        <v>43101</v>
      </c>
      <c r="AE5634" s="12" t="s">
        <v>975</v>
      </c>
      <c r="AF5634" s="12" t="s">
        <v>20661</v>
      </c>
      <c r="AG5634" s="12" t="s">
        <v>26388</v>
      </c>
      <c r="AH5634" s="1">
        <f>HYPERLINK("https://my.pitchbook.com?c=188236-27T","View Company Online")</f>
      </c>
    </row>
    <row r="5635">
      <c r="A5635" s="3" t="s">
        <v>26389</v>
      </c>
      <c r="B5635" s="3" t="s">
        <v>26390</v>
      </c>
      <c r="C5635" s="5" t="s">
        <v>36</v>
      </c>
      <c r="D5635" s="5" t="s">
        <v>36</v>
      </c>
      <c r="E5635" s="5" t="s">
        <v>36</v>
      </c>
      <c r="F5635" s="5" t="s">
        <v>36</v>
      </c>
      <c r="G5635" s="6" t="s">
        <v>36</v>
      </c>
      <c r="H5635" s="4" t="s">
        <v>36</v>
      </c>
      <c r="I5635" s="7" t="s">
        <v>36</v>
      </c>
      <c r="J5635" s="3" t="s">
        <v>36</v>
      </c>
      <c r="K5635" s="9" t="s">
        <v>36</v>
      </c>
      <c r="L5635" s="6" t="s">
        <v>36</v>
      </c>
      <c r="M5635" s="3" t="s">
        <v>36</v>
      </c>
      <c r="N5635" s="3" t="s">
        <v>36</v>
      </c>
      <c r="O5635" s="8" t="s">
        <v>36</v>
      </c>
      <c r="P5635" s="3" t="s">
        <v>36</v>
      </c>
      <c r="Q5635" s="3" t="s">
        <v>36</v>
      </c>
      <c r="R5635" s="3" t="s">
        <v>36</v>
      </c>
      <c r="S5635" s="3" t="s">
        <v>36</v>
      </c>
      <c r="T5635" s="3" t="s">
        <v>26391</v>
      </c>
      <c r="U5635" s="3" t="s">
        <v>38</v>
      </c>
      <c r="V5635" s="3" t="s">
        <v>39</v>
      </c>
      <c r="W5635" s="3" t="s">
        <v>26392</v>
      </c>
      <c r="X5635" s="10" t="s">
        <v>21496</v>
      </c>
      <c r="Y5635" s="6" t="s">
        <v>108</v>
      </c>
      <c r="Z5635" s="4" t="s">
        <v>36</v>
      </c>
      <c r="AA5635" s="4" t="s">
        <v>36</v>
      </c>
      <c r="AB5635" s="3" t="s">
        <v>43</v>
      </c>
      <c r="AC5635" s="3" t="s">
        <v>26393</v>
      </c>
      <c r="AD5635" s="9">
        <v>43101</v>
      </c>
      <c r="AE5635" s="3" t="s">
        <v>339</v>
      </c>
      <c r="AF5635" s="3" t="s">
        <v>1077</v>
      </c>
      <c r="AG5635" s="3" t="s">
        <v>26394</v>
      </c>
      <c r="AH5635" s="11">
        <f>HYPERLINK("https://my.pitchbook.com?c=108552-52T","View Company Online")</f>
      </c>
    </row>
    <row r="5636">
      <c r="A5636" s="12" t="s">
        <v>26395</v>
      </c>
      <c r="B5636" s="12" t="s">
        <v>26396</v>
      </c>
      <c r="C5636" s="19" t="s">
        <v>36</v>
      </c>
      <c r="D5636" s="19" t="s">
        <v>36</v>
      </c>
      <c r="E5636" s="19" t="s">
        <v>36</v>
      </c>
      <c r="F5636" s="19" t="s">
        <v>36</v>
      </c>
      <c r="G5636" s="15" t="s">
        <v>36</v>
      </c>
      <c r="H5636" s="14" t="s">
        <v>36</v>
      </c>
      <c r="I5636" s="18" t="s">
        <v>36</v>
      </c>
      <c r="J5636" s="12" t="s">
        <v>36</v>
      </c>
      <c r="K5636" s="13" t="s">
        <v>36</v>
      </c>
      <c r="L5636" s="15" t="s">
        <v>36</v>
      </c>
      <c r="M5636" s="12" t="s">
        <v>36</v>
      </c>
      <c r="N5636" s="12" t="s">
        <v>36</v>
      </c>
      <c r="O5636" s="17" t="s">
        <v>36</v>
      </c>
      <c r="P5636" s="12" t="s">
        <v>36</v>
      </c>
      <c r="Q5636" s="12" t="s">
        <v>36</v>
      </c>
      <c r="R5636" s="12" t="s">
        <v>36</v>
      </c>
      <c r="S5636" s="12" t="s">
        <v>36</v>
      </c>
      <c r="T5636" s="12" t="s">
        <v>4353</v>
      </c>
      <c r="U5636" s="12" t="s">
        <v>74</v>
      </c>
      <c r="V5636" s="12" t="s">
        <v>75</v>
      </c>
      <c r="W5636" s="12" t="s">
        <v>26397</v>
      </c>
      <c r="X5636" s="16" t="s">
        <v>5220</v>
      </c>
      <c r="Y5636" s="15" t="s">
        <v>42</v>
      </c>
      <c r="Z5636" s="14" t="s">
        <v>36</v>
      </c>
      <c r="AA5636" s="14" t="s">
        <v>36</v>
      </c>
      <c r="AB5636" s="12" t="s">
        <v>56</v>
      </c>
      <c r="AC5636" s="12" t="s">
        <v>26398</v>
      </c>
      <c r="AD5636" s="13">
        <v>43101</v>
      </c>
      <c r="AE5636" s="12" t="s">
        <v>696</v>
      </c>
      <c r="AF5636" s="12" t="s">
        <v>4284</v>
      </c>
      <c r="AG5636" s="12" t="s">
        <v>26132</v>
      </c>
      <c r="AH5636" s="1">
        <f>HYPERLINK("https://my.pitchbook.com?c=99727-39T","View Company Online")</f>
      </c>
    </row>
    <row r="5637">
      <c r="A5637" s="3" t="s">
        <v>26399</v>
      </c>
      <c r="B5637" s="3" t="s">
        <v>26400</v>
      </c>
      <c r="C5637" s="5" t="s">
        <v>36</v>
      </c>
      <c r="D5637" s="5" t="s">
        <v>36</v>
      </c>
      <c r="E5637" s="5" t="s">
        <v>36</v>
      </c>
      <c r="F5637" s="5">
        <v>1</v>
      </c>
      <c r="G5637" s="6" t="s">
        <v>36</v>
      </c>
      <c r="H5637" s="4" t="s">
        <v>36</v>
      </c>
      <c r="I5637" s="7" t="s">
        <v>36</v>
      </c>
      <c r="J5637" s="3" t="s">
        <v>36</v>
      </c>
      <c r="K5637" s="9" t="s">
        <v>36</v>
      </c>
      <c r="L5637" s="6" t="s">
        <v>36</v>
      </c>
      <c r="M5637" s="3" t="s">
        <v>36</v>
      </c>
      <c r="N5637" s="3" t="s">
        <v>36</v>
      </c>
      <c r="O5637" s="8" t="s">
        <v>36</v>
      </c>
      <c r="P5637" s="3" t="s">
        <v>36</v>
      </c>
      <c r="Q5637" s="3" t="s">
        <v>36</v>
      </c>
      <c r="R5637" s="3" t="s">
        <v>36</v>
      </c>
      <c r="S5637" s="3" t="s">
        <v>36</v>
      </c>
      <c r="T5637" s="3" t="s">
        <v>26401</v>
      </c>
      <c r="U5637" s="3" t="s">
        <v>74</v>
      </c>
      <c r="V5637" s="3" t="s">
        <v>75</v>
      </c>
      <c r="W5637" s="3" t="s">
        <v>26402</v>
      </c>
      <c r="X5637" s="10" t="s">
        <v>7099</v>
      </c>
      <c r="Y5637" s="6" t="s">
        <v>42</v>
      </c>
      <c r="Z5637" s="4" t="s">
        <v>36</v>
      </c>
      <c r="AA5637" s="4" t="s">
        <v>36</v>
      </c>
      <c r="AB5637" s="3" t="s">
        <v>56</v>
      </c>
      <c r="AC5637" s="3" t="s">
        <v>26403</v>
      </c>
      <c r="AD5637" s="9">
        <v>43101</v>
      </c>
      <c r="AE5637" s="3" t="s">
        <v>1888</v>
      </c>
      <c r="AF5637" s="3" t="s">
        <v>26404</v>
      </c>
      <c r="AG5637" s="3" t="s">
        <v>969</v>
      </c>
      <c r="AH5637" s="11">
        <f>HYPERLINK("https://my.pitchbook.com?c=204535-36T","View Company Online")</f>
      </c>
    </row>
    <row r="5638">
      <c r="A5638" s="12" t="s">
        <v>26405</v>
      </c>
      <c r="B5638" s="12" t="s">
        <v>26406</v>
      </c>
      <c r="C5638" s="19" t="s">
        <v>36</v>
      </c>
      <c r="D5638" s="19" t="s">
        <v>36</v>
      </c>
      <c r="E5638" s="19" t="s">
        <v>36</v>
      </c>
      <c r="F5638" s="19" t="s">
        <v>36</v>
      </c>
      <c r="G5638" s="15" t="s">
        <v>36</v>
      </c>
      <c r="H5638" s="14" t="s">
        <v>36</v>
      </c>
      <c r="I5638" s="18" t="s">
        <v>36</v>
      </c>
      <c r="J5638" s="12" t="s">
        <v>36</v>
      </c>
      <c r="K5638" s="13" t="s">
        <v>36</v>
      </c>
      <c r="L5638" s="15" t="s">
        <v>36</v>
      </c>
      <c r="M5638" s="12" t="s">
        <v>36</v>
      </c>
      <c r="N5638" s="12" t="s">
        <v>36</v>
      </c>
      <c r="O5638" s="17" t="s">
        <v>36</v>
      </c>
      <c r="P5638" s="12" t="s">
        <v>36</v>
      </c>
      <c r="Q5638" s="12" t="s">
        <v>36</v>
      </c>
      <c r="R5638" s="12" t="s">
        <v>36</v>
      </c>
      <c r="S5638" s="12" t="s">
        <v>36</v>
      </c>
      <c r="T5638" s="12" t="s">
        <v>9494</v>
      </c>
      <c r="U5638" s="12" t="s">
        <v>38</v>
      </c>
      <c r="V5638" s="12" t="s">
        <v>39</v>
      </c>
      <c r="W5638" s="12" t="s">
        <v>26407</v>
      </c>
      <c r="X5638" s="16" t="s">
        <v>26408</v>
      </c>
      <c r="Y5638" s="15" t="s">
        <v>42</v>
      </c>
      <c r="Z5638" s="14" t="s">
        <v>36</v>
      </c>
      <c r="AA5638" s="14" t="s">
        <v>36</v>
      </c>
      <c r="AB5638" s="12" t="s">
        <v>43</v>
      </c>
      <c r="AC5638" s="12" t="s">
        <v>26409</v>
      </c>
      <c r="AD5638" s="13">
        <v>43101</v>
      </c>
      <c r="AE5638" s="12" t="s">
        <v>554</v>
      </c>
      <c r="AF5638" s="12" t="s">
        <v>5769</v>
      </c>
      <c r="AG5638" s="12" t="s">
        <v>102</v>
      </c>
      <c r="AH5638" s="1">
        <f>HYPERLINK("https://my.pitchbook.com?c=219529-27T","View Company Online")</f>
      </c>
    </row>
    <row r="5639">
      <c r="A5639" s="3" t="s">
        <v>26410</v>
      </c>
      <c r="B5639" s="3" t="s">
        <v>26411</v>
      </c>
      <c r="C5639" s="5" t="s">
        <v>36</v>
      </c>
      <c r="D5639" s="5" t="s">
        <v>36</v>
      </c>
      <c r="E5639" s="5" t="s">
        <v>36</v>
      </c>
      <c r="F5639" s="5" t="s">
        <v>36</v>
      </c>
      <c r="G5639" s="6" t="s">
        <v>36</v>
      </c>
      <c r="H5639" s="4" t="s">
        <v>36</v>
      </c>
      <c r="I5639" s="7" t="s">
        <v>36</v>
      </c>
      <c r="J5639" s="3" t="s">
        <v>36</v>
      </c>
      <c r="K5639" s="9" t="s">
        <v>36</v>
      </c>
      <c r="L5639" s="6" t="s">
        <v>36</v>
      </c>
      <c r="M5639" s="3" t="s">
        <v>36</v>
      </c>
      <c r="N5639" s="3" t="s">
        <v>36</v>
      </c>
      <c r="O5639" s="8" t="s">
        <v>36</v>
      </c>
      <c r="P5639" s="3" t="s">
        <v>36</v>
      </c>
      <c r="Q5639" s="3" t="s">
        <v>36</v>
      </c>
      <c r="R5639" s="3" t="s">
        <v>36</v>
      </c>
      <c r="S5639" s="3" t="s">
        <v>36</v>
      </c>
      <c r="T5639" s="3" t="s">
        <v>6671</v>
      </c>
      <c r="U5639" s="3" t="s">
        <v>96</v>
      </c>
      <c r="V5639" s="3" t="s">
        <v>52</v>
      </c>
      <c r="W5639" s="3" t="s">
        <v>26412</v>
      </c>
      <c r="X5639" s="10" t="s">
        <v>1043</v>
      </c>
      <c r="Y5639" s="6" t="s">
        <v>42</v>
      </c>
      <c r="Z5639" s="4" t="s">
        <v>36</v>
      </c>
      <c r="AA5639" s="4" t="s">
        <v>36</v>
      </c>
      <c r="AB5639" s="3" t="s">
        <v>43</v>
      </c>
      <c r="AC5639" s="3" t="s">
        <v>26413</v>
      </c>
      <c r="AD5639" s="9">
        <v>43101</v>
      </c>
      <c r="AE5639" s="3" t="s">
        <v>1414</v>
      </c>
      <c r="AF5639" s="3" t="s">
        <v>36</v>
      </c>
      <c r="AG5639" s="3" t="s">
        <v>765</v>
      </c>
      <c r="AH5639" s="11">
        <f>HYPERLINK("https://my.pitchbook.com?c=280228-69T","View Company Online")</f>
      </c>
    </row>
    <row r="5640">
      <c r="A5640" s="12" t="s">
        <v>26414</v>
      </c>
      <c r="B5640" s="12" t="s">
        <v>26415</v>
      </c>
      <c r="C5640" s="19" t="s">
        <v>36</v>
      </c>
      <c r="D5640" s="19" t="s">
        <v>36</v>
      </c>
      <c r="E5640" s="19" t="s">
        <v>36</v>
      </c>
      <c r="F5640" s="19" t="s">
        <v>36</v>
      </c>
      <c r="G5640" s="15" t="s">
        <v>36</v>
      </c>
      <c r="H5640" s="14" t="s">
        <v>36</v>
      </c>
      <c r="I5640" s="18" t="s">
        <v>36</v>
      </c>
      <c r="J5640" s="12" t="s">
        <v>36</v>
      </c>
      <c r="K5640" s="13" t="s">
        <v>36</v>
      </c>
      <c r="L5640" s="15" t="s">
        <v>36</v>
      </c>
      <c r="M5640" s="12" t="s">
        <v>36</v>
      </c>
      <c r="N5640" s="12" t="s">
        <v>36</v>
      </c>
      <c r="O5640" s="17" t="s">
        <v>36</v>
      </c>
      <c r="P5640" s="12" t="s">
        <v>36</v>
      </c>
      <c r="Q5640" s="12" t="s">
        <v>36</v>
      </c>
      <c r="R5640" s="12" t="s">
        <v>36</v>
      </c>
      <c r="S5640" s="12" t="s">
        <v>36</v>
      </c>
      <c r="T5640" s="12" t="s">
        <v>26416</v>
      </c>
      <c r="U5640" s="12" t="s">
        <v>279</v>
      </c>
      <c r="V5640" s="12" t="s">
        <v>64</v>
      </c>
      <c r="W5640" s="12" t="s">
        <v>26417</v>
      </c>
      <c r="X5640" s="16" t="s">
        <v>26418</v>
      </c>
      <c r="Y5640" s="15" t="s">
        <v>108</v>
      </c>
      <c r="Z5640" s="14" t="s">
        <v>36</v>
      </c>
      <c r="AA5640" s="14" t="s">
        <v>36</v>
      </c>
      <c r="AB5640" s="12" t="s">
        <v>43</v>
      </c>
      <c r="AC5640" s="12" t="s">
        <v>26419</v>
      </c>
      <c r="AD5640" s="13">
        <v>43101</v>
      </c>
      <c r="AE5640" s="12" t="s">
        <v>740</v>
      </c>
      <c r="AF5640" s="12" t="s">
        <v>36</v>
      </c>
      <c r="AG5640" s="12" t="s">
        <v>81</v>
      </c>
      <c r="AH5640" s="1">
        <f>HYPERLINK("https://my.pitchbook.com?c=216021-88T","View Company Online")</f>
      </c>
    </row>
    <row r="5641">
      <c r="A5641" s="3" t="s">
        <v>26420</v>
      </c>
      <c r="B5641" s="3" t="s">
        <v>26421</v>
      </c>
      <c r="C5641" s="5" t="s">
        <v>36</v>
      </c>
      <c r="D5641" s="5" t="s">
        <v>36</v>
      </c>
      <c r="E5641" s="5" t="s">
        <v>36</v>
      </c>
      <c r="F5641" s="5" t="s">
        <v>36</v>
      </c>
      <c r="G5641" s="6" t="s">
        <v>36</v>
      </c>
      <c r="H5641" s="4" t="s">
        <v>36</v>
      </c>
      <c r="I5641" s="7" t="s">
        <v>36</v>
      </c>
      <c r="J5641" s="3" t="s">
        <v>36</v>
      </c>
      <c r="K5641" s="9" t="s">
        <v>36</v>
      </c>
      <c r="L5641" s="6" t="s">
        <v>36</v>
      </c>
      <c r="M5641" s="3" t="s">
        <v>36</v>
      </c>
      <c r="N5641" s="3" t="s">
        <v>36</v>
      </c>
      <c r="O5641" s="8" t="s">
        <v>36</v>
      </c>
      <c r="P5641" s="3" t="s">
        <v>36</v>
      </c>
      <c r="Q5641" s="3" t="s">
        <v>36</v>
      </c>
      <c r="R5641" s="3" t="s">
        <v>36</v>
      </c>
      <c r="S5641" s="3" t="s">
        <v>36</v>
      </c>
      <c r="T5641" s="3" t="s">
        <v>105</v>
      </c>
      <c r="U5641" s="3" t="s">
        <v>38</v>
      </c>
      <c r="V5641" s="3" t="s">
        <v>39</v>
      </c>
      <c r="W5641" s="3" t="s">
        <v>26422</v>
      </c>
      <c r="X5641" s="10" t="s">
        <v>26423</v>
      </c>
      <c r="Y5641" s="6" t="s">
        <v>42</v>
      </c>
      <c r="Z5641" s="4">
        <v>0.65</v>
      </c>
      <c r="AA5641" s="4" t="s">
        <v>36</v>
      </c>
      <c r="AB5641" s="3" t="s">
        <v>43</v>
      </c>
      <c r="AC5641" s="3" t="s">
        <v>26424</v>
      </c>
      <c r="AD5641" s="9">
        <v>43101</v>
      </c>
      <c r="AE5641" s="3" t="s">
        <v>110</v>
      </c>
      <c r="AF5641" s="3" t="s">
        <v>3471</v>
      </c>
      <c r="AG5641" s="3" t="s">
        <v>26425</v>
      </c>
      <c r="AH5641" s="11">
        <f>HYPERLINK("https://my.pitchbook.com?c=179268-13T","View Company Online")</f>
      </c>
    </row>
    <row r="5642">
      <c r="A5642" s="12" t="s">
        <v>26426</v>
      </c>
      <c r="B5642" s="12" t="s">
        <v>1063</v>
      </c>
      <c r="C5642" s="19">
        <v>23</v>
      </c>
      <c r="D5642" s="19">
        <v>334</v>
      </c>
      <c r="E5642" s="19">
        <v>107</v>
      </c>
      <c r="F5642" s="19">
        <v>391</v>
      </c>
      <c r="G5642" s="15" t="s">
        <v>36</v>
      </c>
      <c r="H5642" s="14" t="s">
        <v>36</v>
      </c>
      <c r="I5642" s="18" t="s">
        <v>36</v>
      </c>
      <c r="J5642" s="12" t="s">
        <v>36</v>
      </c>
      <c r="K5642" s="13" t="s">
        <v>36</v>
      </c>
      <c r="L5642" s="15" t="s">
        <v>36</v>
      </c>
      <c r="M5642" s="12" t="s">
        <v>36</v>
      </c>
      <c r="N5642" s="12" t="s">
        <v>36</v>
      </c>
      <c r="O5642" s="17" t="s">
        <v>36</v>
      </c>
      <c r="P5642" s="12" t="s">
        <v>36</v>
      </c>
      <c r="Q5642" s="12" t="s">
        <v>36</v>
      </c>
      <c r="R5642" s="12" t="s">
        <v>36</v>
      </c>
      <c r="S5642" s="12" t="s">
        <v>36</v>
      </c>
      <c r="T5642" s="12" t="s">
        <v>1064</v>
      </c>
      <c r="U5642" s="12" t="s">
        <v>833</v>
      </c>
      <c r="V5642" s="12" t="s">
        <v>64</v>
      </c>
      <c r="W5642" s="12" t="s">
        <v>1065</v>
      </c>
      <c r="X5642" s="16" t="s">
        <v>26427</v>
      </c>
      <c r="Y5642" s="15" t="s">
        <v>192</v>
      </c>
      <c r="Z5642" s="14">
        <v>60.39</v>
      </c>
      <c r="AA5642" s="14" t="s">
        <v>36</v>
      </c>
      <c r="AB5642" s="12" t="s">
        <v>56</v>
      </c>
      <c r="AC5642" s="12" t="s">
        <v>1068</v>
      </c>
      <c r="AD5642" s="13">
        <v>43101</v>
      </c>
      <c r="AE5642" s="12" t="s">
        <v>1069</v>
      </c>
      <c r="AF5642" s="12" t="s">
        <v>1070</v>
      </c>
      <c r="AG5642" s="12" t="s">
        <v>81</v>
      </c>
      <c r="AH5642" s="1">
        <f>HYPERLINK("https://my.pitchbook.com?c=124665-67T","View Company Online")</f>
      </c>
    </row>
    <row r="5643">
      <c r="A5643" s="3" t="s">
        <v>26428</v>
      </c>
      <c r="B5643" s="3" t="s">
        <v>2730</v>
      </c>
      <c r="C5643" s="5">
        <v>3</v>
      </c>
      <c r="D5643" s="5">
        <v>2</v>
      </c>
      <c r="E5643" s="5">
        <v>1</v>
      </c>
      <c r="F5643" s="5">
        <v>5</v>
      </c>
      <c r="G5643" s="6" t="s">
        <v>36</v>
      </c>
      <c r="H5643" s="4" t="s">
        <v>36</v>
      </c>
      <c r="I5643" s="7" t="s">
        <v>36</v>
      </c>
      <c r="J5643" s="3" t="s">
        <v>36</v>
      </c>
      <c r="K5643" s="9" t="s">
        <v>36</v>
      </c>
      <c r="L5643" s="6" t="s">
        <v>36</v>
      </c>
      <c r="M5643" s="3" t="s">
        <v>36</v>
      </c>
      <c r="N5643" s="3" t="s">
        <v>36</v>
      </c>
      <c r="O5643" s="8" t="s">
        <v>36</v>
      </c>
      <c r="P5643" s="3" t="s">
        <v>36</v>
      </c>
      <c r="Q5643" s="3" t="s">
        <v>36</v>
      </c>
      <c r="R5643" s="3" t="s">
        <v>36</v>
      </c>
      <c r="S5643" s="3" t="s">
        <v>36</v>
      </c>
      <c r="T5643" s="3" t="s">
        <v>2731</v>
      </c>
      <c r="U5643" s="3" t="s">
        <v>833</v>
      </c>
      <c r="V5643" s="3" t="s">
        <v>64</v>
      </c>
      <c r="W5643" s="3" t="s">
        <v>2732</v>
      </c>
      <c r="X5643" s="10" t="s">
        <v>26429</v>
      </c>
      <c r="Y5643" s="6" t="s">
        <v>42</v>
      </c>
      <c r="Z5643" s="4" t="s">
        <v>36</v>
      </c>
      <c r="AA5643" s="4" t="s">
        <v>36</v>
      </c>
      <c r="AB5643" s="3" t="s">
        <v>43</v>
      </c>
      <c r="AC5643" s="3" t="s">
        <v>2733</v>
      </c>
      <c r="AD5643" s="9">
        <v>43101</v>
      </c>
      <c r="AE5643" s="3" t="s">
        <v>1769</v>
      </c>
      <c r="AF5643" s="3" t="s">
        <v>885</v>
      </c>
      <c r="AG5643" s="3" t="s">
        <v>2370</v>
      </c>
      <c r="AH5643" s="11">
        <f>HYPERLINK("https://my.pitchbook.com?c=259960-78T","View Company Online")</f>
      </c>
    </row>
    <row r="5644">
      <c r="A5644" s="12" t="s">
        <v>26430</v>
      </c>
      <c r="B5644" s="12" t="s">
        <v>26431</v>
      </c>
      <c r="C5644" s="19" t="s">
        <v>36</v>
      </c>
      <c r="D5644" s="19" t="s">
        <v>36</v>
      </c>
      <c r="E5644" s="19" t="s">
        <v>36</v>
      </c>
      <c r="F5644" s="19" t="s">
        <v>36</v>
      </c>
      <c r="G5644" s="15" t="s">
        <v>36</v>
      </c>
      <c r="H5644" s="14" t="s">
        <v>36</v>
      </c>
      <c r="I5644" s="18" t="s">
        <v>36</v>
      </c>
      <c r="J5644" s="12" t="s">
        <v>36</v>
      </c>
      <c r="K5644" s="13" t="s">
        <v>36</v>
      </c>
      <c r="L5644" s="15" t="s">
        <v>36</v>
      </c>
      <c r="M5644" s="12" t="s">
        <v>36</v>
      </c>
      <c r="N5644" s="12" t="s">
        <v>36</v>
      </c>
      <c r="O5644" s="17" t="s">
        <v>36</v>
      </c>
      <c r="P5644" s="12" t="s">
        <v>36</v>
      </c>
      <c r="Q5644" s="12" t="s">
        <v>36</v>
      </c>
      <c r="R5644" s="12" t="s">
        <v>36</v>
      </c>
      <c r="S5644" s="12" t="s">
        <v>36</v>
      </c>
      <c r="T5644" s="12" t="s">
        <v>1884</v>
      </c>
      <c r="U5644" s="12" t="s">
        <v>74</v>
      </c>
      <c r="V5644" s="12" t="s">
        <v>75</v>
      </c>
      <c r="W5644" s="12" t="s">
        <v>26432</v>
      </c>
      <c r="X5644" s="16" t="s">
        <v>1872</v>
      </c>
      <c r="Y5644" s="15" t="s">
        <v>42</v>
      </c>
      <c r="Z5644" s="14" t="s">
        <v>36</v>
      </c>
      <c r="AA5644" s="14" t="s">
        <v>36</v>
      </c>
      <c r="AB5644" s="12" t="s">
        <v>56</v>
      </c>
      <c r="AC5644" s="12" t="s">
        <v>26433</v>
      </c>
      <c r="AD5644" s="13">
        <v>43101</v>
      </c>
      <c r="AE5644" s="12" t="s">
        <v>1888</v>
      </c>
      <c r="AF5644" s="12" t="s">
        <v>1969</v>
      </c>
      <c r="AG5644" s="12" t="s">
        <v>11675</v>
      </c>
      <c r="AH5644" s="1">
        <f>HYPERLINK("https://my.pitchbook.com?c=123725-44T","View Company Online")</f>
      </c>
    </row>
    <row r="5645">
      <c r="A5645" s="3" t="s">
        <v>26434</v>
      </c>
      <c r="B5645" s="3" t="s">
        <v>26435</v>
      </c>
      <c r="C5645" s="5" t="s">
        <v>36</v>
      </c>
      <c r="D5645" s="5" t="s">
        <v>36</v>
      </c>
      <c r="E5645" s="5" t="s">
        <v>36</v>
      </c>
      <c r="F5645" s="5" t="s">
        <v>36</v>
      </c>
      <c r="G5645" s="6" t="s">
        <v>36</v>
      </c>
      <c r="H5645" s="4" t="s">
        <v>36</v>
      </c>
      <c r="I5645" s="7" t="s">
        <v>36</v>
      </c>
      <c r="J5645" s="3" t="s">
        <v>36</v>
      </c>
      <c r="K5645" s="9" t="s">
        <v>36</v>
      </c>
      <c r="L5645" s="6" t="s">
        <v>36</v>
      </c>
      <c r="M5645" s="3" t="s">
        <v>36</v>
      </c>
      <c r="N5645" s="3" t="s">
        <v>36</v>
      </c>
      <c r="O5645" s="8" t="s">
        <v>36</v>
      </c>
      <c r="P5645" s="3" t="s">
        <v>36</v>
      </c>
      <c r="Q5645" s="3" t="s">
        <v>36</v>
      </c>
      <c r="R5645" s="3" t="s">
        <v>36</v>
      </c>
      <c r="S5645" s="3" t="s">
        <v>36</v>
      </c>
      <c r="T5645" s="3" t="s">
        <v>26436</v>
      </c>
      <c r="U5645" s="3" t="s">
        <v>38</v>
      </c>
      <c r="V5645" s="3" t="s">
        <v>39</v>
      </c>
      <c r="W5645" s="3" t="s">
        <v>26437</v>
      </c>
      <c r="X5645" s="10" t="s">
        <v>13670</v>
      </c>
      <c r="Y5645" s="6" t="s">
        <v>42</v>
      </c>
      <c r="Z5645" s="4" t="s">
        <v>36</v>
      </c>
      <c r="AA5645" s="4" t="s">
        <v>36</v>
      </c>
      <c r="AB5645" s="3" t="s">
        <v>56</v>
      </c>
      <c r="AC5645" s="3" t="s">
        <v>26438</v>
      </c>
      <c r="AD5645" s="9">
        <v>43101</v>
      </c>
      <c r="AE5645" s="3" t="s">
        <v>110</v>
      </c>
      <c r="AF5645" s="3" t="s">
        <v>176</v>
      </c>
      <c r="AG5645" s="3" t="s">
        <v>81</v>
      </c>
      <c r="AH5645" s="11">
        <f>HYPERLINK("https://my.pitchbook.com?c=116523-55T","View Company Online")</f>
      </c>
    </row>
    <row r="5646">
      <c r="A5646" s="12" t="s">
        <v>26439</v>
      </c>
      <c r="B5646" s="12" t="s">
        <v>20747</v>
      </c>
      <c r="C5646" s="19" t="s">
        <v>36</v>
      </c>
      <c r="D5646" s="19" t="s">
        <v>36</v>
      </c>
      <c r="E5646" s="19" t="s">
        <v>36</v>
      </c>
      <c r="F5646" s="19" t="s">
        <v>36</v>
      </c>
      <c r="G5646" s="15" t="s">
        <v>36</v>
      </c>
      <c r="H5646" s="14" t="s">
        <v>36</v>
      </c>
      <c r="I5646" s="18" t="s">
        <v>36</v>
      </c>
      <c r="J5646" s="12" t="s">
        <v>36</v>
      </c>
      <c r="K5646" s="13" t="s">
        <v>36</v>
      </c>
      <c r="L5646" s="15" t="s">
        <v>36</v>
      </c>
      <c r="M5646" s="12" t="s">
        <v>36</v>
      </c>
      <c r="N5646" s="12" t="s">
        <v>36</v>
      </c>
      <c r="O5646" s="17" t="s">
        <v>36</v>
      </c>
      <c r="P5646" s="12" t="s">
        <v>36</v>
      </c>
      <c r="Q5646" s="12" t="s">
        <v>36</v>
      </c>
      <c r="R5646" s="12" t="s">
        <v>36</v>
      </c>
      <c r="S5646" s="12" t="s">
        <v>36</v>
      </c>
      <c r="T5646" s="12" t="s">
        <v>4822</v>
      </c>
      <c r="U5646" s="12" t="s">
        <v>38</v>
      </c>
      <c r="V5646" s="12" t="s">
        <v>39</v>
      </c>
      <c r="W5646" s="12" t="s">
        <v>20748</v>
      </c>
      <c r="X5646" s="16" t="s">
        <v>1840</v>
      </c>
      <c r="Y5646" s="15" t="s">
        <v>42</v>
      </c>
      <c r="Z5646" s="14">
        <v>1.12</v>
      </c>
      <c r="AA5646" s="14" t="s">
        <v>36</v>
      </c>
      <c r="AB5646" s="12" t="s">
        <v>43</v>
      </c>
      <c r="AC5646" s="12" t="s">
        <v>20750</v>
      </c>
      <c r="AD5646" s="13">
        <v>43101</v>
      </c>
      <c r="AE5646" s="12" t="s">
        <v>110</v>
      </c>
      <c r="AF5646" s="12" t="s">
        <v>36</v>
      </c>
      <c r="AG5646" s="12" t="s">
        <v>81</v>
      </c>
      <c r="AH5646" s="1">
        <f>HYPERLINK("https://my.pitchbook.com?c=123470-38T","View Company Online")</f>
      </c>
    </row>
    <row r="5647">
      <c r="A5647" s="3" t="s">
        <v>26440</v>
      </c>
      <c r="B5647" s="3" t="s">
        <v>21295</v>
      </c>
      <c r="C5647" s="5">
        <v>12</v>
      </c>
      <c r="D5647" s="5">
        <v>40</v>
      </c>
      <c r="E5647" s="5">
        <v>8</v>
      </c>
      <c r="F5647" s="5">
        <v>52</v>
      </c>
      <c r="G5647" s="6" t="s">
        <v>36</v>
      </c>
      <c r="H5647" s="4" t="s">
        <v>36</v>
      </c>
      <c r="I5647" s="7" t="s">
        <v>36</v>
      </c>
      <c r="J5647" s="3" t="s">
        <v>36</v>
      </c>
      <c r="K5647" s="9" t="s">
        <v>36</v>
      </c>
      <c r="L5647" s="6" t="s">
        <v>36</v>
      </c>
      <c r="M5647" s="3" t="s">
        <v>36</v>
      </c>
      <c r="N5647" s="3" t="s">
        <v>36</v>
      </c>
      <c r="O5647" s="8" t="s">
        <v>36</v>
      </c>
      <c r="P5647" s="3" t="s">
        <v>36</v>
      </c>
      <c r="Q5647" s="3" t="s">
        <v>36</v>
      </c>
      <c r="R5647" s="3" t="s">
        <v>36</v>
      </c>
      <c r="S5647" s="3" t="s">
        <v>36</v>
      </c>
      <c r="T5647" s="3" t="s">
        <v>13085</v>
      </c>
      <c r="U5647" s="3" t="s">
        <v>96</v>
      </c>
      <c r="V5647" s="3" t="s">
        <v>52</v>
      </c>
      <c r="W5647" s="3" t="s">
        <v>21296</v>
      </c>
      <c r="X5647" s="10" t="s">
        <v>26441</v>
      </c>
      <c r="Y5647" s="6" t="s">
        <v>55</v>
      </c>
      <c r="Z5647" s="4">
        <v>3.36</v>
      </c>
      <c r="AA5647" s="4" t="s">
        <v>36</v>
      </c>
      <c r="AB5647" s="3" t="s">
        <v>43</v>
      </c>
      <c r="AC5647" s="3" t="s">
        <v>21298</v>
      </c>
      <c r="AD5647" s="9">
        <v>43101</v>
      </c>
      <c r="AE5647" s="3" t="s">
        <v>496</v>
      </c>
      <c r="AF5647" s="3" t="s">
        <v>579</v>
      </c>
      <c r="AG5647" s="3" t="s">
        <v>186</v>
      </c>
      <c r="AH5647" s="11">
        <f>HYPERLINK("https://my.pitchbook.com?c=160977-43T","View Company Online")</f>
      </c>
    </row>
    <row r="5648">
      <c r="A5648" s="12" t="s">
        <v>26442</v>
      </c>
      <c r="B5648" s="12" t="s">
        <v>26443</v>
      </c>
      <c r="C5648" s="19">
        <v>4</v>
      </c>
      <c r="D5648" s="19">
        <v>13</v>
      </c>
      <c r="E5648" s="19">
        <v>4</v>
      </c>
      <c r="F5648" s="19">
        <v>19</v>
      </c>
      <c r="G5648" s="15" t="s">
        <v>36</v>
      </c>
      <c r="H5648" s="14">
        <v>4.79</v>
      </c>
      <c r="I5648" s="18">
        <v>5.27</v>
      </c>
      <c r="J5648" s="12" t="s">
        <v>521</v>
      </c>
      <c r="K5648" s="13" t="s">
        <v>36</v>
      </c>
      <c r="L5648" s="15" t="s">
        <v>36</v>
      </c>
      <c r="M5648" s="12" t="s">
        <v>36</v>
      </c>
      <c r="N5648" s="12" t="s">
        <v>36</v>
      </c>
      <c r="O5648" s="17" t="s">
        <v>36</v>
      </c>
      <c r="P5648" s="12" t="s">
        <v>36</v>
      </c>
      <c r="Q5648" s="12" t="s">
        <v>36</v>
      </c>
      <c r="R5648" s="12" t="s">
        <v>36</v>
      </c>
      <c r="S5648" s="12" t="s">
        <v>36</v>
      </c>
      <c r="T5648" s="12" t="s">
        <v>1863</v>
      </c>
      <c r="U5648" s="12" t="s">
        <v>96</v>
      </c>
      <c r="V5648" s="12" t="s">
        <v>52</v>
      </c>
      <c r="W5648" s="12" t="s">
        <v>26444</v>
      </c>
      <c r="X5648" s="16" t="s">
        <v>26445</v>
      </c>
      <c r="Y5648" s="15" t="s">
        <v>42</v>
      </c>
      <c r="Z5648" s="14">
        <v>0.02</v>
      </c>
      <c r="AA5648" s="14">
        <v>0.41</v>
      </c>
      <c r="AB5648" s="12" t="s">
        <v>43</v>
      </c>
      <c r="AC5648" s="12" t="s">
        <v>26446</v>
      </c>
      <c r="AD5648" s="13">
        <v>43101</v>
      </c>
      <c r="AE5648" s="12" t="s">
        <v>1414</v>
      </c>
      <c r="AF5648" s="12" t="s">
        <v>159</v>
      </c>
      <c r="AG5648" s="12" t="s">
        <v>3406</v>
      </c>
      <c r="AH5648" s="1">
        <f>HYPERLINK("https://my.pitchbook.com?c=93588-58T","View Company Online")</f>
      </c>
    </row>
    <row r="5649">
      <c r="A5649" s="3" t="s">
        <v>26447</v>
      </c>
      <c r="B5649" s="3" t="s">
        <v>2399</v>
      </c>
      <c r="C5649" s="5" t="s">
        <v>36</v>
      </c>
      <c r="D5649" s="5" t="s">
        <v>36</v>
      </c>
      <c r="E5649" s="5" t="s">
        <v>36</v>
      </c>
      <c r="F5649" s="5" t="s">
        <v>36</v>
      </c>
      <c r="G5649" s="6" t="s">
        <v>36</v>
      </c>
      <c r="H5649" s="4" t="s">
        <v>36</v>
      </c>
      <c r="I5649" s="7" t="s">
        <v>36</v>
      </c>
      <c r="J5649" s="3" t="s">
        <v>36</v>
      </c>
      <c r="K5649" s="9" t="s">
        <v>36</v>
      </c>
      <c r="L5649" s="6" t="s">
        <v>36</v>
      </c>
      <c r="M5649" s="3" t="s">
        <v>36</v>
      </c>
      <c r="N5649" s="3" t="s">
        <v>36</v>
      </c>
      <c r="O5649" s="8" t="s">
        <v>36</v>
      </c>
      <c r="P5649" s="3" t="s">
        <v>36</v>
      </c>
      <c r="Q5649" s="3" t="s">
        <v>36</v>
      </c>
      <c r="R5649" s="3" t="s">
        <v>36</v>
      </c>
      <c r="S5649" s="3" t="s">
        <v>36</v>
      </c>
      <c r="T5649" s="3" t="s">
        <v>37</v>
      </c>
      <c r="U5649" s="3" t="s">
        <v>38</v>
      </c>
      <c r="V5649" s="3" t="s">
        <v>39</v>
      </c>
      <c r="W5649" s="3" t="s">
        <v>2400</v>
      </c>
      <c r="X5649" s="10" t="s">
        <v>16874</v>
      </c>
      <c r="Y5649" s="6" t="s">
        <v>42</v>
      </c>
      <c r="Z5649" s="4" t="s">
        <v>36</v>
      </c>
      <c r="AA5649" s="4" t="s">
        <v>36</v>
      </c>
      <c r="AB5649" s="3" t="s">
        <v>43</v>
      </c>
      <c r="AC5649" s="3" t="s">
        <v>2402</v>
      </c>
      <c r="AD5649" s="9">
        <v>43101</v>
      </c>
      <c r="AE5649" s="3" t="s">
        <v>45</v>
      </c>
      <c r="AF5649" s="3" t="s">
        <v>799</v>
      </c>
      <c r="AG5649" s="3" t="s">
        <v>81</v>
      </c>
      <c r="AH5649" s="11">
        <f>HYPERLINK("https://my.pitchbook.com?c=172076-95T","View Company Online")</f>
      </c>
    </row>
    <row r="5650">
      <c r="A5650" s="12" t="s">
        <v>26448</v>
      </c>
      <c r="B5650" s="12" t="s">
        <v>15524</v>
      </c>
      <c r="C5650" s="19" t="s">
        <v>36</v>
      </c>
      <c r="D5650" s="19" t="s">
        <v>36</v>
      </c>
      <c r="E5650" s="19" t="s">
        <v>36</v>
      </c>
      <c r="F5650" s="19" t="s">
        <v>36</v>
      </c>
      <c r="G5650" s="15" t="s">
        <v>36</v>
      </c>
      <c r="H5650" s="14" t="s">
        <v>36</v>
      </c>
      <c r="I5650" s="18" t="s">
        <v>36</v>
      </c>
      <c r="J5650" s="12" t="s">
        <v>36</v>
      </c>
      <c r="K5650" s="13" t="s">
        <v>36</v>
      </c>
      <c r="L5650" s="15" t="s">
        <v>36</v>
      </c>
      <c r="M5650" s="12" t="s">
        <v>36</v>
      </c>
      <c r="N5650" s="12" t="s">
        <v>36</v>
      </c>
      <c r="O5650" s="17" t="s">
        <v>36</v>
      </c>
      <c r="P5650" s="12" t="s">
        <v>36</v>
      </c>
      <c r="Q5650" s="12" t="s">
        <v>36</v>
      </c>
      <c r="R5650" s="12" t="s">
        <v>36</v>
      </c>
      <c r="S5650" s="12" t="s">
        <v>36</v>
      </c>
      <c r="T5650" s="12" t="s">
        <v>1725</v>
      </c>
      <c r="U5650" s="12" t="s">
        <v>318</v>
      </c>
      <c r="V5650" s="12" t="s">
        <v>39</v>
      </c>
      <c r="W5650" s="12" t="s">
        <v>15525</v>
      </c>
      <c r="X5650" s="16" t="s">
        <v>26449</v>
      </c>
      <c r="Y5650" s="15" t="s">
        <v>42</v>
      </c>
      <c r="Z5650" s="14" t="s">
        <v>36</v>
      </c>
      <c r="AA5650" s="14" t="s">
        <v>36</v>
      </c>
      <c r="AB5650" s="12" t="s">
        <v>43</v>
      </c>
      <c r="AC5650" s="12" t="s">
        <v>15527</v>
      </c>
      <c r="AD5650" s="13">
        <v>43101</v>
      </c>
      <c r="AE5650" s="12" t="s">
        <v>763</v>
      </c>
      <c r="AF5650" s="12" t="s">
        <v>15528</v>
      </c>
      <c r="AG5650" s="12" t="s">
        <v>7333</v>
      </c>
      <c r="AH5650" s="1">
        <f>HYPERLINK("https://my.pitchbook.com?c=110928-79T","View Company Online")</f>
      </c>
    </row>
    <row r="5651">
      <c r="A5651" s="3" t="s">
        <v>26450</v>
      </c>
      <c r="B5651" s="3" t="s">
        <v>21560</v>
      </c>
      <c r="C5651" s="5" t="s">
        <v>36</v>
      </c>
      <c r="D5651" s="5" t="s">
        <v>36</v>
      </c>
      <c r="E5651" s="5" t="s">
        <v>36</v>
      </c>
      <c r="F5651" s="5" t="s">
        <v>36</v>
      </c>
      <c r="G5651" s="6" t="s">
        <v>36</v>
      </c>
      <c r="H5651" s="4" t="s">
        <v>36</v>
      </c>
      <c r="I5651" s="7" t="s">
        <v>36</v>
      </c>
      <c r="J5651" s="3" t="s">
        <v>36</v>
      </c>
      <c r="K5651" s="9" t="s">
        <v>36</v>
      </c>
      <c r="L5651" s="6" t="s">
        <v>36</v>
      </c>
      <c r="M5651" s="3" t="s">
        <v>36</v>
      </c>
      <c r="N5651" s="3" t="s">
        <v>36</v>
      </c>
      <c r="O5651" s="8" t="s">
        <v>36</v>
      </c>
      <c r="P5651" s="3" t="s">
        <v>36</v>
      </c>
      <c r="Q5651" s="3" t="s">
        <v>36</v>
      </c>
      <c r="R5651" s="3" t="s">
        <v>36</v>
      </c>
      <c r="S5651" s="3" t="s">
        <v>36</v>
      </c>
      <c r="T5651" s="3" t="s">
        <v>1935</v>
      </c>
      <c r="U5651" s="3" t="s">
        <v>38</v>
      </c>
      <c r="V5651" s="3" t="s">
        <v>39</v>
      </c>
      <c r="W5651" s="3" t="s">
        <v>21561</v>
      </c>
      <c r="X5651" s="10" t="s">
        <v>9721</v>
      </c>
      <c r="Y5651" s="6" t="s">
        <v>108</v>
      </c>
      <c r="Z5651" s="4" t="s">
        <v>36</v>
      </c>
      <c r="AA5651" s="4" t="s">
        <v>36</v>
      </c>
      <c r="AB5651" s="3" t="s">
        <v>43</v>
      </c>
      <c r="AC5651" s="3" t="s">
        <v>21563</v>
      </c>
      <c r="AD5651" s="9">
        <v>43101</v>
      </c>
      <c r="AE5651" s="3" t="s">
        <v>45</v>
      </c>
      <c r="AF5651" s="3" t="s">
        <v>21564</v>
      </c>
      <c r="AG5651" s="3" t="s">
        <v>81</v>
      </c>
      <c r="AH5651" s="11">
        <f>HYPERLINK("https://my.pitchbook.com?c=204358-33T","View Company Online")</f>
      </c>
    </row>
    <row r="5652">
      <c r="A5652" s="12" t="s">
        <v>26451</v>
      </c>
      <c r="B5652" s="12" t="s">
        <v>19108</v>
      </c>
      <c r="C5652" s="19" t="s">
        <v>36</v>
      </c>
      <c r="D5652" s="19" t="s">
        <v>36</v>
      </c>
      <c r="E5652" s="19" t="s">
        <v>36</v>
      </c>
      <c r="F5652" s="19" t="s">
        <v>36</v>
      </c>
      <c r="G5652" s="15" t="s">
        <v>36</v>
      </c>
      <c r="H5652" s="14" t="s">
        <v>36</v>
      </c>
      <c r="I5652" s="18" t="s">
        <v>36</v>
      </c>
      <c r="J5652" s="12" t="s">
        <v>36</v>
      </c>
      <c r="K5652" s="13" t="s">
        <v>36</v>
      </c>
      <c r="L5652" s="15" t="s">
        <v>36</v>
      </c>
      <c r="M5652" s="12" t="s">
        <v>36</v>
      </c>
      <c r="N5652" s="12" t="s">
        <v>36</v>
      </c>
      <c r="O5652" s="17" t="s">
        <v>36</v>
      </c>
      <c r="P5652" s="12" t="s">
        <v>36</v>
      </c>
      <c r="Q5652" s="12" t="s">
        <v>36</v>
      </c>
      <c r="R5652" s="12" t="s">
        <v>36</v>
      </c>
      <c r="S5652" s="12" t="s">
        <v>36</v>
      </c>
      <c r="T5652" s="12" t="s">
        <v>19109</v>
      </c>
      <c r="U5652" s="12" t="s">
        <v>833</v>
      </c>
      <c r="V5652" s="12" t="s">
        <v>64</v>
      </c>
      <c r="W5652" s="12" t="s">
        <v>19110</v>
      </c>
      <c r="X5652" s="16" t="s">
        <v>6022</v>
      </c>
      <c r="Y5652" s="15" t="s">
        <v>42</v>
      </c>
      <c r="Z5652" s="14" t="s">
        <v>36</v>
      </c>
      <c r="AA5652" s="14" t="s">
        <v>36</v>
      </c>
      <c r="AB5652" s="12" t="s">
        <v>43</v>
      </c>
      <c r="AC5652" s="12" t="s">
        <v>19111</v>
      </c>
      <c r="AD5652" s="13">
        <v>43101</v>
      </c>
      <c r="AE5652" s="12" t="s">
        <v>3615</v>
      </c>
      <c r="AF5652" s="12" t="s">
        <v>90</v>
      </c>
      <c r="AG5652" s="12" t="s">
        <v>81</v>
      </c>
      <c r="AH5652" s="1">
        <f>HYPERLINK("https://my.pitchbook.com?c=157902-49T","View Company Online")</f>
      </c>
    </row>
    <row r="5653">
      <c r="A5653" s="3" t="s">
        <v>26452</v>
      </c>
      <c r="B5653" s="3" t="s">
        <v>11661</v>
      </c>
      <c r="C5653" s="5" t="s">
        <v>36</v>
      </c>
      <c r="D5653" s="5" t="s">
        <v>36</v>
      </c>
      <c r="E5653" s="5" t="s">
        <v>36</v>
      </c>
      <c r="F5653" s="5" t="s">
        <v>36</v>
      </c>
      <c r="G5653" s="6" t="s">
        <v>36</v>
      </c>
      <c r="H5653" s="4" t="s">
        <v>36</v>
      </c>
      <c r="I5653" s="7" t="s">
        <v>36</v>
      </c>
      <c r="J5653" s="3" t="s">
        <v>36</v>
      </c>
      <c r="K5653" s="9" t="s">
        <v>36</v>
      </c>
      <c r="L5653" s="6" t="s">
        <v>36</v>
      </c>
      <c r="M5653" s="3" t="s">
        <v>36</v>
      </c>
      <c r="N5653" s="3" t="s">
        <v>36</v>
      </c>
      <c r="O5653" s="8" t="s">
        <v>36</v>
      </c>
      <c r="P5653" s="3" t="s">
        <v>36</v>
      </c>
      <c r="Q5653" s="3" t="s">
        <v>36</v>
      </c>
      <c r="R5653" s="3" t="s">
        <v>36</v>
      </c>
      <c r="S5653" s="3" t="s">
        <v>36</v>
      </c>
      <c r="T5653" s="3" t="s">
        <v>189</v>
      </c>
      <c r="U5653" s="3" t="s">
        <v>180</v>
      </c>
      <c r="V5653" s="3" t="s">
        <v>52</v>
      </c>
      <c r="W5653" s="3" t="s">
        <v>11662</v>
      </c>
      <c r="X5653" s="10" t="s">
        <v>10887</v>
      </c>
      <c r="Y5653" s="6" t="s">
        <v>42</v>
      </c>
      <c r="Z5653" s="4" t="s">
        <v>36</v>
      </c>
      <c r="AA5653" s="4" t="s">
        <v>36</v>
      </c>
      <c r="AB5653" s="3" t="s">
        <v>43</v>
      </c>
      <c r="AC5653" s="3" t="s">
        <v>11664</v>
      </c>
      <c r="AD5653" s="9">
        <v>43101</v>
      </c>
      <c r="AE5653" s="3" t="s">
        <v>184</v>
      </c>
      <c r="AF5653" s="3" t="s">
        <v>3024</v>
      </c>
      <c r="AG5653" s="3" t="s">
        <v>270</v>
      </c>
      <c r="AH5653" s="11">
        <f>HYPERLINK("https://my.pitchbook.com?c=155605-96T","View Company Online")</f>
      </c>
    </row>
    <row r="5654">
      <c r="A5654" s="12" t="s">
        <v>26453</v>
      </c>
      <c r="B5654" s="12" t="s">
        <v>26454</v>
      </c>
      <c r="C5654" s="19" t="s">
        <v>36</v>
      </c>
      <c r="D5654" s="19" t="s">
        <v>36</v>
      </c>
      <c r="E5654" s="19" t="s">
        <v>36</v>
      </c>
      <c r="F5654" s="19" t="s">
        <v>36</v>
      </c>
      <c r="G5654" s="15" t="s">
        <v>36</v>
      </c>
      <c r="H5654" s="14" t="s">
        <v>36</v>
      </c>
      <c r="I5654" s="18" t="s">
        <v>36</v>
      </c>
      <c r="J5654" s="12" t="s">
        <v>36</v>
      </c>
      <c r="K5654" s="13" t="s">
        <v>36</v>
      </c>
      <c r="L5654" s="15" t="s">
        <v>36</v>
      </c>
      <c r="M5654" s="12" t="s">
        <v>36</v>
      </c>
      <c r="N5654" s="12" t="s">
        <v>36</v>
      </c>
      <c r="O5654" s="17" t="s">
        <v>36</v>
      </c>
      <c r="P5654" s="12" t="s">
        <v>36</v>
      </c>
      <c r="Q5654" s="12" t="s">
        <v>36</v>
      </c>
      <c r="R5654" s="12" t="s">
        <v>36</v>
      </c>
      <c r="S5654" s="12" t="s">
        <v>36</v>
      </c>
      <c r="T5654" s="12" t="s">
        <v>26455</v>
      </c>
      <c r="U5654" s="12" t="s">
        <v>38</v>
      </c>
      <c r="V5654" s="12" t="s">
        <v>39</v>
      </c>
      <c r="W5654" s="12" t="s">
        <v>26456</v>
      </c>
      <c r="X5654" s="16" t="s">
        <v>14038</v>
      </c>
      <c r="Y5654" s="15" t="s">
        <v>42</v>
      </c>
      <c r="Z5654" s="14" t="s">
        <v>36</v>
      </c>
      <c r="AA5654" s="14" t="s">
        <v>36</v>
      </c>
      <c r="AB5654" s="12" t="s">
        <v>43</v>
      </c>
      <c r="AC5654" s="12" t="s">
        <v>26457</v>
      </c>
      <c r="AD5654" s="13">
        <v>43101</v>
      </c>
      <c r="AE5654" s="12" t="s">
        <v>110</v>
      </c>
      <c r="AF5654" s="12" t="s">
        <v>346</v>
      </c>
      <c r="AG5654" s="12" t="s">
        <v>47</v>
      </c>
      <c r="AH5654" s="1">
        <f>HYPERLINK("https://my.pitchbook.com?c=266102-02T","View Company Online")</f>
      </c>
    </row>
    <row r="5655">
      <c r="A5655" s="3" t="s">
        <v>26458</v>
      </c>
      <c r="B5655" s="3" t="s">
        <v>26459</v>
      </c>
      <c r="C5655" s="5" t="s">
        <v>36</v>
      </c>
      <c r="D5655" s="5" t="s">
        <v>36</v>
      </c>
      <c r="E5655" s="5" t="s">
        <v>36</v>
      </c>
      <c r="F5655" s="5" t="s">
        <v>36</v>
      </c>
      <c r="G5655" s="6" t="s">
        <v>36</v>
      </c>
      <c r="H5655" s="4" t="s">
        <v>36</v>
      </c>
      <c r="I5655" s="7" t="s">
        <v>36</v>
      </c>
      <c r="J5655" s="3" t="s">
        <v>36</v>
      </c>
      <c r="K5655" s="9" t="s">
        <v>36</v>
      </c>
      <c r="L5655" s="6" t="s">
        <v>36</v>
      </c>
      <c r="M5655" s="3" t="s">
        <v>36</v>
      </c>
      <c r="N5655" s="3" t="s">
        <v>36</v>
      </c>
      <c r="O5655" s="8" t="s">
        <v>36</v>
      </c>
      <c r="P5655" s="3" t="s">
        <v>36</v>
      </c>
      <c r="Q5655" s="3" t="s">
        <v>36</v>
      </c>
      <c r="R5655" s="3" t="s">
        <v>36</v>
      </c>
      <c r="S5655" s="3" t="s">
        <v>36</v>
      </c>
      <c r="T5655" s="3" t="s">
        <v>15475</v>
      </c>
      <c r="U5655" s="3" t="s">
        <v>279</v>
      </c>
      <c r="V5655" s="3" t="s">
        <v>64</v>
      </c>
      <c r="W5655" s="3" t="s">
        <v>26460</v>
      </c>
      <c r="X5655" s="10" t="s">
        <v>5661</v>
      </c>
      <c r="Y5655" s="6" t="s">
        <v>42</v>
      </c>
      <c r="Z5655" s="4" t="s">
        <v>36</v>
      </c>
      <c r="AA5655" s="4" t="s">
        <v>36</v>
      </c>
      <c r="AB5655" s="3" t="s">
        <v>43</v>
      </c>
      <c r="AC5655" s="3" t="s">
        <v>26461</v>
      </c>
      <c r="AD5655" s="9">
        <v>43101</v>
      </c>
      <c r="AE5655" s="3" t="s">
        <v>740</v>
      </c>
      <c r="AF5655" s="3" t="s">
        <v>26462</v>
      </c>
      <c r="AG5655" s="3" t="s">
        <v>8939</v>
      </c>
      <c r="AH5655" s="11">
        <f>HYPERLINK("https://my.pitchbook.com?c=136793-08T","View Company Online")</f>
      </c>
    </row>
    <row r="5656">
      <c r="A5656" s="12" t="s">
        <v>26463</v>
      </c>
      <c r="B5656" s="12" t="s">
        <v>26464</v>
      </c>
      <c r="C5656" s="19" t="s">
        <v>36</v>
      </c>
      <c r="D5656" s="19" t="s">
        <v>36</v>
      </c>
      <c r="E5656" s="19" t="s">
        <v>36</v>
      </c>
      <c r="F5656" s="19" t="s">
        <v>36</v>
      </c>
      <c r="G5656" s="15" t="s">
        <v>36</v>
      </c>
      <c r="H5656" s="14" t="s">
        <v>36</v>
      </c>
      <c r="I5656" s="18" t="s">
        <v>36</v>
      </c>
      <c r="J5656" s="12" t="s">
        <v>36</v>
      </c>
      <c r="K5656" s="13" t="s">
        <v>36</v>
      </c>
      <c r="L5656" s="15" t="s">
        <v>36</v>
      </c>
      <c r="M5656" s="12" t="s">
        <v>36</v>
      </c>
      <c r="N5656" s="12" t="s">
        <v>36</v>
      </c>
      <c r="O5656" s="17" t="s">
        <v>36</v>
      </c>
      <c r="P5656" s="12" t="s">
        <v>36</v>
      </c>
      <c r="Q5656" s="12" t="s">
        <v>36</v>
      </c>
      <c r="R5656" s="12" t="s">
        <v>36</v>
      </c>
      <c r="S5656" s="12" t="s">
        <v>36</v>
      </c>
      <c r="T5656" s="12" t="s">
        <v>9456</v>
      </c>
      <c r="U5656" s="12" t="s">
        <v>63</v>
      </c>
      <c r="V5656" s="12" t="s">
        <v>64</v>
      </c>
      <c r="W5656" s="12" t="s">
        <v>26465</v>
      </c>
      <c r="X5656" s="16" t="s">
        <v>14564</v>
      </c>
      <c r="Y5656" s="15" t="s">
        <v>42</v>
      </c>
      <c r="Z5656" s="14" t="s">
        <v>36</v>
      </c>
      <c r="AA5656" s="14" t="s">
        <v>36</v>
      </c>
      <c r="AB5656" s="12" t="s">
        <v>43</v>
      </c>
      <c r="AC5656" s="12" t="s">
        <v>26466</v>
      </c>
      <c r="AD5656" s="13">
        <v>43101</v>
      </c>
      <c r="AE5656" s="12" t="s">
        <v>4310</v>
      </c>
      <c r="AF5656" s="12" t="s">
        <v>36</v>
      </c>
      <c r="AG5656" s="12" t="s">
        <v>81</v>
      </c>
      <c r="AH5656" s="1">
        <f>HYPERLINK("https://my.pitchbook.com?c=130114-54T","View Company Online")</f>
      </c>
    </row>
    <row r="5657">
      <c r="A5657" s="3" t="s">
        <v>26467</v>
      </c>
      <c r="B5657" s="3" t="s">
        <v>26468</v>
      </c>
      <c r="C5657" s="5" t="s">
        <v>36</v>
      </c>
      <c r="D5657" s="5" t="s">
        <v>36</v>
      </c>
      <c r="E5657" s="5" t="s">
        <v>36</v>
      </c>
      <c r="F5657" s="5" t="s">
        <v>36</v>
      </c>
      <c r="G5657" s="6" t="s">
        <v>36</v>
      </c>
      <c r="H5657" s="4" t="s">
        <v>36</v>
      </c>
      <c r="I5657" s="7" t="s">
        <v>36</v>
      </c>
      <c r="J5657" s="3" t="s">
        <v>36</v>
      </c>
      <c r="K5657" s="9" t="s">
        <v>36</v>
      </c>
      <c r="L5657" s="6" t="s">
        <v>36</v>
      </c>
      <c r="M5657" s="3" t="s">
        <v>36</v>
      </c>
      <c r="N5657" s="3" t="s">
        <v>36</v>
      </c>
      <c r="O5657" s="8" t="s">
        <v>36</v>
      </c>
      <c r="P5657" s="3" t="s">
        <v>36</v>
      </c>
      <c r="Q5657" s="3" t="s">
        <v>36</v>
      </c>
      <c r="R5657" s="3" t="s">
        <v>36</v>
      </c>
      <c r="S5657" s="3" t="s">
        <v>36</v>
      </c>
      <c r="T5657" s="3" t="s">
        <v>3850</v>
      </c>
      <c r="U5657" s="3" t="s">
        <v>1580</v>
      </c>
      <c r="V5657" s="3" t="s">
        <v>39</v>
      </c>
      <c r="W5657" s="3" t="s">
        <v>26469</v>
      </c>
      <c r="X5657" s="10" t="s">
        <v>1840</v>
      </c>
      <c r="Y5657" s="6" t="s">
        <v>108</v>
      </c>
      <c r="Z5657" s="4" t="s">
        <v>36</v>
      </c>
      <c r="AA5657" s="4" t="s">
        <v>36</v>
      </c>
      <c r="AB5657" s="3" t="s">
        <v>56</v>
      </c>
      <c r="AC5657" s="3" t="s">
        <v>26470</v>
      </c>
      <c r="AD5657" s="9">
        <v>43101</v>
      </c>
      <c r="AE5657" s="3" t="s">
        <v>3854</v>
      </c>
      <c r="AF5657" s="3" t="s">
        <v>1636</v>
      </c>
      <c r="AG5657" s="3" t="s">
        <v>47</v>
      </c>
      <c r="AH5657" s="11">
        <f>HYPERLINK("https://my.pitchbook.com?c=172959-85T","View Company Online")</f>
      </c>
    </row>
    <row r="5658">
      <c r="A5658" s="12" t="s">
        <v>26471</v>
      </c>
      <c r="B5658" s="12" t="s">
        <v>8319</v>
      </c>
      <c r="C5658" s="19" t="s">
        <v>36</v>
      </c>
      <c r="D5658" s="19" t="s">
        <v>36</v>
      </c>
      <c r="E5658" s="19" t="s">
        <v>36</v>
      </c>
      <c r="F5658" s="19" t="s">
        <v>36</v>
      </c>
      <c r="G5658" s="15" t="s">
        <v>36</v>
      </c>
      <c r="H5658" s="14" t="s">
        <v>36</v>
      </c>
      <c r="I5658" s="18" t="s">
        <v>36</v>
      </c>
      <c r="J5658" s="12" t="s">
        <v>36</v>
      </c>
      <c r="K5658" s="13" t="s">
        <v>36</v>
      </c>
      <c r="L5658" s="15" t="s">
        <v>36</v>
      </c>
      <c r="M5658" s="12" t="s">
        <v>36</v>
      </c>
      <c r="N5658" s="12" t="s">
        <v>36</v>
      </c>
      <c r="O5658" s="17" t="s">
        <v>36</v>
      </c>
      <c r="P5658" s="12" t="s">
        <v>36</v>
      </c>
      <c r="Q5658" s="12" t="s">
        <v>36</v>
      </c>
      <c r="R5658" s="12" t="s">
        <v>36</v>
      </c>
      <c r="S5658" s="12" t="s">
        <v>36</v>
      </c>
      <c r="T5658" s="12" t="s">
        <v>2967</v>
      </c>
      <c r="U5658" s="12" t="s">
        <v>38</v>
      </c>
      <c r="V5658" s="12" t="s">
        <v>39</v>
      </c>
      <c r="W5658" s="12" t="s">
        <v>8320</v>
      </c>
      <c r="X5658" s="16" t="s">
        <v>26472</v>
      </c>
      <c r="Y5658" s="15" t="s">
        <v>108</v>
      </c>
      <c r="Z5658" s="14">
        <v>0.77</v>
      </c>
      <c r="AA5658" s="14" t="s">
        <v>36</v>
      </c>
      <c r="AB5658" s="12" t="s">
        <v>43</v>
      </c>
      <c r="AC5658" s="12" t="s">
        <v>8322</v>
      </c>
      <c r="AD5658" s="13">
        <v>43101</v>
      </c>
      <c r="AE5658" s="12" t="s">
        <v>110</v>
      </c>
      <c r="AF5658" s="12" t="s">
        <v>4276</v>
      </c>
      <c r="AG5658" s="12" t="s">
        <v>81</v>
      </c>
      <c r="AH5658" s="1">
        <f>HYPERLINK("https://my.pitchbook.com?c=126184-06T","View Company Online")</f>
      </c>
    </row>
    <row r="5659">
      <c r="A5659" s="3" t="s">
        <v>26473</v>
      </c>
      <c r="B5659" s="3" t="s">
        <v>20381</v>
      </c>
      <c r="C5659" s="5" t="s">
        <v>36</v>
      </c>
      <c r="D5659" s="5" t="s">
        <v>36</v>
      </c>
      <c r="E5659" s="5" t="s">
        <v>36</v>
      </c>
      <c r="F5659" s="5" t="s">
        <v>36</v>
      </c>
      <c r="G5659" s="6" t="s">
        <v>36</v>
      </c>
      <c r="H5659" s="4" t="s">
        <v>36</v>
      </c>
      <c r="I5659" s="7" t="s">
        <v>36</v>
      </c>
      <c r="J5659" s="3" t="s">
        <v>36</v>
      </c>
      <c r="K5659" s="9" t="s">
        <v>36</v>
      </c>
      <c r="L5659" s="6" t="s">
        <v>36</v>
      </c>
      <c r="M5659" s="3" t="s">
        <v>36</v>
      </c>
      <c r="N5659" s="3" t="s">
        <v>36</v>
      </c>
      <c r="O5659" s="8" t="s">
        <v>36</v>
      </c>
      <c r="P5659" s="3" t="s">
        <v>36</v>
      </c>
      <c r="Q5659" s="3" t="s">
        <v>36</v>
      </c>
      <c r="R5659" s="3" t="s">
        <v>36</v>
      </c>
      <c r="S5659" s="3" t="s">
        <v>36</v>
      </c>
      <c r="T5659" s="3" t="s">
        <v>105</v>
      </c>
      <c r="U5659" s="3" t="s">
        <v>38</v>
      </c>
      <c r="V5659" s="3" t="s">
        <v>39</v>
      </c>
      <c r="W5659" s="3" t="s">
        <v>20382</v>
      </c>
      <c r="X5659" s="10" t="s">
        <v>9721</v>
      </c>
      <c r="Y5659" s="6" t="s">
        <v>108</v>
      </c>
      <c r="Z5659" s="4" t="s">
        <v>36</v>
      </c>
      <c r="AA5659" s="4" t="s">
        <v>36</v>
      </c>
      <c r="AB5659" s="3" t="s">
        <v>56</v>
      </c>
      <c r="AC5659" s="3" t="s">
        <v>20384</v>
      </c>
      <c r="AD5659" s="9">
        <v>43101</v>
      </c>
      <c r="AE5659" s="3" t="s">
        <v>110</v>
      </c>
      <c r="AF5659" s="3" t="s">
        <v>176</v>
      </c>
      <c r="AG5659" s="3" t="s">
        <v>47</v>
      </c>
      <c r="AH5659" s="11">
        <f>HYPERLINK("https://my.pitchbook.com?c=260389-90T","View Company Online")</f>
      </c>
    </row>
    <row r="5660">
      <c r="A5660" s="12" t="s">
        <v>26474</v>
      </c>
      <c r="B5660" s="12" t="s">
        <v>26475</v>
      </c>
      <c r="C5660" s="19" t="s">
        <v>36</v>
      </c>
      <c r="D5660" s="19" t="s">
        <v>36</v>
      </c>
      <c r="E5660" s="19" t="s">
        <v>36</v>
      </c>
      <c r="F5660" s="19" t="s">
        <v>36</v>
      </c>
      <c r="G5660" s="15" t="s">
        <v>36</v>
      </c>
      <c r="H5660" s="14" t="s">
        <v>36</v>
      </c>
      <c r="I5660" s="18" t="s">
        <v>36</v>
      </c>
      <c r="J5660" s="12" t="s">
        <v>36</v>
      </c>
      <c r="K5660" s="13" t="s">
        <v>36</v>
      </c>
      <c r="L5660" s="15" t="s">
        <v>36</v>
      </c>
      <c r="M5660" s="12" t="s">
        <v>36</v>
      </c>
      <c r="N5660" s="12" t="s">
        <v>36</v>
      </c>
      <c r="O5660" s="17" t="s">
        <v>36</v>
      </c>
      <c r="P5660" s="12" t="s">
        <v>36</v>
      </c>
      <c r="Q5660" s="12" t="s">
        <v>36</v>
      </c>
      <c r="R5660" s="12" t="s">
        <v>36</v>
      </c>
      <c r="S5660" s="12" t="s">
        <v>36</v>
      </c>
      <c r="T5660" s="12" t="s">
        <v>26476</v>
      </c>
      <c r="U5660" s="12" t="s">
        <v>289</v>
      </c>
      <c r="V5660" s="12" t="s">
        <v>64</v>
      </c>
      <c r="W5660" s="12" t="s">
        <v>26477</v>
      </c>
      <c r="X5660" s="16" t="s">
        <v>1043</v>
      </c>
      <c r="Y5660" s="15" t="s">
        <v>42</v>
      </c>
      <c r="Z5660" s="14" t="s">
        <v>36</v>
      </c>
      <c r="AA5660" s="14" t="s">
        <v>36</v>
      </c>
      <c r="AB5660" s="12" t="s">
        <v>56</v>
      </c>
      <c r="AC5660" s="12" t="s">
        <v>26478</v>
      </c>
      <c r="AD5660" s="13">
        <v>43101</v>
      </c>
      <c r="AE5660" s="12" t="s">
        <v>292</v>
      </c>
      <c r="AF5660" s="12" t="s">
        <v>90</v>
      </c>
      <c r="AG5660" s="12" t="s">
        <v>382</v>
      </c>
      <c r="AH5660" s="1">
        <f>HYPERLINK("https://my.pitchbook.com?c=280394-38T","View Company Online")</f>
      </c>
    </row>
    <row r="5661">
      <c r="A5661" s="3" t="s">
        <v>26479</v>
      </c>
      <c r="B5661" s="3" t="s">
        <v>26480</v>
      </c>
      <c r="C5661" s="5" t="s">
        <v>36</v>
      </c>
      <c r="D5661" s="5" t="s">
        <v>36</v>
      </c>
      <c r="E5661" s="5" t="s">
        <v>36</v>
      </c>
      <c r="F5661" s="5" t="s">
        <v>36</v>
      </c>
      <c r="G5661" s="6" t="s">
        <v>326</v>
      </c>
      <c r="H5661" s="4">
        <v>535.9</v>
      </c>
      <c r="I5661" s="7">
        <v>25.91</v>
      </c>
      <c r="J5661" s="3" t="s">
        <v>521</v>
      </c>
      <c r="K5661" s="9">
        <v>43088</v>
      </c>
      <c r="L5661" s="6" t="s">
        <v>36</v>
      </c>
      <c r="M5661" s="3" t="s">
        <v>36</v>
      </c>
      <c r="N5661" s="3" t="s">
        <v>36</v>
      </c>
      <c r="O5661" s="8" t="s">
        <v>36</v>
      </c>
      <c r="P5661" s="3" t="s">
        <v>36</v>
      </c>
      <c r="Q5661" s="3" t="s">
        <v>36</v>
      </c>
      <c r="R5661" s="3" t="s">
        <v>36</v>
      </c>
      <c r="S5661" s="3" t="s">
        <v>36</v>
      </c>
      <c r="T5661" s="3" t="s">
        <v>3843</v>
      </c>
      <c r="U5661" s="3" t="s">
        <v>180</v>
      </c>
      <c r="V5661" s="3" t="s">
        <v>52</v>
      </c>
      <c r="W5661" s="3" t="s">
        <v>26481</v>
      </c>
      <c r="X5661" s="10" t="s">
        <v>694</v>
      </c>
      <c r="Y5661" s="6" t="s">
        <v>108</v>
      </c>
      <c r="Z5661" s="4">
        <v>1.6</v>
      </c>
      <c r="AA5661" s="4">
        <v>3.88</v>
      </c>
      <c r="AB5661" s="3" t="s">
        <v>43</v>
      </c>
      <c r="AC5661" s="3" t="s">
        <v>26482</v>
      </c>
      <c r="AD5661" s="9">
        <v>43101</v>
      </c>
      <c r="AE5661" s="3" t="s">
        <v>3847</v>
      </c>
      <c r="AF5661" s="3" t="s">
        <v>101</v>
      </c>
      <c r="AG5661" s="3" t="s">
        <v>9909</v>
      </c>
      <c r="AH5661" s="11">
        <f>HYPERLINK("https://my.pitchbook.com?c=114594-94T","View Company Online")</f>
      </c>
    </row>
    <row r="5662">
      <c r="A5662" s="12" t="s">
        <v>26483</v>
      </c>
      <c r="B5662" s="12" t="s">
        <v>26484</v>
      </c>
      <c r="C5662" s="19" t="s">
        <v>36</v>
      </c>
      <c r="D5662" s="19" t="s">
        <v>36</v>
      </c>
      <c r="E5662" s="19" t="s">
        <v>36</v>
      </c>
      <c r="F5662" s="19" t="s">
        <v>36</v>
      </c>
      <c r="G5662" s="15" t="s">
        <v>36</v>
      </c>
      <c r="H5662" s="14" t="s">
        <v>36</v>
      </c>
      <c r="I5662" s="18" t="s">
        <v>36</v>
      </c>
      <c r="J5662" s="12" t="s">
        <v>36</v>
      </c>
      <c r="K5662" s="13" t="s">
        <v>36</v>
      </c>
      <c r="L5662" s="15" t="s">
        <v>36</v>
      </c>
      <c r="M5662" s="12" t="s">
        <v>36</v>
      </c>
      <c r="N5662" s="12" t="s">
        <v>36</v>
      </c>
      <c r="O5662" s="17" t="s">
        <v>36</v>
      </c>
      <c r="P5662" s="12" t="s">
        <v>36</v>
      </c>
      <c r="Q5662" s="12" t="s">
        <v>36</v>
      </c>
      <c r="R5662" s="12" t="s">
        <v>36</v>
      </c>
      <c r="S5662" s="12" t="s">
        <v>36</v>
      </c>
      <c r="T5662" s="12" t="s">
        <v>2961</v>
      </c>
      <c r="U5662" s="12" t="s">
        <v>74</v>
      </c>
      <c r="V5662" s="12" t="s">
        <v>75</v>
      </c>
      <c r="W5662" s="12" t="s">
        <v>26485</v>
      </c>
      <c r="X5662" s="16" t="s">
        <v>4115</v>
      </c>
      <c r="Y5662" s="15" t="s">
        <v>42</v>
      </c>
      <c r="Z5662" s="14" t="s">
        <v>36</v>
      </c>
      <c r="AA5662" s="14" t="s">
        <v>36</v>
      </c>
      <c r="AB5662" s="12" t="s">
        <v>56</v>
      </c>
      <c r="AC5662" s="12" t="s">
        <v>26486</v>
      </c>
      <c r="AD5662" s="13">
        <v>43101</v>
      </c>
      <c r="AE5662" s="12" t="s">
        <v>975</v>
      </c>
      <c r="AF5662" s="12" t="s">
        <v>36</v>
      </c>
      <c r="AG5662" s="12" t="s">
        <v>382</v>
      </c>
      <c r="AH5662" s="1">
        <f>HYPERLINK("https://my.pitchbook.com?c=275512-60T","View Company Online")</f>
      </c>
    </row>
    <row r="5663">
      <c r="A5663" s="3" t="s">
        <v>26487</v>
      </c>
      <c r="B5663" s="3" t="s">
        <v>4243</v>
      </c>
      <c r="C5663" s="5">
        <v>31</v>
      </c>
      <c r="D5663" s="5">
        <v>81</v>
      </c>
      <c r="E5663" s="5">
        <v>43</v>
      </c>
      <c r="F5663" s="5">
        <v>136</v>
      </c>
      <c r="G5663" s="6" t="s">
        <v>36</v>
      </c>
      <c r="H5663" s="4" t="s">
        <v>36</v>
      </c>
      <c r="I5663" s="7" t="s">
        <v>36</v>
      </c>
      <c r="J5663" s="3" t="s">
        <v>36</v>
      </c>
      <c r="K5663" s="9" t="s">
        <v>36</v>
      </c>
      <c r="L5663" s="6" t="s">
        <v>36</v>
      </c>
      <c r="M5663" s="3" t="s">
        <v>36</v>
      </c>
      <c r="N5663" s="3" t="s">
        <v>36</v>
      </c>
      <c r="O5663" s="8" t="s">
        <v>36</v>
      </c>
      <c r="P5663" s="3" t="s">
        <v>36</v>
      </c>
      <c r="Q5663" s="3" t="s">
        <v>36</v>
      </c>
      <c r="R5663" s="3" t="s">
        <v>36</v>
      </c>
      <c r="S5663" s="3" t="s">
        <v>36</v>
      </c>
      <c r="T5663" s="3" t="s">
        <v>4244</v>
      </c>
      <c r="U5663" s="3" t="s">
        <v>1798</v>
      </c>
      <c r="V5663" s="3" t="s">
        <v>39</v>
      </c>
      <c r="W5663" s="3" t="s">
        <v>4245</v>
      </c>
      <c r="X5663" s="10" t="s">
        <v>4499</v>
      </c>
      <c r="Y5663" s="6" t="s">
        <v>108</v>
      </c>
      <c r="Z5663" s="4" t="s">
        <v>36</v>
      </c>
      <c r="AA5663" s="4" t="s">
        <v>36</v>
      </c>
      <c r="AB5663" s="3" t="s">
        <v>56</v>
      </c>
      <c r="AC5663" s="3" t="s">
        <v>4246</v>
      </c>
      <c r="AD5663" s="9">
        <v>43101</v>
      </c>
      <c r="AE5663" s="3" t="s">
        <v>4247</v>
      </c>
      <c r="AF5663" s="3" t="s">
        <v>4248</v>
      </c>
      <c r="AG5663" s="3" t="s">
        <v>4249</v>
      </c>
      <c r="AH5663" s="11">
        <f>HYPERLINK("https://my.pitchbook.com?c=100564-93T","View Company Online")</f>
      </c>
    </row>
    <row r="5664">
      <c r="A5664" s="12" t="s">
        <v>26488</v>
      </c>
      <c r="B5664" s="12" t="s">
        <v>26489</v>
      </c>
      <c r="C5664" s="19" t="s">
        <v>36</v>
      </c>
      <c r="D5664" s="19" t="s">
        <v>36</v>
      </c>
      <c r="E5664" s="19" t="s">
        <v>36</v>
      </c>
      <c r="F5664" s="19" t="s">
        <v>36</v>
      </c>
      <c r="G5664" s="15" t="s">
        <v>36</v>
      </c>
      <c r="H5664" s="14">
        <v>934.71</v>
      </c>
      <c r="I5664" s="18">
        <v>25</v>
      </c>
      <c r="J5664" s="12" t="s">
        <v>521</v>
      </c>
      <c r="K5664" s="13" t="s">
        <v>36</v>
      </c>
      <c r="L5664" s="15" t="s">
        <v>122</v>
      </c>
      <c r="M5664" s="12" t="s">
        <v>36</v>
      </c>
      <c r="N5664" s="12" t="s">
        <v>122</v>
      </c>
      <c r="O5664" s="17" t="s">
        <v>36</v>
      </c>
      <c r="P5664" s="12" t="s">
        <v>36</v>
      </c>
      <c r="Q5664" s="12" t="s">
        <v>36</v>
      </c>
      <c r="R5664" s="12" t="s">
        <v>36</v>
      </c>
      <c r="S5664" s="12" t="s">
        <v>36</v>
      </c>
      <c r="T5664" s="12" t="s">
        <v>26157</v>
      </c>
      <c r="U5664" s="12" t="s">
        <v>279</v>
      </c>
      <c r="V5664" s="12" t="s">
        <v>64</v>
      </c>
      <c r="W5664" s="12" t="s">
        <v>26490</v>
      </c>
      <c r="X5664" s="16" t="s">
        <v>26491</v>
      </c>
      <c r="Y5664" s="15" t="s">
        <v>42</v>
      </c>
      <c r="Z5664" s="14">
        <v>2.96</v>
      </c>
      <c r="AA5664" s="14">
        <v>5.68</v>
      </c>
      <c r="AB5664" s="12" t="s">
        <v>56</v>
      </c>
      <c r="AC5664" s="12" t="s">
        <v>26492</v>
      </c>
      <c r="AD5664" s="13">
        <v>43101</v>
      </c>
      <c r="AE5664" s="12" t="s">
        <v>283</v>
      </c>
      <c r="AF5664" s="12" t="s">
        <v>36</v>
      </c>
      <c r="AG5664" s="12" t="s">
        <v>81</v>
      </c>
      <c r="AH5664" s="1">
        <f>HYPERLINK("https://my.pitchbook.com?c=107164-27T","View Company Online")</f>
      </c>
    </row>
    <row r="5665">
      <c r="A5665" s="3" t="s">
        <v>26493</v>
      </c>
      <c r="B5665" s="3" t="s">
        <v>8128</v>
      </c>
      <c r="C5665" s="5">
        <v>4</v>
      </c>
      <c r="D5665" s="5">
        <v>33</v>
      </c>
      <c r="E5665" s="5">
        <v>9</v>
      </c>
      <c r="F5665" s="5">
        <v>45</v>
      </c>
      <c r="G5665" s="6" t="s">
        <v>36</v>
      </c>
      <c r="H5665" s="4" t="s">
        <v>36</v>
      </c>
      <c r="I5665" s="7" t="s">
        <v>36</v>
      </c>
      <c r="J5665" s="3" t="s">
        <v>36</v>
      </c>
      <c r="K5665" s="9" t="s">
        <v>36</v>
      </c>
      <c r="L5665" s="6" t="s">
        <v>36</v>
      </c>
      <c r="M5665" s="3" t="s">
        <v>36</v>
      </c>
      <c r="N5665" s="3" t="s">
        <v>36</v>
      </c>
      <c r="O5665" s="8" t="s">
        <v>36</v>
      </c>
      <c r="P5665" s="3" t="s">
        <v>36</v>
      </c>
      <c r="Q5665" s="3" t="s">
        <v>36</v>
      </c>
      <c r="R5665" s="3" t="s">
        <v>36</v>
      </c>
      <c r="S5665" s="3" t="s">
        <v>36</v>
      </c>
      <c r="T5665" s="3" t="s">
        <v>2176</v>
      </c>
      <c r="U5665" s="3" t="s">
        <v>51</v>
      </c>
      <c r="V5665" s="3" t="s">
        <v>52</v>
      </c>
      <c r="W5665" s="3" t="s">
        <v>8129</v>
      </c>
      <c r="X5665" s="10" t="s">
        <v>26494</v>
      </c>
      <c r="Y5665" s="6" t="s">
        <v>192</v>
      </c>
      <c r="Z5665" s="4" t="s">
        <v>36</v>
      </c>
      <c r="AA5665" s="4" t="s">
        <v>36</v>
      </c>
      <c r="AB5665" s="3" t="s">
        <v>56</v>
      </c>
      <c r="AC5665" s="3" t="s">
        <v>8131</v>
      </c>
      <c r="AD5665" s="9">
        <v>43101</v>
      </c>
      <c r="AE5665" s="3" t="s">
        <v>158</v>
      </c>
      <c r="AF5665" s="3" t="s">
        <v>8132</v>
      </c>
      <c r="AG5665" s="3" t="s">
        <v>81</v>
      </c>
      <c r="AH5665" s="11">
        <f>HYPERLINK("https://my.pitchbook.com?c=112378-60T","View Company Online")</f>
      </c>
    </row>
    <row r="5666">
      <c r="A5666" s="12" t="s">
        <v>26495</v>
      </c>
      <c r="B5666" s="12" t="s">
        <v>23360</v>
      </c>
      <c r="C5666" s="19" t="s">
        <v>36</v>
      </c>
      <c r="D5666" s="19" t="s">
        <v>36</v>
      </c>
      <c r="E5666" s="19" t="s">
        <v>36</v>
      </c>
      <c r="F5666" s="19" t="s">
        <v>36</v>
      </c>
      <c r="G5666" s="15" t="s">
        <v>36</v>
      </c>
      <c r="H5666" s="14" t="s">
        <v>36</v>
      </c>
      <c r="I5666" s="18" t="s">
        <v>36</v>
      </c>
      <c r="J5666" s="12" t="s">
        <v>36</v>
      </c>
      <c r="K5666" s="13" t="s">
        <v>36</v>
      </c>
      <c r="L5666" s="15" t="s">
        <v>122</v>
      </c>
      <c r="M5666" s="12" t="s">
        <v>36</v>
      </c>
      <c r="N5666" s="12" t="s">
        <v>122</v>
      </c>
      <c r="O5666" s="17" t="s">
        <v>36</v>
      </c>
      <c r="P5666" s="12" t="s">
        <v>36</v>
      </c>
      <c r="Q5666" s="12" t="s">
        <v>36</v>
      </c>
      <c r="R5666" s="12" t="s">
        <v>36</v>
      </c>
      <c r="S5666" s="12" t="s">
        <v>36</v>
      </c>
      <c r="T5666" s="12" t="s">
        <v>265</v>
      </c>
      <c r="U5666" s="12" t="s">
        <v>85</v>
      </c>
      <c r="V5666" s="12" t="s">
        <v>64</v>
      </c>
      <c r="W5666" s="12" t="s">
        <v>23361</v>
      </c>
      <c r="X5666" s="16" t="s">
        <v>26496</v>
      </c>
      <c r="Y5666" s="15" t="s">
        <v>55</v>
      </c>
      <c r="Z5666" s="14">
        <v>0.95</v>
      </c>
      <c r="AA5666" s="14" t="s">
        <v>36</v>
      </c>
      <c r="AB5666" s="12" t="s">
        <v>56</v>
      </c>
      <c r="AC5666" s="12" t="s">
        <v>23363</v>
      </c>
      <c r="AD5666" s="13">
        <v>43101</v>
      </c>
      <c r="AE5666" s="12" t="s">
        <v>89</v>
      </c>
      <c r="AF5666" s="12" t="s">
        <v>1507</v>
      </c>
      <c r="AG5666" s="12" t="s">
        <v>81</v>
      </c>
      <c r="AH5666" s="1">
        <f>HYPERLINK("https://my.pitchbook.com?c=102087-28T","View Company Online")</f>
      </c>
    </row>
    <row r="5667">
      <c r="A5667" s="3" t="s">
        <v>26497</v>
      </c>
      <c r="B5667" s="3" t="s">
        <v>26498</v>
      </c>
      <c r="C5667" s="5" t="s">
        <v>36</v>
      </c>
      <c r="D5667" s="5" t="s">
        <v>36</v>
      </c>
      <c r="E5667" s="5" t="s">
        <v>36</v>
      </c>
      <c r="F5667" s="5" t="s">
        <v>36</v>
      </c>
      <c r="G5667" s="6" t="s">
        <v>36</v>
      </c>
      <c r="H5667" s="4" t="s">
        <v>36</v>
      </c>
      <c r="I5667" s="7" t="s">
        <v>36</v>
      </c>
      <c r="J5667" s="3" t="s">
        <v>36</v>
      </c>
      <c r="K5667" s="9" t="s">
        <v>36</v>
      </c>
      <c r="L5667" s="6" t="s">
        <v>36</v>
      </c>
      <c r="M5667" s="3" t="s">
        <v>36</v>
      </c>
      <c r="N5667" s="3" t="s">
        <v>36</v>
      </c>
      <c r="O5667" s="8" t="s">
        <v>36</v>
      </c>
      <c r="P5667" s="3" t="s">
        <v>36</v>
      </c>
      <c r="Q5667" s="3" t="s">
        <v>36</v>
      </c>
      <c r="R5667" s="3" t="s">
        <v>36</v>
      </c>
      <c r="S5667" s="3" t="s">
        <v>36</v>
      </c>
      <c r="T5667" s="3" t="s">
        <v>26499</v>
      </c>
      <c r="U5667" s="3" t="s">
        <v>74</v>
      </c>
      <c r="V5667" s="3" t="s">
        <v>75</v>
      </c>
      <c r="W5667" s="3" t="s">
        <v>26500</v>
      </c>
      <c r="X5667" s="10" t="s">
        <v>13670</v>
      </c>
      <c r="Y5667" s="6" t="s">
        <v>42</v>
      </c>
      <c r="Z5667" s="4" t="s">
        <v>36</v>
      </c>
      <c r="AA5667" s="4" t="s">
        <v>36</v>
      </c>
      <c r="AB5667" s="3" t="s">
        <v>43</v>
      </c>
      <c r="AC5667" s="3" t="s">
        <v>26501</v>
      </c>
      <c r="AD5667" s="9">
        <v>43101</v>
      </c>
      <c r="AE5667" s="3" t="s">
        <v>79</v>
      </c>
      <c r="AF5667" s="3" t="s">
        <v>26502</v>
      </c>
      <c r="AG5667" s="3" t="s">
        <v>81</v>
      </c>
      <c r="AH5667" s="11">
        <f>HYPERLINK("https://my.pitchbook.com?c=116535-25T","View Company Online")</f>
      </c>
    </row>
    <row r="5668">
      <c r="A5668" s="12" t="s">
        <v>26503</v>
      </c>
      <c r="B5668" s="12" t="s">
        <v>26504</v>
      </c>
      <c r="C5668" s="19" t="s">
        <v>36</v>
      </c>
      <c r="D5668" s="19" t="s">
        <v>36</v>
      </c>
      <c r="E5668" s="19" t="s">
        <v>36</v>
      </c>
      <c r="F5668" s="19" t="s">
        <v>36</v>
      </c>
      <c r="G5668" s="15" t="s">
        <v>36</v>
      </c>
      <c r="H5668" s="14" t="s">
        <v>36</v>
      </c>
      <c r="I5668" s="18" t="s">
        <v>36</v>
      </c>
      <c r="J5668" s="12" t="s">
        <v>36</v>
      </c>
      <c r="K5668" s="13" t="s">
        <v>36</v>
      </c>
      <c r="L5668" s="15" t="s">
        <v>36</v>
      </c>
      <c r="M5668" s="12" t="s">
        <v>36</v>
      </c>
      <c r="N5668" s="12" t="s">
        <v>36</v>
      </c>
      <c r="O5668" s="17" t="s">
        <v>36</v>
      </c>
      <c r="P5668" s="12" t="s">
        <v>36</v>
      </c>
      <c r="Q5668" s="12" t="s">
        <v>36</v>
      </c>
      <c r="R5668" s="12" t="s">
        <v>36</v>
      </c>
      <c r="S5668" s="12" t="s">
        <v>36</v>
      </c>
      <c r="T5668" s="12" t="s">
        <v>26505</v>
      </c>
      <c r="U5668" s="12" t="s">
        <v>74</v>
      </c>
      <c r="V5668" s="12" t="s">
        <v>75</v>
      </c>
      <c r="W5668" s="12" t="s">
        <v>26506</v>
      </c>
      <c r="X5668" s="16" t="s">
        <v>26507</v>
      </c>
      <c r="Y5668" s="15" t="s">
        <v>42</v>
      </c>
      <c r="Z5668" s="14" t="s">
        <v>36</v>
      </c>
      <c r="AA5668" s="14" t="s">
        <v>36</v>
      </c>
      <c r="AB5668" s="12" t="s">
        <v>43</v>
      </c>
      <c r="AC5668" s="12" t="s">
        <v>26508</v>
      </c>
      <c r="AD5668" s="13">
        <v>43101</v>
      </c>
      <c r="AE5668" s="12" t="s">
        <v>975</v>
      </c>
      <c r="AF5668" s="12" t="s">
        <v>20839</v>
      </c>
      <c r="AG5668" s="12" t="s">
        <v>81</v>
      </c>
      <c r="AH5668" s="1">
        <f>HYPERLINK("https://my.pitchbook.com?c=195658-84T","View Company Online")</f>
      </c>
    </row>
    <row r="5669">
      <c r="A5669" s="3" t="s">
        <v>26509</v>
      </c>
      <c r="B5669" s="3" t="s">
        <v>26510</v>
      </c>
      <c r="C5669" s="5" t="s">
        <v>36</v>
      </c>
      <c r="D5669" s="5" t="s">
        <v>36</v>
      </c>
      <c r="E5669" s="5" t="s">
        <v>36</v>
      </c>
      <c r="F5669" s="5" t="s">
        <v>36</v>
      </c>
      <c r="G5669" s="6" t="s">
        <v>36</v>
      </c>
      <c r="H5669" s="4" t="s">
        <v>36</v>
      </c>
      <c r="I5669" s="7" t="s">
        <v>36</v>
      </c>
      <c r="J5669" s="3" t="s">
        <v>36</v>
      </c>
      <c r="K5669" s="9" t="s">
        <v>36</v>
      </c>
      <c r="L5669" s="6" t="s">
        <v>36</v>
      </c>
      <c r="M5669" s="3" t="s">
        <v>36</v>
      </c>
      <c r="N5669" s="3" t="s">
        <v>36</v>
      </c>
      <c r="O5669" s="8" t="s">
        <v>36</v>
      </c>
      <c r="P5669" s="3" t="s">
        <v>36</v>
      </c>
      <c r="Q5669" s="3" t="s">
        <v>36</v>
      </c>
      <c r="R5669" s="3" t="s">
        <v>36</v>
      </c>
      <c r="S5669" s="3" t="s">
        <v>36</v>
      </c>
      <c r="T5669" s="3" t="s">
        <v>26511</v>
      </c>
      <c r="U5669" s="3" t="s">
        <v>648</v>
      </c>
      <c r="V5669" s="3" t="s">
        <v>64</v>
      </c>
      <c r="W5669" s="3" t="s">
        <v>26512</v>
      </c>
      <c r="X5669" s="10" t="s">
        <v>1872</v>
      </c>
      <c r="Y5669" s="6" t="s">
        <v>42</v>
      </c>
      <c r="Z5669" s="4" t="s">
        <v>36</v>
      </c>
      <c r="AA5669" s="4" t="s">
        <v>36</v>
      </c>
      <c r="AB5669" s="3" t="s">
        <v>56</v>
      </c>
      <c r="AC5669" s="3" t="s">
        <v>26513</v>
      </c>
      <c r="AD5669" s="9">
        <v>43101</v>
      </c>
      <c r="AE5669" s="3" t="s">
        <v>3988</v>
      </c>
      <c r="AF5669" s="3" t="s">
        <v>36</v>
      </c>
      <c r="AG5669" s="3" t="s">
        <v>13945</v>
      </c>
      <c r="AH5669" s="11">
        <f>HYPERLINK("https://my.pitchbook.com?c=116529-13T","View Company Online")</f>
      </c>
    </row>
    <row r="5670">
      <c r="A5670" s="12" t="s">
        <v>26514</v>
      </c>
      <c r="B5670" s="12" t="s">
        <v>26515</v>
      </c>
      <c r="C5670" s="19" t="s">
        <v>36</v>
      </c>
      <c r="D5670" s="19" t="s">
        <v>36</v>
      </c>
      <c r="E5670" s="19" t="s">
        <v>36</v>
      </c>
      <c r="F5670" s="19" t="s">
        <v>36</v>
      </c>
      <c r="G5670" s="15" t="s">
        <v>36</v>
      </c>
      <c r="H5670" s="14" t="s">
        <v>36</v>
      </c>
      <c r="I5670" s="18" t="s">
        <v>36</v>
      </c>
      <c r="J5670" s="12" t="s">
        <v>36</v>
      </c>
      <c r="K5670" s="13" t="s">
        <v>36</v>
      </c>
      <c r="L5670" s="15" t="s">
        <v>36</v>
      </c>
      <c r="M5670" s="12" t="s">
        <v>36</v>
      </c>
      <c r="N5670" s="12" t="s">
        <v>36</v>
      </c>
      <c r="O5670" s="17" t="s">
        <v>36</v>
      </c>
      <c r="P5670" s="12" t="s">
        <v>36</v>
      </c>
      <c r="Q5670" s="12" t="s">
        <v>36</v>
      </c>
      <c r="R5670" s="12" t="s">
        <v>36</v>
      </c>
      <c r="S5670" s="12" t="s">
        <v>36</v>
      </c>
      <c r="T5670" s="12" t="s">
        <v>5666</v>
      </c>
      <c r="U5670" s="12" t="s">
        <v>219</v>
      </c>
      <c r="V5670" s="12" t="s">
        <v>75</v>
      </c>
      <c r="W5670" s="12" t="s">
        <v>26516</v>
      </c>
      <c r="X5670" s="16" t="s">
        <v>20653</v>
      </c>
      <c r="Y5670" s="15" t="s">
        <v>42</v>
      </c>
      <c r="Z5670" s="14" t="s">
        <v>36</v>
      </c>
      <c r="AA5670" s="14" t="s">
        <v>36</v>
      </c>
      <c r="AB5670" s="12" t="s">
        <v>56</v>
      </c>
      <c r="AC5670" s="12" t="s">
        <v>26517</v>
      </c>
      <c r="AD5670" s="13">
        <v>43101</v>
      </c>
      <c r="AE5670" s="12" t="s">
        <v>223</v>
      </c>
      <c r="AF5670" s="12" t="s">
        <v>1977</v>
      </c>
      <c r="AG5670" s="12" t="s">
        <v>81</v>
      </c>
      <c r="AH5670" s="1">
        <f>HYPERLINK("https://my.pitchbook.com?c=106115-68T","View Company Online")</f>
      </c>
    </row>
    <row r="5671">
      <c r="A5671" s="3" t="s">
        <v>26518</v>
      </c>
      <c r="B5671" s="3" t="s">
        <v>12577</v>
      </c>
      <c r="C5671" s="5" t="s">
        <v>36</v>
      </c>
      <c r="D5671" s="5" t="s">
        <v>36</v>
      </c>
      <c r="E5671" s="5" t="s">
        <v>36</v>
      </c>
      <c r="F5671" s="5" t="s">
        <v>36</v>
      </c>
      <c r="G5671" s="6" t="s">
        <v>36</v>
      </c>
      <c r="H5671" s="4">
        <v>68.13</v>
      </c>
      <c r="I5671" s="7">
        <v>14.5</v>
      </c>
      <c r="J5671" s="3" t="s">
        <v>521</v>
      </c>
      <c r="K5671" s="9" t="s">
        <v>36</v>
      </c>
      <c r="L5671" s="6" t="s">
        <v>36</v>
      </c>
      <c r="M5671" s="3" t="s">
        <v>36</v>
      </c>
      <c r="N5671" s="3" t="s">
        <v>36</v>
      </c>
      <c r="O5671" s="8" t="s">
        <v>36</v>
      </c>
      <c r="P5671" s="3" t="s">
        <v>36</v>
      </c>
      <c r="Q5671" s="3" t="s">
        <v>36</v>
      </c>
      <c r="R5671" s="3" t="s">
        <v>36</v>
      </c>
      <c r="S5671" s="3" t="s">
        <v>36</v>
      </c>
      <c r="T5671" s="3" t="s">
        <v>1260</v>
      </c>
      <c r="U5671" s="3" t="s">
        <v>38</v>
      </c>
      <c r="V5671" s="3" t="s">
        <v>39</v>
      </c>
      <c r="W5671" s="3" t="s">
        <v>12578</v>
      </c>
      <c r="X5671" s="10" t="s">
        <v>26519</v>
      </c>
      <c r="Y5671" s="6" t="s">
        <v>42</v>
      </c>
      <c r="Z5671" s="4">
        <v>0.4</v>
      </c>
      <c r="AA5671" s="4">
        <v>2.73</v>
      </c>
      <c r="AB5671" s="3" t="s">
        <v>43</v>
      </c>
      <c r="AC5671" s="3" t="s">
        <v>12579</v>
      </c>
      <c r="AD5671" s="9">
        <v>43101</v>
      </c>
      <c r="AE5671" s="3" t="s">
        <v>110</v>
      </c>
      <c r="AF5671" s="3" t="s">
        <v>4060</v>
      </c>
      <c r="AG5671" s="3" t="s">
        <v>81</v>
      </c>
      <c r="AH5671" s="11">
        <f>HYPERLINK("https://my.pitchbook.com?c=179789-77T","View Company Online")</f>
      </c>
    </row>
    <row r="5672">
      <c r="A5672" s="12" t="s">
        <v>26520</v>
      </c>
      <c r="B5672" s="12" t="s">
        <v>26521</v>
      </c>
      <c r="C5672" s="19" t="s">
        <v>36</v>
      </c>
      <c r="D5672" s="19" t="s">
        <v>36</v>
      </c>
      <c r="E5672" s="19" t="s">
        <v>36</v>
      </c>
      <c r="F5672" s="19" t="s">
        <v>36</v>
      </c>
      <c r="G5672" s="15" t="s">
        <v>36</v>
      </c>
      <c r="H5672" s="14" t="s">
        <v>36</v>
      </c>
      <c r="I5672" s="18" t="s">
        <v>36</v>
      </c>
      <c r="J5672" s="12" t="s">
        <v>36</v>
      </c>
      <c r="K5672" s="13" t="s">
        <v>36</v>
      </c>
      <c r="L5672" s="15" t="s">
        <v>36</v>
      </c>
      <c r="M5672" s="12" t="s">
        <v>36</v>
      </c>
      <c r="N5672" s="12" t="s">
        <v>36</v>
      </c>
      <c r="O5672" s="17" t="s">
        <v>36</v>
      </c>
      <c r="P5672" s="12" t="s">
        <v>36</v>
      </c>
      <c r="Q5672" s="12" t="s">
        <v>36</v>
      </c>
      <c r="R5672" s="12" t="s">
        <v>36</v>
      </c>
      <c r="S5672" s="12" t="s">
        <v>36</v>
      </c>
      <c r="T5672" s="12" t="s">
        <v>4648</v>
      </c>
      <c r="U5672" s="12" t="s">
        <v>74</v>
      </c>
      <c r="V5672" s="12" t="s">
        <v>75</v>
      </c>
      <c r="W5672" s="12" t="s">
        <v>26522</v>
      </c>
      <c r="X5672" s="16" t="s">
        <v>2553</v>
      </c>
      <c r="Y5672" s="15" t="s">
        <v>55</v>
      </c>
      <c r="Z5672" s="14" t="s">
        <v>36</v>
      </c>
      <c r="AA5672" s="14" t="s">
        <v>36</v>
      </c>
      <c r="AB5672" s="12" t="s">
        <v>56</v>
      </c>
      <c r="AC5672" s="12" t="s">
        <v>26523</v>
      </c>
      <c r="AD5672" s="13">
        <v>43101</v>
      </c>
      <c r="AE5672" s="12" t="s">
        <v>362</v>
      </c>
      <c r="AF5672" s="12" t="s">
        <v>176</v>
      </c>
      <c r="AG5672" s="12" t="s">
        <v>765</v>
      </c>
      <c r="AH5672" s="1">
        <f>HYPERLINK("https://my.pitchbook.com?c=168027-76T","View Company Online")</f>
      </c>
    </row>
    <row r="5673">
      <c r="A5673" s="3" t="s">
        <v>26524</v>
      </c>
      <c r="B5673" s="3" t="s">
        <v>19184</v>
      </c>
      <c r="C5673" s="5" t="s">
        <v>36</v>
      </c>
      <c r="D5673" s="5" t="s">
        <v>36</v>
      </c>
      <c r="E5673" s="5" t="s">
        <v>36</v>
      </c>
      <c r="F5673" s="5" t="s">
        <v>36</v>
      </c>
      <c r="G5673" s="6" t="s">
        <v>36</v>
      </c>
      <c r="H5673" s="4">
        <v>1.19</v>
      </c>
      <c r="I5673" s="7">
        <v>13.61</v>
      </c>
      <c r="J5673" s="3" t="s">
        <v>521</v>
      </c>
      <c r="K5673" s="9" t="s">
        <v>36</v>
      </c>
      <c r="L5673" s="6" t="s">
        <v>36</v>
      </c>
      <c r="M5673" s="3" t="s">
        <v>36</v>
      </c>
      <c r="N5673" s="3" t="s">
        <v>36</v>
      </c>
      <c r="O5673" s="8" t="s">
        <v>36</v>
      </c>
      <c r="P5673" s="3" t="s">
        <v>36</v>
      </c>
      <c r="Q5673" s="3" t="s">
        <v>36</v>
      </c>
      <c r="R5673" s="3" t="s">
        <v>36</v>
      </c>
      <c r="S5673" s="3" t="s">
        <v>36</v>
      </c>
      <c r="T5673" s="3" t="s">
        <v>19185</v>
      </c>
      <c r="U5673" s="3" t="s">
        <v>279</v>
      </c>
      <c r="V5673" s="3" t="s">
        <v>64</v>
      </c>
      <c r="W5673" s="3" t="s">
        <v>19186</v>
      </c>
      <c r="X5673" s="10" t="s">
        <v>26525</v>
      </c>
      <c r="Y5673" s="6" t="s">
        <v>108</v>
      </c>
      <c r="Z5673" s="4">
        <v>0.37</v>
      </c>
      <c r="AA5673" s="4">
        <v>2.75</v>
      </c>
      <c r="AB5673" s="3" t="s">
        <v>56</v>
      </c>
      <c r="AC5673" s="3" t="s">
        <v>19188</v>
      </c>
      <c r="AD5673" s="9">
        <v>43099</v>
      </c>
      <c r="AE5673" s="3" t="s">
        <v>8519</v>
      </c>
      <c r="AF5673" s="3" t="s">
        <v>4284</v>
      </c>
      <c r="AG5673" s="3" t="s">
        <v>81</v>
      </c>
      <c r="AH5673" s="11">
        <f>HYPERLINK("https://my.pitchbook.com?c=136432-36T","View Company Online")</f>
      </c>
    </row>
    <row r="5674">
      <c r="A5674" s="12" t="s">
        <v>26526</v>
      </c>
      <c r="B5674" s="12" t="s">
        <v>18854</v>
      </c>
      <c r="C5674" s="19" t="s">
        <v>36</v>
      </c>
      <c r="D5674" s="19" t="s">
        <v>36</v>
      </c>
      <c r="E5674" s="19" t="s">
        <v>36</v>
      </c>
      <c r="F5674" s="19" t="s">
        <v>36</v>
      </c>
      <c r="G5674" s="15" t="s">
        <v>326</v>
      </c>
      <c r="H5674" s="14">
        <v>162.66</v>
      </c>
      <c r="I5674" s="18">
        <v>30.68</v>
      </c>
      <c r="J5674" s="12" t="s">
        <v>521</v>
      </c>
      <c r="K5674" s="13" t="s">
        <v>36</v>
      </c>
      <c r="L5674" s="15" t="s">
        <v>36</v>
      </c>
      <c r="M5674" s="12" t="s">
        <v>36</v>
      </c>
      <c r="N5674" s="12" t="s">
        <v>36</v>
      </c>
      <c r="O5674" s="17" t="s">
        <v>36</v>
      </c>
      <c r="P5674" s="12" t="s">
        <v>36</v>
      </c>
      <c r="Q5674" s="12" t="s">
        <v>36</v>
      </c>
      <c r="R5674" s="12" t="s">
        <v>36</v>
      </c>
      <c r="S5674" s="12" t="s">
        <v>36</v>
      </c>
      <c r="T5674" s="12" t="s">
        <v>18855</v>
      </c>
      <c r="U5674" s="12" t="s">
        <v>423</v>
      </c>
      <c r="V5674" s="12" t="s">
        <v>64</v>
      </c>
      <c r="W5674" s="12" t="s">
        <v>18856</v>
      </c>
      <c r="X5674" s="16" t="s">
        <v>20599</v>
      </c>
      <c r="Y5674" s="15" t="s">
        <v>42</v>
      </c>
      <c r="Z5674" s="14">
        <v>1.18</v>
      </c>
      <c r="AA5674" s="14">
        <v>3.86</v>
      </c>
      <c r="AB5674" s="12" t="s">
        <v>56</v>
      </c>
      <c r="AC5674" s="12" t="s">
        <v>18858</v>
      </c>
      <c r="AD5674" s="13">
        <v>43098</v>
      </c>
      <c r="AE5674" s="12" t="s">
        <v>562</v>
      </c>
      <c r="AF5674" s="12" t="s">
        <v>4270</v>
      </c>
      <c r="AG5674" s="12" t="s">
        <v>16784</v>
      </c>
      <c r="AH5674" s="1">
        <f>HYPERLINK("https://my.pitchbook.com?c=125899-21T","View Company Online")</f>
      </c>
    </row>
    <row r="5675">
      <c r="A5675" s="3" t="s">
        <v>26527</v>
      </c>
      <c r="B5675" s="3" t="s">
        <v>26528</v>
      </c>
      <c r="C5675" s="5" t="s">
        <v>36</v>
      </c>
      <c r="D5675" s="5" t="s">
        <v>36</v>
      </c>
      <c r="E5675" s="5" t="s">
        <v>36</v>
      </c>
      <c r="F5675" s="5" t="s">
        <v>36</v>
      </c>
      <c r="G5675" s="6" t="s">
        <v>326</v>
      </c>
      <c r="H5675" s="4">
        <v>4.45</v>
      </c>
      <c r="I5675" s="7">
        <v>11.93</v>
      </c>
      <c r="J5675" s="3" t="s">
        <v>521</v>
      </c>
      <c r="K5675" s="9" t="s">
        <v>36</v>
      </c>
      <c r="L5675" s="6" t="s">
        <v>36</v>
      </c>
      <c r="M5675" s="3" t="s">
        <v>36</v>
      </c>
      <c r="N5675" s="3" t="s">
        <v>36</v>
      </c>
      <c r="O5675" s="8" t="s">
        <v>36</v>
      </c>
      <c r="P5675" s="3" t="s">
        <v>36</v>
      </c>
      <c r="Q5675" s="3" t="s">
        <v>36</v>
      </c>
      <c r="R5675" s="3" t="s">
        <v>36</v>
      </c>
      <c r="S5675" s="3" t="s">
        <v>36</v>
      </c>
      <c r="T5675" s="3" t="s">
        <v>4911</v>
      </c>
      <c r="U5675" s="3" t="s">
        <v>63</v>
      </c>
      <c r="V5675" s="3" t="s">
        <v>64</v>
      </c>
      <c r="W5675" s="3" t="s">
        <v>26529</v>
      </c>
      <c r="X5675" s="10" t="s">
        <v>26530</v>
      </c>
      <c r="Y5675" s="6" t="s">
        <v>108</v>
      </c>
      <c r="Z5675" s="4">
        <v>0.81</v>
      </c>
      <c r="AA5675" s="4">
        <v>6.83</v>
      </c>
      <c r="AB5675" s="3" t="s">
        <v>56</v>
      </c>
      <c r="AC5675" s="3" t="s">
        <v>26531</v>
      </c>
      <c r="AD5675" s="9">
        <v>43097</v>
      </c>
      <c r="AE5675" s="3" t="s">
        <v>399</v>
      </c>
      <c r="AF5675" s="3" t="s">
        <v>36</v>
      </c>
      <c r="AG5675" s="3" t="s">
        <v>81</v>
      </c>
      <c r="AH5675" s="11">
        <f>HYPERLINK("https://my.pitchbook.com?c=188262-91T","View Company Online")</f>
      </c>
    </row>
    <row r="5676">
      <c r="A5676" s="12" t="s">
        <v>26532</v>
      </c>
      <c r="B5676" s="12" t="s">
        <v>26533</v>
      </c>
      <c r="C5676" s="19">
        <v>3</v>
      </c>
      <c r="D5676" s="19">
        <v>5</v>
      </c>
      <c r="E5676" s="19">
        <v>5</v>
      </c>
      <c r="F5676" s="19">
        <v>8</v>
      </c>
      <c r="G5676" s="15" t="s">
        <v>36</v>
      </c>
      <c r="H5676" s="14">
        <v>20.77</v>
      </c>
      <c r="I5676" s="18">
        <v>17.86</v>
      </c>
      <c r="J5676" s="12" t="s">
        <v>521</v>
      </c>
      <c r="K5676" s="13" t="s">
        <v>36</v>
      </c>
      <c r="L5676" s="15" t="s">
        <v>36</v>
      </c>
      <c r="M5676" s="12" t="s">
        <v>36</v>
      </c>
      <c r="N5676" s="12" t="s">
        <v>36</v>
      </c>
      <c r="O5676" s="17" t="s">
        <v>36</v>
      </c>
      <c r="P5676" s="12" t="s">
        <v>36</v>
      </c>
      <c r="Q5676" s="12" t="s">
        <v>36</v>
      </c>
      <c r="R5676" s="12" t="s">
        <v>36</v>
      </c>
      <c r="S5676" s="12" t="s">
        <v>36</v>
      </c>
      <c r="T5676" s="12" t="s">
        <v>26534</v>
      </c>
      <c r="U5676" s="12" t="s">
        <v>318</v>
      </c>
      <c r="V5676" s="12" t="s">
        <v>39</v>
      </c>
      <c r="W5676" s="12" t="s">
        <v>26535</v>
      </c>
      <c r="X5676" s="16" t="s">
        <v>20527</v>
      </c>
      <c r="Y5676" s="15" t="s">
        <v>42</v>
      </c>
      <c r="Z5676" s="14">
        <v>0.59</v>
      </c>
      <c r="AA5676" s="14">
        <v>3.31</v>
      </c>
      <c r="AB5676" s="12" t="s">
        <v>43</v>
      </c>
      <c r="AC5676" s="12" t="s">
        <v>26536</v>
      </c>
      <c r="AD5676" s="13">
        <v>43097</v>
      </c>
      <c r="AE5676" s="12" t="s">
        <v>763</v>
      </c>
      <c r="AF5676" s="12" t="s">
        <v>733</v>
      </c>
      <c r="AG5676" s="12" t="s">
        <v>697</v>
      </c>
      <c r="AH5676" s="1">
        <f>HYPERLINK("https://my.pitchbook.com?c=190783-09T","View Company Online")</f>
      </c>
    </row>
    <row r="5677">
      <c r="A5677" s="3" t="s">
        <v>26537</v>
      </c>
      <c r="B5677" s="3" t="s">
        <v>26538</v>
      </c>
      <c r="C5677" s="5" t="s">
        <v>36</v>
      </c>
      <c r="D5677" s="5" t="s">
        <v>36</v>
      </c>
      <c r="E5677" s="5" t="s">
        <v>36</v>
      </c>
      <c r="F5677" s="5" t="s">
        <v>36</v>
      </c>
      <c r="G5677" s="6" t="s">
        <v>36</v>
      </c>
      <c r="H5677" s="4" t="s">
        <v>36</v>
      </c>
      <c r="I5677" s="7" t="s">
        <v>36</v>
      </c>
      <c r="J5677" s="3" t="s">
        <v>36</v>
      </c>
      <c r="K5677" s="9" t="s">
        <v>36</v>
      </c>
      <c r="L5677" s="6" t="s">
        <v>36</v>
      </c>
      <c r="M5677" s="3" t="s">
        <v>36</v>
      </c>
      <c r="N5677" s="3" t="s">
        <v>36</v>
      </c>
      <c r="O5677" s="8" t="s">
        <v>36</v>
      </c>
      <c r="P5677" s="3" t="s">
        <v>36</v>
      </c>
      <c r="Q5677" s="3" t="s">
        <v>36</v>
      </c>
      <c r="R5677" s="3" t="s">
        <v>36</v>
      </c>
      <c r="S5677" s="3" t="s">
        <v>36</v>
      </c>
      <c r="T5677" s="3" t="s">
        <v>26539</v>
      </c>
      <c r="U5677" s="3" t="s">
        <v>63</v>
      </c>
      <c r="V5677" s="3" t="s">
        <v>64</v>
      </c>
      <c r="W5677" s="3" t="s">
        <v>26540</v>
      </c>
      <c r="X5677" s="10" t="s">
        <v>26541</v>
      </c>
      <c r="Y5677" s="6" t="s">
        <v>42</v>
      </c>
      <c r="Z5677" s="4">
        <v>3.78</v>
      </c>
      <c r="AA5677" s="4" t="s">
        <v>36</v>
      </c>
      <c r="AB5677" s="3" t="s">
        <v>56</v>
      </c>
      <c r="AC5677" s="3" t="s">
        <v>26542</v>
      </c>
      <c r="AD5677" s="9">
        <v>43096</v>
      </c>
      <c r="AE5677" s="3" t="s">
        <v>399</v>
      </c>
      <c r="AF5677" s="3" t="s">
        <v>643</v>
      </c>
      <c r="AG5677" s="3" t="s">
        <v>81</v>
      </c>
      <c r="AH5677" s="11">
        <f>HYPERLINK("https://my.pitchbook.com?c=214689-88T","View Company Online")</f>
      </c>
    </row>
    <row r="5678">
      <c r="A5678" s="12" t="s">
        <v>26543</v>
      </c>
      <c r="B5678" s="12" t="s">
        <v>17069</v>
      </c>
      <c r="C5678" s="19" t="s">
        <v>36</v>
      </c>
      <c r="D5678" s="19" t="s">
        <v>36</v>
      </c>
      <c r="E5678" s="19" t="s">
        <v>36</v>
      </c>
      <c r="F5678" s="19" t="s">
        <v>36</v>
      </c>
      <c r="G5678" s="15" t="s">
        <v>36</v>
      </c>
      <c r="H5678" s="14" t="s">
        <v>36</v>
      </c>
      <c r="I5678" s="18" t="s">
        <v>36</v>
      </c>
      <c r="J5678" s="12" t="s">
        <v>36</v>
      </c>
      <c r="K5678" s="13">
        <v>42867</v>
      </c>
      <c r="L5678" s="15" t="s">
        <v>36</v>
      </c>
      <c r="M5678" s="12" t="s">
        <v>36</v>
      </c>
      <c r="N5678" s="12" t="s">
        <v>36</v>
      </c>
      <c r="O5678" s="17" t="s">
        <v>36</v>
      </c>
      <c r="P5678" s="12" t="s">
        <v>36</v>
      </c>
      <c r="Q5678" s="12" t="s">
        <v>36</v>
      </c>
      <c r="R5678" s="12" t="s">
        <v>36</v>
      </c>
      <c r="S5678" s="12" t="s">
        <v>36</v>
      </c>
      <c r="T5678" s="12" t="s">
        <v>37</v>
      </c>
      <c r="U5678" s="12" t="s">
        <v>38</v>
      </c>
      <c r="V5678" s="12" t="s">
        <v>39</v>
      </c>
      <c r="W5678" s="12" t="s">
        <v>17070</v>
      </c>
      <c r="X5678" s="16" t="s">
        <v>26544</v>
      </c>
      <c r="Y5678" s="15" t="s">
        <v>42</v>
      </c>
      <c r="Z5678" s="14">
        <v>1.53</v>
      </c>
      <c r="AA5678" s="14" t="s">
        <v>36</v>
      </c>
      <c r="AB5678" s="12" t="s">
        <v>43</v>
      </c>
      <c r="AC5678" s="12" t="s">
        <v>17072</v>
      </c>
      <c r="AD5678" s="13">
        <v>43096</v>
      </c>
      <c r="AE5678" s="12" t="s">
        <v>45</v>
      </c>
      <c r="AF5678" s="12" t="s">
        <v>7466</v>
      </c>
      <c r="AG5678" s="12" t="s">
        <v>81</v>
      </c>
      <c r="AH5678" s="1">
        <f>HYPERLINK("https://my.pitchbook.com?c=98335-45T","View Company Online")</f>
      </c>
    </row>
    <row r="5679">
      <c r="A5679" s="3" t="s">
        <v>26545</v>
      </c>
      <c r="B5679" s="3" t="s">
        <v>7156</v>
      </c>
      <c r="C5679" s="5" t="s">
        <v>36</v>
      </c>
      <c r="D5679" s="5" t="s">
        <v>36</v>
      </c>
      <c r="E5679" s="5" t="s">
        <v>36</v>
      </c>
      <c r="F5679" s="5" t="s">
        <v>36</v>
      </c>
      <c r="G5679" s="6" t="s">
        <v>326</v>
      </c>
      <c r="H5679" s="4">
        <v>23.37</v>
      </c>
      <c r="I5679" s="7">
        <v>23.55</v>
      </c>
      <c r="J5679" s="3" t="s">
        <v>521</v>
      </c>
      <c r="K5679" s="9" t="s">
        <v>36</v>
      </c>
      <c r="L5679" s="6" t="s">
        <v>36</v>
      </c>
      <c r="M5679" s="3" t="s">
        <v>36</v>
      </c>
      <c r="N5679" s="3" t="s">
        <v>36</v>
      </c>
      <c r="O5679" s="8" t="s">
        <v>36</v>
      </c>
      <c r="P5679" s="3" t="s">
        <v>36</v>
      </c>
      <c r="Q5679" s="3" t="s">
        <v>36</v>
      </c>
      <c r="R5679" s="3" t="s">
        <v>36</v>
      </c>
      <c r="S5679" s="3" t="s">
        <v>36</v>
      </c>
      <c r="T5679" s="3" t="s">
        <v>6032</v>
      </c>
      <c r="U5679" s="3" t="s">
        <v>318</v>
      </c>
      <c r="V5679" s="3" t="s">
        <v>39</v>
      </c>
      <c r="W5679" s="3" t="s">
        <v>7157</v>
      </c>
      <c r="X5679" s="10" t="s">
        <v>26546</v>
      </c>
      <c r="Y5679" s="6" t="s">
        <v>42</v>
      </c>
      <c r="Z5679" s="4">
        <v>0.91</v>
      </c>
      <c r="AA5679" s="4">
        <v>3.87</v>
      </c>
      <c r="AB5679" s="3" t="s">
        <v>43</v>
      </c>
      <c r="AC5679" s="3" t="s">
        <v>7159</v>
      </c>
      <c r="AD5679" s="9">
        <v>43095</v>
      </c>
      <c r="AE5679" s="3" t="s">
        <v>417</v>
      </c>
      <c r="AF5679" s="3" t="s">
        <v>592</v>
      </c>
      <c r="AG5679" s="3" t="s">
        <v>7160</v>
      </c>
      <c r="AH5679" s="11">
        <f>HYPERLINK("https://my.pitchbook.com?c=100393-93T","View Company Online")</f>
      </c>
    </row>
    <row r="5680">
      <c r="A5680" s="12" t="s">
        <v>26547</v>
      </c>
      <c r="B5680" s="12" t="s">
        <v>13545</v>
      </c>
      <c r="C5680" s="19">
        <v>2</v>
      </c>
      <c r="D5680" s="19">
        <v>2</v>
      </c>
      <c r="E5680" s="19">
        <v>4</v>
      </c>
      <c r="F5680" s="19">
        <v>6</v>
      </c>
      <c r="G5680" s="15" t="s">
        <v>326</v>
      </c>
      <c r="H5680" s="14">
        <v>52.58</v>
      </c>
      <c r="I5680" s="18">
        <v>14.12</v>
      </c>
      <c r="J5680" s="12" t="s">
        <v>521</v>
      </c>
      <c r="K5680" s="13" t="s">
        <v>36</v>
      </c>
      <c r="L5680" s="15" t="s">
        <v>36</v>
      </c>
      <c r="M5680" s="12" t="s">
        <v>36</v>
      </c>
      <c r="N5680" s="12" t="s">
        <v>36</v>
      </c>
      <c r="O5680" s="17" t="s">
        <v>36</v>
      </c>
      <c r="P5680" s="12" t="s">
        <v>36</v>
      </c>
      <c r="Q5680" s="12" t="s">
        <v>36</v>
      </c>
      <c r="R5680" s="12" t="s">
        <v>36</v>
      </c>
      <c r="S5680" s="12" t="s">
        <v>36</v>
      </c>
      <c r="T5680" s="12" t="s">
        <v>13546</v>
      </c>
      <c r="U5680" s="12" t="s">
        <v>85</v>
      </c>
      <c r="V5680" s="12" t="s">
        <v>64</v>
      </c>
      <c r="W5680" s="12" t="s">
        <v>13547</v>
      </c>
      <c r="X5680" s="16" t="s">
        <v>8584</v>
      </c>
      <c r="Y5680" s="15" t="s">
        <v>108</v>
      </c>
      <c r="Z5680" s="14">
        <v>2.97</v>
      </c>
      <c r="AA5680" s="14">
        <v>21.01</v>
      </c>
      <c r="AB5680" s="12" t="s">
        <v>56</v>
      </c>
      <c r="AC5680" s="12" t="s">
        <v>13549</v>
      </c>
      <c r="AD5680" s="13">
        <v>43093</v>
      </c>
      <c r="AE5680" s="12" t="s">
        <v>89</v>
      </c>
      <c r="AF5680" s="12" t="s">
        <v>13550</v>
      </c>
      <c r="AG5680" s="12" t="s">
        <v>81</v>
      </c>
      <c r="AH5680" s="1">
        <f>HYPERLINK("https://my.pitchbook.com?c=193234-96T","View Company Online")</f>
      </c>
    </row>
    <row r="5681">
      <c r="A5681" s="3" t="s">
        <v>26548</v>
      </c>
      <c r="B5681" s="3" t="s">
        <v>26549</v>
      </c>
      <c r="C5681" s="5" t="s">
        <v>36</v>
      </c>
      <c r="D5681" s="5" t="s">
        <v>36</v>
      </c>
      <c r="E5681" s="5" t="s">
        <v>36</v>
      </c>
      <c r="F5681" s="5" t="s">
        <v>36</v>
      </c>
      <c r="G5681" s="6" t="s">
        <v>36</v>
      </c>
      <c r="H5681" s="4" t="s">
        <v>36</v>
      </c>
      <c r="I5681" s="7" t="s">
        <v>36</v>
      </c>
      <c r="J5681" s="3" t="s">
        <v>36</v>
      </c>
      <c r="K5681" s="9">
        <v>42656</v>
      </c>
      <c r="L5681" s="6" t="s">
        <v>36</v>
      </c>
      <c r="M5681" s="3" t="s">
        <v>36</v>
      </c>
      <c r="N5681" s="3" t="s">
        <v>36</v>
      </c>
      <c r="O5681" s="8" t="s">
        <v>36</v>
      </c>
      <c r="P5681" s="3" t="s">
        <v>36</v>
      </c>
      <c r="Q5681" s="3" t="s">
        <v>36</v>
      </c>
      <c r="R5681" s="3" t="s">
        <v>36</v>
      </c>
      <c r="S5681" s="3" t="s">
        <v>36</v>
      </c>
      <c r="T5681" s="3" t="s">
        <v>26550</v>
      </c>
      <c r="U5681" s="3" t="s">
        <v>38</v>
      </c>
      <c r="V5681" s="3" t="s">
        <v>39</v>
      </c>
      <c r="W5681" s="3" t="s">
        <v>26551</v>
      </c>
      <c r="X5681" s="10" t="s">
        <v>26552</v>
      </c>
      <c r="Y5681" s="6" t="s">
        <v>55</v>
      </c>
      <c r="Z5681" s="4" t="s">
        <v>36</v>
      </c>
      <c r="AA5681" s="4" t="s">
        <v>36</v>
      </c>
      <c r="AB5681" s="3" t="s">
        <v>56</v>
      </c>
      <c r="AC5681" s="3" t="s">
        <v>26553</v>
      </c>
      <c r="AD5681" s="9">
        <v>43092</v>
      </c>
      <c r="AE5681" s="3" t="s">
        <v>110</v>
      </c>
      <c r="AF5681" s="3" t="s">
        <v>5001</v>
      </c>
      <c r="AG5681" s="3" t="s">
        <v>26554</v>
      </c>
      <c r="AH5681" s="11">
        <f>HYPERLINK("https://my.pitchbook.com?c=118408-24T","View Company Online")</f>
      </c>
    </row>
    <row r="5682">
      <c r="A5682" s="12" t="s">
        <v>26555</v>
      </c>
      <c r="B5682" s="12" t="s">
        <v>26556</v>
      </c>
      <c r="C5682" s="19" t="s">
        <v>36</v>
      </c>
      <c r="D5682" s="19" t="s">
        <v>36</v>
      </c>
      <c r="E5682" s="19" t="s">
        <v>36</v>
      </c>
      <c r="F5682" s="19" t="s">
        <v>36</v>
      </c>
      <c r="G5682" s="15" t="s">
        <v>326</v>
      </c>
      <c r="H5682" s="14">
        <v>6.39</v>
      </c>
      <c r="I5682" s="18">
        <v>41.91</v>
      </c>
      <c r="J5682" s="12" t="s">
        <v>521</v>
      </c>
      <c r="K5682" s="13" t="s">
        <v>36</v>
      </c>
      <c r="L5682" s="15" t="s">
        <v>36</v>
      </c>
      <c r="M5682" s="12" t="s">
        <v>36</v>
      </c>
      <c r="N5682" s="12" t="s">
        <v>36</v>
      </c>
      <c r="O5682" s="17" t="s">
        <v>36</v>
      </c>
      <c r="P5682" s="12" t="s">
        <v>36</v>
      </c>
      <c r="Q5682" s="12" t="s">
        <v>36</v>
      </c>
      <c r="R5682" s="12" t="s">
        <v>36</v>
      </c>
      <c r="S5682" s="12" t="s">
        <v>36</v>
      </c>
      <c r="T5682" s="12" t="s">
        <v>2044</v>
      </c>
      <c r="U5682" s="12" t="s">
        <v>74</v>
      </c>
      <c r="V5682" s="12" t="s">
        <v>75</v>
      </c>
      <c r="W5682" s="12" t="s">
        <v>26557</v>
      </c>
      <c r="X5682" s="16" t="s">
        <v>26558</v>
      </c>
      <c r="Y5682" s="15" t="s">
        <v>42</v>
      </c>
      <c r="Z5682" s="14">
        <v>2.01</v>
      </c>
      <c r="AA5682" s="14">
        <v>3.67</v>
      </c>
      <c r="AB5682" s="12" t="s">
        <v>43</v>
      </c>
      <c r="AC5682" s="12" t="s">
        <v>26559</v>
      </c>
      <c r="AD5682" s="13">
        <v>43091</v>
      </c>
      <c r="AE5682" s="12" t="s">
        <v>79</v>
      </c>
      <c r="AF5682" s="12" t="s">
        <v>1077</v>
      </c>
      <c r="AG5682" s="12" t="s">
        <v>26560</v>
      </c>
      <c r="AH5682" s="1">
        <f>HYPERLINK("https://my.pitchbook.com?c=100156-87T","View Company Online")</f>
      </c>
    </row>
    <row r="5683">
      <c r="A5683" s="3" t="s">
        <v>26561</v>
      </c>
      <c r="B5683" s="3" t="s">
        <v>14020</v>
      </c>
      <c r="C5683" s="5" t="s">
        <v>36</v>
      </c>
      <c r="D5683" s="5" t="s">
        <v>36</v>
      </c>
      <c r="E5683" s="5" t="s">
        <v>36</v>
      </c>
      <c r="F5683" s="5" t="s">
        <v>36</v>
      </c>
      <c r="G5683" s="6" t="s">
        <v>2497</v>
      </c>
      <c r="H5683" s="4">
        <v>1.2</v>
      </c>
      <c r="I5683" s="7">
        <v>12.33</v>
      </c>
      <c r="J5683" s="3" t="s">
        <v>521</v>
      </c>
      <c r="K5683" s="9" t="s">
        <v>36</v>
      </c>
      <c r="L5683" s="6" t="s">
        <v>36</v>
      </c>
      <c r="M5683" s="3" t="s">
        <v>36</v>
      </c>
      <c r="N5683" s="3" t="s">
        <v>36</v>
      </c>
      <c r="O5683" s="8" t="s">
        <v>36</v>
      </c>
      <c r="P5683" s="3" t="s">
        <v>36</v>
      </c>
      <c r="Q5683" s="3" t="s">
        <v>36</v>
      </c>
      <c r="R5683" s="3" t="s">
        <v>36</v>
      </c>
      <c r="S5683" s="3" t="s">
        <v>36</v>
      </c>
      <c r="T5683" s="3" t="s">
        <v>1893</v>
      </c>
      <c r="U5683" s="3" t="s">
        <v>648</v>
      </c>
      <c r="V5683" s="3" t="s">
        <v>64</v>
      </c>
      <c r="W5683" s="3" t="s">
        <v>14021</v>
      </c>
      <c r="X5683" s="10" t="s">
        <v>26562</v>
      </c>
      <c r="Y5683" s="6" t="s">
        <v>55</v>
      </c>
      <c r="Z5683" s="4">
        <v>1.02</v>
      </c>
      <c r="AA5683" s="4">
        <v>6.88</v>
      </c>
      <c r="AB5683" s="3" t="s">
        <v>56</v>
      </c>
      <c r="AC5683" s="3" t="s">
        <v>14023</v>
      </c>
      <c r="AD5683" s="9">
        <v>43091</v>
      </c>
      <c r="AE5683" s="3" t="s">
        <v>1897</v>
      </c>
      <c r="AF5683" s="3" t="s">
        <v>36</v>
      </c>
      <c r="AG5683" s="3" t="s">
        <v>47</v>
      </c>
      <c r="AH5683" s="11">
        <f>HYPERLINK("https://my.pitchbook.com?c=135567-73T","View Company Online")</f>
      </c>
    </row>
    <row r="5684">
      <c r="A5684" s="12" t="s">
        <v>26563</v>
      </c>
      <c r="B5684" s="12" t="s">
        <v>19613</v>
      </c>
      <c r="C5684" s="19" t="s">
        <v>36</v>
      </c>
      <c r="D5684" s="19" t="s">
        <v>36</v>
      </c>
      <c r="E5684" s="19" t="s">
        <v>36</v>
      </c>
      <c r="F5684" s="19" t="s">
        <v>36</v>
      </c>
      <c r="G5684" s="15" t="s">
        <v>36</v>
      </c>
      <c r="H5684" s="14">
        <v>3.51</v>
      </c>
      <c r="I5684" s="18">
        <v>33.76</v>
      </c>
      <c r="J5684" s="12" t="s">
        <v>521</v>
      </c>
      <c r="K5684" s="13" t="s">
        <v>36</v>
      </c>
      <c r="L5684" s="15" t="s">
        <v>36</v>
      </c>
      <c r="M5684" s="12" t="s">
        <v>36</v>
      </c>
      <c r="N5684" s="12" t="s">
        <v>36</v>
      </c>
      <c r="O5684" s="17" t="s">
        <v>36</v>
      </c>
      <c r="P5684" s="12" t="s">
        <v>36</v>
      </c>
      <c r="Q5684" s="12" t="s">
        <v>36</v>
      </c>
      <c r="R5684" s="12" t="s">
        <v>36</v>
      </c>
      <c r="S5684" s="12" t="s">
        <v>36</v>
      </c>
      <c r="T5684" s="12" t="s">
        <v>6462</v>
      </c>
      <c r="U5684" s="12" t="s">
        <v>1357</v>
      </c>
      <c r="V5684" s="12" t="s">
        <v>52</v>
      </c>
      <c r="W5684" s="12" t="s">
        <v>19614</v>
      </c>
      <c r="X5684" s="16" t="s">
        <v>20907</v>
      </c>
      <c r="Y5684" s="15" t="s">
        <v>108</v>
      </c>
      <c r="Z5684" s="14">
        <v>0.63</v>
      </c>
      <c r="AA5684" s="14">
        <v>1.86</v>
      </c>
      <c r="AB5684" s="12" t="s">
        <v>43</v>
      </c>
      <c r="AC5684" s="12" t="s">
        <v>19616</v>
      </c>
      <c r="AD5684" s="13">
        <v>43091</v>
      </c>
      <c r="AE5684" s="12" t="s">
        <v>2808</v>
      </c>
      <c r="AF5684" s="12" t="s">
        <v>19617</v>
      </c>
      <c r="AG5684" s="12" t="s">
        <v>81</v>
      </c>
      <c r="AH5684" s="1">
        <f>HYPERLINK("https://my.pitchbook.com?c=132574-42T","View Company Online")</f>
      </c>
    </row>
    <row r="5685">
      <c r="A5685" s="3" t="s">
        <v>26564</v>
      </c>
      <c r="B5685" s="3" t="s">
        <v>20459</v>
      </c>
      <c r="C5685" s="5" t="s">
        <v>36</v>
      </c>
      <c r="D5685" s="5" t="s">
        <v>36</v>
      </c>
      <c r="E5685" s="5" t="s">
        <v>36</v>
      </c>
      <c r="F5685" s="5" t="s">
        <v>36</v>
      </c>
      <c r="G5685" s="6" t="s">
        <v>36</v>
      </c>
      <c r="H5685" s="4">
        <v>591.98</v>
      </c>
      <c r="I5685" s="7">
        <v>30.02</v>
      </c>
      <c r="J5685" s="3" t="s">
        <v>521</v>
      </c>
      <c r="K5685" s="9">
        <v>43052</v>
      </c>
      <c r="L5685" s="6" t="s">
        <v>36</v>
      </c>
      <c r="M5685" s="3" t="s">
        <v>36</v>
      </c>
      <c r="N5685" s="3" t="s">
        <v>36</v>
      </c>
      <c r="O5685" s="8" t="s">
        <v>36</v>
      </c>
      <c r="P5685" s="3" t="s">
        <v>36</v>
      </c>
      <c r="Q5685" s="3" t="s">
        <v>36</v>
      </c>
      <c r="R5685" s="3" t="s">
        <v>36</v>
      </c>
      <c r="S5685" s="3" t="s">
        <v>36</v>
      </c>
      <c r="T5685" s="3" t="s">
        <v>20460</v>
      </c>
      <c r="U5685" s="3" t="s">
        <v>1580</v>
      </c>
      <c r="V5685" s="3" t="s">
        <v>39</v>
      </c>
      <c r="W5685" s="3" t="s">
        <v>20461</v>
      </c>
      <c r="X5685" s="10" t="s">
        <v>26565</v>
      </c>
      <c r="Y5685" s="6" t="s">
        <v>55</v>
      </c>
      <c r="Z5685" s="4">
        <v>0.41</v>
      </c>
      <c r="AA5685" s="4">
        <v>1.36</v>
      </c>
      <c r="AB5685" s="3" t="s">
        <v>43</v>
      </c>
      <c r="AC5685" s="3" t="s">
        <v>20463</v>
      </c>
      <c r="AD5685" s="9">
        <v>43091</v>
      </c>
      <c r="AE5685" s="3" t="s">
        <v>4086</v>
      </c>
      <c r="AF5685" s="3" t="s">
        <v>1077</v>
      </c>
      <c r="AG5685" s="3" t="s">
        <v>969</v>
      </c>
      <c r="AH5685" s="11">
        <f>HYPERLINK("https://my.pitchbook.com?c=99693-10T","View Company Online")</f>
      </c>
    </row>
    <row r="5686">
      <c r="A5686" s="12" t="s">
        <v>26566</v>
      </c>
      <c r="B5686" s="12" t="s">
        <v>15446</v>
      </c>
      <c r="C5686" s="19" t="s">
        <v>36</v>
      </c>
      <c r="D5686" s="19" t="s">
        <v>36</v>
      </c>
      <c r="E5686" s="19" t="s">
        <v>36</v>
      </c>
      <c r="F5686" s="19" t="s">
        <v>36</v>
      </c>
      <c r="G5686" s="15" t="s">
        <v>36</v>
      </c>
      <c r="H5686" s="14">
        <v>109.05</v>
      </c>
      <c r="I5686" s="18">
        <v>30</v>
      </c>
      <c r="J5686" s="12" t="s">
        <v>521</v>
      </c>
      <c r="K5686" s="13" t="s">
        <v>36</v>
      </c>
      <c r="L5686" s="15" t="s">
        <v>36</v>
      </c>
      <c r="M5686" s="12" t="s">
        <v>36</v>
      </c>
      <c r="N5686" s="12" t="s">
        <v>36</v>
      </c>
      <c r="O5686" s="17" t="s">
        <v>36</v>
      </c>
      <c r="P5686" s="12" t="s">
        <v>36</v>
      </c>
      <c r="Q5686" s="12" t="s">
        <v>36</v>
      </c>
      <c r="R5686" s="12" t="s">
        <v>36</v>
      </c>
      <c r="S5686" s="12" t="s">
        <v>36</v>
      </c>
      <c r="T5686" s="12" t="s">
        <v>522</v>
      </c>
      <c r="U5686" s="12" t="s">
        <v>38</v>
      </c>
      <c r="V5686" s="12" t="s">
        <v>39</v>
      </c>
      <c r="W5686" s="12" t="s">
        <v>15447</v>
      </c>
      <c r="X5686" s="16" t="s">
        <v>26567</v>
      </c>
      <c r="Y5686" s="15" t="s">
        <v>42</v>
      </c>
      <c r="Z5686" s="14">
        <v>0.53</v>
      </c>
      <c r="AA5686" s="14">
        <v>1.77</v>
      </c>
      <c r="AB5686" s="12" t="s">
        <v>43</v>
      </c>
      <c r="AC5686" s="12" t="s">
        <v>15449</v>
      </c>
      <c r="AD5686" s="13">
        <v>43090</v>
      </c>
      <c r="AE5686" s="12" t="s">
        <v>110</v>
      </c>
      <c r="AF5686" s="12" t="s">
        <v>176</v>
      </c>
      <c r="AG5686" s="12" t="s">
        <v>2636</v>
      </c>
      <c r="AH5686" s="1">
        <f>HYPERLINK("https://my.pitchbook.com?c=125748-37T","View Company Online")</f>
      </c>
    </row>
    <row r="5687">
      <c r="A5687" s="3" t="s">
        <v>26568</v>
      </c>
      <c r="B5687" s="3" t="s">
        <v>20811</v>
      </c>
      <c r="C5687" s="5" t="s">
        <v>36</v>
      </c>
      <c r="D5687" s="5" t="s">
        <v>36</v>
      </c>
      <c r="E5687" s="5" t="s">
        <v>36</v>
      </c>
      <c r="F5687" s="5" t="s">
        <v>36</v>
      </c>
      <c r="G5687" s="6" t="s">
        <v>36</v>
      </c>
      <c r="H5687" s="4">
        <v>88.8</v>
      </c>
      <c r="I5687" s="7">
        <v>16.35</v>
      </c>
      <c r="J5687" s="3" t="s">
        <v>521</v>
      </c>
      <c r="K5687" s="9" t="s">
        <v>36</v>
      </c>
      <c r="L5687" s="6" t="s">
        <v>36</v>
      </c>
      <c r="M5687" s="3" t="s">
        <v>36</v>
      </c>
      <c r="N5687" s="3" t="s">
        <v>36</v>
      </c>
      <c r="O5687" s="8" t="s">
        <v>36</v>
      </c>
      <c r="P5687" s="3" t="s">
        <v>36</v>
      </c>
      <c r="Q5687" s="3" t="s">
        <v>36</v>
      </c>
      <c r="R5687" s="3" t="s">
        <v>36</v>
      </c>
      <c r="S5687" s="3" t="s">
        <v>36</v>
      </c>
      <c r="T5687" s="3" t="s">
        <v>1701</v>
      </c>
      <c r="U5687" s="3" t="s">
        <v>74</v>
      </c>
      <c r="V5687" s="3" t="s">
        <v>75</v>
      </c>
      <c r="W5687" s="3" t="s">
        <v>20812</v>
      </c>
      <c r="X5687" s="10" t="s">
        <v>26569</v>
      </c>
      <c r="Y5687" s="6" t="s">
        <v>42</v>
      </c>
      <c r="Z5687" s="4">
        <v>0.28</v>
      </c>
      <c r="AA5687" s="4">
        <v>1.7</v>
      </c>
      <c r="AB5687" s="3" t="s">
        <v>43</v>
      </c>
      <c r="AC5687" s="3" t="s">
        <v>20814</v>
      </c>
      <c r="AD5687" s="9">
        <v>43090</v>
      </c>
      <c r="AE5687" s="3" t="s">
        <v>79</v>
      </c>
      <c r="AF5687" s="3" t="s">
        <v>1401</v>
      </c>
      <c r="AG5687" s="3" t="s">
        <v>81</v>
      </c>
      <c r="AH5687" s="11">
        <f>HYPERLINK("https://my.pitchbook.com?c=136280-08T","View Company Online")</f>
      </c>
    </row>
    <row r="5688">
      <c r="A5688" s="12" t="s">
        <v>26570</v>
      </c>
      <c r="B5688" s="12" t="s">
        <v>26571</v>
      </c>
      <c r="C5688" s="19" t="s">
        <v>36</v>
      </c>
      <c r="D5688" s="19" t="s">
        <v>36</v>
      </c>
      <c r="E5688" s="19" t="s">
        <v>36</v>
      </c>
      <c r="F5688" s="19" t="s">
        <v>36</v>
      </c>
      <c r="G5688" s="15" t="s">
        <v>683</v>
      </c>
      <c r="H5688" s="14">
        <v>13.43</v>
      </c>
      <c r="I5688" s="18">
        <v>14.29</v>
      </c>
      <c r="J5688" s="12" t="s">
        <v>521</v>
      </c>
      <c r="K5688" s="13" t="s">
        <v>36</v>
      </c>
      <c r="L5688" s="15" t="s">
        <v>36</v>
      </c>
      <c r="M5688" s="12" t="s">
        <v>36</v>
      </c>
      <c r="N5688" s="12" t="s">
        <v>36</v>
      </c>
      <c r="O5688" s="17" t="s">
        <v>36</v>
      </c>
      <c r="P5688" s="12" t="s">
        <v>36</v>
      </c>
      <c r="Q5688" s="12" t="s">
        <v>36</v>
      </c>
      <c r="R5688" s="12" t="s">
        <v>36</v>
      </c>
      <c r="S5688" s="12" t="s">
        <v>36</v>
      </c>
      <c r="T5688" s="12" t="s">
        <v>26572</v>
      </c>
      <c r="U5688" s="12" t="s">
        <v>423</v>
      </c>
      <c r="V5688" s="12" t="s">
        <v>64</v>
      </c>
      <c r="W5688" s="12" t="s">
        <v>26573</v>
      </c>
      <c r="X5688" s="16" t="s">
        <v>7099</v>
      </c>
      <c r="Y5688" s="15" t="s">
        <v>42</v>
      </c>
      <c r="Z5688" s="14">
        <v>0.12</v>
      </c>
      <c r="AA5688" s="14">
        <v>0.83</v>
      </c>
      <c r="AB5688" s="12" t="s">
        <v>56</v>
      </c>
      <c r="AC5688" s="12" t="s">
        <v>26574</v>
      </c>
      <c r="AD5688" s="13">
        <v>43090</v>
      </c>
      <c r="AE5688" s="12" t="s">
        <v>562</v>
      </c>
      <c r="AF5688" s="12" t="s">
        <v>36</v>
      </c>
      <c r="AG5688" s="12" t="s">
        <v>969</v>
      </c>
      <c r="AH5688" s="1">
        <f>HYPERLINK("https://my.pitchbook.com?c=204503-32T","View Company Online")</f>
      </c>
    </row>
    <row r="5689">
      <c r="A5689" s="3" t="s">
        <v>26575</v>
      </c>
      <c r="B5689" s="3" t="s">
        <v>7884</v>
      </c>
      <c r="C5689" s="5" t="s">
        <v>36</v>
      </c>
      <c r="D5689" s="5" t="s">
        <v>36</v>
      </c>
      <c r="E5689" s="5" t="s">
        <v>36</v>
      </c>
      <c r="F5689" s="5" t="s">
        <v>36</v>
      </c>
      <c r="G5689" s="6" t="s">
        <v>683</v>
      </c>
      <c r="H5689" s="4">
        <v>4.74</v>
      </c>
      <c r="I5689" s="7">
        <v>25.74</v>
      </c>
      <c r="J5689" s="3" t="s">
        <v>521</v>
      </c>
      <c r="K5689" s="9">
        <v>42845</v>
      </c>
      <c r="L5689" s="6" t="s">
        <v>36</v>
      </c>
      <c r="M5689" s="3" t="s">
        <v>36</v>
      </c>
      <c r="N5689" s="3" t="s">
        <v>36</v>
      </c>
      <c r="O5689" s="8" t="s">
        <v>36</v>
      </c>
      <c r="P5689" s="3" t="s">
        <v>36</v>
      </c>
      <c r="Q5689" s="3" t="s">
        <v>36</v>
      </c>
      <c r="R5689" s="3" t="s">
        <v>36</v>
      </c>
      <c r="S5689" s="3" t="s">
        <v>36</v>
      </c>
      <c r="T5689" s="3" t="s">
        <v>37</v>
      </c>
      <c r="U5689" s="3" t="s">
        <v>38</v>
      </c>
      <c r="V5689" s="3" t="s">
        <v>39</v>
      </c>
      <c r="W5689" s="3" t="s">
        <v>7885</v>
      </c>
      <c r="X5689" s="10" t="s">
        <v>26576</v>
      </c>
      <c r="Y5689" s="6" t="s">
        <v>108</v>
      </c>
      <c r="Z5689" s="4">
        <v>1.14</v>
      </c>
      <c r="AA5689" s="4">
        <v>4.35</v>
      </c>
      <c r="AB5689" s="3" t="s">
        <v>43</v>
      </c>
      <c r="AC5689" s="3" t="s">
        <v>7887</v>
      </c>
      <c r="AD5689" s="9">
        <v>43090</v>
      </c>
      <c r="AE5689" s="3" t="s">
        <v>45</v>
      </c>
      <c r="AF5689" s="3" t="s">
        <v>331</v>
      </c>
      <c r="AG5689" s="3" t="s">
        <v>81</v>
      </c>
      <c r="AH5689" s="11">
        <f>HYPERLINK("https://my.pitchbook.com?c=112841-65T","View Company Online")</f>
      </c>
    </row>
    <row r="5690">
      <c r="A5690" s="12" t="s">
        <v>26577</v>
      </c>
      <c r="B5690" s="12" t="s">
        <v>26578</v>
      </c>
      <c r="C5690" s="19" t="s">
        <v>36</v>
      </c>
      <c r="D5690" s="19" t="s">
        <v>36</v>
      </c>
      <c r="E5690" s="19" t="s">
        <v>36</v>
      </c>
      <c r="F5690" s="19" t="s">
        <v>36</v>
      </c>
      <c r="G5690" s="15" t="s">
        <v>326</v>
      </c>
      <c r="H5690" s="14">
        <v>1148.05</v>
      </c>
      <c r="I5690" s="18">
        <v>30.64</v>
      </c>
      <c r="J5690" s="12" t="s">
        <v>521</v>
      </c>
      <c r="K5690" s="13" t="s">
        <v>36</v>
      </c>
      <c r="L5690" s="15" t="s">
        <v>122</v>
      </c>
      <c r="M5690" s="12" t="s">
        <v>36</v>
      </c>
      <c r="N5690" s="12" t="s">
        <v>122</v>
      </c>
      <c r="O5690" s="17" t="s">
        <v>36</v>
      </c>
      <c r="P5690" s="12" t="s">
        <v>36</v>
      </c>
      <c r="Q5690" s="12" t="s">
        <v>36</v>
      </c>
      <c r="R5690" s="12" t="s">
        <v>36</v>
      </c>
      <c r="S5690" s="12" t="s">
        <v>36</v>
      </c>
      <c r="T5690" s="12" t="s">
        <v>994</v>
      </c>
      <c r="U5690" s="12" t="s">
        <v>74</v>
      </c>
      <c r="V5690" s="12" t="s">
        <v>75</v>
      </c>
      <c r="W5690" s="12" t="s">
        <v>26579</v>
      </c>
      <c r="X5690" s="16" t="s">
        <v>26580</v>
      </c>
      <c r="Y5690" s="15" t="s">
        <v>108</v>
      </c>
      <c r="Z5690" s="14">
        <v>3.54</v>
      </c>
      <c r="AA5690" s="14">
        <v>11.56</v>
      </c>
      <c r="AB5690" s="12" t="s">
        <v>43</v>
      </c>
      <c r="AC5690" s="12" t="s">
        <v>26581</v>
      </c>
      <c r="AD5690" s="13">
        <v>43090</v>
      </c>
      <c r="AE5690" s="12" t="s">
        <v>362</v>
      </c>
      <c r="AF5690" s="12" t="s">
        <v>13004</v>
      </c>
      <c r="AG5690" s="12" t="s">
        <v>5458</v>
      </c>
      <c r="AH5690" s="1">
        <f>HYPERLINK("https://my.pitchbook.com?c=99846-19T","View Company Online")</f>
      </c>
    </row>
    <row r="5691">
      <c r="A5691" s="3" t="s">
        <v>26582</v>
      </c>
      <c r="B5691" s="3" t="s">
        <v>22535</v>
      </c>
      <c r="C5691" s="5" t="s">
        <v>36</v>
      </c>
      <c r="D5691" s="5" t="s">
        <v>36</v>
      </c>
      <c r="E5691" s="5" t="s">
        <v>36</v>
      </c>
      <c r="F5691" s="5" t="s">
        <v>36</v>
      </c>
      <c r="G5691" s="6" t="s">
        <v>36</v>
      </c>
      <c r="H5691" s="4">
        <v>77.89</v>
      </c>
      <c r="I5691" s="7">
        <v>17.26</v>
      </c>
      <c r="J5691" s="3" t="s">
        <v>521</v>
      </c>
      <c r="K5691" s="9" t="s">
        <v>36</v>
      </c>
      <c r="L5691" s="6" t="s">
        <v>36</v>
      </c>
      <c r="M5691" s="3" t="s">
        <v>36</v>
      </c>
      <c r="N5691" s="3" t="s">
        <v>36</v>
      </c>
      <c r="O5691" s="8" t="s">
        <v>36</v>
      </c>
      <c r="P5691" s="3" t="s">
        <v>36</v>
      </c>
      <c r="Q5691" s="3" t="s">
        <v>36</v>
      </c>
      <c r="R5691" s="3" t="s">
        <v>36</v>
      </c>
      <c r="S5691" s="3" t="s">
        <v>36</v>
      </c>
      <c r="T5691" s="3" t="s">
        <v>22536</v>
      </c>
      <c r="U5691" s="3" t="s">
        <v>833</v>
      </c>
      <c r="V5691" s="3" t="s">
        <v>64</v>
      </c>
      <c r="W5691" s="3" t="s">
        <v>22537</v>
      </c>
      <c r="X5691" s="10" t="s">
        <v>26583</v>
      </c>
      <c r="Y5691" s="6" t="s">
        <v>108</v>
      </c>
      <c r="Z5691" s="4">
        <v>0.59</v>
      </c>
      <c r="AA5691" s="4">
        <v>3.43</v>
      </c>
      <c r="AB5691" s="3" t="s">
        <v>56</v>
      </c>
      <c r="AC5691" s="3" t="s">
        <v>22539</v>
      </c>
      <c r="AD5691" s="9">
        <v>43090</v>
      </c>
      <c r="AE5691" s="3" t="s">
        <v>1069</v>
      </c>
      <c r="AF5691" s="3" t="s">
        <v>10859</v>
      </c>
      <c r="AG5691" s="3" t="s">
        <v>22540</v>
      </c>
      <c r="AH5691" s="11">
        <f>HYPERLINK("https://my.pitchbook.com?c=187582-42T","View Company Online")</f>
      </c>
    </row>
    <row r="5692">
      <c r="A5692" s="12" t="s">
        <v>26584</v>
      </c>
      <c r="B5692" s="12" t="s">
        <v>22614</v>
      </c>
      <c r="C5692" s="19">
        <v>4</v>
      </c>
      <c r="D5692" s="19">
        <v>1</v>
      </c>
      <c r="E5692" s="19">
        <v>3</v>
      </c>
      <c r="F5692" s="19">
        <v>8</v>
      </c>
      <c r="G5692" s="15" t="s">
        <v>36</v>
      </c>
      <c r="H5692" s="14">
        <v>252.37</v>
      </c>
      <c r="I5692" s="18">
        <v>14.03</v>
      </c>
      <c r="J5692" s="12" t="s">
        <v>521</v>
      </c>
      <c r="K5692" s="13" t="s">
        <v>36</v>
      </c>
      <c r="L5692" s="15" t="s">
        <v>36</v>
      </c>
      <c r="M5692" s="12" t="s">
        <v>36</v>
      </c>
      <c r="N5692" s="12" t="s">
        <v>36</v>
      </c>
      <c r="O5692" s="17" t="s">
        <v>36</v>
      </c>
      <c r="P5692" s="12" t="s">
        <v>36</v>
      </c>
      <c r="Q5692" s="12" t="s">
        <v>36</v>
      </c>
      <c r="R5692" s="12" t="s">
        <v>36</v>
      </c>
      <c r="S5692" s="12" t="s">
        <v>36</v>
      </c>
      <c r="T5692" s="12" t="s">
        <v>22615</v>
      </c>
      <c r="U5692" s="12" t="s">
        <v>51</v>
      </c>
      <c r="V5692" s="12" t="s">
        <v>52</v>
      </c>
      <c r="W5692" s="12" t="s">
        <v>22616</v>
      </c>
      <c r="X5692" s="16" t="s">
        <v>26585</v>
      </c>
      <c r="Y5692" s="15" t="s">
        <v>108</v>
      </c>
      <c r="Z5692" s="14">
        <v>0.57</v>
      </c>
      <c r="AA5692" s="14">
        <v>4.06</v>
      </c>
      <c r="AB5692" s="12" t="s">
        <v>56</v>
      </c>
      <c r="AC5692" s="12" t="s">
        <v>22618</v>
      </c>
      <c r="AD5692" s="13">
        <v>43089</v>
      </c>
      <c r="AE5692" s="12" t="s">
        <v>158</v>
      </c>
      <c r="AF5692" s="12" t="s">
        <v>665</v>
      </c>
      <c r="AG5692" s="12" t="s">
        <v>512</v>
      </c>
      <c r="AH5692" s="1">
        <f>HYPERLINK("https://my.pitchbook.com?c=136413-37T","View Company Online")</f>
      </c>
    </row>
    <row r="5693">
      <c r="A5693" s="3" t="s">
        <v>26586</v>
      </c>
      <c r="B5693" s="3" t="s">
        <v>19892</v>
      </c>
      <c r="C5693" s="5" t="s">
        <v>36</v>
      </c>
      <c r="D5693" s="5">
        <v>12</v>
      </c>
      <c r="E5693" s="5">
        <v>3</v>
      </c>
      <c r="F5693" s="5">
        <v>14</v>
      </c>
      <c r="G5693" s="6" t="s">
        <v>683</v>
      </c>
      <c r="H5693" s="4">
        <v>103.86</v>
      </c>
      <c r="I5693" s="7">
        <v>36.97</v>
      </c>
      <c r="J5693" s="3" t="s">
        <v>521</v>
      </c>
      <c r="K5693" s="9" t="s">
        <v>36</v>
      </c>
      <c r="L5693" s="6" t="s">
        <v>36</v>
      </c>
      <c r="M5693" s="3" t="s">
        <v>36</v>
      </c>
      <c r="N5693" s="3" t="s">
        <v>36</v>
      </c>
      <c r="O5693" s="8" t="s">
        <v>36</v>
      </c>
      <c r="P5693" s="3" t="s">
        <v>36</v>
      </c>
      <c r="Q5693" s="3" t="s">
        <v>36</v>
      </c>
      <c r="R5693" s="3" t="s">
        <v>36</v>
      </c>
      <c r="S5693" s="3" t="s">
        <v>36</v>
      </c>
      <c r="T5693" s="3" t="s">
        <v>17144</v>
      </c>
      <c r="U5693" s="3" t="s">
        <v>51</v>
      </c>
      <c r="V5693" s="3" t="s">
        <v>52</v>
      </c>
      <c r="W5693" s="3" t="s">
        <v>19893</v>
      </c>
      <c r="X5693" s="10" t="s">
        <v>26587</v>
      </c>
      <c r="Y5693" s="6" t="s">
        <v>42</v>
      </c>
      <c r="Z5693" s="4">
        <v>1.42</v>
      </c>
      <c r="AA5693" s="4">
        <v>3.84</v>
      </c>
      <c r="AB5693" s="3" t="s">
        <v>56</v>
      </c>
      <c r="AC5693" s="3" t="s">
        <v>19895</v>
      </c>
      <c r="AD5693" s="9">
        <v>43089</v>
      </c>
      <c r="AE5693" s="3" t="s">
        <v>1060</v>
      </c>
      <c r="AF5693" s="3" t="s">
        <v>665</v>
      </c>
      <c r="AG5693" s="3" t="s">
        <v>81</v>
      </c>
      <c r="AH5693" s="11">
        <f>HYPERLINK("https://my.pitchbook.com?c=192438-28T","View Company Online")</f>
      </c>
    </row>
    <row r="5694">
      <c r="A5694" s="12" t="s">
        <v>26588</v>
      </c>
      <c r="B5694" s="12" t="s">
        <v>26589</v>
      </c>
      <c r="C5694" s="19" t="s">
        <v>36</v>
      </c>
      <c r="D5694" s="19" t="s">
        <v>36</v>
      </c>
      <c r="E5694" s="19" t="s">
        <v>36</v>
      </c>
      <c r="F5694" s="19" t="s">
        <v>36</v>
      </c>
      <c r="G5694" s="15" t="s">
        <v>36</v>
      </c>
      <c r="H5694" s="14">
        <v>150.8</v>
      </c>
      <c r="I5694" s="18">
        <v>38.31</v>
      </c>
      <c r="J5694" s="12" t="s">
        <v>521</v>
      </c>
      <c r="K5694" s="13" t="s">
        <v>36</v>
      </c>
      <c r="L5694" s="15" t="s">
        <v>36</v>
      </c>
      <c r="M5694" s="12" t="s">
        <v>36</v>
      </c>
      <c r="N5694" s="12" t="s">
        <v>36</v>
      </c>
      <c r="O5694" s="17" t="s">
        <v>36</v>
      </c>
      <c r="P5694" s="12" t="s">
        <v>36</v>
      </c>
      <c r="Q5694" s="12" t="s">
        <v>36</v>
      </c>
      <c r="R5694" s="12" t="s">
        <v>36</v>
      </c>
      <c r="S5694" s="12" t="s">
        <v>36</v>
      </c>
      <c r="T5694" s="12" t="s">
        <v>105</v>
      </c>
      <c r="U5694" s="12" t="s">
        <v>38</v>
      </c>
      <c r="V5694" s="12" t="s">
        <v>39</v>
      </c>
      <c r="W5694" s="12" t="s">
        <v>26590</v>
      </c>
      <c r="X5694" s="16" t="s">
        <v>12706</v>
      </c>
      <c r="Y5694" s="15" t="s">
        <v>42</v>
      </c>
      <c r="Z5694" s="14">
        <v>0.3</v>
      </c>
      <c r="AA5694" s="14">
        <v>0.79</v>
      </c>
      <c r="AB5694" s="12" t="s">
        <v>56</v>
      </c>
      <c r="AC5694" s="12" t="s">
        <v>26591</v>
      </c>
      <c r="AD5694" s="13">
        <v>43089</v>
      </c>
      <c r="AE5694" s="12" t="s">
        <v>110</v>
      </c>
      <c r="AF5694" s="12" t="s">
        <v>8063</v>
      </c>
      <c r="AG5694" s="12" t="s">
        <v>26592</v>
      </c>
      <c r="AH5694" s="1">
        <f>HYPERLINK("https://my.pitchbook.com?c=160386-58T","View Company Online")</f>
      </c>
    </row>
    <row r="5695">
      <c r="A5695" s="3" t="s">
        <v>26593</v>
      </c>
      <c r="B5695" s="3" t="s">
        <v>26594</v>
      </c>
      <c r="C5695" s="5" t="s">
        <v>36</v>
      </c>
      <c r="D5695" s="5" t="s">
        <v>36</v>
      </c>
      <c r="E5695" s="5" t="s">
        <v>36</v>
      </c>
      <c r="F5695" s="5" t="s">
        <v>36</v>
      </c>
      <c r="G5695" s="6" t="s">
        <v>36</v>
      </c>
      <c r="H5695" s="4">
        <v>26.01</v>
      </c>
      <c r="I5695" s="7">
        <v>20.36</v>
      </c>
      <c r="J5695" s="3" t="s">
        <v>521</v>
      </c>
      <c r="K5695" s="9" t="s">
        <v>36</v>
      </c>
      <c r="L5695" s="6" t="s">
        <v>122</v>
      </c>
      <c r="M5695" s="3" t="s">
        <v>36</v>
      </c>
      <c r="N5695" s="3" t="s">
        <v>122</v>
      </c>
      <c r="O5695" s="8" t="s">
        <v>36</v>
      </c>
      <c r="P5695" s="3" t="s">
        <v>36</v>
      </c>
      <c r="Q5695" s="3" t="s">
        <v>36</v>
      </c>
      <c r="R5695" s="3" t="s">
        <v>36</v>
      </c>
      <c r="S5695" s="3" t="s">
        <v>36</v>
      </c>
      <c r="T5695" s="3" t="s">
        <v>2967</v>
      </c>
      <c r="U5695" s="3" t="s">
        <v>38</v>
      </c>
      <c r="V5695" s="3" t="s">
        <v>39</v>
      </c>
      <c r="W5695" s="3" t="s">
        <v>26595</v>
      </c>
      <c r="X5695" s="10" t="s">
        <v>26596</v>
      </c>
      <c r="Y5695" s="6" t="s">
        <v>42</v>
      </c>
      <c r="Z5695" s="4">
        <v>2.36</v>
      </c>
      <c r="AA5695" s="4">
        <v>11.61</v>
      </c>
      <c r="AB5695" s="3" t="s">
        <v>43</v>
      </c>
      <c r="AC5695" s="3" t="s">
        <v>26597</v>
      </c>
      <c r="AD5695" s="9">
        <v>43088</v>
      </c>
      <c r="AE5695" s="3" t="s">
        <v>110</v>
      </c>
      <c r="AF5695" s="3" t="s">
        <v>14418</v>
      </c>
      <c r="AG5695" s="3" t="s">
        <v>81</v>
      </c>
      <c r="AH5695" s="11">
        <f>HYPERLINK("https://my.pitchbook.com?c=105926-68T","View Company Online")</f>
      </c>
    </row>
    <row r="5696">
      <c r="A5696" s="12" t="s">
        <v>26598</v>
      </c>
      <c r="B5696" s="12" t="s">
        <v>7941</v>
      </c>
      <c r="C5696" s="19" t="s">
        <v>36</v>
      </c>
      <c r="D5696" s="19" t="s">
        <v>36</v>
      </c>
      <c r="E5696" s="19" t="s">
        <v>36</v>
      </c>
      <c r="F5696" s="19" t="s">
        <v>36</v>
      </c>
      <c r="G5696" s="15" t="s">
        <v>326</v>
      </c>
      <c r="H5696" s="14">
        <v>1708.17</v>
      </c>
      <c r="I5696" s="18">
        <v>9.25</v>
      </c>
      <c r="J5696" s="12" t="s">
        <v>521</v>
      </c>
      <c r="K5696" s="13" t="s">
        <v>36</v>
      </c>
      <c r="L5696" s="15" t="s">
        <v>36</v>
      </c>
      <c r="M5696" s="12" t="s">
        <v>36</v>
      </c>
      <c r="N5696" s="12" t="s">
        <v>36</v>
      </c>
      <c r="O5696" s="17" t="s">
        <v>36</v>
      </c>
      <c r="P5696" s="12" t="s">
        <v>36</v>
      </c>
      <c r="Q5696" s="12" t="s">
        <v>36</v>
      </c>
      <c r="R5696" s="12" t="s">
        <v>36</v>
      </c>
      <c r="S5696" s="12" t="s">
        <v>36</v>
      </c>
      <c r="T5696" s="12" t="s">
        <v>1048</v>
      </c>
      <c r="U5696" s="12" t="s">
        <v>423</v>
      </c>
      <c r="V5696" s="12" t="s">
        <v>64</v>
      </c>
      <c r="W5696" s="12" t="s">
        <v>7942</v>
      </c>
      <c r="X5696" s="16" t="s">
        <v>26599</v>
      </c>
      <c r="Y5696" s="15" t="s">
        <v>108</v>
      </c>
      <c r="Z5696" s="14">
        <v>0.12</v>
      </c>
      <c r="AA5696" s="14">
        <v>1.3</v>
      </c>
      <c r="AB5696" s="12" t="s">
        <v>56</v>
      </c>
      <c r="AC5696" s="12" t="s">
        <v>7944</v>
      </c>
      <c r="AD5696" s="13">
        <v>43088</v>
      </c>
      <c r="AE5696" s="12" t="s">
        <v>1051</v>
      </c>
      <c r="AF5696" s="12" t="s">
        <v>6718</v>
      </c>
      <c r="AG5696" s="12" t="s">
        <v>899</v>
      </c>
      <c r="AH5696" s="1">
        <f>HYPERLINK("https://my.pitchbook.com?c=187797-16T","View Company Online")</f>
      </c>
    </row>
    <row r="5697">
      <c r="A5697" s="3" t="s">
        <v>26600</v>
      </c>
      <c r="B5697" s="3" t="s">
        <v>14099</v>
      </c>
      <c r="C5697" s="5" t="s">
        <v>36</v>
      </c>
      <c r="D5697" s="5" t="s">
        <v>36</v>
      </c>
      <c r="E5697" s="5" t="s">
        <v>36</v>
      </c>
      <c r="F5697" s="5" t="s">
        <v>36</v>
      </c>
      <c r="G5697" s="6" t="s">
        <v>326</v>
      </c>
      <c r="H5697" s="4">
        <v>121.72</v>
      </c>
      <c r="I5697" s="7">
        <v>8.51</v>
      </c>
      <c r="J5697" s="3" t="s">
        <v>521</v>
      </c>
      <c r="K5697" s="9" t="s">
        <v>36</v>
      </c>
      <c r="L5697" s="6" t="s">
        <v>36</v>
      </c>
      <c r="M5697" s="3" t="s">
        <v>36</v>
      </c>
      <c r="N5697" s="3" t="s">
        <v>36</v>
      </c>
      <c r="O5697" s="8" t="s">
        <v>36</v>
      </c>
      <c r="P5697" s="3" t="s">
        <v>36</v>
      </c>
      <c r="Q5697" s="3" t="s">
        <v>36</v>
      </c>
      <c r="R5697" s="3" t="s">
        <v>36</v>
      </c>
      <c r="S5697" s="3" t="s">
        <v>36</v>
      </c>
      <c r="T5697" s="3" t="s">
        <v>50</v>
      </c>
      <c r="U5697" s="3" t="s">
        <v>51</v>
      </c>
      <c r="V5697" s="3" t="s">
        <v>52</v>
      </c>
      <c r="W5697" s="3" t="s">
        <v>14100</v>
      </c>
      <c r="X5697" s="10" t="s">
        <v>26601</v>
      </c>
      <c r="Y5697" s="6" t="s">
        <v>108</v>
      </c>
      <c r="Z5697" s="4">
        <v>2.19</v>
      </c>
      <c r="AA5697" s="4">
        <v>25.8</v>
      </c>
      <c r="AB5697" s="3" t="s">
        <v>56</v>
      </c>
      <c r="AC5697" s="3" t="s">
        <v>14102</v>
      </c>
      <c r="AD5697" s="9">
        <v>43087</v>
      </c>
      <c r="AE5697" s="3" t="s">
        <v>58</v>
      </c>
      <c r="AF5697" s="3" t="s">
        <v>756</v>
      </c>
      <c r="AG5697" s="3" t="s">
        <v>899</v>
      </c>
      <c r="AH5697" s="11">
        <f>HYPERLINK("https://my.pitchbook.com?c=204502-87T","View Company Online")</f>
      </c>
    </row>
    <row r="5698">
      <c r="A5698" s="12" t="s">
        <v>26602</v>
      </c>
      <c r="B5698" s="12" t="s">
        <v>26603</v>
      </c>
      <c r="C5698" s="19" t="s">
        <v>36</v>
      </c>
      <c r="D5698" s="19">
        <v>2</v>
      </c>
      <c r="E5698" s="19">
        <v>1</v>
      </c>
      <c r="F5698" s="19">
        <v>3</v>
      </c>
      <c r="G5698" s="15" t="s">
        <v>36</v>
      </c>
      <c r="H5698" s="14" t="s">
        <v>36</v>
      </c>
      <c r="I5698" s="18" t="s">
        <v>36</v>
      </c>
      <c r="J5698" s="12" t="s">
        <v>36</v>
      </c>
      <c r="K5698" s="13" t="s">
        <v>36</v>
      </c>
      <c r="L5698" s="15" t="s">
        <v>36</v>
      </c>
      <c r="M5698" s="12" t="s">
        <v>36</v>
      </c>
      <c r="N5698" s="12" t="s">
        <v>36</v>
      </c>
      <c r="O5698" s="17" t="s">
        <v>36</v>
      </c>
      <c r="P5698" s="12" t="s">
        <v>36</v>
      </c>
      <c r="Q5698" s="12" t="s">
        <v>36</v>
      </c>
      <c r="R5698" s="12" t="s">
        <v>36</v>
      </c>
      <c r="S5698" s="12" t="s">
        <v>36</v>
      </c>
      <c r="T5698" s="12" t="s">
        <v>2255</v>
      </c>
      <c r="U5698" s="12" t="s">
        <v>833</v>
      </c>
      <c r="V5698" s="12" t="s">
        <v>64</v>
      </c>
      <c r="W5698" s="12" t="s">
        <v>26604</v>
      </c>
      <c r="X5698" s="16" t="s">
        <v>26605</v>
      </c>
      <c r="Y5698" s="15" t="s">
        <v>42</v>
      </c>
      <c r="Z5698" s="14">
        <v>1</v>
      </c>
      <c r="AA5698" s="14" t="s">
        <v>36</v>
      </c>
      <c r="AB5698" s="12" t="s">
        <v>43</v>
      </c>
      <c r="AC5698" s="12" t="s">
        <v>26606</v>
      </c>
      <c r="AD5698" s="13">
        <v>43087</v>
      </c>
      <c r="AE5698" s="12" t="s">
        <v>1769</v>
      </c>
      <c r="AF5698" s="12" t="s">
        <v>90</v>
      </c>
      <c r="AG5698" s="12" t="s">
        <v>26607</v>
      </c>
      <c r="AH5698" s="1">
        <f>HYPERLINK("https://my.pitchbook.com?c=173332-18T","View Company Online")</f>
      </c>
    </row>
    <row r="5699">
      <c r="A5699" s="3" t="s">
        <v>26608</v>
      </c>
      <c r="B5699" s="3" t="s">
        <v>12849</v>
      </c>
      <c r="C5699" s="5">
        <v>21</v>
      </c>
      <c r="D5699" s="5">
        <v>52</v>
      </c>
      <c r="E5699" s="5">
        <v>7</v>
      </c>
      <c r="F5699" s="5">
        <v>73</v>
      </c>
      <c r="G5699" s="6" t="s">
        <v>683</v>
      </c>
      <c r="H5699" s="4">
        <v>210.83</v>
      </c>
      <c r="I5699" s="7">
        <v>14.8</v>
      </c>
      <c r="J5699" s="3" t="s">
        <v>521</v>
      </c>
      <c r="K5699" s="9" t="s">
        <v>36</v>
      </c>
      <c r="L5699" s="6" t="s">
        <v>36</v>
      </c>
      <c r="M5699" s="3" t="s">
        <v>36</v>
      </c>
      <c r="N5699" s="3" t="s">
        <v>36</v>
      </c>
      <c r="O5699" s="8" t="s">
        <v>36</v>
      </c>
      <c r="P5699" s="3" t="s">
        <v>36</v>
      </c>
      <c r="Q5699" s="3" t="s">
        <v>36</v>
      </c>
      <c r="R5699" s="3" t="s">
        <v>12841</v>
      </c>
      <c r="S5699" s="3" t="s">
        <v>36</v>
      </c>
      <c r="T5699" s="3" t="s">
        <v>4225</v>
      </c>
      <c r="U5699" s="3" t="s">
        <v>96</v>
      </c>
      <c r="V5699" s="3" t="s">
        <v>52</v>
      </c>
      <c r="W5699" s="3" t="s">
        <v>12850</v>
      </c>
      <c r="X5699" s="10" t="s">
        <v>26609</v>
      </c>
      <c r="Y5699" s="6" t="s">
        <v>192</v>
      </c>
      <c r="Z5699" s="4">
        <v>4.73</v>
      </c>
      <c r="AA5699" s="4">
        <v>31.94</v>
      </c>
      <c r="AB5699" s="3" t="s">
        <v>56</v>
      </c>
      <c r="AC5699" s="3" t="s">
        <v>12852</v>
      </c>
      <c r="AD5699" s="9">
        <v>43087</v>
      </c>
      <c r="AE5699" s="3" t="s">
        <v>143</v>
      </c>
      <c r="AF5699" s="3" t="s">
        <v>6285</v>
      </c>
      <c r="AG5699" s="3" t="s">
        <v>81</v>
      </c>
      <c r="AH5699" s="11">
        <f>HYPERLINK("https://my.pitchbook.com?c=116719-39T","View Company Online")</f>
      </c>
    </row>
    <row r="5700">
      <c r="A5700" s="12" t="s">
        <v>26610</v>
      </c>
      <c r="B5700" s="12" t="s">
        <v>26611</v>
      </c>
      <c r="C5700" s="19" t="s">
        <v>36</v>
      </c>
      <c r="D5700" s="19" t="s">
        <v>36</v>
      </c>
      <c r="E5700" s="19" t="s">
        <v>36</v>
      </c>
      <c r="F5700" s="19" t="s">
        <v>36</v>
      </c>
      <c r="G5700" s="15" t="s">
        <v>326</v>
      </c>
      <c r="H5700" s="14">
        <v>1.09</v>
      </c>
      <c r="I5700" s="18">
        <v>33.99</v>
      </c>
      <c r="J5700" s="12" t="s">
        <v>521</v>
      </c>
      <c r="K5700" s="13">
        <v>42813</v>
      </c>
      <c r="L5700" s="15" t="s">
        <v>36</v>
      </c>
      <c r="M5700" s="12" t="s">
        <v>36</v>
      </c>
      <c r="N5700" s="12" t="s">
        <v>36</v>
      </c>
      <c r="O5700" s="17" t="s">
        <v>36</v>
      </c>
      <c r="P5700" s="12" t="s">
        <v>36</v>
      </c>
      <c r="Q5700" s="12" t="s">
        <v>36</v>
      </c>
      <c r="R5700" s="12" t="s">
        <v>36</v>
      </c>
      <c r="S5700" s="12" t="s">
        <v>36</v>
      </c>
      <c r="T5700" s="12" t="s">
        <v>7415</v>
      </c>
      <c r="U5700" s="12" t="s">
        <v>38</v>
      </c>
      <c r="V5700" s="12" t="s">
        <v>39</v>
      </c>
      <c r="W5700" s="12" t="s">
        <v>26612</v>
      </c>
      <c r="X5700" s="16" t="s">
        <v>5892</v>
      </c>
      <c r="Y5700" s="15" t="s">
        <v>55</v>
      </c>
      <c r="Z5700" s="14">
        <v>1.31</v>
      </c>
      <c r="AA5700" s="14">
        <v>3.85</v>
      </c>
      <c r="AB5700" s="12" t="s">
        <v>43</v>
      </c>
      <c r="AC5700" s="12" t="s">
        <v>26613</v>
      </c>
      <c r="AD5700" s="13">
        <v>43087</v>
      </c>
      <c r="AE5700" s="12" t="s">
        <v>1422</v>
      </c>
      <c r="AF5700" s="12" t="s">
        <v>26614</v>
      </c>
      <c r="AG5700" s="12" t="s">
        <v>81</v>
      </c>
      <c r="AH5700" s="1">
        <f>HYPERLINK("https://my.pitchbook.com?c=98980-39T","View Company Online")</f>
      </c>
    </row>
    <row r="5701">
      <c r="A5701" s="3" t="s">
        <v>26615</v>
      </c>
      <c r="B5701" s="3" t="s">
        <v>26616</v>
      </c>
      <c r="C5701" s="5" t="s">
        <v>36</v>
      </c>
      <c r="D5701" s="5" t="s">
        <v>36</v>
      </c>
      <c r="E5701" s="5" t="s">
        <v>36</v>
      </c>
      <c r="F5701" s="5" t="s">
        <v>36</v>
      </c>
      <c r="G5701" s="6" t="s">
        <v>36</v>
      </c>
      <c r="H5701" s="4">
        <v>548.36</v>
      </c>
      <c r="I5701" s="7">
        <v>7.58</v>
      </c>
      <c r="J5701" s="3" t="s">
        <v>521</v>
      </c>
      <c r="K5701" s="9" t="s">
        <v>36</v>
      </c>
      <c r="L5701" s="6" t="s">
        <v>36</v>
      </c>
      <c r="M5701" s="3" t="s">
        <v>36</v>
      </c>
      <c r="N5701" s="3" t="s">
        <v>36</v>
      </c>
      <c r="O5701" s="8" t="s">
        <v>36</v>
      </c>
      <c r="P5701" s="3" t="s">
        <v>36</v>
      </c>
      <c r="Q5701" s="3" t="s">
        <v>36</v>
      </c>
      <c r="R5701" s="3" t="s">
        <v>36</v>
      </c>
      <c r="S5701" s="3" t="s">
        <v>36</v>
      </c>
      <c r="T5701" s="3" t="s">
        <v>15475</v>
      </c>
      <c r="U5701" s="3" t="s">
        <v>279</v>
      </c>
      <c r="V5701" s="3" t="s">
        <v>64</v>
      </c>
      <c r="W5701" s="3" t="s">
        <v>26617</v>
      </c>
      <c r="X5701" s="10" t="s">
        <v>19677</v>
      </c>
      <c r="Y5701" s="6" t="s">
        <v>42</v>
      </c>
      <c r="Z5701" s="4">
        <v>0.14</v>
      </c>
      <c r="AA5701" s="4">
        <v>1.8</v>
      </c>
      <c r="AB5701" s="3" t="s">
        <v>56</v>
      </c>
      <c r="AC5701" s="3" t="s">
        <v>26618</v>
      </c>
      <c r="AD5701" s="9">
        <v>43087</v>
      </c>
      <c r="AE5701" s="3" t="s">
        <v>740</v>
      </c>
      <c r="AF5701" s="3" t="s">
        <v>36</v>
      </c>
      <c r="AG5701" s="3" t="s">
        <v>81</v>
      </c>
      <c r="AH5701" s="11">
        <f>HYPERLINK("https://my.pitchbook.com?c=115951-33T","View Company Online")</f>
      </c>
    </row>
    <row r="5702">
      <c r="A5702" s="12" t="s">
        <v>26619</v>
      </c>
      <c r="B5702" s="12" t="s">
        <v>26620</v>
      </c>
      <c r="C5702" s="19" t="s">
        <v>36</v>
      </c>
      <c r="D5702" s="19" t="s">
        <v>36</v>
      </c>
      <c r="E5702" s="19" t="s">
        <v>36</v>
      </c>
      <c r="F5702" s="19" t="s">
        <v>36</v>
      </c>
      <c r="G5702" s="15" t="s">
        <v>36</v>
      </c>
      <c r="H5702" s="14" t="s">
        <v>36</v>
      </c>
      <c r="I5702" s="18" t="s">
        <v>36</v>
      </c>
      <c r="J5702" s="12" t="s">
        <v>36</v>
      </c>
      <c r="K5702" s="13" t="s">
        <v>36</v>
      </c>
      <c r="L5702" s="15" t="s">
        <v>36</v>
      </c>
      <c r="M5702" s="12" t="s">
        <v>36</v>
      </c>
      <c r="N5702" s="12" t="s">
        <v>36</v>
      </c>
      <c r="O5702" s="17" t="s">
        <v>36</v>
      </c>
      <c r="P5702" s="12" t="s">
        <v>36</v>
      </c>
      <c r="Q5702" s="12" t="s">
        <v>36</v>
      </c>
      <c r="R5702" s="12" t="s">
        <v>36</v>
      </c>
      <c r="S5702" s="12" t="s">
        <v>36</v>
      </c>
      <c r="T5702" s="12" t="s">
        <v>1023</v>
      </c>
      <c r="U5702" s="12" t="s">
        <v>74</v>
      </c>
      <c r="V5702" s="12" t="s">
        <v>75</v>
      </c>
      <c r="W5702" s="12" t="s">
        <v>26621</v>
      </c>
      <c r="X5702" s="16" t="s">
        <v>26622</v>
      </c>
      <c r="Y5702" s="15" t="s">
        <v>42</v>
      </c>
      <c r="Z5702" s="14" t="s">
        <v>36</v>
      </c>
      <c r="AA5702" s="14" t="s">
        <v>36</v>
      </c>
      <c r="AB5702" s="12" t="s">
        <v>43</v>
      </c>
      <c r="AC5702" s="12" t="s">
        <v>26623</v>
      </c>
      <c r="AD5702" s="13">
        <v>43084</v>
      </c>
      <c r="AE5702" s="12" t="s">
        <v>79</v>
      </c>
      <c r="AF5702" s="12" t="s">
        <v>20839</v>
      </c>
      <c r="AG5702" s="12" t="s">
        <v>1823</v>
      </c>
      <c r="AH5702" s="1">
        <f>HYPERLINK("https://my.pitchbook.com?c=250063-03T","View Company Online")</f>
      </c>
    </row>
    <row r="5703">
      <c r="A5703" s="3" t="s">
        <v>26624</v>
      </c>
      <c r="B5703" s="3" t="s">
        <v>26625</v>
      </c>
      <c r="C5703" s="5" t="s">
        <v>36</v>
      </c>
      <c r="D5703" s="5">
        <v>13</v>
      </c>
      <c r="E5703" s="5">
        <v>5</v>
      </c>
      <c r="F5703" s="5">
        <v>16</v>
      </c>
      <c r="G5703" s="6" t="s">
        <v>2497</v>
      </c>
      <c r="H5703" s="4">
        <v>650.97</v>
      </c>
      <c r="I5703" s="7">
        <v>18</v>
      </c>
      <c r="J5703" s="3" t="s">
        <v>521</v>
      </c>
      <c r="K5703" s="9" t="s">
        <v>36</v>
      </c>
      <c r="L5703" s="6" t="s">
        <v>36</v>
      </c>
      <c r="M5703" s="3" t="s">
        <v>36</v>
      </c>
      <c r="N5703" s="3" t="s">
        <v>36</v>
      </c>
      <c r="O5703" s="8" t="s">
        <v>36</v>
      </c>
      <c r="P5703" s="3" t="s">
        <v>36</v>
      </c>
      <c r="Q5703" s="3" t="s">
        <v>36</v>
      </c>
      <c r="R5703" s="3" t="s">
        <v>36</v>
      </c>
      <c r="S5703" s="3" t="s">
        <v>36</v>
      </c>
      <c r="T5703" s="3" t="s">
        <v>1746</v>
      </c>
      <c r="U5703" s="3" t="s">
        <v>74</v>
      </c>
      <c r="V5703" s="3" t="s">
        <v>75</v>
      </c>
      <c r="W5703" s="3" t="s">
        <v>26626</v>
      </c>
      <c r="X5703" s="10" t="s">
        <v>11579</v>
      </c>
      <c r="Y5703" s="6" t="s">
        <v>108</v>
      </c>
      <c r="Z5703" s="4">
        <v>0.59</v>
      </c>
      <c r="AA5703" s="4">
        <v>3.41</v>
      </c>
      <c r="AB5703" s="3" t="s">
        <v>56</v>
      </c>
      <c r="AC5703" s="3" t="s">
        <v>26627</v>
      </c>
      <c r="AD5703" s="9">
        <v>43084</v>
      </c>
      <c r="AE5703" s="3" t="s">
        <v>570</v>
      </c>
      <c r="AF5703" s="3" t="s">
        <v>372</v>
      </c>
      <c r="AG5703" s="3" t="s">
        <v>3497</v>
      </c>
      <c r="AH5703" s="11">
        <f>HYPERLINK("https://my.pitchbook.com?c=188056-54T","View Company Online")</f>
      </c>
    </row>
    <row r="5704">
      <c r="A5704" s="12" t="s">
        <v>26628</v>
      </c>
      <c r="B5704" s="12" t="s">
        <v>26629</v>
      </c>
      <c r="C5704" s="19" t="s">
        <v>36</v>
      </c>
      <c r="D5704" s="19">
        <v>7</v>
      </c>
      <c r="E5704" s="19">
        <v>3</v>
      </c>
      <c r="F5704" s="19">
        <v>12</v>
      </c>
      <c r="G5704" s="15" t="s">
        <v>36</v>
      </c>
      <c r="H5704" s="14">
        <v>48.47</v>
      </c>
      <c r="I5704" s="18">
        <v>7.55</v>
      </c>
      <c r="J5704" s="12" t="s">
        <v>521</v>
      </c>
      <c r="K5704" s="13">
        <v>42839</v>
      </c>
      <c r="L5704" s="15" t="s">
        <v>36</v>
      </c>
      <c r="M5704" s="12" t="s">
        <v>36</v>
      </c>
      <c r="N5704" s="12" t="s">
        <v>36</v>
      </c>
      <c r="O5704" s="17" t="s">
        <v>36</v>
      </c>
      <c r="P5704" s="12" t="s">
        <v>36</v>
      </c>
      <c r="Q5704" s="12" t="s">
        <v>36</v>
      </c>
      <c r="R5704" s="12" t="s">
        <v>36</v>
      </c>
      <c r="S5704" s="12" t="s">
        <v>36</v>
      </c>
      <c r="T5704" s="12" t="s">
        <v>596</v>
      </c>
      <c r="U5704" s="12" t="s">
        <v>366</v>
      </c>
      <c r="V5704" s="12" t="s">
        <v>367</v>
      </c>
      <c r="W5704" s="12" t="s">
        <v>26630</v>
      </c>
      <c r="X5704" s="16" t="s">
        <v>26631</v>
      </c>
      <c r="Y5704" s="15" t="s">
        <v>42</v>
      </c>
      <c r="Z5704" s="14">
        <v>0.8</v>
      </c>
      <c r="AA5704" s="14">
        <v>10.56</v>
      </c>
      <c r="AB5704" s="12" t="s">
        <v>56</v>
      </c>
      <c r="AC5704" s="12" t="s">
        <v>26632</v>
      </c>
      <c r="AD5704" s="13">
        <v>43083</v>
      </c>
      <c r="AE5704" s="12" t="s">
        <v>600</v>
      </c>
      <c r="AF5704" s="12" t="s">
        <v>26633</v>
      </c>
      <c r="AG5704" s="12" t="s">
        <v>787</v>
      </c>
      <c r="AH5704" s="1">
        <f>HYPERLINK("https://my.pitchbook.com?c=99248-59T","View Company Online")</f>
      </c>
    </row>
    <row r="5705">
      <c r="A5705" s="3" t="s">
        <v>26634</v>
      </c>
      <c r="B5705" s="3" t="s">
        <v>26635</v>
      </c>
      <c r="C5705" s="5" t="s">
        <v>36</v>
      </c>
      <c r="D5705" s="5" t="s">
        <v>36</v>
      </c>
      <c r="E5705" s="5" t="s">
        <v>36</v>
      </c>
      <c r="F5705" s="5" t="s">
        <v>36</v>
      </c>
      <c r="G5705" s="6" t="s">
        <v>36</v>
      </c>
      <c r="H5705" s="4" t="s">
        <v>36</v>
      </c>
      <c r="I5705" s="7" t="s">
        <v>36</v>
      </c>
      <c r="J5705" s="3" t="s">
        <v>36</v>
      </c>
      <c r="K5705" s="9" t="s">
        <v>36</v>
      </c>
      <c r="L5705" s="6" t="s">
        <v>122</v>
      </c>
      <c r="M5705" s="3" t="s">
        <v>36</v>
      </c>
      <c r="N5705" s="3" t="s">
        <v>122</v>
      </c>
      <c r="O5705" s="8" t="s">
        <v>36</v>
      </c>
      <c r="P5705" s="3" t="s">
        <v>36</v>
      </c>
      <c r="Q5705" s="3" t="s">
        <v>36</v>
      </c>
      <c r="R5705" s="3" t="s">
        <v>36</v>
      </c>
      <c r="S5705" s="3" t="s">
        <v>36</v>
      </c>
      <c r="T5705" s="3" t="s">
        <v>7582</v>
      </c>
      <c r="U5705" s="3" t="s">
        <v>63</v>
      </c>
      <c r="V5705" s="3" t="s">
        <v>64</v>
      </c>
      <c r="W5705" s="3" t="s">
        <v>26636</v>
      </c>
      <c r="X5705" s="10" t="s">
        <v>26637</v>
      </c>
      <c r="Y5705" s="6" t="s">
        <v>108</v>
      </c>
      <c r="Z5705" s="4">
        <v>2.36</v>
      </c>
      <c r="AA5705" s="4" t="s">
        <v>36</v>
      </c>
      <c r="AB5705" s="3" t="s">
        <v>43</v>
      </c>
      <c r="AC5705" s="3" t="s">
        <v>26638</v>
      </c>
      <c r="AD5705" s="9">
        <v>43083</v>
      </c>
      <c r="AE5705" s="3" t="s">
        <v>68</v>
      </c>
      <c r="AF5705" s="3" t="s">
        <v>90</v>
      </c>
      <c r="AG5705" s="3" t="s">
        <v>81</v>
      </c>
      <c r="AH5705" s="11">
        <f>HYPERLINK("https://my.pitchbook.com?c=129159-46T","View Company Online")</f>
      </c>
    </row>
    <row r="5706">
      <c r="A5706" s="12" t="s">
        <v>26639</v>
      </c>
      <c r="B5706" s="12" t="s">
        <v>26640</v>
      </c>
      <c r="C5706" s="19" t="s">
        <v>36</v>
      </c>
      <c r="D5706" s="19" t="s">
        <v>36</v>
      </c>
      <c r="E5706" s="19" t="s">
        <v>36</v>
      </c>
      <c r="F5706" s="19" t="s">
        <v>36</v>
      </c>
      <c r="G5706" s="15" t="s">
        <v>36</v>
      </c>
      <c r="H5706" s="14">
        <v>102.63</v>
      </c>
      <c r="I5706" s="18">
        <v>23.81</v>
      </c>
      <c r="J5706" s="12" t="s">
        <v>521</v>
      </c>
      <c r="K5706" s="13" t="s">
        <v>36</v>
      </c>
      <c r="L5706" s="15" t="s">
        <v>36</v>
      </c>
      <c r="M5706" s="12" t="s">
        <v>36</v>
      </c>
      <c r="N5706" s="12" t="s">
        <v>36</v>
      </c>
      <c r="O5706" s="17" t="s">
        <v>36</v>
      </c>
      <c r="P5706" s="12" t="s">
        <v>36</v>
      </c>
      <c r="Q5706" s="12" t="s">
        <v>36</v>
      </c>
      <c r="R5706" s="12" t="s">
        <v>36</v>
      </c>
      <c r="S5706" s="12" t="s">
        <v>36</v>
      </c>
      <c r="T5706" s="12" t="s">
        <v>1725</v>
      </c>
      <c r="U5706" s="12" t="s">
        <v>318</v>
      </c>
      <c r="V5706" s="12" t="s">
        <v>39</v>
      </c>
      <c r="W5706" s="12" t="s">
        <v>26641</v>
      </c>
      <c r="X5706" s="16" t="s">
        <v>17333</v>
      </c>
      <c r="Y5706" s="15" t="s">
        <v>42</v>
      </c>
      <c r="Z5706" s="14">
        <v>0.71</v>
      </c>
      <c r="AA5706" s="14">
        <v>1.96</v>
      </c>
      <c r="AB5706" s="12" t="s">
        <v>43</v>
      </c>
      <c r="AC5706" s="12" t="s">
        <v>26642</v>
      </c>
      <c r="AD5706" s="13">
        <v>43083</v>
      </c>
      <c r="AE5706" s="12" t="s">
        <v>763</v>
      </c>
      <c r="AF5706" s="12" t="s">
        <v>26643</v>
      </c>
      <c r="AG5706" s="12" t="s">
        <v>666</v>
      </c>
      <c r="AH5706" s="1">
        <f>HYPERLINK("https://my.pitchbook.com?c=120257-11T","View Company Online")</f>
      </c>
    </row>
    <row r="5707">
      <c r="A5707" s="3" t="s">
        <v>26644</v>
      </c>
      <c r="B5707" s="3" t="s">
        <v>26645</v>
      </c>
      <c r="C5707" s="5" t="s">
        <v>36</v>
      </c>
      <c r="D5707" s="5" t="s">
        <v>36</v>
      </c>
      <c r="E5707" s="5" t="s">
        <v>36</v>
      </c>
      <c r="F5707" s="5" t="s">
        <v>36</v>
      </c>
      <c r="G5707" s="6" t="s">
        <v>36</v>
      </c>
      <c r="H5707" s="4" t="s">
        <v>36</v>
      </c>
      <c r="I5707" s="7" t="s">
        <v>36</v>
      </c>
      <c r="J5707" s="3" t="s">
        <v>36</v>
      </c>
      <c r="K5707" s="9" t="s">
        <v>36</v>
      </c>
      <c r="L5707" s="6" t="s">
        <v>36</v>
      </c>
      <c r="M5707" s="3" t="s">
        <v>36</v>
      </c>
      <c r="N5707" s="3" t="s">
        <v>36</v>
      </c>
      <c r="O5707" s="8" t="s">
        <v>36</v>
      </c>
      <c r="P5707" s="3" t="s">
        <v>36</v>
      </c>
      <c r="Q5707" s="3" t="s">
        <v>36</v>
      </c>
      <c r="R5707" s="3" t="s">
        <v>36</v>
      </c>
      <c r="S5707" s="3" t="s">
        <v>36</v>
      </c>
      <c r="T5707" s="3" t="s">
        <v>1596</v>
      </c>
      <c r="U5707" s="3" t="s">
        <v>728</v>
      </c>
      <c r="V5707" s="3" t="s">
        <v>64</v>
      </c>
      <c r="W5707" s="3" t="s">
        <v>26646</v>
      </c>
      <c r="X5707" s="10" t="s">
        <v>26647</v>
      </c>
      <c r="Y5707" s="6" t="s">
        <v>42</v>
      </c>
      <c r="Z5707" s="4">
        <v>1.9</v>
      </c>
      <c r="AA5707" s="4" t="s">
        <v>36</v>
      </c>
      <c r="AB5707" s="3" t="s">
        <v>56</v>
      </c>
      <c r="AC5707" s="3" t="s">
        <v>26648</v>
      </c>
      <c r="AD5707" s="9">
        <v>43082</v>
      </c>
      <c r="AE5707" s="3" t="s">
        <v>1600</v>
      </c>
      <c r="AF5707" s="3" t="s">
        <v>90</v>
      </c>
      <c r="AG5707" s="3" t="s">
        <v>81</v>
      </c>
      <c r="AH5707" s="11">
        <f>HYPERLINK("https://my.pitchbook.com?c=109825-75T","View Company Online")</f>
      </c>
    </row>
    <row r="5708">
      <c r="A5708" s="12" t="s">
        <v>26649</v>
      </c>
      <c r="B5708" s="12" t="s">
        <v>26650</v>
      </c>
      <c r="C5708" s="19" t="s">
        <v>36</v>
      </c>
      <c r="D5708" s="19" t="s">
        <v>36</v>
      </c>
      <c r="E5708" s="19" t="s">
        <v>36</v>
      </c>
      <c r="F5708" s="19" t="s">
        <v>36</v>
      </c>
      <c r="G5708" s="15" t="s">
        <v>36</v>
      </c>
      <c r="H5708" s="14">
        <v>23.1</v>
      </c>
      <c r="I5708" s="18">
        <v>33.33</v>
      </c>
      <c r="J5708" s="12" t="s">
        <v>521</v>
      </c>
      <c r="K5708" s="13" t="s">
        <v>36</v>
      </c>
      <c r="L5708" s="15" t="s">
        <v>36</v>
      </c>
      <c r="M5708" s="12" t="s">
        <v>36</v>
      </c>
      <c r="N5708" s="12" t="s">
        <v>36</v>
      </c>
      <c r="O5708" s="17" t="s">
        <v>36</v>
      </c>
      <c r="P5708" s="12" t="s">
        <v>36</v>
      </c>
      <c r="Q5708" s="12" t="s">
        <v>36</v>
      </c>
      <c r="R5708" s="12" t="s">
        <v>36</v>
      </c>
      <c r="S5708" s="12" t="s">
        <v>36</v>
      </c>
      <c r="T5708" s="12" t="s">
        <v>26651</v>
      </c>
      <c r="U5708" s="12" t="s">
        <v>648</v>
      </c>
      <c r="V5708" s="12" t="s">
        <v>64</v>
      </c>
      <c r="W5708" s="12" t="s">
        <v>26652</v>
      </c>
      <c r="X5708" s="16" t="s">
        <v>26647</v>
      </c>
      <c r="Y5708" s="15" t="s">
        <v>42</v>
      </c>
      <c r="Z5708" s="14">
        <v>0.59</v>
      </c>
      <c r="AA5708" s="14">
        <v>1.77</v>
      </c>
      <c r="AB5708" s="12" t="s">
        <v>43</v>
      </c>
      <c r="AC5708" s="12" t="s">
        <v>26653</v>
      </c>
      <c r="AD5708" s="13">
        <v>43082</v>
      </c>
      <c r="AE5708" s="12" t="s">
        <v>651</v>
      </c>
      <c r="AF5708" s="12" t="s">
        <v>2703</v>
      </c>
      <c r="AG5708" s="12" t="s">
        <v>4449</v>
      </c>
      <c r="AH5708" s="1">
        <f>HYPERLINK("https://my.pitchbook.com?c=109825-12T","View Company Online")</f>
      </c>
    </row>
    <row r="5709">
      <c r="A5709" s="3" t="s">
        <v>26654</v>
      </c>
      <c r="B5709" s="3" t="s">
        <v>20504</v>
      </c>
      <c r="C5709" s="5">
        <v>10</v>
      </c>
      <c r="D5709" s="5">
        <v>16</v>
      </c>
      <c r="E5709" s="5">
        <v>8</v>
      </c>
      <c r="F5709" s="5">
        <v>26</v>
      </c>
      <c r="G5709" s="6" t="s">
        <v>36</v>
      </c>
      <c r="H5709" s="4" t="s">
        <v>36</v>
      </c>
      <c r="I5709" s="7" t="s">
        <v>36</v>
      </c>
      <c r="J5709" s="3" t="s">
        <v>36</v>
      </c>
      <c r="K5709" s="9" t="s">
        <v>36</v>
      </c>
      <c r="L5709" s="6" t="s">
        <v>36</v>
      </c>
      <c r="M5709" s="3" t="s">
        <v>36</v>
      </c>
      <c r="N5709" s="3" t="s">
        <v>36</v>
      </c>
      <c r="O5709" s="8" t="s">
        <v>36</v>
      </c>
      <c r="P5709" s="3" t="s">
        <v>36</v>
      </c>
      <c r="Q5709" s="3" t="s">
        <v>36</v>
      </c>
      <c r="R5709" s="3" t="s">
        <v>36</v>
      </c>
      <c r="S5709" s="3" t="s">
        <v>36</v>
      </c>
      <c r="T5709" s="3" t="s">
        <v>3729</v>
      </c>
      <c r="U5709" s="3" t="s">
        <v>219</v>
      </c>
      <c r="V5709" s="3" t="s">
        <v>75</v>
      </c>
      <c r="W5709" s="3" t="s">
        <v>20505</v>
      </c>
      <c r="X5709" s="10" t="s">
        <v>26655</v>
      </c>
      <c r="Y5709" s="6" t="s">
        <v>108</v>
      </c>
      <c r="Z5709" s="4">
        <v>2.36</v>
      </c>
      <c r="AA5709" s="4" t="s">
        <v>36</v>
      </c>
      <c r="AB5709" s="3" t="s">
        <v>56</v>
      </c>
      <c r="AC5709" s="3" t="s">
        <v>20507</v>
      </c>
      <c r="AD5709" s="9">
        <v>43082</v>
      </c>
      <c r="AE5709" s="3" t="s">
        <v>1032</v>
      </c>
      <c r="AF5709" s="3" t="s">
        <v>20508</v>
      </c>
      <c r="AG5709" s="3" t="s">
        <v>20509</v>
      </c>
      <c r="AH5709" s="11">
        <f>HYPERLINK("https://my.pitchbook.com?c=103735-27T","View Company Online")</f>
      </c>
    </row>
    <row r="5710">
      <c r="A5710" s="12" t="s">
        <v>26656</v>
      </c>
      <c r="B5710" s="12" t="s">
        <v>26657</v>
      </c>
      <c r="C5710" s="19" t="s">
        <v>36</v>
      </c>
      <c r="D5710" s="19" t="s">
        <v>36</v>
      </c>
      <c r="E5710" s="19" t="s">
        <v>36</v>
      </c>
      <c r="F5710" s="19" t="s">
        <v>36</v>
      </c>
      <c r="G5710" s="15" t="s">
        <v>36</v>
      </c>
      <c r="H5710" s="14" t="s">
        <v>36</v>
      </c>
      <c r="I5710" s="18" t="s">
        <v>36</v>
      </c>
      <c r="J5710" s="12" t="s">
        <v>36</v>
      </c>
      <c r="K5710" s="13" t="s">
        <v>36</v>
      </c>
      <c r="L5710" s="15" t="s">
        <v>36</v>
      </c>
      <c r="M5710" s="12" t="s">
        <v>36</v>
      </c>
      <c r="N5710" s="12" t="s">
        <v>36</v>
      </c>
      <c r="O5710" s="17" t="s">
        <v>36</v>
      </c>
      <c r="P5710" s="12" t="s">
        <v>36</v>
      </c>
      <c r="Q5710" s="12" t="s">
        <v>36</v>
      </c>
      <c r="R5710" s="12" t="s">
        <v>36</v>
      </c>
      <c r="S5710" s="12" t="s">
        <v>36</v>
      </c>
      <c r="T5710" s="12" t="s">
        <v>26658</v>
      </c>
      <c r="U5710" s="12" t="s">
        <v>63</v>
      </c>
      <c r="V5710" s="12" t="s">
        <v>64</v>
      </c>
      <c r="W5710" s="12" t="s">
        <v>26659</v>
      </c>
      <c r="X5710" s="16" t="s">
        <v>26660</v>
      </c>
      <c r="Y5710" s="15" t="s">
        <v>42</v>
      </c>
      <c r="Z5710" s="14" t="s">
        <v>36</v>
      </c>
      <c r="AA5710" s="14" t="s">
        <v>36</v>
      </c>
      <c r="AB5710" s="12" t="s">
        <v>43</v>
      </c>
      <c r="AC5710" s="12" t="s">
        <v>26661</v>
      </c>
      <c r="AD5710" s="13">
        <v>43081</v>
      </c>
      <c r="AE5710" s="12" t="s">
        <v>68</v>
      </c>
      <c r="AF5710" s="12" t="s">
        <v>1636</v>
      </c>
      <c r="AG5710" s="12" t="s">
        <v>652</v>
      </c>
      <c r="AH5710" s="1">
        <f>HYPERLINK("https://my.pitchbook.com?c=127430-11T","View Company Online")</f>
      </c>
    </row>
    <row r="5711">
      <c r="A5711" s="3" t="s">
        <v>26662</v>
      </c>
      <c r="B5711" s="3" t="s">
        <v>16834</v>
      </c>
      <c r="C5711" s="5" t="s">
        <v>36</v>
      </c>
      <c r="D5711" s="5">
        <v>33</v>
      </c>
      <c r="E5711" s="5">
        <v>14</v>
      </c>
      <c r="F5711" s="5">
        <v>34</v>
      </c>
      <c r="G5711" s="6" t="s">
        <v>36</v>
      </c>
      <c r="H5711" s="4">
        <v>19.6</v>
      </c>
      <c r="I5711" s="7">
        <v>35.59</v>
      </c>
      <c r="J5711" s="3" t="s">
        <v>521</v>
      </c>
      <c r="K5711" s="9">
        <v>43046</v>
      </c>
      <c r="L5711" s="6" t="s">
        <v>36</v>
      </c>
      <c r="M5711" s="3" t="s">
        <v>36</v>
      </c>
      <c r="N5711" s="3" t="s">
        <v>36</v>
      </c>
      <c r="O5711" s="8" t="s">
        <v>36</v>
      </c>
      <c r="P5711" s="3" t="s">
        <v>36</v>
      </c>
      <c r="Q5711" s="3" t="s">
        <v>36</v>
      </c>
      <c r="R5711" s="3" t="s">
        <v>36</v>
      </c>
      <c r="S5711" s="3" t="s">
        <v>36</v>
      </c>
      <c r="T5711" s="3" t="s">
        <v>596</v>
      </c>
      <c r="U5711" s="3" t="s">
        <v>366</v>
      </c>
      <c r="V5711" s="3" t="s">
        <v>367</v>
      </c>
      <c r="W5711" s="3" t="s">
        <v>16835</v>
      </c>
      <c r="X5711" s="10" t="s">
        <v>26663</v>
      </c>
      <c r="Y5711" s="6" t="s">
        <v>192</v>
      </c>
      <c r="Z5711" s="4">
        <v>8.27</v>
      </c>
      <c r="AA5711" s="4">
        <v>23.24</v>
      </c>
      <c r="AB5711" s="3" t="s">
        <v>56</v>
      </c>
      <c r="AC5711" s="3" t="s">
        <v>16837</v>
      </c>
      <c r="AD5711" s="9">
        <v>43081</v>
      </c>
      <c r="AE5711" s="3" t="s">
        <v>600</v>
      </c>
      <c r="AF5711" s="3" t="s">
        <v>7379</v>
      </c>
      <c r="AG5711" s="3" t="s">
        <v>16838</v>
      </c>
      <c r="AH5711" s="11">
        <f>HYPERLINK("https://my.pitchbook.com?c=109703-53T","View Company Online")</f>
      </c>
    </row>
    <row r="5712">
      <c r="A5712" s="12" t="s">
        <v>26664</v>
      </c>
      <c r="B5712" s="12" t="s">
        <v>26665</v>
      </c>
      <c r="C5712" s="19" t="s">
        <v>36</v>
      </c>
      <c r="D5712" s="19" t="s">
        <v>36</v>
      </c>
      <c r="E5712" s="19" t="s">
        <v>36</v>
      </c>
      <c r="F5712" s="19" t="s">
        <v>36</v>
      </c>
      <c r="G5712" s="15" t="s">
        <v>36</v>
      </c>
      <c r="H5712" s="14" t="s">
        <v>36</v>
      </c>
      <c r="I5712" s="18" t="s">
        <v>36</v>
      </c>
      <c r="J5712" s="12" t="s">
        <v>36</v>
      </c>
      <c r="K5712" s="13" t="s">
        <v>36</v>
      </c>
      <c r="L5712" s="15" t="s">
        <v>1279</v>
      </c>
      <c r="M5712" s="12" t="s">
        <v>36</v>
      </c>
      <c r="N5712" s="12" t="s">
        <v>1279</v>
      </c>
      <c r="O5712" s="17" t="s">
        <v>36</v>
      </c>
      <c r="P5712" s="12" t="s">
        <v>36</v>
      </c>
      <c r="Q5712" s="12" t="s">
        <v>36</v>
      </c>
      <c r="R5712" s="12" t="s">
        <v>36</v>
      </c>
      <c r="S5712" s="12" t="s">
        <v>36</v>
      </c>
      <c r="T5712" s="12" t="s">
        <v>522</v>
      </c>
      <c r="U5712" s="12" t="s">
        <v>38</v>
      </c>
      <c r="V5712" s="12" t="s">
        <v>39</v>
      </c>
      <c r="W5712" s="12" t="s">
        <v>26666</v>
      </c>
      <c r="X5712" s="16" t="s">
        <v>8727</v>
      </c>
      <c r="Y5712" s="15" t="s">
        <v>108</v>
      </c>
      <c r="Z5712" s="14">
        <v>6</v>
      </c>
      <c r="AA5712" s="14" t="s">
        <v>36</v>
      </c>
      <c r="AB5712" s="12" t="s">
        <v>56</v>
      </c>
      <c r="AC5712" s="12" t="s">
        <v>26667</v>
      </c>
      <c r="AD5712" s="13">
        <v>43080</v>
      </c>
      <c r="AE5712" s="12" t="s">
        <v>110</v>
      </c>
      <c r="AF5712" s="12" t="s">
        <v>1842</v>
      </c>
      <c r="AG5712" s="12" t="s">
        <v>81</v>
      </c>
      <c r="AH5712" s="1">
        <f>HYPERLINK("https://my.pitchbook.com?c=115189-39T","View Company Online")</f>
      </c>
    </row>
    <row r="5713">
      <c r="A5713" s="3" t="s">
        <v>26668</v>
      </c>
      <c r="B5713" s="3" t="s">
        <v>26669</v>
      </c>
      <c r="C5713" s="5">
        <v>2</v>
      </c>
      <c r="D5713" s="5">
        <v>5</v>
      </c>
      <c r="E5713" s="5">
        <v>8</v>
      </c>
      <c r="F5713" s="5">
        <v>20</v>
      </c>
      <c r="G5713" s="6" t="s">
        <v>36</v>
      </c>
      <c r="H5713" s="4" t="s">
        <v>36</v>
      </c>
      <c r="I5713" s="7" t="s">
        <v>36</v>
      </c>
      <c r="J5713" s="3" t="s">
        <v>36</v>
      </c>
      <c r="K5713" s="9" t="s">
        <v>36</v>
      </c>
      <c r="L5713" s="6" t="s">
        <v>36</v>
      </c>
      <c r="M5713" s="3" t="s">
        <v>36</v>
      </c>
      <c r="N5713" s="3" t="s">
        <v>36</v>
      </c>
      <c r="O5713" s="8" t="s">
        <v>36</v>
      </c>
      <c r="P5713" s="3" t="s">
        <v>36</v>
      </c>
      <c r="Q5713" s="3" t="s">
        <v>36</v>
      </c>
      <c r="R5713" s="3" t="s">
        <v>36</v>
      </c>
      <c r="S5713" s="3" t="s">
        <v>36</v>
      </c>
      <c r="T5713" s="3" t="s">
        <v>17704</v>
      </c>
      <c r="U5713" s="3" t="s">
        <v>833</v>
      </c>
      <c r="V5713" s="3" t="s">
        <v>64</v>
      </c>
      <c r="W5713" s="3" t="s">
        <v>26670</v>
      </c>
      <c r="X5713" s="10" t="s">
        <v>26671</v>
      </c>
      <c r="Y5713" s="6" t="s">
        <v>55</v>
      </c>
      <c r="Z5713" s="4" t="s">
        <v>36</v>
      </c>
      <c r="AA5713" s="4" t="s">
        <v>36</v>
      </c>
      <c r="AB5713" s="3" t="s">
        <v>43</v>
      </c>
      <c r="AC5713" s="3" t="s">
        <v>26672</v>
      </c>
      <c r="AD5713" s="9">
        <v>43080</v>
      </c>
      <c r="AE5713" s="3" t="s">
        <v>1069</v>
      </c>
      <c r="AF5713" s="3" t="s">
        <v>1636</v>
      </c>
      <c r="AG5713" s="3" t="s">
        <v>741</v>
      </c>
      <c r="AH5713" s="11">
        <f>HYPERLINK("https://my.pitchbook.com?c=101394-01T","View Company Online")</f>
      </c>
    </row>
    <row r="5714">
      <c r="A5714" s="12" t="s">
        <v>26673</v>
      </c>
      <c r="B5714" s="12" t="s">
        <v>26674</v>
      </c>
      <c r="C5714" s="19" t="s">
        <v>36</v>
      </c>
      <c r="D5714" s="19" t="s">
        <v>36</v>
      </c>
      <c r="E5714" s="19" t="s">
        <v>36</v>
      </c>
      <c r="F5714" s="19" t="s">
        <v>36</v>
      </c>
      <c r="G5714" s="15" t="s">
        <v>36</v>
      </c>
      <c r="H5714" s="14">
        <v>1246.28</v>
      </c>
      <c r="I5714" s="18">
        <v>18.34</v>
      </c>
      <c r="J5714" s="12" t="s">
        <v>521</v>
      </c>
      <c r="K5714" s="13" t="s">
        <v>36</v>
      </c>
      <c r="L5714" s="15" t="s">
        <v>36</v>
      </c>
      <c r="M5714" s="12" t="s">
        <v>36</v>
      </c>
      <c r="N5714" s="12" t="s">
        <v>36</v>
      </c>
      <c r="O5714" s="17" t="s">
        <v>36</v>
      </c>
      <c r="P5714" s="12" t="s">
        <v>36</v>
      </c>
      <c r="Q5714" s="12" t="s">
        <v>36</v>
      </c>
      <c r="R5714" s="12" t="s">
        <v>36</v>
      </c>
      <c r="S5714" s="12" t="s">
        <v>36</v>
      </c>
      <c r="T5714" s="12" t="s">
        <v>647</v>
      </c>
      <c r="U5714" s="12" t="s">
        <v>648</v>
      </c>
      <c r="V5714" s="12" t="s">
        <v>64</v>
      </c>
      <c r="W5714" s="12" t="s">
        <v>26675</v>
      </c>
      <c r="X5714" s="16" t="s">
        <v>5390</v>
      </c>
      <c r="Y5714" s="15" t="s">
        <v>42</v>
      </c>
      <c r="Z5714" s="14">
        <v>2.97</v>
      </c>
      <c r="AA5714" s="14">
        <v>16.22</v>
      </c>
      <c r="AB5714" s="12" t="s">
        <v>43</v>
      </c>
      <c r="AC5714" s="12" t="s">
        <v>26676</v>
      </c>
      <c r="AD5714" s="13">
        <v>43078</v>
      </c>
      <c r="AE5714" s="12" t="s">
        <v>651</v>
      </c>
      <c r="AF5714" s="12" t="s">
        <v>36</v>
      </c>
      <c r="AG5714" s="12" t="s">
        <v>81</v>
      </c>
      <c r="AH5714" s="1">
        <f>HYPERLINK("https://my.pitchbook.com?c=209374-48T","View Company Online")</f>
      </c>
    </row>
    <row r="5715">
      <c r="A5715" s="3" t="s">
        <v>26677</v>
      </c>
      <c r="B5715" s="3" t="s">
        <v>14629</v>
      </c>
      <c r="C5715" s="5" t="s">
        <v>36</v>
      </c>
      <c r="D5715" s="5">
        <v>7</v>
      </c>
      <c r="E5715" s="5">
        <v>3</v>
      </c>
      <c r="F5715" s="5">
        <v>10</v>
      </c>
      <c r="G5715" s="6" t="s">
        <v>36</v>
      </c>
      <c r="H5715" s="4">
        <v>5.5</v>
      </c>
      <c r="I5715" s="7">
        <v>36.11</v>
      </c>
      <c r="J5715" s="3" t="s">
        <v>521</v>
      </c>
      <c r="K5715" s="9" t="s">
        <v>36</v>
      </c>
      <c r="L5715" s="6" t="s">
        <v>36</v>
      </c>
      <c r="M5715" s="3" t="s">
        <v>36</v>
      </c>
      <c r="N5715" s="3" t="s">
        <v>36</v>
      </c>
      <c r="O5715" s="8" t="s">
        <v>36</v>
      </c>
      <c r="P5715" s="3" t="s">
        <v>36</v>
      </c>
      <c r="Q5715" s="3" t="s">
        <v>36</v>
      </c>
      <c r="R5715" s="3" t="s">
        <v>36</v>
      </c>
      <c r="S5715" s="3" t="s">
        <v>36</v>
      </c>
      <c r="T5715" s="3" t="s">
        <v>14630</v>
      </c>
      <c r="U5715" s="3" t="s">
        <v>318</v>
      </c>
      <c r="V5715" s="3" t="s">
        <v>39</v>
      </c>
      <c r="W5715" s="3" t="s">
        <v>14631</v>
      </c>
      <c r="X5715" s="10" t="s">
        <v>980</v>
      </c>
      <c r="Y5715" s="6" t="s">
        <v>42</v>
      </c>
      <c r="Z5715" s="4">
        <v>1.31</v>
      </c>
      <c r="AA5715" s="4">
        <v>3.63</v>
      </c>
      <c r="AB5715" s="3" t="s">
        <v>43</v>
      </c>
      <c r="AC5715" s="3" t="s">
        <v>14632</v>
      </c>
      <c r="AD5715" s="9">
        <v>43076</v>
      </c>
      <c r="AE5715" s="3" t="s">
        <v>763</v>
      </c>
      <c r="AF5715" s="3" t="s">
        <v>14633</v>
      </c>
      <c r="AG5715" s="3" t="s">
        <v>47</v>
      </c>
      <c r="AH5715" s="11">
        <f>HYPERLINK("https://my.pitchbook.com?c=189184-42T","View Company Online")</f>
      </c>
    </row>
    <row r="5716">
      <c r="A5716" s="12" t="s">
        <v>26678</v>
      </c>
      <c r="B5716" s="12" t="s">
        <v>8460</v>
      </c>
      <c r="C5716" s="19" t="s">
        <v>36</v>
      </c>
      <c r="D5716" s="19" t="s">
        <v>36</v>
      </c>
      <c r="E5716" s="19" t="s">
        <v>36</v>
      </c>
      <c r="F5716" s="19" t="s">
        <v>36</v>
      </c>
      <c r="G5716" s="15" t="s">
        <v>326</v>
      </c>
      <c r="H5716" s="14">
        <v>4673.55</v>
      </c>
      <c r="I5716" s="18">
        <v>17.85</v>
      </c>
      <c r="J5716" s="12" t="s">
        <v>521</v>
      </c>
      <c r="K5716" s="13" t="s">
        <v>36</v>
      </c>
      <c r="L5716" s="15" t="s">
        <v>36</v>
      </c>
      <c r="M5716" s="12" t="s">
        <v>36</v>
      </c>
      <c r="N5716" s="12" t="s">
        <v>36</v>
      </c>
      <c r="O5716" s="17" t="s">
        <v>36</v>
      </c>
      <c r="P5716" s="12" t="s">
        <v>36</v>
      </c>
      <c r="Q5716" s="12" t="s">
        <v>36</v>
      </c>
      <c r="R5716" s="12" t="s">
        <v>36</v>
      </c>
      <c r="S5716" s="12" t="s">
        <v>36</v>
      </c>
      <c r="T5716" s="12" t="s">
        <v>8461</v>
      </c>
      <c r="U5716" s="12" t="s">
        <v>74</v>
      </c>
      <c r="V5716" s="12" t="s">
        <v>75</v>
      </c>
      <c r="W5716" s="12" t="s">
        <v>8462</v>
      </c>
      <c r="X5716" s="16" t="s">
        <v>26679</v>
      </c>
      <c r="Y5716" s="15" t="s">
        <v>108</v>
      </c>
      <c r="Z5716" s="14">
        <v>0.59</v>
      </c>
      <c r="AA5716" s="14">
        <v>3.3</v>
      </c>
      <c r="AB5716" s="12" t="s">
        <v>43</v>
      </c>
      <c r="AC5716" s="12" t="s">
        <v>8464</v>
      </c>
      <c r="AD5716" s="13">
        <v>43076</v>
      </c>
      <c r="AE5716" s="12" t="s">
        <v>975</v>
      </c>
      <c r="AF5716" s="12" t="s">
        <v>8465</v>
      </c>
      <c r="AG5716" s="12" t="s">
        <v>81</v>
      </c>
      <c r="AH5716" s="1">
        <f>HYPERLINK("https://my.pitchbook.com?c=193545-64T","View Company Online")</f>
      </c>
    </row>
    <row r="5717">
      <c r="A5717" s="3" t="s">
        <v>26680</v>
      </c>
      <c r="B5717" s="3" t="s">
        <v>26681</v>
      </c>
      <c r="C5717" s="5" t="s">
        <v>36</v>
      </c>
      <c r="D5717" s="5" t="s">
        <v>36</v>
      </c>
      <c r="E5717" s="5" t="s">
        <v>36</v>
      </c>
      <c r="F5717" s="5" t="s">
        <v>36</v>
      </c>
      <c r="G5717" s="6" t="s">
        <v>326</v>
      </c>
      <c r="H5717" s="4">
        <v>607.11</v>
      </c>
      <c r="I5717" s="7">
        <v>30.34</v>
      </c>
      <c r="J5717" s="3" t="s">
        <v>521</v>
      </c>
      <c r="K5717" s="9">
        <v>43009</v>
      </c>
      <c r="L5717" s="6" t="s">
        <v>122</v>
      </c>
      <c r="M5717" s="3" t="s">
        <v>36</v>
      </c>
      <c r="N5717" s="3" t="s">
        <v>122</v>
      </c>
      <c r="O5717" s="8" t="s">
        <v>36</v>
      </c>
      <c r="P5717" s="3" t="s">
        <v>36</v>
      </c>
      <c r="Q5717" s="3" t="s">
        <v>36</v>
      </c>
      <c r="R5717" s="3" t="s">
        <v>36</v>
      </c>
      <c r="S5717" s="3" t="s">
        <v>36</v>
      </c>
      <c r="T5717" s="3" t="s">
        <v>3315</v>
      </c>
      <c r="U5717" s="3" t="s">
        <v>74</v>
      </c>
      <c r="V5717" s="3" t="s">
        <v>75</v>
      </c>
      <c r="W5717" s="3" t="s">
        <v>26682</v>
      </c>
      <c r="X5717" s="10" t="s">
        <v>26683</v>
      </c>
      <c r="Y5717" s="6" t="s">
        <v>108</v>
      </c>
      <c r="Z5717" s="4">
        <v>8.25</v>
      </c>
      <c r="AA5717" s="4">
        <v>13.6</v>
      </c>
      <c r="AB5717" s="3" t="s">
        <v>43</v>
      </c>
      <c r="AC5717" s="3" t="s">
        <v>26684</v>
      </c>
      <c r="AD5717" s="9">
        <v>43075</v>
      </c>
      <c r="AE5717" s="3" t="s">
        <v>2237</v>
      </c>
      <c r="AF5717" s="3" t="s">
        <v>176</v>
      </c>
      <c r="AG5717" s="3" t="s">
        <v>81</v>
      </c>
      <c r="AH5717" s="11">
        <f>HYPERLINK("https://my.pitchbook.com?c=111182-68T","View Company Online")</f>
      </c>
    </row>
    <row r="5718">
      <c r="A5718" s="12" t="s">
        <v>26685</v>
      </c>
      <c r="B5718" s="12" t="s">
        <v>23470</v>
      </c>
      <c r="C5718" s="19" t="s">
        <v>36</v>
      </c>
      <c r="D5718" s="19" t="s">
        <v>36</v>
      </c>
      <c r="E5718" s="19" t="s">
        <v>36</v>
      </c>
      <c r="F5718" s="19" t="s">
        <v>36</v>
      </c>
      <c r="G5718" s="15" t="s">
        <v>326</v>
      </c>
      <c r="H5718" s="14">
        <v>69.64</v>
      </c>
      <c r="I5718" s="18">
        <v>28.98</v>
      </c>
      <c r="J5718" s="12" t="s">
        <v>521</v>
      </c>
      <c r="K5718" s="13" t="s">
        <v>36</v>
      </c>
      <c r="L5718" s="15" t="s">
        <v>36</v>
      </c>
      <c r="M5718" s="12" t="s">
        <v>36</v>
      </c>
      <c r="N5718" s="12" t="s">
        <v>36</v>
      </c>
      <c r="O5718" s="17" t="s">
        <v>36</v>
      </c>
      <c r="P5718" s="12" t="s">
        <v>36</v>
      </c>
      <c r="Q5718" s="12" t="s">
        <v>36</v>
      </c>
      <c r="R5718" s="12" t="s">
        <v>36</v>
      </c>
      <c r="S5718" s="12" t="s">
        <v>36</v>
      </c>
      <c r="T5718" s="12" t="s">
        <v>10467</v>
      </c>
      <c r="U5718" s="12" t="s">
        <v>423</v>
      </c>
      <c r="V5718" s="12" t="s">
        <v>64</v>
      </c>
      <c r="W5718" s="12" t="s">
        <v>23471</v>
      </c>
      <c r="X5718" s="16" t="s">
        <v>26686</v>
      </c>
      <c r="Y5718" s="15" t="s">
        <v>108</v>
      </c>
      <c r="Z5718" s="14">
        <v>3.31</v>
      </c>
      <c r="AA5718" s="14">
        <v>11.41</v>
      </c>
      <c r="AB5718" s="12" t="s">
        <v>56</v>
      </c>
      <c r="AC5718" s="12" t="s">
        <v>23473</v>
      </c>
      <c r="AD5718" s="13">
        <v>43075</v>
      </c>
      <c r="AE5718" s="12" t="s">
        <v>427</v>
      </c>
      <c r="AF5718" s="12" t="s">
        <v>733</v>
      </c>
      <c r="AG5718" s="12" t="s">
        <v>81</v>
      </c>
      <c r="AH5718" s="1">
        <f>HYPERLINK("https://my.pitchbook.com?c=245385-01T","View Company Online")</f>
      </c>
    </row>
    <row r="5719">
      <c r="A5719" s="3" t="s">
        <v>26687</v>
      </c>
      <c r="B5719" s="3" t="s">
        <v>2825</v>
      </c>
      <c r="C5719" s="5" t="s">
        <v>36</v>
      </c>
      <c r="D5719" s="5" t="s">
        <v>36</v>
      </c>
      <c r="E5719" s="5" t="s">
        <v>36</v>
      </c>
      <c r="F5719" s="5" t="s">
        <v>36</v>
      </c>
      <c r="G5719" s="6" t="s">
        <v>326</v>
      </c>
      <c r="H5719" s="4">
        <v>9.57</v>
      </c>
      <c r="I5719" s="7">
        <v>31.86</v>
      </c>
      <c r="J5719" s="3" t="s">
        <v>521</v>
      </c>
      <c r="K5719" s="9">
        <v>43058</v>
      </c>
      <c r="L5719" s="6" t="s">
        <v>36</v>
      </c>
      <c r="M5719" s="3" t="s">
        <v>36</v>
      </c>
      <c r="N5719" s="3" t="s">
        <v>36</v>
      </c>
      <c r="O5719" s="8" t="s">
        <v>36</v>
      </c>
      <c r="P5719" s="3" t="s">
        <v>36</v>
      </c>
      <c r="Q5719" s="3" t="s">
        <v>36</v>
      </c>
      <c r="R5719" s="3" t="s">
        <v>36</v>
      </c>
      <c r="S5719" s="3" t="s">
        <v>1588</v>
      </c>
      <c r="T5719" s="3" t="s">
        <v>2826</v>
      </c>
      <c r="U5719" s="3" t="s">
        <v>38</v>
      </c>
      <c r="V5719" s="3" t="s">
        <v>39</v>
      </c>
      <c r="W5719" s="3" t="s">
        <v>2827</v>
      </c>
      <c r="X5719" s="10" t="s">
        <v>26688</v>
      </c>
      <c r="Y5719" s="6" t="s">
        <v>55</v>
      </c>
      <c r="Z5719" s="4">
        <v>2.12</v>
      </c>
      <c r="AA5719" s="4">
        <v>6.65</v>
      </c>
      <c r="AB5719" s="3" t="s">
        <v>43</v>
      </c>
      <c r="AC5719" s="3" t="s">
        <v>2829</v>
      </c>
      <c r="AD5719" s="9">
        <v>43073</v>
      </c>
      <c r="AE5719" s="3" t="s">
        <v>1200</v>
      </c>
      <c r="AF5719" s="3" t="s">
        <v>2830</v>
      </c>
      <c r="AG5719" s="3" t="s">
        <v>2831</v>
      </c>
      <c r="AH5719" s="11">
        <f>HYPERLINK("https://my.pitchbook.com?c=109471-06T","View Company Online")</f>
      </c>
    </row>
    <row r="5720">
      <c r="A5720" s="12" t="s">
        <v>26689</v>
      </c>
      <c r="B5720" s="12" t="s">
        <v>8065</v>
      </c>
      <c r="C5720" s="19" t="s">
        <v>36</v>
      </c>
      <c r="D5720" s="19" t="s">
        <v>36</v>
      </c>
      <c r="E5720" s="19" t="s">
        <v>36</v>
      </c>
      <c r="F5720" s="19" t="s">
        <v>36</v>
      </c>
      <c r="G5720" s="15" t="s">
        <v>326</v>
      </c>
      <c r="H5720" s="14">
        <v>202.04</v>
      </c>
      <c r="I5720" s="18">
        <v>33.49</v>
      </c>
      <c r="J5720" s="12" t="s">
        <v>521</v>
      </c>
      <c r="K5720" s="13">
        <v>43040</v>
      </c>
      <c r="L5720" s="15" t="s">
        <v>122</v>
      </c>
      <c r="M5720" s="12" t="s">
        <v>36</v>
      </c>
      <c r="N5720" s="12" t="s">
        <v>122</v>
      </c>
      <c r="O5720" s="17" t="s">
        <v>36</v>
      </c>
      <c r="P5720" s="12" t="s">
        <v>36</v>
      </c>
      <c r="Q5720" s="12" t="s">
        <v>36</v>
      </c>
      <c r="R5720" s="12" t="s">
        <v>36</v>
      </c>
      <c r="S5720" s="12" t="s">
        <v>36</v>
      </c>
      <c r="T5720" s="12" t="s">
        <v>522</v>
      </c>
      <c r="U5720" s="12" t="s">
        <v>38</v>
      </c>
      <c r="V5720" s="12" t="s">
        <v>39</v>
      </c>
      <c r="W5720" s="12" t="s">
        <v>8066</v>
      </c>
      <c r="X5720" s="16" t="s">
        <v>26690</v>
      </c>
      <c r="Y5720" s="15" t="s">
        <v>42</v>
      </c>
      <c r="Z5720" s="14">
        <v>4.12</v>
      </c>
      <c r="AA5720" s="14">
        <v>12.31</v>
      </c>
      <c r="AB5720" s="12" t="s">
        <v>56</v>
      </c>
      <c r="AC5720" s="12" t="s">
        <v>8068</v>
      </c>
      <c r="AD5720" s="13">
        <v>43073</v>
      </c>
      <c r="AE5720" s="12" t="s">
        <v>110</v>
      </c>
      <c r="AF5720" s="12" t="s">
        <v>6347</v>
      </c>
      <c r="AG5720" s="12" t="s">
        <v>81</v>
      </c>
      <c r="AH5720" s="1">
        <f>HYPERLINK("https://my.pitchbook.com?c=102124-18T","View Company Online")</f>
      </c>
    </row>
    <row r="5721">
      <c r="A5721" s="3" t="s">
        <v>26691</v>
      </c>
      <c r="B5721" s="3" t="s">
        <v>26692</v>
      </c>
      <c r="C5721" s="5" t="s">
        <v>36</v>
      </c>
      <c r="D5721" s="5">
        <v>1</v>
      </c>
      <c r="E5721" s="5">
        <v>1</v>
      </c>
      <c r="F5721" s="5">
        <v>4</v>
      </c>
      <c r="G5721" s="6" t="s">
        <v>36</v>
      </c>
      <c r="H5721" s="4" t="s">
        <v>36</v>
      </c>
      <c r="I5721" s="7" t="s">
        <v>36</v>
      </c>
      <c r="J5721" s="3" t="s">
        <v>36</v>
      </c>
      <c r="K5721" s="9" t="s">
        <v>36</v>
      </c>
      <c r="L5721" s="6" t="s">
        <v>36</v>
      </c>
      <c r="M5721" s="3" t="s">
        <v>36</v>
      </c>
      <c r="N5721" s="3" t="s">
        <v>36</v>
      </c>
      <c r="O5721" s="8" t="s">
        <v>36</v>
      </c>
      <c r="P5721" s="3" t="s">
        <v>36</v>
      </c>
      <c r="Q5721" s="3" t="s">
        <v>36</v>
      </c>
      <c r="R5721" s="3" t="s">
        <v>36</v>
      </c>
      <c r="S5721" s="3" t="s">
        <v>36</v>
      </c>
      <c r="T5721" s="3" t="s">
        <v>26693</v>
      </c>
      <c r="U5721" s="3" t="s">
        <v>728</v>
      </c>
      <c r="V5721" s="3" t="s">
        <v>64</v>
      </c>
      <c r="W5721" s="3" t="s">
        <v>26694</v>
      </c>
      <c r="X5721" s="10" t="s">
        <v>26695</v>
      </c>
      <c r="Y5721" s="6" t="s">
        <v>42</v>
      </c>
      <c r="Z5721" s="4" t="s">
        <v>36</v>
      </c>
      <c r="AA5721" s="4" t="s">
        <v>36</v>
      </c>
      <c r="AB5721" s="3" t="s">
        <v>43</v>
      </c>
      <c r="AC5721" s="3" t="s">
        <v>26696</v>
      </c>
      <c r="AD5721" s="9">
        <v>43073</v>
      </c>
      <c r="AE5721" s="3" t="s">
        <v>2154</v>
      </c>
      <c r="AF5721" s="3" t="s">
        <v>36</v>
      </c>
      <c r="AG5721" s="3" t="s">
        <v>47</v>
      </c>
      <c r="AH5721" s="11">
        <f>HYPERLINK("https://my.pitchbook.com?c=127454-50T","View Company Online")</f>
      </c>
    </row>
    <row r="5722">
      <c r="A5722" s="12" t="s">
        <v>26697</v>
      </c>
      <c r="B5722" s="12" t="s">
        <v>26698</v>
      </c>
      <c r="C5722" s="19" t="s">
        <v>36</v>
      </c>
      <c r="D5722" s="19" t="s">
        <v>36</v>
      </c>
      <c r="E5722" s="19" t="s">
        <v>36</v>
      </c>
      <c r="F5722" s="19" t="s">
        <v>36</v>
      </c>
      <c r="G5722" s="15" t="s">
        <v>36</v>
      </c>
      <c r="H5722" s="14" t="s">
        <v>36</v>
      </c>
      <c r="I5722" s="18" t="s">
        <v>36</v>
      </c>
      <c r="J5722" s="12" t="s">
        <v>36</v>
      </c>
      <c r="K5722" s="13" t="s">
        <v>36</v>
      </c>
      <c r="L5722" s="15" t="s">
        <v>36</v>
      </c>
      <c r="M5722" s="12" t="s">
        <v>36</v>
      </c>
      <c r="N5722" s="12" t="s">
        <v>36</v>
      </c>
      <c r="O5722" s="17" t="s">
        <v>36</v>
      </c>
      <c r="P5722" s="12" t="s">
        <v>36</v>
      </c>
      <c r="Q5722" s="12" t="s">
        <v>36</v>
      </c>
      <c r="R5722" s="12" t="s">
        <v>36</v>
      </c>
      <c r="S5722" s="12" t="s">
        <v>36</v>
      </c>
      <c r="T5722" s="12" t="s">
        <v>1048</v>
      </c>
      <c r="U5722" s="12" t="s">
        <v>423</v>
      </c>
      <c r="V5722" s="12" t="s">
        <v>64</v>
      </c>
      <c r="W5722" s="12" t="s">
        <v>26699</v>
      </c>
      <c r="X5722" s="16" t="s">
        <v>12909</v>
      </c>
      <c r="Y5722" s="15" t="s">
        <v>42</v>
      </c>
      <c r="Z5722" s="14" t="s">
        <v>36</v>
      </c>
      <c r="AA5722" s="14" t="s">
        <v>36</v>
      </c>
      <c r="AB5722" s="12" t="s">
        <v>43</v>
      </c>
      <c r="AC5722" s="12" t="s">
        <v>26700</v>
      </c>
      <c r="AD5722" s="13">
        <v>43070</v>
      </c>
      <c r="AE5722" s="12" t="s">
        <v>1051</v>
      </c>
      <c r="AF5722" s="12" t="s">
        <v>90</v>
      </c>
      <c r="AG5722" s="12" t="s">
        <v>1078</v>
      </c>
      <c r="AH5722" s="1">
        <f>HYPERLINK("https://my.pitchbook.com?c=95361-58T","View Company Online")</f>
      </c>
    </row>
    <row r="5723">
      <c r="A5723" s="3" t="s">
        <v>26701</v>
      </c>
      <c r="B5723" s="3" t="s">
        <v>16974</v>
      </c>
      <c r="C5723" s="5" t="s">
        <v>36</v>
      </c>
      <c r="D5723" s="5" t="s">
        <v>36</v>
      </c>
      <c r="E5723" s="5" t="s">
        <v>36</v>
      </c>
      <c r="F5723" s="5" t="s">
        <v>36</v>
      </c>
      <c r="G5723" s="6" t="s">
        <v>36</v>
      </c>
      <c r="H5723" s="4">
        <v>50.8</v>
      </c>
      <c r="I5723" s="7">
        <v>38.72</v>
      </c>
      <c r="J5723" s="3" t="s">
        <v>521</v>
      </c>
      <c r="K5723" s="9" t="s">
        <v>36</v>
      </c>
      <c r="L5723" s="6" t="s">
        <v>36</v>
      </c>
      <c r="M5723" s="3" t="s">
        <v>36</v>
      </c>
      <c r="N5723" s="3" t="s">
        <v>36</v>
      </c>
      <c r="O5723" s="8" t="s">
        <v>36</v>
      </c>
      <c r="P5723" s="3" t="s">
        <v>36</v>
      </c>
      <c r="Q5723" s="3" t="s">
        <v>36</v>
      </c>
      <c r="R5723" s="3" t="s">
        <v>36</v>
      </c>
      <c r="S5723" s="3" t="s">
        <v>36</v>
      </c>
      <c r="T5723" s="3" t="s">
        <v>16975</v>
      </c>
      <c r="U5723" s="3" t="s">
        <v>96</v>
      </c>
      <c r="V5723" s="3" t="s">
        <v>52</v>
      </c>
      <c r="W5723" s="3" t="s">
        <v>16976</v>
      </c>
      <c r="X5723" s="10" t="s">
        <v>26702</v>
      </c>
      <c r="Y5723" s="6" t="s">
        <v>42</v>
      </c>
      <c r="Z5723" s="4">
        <v>1</v>
      </c>
      <c r="AA5723" s="4">
        <v>2.58</v>
      </c>
      <c r="AB5723" s="3" t="s">
        <v>43</v>
      </c>
      <c r="AC5723" s="3" t="s">
        <v>16978</v>
      </c>
      <c r="AD5723" s="9">
        <v>43070</v>
      </c>
      <c r="AE5723" s="3" t="s">
        <v>12392</v>
      </c>
      <c r="AF5723" s="3" t="s">
        <v>571</v>
      </c>
      <c r="AG5723" s="3" t="s">
        <v>102</v>
      </c>
      <c r="AH5723" s="11">
        <f>HYPERLINK("https://my.pitchbook.com?c=204428-98T","View Company Online")</f>
      </c>
    </row>
    <row r="5724">
      <c r="A5724" s="12" t="s">
        <v>26703</v>
      </c>
      <c r="B5724" s="12" t="s">
        <v>20179</v>
      </c>
      <c r="C5724" s="19" t="s">
        <v>36</v>
      </c>
      <c r="D5724" s="19" t="s">
        <v>36</v>
      </c>
      <c r="E5724" s="19" t="s">
        <v>36</v>
      </c>
      <c r="F5724" s="19" t="s">
        <v>36</v>
      </c>
      <c r="G5724" s="15" t="s">
        <v>326</v>
      </c>
      <c r="H5724" s="14">
        <v>205.74</v>
      </c>
      <c r="I5724" s="18">
        <v>30.98</v>
      </c>
      <c r="J5724" s="12" t="s">
        <v>327</v>
      </c>
      <c r="K5724" s="13" t="s">
        <v>36</v>
      </c>
      <c r="L5724" s="15" t="s">
        <v>122</v>
      </c>
      <c r="M5724" s="12" t="s">
        <v>36</v>
      </c>
      <c r="N5724" s="12" t="s">
        <v>122</v>
      </c>
      <c r="O5724" s="17" t="s">
        <v>36</v>
      </c>
      <c r="P5724" s="12" t="s">
        <v>36</v>
      </c>
      <c r="Q5724" s="12" t="s">
        <v>36</v>
      </c>
      <c r="R5724" s="12" t="s">
        <v>36</v>
      </c>
      <c r="S5724" s="12" t="s">
        <v>20180</v>
      </c>
      <c r="T5724" s="12" t="s">
        <v>2490</v>
      </c>
      <c r="U5724" s="12" t="s">
        <v>318</v>
      </c>
      <c r="V5724" s="12" t="s">
        <v>39</v>
      </c>
      <c r="W5724" s="12" t="s">
        <v>20181</v>
      </c>
      <c r="X5724" s="16" t="s">
        <v>26704</v>
      </c>
      <c r="Y5724" s="15" t="s">
        <v>108</v>
      </c>
      <c r="Z5724" s="14">
        <v>1.76</v>
      </c>
      <c r="AA5724" s="14">
        <v>5.69</v>
      </c>
      <c r="AB5724" s="12" t="s">
        <v>43</v>
      </c>
      <c r="AC5724" s="12" t="s">
        <v>20183</v>
      </c>
      <c r="AD5724" s="13">
        <v>43070</v>
      </c>
      <c r="AE5724" s="12" t="s">
        <v>417</v>
      </c>
      <c r="AF5724" s="12" t="s">
        <v>6234</v>
      </c>
      <c r="AG5724" s="12" t="s">
        <v>8217</v>
      </c>
      <c r="AH5724" s="1">
        <f>HYPERLINK("https://my.pitchbook.com?c=126814-06T","View Company Online")</f>
      </c>
    </row>
    <row r="5725">
      <c r="A5725" s="3" t="s">
        <v>26705</v>
      </c>
      <c r="B5725" s="3" t="s">
        <v>20029</v>
      </c>
      <c r="C5725" s="5">
        <v>9</v>
      </c>
      <c r="D5725" s="5">
        <v>41</v>
      </c>
      <c r="E5725" s="5">
        <v>9</v>
      </c>
      <c r="F5725" s="5">
        <v>51</v>
      </c>
      <c r="G5725" s="6" t="s">
        <v>326</v>
      </c>
      <c r="H5725" s="4">
        <v>85.16</v>
      </c>
      <c r="I5725" s="7">
        <v>16.65</v>
      </c>
      <c r="J5725" s="3" t="s">
        <v>521</v>
      </c>
      <c r="K5725" s="9" t="s">
        <v>36</v>
      </c>
      <c r="L5725" s="6" t="s">
        <v>36</v>
      </c>
      <c r="M5725" s="3" t="s">
        <v>36</v>
      </c>
      <c r="N5725" s="3" t="s">
        <v>36</v>
      </c>
      <c r="O5725" s="8" t="s">
        <v>36</v>
      </c>
      <c r="P5725" s="3" t="s">
        <v>36</v>
      </c>
      <c r="Q5725" s="3" t="s">
        <v>36</v>
      </c>
      <c r="R5725" s="3" t="s">
        <v>36</v>
      </c>
      <c r="S5725" s="3" t="s">
        <v>36</v>
      </c>
      <c r="T5725" s="3" t="s">
        <v>20030</v>
      </c>
      <c r="U5725" s="3" t="s">
        <v>1082</v>
      </c>
      <c r="V5725" s="3" t="s">
        <v>378</v>
      </c>
      <c r="W5725" s="3" t="s">
        <v>20031</v>
      </c>
      <c r="X5725" s="10" t="s">
        <v>26706</v>
      </c>
      <c r="Y5725" s="6" t="s">
        <v>192</v>
      </c>
      <c r="Z5725" s="4">
        <v>0.47</v>
      </c>
      <c r="AA5725" s="4">
        <v>2.82</v>
      </c>
      <c r="AB5725" s="3" t="s">
        <v>56</v>
      </c>
      <c r="AC5725" s="3" t="s">
        <v>20033</v>
      </c>
      <c r="AD5725" s="9">
        <v>43070</v>
      </c>
      <c r="AE5725" s="3" t="s">
        <v>20034</v>
      </c>
      <c r="AF5725" s="3" t="s">
        <v>36</v>
      </c>
      <c r="AG5725" s="3" t="s">
        <v>741</v>
      </c>
      <c r="AH5725" s="11">
        <f>HYPERLINK("https://my.pitchbook.com?c=115507-45T","View Company Online")</f>
      </c>
    </row>
    <row r="5726">
      <c r="A5726" s="12" t="s">
        <v>26707</v>
      </c>
      <c r="B5726" s="12" t="s">
        <v>15773</v>
      </c>
      <c r="C5726" s="19" t="s">
        <v>36</v>
      </c>
      <c r="D5726" s="19" t="s">
        <v>36</v>
      </c>
      <c r="E5726" s="19" t="s">
        <v>36</v>
      </c>
      <c r="F5726" s="19" t="s">
        <v>36</v>
      </c>
      <c r="G5726" s="15" t="s">
        <v>36</v>
      </c>
      <c r="H5726" s="14">
        <v>84.33</v>
      </c>
      <c r="I5726" s="18">
        <v>18.8</v>
      </c>
      <c r="J5726" s="12" t="s">
        <v>521</v>
      </c>
      <c r="K5726" s="13" t="s">
        <v>36</v>
      </c>
      <c r="L5726" s="15" t="s">
        <v>36</v>
      </c>
      <c r="M5726" s="12" t="s">
        <v>36</v>
      </c>
      <c r="N5726" s="12" t="s">
        <v>36</v>
      </c>
      <c r="O5726" s="17" t="s">
        <v>36</v>
      </c>
      <c r="P5726" s="12" t="s">
        <v>36</v>
      </c>
      <c r="Q5726" s="12" t="s">
        <v>36</v>
      </c>
      <c r="R5726" s="12" t="s">
        <v>36</v>
      </c>
      <c r="S5726" s="12" t="s">
        <v>36</v>
      </c>
      <c r="T5726" s="12" t="s">
        <v>1560</v>
      </c>
      <c r="U5726" s="12" t="s">
        <v>438</v>
      </c>
      <c r="V5726" s="12" t="s">
        <v>405</v>
      </c>
      <c r="W5726" s="12" t="s">
        <v>15774</v>
      </c>
      <c r="X5726" s="16" t="s">
        <v>26708</v>
      </c>
      <c r="Y5726" s="15" t="s">
        <v>42</v>
      </c>
      <c r="Z5726" s="14">
        <v>0.24</v>
      </c>
      <c r="AA5726" s="14">
        <v>1.18</v>
      </c>
      <c r="AB5726" s="12" t="s">
        <v>43</v>
      </c>
      <c r="AC5726" s="12" t="s">
        <v>15776</v>
      </c>
      <c r="AD5726" s="13">
        <v>43070</v>
      </c>
      <c r="AE5726" s="12" t="s">
        <v>438</v>
      </c>
      <c r="AF5726" s="12" t="s">
        <v>799</v>
      </c>
      <c r="AG5726" s="12" t="s">
        <v>765</v>
      </c>
      <c r="AH5726" s="1">
        <f>HYPERLINK("https://my.pitchbook.com?c=177202-81T","View Company Online")</f>
      </c>
    </row>
    <row r="5727">
      <c r="A5727" s="3" t="s">
        <v>26709</v>
      </c>
      <c r="B5727" s="3" t="s">
        <v>7727</v>
      </c>
      <c r="C5727" s="5" t="s">
        <v>36</v>
      </c>
      <c r="D5727" s="5">
        <v>37</v>
      </c>
      <c r="E5727" s="5">
        <v>13</v>
      </c>
      <c r="F5727" s="5">
        <v>45</v>
      </c>
      <c r="G5727" s="6" t="s">
        <v>326</v>
      </c>
      <c r="H5727" s="4">
        <v>6.85</v>
      </c>
      <c r="I5727" s="7">
        <v>12</v>
      </c>
      <c r="J5727" s="3" t="s">
        <v>521</v>
      </c>
      <c r="K5727" s="9" t="s">
        <v>36</v>
      </c>
      <c r="L5727" s="6" t="s">
        <v>36</v>
      </c>
      <c r="M5727" s="3" t="s">
        <v>36</v>
      </c>
      <c r="N5727" s="3" t="s">
        <v>36</v>
      </c>
      <c r="O5727" s="8" t="s">
        <v>36</v>
      </c>
      <c r="P5727" s="3" t="s">
        <v>36</v>
      </c>
      <c r="Q5727" s="3" t="s">
        <v>36</v>
      </c>
      <c r="R5727" s="3" t="s">
        <v>36</v>
      </c>
      <c r="S5727" s="3" t="s">
        <v>5151</v>
      </c>
      <c r="T5727" s="3" t="s">
        <v>5702</v>
      </c>
      <c r="U5727" s="3" t="s">
        <v>38</v>
      </c>
      <c r="V5727" s="3" t="s">
        <v>39</v>
      </c>
      <c r="W5727" s="3" t="s">
        <v>7728</v>
      </c>
      <c r="X5727" s="10" t="s">
        <v>11058</v>
      </c>
      <c r="Y5727" s="6" t="s">
        <v>42</v>
      </c>
      <c r="Z5727" s="4">
        <v>0.14</v>
      </c>
      <c r="AA5727" s="4">
        <v>1.18</v>
      </c>
      <c r="AB5727" s="3" t="s">
        <v>43</v>
      </c>
      <c r="AC5727" s="3" t="s">
        <v>7729</v>
      </c>
      <c r="AD5727" s="9">
        <v>43070</v>
      </c>
      <c r="AE5727" s="3" t="s">
        <v>134</v>
      </c>
      <c r="AF5727" s="3" t="s">
        <v>7730</v>
      </c>
      <c r="AG5727" s="3" t="s">
        <v>3406</v>
      </c>
      <c r="AH5727" s="11">
        <f>HYPERLINK("https://my.pitchbook.com?c=89288-83T","View Company Online")</f>
      </c>
    </row>
    <row r="5728">
      <c r="A5728" s="12" t="s">
        <v>26710</v>
      </c>
      <c r="B5728" s="12" t="s">
        <v>26711</v>
      </c>
      <c r="C5728" s="19" t="s">
        <v>36</v>
      </c>
      <c r="D5728" s="19" t="s">
        <v>36</v>
      </c>
      <c r="E5728" s="19" t="s">
        <v>36</v>
      </c>
      <c r="F5728" s="19" t="s">
        <v>36</v>
      </c>
      <c r="G5728" s="15" t="s">
        <v>326</v>
      </c>
      <c r="H5728" s="14">
        <v>44.14</v>
      </c>
      <c r="I5728" s="18">
        <v>28.41</v>
      </c>
      <c r="J5728" s="12" t="s">
        <v>521</v>
      </c>
      <c r="K5728" s="13" t="s">
        <v>36</v>
      </c>
      <c r="L5728" s="15" t="s">
        <v>36</v>
      </c>
      <c r="M5728" s="12" t="s">
        <v>36</v>
      </c>
      <c r="N5728" s="12" t="s">
        <v>36</v>
      </c>
      <c r="O5728" s="17" t="s">
        <v>36</v>
      </c>
      <c r="P5728" s="12" t="s">
        <v>36</v>
      </c>
      <c r="Q5728" s="12" t="s">
        <v>36</v>
      </c>
      <c r="R5728" s="12" t="s">
        <v>36</v>
      </c>
      <c r="S5728" s="12" t="s">
        <v>36</v>
      </c>
      <c r="T5728" s="12" t="s">
        <v>1162</v>
      </c>
      <c r="U5728" s="12" t="s">
        <v>423</v>
      </c>
      <c r="V5728" s="12" t="s">
        <v>64</v>
      </c>
      <c r="W5728" s="12" t="s">
        <v>26712</v>
      </c>
      <c r="X5728" s="16" t="s">
        <v>26713</v>
      </c>
      <c r="Y5728" s="15" t="s">
        <v>108</v>
      </c>
      <c r="Z5728" s="14">
        <v>1.18</v>
      </c>
      <c r="AA5728" s="14">
        <v>4.14</v>
      </c>
      <c r="AB5728" s="12" t="s">
        <v>43</v>
      </c>
      <c r="AC5728" s="12" t="s">
        <v>26714</v>
      </c>
      <c r="AD5728" s="13">
        <v>43070</v>
      </c>
      <c r="AE5728" s="12" t="s">
        <v>562</v>
      </c>
      <c r="AF5728" s="12" t="s">
        <v>90</v>
      </c>
      <c r="AG5728" s="12" t="s">
        <v>81</v>
      </c>
      <c r="AH5728" s="1">
        <f>HYPERLINK("https://my.pitchbook.com?c=108606-61T","View Company Online")</f>
      </c>
    </row>
    <row r="5729">
      <c r="A5729" s="3" t="s">
        <v>26715</v>
      </c>
      <c r="B5729" s="3" t="s">
        <v>26716</v>
      </c>
      <c r="C5729" s="5" t="s">
        <v>36</v>
      </c>
      <c r="D5729" s="5" t="s">
        <v>36</v>
      </c>
      <c r="E5729" s="5" t="s">
        <v>36</v>
      </c>
      <c r="F5729" s="5" t="s">
        <v>36</v>
      </c>
      <c r="G5729" s="6" t="s">
        <v>36</v>
      </c>
      <c r="H5729" s="4">
        <v>311.57</v>
      </c>
      <c r="I5729" s="7">
        <v>29.95</v>
      </c>
      <c r="J5729" s="3" t="s">
        <v>327</v>
      </c>
      <c r="K5729" s="9" t="s">
        <v>36</v>
      </c>
      <c r="L5729" s="6" t="s">
        <v>122</v>
      </c>
      <c r="M5729" s="3" t="s">
        <v>36</v>
      </c>
      <c r="N5729" s="3" t="s">
        <v>122</v>
      </c>
      <c r="O5729" s="8" t="s">
        <v>36</v>
      </c>
      <c r="P5729" s="3" t="s">
        <v>36</v>
      </c>
      <c r="Q5729" s="3" t="s">
        <v>36</v>
      </c>
      <c r="R5729" s="3" t="s">
        <v>36</v>
      </c>
      <c r="S5729" s="3" t="s">
        <v>36</v>
      </c>
      <c r="T5729" s="3" t="s">
        <v>464</v>
      </c>
      <c r="U5729" s="3" t="s">
        <v>38</v>
      </c>
      <c r="V5729" s="3" t="s">
        <v>39</v>
      </c>
      <c r="W5729" s="3" t="s">
        <v>26717</v>
      </c>
      <c r="X5729" s="10" t="s">
        <v>26718</v>
      </c>
      <c r="Y5729" s="6" t="s">
        <v>42</v>
      </c>
      <c r="Z5729" s="4">
        <v>1.18</v>
      </c>
      <c r="AA5729" s="4">
        <v>2.52</v>
      </c>
      <c r="AB5729" s="3" t="s">
        <v>43</v>
      </c>
      <c r="AC5729" s="3" t="s">
        <v>26719</v>
      </c>
      <c r="AD5729" s="9">
        <v>43070</v>
      </c>
      <c r="AE5729" s="3" t="s">
        <v>110</v>
      </c>
      <c r="AF5729" s="3" t="s">
        <v>36</v>
      </c>
      <c r="AG5729" s="3" t="s">
        <v>81</v>
      </c>
      <c r="AH5729" s="11">
        <f>HYPERLINK("https://my.pitchbook.com?c=100301-14T","View Company Online")</f>
      </c>
    </row>
    <row r="5730">
      <c r="A5730" s="12" t="s">
        <v>26720</v>
      </c>
      <c r="B5730" s="12" t="s">
        <v>26721</v>
      </c>
      <c r="C5730" s="19" t="s">
        <v>36</v>
      </c>
      <c r="D5730" s="19" t="s">
        <v>36</v>
      </c>
      <c r="E5730" s="19" t="s">
        <v>36</v>
      </c>
      <c r="F5730" s="19" t="s">
        <v>36</v>
      </c>
      <c r="G5730" s="15" t="s">
        <v>683</v>
      </c>
      <c r="H5730" s="14">
        <v>623.14</v>
      </c>
      <c r="I5730" s="18">
        <v>20.01</v>
      </c>
      <c r="J5730" s="12" t="s">
        <v>521</v>
      </c>
      <c r="K5730" s="13" t="s">
        <v>36</v>
      </c>
      <c r="L5730" s="15" t="s">
        <v>36</v>
      </c>
      <c r="M5730" s="12" t="s">
        <v>36</v>
      </c>
      <c r="N5730" s="12" t="s">
        <v>36</v>
      </c>
      <c r="O5730" s="17" t="s">
        <v>36</v>
      </c>
      <c r="P5730" s="12" t="s">
        <v>36</v>
      </c>
      <c r="Q5730" s="12" t="s">
        <v>36</v>
      </c>
      <c r="R5730" s="12" t="s">
        <v>36</v>
      </c>
      <c r="S5730" s="12" t="s">
        <v>36</v>
      </c>
      <c r="T5730" s="12" t="s">
        <v>1701</v>
      </c>
      <c r="U5730" s="12" t="s">
        <v>74</v>
      </c>
      <c r="V5730" s="12" t="s">
        <v>75</v>
      </c>
      <c r="W5730" s="12" t="s">
        <v>26722</v>
      </c>
      <c r="X5730" s="16" t="s">
        <v>10887</v>
      </c>
      <c r="Y5730" s="15" t="s">
        <v>108</v>
      </c>
      <c r="Z5730" s="14">
        <v>0.47</v>
      </c>
      <c r="AA5730" s="14">
        <v>2.35</v>
      </c>
      <c r="AB5730" s="12" t="s">
        <v>43</v>
      </c>
      <c r="AC5730" s="12" t="s">
        <v>26723</v>
      </c>
      <c r="AD5730" s="13">
        <v>43070</v>
      </c>
      <c r="AE5730" s="12" t="s">
        <v>79</v>
      </c>
      <c r="AF5730" s="12" t="s">
        <v>526</v>
      </c>
      <c r="AG5730" s="12" t="s">
        <v>81</v>
      </c>
      <c r="AH5730" s="1">
        <f>HYPERLINK("https://my.pitchbook.com?c=114793-75T","View Company Online")</f>
      </c>
    </row>
    <row r="5731">
      <c r="A5731" s="3" t="s">
        <v>26724</v>
      </c>
      <c r="B5731" s="3" t="s">
        <v>26725</v>
      </c>
      <c r="C5731" s="5" t="s">
        <v>36</v>
      </c>
      <c r="D5731" s="5" t="s">
        <v>36</v>
      </c>
      <c r="E5731" s="5" t="s">
        <v>36</v>
      </c>
      <c r="F5731" s="5" t="s">
        <v>36</v>
      </c>
      <c r="G5731" s="6" t="s">
        <v>36</v>
      </c>
      <c r="H5731" s="4">
        <v>50.78</v>
      </c>
      <c r="I5731" s="7">
        <v>13.04</v>
      </c>
      <c r="J5731" s="3" t="s">
        <v>521</v>
      </c>
      <c r="K5731" s="9" t="s">
        <v>36</v>
      </c>
      <c r="L5731" s="6" t="s">
        <v>36</v>
      </c>
      <c r="M5731" s="3" t="s">
        <v>36</v>
      </c>
      <c r="N5731" s="3" t="s">
        <v>36</v>
      </c>
      <c r="O5731" s="8" t="s">
        <v>36</v>
      </c>
      <c r="P5731" s="3" t="s">
        <v>36</v>
      </c>
      <c r="Q5731" s="3" t="s">
        <v>36</v>
      </c>
      <c r="R5731" s="3" t="s">
        <v>36</v>
      </c>
      <c r="S5731" s="3" t="s">
        <v>36</v>
      </c>
      <c r="T5731" s="3" t="s">
        <v>26726</v>
      </c>
      <c r="U5731" s="3" t="s">
        <v>85</v>
      </c>
      <c r="V5731" s="3" t="s">
        <v>64</v>
      </c>
      <c r="W5731" s="3" t="s">
        <v>26727</v>
      </c>
      <c r="X5731" s="10" t="s">
        <v>1399</v>
      </c>
      <c r="Y5731" s="6" t="s">
        <v>42</v>
      </c>
      <c r="Z5731" s="4">
        <v>0.11</v>
      </c>
      <c r="AA5731" s="4">
        <v>0.81</v>
      </c>
      <c r="AB5731" s="3" t="s">
        <v>56</v>
      </c>
      <c r="AC5731" s="3" t="s">
        <v>26728</v>
      </c>
      <c r="AD5731" s="9">
        <v>43070</v>
      </c>
      <c r="AE5731" s="3" t="s">
        <v>2823</v>
      </c>
      <c r="AF5731" s="3" t="s">
        <v>36</v>
      </c>
      <c r="AG5731" s="3" t="s">
        <v>13639</v>
      </c>
      <c r="AH5731" s="11">
        <f>HYPERLINK("https://my.pitchbook.com?c=218418-85T","View Company Online")</f>
      </c>
    </row>
    <row r="5732">
      <c r="A5732" s="12" t="s">
        <v>26729</v>
      </c>
      <c r="B5732" s="12" t="s">
        <v>26730</v>
      </c>
      <c r="C5732" s="19" t="s">
        <v>36</v>
      </c>
      <c r="D5732" s="19" t="s">
        <v>36</v>
      </c>
      <c r="E5732" s="19" t="s">
        <v>36</v>
      </c>
      <c r="F5732" s="19" t="s">
        <v>36</v>
      </c>
      <c r="G5732" s="15" t="s">
        <v>36</v>
      </c>
      <c r="H5732" s="14" t="s">
        <v>36</v>
      </c>
      <c r="I5732" s="18" t="s">
        <v>36</v>
      </c>
      <c r="J5732" s="12" t="s">
        <v>36</v>
      </c>
      <c r="K5732" s="13">
        <v>42370</v>
      </c>
      <c r="L5732" s="15" t="s">
        <v>36</v>
      </c>
      <c r="M5732" s="12" t="s">
        <v>36</v>
      </c>
      <c r="N5732" s="12" t="s">
        <v>36</v>
      </c>
      <c r="O5732" s="17" t="s">
        <v>36</v>
      </c>
      <c r="P5732" s="12" t="s">
        <v>36</v>
      </c>
      <c r="Q5732" s="12" t="s">
        <v>36</v>
      </c>
      <c r="R5732" s="12" t="s">
        <v>36</v>
      </c>
      <c r="S5732" s="12" t="s">
        <v>36</v>
      </c>
      <c r="T5732" s="12" t="s">
        <v>16335</v>
      </c>
      <c r="U5732" s="12" t="s">
        <v>74</v>
      </c>
      <c r="V5732" s="12" t="s">
        <v>75</v>
      </c>
      <c r="W5732" s="12" t="s">
        <v>26731</v>
      </c>
      <c r="X5732" s="16" t="s">
        <v>26732</v>
      </c>
      <c r="Y5732" s="15" t="s">
        <v>42</v>
      </c>
      <c r="Z5732" s="14" t="s">
        <v>36</v>
      </c>
      <c r="AA5732" s="14" t="s">
        <v>36</v>
      </c>
      <c r="AB5732" s="12" t="s">
        <v>43</v>
      </c>
      <c r="AC5732" s="12" t="s">
        <v>26733</v>
      </c>
      <c r="AD5732" s="13">
        <v>43070</v>
      </c>
      <c r="AE5732" s="12" t="s">
        <v>79</v>
      </c>
      <c r="AF5732" s="12" t="s">
        <v>17722</v>
      </c>
      <c r="AG5732" s="12" t="s">
        <v>81</v>
      </c>
      <c r="AH5732" s="1">
        <f>HYPERLINK("https://my.pitchbook.com?c=127622-44T","View Company Online")</f>
      </c>
    </row>
    <row r="5733">
      <c r="A5733" s="3" t="s">
        <v>26734</v>
      </c>
      <c r="B5733" s="3" t="s">
        <v>26735</v>
      </c>
      <c r="C5733" s="5" t="s">
        <v>36</v>
      </c>
      <c r="D5733" s="5" t="s">
        <v>36</v>
      </c>
      <c r="E5733" s="5" t="s">
        <v>36</v>
      </c>
      <c r="F5733" s="5" t="s">
        <v>36</v>
      </c>
      <c r="G5733" s="6" t="s">
        <v>326</v>
      </c>
      <c r="H5733" s="4">
        <v>1059.4</v>
      </c>
      <c r="I5733" s="7">
        <v>12.84</v>
      </c>
      <c r="J5733" s="3" t="s">
        <v>521</v>
      </c>
      <c r="K5733" s="9">
        <v>43069</v>
      </c>
      <c r="L5733" s="6" t="s">
        <v>36</v>
      </c>
      <c r="M5733" s="3" t="s">
        <v>36</v>
      </c>
      <c r="N5733" s="3" t="s">
        <v>36</v>
      </c>
      <c r="O5733" s="8" t="s">
        <v>36</v>
      </c>
      <c r="P5733" s="3" t="s">
        <v>36</v>
      </c>
      <c r="Q5733" s="3" t="s">
        <v>36</v>
      </c>
      <c r="R5733" s="3" t="s">
        <v>36</v>
      </c>
      <c r="S5733" s="3" t="s">
        <v>36</v>
      </c>
      <c r="T5733" s="3" t="s">
        <v>26736</v>
      </c>
      <c r="U5733" s="3" t="s">
        <v>289</v>
      </c>
      <c r="V5733" s="3" t="s">
        <v>64</v>
      </c>
      <c r="W5733" s="3" t="s">
        <v>26737</v>
      </c>
      <c r="X5733" s="10" t="s">
        <v>15402</v>
      </c>
      <c r="Y5733" s="6" t="s">
        <v>108</v>
      </c>
      <c r="Z5733" s="4">
        <v>3.53</v>
      </c>
      <c r="AA5733" s="4">
        <v>27.46</v>
      </c>
      <c r="AB5733" s="3" t="s">
        <v>43</v>
      </c>
      <c r="AC5733" s="3" t="s">
        <v>26738</v>
      </c>
      <c r="AD5733" s="9">
        <v>43070</v>
      </c>
      <c r="AE5733" s="3" t="s">
        <v>292</v>
      </c>
      <c r="AF5733" s="3" t="s">
        <v>733</v>
      </c>
      <c r="AG5733" s="3" t="s">
        <v>81</v>
      </c>
      <c r="AH5733" s="11">
        <f>HYPERLINK("https://my.pitchbook.com?c=117712-90T","View Company Online")</f>
      </c>
    </row>
    <row r="5734">
      <c r="A5734" s="12" t="s">
        <v>26739</v>
      </c>
      <c r="B5734" s="12" t="s">
        <v>26740</v>
      </c>
      <c r="C5734" s="19" t="s">
        <v>36</v>
      </c>
      <c r="D5734" s="19" t="s">
        <v>36</v>
      </c>
      <c r="E5734" s="19" t="s">
        <v>36</v>
      </c>
      <c r="F5734" s="19" t="s">
        <v>36</v>
      </c>
      <c r="G5734" s="15" t="s">
        <v>36</v>
      </c>
      <c r="H5734" s="14">
        <v>6.63</v>
      </c>
      <c r="I5734" s="18">
        <v>31.89</v>
      </c>
      <c r="J5734" s="12" t="s">
        <v>521</v>
      </c>
      <c r="K5734" s="13" t="s">
        <v>36</v>
      </c>
      <c r="L5734" s="15" t="s">
        <v>36</v>
      </c>
      <c r="M5734" s="12" t="s">
        <v>36</v>
      </c>
      <c r="N5734" s="12" t="s">
        <v>36</v>
      </c>
      <c r="O5734" s="17" t="s">
        <v>36</v>
      </c>
      <c r="P5734" s="12" t="s">
        <v>36</v>
      </c>
      <c r="Q5734" s="12" t="s">
        <v>36</v>
      </c>
      <c r="R5734" s="12" t="s">
        <v>36</v>
      </c>
      <c r="S5734" s="12" t="s">
        <v>36</v>
      </c>
      <c r="T5734" s="12" t="s">
        <v>26741</v>
      </c>
      <c r="U5734" s="12" t="s">
        <v>9881</v>
      </c>
      <c r="V5734" s="12" t="s">
        <v>75</v>
      </c>
      <c r="W5734" s="12" t="s">
        <v>26742</v>
      </c>
      <c r="X5734" s="16" t="s">
        <v>26743</v>
      </c>
      <c r="Y5734" s="15" t="s">
        <v>42</v>
      </c>
      <c r="Z5734" s="14">
        <v>1.41</v>
      </c>
      <c r="AA5734" s="14">
        <v>4.14</v>
      </c>
      <c r="AB5734" s="12" t="s">
        <v>43</v>
      </c>
      <c r="AC5734" s="12" t="s">
        <v>26744</v>
      </c>
      <c r="AD5734" s="13">
        <v>43070</v>
      </c>
      <c r="AE5734" s="12" t="s">
        <v>12049</v>
      </c>
      <c r="AF5734" s="12" t="s">
        <v>546</v>
      </c>
      <c r="AG5734" s="12" t="s">
        <v>81</v>
      </c>
      <c r="AH5734" s="1">
        <f>HYPERLINK("https://my.pitchbook.com?c=110479-60T","View Company Online")</f>
      </c>
    </row>
    <row r="5735">
      <c r="A5735" s="3" t="s">
        <v>26745</v>
      </c>
      <c r="B5735" s="3" t="s">
        <v>26746</v>
      </c>
      <c r="C5735" s="5" t="s">
        <v>36</v>
      </c>
      <c r="D5735" s="5" t="s">
        <v>36</v>
      </c>
      <c r="E5735" s="5" t="s">
        <v>36</v>
      </c>
      <c r="F5735" s="5" t="s">
        <v>36</v>
      </c>
      <c r="G5735" s="6" t="s">
        <v>36</v>
      </c>
      <c r="H5735" s="4" t="s">
        <v>36</v>
      </c>
      <c r="I5735" s="7" t="s">
        <v>36</v>
      </c>
      <c r="J5735" s="3" t="s">
        <v>36</v>
      </c>
      <c r="K5735" s="9" t="s">
        <v>36</v>
      </c>
      <c r="L5735" s="6" t="s">
        <v>36</v>
      </c>
      <c r="M5735" s="3" t="s">
        <v>36</v>
      </c>
      <c r="N5735" s="3" t="s">
        <v>36</v>
      </c>
      <c r="O5735" s="8" t="s">
        <v>36</v>
      </c>
      <c r="P5735" s="3" t="s">
        <v>36</v>
      </c>
      <c r="Q5735" s="3" t="s">
        <v>36</v>
      </c>
      <c r="R5735" s="3" t="s">
        <v>36</v>
      </c>
      <c r="S5735" s="3" t="s">
        <v>36</v>
      </c>
      <c r="T5735" s="3" t="s">
        <v>105</v>
      </c>
      <c r="U5735" s="3" t="s">
        <v>38</v>
      </c>
      <c r="V5735" s="3" t="s">
        <v>39</v>
      </c>
      <c r="W5735" s="3" t="s">
        <v>26747</v>
      </c>
      <c r="X5735" s="10" t="s">
        <v>26748</v>
      </c>
      <c r="Y5735" s="6" t="s">
        <v>42</v>
      </c>
      <c r="Z5735" s="4">
        <v>0.53</v>
      </c>
      <c r="AA5735" s="4" t="s">
        <v>36</v>
      </c>
      <c r="AB5735" s="3" t="s">
        <v>43</v>
      </c>
      <c r="AC5735" s="3" t="s">
        <v>26749</v>
      </c>
      <c r="AD5735" s="9">
        <v>43070</v>
      </c>
      <c r="AE5735" s="3" t="s">
        <v>110</v>
      </c>
      <c r="AF5735" s="3" t="s">
        <v>1201</v>
      </c>
      <c r="AG5735" s="3" t="s">
        <v>81</v>
      </c>
      <c r="AH5735" s="11">
        <f>HYPERLINK("https://my.pitchbook.com?c=140460-67T","View Company Online")</f>
      </c>
    </row>
    <row r="5736">
      <c r="A5736" s="12" t="s">
        <v>26750</v>
      </c>
      <c r="B5736" s="12" t="s">
        <v>2551</v>
      </c>
      <c r="C5736" s="19" t="s">
        <v>36</v>
      </c>
      <c r="D5736" s="19" t="s">
        <v>36</v>
      </c>
      <c r="E5736" s="19" t="s">
        <v>36</v>
      </c>
      <c r="F5736" s="19" t="s">
        <v>36</v>
      </c>
      <c r="G5736" s="15" t="s">
        <v>36</v>
      </c>
      <c r="H5736" s="14" t="s">
        <v>36</v>
      </c>
      <c r="I5736" s="18" t="s">
        <v>36</v>
      </c>
      <c r="J5736" s="12" t="s">
        <v>36</v>
      </c>
      <c r="K5736" s="13" t="s">
        <v>36</v>
      </c>
      <c r="L5736" s="15" t="s">
        <v>36</v>
      </c>
      <c r="M5736" s="12" t="s">
        <v>36</v>
      </c>
      <c r="N5736" s="12" t="s">
        <v>36</v>
      </c>
      <c r="O5736" s="17" t="s">
        <v>36</v>
      </c>
      <c r="P5736" s="12" t="s">
        <v>36</v>
      </c>
      <c r="Q5736" s="12" t="s">
        <v>36</v>
      </c>
      <c r="R5736" s="12" t="s">
        <v>36</v>
      </c>
      <c r="S5736" s="12" t="s">
        <v>36</v>
      </c>
      <c r="T5736" s="12" t="s">
        <v>1106</v>
      </c>
      <c r="U5736" s="12" t="s">
        <v>38</v>
      </c>
      <c r="V5736" s="12" t="s">
        <v>39</v>
      </c>
      <c r="W5736" s="12" t="s">
        <v>2552</v>
      </c>
      <c r="X5736" s="16" t="s">
        <v>13436</v>
      </c>
      <c r="Y5736" s="15" t="s">
        <v>42</v>
      </c>
      <c r="Z5736" s="14" t="s">
        <v>36</v>
      </c>
      <c r="AA5736" s="14" t="s">
        <v>36</v>
      </c>
      <c r="AB5736" s="12" t="s">
        <v>43</v>
      </c>
      <c r="AC5736" s="12" t="s">
        <v>2554</v>
      </c>
      <c r="AD5736" s="13">
        <v>43070</v>
      </c>
      <c r="AE5736" s="12" t="s">
        <v>110</v>
      </c>
      <c r="AF5736" s="12" t="s">
        <v>815</v>
      </c>
      <c r="AG5736" s="12" t="s">
        <v>2555</v>
      </c>
      <c r="AH5736" s="1">
        <f>HYPERLINK("https://my.pitchbook.com?c=138827-17T","View Company Online")</f>
      </c>
    </row>
    <row r="5737">
      <c r="A5737" s="3" t="s">
        <v>26751</v>
      </c>
      <c r="B5737" s="3" t="s">
        <v>23594</v>
      </c>
      <c r="C5737" s="5" t="s">
        <v>36</v>
      </c>
      <c r="D5737" s="5" t="s">
        <v>36</v>
      </c>
      <c r="E5737" s="5" t="s">
        <v>36</v>
      </c>
      <c r="F5737" s="5" t="s">
        <v>36</v>
      </c>
      <c r="G5737" s="6" t="s">
        <v>36</v>
      </c>
      <c r="H5737" s="4" t="s">
        <v>36</v>
      </c>
      <c r="I5737" s="7" t="s">
        <v>36</v>
      </c>
      <c r="J5737" s="3" t="s">
        <v>36</v>
      </c>
      <c r="K5737" s="9" t="s">
        <v>36</v>
      </c>
      <c r="L5737" s="6" t="s">
        <v>36</v>
      </c>
      <c r="M5737" s="3" t="s">
        <v>36</v>
      </c>
      <c r="N5737" s="3" t="s">
        <v>36</v>
      </c>
      <c r="O5737" s="8" t="s">
        <v>36</v>
      </c>
      <c r="P5737" s="3" t="s">
        <v>36</v>
      </c>
      <c r="Q5737" s="3" t="s">
        <v>36</v>
      </c>
      <c r="R5737" s="3" t="s">
        <v>36</v>
      </c>
      <c r="S5737" s="3" t="s">
        <v>36</v>
      </c>
      <c r="T5737" s="3" t="s">
        <v>5576</v>
      </c>
      <c r="U5737" s="3" t="s">
        <v>38</v>
      </c>
      <c r="V5737" s="3" t="s">
        <v>39</v>
      </c>
      <c r="W5737" s="3" t="s">
        <v>23595</v>
      </c>
      <c r="X5737" s="10" t="s">
        <v>26752</v>
      </c>
      <c r="Y5737" s="6" t="s">
        <v>42</v>
      </c>
      <c r="Z5737" s="4" t="s">
        <v>36</v>
      </c>
      <c r="AA5737" s="4" t="s">
        <v>36</v>
      </c>
      <c r="AB5737" s="3" t="s">
        <v>43</v>
      </c>
      <c r="AC5737" s="3" t="s">
        <v>23597</v>
      </c>
      <c r="AD5737" s="9">
        <v>43070</v>
      </c>
      <c r="AE5737" s="3" t="s">
        <v>110</v>
      </c>
      <c r="AF5737" s="3" t="s">
        <v>1077</v>
      </c>
      <c r="AG5737" s="3" t="s">
        <v>47</v>
      </c>
      <c r="AH5737" s="11">
        <f>HYPERLINK("https://my.pitchbook.com?c=106269-04T","View Company Online")</f>
      </c>
    </row>
    <row r="5738">
      <c r="A5738" s="12" t="s">
        <v>26753</v>
      </c>
      <c r="B5738" s="12" t="s">
        <v>1534</v>
      </c>
      <c r="C5738" s="19">
        <v>4</v>
      </c>
      <c r="D5738" s="19">
        <v>31</v>
      </c>
      <c r="E5738" s="19">
        <v>8</v>
      </c>
      <c r="F5738" s="19">
        <v>35</v>
      </c>
      <c r="G5738" s="15" t="s">
        <v>326</v>
      </c>
      <c r="H5738" s="14">
        <v>54.94</v>
      </c>
      <c r="I5738" s="18">
        <v>9.53</v>
      </c>
      <c r="J5738" s="12" t="s">
        <v>521</v>
      </c>
      <c r="K5738" s="13" t="s">
        <v>36</v>
      </c>
      <c r="L5738" s="15" t="s">
        <v>36</v>
      </c>
      <c r="M5738" s="12" t="s">
        <v>36</v>
      </c>
      <c r="N5738" s="12" t="s">
        <v>36</v>
      </c>
      <c r="O5738" s="17" t="s">
        <v>36</v>
      </c>
      <c r="P5738" s="12" t="s">
        <v>36</v>
      </c>
      <c r="Q5738" s="12" t="s">
        <v>36</v>
      </c>
      <c r="R5738" s="12" t="s">
        <v>36</v>
      </c>
      <c r="S5738" s="12" t="s">
        <v>36</v>
      </c>
      <c r="T5738" s="12" t="s">
        <v>1535</v>
      </c>
      <c r="U5738" s="12" t="s">
        <v>96</v>
      </c>
      <c r="V5738" s="12" t="s">
        <v>52</v>
      </c>
      <c r="W5738" s="12" t="s">
        <v>1536</v>
      </c>
      <c r="X5738" s="16" t="s">
        <v>26754</v>
      </c>
      <c r="Y5738" s="15" t="s">
        <v>108</v>
      </c>
      <c r="Z5738" s="14">
        <v>4.7</v>
      </c>
      <c r="AA5738" s="14">
        <v>12.32</v>
      </c>
      <c r="AB5738" s="12" t="s">
        <v>43</v>
      </c>
      <c r="AC5738" s="12" t="s">
        <v>1538</v>
      </c>
      <c r="AD5738" s="13">
        <v>43069</v>
      </c>
      <c r="AE5738" s="12" t="s">
        <v>1414</v>
      </c>
      <c r="AF5738" s="12" t="s">
        <v>885</v>
      </c>
      <c r="AG5738" s="12" t="s">
        <v>81</v>
      </c>
      <c r="AH5738" s="1">
        <f>HYPERLINK("https://my.pitchbook.com?c=98104-15T","View Company Online")</f>
      </c>
    </row>
    <row r="5739">
      <c r="A5739" s="3" t="s">
        <v>26755</v>
      </c>
      <c r="B5739" s="3" t="s">
        <v>26756</v>
      </c>
      <c r="C5739" s="5" t="s">
        <v>36</v>
      </c>
      <c r="D5739" s="5" t="s">
        <v>36</v>
      </c>
      <c r="E5739" s="5" t="s">
        <v>36</v>
      </c>
      <c r="F5739" s="5" t="s">
        <v>36</v>
      </c>
      <c r="G5739" s="6" t="s">
        <v>36</v>
      </c>
      <c r="H5739" s="4">
        <v>21.5</v>
      </c>
      <c r="I5739" s="7">
        <v>27.71</v>
      </c>
      <c r="J5739" s="3" t="s">
        <v>521</v>
      </c>
      <c r="K5739" s="9" t="s">
        <v>36</v>
      </c>
      <c r="L5739" s="6" t="s">
        <v>36</v>
      </c>
      <c r="M5739" s="3" t="s">
        <v>36</v>
      </c>
      <c r="N5739" s="3" t="s">
        <v>36</v>
      </c>
      <c r="O5739" s="8" t="s">
        <v>36</v>
      </c>
      <c r="P5739" s="3" t="s">
        <v>36</v>
      </c>
      <c r="Q5739" s="3" t="s">
        <v>36</v>
      </c>
      <c r="R5739" s="3" t="s">
        <v>36</v>
      </c>
      <c r="S5739" s="3" t="s">
        <v>36</v>
      </c>
      <c r="T5739" s="3" t="s">
        <v>26757</v>
      </c>
      <c r="U5739" s="3" t="s">
        <v>233</v>
      </c>
      <c r="V5739" s="3" t="s">
        <v>39</v>
      </c>
      <c r="W5739" s="3" t="s">
        <v>26758</v>
      </c>
      <c r="X5739" s="10" t="s">
        <v>26759</v>
      </c>
      <c r="Y5739" s="6" t="s">
        <v>42</v>
      </c>
      <c r="Z5739" s="4">
        <v>2.7</v>
      </c>
      <c r="AA5739" s="4">
        <v>9.75</v>
      </c>
      <c r="AB5739" s="3" t="s">
        <v>56</v>
      </c>
      <c r="AC5739" s="3" t="s">
        <v>26760</v>
      </c>
      <c r="AD5739" s="9">
        <v>43069</v>
      </c>
      <c r="AE5739" s="3" t="s">
        <v>236</v>
      </c>
      <c r="AF5739" s="3" t="s">
        <v>36</v>
      </c>
      <c r="AG5739" s="3" t="s">
        <v>81</v>
      </c>
      <c r="AH5739" s="11">
        <f>HYPERLINK("https://my.pitchbook.com?c=136246-33T","View Company Online")</f>
      </c>
    </row>
    <row r="5740">
      <c r="A5740" s="12" t="s">
        <v>26761</v>
      </c>
      <c r="B5740" s="12" t="s">
        <v>26762</v>
      </c>
      <c r="C5740" s="19" t="s">
        <v>36</v>
      </c>
      <c r="D5740" s="19" t="s">
        <v>36</v>
      </c>
      <c r="E5740" s="19" t="s">
        <v>36</v>
      </c>
      <c r="F5740" s="19" t="s">
        <v>36</v>
      </c>
      <c r="G5740" s="15" t="s">
        <v>36</v>
      </c>
      <c r="H5740" s="14">
        <v>135.01</v>
      </c>
      <c r="I5740" s="18">
        <v>36.98</v>
      </c>
      <c r="J5740" s="12" t="s">
        <v>521</v>
      </c>
      <c r="K5740" s="13" t="s">
        <v>36</v>
      </c>
      <c r="L5740" s="15" t="s">
        <v>36</v>
      </c>
      <c r="M5740" s="12" t="s">
        <v>36</v>
      </c>
      <c r="N5740" s="12" t="s">
        <v>36</v>
      </c>
      <c r="O5740" s="17" t="s">
        <v>36</v>
      </c>
      <c r="P5740" s="12" t="s">
        <v>36</v>
      </c>
      <c r="Q5740" s="12" t="s">
        <v>36</v>
      </c>
      <c r="R5740" s="12" t="s">
        <v>36</v>
      </c>
      <c r="S5740" s="12" t="s">
        <v>26763</v>
      </c>
      <c r="T5740" s="12" t="s">
        <v>26764</v>
      </c>
      <c r="U5740" s="12" t="s">
        <v>74</v>
      </c>
      <c r="V5740" s="12" t="s">
        <v>75</v>
      </c>
      <c r="W5740" s="12" t="s">
        <v>26765</v>
      </c>
      <c r="X5740" s="16" t="s">
        <v>26766</v>
      </c>
      <c r="Y5740" s="15" t="s">
        <v>42</v>
      </c>
      <c r="Z5740" s="14">
        <v>1.37</v>
      </c>
      <c r="AA5740" s="14">
        <v>3.72</v>
      </c>
      <c r="AB5740" s="12" t="s">
        <v>43</v>
      </c>
      <c r="AC5740" s="12" t="s">
        <v>26767</v>
      </c>
      <c r="AD5740" s="13">
        <v>43069</v>
      </c>
      <c r="AE5740" s="12" t="s">
        <v>79</v>
      </c>
      <c r="AF5740" s="12" t="s">
        <v>26768</v>
      </c>
      <c r="AG5740" s="12" t="s">
        <v>6013</v>
      </c>
      <c r="AH5740" s="1">
        <f>HYPERLINK("https://my.pitchbook.com?c=90798-67T","View Company Online")</f>
      </c>
    </row>
    <row r="5741">
      <c r="A5741" s="3" t="s">
        <v>26769</v>
      </c>
      <c r="B5741" s="3" t="s">
        <v>26770</v>
      </c>
      <c r="C5741" s="5" t="s">
        <v>36</v>
      </c>
      <c r="D5741" s="5" t="s">
        <v>36</v>
      </c>
      <c r="E5741" s="5" t="s">
        <v>36</v>
      </c>
      <c r="F5741" s="5" t="s">
        <v>36</v>
      </c>
      <c r="G5741" s="6" t="s">
        <v>36</v>
      </c>
      <c r="H5741" s="4">
        <v>568.1</v>
      </c>
      <c r="I5741" s="7">
        <v>9.87</v>
      </c>
      <c r="J5741" s="3" t="s">
        <v>521</v>
      </c>
      <c r="K5741" s="9" t="s">
        <v>36</v>
      </c>
      <c r="L5741" s="6" t="s">
        <v>36</v>
      </c>
      <c r="M5741" s="3" t="s">
        <v>36</v>
      </c>
      <c r="N5741" s="3" t="s">
        <v>36</v>
      </c>
      <c r="O5741" s="8" t="s">
        <v>36</v>
      </c>
      <c r="P5741" s="3" t="s">
        <v>36</v>
      </c>
      <c r="Q5741" s="3" t="s">
        <v>36</v>
      </c>
      <c r="R5741" s="3" t="s">
        <v>36</v>
      </c>
      <c r="S5741" s="3" t="s">
        <v>36</v>
      </c>
      <c r="T5741" s="3" t="s">
        <v>26771</v>
      </c>
      <c r="U5741" s="3" t="s">
        <v>38</v>
      </c>
      <c r="V5741" s="3" t="s">
        <v>39</v>
      </c>
      <c r="W5741" s="3" t="s">
        <v>26772</v>
      </c>
      <c r="X5741" s="10" t="s">
        <v>11111</v>
      </c>
      <c r="Y5741" s="6" t="s">
        <v>42</v>
      </c>
      <c r="Z5741" s="4">
        <v>0.09</v>
      </c>
      <c r="AA5741" s="4">
        <v>0.89</v>
      </c>
      <c r="AB5741" s="3" t="s">
        <v>43</v>
      </c>
      <c r="AC5741" s="3" t="s">
        <v>26773</v>
      </c>
      <c r="AD5741" s="9">
        <v>43068</v>
      </c>
      <c r="AE5741" s="3" t="s">
        <v>339</v>
      </c>
      <c r="AF5741" s="3" t="s">
        <v>176</v>
      </c>
      <c r="AG5741" s="3" t="s">
        <v>26774</v>
      </c>
      <c r="AH5741" s="11">
        <f>HYPERLINK("https://my.pitchbook.com?c=82423-72T","View Company Online")</f>
      </c>
    </row>
    <row r="5742">
      <c r="A5742" s="12" t="s">
        <v>26775</v>
      </c>
      <c r="B5742" s="12" t="s">
        <v>7700</v>
      </c>
      <c r="C5742" s="19" t="s">
        <v>36</v>
      </c>
      <c r="D5742" s="19" t="s">
        <v>36</v>
      </c>
      <c r="E5742" s="19" t="s">
        <v>36</v>
      </c>
      <c r="F5742" s="19" t="s">
        <v>36</v>
      </c>
      <c r="G5742" s="15" t="s">
        <v>2497</v>
      </c>
      <c r="H5742" s="14">
        <v>222.25</v>
      </c>
      <c r="I5742" s="18">
        <v>9.48</v>
      </c>
      <c r="J5742" s="12" t="s">
        <v>521</v>
      </c>
      <c r="K5742" s="13" t="s">
        <v>36</v>
      </c>
      <c r="L5742" s="15" t="s">
        <v>36</v>
      </c>
      <c r="M5742" s="12" t="s">
        <v>36</v>
      </c>
      <c r="N5742" s="12" t="s">
        <v>36</v>
      </c>
      <c r="O5742" s="17" t="s">
        <v>36</v>
      </c>
      <c r="P5742" s="12" t="s">
        <v>36</v>
      </c>
      <c r="Q5742" s="12" t="s">
        <v>36</v>
      </c>
      <c r="R5742" s="12" t="s">
        <v>36</v>
      </c>
      <c r="S5742" s="12" t="s">
        <v>36</v>
      </c>
      <c r="T5742" s="12" t="s">
        <v>7701</v>
      </c>
      <c r="U5742" s="12" t="s">
        <v>833</v>
      </c>
      <c r="V5742" s="12" t="s">
        <v>64</v>
      </c>
      <c r="W5742" s="12" t="s">
        <v>7702</v>
      </c>
      <c r="X5742" s="16" t="s">
        <v>26776</v>
      </c>
      <c r="Y5742" s="15" t="s">
        <v>108</v>
      </c>
      <c r="Z5742" s="14">
        <v>0.53</v>
      </c>
      <c r="AA5742" s="14">
        <v>5.62</v>
      </c>
      <c r="AB5742" s="12" t="s">
        <v>43</v>
      </c>
      <c r="AC5742" s="12" t="s">
        <v>7703</v>
      </c>
      <c r="AD5742" s="13">
        <v>43068</v>
      </c>
      <c r="AE5742" s="12" t="s">
        <v>1069</v>
      </c>
      <c r="AF5742" s="12" t="s">
        <v>7704</v>
      </c>
      <c r="AG5742" s="12" t="s">
        <v>7705</v>
      </c>
      <c r="AH5742" s="1">
        <f>HYPERLINK("https://my.pitchbook.com?c=136506-34T","View Company Online")</f>
      </c>
    </row>
    <row r="5743">
      <c r="A5743" s="3" t="s">
        <v>26777</v>
      </c>
      <c r="B5743" s="3" t="s">
        <v>13160</v>
      </c>
      <c r="C5743" s="5" t="s">
        <v>36</v>
      </c>
      <c r="D5743" s="5" t="s">
        <v>36</v>
      </c>
      <c r="E5743" s="5" t="s">
        <v>36</v>
      </c>
      <c r="F5743" s="5" t="s">
        <v>36</v>
      </c>
      <c r="G5743" s="6" t="s">
        <v>326</v>
      </c>
      <c r="H5743" s="4">
        <v>32.58</v>
      </c>
      <c r="I5743" s="7">
        <v>8.69</v>
      </c>
      <c r="J5743" s="3" t="s">
        <v>521</v>
      </c>
      <c r="K5743" s="9" t="s">
        <v>36</v>
      </c>
      <c r="L5743" s="6" t="s">
        <v>36</v>
      </c>
      <c r="M5743" s="3" t="s">
        <v>36</v>
      </c>
      <c r="N5743" s="3" t="s">
        <v>36</v>
      </c>
      <c r="O5743" s="8" t="s">
        <v>36</v>
      </c>
      <c r="P5743" s="3" t="s">
        <v>36</v>
      </c>
      <c r="Q5743" s="3" t="s">
        <v>36</v>
      </c>
      <c r="R5743" s="3" t="s">
        <v>36</v>
      </c>
      <c r="S5743" s="3" t="s">
        <v>36</v>
      </c>
      <c r="T5743" s="3" t="s">
        <v>189</v>
      </c>
      <c r="U5743" s="3" t="s">
        <v>180</v>
      </c>
      <c r="V5743" s="3" t="s">
        <v>52</v>
      </c>
      <c r="W5743" s="3" t="s">
        <v>13161</v>
      </c>
      <c r="X5743" s="10" t="s">
        <v>26778</v>
      </c>
      <c r="Y5743" s="6" t="s">
        <v>166</v>
      </c>
      <c r="Z5743" s="4">
        <v>46.32</v>
      </c>
      <c r="AA5743" s="4">
        <v>533.31</v>
      </c>
      <c r="AB5743" s="3" t="s">
        <v>56</v>
      </c>
      <c r="AC5743" s="3" t="s">
        <v>13163</v>
      </c>
      <c r="AD5743" s="9">
        <v>43066</v>
      </c>
      <c r="AE5743" s="3" t="s">
        <v>184</v>
      </c>
      <c r="AF5743" s="3" t="s">
        <v>7086</v>
      </c>
      <c r="AG5743" s="3" t="s">
        <v>2088</v>
      </c>
      <c r="AH5743" s="11">
        <f>HYPERLINK("https://my.pitchbook.com?c=97858-00T","View Company Online")</f>
      </c>
    </row>
    <row r="5744">
      <c r="A5744" s="12" t="s">
        <v>26779</v>
      </c>
      <c r="B5744" s="12" t="s">
        <v>26780</v>
      </c>
      <c r="C5744" s="19" t="s">
        <v>36</v>
      </c>
      <c r="D5744" s="19" t="s">
        <v>36</v>
      </c>
      <c r="E5744" s="19" t="s">
        <v>36</v>
      </c>
      <c r="F5744" s="19" t="s">
        <v>36</v>
      </c>
      <c r="G5744" s="15" t="s">
        <v>36</v>
      </c>
      <c r="H5744" s="14" t="s">
        <v>36</v>
      </c>
      <c r="I5744" s="18" t="s">
        <v>36</v>
      </c>
      <c r="J5744" s="12" t="s">
        <v>36</v>
      </c>
      <c r="K5744" s="13" t="s">
        <v>36</v>
      </c>
      <c r="L5744" s="15" t="s">
        <v>36</v>
      </c>
      <c r="M5744" s="12" t="s">
        <v>36</v>
      </c>
      <c r="N5744" s="12" t="s">
        <v>36</v>
      </c>
      <c r="O5744" s="17" t="s">
        <v>36</v>
      </c>
      <c r="P5744" s="12" t="s">
        <v>36</v>
      </c>
      <c r="Q5744" s="12" t="s">
        <v>36</v>
      </c>
      <c r="R5744" s="12" t="s">
        <v>36</v>
      </c>
      <c r="S5744" s="12" t="s">
        <v>36</v>
      </c>
      <c r="T5744" s="12" t="s">
        <v>26781</v>
      </c>
      <c r="U5744" s="12" t="s">
        <v>74</v>
      </c>
      <c r="V5744" s="12" t="s">
        <v>75</v>
      </c>
      <c r="W5744" s="12" t="s">
        <v>26782</v>
      </c>
      <c r="X5744" s="16" t="s">
        <v>26783</v>
      </c>
      <c r="Y5744" s="15" t="s">
        <v>42</v>
      </c>
      <c r="Z5744" s="14">
        <v>6.56</v>
      </c>
      <c r="AA5744" s="14" t="s">
        <v>36</v>
      </c>
      <c r="AB5744" s="12" t="s">
        <v>56</v>
      </c>
      <c r="AC5744" s="12" t="s">
        <v>26784</v>
      </c>
      <c r="AD5744" s="13">
        <v>43066</v>
      </c>
      <c r="AE5744" s="12" t="s">
        <v>79</v>
      </c>
      <c r="AF5744" s="12" t="s">
        <v>3904</v>
      </c>
      <c r="AG5744" s="12" t="s">
        <v>47</v>
      </c>
      <c r="AH5744" s="1">
        <f>HYPERLINK("https://my.pitchbook.com?c=105973-30T","View Company Online")</f>
      </c>
    </row>
    <row r="5745">
      <c r="A5745" s="3" t="s">
        <v>26785</v>
      </c>
      <c r="B5745" s="3" t="s">
        <v>26786</v>
      </c>
      <c r="C5745" s="5" t="s">
        <v>36</v>
      </c>
      <c r="D5745" s="5" t="s">
        <v>36</v>
      </c>
      <c r="E5745" s="5" t="s">
        <v>36</v>
      </c>
      <c r="F5745" s="5" t="s">
        <v>36</v>
      </c>
      <c r="G5745" s="6" t="s">
        <v>36</v>
      </c>
      <c r="H5745" s="4">
        <v>994.32</v>
      </c>
      <c r="I5745" s="7">
        <v>41.66</v>
      </c>
      <c r="J5745" s="3" t="s">
        <v>521</v>
      </c>
      <c r="K5745" s="9" t="s">
        <v>36</v>
      </c>
      <c r="L5745" s="6" t="s">
        <v>36</v>
      </c>
      <c r="M5745" s="3" t="s">
        <v>36</v>
      </c>
      <c r="N5745" s="3" t="s">
        <v>36</v>
      </c>
      <c r="O5745" s="8" t="s">
        <v>36</v>
      </c>
      <c r="P5745" s="3" t="s">
        <v>36</v>
      </c>
      <c r="Q5745" s="3" t="s">
        <v>36</v>
      </c>
      <c r="R5745" s="3" t="s">
        <v>36</v>
      </c>
      <c r="S5745" s="3" t="s">
        <v>36</v>
      </c>
      <c r="T5745" s="3" t="s">
        <v>26787</v>
      </c>
      <c r="U5745" s="3" t="s">
        <v>38</v>
      </c>
      <c r="V5745" s="3" t="s">
        <v>39</v>
      </c>
      <c r="W5745" s="3" t="s">
        <v>26788</v>
      </c>
      <c r="X5745" s="10" t="s">
        <v>26789</v>
      </c>
      <c r="Y5745" s="6" t="s">
        <v>42</v>
      </c>
      <c r="Z5745" s="4">
        <v>2.92</v>
      </c>
      <c r="AA5745" s="4">
        <v>7.01</v>
      </c>
      <c r="AB5745" s="3" t="s">
        <v>56</v>
      </c>
      <c r="AC5745" s="3" t="s">
        <v>26790</v>
      </c>
      <c r="AD5745" s="9">
        <v>43063</v>
      </c>
      <c r="AE5745" s="3" t="s">
        <v>785</v>
      </c>
      <c r="AF5745" s="3" t="s">
        <v>2593</v>
      </c>
      <c r="AG5745" s="3" t="s">
        <v>1705</v>
      </c>
      <c r="AH5745" s="11">
        <f>HYPERLINK("https://my.pitchbook.com?c=139403-17T","View Company Online")</f>
      </c>
    </row>
    <row r="5746">
      <c r="A5746" s="12" t="s">
        <v>26791</v>
      </c>
      <c r="B5746" s="12" t="s">
        <v>17466</v>
      </c>
      <c r="C5746" s="19" t="s">
        <v>36</v>
      </c>
      <c r="D5746" s="19">
        <v>1</v>
      </c>
      <c r="E5746" s="19">
        <v>1</v>
      </c>
      <c r="F5746" s="19">
        <v>1</v>
      </c>
      <c r="G5746" s="15" t="s">
        <v>326</v>
      </c>
      <c r="H5746" s="14">
        <v>277.53</v>
      </c>
      <c r="I5746" s="18">
        <v>17.07</v>
      </c>
      <c r="J5746" s="12" t="s">
        <v>521</v>
      </c>
      <c r="K5746" s="13">
        <v>43046</v>
      </c>
      <c r="L5746" s="15" t="s">
        <v>36</v>
      </c>
      <c r="M5746" s="12" t="s">
        <v>36</v>
      </c>
      <c r="N5746" s="12" t="s">
        <v>36</v>
      </c>
      <c r="O5746" s="17" t="s">
        <v>36</v>
      </c>
      <c r="P5746" s="12" t="s">
        <v>36</v>
      </c>
      <c r="Q5746" s="12" t="s">
        <v>36</v>
      </c>
      <c r="R5746" s="12" t="s">
        <v>36</v>
      </c>
      <c r="S5746" s="12" t="s">
        <v>36</v>
      </c>
      <c r="T5746" s="12" t="s">
        <v>2195</v>
      </c>
      <c r="U5746" s="12" t="s">
        <v>279</v>
      </c>
      <c r="V5746" s="12" t="s">
        <v>64</v>
      </c>
      <c r="W5746" s="12" t="s">
        <v>17467</v>
      </c>
      <c r="X5746" s="16" t="s">
        <v>26792</v>
      </c>
      <c r="Y5746" s="15" t="s">
        <v>108</v>
      </c>
      <c r="Z5746" s="14">
        <v>3.03</v>
      </c>
      <c r="AA5746" s="14">
        <v>17.76</v>
      </c>
      <c r="AB5746" s="12" t="s">
        <v>43</v>
      </c>
      <c r="AC5746" s="12" t="s">
        <v>17469</v>
      </c>
      <c r="AD5746" s="13">
        <v>43063</v>
      </c>
      <c r="AE5746" s="12" t="s">
        <v>283</v>
      </c>
      <c r="AF5746" s="12" t="s">
        <v>15624</v>
      </c>
      <c r="AG5746" s="12" t="s">
        <v>81</v>
      </c>
      <c r="AH5746" s="1">
        <f>HYPERLINK("https://my.pitchbook.com?c=100300-42T","View Company Online")</f>
      </c>
    </row>
    <row r="5747">
      <c r="A5747" s="3" t="s">
        <v>26793</v>
      </c>
      <c r="B5747" s="3" t="s">
        <v>20841</v>
      </c>
      <c r="C5747" s="5">
        <v>3</v>
      </c>
      <c r="D5747" s="5" t="s">
        <v>36</v>
      </c>
      <c r="E5747" s="5">
        <v>2</v>
      </c>
      <c r="F5747" s="5">
        <v>5</v>
      </c>
      <c r="G5747" s="6" t="s">
        <v>36</v>
      </c>
      <c r="H5747" s="4" t="s">
        <v>36</v>
      </c>
      <c r="I5747" s="7" t="s">
        <v>36</v>
      </c>
      <c r="J5747" s="3" t="s">
        <v>36</v>
      </c>
      <c r="K5747" s="9" t="s">
        <v>36</v>
      </c>
      <c r="L5747" s="6" t="s">
        <v>36</v>
      </c>
      <c r="M5747" s="3" t="s">
        <v>36</v>
      </c>
      <c r="N5747" s="3" t="s">
        <v>36</v>
      </c>
      <c r="O5747" s="8" t="s">
        <v>36</v>
      </c>
      <c r="P5747" s="3" t="s">
        <v>36</v>
      </c>
      <c r="Q5747" s="3" t="s">
        <v>36</v>
      </c>
      <c r="R5747" s="3" t="s">
        <v>36</v>
      </c>
      <c r="S5747" s="3" t="s">
        <v>36</v>
      </c>
      <c r="T5747" s="3" t="s">
        <v>5401</v>
      </c>
      <c r="U5747" s="3" t="s">
        <v>38</v>
      </c>
      <c r="V5747" s="3" t="s">
        <v>39</v>
      </c>
      <c r="W5747" s="3" t="s">
        <v>20842</v>
      </c>
      <c r="X5747" s="10" t="s">
        <v>26794</v>
      </c>
      <c r="Y5747" s="6" t="s">
        <v>42</v>
      </c>
      <c r="Z5747" s="4">
        <v>3.51</v>
      </c>
      <c r="AA5747" s="4" t="s">
        <v>36</v>
      </c>
      <c r="AB5747" s="3" t="s">
        <v>43</v>
      </c>
      <c r="AC5747" s="3" t="s">
        <v>20844</v>
      </c>
      <c r="AD5747" s="9">
        <v>43063</v>
      </c>
      <c r="AE5747" s="3" t="s">
        <v>110</v>
      </c>
      <c r="AF5747" s="3" t="s">
        <v>16365</v>
      </c>
      <c r="AG5747" s="3" t="s">
        <v>81</v>
      </c>
      <c r="AH5747" s="11">
        <f>HYPERLINK("https://my.pitchbook.com?c=97525-00T","View Company Online")</f>
      </c>
    </row>
    <row r="5748">
      <c r="A5748" s="12" t="s">
        <v>26795</v>
      </c>
      <c r="B5748" s="12" t="s">
        <v>19736</v>
      </c>
      <c r="C5748" s="19" t="s">
        <v>36</v>
      </c>
      <c r="D5748" s="19" t="s">
        <v>36</v>
      </c>
      <c r="E5748" s="19">
        <v>1</v>
      </c>
      <c r="F5748" s="19">
        <v>1</v>
      </c>
      <c r="G5748" s="15" t="s">
        <v>36</v>
      </c>
      <c r="H5748" s="14">
        <v>34.17</v>
      </c>
      <c r="I5748" s="18">
        <v>34.7</v>
      </c>
      <c r="J5748" s="12" t="s">
        <v>521</v>
      </c>
      <c r="K5748" s="13" t="s">
        <v>36</v>
      </c>
      <c r="L5748" s="15" t="s">
        <v>36</v>
      </c>
      <c r="M5748" s="12" t="s">
        <v>36</v>
      </c>
      <c r="N5748" s="12" t="s">
        <v>36</v>
      </c>
      <c r="O5748" s="17" t="s">
        <v>36</v>
      </c>
      <c r="P5748" s="12" t="s">
        <v>36</v>
      </c>
      <c r="Q5748" s="12" t="s">
        <v>36</v>
      </c>
      <c r="R5748" s="12" t="s">
        <v>36</v>
      </c>
      <c r="S5748" s="12" t="s">
        <v>36</v>
      </c>
      <c r="T5748" s="12" t="s">
        <v>19737</v>
      </c>
      <c r="U5748" s="12" t="s">
        <v>38</v>
      </c>
      <c r="V5748" s="12" t="s">
        <v>39</v>
      </c>
      <c r="W5748" s="12" t="s">
        <v>19738</v>
      </c>
      <c r="X5748" s="16" t="s">
        <v>26796</v>
      </c>
      <c r="Y5748" s="15" t="s">
        <v>42</v>
      </c>
      <c r="Z5748" s="14">
        <v>1.17</v>
      </c>
      <c r="AA5748" s="14">
        <v>2.8</v>
      </c>
      <c r="AB5748" s="12" t="s">
        <v>43</v>
      </c>
      <c r="AC5748" s="12" t="s">
        <v>19740</v>
      </c>
      <c r="AD5748" s="13">
        <v>43062</v>
      </c>
      <c r="AE5748" s="12" t="s">
        <v>110</v>
      </c>
      <c r="AF5748" s="12" t="s">
        <v>275</v>
      </c>
      <c r="AG5748" s="12" t="s">
        <v>81</v>
      </c>
      <c r="AH5748" s="1">
        <f>HYPERLINK("https://my.pitchbook.com?c=100556-29T","View Company Online")</f>
      </c>
    </row>
    <row r="5749">
      <c r="A5749" s="3" t="s">
        <v>26797</v>
      </c>
      <c r="B5749" s="3" t="s">
        <v>26798</v>
      </c>
      <c r="C5749" s="5">
        <v>1</v>
      </c>
      <c r="D5749" s="5" t="s">
        <v>36</v>
      </c>
      <c r="E5749" s="5">
        <v>1</v>
      </c>
      <c r="F5749" s="5">
        <v>1</v>
      </c>
      <c r="G5749" s="6" t="s">
        <v>36</v>
      </c>
      <c r="H5749" s="4">
        <v>20.77</v>
      </c>
      <c r="I5749" s="7">
        <v>11.89</v>
      </c>
      <c r="J5749" s="3" t="s">
        <v>521</v>
      </c>
      <c r="K5749" s="9" t="s">
        <v>36</v>
      </c>
      <c r="L5749" s="6" t="s">
        <v>36</v>
      </c>
      <c r="M5749" s="3" t="s">
        <v>36</v>
      </c>
      <c r="N5749" s="3" t="s">
        <v>36</v>
      </c>
      <c r="O5749" s="8" t="s">
        <v>36</v>
      </c>
      <c r="P5749" s="3" t="s">
        <v>36</v>
      </c>
      <c r="Q5749" s="3" t="s">
        <v>36</v>
      </c>
      <c r="R5749" s="3" t="s">
        <v>36</v>
      </c>
      <c r="S5749" s="3" t="s">
        <v>36</v>
      </c>
      <c r="T5749" s="3" t="s">
        <v>26799</v>
      </c>
      <c r="U5749" s="3" t="s">
        <v>38</v>
      </c>
      <c r="V5749" s="3" t="s">
        <v>39</v>
      </c>
      <c r="W5749" s="3" t="s">
        <v>26800</v>
      </c>
      <c r="X5749" s="10" t="s">
        <v>26801</v>
      </c>
      <c r="Y5749" s="6" t="s">
        <v>108</v>
      </c>
      <c r="Z5749" s="4">
        <v>0.35</v>
      </c>
      <c r="AA5749" s="4">
        <v>2.94</v>
      </c>
      <c r="AB5749" s="3" t="s">
        <v>43</v>
      </c>
      <c r="AC5749" s="3" t="s">
        <v>26802</v>
      </c>
      <c r="AD5749" s="9">
        <v>43061</v>
      </c>
      <c r="AE5749" s="3" t="s">
        <v>134</v>
      </c>
      <c r="AF5749" s="3" t="s">
        <v>26803</v>
      </c>
      <c r="AG5749" s="3" t="s">
        <v>899</v>
      </c>
      <c r="AH5749" s="11">
        <f>HYPERLINK("https://my.pitchbook.com?c=126016-21T","View Company Online")</f>
      </c>
    </row>
    <row r="5750">
      <c r="A5750" s="12" t="s">
        <v>26804</v>
      </c>
      <c r="B5750" s="12" t="s">
        <v>26805</v>
      </c>
      <c r="C5750" s="19" t="s">
        <v>36</v>
      </c>
      <c r="D5750" s="19" t="s">
        <v>36</v>
      </c>
      <c r="E5750" s="19" t="s">
        <v>36</v>
      </c>
      <c r="F5750" s="19" t="s">
        <v>36</v>
      </c>
      <c r="G5750" s="15" t="s">
        <v>2497</v>
      </c>
      <c r="H5750" s="14">
        <v>39.47</v>
      </c>
      <c r="I5750" s="18">
        <v>9.1</v>
      </c>
      <c r="J5750" s="12" t="s">
        <v>521</v>
      </c>
      <c r="K5750" s="13" t="s">
        <v>36</v>
      </c>
      <c r="L5750" s="15" t="s">
        <v>36</v>
      </c>
      <c r="M5750" s="12" t="s">
        <v>36</v>
      </c>
      <c r="N5750" s="12" t="s">
        <v>36</v>
      </c>
      <c r="O5750" s="17" t="s">
        <v>36</v>
      </c>
      <c r="P5750" s="12" t="s">
        <v>36</v>
      </c>
      <c r="Q5750" s="12" t="s">
        <v>36</v>
      </c>
      <c r="R5750" s="12" t="s">
        <v>36</v>
      </c>
      <c r="S5750" s="12" t="s">
        <v>36</v>
      </c>
      <c r="T5750" s="12" t="s">
        <v>26806</v>
      </c>
      <c r="U5750" s="12" t="s">
        <v>3000</v>
      </c>
      <c r="V5750" s="12" t="s">
        <v>378</v>
      </c>
      <c r="W5750" s="12" t="s">
        <v>26807</v>
      </c>
      <c r="X5750" s="16" t="s">
        <v>26808</v>
      </c>
      <c r="Y5750" s="15" t="s">
        <v>108</v>
      </c>
      <c r="Z5750" s="14">
        <v>1.39</v>
      </c>
      <c r="AA5750" s="14">
        <v>15.26</v>
      </c>
      <c r="AB5750" s="12" t="s">
        <v>43</v>
      </c>
      <c r="AC5750" s="12" t="s">
        <v>26809</v>
      </c>
      <c r="AD5750" s="13">
        <v>43060</v>
      </c>
      <c r="AE5750" s="12" t="s">
        <v>3004</v>
      </c>
      <c r="AF5750" s="12" t="s">
        <v>571</v>
      </c>
      <c r="AG5750" s="12" t="s">
        <v>23787</v>
      </c>
      <c r="AH5750" s="1">
        <f>HYPERLINK("https://my.pitchbook.com?c=44429-41T","View Company Online")</f>
      </c>
    </row>
    <row r="5751">
      <c r="A5751" s="3" t="s">
        <v>26810</v>
      </c>
      <c r="B5751" s="3" t="s">
        <v>14724</v>
      </c>
      <c r="C5751" s="5" t="s">
        <v>36</v>
      </c>
      <c r="D5751" s="5" t="s">
        <v>36</v>
      </c>
      <c r="E5751" s="5" t="s">
        <v>36</v>
      </c>
      <c r="F5751" s="5" t="s">
        <v>36</v>
      </c>
      <c r="G5751" s="6" t="s">
        <v>36</v>
      </c>
      <c r="H5751" s="4">
        <v>1305.78</v>
      </c>
      <c r="I5751" s="7">
        <v>30.19</v>
      </c>
      <c r="J5751" s="3" t="s">
        <v>521</v>
      </c>
      <c r="K5751" s="9" t="s">
        <v>36</v>
      </c>
      <c r="L5751" s="6" t="s">
        <v>36</v>
      </c>
      <c r="M5751" s="3" t="s">
        <v>36</v>
      </c>
      <c r="N5751" s="3" t="s">
        <v>36</v>
      </c>
      <c r="O5751" s="8" t="s">
        <v>36</v>
      </c>
      <c r="P5751" s="3" t="s">
        <v>36</v>
      </c>
      <c r="Q5751" s="3" t="s">
        <v>36</v>
      </c>
      <c r="R5751" s="3" t="s">
        <v>36</v>
      </c>
      <c r="S5751" s="3" t="s">
        <v>36</v>
      </c>
      <c r="T5751" s="3" t="s">
        <v>14725</v>
      </c>
      <c r="U5751" s="3" t="s">
        <v>289</v>
      </c>
      <c r="V5751" s="3" t="s">
        <v>64</v>
      </c>
      <c r="W5751" s="3" t="s">
        <v>14726</v>
      </c>
      <c r="X5751" s="10" t="s">
        <v>26811</v>
      </c>
      <c r="Y5751" s="6" t="s">
        <v>42</v>
      </c>
      <c r="Z5751" s="4">
        <v>2.49</v>
      </c>
      <c r="AA5751" s="4">
        <v>4.89</v>
      </c>
      <c r="AB5751" s="3" t="s">
        <v>43</v>
      </c>
      <c r="AC5751" s="3" t="s">
        <v>14728</v>
      </c>
      <c r="AD5751" s="9">
        <v>43060</v>
      </c>
      <c r="AE5751" s="3" t="s">
        <v>292</v>
      </c>
      <c r="AF5751" s="3" t="s">
        <v>2118</v>
      </c>
      <c r="AG5751" s="3" t="s">
        <v>14729</v>
      </c>
      <c r="AH5751" s="11">
        <f>HYPERLINK("https://my.pitchbook.com?c=103022-11T","View Company Online")</f>
      </c>
    </row>
    <row r="5752">
      <c r="A5752" s="12" t="s">
        <v>26812</v>
      </c>
      <c r="B5752" s="12" t="s">
        <v>21258</v>
      </c>
      <c r="C5752" s="19" t="s">
        <v>36</v>
      </c>
      <c r="D5752" s="19" t="s">
        <v>36</v>
      </c>
      <c r="E5752" s="19" t="s">
        <v>36</v>
      </c>
      <c r="F5752" s="19" t="s">
        <v>36</v>
      </c>
      <c r="G5752" s="15" t="s">
        <v>2497</v>
      </c>
      <c r="H5752" s="14">
        <v>3.19</v>
      </c>
      <c r="I5752" s="18">
        <v>41.56</v>
      </c>
      <c r="J5752" s="12" t="s">
        <v>521</v>
      </c>
      <c r="K5752" s="13">
        <v>43059</v>
      </c>
      <c r="L5752" s="15" t="s">
        <v>36</v>
      </c>
      <c r="M5752" s="12" t="s">
        <v>36</v>
      </c>
      <c r="N5752" s="12" t="s">
        <v>36</v>
      </c>
      <c r="O5752" s="17" t="s">
        <v>36</v>
      </c>
      <c r="P5752" s="12" t="s">
        <v>36</v>
      </c>
      <c r="Q5752" s="12" t="s">
        <v>36</v>
      </c>
      <c r="R5752" s="12" t="s">
        <v>36</v>
      </c>
      <c r="S5752" s="12" t="s">
        <v>36</v>
      </c>
      <c r="T5752" s="12" t="s">
        <v>8186</v>
      </c>
      <c r="U5752" s="12" t="s">
        <v>38</v>
      </c>
      <c r="V5752" s="12" t="s">
        <v>39</v>
      </c>
      <c r="W5752" s="12" t="s">
        <v>21259</v>
      </c>
      <c r="X5752" s="16" t="s">
        <v>26813</v>
      </c>
      <c r="Y5752" s="15" t="s">
        <v>55</v>
      </c>
      <c r="Z5752" s="14">
        <v>7.01</v>
      </c>
      <c r="AA5752" s="14">
        <v>14.42</v>
      </c>
      <c r="AB5752" s="12" t="s">
        <v>43</v>
      </c>
      <c r="AC5752" s="12" t="s">
        <v>21261</v>
      </c>
      <c r="AD5752" s="13">
        <v>43060</v>
      </c>
      <c r="AE5752" s="12" t="s">
        <v>1945</v>
      </c>
      <c r="AF5752" s="12" t="s">
        <v>1115</v>
      </c>
      <c r="AG5752" s="12" t="s">
        <v>81</v>
      </c>
      <c r="AH5752" s="1">
        <f>HYPERLINK("https://my.pitchbook.com?c=97462-72T","View Company Online")</f>
      </c>
    </row>
    <row r="5753">
      <c r="A5753" s="3" t="s">
        <v>26814</v>
      </c>
      <c r="B5753" s="3" t="s">
        <v>17006</v>
      </c>
      <c r="C5753" s="5">
        <v>17</v>
      </c>
      <c r="D5753" s="5">
        <v>18</v>
      </c>
      <c r="E5753" s="5">
        <v>13</v>
      </c>
      <c r="F5753" s="5">
        <v>39</v>
      </c>
      <c r="G5753" s="6" t="s">
        <v>683</v>
      </c>
      <c r="H5753" s="4">
        <v>2.17</v>
      </c>
      <c r="I5753" s="7">
        <v>80.22</v>
      </c>
      <c r="J5753" s="3" t="s">
        <v>327</v>
      </c>
      <c r="K5753" s="9" t="s">
        <v>36</v>
      </c>
      <c r="L5753" s="6" t="s">
        <v>122</v>
      </c>
      <c r="M5753" s="3" t="s">
        <v>36</v>
      </c>
      <c r="N5753" s="3" t="s">
        <v>122</v>
      </c>
      <c r="O5753" s="8" t="s">
        <v>36</v>
      </c>
      <c r="P5753" s="3" t="s">
        <v>36</v>
      </c>
      <c r="Q5753" s="3" t="s">
        <v>36</v>
      </c>
      <c r="R5753" s="3" t="s">
        <v>36</v>
      </c>
      <c r="S5753" s="3" t="s">
        <v>36</v>
      </c>
      <c r="T5753" s="3" t="s">
        <v>881</v>
      </c>
      <c r="U5753" s="3" t="s">
        <v>51</v>
      </c>
      <c r="V5753" s="3" t="s">
        <v>52</v>
      </c>
      <c r="W5753" s="3" t="s">
        <v>17007</v>
      </c>
      <c r="X5753" s="10" t="s">
        <v>26815</v>
      </c>
      <c r="Y5753" s="6" t="s">
        <v>55</v>
      </c>
      <c r="Z5753" s="4">
        <v>16.94</v>
      </c>
      <c r="AA5753" s="4">
        <v>15.9</v>
      </c>
      <c r="AB5753" s="3" t="s">
        <v>43</v>
      </c>
      <c r="AC5753" s="3" t="s">
        <v>17009</v>
      </c>
      <c r="AD5753" s="9">
        <v>43060</v>
      </c>
      <c r="AE5753" s="3" t="s">
        <v>504</v>
      </c>
      <c r="AF5753" s="3" t="s">
        <v>665</v>
      </c>
      <c r="AG5753" s="3" t="s">
        <v>13998</v>
      </c>
      <c r="AH5753" s="11">
        <f>HYPERLINK("https://my.pitchbook.com?c=97525-09T","View Company Online")</f>
      </c>
    </row>
    <row r="5754">
      <c r="A5754" s="12" t="s">
        <v>26816</v>
      </c>
      <c r="B5754" s="12" t="s">
        <v>26817</v>
      </c>
      <c r="C5754" s="19" t="s">
        <v>36</v>
      </c>
      <c r="D5754" s="19" t="s">
        <v>36</v>
      </c>
      <c r="E5754" s="19" t="s">
        <v>36</v>
      </c>
      <c r="F5754" s="19" t="s">
        <v>36</v>
      </c>
      <c r="G5754" s="15" t="s">
        <v>36</v>
      </c>
      <c r="H5754" s="14">
        <v>99.81</v>
      </c>
      <c r="I5754" s="18">
        <v>34.02</v>
      </c>
      <c r="J5754" s="12" t="s">
        <v>521</v>
      </c>
      <c r="K5754" s="13" t="s">
        <v>36</v>
      </c>
      <c r="L5754" s="15" t="s">
        <v>36</v>
      </c>
      <c r="M5754" s="12" t="s">
        <v>36</v>
      </c>
      <c r="N5754" s="12" t="s">
        <v>36</v>
      </c>
      <c r="O5754" s="17" t="s">
        <v>36</v>
      </c>
      <c r="P5754" s="12" t="s">
        <v>36</v>
      </c>
      <c r="Q5754" s="12" t="s">
        <v>36</v>
      </c>
      <c r="R5754" s="12" t="s">
        <v>36</v>
      </c>
      <c r="S5754" s="12" t="s">
        <v>36</v>
      </c>
      <c r="T5754" s="12" t="s">
        <v>10467</v>
      </c>
      <c r="U5754" s="12" t="s">
        <v>423</v>
      </c>
      <c r="V5754" s="12" t="s">
        <v>64</v>
      </c>
      <c r="W5754" s="12" t="s">
        <v>26818</v>
      </c>
      <c r="X5754" s="16" t="s">
        <v>26449</v>
      </c>
      <c r="Y5754" s="15" t="s">
        <v>42</v>
      </c>
      <c r="Z5754" s="14">
        <v>0.58</v>
      </c>
      <c r="AA5754" s="14">
        <v>1.72</v>
      </c>
      <c r="AB5754" s="12" t="s">
        <v>43</v>
      </c>
      <c r="AC5754" s="12" t="s">
        <v>26819</v>
      </c>
      <c r="AD5754" s="13">
        <v>43058</v>
      </c>
      <c r="AE5754" s="12" t="s">
        <v>427</v>
      </c>
      <c r="AF5754" s="12" t="s">
        <v>1061</v>
      </c>
      <c r="AG5754" s="12" t="s">
        <v>81</v>
      </c>
      <c r="AH5754" s="1">
        <f>HYPERLINK("https://my.pitchbook.com?c=116676-82T","View Company Online")</f>
      </c>
    </row>
    <row r="5755">
      <c r="A5755" s="3" t="s">
        <v>26820</v>
      </c>
      <c r="B5755" s="3" t="s">
        <v>12740</v>
      </c>
      <c r="C5755" s="5" t="s">
        <v>36</v>
      </c>
      <c r="D5755" s="5" t="s">
        <v>36</v>
      </c>
      <c r="E5755" s="5" t="s">
        <v>36</v>
      </c>
      <c r="F5755" s="5" t="s">
        <v>36</v>
      </c>
      <c r="G5755" s="6" t="s">
        <v>36</v>
      </c>
      <c r="H5755" s="4" t="s">
        <v>36</v>
      </c>
      <c r="I5755" s="7" t="s">
        <v>36</v>
      </c>
      <c r="J5755" s="3" t="s">
        <v>36</v>
      </c>
      <c r="K5755" s="9" t="s">
        <v>36</v>
      </c>
      <c r="L5755" s="6" t="s">
        <v>36</v>
      </c>
      <c r="M5755" s="3" t="s">
        <v>36</v>
      </c>
      <c r="N5755" s="3" t="s">
        <v>36</v>
      </c>
      <c r="O5755" s="8" t="s">
        <v>36</v>
      </c>
      <c r="P5755" s="3" t="s">
        <v>36</v>
      </c>
      <c r="Q5755" s="3" t="s">
        <v>36</v>
      </c>
      <c r="R5755" s="3" t="s">
        <v>36</v>
      </c>
      <c r="S5755" s="3" t="s">
        <v>36</v>
      </c>
      <c r="T5755" s="3" t="s">
        <v>2515</v>
      </c>
      <c r="U5755" s="3" t="s">
        <v>74</v>
      </c>
      <c r="V5755" s="3" t="s">
        <v>75</v>
      </c>
      <c r="W5755" s="3" t="s">
        <v>12741</v>
      </c>
      <c r="X5755" s="10" t="s">
        <v>26821</v>
      </c>
      <c r="Y5755" s="6" t="s">
        <v>108</v>
      </c>
      <c r="Z5755" s="4">
        <v>1.52</v>
      </c>
      <c r="AA5755" s="4" t="s">
        <v>36</v>
      </c>
      <c r="AB5755" s="3" t="s">
        <v>43</v>
      </c>
      <c r="AC5755" s="3" t="s">
        <v>12743</v>
      </c>
      <c r="AD5755" s="9">
        <v>43056</v>
      </c>
      <c r="AE5755" s="3" t="s">
        <v>570</v>
      </c>
      <c r="AF5755" s="3" t="s">
        <v>982</v>
      </c>
      <c r="AG5755" s="3" t="s">
        <v>12744</v>
      </c>
      <c r="AH5755" s="11">
        <f>HYPERLINK("https://my.pitchbook.com?c=122952-07T","View Company Online")</f>
      </c>
    </row>
    <row r="5756">
      <c r="A5756" s="12" t="s">
        <v>26822</v>
      </c>
      <c r="B5756" s="12" t="s">
        <v>26823</v>
      </c>
      <c r="C5756" s="19">
        <v>3</v>
      </c>
      <c r="D5756" s="19">
        <v>7</v>
      </c>
      <c r="E5756" s="19">
        <v>6</v>
      </c>
      <c r="F5756" s="19">
        <v>13</v>
      </c>
      <c r="G5756" s="15" t="s">
        <v>36</v>
      </c>
      <c r="H5756" s="14">
        <v>33.54</v>
      </c>
      <c r="I5756" s="18">
        <v>16</v>
      </c>
      <c r="J5756" s="12" t="s">
        <v>521</v>
      </c>
      <c r="K5756" s="13">
        <v>42943</v>
      </c>
      <c r="L5756" s="15" t="s">
        <v>36</v>
      </c>
      <c r="M5756" s="12" t="s">
        <v>36</v>
      </c>
      <c r="N5756" s="12" t="s">
        <v>36</v>
      </c>
      <c r="O5756" s="17" t="s">
        <v>36</v>
      </c>
      <c r="P5756" s="12" t="s">
        <v>36</v>
      </c>
      <c r="Q5756" s="12" t="s">
        <v>36</v>
      </c>
      <c r="R5756" s="12" t="s">
        <v>36</v>
      </c>
      <c r="S5756" s="12" t="s">
        <v>36</v>
      </c>
      <c r="T5756" s="12" t="s">
        <v>18982</v>
      </c>
      <c r="U5756" s="12" t="s">
        <v>1798</v>
      </c>
      <c r="V5756" s="12" t="s">
        <v>39</v>
      </c>
      <c r="W5756" s="12" t="s">
        <v>26824</v>
      </c>
      <c r="X5756" s="16" t="s">
        <v>26825</v>
      </c>
      <c r="Y5756" s="15" t="s">
        <v>166</v>
      </c>
      <c r="Z5756" s="14">
        <v>1.7</v>
      </c>
      <c r="AA5756" s="14">
        <v>9.18</v>
      </c>
      <c r="AB5756" s="12" t="s">
        <v>56</v>
      </c>
      <c r="AC5756" s="12" t="s">
        <v>26826</v>
      </c>
      <c r="AD5756" s="13">
        <v>43055</v>
      </c>
      <c r="AE5756" s="12" t="s">
        <v>1802</v>
      </c>
      <c r="AF5756" s="12" t="s">
        <v>10379</v>
      </c>
      <c r="AG5756" s="12" t="s">
        <v>26827</v>
      </c>
      <c r="AH5756" s="1">
        <f>HYPERLINK("https://my.pitchbook.com?c=118415-35T","View Company Online")</f>
      </c>
    </row>
    <row r="5757">
      <c r="A5757" s="3" t="s">
        <v>26828</v>
      </c>
      <c r="B5757" s="3" t="s">
        <v>26829</v>
      </c>
      <c r="C5757" s="5" t="s">
        <v>36</v>
      </c>
      <c r="D5757" s="5">
        <v>3</v>
      </c>
      <c r="E5757" s="5">
        <v>1</v>
      </c>
      <c r="F5757" s="5">
        <v>4</v>
      </c>
      <c r="G5757" s="6" t="s">
        <v>36</v>
      </c>
      <c r="H5757" s="4" t="s">
        <v>36</v>
      </c>
      <c r="I5757" s="7" t="s">
        <v>36</v>
      </c>
      <c r="J5757" s="3" t="s">
        <v>36</v>
      </c>
      <c r="K5757" s="9">
        <v>42802</v>
      </c>
      <c r="L5757" s="6" t="s">
        <v>122</v>
      </c>
      <c r="M5757" s="3" t="s">
        <v>36</v>
      </c>
      <c r="N5757" s="3" t="s">
        <v>122</v>
      </c>
      <c r="O5757" s="8" t="s">
        <v>36</v>
      </c>
      <c r="P5757" s="3" t="s">
        <v>36</v>
      </c>
      <c r="Q5757" s="3" t="s">
        <v>36</v>
      </c>
      <c r="R5757" s="3" t="s">
        <v>36</v>
      </c>
      <c r="S5757" s="3" t="s">
        <v>36</v>
      </c>
      <c r="T5757" s="3" t="s">
        <v>26830</v>
      </c>
      <c r="U5757" s="3" t="s">
        <v>38</v>
      </c>
      <c r="V5757" s="3" t="s">
        <v>39</v>
      </c>
      <c r="W5757" s="3" t="s">
        <v>26831</v>
      </c>
      <c r="X5757" s="10" t="s">
        <v>26832</v>
      </c>
      <c r="Y5757" s="6" t="s">
        <v>192</v>
      </c>
      <c r="Z5757" s="4">
        <v>10.64</v>
      </c>
      <c r="AA5757" s="4" t="s">
        <v>36</v>
      </c>
      <c r="AB5757" s="3" t="s">
        <v>56</v>
      </c>
      <c r="AC5757" s="3" t="s">
        <v>26833</v>
      </c>
      <c r="AD5757" s="9">
        <v>43055</v>
      </c>
      <c r="AE5757" s="3" t="s">
        <v>110</v>
      </c>
      <c r="AF5757" s="3" t="s">
        <v>1331</v>
      </c>
      <c r="AG5757" s="3" t="s">
        <v>81</v>
      </c>
      <c r="AH5757" s="11">
        <f>HYPERLINK("https://my.pitchbook.com?c=107496-01T","View Company Online")</f>
      </c>
    </row>
    <row r="5758">
      <c r="A5758" s="12" t="s">
        <v>26834</v>
      </c>
      <c r="B5758" s="12" t="s">
        <v>26835</v>
      </c>
      <c r="C5758" s="19" t="s">
        <v>36</v>
      </c>
      <c r="D5758" s="19" t="s">
        <v>36</v>
      </c>
      <c r="E5758" s="19" t="s">
        <v>36</v>
      </c>
      <c r="F5758" s="19" t="s">
        <v>36</v>
      </c>
      <c r="G5758" s="15" t="s">
        <v>36</v>
      </c>
      <c r="H5758" s="14">
        <v>248.01</v>
      </c>
      <c r="I5758" s="18">
        <v>6.65</v>
      </c>
      <c r="J5758" s="12" t="s">
        <v>521</v>
      </c>
      <c r="K5758" s="13" t="s">
        <v>36</v>
      </c>
      <c r="L5758" s="15" t="s">
        <v>36</v>
      </c>
      <c r="M5758" s="12" t="s">
        <v>36</v>
      </c>
      <c r="N5758" s="12" t="s">
        <v>36</v>
      </c>
      <c r="O5758" s="17" t="s">
        <v>36</v>
      </c>
      <c r="P5758" s="12" t="s">
        <v>36</v>
      </c>
      <c r="Q5758" s="12" t="s">
        <v>36</v>
      </c>
      <c r="R5758" s="12" t="s">
        <v>36</v>
      </c>
      <c r="S5758" s="12" t="s">
        <v>36</v>
      </c>
      <c r="T5758" s="12" t="s">
        <v>105</v>
      </c>
      <c r="U5758" s="12" t="s">
        <v>38</v>
      </c>
      <c r="V5758" s="12" t="s">
        <v>39</v>
      </c>
      <c r="W5758" s="12" t="s">
        <v>26836</v>
      </c>
      <c r="X5758" s="16" t="s">
        <v>5892</v>
      </c>
      <c r="Y5758" s="15" t="s">
        <v>108</v>
      </c>
      <c r="Z5758" s="14">
        <v>0.14</v>
      </c>
      <c r="AA5758" s="14">
        <v>2.11</v>
      </c>
      <c r="AB5758" s="12" t="s">
        <v>56</v>
      </c>
      <c r="AC5758" s="12" t="s">
        <v>26837</v>
      </c>
      <c r="AD5758" s="13">
        <v>43055</v>
      </c>
      <c r="AE5758" s="12" t="s">
        <v>110</v>
      </c>
      <c r="AF5758" s="12" t="s">
        <v>6214</v>
      </c>
      <c r="AG5758" s="12" t="s">
        <v>7046</v>
      </c>
      <c r="AH5758" s="1">
        <f>HYPERLINK("https://my.pitchbook.com?c=117763-12T","View Company Online")</f>
      </c>
    </row>
    <row r="5759">
      <c r="A5759" s="3" t="s">
        <v>26838</v>
      </c>
      <c r="B5759" s="3" t="s">
        <v>4861</v>
      </c>
      <c r="C5759" s="5" t="s">
        <v>36</v>
      </c>
      <c r="D5759" s="5">
        <v>4</v>
      </c>
      <c r="E5759" s="5">
        <v>1</v>
      </c>
      <c r="F5759" s="5">
        <v>5</v>
      </c>
      <c r="G5759" s="6" t="s">
        <v>36</v>
      </c>
      <c r="H5759" s="4">
        <v>110.78</v>
      </c>
      <c r="I5759" s="7">
        <v>18.52</v>
      </c>
      <c r="J5759" s="3" t="s">
        <v>521</v>
      </c>
      <c r="K5759" s="9">
        <v>43012</v>
      </c>
      <c r="L5759" s="6" t="s">
        <v>36</v>
      </c>
      <c r="M5759" s="3" t="s">
        <v>36</v>
      </c>
      <c r="N5759" s="3" t="s">
        <v>36</v>
      </c>
      <c r="O5759" s="8" t="s">
        <v>36</v>
      </c>
      <c r="P5759" s="3" t="s">
        <v>36</v>
      </c>
      <c r="Q5759" s="3" t="s">
        <v>36</v>
      </c>
      <c r="R5759" s="3" t="s">
        <v>36</v>
      </c>
      <c r="S5759" s="3" t="s">
        <v>36</v>
      </c>
      <c r="T5759" s="3" t="s">
        <v>881</v>
      </c>
      <c r="U5759" s="3" t="s">
        <v>51</v>
      </c>
      <c r="V5759" s="3" t="s">
        <v>52</v>
      </c>
      <c r="W5759" s="3" t="s">
        <v>4862</v>
      </c>
      <c r="X5759" s="10" t="s">
        <v>26839</v>
      </c>
      <c r="Y5759" s="6" t="s">
        <v>55</v>
      </c>
      <c r="Z5759" s="4">
        <v>1.4</v>
      </c>
      <c r="AA5759" s="4">
        <v>7.58</v>
      </c>
      <c r="AB5759" s="3" t="s">
        <v>43</v>
      </c>
      <c r="AC5759" s="3" t="s">
        <v>4864</v>
      </c>
      <c r="AD5759" s="9">
        <v>43055</v>
      </c>
      <c r="AE5759" s="3" t="s">
        <v>504</v>
      </c>
      <c r="AF5759" s="3" t="s">
        <v>4865</v>
      </c>
      <c r="AG5759" s="3" t="s">
        <v>4866</v>
      </c>
      <c r="AH5759" s="11">
        <f>HYPERLINK("https://my.pitchbook.com?c=108087-85T","View Company Online")</f>
      </c>
    </row>
    <row r="5760">
      <c r="A5760" s="12" t="s">
        <v>26840</v>
      </c>
      <c r="B5760" s="12" t="s">
        <v>470</v>
      </c>
      <c r="C5760" s="19" t="s">
        <v>36</v>
      </c>
      <c r="D5760" s="19" t="s">
        <v>36</v>
      </c>
      <c r="E5760" s="19" t="s">
        <v>36</v>
      </c>
      <c r="F5760" s="19" t="s">
        <v>36</v>
      </c>
      <c r="G5760" s="15" t="s">
        <v>36</v>
      </c>
      <c r="H5760" s="14" t="s">
        <v>36</v>
      </c>
      <c r="I5760" s="18" t="s">
        <v>36</v>
      </c>
      <c r="J5760" s="12" t="s">
        <v>36</v>
      </c>
      <c r="K5760" s="13" t="s">
        <v>36</v>
      </c>
      <c r="L5760" s="15" t="s">
        <v>122</v>
      </c>
      <c r="M5760" s="12" t="s">
        <v>36</v>
      </c>
      <c r="N5760" s="12" t="s">
        <v>122</v>
      </c>
      <c r="O5760" s="17" t="s">
        <v>36</v>
      </c>
      <c r="P5760" s="12" t="s">
        <v>36</v>
      </c>
      <c r="Q5760" s="12" t="s">
        <v>36</v>
      </c>
      <c r="R5760" s="12" t="s">
        <v>36</v>
      </c>
      <c r="S5760" s="12" t="s">
        <v>36</v>
      </c>
      <c r="T5760" s="12" t="s">
        <v>472</v>
      </c>
      <c r="U5760" s="12" t="s">
        <v>38</v>
      </c>
      <c r="V5760" s="12" t="s">
        <v>39</v>
      </c>
      <c r="W5760" s="12" t="s">
        <v>473</v>
      </c>
      <c r="X5760" s="16" t="s">
        <v>26841</v>
      </c>
      <c r="Y5760" s="15" t="s">
        <v>108</v>
      </c>
      <c r="Z5760" s="14">
        <v>11.69</v>
      </c>
      <c r="AA5760" s="14" t="s">
        <v>36</v>
      </c>
      <c r="AB5760" s="12" t="s">
        <v>43</v>
      </c>
      <c r="AC5760" s="12" t="s">
        <v>476</v>
      </c>
      <c r="AD5760" s="13">
        <v>43055</v>
      </c>
      <c r="AE5760" s="12" t="s">
        <v>110</v>
      </c>
      <c r="AF5760" s="12" t="s">
        <v>477</v>
      </c>
      <c r="AG5760" s="12" t="s">
        <v>81</v>
      </c>
      <c r="AH5760" s="1">
        <f>HYPERLINK("https://my.pitchbook.com?c=97316-47T","View Company Online")</f>
      </c>
    </row>
    <row r="5761">
      <c r="A5761" s="3" t="s">
        <v>26842</v>
      </c>
      <c r="B5761" s="3" t="s">
        <v>26843</v>
      </c>
      <c r="C5761" s="5" t="s">
        <v>36</v>
      </c>
      <c r="D5761" s="5" t="s">
        <v>36</v>
      </c>
      <c r="E5761" s="5" t="s">
        <v>36</v>
      </c>
      <c r="F5761" s="5" t="s">
        <v>36</v>
      </c>
      <c r="G5761" s="6" t="s">
        <v>36</v>
      </c>
      <c r="H5761" s="4" t="s">
        <v>36</v>
      </c>
      <c r="I5761" s="7" t="s">
        <v>36</v>
      </c>
      <c r="J5761" s="3" t="s">
        <v>36</v>
      </c>
      <c r="K5761" s="9" t="s">
        <v>36</v>
      </c>
      <c r="L5761" s="6" t="s">
        <v>36</v>
      </c>
      <c r="M5761" s="3" t="s">
        <v>36</v>
      </c>
      <c r="N5761" s="3" t="s">
        <v>36</v>
      </c>
      <c r="O5761" s="8" t="s">
        <v>36</v>
      </c>
      <c r="P5761" s="3" t="s">
        <v>36</v>
      </c>
      <c r="Q5761" s="3" t="s">
        <v>36</v>
      </c>
      <c r="R5761" s="3" t="s">
        <v>36</v>
      </c>
      <c r="S5761" s="3" t="s">
        <v>36</v>
      </c>
      <c r="T5761" s="3" t="s">
        <v>3131</v>
      </c>
      <c r="U5761" s="3" t="s">
        <v>289</v>
      </c>
      <c r="V5761" s="3" t="s">
        <v>64</v>
      </c>
      <c r="W5761" s="3" t="s">
        <v>26844</v>
      </c>
      <c r="X5761" s="10" t="s">
        <v>26845</v>
      </c>
      <c r="Y5761" s="6" t="s">
        <v>55</v>
      </c>
      <c r="Z5761" s="4">
        <v>1.17</v>
      </c>
      <c r="AA5761" s="4" t="s">
        <v>36</v>
      </c>
      <c r="AB5761" s="3" t="s">
        <v>56</v>
      </c>
      <c r="AC5761" s="3" t="s">
        <v>26846</v>
      </c>
      <c r="AD5761" s="9">
        <v>43055</v>
      </c>
      <c r="AE5761" s="3" t="s">
        <v>3134</v>
      </c>
      <c r="AF5761" s="3" t="s">
        <v>90</v>
      </c>
      <c r="AG5761" s="3" t="s">
        <v>81</v>
      </c>
      <c r="AH5761" s="11">
        <f>HYPERLINK("https://my.pitchbook.com?c=99589-96T","View Company Online")</f>
      </c>
    </row>
    <row r="5762">
      <c r="A5762" s="12" t="s">
        <v>26847</v>
      </c>
      <c r="B5762" s="12" t="s">
        <v>26848</v>
      </c>
      <c r="C5762" s="19" t="s">
        <v>36</v>
      </c>
      <c r="D5762" s="19" t="s">
        <v>36</v>
      </c>
      <c r="E5762" s="19" t="s">
        <v>36</v>
      </c>
      <c r="F5762" s="19" t="s">
        <v>36</v>
      </c>
      <c r="G5762" s="15" t="s">
        <v>36</v>
      </c>
      <c r="H5762" s="14" t="s">
        <v>36</v>
      </c>
      <c r="I5762" s="18">
        <v>21</v>
      </c>
      <c r="J5762" s="12" t="s">
        <v>36</v>
      </c>
      <c r="K5762" s="13" t="s">
        <v>36</v>
      </c>
      <c r="L5762" s="15" t="s">
        <v>36</v>
      </c>
      <c r="M5762" s="12" t="s">
        <v>36</v>
      </c>
      <c r="N5762" s="12" t="s">
        <v>36</v>
      </c>
      <c r="O5762" s="17" t="s">
        <v>36</v>
      </c>
      <c r="P5762" s="12" t="s">
        <v>36</v>
      </c>
      <c r="Q5762" s="12" t="s">
        <v>36</v>
      </c>
      <c r="R5762" s="12" t="s">
        <v>36</v>
      </c>
      <c r="S5762" s="12" t="s">
        <v>36</v>
      </c>
      <c r="T5762" s="12" t="s">
        <v>24063</v>
      </c>
      <c r="U5762" s="12" t="s">
        <v>404</v>
      </c>
      <c r="V5762" s="12" t="s">
        <v>405</v>
      </c>
      <c r="W5762" s="12" t="s">
        <v>26849</v>
      </c>
      <c r="X5762" s="16" t="s">
        <v>26850</v>
      </c>
      <c r="Y5762" s="15" t="s">
        <v>108</v>
      </c>
      <c r="Z5762" s="14" t="s">
        <v>36</v>
      </c>
      <c r="AA5762" s="14" t="s">
        <v>36</v>
      </c>
      <c r="AB5762" s="12" t="s">
        <v>56</v>
      </c>
      <c r="AC5762" s="12" t="s">
        <v>26851</v>
      </c>
      <c r="AD5762" s="13">
        <v>43054</v>
      </c>
      <c r="AE5762" s="12" t="s">
        <v>409</v>
      </c>
      <c r="AF5762" s="12" t="s">
        <v>36</v>
      </c>
      <c r="AG5762" s="12" t="s">
        <v>81</v>
      </c>
      <c r="AH5762" s="1">
        <f>HYPERLINK("https://my.pitchbook.com?c=99441-37T","View Company Online")</f>
      </c>
    </row>
    <row r="5763">
      <c r="A5763" s="3" t="s">
        <v>26852</v>
      </c>
      <c r="B5763" s="3" t="s">
        <v>26853</v>
      </c>
      <c r="C5763" s="5" t="s">
        <v>36</v>
      </c>
      <c r="D5763" s="5" t="s">
        <v>36</v>
      </c>
      <c r="E5763" s="5" t="s">
        <v>36</v>
      </c>
      <c r="F5763" s="5" t="s">
        <v>36</v>
      </c>
      <c r="G5763" s="6" t="s">
        <v>36</v>
      </c>
      <c r="H5763" s="4" t="s">
        <v>36</v>
      </c>
      <c r="I5763" s="7" t="s">
        <v>36</v>
      </c>
      <c r="J5763" s="3" t="s">
        <v>36</v>
      </c>
      <c r="K5763" s="9" t="s">
        <v>36</v>
      </c>
      <c r="L5763" s="6" t="s">
        <v>122</v>
      </c>
      <c r="M5763" s="3" t="s">
        <v>36</v>
      </c>
      <c r="N5763" s="3" t="s">
        <v>122</v>
      </c>
      <c r="O5763" s="8" t="s">
        <v>36</v>
      </c>
      <c r="P5763" s="3" t="s">
        <v>36</v>
      </c>
      <c r="Q5763" s="3" t="s">
        <v>36</v>
      </c>
      <c r="R5763" s="3" t="s">
        <v>36</v>
      </c>
      <c r="S5763" s="3" t="s">
        <v>36</v>
      </c>
      <c r="T5763" s="3" t="s">
        <v>26854</v>
      </c>
      <c r="U5763" s="3" t="s">
        <v>38</v>
      </c>
      <c r="V5763" s="3" t="s">
        <v>39</v>
      </c>
      <c r="W5763" s="3" t="s">
        <v>26855</v>
      </c>
      <c r="X5763" s="10" t="s">
        <v>26856</v>
      </c>
      <c r="Y5763" s="6" t="s">
        <v>42</v>
      </c>
      <c r="Z5763" s="4">
        <v>19</v>
      </c>
      <c r="AA5763" s="4" t="s">
        <v>36</v>
      </c>
      <c r="AB5763" s="3" t="s">
        <v>43</v>
      </c>
      <c r="AC5763" s="3" t="s">
        <v>26857</v>
      </c>
      <c r="AD5763" s="9">
        <v>43054</v>
      </c>
      <c r="AE5763" s="3" t="s">
        <v>110</v>
      </c>
      <c r="AF5763" s="3" t="s">
        <v>22175</v>
      </c>
      <c r="AG5763" s="3" t="s">
        <v>81</v>
      </c>
      <c r="AH5763" s="11">
        <f>HYPERLINK("https://my.pitchbook.com?c=97283-35T","View Company Online")</f>
      </c>
    </row>
    <row r="5764">
      <c r="A5764" s="12" t="s">
        <v>26858</v>
      </c>
      <c r="B5764" s="12" t="s">
        <v>26859</v>
      </c>
      <c r="C5764" s="19" t="s">
        <v>36</v>
      </c>
      <c r="D5764" s="19" t="s">
        <v>36</v>
      </c>
      <c r="E5764" s="19" t="s">
        <v>36</v>
      </c>
      <c r="F5764" s="19" t="s">
        <v>36</v>
      </c>
      <c r="G5764" s="15" t="s">
        <v>36</v>
      </c>
      <c r="H5764" s="14">
        <v>3.53</v>
      </c>
      <c r="I5764" s="18">
        <v>17.65</v>
      </c>
      <c r="J5764" s="12" t="s">
        <v>521</v>
      </c>
      <c r="K5764" s="13">
        <v>42929</v>
      </c>
      <c r="L5764" s="15" t="s">
        <v>36</v>
      </c>
      <c r="M5764" s="12" t="s">
        <v>36</v>
      </c>
      <c r="N5764" s="12" t="s">
        <v>36</v>
      </c>
      <c r="O5764" s="17" t="s">
        <v>36</v>
      </c>
      <c r="P5764" s="12" t="s">
        <v>36</v>
      </c>
      <c r="Q5764" s="12" t="s">
        <v>36</v>
      </c>
      <c r="R5764" s="12" t="s">
        <v>36</v>
      </c>
      <c r="S5764" s="12" t="s">
        <v>36</v>
      </c>
      <c r="T5764" s="12" t="s">
        <v>522</v>
      </c>
      <c r="U5764" s="12" t="s">
        <v>38</v>
      </c>
      <c r="V5764" s="12" t="s">
        <v>39</v>
      </c>
      <c r="W5764" s="12" t="s">
        <v>26860</v>
      </c>
      <c r="X5764" s="16" t="s">
        <v>26861</v>
      </c>
      <c r="Y5764" s="15" t="s">
        <v>42</v>
      </c>
      <c r="Z5764" s="14">
        <v>0.35</v>
      </c>
      <c r="AA5764" s="14">
        <v>1.99</v>
      </c>
      <c r="AB5764" s="12" t="s">
        <v>43</v>
      </c>
      <c r="AC5764" s="12" t="s">
        <v>26862</v>
      </c>
      <c r="AD5764" s="13">
        <v>43054</v>
      </c>
      <c r="AE5764" s="12" t="s">
        <v>110</v>
      </c>
      <c r="AF5764" s="12" t="s">
        <v>4552</v>
      </c>
      <c r="AG5764" s="12" t="s">
        <v>26863</v>
      </c>
      <c r="AH5764" s="1">
        <f>HYPERLINK("https://my.pitchbook.com?c=80967-70T","View Company Online")</f>
      </c>
    </row>
    <row r="5765">
      <c r="A5765" s="3" t="s">
        <v>26864</v>
      </c>
      <c r="B5765" s="3" t="s">
        <v>26865</v>
      </c>
      <c r="C5765" s="5" t="s">
        <v>36</v>
      </c>
      <c r="D5765" s="5">
        <v>18</v>
      </c>
      <c r="E5765" s="5">
        <v>7</v>
      </c>
      <c r="F5765" s="5">
        <v>20</v>
      </c>
      <c r="G5765" s="6" t="s">
        <v>36</v>
      </c>
      <c r="H5765" s="4" t="s">
        <v>36</v>
      </c>
      <c r="I5765" s="7" t="s">
        <v>36</v>
      </c>
      <c r="J5765" s="3" t="s">
        <v>36</v>
      </c>
      <c r="K5765" s="9" t="s">
        <v>36</v>
      </c>
      <c r="L5765" s="6" t="s">
        <v>36</v>
      </c>
      <c r="M5765" s="3" t="s">
        <v>36</v>
      </c>
      <c r="N5765" s="3" t="s">
        <v>36</v>
      </c>
      <c r="O5765" s="8" t="s">
        <v>36</v>
      </c>
      <c r="P5765" s="3" t="s">
        <v>36</v>
      </c>
      <c r="Q5765" s="3" t="s">
        <v>36</v>
      </c>
      <c r="R5765" s="3" t="s">
        <v>36</v>
      </c>
      <c r="S5765" s="3" t="s">
        <v>36</v>
      </c>
      <c r="T5765" s="3" t="s">
        <v>26866</v>
      </c>
      <c r="U5765" s="3" t="s">
        <v>219</v>
      </c>
      <c r="V5765" s="3" t="s">
        <v>75</v>
      </c>
      <c r="W5765" s="3" t="s">
        <v>26867</v>
      </c>
      <c r="X5765" s="10" t="s">
        <v>26868</v>
      </c>
      <c r="Y5765" s="6" t="s">
        <v>42</v>
      </c>
      <c r="Z5765" s="4">
        <v>0.26</v>
      </c>
      <c r="AA5765" s="4" t="s">
        <v>36</v>
      </c>
      <c r="AB5765" s="3" t="s">
        <v>56</v>
      </c>
      <c r="AC5765" s="3" t="s">
        <v>26869</v>
      </c>
      <c r="AD5765" s="9">
        <v>43054</v>
      </c>
      <c r="AE5765" s="3" t="s">
        <v>223</v>
      </c>
      <c r="AF5765" s="3" t="s">
        <v>26870</v>
      </c>
      <c r="AG5765" s="3" t="s">
        <v>26871</v>
      </c>
      <c r="AH5765" s="11">
        <f>HYPERLINK("https://my.pitchbook.com?c=97437-43T","View Company Online")</f>
      </c>
    </row>
    <row r="5766">
      <c r="A5766" s="12" t="s">
        <v>26872</v>
      </c>
      <c r="B5766" s="12" t="s">
        <v>26873</v>
      </c>
      <c r="C5766" s="19" t="s">
        <v>36</v>
      </c>
      <c r="D5766" s="19" t="s">
        <v>36</v>
      </c>
      <c r="E5766" s="19" t="s">
        <v>36</v>
      </c>
      <c r="F5766" s="19" t="s">
        <v>36</v>
      </c>
      <c r="G5766" s="15" t="s">
        <v>36</v>
      </c>
      <c r="H5766" s="14" t="s">
        <v>36</v>
      </c>
      <c r="I5766" s="18" t="s">
        <v>36</v>
      </c>
      <c r="J5766" s="12" t="s">
        <v>36</v>
      </c>
      <c r="K5766" s="13" t="s">
        <v>36</v>
      </c>
      <c r="L5766" s="15" t="s">
        <v>36</v>
      </c>
      <c r="M5766" s="12" t="s">
        <v>36</v>
      </c>
      <c r="N5766" s="12" t="s">
        <v>36</v>
      </c>
      <c r="O5766" s="17" t="s">
        <v>36</v>
      </c>
      <c r="P5766" s="12" t="s">
        <v>36</v>
      </c>
      <c r="Q5766" s="12" t="s">
        <v>36</v>
      </c>
      <c r="R5766" s="12" t="s">
        <v>36</v>
      </c>
      <c r="S5766" s="12" t="s">
        <v>36</v>
      </c>
      <c r="T5766" s="12" t="s">
        <v>13476</v>
      </c>
      <c r="U5766" s="12" t="s">
        <v>648</v>
      </c>
      <c r="V5766" s="12" t="s">
        <v>64</v>
      </c>
      <c r="W5766" s="12" t="s">
        <v>26874</v>
      </c>
      <c r="X5766" s="16" t="s">
        <v>26875</v>
      </c>
      <c r="Y5766" s="15" t="s">
        <v>42</v>
      </c>
      <c r="Z5766" s="14">
        <v>4.6</v>
      </c>
      <c r="AA5766" s="14" t="s">
        <v>36</v>
      </c>
      <c r="AB5766" s="12" t="s">
        <v>56</v>
      </c>
      <c r="AC5766" s="12" t="s">
        <v>26876</v>
      </c>
      <c r="AD5766" s="13">
        <v>43054</v>
      </c>
      <c r="AE5766" s="12" t="s">
        <v>651</v>
      </c>
      <c r="AF5766" s="12" t="s">
        <v>118</v>
      </c>
      <c r="AG5766" s="12" t="s">
        <v>26877</v>
      </c>
      <c r="AH5766" s="1">
        <f>HYPERLINK("https://my.pitchbook.com?c=109899-19T","View Company Online")</f>
      </c>
    </row>
    <row r="5767">
      <c r="A5767" s="3" t="s">
        <v>26878</v>
      </c>
      <c r="B5767" s="3" t="s">
        <v>18169</v>
      </c>
      <c r="C5767" s="5" t="s">
        <v>36</v>
      </c>
      <c r="D5767" s="5" t="s">
        <v>36</v>
      </c>
      <c r="E5767" s="5" t="s">
        <v>36</v>
      </c>
      <c r="F5767" s="5" t="s">
        <v>36</v>
      </c>
      <c r="G5767" s="6" t="s">
        <v>36</v>
      </c>
      <c r="H5767" s="4" t="s">
        <v>36</v>
      </c>
      <c r="I5767" s="7" t="s">
        <v>36</v>
      </c>
      <c r="J5767" s="3" t="s">
        <v>36</v>
      </c>
      <c r="K5767" s="9" t="s">
        <v>36</v>
      </c>
      <c r="L5767" s="6" t="s">
        <v>36</v>
      </c>
      <c r="M5767" s="3" t="s">
        <v>36</v>
      </c>
      <c r="N5767" s="3" t="s">
        <v>36</v>
      </c>
      <c r="O5767" s="8" t="s">
        <v>36</v>
      </c>
      <c r="P5767" s="3" t="s">
        <v>36</v>
      </c>
      <c r="Q5767" s="3" t="s">
        <v>36</v>
      </c>
      <c r="R5767" s="3" t="s">
        <v>36</v>
      </c>
      <c r="S5767" s="3" t="s">
        <v>36</v>
      </c>
      <c r="T5767" s="3" t="s">
        <v>1048</v>
      </c>
      <c r="U5767" s="3" t="s">
        <v>423</v>
      </c>
      <c r="V5767" s="3" t="s">
        <v>64</v>
      </c>
      <c r="W5767" s="3" t="s">
        <v>18170</v>
      </c>
      <c r="X5767" s="10" t="s">
        <v>26879</v>
      </c>
      <c r="Y5767" s="6" t="s">
        <v>42</v>
      </c>
      <c r="Z5767" s="4">
        <v>0.45</v>
      </c>
      <c r="AA5767" s="4" t="s">
        <v>36</v>
      </c>
      <c r="AB5767" s="3" t="s">
        <v>43</v>
      </c>
      <c r="AC5767" s="3" t="s">
        <v>18172</v>
      </c>
      <c r="AD5767" s="9">
        <v>43053</v>
      </c>
      <c r="AE5767" s="3" t="s">
        <v>1051</v>
      </c>
      <c r="AF5767" s="3" t="s">
        <v>12231</v>
      </c>
      <c r="AG5767" s="3" t="s">
        <v>1843</v>
      </c>
      <c r="AH5767" s="11">
        <f>HYPERLINK("https://my.pitchbook.com?c=128308-42T","View Company Online")</f>
      </c>
    </row>
    <row r="5768">
      <c r="A5768" s="12" t="s">
        <v>26880</v>
      </c>
      <c r="B5768" s="12" t="s">
        <v>12648</v>
      </c>
      <c r="C5768" s="19" t="s">
        <v>36</v>
      </c>
      <c r="D5768" s="19" t="s">
        <v>36</v>
      </c>
      <c r="E5768" s="19" t="s">
        <v>36</v>
      </c>
      <c r="F5768" s="19" t="s">
        <v>36</v>
      </c>
      <c r="G5768" s="15" t="s">
        <v>326</v>
      </c>
      <c r="H5768" s="14">
        <v>29.93</v>
      </c>
      <c r="I5768" s="18">
        <v>29.22</v>
      </c>
      <c r="J5768" s="12" t="s">
        <v>521</v>
      </c>
      <c r="K5768" s="13">
        <v>43025</v>
      </c>
      <c r="L5768" s="15" t="s">
        <v>36</v>
      </c>
      <c r="M5768" s="12" t="s">
        <v>36</v>
      </c>
      <c r="N5768" s="12" t="s">
        <v>36</v>
      </c>
      <c r="O5768" s="17" t="s">
        <v>36</v>
      </c>
      <c r="P5768" s="12" t="s">
        <v>36</v>
      </c>
      <c r="Q5768" s="12" t="s">
        <v>36</v>
      </c>
      <c r="R5768" s="12" t="s">
        <v>36</v>
      </c>
      <c r="S5768" s="12" t="s">
        <v>36</v>
      </c>
      <c r="T5768" s="12" t="s">
        <v>12649</v>
      </c>
      <c r="U5768" s="12" t="s">
        <v>648</v>
      </c>
      <c r="V5768" s="12" t="s">
        <v>64</v>
      </c>
      <c r="W5768" s="12" t="s">
        <v>12650</v>
      </c>
      <c r="X5768" s="16" t="s">
        <v>26881</v>
      </c>
      <c r="Y5768" s="15" t="s">
        <v>108</v>
      </c>
      <c r="Z5768" s="14">
        <v>3.17</v>
      </c>
      <c r="AA5768" s="14">
        <v>10.86</v>
      </c>
      <c r="AB5768" s="12" t="s">
        <v>56</v>
      </c>
      <c r="AC5768" s="12" t="s">
        <v>12652</v>
      </c>
      <c r="AD5768" s="13">
        <v>43051</v>
      </c>
      <c r="AE5768" s="12" t="s">
        <v>12653</v>
      </c>
      <c r="AF5768" s="12" t="s">
        <v>12654</v>
      </c>
      <c r="AG5768" s="12" t="s">
        <v>81</v>
      </c>
      <c r="AH5768" s="1">
        <f>HYPERLINK("https://my.pitchbook.com?c=97109-56T","View Company Online")</f>
      </c>
    </row>
    <row r="5769">
      <c r="A5769" s="3" t="s">
        <v>26882</v>
      </c>
      <c r="B5769" s="3" t="s">
        <v>18272</v>
      </c>
      <c r="C5769" s="5" t="s">
        <v>36</v>
      </c>
      <c r="D5769" s="5" t="s">
        <v>36</v>
      </c>
      <c r="E5769" s="5">
        <v>2</v>
      </c>
      <c r="F5769" s="5">
        <v>2</v>
      </c>
      <c r="G5769" s="6" t="s">
        <v>36</v>
      </c>
      <c r="H5769" s="4" t="s">
        <v>36</v>
      </c>
      <c r="I5769" s="7">
        <v>15</v>
      </c>
      <c r="J5769" s="3" t="s">
        <v>36</v>
      </c>
      <c r="K5769" s="9" t="s">
        <v>36</v>
      </c>
      <c r="L5769" s="6" t="s">
        <v>36</v>
      </c>
      <c r="M5769" s="3" t="s">
        <v>36</v>
      </c>
      <c r="N5769" s="3" t="s">
        <v>36</v>
      </c>
      <c r="O5769" s="8" t="s">
        <v>36</v>
      </c>
      <c r="P5769" s="3" t="s">
        <v>36</v>
      </c>
      <c r="Q5769" s="3" t="s">
        <v>36</v>
      </c>
      <c r="R5769" s="3" t="s">
        <v>36</v>
      </c>
      <c r="S5769" s="3" t="s">
        <v>36</v>
      </c>
      <c r="T5769" s="3" t="s">
        <v>881</v>
      </c>
      <c r="U5769" s="3" t="s">
        <v>51</v>
      </c>
      <c r="V5769" s="3" t="s">
        <v>52</v>
      </c>
      <c r="W5769" s="3" t="s">
        <v>18273</v>
      </c>
      <c r="X5769" s="10" t="s">
        <v>26883</v>
      </c>
      <c r="Y5769" s="6" t="s">
        <v>108</v>
      </c>
      <c r="Z5769" s="4" t="s">
        <v>36</v>
      </c>
      <c r="AA5769" s="4" t="s">
        <v>36</v>
      </c>
      <c r="AB5769" s="3" t="s">
        <v>43</v>
      </c>
      <c r="AC5769" s="3" t="s">
        <v>18275</v>
      </c>
      <c r="AD5769" s="9">
        <v>43049</v>
      </c>
      <c r="AE5769" s="3" t="s">
        <v>504</v>
      </c>
      <c r="AF5769" s="3" t="s">
        <v>9908</v>
      </c>
      <c r="AG5769" s="3" t="s">
        <v>1276</v>
      </c>
      <c r="AH5769" s="11">
        <f>HYPERLINK("https://my.pitchbook.com?c=108521-11T","View Company Online")</f>
      </c>
    </row>
    <row r="5770">
      <c r="A5770" s="12" t="s">
        <v>26884</v>
      </c>
      <c r="B5770" s="12" t="s">
        <v>26885</v>
      </c>
      <c r="C5770" s="19">
        <v>1</v>
      </c>
      <c r="D5770" s="19">
        <v>5</v>
      </c>
      <c r="E5770" s="19">
        <v>2</v>
      </c>
      <c r="F5770" s="19">
        <v>7</v>
      </c>
      <c r="G5770" s="15" t="s">
        <v>36</v>
      </c>
      <c r="H5770" s="14">
        <v>2.7</v>
      </c>
      <c r="I5770" s="18">
        <v>28.57</v>
      </c>
      <c r="J5770" s="12" t="s">
        <v>521</v>
      </c>
      <c r="K5770" s="13">
        <v>43005</v>
      </c>
      <c r="L5770" s="15" t="s">
        <v>36</v>
      </c>
      <c r="M5770" s="12" t="s">
        <v>36</v>
      </c>
      <c r="N5770" s="12" t="s">
        <v>36</v>
      </c>
      <c r="O5770" s="17" t="s">
        <v>36</v>
      </c>
      <c r="P5770" s="12" t="s">
        <v>36</v>
      </c>
      <c r="Q5770" s="12" t="s">
        <v>36</v>
      </c>
      <c r="R5770" s="12" t="s">
        <v>36</v>
      </c>
      <c r="S5770" s="12" t="s">
        <v>36</v>
      </c>
      <c r="T5770" s="12" t="s">
        <v>26886</v>
      </c>
      <c r="U5770" s="12" t="s">
        <v>833</v>
      </c>
      <c r="V5770" s="12" t="s">
        <v>64</v>
      </c>
      <c r="W5770" s="12" t="s">
        <v>26887</v>
      </c>
      <c r="X5770" s="16" t="s">
        <v>26888</v>
      </c>
      <c r="Y5770" s="15" t="s">
        <v>42</v>
      </c>
      <c r="Z5770" s="14">
        <v>1.17</v>
      </c>
      <c r="AA5770" s="14">
        <v>2.13</v>
      </c>
      <c r="AB5770" s="12" t="s">
        <v>43</v>
      </c>
      <c r="AC5770" s="12" t="s">
        <v>26889</v>
      </c>
      <c r="AD5770" s="13">
        <v>43049</v>
      </c>
      <c r="AE5770" s="12" t="s">
        <v>3615</v>
      </c>
      <c r="AF5770" s="12" t="s">
        <v>36</v>
      </c>
      <c r="AG5770" s="12" t="s">
        <v>15416</v>
      </c>
      <c r="AH5770" s="1">
        <f>HYPERLINK("https://my.pitchbook.com?c=113596-57T","View Company Online")</f>
      </c>
    </row>
    <row r="5771">
      <c r="A5771" s="3" t="s">
        <v>26890</v>
      </c>
      <c r="B5771" s="3" t="s">
        <v>26891</v>
      </c>
      <c r="C5771" s="5" t="s">
        <v>36</v>
      </c>
      <c r="D5771" s="5" t="s">
        <v>36</v>
      </c>
      <c r="E5771" s="5" t="s">
        <v>36</v>
      </c>
      <c r="F5771" s="5" t="s">
        <v>36</v>
      </c>
      <c r="G5771" s="6" t="s">
        <v>36</v>
      </c>
      <c r="H5771" s="4">
        <v>140.21</v>
      </c>
      <c r="I5771" s="7">
        <v>12.89</v>
      </c>
      <c r="J5771" s="3" t="s">
        <v>521</v>
      </c>
      <c r="K5771" s="9" t="s">
        <v>36</v>
      </c>
      <c r="L5771" s="6" t="s">
        <v>36</v>
      </c>
      <c r="M5771" s="3" t="s">
        <v>36</v>
      </c>
      <c r="N5771" s="3" t="s">
        <v>36</v>
      </c>
      <c r="O5771" s="8" t="s">
        <v>36</v>
      </c>
      <c r="P5771" s="3" t="s">
        <v>36</v>
      </c>
      <c r="Q5771" s="3" t="s">
        <v>36</v>
      </c>
      <c r="R5771" s="3" t="s">
        <v>36</v>
      </c>
      <c r="S5771" s="3" t="s">
        <v>36</v>
      </c>
      <c r="T5771" s="3" t="s">
        <v>18470</v>
      </c>
      <c r="U5771" s="3" t="s">
        <v>619</v>
      </c>
      <c r="V5771" s="3" t="s">
        <v>378</v>
      </c>
      <c r="W5771" s="3" t="s">
        <v>26892</v>
      </c>
      <c r="X5771" s="10" t="s">
        <v>23312</v>
      </c>
      <c r="Y5771" s="6" t="s">
        <v>42</v>
      </c>
      <c r="Z5771" s="4">
        <v>0.05</v>
      </c>
      <c r="AA5771" s="4">
        <v>0.36</v>
      </c>
      <c r="AB5771" s="3" t="s">
        <v>43</v>
      </c>
      <c r="AC5771" s="3" t="s">
        <v>26893</v>
      </c>
      <c r="AD5771" s="9">
        <v>43049</v>
      </c>
      <c r="AE5771" s="3" t="s">
        <v>3891</v>
      </c>
      <c r="AF5771" s="3" t="s">
        <v>13189</v>
      </c>
      <c r="AG5771" s="3" t="s">
        <v>102</v>
      </c>
      <c r="AH5771" s="11">
        <f>HYPERLINK("https://my.pitchbook.com?c=244682-56T","View Company Online")</f>
      </c>
    </row>
    <row r="5772">
      <c r="A5772" s="12" t="s">
        <v>26894</v>
      </c>
      <c r="B5772" s="12" t="s">
        <v>23480</v>
      </c>
      <c r="C5772" s="19">
        <v>4</v>
      </c>
      <c r="D5772" s="19">
        <v>18</v>
      </c>
      <c r="E5772" s="19">
        <v>13</v>
      </c>
      <c r="F5772" s="19">
        <v>25</v>
      </c>
      <c r="G5772" s="15" t="s">
        <v>36</v>
      </c>
      <c r="H5772" s="14">
        <v>17.21</v>
      </c>
      <c r="I5772" s="18">
        <v>57.8</v>
      </c>
      <c r="J5772" s="12" t="s">
        <v>521</v>
      </c>
      <c r="K5772" s="13" t="s">
        <v>36</v>
      </c>
      <c r="L5772" s="15" t="s">
        <v>36</v>
      </c>
      <c r="M5772" s="12" t="s">
        <v>36</v>
      </c>
      <c r="N5772" s="12" t="s">
        <v>36</v>
      </c>
      <c r="O5772" s="17" t="s">
        <v>36</v>
      </c>
      <c r="P5772" s="12" t="s">
        <v>36</v>
      </c>
      <c r="Q5772" s="12" t="s">
        <v>36</v>
      </c>
      <c r="R5772" s="12" t="s">
        <v>36</v>
      </c>
      <c r="S5772" s="12" t="s">
        <v>36</v>
      </c>
      <c r="T5772" s="12" t="s">
        <v>23481</v>
      </c>
      <c r="U5772" s="12" t="s">
        <v>85</v>
      </c>
      <c r="V5772" s="12" t="s">
        <v>64</v>
      </c>
      <c r="W5772" s="12" t="s">
        <v>23482</v>
      </c>
      <c r="X5772" s="16" t="s">
        <v>26368</v>
      </c>
      <c r="Y5772" s="15" t="s">
        <v>42</v>
      </c>
      <c r="Z5772" s="14">
        <v>1.12</v>
      </c>
      <c r="AA5772" s="14">
        <v>1.94</v>
      </c>
      <c r="AB5772" s="12" t="s">
        <v>43</v>
      </c>
      <c r="AC5772" s="12" t="s">
        <v>23484</v>
      </c>
      <c r="AD5772" s="13">
        <v>43049</v>
      </c>
      <c r="AE5772" s="12" t="s">
        <v>89</v>
      </c>
      <c r="AF5772" s="12" t="s">
        <v>23485</v>
      </c>
      <c r="AG5772" s="12" t="s">
        <v>70</v>
      </c>
      <c r="AH5772" s="1">
        <f>HYPERLINK("https://my.pitchbook.com?c=119521-90T","View Company Online")</f>
      </c>
    </row>
    <row r="5773">
      <c r="A5773" s="3" t="s">
        <v>26895</v>
      </c>
      <c r="B5773" s="3" t="s">
        <v>26896</v>
      </c>
      <c r="C5773" s="5" t="s">
        <v>36</v>
      </c>
      <c r="D5773" s="5" t="s">
        <v>36</v>
      </c>
      <c r="E5773" s="5" t="s">
        <v>36</v>
      </c>
      <c r="F5773" s="5" t="s">
        <v>36</v>
      </c>
      <c r="G5773" s="6" t="s">
        <v>36</v>
      </c>
      <c r="H5773" s="4" t="s">
        <v>36</v>
      </c>
      <c r="I5773" s="7" t="s">
        <v>36</v>
      </c>
      <c r="J5773" s="3" t="s">
        <v>36</v>
      </c>
      <c r="K5773" s="9" t="s">
        <v>36</v>
      </c>
      <c r="L5773" s="6" t="s">
        <v>36</v>
      </c>
      <c r="M5773" s="3" t="s">
        <v>36</v>
      </c>
      <c r="N5773" s="3" t="s">
        <v>36</v>
      </c>
      <c r="O5773" s="8" t="s">
        <v>36</v>
      </c>
      <c r="P5773" s="3" t="s">
        <v>36</v>
      </c>
      <c r="Q5773" s="3" t="s">
        <v>36</v>
      </c>
      <c r="R5773" s="3" t="s">
        <v>36</v>
      </c>
      <c r="S5773" s="3" t="s">
        <v>36</v>
      </c>
      <c r="T5773" s="3" t="s">
        <v>265</v>
      </c>
      <c r="U5773" s="3" t="s">
        <v>85</v>
      </c>
      <c r="V5773" s="3" t="s">
        <v>64</v>
      </c>
      <c r="W5773" s="3" t="s">
        <v>26897</v>
      </c>
      <c r="X5773" s="10" t="s">
        <v>26898</v>
      </c>
      <c r="Y5773" s="6" t="s">
        <v>42</v>
      </c>
      <c r="Z5773" s="4">
        <v>1.52</v>
      </c>
      <c r="AA5773" s="4" t="s">
        <v>36</v>
      </c>
      <c r="AB5773" s="3" t="s">
        <v>56</v>
      </c>
      <c r="AC5773" s="3" t="s">
        <v>26899</v>
      </c>
      <c r="AD5773" s="9">
        <v>43048</v>
      </c>
      <c r="AE5773" s="3" t="s">
        <v>89</v>
      </c>
      <c r="AF5773" s="3" t="s">
        <v>26900</v>
      </c>
      <c r="AG5773" s="3" t="s">
        <v>1276</v>
      </c>
      <c r="AH5773" s="11">
        <f>HYPERLINK("https://my.pitchbook.com?c=96607-63T","View Company Online")</f>
      </c>
    </row>
    <row r="5774">
      <c r="A5774" s="12" t="s">
        <v>26901</v>
      </c>
      <c r="B5774" s="12" t="s">
        <v>26902</v>
      </c>
      <c r="C5774" s="19" t="s">
        <v>36</v>
      </c>
      <c r="D5774" s="19" t="s">
        <v>36</v>
      </c>
      <c r="E5774" s="19" t="s">
        <v>36</v>
      </c>
      <c r="F5774" s="19" t="s">
        <v>36</v>
      </c>
      <c r="G5774" s="15" t="s">
        <v>36</v>
      </c>
      <c r="H5774" s="14" t="s">
        <v>36</v>
      </c>
      <c r="I5774" s="18" t="s">
        <v>36</v>
      </c>
      <c r="J5774" s="12" t="s">
        <v>36</v>
      </c>
      <c r="K5774" s="13" t="s">
        <v>36</v>
      </c>
      <c r="L5774" s="15" t="s">
        <v>36</v>
      </c>
      <c r="M5774" s="12" t="s">
        <v>36</v>
      </c>
      <c r="N5774" s="12" t="s">
        <v>36</v>
      </c>
      <c r="O5774" s="17" t="s">
        <v>36</v>
      </c>
      <c r="P5774" s="12" t="s">
        <v>36</v>
      </c>
      <c r="Q5774" s="12" t="s">
        <v>36</v>
      </c>
      <c r="R5774" s="12" t="s">
        <v>36</v>
      </c>
      <c r="S5774" s="12" t="s">
        <v>36</v>
      </c>
      <c r="T5774" s="12" t="s">
        <v>26903</v>
      </c>
      <c r="U5774" s="12" t="s">
        <v>74</v>
      </c>
      <c r="V5774" s="12" t="s">
        <v>75</v>
      </c>
      <c r="W5774" s="12" t="s">
        <v>26904</v>
      </c>
      <c r="X5774" s="16" t="s">
        <v>26905</v>
      </c>
      <c r="Y5774" s="15" t="s">
        <v>42</v>
      </c>
      <c r="Z5774" s="14">
        <v>1.88</v>
      </c>
      <c r="AA5774" s="14" t="s">
        <v>36</v>
      </c>
      <c r="AB5774" s="12" t="s">
        <v>56</v>
      </c>
      <c r="AC5774" s="12" t="s">
        <v>26906</v>
      </c>
      <c r="AD5774" s="13">
        <v>43046</v>
      </c>
      <c r="AE5774" s="12" t="s">
        <v>79</v>
      </c>
      <c r="AF5774" s="12" t="s">
        <v>1115</v>
      </c>
      <c r="AG5774" s="12" t="s">
        <v>332</v>
      </c>
      <c r="AH5774" s="1">
        <f>HYPERLINK("https://my.pitchbook.com?c=123004-18T","View Company Online")</f>
      </c>
    </row>
    <row r="5775">
      <c r="A5775" s="3" t="s">
        <v>26907</v>
      </c>
      <c r="B5775" s="3" t="s">
        <v>26908</v>
      </c>
      <c r="C5775" s="5" t="s">
        <v>36</v>
      </c>
      <c r="D5775" s="5" t="s">
        <v>36</v>
      </c>
      <c r="E5775" s="5" t="s">
        <v>36</v>
      </c>
      <c r="F5775" s="5" t="s">
        <v>36</v>
      </c>
      <c r="G5775" s="6" t="s">
        <v>36</v>
      </c>
      <c r="H5775" s="4">
        <v>322.99</v>
      </c>
      <c r="I5775" s="7">
        <v>20</v>
      </c>
      <c r="J5775" s="3" t="s">
        <v>327</v>
      </c>
      <c r="K5775" s="9">
        <v>43020</v>
      </c>
      <c r="L5775" s="6" t="s">
        <v>36</v>
      </c>
      <c r="M5775" s="3" t="s">
        <v>36</v>
      </c>
      <c r="N5775" s="3" t="s">
        <v>36</v>
      </c>
      <c r="O5775" s="8" t="s">
        <v>36</v>
      </c>
      <c r="P5775" s="3" t="s">
        <v>36</v>
      </c>
      <c r="Q5775" s="3" t="s">
        <v>36</v>
      </c>
      <c r="R5775" s="3" t="s">
        <v>36</v>
      </c>
      <c r="S5775" s="3" t="s">
        <v>36</v>
      </c>
      <c r="T5775" s="3" t="s">
        <v>189</v>
      </c>
      <c r="U5775" s="3" t="s">
        <v>180</v>
      </c>
      <c r="V5775" s="3" t="s">
        <v>52</v>
      </c>
      <c r="W5775" s="3" t="s">
        <v>26909</v>
      </c>
      <c r="X5775" s="10" t="s">
        <v>26910</v>
      </c>
      <c r="Y5775" s="6" t="s">
        <v>42</v>
      </c>
      <c r="Z5775" s="4">
        <v>1.17</v>
      </c>
      <c r="AA5775" s="4">
        <v>4.1</v>
      </c>
      <c r="AB5775" s="3" t="s">
        <v>43</v>
      </c>
      <c r="AC5775" s="3" t="s">
        <v>26911</v>
      </c>
      <c r="AD5775" s="9">
        <v>43046</v>
      </c>
      <c r="AE5775" s="3" t="s">
        <v>184</v>
      </c>
      <c r="AF5775" s="3" t="s">
        <v>7982</v>
      </c>
      <c r="AG5775" s="3" t="s">
        <v>8183</v>
      </c>
      <c r="AH5775" s="11">
        <f>HYPERLINK("https://my.pitchbook.com?c=108699-49T","View Company Online")</f>
      </c>
    </row>
    <row r="5776">
      <c r="A5776" s="12" t="s">
        <v>26912</v>
      </c>
      <c r="B5776" s="12" t="s">
        <v>26913</v>
      </c>
      <c r="C5776" s="19" t="s">
        <v>36</v>
      </c>
      <c r="D5776" s="19" t="s">
        <v>36</v>
      </c>
      <c r="E5776" s="19" t="s">
        <v>36</v>
      </c>
      <c r="F5776" s="19" t="s">
        <v>36</v>
      </c>
      <c r="G5776" s="15" t="s">
        <v>36</v>
      </c>
      <c r="H5776" s="14">
        <v>76.8</v>
      </c>
      <c r="I5776" s="18">
        <v>34.37</v>
      </c>
      <c r="J5776" s="12" t="s">
        <v>521</v>
      </c>
      <c r="K5776" s="13" t="s">
        <v>36</v>
      </c>
      <c r="L5776" s="15" t="s">
        <v>122</v>
      </c>
      <c r="M5776" s="12" t="s">
        <v>36</v>
      </c>
      <c r="N5776" s="12" t="s">
        <v>122</v>
      </c>
      <c r="O5776" s="17" t="s">
        <v>36</v>
      </c>
      <c r="P5776" s="12" t="s">
        <v>36</v>
      </c>
      <c r="Q5776" s="12" t="s">
        <v>36</v>
      </c>
      <c r="R5776" s="12" t="s">
        <v>36</v>
      </c>
      <c r="S5776" s="12" t="s">
        <v>36</v>
      </c>
      <c r="T5776" s="12" t="s">
        <v>1701</v>
      </c>
      <c r="U5776" s="12" t="s">
        <v>74</v>
      </c>
      <c r="V5776" s="12" t="s">
        <v>75</v>
      </c>
      <c r="W5776" s="12" t="s">
        <v>26914</v>
      </c>
      <c r="X5776" s="16" t="s">
        <v>26915</v>
      </c>
      <c r="Y5776" s="15" t="s">
        <v>42</v>
      </c>
      <c r="Z5776" s="14">
        <v>5.87</v>
      </c>
      <c r="AA5776" s="14">
        <v>10.37</v>
      </c>
      <c r="AB5776" s="12" t="s">
        <v>43</v>
      </c>
      <c r="AC5776" s="12" t="s">
        <v>26916</v>
      </c>
      <c r="AD5776" s="13">
        <v>43045</v>
      </c>
      <c r="AE5776" s="12" t="s">
        <v>79</v>
      </c>
      <c r="AF5776" s="12" t="s">
        <v>4099</v>
      </c>
      <c r="AG5776" s="12" t="s">
        <v>1078</v>
      </c>
      <c r="AH5776" s="1">
        <f>HYPERLINK("https://my.pitchbook.com?c=99549-01T","View Company Online")</f>
      </c>
    </row>
    <row r="5777">
      <c r="A5777" s="3" t="s">
        <v>26917</v>
      </c>
      <c r="B5777" s="3" t="s">
        <v>24944</v>
      </c>
      <c r="C5777" s="5">
        <v>1</v>
      </c>
      <c r="D5777" s="5">
        <v>10</v>
      </c>
      <c r="E5777" s="5">
        <v>4</v>
      </c>
      <c r="F5777" s="5">
        <v>18</v>
      </c>
      <c r="G5777" s="6" t="s">
        <v>36</v>
      </c>
      <c r="H5777" s="4" t="s">
        <v>36</v>
      </c>
      <c r="I5777" s="7" t="s">
        <v>36</v>
      </c>
      <c r="J5777" s="3" t="s">
        <v>36</v>
      </c>
      <c r="K5777" s="9" t="s">
        <v>36</v>
      </c>
      <c r="L5777" s="6" t="s">
        <v>36</v>
      </c>
      <c r="M5777" s="3" t="s">
        <v>36</v>
      </c>
      <c r="N5777" s="3" t="s">
        <v>36</v>
      </c>
      <c r="O5777" s="8" t="s">
        <v>36</v>
      </c>
      <c r="P5777" s="3" t="s">
        <v>36</v>
      </c>
      <c r="Q5777" s="3" t="s">
        <v>36</v>
      </c>
      <c r="R5777" s="3" t="s">
        <v>36</v>
      </c>
      <c r="S5777" s="3" t="s">
        <v>36</v>
      </c>
      <c r="T5777" s="3" t="s">
        <v>24945</v>
      </c>
      <c r="U5777" s="3" t="s">
        <v>85</v>
      </c>
      <c r="V5777" s="3" t="s">
        <v>64</v>
      </c>
      <c r="W5777" s="3" t="s">
        <v>24946</v>
      </c>
      <c r="X5777" s="10" t="s">
        <v>26918</v>
      </c>
      <c r="Y5777" s="6" t="s">
        <v>42</v>
      </c>
      <c r="Z5777" s="4" t="s">
        <v>36</v>
      </c>
      <c r="AA5777" s="4" t="s">
        <v>36</v>
      </c>
      <c r="AB5777" s="3" t="s">
        <v>43</v>
      </c>
      <c r="AC5777" s="3" t="s">
        <v>24947</v>
      </c>
      <c r="AD5777" s="9">
        <v>43045</v>
      </c>
      <c r="AE5777" s="3" t="s">
        <v>1822</v>
      </c>
      <c r="AF5777" s="3" t="s">
        <v>7790</v>
      </c>
      <c r="AG5777" s="3" t="s">
        <v>1905</v>
      </c>
      <c r="AH5777" s="11">
        <f>HYPERLINK("https://my.pitchbook.com?c=125064-82T","View Company Online")</f>
      </c>
    </row>
    <row r="5778">
      <c r="A5778" s="12" t="s">
        <v>26919</v>
      </c>
      <c r="B5778" s="12" t="s">
        <v>26920</v>
      </c>
      <c r="C5778" s="19" t="s">
        <v>36</v>
      </c>
      <c r="D5778" s="19" t="s">
        <v>36</v>
      </c>
      <c r="E5778" s="19" t="s">
        <v>36</v>
      </c>
      <c r="F5778" s="19" t="s">
        <v>36</v>
      </c>
      <c r="G5778" s="15" t="s">
        <v>36</v>
      </c>
      <c r="H5778" s="14">
        <v>18.64</v>
      </c>
      <c r="I5778" s="18">
        <v>35</v>
      </c>
      <c r="J5778" s="12" t="s">
        <v>521</v>
      </c>
      <c r="K5778" s="13" t="s">
        <v>36</v>
      </c>
      <c r="L5778" s="15" t="s">
        <v>36</v>
      </c>
      <c r="M5778" s="12" t="s">
        <v>36</v>
      </c>
      <c r="N5778" s="12" t="s">
        <v>36</v>
      </c>
      <c r="O5778" s="17" t="s">
        <v>36</v>
      </c>
      <c r="P5778" s="12" t="s">
        <v>36</v>
      </c>
      <c r="Q5778" s="12" t="s">
        <v>36</v>
      </c>
      <c r="R5778" s="12" t="s">
        <v>36</v>
      </c>
      <c r="S5778" s="12" t="s">
        <v>36</v>
      </c>
      <c r="T5778" s="12" t="s">
        <v>3958</v>
      </c>
      <c r="U5778" s="12" t="s">
        <v>38</v>
      </c>
      <c r="V5778" s="12" t="s">
        <v>39</v>
      </c>
      <c r="W5778" s="12" t="s">
        <v>26921</v>
      </c>
      <c r="X5778" s="16" t="s">
        <v>22965</v>
      </c>
      <c r="Y5778" s="15" t="s">
        <v>42</v>
      </c>
      <c r="Z5778" s="14">
        <v>0.59</v>
      </c>
      <c r="AA5778" s="14">
        <v>1.68</v>
      </c>
      <c r="AB5778" s="12" t="s">
        <v>56</v>
      </c>
      <c r="AC5778" s="12" t="s">
        <v>26922</v>
      </c>
      <c r="AD5778" s="13">
        <v>43043</v>
      </c>
      <c r="AE5778" s="12" t="s">
        <v>110</v>
      </c>
      <c r="AF5778" s="12" t="s">
        <v>176</v>
      </c>
      <c r="AG5778" s="12" t="s">
        <v>26923</v>
      </c>
      <c r="AH5778" s="1">
        <f>HYPERLINK("https://my.pitchbook.com?c=114107-77T","View Company Online")</f>
      </c>
    </row>
    <row r="5779">
      <c r="A5779" s="3" t="s">
        <v>26924</v>
      </c>
      <c r="B5779" s="3" t="s">
        <v>19654</v>
      </c>
      <c r="C5779" s="5" t="s">
        <v>36</v>
      </c>
      <c r="D5779" s="5" t="s">
        <v>36</v>
      </c>
      <c r="E5779" s="5">
        <v>1</v>
      </c>
      <c r="F5779" s="5">
        <v>1</v>
      </c>
      <c r="G5779" s="6" t="s">
        <v>326</v>
      </c>
      <c r="H5779" s="4">
        <v>3.12</v>
      </c>
      <c r="I5779" s="7">
        <v>25.23</v>
      </c>
      <c r="J5779" s="3" t="s">
        <v>521</v>
      </c>
      <c r="K5779" s="9">
        <v>43024</v>
      </c>
      <c r="L5779" s="6" t="s">
        <v>36</v>
      </c>
      <c r="M5779" s="3" t="s">
        <v>36</v>
      </c>
      <c r="N5779" s="3" t="s">
        <v>36</v>
      </c>
      <c r="O5779" s="8" t="s">
        <v>36</v>
      </c>
      <c r="P5779" s="3" t="s">
        <v>36</v>
      </c>
      <c r="Q5779" s="3" t="s">
        <v>36</v>
      </c>
      <c r="R5779" s="3" t="s">
        <v>36</v>
      </c>
      <c r="S5779" s="3" t="s">
        <v>36</v>
      </c>
      <c r="T5779" s="3" t="s">
        <v>464</v>
      </c>
      <c r="U5779" s="3" t="s">
        <v>38</v>
      </c>
      <c r="V5779" s="3" t="s">
        <v>39</v>
      </c>
      <c r="W5779" s="3" t="s">
        <v>19655</v>
      </c>
      <c r="X5779" s="10" t="s">
        <v>2208</v>
      </c>
      <c r="Y5779" s="6" t="s">
        <v>108</v>
      </c>
      <c r="Z5779" s="4">
        <v>4.11</v>
      </c>
      <c r="AA5779" s="4">
        <v>9.31</v>
      </c>
      <c r="AB5779" s="3" t="s">
        <v>43</v>
      </c>
      <c r="AC5779" s="3" t="s">
        <v>19657</v>
      </c>
      <c r="AD5779" s="9">
        <v>43041</v>
      </c>
      <c r="AE5779" s="3" t="s">
        <v>110</v>
      </c>
      <c r="AF5779" s="3" t="s">
        <v>16517</v>
      </c>
      <c r="AG5779" s="3" t="s">
        <v>81</v>
      </c>
      <c r="AH5779" s="11">
        <f>HYPERLINK("https://my.pitchbook.com?c=96707-08T","View Company Online")</f>
      </c>
    </row>
    <row r="5780">
      <c r="A5780" s="12" t="s">
        <v>26925</v>
      </c>
      <c r="B5780" s="12" t="s">
        <v>26926</v>
      </c>
      <c r="C5780" s="19" t="s">
        <v>36</v>
      </c>
      <c r="D5780" s="19" t="s">
        <v>36</v>
      </c>
      <c r="E5780" s="19" t="s">
        <v>36</v>
      </c>
      <c r="F5780" s="19" t="s">
        <v>36</v>
      </c>
      <c r="G5780" s="15" t="s">
        <v>36</v>
      </c>
      <c r="H5780" s="14" t="s">
        <v>36</v>
      </c>
      <c r="I5780" s="18" t="s">
        <v>36</v>
      </c>
      <c r="J5780" s="12" t="s">
        <v>36</v>
      </c>
      <c r="K5780" s="13">
        <v>42894</v>
      </c>
      <c r="L5780" s="15" t="s">
        <v>122</v>
      </c>
      <c r="M5780" s="12" t="s">
        <v>36</v>
      </c>
      <c r="N5780" s="12" t="s">
        <v>122</v>
      </c>
      <c r="O5780" s="17" t="s">
        <v>36</v>
      </c>
      <c r="P5780" s="12" t="s">
        <v>36</v>
      </c>
      <c r="Q5780" s="12" t="s">
        <v>36</v>
      </c>
      <c r="R5780" s="12" t="s">
        <v>36</v>
      </c>
      <c r="S5780" s="12" t="s">
        <v>36</v>
      </c>
      <c r="T5780" s="12" t="s">
        <v>1935</v>
      </c>
      <c r="U5780" s="12" t="s">
        <v>38</v>
      </c>
      <c r="V5780" s="12" t="s">
        <v>39</v>
      </c>
      <c r="W5780" s="12" t="s">
        <v>26927</v>
      </c>
      <c r="X5780" s="16" t="s">
        <v>26928</v>
      </c>
      <c r="Y5780" s="15" t="s">
        <v>108</v>
      </c>
      <c r="Z5780" s="14">
        <v>9.4</v>
      </c>
      <c r="AA5780" s="14" t="s">
        <v>36</v>
      </c>
      <c r="AB5780" s="12" t="s">
        <v>43</v>
      </c>
      <c r="AC5780" s="12" t="s">
        <v>26929</v>
      </c>
      <c r="AD5780" s="13">
        <v>43041</v>
      </c>
      <c r="AE5780" s="12" t="s">
        <v>45</v>
      </c>
      <c r="AF5780" s="12" t="s">
        <v>331</v>
      </c>
      <c r="AG5780" s="12" t="s">
        <v>81</v>
      </c>
      <c r="AH5780" s="1">
        <f>HYPERLINK("https://my.pitchbook.com?c=88885-81T","View Company Online")</f>
      </c>
    </row>
    <row r="5781">
      <c r="A5781" s="3" t="s">
        <v>26930</v>
      </c>
      <c r="B5781" s="3" t="s">
        <v>15075</v>
      </c>
      <c r="C5781" s="5" t="s">
        <v>36</v>
      </c>
      <c r="D5781" s="5" t="s">
        <v>36</v>
      </c>
      <c r="E5781" s="5" t="s">
        <v>36</v>
      </c>
      <c r="F5781" s="5" t="s">
        <v>36</v>
      </c>
      <c r="G5781" s="6" t="s">
        <v>36</v>
      </c>
      <c r="H5781" s="4" t="s">
        <v>36</v>
      </c>
      <c r="I5781" s="7" t="s">
        <v>36</v>
      </c>
      <c r="J5781" s="3" t="s">
        <v>36</v>
      </c>
      <c r="K5781" s="9" t="s">
        <v>36</v>
      </c>
      <c r="L5781" s="6" t="s">
        <v>36</v>
      </c>
      <c r="M5781" s="3" t="s">
        <v>36</v>
      </c>
      <c r="N5781" s="3" t="s">
        <v>36</v>
      </c>
      <c r="O5781" s="8" t="s">
        <v>36</v>
      </c>
      <c r="P5781" s="3" t="s">
        <v>36</v>
      </c>
      <c r="Q5781" s="3" t="s">
        <v>36</v>
      </c>
      <c r="R5781" s="3" t="s">
        <v>36</v>
      </c>
      <c r="S5781" s="3" t="s">
        <v>36</v>
      </c>
      <c r="T5781" s="3" t="s">
        <v>15076</v>
      </c>
      <c r="U5781" s="3" t="s">
        <v>74</v>
      </c>
      <c r="V5781" s="3" t="s">
        <v>75</v>
      </c>
      <c r="W5781" s="3" t="s">
        <v>15077</v>
      </c>
      <c r="X5781" s="10" t="s">
        <v>26931</v>
      </c>
      <c r="Y5781" s="6" t="s">
        <v>42</v>
      </c>
      <c r="Z5781" s="4" t="s">
        <v>36</v>
      </c>
      <c r="AA5781" s="4" t="s">
        <v>36</v>
      </c>
      <c r="AB5781" s="3" t="s">
        <v>43</v>
      </c>
      <c r="AC5781" s="3" t="s">
        <v>15079</v>
      </c>
      <c r="AD5781" s="9">
        <v>43040</v>
      </c>
      <c r="AE5781" s="3" t="s">
        <v>79</v>
      </c>
      <c r="AF5781" s="3" t="s">
        <v>6214</v>
      </c>
      <c r="AG5781" s="3" t="s">
        <v>2088</v>
      </c>
      <c r="AH5781" s="11">
        <f>HYPERLINK("https://my.pitchbook.com?c=97802-92T","View Company Online")</f>
      </c>
    </row>
    <row r="5782">
      <c r="A5782" s="12" t="s">
        <v>26932</v>
      </c>
      <c r="B5782" s="12" t="s">
        <v>26933</v>
      </c>
      <c r="C5782" s="19">
        <v>1</v>
      </c>
      <c r="D5782" s="19">
        <v>2</v>
      </c>
      <c r="E5782" s="19">
        <v>2</v>
      </c>
      <c r="F5782" s="19">
        <v>3</v>
      </c>
      <c r="G5782" s="15" t="s">
        <v>36</v>
      </c>
      <c r="H5782" s="14" t="s">
        <v>36</v>
      </c>
      <c r="I5782" s="18" t="s">
        <v>36</v>
      </c>
      <c r="J5782" s="12" t="s">
        <v>36</v>
      </c>
      <c r="K5782" s="13" t="s">
        <v>36</v>
      </c>
      <c r="L5782" s="15" t="s">
        <v>36</v>
      </c>
      <c r="M5782" s="12" t="s">
        <v>36</v>
      </c>
      <c r="N5782" s="12" t="s">
        <v>36</v>
      </c>
      <c r="O5782" s="17" t="s">
        <v>36</v>
      </c>
      <c r="P5782" s="12" t="s">
        <v>36</v>
      </c>
      <c r="Q5782" s="12" t="s">
        <v>36</v>
      </c>
      <c r="R5782" s="12" t="s">
        <v>36</v>
      </c>
      <c r="S5782" s="12" t="s">
        <v>36</v>
      </c>
      <c r="T5782" s="12" t="s">
        <v>588</v>
      </c>
      <c r="U5782" s="12" t="s">
        <v>318</v>
      </c>
      <c r="V5782" s="12" t="s">
        <v>39</v>
      </c>
      <c r="W5782" s="12" t="s">
        <v>26934</v>
      </c>
      <c r="X5782" s="16" t="s">
        <v>26935</v>
      </c>
      <c r="Y5782" s="15" t="s">
        <v>42</v>
      </c>
      <c r="Z5782" s="14" t="s">
        <v>36</v>
      </c>
      <c r="AA5782" s="14" t="s">
        <v>36</v>
      </c>
      <c r="AB5782" s="12" t="s">
        <v>43</v>
      </c>
      <c r="AC5782" s="12" t="s">
        <v>26936</v>
      </c>
      <c r="AD5782" s="13">
        <v>43040</v>
      </c>
      <c r="AE5782" s="12" t="s">
        <v>417</v>
      </c>
      <c r="AF5782" s="12" t="s">
        <v>26937</v>
      </c>
      <c r="AG5782" s="12" t="s">
        <v>81</v>
      </c>
      <c r="AH5782" s="1">
        <f>HYPERLINK("https://my.pitchbook.com?c=99097-21T","View Company Online")</f>
      </c>
    </row>
    <row r="5783">
      <c r="A5783" s="3" t="s">
        <v>26938</v>
      </c>
      <c r="B5783" s="3" t="s">
        <v>26939</v>
      </c>
      <c r="C5783" s="5">
        <v>1</v>
      </c>
      <c r="D5783" s="5">
        <v>1</v>
      </c>
      <c r="E5783" s="5">
        <v>2</v>
      </c>
      <c r="F5783" s="5">
        <v>3</v>
      </c>
      <c r="G5783" s="6" t="s">
        <v>36</v>
      </c>
      <c r="H5783" s="4" t="s">
        <v>36</v>
      </c>
      <c r="I5783" s="7" t="s">
        <v>36</v>
      </c>
      <c r="J5783" s="3" t="s">
        <v>36</v>
      </c>
      <c r="K5783" s="9" t="s">
        <v>36</v>
      </c>
      <c r="L5783" s="6" t="s">
        <v>36</v>
      </c>
      <c r="M5783" s="3" t="s">
        <v>36</v>
      </c>
      <c r="N5783" s="3" t="s">
        <v>36</v>
      </c>
      <c r="O5783" s="8" t="s">
        <v>36</v>
      </c>
      <c r="P5783" s="3" t="s">
        <v>36</v>
      </c>
      <c r="Q5783" s="3" t="s">
        <v>36</v>
      </c>
      <c r="R5783" s="3" t="s">
        <v>36</v>
      </c>
      <c r="S5783" s="3" t="s">
        <v>2699</v>
      </c>
      <c r="T5783" s="3" t="s">
        <v>19769</v>
      </c>
      <c r="U5783" s="3" t="s">
        <v>423</v>
      </c>
      <c r="V5783" s="3" t="s">
        <v>64</v>
      </c>
      <c r="W5783" s="3" t="s">
        <v>26940</v>
      </c>
      <c r="X5783" s="10" t="s">
        <v>1872</v>
      </c>
      <c r="Y5783" s="6" t="s">
        <v>42</v>
      </c>
      <c r="Z5783" s="4" t="s">
        <v>36</v>
      </c>
      <c r="AA5783" s="4" t="s">
        <v>36</v>
      </c>
      <c r="AB5783" s="3" t="s">
        <v>43</v>
      </c>
      <c r="AC5783" s="3" t="s">
        <v>26941</v>
      </c>
      <c r="AD5783" s="9">
        <v>43040</v>
      </c>
      <c r="AE5783" s="3" t="s">
        <v>562</v>
      </c>
      <c r="AF5783" s="3" t="s">
        <v>7975</v>
      </c>
      <c r="AG5783" s="3" t="s">
        <v>26942</v>
      </c>
      <c r="AH5783" s="11">
        <f>HYPERLINK("https://my.pitchbook.com?c=97503-67T","View Company Online")</f>
      </c>
    </row>
    <row r="5784">
      <c r="A5784" s="12" t="s">
        <v>26943</v>
      </c>
      <c r="B5784" s="12" t="s">
        <v>12109</v>
      </c>
      <c r="C5784" s="19" t="s">
        <v>36</v>
      </c>
      <c r="D5784" s="19" t="s">
        <v>36</v>
      </c>
      <c r="E5784" s="19" t="s">
        <v>36</v>
      </c>
      <c r="F5784" s="19" t="s">
        <v>36</v>
      </c>
      <c r="G5784" s="15" t="s">
        <v>36</v>
      </c>
      <c r="H5784" s="14" t="s">
        <v>36</v>
      </c>
      <c r="I5784" s="18" t="s">
        <v>36</v>
      </c>
      <c r="J5784" s="12" t="s">
        <v>36</v>
      </c>
      <c r="K5784" s="13" t="s">
        <v>36</v>
      </c>
      <c r="L5784" s="15" t="s">
        <v>36</v>
      </c>
      <c r="M5784" s="12" t="s">
        <v>36</v>
      </c>
      <c r="N5784" s="12" t="s">
        <v>36</v>
      </c>
      <c r="O5784" s="17" t="s">
        <v>36</v>
      </c>
      <c r="P5784" s="12" t="s">
        <v>36</v>
      </c>
      <c r="Q5784" s="12" t="s">
        <v>36</v>
      </c>
      <c r="R5784" s="12" t="s">
        <v>36</v>
      </c>
      <c r="S5784" s="12" t="s">
        <v>36</v>
      </c>
      <c r="T5784" s="12" t="s">
        <v>9281</v>
      </c>
      <c r="U5784" s="12" t="s">
        <v>38</v>
      </c>
      <c r="V5784" s="12" t="s">
        <v>39</v>
      </c>
      <c r="W5784" s="12" t="s">
        <v>12110</v>
      </c>
      <c r="X5784" s="16" t="s">
        <v>26944</v>
      </c>
      <c r="Y5784" s="15" t="s">
        <v>42</v>
      </c>
      <c r="Z5784" s="14" t="s">
        <v>36</v>
      </c>
      <c r="AA5784" s="14" t="s">
        <v>36</v>
      </c>
      <c r="AB5784" s="12" t="s">
        <v>43</v>
      </c>
      <c r="AC5784" s="12" t="s">
        <v>12112</v>
      </c>
      <c r="AD5784" s="13">
        <v>43040</v>
      </c>
      <c r="AE5784" s="12" t="s">
        <v>1945</v>
      </c>
      <c r="AF5784" s="12" t="s">
        <v>1401</v>
      </c>
      <c r="AG5784" s="12" t="s">
        <v>102</v>
      </c>
      <c r="AH5784" s="1">
        <f>HYPERLINK("https://my.pitchbook.com?c=192803-23T","View Company Online")</f>
      </c>
    </row>
    <row r="5785">
      <c r="A5785" s="3" t="s">
        <v>26945</v>
      </c>
      <c r="B5785" s="3" t="s">
        <v>10567</v>
      </c>
      <c r="C5785" s="5" t="s">
        <v>36</v>
      </c>
      <c r="D5785" s="5">
        <v>2</v>
      </c>
      <c r="E5785" s="5">
        <v>1</v>
      </c>
      <c r="F5785" s="5">
        <v>2</v>
      </c>
      <c r="G5785" s="6" t="s">
        <v>36</v>
      </c>
      <c r="H5785" s="4">
        <v>4.48</v>
      </c>
      <c r="I5785" s="7">
        <v>16.23</v>
      </c>
      <c r="J5785" s="3" t="s">
        <v>521</v>
      </c>
      <c r="K5785" s="9" t="s">
        <v>36</v>
      </c>
      <c r="L5785" s="6" t="s">
        <v>36</v>
      </c>
      <c r="M5785" s="3" t="s">
        <v>36</v>
      </c>
      <c r="N5785" s="3" t="s">
        <v>36</v>
      </c>
      <c r="O5785" s="8" t="s">
        <v>36</v>
      </c>
      <c r="P5785" s="3" t="s">
        <v>36</v>
      </c>
      <c r="Q5785" s="3" t="s">
        <v>36</v>
      </c>
      <c r="R5785" s="3" t="s">
        <v>36</v>
      </c>
      <c r="S5785" s="3" t="s">
        <v>36</v>
      </c>
      <c r="T5785" s="3" t="s">
        <v>8371</v>
      </c>
      <c r="U5785" s="3" t="s">
        <v>1082</v>
      </c>
      <c r="V5785" s="3" t="s">
        <v>378</v>
      </c>
      <c r="W5785" s="3" t="s">
        <v>10568</v>
      </c>
      <c r="X5785" s="10" t="s">
        <v>26946</v>
      </c>
      <c r="Y5785" s="6" t="s">
        <v>42</v>
      </c>
      <c r="Z5785" s="4">
        <v>0.94</v>
      </c>
      <c r="AA5785" s="4">
        <v>3.51</v>
      </c>
      <c r="AB5785" s="3" t="s">
        <v>43</v>
      </c>
      <c r="AC5785" s="3" t="s">
        <v>10570</v>
      </c>
      <c r="AD5785" s="9">
        <v>43035</v>
      </c>
      <c r="AE5785" s="3" t="s">
        <v>7876</v>
      </c>
      <c r="AF5785" s="3" t="s">
        <v>1969</v>
      </c>
      <c r="AG5785" s="3" t="s">
        <v>9344</v>
      </c>
      <c r="AH5785" s="11">
        <f>HYPERLINK("https://my.pitchbook.com?c=99551-26T","View Company Online")</f>
      </c>
    </row>
    <row r="5786">
      <c r="A5786" s="12" t="s">
        <v>26947</v>
      </c>
      <c r="B5786" s="12" t="s">
        <v>26948</v>
      </c>
      <c r="C5786" s="19" t="s">
        <v>36</v>
      </c>
      <c r="D5786" s="19" t="s">
        <v>36</v>
      </c>
      <c r="E5786" s="19" t="s">
        <v>36</v>
      </c>
      <c r="F5786" s="19" t="s">
        <v>36</v>
      </c>
      <c r="G5786" s="15" t="s">
        <v>36</v>
      </c>
      <c r="H5786" s="14" t="s">
        <v>36</v>
      </c>
      <c r="I5786" s="18" t="s">
        <v>36</v>
      </c>
      <c r="J5786" s="12" t="s">
        <v>36</v>
      </c>
      <c r="K5786" s="13" t="s">
        <v>36</v>
      </c>
      <c r="L5786" s="15" t="s">
        <v>36</v>
      </c>
      <c r="M5786" s="12" t="s">
        <v>36</v>
      </c>
      <c r="N5786" s="12" t="s">
        <v>36</v>
      </c>
      <c r="O5786" s="17" t="s">
        <v>36</v>
      </c>
      <c r="P5786" s="12" t="s">
        <v>36</v>
      </c>
      <c r="Q5786" s="12" t="s">
        <v>36</v>
      </c>
      <c r="R5786" s="12" t="s">
        <v>36</v>
      </c>
      <c r="S5786" s="12" t="s">
        <v>36</v>
      </c>
      <c r="T5786" s="12" t="s">
        <v>522</v>
      </c>
      <c r="U5786" s="12" t="s">
        <v>38</v>
      </c>
      <c r="V5786" s="12" t="s">
        <v>39</v>
      </c>
      <c r="W5786" s="12" t="s">
        <v>26949</v>
      </c>
      <c r="X5786" s="16" t="s">
        <v>26950</v>
      </c>
      <c r="Y5786" s="15" t="s">
        <v>55</v>
      </c>
      <c r="Z5786" s="14">
        <v>0.71</v>
      </c>
      <c r="AA5786" s="14" t="s">
        <v>36</v>
      </c>
      <c r="AB5786" s="12" t="s">
        <v>43</v>
      </c>
      <c r="AC5786" s="12" t="s">
        <v>26951</v>
      </c>
      <c r="AD5786" s="13">
        <v>43035</v>
      </c>
      <c r="AE5786" s="12" t="s">
        <v>110</v>
      </c>
      <c r="AF5786" s="12" t="s">
        <v>26952</v>
      </c>
      <c r="AG5786" s="12" t="s">
        <v>81</v>
      </c>
      <c r="AH5786" s="1">
        <f>HYPERLINK("https://my.pitchbook.com?c=107912-44T","View Company Online")</f>
      </c>
    </row>
    <row r="5787">
      <c r="A5787" s="3" t="s">
        <v>26953</v>
      </c>
      <c r="B5787" s="3" t="s">
        <v>26954</v>
      </c>
      <c r="C5787" s="5" t="s">
        <v>36</v>
      </c>
      <c r="D5787" s="5" t="s">
        <v>36</v>
      </c>
      <c r="E5787" s="5" t="s">
        <v>36</v>
      </c>
      <c r="F5787" s="5" t="s">
        <v>36</v>
      </c>
      <c r="G5787" s="6" t="s">
        <v>36</v>
      </c>
      <c r="H5787" s="4">
        <v>1.8</v>
      </c>
      <c r="I5787" s="7">
        <v>11.39</v>
      </c>
      <c r="J5787" s="3" t="s">
        <v>521</v>
      </c>
      <c r="K5787" s="9" t="s">
        <v>36</v>
      </c>
      <c r="L5787" s="6" t="s">
        <v>36</v>
      </c>
      <c r="M5787" s="3" t="s">
        <v>36</v>
      </c>
      <c r="N5787" s="3" t="s">
        <v>36</v>
      </c>
      <c r="O5787" s="8" t="s">
        <v>36</v>
      </c>
      <c r="P5787" s="3" t="s">
        <v>36</v>
      </c>
      <c r="Q5787" s="3" t="s">
        <v>36</v>
      </c>
      <c r="R5787" s="3" t="s">
        <v>36</v>
      </c>
      <c r="S5787" s="3" t="s">
        <v>36</v>
      </c>
      <c r="T5787" s="3" t="s">
        <v>13953</v>
      </c>
      <c r="U5787" s="3" t="s">
        <v>423</v>
      </c>
      <c r="V5787" s="3" t="s">
        <v>64</v>
      </c>
      <c r="W5787" s="3" t="s">
        <v>26955</v>
      </c>
      <c r="X5787" s="10" t="s">
        <v>26956</v>
      </c>
      <c r="Y5787" s="6" t="s">
        <v>42</v>
      </c>
      <c r="Z5787" s="4">
        <v>5.3</v>
      </c>
      <c r="AA5787" s="4">
        <v>46.5</v>
      </c>
      <c r="AB5787" s="3" t="s">
        <v>56</v>
      </c>
      <c r="AC5787" s="3" t="s">
        <v>26957</v>
      </c>
      <c r="AD5787" s="9">
        <v>43035</v>
      </c>
      <c r="AE5787" s="3" t="s">
        <v>1051</v>
      </c>
      <c r="AF5787" s="3" t="s">
        <v>571</v>
      </c>
      <c r="AG5787" s="3" t="s">
        <v>81</v>
      </c>
      <c r="AH5787" s="11">
        <f>HYPERLINK("https://my.pitchbook.com?c=123805-63T","View Company Online")</f>
      </c>
    </row>
    <row r="5788">
      <c r="A5788" s="12" t="s">
        <v>26958</v>
      </c>
      <c r="B5788" s="12" t="s">
        <v>19333</v>
      </c>
      <c r="C5788" s="19" t="s">
        <v>36</v>
      </c>
      <c r="D5788" s="19" t="s">
        <v>36</v>
      </c>
      <c r="E5788" s="19" t="s">
        <v>36</v>
      </c>
      <c r="F5788" s="19" t="s">
        <v>36</v>
      </c>
      <c r="G5788" s="15" t="s">
        <v>36</v>
      </c>
      <c r="H5788" s="14" t="s">
        <v>36</v>
      </c>
      <c r="I5788" s="18" t="s">
        <v>36</v>
      </c>
      <c r="J5788" s="12" t="s">
        <v>36</v>
      </c>
      <c r="K5788" s="13" t="s">
        <v>36</v>
      </c>
      <c r="L5788" s="15" t="s">
        <v>36</v>
      </c>
      <c r="M5788" s="12" t="s">
        <v>36</v>
      </c>
      <c r="N5788" s="12" t="s">
        <v>36</v>
      </c>
      <c r="O5788" s="17" t="s">
        <v>36</v>
      </c>
      <c r="P5788" s="12" t="s">
        <v>36</v>
      </c>
      <c r="Q5788" s="12" t="s">
        <v>36</v>
      </c>
      <c r="R5788" s="12" t="s">
        <v>36</v>
      </c>
      <c r="S5788" s="12" t="s">
        <v>36</v>
      </c>
      <c r="T5788" s="12" t="s">
        <v>14751</v>
      </c>
      <c r="U5788" s="12" t="s">
        <v>38</v>
      </c>
      <c r="V5788" s="12" t="s">
        <v>39</v>
      </c>
      <c r="W5788" s="12" t="s">
        <v>19334</v>
      </c>
      <c r="X5788" s="16" t="s">
        <v>26325</v>
      </c>
      <c r="Y5788" s="15" t="s">
        <v>42</v>
      </c>
      <c r="Z5788" s="14">
        <v>0.47</v>
      </c>
      <c r="AA5788" s="14" t="s">
        <v>36</v>
      </c>
      <c r="AB5788" s="12" t="s">
        <v>56</v>
      </c>
      <c r="AC5788" s="12" t="s">
        <v>19336</v>
      </c>
      <c r="AD5788" s="13">
        <v>43035</v>
      </c>
      <c r="AE5788" s="12" t="s">
        <v>110</v>
      </c>
      <c r="AF5788" s="12" t="s">
        <v>7309</v>
      </c>
      <c r="AG5788" s="12" t="s">
        <v>419</v>
      </c>
      <c r="AH5788" s="1">
        <f>HYPERLINK("https://my.pitchbook.com?c=139180-15T","View Company Online")</f>
      </c>
    </row>
    <row r="5789">
      <c r="A5789" s="3" t="s">
        <v>26959</v>
      </c>
      <c r="B5789" s="3" t="s">
        <v>19456</v>
      </c>
      <c r="C5789" s="5" t="s">
        <v>36</v>
      </c>
      <c r="D5789" s="5">
        <v>3</v>
      </c>
      <c r="E5789" s="5">
        <v>1</v>
      </c>
      <c r="F5789" s="5">
        <v>4</v>
      </c>
      <c r="G5789" s="6" t="s">
        <v>36</v>
      </c>
      <c r="H5789" s="4">
        <v>9.15</v>
      </c>
      <c r="I5789" s="7">
        <v>11.21</v>
      </c>
      <c r="J5789" s="3" t="s">
        <v>521</v>
      </c>
      <c r="K5789" s="9" t="s">
        <v>36</v>
      </c>
      <c r="L5789" s="6" t="s">
        <v>36</v>
      </c>
      <c r="M5789" s="3" t="s">
        <v>36</v>
      </c>
      <c r="N5789" s="3" t="s">
        <v>36</v>
      </c>
      <c r="O5789" s="8" t="s">
        <v>36</v>
      </c>
      <c r="P5789" s="3" t="s">
        <v>36</v>
      </c>
      <c r="Q5789" s="3" t="s">
        <v>36</v>
      </c>
      <c r="R5789" s="3" t="s">
        <v>36</v>
      </c>
      <c r="S5789" s="3" t="s">
        <v>36</v>
      </c>
      <c r="T5789" s="3" t="s">
        <v>19457</v>
      </c>
      <c r="U5789" s="3" t="s">
        <v>318</v>
      </c>
      <c r="V5789" s="3" t="s">
        <v>39</v>
      </c>
      <c r="W5789" s="3" t="s">
        <v>19458</v>
      </c>
      <c r="X5789" s="10" t="s">
        <v>26960</v>
      </c>
      <c r="Y5789" s="6" t="s">
        <v>42</v>
      </c>
      <c r="Z5789" s="4">
        <v>1.08</v>
      </c>
      <c r="AA5789" s="4">
        <v>9.67</v>
      </c>
      <c r="AB5789" s="3" t="s">
        <v>43</v>
      </c>
      <c r="AC5789" s="3" t="s">
        <v>19460</v>
      </c>
      <c r="AD5789" s="9">
        <v>43035</v>
      </c>
      <c r="AE5789" s="3" t="s">
        <v>763</v>
      </c>
      <c r="AF5789" s="3" t="s">
        <v>7294</v>
      </c>
      <c r="AG5789" s="3" t="s">
        <v>144</v>
      </c>
      <c r="AH5789" s="11">
        <f>HYPERLINK("https://my.pitchbook.com?c=159824-89T","View Company Online")</f>
      </c>
    </row>
    <row r="5790">
      <c r="A5790" s="12" t="s">
        <v>26961</v>
      </c>
      <c r="B5790" s="12" t="s">
        <v>4344</v>
      </c>
      <c r="C5790" s="19" t="s">
        <v>36</v>
      </c>
      <c r="D5790" s="19" t="s">
        <v>36</v>
      </c>
      <c r="E5790" s="19" t="s">
        <v>36</v>
      </c>
      <c r="F5790" s="19" t="s">
        <v>36</v>
      </c>
      <c r="G5790" s="15" t="s">
        <v>326</v>
      </c>
      <c r="H5790" s="14">
        <v>97.06</v>
      </c>
      <c r="I5790" s="18">
        <v>29.59</v>
      </c>
      <c r="J5790" s="12" t="s">
        <v>521</v>
      </c>
      <c r="K5790" s="13" t="s">
        <v>36</v>
      </c>
      <c r="L5790" s="15" t="s">
        <v>36</v>
      </c>
      <c r="M5790" s="12" t="s">
        <v>36</v>
      </c>
      <c r="N5790" s="12" t="s">
        <v>36</v>
      </c>
      <c r="O5790" s="17" t="s">
        <v>36</v>
      </c>
      <c r="P5790" s="12" t="s">
        <v>36</v>
      </c>
      <c r="Q5790" s="12" t="s">
        <v>36</v>
      </c>
      <c r="R5790" s="12" t="s">
        <v>36</v>
      </c>
      <c r="S5790" s="12" t="s">
        <v>36</v>
      </c>
      <c r="T5790" s="12" t="s">
        <v>4345</v>
      </c>
      <c r="U5790" s="12" t="s">
        <v>1357</v>
      </c>
      <c r="V5790" s="12" t="s">
        <v>52</v>
      </c>
      <c r="W5790" s="12" t="s">
        <v>4346</v>
      </c>
      <c r="X5790" s="16" t="s">
        <v>26962</v>
      </c>
      <c r="Y5790" s="15" t="s">
        <v>42</v>
      </c>
      <c r="Z5790" s="14">
        <v>2.36</v>
      </c>
      <c r="AA5790" s="14">
        <v>4.52</v>
      </c>
      <c r="AB5790" s="12" t="s">
        <v>43</v>
      </c>
      <c r="AC5790" s="12" t="s">
        <v>4348</v>
      </c>
      <c r="AD5790" s="13">
        <v>43034</v>
      </c>
      <c r="AE5790" s="12" t="s">
        <v>2377</v>
      </c>
      <c r="AF5790" s="12" t="s">
        <v>4349</v>
      </c>
      <c r="AG5790" s="12" t="s">
        <v>4350</v>
      </c>
      <c r="AH5790" s="1">
        <f>HYPERLINK("https://my.pitchbook.com?c=96484-24T","View Company Online")</f>
      </c>
    </row>
    <row r="5791">
      <c r="A5791" s="3" t="s">
        <v>26963</v>
      </c>
      <c r="B5791" s="3" t="s">
        <v>26964</v>
      </c>
      <c r="C5791" s="5" t="s">
        <v>36</v>
      </c>
      <c r="D5791" s="5" t="s">
        <v>36</v>
      </c>
      <c r="E5791" s="5" t="s">
        <v>36</v>
      </c>
      <c r="F5791" s="5" t="s">
        <v>36</v>
      </c>
      <c r="G5791" s="6" t="s">
        <v>36</v>
      </c>
      <c r="H5791" s="4">
        <v>13.78</v>
      </c>
      <c r="I5791" s="7">
        <v>26.06</v>
      </c>
      <c r="J5791" s="3" t="s">
        <v>327</v>
      </c>
      <c r="K5791" s="9">
        <v>42942</v>
      </c>
      <c r="L5791" s="6" t="s">
        <v>36</v>
      </c>
      <c r="M5791" s="3" t="s">
        <v>36</v>
      </c>
      <c r="N5791" s="3" t="s">
        <v>36</v>
      </c>
      <c r="O5791" s="8" t="s">
        <v>36</v>
      </c>
      <c r="P5791" s="3" t="s">
        <v>36</v>
      </c>
      <c r="Q5791" s="3" t="s">
        <v>36</v>
      </c>
      <c r="R5791" s="3" t="s">
        <v>36</v>
      </c>
      <c r="S5791" s="3" t="s">
        <v>36</v>
      </c>
      <c r="T5791" s="3" t="s">
        <v>464</v>
      </c>
      <c r="U5791" s="3" t="s">
        <v>38</v>
      </c>
      <c r="V5791" s="3" t="s">
        <v>39</v>
      </c>
      <c r="W5791" s="3" t="s">
        <v>26965</v>
      </c>
      <c r="X5791" s="10" t="s">
        <v>26966</v>
      </c>
      <c r="Y5791" s="6" t="s">
        <v>42</v>
      </c>
      <c r="Z5791" s="4">
        <v>1.77</v>
      </c>
      <c r="AA5791" s="4">
        <v>6.1</v>
      </c>
      <c r="AB5791" s="3" t="s">
        <v>43</v>
      </c>
      <c r="AC5791" s="3" t="s">
        <v>26967</v>
      </c>
      <c r="AD5791" s="9">
        <v>43034</v>
      </c>
      <c r="AE5791" s="3" t="s">
        <v>110</v>
      </c>
      <c r="AF5791" s="3" t="s">
        <v>8083</v>
      </c>
      <c r="AG5791" s="3" t="s">
        <v>26968</v>
      </c>
      <c r="AH5791" s="11">
        <f>HYPERLINK("https://my.pitchbook.com?c=96655-51T","View Company Online")</f>
      </c>
    </row>
    <row r="5792">
      <c r="A5792" s="12" t="s">
        <v>26969</v>
      </c>
      <c r="B5792" s="12" t="s">
        <v>26970</v>
      </c>
      <c r="C5792" s="19">
        <v>1</v>
      </c>
      <c r="D5792" s="19">
        <v>12</v>
      </c>
      <c r="E5792" s="19">
        <v>5</v>
      </c>
      <c r="F5792" s="19">
        <v>17</v>
      </c>
      <c r="G5792" s="15" t="s">
        <v>2497</v>
      </c>
      <c r="H5792" s="14">
        <v>20.77</v>
      </c>
      <c r="I5792" s="18">
        <v>23.18</v>
      </c>
      <c r="J5792" s="12" t="s">
        <v>521</v>
      </c>
      <c r="K5792" s="13" t="s">
        <v>36</v>
      </c>
      <c r="L5792" s="15" t="s">
        <v>36</v>
      </c>
      <c r="M5792" s="12" t="s">
        <v>36</v>
      </c>
      <c r="N5792" s="12" t="s">
        <v>36</v>
      </c>
      <c r="O5792" s="17" t="s">
        <v>36</v>
      </c>
      <c r="P5792" s="12" t="s">
        <v>36</v>
      </c>
      <c r="Q5792" s="12" t="s">
        <v>36</v>
      </c>
      <c r="R5792" s="12" t="s">
        <v>36</v>
      </c>
      <c r="S5792" s="12" t="s">
        <v>36</v>
      </c>
      <c r="T5792" s="12" t="s">
        <v>21340</v>
      </c>
      <c r="U5792" s="12" t="s">
        <v>318</v>
      </c>
      <c r="V5792" s="12" t="s">
        <v>39</v>
      </c>
      <c r="W5792" s="12" t="s">
        <v>26971</v>
      </c>
      <c r="X5792" s="16" t="s">
        <v>7099</v>
      </c>
      <c r="Y5792" s="15" t="s">
        <v>108</v>
      </c>
      <c r="Z5792" s="14">
        <v>0.17</v>
      </c>
      <c r="AA5792" s="14">
        <v>0.72</v>
      </c>
      <c r="AB5792" s="12" t="s">
        <v>56</v>
      </c>
      <c r="AC5792" s="12" t="s">
        <v>26972</v>
      </c>
      <c r="AD5792" s="13">
        <v>43034</v>
      </c>
      <c r="AE5792" s="12" t="s">
        <v>763</v>
      </c>
      <c r="AF5792" s="12" t="s">
        <v>26973</v>
      </c>
      <c r="AG5792" s="12" t="s">
        <v>26974</v>
      </c>
      <c r="AH5792" s="1">
        <f>HYPERLINK("https://my.pitchbook.com?c=187856-92T","View Company Online")</f>
      </c>
    </row>
    <row r="5793">
      <c r="A5793" s="3" t="s">
        <v>26975</v>
      </c>
      <c r="B5793" s="3" t="s">
        <v>26976</v>
      </c>
      <c r="C5793" s="5" t="s">
        <v>36</v>
      </c>
      <c r="D5793" s="5" t="s">
        <v>36</v>
      </c>
      <c r="E5793" s="5" t="s">
        <v>36</v>
      </c>
      <c r="F5793" s="5" t="s">
        <v>36</v>
      </c>
      <c r="G5793" s="6" t="s">
        <v>36</v>
      </c>
      <c r="H5793" s="4" t="s">
        <v>36</v>
      </c>
      <c r="I5793" s="7" t="s">
        <v>36</v>
      </c>
      <c r="J5793" s="3" t="s">
        <v>36</v>
      </c>
      <c r="K5793" s="9" t="s">
        <v>36</v>
      </c>
      <c r="L5793" s="6" t="s">
        <v>36</v>
      </c>
      <c r="M5793" s="3" t="s">
        <v>36</v>
      </c>
      <c r="N5793" s="3" t="s">
        <v>36</v>
      </c>
      <c r="O5793" s="8" t="s">
        <v>36</v>
      </c>
      <c r="P5793" s="3" t="s">
        <v>36</v>
      </c>
      <c r="Q5793" s="3" t="s">
        <v>36</v>
      </c>
      <c r="R5793" s="3" t="s">
        <v>36</v>
      </c>
      <c r="S5793" s="3" t="s">
        <v>36</v>
      </c>
      <c r="T5793" s="3" t="s">
        <v>522</v>
      </c>
      <c r="U5793" s="3" t="s">
        <v>38</v>
      </c>
      <c r="V5793" s="3" t="s">
        <v>39</v>
      </c>
      <c r="W5793" s="3" t="s">
        <v>26977</v>
      </c>
      <c r="X5793" s="10" t="s">
        <v>26978</v>
      </c>
      <c r="Y5793" s="6" t="s">
        <v>42</v>
      </c>
      <c r="Z5793" s="4">
        <v>4.4</v>
      </c>
      <c r="AA5793" s="4" t="s">
        <v>36</v>
      </c>
      <c r="AB5793" s="3" t="s">
        <v>43</v>
      </c>
      <c r="AC5793" s="3" t="s">
        <v>26979</v>
      </c>
      <c r="AD5793" s="9">
        <v>43034</v>
      </c>
      <c r="AE5793" s="3" t="s">
        <v>110</v>
      </c>
      <c r="AF5793" s="3" t="s">
        <v>21824</v>
      </c>
      <c r="AG5793" s="3" t="s">
        <v>81</v>
      </c>
      <c r="AH5793" s="11">
        <f>HYPERLINK("https://my.pitchbook.com?c=96331-69T","View Company Online")</f>
      </c>
    </row>
    <row r="5794">
      <c r="A5794" s="12" t="s">
        <v>26980</v>
      </c>
      <c r="B5794" s="12" t="s">
        <v>26981</v>
      </c>
      <c r="C5794" s="19">
        <v>4</v>
      </c>
      <c r="D5794" s="19">
        <v>10</v>
      </c>
      <c r="E5794" s="19">
        <v>5</v>
      </c>
      <c r="F5794" s="19">
        <v>20</v>
      </c>
      <c r="G5794" s="15" t="s">
        <v>36</v>
      </c>
      <c r="H5794" s="14" t="s">
        <v>36</v>
      </c>
      <c r="I5794" s="18" t="s">
        <v>36</v>
      </c>
      <c r="J5794" s="12" t="s">
        <v>36</v>
      </c>
      <c r="K5794" s="13" t="s">
        <v>36</v>
      </c>
      <c r="L5794" s="15" t="s">
        <v>36</v>
      </c>
      <c r="M5794" s="12" t="s">
        <v>36</v>
      </c>
      <c r="N5794" s="12" t="s">
        <v>36</v>
      </c>
      <c r="O5794" s="17" t="s">
        <v>36</v>
      </c>
      <c r="P5794" s="12" t="s">
        <v>36</v>
      </c>
      <c r="Q5794" s="12" t="s">
        <v>36</v>
      </c>
      <c r="R5794" s="12" t="s">
        <v>36</v>
      </c>
      <c r="S5794" s="12" t="s">
        <v>36</v>
      </c>
      <c r="T5794" s="12" t="s">
        <v>9288</v>
      </c>
      <c r="U5794" s="12" t="s">
        <v>51</v>
      </c>
      <c r="V5794" s="12" t="s">
        <v>52</v>
      </c>
      <c r="W5794" s="12" t="s">
        <v>26982</v>
      </c>
      <c r="X5794" s="16" t="s">
        <v>15508</v>
      </c>
      <c r="Y5794" s="15" t="s">
        <v>42</v>
      </c>
      <c r="Z5794" s="14" t="s">
        <v>36</v>
      </c>
      <c r="AA5794" s="14" t="s">
        <v>36</v>
      </c>
      <c r="AB5794" s="12" t="s">
        <v>43</v>
      </c>
      <c r="AC5794" s="12" t="s">
        <v>26983</v>
      </c>
      <c r="AD5794" s="13">
        <v>43033</v>
      </c>
      <c r="AE5794" s="12" t="s">
        <v>504</v>
      </c>
      <c r="AF5794" s="12" t="s">
        <v>159</v>
      </c>
      <c r="AG5794" s="12" t="s">
        <v>3406</v>
      </c>
      <c r="AH5794" s="1">
        <f>HYPERLINK("https://my.pitchbook.com?c=232489-00T","View Company Online")</f>
      </c>
    </row>
    <row r="5795">
      <c r="A5795" s="3" t="s">
        <v>26984</v>
      </c>
      <c r="B5795" s="3" t="s">
        <v>26985</v>
      </c>
      <c r="C5795" s="5" t="s">
        <v>36</v>
      </c>
      <c r="D5795" s="5" t="s">
        <v>36</v>
      </c>
      <c r="E5795" s="5" t="s">
        <v>36</v>
      </c>
      <c r="F5795" s="5" t="s">
        <v>36</v>
      </c>
      <c r="G5795" s="6" t="s">
        <v>36</v>
      </c>
      <c r="H5795" s="4">
        <v>68.55</v>
      </c>
      <c r="I5795" s="7">
        <v>33.56</v>
      </c>
      <c r="J5795" s="3" t="s">
        <v>521</v>
      </c>
      <c r="K5795" s="9" t="s">
        <v>36</v>
      </c>
      <c r="L5795" s="6" t="s">
        <v>36</v>
      </c>
      <c r="M5795" s="3" t="s">
        <v>36</v>
      </c>
      <c r="N5795" s="3" t="s">
        <v>36</v>
      </c>
      <c r="O5795" s="8" t="s">
        <v>36</v>
      </c>
      <c r="P5795" s="3" t="s">
        <v>36</v>
      </c>
      <c r="Q5795" s="3" t="s">
        <v>36</v>
      </c>
      <c r="R5795" s="3" t="s">
        <v>36</v>
      </c>
      <c r="S5795" s="3" t="s">
        <v>36</v>
      </c>
      <c r="T5795" s="3" t="s">
        <v>105</v>
      </c>
      <c r="U5795" s="3" t="s">
        <v>38</v>
      </c>
      <c r="V5795" s="3" t="s">
        <v>39</v>
      </c>
      <c r="W5795" s="3" t="s">
        <v>26986</v>
      </c>
      <c r="X5795" s="10" t="s">
        <v>26987</v>
      </c>
      <c r="Y5795" s="6" t="s">
        <v>42</v>
      </c>
      <c r="Z5795" s="4">
        <v>2.36</v>
      </c>
      <c r="AA5795" s="4">
        <v>3.51</v>
      </c>
      <c r="AB5795" s="3" t="s">
        <v>43</v>
      </c>
      <c r="AC5795" s="3" t="s">
        <v>26988</v>
      </c>
      <c r="AD5795" s="9">
        <v>43033</v>
      </c>
      <c r="AE5795" s="3" t="s">
        <v>110</v>
      </c>
      <c r="AF5795" s="3" t="s">
        <v>26989</v>
      </c>
      <c r="AG5795" s="3" t="s">
        <v>2218</v>
      </c>
      <c r="AH5795" s="11">
        <f>HYPERLINK("https://my.pitchbook.com?c=96265-27T","View Company Online")</f>
      </c>
    </row>
    <row r="5796">
      <c r="A5796" s="12" t="s">
        <v>26990</v>
      </c>
      <c r="B5796" s="12" t="s">
        <v>18981</v>
      </c>
      <c r="C5796" s="19">
        <v>11</v>
      </c>
      <c r="D5796" s="19">
        <v>38</v>
      </c>
      <c r="E5796" s="19">
        <v>26</v>
      </c>
      <c r="F5796" s="19">
        <v>59</v>
      </c>
      <c r="G5796" s="15" t="s">
        <v>326</v>
      </c>
      <c r="H5796" s="14">
        <v>2.08</v>
      </c>
      <c r="I5796" s="18">
        <v>14.99</v>
      </c>
      <c r="J5796" s="12" t="s">
        <v>521</v>
      </c>
      <c r="K5796" s="13" t="s">
        <v>36</v>
      </c>
      <c r="L5796" s="15" t="s">
        <v>94</v>
      </c>
      <c r="M5796" s="12" t="s">
        <v>36</v>
      </c>
      <c r="N5796" s="12" t="s">
        <v>94</v>
      </c>
      <c r="O5796" s="17" t="s">
        <v>36</v>
      </c>
      <c r="P5796" s="12" t="s">
        <v>36</v>
      </c>
      <c r="Q5796" s="12" t="s">
        <v>36</v>
      </c>
      <c r="R5796" s="12" t="s">
        <v>36</v>
      </c>
      <c r="S5796" s="12" t="s">
        <v>36</v>
      </c>
      <c r="T5796" s="12" t="s">
        <v>18982</v>
      </c>
      <c r="U5796" s="12" t="s">
        <v>1798</v>
      </c>
      <c r="V5796" s="12" t="s">
        <v>39</v>
      </c>
      <c r="W5796" s="12" t="s">
        <v>18983</v>
      </c>
      <c r="X5796" s="16" t="s">
        <v>26991</v>
      </c>
      <c r="Y5796" s="15" t="s">
        <v>1120</v>
      </c>
      <c r="Z5796" s="14">
        <v>10.49</v>
      </c>
      <c r="AA5796" s="14">
        <v>54.73</v>
      </c>
      <c r="AB5796" s="12" t="s">
        <v>56</v>
      </c>
      <c r="AC5796" s="12" t="s">
        <v>18985</v>
      </c>
      <c r="AD5796" s="13">
        <v>43032</v>
      </c>
      <c r="AE5796" s="12" t="s">
        <v>1802</v>
      </c>
      <c r="AF5796" s="12" t="s">
        <v>18986</v>
      </c>
      <c r="AG5796" s="12" t="s">
        <v>18987</v>
      </c>
      <c r="AH5796" s="1">
        <f>HYPERLINK("https://my.pitchbook.com?c=96203-80T","View Company Online")</f>
      </c>
    </row>
    <row r="5797">
      <c r="A5797" s="3" t="s">
        <v>26992</v>
      </c>
      <c r="B5797" s="3" t="s">
        <v>24356</v>
      </c>
      <c r="C5797" s="5" t="s">
        <v>36</v>
      </c>
      <c r="D5797" s="5" t="s">
        <v>36</v>
      </c>
      <c r="E5797" s="5" t="s">
        <v>36</v>
      </c>
      <c r="F5797" s="5" t="s">
        <v>36</v>
      </c>
      <c r="G5797" s="6" t="s">
        <v>326</v>
      </c>
      <c r="H5797" s="4">
        <v>154.3</v>
      </c>
      <c r="I5797" s="7">
        <v>24.4</v>
      </c>
      <c r="J5797" s="3" t="s">
        <v>521</v>
      </c>
      <c r="K5797" s="9">
        <v>43003</v>
      </c>
      <c r="L5797" s="6" t="s">
        <v>36</v>
      </c>
      <c r="M5797" s="3" t="s">
        <v>36</v>
      </c>
      <c r="N5797" s="3" t="s">
        <v>36</v>
      </c>
      <c r="O5797" s="8" t="s">
        <v>36</v>
      </c>
      <c r="P5797" s="3" t="s">
        <v>36</v>
      </c>
      <c r="Q5797" s="3" t="s">
        <v>36</v>
      </c>
      <c r="R5797" s="3" t="s">
        <v>36</v>
      </c>
      <c r="S5797" s="3" t="s">
        <v>36</v>
      </c>
      <c r="T5797" s="3" t="s">
        <v>24357</v>
      </c>
      <c r="U5797" s="3" t="s">
        <v>38</v>
      </c>
      <c r="V5797" s="3" t="s">
        <v>39</v>
      </c>
      <c r="W5797" s="3" t="s">
        <v>24358</v>
      </c>
      <c r="X5797" s="10" t="s">
        <v>26993</v>
      </c>
      <c r="Y5797" s="6" t="s">
        <v>55</v>
      </c>
      <c r="Z5797" s="4">
        <v>0.9</v>
      </c>
      <c r="AA5797" s="4">
        <v>3.67</v>
      </c>
      <c r="AB5797" s="3" t="s">
        <v>43</v>
      </c>
      <c r="AC5797" s="3" t="s">
        <v>24360</v>
      </c>
      <c r="AD5797" s="9">
        <v>43032</v>
      </c>
      <c r="AE5797" s="3" t="s">
        <v>110</v>
      </c>
      <c r="AF5797" s="3" t="s">
        <v>24361</v>
      </c>
      <c r="AG5797" s="3" t="s">
        <v>81</v>
      </c>
      <c r="AH5797" s="11">
        <f>HYPERLINK("https://my.pitchbook.com?c=117592-75T","View Company Online")</f>
      </c>
    </row>
    <row r="5798">
      <c r="A5798" s="12" t="s">
        <v>26994</v>
      </c>
      <c r="B5798" s="12" t="s">
        <v>26995</v>
      </c>
      <c r="C5798" s="19" t="s">
        <v>36</v>
      </c>
      <c r="D5798" s="19" t="s">
        <v>36</v>
      </c>
      <c r="E5798" s="19" t="s">
        <v>36</v>
      </c>
      <c r="F5798" s="19" t="s">
        <v>36</v>
      </c>
      <c r="G5798" s="15" t="s">
        <v>2497</v>
      </c>
      <c r="H5798" s="14">
        <v>19.92</v>
      </c>
      <c r="I5798" s="18">
        <v>46.15</v>
      </c>
      <c r="J5798" s="12" t="s">
        <v>521</v>
      </c>
      <c r="K5798" s="13">
        <v>42948</v>
      </c>
      <c r="L5798" s="15" t="s">
        <v>1279</v>
      </c>
      <c r="M5798" s="12" t="s">
        <v>36</v>
      </c>
      <c r="N5798" s="12" t="s">
        <v>1279</v>
      </c>
      <c r="O5798" s="17" t="s">
        <v>36</v>
      </c>
      <c r="P5798" s="12" t="s">
        <v>36</v>
      </c>
      <c r="Q5798" s="12" t="s">
        <v>36</v>
      </c>
      <c r="R5798" s="12" t="s">
        <v>36</v>
      </c>
      <c r="S5798" s="12" t="s">
        <v>196</v>
      </c>
      <c r="T5798" s="12" t="s">
        <v>1397</v>
      </c>
      <c r="U5798" s="12" t="s">
        <v>38</v>
      </c>
      <c r="V5798" s="12" t="s">
        <v>39</v>
      </c>
      <c r="W5798" s="12" t="s">
        <v>26996</v>
      </c>
      <c r="X5798" s="16" t="s">
        <v>26997</v>
      </c>
      <c r="Y5798" s="15" t="s">
        <v>166</v>
      </c>
      <c r="Z5798" s="14">
        <v>37.71</v>
      </c>
      <c r="AA5798" s="14">
        <v>64.81</v>
      </c>
      <c r="AB5798" s="12" t="s">
        <v>56</v>
      </c>
      <c r="AC5798" s="12" t="s">
        <v>26998</v>
      </c>
      <c r="AD5798" s="13">
        <v>43032</v>
      </c>
      <c r="AE5798" s="12" t="s">
        <v>110</v>
      </c>
      <c r="AF5798" s="12" t="s">
        <v>4552</v>
      </c>
      <c r="AG5798" s="12" t="s">
        <v>186</v>
      </c>
      <c r="AH5798" s="1">
        <f>HYPERLINK("https://my.pitchbook.com?c=95429-89T","View Company Online")</f>
      </c>
    </row>
    <row r="5799">
      <c r="A5799" s="3" t="s">
        <v>26999</v>
      </c>
      <c r="B5799" s="3" t="s">
        <v>12903</v>
      </c>
      <c r="C5799" s="5" t="s">
        <v>36</v>
      </c>
      <c r="D5799" s="5" t="s">
        <v>36</v>
      </c>
      <c r="E5799" s="5" t="s">
        <v>36</v>
      </c>
      <c r="F5799" s="5" t="s">
        <v>36</v>
      </c>
      <c r="G5799" s="6" t="s">
        <v>36</v>
      </c>
      <c r="H5799" s="4" t="s">
        <v>36</v>
      </c>
      <c r="I5799" s="7">
        <v>48.91</v>
      </c>
      <c r="J5799" s="3" t="s">
        <v>327</v>
      </c>
      <c r="K5799" s="9" t="s">
        <v>36</v>
      </c>
      <c r="L5799" s="6" t="s">
        <v>36</v>
      </c>
      <c r="M5799" s="3" t="s">
        <v>36</v>
      </c>
      <c r="N5799" s="3" t="s">
        <v>36</v>
      </c>
      <c r="O5799" s="8" t="s">
        <v>36</v>
      </c>
      <c r="P5799" s="3" t="s">
        <v>36</v>
      </c>
      <c r="Q5799" s="3" t="s">
        <v>36</v>
      </c>
      <c r="R5799" s="3" t="s">
        <v>36</v>
      </c>
      <c r="S5799" s="3" t="s">
        <v>36</v>
      </c>
      <c r="T5799" s="3" t="s">
        <v>596</v>
      </c>
      <c r="U5799" s="3" t="s">
        <v>366</v>
      </c>
      <c r="V5799" s="3" t="s">
        <v>367</v>
      </c>
      <c r="W5799" s="3" t="s">
        <v>12904</v>
      </c>
      <c r="X5799" s="10" t="s">
        <v>27000</v>
      </c>
      <c r="Y5799" s="6" t="s">
        <v>42</v>
      </c>
      <c r="Z5799" s="4">
        <v>0.88</v>
      </c>
      <c r="AA5799" s="4">
        <v>1.81</v>
      </c>
      <c r="AB5799" s="3" t="s">
        <v>43</v>
      </c>
      <c r="AC5799" s="3" t="s">
        <v>12905</v>
      </c>
      <c r="AD5799" s="9">
        <v>43032</v>
      </c>
      <c r="AE5799" s="3" t="s">
        <v>600</v>
      </c>
      <c r="AF5799" s="3" t="s">
        <v>931</v>
      </c>
      <c r="AG5799" s="3" t="s">
        <v>186</v>
      </c>
      <c r="AH5799" s="11">
        <f>HYPERLINK("https://my.pitchbook.com?c=137863-09T","View Company Online")</f>
      </c>
    </row>
    <row r="5800">
      <c r="A5800" s="12" t="s">
        <v>27001</v>
      </c>
      <c r="B5800" s="12" t="s">
        <v>27002</v>
      </c>
      <c r="C5800" s="19" t="s">
        <v>36</v>
      </c>
      <c r="D5800" s="19" t="s">
        <v>36</v>
      </c>
      <c r="E5800" s="19" t="s">
        <v>36</v>
      </c>
      <c r="F5800" s="19" t="s">
        <v>36</v>
      </c>
      <c r="G5800" s="15" t="s">
        <v>36</v>
      </c>
      <c r="H5800" s="14" t="s">
        <v>36</v>
      </c>
      <c r="I5800" s="18" t="s">
        <v>36</v>
      </c>
      <c r="J5800" s="12" t="s">
        <v>36</v>
      </c>
      <c r="K5800" s="13" t="s">
        <v>36</v>
      </c>
      <c r="L5800" s="15" t="s">
        <v>36</v>
      </c>
      <c r="M5800" s="12" t="s">
        <v>36</v>
      </c>
      <c r="N5800" s="12" t="s">
        <v>36</v>
      </c>
      <c r="O5800" s="17" t="s">
        <v>36</v>
      </c>
      <c r="P5800" s="12" t="s">
        <v>36</v>
      </c>
      <c r="Q5800" s="12" t="s">
        <v>36</v>
      </c>
      <c r="R5800" s="12" t="s">
        <v>36</v>
      </c>
      <c r="S5800" s="12" t="s">
        <v>27003</v>
      </c>
      <c r="T5800" s="12" t="s">
        <v>12057</v>
      </c>
      <c r="U5800" s="12" t="s">
        <v>233</v>
      </c>
      <c r="V5800" s="12" t="s">
        <v>39</v>
      </c>
      <c r="W5800" s="12" t="s">
        <v>27004</v>
      </c>
      <c r="X5800" s="16" t="s">
        <v>27005</v>
      </c>
      <c r="Y5800" s="15" t="s">
        <v>108</v>
      </c>
      <c r="Z5800" s="14">
        <v>5</v>
      </c>
      <c r="AA5800" s="14" t="s">
        <v>36</v>
      </c>
      <c r="AB5800" s="12" t="s">
        <v>43</v>
      </c>
      <c r="AC5800" s="12" t="s">
        <v>27006</v>
      </c>
      <c r="AD5800" s="13">
        <v>43032</v>
      </c>
      <c r="AE5800" s="12" t="s">
        <v>12061</v>
      </c>
      <c r="AF5800" s="12" t="s">
        <v>27007</v>
      </c>
      <c r="AG5800" s="12" t="s">
        <v>741</v>
      </c>
      <c r="AH5800" s="1">
        <f>HYPERLINK("https://my.pitchbook.com?c=96227-38T","View Company Online")</f>
      </c>
    </row>
    <row r="5801">
      <c r="A5801" s="3" t="s">
        <v>27008</v>
      </c>
      <c r="B5801" s="3" t="s">
        <v>16525</v>
      </c>
      <c r="C5801" s="5" t="s">
        <v>36</v>
      </c>
      <c r="D5801" s="5" t="s">
        <v>36</v>
      </c>
      <c r="E5801" s="5" t="s">
        <v>36</v>
      </c>
      <c r="F5801" s="5" t="s">
        <v>36</v>
      </c>
      <c r="G5801" s="6" t="s">
        <v>326</v>
      </c>
      <c r="H5801" s="4">
        <v>3.29</v>
      </c>
      <c r="I5801" s="7">
        <v>25.24</v>
      </c>
      <c r="J5801" s="3" t="s">
        <v>521</v>
      </c>
      <c r="K5801" s="9" t="s">
        <v>36</v>
      </c>
      <c r="L5801" s="6" t="s">
        <v>94</v>
      </c>
      <c r="M5801" s="3" t="s">
        <v>36</v>
      </c>
      <c r="N5801" s="3" t="s">
        <v>94</v>
      </c>
      <c r="O5801" s="8" t="s">
        <v>36</v>
      </c>
      <c r="P5801" s="3" t="s">
        <v>36</v>
      </c>
      <c r="Q5801" s="3" t="s">
        <v>36</v>
      </c>
      <c r="R5801" s="3" t="s">
        <v>36</v>
      </c>
      <c r="S5801" s="3" t="s">
        <v>36</v>
      </c>
      <c r="T5801" s="3" t="s">
        <v>1253</v>
      </c>
      <c r="U5801" s="3" t="s">
        <v>38</v>
      </c>
      <c r="V5801" s="3" t="s">
        <v>39</v>
      </c>
      <c r="W5801" s="3" t="s">
        <v>16526</v>
      </c>
      <c r="X5801" s="10" t="s">
        <v>27009</v>
      </c>
      <c r="Y5801" s="6" t="s">
        <v>55</v>
      </c>
      <c r="Z5801" s="4">
        <v>25.19</v>
      </c>
      <c r="AA5801" s="4">
        <v>99.8</v>
      </c>
      <c r="AB5801" s="3" t="s">
        <v>43</v>
      </c>
      <c r="AC5801" s="3" t="s">
        <v>16528</v>
      </c>
      <c r="AD5801" s="9">
        <v>43031</v>
      </c>
      <c r="AE5801" s="3" t="s">
        <v>45</v>
      </c>
      <c r="AF5801" s="3" t="s">
        <v>16529</v>
      </c>
      <c r="AG5801" s="3" t="s">
        <v>81</v>
      </c>
      <c r="AH5801" s="11">
        <f>HYPERLINK("https://my.pitchbook.com?c=96177-07T","View Company Online")</f>
      </c>
    </row>
    <row r="5802">
      <c r="A5802" s="12" t="s">
        <v>27010</v>
      </c>
      <c r="B5802" s="12" t="s">
        <v>27011</v>
      </c>
      <c r="C5802" s="19">
        <v>1</v>
      </c>
      <c r="D5802" s="19">
        <v>6</v>
      </c>
      <c r="E5802" s="19">
        <v>4</v>
      </c>
      <c r="F5802" s="19">
        <v>11</v>
      </c>
      <c r="G5802" s="15" t="s">
        <v>36</v>
      </c>
      <c r="H5802" s="14">
        <v>539.48</v>
      </c>
      <c r="I5802" s="18">
        <v>28.94</v>
      </c>
      <c r="J5802" s="12" t="s">
        <v>327</v>
      </c>
      <c r="K5802" s="13" t="s">
        <v>36</v>
      </c>
      <c r="L5802" s="15" t="s">
        <v>36</v>
      </c>
      <c r="M5802" s="12" t="s">
        <v>36</v>
      </c>
      <c r="N5802" s="12" t="s">
        <v>36</v>
      </c>
      <c r="O5802" s="17" t="s">
        <v>36</v>
      </c>
      <c r="P5802" s="12" t="s">
        <v>36</v>
      </c>
      <c r="Q5802" s="12" t="s">
        <v>36</v>
      </c>
      <c r="R5802" s="12" t="s">
        <v>36</v>
      </c>
      <c r="S5802" s="12" t="s">
        <v>36</v>
      </c>
      <c r="T5802" s="12" t="s">
        <v>37</v>
      </c>
      <c r="U5802" s="12" t="s">
        <v>38</v>
      </c>
      <c r="V5802" s="12" t="s">
        <v>39</v>
      </c>
      <c r="W5802" s="12" t="s">
        <v>27012</v>
      </c>
      <c r="X5802" s="16" t="s">
        <v>27013</v>
      </c>
      <c r="Y5802" s="15" t="s">
        <v>108</v>
      </c>
      <c r="Z5802" s="14">
        <v>2.95</v>
      </c>
      <c r="AA5802" s="14">
        <v>6.95</v>
      </c>
      <c r="AB5802" s="12" t="s">
        <v>56</v>
      </c>
      <c r="AC5802" s="12" t="s">
        <v>27014</v>
      </c>
      <c r="AD5802" s="13">
        <v>43027</v>
      </c>
      <c r="AE5802" s="12" t="s">
        <v>45</v>
      </c>
      <c r="AF5802" s="12" t="s">
        <v>5816</v>
      </c>
      <c r="AG5802" s="12" t="s">
        <v>27015</v>
      </c>
      <c r="AH5802" s="1">
        <f>HYPERLINK("https://my.pitchbook.com?c=96482-08T","View Company Online")</f>
      </c>
    </row>
    <row r="5803">
      <c r="A5803" s="3" t="s">
        <v>27016</v>
      </c>
      <c r="B5803" s="3" t="s">
        <v>25260</v>
      </c>
      <c r="C5803" s="5" t="s">
        <v>36</v>
      </c>
      <c r="D5803" s="5" t="s">
        <v>36</v>
      </c>
      <c r="E5803" s="5" t="s">
        <v>36</v>
      </c>
      <c r="F5803" s="5" t="s">
        <v>36</v>
      </c>
      <c r="G5803" s="6" t="s">
        <v>36</v>
      </c>
      <c r="H5803" s="4">
        <v>1401.37</v>
      </c>
      <c r="I5803" s="7">
        <v>22.9</v>
      </c>
      <c r="J5803" s="3" t="s">
        <v>521</v>
      </c>
      <c r="K5803" s="9" t="s">
        <v>36</v>
      </c>
      <c r="L5803" s="6" t="s">
        <v>36</v>
      </c>
      <c r="M5803" s="3" t="s">
        <v>36</v>
      </c>
      <c r="N5803" s="3" t="s">
        <v>36</v>
      </c>
      <c r="O5803" s="8" t="s">
        <v>36</v>
      </c>
      <c r="P5803" s="3" t="s">
        <v>36</v>
      </c>
      <c r="Q5803" s="3" t="s">
        <v>36</v>
      </c>
      <c r="R5803" s="3" t="s">
        <v>36</v>
      </c>
      <c r="S5803" s="3" t="s">
        <v>36</v>
      </c>
      <c r="T5803" s="3" t="s">
        <v>9088</v>
      </c>
      <c r="U5803" s="3" t="s">
        <v>38</v>
      </c>
      <c r="V5803" s="3" t="s">
        <v>39</v>
      </c>
      <c r="W5803" s="3" t="s">
        <v>25261</v>
      </c>
      <c r="X5803" s="10" t="s">
        <v>2765</v>
      </c>
      <c r="Y5803" s="6" t="s">
        <v>42</v>
      </c>
      <c r="Z5803" s="4">
        <v>0.95</v>
      </c>
      <c r="AA5803" s="4">
        <v>2.07</v>
      </c>
      <c r="AB5803" s="3" t="s">
        <v>43</v>
      </c>
      <c r="AC5803" s="3" t="s">
        <v>25262</v>
      </c>
      <c r="AD5803" s="9">
        <v>43027</v>
      </c>
      <c r="AE5803" s="3" t="s">
        <v>110</v>
      </c>
      <c r="AF5803" s="3" t="s">
        <v>176</v>
      </c>
      <c r="AG5803" s="3" t="s">
        <v>186</v>
      </c>
      <c r="AH5803" s="11">
        <f>HYPERLINK("https://my.pitchbook.com?c=189712-00T","View Company Online")</f>
      </c>
    </row>
    <row r="5804">
      <c r="A5804" s="12" t="s">
        <v>27017</v>
      </c>
      <c r="B5804" s="12" t="s">
        <v>18641</v>
      </c>
      <c r="C5804" s="19" t="s">
        <v>36</v>
      </c>
      <c r="D5804" s="19" t="s">
        <v>36</v>
      </c>
      <c r="E5804" s="19" t="s">
        <v>36</v>
      </c>
      <c r="F5804" s="19" t="s">
        <v>36</v>
      </c>
      <c r="G5804" s="15" t="s">
        <v>36</v>
      </c>
      <c r="H5804" s="14">
        <v>93.47</v>
      </c>
      <c r="I5804" s="18">
        <v>23.07</v>
      </c>
      <c r="J5804" s="12" t="s">
        <v>521</v>
      </c>
      <c r="K5804" s="13" t="s">
        <v>36</v>
      </c>
      <c r="L5804" s="15" t="s">
        <v>36</v>
      </c>
      <c r="M5804" s="12" t="s">
        <v>36</v>
      </c>
      <c r="N5804" s="12" t="s">
        <v>36</v>
      </c>
      <c r="O5804" s="17" t="s">
        <v>36</v>
      </c>
      <c r="P5804" s="12" t="s">
        <v>36</v>
      </c>
      <c r="Q5804" s="12" t="s">
        <v>36</v>
      </c>
      <c r="R5804" s="12" t="s">
        <v>36</v>
      </c>
      <c r="S5804" s="12" t="s">
        <v>36</v>
      </c>
      <c r="T5804" s="12" t="s">
        <v>105</v>
      </c>
      <c r="U5804" s="12" t="s">
        <v>38</v>
      </c>
      <c r="V5804" s="12" t="s">
        <v>39</v>
      </c>
      <c r="W5804" s="12" t="s">
        <v>18642</v>
      </c>
      <c r="X5804" s="16" t="s">
        <v>27018</v>
      </c>
      <c r="Y5804" s="15" t="s">
        <v>42</v>
      </c>
      <c r="Z5804" s="14">
        <v>1.18</v>
      </c>
      <c r="AA5804" s="14">
        <v>5.12</v>
      </c>
      <c r="AB5804" s="12" t="s">
        <v>56</v>
      </c>
      <c r="AC5804" s="12" t="s">
        <v>18644</v>
      </c>
      <c r="AD5804" s="13">
        <v>43027</v>
      </c>
      <c r="AE5804" s="12" t="s">
        <v>110</v>
      </c>
      <c r="AF5804" s="12" t="s">
        <v>4552</v>
      </c>
      <c r="AG5804" s="12" t="s">
        <v>47</v>
      </c>
      <c r="AH5804" s="1">
        <f>HYPERLINK("https://my.pitchbook.com?c=104868-37T","View Company Online")</f>
      </c>
    </row>
    <row r="5805">
      <c r="A5805" s="3" t="s">
        <v>27019</v>
      </c>
      <c r="B5805" s="3" t="s">
        <v>12720</v>
      </c>
      <c r="C5805" s="5">
        <v>12</v>
      </c>
      <c r="D5805" s="5">
        <v>11</v>
      </c>
      <c r="E5805" s="5">
        <v>13</v>
      </c>
      <c r="F5805" s="5">
        <v>24</v>
      </c>
      <c r="G5805" s="6" t="s">
        <v>683</v>
      </c>
      <c r="H5805" s="4">
        <v>13.52</v>
      </c>
      <c r="I5805" s="7">
        <v>18.63</v>
      </c>
      <c r="J5805" s="3" t="s">
        <v>521</v>
      </c>
      <c r="K5805" s="9">
        <v>42887</v>
      </c>
      <c r="L5805" s="6" t="s">
        <v>36</v>
      </c>
      <c r="M5805" s="3" t="s">
        <v>36</v>
      </c>
      <c r="N5805" s="3" t="s">
        <v>36</v>
      </c>
      <c r="O5805" s="8" t="s">
        <v>36</v>
      </c>
      <c r="P5805" s="3" t="s">
        <v>36</v>
      </c>
      <c r="Q5805" s="3" t="s">
        <v>36</v>
      </c>
      <c r="R5805" s="3" t="s">
        <v>36</v>
      </c>
      <c r="S5805" s="3" t="s">
        <v>36</v>
      </c>
      <c r="T5805" s="3" t="s">
        <v>6904</v>
      </c>
      <c r="U5805" s="3" t="s">
        <v>96</v>
      </c>
      <c r="V5805" s="3" t="s">
        <v>52</v>
      </c>
      <c r="W5805" s="3" t="s">
        <v>12721</v>
      </c>
      <c r="X5805" s="10" t="s">
        <v>27020</v>
      </c>
      <c r="Y5805" s="6" t="s">
        <v>42</v>
      </c>
      <c r="Z5805" s="4">
        <v>1.77</v>
      </c>
      <c r="AA5805" s="4">
        <v>9.51</v>
      </c>
      <c r="AB5805" s="3" t="s">
        <v>43</v>
      </c>
      <c r="AC5805" s="3" t="s">
        <v>12723</v>
      </c>
      <c r="AD5805" s="9">
        <v>43026</v>
      </c>
      <c r="AE5805" s="3" t="s">
        <v>143</v>
      </c>
      <c r="AF5805" s="3" t="s">
        <v>5573</v>
      </c>
      <c r="AG5805" s="3" t="s">
        <v>10841</v>
      </c>
      <c r="AH5805" s="11">
        <f>HYPERLINK("https://my.pitchbook.com?c=103681-90T","View Company Online")</f>
      </c>
    </row>
    <row r="5806">
      <c r="A5806" s="12" t="s">
        <v>27021</v>
      </c>
      <c r="B5806" s="12" t="s">
        <v>27022</v>
      </c>
      <c r="C5806" s="19" t="s">
        <v>36</v>
      </c>
      <c r="D5806" s="19" t="s">
        <v>36</v>
      </c>
      <c r="E5806" s="19" t="s">
        <v>36</v>
      </c>
      <c r="F5806" s="19" t="s">
        <v>36</v>
      </c>
      <c r="G5806" s="15" t="s">
        <v>326</v>
      </c>
      <c r="H5806" s="14">
        <v>120.47</v>
      </c>
      <c r="I5806" s="18">
        <v>9.08</v>
      </c>
      <c r="J5806" s="12" t="s">
        <v>521</v>
      </c>
      <c r="K5806" s="13" t="s">
        <v>36</v>
      </c>
      <c r="L5806" s="15" t="s">
        <v>36</v>
      </c>
      <c r="M5806" s="12" t="s">
        <v>36</v>
      </c>
      <c r="N5806" s="12" t="s">
        <v>36</v>
      </c>
      <c r="O5806" s="17" t="s">
        <v>36</v>
      </c>
      <c r="P5806" s="12" t="s">
        <v>36</v>
      </c>
      <c r="Q5806" s="12" t="s">
        <v>36</v>
      </c>
      <c r="R5806" s="12" t="s">
        <v>36</v>
      </c>
      <c r="S5806" s="12" t="s">
        <v>36</v>
      </c>
      <c r="T5806" s="12" t="s">
        <v>522</v>
      </c>
      <c r="U5806" s="12" t="s">
        <v>38</v>
      </c>
      <c r="V5806" s="12" t="s">
        <v>39</v>
      </c>
      <c r="W5806" s="12" t="s">
        <v>27023</v>
      </c>
      <c r="X5806" s="16" t="s">
        <v>221</v>
      </c>
      <c r="Y5806" s="15" t="s">
        <v>108</v>
      </c>
      <c r="Z5806" s="14">
        <v>0.35</v>
      </c>
      <c r="AA5806" s="14">
        <v>3.9</v>
      </c>
      <c r="AB5806" s="12" t="s">
        <v>56</v>
      </c>
      <c r="AC5806" s="12" t="s">
        <v>27024</v>
      </c>
      <c r="AD5806" s="13">
        <v>43025</v>
      </c>
      <c r="AE5806" s="12" t="s">
        <v>110</v>
      </c>
      <c r="AF5806" s="12" t="s">
        <v>27025</v>
      </c>
      <c r="AG5806" s="12" t="s">
        <v>81</v>
      </c>
      <c r="AH5806" s="1">
        <f>HYPERLINK("https://my.pitchbook.com?c=87735-25T","View Company Online")</f>
      </c>
    </row>
    <row r="5807">
      <c r="A5807" s="3" t="s">
        <v>27026</v>
      </c>
      <c r="B5807" s="3" t="s">
        <v>24527</v>
      </c>
      <c r="C5807" s="5" t="s">
        <v>36</v>
      </c>
      <c r="D5807" s="5" t="s">
        <v>36</v>
      </c>
      <c r="E5807" s="5" t="s">
        <v>36</v>
      </c>
      <c r="F5807" s="5" t="s">
        <v>36</v>
      </c>
      <c r="G5807" s="6" t="s">
        <v>326</v>
      </c>
      <c r="H5807" s="4">
        <v>20.87</v>
      </c>
      <c r="I5807" s="7">
        <v>32.49</v>
      </c>
      <c r="J5807" s="3" t="s">
        <v>521</v>
      </c>
      <c r="K5807" s="9" t="s">
        <v>36</v>
      </c>
      <c r="L5807" s="6" t="s">
        <v>122</v>
      </c>
      <c r="M5807" s="3" t="s">
        <v>36</v>
      </c>
      <c r="N5807" s="3" t="s">
        <v>122</v>
      </c>
      <c r="O5807" s="8" t="s">
        <v>36</v>
      </c>
      <c r="P5807" s="3" t="s">
        <v>36</v>
      </c>
      <c r="Q5807" s="3" t="s">
        <v>36</v>
      </c>
      <c r="R5807" s="3" t="s">
        <v>36</v>
      </c>
      <c r="S5807" s="3" t="s">
        <v>5353</v>
      </c>
      <c r="T5807" s="3" t="s">
        <v>13349</v>
      </c>
      <c r="U5807" s="3" t="s">
        <v>619</v>
      </c>
      <c r="V5807" s="3" t="s">
        <v>378</v>
      </c>
      <c r="W5807" s="3" t="s">
        <v>24528</v>
      </c>
      <c r="X5807" s="10" t="s">
        <v>27027</v>
      </c>
      <c r="Y5807" s="6" t="s">
        <v>108</v>
      </c>
      <c r="Z5807" s="4">
        <v>1.15</v>
      </c>
      <c r="AA5807" s="4">
        <v>3.55</v>
      </c>
      <c r="AB5807" s="3" t="s">
        <v>43</v>
      </c>
      <c r="AC5807" s="3" t="s">
        <v>24530</v>
      </c>
      <c r="AD5807" s="9">
        <v>43025</v>
      </c>
      <c r="AE5807" s="3" t="s">
        <v>623</v>
      </c>
      <c r="AF5807" s="3" t="s">
        <v>3719</v>
      </c>
      <c r="AG5807" s="3" t="s">
        <v>24531</v>
      </c>
      <c r="AH5807" s="11">
        <f>HYPERLINK("https://my.pitchbook.com?c=127472-41T","View Company Online")</f>
      </c>
    </row>
    <row r="5808">
      <c r="A5808" s="12" t="s">
        <v>27028</v>
      </c>
      <c r="B5808" s="12" t="s">
        <v>27029</v>
      </c>
      <c r="C5808" s="19" t="s">
        <v>36</v>
      </c>
      <c r="D5808" s="19" t="s">
        <v>36</v>
      </c>
      <c r="E5808" s="19" t="s">
        <v>36</v>
      </c>
      <c r="F5808" s="19" t="s">
        <v>36</v>
      </c>
      <c r="G5808" s="15" t="s">
        <v>36</v>
      </c>
      <c r="H5808" s="14">
        <v>768.54</v>
      </c>
      <c r="I5808" s="18">
        <v>27.45</v>
      </c>
      <c r="J5808" s="12" t="s">
        <v>521</v>
      </c>
      <c r="K5808" s="13" t="s">
        <v>36</v>
      </c>
      <c r="L5808" s="15" t="s">
        <v>122</v>
      </c>
      <c r="M5808" s="12" t="s">
        <v>36</v>
      </c>
      <c r="N5808" s="12" t="s">
        <v>122</v>
      </c>
      <c r="O5808" s="17" t="s">
        <v>36</v>
      </c>
      <c r="P5808" s="12" t="s">
        <v>36</v>
      </c>
      <c r="Q5808" s="12" t="s">
        <v>36</v>
      </c>
      <c r="R5808" s="12" t="s">
        <v>36</v>
      </c>
      <c r="S5808" s="12" t="s">
        <v>36</v>
      </c>
      <c r="T5808" s="12" t="s">
        <v>855</v>
      </c>
      <c r="U5808" s="12" t="s">
        <v>648</v>
      </c>
      <c r="V5808" s="12" t="s">
        <v>64</v>
      </c>
      <c r="W5808" s="12" t="s">
        <v>27030</v>
      </c>
      <c r="X5808" s="16" t="s">
        <v>27031</v>
      </c>
      <c r="Y5808" s="15" t="s">
        <v>42</v>
      </c>
      <c r="Z5808" s="14">
        <v>11.82</v>
      </c>
      <c r="AA5808" s="14">
        <v>30.13</v>
      </c>
      <c r="AB5808" s="12" t="s">
        <v>43</v>
      </c>
      <c r="AC5808" s="12" t="s">
        <v>27032</v>
      </c>
      <c r="AD5808" s="13">
        <v>43025</v>
      </c>
      <c r="AE5808" s="12" t="s">
        <v>651</v>
      </c>
      <c r="AF5808" s="12" t="s">
        <v>27033</v>
      </c>
      <c r="AG5808" s="12" t="s">
        <v>81</v>
      </c>
      <c r="AH5808" s="1">
        <f>HYPERLINK("https://my.pitchbook.com?c=95885-38T","View Company Online")</f>
      </c>
    </row>
    <row r="5809">
      <c r="A5809" s="3" t="s">
        <v>27034</v>
      </c>
      <c r="B5809" s="3" t="s">
        <v>12339</v>
      </c>
      <c r="C5809" s="5" t="s">
        <v>36</v>
      </c>
      <c r="D5809" s="5" t="s">
        <v>36</v>
      </c>
      <c r="E5809" s="5" t="s">
        <v>36</v>
      </c>
      <c r="F5809" s="5" t="s">
        <v>36</v>
      </c>
      <c r="G5809" s="6" t="s">
        <v>36</v>
      </c>
      <c r="H5809" s="4" t="s">
        <v>36</v>
      </c>
      <c r="I5809" s="7" t="s">
        <v>36</v>
      </c>
      <c r="J5809" s="3" t="s">
        <v>36</v>
      </c>
      <c r="K5809" s="9" t="s">
        <v>36</v>
      </c>
      <c r="L5809" s="6" t="s">
        <v>36</v>
      </c>
      <c r="M5809" s="3" t="s">
        <v>36</v>
      </c>
      <c r="N5809" s="3" t="s">
        <v>36</v>
      </c>
      <c r="O5809" s="8" t="s">
        <v>36</v>
      </c>
      <c r="P5809" s="3" t="s">
        <v>36</v>
      </c>
      <c r="Q5809" s="3" t="s">
        <v>36</v>
      </c>
      <c r="R5809" s="3" t="s">
        <v>36</v>
      </c>
      <c r="S5809" s="3" t="s">
        <v>36</v>
      </c>
      <c r="T5809" s="3" t="s">
        <v>7901</v>
      </c>
      <c r="U5809" s="3" t="s">
        <v>38</v>
      </c>
      <c r="V5809" s="3" t="s">
        <v>39</v>
      </c>
      <c r="W5809" s="3" t="s">
        <v>12340</v>
      </c>
      <c r="X5809" s="10" t="s">
        <v>27035</v>
      </c>
      <c r="Y5809" s="6" t="s">
        <v>42</v>
      </c>
      <c r="Z5809" s="4">
        <v>0.59</v>
      </c>
      <c r="AA5809" s="4" t="s">
        <v>36</v>
      </c>
      <c r="AB5809" s="3" t="s">
        <v>43</v>
      </c>
      <c r="AC5809" s="3" t="s">
        <v>12342</v>
      </c>
      <c r="AD5809" s="9">
        <v>43025</v>
      </c>
      <c r="AE5809" s="3" t="s">
        <v>134</v>
      </c>
      <c r="AF5809" s="3" t="s">
        <v>12343</v>
      </c>
      <c r="AG5809" s="3" t="s">
        <v>741</v>
      </c>
      <c r="AH5809" s="11">
        <f>HYPERLINK("https://my.pitchbook.com?c=96070-15T","View Company Online")</f>
      </c>
    </row>
    <row r="5810">
      <c r="A5810" s="12" t="s">
        <v>27036</v>
      </c>
      <c r="B5810" s="12" t="s">
        <v>24099</v>
      </c>
      <c r="C5810" s="19" t="s">
        <v>36</v>
      </c>
      <c r="D5810" s="19" t="s">
        <v>36</v>
      </c>
      <c r="E5810" s="19">
        <v>8</v>
      </c>
      <c r="F5810" s="19">
        <v>8</v>
      </c>
      <c r="G5810" s="15" t="s">
        <v>2497</v>
      </c>
      <c r="H5810" s="14">
        <v>1888.3</v>
      </c>
      <c r="I5810" s="18">
        <v>37.02</v>
      </c>
      <c r="J5810" s="12" t="s">
        <v>521</v>
      </c>
      <c r="K5810" s="13" t="s">
        <v>36</v>
      </c>
      <c r="L5810" s="15" t="s">
        <v>36</v>
      </c>
      <c r="M5810" s="12" t="s">
        <v>36</v>
      </c>
      <c r="N5810" s="12" t="s">
        <v>36</v>
      </c>
      <c r="O5810" s="17" t="s">
        <v>36</v>
      </c>
      <c r="P5810" s="12" t="s">
        <v>36</v>
      </c>
      <c r="Q5810" s="12" t="s">
        <v>36</v>
      </c>
      <c r="R5810" s="12" t="s">
        <v>36</v>
      </c>
      <c r="S5810" s="12" t="s">
        <v>36</v>
      </c>
      <c r="T5810" s="12" t="s">
        <v>1935</v>
      </c>
      <c r="U5810" s="12" t="s">
        <v>38</v>
      </c>
      <c r="V5810" s="12" t="s">
        <v>39</v>
      </c>
      <c r="W5810" s="12" t="s">
        <v>24100</v>
      </c>
      <c r="X5810" s="16" t="s">
        <v>27037</v>
      </c>
      <c r="Y5810" s="15" t="s">
        <v>108</v>
      </c>
      <c r="Z5810" s="14">
        <v>3.08</v>
      </c>
      <c r="AA5810" s="14">
        <v>4.16</v>
      </c>
      <c r="AB5810" s="12" t="s">
        <v>43</v>
      </c>
      <c r="AC5810" s="12" t="s">
        <v>24102</v>
      </c>
      <c r="AD5810" s="13">
        <v>43024</v>
      </c>
      <c r="AE5810" s="12" t="s">
        <v>45</v>
      </c>
      <c r="AF5810" s="12" t="s">
        <v>24103</v>
      </c>
      <c r="AG5810" s="12" t="s">
        <v>1479</v>
      </c>
      <c r="AH5810" s="1">
        <f>HYPERLINK("https://my.pitchbook.com?c=101430-91T","View Company Online")</f>
      </c>
    </row>
    <row r="5811">
      <c r="A5811" s="3" t="s">
        <v>27038</v>
      </c>
      <c r="B5811" s="3" t="s">
        <v>27039</v>
      </c>
      <c r="C5811" s="5" t="s">
        <v>36</v>
      </c>
      <c r="D5811" s="5" t="s">
        <v>36</v>
      </c>
      <c r="E5811" s="5" t="s">
        <v>36</v>
      </c>
      <c r="F5811" s="5" t="s">
        <v>36</v>
      </c>
      <c r="G5811" s="6" t="s">
        <v>326</v>
      </c>
      <c r="H5811" s="4">
        <v>484.67</v>
      </c>
      <c r="I5811" s="7">
        <v>33.97</v>
      </c>
      <c r="J5811" s="3" t="s">
        <v>521</v>
      </c>
      <c r="K5811" s="9" t="s">
        <v>36</v>
      </c>
      <c r="L5811" s="6" t="s">
        <v>36</v>
      </c>
      <c r="M5811" s="3" t="s">
        <v>36</v>
      </c>
      <c r="N5811" s="3" t="s">
        <v>36</v>
      </c>
      <c r="O5811" s="8" t="s">
        <v>36</v>
      </c>
      <c r="P5811" s="3" t="s">
        <v>36</v>
      </c>
      <c r="Q5811" s="3" t="s">
        <v>36</v>
      </c>
      <c r="R5811" s="3" t="s">
        <v>36</v>
      </c>
      <c r="S5811" s="3" t="s">
        <v>36</v>
      </c>
      <c r="T5811" s="3" t="s">
        <v>4911</v>
      </c>
      <c r="U5811" s="3" t="s">
        <v>63</v>
      </c>
      <c r="V5811" s="3" t="s">
        <v>64</v>
      </c>
      <c r="W5811" s="3" t="s">
        <v>27040</v>
      </c>
      <c r="X5811" s="10" t="s">
        <v>27041</v>
      </c>
      <c r="Y5811" s="6" t="s">
        <v>192</v>
      </c>
      <c r="Z5811" s="4">
        <v>1.77</v>
      </c>
      <c r="AA5811" s="4">
        <v>5.22</v>
      </c>
      <c r="AB5811" s="3" t="s">
        <v>43</v>
      </c>
      <c r="AC5811" s="3" t="s">
        <v>27042</v>
      </c>
      <c r="AD5811" s="9">
        <v>43024</v>
      </c>
      <c r="AE5811" s="3" t="s">
        <v>399</v>
      </c>
      <c r="AF5811" s="3" t="s">
        <v>36</v>
      </c>
      <c r="AG5811" s="3" t="s">
        <v>27043</v>
      </c>
      <c r="AH5811" s="11">
        <f>HYPERLINK("https://my.pitchbook.com?c=159856-75T","View Company Online")</f>
      </c>
    </row>
    <row r="5812">
      <c r="A5812" s="12" t="s">
        <v>27044</v>
      </c>
      <c r="B5812" s="12" t="s">
        <v>27045</v>
      </c>
      <c r="C5812" s="19" t="s">
        <v>36</v>
      </c>
      <c r="D5812" s="19" t="s">
        <v>36</v>
      </c>
      <c r="E5812" s="19">
        <v>2</v>
      </c>
      <c r="F5812" s="19">
        <v>2</v>
      </c>
      <c r="G5812" s="15" t="s">
        <v>36</v>
      </c>
      <c r="H5812" s="14" t="s">
        <v>36</v>
      </c>
      <c r="I5812" s="18" t="s">
        <v>36</v>
      </c>
      <c r="J5812" s="12" t="s">
        <v>36</v>
      </c>
      <c r="K5812" s="13" t="s">
        <v>36</v>
      </c>
      <c r="L5812" s="15" t="s">
        <v>36</v>
      </c>
      <c r="M5812" s="12" t="s">
        <v>36</v>
      </c>
      <c r="N5812" s="12" t="s">
        <v>36</v>
      </c>
      <c r="O5812" s="17" t="s">
        <v>36</v>
      </c>
      <c r="P5812" s="12" t="s">
        <v>36</v>
      </c>
      <c r="Q5812" s="12" t="s">
        <v>36</v>
      </c>
      <c r="R5812" s="12" t="s">
        <v>36</v>
      </c>
      <c r="S5812" s="12" t="s">
        <v>36</v>
      </c>
      <c r="T5812" s="12" t="s">
        <v>27046</v>
      </c>
      <c r="U5812" s="12" t="s">
        <v>38</v>
      </c>
      <c r="V5812" s="12" t="s">
        <v>39</v>
      </c>
      <c r="W5812" s="12" t="s">
        <v>27047</v>
      </c>
      <c r="X5812" s="16" t="s">
        <v>27048</v>
      </c>
      <c r="Y5812" s="15" t="s">
        <v>55</v>
      </c>
      <c r="Z5812" s="14">
        <v>5</v>
      </c>
      <c r="AA5812" s="14" t="s">
        <v>36</v>
      </c>
      <c r="AB5812" s="12" t="s">
        <v>56</v>
      </c>
      <c r="AC5812" s="12" t="s">
        <v>27049</v>
      </c>
      <c r="AD5812" s="13">
        <v>43024</v>
      </c>
      <c r="AE5812" s="12" t="s">
        <v>45</v>
      </c>
      <c r="AF5812" s="12" t="s">
        <v>17475</v>
      </c>
      <c r="AG5812" s="12" t="s">
        <v>81</v>
      </c>
      <c r="AH5812" s="1">
        <f>HYPERLINK("https://my.pitchbook.com?c=95879-98T","View Company Online")</f>
      </c>
    </row>
    <row r="5813">
      <c r="A5813" s="3" t="s">
        <v>27050</v>
      </c>
      <c r="B5813" s="3" t="s">
        <v>27051</v>
      </c>
      <c r="C5813" s="5" t="s">
        <v>36</v>
      </c>
      <c r="D5813" s="5" t="s">
        <v>36</v>
      </c>
      <c r="E5813" s="5" t="s">
        <v>36</v>
      </c>
      <c r="F5813" s="5" t="s">
        <v>36</v>
      </c>
      <c r="G5813" s="6" t="s">
        <v>36</v>
      </c>
      <c r="H5813" s="4">
        <v>701.03</v>
      </c>
      <c r="I5813" s="7">
        <v>16.81</v>
      </c>
      <c r="J5813" s="3" t="s">
        <v>521</v>
      </c>
      <c r="K5813" s="9">
        <v>42917</v>
      </c>
      <c r="L5813" s="6" t="s">
        <v>36</v>
      </c>
      <c r="M5813" s="3" t="s">
        <v>36</v>
      </c>
      <c r="N5813" s="3" t="s">
        <v>36</v>
      </c>
      <c r="O5813" s="8" t="s">
        <v>36</v>
      </c>
      <c r="P5813" s="3" t="s">
        <v>36</v>
      </c>
      <c r="Q5813" s="3" t="s">
        <v>36</v>
      </c>
      <c r="R5813" s="3" t="s">
        <v>36</v>
      </c>
      <c r="S5813" s="3" t="s">
        <v>36</v>
      </c>
      <c r="T5813" s="3" t="s">
        <v>27052</v>
      </c>
      <c r="U5813" s="3" t="s">
        <v>423</v>
      </c>
      <c r="V5813" s="3" t="s">
        <v>64</v>
      </c>
      <c r="W5813" s="3" t="s">
        <v>27053</v>
      </c>
      <c r="X5813" s="10" t="s">
        <v>19253</v>
      </c>
      <c r="Y5813" s="6" t="s">
        <v>42</v>
      </c>
      <c r="Z5813" s="4">
        <v>0.32</v>
      </c>
      <c r="AA5813" s="4">
        <v>1.92</v>
      </c>
      <c r="AB5813" s="3" t="s">
        <v>43</v>
      </c>
      <c r="AC5813" s="3" t="s">
        <v>27054</v>
      </c>
      <c r="AD5813" s="9">
        <v>43021</v>
      </c>
      <c r="AE5813" s="3" t="s">
        <v>562</v>
      </c>
      <c r="AF5813" s="3" t="s">
        <v>1636</v>
      </c>
      <c r="AG5813" s="3" t="s">
        <v>81</v>
      </c>
      <c r="AH5813" s="11">
        <f>HYPERLINK("https://my.pitchbook.com?c=108554-77T","View Company Online")</f>
      </c>
    </row>
    <row r="5814">
      <c r="A5814" s="12" t="s">
        <v>27055</v>
      </c>
      <c r="B5814" s="12" t="s">
        <v>20861</v>
      </c>
      <c r="C5814" s="19" t="s">
        <v>36</v>
      </c>
      <c r="D5814" s="19" t="s">
        <v>36</v>
      </c>
      <c r="E5814" s="19" t="s">
        <v>36</v>
      </c>
      <c r="F5814" s="19" t="s">
        <v>36</v>
      </c>
      <c r="G5814" s="15" t="s">
        <v>36</v>
      </c>
      <c r="H5814" s="14">
        <v>571.21</v>
      </c>
      <c r="I5814" s="18">
        <v>26.9</v>
      </c>
      <c r="J5814" s="12" t="s">
        <v>521</v>
      </c>
      <c r="K5814" s="13" t="s">
        <v>36</v>
      </c>
      <c r="L5814" s="15" t="s">
        <v>36</v>
      </c>
      <c r="M5814" s="12" t="s">
        <v>36</v>
      </c>
      <c r="N5814" s="12" t="s">
        <v>36</v>
      </c>
      <c r="O5814" s="17" t="s">
        <v>36</v>
      </c>
      <c r="P5814" s="12" t="s">
        <v>36</v>
      </c>
      <c r="Q5814" s="12" t="s">
        <v>36</v>
      </c>
      <c r="R5814" s="12" t="s">
        <v>36</v>
      </c>
      <c r="S5814" s="12" t="s">
        <v>11233</v>
      </c>
      <c r="T5814" s="12" t="s">
        <v>1596</v>
      </c>
      <c r="U5814" s="12" t="s">
        <v>728</v>
      </c>
      <c r="V5814" s="12" t="s">
        <v>64</v>
      </c>
      <c r="W5814" s="12" t="s">
        <v>20862</v>
      </c>
      <c r="X5814" s="16" t="s">
        <v>27056</v>
      </c>
      <c r="Y5814" s="15" t="s">
        <v>42</v>
      </c>
      <c r="Z5814" s="14">
        <v>0.36</v>
      </c>
      <c r="AA5814" s="14">
        <v>0.89</v>
      </c>
      <c r="AB5814" s="12" t="s">
        <v>56</v>
      </c>
      <c r="AC5814" s="12" t="s">
        <v>20864</v>
      </c>
      <c r="AD5814" s="13">
        <v>43021</v>
      </c>
      <c r="AE5814" s="12" t="s">
        <v>1600</v>
      </c>
      <c r="AF5814" s="12" t="s">
        <v>20865</v>
      </c>
      <c r="AG5814" s="12" t="s">
        <v>47</v>
      </c>
      <c r="AH5814" s="1">
        <f>HYPERLINK("https://my.pitchbook.com?c=101506-60T","View Company Online")</f>
      </c>
    </row>
    <row r="5815">
      <c r="A5815" s="3" t="s">
        <v>27057</v>
      </c>
      <c r="B5815" s="3" t="s">
        <v>17459</v>
      </c>
      <c r="C5815" s="5">
        <v>1</v>
      </c>
      <c r="D5815" s="5">
        <v>4</v>
      </c>
      <c r="E5815" s="5">
        <v>3</v>
      </c>
      <c r="F5815" s="5">
        <v>7</v>
      </c>
      <c r="G5815" s="6" t="s">
        <v>326</v>
      </c>
      <c r="H5815" s="4">
        <v>15.29</v>
      </c>
      <c r="I5815" s="7">
        <v>41.85</v>
      </c>
      <c r="J5815" s="3" t="s">
        <v>521</v>
      </c>
      <c r="K5815" s="9">
        <v>42936</v>
      </c>
      <c r="L5815" s="6" t="s">
        <v>94</v>
      </c>
      <c r="M5815" s="3" t="s">
        <v>36</v>
      </c>
      <c r="N5815" s="3" t="s">
        <v>94</v>
      </c>
      <c r="O5815" s="8" t="s">
        <v>36</v>
      </c>
      <c r="P5815" s="3" t="s">
        <v>36</v>
      </c>
      <c r="Q5815" s="3" t="s">
        <v>36</v>
      </c>
      <c r="R5815" s="3" t="s">
        <v>36</v>
      </c>
      <c r="S5815" s="3" t="s">
        <v>36</v>
      </c>
      <c r="T5815" s="3" t="s">
        <v>5525</v>
      </c>
      <c r="U5815" s="3" t="s">
        <v>38</v>
      </c>
      <c r="V5815" s="3" t="s">
        <v>39</v>
      </c>
      <c r="W5815" s="3" t="s">
        <v>17460</v>
      </c>
      <c r="X5815" s="10" t="s">
        <v>27058</v>
      </c>
      <c r="Y5815" s="6" t="s">
        <v>166</v>
      </c>
      <c r="Z5815" s="4">
        <v>20.71</v>
      </c>
      <c r="AA5815" s="4">
        <v>49.49</v>
      </c>
      <c r="AB5815" s="3" t="s">
        <v>56</v>
      </c>
      <c r="AC5815" s="3" t="s">
        <v>17462</v>
      </c>
      <c r="AD5815" s="9">
        <v>43021</v>
      </c>
      <c r="AE5815" s="3" t="s">
        <v>110</v>
      </c>
      <c r="AF5815" s="3" t="s">
        <v>7107</v>
      </c>
      <c r="AG5815" s="3" t="s">
        <v>924</v>
      </c>
      <c r="AH5815" s="11">
        <f>HYPERLINK("https://my.pitchbook.com?c=93527-02T","View Company Online")</f>
      </c>
    </row>
    <row r="5816">
      <c r="A5816" s="12" t="s">
        <v>27059</v>
      </c>
      <c r="B5816" s="12" t="s">
        <v>27060</v>
      </c>
      <c r="C5816" s="19" t="s">
        <v>36</v>
      </c>
      <c r="D5816" s="19">
        <v>17</v>
      </c>
      <c r="E5816" s="19">
        <v>6</v>
      </c>
      <c r="F5816" s="19">
        <v>22</v>
      </c>
      <c r="G5816" s="15" t="s">
        <v>36</v>
      </c>
      <c r="H5816" s="14">
        <v>16.22</v>
      </c>
      <c r="I5816" s="18">
        <v>27.54</v>
      </c>
      <c r="J5816" s="12" t="s">
        <v>327</v>
      </c>
      <c r="K5816" s="13" t="s">
        <v>36</v>
      </c>
      <c r="L5816" s="15" t="s">
        <v>36</v>
      </c>
      <c r="M5816" s="12" t="s">
        <v>36</v>
      </c>
      <c r="N5816" s="12" t="s">
        <v>36</v>
      </c>
      <c r="O5816" s="17" t="s">
        <v>36</v>
      </c>
      <c r="P5816" s="12" t="s">
        <v>36</v>
      </c>
      <c r="Q5816" s="12" t="s">
        <v>36</v>
      </c>
      <c r="R5816" s="12" t="s">
        <v>36</v>
      </c>
      <c r="S5816" s="12" t="s">
        <v>36</v>
      </c>
      <c r="T5816" s="12" t="s">
        <v>17704</v>
      </c>
      <c r="U5816" s="12" t="s">
        <v>833</v>
      </c>
      <c r="V5816" s="12" t="s">
        <v>64</v>
      </c>
      <c r="W5816" s="12" t="s">
        <v>27061</v>
      </c>
      <c r="X5816" s="16" t="s">
        <v>27062</v>
      </c>
      <c r="Y5816" s="15" t="s">
        <v>42</v>
      </c>
      <c r="Z5816" s="14">
        <v>0.62</v>
      </c>
      <c r="AA5816" s="14">
        <v>2.24</v>
      </c>
      <c r="AB5816" s="12" t="s">
        <v>56</v>
      </c>
      <c r="AC5816" s="12" t="s">
        <v>27063</v>
      </c>
      <c r="AD5816" s="13">
        <v>43020</v>
      </c>
      <c r="AE5816" s="12" t="s">
        <v>1069</v>
      </c>
      <c r="AF5816" s="12" t="s">
        <v>571</v>
      </c>
      <c r="AG5816" s="12" t="s">
        <v>27064</v>
      </c>
      <c r="AH5816" s="1">
        <f>HYPERLINK("https://my.pitchbook.com?c=102637-00T","View Company Online")</f>
      </c>
    </row>
    <row r="5817">
      <c r="A5817" s="3" t="s">
        <v>27065</v>
      </c>
      <c r="B5817" s="3" t="s">
        <v>27066</v>
      </c>
      <c r="C5817" s="5" t="s">
        <v>36</v>
      </c>
      <c r="D5817" s="5" t="s">
        <v>36</v>
      </c>
      <c r="E5817" s="5" t="s">
        <v>36</v>
      </c>
      <c r="F5817" s="5" t="s">
        <v>36</v>
      </c>
      <c r="G5817" s="6" t="s">
        <v>36</v>
      </c>
      <c r="H5817" s="4">
        <v>20.76</v>
      </c>
      <c r="I5817" s="7">
        <v>11.54</v>
      </c>
      <c r="J5817" s="3" t="s">
        <v>521</v>
      </c>
      <c r="K5817" s="9" t="s">
        <v>36</v>
      </c>
      <c r="L5817" s="6" t="s">
        <v>36</v>
      </c>
      <c r="M5817" s="3" t="s">
        <v>36</v>
      </c>
      <c r="N5817" s="3" t="s">
        <v>36</v>
      </c>
      <c r="O5817" s="8" t="s">
        <v>36</v>
      </c>
      <c r="P5817" s="3" t="s">
        <v>36</v>
      </c>
      <c r="Q5817" s="3" t="s">
        <v>36</v>
      </c>
      <c r="R5817" s="3" t="s">
        <v>36</v>
      </c>
      <c r="S5817" s="3" t="s">
        <v>36</v>
      </c>
      <c r="T5817" s="3" t="s">
        <v>3729</v>
      </c>
      <c r="U5817" s="3" t="s">
        <v>219</v>
      </c>
      <c r="V5817" s="3" t="s">
        <v>75</v>
      </c>
      <c r="W5817" s="3" t="s">
        <v>27067</v>
      </c>
      <c r="X5817" s="10" t="s">
        <v>27068</v>
      </c>
      <c r="Y5817" s="6" t="s">
        <v>108</v>
      </c>
      <c r="Z5817" s="4">
        <v>1.78</v>
      </c>
      <c r="AA5817" s="4">
        <v>15.39</v>
      </c>
      <c r="AB5817" s="3" t="s">
        <v>56</v>
      </c>
      <c r="AC5817" s="3" t="s">
        <v>27069</v>
      </c>
      <c r="AD5817" s="9">
        <v>43019</v>
      </c>
      <c r="AE5817" s="3" t="s">
        <v>1032</v>
      </c>
      <c r="AF5817" s="3" t="s">
        <v>822</v>
      </c>
      <c r="AG5817" s="3" t="s">
        <v>27070</v>
      </c>
      <c r="AH5817" s="11">
        <f>HYPERLINK("https://my.pitchbook.com?c=117245-17T","View Company Online")</f>
      </c>
    </row>
    <row r="5818">
      <c r="A5818" s="12" t="s">
        <v>27071</v>
      </c>
      <c r="B5818" s="12" t="s">
        <v>20381</v>
      </c>
      <c r="C5818" s="19" t="s">
        <v>36</v>
      </c>
      <c r="D5818" s="19" t="s">
        <v>36</v>
      </c>
      <c r="E5818" s="19" t="s">
        <v>36</v>
      </c>
      <c r="F5818" s="19" t="s">
        <v>36</v>
      </c>
      <c r="G5818" s="15" t="s">
        <v>36</v>
      </c>
      <c r="H5818" s="14" t="s">
        <v>36</v>
      </c>
      <c r="I5818" s="18">
        <v>26.93</v>
      </c>
      <c r="J5818" s="12" t="s">
        <v>327</v>
      </c>
      <c r="K5818" s="13" t="s">
        <v>36</v>
      </c>
      <c r="L5818" s="15" t="s">
        <v>122</v>
      </c>
      <c r="M5818" s="12" t="s">
        <v>36</v>
      </c>
      <c r="N5818" s="12" t="s">
        <v>122</v>
      </c>
      <c r="O5818" s="17" t="s">
        <v>36</v>
      </c>
      <c r="P5818" s="12" t="s">
        <v>36</v>
      </c>
      <c r="Q5818" s="12" t="s">
        <v>36</v>
      </c>
      <c r="R5818" s="12" t="s">
        <v>36</v>
      </c>
      <c r="S5818" s="12" t="s">
        <v>36</v>
      </c>
      <c r="T5818" s="12" t="s">
        <v>105</v>
      </c>
      <c r="U5818" s="12" t="s">
        <v>38</v>
      </c>
      <c r="V5818" s="12" t="s">
        <v>39</v>
      </c>
      <c r="W5818" s="12" t="s">
        <v>20382</v>
      </c>
      <c r="X5818" s="16" t="s">
        <v>19209</v>
      </c>
      <c r="Y5818" s="15" t="s">
        <v>42</v>
      </c>
      <c r="Z5818" s="14">
        <v>8</v>
      </c>
      <c r="AA5818" s="14">
        <v>29.7</v>
      </c>
      <c r="AB5818" s="12" t="s">
        <v>56</v>
      </c>
      <c r="AC5818" s="12" t="s">
        <v>20384</v>
      </c>
      <c r="AD5818" s="13">
        <v>43018</v>
      </c>
      <c r="AE5818" s="12" t="s">
        <v>110</v>
      </c>
      <c r="AF5818" s="12" t="s">
        <v>176</v>
      </c>
      <c r="AG5818" s="12" t="s">
        <v>47</v>
      </c>
      <c r="AH5818" s="1">
        <f>HYPERLINK("https://my.pitchbook.com?c=95572-36T","View Company Online")</f>
      </c>
    </row>
    <row r="5819">
      <c r="A5819" s="3" t="s">
        <v>27072</v>
      </c>
      <c r="B5819" s="3" t="s">
        <v>27073</v>
      </c>
      <c r="C5819" s="5" t="s">
        <v>36</v>
      </c>
      <c r="D5819" s="5" t="s">
        <v>36</v>
      </c>
      <c r="E5819" s="5" t="s">
        <v>36</v>
      </c>
      <c r="F5819" s="5" t="s">
        <v>36</v>
      </c>
      <c r="G5819" s="6" t="s">
        <v>36</v>
      </c>
      <c r="H5819" s="4">
        <v>13.5</v>
      </c>
      <c r="I5819" s="7">
        <v>23.53</v>
      </c>
      <c r="J5819" s="3" t="s">
        <v>521</v>
      </c>
      <c r="K5819" s="9">
        <v>42905</v>
      </c>
      <c r="L5819" s="6" t="s">
        <v>36</v>
      </c>
      <c r="M5819" s="3" t="s">
        <v>36</v>
      </c>
      <c r="N5819" s="3" t="s">
        <v>36</v>
      </c>
      <c r="O5819" s="8" t="s">
        <v>36</v>
      </c>
      <c r="P5819" s="3" t="s">
        <v>36</v>
      </c>
      <c r="Q5819" s="3" t="s">
        <v>36</v>
      </c>
      <c r="R5819" s="3" t="s">
        <v>36</v>
      </c>
      <c r="S5819" s="3" t="s">
        <v>36</v>
      </c>
      <c r="T5819" s="3" t="s">
        <v>27074</v>
      </c>
      <c r="U5819" s="3" t="s">
        <v>833</v>
      </c>
      <c r="V5819" s="3" t="s">
        <v>64</v>
      </c>
      <c r="W5819" s="3" t="s">
        <v>27075</v>
      </c>
      <c r="X5819" s="10" t="s">
        <v>19016</v>
      </c>
      <c r="Y5819" s="6" t="s">
        <v>42</v>
      </c>
      <c r="Z5819" s="4">
        <v>0.47</v>
      </c>
      <c r="AA5819" s="4">
        <v>2.01</v>
      </c>
      <c r="AB5819" s="3" t="s">
        <v>43</v>
      </c>
      <c r="AC5819" s="3" t="s">
        <v>27076</v>
      </c>
      <c r="AD5819" s="9">
        <v>43018</v>
      </c>
      <c r="AE5819" s="3" t="s">
        <v>3615</v>
      </c>
      <c r="AF5819" s="3" t="s">
        <v>27077</v>
      </c>
      <c r="AG5819" s="3" t="s">
        <v>81</v>
      </c>
      <c r="AH5819" s="11">
        <f>HYPERLINK("https://my.pitchbook.com?c=109587-97T","View Company Online")</f>
      </c>
    </row>
    <row r="5820">
      <c r="A5820" s="12" t="s">
        <v>27078</v>
      </c>
      <c r="B5820" s="12" t="s">
        <v>27079</v>
      </c>
      <c r="C5820" s="19" t="s">
        <v>36</v>
      </c>
      <c r="D5820" s="19" t="s">
        <v>36</v>
      </c>
      <c r="E5820" s="19" t="s">
        <v>36</v>
      </c>
      <c r="F5820" s="19" t="s">
        <v>36</v>
      </c>
      <c r="G5820" s="15" t="s">
        <v>36</v>
      </c>
      <c r="H5820" s="14">
        <v>3.12</v>
      </c>
      <c r="I5820" s="18">
        <v>18.7</v>
      </c>
      <c r="J5820" s="12" t="s">
        <v>521</v>
      </c>
      <c r="K5820" s="13" t="s">
        <v>36</v>
      </c>
      <c r="L5820" s="15" t="s">
        <v>36</v>
      </c>
      <c r="M5820" s="12" t="s">
        <v>36</v>
      </c>
      <c r="N5820" s="12" t="s">
        <v>36</v>
      </c>
      <c r="O5820" s="17" t="s">
        <v>36</v>
      </c>
      <c r="P5820" s="12" t="s">
        <v>36</v>
      </c>
      <c r="Q5820" s="12" t="s">
        <v>36</v>
      </c>
      <c r="R5820" s="12" t="s">
        <v>36</v>
      </c>
      <c r="S5820" s="12" t="s">
        <v>36</v>
      </c>
      <c r="T5820" s="12" t="s">
        <v>27080</v>
      </c>
      <c r="U5820" s="12" t="s">
        <v>85</v>
      </c>
      <c r="V5820" s="12" t="s">
        <v>64</v>
      </c>
      <c r="W5820" s="12" t="s">
        <v>27081</v>
      </c>
      <c r="X5820" s="16" t="s">
        <v>6176</v>
      </c>
      <c r="Y5820" s="15" t="s">
        <v>42</v>
      </c>
      <c r="Z5820" s="14">
        <v>0.47</v>
      </c>
      <c r="AA5820" s="14">
        <v>2.53</v>
      </c>
      <c r="AB5820" s="12" t="s">
        <v>56</v>
      </c>
      <c r="AC5820" s="12" t="s">
        <v>27082</v>
      </c>
      <c r="AD5820" s="13">
        <v>43017</v>
      </c>
      <c r="AE5820" s="12" t="s">
        <v>1822</v>
      </c>
      <c r="AF5820" s="12" t="s">
        <v>269</v>
      </c>
      <c r="AG5820" s="12" t="s">
        <v>186</v>
      </c>
      <c r="AH5820" s="1">
        <f>HYPERLINK("https://my.pitchbook.com?c=116075-26T","View Company Online")</f>
      </c>
    </row>
    <row r="5821">
      <c r="A5821" s="3" t="s">
        <v>27083</v>
      </c>
      <c r="B5821" s="3" t="s">
        <v>27084</v>
      </c>
      <c r="C5821" s="5">
        <v>45</v>
      </c>
      <c r="D5821" s="5">
        <v>68</v>
      </c>
      <c r="E5821" s="5">
        <v>21</v>
      </c>
      <c r="F5821" s="5">
        <v>138</v>
      </c>
      <c r="G5821" s="6" t="s">
        <v>36</v>
      </c>
      <c r="H5821" s="4" t="s">
        <v>36</v>
      </c>
      <c r="I5821" s="7">
        <v>6</v>
      </c>
      <c r="J5821" s="3" t="s">
        <v>36</v>
      </c>
      <c r="K5821" s="9" t="s">
        <v>36</v>
      </c>
      <c r="L5821" s="6" t="s">
        <v>36</v>
      </c>
      <c r="M5821" s="3" t="s">
        <v>36</v>
      </c>
      <c r="N5821" s="3" t="s">
        <v>36</v>
      </c>
      <c r="O5821" s="8" t="s">
        <v>36</v>
      </c>
      <c r="P5821" s="3" t="s">
        <v>36</v>
      </c>
      <c r="Q5821" s="3" t="s">
        <v>36</v>
      </c>
      <c r="R5821" s="3" t="s">
        <v>36</v>
      </c>
      <c r="S5821" s="3" t="s">
        <v>36</v>
      </c>
      <c r="T5821" s="3" t="s">
        <v>2321</v>
      </c>
      <c r="U5821" s="3" t="s">
        <v>51</v>
      </c>
      <c r="V5821" s="3" t="s">
        <v>52</v>
      </c>
      <c r="W5821" s="3" t="s">
        <v>27085</v>
      </c>
      <c r="X5821" s="10" t="s">
        <v>27086</v>
      </c>
      <c r="Y5821" s="6" t="s">
        <v>42</v>
      </c>
      <c r="Z5821" s="4" t="s">
        <v>36</v>
      </c>
      <c r="AA5821" s="4" t="s">
        <v>36</v>
      </c>
      <c r="AB5821" s="3" t="s">
        <v>56</v>
      </c>
      <c r="AC5821" s="3" t="s">
        <v>27087</v>
      </c>
      <c r="AD5821" s="9">
        <v>43014</v>
      </c>
      <c r="AE5821" s="3" t="s">
        <v>504</v>
      </c>
      <c r="AF5821" s="3" t="s">
        <v>571</v>
      </c>
      <c r="AG5821" s="3" t="s">
        <v>27088</v>
      </c>
      <c r="AH5821" s="11">
        <f>HYPERLINK("https://my.pitchbook.com?c=98046-64T","View Company Online")</f>
      </c>
    </row>
    <row r="5822">
      <c r="A5822" s="12" t="s">
        <v>27089</v>
      </c>
      <c r="B5822" s="12" t="s">
        <v>27090</v>
      </c>
      <c r="C5822" s="19" t="s">
        <v>36</v>
      </c>
      <c r="D5822" s="19" t="s">
        <v>36</v>
      </c>
      <c r="E5822" s="19" t="s">
        <v>36</v>
      </c>
      <c r="F5822" s="19" t="s">
        <v>36</v>
      </c>
      <c r="G5822" s="15" t="s">
        <v>36</v>
      </c>
      <c r="H5822" s="14" t="s">
        <v>36</v>
      </c>
      <c r="I5822" s="18" t="s">
        <v>36</v>
      </c>
      <c r="J5822" s="12" t="s">
        <v>36</v>
      </c>
      <c r="K5822" s="13">
        <v>42944</v>
      </c>
      <c r="L5822" s="15" t="s">
        <v>36</v>
      </c>
      <c r="M5822" s="12" t="s">
        <v>36</v>
      </c>
      <c r="N5822" s="12" t="s">
        <v>36</v>
      </c>
      <c r="O5822" s="17" t="s">
        <v>36</v>
      </c>
      <c r="P5822" s="12" t="s">
        <v>36</v>
      </c>
      <c r="Q5822" s="12" t="s">
        <v>36</v>
      </c>
      <c r="R5822" s="12" t="s">
        <v>36</v>
      </c>
      <c r="S5822" s="12" t="s">
        <v>36</v>
      </c>
      <c r="T5822" s="12" t="s">
        <v>189</v>
      </c>
      <c r="U5822" s="12" t="s">
        <v>180</v>
      </c>
      <c r="V5822" s="12" t="s">
        <v>52</v>
      </c>
      <c r="W5822" s="12" t="s">
        <v>27091</v>
      </c>
      <c r="X5822" s="16" t="s">
        <v>27092</v>
      </c>
      <c r="Y5822" s="15" t="s">
        <v>42</v>
      </c>
      <c r="Z5822" s="14">
        <v>1.31</v>
      </c>
      <c r="AA5822" s="14" t="s">
        <v>36</v>
      </c>
      <c r="AB5822" s="12" t="s">
        <v>43</v>
      </c>
      <c r="AC5822" s="12" t="s">
        <v>27093</v>
      </c>
      <c r="AD5822" s="13">
        <v>43013</v>
      </c>
      <c r="AE5822" s="12" t="s">
        <v>184</v>
      </c>
      <c r="AF5822" s="12" t="s">
        <v>7833</v>
      </c>
      <c r="AG5822" s="12" t="s">
        <v>81</v>
      </c>
      <c r="AH5822" s="1">
        <f>HYPERLINK("https://my.pitchbook.com?c=99948-16T","View Company Online")</f>
      </c>
    </row>
    <row r="5823">
      <c r="A5823" s="3" t="s">
        <v>27094</v>
      </c>
      <c r="B5823" s="3" t="s">
        <v>27095</v>
      </c>
      <c r="C5823" s="5" t="s">
        <v>36</v>
      </c>
      <c r="D5823" s="5" t="s">
        <v>36</v>
      </c>
      <c r="E5823" s="5" t="s">
        <v>36</v>
      </c>
      <c r="F5823" s="5" t="s">
        <v>36</v>
      </c>
      <c r="G5823" s="6" t="s">
        <v>326</v>
      </c>
      <c r="H5823" s="4">
        <v>1.14</v>
      </c>
      <c r="I5823" s="7">
        <v>36.05</v>
      </c>
      <c r="J5823" s="3" t="s">
        <v>521</v>
      </c>
      <c r="K5823" s="9" t="s">
        <v>36</v>
      </c>
      <c r="L5823" s="6" t="s">
        <v>36</v>
      </c>
      <c r="M5823" s="3" t="s">
        <v>36</v>
      </c>
      <c r="N5823" s="3" t="s">
        <v>36</v>
      </c>
      <c r="O5823" s="8" t="s">
        <v>36</v>
      </c>
      <c r="P5823" s="3" t="s">
        <v>36</v>
      </c>
      <c r="Q5823" s="3" t="s">
        <v>36</v>
      </c>
      <c r="R5823" s="3" t="s">
        <v>36</v>
      </c>
      <c r="S5823" s="3" t="s">
        <v>36</v>
      </c>
      <c r="T5823" s="3" t="s">
        <v>522</v>
      </c>
      <c r="U5823" s="3" t="s">
        <v>38</v>
      </c>
      <c r="V5823" s="3" t="s">
        <v>39</v>
      </c>
      <c r="W5823" s="3" t="s">
        <v>27096</v>
      </c>
      <c r="X5823" s="10" t="s">
        <v>27097</v>
      </c>
      <c r="Y5823" s="6" t="s">
        <v>108</v>
      </c>
      <c r="Z5823" s="4">
        <v>3.92</v>
      </c>
      <c r="AA5823" s="4">
        <v>10.89</v>
      </c>
      <c r="AB5823" s="3" t="s">
        <v>56</v>
      </c>
      <c r="AC5823" s="3" t="s">
        <v>27098</v>
      </c>
      <c r="AD5823" s="9">
        <v>43012</v>
      </c>
      <c r="AE5823" s="3" t="s">
        <v>110</v>
      </c>
      <c r="AF5823" s="3" t="s">
        <v>27099</v>
      </c>
      <c r="AG5823" s="3" t="s">
        <v>81</v>
      </c>
      <c r="AH5823" s="11">
        <f>HYPERLINK("https://my.pitchbook.com?c=107925-22T","View Company Online")</f>
      </c>
    </row>
    <row r="5824">
      <c r="A5824" s="12" t="s">
        <v>27100</v>
      </c>
      <c r="B5824" s="12" t="s">
        <v>27101</v>
      </c>
      <c r="C5824" s="19" t="s">
        <v>36</v>
      </c>
      <c r="D5824" s="19" t="s">
        <v>36</v>
      </c>
      <c r="E5824" s="19" t="s">
        <v>36</v>
      </c>
      <c r="F5824" s="19" t="s">
        <v>36</v>
      </c>
      <c r="G5824" s="15" t="s">
        <v>36</v>
      </c>
      <c r="H5824" s="14">
        <v>46.74</v>
      </c>
      <c r="I5824" s="18">
        <v>25</v>
      </c>
      <c r="J5824" s="12" t="s">
        <v>521</v>
      </c>
      <c r="K5824" s="13" t="s">
        <v>36</v>
      </c>
      <c r="L5824" s="15" t="s">
        <v>36</v>
      </c>
      <c r="M5824" s="12" t="s">
        <v>36</v>
      </c>
      <c r="N5824" s="12" t="s">
        <v>36</v>
      </c>
      <c r="O5824" s="17" t="s">
        <v>36</v>
      </c>
      <c r="P5824" s="12" t="s">
        <v>36</v>
      </c>
      <c r="Q5824" s="12" t="s">
        <v>36</v>
      </c>
      <c r="R5824" s="12" t="s">
        <v>36</v>
      </c>
      <c r="S5824" s="12" t="s">
        <v>36</v>
      </c>
      <c r="T5824" s="12" t="s">
        <v>14415</v>
      </c>
      <c r="U5824" s="12" t="s">
        <v>74</v>
      </c>
      <c r="V5824" s="12" t="s">
        <v>75</v>
      </c>
      <c r="W5824" s="12" t="s">
        <v>27102</v>
      </c>
      <c r="X5824" s="16" t="s">
        <v>1840</v>
      </c>
      <c r="Y5824" s="15" t="s">
        <v>42</v>
      </c>
      <c r="Z5824" s="14">
        <v>0.48</v>
      </c>
      <c r="AA5824" s="14">
        <v>1.19</v>
      </c>
      <c r="AB5824" s="12" t="s">
        <v>43</v>
      </c>
      <c r="AC5824" s="12" t="s">
        <v>27103</v>
      </c>
      <c r="AD5824" s="13">
        <v>43012</v>
      </c>
      <c r="AE5824" s="12" t="s">
        <v>79</v>
      </c>
      <c r="AF5824" s="12" t="s">
        <v>14418</v>
      </c>
      <c r="AG5824" s="12" t="s">
        <v>47</v>
      </c>
      <c r="AH5824" s="1">
        <f>HYPERLINK("https://my.pitchbook.com?c=108449-02T","View Company Online")</f>
      </c>
    </row>
    <row r="5825">
      <c r="A5825" s="3" t="s">
        <v>27104</v>
      </c>
      <c r="B5825" s="3" t="s">
        <v>21501</v>
      </c>
      <c r="C5825" s="5" t="s">
        <v>36</v>
      </c>
      <c r="D5825" s="5">
        <v>1</v>
      </c>
      <c r="E5825" s="5">
        <v>1</v>
      </c>
      <c r="F5825" s="5">
        <v>2</v>
      </c>
      <c r="G5825" s="6" t="s">
        <v>36</v>
      </c>
      <c r="H5825" s="4">
        <v>51.93</v>
      </c>
      <c r="I5825" s="7">
        <v>20</v>
      </c>
      <c r="J5825" s="3" t="s">
        <v>521</v>
      </c>
      <c r="K5825" s="9" t="s">
        <v>36</v>
      </c>
      <c r="L5825" s="6" t="s">
        <v>36</v>
      </c>
      <c r="M5825" s="3" t="s">
        <v>36</v>
      </c>
      <c r="N5825" s="3" t="s">
        <v>36</v>
      </c>
      <c r="O5825" s="8" t="s">
        <v>36</v>
      </c>
      <c r="P5825" s="3" t="s">
        <v>36</v>
      </c>
      <c r="Q5825" s="3" t="s">
        <v>36</v>
      </c>
      <c r="R5825" s="3" t="s">
        <v>36</v>
      </c>
      <c r="S5825" s="3" t="s">
        <v>36</v>
      </c>
      <c r="T5825" s="3" t="s">
        <v>21502</v>
      </c>
      <c r="U5825" s="3" t="s">
        <v>96</v>
      </c>
      <c r="V5825" s="3" t="s">
        <v>52</v>
      </c>
      <c r="W5825" s="3" t="s">
        <v>21503</v>
      </c>
      <c r="X5825" s="10" t="s">
        <v>27105</v>
      </c>
      <c r="Y5825" s="6" t="s">
        <v>42</v>
      </c>
      <c r="Z5825" s="4">
        <v>1.19</v>
      </c>
      <c r="AA5825" s="4">
        <v>2.97</v>
      </c>
      <c r="AB5825" s="3" t="s">
        <v>43</v>
      </c>
      <c r="AC5825" s="3" t="s">
        <v>21505</v>
      </c>
      <c r="AD5825" s="9">
        <v>43011</v>
      </c>
      <c r="AE5825" s="3" t="s">
        <v>755</v>
      </c>
      <c r="AF5825" s="3" t="s">
        <v>101</v>
      </c>
      <c r="AG5825" s="3" t="s">
        <v>580</v>
      </c>
      <c r="AH5825" s="11">
        <f>HYPERLINK("https://my.pitchbook.com?c=112718-44T","View Company Online")</f>
      </c>
    </row>
    <row r="5826">
      <c r="A5826" s="12" t="s">
        <v>27106</v>
      </c>
      <c r="B5826" s="12" t="s">
        <v>20295</v>
      </c>
      <c r="C5826" s="19" t="s">
        <v>36</v>
      </c>
      <c r="D5826" s="19" t="s">
        <v>36</v>
      </c>
      <c r="E5826" s="19" t="s">
        <v>36</v>
      </c>
      <c r="F5826" s="19" t="s">
        <v>36</v>
      </c>
      <c r="G5826" s="15" t="s">
        <v>36</v>
      </c>
      <c r="H5826" s="14">
        <v>14.82</v>
      </c>
      <c r="I5826" s="18">
        <v>26.16</v>
      </c>
      <c r="J5826" s="12" t="s">
        <v>521</v>
      </c>
      <c r="K5826" s="13" t="s">
        <v>36</v>
      </c>
      <c r="L5826" s="15" t="s">
        <v>122</v>
      </c>
      <c r="M5826" s="12" t="s">
        <v>36</v>
      </c>
      <c r="N5826" s="12" t="s">
        <v>122</v>
      </c>
      <c r="O5826" s="17" t="s">
        <v>36</v>
      </c>
      <c r="P5826" s="12" t="s">
        <v>36</v>
      </c>
      <c r="Q5826" s="12" t="s">
        <v>36</v>
      </c>
      <c r="R5826" s="12" t="s">
        <v>36</v>
      </c>
      <c r="S5826" s="12" t="s">
        <v>36</v>
      </c>
      <c r="T5826" s="12" t="s">
        <v>105</v>
      </c>
      <c r="U5826" s="12" t="s">
        <v>38</v>
      </c>
      <c r="V5826" s="12" t="s">
        <v>39</v>
      </c>
      <c r="W5826" s="12" t="s">
        <v>20296</v>
      </c>
      <c r="X5826" s="16" t="s">
        <v>27107</v>
      </c>
      <c r="Y5826" s="15" t="s">
        <v>42</v>
      </c>
      <c r="Z5826" s="14">
        <v>2.38</v>
      </c>
      <c r="AA5826" s="14">
        <v>8.42</v>
      </c>
      <c r="AB5826" s="12" t="s">
        <v>56</v>
      </c>
      <c r="AC5826" s="12" t="s">
        <v>20298</v>
      </c>
      <c r="AD5826" s="13">
        <v>43010</v>
      </c>
      <c r="AE5826" s="12" t="s">
        <v>110</v>
      </c>
      <c r="AF5826" s="12" t="s">
        <v>4552</v>
      </c>
      <c r="AG5826" s="12" t="s">
        <v>81</v>
      </c>
      <c r="AH5826" s="1">
        <f>HYPERLINK("https://my.pitchbook.com?c=95500-54T","View Company Online")</f>
      </c>
    </row>
    <row r="5827">
      <c r="A5827" s="3" t="s">
        <v>27108</v>
      </c>
      <c r="B5827" s="3" t="s">
        <v>7201</v>
      </c>
      <c r="C5827" s="5" t="s">
        <v>36</v>
      </c>
      <c r="D5827" s="5" t="s">
        <v>36</v>
      </c>
      <c r="E5827" s="5" t="s">
        <v>36</v>
      </c>
      <c r="F5827" s="5" t="s">
        <v>36</v>
      </c>
      <c r="G5827" s="6" t="s">
        <v>36</v>
      </c>
      <c r="H5827" s="4">
        <v>692.38</v>
      </c>
      <c r="I5827" s="7">
        <v>33.33</v>
      </c>
      <c r="J5827" s="3" t="s">
        <v>521</v>
      </c>
      <c r="K5827" s="9" t="s">
        <v>36</v>
      </c>
      <c r="L5827" s="6" t="s">
        <v>36</v>
      </c>
      <c r="M5827" s="3" t="s">
        <v>36</v>
      </c>
      <c r="N5827" s="3" t="s">
        <v>36</v>
      </c>
      <c r="O5827" s="8" t="s">
        <v>36</v>
      </c>
      <c r="P5827" s="3" t="s">
        <v>36</v>
      </c>
      <c r="Q5827" s="3" t="s">
        <v>36</v>
      </c>
      <c r="R5827" s="3" t="s">
        <v>36</v>
      </c>
      <c r="S5827" s="3" t="s">
        <v>36</v>
      </c>
      <c r="T5827" s="3" t="s">
        <v>847</v>
      </c>
      <c r="U5827" s="3" t="s">
        <v>279</v>
      </c>
      <c r="V5827" s="3" t="s">
        <v>64</v>
      </c>
      <c r="W5827" s="3" t="s">
        <v>7202</v>
      </c>
      <c r="X5827" s="10" t="s">
        <v>23850</v>
      </c>
      <c r="Y5827" s="6" t="s">
        <v>42</v>
      </c>
      <c r="Z5827" s="4">
        <v>1.19</v>
      </c>
      <c r="AA5827" s="4">
        <v>3.57</v>
      </c>
      <c r="AB5827" s="3" t="s">
        <v>43</v>
      </c>
      <c r="AC5827" s="3" t="s">
        <v>7204</v>
      </c>
      <c r="AD5827" s="9">
        <v>43010</v>
      </c>
      <c r="AE5827" s="3" t="s">
        <v>851</v>
      </c>
      <c r="AF5827" s="3" t="s">
        <v>36</v>
      </c>
      <c r="AG5827" s="3" t="s">
        <v>81</v>
      </c>
      <c r="AH5827" s="11">
        <f>HYPERLINK("https://my.pitchbook.com?c=120331-45T","View Company Online")</f>
      </c>
    </row>
    <row r="5828">
      <c r="A5828" s="12" t="s">
        <v>27109</v>
      </c>
      <c r="B5828" s="12" t="s">
        <v>27110</v>
      </c>
      <c r="C5828" s="19" t="s">
        <v>36</v>
      </c>
      <c r="D5828" s="19" t="s">
        <v>36</v>
      </c>
      <c r="E5828" s="19" t="s">
        <v>36</v>
      </c>
      <c r="F5828" s="19" t="s">
        <v>36</v>
      </c>
      <c r="G5828" s="15" t="s">
        <v>36</v>
      </c>
      <c r="H5828" s="14">
        <v>144.25</v>
      </c>
      <c r="I5828" s="18">
        <v>28.57</v>
      </c>
      <c r="J5828" s="12" t="s">
        <v>521</v>
      </c>
      <c r="K5828" s="13" t="s">
        <v>36</v>
      </c>
      <c r="L5828" s="15" t="s">
        <v>36</v>
      </c>
      <c r="M5828" s="12" t="s">
        <v>36</v>
      </c>
      <c r="N5828" s="12" t="s">
        <v>36</v>
      </c>
      <c r="O5828" s="17" t="s">
        <v>36</v>
      </c>
      <c r="P5828" s="12" t="s">
        <v>36</v>
      </c>
      <c r="Q5828" s="12" t="s">
        <v>36</v>
      </c>
      <c r="R5828" s="12" t="s">
        <v>36</v>
      </c>
      <c r="S5828" s="12" t="s">
        <v>3570</v>
      </c>
      <c r="T5828" s="12" t="s">
        <v>27111</v>
      </c>
      <c r="U5828" s="12" t="s">
        <v>728</v>
      </c>
      <c r="V5828" s="12" t="s">
        <v>64</v>
      </c>
      <c r="W5828" s="12" t="s">
        <v>27112</v>
      </c>
      <c r="X5828" s="16" t="s">
        <v>3098</v>
      </c>
      <c r="Y5828" s="15" t="s">
        <v>42</v>
      </c>
      <c r="Z5828" s="14">
        <v>1.79</v>
      </c>
      <c r="AA5828" s="14">
        <v>6.25</v>
      </c>
      <c r="AB5828" s="12" t="s">
        <v>43</v>
      </c>
      <c r="AC5828" s="12" t="s">
        <v>27113</v>
      </c>
      <c r="AD5828" s="13">
        <v>43009</v>
      </c>
      <c r="AE5828" s="12" t="s">
        <v>1600</v>
      </c>
      <c r="AF5828" s="12" t="s">
        <v>733</v>
      </c>
      <c r="AG5828" s="12" t="s">
        <v>81</v>
      </c>
      <c r="AH5828" s="1">
        <f>HYPERLINK("https://my.pitchbook.com?c=136265-32T","View Company Online")</f>
      </c>
    </row>
    <row r="5829">
      <c r="A5829" s="3" t="s">
        <v>27114</v>
      </c>
      <c r="B5829" s="3" t="s">
        <v>27115</v>
      </c>
      <c r="C5829" s="5" t="s">
        <v>36</v>
      </c>
      <c r="D5829" s="5" t="s">
        <v>36</v>
      </c>
      <c r="E5829" s="5" t="s">
        <v>36</v>
      </c>
      <c r="F5829" s="5" t="s">
        <v>36</v>
      </c>
      <c r="G5829" s="6" t="s">
        <v>326</v>
      </c>
      <c r="H5829" s="4">
        <v>165.23</v>
      </c>
      <c r="I5829" s="7">
        <v>29.31</v>
      </c>
      <c r="J5829" s="3" t="s">
        <v>521</v>
      </c>
      <c r="K5829" s="9" t="s">
        <v>36</v>
      </c>
      <c r="L5829" s="6" t="s">
        <v>36</v>
      </c>
      <c r="M5829" s="3" t="s">
        <v>36</v>
      </c>
      <c r="N5829" s="3" t="s">
        <v>36</v>
      </c>
      <c r="O5829" s="8" t="s">
        <v>36</v>
      </c>
      <c r="P5829" s="3" t="s">
        <v>36</v>
      </c>
      <c r="Q5829" s="3" t="s">
        <v>36</v>
      </c>
      <c r="R5829" s="3" t="s">
        <v>36</v>
      </c>
      <c r="S5829" s="3" t="s">
        <v>36</v>
      </c>
      <c r="T5829" s="3" t="s">
        <v>3729</v>
      </c>
      <c r="U5829" s="3" t="s">
        <v>219</v>
      </c>
      <c r="V5829" s="3" t="s">
        <v>75</v>
      </c>
      <c r="W5829" s="3" t="s">
        <v>27116</v>
      </c>
      <c r="X5829" s="10" t="s">
        <v>27117</v>
      </c>
      <c r="Y5829" s="6" t="s">
        <v>192</v>
      </c>
      <c r="Z5829" s="4">
        <v>1.79</v>
      </c>
      <c r="AA5829" s="4">
        <v>3.56</v>
      </c>
      <c r="AB5829" s="3" t="s">
        <v>56</v>
      </c>
      <c r="AC5829" s="3" t="s">
        <v>27118</v>
      </c>
      <c r="AD5829" s="9">
        <v>43009</v>
      </c>
      <c r="AE5829" s="3" t="s">
        <v>1032</v>
      </c>
      <c r="AF5829" s="3" t="s">
        <v>27119</v>
      </c>
      <c r="AG5829" s="3" t="s">
        <v>27120</v>
      </c>
      <c r="AH5829" s="11">
        <f>HYPERLINK("https://my.pitchbook.com?c=204510-07T","View Company Online")</f>
      </c>
    </row>
    <row r="5830">
      <c r="A5830" s="12" t="s">
        <v>27121</v>
      </c>
      <c r="B5830" s="12" t="s">
        <v>9624</v>
      </c>
      <c r="C5830" s="19">
        <v>1</v>
      </c>
      <c r="D5830" s="19" t="s">
        <v>36</v>
      </c>
      <c r="E5830" s="19">
        <v>1</v>
      </c>
      <c r="F5830" s="19">
        <v>1</v>
      </c>
      <c r="G5830" s="15" t="s">
        <v>36</v>
      </c>
      <c r="H5830" s="14" t="s">
        <v>36</v>
      </c>
      <c r="I5830" s="18" t="s">
        <v>36</v>
      </c>
      <c r="J5830" s="12" t="s">
        <v>36</v>
      </c>
      <c r="K5830" s="13" t="s">
        <v>36</v>
      </c>
      <c r="L5830" s="15" t="s">
        <v>36</v>
      </c>
      <c r="M5830" s="12" t="s">
        <v>36</v>
      </c>
      <c r="N5830" s="12" t="s">
        <v>36</v>
      </c>
      <c r="O5830" s="17" t="s">
        <v>36</v>
      </c>
      <c r="P5830" s="12" t="s">
        <v>36</v>
      </c>
      <c r="Q5830" s="12" t="s">
        <v>36</v>
      </c>
      <c r="R5830" s="12" t="s">
        <v>36</v>
      </c>
      <c r="S5830" s="12" t="s">
        <v>36</v>
      </c>
      <c r="T5830" s="12" t="s">
        <v>9625</v>
      </c>
      <c r="U5830" s="12" t="s">
        <v>38</v>
      </c>
      <c r="V5830" s="12" t="s">
        <v>39</v>
      </c>
      <c r="W5830" s="12" t="s">
        <v>9626</v>
      </c>
      <c r="X5830" s="16" t="s">
        <v>27122</v>
      </c>
      <c r="Y5830" s="15" t="s">
        <v>55</v>
      </c>
      <c r="Z5830" s="14">
        <v>0.06</v>
      </c>
      <c r="AA5830" s="14" t="s">
        <v>36</v>
      </c>
      <c r="AB5830" s="12" t="s">
        <v>43</v>
      </c>
      <c r="AC5830" s="12" t="s">
        <v>9628</v>
      </c>
      <c r="AD5830" s="13">
        <v>43009</v>
      </c>
      <c r="AE5830" s="12" t="s">
        <v>110</v>
      </c>
      <c r="AF5830" s="12" t="s">
        <v>526</v>
      </c>
      <c r="AG5830" s="12" t="s">
        <v>81</v>
      </c>
      <c r="AH5830" s="1">
        <f>HYPERLINK("https://my.pitchbook.com?c=210959-74T","View Company Online")</f>
      </c>
    </row>
    <row r="5831">
      <c r="A5831" s="3" t="s">
        <v>27123</v>
      </c>
      <c r="B5831" s="3" t="s">
        <v>1072</v>
      </c>
      <c r="C5831" s="5" t="s">
        <v>36</v>
      </c>
      <c r="D5831" s="5" t="s">
        <v>36</v>
      </c>
      <c r="E5831" s="5" t="s">
        <v>36</v>
      </c>
      <c r="F5831" s="5" t="s">
        <v>36</v>
      </c>
      <c r="G5831" s="6" t="s">
        <v>36</v>
      </c>
      <c r="H5831" s="4">
        <v>12.98</v>
      </c>
      <c r="I5831" s="7">
        <v>29.82</v>
      </c>
      <c r="J5831" s="3" t="s">
        <v>521</v>
      </c>
      <c r="K5831" s="9" t="s">
        <v>36</v>
      </c>
      <c r="L5831" s="6" t="s">
        <v>36</v>
      </c>
      <c r="M5831" s="3" t="s">
        <v>36</v>
      </c>
      <c r="N5831" s="3" t="s">
        <v>36</v>
      </c>
      <c r="O5831" s="8" t="s">
        <v>36</v>
      </c>
      <c r="P5831" s="3" t="s">
        <v>36</v>
      </c>
      <c r="Q5831" s="3" t="s">
        <v>36</v>
      </c>
      <c r="R5831" s="3" t="s">
        <v>36</v>
      </c>
      <c r="S5831" s="3" t="s">
        <v>36</v>
      </c>
      <c r="T5831" s="3" t="s">
        <v>1073</v>
      </c>
      <c r="U5831" s="3" t="s">
        <v>38</v>
      </c>
      <c r="V5831" s="3" t="s">
        <v>39</v>
      </c>
      <c r="W5831" s="3" t="s">
        <v>1074</v>
      </c>
      <c r="X5831" s="10" t="s">
        <v>27124</v>
      </c>
      <c r="Y5831" s="6" t="s">
        <v>42</v>
      </c>
      <c r="Z5831" s="4">
        <v>1.43</v>
      </c>
      <c r="AA5831" s="4">
        <v>2.55</v>
      </c>
      <c r="AB5831" s="3" t="s">
        <v>43</v>
      </c>
      <c r="AC5831" s="3" t="s">
        <v>1076</v>
      </c>
      <c r="AD5831" s="9">
        <v>43009</v>
      </c>
      <c r="AE5831" s="3" t="s">
        <v>110</v>
      </c>
      <c r="AF5831" s="3" t="s">
        <v>1077</v>
      </c>
      <c r="AG5831" s="3" t="s">
        <v>1078</v>
      </c>
      <c r="AH5831" s="11">
        <f>HYPERLINK("https://my.pitchbook.com?c=117009-19T","View Company Online")</f>
      </c>
    </row>
    <row r="5832">
      <c r="A5832" s="12" t="s">
        <v>27125</v>
      </c>
      <c r="B5832" s="12" t="s">
        <v>27126</v>
      </c>
      <c r="C5832" s="19" t="s">
        <v>36</v>
      </c>
      <c r="D5832" s="19" t="s">
        <v>36</v>
      </c>
      <c r="E5832" s="19" t="s">
        <v>36</v>
      </c>
      <c r="F5832" s="19" t="s">
        <v>36</v>
      </c>
      <c r="G5832" s="15" t="s">
        <v>36</v>
      </c>
      <c r="H5832" s="14" t="s">
        <v>36</v>
      </c>
      <c r="I5832" s="18" t="s">
        <v>36</v>
      </c>
      <c r="J5832" s="12" t="s">
        <v>36</v>
      </c>
      <c r="K5832" s="13" t="s">
        <v>36</v>
      </c>
      <c r="L5832" s="15" t="s">
        <v>36</v>
      </c>
      <c r="M5832" s="12" t="s">
        <v>36</v>
      </c>
      <c r="N5832" s="12" t="s">
        <v>36</v>
      </c>
      <c r="O5832" s="17" t="s">
        <v>36</v>
      </c>
      <c r="P5832" s="12" t="s">
        <v>36</v>
      </c>
      <c r="Q5832" s="12" t="s">
        <v>36</v>
      </c>
      <c r="R5832" s="12" t="s">
        <v>36</v>
      </c>
      <c r="S5832" s="12" t="s">
        <v>36</v>
      </c>
      <c r="T5832" s="12" t="s">
        <v>11802</v>
      </c>
      <c r="U5832" s="12" t="s">
        <v>74</v>
      </c>
      <c r="V5832" s="12" t="s">
        <v>75</v>
      </c>
      <c r="W5832" s="12" t="s">
        <v>27127</v>
      </c>
      <c r="X5832" s="16" t="s">
        <v>1872</v>
      </c>
      <c r="Y5832" s="15" t="s">
        <v>42</v>
      </c>
      <c r="Z5832" s="14" t="s">
        <v>36</v>
      </c>
      <c r="AA5832" s="14" t="s">
        <v>36</v>
      </c>
      <c r="AB5832" s="12" t="s">
        <v>43</v>
      </c>
      <c r="AC5832" s="12" t="s">
        <v>27128</v>
      </c>
      <c r="AD5832" s="13">
        <v>43009</v>
      </c>
      <c r="AE5832" s="12" t="s">
        <v>1888</v>
      </c>
      <c r="AF5832" s="12" t="s">
        <v>36</v>
      </c>
      <c r="AG5832" s="12" t="s">
        <v>741</v>
      </c>
      <c r="AH5832" s="1">
        <f>HYPERLINK("https://my.pitchbook.com?c=96639-76T","View Company Online")</f>
      </c>
    </row>
    <row r="5833">
      <c r="A5833" s="3" t="s">
        <v>27129</v>
      </c>
      <c r="B5833" s="3" t="s">
        <v>27130</v>
      </c>
      <c r="C5833" s="5" t="s">
        <v>36</v>
      </c>
      <c r="D5833" s="5" t="s">
        <v>36</v>
      </c>
      <c r="E5833" s="5" t="s">
        <v>36</v>
      </c>
      <c r="F5833" s="5" t="s">
        <v>36</v>
      </c>
      <c r="G5833" s="6" t="s">
        <v>683</v>
      </c>
      <c r="H5833" s="4">
        <v>25.76</v>
      </c>
      <c r="I5833" s="7">
        <v>40.27</v>
      </c>
      <c r="J5833" s="3" t="s">
        <v>521</v>
      </c>
      <c r="K5833" s="9" t="s">
        <v>36</v>
      </c>
      <c r="L5833" s="6" t="s">
        <v>36</v>
      </c>
      <c r="M5833" s="3" t="s">
        <v>36</v>
      </c>
      <c r="N5833" s="3" t="s">
        <v>36</v>
      </c>
      <c r="O5833" s="8" t="s">
        <v>36</v>
      </c>
      <c r="P5833" s="3" t="s">
        <v>36</v>
      </c>
      <c r="Q5833" s="3" t="s">
        <v>36</v>
      </c>
      <c r="R5833" s="3" t="s">
        <v>36</v>
      </c>
      <c r="S5833" s="3" t="s">
        <v>36</v>
      </c>
      <c r="T5833" s="3" t="s">
        <v>596</v>
      </c>
      <c r="U5833" s="3" t="s">
        <v>366</v>
      </c>
      <c r="V5833" s="3" t="s">
        <v>367</v>
      </c>
      <c r="W5833" s="3" t="s">
        <v>27131</v>
      </c>
      <c r="X5833" s="10" t="s">
        <v>27132</v>
      </c>
      <c r="Y5833" s="6" t="s">
        <v>192</v>
      </c>
      <c r="Z5833" s="4">
        <v>1.23</v>
      </c>
      <c r="AA5833" s="4">
        <v>3.05</v>
      </c>
      <c r="AB5833" s="3" t="s">
        <v>56</v>
      </c>
      <c r="AC5833" s="3" t="s">
        <v>27133</v>
      </c>
      <c r="AD5833" s="9">
        <v>43009</v>
      </c>
      <c r="AE5833" s="3" t="s">
        <v>600</v>
      </c>
      <c r="AF5833" s="3" t="s">
        <v>931</v>
      </c>
      <c r="AG5833" s="3" t="s">
        <v>12928</v>
      </c>
      <c r="AH5833" s="11">
        <f>HYPERLINK("https://my.pitchbook.com?c=112126-69T","View Company Online")</f>
      </c>
    </row>
    <row r="5834">
      <c r="A5834" s="12" t="s">
        <v>27134</v>
      </c>
      <c r="B5834" s="12" t="s">
        <v>27135</v>
      </c>
      <c r="C5834" s="19" t="s">
        <v>36</v>
      </c>
      <c r="D5834" s="19" t="s">
        <v>36</v>
      </c>
      <c r="E5834" s="19" t="s">
        <v>36</v>
      </c>
      <c r="F5834" s="19" t="s">
        <v>36</v>
      </c>
      <c r="G5834" s="15" t="s">
        <v>326</v>
      </c>
      <c r="H5834" s="14">
        <v>90.32</v>
      </c>
      <c r="I5834" s="18">
        <v>10.45</v>
      </c>
      <c r="J5834" s="12" t="s">
        <v>521</v>
      </c>
      <c r="K5834" s="13">
        <v>42917</v>
      </c>
      <c r="L5834" s="15" t="s">
        <v>36</v>
      </c>
      <c r="M5834" s="12" t="s">
        <v>36</v>
      </c>
      <c r="N5834" s="12" t="s">
        <v>36</v>
      </c>
      <c r="O5834" s="17" t="s">
        <v>36</v>
      </c>
      <c r="P5834" s="12" t="s">
        <v>36</v>
      </c>
      <c r="Q5834" s="12" t="s">
        <v>36</v>
      </c>
      <c r="R5834" s="12" t="s">
        <v>36</v>
      </c>
      <c r="S5834" s="12" t="s">
        <v>36</v>
      </c>
      <c r="T5834" s="12" t="s">
        <v>22801</v>
      </c>
      <c r="U5834" s="12" t="s">
        <v>279</v>
      </c>
      <c r="V5834" s="12" t="s">
        <v>64</v>
      </c>
      <c r="W5834" s="12" t="s">
        <v>27136</v>
      </c>
      <c r="X5834" s="16" t="s">
        <v>27137</v>
      </c>
      <c r="Y5834" s="15" t="s">
        <v>42</v>
      </c>
      <c r="Z5834" s="14">
        <v>0.83</v>
      </c>
      <c r="AA5834" s="14">
        <v>4.56</v>
      </c>
      <c r="AB5834" s="12" t="s">
        <v>43</v>
      </c>
      <c r="AC5834" s="12" t="s">
        <v>27138</v>
      </c>
      <c r="AD5834" s="13">
        <v>43007</v>
      </c>
      <c r="AE5834" s="12" t="s">
        <v>851</v>
      </c>
      <c r="AF5834" s="12" t="s">
        <v>2118</v>
      </c>
      <c r="AG5834" s="12" t="s">
        <v>81</v>
      </c>
      <c r="AH5834" s="1">
        <f>HYPERLINK("https://my.pitchbook.com?c=130092-58T","View Company Online")</f>
      </c>
    </row>
    <row r="5835">
      <c r="A5835" s="3" t="s">
        <v>27139</v>
      </c>
      <c r="B5835" s="3" t="s">
        <v>18612</v>
      </c>
      <c r="C5835" s="5" t="s">
        <v>36</v>
      </c>
      <c r="D5835" s="5" t="s">
        <v>36</v>
      </c>
      <c r="E5835" s="5" t="s">
        <v>36</v>
      </c>
      <c r="F5835" s="5" t="s">
        <v>36</v>
      </c>
      <c r="G5835" s="6" t="s">
        <v>36</v>
      </c>
      <c r="H5835" s="4">
        <v>10.81</v>
      </c>
      <c r="I5835" s="7">
        <v>25.59</v>
      </c>
      <c r="J5835" s="3" t="s">
        <v>521</v>
      </c>
      <c r="K5835" s="9" t="s">
        <v>36</v>
      </c>
      <c r="L5835" s="6" t="s">
        <v>36</v>
      </c>
      <c r="M5835" s="3" t="s">
        <v>36</v>
      </c>
      <c r="N5835" s="3" t="s">
        <v>36</v>
      </c>
      <c r="O5835" s="8" t="s">
        <v>36</v>
      </c>
      <c r="P5835" s="3" t="s">
        <v>36</v>
      </c>
      <c r="Q5835" s="3" t="s">
        <v>36</v>
      </c>
      <c r="R5835" s="3" t="s">
        <v>36</v>
      </c>
      <c r="S5835" s="3" t="s">
        <v>36</v>
      </c>
      <c r="T5835" s="3" t="s">
        <v>1855</v>
      </c>
      <c r="U5835" s="3" t="s">
        <v>85</v>
      </c>
      <c r="V5835" s="3" t="s">
        <v>64</v>
      </c>
      <c r="W5835" s="3" t="s">
        <v>18613</v>
      </c>
      <c r="X5835" s="10" t="s">
        <v>27140</v>
      </c>
      <c r="Y5835" s="6" t="s">
        <v>108</v>
      </c>
      <c r="Z5835" s="4">
        <v>1.19</v>
      </c>
      <c r="AA5835" s="4">
        <v>3.03</v>
      </c>
      <c r="AB5835" s="3" t="s">
        <v>43</v>
      </c>
      <c r="AC5835" s="3" t="s">
        <v>18615</v>
      </c>
      <c r="AD5835" s="9">
        <v>43006</v>
      </c>
      <c r="AE5835" s="3" t="s">
        <v>89</v>
      </c>
      <c r="AF5835" s="3" t="s">
        <v>1507</v>
      </c>
      <c r="AG5835" s="3" t="s">
        <v>81</v>
      </c>
      <c r="AH5835" s="11">
        <f>HYPERLINK("https://my.pitchbook.com?c=95391-64T","View Company Online")</f>
      </c>
    </row>
    <row r="5836">
      <c r="A5836" s="12" t="s">
        <v>27141</v>
      </c>
      <c r="B5836" s="12" t="s">
        <v>27142</v>
      </c>
      <c r="C5836" s="19">
        <v>1</v>
      </c>
      <c r="D5836" s="19">
        <v>22</v>
      </c>
      <c r="E5836" s="19">
        <v>8</v>
      </c>
      <c r="F5836" s="19">
        <v>29</v>
      </c>
      <c r="G5836" s="15" t="s">
        <v>36</v>
      </c>
      <c r="H5836" s="14">
        <v>4.22</v>
      </c>
      <c r="I5836" s="18">
        <v>34.05</v>
      </c>
      <c r="J5836" s="12" t="s">
        <v>521</v>
      </c>
      <c r="K5836" s="13" t="s">
        <v>36</v>
      </c>
      <c r="L5836" s="15" t="s">
        <v>94</v>
      </c>
      <c r="M5836" s="12" t="s">
        <v>36</v>
      </c>
      <c r="N5836" s="12" t="s">
        <v>94</v>
      </c>
      <c r="O5836" s="17" t="s">
        <v>36</v>
      </c>
      <c r="P5836" s="12" t="s">
        <v>36</v>
      </c>
      <c r="Q5836" s="12" t="s">
        <v>36</v>
      </c>
      <c r="R5836" s="12" t="s">
        <v>36</v>
      </c>
      <c r="S5836" s="12" t="s">
        <v>36</v>
      </c>
      <c r="T5836" s="12" t="s">
        <v>1863</v>
      </c>
      <c r="U5836" s="12" t="s">
        <v>96</v>
      </c>
      <c r="V5836" s="12" t="s">
        <v>52</v>
      </c>
      <c r="W5836" s="12" t="s">
        <v>27143</v>
      </c>
      <c r="X5836" s="16" t="s">
        <v>27144</v>
      </c>
      <c r="Y5836" s="15" t="s">
        <v>55</v>
      </c>
      <c r="Z5836" s="14">
        <v>3.58</v>
      </c>
      <c r="AA5836" s="14">
        <v>10.5</v>
      </c>
      <c r="AB5836" s="12" t="s">
        <v>56</v>
      </c>
      <c r="AC5836" s="12" t="s">
        <v>27145</v>
      </c>
      <c r="AD5836" s="13">
        <v>43006</v>
      </c>
      <c r="AE5836" s="12" t="s">
        <v>1414</v>
      </c>
      <c r="AF5836" s="12" t="s">
        <v>17897</v>
      </c>
      <c r="AG5836" s="12" t="s">
        <v>969</v>
      </c>
      <c r="AH5836" s="1">
        <f>HYPERLINK("https://my.pitchbook.com?c=106157-62T","View Company Online")</f>
      </c>
    </row>
    <row r="5837">
      <c r="A5837" s="3" t="s">
        <v>27146</v>
      </c>
      <c r="B5837" s="3" t="s">
        <v>9315</v>
      </c>
      <c r="C5837" s="5" t="s">
        <v>36</v>
      </c>
      <c r="D5837" s="5">
        <v>13</v>
      </c>
      <c r="E5837" s="5">
        <v>3</v>
      </c>
      <c r="F5837" s="5">
        <v>13</v>
      </c>
      <c r="G5837" s="6" t="s">
        <v>683</v>
      </c>
      <c r="H5837" s="4">
        <v>11374.77</v>
      </c>
      <c r="I5837" s="7">
        <v>10.65</v>
      </c>
      <c r="J5837" s="3" t="s">
        <v>521</v>
      </c>
      <c r="K5837" s="9">
        <v>42899</v>
      </c>
      <c r="L5837" s="6" t="s">
        <v>36</v>
      </c>
      <c r="M5837" s="3" t="s">
        <v>36</v>
      </c>
      <c r="N5837" s="3" t="s">
        <v>36</v>
      </c>
      <c r="O5837" s="8" t="s">
        <v>36</v>
      </c>
      <c r="P5837" s="3" t="s">
        <v>36</v>
      </c>
      <c r="Q5837" s="3" t="s">
        <v>36</v>
      </c>
      <c r="R5837" s="3" t="s">
        <v>36</v>
      </c>
      <c r="S5837" s="3" t="s">
        <v>36</v>
      </c>
      <c r="T5837" s="3" t="s">
        <v>529</v>
      </c>
      <c r="U5837" s="3" t="s">
        <v>38</v>
      </c>
      <c r="V5837" s="3" t="s">
        <v>39</v>
      </c>
      <c r="W5837" s="3" t="s">
        <v>9316</v>
      </c>
      <c r="X5837" s="10" t="s">
        <v>11579</v>
      </c>
      <c r="Y5837" s="6" t="s">
        <v>192</v>
      </c>
      <c r="Z5837" s="4">
        <v>0.81</v>
      </c>
      <c r="AA5837" s="4">
        <v>7.6</v>
      </c>
      <c r="AB5837" s="3" t="s">
        <v>56</v>
      </c>
      <c r="AC5837" s="3" t="s">
        <v>9318</v>
      </c>
      <c r="AD5837" s="9">
        <v>43006</v>
      </c>
      <c r="AE5837" s="3" t="s">
        <v>134</v>
      </c>
      <c r="AF5837" s="3" t="s">
        <v>9319</v>
      </c>
      <c r="AG5837" s="3" t="s">
        <v>652</v>
      </c>
      <c r="AH5837" s="11">
        <f>HYPERLINK("https://my.pitchbook.com?c=116592-40T","View Company Online")</f>
      </c>
    </row>
    <row r="5838">
      <c r="A5838" s="12" t="s">
        <v>27147</v>
      </c>
      <c r="B5838" s="12" t="s">
        <v>13872</v>
      </c>
      <c r="C5838" s="19">
        <v>17</v>
      </c>
      <c r="D5838" s="19">
        <v>68</v>
      </c>
      <c r="E5838" s="19">
        <v>22</v>
      </c>
      <c r="F5838" s="19">
        <v>88</v>
      </c>
      <c r="G5838" s="15" t="s">
        <v>326</v>
      </c>
      <c r="H5838" s="14">
        <v>81.1</v>
      </c>
      <c r="I5838" s="18">
        <v>39.68</v>
      </c>
      <c r="J5838" s="12" t="s">
        <v>327</v>
      </c>
      <c r="K5838" s="13">
        <v>42949</v>
      </c>
      <c r="L5838" s="15" t="s">
        <v>94</v>
      </c>
      <c r="M5838" s="12" t="s">
        <v>36</v>
      </c>
      <c r="N5838" s="12" t="s">
        <v>94</v>
      </c>
      <c r="O5838" s="17" t="s">
        <v>36</v>
      </c>
      <c r="P5838" s="12" t="s">
        <v>36</v>
      </c>
      <c r="Q5838" s="12" t="s">
        <v>36</v>
      </c>
      <c r="R5838" s="12" t="s">
        <v>36</v>
      </c>
      <c r="S5838" s="12" t="s">
        <v>13873</v>
      </c>
      <c r="T5838" s="12" t="s">
        <v>13874</v>
      </c>
      <c r="U5838" s="12" t="s">
        <v>96</v>
      </c>
      <c r="V5838" s="12" t="s">
        <v>52</v>
      </c>
      <c r="W5838" s="12" t="s">
        <v>13875</v>
      </c>
      <c r="X5838" s="16" t="s">
        <v>27148</v>
      </c>
      <c r="Y5838" s="15" t="s">
        <v>55</v>
      </c>
      <c r="Z5838" s="14">
        <v>17.88</v>
      </c>
      <c r="AA5838" s="14">
        <v>45.06</v>
      </c>
      <c r="AB5838" s="12" t="s">
        <v>56</v>
      </c>
      <c r="AC5838" s="12" t="s">
        <v>13877</v>
      </c>
      <c r="AD5838" s="13">
        <v>43006</v>
      </c>
      <c r="AE5838" s="12" t="s">
        <v>143</v>
      </c>
      <c r="AF5838" s="12" t="s">
        <v>13878</v>
      </c>
      <c r="AG5838" s="12" t="s">
        <v>81</v>
      </c>
      <c r="AH5838" s="1">
        <f>HYPERLINK("https://my.pitchbook.com?c=95246-47T","View Company Online")</f>
      </c>
    </row>
    <row r="5839">
      <c r="A5839" s="3" t="s">
        <v>27149</v>
      </c>
      <c r="B5839" s="3" t="s">
        <v>24456</v>
      </c>
      <c r="C5839" s="5">
        <v>1</v>
      </c>
      <c r="D5839" s="5">
        <v>5</v>
      </c>
      <c r="E5839" s="5">
        <v>4</v>
      </c>
      <c r="F5839" s="5">
        <v>10</v>
      </c>
      <c r="G5839" s="6" t="s">
        <v>36</v>
      </c>
      <c r="H5839" s="4" t="s">
        <v>36</v>
      </c>
      <c r="I5839" s="7" t="s">
        <v>36</v>
      </c>
      <c r="J5839" s="3" t="s">
        <v>36</v>
      </c>
      <c r="K5839" s="9">
        <v>42999</v>
      </c>
      <c r="L5839" s="6" t="s">
        <v>122</v>
      </c>
      <c r="M5839" s="3" t="s">
        <v>36</v>
      </c>
      <c r="N5839" s="3" t="s">
        <v>122</v>
      </c>
      <c r="O5839" s="8" t="s">
        <v>36</v>
      </c>
      <c r="P5839" s="3" t="s">
        <v>36</v>
      </c>
      <c r="Q5839" s="3" t="s">
        <v>36</v>
      </c>
      <c r="R5839" s="3" t="s">
        <v>36</v>
      </c>
      <c r="S5839" s="3" t="s">
        <v>18940</v>
      </c>
      <c r="T5839" s="3" t="s">
        <v>24457</v>
      </c>
      <c r="U5839" s="3" t="s">
        <v>833</v>
      </c>
      <c r="V5839" s="3" t="s">
        <v>64</v>
      </c>
      <c r="W5839" s="3" t="s">
        <v>24458</v>
      </c>
      <c r="X5839" s="10" t="s">
        <v>27150</v>
      </c>
      <c r="Y5839" s="6" t="s">
        <v>42</v>
      </c>
      <c r="Z5839" s="4">
        <v>2.98</v>
      </c>
      <c r="AA5839" s="4" t="s">
        <v>36</v>
      </c>
      <c r="AB5839" s="3" t="s">
        <v>43</v>
      </c>
      <c r="AC5839" s="3" t="s">
        <v>24460</v>
      </c>
      <c r="AD5839" s="9">
        <v>43005</v>
      </c>
      <c r="AE5839" s="3" t="s">
        <v>1069</v>
      </c>
      <c r="AF5839" s="3" t="s">
        <v>7294</v>
      </c>
      <c r="AG5839" s="3" t="s">
        <v>3188</v>
      </c>
      <c r="AH5839" s="11">
        <f>HYPERLINK("https://my.pitchbook.com?c=95920-75T","View Company Online")</f>
      </c>
    </row>
    <row r="5840">
      <c r="A5840" s="12" t="s">
        <v>27151</v>
      </c>
      <c r="B5840" s="12" t="s">
        <v>27152</v>
      </c>
      <c r="C5840" s="19" t="s">
        <v>36</v>
      </c>
      <c r="D5840" s="19" t="s">
        <v>36</v>
      </c>
      <c r="E5840" s="19" t="s">
        <v>36</v>
      </c>
      <c r="F5840" s="19" t="s">
        <v>36</v>
      </c>
      <c r="G5840" s="15" t="s">
        <v>36</v>
      </c>
      <c r="H5840" s="14">
        <v>10.39</v>
      </c>
      <c r="I5840" s="18">
        <v>16.6</v>
      </c>
      <c r="J5840" s="12" t="s">
        <v>521</v>
      </c>
      <c r="K5840" s="13" t="s">
        <v>36</v>
      </c>
      <c r="L5840" s="15" t="s">
        <v>36</v>
      </c>
      <c r="M5840" s="12" t="s">
        <v>36</v>
      </c>
      <c r="N5840" s="12" t="s">
        <v>36</v>
      </c>
      <c r="O5840" s="17" t="s">
        <v>36</v>
      </c>
      <c r="P5840" s="12" t="s">
        <v>36</v>
      </c>
      <c r="Q5840" s="12" t="s">
        <v>36</v>
      </c>
      <c r="R5840" s="12" t="s">
        <v>36</v>
      </c>
      <c r="S5840" s="12" t="s">
        <v>36</v>
      </c>
      <c r="T5840" s="12" t="s">
        <v>27153</v>
      </c>
      <c r="U5840" s="12" t="s">
        <v>318</v>
      </c>
      <c r="V5840" s="12" t="s">
        <v>39</v>
      </c>
      <c r="W5840" s="12" t="s">
        <v>27154</v>
      </c>
      <c r="X5840" s="16" t="s">
        <v>27155</v>
      </c>
      <c r="Y5840" s="15" t="s">
        <v>42</v>
      </c>
      <c r="Z5840" s="14">
        <v>6.2</v>
      </c>
      <c r="AA5840" s="14">
        <v>28.74</v>
      </c>
      <c r="AB5840" s="12" t="s">
        <v>56</v>
      </c>
      <c r="AC5840" s="12" t="s">
        <v>27156</v>
      </c>
      <c r="AD5840" s="13">
        <v>43005</v>
      </c>
      <c r="AE5840" s="12" t="s">
        <v>763</v>
      </c>
      <c r="AF5840" s="12" t="s">
        <v>571</v>
      </c>
      <c r="AG5840" s="12" t="s">
        <v>27157</v>
      </c>
      <c r="AH5840" s="1">
        <f>HYPERLINK("https://my.pitchbook.com?c=164610-10T","View Company Online")</f>
      </c>
    </row>
    <row r="5841">
      <c r="A5841" s="3" t="s">
        <v>27158</v>
      </c>
      <c r="B5841" s="3" t="s">
        <v>27159</v>
      </c>
      <c r="C5841" s="5" t="s">
        <v>36</v>
      </c>
      <c r="D5841" s="5" t="s">
        <v>36</v>
      </c>
      <c r="E5841" s="5" t="s">
        <v>36</v>
      </c>
      <c r="F5841" s="5" t="s">
        <v>36</v>
      </c>
      <c r="G5841" s="6" t="s">
        <v>326</v>
      </c>
      <c r="H5841" s="4">
        <v>19.71</v>
      </c>
      <c r="I5841" s="7">
        <v>20</v>
      </c>
      <c r="J5841" s="3" t="s">
        <v>521</v>
      </c>
      <c r="K5841" s="9" t="s">
        <v>36</v>
      </c>
      <c r="L5841" s="6" t="s">
        <v>36</v>
      </c>
      <c r="M5841" s="3" t="s">
        <v>36</v>
      </c>
      <c r="N5841" s="3" t="s">
        <v>36</v>
      </c>
      <c r="O5841" s="8" t="s">
        <v>36</v>
      </c>
      <c r="P5841" s="3" t="s">
        <v>36</v>
      </c>
      <c r="Q5841" s="3" t="s">
        <v>36</v>
      </c>
      <c r="R5841" s="3" t="s">
        <v>36</v>
      </c>
      <c r="S5841" s="3" t="s">
        <v>36</v>
      </c>
      <c r="T5841" s="3" t="s">
        <v>21464</v>
      </c>
      <c r="U5841" s="3" t="s">
        <v>289</v>
      </c>
      <c r="V5841" s="3" t="s">
        <v>64</v>
      </c>
      <c r="W5841" s="3" t="s">
        <v>27160</v>
      </c>
      <c r="X5841" s="10" t="s">
        <v>27161</v>
      </c>
      <c r="Y5841" s="6" t="s">
        <v>192</v>
      </c>
      <c r="Z5841" s="4">
        <v>0.3</v>
      </c>
      <c r="AA5841" s="4">
        <v>1.49</v>
      </c>
      <c r="AB5841" s="3" t="s">
        <v>56</v>
      </c>
      <c r="AC5841" s="3" t="s">
        <v>27162</v>
      </c>
      <c r="AD5841" s="9">
        <v>43005</v>
      </c>
      <c r="AE5841" s="3" t="s">
        <v>292</v>
      </c>
      <c r="AF5841" s="3" t="s">
        <v>90</v>
      </c>
      <c r="AG5841" s="3" t="s">
        <v>81</v>
      </c>
      <c r="AH5841" s="11">
        <f>HYPERLINK("https://my.pitchbook.com?c=187949-62T","View Company Online")</f>
      </c>
    </row>
    <row r="5842">
      <c r="A5842" s="12" t="s">
        <v>27163</v>
      </c>
      <c r="B5842" s="12" t="s">
        <v>14892</v>
      </c>
      <c r="C5842" s="19" t="s">
        <v>36</v>
      </c>
      <c r="D5842" s="19" t="s">
        <v>36</v>
      </c>
      <c r="E5842" s="19" t="s">
        <v>36</v>
      </c>
      <c r="F5842" s="19" t="s">
        <v>36</v>
      </c>
      <c r="G5842" s="15" t="s">
        <v>36</v>
      </c>
      <c r="H5842" s="14">
        <v>103.86</v>
      </c>
      <c r="I5842" s="18">
        <v>16.94</v>
      </c>
      <c r="J5842" s="12" t="s">
        <v>521</v>
      </c>
      <c r="K5842" s="13" t="s">
        <v>36</v>
      </c>
      <c r="L5842" s="15" t="s">
        <v>36</v>
      </c>
      <c r="M5842" s="12" t="s">
        <v>36</v>
      </c>
      <c r="N5842" s="12" t="s">
        <v>36</v>
      </c>
      <c r="O5842" s="17" t="s">
        <v>36</v>
      </c>
      <c r="P5842" s="12" t="s">
        <v>36</v>
      </c>
      <c r="Q5842" s="12" t="s">
        <v>36</v>
      </c>
      <c r="R5842" s="12" t="s">
        <v>36</v>
      </c>
      <c r="S5842" s="12" t="s">
        <v>36</v>
      </c>
      <c r="T5842" s="12" t="s">
        <v>2490</v>
      </c>
      <c r="U5842" s="12" t="s">
        <v>318</v>
      </c>
      <c r="V5842" s="12" t="s">
        <v>39</v>
      </c>
      <c r="W5842" s="12" t="s">
        <v>14893</v>
      </c>
      <c r="X5842" s="16" t="s">
        <v>27164</v>
      </c>
      <c r="Y5842" s="15" t="s">
        <v>192</v>
      </c>
      <c r="Z5842" s="14">
        <v>1.23</v>
      </c>
      <c r="AA5842" s="14">
        <v>7.27</v>
      </c>
      <c r="AB5842" s="12" t="s">
        <v>43</v>
      </c>
      <c r="AC5842" s="12" t="s">
        <v>14895</v>
      </c>
      <c r="AD5842" s="13">
        <v>43005</v>
      </c>
      <c r="AE5842" s="12" t="s">
        <v>417</v>
      </c>
      <c r="AF5842" s="12" t="s">
        <v>7294</v>
      </c>
      <c r="AG5842" s="12" t="s">
        <v>969</v>
      </c>
      <c r="AH5842" s="1">
        <f>HYPERLINK("https://my.pitchbook.com?c=139420-72T","View Company Online")</f>
      </c>
    </row>
    <row r="5843">
      <c r="A5843" s="3" t="s">
        <v>27165</v>
      </c>
      <c r="B5843" s="3" t="s">
        <v>21738</v>
      </c>
      <c r="C5843" s="5" t="s">
        <v>36</v>
      </c>
      <c r="D5843" s="5" t="s">
        <v>36</v>
      </c>
      <c r="E5843" s="5" t="s">
        <v>36</v>
      </c>
      <c r="F5843" s="5" t="s">
        <v>36</v>
      </c>
      <c r="G5843" s="6" t="s">
        <v>683</v>
      </c>
      <c r="H5843" s="4">
        <v>1.13</v>
      </c>
      <c r="I5843" s="7">
        <v>26.53</v>
      </c>
      <c r="J5843" s="3" t="s">
        <v>521</v>
      </c>
      <c r="K5843" s="9">
        <v>42926</v>
      </c>
      <c r="L5843" s="6" t="s">
        <v>1279</v>
      </c>
      <c r="M5843" s="3" t="s">
        <v>36</v>
      </c>
      <c r="N5843" s="3" t="s">
        <v>1279</v>
      </c>
      <c r="O5843" s="8" t="s">
        <v>36</v>
      </c>
      <c r="P5843" s="3" t="s">
        <v>36</v>
      </c>
      <c r="Q5843" s="3" t="s">
        <v>3530</v>
      </c>
      <c r="R5843" s="3" t="s">
        <v>3531</v>
      </c>
      <c r="S5843" s="3" t="s">
        <v>36</v>
      </c>
      <c r="T5843" s="3" t="s">
        <v>881</v>
      </c>
      <c r="U5843" s="3" t="s">
        <v>51</v>
      </c>
      <c r="V5843" s="3" t="s">
        <v>52</v>
      </c>
      <c r="W5843" s="3" t="s">
        <v>21739</v>
      </c>
      <c r="X5843" s="10" t="s">
        <v>27166</v>
      </c>
      <c r="Y5843" s="6" t="s">
        <v>192</v>
      </c>
      <c r="Z5843" s="4">
        <v>7.75</v>
      </c>
      <c r="AA5843" s="4">
        <v>29.22</v>
      </c>
      <c r="AB5843" s="3" t="s">
        <v>56</v>
      </c>
      <c r="AC5843" s="3" t="s">
        <v>21741</v>
      </c>
      <c r="AD5843" s="9">
        <v>43005</v>
      </c>
      <c r="AE5843" s="3" t="s">
        <v>504</v>
      </c>
      <c r="AF5843" s="3" t="s">
        <v>159</v>
      </c>
      <c r="AG5843" s="3" t="s">
        <v>102</v>
      </c>
      <c r="AH5843" s="11">
        <f>HYPERLINK("https://my.pitchbook.com?c=95050-45T","View Company Online")</f>
      </c>
    </row>
    <row r="5844">
      <c r="A5844" s="12" t="s">
        <v>27167</v>
      </c>
      <c r="B5844" s="12" t="s">
        <v>3419</v>
      </c>
      <c r="C5844" s="19">
        <v>49</v>
      </c>
      <c r="D5844" s="19">
        <v>74</v>
      </c>
      <c r="E5844" s="19">
        <v>27</v>
      </c>
      <c r="F5844" s="19">
        <v>132</v>
      </c>
      <c r="G5844" s="15" t="s">
        <v>326</v>
      </c>
      <c r="H5844" s="14">
        <v>16.11</v>
      </c>
      <c r="I5844" s="18">
        <v>40.89</v>
      </c>
      <c r="J5844" s="12" t="s">
        <v>521</v>
      </c>
      <c r="K5844" s="13">
        <v>42938</v>
      </c>
      <c r="L5844" s="15" t="s">
        <v>122</v>
      </c>
      <c r="M5844" s="12" t="s">
        <v>36</v>
      </c>
      <c r="N5844" s="12" t="s">
        <v>122</v>
      </c>
      <c r="O5844" s="17" t="s">
        <v>36</v>
      </c>
      <c r="P5844" s="12" t="s">
        <v>36</v>
      </c>
      <c r="Q5844" s="12" t="s">
        <v>36</v>
      </c>
      <c r="R5844" s="12" t="s">
        <v>36</v>
      </c>
      <c r="S5844" s="12" t="s">
        <v>36</v>
      </c>
      <c r="T5844" s="12" t="s">
        <v>661</v>
      </c>
      <c r="U5844" s="12" t="s">
        <v>51</v>
      </c>
      <c r="V5844" s="12" t="s">
        <v>52</v>
      </c>
      <c r="W5844" s="12" t="s">
        <v>3420</v>
      </c>
      <c r="X5844" s="16" t="s">
        <v>27168</v>
      </c>
      <c r="Y5844" s="15" t="s">
        <v>108</v>
      </c>
      <c r="Z5844" s="14">
        <v>16.86</v>
      </c>
      <c r="AA5844" s="14">
        <v>41.22</v>
      </c>
      <c r="AB5844" s="12" t="s">
        <v>43</v>
      </c>
      <c r="AC5844" s="12" t="s">
        <v>3422</v>
      </c>
      <c r="AD5844" s="13">
        <v>43004</v>
      </c>
      <c r="AE5844" s="12" t="s">
        <v>158</v>
      </c>
      <c r="AF5844" s="12" t="s">
        <v>885</v>
      </c>
      <c r="AG5844" s="12" t="s">
        <v>81</v>
      </c>
      <c r="AH5844" s="1">
        <f>HYPERLINK("https://my.pitchbook.com?c=94332-43T","View Company Online")</f>
      </c>
    </row>
    <row r="5845">
      <c r="A5845" s="3" t="s">
        <v>27169</v>
      </c>
      <c r="B5845" s="3" t="s">
        <v>27170</v>
      </c>
      <c r="C5845" s="5" t="s">
        <v>36</v>
      </c>
      <c r="D5845" s="5" t="s">
        <v>36</v>
      </c>
      <c r="E5845" s="5" t="s">
        <v>36</v>
      </c>
      <c r="F5845" s="5" t="s">
        <v>36</v>
      </c>
      <c r="G5845" s="6" t="s">
        <v>36</v>
      </c>
      <c r="H5845" s="4">
        <v>31398.52</v>
      </c>
      <c r="I5845" s="7">
        <v>24.81</v>
      </c>
      <c r="J5845" s="3" t="s">
        <v>521</v>
      </c>
      <c r="K5845" s="9">
        <v>42872</v>
      </c>
      <c r="L5845" s="6" t="s">
        <v>36</v>
      </c>
      <c r="M5845" s="3" t="s">
        <v>36</v>
      </c>
      <c r="N5845" s="3" t="s">
        <v>36</v>
      </c>
      <c r="O5845" s="8" t="s">
        <v>36</v>
      </c>
      <c r="P5845" s="3" t="s">
        <v>36</v>
      </c>
      <c r="Q5845" s="3" t="s">
        <v>36</v>
      </c>
      <c r="R5845" s="3" t="s">
        <v>36</v>
      </c>
      <c r="S5845" s="3" t="s">
        <v>36</v>
      </c>
      <c r="T5845" s="3" t="s">
        <v>27171</v>
      </c>
      <c r="U5845" s="3" t="s">
        <v>289</v>
      </c>
      <c r="V5845" s="3" t="s">
        <v>64</v>
      </c>
      <c r="W5845" s="3" t="s">
        <v>27172</v>
      </c>
      <c r="X5845" s="10" t="s">
        <v>27173</v>
      </c>
      <c r="Y5845" s="6" t="s">
        <v>42</v>
      </c>
      <c r="Z5845" s="4">
        <v>2.39</v>
      </c>
      <c r="AA5845" s="4">
        <v>4.8</v>
      </c>
      <c r="AB5845" s="3" t="s">
        <v>56</v>
      </c>
      <c r="AC5845" s="3" t="s">
        <v>27174</v>
      </c>
      <c r="AD5845" s="9">
        <v>43004</v>
      </c>
      <c r="AE5845" s="3" t="s">
        <v>292</v>
      </c>
      <c r="AF5845" s="3" t="s">
        <v>9216</v>
      </c>
      <c r="AG5845" s="3" t="s">
        <v>112</v>
      </c>
      <c r="AH5845" s="11">
        <f>HYPERLINK("https://my.pitchbook.com?c=109171-09T","View Company Online")</f>
      </c>
    </row>
    <row r="5846">
      <c r="A5846" s="12" t="s">
        <v>27175</v>
      </c>
      <c r="B5846" s="12" t="s">
        <v>21560</v>
      </c>
      <c r="C5846" s="19" t="s">
        <v>36</v>
      </c>
      <c r="D5846" s="19" t="s">
        <v>36</v>
      </c>
      <c r="E5846" s="19" t="s">
        <v>36</v>
      </c>
      <c r="F5846" s="19" t="s">
        <v>36</v>
      </c>
      <c r="G5846" s="15" t="s">
        <v>36</v>
      </c>
      <c r="H5846" s="14">
        <v>333.84</v>
      </c>
      <c r="I5846" s="18">
        <v>23.73</v>
      </c>
      <c r="J5846" s="12" t="s">
        <v>521</v>
      </c>
      <c r="K5846" s="13" t="s">
        <v>36</v>
      </c>
      <c r="L5846" s="15" t="s">
        <v>36</v>
      </c>
      <c r="M5846" s="12" t="s">
        <v>36</v>
      </c>
      <c r="N5846" s="12" t="s">
        <v>36</v>
      </c>
      <c r="O5846" s="17" t="s">
        <v>36</v>
      </c>
      <c r="P5846" s="12" t="s">
        <v>36</v>
      </c>
      <c r="Q5846" s="12" t="s">
        <v>36</v>
      </c>
      <c r="R5846" s="12" t="s">
        <v>36</v>
      </c>
      <c r="S5846" s="12" t="s">
        <v>36</v>
      </c>
      <c r="T5846" s="12" t="s">
        <v>1935</v>
      </c>
      <c r="U5846" s="12" t="s">
        <v>38</v>
      </c>
      <c r="V5846" s="12" t="s">
        <v>39</v>
      </c>
      <c r="W5846" s="12" t="s">
        <v>21561</v>
      </c>
      <c r="X5846" s="16" t="s">
        <v>14239</v>
      </c>
      <c r="Y5846" s="15" t="s">
        <v>42</v>
      </c>
      <c r="Z5846" s="14">
        <v>1.19</v>
      </c>
      <c r="AA5846" s="14">
        <v>5.03</v>
      </c>
      <c r="AB5846" s="12" t="s">
        <v>43</v>
      </c>
      <c r="AC5846" s="12" t="s">
        <v>21563</v>
      </c>
      <c r="AD5846" s="13">
        <v>43004</v>
      </c>
      <c r="AE5846" s="12" t="s">
        <v>45</v>
      </c>
      <c r="AF5846" s="12" t="s">
        <v>21564</v>
      </c>
      <c r="AG5846" s="12" t="s">
        <v>81</v>
      </c>
      <c r="AH5846" s="1">
        <f>HYPERLINK("https://my.pitchbook.com?c=123764-50T","View Company Online")</f>
      </c>
    </row>
    <row r="5847">
      <c r="A5847" s="3" t="s">
        <v>27176</v>
      </c>
      <c r="B5847" s="3" t="s">
        <v>27177</v>
      </c>
      <c r="C5847" s="5" t="s">
        <v>36</v>
      </c>
      <c r="D5847" s="5" t="s">
        <v>36</v>
      </c>
      <c r="E5847" s="5" t="s">
        <v>36</v>
      </c>
      <c r="F5847" s="5" t="s">
        <v>36</v>
      </c>
      <c r="G5847" s="6" t="s">
        <v>326</v>
      </c>
      <c r="H5847" s="4">
        <v>2367.93</v>
      </c>
      <c r="I5847" s="7">
        <v>31.51</v>
      </c>
      <c r="J5847" s="3" t="s">
        <v>521</v>
      </c>
      <c r="K5847" s="9">
        <v>42976</v>
      </c>
      <c r="L5847" s="6" t="s">
        <v>36</v>
      </c>
      <c r="M5847" s="3" t="s">
        <v>36</v>
      </c>
      <c r="N5847" s="3" t="s">
        <v>36</v>
      </c>
      <c r="O5847" s="8" t="s">
        <v>36</v>
      </c>
      <c r="P5847" s="3" t="s">
        <v>36</v>
      </c>
      <c r="Q5847" s="3" t="s">
        <v>36</v>
      </c>
      <c r="R5847" s="3" t="s">
        <v>36</v>
      </c>
      <c r="S5847" s="3" t="s">
        <v>36</v>
      </c>
      <c r="T5847" s="3" t="s">
        <v>1048</v>
      </c>
      <c r="U5847" s="3" t="s">
        <v>423</v>
      </c>
      <c r="V5847" s="3" t="s">
        <v>64</v>
      </c>
      <c r="W5847" s="3" t="s">
        <v>27178</v>
      </c>
      <c r="X5847" s="10" t="s">
        <v>27179</v>
      </c>
      <c r="Y5847" s="6" t="s">
        <v>42</v>
      </c>
      <c r="Z5847" s="4">
        <v>2.39</v>
      </c>
      <c r="AA5847" s="4">
        <v>6.28</v>
      </c>
      <c r="AB5847" s="3" t="s">
        <v>56</v>
      </c>
      <c r="AC5847" s="3" t="s">
        <v>27180</v>
      </c>
      <c r="AD5847" s="9">
        <v>43004</v>
      </c>
      <c r="AE5847" s="3" t="s">
        <v>1051</v>
      </c>
      <c r="AF5847" s="3" t="s">
        <v>4397</v>
      </c>
      <c r="AG5847" s="3" t="s">
        <v>81</v>
      </c>
      <c r="AH5847" s="11">
        <f>HYPERLINK("https://my.pitchbook.com?c=120049-48T","View Company Online")</f>
      </c>
    </row>
    <row r="5848">
      <c r="A5848" s="12" t="s">
        <v>27181</v>
      </c>
      <c r="B5848" s="12" t="s">
        <v>10946</v>
      </c>
      <c r="C5848" s="19">
        <v>7</v>
      </c>
      <c r="D5848" s="19">
        <v>22</v>
      </c>
      <c r="E5848" s="19">
        <v>5</v>
      </c>
      <c r="F5848" s="19">
        <v>35</v>
      </c>
      <c r="G5848" s="15" t="s">
        <v>36</v>
      </c>
      <c r="H5848" s="14" t="s">
        <v>36</v>
      </c>
      <c r="I5848" s="18" t="s">
        <v>36</v>
      </c>
      <c r="J5848" s="12" t="s">
        <v>36</v>
      </c>
      <c r="K5848" s="13" t="s">
        <v>36</v>
      </c>
      <c r="L5848" s="15" t="s">
        <v>94</v>
      </c>
      <c r="M5848" s="12" t="s">
        <v>36</v>
      </c>
      <c r="N5848" s="12" t="s">
        <v>94</v>
      </c>
      <c r="O5848" s="17" t="s">
        <v>36</v>
      </c>
      <c r="P5848" s="12" t="s">
        <v>36</v>
      </c>
      <c r="Q5848" s="12" t="s">
        <v>36</v>
      </c>
      <c r="R5848" s="12" t="s">
        <v>36</v>
      </c>
      <c r="S5848" s="12" t="s">
        <v>36</v>
      </c>
      <c r="T5848" s="12" t="s">
        <v>4225</v>
      </c>
      <c r="U5848" s="12" t="s">
        <v>96</v>
      </c>
      <c r="V5848" s="12" t="s">
        <v>52</v>
      </c>
      <c r="W5848" s="12" t="s">
        <v>10947</v>
      </c>
      <c r="X5848" s="16" t="s">
        <v>27182</v>
      </c>
      <c r="Y5848" s="15" t="s">
        <v>42</v>
      </c>
      <c r="Z5848" s="14">
        <v>7.16</v>
      </c>
      <c r="AA5848" s="14" t="s">
        <v>36</v>
      </c>
      <c r="AB5848" s="12" t="s">
        <v>56</v>
      </c>
      <c r="AC5848" s="12" t="s">
        <v>10949</v>
      </c>
      <c r="AD5848" s="13">
        <v>43004</v>
      </c>
      <c r="AE5848" s="12" t="s">
        <v>143</v>
      </c>
      <c r="AF5848" s="12" t="s">
        <v>571</v>
      </c>
      <c r="AG5848" s="12" t="s">
        <v>392</v>
      </c>
      <c r="AH5848" s="1">
        <f>HYPERLINK("https://my.pitchbook.com?c=96637-51T","View Company Online")</f>
      </c>
    </row>
    <row r="5849">
      <c r="A5849" s="3" t="s">
        <v>27183</v>
      </c>
      <c r="B5849" s="3" t="s">
        <v>18882</v>
      </c>
      <c r="C5849" s="5" t="s">
        <v>36</v>
      </c>
      <c r="D5849" s="5" t="s">
        <v>36</v>
      </c>
      <c r="E5849" s="5" t="s">
        <v>36</v>
      </c>
      <c r="F5849" s="5" t="s">
        <v>36</v>
      </c>
      <c r="G5849" s="6" t="s">
        <v>36</v>
      </c>
      <c r="H5849" s="4">
        <v>0.73</v>
      </c>
      <c r="I5849" s="7">
        <v>16.54</v>
      </c>
      <c r="J5849" s="3" t="s">
        <v>521</v>
      </c>
      <c r="K5849" s="9" t="s">
        <v>36</v>
      </c>
      <c r="L5849" s="6" t="s">
        <v>36</v>
      </c>
      <c r="M5849" s="3" t="s">
        <v>36</v>
      </c>
      <c r="N5849" s="3" t="s">
        <v>36</v>
      </c>
      <c r="O5849" s="8" t="s">
        <v>36</v>
      </c>
      <c r="P5849" s="3" t="s">
        <v>36</v>
      </c>
      <c r="Q5849" s="3" t="s">
        <v>36</v>
      </c>
      <c r="R5849" s="3" t="s">
        <v>36</v>
      </c>
      <c r="S5849" s="3" t="s">
        <v>36</v>
      </c>
      <c r="T5849" s="3" t="s">
        <v>105</v>
      </c>
      <c r="U5849" s="3" t="s">
        <v>38</v>
      </c>
      <c r="V5849" s="3" t="s">
        <v>39</v>
      </c>
      <c r="W5849" s="3" t="s">
        <v>18883</v>
      </c>
      <c r="X5849" s="10" t="s">
        <v>24062</v>
      </c>
      <c r="Y5849" s="6" t="s">
        <v>42</v>
      </c>
      <c r="Z5849" s="4">
        <v>0.66</v>
      </c>
      <c r="AA5849" s="4">
        <v>4</v>
      </c>
      <c r="AB5849" s="3" t="s">
        <v>43</v>
      </c>
      <c r="AC5849" s="3" t="s">
        <v>18884</v>
      </c>
      <c r="AD5849" s="9">
        <v>43004</v>
      </c>
      <c r="AE5849" s="3" t="s">
        <v>110</v>
      </c>
      <c r="AF5849" s="3" t="s">
        <v>12037</v>
      </c>
      <c r="AG5849" s="3" t="s">
        <v>443</v>
      </c>
      <c r="AH5849" s="11">
        <f>HYPERLINK("https://my.pitchbook.com?c=200968-39T","View Company Online")</f>
      </c>
    </row>
    <row r="5850">
      <c r="A5850" s="12" t="s">
        <v>27184</v>
      </c>
      <c r="B5850" s="12" t="s">
        <v>26045</v>
      </c>
      <c r="C5850" s="19" t="s">
        <v>36</v>
      </c>
      <c r="D5850" s="19" t="s">
        <v>36</v>
      </c>
      <c r="E5850" s="19" t="s">
        <v>36</v>
      </c>
      <c r="F5850" s="19" t="s">
        <v>36</v>
      </c>
      <c r="G5850" s="15" t="s">
        <v>36</v>
      </c>
      <c r="H5850" s="14" t="s">
        <v>36</v>
      </c>
      <c r="I5850" s="18">
        <v>33.65</v>
      </c>
      <c r="J5850" s="12" t="s">
        <v>327</v>
      </c>
      <c r="K5850" s="13" t="s">
        <v>36</v>
      </c>
      <c r="L5850" s="15" t="s">
        <v>36</v>
      </c>
      <c r="M5850" s="12" t="s">
        <v>36</v>
      </c>
      <c r="N5850" s="12" t="s">
        <v>36</v>
      </c>
      <c r="O5850" s="17" t="s">
        <v>36</v>
      </c>
      <c r="P5850" s="12" t="s">
        <v>36</v>
      </c>
      <c r="Q5850" s="12" t="s">
        <v>36</v>
      </c>
      <c r="R5850" s="12" t="s">
        <v>36</v>
      </c>
      <c r="S5850" s="12" t="s">
        <v>36</v>
      </c>
      <c r="T5850" s="12" t="s">
        <v>1990</v>
      </c>
      <c r="U5850" s="12" t="s">
        <v>38</v>
      </c>
      <c r="V5850" s="12" t="s">
        <v>39</v>
      </c>
      <c r="W5850" s="12" t="s">
        <v>26046</v>
      </c>
      <c r="X5850" s="16" t="s">
        <v>27185</v>
      </c>
      <c r="Y5850" s="15" t="s">
        <v>42</v>
      </c>
      <c r="Z5850" s="14">
        <v>0.84</v>
      </c>
      <c r="AA5850" s="14">
        <v>2.48</v>
      </c>
      <c r="AB5850" s="12" t="s">
        <v>43</v>
      </c>
      <c r="AC5850" s="12" t="s">
        <v>26048</v>
      </c>
      <c r="AD5850" s="13">
        <v>43004</v>
      </c>
      <c r="AE5850" s="12" t="s">
        <v>110</v>
      </c>
      <c r="AF5850" s="12" t="s">
        <v>1842</v>
      </c>
      <c r="AG5850" s="12" t="s">
        <v>12667</v>
      </c>
      <c r="AH5850" s="1">
        <f>HYPERLINK("https://my.pitchbook.com?c=101344-15T","View Company Online")</f>
      </c>
    </row>
    <row r="5851">
      <c r="A5851" s="3" t="s">
        <v>27186</v>
      </c>
      <c r="B5851" s="3" t="s">
        <v>22388</v>
      </c>
      <c r="C5851" s="5" t="s">
        <v>36</v>
      </c>
      <c r="D5851" s="5" t="s">
        <v>36</v>
      </c>
      <c r="E5851" s="5" t="s">
        <v>36</v>
      </c>
      <c r="F5851" s="5" t="s">
        <v>36</v>
      </c>
      <c r="G5851" s="6" t="s">
        <v>36</v>
      </c>
      <c r="H5851" s="4">
        <v>315.45</v>
      </c>
      <c r="I5851" s="7">
        <v>22.2</v>
      </c>
      <c r="J5851" s="3" t="s">
        <v>327</v>
      </c>
      <c r="K5851" s="9" t="s">
        <v>36</v>
      </c>
      <c r="L5851" s="6" t="s">
        <v>36</v>
      </c>
      <c r="M5851" s="3" t="s">
        <v>36</v>
      </c>
      <c r="N5851" s="3" t="s">
        <v>36</v>
      </c>
      <c r="O5851" s="8" t="s">
        <v>36</v>
      </c>
      <c r="P5851" s="3" t="s">
        <v>36</v>
      </c>
      <c r="Q5851" s="3" t="s">
        <v>36</v>
      </c>
      <c r="R5851" s="3" t="s">
        <v>36</v>
      </c>
      <c r="S5851" s="3" t="s">
        <v>36</v>
      </c>
      <c r="T5851" s="3" t="s">
        <v>22389</v>
      </c>
      <c r="U5851" s="3" t="s">
        <v>289</v>
      </c>
      <c r="V5851" s="3" t="s">
        <v>64</v>
      </c>
      <c r="W5851" s="3" t="s">
        <v>22390</v>
      </c>
      <c r="X5851" s="10" t="s">
        <v>27187</v>
      </c>
      <c r="Y5851" s="6" t="s">
        <v>42</v>
      </c>
      <c r="Z5851" s="4">
        <v>1.55</v>
      </c>
      <c r="AA5851" s="4">
        <v>6.99</v>
      </c>
      <c r="AB5851" s="3" t="s">
        <v>43</v>
      </c>
      <c r="AC5851" s="3" t="s">
        <v>22392</v>
      </c>
      <c r="AD5851" s="9">
        <v>43003</v>
      </c>
      <c r="AE5851" s="3" t="s">
        <v>292</v>
      </c>
      <c r="AF5851" s="3" t="s">
        <v>22393</v>
      </c>
      <c r="AG5851" s="3" t="s">
        <v>4449</v>
      </c>
      <c r="AH5851" s="11">
        <f>HYPERLINK("https://my.pitchbook.com?c=102633-67T","View Company Online")</f>
      </c>
    </row>
    <row r="5852">
      <c r="A5852" s="12" t="s">
        <v>27188</v>
      </c>
      <c r="B5852" s="12" t="s">
        <v>27189</v>
      </c>
      <c r="C5852" s="19" t="s">
        <v>36</v>
      </c>
      <c r="D5852" s="19" t="s">
        <v>36</v>
      </c>
      <c r="E5852" s="19" t="s">
        <v>36</v>
      </c>
      <c r="F5852" s="19" t="s">
        <v>36</v>
      </c>
      <c r="G5852" s="15" t="s">
        <v>2497</v>
      </c>
      <c r="H5852" s="14">
        <v>2.81</v>
      </c>
      <c r="I5852" s="18">
        <v>12.31</v>
      </c>
      <c r="J5852" s="12" t="s">
        <v>521</v>
      </c>
      <c r="K5852" s="13" t="s">
        <v>36</v>
      </c>
      <c r="L5852" s="15" t="s">
        <v>36</v>
      </c>
      <c r="M5852" s="12" t="s">
        <v>36</v>
      </c>
      <c r="N5852" s="12" t="s">
        <v>36</v>
      </c>
      <c r="O5852" s="17" t="s">
        <v>36</v>
      </c>
      <c r="P5852" s="12" t="s">
        <v>36</v>
      </c>
      <c r="Q5852" s="12" t="s">
        <v>36</v>
      </c>
      <c r="R5852" s="12" t="s">
        <v>36</v>
      </c>
      <c r="S5852" s="12" t="s">
        <v>36</v>
      </c>
      <c r="T5852" s="12" t="s">
        <v>1125</v>
      </c>
      <c r="U5852" s="12" t="s">
        <v>74</v>
      </c>
      <c r="V5852" s="12" t="s">
        <v>75</v>
      </c>
      <c r="W5852" s="12" t="s">
        <v>27190</v>
      </c>
      <c r="X5852" s="16" t="s">
        <v>10302</v>
      </c>
      <c r="Y5852" s="15" t="s">
        <v>108</v>
      </c>
      <c r="Z5852" s="14">
        <v>0.08</v>
      </c>
      <c r="AA5852" s="14">
        <v>0.68</v>
      </c>
      <c r="AB5852" s="12" t="s">
        <v>56</v>
      </c>
      <c r="AC5852" s="12" t="s">
        <v>27191</v>
      </c>
      <c r="AD5852" s="13">
        <v>43000</v>
      </c>
      <c r="AE5852" s="12" t="s">
        <v>975</v>
      </c>
      <c r="AF5852" s="12" t="s">
        <v>4668</v>
      </c>
      <c r="AG5852" s="12" t="s">
        <v>2299</v>
      </c>
      <c r="AH5852" s="1">
        <f>HYPERLINK("https://my.pitchbook.com?c=187795-90T","View Company Online")</f>
      </c>
    </row>
    <row r="5853">
      <c r="A5853" s="3" t="s">
        <v>27192</v>
      </c>
      <c r="B5853" s="3" t="s">
        <v>4003</v>
      </c>
      <c r="C5853" s="5">
        <v>32</v>
      </c>
      <c r="D5853" s="5">
        <v>17</v>
      </c>
      <c r="E5853" s="5">
        <v>15</v>
      </c>
      <c r="F5853" s="5">
        <v>49</v>
      </c>
      <c r="G5853" s="6" t="s">
        <v>36</v>
      </c>
      <c r="H5853" s="4">
        <v>31.99</v>
      </c>
      <c r="I5853" s="7">
        <v>42.84</v>
      </c>
      <c r="J5853" s="3" t="s">
        <v>521</v>
      </c>
      <c r="K5853" s="9" t="s">
        <v>36</v>
      </c>
      <c r="L5853" s="6" t="s">
        <v>122</v>
      </c>
      <c r="M5853" s="3" t="s">
        <v>36</v>
      </c>
      <c r="N5853" s="3" t="s">
        <v>122</v>
      </c>
      <c r="O5853" s="8" t="s">
        <v>36</v>
      </c>
      <c r="P5853" s="3" t="s">
        <v>36</v>
      </c>
      <c r="Q5853" s="3" t="s">
        <v>36</v>
      </c>
      <c r="R5853" s="3" t="s">
        <v>36</v>
      </c>
      <c r="S5853" s="3" t="s">
        <v>36</v>
      </c>
      <c r="T5853" s="3" t="s">
        <v>4004</v>
      </c>
      <c r="U5853" s="3" t="s">
        <v>96</v>
      </c>
      <c r="V5853" s="3" t="s">
        <v>52</v>
      </c>
      <c r="W5853" s="3" t="s">
        <v>4005</v>
      </c>
      <c r="X5853" s="10" t="s">
        <v>27193</v>
      </c>
      <c r="Y5853" s="6" t="s">
        <v>42</v>
      </c>
      <c r="Z5853" s="4">
        <v>16.11</v>
      </c>
      <c r="AA5853" s="4">
        <v>20.89</v>
      </c>
      <c r="AB5853" s="3" t="s">
        <v>43</v>
      </c>
      <c r="AC5853" s="3" t="s">
        <v>4007</v>
      </c>
      <c r="AD5853" s="9">
        <v>42999</v>
      </c>
      <c r="AE5853" s="3" t="s">
        <v>100</v>
      </c>
      <c r="AF5853" s="3" t="s">
        <v>3024</v>
      </c>
      <c r="AG5853" s="3" t="s">
        <v>969</v>
      </c>
      <c r="AH5853" s="11">
        <f>HYPERLINK("https://my.pitchbook.com?c=90499-15T","View Company Online")</f>
      </c>
    </row>
    <row r="5854">
      <c r="A5854" s="12" t="s">
        <v>27194</v>
      </c>
      <c r="B5854" s="12" t="s">
        <v>5536</v>
      </c>
      <c r="C5854" s="19">
        <v>22</v>
      </c>
      <c r="D5854" s="19">
        <v>59</v>
      </c>
      <c r="E5854" s="19">
        <v>32</v>
      </c>
      <c r="F5854" s="19">
        <v>116</v>
      </c>
      <c r="G5854" s="15" t="s">
        <v>36</v>
      </c>
      <c r="H5854" s="14">
        <v>154.48</v>
      </c>
      <c r="I5854" s="18">
        <v>5.14</v>
      </c>
      <c r="J5854" s="12" t="s">
        <v>521</v>
      </c>
      <c r="K5854" s="13" t="s">
        <v>36</v>
      </c>
      <c r="L5854" s="15" t="s">
        <v>122</v>
      </c>
      <c r="M5854" s="12" t="s">
        <v>36</v>
      </c>
      <c r="N5854" s="12" t="s">
        <v>122</v>
      </c>
      <c r="O5854" s="17" t="s">
        <v>36</v>
      </c>
      <c r="P5854" s="12" t="s">
        <v>36</v>
      </c>
      <c r="Q5854" s="12" t="s">
        <v>36</v>
      </c>
      <c r="R5854" s="12" t="s">
        <v>36</v>
      </c>
      <c r="S5854" s="12" t="s">
        <v>36</v>
      </c>
      <c r="T5854" s="12" t="s">
        <v>5537</v>
      </c>
      <c r="U5854" s="12" t="s">
        <v>96</v>
      </c>
      <c r="V5854" s="12" t="s">
        <v>52</v>
      </c>
      <c r="W5854" s="12" t="s">
        <v>5538</v>
      </c>
      <c r="X5854" s="16" t="s">
        <v>27195</v>
      </c>
      <c r="Y5854" s="15" t="s">
        <v>55</v>
      </c>
      <c r="Z5854" s="14">
        <v>17.89</v>
      </c>
      <c r="AA5854" s="14">
        <v>46.37</v>
      </c>
      <c r="AB5854" s="12" t="s">
        <v>43</v>
      </c>
      <c r="AC5854" s="12" t="s">
        <v>5540</v>
      </c>
      <c r="AD5854" s="13">
        <v>42998</v>
      </c>
      <c r="AE5854" s="12" t="s">
        <v>100</v>
      </c>
      <c r="AF5854" s="12" t="s">
        <v>5541</v>
      </c>
      <c r="AG5854" s="12" t="s">
        <v>81</v>
      </c>
      <c r="AH5854" s="1">
        <f>HYPERLINK("https://my.pitchbook.com?c=94902-58T","View Company Online")</f>
      </c>
    </row>
    <row r="5855">
      <c r="A5855" s="3" t="s">
        <v>27196</v>
      </c>
      <c r="B5855" s="3" t="s">
        <v>27197</v>
      </c>
      <c r="C5855" s="5" t="s">
        <v>36</v>
      </c>
      <c r="D5855" s="5" t="s">
        <v>36</v>
      </c>
      <c r="E5855" s="5" t="s">
        <v>36</v>
      </c>
      <c r="F5855" s="5" t="s">
        <v>36</v>
      </c>
      <c r="G5855" s="6" t="s">
        <v>36</v>
      </c>
      <c r="H5855" s="4" t="s">
        <v>36</v>
      </c>
      <c r="I5855" s="7" t="s">
        <v>36</v>
      </c>
      <c r="J5855" s="3" t="s">
        <v>36</v>
      </c>
      <c r="K5855" s="9" t="s">
        <v>36</v>
      </c>
      <c r="L5855" s="6" t="s">
        <v>36</v>
      </c>
      <c r="M5855" s="3" t="s">
        <v>36</v>
      </c>
      <c r="N5855" s="3" t="s">
        <v>36</v>
      </c>
      <c r="O5855" s="8" t="s">
        <v>36</v>
      </c>
      <c r="P5855" s="3" t="s">
        <v>36</v>
      </c>
      <c r="Q5855" s="3" t="s">
        <v>36</v>
      </c>
      <c r="R5855" s="3" t="s">
        <v>36</v>
      </c>
      <c r="S5855" s="3" t="s">
        <v>36</v>
      </c>
      <c r="T5855" s="3" t="s">
        <v>522</v>
      </c>
      <c r="U5855" s="3" t="s">
        <v>38</v>
      </c>
      <c r="V5855" s="3" t="s">
        <v>39</v>
      </c>
      <c r="W5855" s="3" t="s">
        <v>27198</v>
      </c>
      <c r="X5855" s="10" t="s">
        <v>27199</v>
      </c>
      <c r="Y5855" s="6" t="s">
        <v>108</v>
      </c>
      <c r="Z5855" s="4">
        <v>5.96</v>
      </c>
      <c r="AA5855" s="4" t="s">
        <v>36</v>
      </c>
      <c r="AB5855" s="3" t="s">
        <v>43</v>
      </c>
      <c r="AC5855" s="3" t="s">
        <v>27200</v>
      </c>
      <c r="AD5855" s="9">
        <v>42998</v>
      </c>
      <c r="AE5855" s="3" t="s">
        <v>110</v>
      </c>
      <c r="AF5855" s="3" t="s">
        <v>7533</v>
      </c>
      <c r="AG5855" s="3" t="s">
        <v>81</v>
      </c>
      <c r="AH5855" s="11">
        <f>HYPERLINK("https://my.pitchbook.com?c=94807-09T","View Company Online")</f>
      </c>
    </row>
    <row r="5856">
      <c r="A5856" s="12" t="s">
        <v>27201</v>
      </c>
      <c r="B5856" s="12" t="s">
        <v>27202</v>
      </c>
      <c r="C5856" s="19" t="s">
        <v>36</v>
      </c>
      <c r="D5856" s="19">
        <v>8</v>
      </c>
      <c r="E5856" s="19">
        <v>7</v>
      </c>
      <c r="F5856" s="19">
        <v>15</v>
      </c>
      <c r="G5856" s="15" t="s">
        <v>683</v>
      </c>
      <c r="H5856" s="14">
        <v>6.8</v>
      </c>
      <c r="I5856" s="18">
        <v>33.52</v>
      </c>
      <c r="J5856" s="12" t="s">
        <v>521</v>
      </c>
      <c r="K5856" s="13">
        <v>42937</v>
      </c>
      <c r="L5856" s="15" t="s">
        <v>36</v>
      </c>
      <c r="M5856" s="12" t="s">
        <v>36</v>
      </c>
      <c r="N5856" s="12" t="s">
        <v>36</v>
      </c>
      <c r="O5856" s="17" t="s">
        <v>36</v>
      </c>
      <c r="P5856" s="12" t="s">
        <v>36</v>
      </c>
      <c r="Q5856" s="12" t="s">
        <v>36</v>
      </c>
      <c r="R5856" s="12" t="s">
        <v>36</v>
      </c>
      <c r="S5856" s="12" t="s">
        <v>36</v>
      </c>
      <c r="T5856" s="12" t="s">
        <v>19457</v>
      </c>
      <c r="U5856" s="12" t="s">
        <v>318</v>
      </c>
      <c r="V5856" s="12" t="s">
        <v>39</v>
      </c>
      <c r="W5856" s="12" t="s">
        <v>27203</v>
      </c>
      <c r="X5856" s="16" t="s">
        <v>27204</v>
      </c>
      <c r="Y5856" s="15" t="s">
        <v>192</v>
      </c>
      <c r="Z5856" s="14">
        <v>2.5</v>
      </c>
      <c r="AA5856" s="14">
        <v>4.63</v>
      </c>
      <c r="AB5856" s="12" t="s">
        <v>56</v>
      </c>
      <c r="AC5856" s="12" t="s">
        <v>27205</v>
      </c>
      <c r="AD5856" s="13">
        <v>42998</v>
      </c>
      <c r="AE5856" s="12" t="s">
        <v>763</v>
      </c>
      <c r="AF5856" s="12" t="s">
        <v>176</v>
      </c>
      <c r="AG5856" s="12" t="s">
        <v>8850</v>
      </c>
      <c r="AH5856" s="1">
        <f>HYPERLINK("https://my.pitchbook.com?c=108417-97T","View Company Online")</f>
      </c>
    </row>
    <row r="5857">
      <c r="A5857" s="3" t="s">
        <v>27206</v>
      </c>
      <c r="B5857" s="3" t="s">
        <v>14843</v>
      </c>
      <c r="C5857" s="5" t="s">
        <v>36</v>
      </c>
      <c r="D5857" s="5" t="s">
        <v>36</v>
      </c>
      <c r="E5857" s="5" t="s">
        <v>36</v>
      </c>
      <c r="F5857" s="5" t="s">
        <v>36</v>
      </c>
      <c r="G5857" s="6" t="s">
        <v>36</v>
      </c>
      <c r="H5857" s="4">
        <v>2.8</v>
      </c>
      <c r="I5857" s="7">
        <v>27.03</v>
      </c>
      <c r="J5857" s="3" t="s">
        <v>521</v>
      </c>
      <c r="K5857" s="9" t="s">
        <v>36</v>
      </c>
      <c r="L5857" s="6" t="s">
        <v>36</v>
      </c>
      <c r="M5857" s="3" t="s">
        <v>36</v>
      </c>
      <c r="N5857" s="3" t="s">
        <v>36</v>
      </c>
      <c r="O5857" s="8" t="s">
        <v>36</v>
      </c>
      <c r="P5857" s="3" t="s">
        <v>36</v>
      </c>
      <c r="Q5857" s="3" t="s">
        <v>36</v>
      </c>
      <c r="R5857" s="3" t="s">
        <v>36</v>
      </c>
      <c r="S5857" s="3" t="s">
        <v>36</v>
      </c>
      <c r="T5857" s="3" t="s">
        <v>14844</v>
      </c>
      <c r="U5857" s="3" t="s">
        <v>63</v>
      </c>
      <c r="V5857" s="3" t="s">
        <v>64</v>
      </c>
      <c r="W5857" s="3" t="s">
        <v>14845</v>
      </c>
      <c r="X5857" s="10" t="s">
        <v>27207</v>
      </c>
      <c r="Y5857" s="6" t="s">
        <v>42</v>
      </c>
      <c r="Z5857" s="4">
        <v>1.31</v>
      </c>
      <c r="AA5857" s="4">
        <v>4.41</v>
      </c>
      <c r="AB5857" s="3" t="s">
        <v>43</v>
      </c>
      <c r="AC5857" s="3" t="s">
        <v>14847</v>
      </c>
      <c r="AD5857" s="9">
        <v>42998</v>
      </c>
      <c r="AE5857" s="3" t="s">
        <v>68</v>
      </c>
      <c r="AF5857" s="3" t="s">
        <v>90</v>
      </c>
      <c r="AG5857" s="3" t="s">
        <v>332</v>
      </c>
      <c r="AH5857" s="11">
        <f>HYPERLINK("https://my.pitchbook.com?c=121026-34T","View Company Online")</f>
      </c>
    </row>
    <row r="5858">
      <c r="A5858" s="12" t="s">
        <v>27208</v>
      </c>
      <c r="B5858" s="12" t="s">
        <v>27209</v>
      </c>
      <c r="C5858" s="19" t="s">
        <v>36</v>
      </c>
      <c r="D5858" s="19" t="s">
        <v>36</v>
      </c>
      <c r="E5858" s="19" t="s">
        <v>36</v>
      </c>
      <c r="F5858" s="19" t="s">
        <v>36</v>
      </c>
      <c r="G5858" s="15" t="s">
        <v>36</v>
      </c>
      <c r="H5858" s="14" t="s">
        <v>36</v>
      </c>
      <c r="I5858" s="18">
        <v>15</v>
      </c>
      <c r="J5858" s="12" t="s">
        <v>521</v>
      </c>
      <c r="K5858" s="13" t="s">
        <v>36</v>
      </c>
      <c r="L5858" s="15" t="s">
        <v>36</v>
      </c>
      <c r="M5858" s="12" t="s">
        <v>36</v>
      </c>
      <c r="N5858" s="12" t="s">
        <v>36</v>
      </c>
      <c r="O5858" s="17" t="s">
        <v>36</v>
      </c>
      <c r="P5858" s="12" t="s">
        <v>36</v>
      </c>
      <c r="Q5858" s="12" t="s">
        <v>36</v>
      </c>
      <c r="R5858" s="12" t="s">
        <v>36</v>
      </c>
      <c r="S5858" s="12" t="s">
        <v>36</v>
      </c>
      <c r="T5858" s="12" t="s">
        <v>2515</v>
      </c>
      <c r="U5858" s="12" t="s">
        <v>74</v>
      </c>
      <c r="V5858" s="12" t="s">
        <v>75</v>
      </c>
      <c r="W5858" s="12" t="s">
        <v>27210</v>
      </c>
      <c r="X5858" s="16" t="s">
        <v>27211</v>
      </c>
      <c r="Y5858" s="15" t="s">
        <v>42</v>
      </c>
      <c r="Z5858" s="14">
        <v>3.58</v>
      </c>
      <c r="AA5858" s="14">
        <v>23.85</v>
      </c>
      <c r="AB5858" s="12" t="s">
        <v>56</v>
      </c>
      <c r="AC5858" s="12" t="s">
        <v>27212</v>
      </c>
      <c r="AD5858" s="13">
        <v>42998</v>
      </c>
      <c r="AE5858" s="12" t="s">
        <v>570</v>
      </c>
      <c r="AF5858" s="12" t="s">
        <v>822</v>
      </c>
      <c r="AG5858" s="12" t="s">
        <v>27213</v>
      </c>
      <c r="AH5858" s="1">
        <f>HYPERLINK("https://my.pitchbook.com?c=94768-12T","View Company Online")</f>
      </c>
    </row>
    <row r="5859">
      <c r="A5859" s="3" t="s">
        <v>27214</v>
      </c>
      <c r="B5859" s="3" t="s">
        <v>24141</v>
      </c>
      <c r="C5859" s="5" t="s">
        <v>36</v>
      </c>
      <c r="D5859" s="5">
        <v>2</v>
      </c>
      <c r="E5859" s="5">
        <v>1</v>
      </c>
      <c r="F5859" s="5">
        <v>2</v>
      </c>
      <c r="G5859" s="6" t="s">
        <v>36</v>
      </c>
      <c r="H5859" s="4" t="s">
        <v>36</v>
      </c>
      <c r="I5859" s="7" t="s">
        <v>36</v>
      </c>
      <c r="J5859" s="3" t="s">
        <v>36</v>
      </c>
      <c r="K5859" s="9" t="s">
        <v>36</v>
      </c>
      <c r="L5859" s="6" t="s">
        <v>122</v>
      </c>
      <c r="M5859" s="3" t="s">
        <v>36</v>
      </c>
      <c r="N5859" s="3" t="s">
        <v>122</v>
      </c>
      <c r="O5859" s="8" t="s">
        <v>36</v>
      </c>
      <c r="P5859" s="3" t="s">
        <v>36</v>
      </c>
      <c r="Q5859" s="3" t="s">
        <v>36</v>
      </c>
      <c r="R5859" s="3" t="s">
        <v>36</v>
      </c>
      <c r="S5859" s="3" t="s">
        <v>36</v>
      </c>
      <c r="T5859" s="3" t="s">
        <v>24142</v>
      </c>
      <c r="U5859" s="3" t="s">
        <v>833</v>
      </c>
      <c r="V5859" s="3" t="s">
        <v>64</v>
      </c>
      <c r="W5859" s="3" t="s">
        <v>24143</v>
      </c>
      <c r="X5859" s="10" t="s">
        <v>27215</v>
      </c>
      <c r="Y5859" s="6" t="s">
        <v>108</v>
      </c>
      <c r="Z5859" s="4">
        <v>5.96</v>
      </c>
      <c r="AA5859" s="4" t="s">
        <v>36</v>
      </c>
      <c r="AB5859" s="3" t="s">
        <v>43</v>
      </c>
      <c r="AC5859" s="3" t="s">
        <v>24145</v>
      </c>
      <c r="AD5859" s="9">
        <v>42997</v>
      </c>
      <c r="AE5859" s="3" t="s">
        <v>1769</v>
      </c>
      <c r="AF5859" s="3" t="s">
        <v>2118</v>
      </c>
      <c r="AG5859" s="3" t="s">
        <v>81</v>
      </c>
      <c r="AH5859" s="11">
        <f>HYPERLINK("https://my.pitchbook.com?c=95503-69T","View Company Online")</f>
      </c>
    </row>
    <row r="5860">
      <c r="A5860" s="12" t="s">
        <v>27216</v>
      </c>
      <c r="B5860" s="12" t="s">
        <v>9703</v>
      </c>
      <c r="C5860" s="19" t="s">
        <v>36</v>
      </c>
      <c r="D5860" s="19" t="s">
        <v>36</v>
      </c>
      <c r="E5860" s="19" t="s">
        <v>36</v>
      </c>
      <c r="F5860" s="19" t="s">
        <v>36</v>
      </c>
      <c r="G5860" s="15" t="s">
        <v>326</v>
      </c>
      <c r="H5860" s="14">
        <v>8.46</v>
      </c>
      <c r="I5860" s="18">
        <v>34.27</v>
      </c>
      <c r="J5860" s="12" t="s">
        <v>521</v>
      </c>
      <c r="K5860" s="13">
        <v>42989</v>
      </c>
      <c r="L5860" s="15" t="s">
        <v>94</v>
      </c>
      <c r="M5860" s="12" t="s">
        <v>36</v>
      </c>
      <c r="N5860" s="12" t="s">
        <v>94</v>
      </c>
      <c r="O5860" s="17" t="s">
        <v>36</v>
      </c>
      <c r="P5860" s="12" t="s">
        <v>36</v>
      </c>
      <c r="Q5860" s="12" t="s">
        <v>36</v>
      </c>
      <c r="R5860" s="12" t="s">
        <v>36</v>
      </c>
      <c r="S5860" s="12" t="s">
        <v>36</v>
      </c>
      <c r="T5860" s="12" t="s">
        <v>2359</v>
      </c>
      <c r="U5860" s="12" t="s">
        <v>279</v>
      </c>
      <c r="V5860" s="12" t="s">
        <v>64</v>
      </c>
      <c r="W5860" s="12" t="s">
        <v>9704</v>
      </c>
      <c r="X5860" s="16" t="s">
        <v>27217</v>
      </c>
      <c r="Y5860" s="15" t="s">
        <v>108</v>
      </c>
      <c r="Z5860" s="14">
        <v>9.59</v>
      </c>
      <c r="AA5860" s="14">
        <v>27.97</v>
      </c>
      <c r="AB5860" s="12" t="s">
        <v>56</v>
      </c>
      <c r="AC5860" s="12" t="s">
        <v>9706</v>
      </c>
      <c r="AD5860" s="13">
        <v>42997</v>
      </c>
      <c r="AE5860" s="12" t="s">
        <v>283</v>
      </c>
      <c r="AF5860" s="12" t="s">
        <v>36</v>
      </c>
      <c r="AG5860" s="12" t="s">
        <v>81</v>
      </c>
      <c r="AH5860" s="1">
        <f>HYPERLINK("https://my.pitchbook.com?c=94659-94T","View Company Online")</f>
      </c>
    </row>
    <row r="5861">
      <c r="A5861" s="3" t="s">
        <v>27218</v>
      </c>
      <c r="B5861" s="3" t="s">
        <v>19005</v>
      </c>
      <c r="C5861" s="5" t="s">
        <v>36</v>
      </c>
      <c r="D5861" s="5" t="s">
        <v>36</v>
      </c>
      <c r="E5861" s="5" t="s">
        <v>36</v>
      </c>
      <c r="F5861" s="5" t="s">
        <v>36</v>
      </c>
      <c r="G5861" s="6" t="s">
        <v>36</v>
      </c>
      <c r="H5861" s="4" t="s">
        <v>36</v>
      </c>
      <c r="I5861" s="7" t="s">
        <v>36</v>
      </c>
      <c r="J5861" s="3" t="s">
        <v>36</v>
      </c>
      <c r="K5861" s="9">
        <v>42928</v>
      </c>
      <c r="L5861" s="6" t="s">
        <v>36</v>
      </c>
      <c r="M5861" s="3" t="s">
        <v>36</v>
      </c>
      <c r="N5861" s="3" t="s">
        <v>36</v>
      </c>
      <c r="O5861" s="8" t="s">
        <v>36</v>
      </c>
      <c r="P5861" s="3" t="s">
        <v>36</v>
      </c>
      <c r="Q5861" s="3" t="s">
        <v>36</v>
      </c>
      <c r="R5861" s="3" t="s">
        <v>36</v>
      </c>
      <c r="S5861" s="3" t="s">
        <v>36</v>
      </c>
      <c r="T5861" s="3" t="s">
        <v>3141</v>
      </c>
      <c r="U5861" s="3" t="s">
        <v>74</v>
      </c>
      <c r="V5861" s="3" t="s">
        <v>75</v>
      </c>
      <c r="W5861" s="3" t="s">
        <v>19006</v>
      </c>
      <c r="X5861" s="10" t="s">
        <v>26325</v>
      </c>
      <c r="Y5861" s="6" t="s">
        <v>108</v>
      </c>
      <c r="Z5861" s="4">
        <v>0.61</v>
      </c>
      <c r="AA5861" s="4" t="s">
        <v>36</v>
      </c>
      <c r="AB5861" s="3" t="s">
        <v>43</v>
      </c>
      <c r="AC5861" s="3" t="s">
        <v>19007</v>
      </c>
      <c r="AD5861" s="9">
        <v>42997</v>
      </c>
      <c r="AE5861" s="3" t="s">
        <v>3144</v>
      </c>
      <c r="AF5861" s="3" t="s">
        <v>9411</v>
      </c>
      <c r="AG5861" s="3" t="s">
        <v>4514</v>
      </c>
      <c r="AH5861" s="11">
        <f>HYPERLINK("https://my.pitchbook.com?c=140365-99T","View Company Online")</f>
      </c>
    </row>
    <row r="5862">
      <c r="A5862" s="12" t="s">
        <v>27219</v>
      </c>
      <c r="B5862" s="12" t="s">
        <v>27220</v>
      </c>
      <c r="C5862" s="19" t="s">
        <v>36</v>
      </c>
      <c r="D5862" s="19" t="s">
        <v>36</v>
      </c>
      <c r="E5862" s="19" t="s">
        <v>36</v>
      </c>
      <c r="F5862" s="19" t="s">
        <v>36</v>
      </c>
      <c r="G5862" s="15" t="s">
        <v>36</v>
      </c>
      <c r="H5862" s="14">
        <v>37.11</v>
      </c>
      <c r="I5862" s="18">
        <v>18.96</v>
      </c>
      <c r="J5862" s="12" t="s">
        <v>521</v>
      </c>
      <c r="K5862" s="13" t="s">
        <v>36</v>
      </c>
      <c r="L5862" s="15" t="s">
        <v>36</v>
      </c>
      <c r="M5862" s="12" t="s">
        <v>36</v>
      </c>
      <c r="N5862" s="12" t="s">
        <v>36</v>
      </c>
      <c r="O5862" s="17" t="s">
        <v>36</v>
      </c>
      <c r="P5862" s="12" t="s">
        <v>36</v>
      </c>
      <c r="Q5862" s="12" t="s">
        <v>36</v>
      </c>
      <c r="R5862" s="12" t="s">
        <v>36</v>
      </c>
      <c r="S5862" s="12" t="s">
        <v>36</v>
      </c>
      <c r="T5862" s="12" t="s">
        <v>24850</v>
      </c>
      <c r="U5862" s="12" t="s">
        <v>74</v>
      </c>
      <c r="V5862" s="12" t="s">
        <v>75</v>
      </c>
      <c r="W5862" s="12" t="s">
        <v>27221</v>
      </c>
      <c r="X5862" s="16" t="s">
        <v>27222</v>
      </c>
      <c r="Y5862" s="15" t="s">
        <v>42</v>
      </c>
      <c r="Z5862" s="14">
        <v>0.48</v>
      </c>
      <c r="AA5862" s="14">
        <v>1.78</v>
      </c>
      <c r="AB5862" s="12" t="s">
        <v>43</v>
      </c>
      <c r="AC5862" s="12" t="s">
        <v>27223</v>
      </c>
      <c r="AD5862" s="13">
        <v>42996</v>
      </c>
      <c r="AE5862" s="12" t="s">
        <v>362</v>
      </c>
      <c r="AF5862" s="12" t="s">
        <v>250</v>
      </c>
      <c r="AG5862" s="12" t="s">
        <v>3595</v>
      </c>
      <c r="AH5862" s="1">
        <f>HYPERLINK("https://my.pitchbook.com?c=194532-94T","View Company Online")</f>
      </c>
    </row>
    <row r="5863">
      <c r="A5863" s="3" t="s">
        <v>27224</v>
      </c>
      <c r="B5863" s="3" t="s">
        <v>27225</v>
      </c>
      <c r="C5863" s="5" t="s">
        <v>36</v>
      </c>
      <c r="D5863" s="5" t="s">
        <v>36</v>
      </c>
      <c r="E5863" s="5" t="s">
        <v>36</v>
      </c>
      <c r="F5863" s="5" t="s">
        <v>36</v>
      </c>
      <c r="G5863" s="6" t="s">
        <v>36</v>
      </c>
      <c r="H5863" s="4">
        <v>41.53</v>
      </c>
      <c r="I5863" s="7">
        <v>20.76</v>
      </c>
      <c r="J5863" s="3" t="s">
        <v>521</v>
      </c>
      <c r="K5863" s="9" t="s">
        <v>36</v>
      </c>
      <c r="L5863" s="6" t="s">
        <v>36</v>
      </c>
      <c r="M5863" s="3" t="s">
        <v>36</v>
      </c>
      <c r="N5863" s="3" t="s">
        <v>36</v>
      </c>
      <c r="O5863" s="8" t="s">
        <v>36</v>
      </c>
      <c r="P5863" s="3" t="s">
        <v>36</v>
      </c>
      <c r="Q5863" s="3" t="s">
        <v>36</v>
      </c>
      <c r="R5863" s="3" t="s">
        <v>36</v>
      </c>
      <c r="S5863" s="3" t="s">
        <v>36</v>
      </c>
      <c r="T5863" s="3" t="s">
        <v>37</v>
      </c>
      <c r="U5863" s="3" t="s">
        <v>38</v>
      </c>
      <c r="V5863" s="3" t="s">
        <v>39</v>
      </c>
      <c r="W5863" s="3" t="s">
        <v>27226</v>
      </c>
      <c r="X5863" s="10" t="s">
        <v>27227</v>
      </c>
      <c r="Y5863" s="6" t="s">
        <v>42</v>
      </c>
      <c r="Z5863" s="4">
        <v>2.38</v>
      </c>
      <c r="AA5863" s="4">
        <v>6.01</v>
      </c>
      <c r="AB5863" s="3" t="s">
        <v>43</v>
      </c>
      <c r="AC5863" s="3" t="s">
        <v>27228</v>
      </c>
      <c r="AD5863" s="9">
        <v>42996</v>
      </c>
      <c r="AE5863" s="3" t="s">
        <v>45</v>
      </c>
      <c r="AF5863" s="3" t="s">
        <v>25118</v>
      </c>
      <c r="AG5863" s="3" t="s">
        <v>924</v>
      </c>
      <c r="AH5863" s="11">
        <f>HYPERLINK("https://my.pitchbook.com?c=95699-89T","View Company Online")</f>
      </c>
    </row>
    <row r="5864">
      <c r="A5864" s="12" t="s">
        <v>27229</v>
      </c>
      <c r="B5864" s="12" t="s">
        <v>27230</v>
      </c>
      <c r="C5864" s="19">
        <v>10</v>
      </c>
      <c r="D5864" s="19">
        <v>76</v>
      </c>
      <c r="E5864" s="19">
        <v>17</v>
      </c>
      <c r="F5864" s="19">
        <v>88</v>
      </c>
      <c r="G5864" s="15" t="s">
        <v>36</v>
      </c>
      <c r="H5864" s="14" t="s">
        <v>36</v>
      </c>
      <c r="I5864" s="18" t="s">
        <v>36</v>
      </c>
      <c r="J5864" s="12" t="s">
        <v>36</v>
      </c>
      <c r="K5864" s="13" t="s">
        <v>36</v>
      </c>
      <c r="L5864" s="15" t="s">
        <v>36</v>
      </c>
      <c r="M5864" s="12" t="s">
        <v>36</v>
      </c>
      <c r="N5864" s="12" t="s">
        <v>36</v>
      </c>
      <c r="O5864" s="17" t="s">
        <v>36</v>
      </c>
      <c r="P5864" s="12" t="s">
        <v>36</v>
      </c>
      <c r="Q5864" s="12" t="s">
        <v>36</v>
      </c>
      <c r="R5864" s="12" t="s">
        <v>36</v>
      </c>
      <c r="S5864" s="12" t="s">
        <v>36</v>
      </c>
      <c r="T5864" s="12" t="s">
        <v>27231</v>
      </c>
      <c r="U5864" s="12" t="s">
        <v>96</v>
      </c>
      <c r="V5864" s="12" t="s">
        <v>52</v>
      </c>
      <c r="W5864" s="12" t="s">
        <v>27232</v>
      </c>
      <c r="X5864" s="16" t="s">
        <v>27233</v>
      </c>
      <c r="Y5864" s="15" t="s">
        <v>108</v>
      </c>
      <c r="Z5864" s="14">
        <v>5</v>
      </c>
      <c r="AA5864" s="14" t="s">
        <v>36</v>
      </c>
      <c r="AB5864" s="12" t="s">
        <v>56</v>
      </c>
      <c r="AC5864" s="12" t="s">
        <v>27234</v>
      </c>
      <c r="AD5864" s="13">
        <v>42996</v>
      </c>
      <c r="AE5864" s="12" t="s">
        <v>1414</v>
      </c>
      <c r="AF5864" s="12" t="s">
        <v>36</v>
      </c>
      <c r="AG5864" s="12" t="s">
        <v>3595</v>
      </c>
      <c r="AH5864" s="1">
        <f>HYPERLINK("https://my.pitchbook.com?c=105730-39T","View Company Online")</f>
      </c>
    </row>
    <row r="5865">
      <c r="A5865" s="3" t="s">
        <v>27235</v>
      </c>
      <c r="B5865" s="3" t="s">
        <v>18567</v>
      </c>
      <c r="C5865" s="5" t="s">
        <v>36</v>
      </c>
      <c r="D5865" s="5" t="s">
        <v>36</v>
      </c>
      <c r="E5865" s="5" t="s">
        <v>36</v>
      </c>
      <c r="F5865" s="5" t="s">
        <v>36</v>
      </c>
      <c r="G5865" s="6" t="s">
        <v>326</v>
      </c>
      <c r="H5865" s="4">
        <v>233.05</v>
      </c>
      <c r="I5865" s="7">
        <v>15.77</v>
      </c>
      <c r="J5865" s="3" t="s">
        <v>521</v>
      </c>
      <c r="K5865" s="9">
        <v>42978</v>
      </c>
      <c r="L5865" s="6" t="s">
        <v>1846</v>
      </c>
      <c r="M5865" s="3" t="s">
        <v>36</v>
      </c>
      <c r="N5865" s="3" t="s">
        <v>1846</v>
      </c>
      <c r="O5865" s="8" t="s">
        <v>36</v>
      </c>
      <c r="P5865" s="3" t="s">
        <v>36</v>
      </c>
      <c r="Q5865" s="3" t="s">
        <v>36</v>
      </c>
      <c r="R5865" s="3" t="s">
        <v>36</v>
      </c>
      <c r="S5865" s="3" t="s">
        <v>36</v>
      </c>
      <c r="T5865" s="3" t="s">
        <v>611</v>
      </c>
      <c r="U5865" s="3" t="s">
        <v>38</v>
      </c>
      <c r="V5865" s="3" t="s">
        <v>39</v>
      </c>
      <c r="W5865" s="3" t="s">
        <v>18568</v>
      </c>
      <c r="X5865" s="10" t="s">
        <v>27236</v>
      </c>
      <c r="Y5865" s="6" t="s">
        <v>321</v>
      </c>
      <c r="Z5865" s="4">
        <v>46.68</v>
      </c>
      <c r="AA5865" s="4">
        <v>296.01</v>
      </c>
      <c r="AB5865" s="3" t="s">
        <v>56</v>
      </c>
      <c r="AC5865" s="3" t="s">
        <v>18570</v>
      </c>
      <c r="AD5865" s="9">
        <v>42996</v>
      </c>
      <c r="AE5865" s="3" t="s">
        <v>45</v>
      </c>
      <c r="AF5865" s="3" t="s">
        <v>331</v>
      </c>
      <c r="AG5865" s="3" t="s">
        <v>81</v>
      </c>
      <c r="AH5865" s="11">
        <f>HYPERLINK("https://my.pitchbook.com?c=94604-41T","View Company Online")</f>
      </c>
    </row>
    <row r="5866">
      <c r="A5866" s="12" t="s">
        <v>27237</v>
      </c>
      <c r="B5866" s="12" t="s">
        <v>22590</v>
      </c>
      <c r="C5866" s="19" t="s">
        <v>36</v>
      </c>
      <c r="D5866" s="19" t="s">
        <v>36</v>
      </c>
      <c r="E5866" s="19" t="s">
        <v>36</v>
      </c>
      <c r="F5866" s="19" t="s">
        <v>36</v>
      </c>
      <c r="G5866" s="15" t="s">
        <v>36</v>
      </c>
      <c r="H5866" s="14">
        <v>25.92</v>
      </c>
      <c r="I5866" s="18">
        <v>28.81</v>
      </c>
      <c r="J5866" s="12" t="s">
        <v>521</v>
      </c>
      <c r="K5866" s="13" t="s">
        <v>36</v>
      </c>
      <c r="L5866" s="15" t="s">
        <v>36</v>
      </c>
      <c r="M5866" s="12" t="s">
        <v>36</v>
      </c>
      <c r="N5866" s="12" t="s">
        <v>36</v>
      </c>
      <c r="O5866" s="17" t="s">
        <v>36</v>
      </c>
      <c r="P5866" s="12" t="s">
        <v>36</v>
      </c>
      <c r="Q5866" s="12" t="s">
        <v>36</v>
      </c>
      <c r="R5866" s="12" t="s">
        <v>36</v>
      </c>
      <c r="S5866" s="12" t="s">
        <v>36</v>
      </c>
      <c r="T5866" s="12" t="s">
        <v>6557</v>
      </c>
      <c r="U5866" s="12" t="s">
        <v>648</v>
      </c>
      <c r="V5866" s="12" t="s">
        <v>64</v>
      </c>
      <c r="W5866" s="12" t="s">
        <v>22591</v>
      </c>
      <c r="X5866" s="16" t="s">
        <v>27238</v>
      </c>
      <c r="Y5866" s="15" t="s">
        <v>42</v>
      </c>
      <c r="Z5866" s="14">
        <v>1.2</v>
      </c>
      <c r="AA5866" s="14">
        <v>4.17</v>
      </c>
      <c r="AB5866" s="12" t="s">
        <v>43</v>
      </c>
      <c r="AC5866" s="12" t="s">
        <v>22593</v>
      </c>
      <c r="AD5866" s="13">
        <v>42993</v>
      </c>
      <c r="AE5866" s="12" t="s">
        <v>1897</v>
      </c>
      <c r="AF5866" s="12" t="s">
        <v>22594</v>
      </c>
      <c r="AG5866" s="12" t="s">
        <v>81</v>
      </c>
      <c r="AH5866" s="1">
        <f>HYPERLINK("https://my.pitchbook.com?c=108636-22T","View Company Online")</f>
      </c>
    </row>
    <row r="5867">
      <c r="A5867" s="3" t="s">
        <v>27239</v>
      </c>
      <c r="B5867" s="3" t="s">
        <v>15953</v>
      </c>
      <c r="C5867" s="5" t="s">
        <v>36</v>
      </c>
      <c r="D5867" s="5" t="s">
        <v>36</v>
      </c>
      <c r="E5867" s="5" t="s">
        <v>36</v>
      </c>
      <c r="F5867" s="5" t="s">
        <v>36</v>
      </c>
      <c r="G5867" s="6" t="s">
        <v>36</v>
      </c>
      <c r="H5867" s="4">
        <v>16.79</v>
      </c>
      <c r="I5867" s="7">
        <v>25.66</v>
      </c>
      <c r="J5867" s="3" t="s">
        <v>327</v>
      </c>
      <c r="K5867" s="9">
        <v>42989</v>
      </c>
      <c r="L5867" s="6" t="s">
        <v>1279</v>
      </c>
      <c r="M5867" s="3" t="s">
        <v>36</v>
      </c>
      <c r="N5867" s="3" t="s">
        <v>1279</v>
      </c>
      <c r="O5867" s="8" t="s">
        <v>36</v>
      </c>
      <c r="P5867" s="3" t="s">
        <v>36</v>
      </c>
      <c r="Q5867" s="3" t="s">
        <v>36</v>
      </c>
      <c r="R5867" s="3" t="s">
        <v>36</v>
      </c>
      <c r="S5867" s="3" t="s">
        <v>36</v>
      </c>
      <c r="T5867" s="3" t="s">
        <v>3168</v>
      </c>
      <c r="U5867" s="3" t="s">
        <v>289</v>
      </c>
      <c r="V5867" s="3" t="s">
        <v>64</v>
      </c>
      <c r="W5867" s="3" t="s">
        <v>15954</v>
      </c>
      <c r="X5867" s="10" t="s">
        <v>27240</v>
      </c>
      <c r="Y5867" s="6" t="s">
        <v>55</v>
      </c>
      <c r="Z5867" s="4">
        <v>71.34</v>
      </c>
      <c r="AA5867" s="4">
        <v>277.92</v>
      </c>
      <c r="AB5867" s="3" t="s">
        <v>56</v>
      </c>
      <c r="AC5867" s="3" t="s">
        <v>15956</v>
      </c>
      <c r="AD5867" s="9">
        <v>42992</v>
      </c>
      <c r="AE5867" s="3" t="s">
        <v>3134</v>
      </c>
      <c r="AF5867" s="3" t="s">
        <v>90</v>
      </c>
      <c r="AG5867" s="3" t="s">
        <v>81</v>
      </c>
      <c r="AH5867" s="11">
        <f>HYPERLINK("https://my.pitchbook.com?c=94142-62T","View Company Online")</f>
      </c>
    </row>
    <row r="5868">
      <c r="A5868" s="12" t="s">
        <v>27241</v>
      </c>
      <c r="B5868" s="12" t="s">
        <v>16451</v>
      </c>
      <c r="C5868" s="19" t="s">
        <v>36</v>
      </c>
      <c r="D5868" s="19" t="s">
        <v>36</v>
      </c>
      <c r="E5868" s="19" t="s">
        <v>36</v>
      </c>
      <c r="F5868" s="19" t="s">
        <v>36</v>
      </c>
      <c r="G5868" s="15" t="s">
        <v>326</v>
      </c>
      <c r="H5868" s="14">
        <v>1113.86</v>
      </c>
      <c r="I5868" s="18">
        <v>33.92</v>
      </c>
      <c r="J5868" s="12" t="s">
        <v>327</v>
      </c>
      <c r="K5868" s="13" t="s">
        <v>36</v>
      </c>
      <c r="L5868" s="15" t="s">
        <v>122</v>
      </c>
      <c r="M5868" s="12" t="s">
        <v>36</v>
      </c>
      <c r="N5868" s="12" t="s">
        <v>122</v>
      </c>
      <c r="O5868" s="17" t="s">
        <v>36</v>
      </c>
      <c r="P5868" s="12" t="s">
        <v>36</v>
      </c>
      <c r="Q5868" s="12" t="s">
        <v>36</v>
      </c>
      <c r="R5868" s="12" t="s">
        <v>36</v>
      </c>
      <c r="S5868" s="12" t="s">
        <v>6677</v>
      </c>
      <c r="T5868" s="12" t="s">
        <v>6288</v>
      </c>
      <c r="U5868" s="12" t="s">
        <v>85</v>
      </c>
      <c r="V5868" s="12" t="s">
        <v>64</v>
      </c>
      <c r="W5868" s="12" t="s">
        <v>16452</v>
      </c>
      <c r="X5868" s="16" t="s">
        <v>27242</v>
      </c>
      <c r="Y5868" s="15" t="s">
        <v>108</v>
      </c>
      <c r="Z5868" s="14">
        <v>8.92</v>
      </c>
      <c r="AA5868" s="14">
        <v>26.29</v>
      </c>
      <c r="AB5868" s="12" t="s">
        <v>43</v>
      </c>
      <c r="AC5868" s="12" t="s">
        <v>16454</v>
      </c>
      <c r="AD5868" s="13">
        <v>42992</v>
      </c>
      <c r="AE5868" s="12" t="s">
        <v>89</v>
      </c>
      <c r="AF5868" s="12" t="s">
        <v>16455</v>
      </c>
      <c r="AG5868" s="12" t="s">
        <v>81</v>
      </c>
      <c r="AH5868" s="1">
        <f>HYPERLINK("https://my.pitchbook.com?c=94394-89T","View Company Online")</f>
      </c>
    </row>
    <row r="5869">
      <c r="A5869" s="3" t="s">
        <v>27243</v>
      </c>
      <c r="B5869" s="3" t="s">
        <v>27244</v>
      </c>
      <c r="C5869" s="5" t="s">
        <v>36</v>
      </c>
      <c r="D5869" s="5" t="s">
        <v>36</v>
      </c>
      <c r="E5869" s="5" t="s">
        <v>36</v>
      </c>
      <c r="F5869" s="5" t="s">
        <v>36</v>
      </c>
      <c r="G5869" s="6" t="s">
        <v>36</v>
      </c>
      <c r="H5869" s="4">
        <v>8665.26</v>
      </c>
      <c r="I5869" s="7">
        <v>11.07</v>
      </c>
      <c r="J5869" s="3" t="s">
        <v>521</v>
      </c>
      <c r="K5869" s="9" t="s">
        <v>36</v>
      </c>
      <c r="L5869" s="6" t="s">
        <v>36</v>
      </c>
      <c r="M5869" s="3" t="s">
        <v>36</v>
      </c>
      <c r="N5869" s="3" t="s">
        <v>36</v>
      </c>
      <c r="O5869" s="8" t="s">
        <v>36</v>
      </c>
      <c r="P5869" s="3" t="s">
        <v>36</v>
      </c>
      <c r="Q5869" s="3" t="s">
        <v>36</v>
      </c>
      <c r="R5869" s="3" t="s">
        <v>36</v>
      </c>
      <c r="S5869" s="3" t="s">
        <v>36</v>
      </c>
      <c r="T5869" s="3" t="s">
        <v>11906</v>
      </c>
      <c r="U5869" s="3" t="s">
        <v>74</v>
      </c>
      <c r="V5869" s="3" t="s">
        <v>75</v>
      </c>
      <c r="W5869" s="3" t="s">
        <v>27245</v>
      </c>
      <c r="X5869" s="10" t="s">
        <v>23669</v>
      </c>
      <c r="Y5869" s="6" t="s">
        <v>108</v>
      </c>
      <c r="Z5869" s="4">
        <v>0.54</v>
      </c>
      <c r="AA5869" s="4">
        <v>4.84</v>
      </c>
      <c r="AB5869" s="3" t="s">
        <v>56</v>
      </c>
      <c r="AC5869" s="3" t="s">
        <v>27246</v>
      </c>
      <c r="AD5869" s="9">
        <v>42991</v>
      </c>
      <c r="AE5869" s="3" t="s">
        <v>570</v>
      </c>
      <c r="AF5869" s="3" t="s">
        <v>372</v>
      </c>
      <c r="AG5869" s="3" t="s">
        <v>27247</v>
      </c>
      <c r="AH5869" s="11">
        <f>HYPERLINK("https://my.pitchbook.com?c=123600-25T","View Company Online")</f>
      </c>
    </row>
    <row r="5870">
      <c r="A5870" s="12" t="s">
        <v>27248</v>
      </c>
      <c r="B5870" s="12" t="s">
        <v>23452</v>
      </c>
      <c r="C5870" s="19" t="s">
        <v>36</v>
      </c>
      <c r="D5870" s="19">
        <v>4</v>
      </c>
      <c r="E5870" s="19">
        <v>2</v>
      </c>
      <c r="F5870" s="19">
        <v>5</v>
      </c>
      <c r="G5870" s="15" t="s">
        <v>36</v>
      </c>
      <c r="H5870" s="14" t="s">
        <v>36</v>
      </c>
      <c r="I5870" s="18" t="s">
        <v>36</v>
      </c>
      <c r="J5870" s="12" t="s">
        <v>36</v>
      </c>
      <c r="K5870" s="13" t="s">
        <v>36</v>
      </c>
      <c r="L5870" s="15" t="s">
        <v>36</v>
      </c>
      <c r="M5870" s="12" t="s">
        <v>36</v>
      </c>
      <c r="N5870" s="12" t="s">
        <v>36</v>
      </c>
      <c r="O5870" s="17" t="s">
        <v>36</v>
      </c>
      <c r="P5870" s="12" t="s">
        <v>36</v>
      </c>
      <c r="Q5870" s="12" t="s">
        <v>36</v>
      </c>
      <c r="R5870" s="12" t="s">
        <v>36</v>
      </c>
      <c r="S5870" s="12" t="s">
        <v>36</v>
      </c>
      <c r="T5870" s="12" t="s">
        <v>23453</v>
      </c>
      <c r="U5870" s="12" t="s">
        <v>180</v>
      </c>
      <c r="V5870" s="12" t="s">
        <v>52</v>
      </c>
      <c r="W5870" s="12" t="s">
        <v>23454</v>
      </c>
      <c r="X5870" s="16" t="s">
        <v>27249</v>
      </c>
      <c r="Y5870" s="15" t="s">
        <v>42</v>
      </c>
      <c r="Z5870" s="14">
        <v>5.94</v>
      </c>
      <c r="AA5870" s="14" t="s">
        <v>36</v>
      </c>
      <c r="AB5870" s="12" t="s">
        <v>56</v>
      </c>
      <c r="AC5870" s="12" t="s">
        <v>23456</v>
      </c>
      <c r="AD5870" s="13">
        <v>42991</v>
      </c>
      <c r="AE5870" s="12" t="s">
        <v>8291</v>
      </c>
      <c r="AF5870" s="12" t="s">
        <v>23457</v>
      </c>
      <c r="AG5870" s="12" t="s">
        <v>5280</v>
      </c>
      <c r="AH5870" s="1">
        <f>HYPERLINK("https://my.pitchbook.com?c=94298-14T","View Company Online")</f>
      </c>
    </row>
    <row r="5871">
      <c r="A5871" s="3" t="s">
        <v>27250</v>
      </c>
      <c r="B5871" s="3" t="s">
        <v>27251</v>
      </c>
      <c r="C5871" s="5" t="s">
        <v>36</v>
      </c>
      <c r="D5871" s="5">
        <v>15</v>
      </c>
      <c r="E5871" s="5">
        <v>3</v>
      </c>
      <c r="F5871" s="5">
        <v>17</v>
      </c>
      <c r="G5871" s="6" t="s">
        <v>36</v>
      </c>
      <c r="H5871" s="4">
        <v>139.17</v>
      </c>
      <c r="I5871" s="7">
        <v>34.33</v>
      </c>
      <c r="J5871" s="3" t="s">
        <v>521</v>
      </c>
      <c r="K5871" s="9" t="s">
        <v>36</v>
      </c>
      <c r="L5871" s="6" t="s">
        <v>36</v>
      </c>
      <c r="M5871" s="3" t="s">
        <v>36</v>
      </c>
      <c r="N5871" s="3" t="s">
        <v>36</v>
      </c>
      <c r="O5871" s="8" t="s">
        <v>36</v>
      </c>
      <c r="P5871" s="3" t="s">
        <v>36</v>
      </c>
      <c r="Q5871" s="3" t="s">
        <v>36</v>
      </c>
      <c r="R5871" s="3" t="s">
        <v>36</v>
      </c>
      <c r="S5871" s="3" t="s">
        <v>36</v>
      </c>
      <c r="T5871" s="3" t="s">
        <v>8371</v>
      </c>
      <c r="U5871" s="3" t="s">
        <v>1082</v>
      </c>
      <c r="V5871" s="3" t="s">
        <v>378</v>
      </c>
      <c r="W5871" s="3" t="s">
        <v>27252</v>
      </c>
      <c r="X5871" s="10" t="s">
        <v>27253</v>
      </c>
      <c r="Y5871" s="6" t="s">
        <v>42</v>
      </c>
      <c r="Z5871" s="4">
        <v>0.81</v>
      </c>
      <c r="AA5871" s="4">
        <v>2.35</v>
      </c>
      <c r="AB5871" s="3" t="s">
        <v>56</v>
      </c>
      <c r="AC5871" s="3" t="s">
        <v>27254</v>
      </c>
      <c r="AD5871" s="9">
        <v>42991</v>
      </c>
      <c r="AE5871" s="3" t="s">
        <v>7876</v>
      </c>
      <c r="AF5871" s="3" t="s">
        <v>4248</v>
      </c>
      <c r="AG5871" s="3" t="s">
        <v>3406</v>
      </c>
      <c r="AH5871" s="11">
        <f>HYPERLINK("https://my.pitchbook.com?c=105789-43T","View Company Online")</f>
      </c>
    </row>
    <row r="5872">
      <c r="A5872" s="12" t="s">
        <v>27255</v>
      </c>
      <c r="B5872" s="12" t="s">
        <v>27256</v>
      </c>
      <c r="C5872" s="19" t="s">
        <v>36</v>
      </c>
      <c r="D5872" s="19" t="s">
        <v>36</v>
      </c>
      <c r="E5872" s="19" t="s">
        <v>36</v>
      </c>
      <c r="F5872" s="19" t="s">
        <v>36</v>
      </c>
      <c r="G5872" s="15" t="s">
        <v>36</v>
      </c>
      <c r="H5872" s="14">
        <v>402.03</v>
      </c>
      <c r="I5872" s="18">
        <v>30.51</v>
      </c>
      <c r="J5872" s="12" t="s">
        <v>521</v>
      </c>
      <c r="K5872" s="13">
        <v>42976</v>
      </c>
      <c r="L5872" s="15" t="s">
        <v>36</v>
      </c>
      <c r="M5872" s="12" t="s">
        <v>36</v>
      </c>
      <c r="N5872" s="12" t="s">
        <v>36</v>
      </c>
      <c r="O5872" s="17" t="s">
        <v>36</v>
      </c>
      <c r="P5872" s="12" t="s">
        <v>36</v>
      </c>
      <c r="Q5872" s="12" t="s">
        <v>36</v>
      </c>
      <c r="R5872" s="12" t="s">
        <v>36</v>
      </c>
      <c r="S5872" s="12" t="s">
        <v>36</v>
      </c>
      <c r="T5872" s="12" t="s">
        <v>3984</v>
      </c>
      <c r="U5872" s="12" t="s">
        <v>648</v>
      </c>
      <c r="V5872" s="12" t="s">
        <v>64</v>
      </c>
      <c r="W5872" s="12" t="s">
        <v>27257</v>
      </c>
      <c r="X5872" s="16" t="s">
        <v>23781</v>
      </c>
      <c r="Y5872" s="15" t="s">
        <v>42</v>
      </c>
      <c r="Z5872" s="14">
        <v>0.63</v>
      </c>
      <c r="AA5872" s="14">
        <v>2.05</v>
      </c>
      <c r="AB5872" s="12" t="s">
        <v>56</v>
      </c>
      <c r="AC5872" s="12" t="s">
        <v>27258</v>
      </c>
      <c r="AD5872" s="13">
        <v>42990</v>
      </c>
      <c r="AE5872" s="12" t="s">
        <v>3988</v>
      </c>
      <c r="AF5872" s="12" t="s">
        <v>36</v>
      </c>
      <c r="AG5872" s="12" t="s">
        <v>11589</v>
      </c>
      <c r="AH5872" s="1">
        <f>HYPERLINK("https://my.pitchbook.com?c=109469-08T","View Company Online")</f>
      </c>
    </row>
    <row r="5873">
      <c r="A5873" s="3" t="s">
        <v>27259</v>
      </c>
      <c r="B5873" s="3" t="s">
        <v>27260</v>
      </c>
      <c r="C5873" s="5">
        <v>1</v>
      </c>
      <c r="D5873" s="5">
        <v>2</v>
      </c>
      <c r="E5873" s="5">
        <v>1</v>
      </c>
      <c r="F5873" s="5">
        <v>3</v>
      </c>
      <c r="G5873" s="6" t="s">
        <v>683</v>
      </c>
      <c r="H5873" s="4">
        <v>1.45</v>
      </c>
      <c r="I5873" s="7">
        <v>16.25</v>
      </c>
      <c r="J5873" s="3" t="s">
        <v>521</v>
      </c>
      <c r="K5873" s="9" t="s">
        <v>36</v>
      </c>
      <c r="L5873" s="6" t="s">
        <v>36</v>
      </c>
      <c r="M5873" s="3" t="s">
        <v>36</v>
      </c>
      <c r="N5873" s="3" t="s">
        <v>36</v>
      </c>
      <c r="O5873" s="8" t="s">
        <v>36</v>
      </c>
      <c r="P5873" s="3" t="s">
        <v>36</v>
      </c>
      <c r="Q5873" s="3" t="s">
        <v>36</v>
      </c>
      <c r="R5873" s="3" t="s">
        <v>36</v>
      </c>
      <c r="S5873" s="3" t="s">
        <v>36</v>
      </c>
      <c r="T5873" s="3" t="s">
        <v>4917</v>
      </c>
      <c r="U5873" s="3" t="s">
        <v>38</v>
      </c>
      <c r="V5873" s="3" t="s">
        <v>39</v>
      </c>
      <c r="W5873" s="3" t="s">
        <v>27261</v>
      </c>
      <c r="X5873" s="10" t="s">
        <v>2268</v>
      </c>
      <c r="Y5873" s="6" t="s">
        <v>108</v>
      </c>
      <c r="Z5873" s="4">
        <v>0.48</v>
      </c>
      <c r="AA5873" s="4">
        <v>2.92</v>
      </c>
      <c r="AB5873" s="3" t="s">
        <v>43</v>
      </c>
      <c r="AC5873" s="3" t="s">
        <v>27262</v>
      </c>
      <c r="AD5873" s="9">
        <v>42990</v>
      </c>
      <c r="AE5873" s="3" t="s">
        <v>134</v>
      </c>
      <c r="AF5873" s="3" t="s">
        <v>27263</v>
      </c>
      <c r="AG5873" s="3" t="s">
        <v>652</v>
      </c>
      <c r="AH5873" s="11">
        <f>HYPERLINK("https://my.pitchbook.com?c=117766-09T","View Company Online")</f>
      </c>
    </row>
    <row r="5874">
      <c r="A5874" s="12" t="s">
        <v>27264</v>
      </c>
      <c r="B5874" s="12" t="s">
        <v>4773</v>
      </c>
      <c r="C5874" s="19">
        <v>96</v>
      </c>
      <c r="D5874" s="19">
        <v>76</v>
      </c>
      <c r="E5874" s="19">
        <v>39</v>
      </c>
      <c r="F5874" s="19">
        <v>185</v>
      </c>
      <c r="G5874" s="15" t="s">
        <v>326</v>
      </c>
      <c r="H5874" s="14">
        <v>89.32</v>
      </c>
      <c r="I5874" s="18">
        <v>53.4</v>
      </c>
      <c r="J5874" s="12" t="s">
        <v>521</v>
      </c>
      <c r="K5874" s="13">
        <v>42911</v>
      </c>
      <c r="L5874" s="15" t="s">
        <v>122</v>
      </c>
      <c r="M5874" s="12" t="s">
        <v>36</v>
      </c>
      <c r="N5874" s="12" t="s">
        <v>122</v>
      </c>
      <c r="O5874" s="17" t="s">
        <v>36</v>
      </c>
      <c r="P5874" s="12" t="s">
        <v>36</v>
      </c>
      <c r="Q5874" s="12" t="s">
        <v>36</v>
      </c>
      <c r="R5874" s="12" t="s">
        <v>36</v>
      </c>
      <c r="S5874" s="12" t="s">
        <v>4774</v>
      </c>
      <c r="T5874" s="12" t="s">
        <v>4775</v>
      </c>
      <c r="U5874" s="12" t="s">
        <v>51</v>
      </c>
      <c r="V5874" s="12" t="s">
        <v>52</v>
      </c>
      <c r="W5874" s="12" t="s">
        <v>4776</v>
      </c>
      <c r="X5874" s="16" t="s">
        <v>27265</v>
      </c>
      <c r="Y5874" s="15" t="s">
        <v>108</v>
      </c>
      <c r="Z5874" s="14">
        <v>13.07</v>
      </c>
      <c r="AA5874" s="14">
        <v>24.47</v>
      </c>
      <c r="AB5874" s="12" t="s">
        <v>43</v>
      </c>
      <c r="AC5874" s="12" t="s">
        <v>4778</v>
      </c>
      <c r="AD5874" s="13">
        <v>42990</v>
      </c>
      <c r="AE5874" s="12" t="s">
        <v>158</v>
      </c>
      <c r="AF5874" s="12" t="s">
        <v>885</v>
      </c>
      <c r="AG5874" s="12" t="s">
        <v>81</v>
      </c>
      <c r="AH5874" s="1">
        <f>HYPERLINK("https://my.pitchbook.com?c=94200-49T","View Company Online")</f>
      </c>
    </row>
    <row r="5875">
      <c r="A5875" s="3" t="s">
        <v>27266</v>
      </c>
      <c r="B5875" s="3" t="s">
        <v>27267</v>
      </c>
      <c r="C5875" s="5" t="s">
        <v>36</v>
      </c>
      <c r="D5875" s="5" t="s">
        <v>36</v>
      </c>
      <c r="E5875" s="5" t="s">
        <v>36</v>
      </c>
      <c r="F5875" s="5" t="s">
        <v>36</v>
      </c>
      <c r="G5875" s="6" t="s">
        <v>36</v>
      </c>
      <c r="H5875" s="4" t="s">
        <v>36</v>
      </c>
      <c r="I5875" s="7" t="s">
        <v>36</v>
      </c>
      <c r="J5875" s="3" t="s">
        <v>36</v>
      </c>
      <c r="K5875" s="9" t="s">
        <v>36</v>
      </c>
      <c r="L5875" s="6" t="s">
        <v>36</v>
      </c>
      <c r="M5875" s="3" t="s">
        <v>36</v>
      </c>
      <c r="N5875" s="3" t="s">
        <v>36</v>
      </c>
      <c r="O5875" s="8" t="s">
        <v>36</v>
      </c>
      <c r="P5875" s="3" t="s">
        <v>36</v>
      </c>
      <c r="Q5875" s="3" t="s">
        <v>36</v>
      </c>
      <c r="R5875" s="3" t="s">
        <v>36</v>
      </c>
      <c r="S5875" s="3" t="s">
        <v>36</v>
      </c>
      <c r="T5875" s="3" t="s">
        <v>522</v>
      </c>
      <c r="U5875" s="3" t="s">
        <v>38</v>
      </c>
      <c r="V5875" s="3" t="s">
        <v>39</v>
      </c>
      <c r="W5875" s="3" t="s">
        <v>27268</v>
      </c>
      <c r="X5875" s="10" t="s">
        <v>27269</v>
      </c>
      <c r="Y5875" s="6" t="s">
        <v>42</v>
      </c>
      <c r="Z5875" s="4">
        <v>1.19</v>
      </c>
      <c r="AA5875" s="4" t="s">
        <v>36</v>
      </c>
      <c r="AB5875" s="3" t="s">
        <v>43</v>
      </c>
      <c r="AC5875" s="3" t="s">
        <v>27270</v>
      </c>
      <c r="AD5875" s="9">
        <v>42990</v>
      </c>
      <c r="AE5875" s="3" t="s">
        <v>110</v>
      </c>
      <c r="AF5875" s="3" t="s">
        <v>27271</v>
      </c>
      <c r="AG5875" s="3" t="s">
        <v>47</v>
      </c>
      <c r="AH5875" s="11">
        <f>HYPERLINK("https://my.pitchbook.com?c=100900-81T","View Company Online")</f>
      </c>
    </row>
    <row r="5876">
      <c r="A5876" s="12" t="s">
        <v>27272</v>
      </c>
      <c r="B5876" s="12" t="s">
        <v>11878</v>
      </c>
      <c r="C5876" s="19" t="s">
        <v>36</v>
      </c>
      <c r="D5876" s="19" t="s">
        <v>36</v>
      </c>
      <c r="E5876" s="19" t="s">
        <v>36</v>
      </c>
      <c r="F5876" s="19" t="s">
        <v>36</v>
      </c>
      <c r="G5876" s="15" t="s">
        <v>326</v>
      </c>
      <c r="H5876" s="14">
        <v>108.98</v>
      </c>
      <c r="I5876" s="18">
        <v>41.35</v>
      </c>
      <c r="J5876" s="12" t="s">
        <v>521</v>
      </c>
      <c r="K5876" s="13">
        <v>42886</v>
      </c>
      <c r="L5876" s="15" t="s">
        <v>36</v>
      </c>
      <c r="M5876" s="12" t="s">
        <v>36</v>
      </c>
      <c r="N5876" s="12" t="s">
        <v>36</v>
      </c>
      <c r="O5876" s="17" t="s">
        <v>36</v>
      </c>
      <c r="P5876" s="12" t="s">
        <v>36</v>
      </c>
      <c r="Q5876" s="12" t="s">
        <v>36</v>
      </c>
      <c r="R5876" s="12" t="s">
        <v>36</v>
      </c>
      <c r="S5876" s="12" t="s">
        <v>36</v>
      </c>
      <c r="T5876" s="12" t="s">
        <v>11879</v>
      </c>
      <c r="U5876" s="12" t="s">
        <v>648</v>
      </c>
      <c r="V5876" s="12" t="s">
        <v>64</v>
      </c>
      <c r="W5876" s="12" t="s">
        <v>11880</v>
      </c>
      <c r="X5876" s="16" t="s">
        <v>27273</v>
      </c>
      <c r="Y5876" s="15" t="s">
        <v>55</v>
      </c>
      <c r="Z5876" s="14">
        <v>3.68</v>
      </c>
      <c r="AA5876" s="14">
        <v>8.9</v>
      </c>
      <c r="AB5876" s="12" t="s">
        <v>43</v>
      </c>
      <c r="AC5876" s="12" t="s">
        <v>11882</v>
      </c>
      <c r="AD5876" s="13">
        <v>42990</v>
      </c>
      <c r="AE5876" s="12" t="s">
        <v>651</v>
      </c>
      <c r="AF5876" s="12" t="s">
        <v>2118</v>
      </c>
      <c r="AG5876" s="12" t="s">
        <v>11883</v>
      </c>
      <c r="AH5876" s="1">
        <f>HYPERLINK("https://my.pitchbook.com?c=94302-01T","View Company Online")</f>
      </c>
    </row>
    <row r="5877">
      <c r="A5877" s="3" t="s">
        <v>27274</v>
      </c>
      <c r="B5877" s="3" t="s">
        <v>27275</v>
      </c>
      <c r="C5877" s="5" t="s">
        <v>36</v>
      </c>
      <c r="D5877" s="5" t="s">
        <v>36</v>
      </c>
      <c r="E5877" s="5" t="s">
        <v>36</v>
      </c>
      <c r="F5877" s="5" t="s">
        <v>36</v>
      </c>
      <c r="G5877" s="6" t="s">
        <v>326</v>
      </c>
      <c r="H5877" s="4">
        <v>278.01</v>
      </c>
      <c r="I5877" s="7">
        <v>31.16</v>
      </c>
      <c r="J5877" s="3" t="s">
        <v>521</v>
      </c>
      <c r="K5877" s="9">
        <v>42915</v>
      </c>
      <c r="L5877" s="6" t="s">
        <v>122</v>
      </c>
      <c r="M5877" s="3" t="s">
        <v>36</v>
      </c>
      <c r="N5877" s="3" t="s">
        <v>122</v>
      </c>
      <c r="O5877" s="8" t="s">
        <v>36</v>
      </c>
      <c r="P5877" s="3" t="s">
        <v>36</v>
      </c>
      <c r="Q5877" s="3" t="s">
        <v>36</v>
      </c>
      <c r="R5877" s="3" t="s">
        <v>36</v>
      </c>
      <c r="S5877" s="3" t="s">
        <v>36</v>
      </c>
      <c r="T5877" s="3" t="s">
        <v>522</v>
      </c>
      <c r="U5877" s="3" t="s">
        <v>38</v>
      </c>
      <c r="V5877" s="3" t="s">
        <v>39</v>
      </c>
      <c r="W5877" s="3" t="s">
        <v>27276</v>
      </c>
      <c r="X5877" s="10" t="s">
        <v>27277</v>
      </c>
      <c r="Y5877" s="6" t="s">
        <v>108</v>
      </c>
      <c r="Z5877" s="4">
        <v>3.15</v>
      </c>
      <c r="AA5877" s="4">
        <v>10.1</v>
      </c>
      <c r="AB5877" s="3" t="s">
        <v>43</v>
      </c>
      <c r="AC5877" s="3" t="s">
        <v>27278</v>
      </c>
      <c r="AD5877" s="9">
        <v>42990</v>
      </c>
      <c r="AE5877" s="3" t="s">
        <v>110</v>
      </c>
      <c r="AF5877" s="3" t="s">
        <v>27279</v>
      </c>
      <c r="AG5877" s="3" t="s">
        <v>81</v>
      </c>
      <c r="AH5877" s="11">
        <f>HYPERLINK("https://my.pitchbook.com?c=94242-88T","View Company Online")</f>
      </c>
    </row>
    <row r="5878">
      <c r="A5878" s="12" t="s">
        <v>27280</v>
      </c>
      <c r="B5878" s="12" t="s">
        <v>27281</v>
      </c>
      <c r="C5878" s="19">
        <v>6</v>
      </c>
      <c r="D5878" s="19">
        <v>15</v>
      </c>
      <c r="E5878" s="19">
        <v>10</v>
      </c>
      <c r="F5878" s="19">
        <v>21</v>
      </c>
      <c r="G5878" s="15" t="s">
        <v>2497</v>
      </c>
      <c r="H5878" s="14">
        <v>3.14</v>
      </c>
      <c r="I5878" s="18">
        <v>32.52</v>
      </c>
      <c r="J5878" s="12" t="s">
        <v>521</v>
      </c>
      <c r="K5878" s="13" t="s">
        <v>36</v>
      </c>
      <c r="L5878" s="15" t="s">
        <v>36</v>
      </c>
      <c r="M5878" s="12" t="s">
        <v>36</v>
      </c>
      <c r="N5878" s="12" t="s">
        <v>36</v>
      </c>
      <c r="O5878" s="17" t="s">
        <v>36</v>
      </c>
      <c r="P5878" s="12" t="s">
        <v>36</v>
      </c>
      <c r="Q5878" s="12" t="s">
        <v>36</v>
      </c>
      <c r="R5878" s="12" t="s">
        <v>36</v>
      </c>
      <c r="S5878" s="12" t="s">
        <v>36</v>
      </c>
      <c r="T5878" s="12" t="s">
        <v>27282</v>
      </c>
      <c r="U5878" s="12" t="s">
        <v>318</v>
      </c>
      <c r="V5878" s="12" t="s">
        <v>39</v>
      </c>
      <c r="W5878" s="12" t="s">
        <v>27283</v>
      </c>
      <c r="X5878" s="16" t="s">
        <v>27284</v>
      </c>
      <c r="Y5878" s="15" t="s">
        <v>42</v>
      </c>
      <c r="Z5878" s="14">
        <v>1.19</v>
      </c>
      <c r="AA5878" s="14">
        <v>1.41</v>
      </c>
      <c r="AB5878" s="12" t="s">
        <v>43</v>
      </c>
      <c r="AC5878" s="12" t="s">
        <v>27285</v>
      </c>
      <c r="AD5878" s="13">
        <v>42989</v>
      </c>
      <c r="AE5878" s="12" t="s">
        <v>763</v>
      </c>
      <c r="AF5878" s="12" t="s">
        <v>1636</v>
      </c>
      <c r="AG5878" s="12" t="s">
        <v>787</v>
      </c>
      <c r="AH5878" s="1">
        <f>HYPERLINK("https://my.pitchbook.com?c=101499-31T","View Company Online")</f>
      </c>
    </row>
    <row r="5879">
      <c r="A5879" s="3" t="s">
        <v>27286</v>
      </c>
      <c r="B5879" s="3" t="s">
        <v>27287</v>
      </c>
      <c r="C5879" s="5" t="s">
        <v>36</v>
      </c>
      <c r="D5879" s="5" t="s">
        <v>36</v>
      </c>
      <c r="E5879" s="5" t="s">
        <v>36</v>
      </c>
      <c r="F5879" s="5" t="s">
        <v>36</v>
      </c>
      <c r="G5879" s="6" t="s">
        <v>36</v>
      </c>
      <c r="H5879" s="4" t="s">
        <v>36</v>
      </c>
      <c r="I5879" s="7" t="s">
        <v>36</v>
      </c>
      <c r="J5879" s="3" t="s">
        <v>36</v>
      </c>
      <c r="K5879" s="9">
        <v>42838</v>
      </c>
      <c r="L5879" s="6" t="s">
        <v>36</v>
      </c>
      <c r="M5879" s="3" t="s">
        <v>36</v>
      </c>
      <c r="N5879" s="3" t="s">
        <v>36</v>
      </c>
      <c r="O5879" s="8" t="s">
        <v>36</v>
      </c>
      <c r="P5879" s="3" t="s">
        <v>36</v>
      </c>
      <c r="Q5879" s="3" t="s">
        <v>36</v>
      </c>
      <c r="R5879" s="3" t="s">
        <v>36</v>
      </c>
      <c r="S5879" s="3" t="s">
        <v>36</v>
      </c>
      <c r="T5879" s="3" t="s">
        <v>17207</v>
      </c>
      <c r="U5879" s="3" t="s">
        <v>38</v>
      </c>
      <c r="V5879" s="3" t="s">
        <v>39</v>
      </c>
      <c r="W5879" s="3" t="s">
        <v>27288</v>
      </c>
      <c r="X5879" s="10" t="s">
        <v>27289</v>
      </c>
      <c r="Y5879" s="6" t="s">
        <v>108</v>
      </c>
      <c r="Z5879" s="4">
        <v>2.97</v>
      </c>
      <c r="AA5879" s="4" t="s">
        <v>36</v>
      </c>
      <c r="AB5879" s="3" t="s">
        <v>43</v>
      </c>
      <c r="AC5879" s="3" t="s">
        <v>27290</v>
      </c>
      <c r="AD5879" s="9">
        <v>42989</v>
      </c>
      <c r="AE5879" s="3" t="s">
        <v>110</v>
      </c>
      <c r="AF5879" s="3" t="s">
        <v>27291</v>
      </c>
      <c r="AG5879" s="3" t="s">
        <v>652</v>
      </c>
      <c r="AH5879" s="11">
        <f>HYPERLINK("https://my.pitchbook.com?c=94265-92T","View Company Online")</f>
      </c>
    </row>
    <row r="5880">
      <c r="A5880" s="12" t="s">
        <v>27292</v>
      </c>
      <c r="B5880" s="12" t="s">
        <v>18989</v>
      </c>
      <c r="C5880" s="19" t="s">
        <v>36</v>
      </c>
      <c r="D5880" s="19" t="s">
        <v>36</v>
      </c>
      <c r="E5880" s="19" t="s">
        <v>36</v>
      </c>
      <c r="F5880" s="19" t="s">
        <v>36</v>
      </c>
      <c r="G5880" s="15" t="s">
        <v>326</v>
      </c>
      <c r="H5880" s="14">
        <v>228.83</v>
      </c>
      <c r="I5880" s="18">
        <v>26.4</v>
      </c>
      <c r="J5880" s="12" t="s">
        <v>521</v>
      </c>
      <c r="K5880" s="13" t="s">
        <v>36</v>
      </c>
      <c r="L5880" s="15" t="s">
        <v>122</v>
      </c>
      <c r="M5880" s="12" t="s">
        <v>36</v>
      </c>
      <c r="N5880" s="12" t="s">
        <v>122</v>
      </c>
      <c r="O5880" s="17" t="s">
        <v>36</v>
      </c>
      <c r="P5880" s="12" t="s">
        <v>36</v>
      </c>
      <c r="Q5880" s="12" t="s">
        <v>36</v>
      </c>
      <c r="R5880" s="12" t="s">
        <v>36</v>
      </c>
      <c r="S5880" s="12" t="s">
        <v>36</v>
      </c>
      <c r="T5880" s="12" t="s">
        <v>1725</v>
      </c>
      <c r="U5880" s="12" t="s">
        <v>318</v>
      </c>
      <c r="V5880" s="12" t="s">
        <v>39</v>
      </c>
      <c r="W5880" s="12" t="s">
        <v>18990</v>
      </c>
      <c r="X5880" s="16" t="s">
        <v>27293</v>
      </c>
      <c r="Y5880" s="15" t="s">
        <v>55</v>
      </c>
      <c r="Z5880" s="14">
        <v>1.31</v>
      </c>
      <c r="AA5880" s="14">
        <v>4.95</v>
      </c>
      <c r="AB5880" s="12" t="s">
        <v>56</v>
      </c>
      <c r="AC5880" s="12" t="s">
        <v>18992</v>
      </c>
      <c r="AD5880" s="13">
        <v>42989</v>
      </c>
      <c r="AE5880" s="12" t="s">
        <v>763</v>
      </c>
      <c r="AF5880" s="12" t="s">
        <v>571</v>
      </c>
      <c r="AG5880" s="12" t="s">
        <v>18993</v>
      </c>
      <c r="AH5880" s="1">
        <f>HYPERLINK("https://my.pitchbook.com?c=135677-98T","View Company Online")</f>
      </c>
    </row>
    <row r="5881">
      <c r="A5881" s="3" t="s">
        <v>27294</v>
      </c>
      <c r="B5881" s="3" t="s">
        <v>27295</v>
      </c>
      <c r="C5881" s="5" t="s">
        <v>36</v>
      </c>
      <c r="D5881" s="5" t="s">
        <v>36</v>
      </c>
      <c r="E5881" s="5" t="s">
        <v>36</v>
      </c>
      <c r="F5881" s="5" t="s">
        <v>36</v>
      </c>
      <c r="G5881" s="6" t="s">
        <v>36</v>
      </c>
      <c r="H5881" s="4" t="s">
        <v>36</v>
      </c>
      <c r="I5881" s="7" t="s">
        <v>36</v>
      </c>
      <c r="J5881" s="3" t="s">
        <v>36</v>
      </c>
      <c r="K5881" s="9" t="s">
        <v>36</v>
      </c>
      <c r="L5881" s="6" t="s">
        <v>36</v>
      </c>
      <c r="M5881" s="3" t="s">
        <v>36</v>
      </c>
      <c r="N5881" s="3" t="s">
        <v>36</v>
      </c>
      <c r="O5881" s="8" t="s">
        <v>36</v>
      </c>
      <c r="P5881" s="3" t="s">
        <v>36</v>
      </c>
      <c r="Q5881" s="3" t="s">
        <v>36</v>
      </c>
      <c r="R5881" s="3" t="s">
        <v>36</v>
      </c>
      <c r="S5881" s="3" t="s">
        <v>27296</v>
      </c>
      <c r="T5881" s="3" t="s">
        <v>3226</v>
      </c>
      <c r="U5881" s="3" t="s">
        <v>38</v>
      </c>
      <c r="V5881" s="3" t="s">
        <v>39</v>
      </c>
      <c r="W5881" s="3" t="s">
        <v>27297</v>
      </c>
      <c r="X5881" s="10" t="s">
        <v>27298</v>
      </c>
      <c r="Y5881" s="6" t="s">
        <v>42</v>
      </c>
      <c r="Z5881" s="4">
        <v>1.42</v>
      </c>
      <c r="AA5881" s="4" t="s">
        <v>36</v>
      </c>
      <c r="AB5881" s="3" t="s">
        <v>43</v>
      </c>
      <c r="AC5881" s="3" t="s">
        <v>27299</v>
      </c>
      <c r="AD5881" s="9">
        <v>42987</v>
      </c>
      <c r="AE5881" s="3" t="s">
        <v>110</v>
      </c>
      <c r="AF5881" s="3" t="s">
        <v>27300</v>
      </c>
      <c r="AG5881" s="3" t="s">
        <v>741</v>
      </c>
      <c r="AH5881" s="11">
        <f>HYPERLINK("https://my.pitchbook.com?c=94683-70T","View Company Online")</f>
      </c>
    </row>
    <row r="5882">
      <c r="A5882" s="12" t="s">
        <v>27301</v>
      </c>
      <c r="B5882" s="12" t="s">
        <v>18703</v>
      </c>
      <c r="C5882" s="19" t="s">
        <v>36</v>
      </c>
      <c r="D5882" s="19">
        <v>2</v>
      </c>
      <c r="E5882" s="19">
        <v>1</v>
      </c>
      <c r="F5882" s="19">
        <v>2</v>
      </c>
      <c r="G5882" s="15" t="s">
        <v>36</v>
      </c>
      <c r="H5882" s="14">
        <v>976.31</v>
      </c>
      <c r="I5882" s="18">
        <v>39.38</v>
      </c>
      <c r="J5882" s="12" t="s">
        <v>521</v>
      </c>
      <c r="K5882" s="13">
        <v>42856</v>
      </c>
      <c r="L5882" s="15" t="s">
        <v>122</v>
      </c>
      <c r="M5882" s="12" t="s">
        <v>36</v>
      </c>
      <c r="N5882" s="12" t="s">
        <v>122</v>
      </c>
      <c r="O5882" s="17" t="s">
        <v>36</v>
      </c>
      <c r="P5882" s="12" t="s">
        <v>36</v>
      </c>
      <c r="Q5882" s="12" t="s">
        <v>36</v>
      </c>
      <c r="R5882" s="12" t="s">
        <v>36</v>
      </c>
      <c r="S5882" s="12" t="s">
        <v>36</v>
      </c>
      <c r="T5882" s="12" t="s">
        <v>105</v>
      </c>
      <c r="U5882" s="12" t="s">
        <v>38</v>
      </c>
      <c r="V5882" s="12" t="s">
        <v>39</v>
      </c>
      <c r="W5882" s="12" t="s">
        <v>18704</v>
      </c>
      <c r="X5882" s="16" t="s">
        <v>27302</v>
      </c>
      <c r="Y5882" s="15" t="s">
        <v>108</v>
      </c>
      <c r="Z5882" s="14">
        <v>17.78</v>
      </c>
      <c r="AA5882" s="14">
        <v>24.08</v>
      </c>
      <c r="AB5882" s="12" t="s">
        <v>43</v>
      </c>
      <c r="AC5882" s="12" t="s">
        <v>18706</v>
      </c>
      <c r="AD5882" s="13">
        <v>42986</v>
      </c>
      <c r="AE5882" s="12" t="s">
        <v>110</v>
      </c>
      <c r="AF5882" s="12" t="s">
        <v>4552</v>
      </c>
      <c r="AG5882" s="12" t="s">
        <v>81</v>
      </c>
      <c r="AH5882" s="1">
        <f>HYPERLINK("https://my.pitchbook.com?c=88614-01T","View Company Online")</f>
      </c>
    </row>
    <row r="5883">
      <c r="A5883" s="3" t="s">
        <v>27303</v>
      </c>
      <c r="B5883" s="3" t="s">
        <v>27304</v>
      </c>
      <c r="C5883" s="5">
        <v>9</v>
      </c>
      <c r="D5883" s="5">
        <v>9</v>
      </c>
      <c r="E5883" s="5">
        <v>9</v>
      </c>
      <c r="F5883" s="5">
        <v>22</v>
      </c>
      <c r="G5883" s="6" t="s">
        <v>683</v>
      </c>
      <c r="H5883" s="4">
        <v>14.47</v>
      </c>
      <c r="I5883" s="7">
        <v>5.5</v>
      </c>
      <c r="J5883" s="3" t="s">
        <v>521</v>
      </c>
      <c r="K5883" s="9" t="s">
        <v>36</v>
      </c>
      <c r="L5883" s="6" t="s">
        <v>36</v>
      </c>
      <c r="M5883" s="3" t="s">
        <v>36</v>
      </c>
      <c r="N5883" s="3" t="s">
        <v>36</v>
      </c>
      <c r="O5883" s="8" t="s">
        <v>36</v>
      </c>
      <c r="P5883" s="3" t="s">
        <v>36</v>
      </c>
      <c r="Q5883" s="3" t="s">
        <v>36</v>
      </c>
      <c r="R5883" s="3" t="s">
        <v>36</v>
      </c>
      <c r="S5883" s="3" t="s">
        <v>36</v>
      </c>
      <c r="T5883" s="3" t="s">
        <v>27305</v>
      </c>
      <c r="U5883" s="3" t="s">
        <v>1357</v>
      </c>
      <c r="V5883" s="3" t="s">
        <v>52</v>
      </c>
      <c r="W5883" s="3" t="s">
        <v>27306</v>
      </c>
      <c r="X5883" s="10" t="s">
        <v>27307</v>
      </c>
      <c r="Y5883" s="6" t="s">
        <v>42</v>
      </c>
      <c r="Z5883" s="4">
        <v>0.54</v>
      </c>
      <c r="AA5883" s="4">
        <v>9.76</v>
      </c>
      <c r="AB5883" s="3" t="s">
        <v>56</v>
      </c>
      <c r="AC5883" s="3" t="s">
        <v>27308</v>
      </c>
      <c r="AD5883" s="9">
        <v>42986</v>
      </c>
      <c r="AE5883" s="3" t="s">
        <v>10392</v>
      </c>
      <c r="AF5883" s="3" t="s">
        <v>885</v>
      </c>
      <c r="AG5883" s="3" t="s">
        <v>81</v>
      </c>
      <c r="AH5883" s="11">
        <f>HYPERLINK("https://my.pitchbook.com?c=192167-02T","View Company Online")</f>
      </c>
    </row>
    <row r="5884">
      <c r="A5884" s="12" t="s">
        <v>27309</v>
      </c>
      <c r="B5884" s="12" t="s">
        <v>18161</v>
      </c>
      <c r="C5884" s="19" t="s">
        <v>36</v>
      </c>
      <c r="D5884" s="19" t="s">
        <v>36</v>
      </c>
      <c r="E5884" s="19" t="s">
        <v>36</v>
      </c>
      <c r="F5884" s="19" t="s">
        <v>36</v>
      </c>
      <c r="G5884" s="15" t="s">
        <v>683</v>
      </c>
      <c r="H5884" s="14">
        <v>34.2</v>
      </c>
      <c r="I5884" s="18">
        <v>5.41</v>
      </c>
      <c r="J5884" s="12" t="s">
        <v>521</v>
      </c>
      <c r="K5884" s="13" t="s">
        <v>36</v>
      </c>
      <c r="L5884" s="15" t="s">
        <v>36</v>
      </c>
      <c r="M5884" s="12" t="s">
        <v>36</v>
      </c>
      <c r="N5884" s="12" t="s">
        <v>36</v>
      </c>
      <c r="O5884" s="17" t="s">
        <v>36</v>
      </c>
      <c r="P5884" s="12" t="s">
        <v>36</v>
      </c>
      <c r="Q5884" s="12" t="s">
        <v>36</v>
      </c>
      <c r="R5884" s="12" t="s">
        <v>36</v>
      </c>
      <c r="S5884" s="12" t="s">
        <v>36</v>
      </c>
      <c r="T5884" s="12" t="s">
        <v>522</v>
      </c>
      <c r="U5884" s="12" t="s">
        <v>38</v>
      </c>
      <c r="V5884" s="12" t="s">
        <v>39</v>
      </c>
      <c r="W5884" s="12" t="s">
        <v>18162</v>
      </c>
      <c r="X5884" s="16" t="s">
        <v>13138</v>
      </c>
      <c r="Y5884" s="15" t="s">
        <v>192</v>
      </c>
      <c r="Z5884" s="14">
        <v>0.25</v>
      </c>
      <c r="AA5884" s="14">
        <v>4.57</v>
      </c>
      <c r="AB5884" s="12" t="s">
        <v>56</v>
      </c>
      <c r="AC5884" s="12" t="s">
        <v>18164</v>
      </c>
      <c r="AD5884" s="13">
        <v>42986</v>
      </c>
      <c r="AE5884" s="12" t="s">
        <v>110</v>
      </c>
      <c r="AF5884" s="12" t="s">
        <v>526</v>
      </c>
      <c r="AG5884" s="12" t="s">
        <v>47</v>
      </c>
      <c r="AH5884" s="1">
        <f>HYPERLINK("https://my.pitchbook.com?c=117861-31T","View Company Online")</f>
      </c>
    </row>
    <row r="5885">
      <c r="A5885" s="3" t="s">
        <v>27310</v>
      </c>
      <c r="B5885" s="3" t="s">
        <v>18512</v>
      </c>
      <c r="C5885" s="5">
        <v>10</v>
      </c>
      <c r="D5885" s="5">
        <v>12</v>
      </c>
      <c r="E5885" s="5">
        <v>5</v>
      </c>
      <c r="F5885" s="5">
        <v>27</v>
      </c>
      <c r="G5885" s="6" t="s">
        <v>326</v>
      </c>
      <c r="H5885" s="4" t="s">
        <v>36</v>
      </c>
      <c r="I5885" s="7">
        <v>46.32</v>
      </c>
      <c r="J5885" s="3" t="s">
        <v>327</v>
      </c>
      <c r="K5885" s="9" t="s">
        <v>36</v>
      </c>
      <c r="L5885" s="6" t="s">
        <v>36</v>
      </c>
      <c r="M5885" s="3" t="s">
        <v>36</v>
      </c>
      <c r="N5885" s="3" t="s">
        <v>36</v>
      </c>
      <c r="O5885" s="8" t="s">
        <v>36</v>
      </c>
      <c r="P5885" s="3" t="s">
        <v>36</v>
      </c>
      <c r="Q5885" s="3" t="s">
        <v>36</v>
      </c>
      <c r="R5885" s="3" t="s">
        <v>36</v>
      </c>
      <c r="S5885" s="3" t="s">
        <v>36</v>
      </c>
      <c r="T5885" s="3" t="s">
        <v>575</v>
      </c>
      <c r="U5885" s="3" t="s">
        <v>51</v>
      </c>
      <c r="V5885" s="3" t="s">
        <v>52</v>
      </c>
      <c r="W5885" s="3" t="s">
        <v>18513</v>
      </c>
      <c r="X5885" s="10" t="s">
        <v>27311</v>
      </c>
      <c r="Y5885" s="6" t="s">
        <v>108</v>
      </c>
      <c r="Z5885" s="4">
        <v>1.42</v>
      </c>
      <c r="AA5885" s="4">
        <v>3.07</v>
      </c>
      <c r="AB5885" s="3" t="s">
        <v>43</v>
      </c>
      <c r="AC5885" s="3" t="s">
        <v>18515</v>
      </c>
      <c r="AD5885" s="9">
        <v>42985</v>
      </c>
      <c r="AE5885" s="3" t="s">
        <v>158</v>
      </c>
      <c r="AF5885" s="3" t="s">
        <v>18516</v>
      </c>
      <c r="AG5885" s="3" t="s">
        <v>81</v>
      </c>
      <c r="AH5885" s="11">
        <f>HYPERLINK("https://my.pitchbook.com?c=158099-77T","View Company Online")</f>
      </c>
    </row>
    <row r="5886">
      <c r="A5886" s="12" t="s">
        <v>27312</v>
      </c>
      <c r="B5886" s="12" t="s">
        <v>6342</v>
      </c>
      <c r="C5886" s="19">
        <v>6</v>
      </c>
      <c r="D5886" s="19">
        <v>33</v>
      </c>
      <c r="E5886" s="19">
        <v>13</v>
      </c>
      <c r="F5886" s="19">
        <v>42</v>
      </c>
      <c r="G5886" s="15" t="s">
        <v>36</v>
      </c>
      <c r="H5886" s="14">
        <v>13.51</v>
      </c>
      <c r="I5886" s="18">
        <v>36.41</v>
      </c>
      <c r="J5886" s="12" t="s">
        <v>521</v>
      </c>
      <c r="K5886" s="13" t="s">
        <v>36</v>
      </c>
      <c r="L5886" s="15" t="s">
        <v>122</v>
      </c>
      <c r="M5886" s="12" t="s">
        <v>36</v>
      </c>
      <c r="N5886" s="12" t="s">
        <v>122</v>
      </c>
      <c r="O5886" s="17" t="s">
        <v>36</v>
      </c>
      <c r="P5886" s="12" t="s">
        <v>36</v>
      </c>
      <c r="Q5886" s="12" t="s">
        <v>36</v>
      </c>
      <c r="R5886" s="12" t="s">
        <v>36</v>
      </c>
      <c r="S5886" s="12" t="s">
        <v>36</v>
      </c>
      <c r="T5886" s="12" t="s">
        <v>6343</v>
      </c>
      <c r="U5886" s="12" t="s">
        <v>318</v>
      </c>
      <c r="V5886" s="12" t="s">
        <v>39</v>
      </c>
      <c r="W5886" s="12" t="s">
        <v>6344</v>
      </c>
      <c r="X5886" s="16" t="s">
        <v>27313</v>
      </c>
      <c r="Y5886" s="15" t="s">
        <v>42</v>
      </c>
      <c r="Z5886" s="14">
        <v>3.37</v>
      </c>
      <c r="AA5886" s="14">
        <v>9.27</v>
      </c>
      <c r="AB5886" s="12" t="s">
        <v>43</v>
      </c>
      <c r="AC5886" s="12" t="s">
        <v>6346</v>
      </c>
      <c r="AD5886" s="13">
        <v>42985</v>
      </c>
      <c r="AE5886" s="12" t="s">
        <v>323</v>
      </c>
      <c r="AF5886" s="12" t="s">
        <v>6347</v>
      </c>
      <c r="AG5886" s="12" t="s">
        <v>969</v>
      </c>
      <c r="AH5886" s="1">
        <f>HYPERLINK("https://my.pitchbook.com?c=94166-11T","View Company Online")</f>
      </c>
    </row>
    <row r="5887">
      <c r="A5887" s="3" t="s">
        <v>27314</v>
      </c>
      <c r="B5887" s="3" t="s">
        <v>19862</v>
      </c>
      <c r="C5887" s="5" t="s">
        <v>36</v>
      </c>
      <c r="D5887" s="5" t="s">
        <v>36</v>
      </c>
      <c r="E5887" s="5" t="s">
        <v>36</v>
      </c>
      <c r="F5887" s="5" t="s">
        <v>36</v>
      </c>
      <c r="G5887" s="6" t="s">
        <v>36</v>
      </c>
      <c r="H5887" s="4">
        <v>443.59</v>
      </c>
      <c r="I5887" s="7">
        <v>27.27</v>
      </c>
      <c r="J5887" s="3" t="s">
        <v>521</v>
      </c>
      <c r="K5887" s="9" t="s">
        <v>36</v>
      </c>
      <c r="L5887" s="6" t="s">
        <v>36</v>
      </c>
      <c r="M5887" s="3" t="s">
        <v>36</v>
      </c>
      <c r="N5887" s="3" t="s">
        <v>36</v>
      </c>
      <c r="O5887" s="8" t="s">
        <v>36</v>
      </c>
      <c r="P5887" s="3" t="s">
        <v>36</v>
      </c>
      <c r="Q5887" s="3" t="s">
        <v>36</v>
      </c>
      <c r="R5887" s="3" t="s">
        <v>36</v>
      </c>
      <c r="S5887" s="3" t="s">
        <v>36</v>
      </c>
      <c r="T5887" s="3" t="s">
        <v>11829</v>
      </c>
      <c r="U5887" s="3" t="s">
        <v>38</v>
      </c>
      <c r="V5887" s="3" t="s">
        <v>39</v>
      </c>
      <c r="W5887" s="3" t="s">
        <v>19863</v>
      </c>
      <c r="X5887" s="10" t="s">
        <v>27315</v>
      </c>
      <c r="Y5887" s="6" t="s">
        <v>192</v>
      </c>
      <c r="Z5887" s="4">
        <v>14.22</v>
      </c>
      <c r="AA5887" s="4">
        <v>34.75</v>
      </c>
      <c r="AB5887" s="3" t="s">
        <v>56</v>
      </c>
      <c r="AC5887" s="3" t="s">
        <v>19865</v>
      </c>
      <c r="AD5887" s="9">
        <v>42985</v>
      </c>
      <c r="AE5887" s="3" t="s">
        <v>110</v>
      </c>
      <c r="AF5887" s="3" t="s">
        <v>19866</v>
      </c>
      <c r="AG5887" s="3" t="s">
        <v>741</v>
      </c>
      <c r="AH5887" s="11">
        <f>HYPERLINK("https://my.pitchbook.com?c=93953-35T","View Company Online")</f>
      </c>
    </row>
    <row r="5888">
      <c r="A5888" s="12" t="s">
        <v>27316</v>
      </c>
      <c r="B5888" s="12" t="s">
        <v>12484</v>
      </c>
      <c r="C5888" s="19" t="s">
        <v>36</v>
      </c>
      <c r="D5888" s="19" t="s">
        <v>36</v>
      </c>
      <c r="E5888" s="19" t="s">
        <v>36</v>
      </c>
      <c r="F5888" s="19" t="s">
        <v>36</v>
      </c>
      <c r="G5888" s="15" t="s">
        <v>36</v>
      </c>
      <c r="H5888" s="14">
        <v>69.24</v>
      </c>
      <c r="I5888" s="18">
        <v>20</v>
      </c>
      <c r="J5888" s="12" t="s">
        <v>521</v>
      </c>
      <c r="K5888" s="13">
        <v>42761</v>
      </c>
      <c r="L5888" s="15" t="s">
        <v>36</v>
      </c>
      <c r="M5888" s="12" t="s">
        <v>36</v>
      </c>
      <c r="N5888" s="12" t="s">
        <v>36</v>
      </c>
      <c r="O5888" s="17" t="s">
        <v>36</v>
      </c>
      <c r="P5888" s="12" t="s">
        <v>36</v>
      </c>
      <c r="Q5888" s="12" t="s">
        <v>36</v>
      </c>
      <c r="R5888" s="12" t="s">
        <v>36</v>
      </c>
      <c r="S5888" s="12" t="s">
        <v>36</v>
      </c>
      <c r="T5888" s="12" t="s">
        <v>2811</v>
      </c>
      <c r="U5888" s="12" t="s">
        <v>219</v>
      </c>
      <c r="V5888" s="12" t="s">
        <v>75</v>
      </c>
      <c r="W5888" s="12" t="s">
        <v>12485</v>
      </c>
      <c r="X5888" s="16" t="s">
        <v>13138</v>
      </c>
      <c r="Y5888" s="15" t="s">
        <v>42</v>
      </c>
      <c r="Z5888" s="14">
        <v>0.3</v>
      </c>
      <c r="AA5888" s="14">
        <v>1.48</v>
      </c>
      <c r="AB5888" s="12" t="s">
        <v>43</v>
      </c>
      <c r="AC5888" s="12" t="s">
        <v>12487</v>
      </c>
      <c r="AD5888" s="13">
        <v>42984</v>
      </c>
      <c r="AE5888" s="12" t="s">
        <v>223</v>
      </c>
      <c r="AF5888" s="12" t="s">
        <v>36</v>
      </c>
      <c r="AG5888" s="12" t="s">
        <v>81</v>
      </c>
      <c r="AH5888" s="1">
        <f>HYPERLINK("https://my.pitchbook.com?c=108349-75T","View Company Online")</f>
      </c>
    </row>
    <row r="5889">
      <c r="A5889" s="3" t="s">
        <v>27317</v>
      </c>
      <c r="B5889" s="3" t="s">
        <v>22494</v>
      </c>
      <c r="C5889" s="5" t="s">
        <v>36</v>
      </c>
      <c r="D5889" s="5" t="s">
        <v>36</v>
      </c>
      <c r="E5889" s="5">
        <v>1</v>
      </c>
      <c r="F5889" s="5">
        <v>4</v>
      </c>
      <c r="G5889" s="6" t="s">
        <v>36</v>
      </c>
      <c r="H5889" s="4">
        <v>35.31</v>
      </c>
      <c r="I5889" s="7">
        <v>43.34</v>
      </c>
      <c r="J5889" s="3" t="s">
        <v>521</v>
      </c>
      <c r="K5889" s="9" t="s">
        <v>36</v>
      </c>
      <c r="L5889" s="6" t="s">
        <v>36</v>
      </c>
      <c r="M5889" s="3" t="s">
        <v>36</v>
      </c>
      <c r="N5889" s="3" t="s">
        <v>36</v>
      </c>
      <c r="O5889" s="8" t="s">
        <v>36</v>
      </c>
      <c r="P5889" s="3" t="s">
        <v>36</v>
      </c>
      <c r="Q5889" s="3" t="s">
        <v>36</v>
      </c>
      <c r="R5889" s="3" t="s">
        <v>36</v>
      </c>
      <c r="S5889" s="3" t="s">
        <v>36</v>
      </c>
      <c r="T5889" s="3" t="s">
        <v>5772</v>
      </c>
      <c r="U5889" s="3" t="s">
        <v>96</v>
      </c>
      <c r="V5889" s="3" t="s">
        <v>52</v>
      </c>
      <c r="W5889" s="3" t="s">
        <v>22495</v>
      </c>
      <c r="X5889" s="10" t="s">
        <v>27318</v>
      </c>
      <c r="Y5889" s="6" t="s">
        <v>108</v>
      </c>
      <c r="Z5889" s="4">
        <v>1.23</v>
      </c>
      <c r="AA5889" s="4">
        <v>2.84</v>
      </c>
      <c r="AB5889" s="3" t="s">
        <v>43</v>
      </c>
      <c r="AC5889" s="3" t="s">
        <v>22497</v>
      </c>
      <c r="AD5889" s="9">
        <v>42984</v>
      </c>
      <c r="AE5889" s="3" t="s">
        <v>755</v>
      </c>
      <c r="AF5889" s="3" t="s">
        <v>665</v>
      </c>
      <c r="AG5889" s="3" t="s">
        <v>7425</v>
      </c>
      <c r="AH5889" s="11">
        <f>HYPERLINK("https://my.pitchbook.com?c=104840-02T","View Company Online")</f>
      </c>
    </row>
    <row r="5890">
      <c r="A5890" s="12" t="s">
        <v>27319</v>
      </c>
      <c r="B5890" s="12" t="s">
        <v>20736</v>
      </c>
      <c r="C5890" s="19" t="s">
        <v>36</v>
      </c>
      <c r="D5890" s="19" t="s">
        <v>36</v>
      </c>
      <c r="E5890" s="19" t="s">
        <v>36</v>
      </c>
      <c r="F5890" s="19" t="s">
        <v>36</v>
      </c>
      <c r="G5890" s="15" t="s">
        <v>36</v>
      </c>
      <c r="H5890" s="14" t="s">
        <v>36</v>
      </c>
      <c r="I5890" s="18" t="s">
        <v>36</v>
      </c>
      <c r="J5890" s="12" t="s">
        <v>36</v>
      </c>
      <c r="K5890" s="13" t="s">
        <v>36</v>
      </c>
      <c r="L5890" s="15" t="s">
        <v>36</v>
      </c>
      <c r="M5890" s="12" t="s">
        <v>36</v>
      </c>
      <c r="N5890" s="12" t="s">
        <v>36</v>
      </c>
      <c r="O5890" s="17" t="s">
        <v>36</v>
      </c>
      <c r="P5890" s="12" t="s">
        <v>36</v>
      </c>
      <c r="Q5890" s="12" t="s">
        <v>36</v>
      </c>
      <c r="R5890" s="12" t="s">
        <v>36</v>
      </c>
      <c r="S5890" s="12" t="s">
        <v>36</v>
      </c>
      <c r="T5890" s="12" t="s">
        <v>2609</v>
      </c>
      <c r="U5890" s="12" t="s">
        <v>423</v>
      </c>
      <c r="V5890" s="12" t="s">
        <v>64</v>
      </c>
      <c r="W5890" s="12" t="s">
        <v>20737</v>
      </c>
      <c r="X5890" s="16" t="s">
        <v>27320</v>
      </c>
      <c r="Y5890" s="15" t="s">
        <v>108</v>
      </c>
      <c r="Z5890" s="14">
        <v>3.55</v>
      </c>
      <c r="AA5890" s="14" t="s">
        <v>36</v>
      </c>
      <c r="AB5890" s="12" t="s">
        <v>56</v>
      </c>
      <c r="AC5890" s="12" t="s">
        <v>20739</v>
      </c>
      <c r="AD5890" s="13">
        <v>42982</v>
      </c>
      <c r="AE5890" s="12" t="s">
        <v>562</v>
      </c>
      <c r="AF5890" s="12" t="s">
        <v>1061</v>
      </c>
      <c r="AG5890" s="12" t="s">
        <v>81</v>
      </c>
      <c r="AH5890" s="1">
        <f>HYPERLINK("https://my.pitchbook.com?c=158511-25T","View Company Online")</f>
      </c>
    </row>
    <row r="5891">
      <c r="A5891" s="3" t="s">
        <v>27321</v>
      </c>
      <c r="B5891" s="3" t="s">
        <v>18684</v>
      </c>
      <c r="C5891" s="5" t="s">
        <v>36</v>
      </c>
      <c r="D5891" s="5" t="s">
        <v>36</v>
      </c>
      <c r="E5891" s="5" t="s">
        <v>36</v>
      </c>
      <c r="F5891" s="5" t="s">
        <v>36</v>
      </c>
      <c r="G5891" s="6" t="s">
        <v>36</v>
      </c>
      <c r="H5891" s="4" t="s">
        <v>36</v>
      </c>
      <c r="I5891" s="7" t="s">
        <v>36</v>
      </c>
      <c r="J5891" s="3" t="s">
        <v>36</v>
      </c>
      <c r="K5891" s="9" t="s">
        <v>36</v>
      </c>
      <c r="L5891" s="6" t="s">
        <v>36</v>
      </c>
      <c r="M5891" s="3" t="s">
        <v>36</v>
      </c>
      <c r="N5891" s="3" t="s">
        <v>36</v>
      </c>
      <c r="O5891" s="8" t="s">
        <v>36</v>
      </c>
      <c r="P5891" s="3" t="s">
        <v>36</v>
      </c>
      <c r="Q5891" s="3" t="s">
        <v>36</v>
      </c>
      <c r="R5891" s="3" t="s">
        <v>36</v>
      </c>
      <c r="S5891" s="3" t="s">
        <v>36</v>
      </c>
      <c r="T5891" s="3" t="s">
        <v>1227</v>
      </c>
      <c r="U5891" s="3" t="s">
        <v>74</v>
      </c>
      <c r="V5891" s="3" t="s">
        <v>75</v>
      </c>
      <c r="W5891" s="3" t="s">
        <v>18685</v>
      </c>
      <c r="X5891" s="10" t="s">
        <v>27322</v>
      </c>
      <c r="Y5891" s="6" t="s">
        <v>42</v>
      </c>
      <c r="Z5891" s="4">
        <v>8.28</v>
      </c>
      <c r="AA5891" s="4" t="s">
        <v>36</v>
      </c>
      <c r="AB5891" s="3" t="s">
        <v>43</v>
      </c>
      <c r="AC5891" s="3" t="s">
        <v>18687</v>
      </c>
      <c r="AD5891" s="9">
        <v>42982</v>
      </c>
      <c r="AE5891" s="3" t="s">
        <v>570</v>
      </c>
      <c r="AF5891" s="3" t="s">
        <v>36</v>
      </c>
      <c r="AG5891" s="3" t="s">
        <v>18688</v>
      </c>
      <c r="AH5891" s="11">
        <f>HYPERLINK("https://my.pitchbook.com?c=108791-47T","View Company Online")</f>
      </c>
    </row>
    <row r="5892">
      <c r="A5892" s="12" t="s">
        <v>27323</v>
      </c>
      <c r="B5892" s="12" t="s">
        <v>23318</v>
      </c>
      <c r="C5892" s="19" t="s">
        <v>36</v>
      </c>
      <c r="D5892" s="19" t="s">
        <v>36</v>
      </c>
      <c r="E5892" s="19" t="s">
        <v>36</v>
      </c>
      <c r="F5892" s="19" t="s">
        <v>36</v>
      </c>
      <c r="G5892" s="15" t="s">
        <v>36</v>
      </c>
      <c r="H5892" s="14">
        <v>41.54</v>
      </c>
      <c r="I5892" s="18">
        <v>13.04</v>
      </c>
      <c r="J5892" s="12" t="s">
        <v>521</v>
      </c>
      <c r="K5892" s="13">
        <v>42908</v>
      </c>
      <c r="L5892" s="15" t="s">
        <v>36</v>
      </c>
      <c r="M5892" s="12" t="s">
        <v>36</v>
      </c>
      <c r="N5892" s="12" t="s">
        <v>36</v>
      </c>
      <c r="O5892" s="17" t="s">
        <v>36</v>
      </c>
      <c r="P5892" s="12" t="s">
        <v>36</v>
      </c>
      <c r="Q5892" s="12" t="s">
        <v>36</v>
      </c>
      <c r="R5892" s="12" t="s">
        <v>36</v>
      </c>
      <c r="S5892" s="12" t="s">
        <v>36</v>
      </c>
      <c r="T5892" s="12" t="s">
        <v>115</v>
      </c>
      <c r="U5892" s="12" t="s">
        <v>63</v>
      </c>
      <c r="V5892" s="12" t="s">
        <v>64</v>
      </c>
      <c r="W5892" s="12" t="s">
        <v>23319</v>
      </c>
      <c r="X5892" s="16" t="s">
        <v>27324</v>
      </c>
      <c r="Y5892" s="15" t="s">
        <v>42</v>
      </c>
      <c r="Z5892" s="14">
        <v>0.35</v>
      </c>
      <c r="AA5892" s="14">
        <v>1.36</v>
      </c>
      <c r="AB5892" s="12" t="s">
        <v>43</v>
      </c>
      <c r="AC5892" s="12" t="s">
        <v>23321</v>
      </c>
      <c r="AD5892" s="13">
        <v>42980</v>
      </c>
      <c r="AE5892" s="12" t="s">
        <v>68</v>
      </c>
      <c r="AF5892" s="12" t="s">
        <v>1977</v>
      </c>
      <c r="AG5892" s="12" t="s">
        <v>373</v>
      </c>
      <c r="AH5892" s="1">
        <f>HYPERLINK("https://my.pitchbook.com?c=109800-73T","View Company Online")</f>
      </c>
    </row>
    <row r="5893">
      <c r="A5893" s="3" t="s">
        <v>27325</v>
      </c>
      <c r="B5893" s="3" t="s">
        <v>27326</v>
      </c>
      <c r="C5893" s="5">
        <v>4</v>
      </c>
      <c r="D5893" s="5" t="s">
        <v>36</v>
      </c>
      <c r="E5893" s="5">
        <v>38</v>
      </c>
      <c r="F5893" s="5">
        <v>42</v>
      </c>
      <c r="G5893" s="6" t="s">
        <v>36</v>
      </c>
      <c r="H5893" s="4" t="s">
        <v>36</v>
      </c>
      <c r="I5893" s="7" t="s">
        <v>36</v>
      </c>
      <c r="J5893" s="3" t="s">
        <v>36</v>
      </c>
      <c r="K5893" s="9" t="s">
        <v>36</v>
      </c>
      <c r="L5893" s="6" t="s">
        <v>36</v>
      </c>
      <c r="M5893" s="3" t="s">
        <v>36</v>
      </c>
      <c r="N5893" s="3" t="s">
        <v>36</v>
      </c>
      <c r="O5893" s="8" t="s">
        <v>36</v>
      </c>
      <c r="P5893" s="3" t="s">
        <v>36</v>
      </c>
      <c r="Q5893" s="3" t="s">
        <v>36</v>
      </c>
      <c r="R5893" s="3" t="s">
        <v>36</v>
      </c>
      <c r="S5893" s="3" t="s">
        <v>36</v>
      </c>
      <c r="T5893" s="3" t="s">
        <v>4792</v>
      </c>
      <c r="U5893" s="3" t="s">
        <v>219</v>
      </c>
      <c r="V5893" s="3" t="s">
        <v>75</v>
      </c>
      <c r="W5893" s="3" t="s">
        <v>27327</v>
      </c>
      <c r="X5893" s="10" t="s">
        <v>1872</v>
      </c>
      <c r="Y5893" s="6" t="s">
        <v>42</v>
      </c>
      <c r="Z5893" s="4" t="s">
        <v>36</v>
      </c>
      <c r="AA5893" s="4" t="s">
        <v>36</v>
      </c>
      <c r="AB5893" s="3" t="s">
        <v>56</v>
      </c>
      <c r="AC5893" s="3" t="s">
        <v>27328</v>
      </c>
      <c r="AD5893" s="9">
        <v>42979</v>
      </c>
      <c r="AE5893" s="3" t="s">
        <v>1007</v>
      </c>
      <c r="AF5893" s="3" t="s">
        <v>4270</v>
      </c>
      <c r="AG5893" s="3" t="s">
        <v>27329</v>
      </c>
      <c r="AH5893" s="11">
        <f>HYPERLINK("https://my.pitchbook.com?c=93729-61T","View Company Online")</f>
      </c>
    </row>
    <row r="5894">
      <c r="A5894" s="12" t="s">
        <v>27330</v>
      </c>
      <c r="B5894" s="12" t="s">
        <v>27331</v>
      </c>
      <c r="C5894" s="19" t="s">
        <v>36</v>
      </c>
      <c r="D5894" s="19" t="s">
        <v>36</v>
      </c>
      <c r="E5894" s="19" t="s">
        <v>36</v>
      </c>
      <c r="F5894" s="19" t="s">
        <v>36</v>
      </c>
      <c r="G5894" s="15" t="s">
        <v>36</v>
      </c>
      <c r="H5894" s="14" t="s">
        <v>36</v>
      </c>
      <c r="I5894" s="18" t="s">
        <v>36</v>
      </c>
      <c r="J5894" s="12" t="s">
        <v>36</v>
      </c>
      <c r="K5894" s="13" t="s">
        <v>36</v>
      </c>
      <c r="L5894" s="15" t="s">
        <v>36</v>
      </c>
      <c r="M5894" s="12" t="s">
        <v>36</v>
      </c>
      <c r="N5894" s="12" t="s">
        <v>36</v>
      </c>
      <c r="O5894" s="17" t="s">
        <v>36</v>
      </c>
      <c r="P5894" s="12" t="s">
        <v>36</v>
      </c>
      <c r="Q5894" s="12" t="s">
        <v>36</v>
      </c>
      <c r="R5894" s="12" t="s">
        <v>36</v>
      </c>
      <c r="S5894" s="12" t="s">
        <v>36</v>
      </c>
      <c r="T5894" s="12" t="s">
        <v>27332</v>
      </c>
      <c r="U5894" s="12" t="s">
        <v>63</v>
      </c>
      <c r="V5894" s="12" t="s">
        <v>64</v>
      </c>
      <c r="W5894" s="12" t="s">
        <v>27333</v>
      </c>
      <c r="X5894" s="16" t="s">
        <v>1872</v>
      </c>
      <c r="Y5894" s="15" t="s">
        <v>42</v>
      </c>
      <c r="Z5894" s="14" t="s">
        <v>36</v>
      </c>
      <c r="AA5894" s="14" t="s">
        <v>36</v>
      </c>
      <c r="AB5894" s="12" t="s">
        <v>56</v>
      </c>
      <c r="AC5894" s="12" t="s">
        <v>27334</v>
      </c>
      <c r="AD5894" s="13">
        <v>42979</v>
      </c>
      <c r="AE5894" s="12" t="s">
        <v>4310</v>
      </c>
      <c r="AF5894" s="12" t="s">
        <v>1977</v>
      </c>
      <c r="AG5894" s="12" t="s">
        <v>25237</v>
      </c>
      <c r="AH5894" s="1">
        <f>HYPERLINK("https://my.pitchbook.com?c=93737-26T","View Company Online")</f>
      </c>
    </row>
    <row r="5895">
      <c r="A5895" s="3" t="s">
        <v>27335</v>
      </c>
      <c r="B5895" s="3" t="s">
        <v>22040</v>
      </c>
      <c r="C5895" s="5" t="s">
        <v>36</v>
      </c>
      <c r="D5895" s="5" t="s">
        <v>36</v>
      </c>
      <c r="E5895" s="5" t="s">
        <v>36</v>
      </c>
      <c r="F5895" s="5" t="s">
        <v>36</v>
      </c>
      <c r="G5895" s="6" t="s">
        <v>36</v>
      </c>
      <c r="H5895" s="4" t="s">
        <v>36</v>
      </c>
      <c r="I5895" s="7" t="s">
        <v>36</v>
      </c>
      <c r="J5895" s="3" t="s">
        <v>36</v>
      </c>
      <c r="K5895" s="9" t="s">
        <v>36</v>
      </c>
      <c r="L5895" s="6" t="s">
        <v>36</v>
      </c>
      <c r="M5895" s="3" t="s">
        <v>36</v>
      </c>
      <c r="N5895" s="3" t="s">
        <v>36</v>
      </c>
      <c r="O5895" s="8" t="s">
        <v>36</v>
      </c>
      <c r="P5895" s="3" t="s">
        <v>36</v>
      </c>
      <c r="Q5895" s="3" t="s">
        <v>36</v>
      </c>
      <c r="R5895" s="3" t="s">
        <v>36</v>
      </c>
      <c r="S5895" s="3" t="s">
        <v>36</v>
      </c>
      <c r="T5895" s="3" t="s">
        <v>172</v>
      </c>
      <c r="U5895" s="3" t="s">
        <v>38</v>
      </c>
      <c r="V5895" s="3" t="s">
        <v>39</v>
      </c>
      <c r="W5895" s="3" t="s">
        <v>22041</v>
      </c>
      <c r="X5895" s="10" t="s">
        <v>26848</v>
      </c>
      <c r="Y5895" s="6" t="s">
        <v>42</v>
      </c>
      <c r="Z5895" s="4" t="s">
        <v>36</v>
      </c>
      <c r="AA5895" s="4" t="s">
        <v>36</v>
      </c>
      <c r="AB5895" s="3" t="s">
        <v>43</v>
      </c>
      <c r="AC5895" s="3" t="s">
        <v>22043</v>
      </c>
      <c r="AD5895" s="9">
        <v>42979</v>
      </c>
      <c r="AE5895" s="3" t="s">
        <v>110</v>
      </c>
      <c r="AF5895" s="3" t="s">
        <v>2238</v>
      </c>
      <c r="AG5895" s="3" t="s">
        <v>186</v>
      </c>
      <c r="AH5895" s="11">
        <f>HYPERLINK("https://my.pitchbook.com?c=121387-42T","View Company Online")</f>
      </c>
    </row>
    <row r="5896">
      <c r="A5896" s="12" t="s">
        <v>27336</v>
      </c>
      <c r="B5896" s="12" t="s">
        <v>13406</v>
      </c>
      <c r="C5896" s="19" t="s">
        <v>36</v>
      </c>
      <c r="D5896" s="19">
        <v>9</v>
      </c>
      <c r="E5896" s="19">
        <v>3</v>
      </c>
      <c r="F5896" s="19">
        <v>9</v>
      </c>
      <c r="G5896" s="15" t="s">
        <v>36</v>
      </c>
      <c r="H5896" s="14">
        <v>20.77</v>
      </c>
      <c r="I5896" s="18">
        <v>23.87</v>
      </c>
      <c r="J5896" s="12" t="s">
        <v>521</v>
      </c>
      <c r="K5896" s="13" t="s">
        <v>36</v>
      </c>
      <c r="L5896" s="15" t="s">
        <v>36</v>
      </c>
      <c r="M5896" s="12" t="s">
        <v>36</v>
      </c>
      <c r="N5896" s="12" t="s">
        <v>36</v>
      </c>
      <c r="O5896" s="17" t="s">
        <v>36</v>
      </c>
      <c r="P5896" s="12" t="s">
        <v>36</v>
      </c>
      <c r="Q5896" s="12" t="s">
        <v>36</v>
      </c>
      <c r="R5896" s="12" t="s">
        <v>36</v>
      </c>
      <c r="S5896" s="12" t="s">
        <v>36</v>
      </c>
      <c r="T5896" s="12" t="s">
        <v>1048</v>
      </c>
      <c r="U5896" s="12" t="s">
        <v>423</v>
      </c>
      <c r="V5896" s="12" t="s">
        <v>64</v>
      </c>
      <c r="W5896" s="12" t="s">
        <v>13407</v>
      </c>
      <c r="X5896" s="16" t="s">
        <v>8652</v>
      </c>
      <c r="Y5896" s="15" t="s">
        <v>42</v>
      </c>
      <c r="Z5896" s="14">
        <v>1.09</v>
      </c>
      <c r="AA5896" s="14">
        <v>4.58</v>
      </c>
      <c r="AB5896" s="12" t="s">
        <v>43</v>
      </c>
      <c r="AC5896" s="12" t="s">
        <v>13409</v>
      </c>
      <c r="AD5896" s="13">
        <v>42979</v>
      </c>
      <c r="AE5896" s="12" t="s">
        <v>1051</v>
      </c>
      <c r="AF5896" s="12" t="s">
        <v>1061</v>
      </c>
      <c r="AG5896" s="12" t="s">
        <v>81</v>
      </c>
      <c r="AH5896" s="1">
        <f>HYPERLINK("https://my.pitchbook.com?c=121470-67T","View Company Online")</f>
      </c>
    </row>
    <row r="5897">
      <c r="A5897" s="3" t="s">
        <v>27337</v>
      </c>
      <c r="B5897" s="3" t="s">
        <v>27338</v>
      </c>
      <c r="C5897" s="5" t="s">
        <v>36</v>
      </c>
      <c r="D5897" s="5" t="s">
        <v>36</v>
      </c>
      <c r="E5897" s="5" t="s">
        <v>36</v>
      </c>
      <c r="F5897" s="5" t="s">
        <v>36</v>
      </c>
      <c r="G5897" s="6" t="s">
        <v>36</v>
      </c>
      <c r="H5897" s="4" t="s">
        <v>36</v>
      </c>
      <c r="I5897" s="7" t="s">
        <v>36</v>
      </c>
      <c r="J5897" s="3" t="s">
        <v>36</v>
      </c>
      <c r="K5897" s="9" t="s">
        <v>36</v>
      </c>
      <c r="L5897" s="6" t="s">
        <v>36</v>
      </c>
      <c r="M5897" s="3" t="s">
        <v>36</v>
      </c>
      <c r="N5897" s="3" t="s">
        <v>36</v>
      </c>
      <c r="O5897" s="8" t="s">
        <v>36</v>
      </c>
      <c r="P5897" s="3" t="s">
        <v>36</v>
      </c>
      <c r="Q5897" s="3" t="s">
        <v>36</v>
      </c>
      <c r="R5897" s="3" t="s">
        <v>36</v>
      </c>
      <c r="S5897" s="3" t="s">
        <v>36</v>
      </c>
      <c r="T5897" s="3" t="s">
        <v>9390</v>
      </c>
      <c r="U5897" s="3" t="s">
        <v>63</v>
      </c>
      <c r="V5897" s="3" t="s">
        <v>64</v>
      </c>
      <c r="W5897" s="3" t="s">
        <v>27339</v>
      </c>
      <c r="X5897" s="10" t="s">
        <v>1872</v>
      </c>
      <c r="Y5897" s="6" t="s">
        <v>42</v>
      </c>
      <c r="Z5897" s="4" t="s">
        <v>36</v>
      </c>
      <c r="AA5897" s="4" t="s">
        <v>36</v>
      </c>
      <c r="AB5897" s="3" t="s">
        <v>43</v>
      </c>
      <c r="AC5897" s="3" t="s">
        <v>27340</v>
      </c>
      <c r="AD5897" s="9">
        <v>42979</v>
      </c>
      <c r="AE5897" s="3" t="s">
        <v>399</v>
      </c>
      <c r="AF5897" s="3" t="s">
        <v>36</v>
      </c>
      <c r="AG5897" s="3" t="s">
        <v>27341</v>
      </c>
      <c r="AH5897" s="11">
        <f>HYPERLINK("https://my.pitchbook.com?c=93744-37T","View Company Online")</f>
      </c>
    </row>
    <row r="5898">
      <c r="A5898" s="12" t="s">
        <v>27342</v>
      </c>
      <c r="B5898" s="12" t="s">
        <v>27343</v>
      </c>
      <c r="C5898" s="19" t="s">
        <v>36</v>
      </c>
      <c r="D5898" s="19" t="s">
        <v>36</v>
      </c>
      <c r="E5898" s="19" t="s">
        <v>36</v>
      </c>
      <c r="F5898" s="19" t="s">
        <v>36</v>
      </c>
      <c r="G5898" s="15" t="s">
        <v>36</v>
      </c>
      <c r="H5898" s="14" t="s">
        <v>36</v>
      </c>
      <c r="I5898" s="18" t="s">
        <v>36</v>
      </c>
      <c r="J5898" s="12" t="s">
        <v>36</v>
      </c>
      <c r="K5898" s="13" t="s">
        <v>36</v>
      </c>
      <c r="L5898" s="15" t="s">
        <v>36</v>
      </c>
      <c r="M5898" s="12" t="s">
        <v>36</v>
      </c>
      <c r="N5898" s="12" t="s">
        <v>36</v>
      </c>
      <c r="O5898" s="17" t="s">
        <v>36</v>
      </c>
      <c r="P5898" s="12" t="s">
        <v>36</v>
      </c>
      <c r="Q5898" s="12" t="s">
        <v>36</v>
      </c>
      <c r="R5898" s="12" t="s">
        <v>36</v>
      </c>
      <c r="S5898" s="12" t="s">
        <v>36</v>
      </c>
      <c r="T5898" s="12" t="s">
        <v>3253</v>
      </c>
      <c r="U5898" s="12" t="s">
        <v>38</v>
      </c>
      <c r="V5898" s="12" t="s">
        <v>39</v>
      </c>
      <c r="W5898" s="12" t="s">
        <v>27344</v>
      </c>
      <c r="X5898" s="16" t="s">
        <v>1872</v>
      </c>
      <c r="Y5898" s="15" t="s">
        <v>42</v>
      </c>
      <c r="Z5898" s="14" t="s">
        <v>36</v>
      </c>
      <c r="AA5898" s="14" t="s">
        <v>36</v>
      </c>
      <c r="AB5898" s="12" t="s">
        <v>43</v>
      </c>
      <c r="AC5898" s="12" t="s">
        <v>27345</v>
      </c>
      <c r="AD5898" s="13">
        <v>42979</v>
      </c>
      <c r="AE5898" s="12" t="s">
        <v>785</v>
      </c>
      <c r="AF5898" s="12" t="s">
        <v>27346</v>
      </c>
      <c r="AG5898" s="12" t="s">
        <v>11675</v>
      </c>
      <c r="AH5898" s="1">
        <f>HYPERLINK("https://my.pitchbook.com?c=93744-28T","View Company Online")</f>
      </c>
    </row>
    <row r="5899">
      <c r="A5899" s="3" t="s">
        <v>27347</v>
      </c>
      <c r="B5899" s="3" t="s">
        <v>23803</v>
      </c>
      <c r="C5899" s="5" t="s">
        <v>36</v>
      </c>
      <c r="D5899" s="5" t="s">
        <v>36</v>
      </c>
      <c r="E5899" s="5" t="s">
        <v>36</v>
      </c>
      <c r="F5899" s="5" t="s">
        <v>36</v>
      </c>
      <c r="G5899" s="6" t="s">
        <v>36</v>
      </c>
      <c r="H5899" s="4">
        <v>6.53</v>
      </c>
      <c r="I5899" s="7">
        <v>38.34</v>
      </c>
      <c r="J5899" s="3" t="s">
        <v>521</v>
      </c>
      <c r="K5899" s="9" t="s">
        <v>36</v>
      </c>
      <c r="L5899" s="6" t="s">
        <v>36</v>
      </c>
      <c r="M5899" s="3" t="s">
        <v>36</v>
      </c>
      <c r="N5899" s="3" t="s">
        <v>36</v>
      </c>
      <c r="O5899" s="8" t="s">
        <v>36</v>
      </c>
      <c r="P5899" s="3" t="s">
        <v>36</v>
      </c>
      <c r="Q5899" s="3" t="s">
        <v>36</v>
      </c>
      <c r="R5899" s="3" t="s">
        <v>36</v>
      </c>
      <c r="S5899" s="3" t="s">
        <v>36</v>
      </c>
      <c r="T5899" s="3" t="s">
        <v>647</v>
      </c>
      <c r="U5899" s="3" t="s">
        <v>648</v>
      </c>
      <c r="V5899" s="3" t="s">
        <v>64</v>
      </c>
      <c r="W5899" s="3" t="s">
        <v>23804</v>
      </c>
      <c r="X5899" s="10" t="s">
        <v>27348</v>
      </c>
      <c r="Y5899" s="6" t="s">
        <v>108</v>
      </c>
      <c r="Z5899" s="4">
        <v>2.45</v>
      </c>
      <c r="AA5899" s="4">
        <v>6.39</v>
      </c>
      <c r="AB5899" s="3" t="s">
        <v>43</v>
      </c>
      <c r="AC5899" s="3" t="s">
        <v>23806</v>
      </c>
      <c r="AD5899" s="9">
        <v>42979</v>
      </c>
      <c r="AE5899" s="3" t="s">
        <v>651</v>
      </c>
      <c r="AF5899" s="3" t="s">
        <v>4552</v>
      </c>
      <c r="AG5899" s="3" t="s">
        <v>81</v>
      </c>
      <c r="AH5899" s="11">
        <f>HYPERLINK("https://my.pitchbook.com?c=114545-08T","View Company Online")</f>
      </c>
    </row>
    <row r="5900">
      <c r="A5900" s="12" t="s">
        <v>27349</v>
      </c>
      <c r="B5900" s="12" t="s">
        <v>27350</v>
      </c>
      <c r="C5900" s="19" t="s">
        <v>36</v>
      </c>
      <c r="D5900" s="19" t="s">
        <v>36</v>
      </c>
      <c r="E5900" s="19" t="s">
        <v>36</v>
      </c>
      <c r="F5900" s="19" t="s">
        <v>36</v>
      </c>
      <c r="G5900" s="15" t="s">
        <v>36</v>
      </c>
      <c r="H5900" s="14" t="s">
        <v>36</v>
      </c>
      <c r="I5900" s="18" t="s">
        <v>36</v>
      </c>
      <c r="J5900" s="12" t="s">
        <v>36</v>
      </c>
      <c r="K5900" s="13" t="s">
        <v>36</v>
      </c>
      <c r="L5900" s="15" t="s">
        <v>36</v>
      </c>
      <c r="M5900" s="12" t="s">
        <v>36</v>
      </c>
      <c r="N5900" s="12" t="s">
        <v>36</v>
      </c>
      <c r="O5900" s="17" t="s">
        <v>36</v>
      </c>
      <c r="P5900" s="12" t="s">
        <v>36</v>
      </c>
      <c r="Q5900" s="12" t="s">
        <v>36</v>
      </c>
      <c r="R5900" s="12" t="s">
        <v>36</v>
      </c>
      <c r="S5900" s="12" t="s">
        <v>36</v>
      </c>
      <c r="T5900" s="12" t="s">
        <v>2910</v>
      </c>
      <c r="U5900" s="12" t="s">
        <v>219</v>
      </c>
      <c r="V5900" s="12" t="s">
        <v>75</v>
      </c>
      <c r="W5900" s="12" t="s">
        <v>27351</v>
      </c>
      <c r="X5900" s="16" t="s">
        <v>1872</v>
      </c>
      <c r="Y5900" s="15" t="s">
        <v>42</v>
      </c>
      <c r="Z5900" s="14" t="s">
        <v>36</v>
      </c>
      <c r="AA5900" s="14" t="s">
        <v>36</v>
      </c>
      <c r="AB5900" s="12" t="s">
        <v>56</v>
      </c>
      <c r="AC5900" s="12" t="s">
        <v>27352</v>
      </c>
      <c r="AD5900" s="13">
        <v>42979</v>
      </c>
      <c r="AE5900" s="12" t="s">
        <v>2914</v>
      </c>
      <c r="AF5900" s="12" t="s">
        <v>1969</v>
      </c>
      <c r="AG5900" s="12" t="s">
        <v>27353</v>
      </c>
      <c r="AH5900" s="1">
        <f>HYPERLINK("https://my.pitchbook.com?c=93727-09T","View Company Online")</f>
      </c>
    </row>
    <row r="5901">
      <c r="A5901" s="3" t="s">
        <v>27354</v>
      </c>
      <c r="B5901" s="3" t="s">
        <v>11544</v>
      </c>
      <c r="C5901" s="5" t="s">
        <v>36</v>
      </c>
      <c r="D5901" s="5" t="s">
        <v>36</v>
      </c>
      <c r="E5901" s="5" t="s">
        <v>36</v>
      </c>
      <c r="F5901" s="5" t="s">
        <v>36</v>
      </c>
      <c r="G5901" s="6" t="s">
        <v>36</v>
      </c>
      <c r="H5901" s="4" t="s">
        <v>36</v>
      </c>
      <c r="I5901" s="7" t="s">
        <v>36</v>
      </c>
      <c r="J5901" s="3" t="s">
        <v>36</v>
      </c>
      <c r="K5901" s="9" t="s">
        <v>36</v>
      </c>
      <c r="L5901" s="6" t="s">
        <v>36</v>
      </c>
      <c r="M5901" s="3" t="s">
        <v>36</v>
      </c>
      <c r="N5901" s="3" t="s">
        <v>36</v>
      </c>
      <c r="O5901" s="8" t="s">
        <v>36</v>
      </c>
      <c r="P5901" s="3" t="s">
        <v>36</v>
      </c>
      <c r="Q5901" s="3" t="s">
        <v>36</v>
      </c>
      <c r="R5901" s="3" t="s">
        <v>36</v>
      </c>
      <c r="S5901" s="3" t="s">
        <v>36</v>
      </c>
      <c r="T5901" s="3" t="s">
        <v>62</v>
      </c>
      <c r="U5901" s="3" t="s">
        <v>63</v>
      </c>
      <c r="V5901" s="3" t="s">
        <v>64</v>
      </c>
      <c r="W5901" s="3" t="s">
        <v>11545</v>
      </c>
      <c r="X5901" s="10" t="s">
        <v>27355</v>
      </c>
      <c r="Y5901" s="6" t="s">
        <v>108</v>
      </c>
      <c r="Z5901" s="4">
        <v>1.18</v>
      </c>
      <c r="AA5901" s="4" t="s">
        <v>36</v>
      </c>
      <c r="AB5901" s="3" t="s">
        <v>43</v>
      </c>
      <c r="AC5901" s="3" t="s">
        <v>11547</v>
      </c>
      <c r="AD5901" s="9">
        <v>42979</v>
      </c>
      <c r="AE5901" s="3" t="s">
        <v>68</v>
      </c>
      <c r="AF5901" s="3" t="s">
        <v>36</v>
      </c>
      <c r="AG5901" s="3" t="s">
        <v>81</v>
      </c>
      <c r="AH5901" s="11">
        <f>HYPERLINK("https://my.pitchbook.com?c=94615-57T","View Company Online")</f>
      </c>
    </row>
    <row r="5902">
      <c r="A5902" s="12" t="s">
        <v>27356</v>
      </c>
      <c r="B5902" s="12" t="s">
        <v>27357</v>
      </c>
      <c r="C5902" s="19" t="s">
        <v>36</v>
      </c>
      <c r="D5902" s="19" t="s">
        <v>36</v>
      </c>
      <c r="E5902" s="19" t="s">
        <v>36</v>
      </c>
      <c r="F5902" s="19" t="s">
        <v>36</v>
      </c>
      <c r="G5902" s="15" t="s">
        <v>36</v>
      </c>
      <c r="H5902" s="14" t="s">
        <v>36</v>
      </c>
      <c r="I5902" s="18" t="s">
        <v>36</v>
      </c>
      <c r="J5902" s="12" t="s">
        <v>36</v>
      </c>
      <c r="K5902" s="13" t="s">
        <v>36</v>
      </c>
      <c r="L5902" s="15" t="s">
        <v>36</v>
      </c>
      <c r="M5902" s="12" t="s">
        <v>36</v>
      </c>
      <c r="N5902" s="12" t="s">
        <v>36</v>
      </c>
      <c r="O5902" s="17" t="s">
        <v>36</v>
      </c>
      <c r="P5902" s="12" t="s">
        <v>36</v>
      </c>
      <c r="Q5902" s="12" t="s">
        <v>36</v>
      </c>
      <c r="R5902" s="12" t="s">
        <v>36</v>
      </c>
      <c r="S5902" s="12" t="s">
        <v>36</v>
      </c>
      <c r="T5902" s="12" t="s">
        <v>7057</v>
      </c>
      <c r="U5902" s="12" t="s">
        <v>74</v>
      </c>
      <c r="V5902" s="12" t="s">
        <v>75</v>
      </c>
      <c r="W5902" s="12" t="s">
        <v>27358</v>
      </c>
      <c r="X5902" s="16" t="s">
        <v>1872</v>
      </c>
      <c r="Y5902" s="15" t="s">
        <v>42</v>
      </c>
      <c r="Z5902" s="14" t="s">
        <v>36</v>
      </c>
      <c r="AA5902" s="14" t="s">
        <v>36</v>
      </c>
      <c r="AB5902" s="12" t="s">
        <v>43</v>
      </c>
      <c r="AC5902" s="12" t="s">
        <v>27359</v>
      </c>
      <c r="AD5902" s="13">
        <v>42979</v>
      </c>
      <c r="AE5902" s="12" t="s">
        <v>1243</v>
      </c>
      <c r="AF5902" s="12" t="s">
        <v>546</v>
      </c>
      <c r="AG5902" s="12" t="s">
        <v>382</v>
      </c>
      <c r="AH5902" s="1">
        <f>HYPERLINK("https://my.pitchbook.com?c=93726-01T","View Company Online")</f>
      </c>
    </row>
    <row r="5903">
      <c r="A5903" s="3" t="s">
        <v>27360</v>
      </c>
      <c r="B5903" s="3" t="s">
        <v>9346</v>
      </c>
      <c r="C5903" s="5" t="s">
        <v>36</v>
      </c>
      <c r="D5903" s="5" t="s">
        <v>36</v>
      </c>
      <c r="E5903" s="5" t="s">
        <v>36</v>
      </c>
      <c r="F5903" s="5" t="s">
        <v>36</v>
      </c>
      <c r="G5903" s="6" t="s">
        <v>36</v>
      </c>
      <c r="H5903" s="4">
        <v>234.09</v>
      </c>
      <c r="I5903" s="7">
        <v>29.88</v>
      </c>
      <c r="J5903" s="3" t="s">
        <v>521</v>
      </c>
      <c r="K5903" s="9">
        <v>42942</v>
      </c>
      <c r="L5903" s="6" t="s">
        <v>122</v>
      </c>
      <c r="M5903" s="3" t="s">
        <v>36</v>
      </c>
      <c r="N5903" s="3" t="s">
        <v>122</v>
      </c>
      <c r="O5903" s="8" t="s">
        <v>36</v>
      </c>
      <c r="P5903" s="3" t="s">
        <v>36</v>
      </c>
      <c r="Q5903" s="3" t="s">
        <v>36</v>
      </c>
      <c r="R5903" s="3" t="s">
        <v>36</v>
      </c>
      <c r="S5903" s="3" t="s">
        <v>36</v>
      </c>
      <c r="T5903" s="3" t="s">
        <v>1701</v>
      </c>
      <c r="U5903" s="3" t="s">
        <v>74</v>
      </c>
      <c r="V5903" s="3" t="s">
        <v>75</v>
      </c>
      <c r="W5903" s="3" t="s">
        <v>9347</v>
      </c>
      <c r="X5903" s="10" t="s">
        <v>27361</v>
      </c>
      <c r="Y5903" s="6" t="s">
        <v>108</v>
      </c>
      <c r="Z5903" s="4">
        <v>3.53</v>
      </c>
      <c r="AA5903" s="4">
        <v>11.81</v>
      </c>
      <c r="AB5903" s="3" t="s">
        <v>56</v>
      </c>
      <c r="AC5903" s="3" t="s">
        <v>9349</v>
      </c>
      <c r="AD5903" s="9">
        <v>42976</v>
      </c>
      <c r="AE5903" s="3" t="s">
        <v>79</v>
      </c>
      <c r="AF5903" s="3" t="s">
        <v>905</v>
      </c>
      <c r="AG5903" s="3" t="s">
        <v>81</v>
      </c>
      <c r="AH5903" s="11">
        <f>HYPERLINK("https://my.pitchbook.com?c=93537-82T","View Company Online")</f>
      </c>
    </row>
    <row r="5904">
      <c r="A5904" s="12" t="s">
        <v>27362</v>
      </c>
      <c r="B5904" s="12" t="s">
        <v>14377</v>
      </c>
      <c r="C5904" s="19">
        <v>9</v>
      </c>
      <c r="D5904" s="19">
        <v>2</v>
      </c>
      <c r="E5904" s="19">
        <v>7</v>
      </c>
      <c r="F5904" s="19">
        <v>13</v>
      </c>
      <c r="G5904" s="15" t="s">
        <v>36</v>
      </c>
      <c r="H5904" s="14" t="s">
        <v>36</v>
      </c>
      <c r="I5904" s="18" t="s">
        <v>36</v>
      </c>
      <c r="J5904" s="12" t="s">
        <v>36</v>
      </c>
      <c r="K5904" s="13" t="s">
        <v>36</v>
      </c>
      <c r="L5904" s="15" t="s">
        <v>36</v>
      </c>
      <c r="M5904" s="12" t="s">
        <v>36</v>
      </c>
      <c r="N5904" s="12" t="s">
        <v>36</v>
      </c>
      <c r="O5904" s="17" t="s">
        <v>36</v>
      </c>
      <c r="P5904" s="12" t="s">
        <v>36</v>
      </c>
      <c r="Q5904" s="12" t="s">
        <v>36</v>
      </c>
      <c r="R5904" s="12" t="s">
        <v>36</v>
      </c>
      <c r="S5904" s="12" t="s">
        <v>36</v>
      </c>
      <c r="T5904" s="12" t="s">
        <v>2811</v>
      </c>
      <c r="U5904" s="12" t="s">
        <v>219</v>
      </c>
      <c r="V5904" s="12" t="s">
        <v>75</v>
      </c>
      <c r="W5904" s="12" t="s">
        <v>14378</v>
      </c>
      <c r="X5904" s="16" t="s">
        <v>27363</v>
      </c>
      <c r="Y5904" s="15" t="s">
        <v>108</v>
      </c>
      <c r="Z5904" s="14" t="s">
        <v>36</v>
      </c>
      <c r="AA5904" s="14" t="s">
        <v>36</v>
      </c>
      <c r="AB5904" s="12" t="s">
        <v>43</v>
      </c>
      <c r="AC5904" s="12" t="s">
        <v>14379</v>
      </c>
      <c r="AD5904" s="13">
        <v>42975</v>
      </c>
      <c r="AE5904" s="12" t="s">
        <v>223</v>
      </c>
      <c r="AF5904" s="12" t="s">
        <v>14380</v>
      </c>
      <c r="AG5904" s="12" t="s">
        <v>14381</v>
      </c>
      <c r="AH5904" s="1">
        <f>HYPERLINK("https://my.pitchbook.com?c=110780-38T","View Company Online")</f>
      </c>
    </row>
    <row r="5905">
      <c r="A5905" s="3" t="s">
        <v>27364</v>
      </c>
      <c r="B5905" s="3" t="s">
        <v>9586</v>
      </c>
      <c r="C5905" s="5">
        <v>18</v>
      </c>
      <c r="D5905" s="5">
        <v>85</v>
      </c>
      <c r="E5905" s="5">
        <v>26</v>
      </c>
      <c r="F5905" s="5">
        <v>111</v>
      </c>
      <c r="G5905" s="6" t="s">
        <v>326</v>
      </c>
      <c r="H5905" s="4">
        <v>32.22</v>
      </c>
      <c r="I5905" s="7">
        <v>31.69</v>
      </c>
      <c r="J5905" s="3" t="s">
        <v>521</v>
      </c>
      <c r="K5905" s="9">
        <v>42927</v>
      </c>
      <c r="L5905" s="6" t="s">
        <v>122</v>
      </c>
      <c r="M5905" s="3" t="s">
        <v>36</v>
      </c>
      <c r="N5905" s="3" t="s">
        <v>122</v>
      </c>
      <c r="O5905" s="8" t="s">
        <v>36</v>
      </c>
      <c r="P5905" s="3" t="s">
        <v>36</v>
      </c>
      <c r="Q5905" s="3" t="s">
        <v>36</v>
      </c>
      <c r="R5905" s="3" t="s">
        <v>36</v>
      </c>
      <c r="S5905" s="3" t="s">
        <v>36</v>
      </c>
      <c r="T5905" s="3" t="s">
        <v>9587</v>
      </c>
      <c r="U5905" s="3" t="s">
        <v>1580</v>
      </c>
      <c r="V5905" s="3" t="s">
        <v>39</v>
      </c>
      <c r="W5905" s="3" t="s">
        <v>9588</v>
      </c>
      <c r="X5905" s="10" t="s">
        <v>27365</v>
      </c>
      <c r="Y5905" s="6" t="s">
        <v>166</v>
      </c>
      <c r="Z5905" s="4">
        <v>5.9</v>
      </c>
      <c r="AA5905" s="4">
        <v>16.93</v>
      </c>
      <c r="AB5905" s="3" t="s">
        <v>43</v>
      </c>
      <c r="AC5905" s="3" t="s">
        <v>9590</v>
      </c>
      <c r="AD5905" s="9">
        <v>42974</v>
      </c>
      <c r="AE5905" s="3" t="s">
        <v>9591</v>
      </c>
      <c r="AF5905" s="3" t="s">
        <v>571</v>
      </c>
      <c r="AG5905" s="3" t="s">
        <v>1078</v>
      </c>
      <c r="AH5905" s="11">
        <f>HYPERLINK("https://my.pitchbook.com?c=90519-40T","View Company Online")</f>
      </c>
    </row>
    <row r="5906">
      <c r="A5906" s="12" t="s">
        <v>27366</v>
      </c>
      <c r="B5906" s="12" t="s">
        <v>27367</v>
      </c>
      <c r="C5906" s="19" t="s">
        <v>36</v>
      </c>
      <c r="D5906" s="19" t="s">
        <v>36</v>
      </c>
      <c r="E5906" s="19" t="s">
        <v>36</v>
      </c>
      <c r="F5906" s="19" t="s">
        <v>36</v>
      </c>
      <c r="G5906" s="15" t="s">
        <v>326</v>
      </c>
      <c r="H5906" s="14">
        <v>170.12</v>
      </c>
      <c r="I5906" s="18">
        <v>28.66</v>
      </c>
      <c r="J5906" s="12" t="s">
        <v>521</v>
      </c>
      <c r="K5906" s="13" t="s">
        <v>36</v>
      </c>
      <c r="L5906" s="15" t="s">
        <v>94</v>
      </c>
      <c r="M5906" s="12" t="s">
        <v>36</v>
      </c>
      <c r="N5906" s="12" t="s">
        <v>94</v>
      </c>
      <c r="O5906" s="17" t="s">
        <v>36</v>
      </c>
      <c r="P5906" s="12" t="s">
        <v>36</v>
      </c>
      <c r="Q5906" s="12" t="s">
        <v>36</v>
      </c>
      <c r="R5906" s="12" t="s">
        <v>36</v>
      </c>
      <c r="S5906" s="12" t="s">
        <v>36</v>
      </c>
      <c r="T5906" s="12" t="s">
        <v>4601</v>
      </c>
      <c r="U5906" s="12" t="s">
        <v>38</v>
      </c>
      <c r="V5906" s="12" t="s">
        <v>39</v>
      </c>
      <c r="W5906" s="12" t="s">
        <v>27368</v>
      </c>
      <c r="X5906" s="16" t="s">
        <v>27369</v>
      </c>
      <c r="Y5906" s="15" t="s">
        <v>42</v>
      </c>
      <c r="Z5906" s="14">
        <v>3.75</v>
      </c>
      <c r="AA5906" s="14">
        <v>13.07</v>
      </c>
      <c r="AB5906" s="12" t="s">
        <v>56</v>
      </c>
      <c r="AC5906" s="12" t="s">
        <v>27370</v>
      </c>
      <c r="AD5906" s="13">
        <v>42974</v>
      </c>
      <c r="AE5906" s="12" t="s">
        <v>110</v>
      </c>
      <c r="AF5906" s="12" t="s">
        <v>11462</v>
      </c>
      <c r="AG5906" s="12" t="s">
        <v>81</v>
      </c>
      <c r="AH5906" s="1">
        <f>HYPERLINK("https://my.pitchbook.com?c=182795-23T","View Company Online")</f>
      </c>
    </row>
    <row r="5907">
      <c r="A5907" s="3" t="s">
        <v>27371</v>
      </c>
      <c r="B5907" s="3" t="s">
        <v>27372</v>
      </c>
      <c r="C5907" s="5" t="s">
        <v>36</v>
      </c>
      <c r="D5907" s="5" t="s">
        <v>36</v>
      </c>
      <c r="E5907" s="5" t="s">
        <v>36</v>
      </c>
      <c r="F5907" s="5" t="s">
        <v>36</v>
      </c>
      <c r="G5907" s="6" t="s">
        <v>36</v>
      </c>
      <c r="H5907" s="4">
        <v>650.14</v>
      </c>
      <c r="I5907" s="7">
        <v>32.37</v>
      </c>
      <c r="J5907" s="3" t="s">
        <v>327</v>
      </c>
      <c r="K5907" s="9">
        <v>42917</v>
      </c>
      <c r="L5907" s="6" t="s">
        <v>122</v>
      </c>
      <c r="M5907" s="3" t="s">
        <v>36</v>
      </c>
      <c r="N5907" s="3" t="s">
        <v>122</v>
      </c>
      <c r="O5907" s="8" t="s">
        <v>36</v>
      </c>
      <c r="P5907" s="3" t="s">
        <v>36</v>
      </c>
      <c r="Q5907" s="3" t="s">
        <v>36</v>
      </c>
      <c r="R5907" s="3" t="s">
        <v>36</v>
      </c>
      <c r="S5907" s="3" t="s">
        <v>36</v>
      </c>
      <c r="T5907" s="3" t="s">
        <v>2601</v>
      </c>
      <c r="U5907" s="3" t="s">
        <v>74</v>
      </c>
      <c r="V5907" s="3" t="s">
        <v>75</v>
      </c>
      <c r="W5907" s="3" t="s">
        <v>27373</v>
      </c>
      <c r="X5907" s="10" t="s">
        <v>27374</v>
      </c>
      <c r="Y5907" s="6" t="s">
        <v>108</v>
      </c>
      <c r="Z5907" s="4">
        <v>3.53</v>
      </c>
      <c r="AA5907" s="4">
        <v>7.44</v>
      </c>
      <c r="AB5907" s="3" t="s">
        <v>43</v>
      </c>
      <c r="AC5907" s="3" t="s">
        <v>27375</v>
      </c>
      <c r="AD5907" s="9">
        <v>42971</v>
      </c>
      <c r="AE5907" s="3" t="s">
        <v>79</v>
      </c>
      <c r="AF5907" s="3" t="s">
        <v>36</v>
      </c>
      <c r="AG5907" s="3" t="s">
        <v>81</v>
      </c>
      <c r="AH5907" s="11">
        <f>HYPERLINK("https://my.pitchbook.com?c=93689-56T","View Company Online")</f>
      </c>
    </row>
    <row r="5908">
      <c r="A5908" s="12" t="s">
        <v>27376</v>
      </c>
      <c r="B5908" s="12" t="s">
        <v>20911</v>
      </c>
      <c r="C5908" s="19">
        <v>1</v>
      </c>
      <c r="D5908" s="19">
        <v>6</v>
      </c>
      <c r="E5908" s="19">
        <v>3</v>
      </c>
      <c r="F5908" s="19">
        <v>9</v>
      </c>
      <c r="G5908" s="15" t="s">
        <v>36</v>
      </c>
      <c r="H5908" s="14">
        <v>34.63</v>
      </c>
      <c r="I5908" s="18">
        <v>30.36</v>
      </c>
      <c r="J5908" s="12" t="s">
        <v>521</v>
      </c>
      <c r="K5908" s="13" t="s">
        <v>36</v>
      </c>
      <c r="L5908" s="15" t="s">
        <v>36</v>
      </c>
      <c r="M5908" s="12" t="s">
        <v>36</v>
      </c>
      <c r="N5908" s="12" t="s">
        <v>36</v>
      </c>
      <c r="O5908" s="17" t="s">
        <v>36</v>
      </c>
      <c r="P5908" s="12" t="s">
        <v>36</v>
      </c>
      <c r="Q5908" s="12" t="s">
        <v>36</v>
      </c>
      <c r="R5908" s="12" t="s">
        <v>36</v>
      </c>
      <c r="S5908" s="12" t="s">
        <v>36</v>
      </c>
      <c r="T5908" s="12" t="s">
        <v>2255</v>
      </c>
      <c r="U5908" s="12" t="s">
        <v>833</v>
      </c>
      <c r="V5908" s="12" t="s">
        <v>64</v>
      </c>
      <c r="W5908" s="12" t="s">
        <v>20912</v>
      </c>
      <c r="X5908" s="16" t="s">
        <v>27377</v>
      </c>
      <c r="Y5908" s="15" t="s">
        <v>55</v>
      </c>
      <c r="Z5908" s="14">
        <v>0.28</v>
      </c>
      <c r="AA5908" s="14">
        <v>0.93</v>
      </c>
      <c r="AB5908" s="12" t="s">
        <v>43</v>
      </c>
      <c r="AC5908" s="12" t="s">
        <v>20914</v>
      </c>
      <c r="AD5908" s="13">
        <v>42968</v>
      </c>
      <c r="AE5908" s="12" t="s">
        <v>1769</v>
      </c>
      <c r="AF5908" s="12" t="s">
        <v>571</v>
      </c>
      <c r="AG5908" s="12" t="s">
        <v>741</v>
      </c>
      <c r="AH5908" s="1">
        <f>HYPERLINK("https://my.pitchbook.com?c=207549-46T","View Company Online")</f>
      </c>
    </row>
    <row r="5909">
      <c r="A5909" s="3" t="s">
        <v>27378</v>
      </c>
      <c r="B5909" s="3" t="s">
        <v>12822</v>
      </c>
      <c r="C5909" s="5" t="s">
        <v>36</v>
      </c>
      <c r="D5909" s="5" t="s">
        <v>36</v>
      </c>
      <c r="E5909" s="5" t="s">
        <v>36</v>
      </c>
      <c r="F5909" s="5" t="s">
        <v>36</v>
      </c>
      <c r="G5909" s="6" t="s">
        <v>36</v>
      </c>
      <c r="H5909" s="4">
        <v>26.5</v>
      </c>
      <c r="I5909" s="7">
        <v>25.74</v>
      </c>
      <c r="J5909" s="3" t="s">
        <v>521</v>
      </c>
      <c r="K5909" s="9">
        <v>42430</v>
      </c>
      <c r="L5909" s="6" t="s">
        <v>36</v>
      </c>
      <c r="M5909" s="3" t="s">
        <v>36</v>
      </c>
      <c r="N5909" s="3" t="s">
        <v>36</v>
      </c>
      <c r="O5909" s="8" t="s">
        <v>36</v>
      </c>
      <c r="P5909" s="3" t="s">
        <v>36</v>
      </c>
      <c r="Q5909" s="3" t="s">
        <v>36</v>
      </c>
      <c r="R5909" s="3" t="s">
        <v>36</v>
      </c>
      <c r="S5909" s="3" t="s">
        <v>36</v>
      </c>
      <c r="T5909" s="3" t="s">
        <v>1922</v>
      </c>
      <c r="U5909" s="3" t="s">
        <v>38</v>
      </c>
      <c r="V5909" s="3" t="s">
        <v>39</v>
      </c>
      <c r="W5909" s="3" t="s">
        <v>12823</v>
      </c>
      <c r="X5909" s="10" t="s">
        <v>27379</v>
      </c>
      <c r="Y5909" s="6" t="s">
        <v>42</v>
      </c>
      <c r="Z5909" s="4">
        <v>1.21</v>
      </c>
      <c r="AA5909" s="4">
        <v>4.68</v>
      </c>
      <c r="AB5909" s="3" t="s">
        <v>43</v>
      </c>
      <c r="AC5909" s="3" t="s">
        <v>12825</v>
      </c>
      <c r="AD5909" s="9">
        <v>42967</v>
      </c>
      <c r="AE5909" s="3" t="s">
        <v>1422</v>
      </c>
      <c r="AF5909" s="3" t="s">
        <v>4200</v>
      </c>
      <c r="AG5909" s="3" t="s">
        <v>2760</v>
      </c>
      <c r="AH5909" s="11">
        <f>HYPERLINK("https://my.pitchbook.com?c=89544-70T","View Company Online")</f>
      </c>
    </row>
    <row r="5910">
      <c r="A5910" s="12" t="s">
        <v>27380</v>
      </c>
      <c r="B5910" s="12" t="s">
        <v>18793</v>
      </c>
      <c r="C5910" s="19" t="s">
        <v>36</v>
      </c>
      <c r="D5910" s="19" t="s">
        <v>36</v>
      </c>
      <c r="E5910" s="19" t="s">
        <v>36</v>
      </c>
      <c r="F5910" s="19" t="s">
        <v>36</v>
      </c>
      <c r="G5910" s="15" t="s">
        <v>36</v>
      </c>
      <c r="H5910" s="14">
        <v>15.58</v>
      </c>
      <c r="I5910" s="18">
        <v>10</v>
      </c>
      <c r="J5910" s="12" t="s">
        <v>327</v>
      </c>
      <c r="K5910" s="13" t="s">
        <v>36</v>
      </c>
      <c r="L5910" s="15" t="s">
        <v>36</v>
      </c>
      <c r="M5910" s="12" t="s">
        <v>36</v>
      </c>
      <c r="N5910" s="12" t="s">
        <v>36</v>
      </c>
      <c r="O5910" s="17" t="s">
        <v>36</v>
      </c>
      <c r="P5910" s="12" t="s">
        <v>36</v>
      </c>
      <c r="Q5910" s="12" t="s">
        <v>36</v>
      </c>
      <c r="R5910" s="12" t="s">
        <v>36</v>
      </c>
      <c r="S5910" s="12" t="s">
        <v>36</v>
      </c>
      <c r="T5910" s="12" t="s">
        <v>3315</v>
      </c>
      <c r="U5910" s="12" t="s">
        <v>74</v>
      </c>
      <c r="V5910" s="12" t="s">
        <v>75</v>
      </c>
      <c r="W5910" s="12" t="s">
        <v>18794</v>
      </c>
      <c r="X5910" s="16" t="s">
        <v>27381</v>
      </c>
      <c r="Y5910" s="15" t="s">
        <v>42</v>
      </c>
      <c r="Z5910" s="14">
        <v>0.58</v>
      </c>
      <c r="AA5910" s="14">
        <v>5.84</v>
      </c>
      <c r="AB5910" s="12" t="s">
        <v>43</v>
      </c>
      <c r="AC5910" s="12" t="s">
        <v>18796</v>
      </c>
      <c r="AD5910" s="13">
        <v>42958</v>
      </c>
      <c r="AE5910" s="12" t="s">
        <v>2237</v>
      </c>
      <c r="AF5910" s="12" t="s">
        <v>18797</v>
      </c>
      <c r="AG5910" s="12" t="s">
        <v>81</v>
      </c>
      <c r="AH5910" s="1">
        <f>HYPERLINK("https://my.pitchbook.com?c=95885-02T","View Company Online")</f>
      </c>
    </row>
    <row r="5911">
      <c r="A5911" s="3" t="s">
        <v>27382</v>
      </c>
      <c r="B5911" s="3" t="s">
        <v>19950</v>
      </c>
      <c r="C5911" s="5" t="s">
        <v>36</v>
      </c>
      <c r="D5911" s="5">
        <v>2</v>
      </c>
      <c r="E5911" s="5">
        <v>1</v>
      </c>
      <c r="F5911" s="5">
        <v>2</v>
      </c>
      <c r="G5911" s="6" t="s">
        <v>36</v>
      </c>
      <c r="H5911" s="4" t="s">
        <v>36</v>
      </c>
      <c r="I5911" s="7" t="s">
        <v>36</v>
      </c>
      <c r="J5911" s="3" t="s">
        <v>36</v>
      </c>
      <c r="K5911" s="9" t="s">
        <v>36</v>
      </c>
      <c r="L5911" s="6" t="s">
        <v>36</v>
      </c>
      <c r="M5911" s="3" t="s">
        <v>36</v>
      </c>
      <c r="N5911" s="3" t="s">
        <v>36</v>
      </c>
      <c r="O5911" s="8" t="s">
        <v>36</v>
      </c>
      <c r="P5911" s="3" t="s">
        <v>36</v>
      </c>
      <c r="Q5911" s="3" t="s">
        <v>36</v>
      </c>
      <c r="R5911" s="3" t="s">
        <v>36</v>
      </c>
      <c r="S5911" s="3" t="s">
        <v>36</v>
      </c>
      <c r="T5911" s="3" t="s">
        <v>19951</v>
      </c>
      <c r="U5911" s="3" t="s">
        <v>38</v>
      </c>
      <c r="V5911" s="3" t="s">
        <v>39</v>
      </c>
      <c r="W5911" s="3" t="s">
        <v>19952</v>
      </c>
      <c r="X5911" s="10" t="s">
        <v>27383</v>
      </c>
      <c r="Y5911" s="6" t="s">
        <v>192</v>
      </c>
      <c r="Z5911" s="4">
        <v>6</v>
      </c>
      <c r="AA5911" s="4" t="s">
        <v>36</v>
      </c>
      <c r="AB5911" s="3" t="s">
        <v>56</v>
      </c>
      <c r="AC5911" s="3" t="s">
        <v>19954</v>
      </c>
      <c r="AD5911" s="9">
        <v>42958</v>
      </c>
      <c r="AE5911" s="3" t="s">
        <v>1945</v>
      </c>
      <c r="AF5911" s="3" t="s">
        <v>19955</v>
      </c>
      <c r="AG5911" s="3" t="s">
        <v>81</v>
      </c>
      <c r="AH5911" s="11">
        <f>HYPERLINK("https://my.pitchbook.com?c=122276-35T","View Company Online")</f>
      </c>
    </row>
    <row r="5912">
      <c r="A5912" s="12" t="s">
        <v>27384</v>
      </c>
      <c r="B5912" s="12" t="s">
        <v>27385</v>
      </c>
      <c r="C5912" s="19" t="s">
        <v>36</v>
      </c>
      <c r="D5912" s="19" t="s">
        <v>36</v>
      </c>
      <c r="E5912" s="19" t="s">
        <v>36</v>
      </c>
      <c r="F5912" s="19" t="s">
        <v>36</v>
      </c>
      <c r="G5912" s="15" t="s">
        <v>36</v>
      </c>
      <c r="H5912" s="14">
        <v>0.71</v>
      </c>
      <c r="I5912" s="18">
        <v>30.71</v>
      </c>
      <c r="J5912" s="12" t="s">
        <v>521</v>
      </c>
      <c r="K5912" s="13" t="s">
        <v>36</v>
      </c>
      <c r="L5912" s="15" t="s">
        <v>36</v>
      </c>
      <c r="M5912" s="12" t="s">
        <v>36</v>
      </c>
      <c r="N5912" s="12" t="s">
        <v>36</v>
      </c>
      <c r="O5912" s="17" t="s">
        <v>36</v>
      </c>
      <c r="P5912" s="12" t="s">
        <v>36</v>
      </c>
      <c r="Q5912" s="12" t="s">
        <v>36</v>
      </c>
      <c r="R5912" s="12" t="s">
        <v>36</v>
      </c>
      <c r="S5912" s="12" t="s">
        <v>36</v>
      </c>
      <c r="T5912" s="12" t="s">
        <v>335</v>
      </c>
      <c r="U5912" s="12" t="s">
        <v>38</v>
      </c>
      <c r="V5912" s="12" t="s">
        <v>39</v>
      </c>
      <c r="W5912" s="12" t="s">
        <v>27386</v>
      </c>
      <c r="X5912" s="16" t="s">
        <v>27387</v>
      </c>
      <c r="Y5912" s="15" t="s">
        <v>108</v>
      </c>
      <c r="Z5912" s="14">
        <v>1.04</v>
      </c>
      <c r="AA5912" s="14">
        <v>1.69</v>
      </c>
      <c r="AB5912" s="12" t="s">
        <v>43</v>
      </c>
      <c r="AC5912" s="12" t="s">
        <v>27388</v>
      </c>
      <c r="AD5912" s="13">
        <v>42956</v>
      </c>
      <c r="AE5912" s="12" t="s">
        <v>339</v>
      </c>
      <c r="AF5912" s="12" t="s">
        <v>1842</v>
      </c>
      <c r="AG5912" s="12" t="s">
        <v>47</v>
      </c>
      <c r="AH5912" s="1">
        <f>HYPERLINK("https://my.pitchbook.com?c=104838-49T","View Company Online")</f>
      </c>
    </row>
    <row r="5913">
      <c r="A5913" s="3" t="s">
        <v>27389</v>
      </c>
      <c r="B5913" s="3" t="s">
        <v>880</v>
      </c>
      <c r="C5913" s="5" t="s">
        <v>36</v>
      </c>
      <c r="D5913" s="5" t="s">
        <v>36</v>
      </c>
      <c r="E5913" s="5" t="s">
        <v>36</v>
      </c>
      <c r="F5913" s="5" t="s">
        <v>36</v>
      </c>
      <c r="G5913" s="6" t="s">
        <v>326</v>
      </c>
      <c r="H5913" s="4">
        <v>207.71</v>
      </c>
      <c r="I5913" s="7">
        <v>8.34</v>
      </c>
      <c r="J5913" s="3" t="s">
        <v>521</v>
      </c>
      <c r="K5913" s="9" t="s">
        <v>36</v>
      </c>
      <c r="L5913" s="6" t="s">
        <v>36</v>
      </c>
      <c r="M5913" s="3" t="s">
        <v>36</v>
      </c>
      <c r="N5913" s="3" t="s">
        <v>36</v>
      </c>
      <c r="O5913" s="8" t="s">
        <v>36</v>
      </c>
      <c r="P5913" s="3" t="s">
        <v>36</v>
      </c>
      <c r="Q5913" s="3" t="s">
        <v>36</v>
      </c>
      <c r="R5913" s="3" t="s">
        <v>36</v>
      </c>
      <c r="S5913" s="3" t="s">
        <v>36</v>
      </c>
      <c r="T5913" s="3" t="s">
        <v>881</v>
      </c>
      <c r="U5913" s="3" t="s">
        <v>51</v>
      </c>
      <c r="V5913" s="3" t="s">
        <v>52</v>
      </c>
      <c r="W5913" s="3" t="s">
        <v>882</v>
      </c>
      <c r="X5913" s="10" t="s">
        <v>27390</v>
      </c>
      <c r="Y5913" s="6" t="s">
        <v>42</v>
      </c>
      <c r="Z5913" s="4">
        <v>2.15</v>
      </c>
      <c r="AA5913" s="4">
        <v>5.59</v>
      </c>
      <c r="AB5913" s="3" t="s">
        <v>43</v>
      </c>
      <c r="AC5913" s="3" t="s">
        <v>884</v>
      </c>
      <c r="AD5913" s="9">
        <v>42954</v>
      </c>
      <c r="AE5913" s="3" t="s">
        <v>504</v>
      </c>
      <c r="AF5913" s="3" t="s">
        <v>885</v>
      </c>
      <c r="AG5913" s="3" t="s">
        <v>652</v>
      </c>
      <c r="AH5913" s="11">
        <f>HYPERLINK("https://my.pitchbook.com?c=134079-67T","View Company Online")</f>
      </c>
    </row>
    <row r="5914">
      <c r="A5914" s="12" t="s">
        <v>27391</v>
      </c>
      <c r="B5914" s="12" t="s">
        <v>27392</v>
      </c>
      <c r="C5914" s="19" t="s">
        <v>36</v>
      </c>
      <c r="D5914" s="19" t="s">
        <v>36</v>
      </c>
      <c r="E5914" s="19" t="s">
        <v>36</v>
      </c>
      <c r="F5914" s="19" t="s">
        <v>36</v>
      </c>
      <c r="G5914" s="15" t="s">
        <v>36</v>
      </c>
      <c r="H5914" s="14">
        <v>8.31</v>
      </c>
      <c r="I5914" s="18">
        <v>36.76</v>
      </c>
      <c r="J5914" s="12" t="s">
        <v>521</v>
      </c>
      <c r="K5914" s="13" t="s">
        <v>36</v>
      </c>
      <c r="L5914" s="15" t="s">
        <v>36</v>
      </c>
      <c r="M5914" s="12" t="s">
        <v>36</v>
      </c>
      <c r="N5914" s="12" t="s">
        <v>36</v>
      </c>
      <c r="O5914" s="17" t="s">
        <v>36</v>
      </c>
      <c r="P5914" s="12" t="s">
        <v>36</v>
      </c>
      <c r="Q5914" s="12" t="s">
        <v>36</v>
      </c>
      <c r="R5914" s="12" t="s">
        <v>36</v>
      </c>
      <c r="S5914" s="12" t="s">
        <v>36</v>
      </c>
      <c r="T5914" s="12" t="s">
        <v>1260</v>
      </c>
      <c r="U5914" s="12" t="s">
        <v>38</v>
      </c>
      <c r="V5914" s="12" t="s">
        <v>39</v>
      </c>
      <c r="W5914" s="12" t="s">
        <v>27393</v>
      </c>
      <c r="X5914" s="16" t="s">
        <v>27394</v>
      </c>
      <c r="Y5914" s="15" t="s">
        <v>42</v>
      </c>
      <c r="Z5914" s="14">
        <v>0.54</v>
      </c>
      <c r="AA5914" s="14">
        <v>1.47</v>
      </c>
      <c r="AB5914" s="12" t="s">
        <v>56</v>
      </c>
      <c r="AC5914" s="12" t="s">
        <v>27395</v>
      </c>
      <c r="AD5914" s="13">
        <v>42954</v>
      </c>
      <c r="AE5914" s="12" t="s">
        <v>110</v>
      </c>
      <c r="AF5914" s="12" t="s">
        <v>1401</v>
      </c>
      <c r="AG5914" s="12" t="s">
        <v>9121</v>
      </c>
      <c r="AH5914" s="1">
        <f>HYPERLINK("https://my.pitchbook.com?c=109594-90T","View Company Online")</f>
      </c>
    </row>
    <row r="5915">
      <c r="A5915" s="3" t="s">
        <v>27396</v>
      </c>
      <c r="B5915" s="3" t="s">
        <v>21959</v>
      </c>
      <c r="C5915" s="5" t="s">
        <v>36</v>
      </c>
      <c r="D5915" s="5" t="s">
        <v>36</v>
      </c>
      <c r="E5915" s="5" t="s">
        <v>36</v>
      </c>
      <c r="F5915" s="5" t="s">
        <v>36</v>
      </c>
      <c r="G5915" s="6" t="s">
        <v>36</v>
      </c>
      <c r="H5915" s="4">
        <v>0.18</v>
      </c>
      <c r="I5915" s="7">
        <v>14.39</v>
      </c>
      <c r="J5915" s="3" t="s">
        <v>521</v>
      </c>
      <c r="K5915" s="9" t="s">
        <v>36</v>
      </c>
      <c r="L5915" s="6" t="s">
        <v>36</v>
      </c>
      <c r="M5915" s="3" t="s">
        <v>36</v>
      </c>
      <c r="N5915" s="3" t="s">
        <v>36</v>
      </c>
      <c r="O5915" s="8" t="s">
        <v>36</v>
      </c>
      <c r="P5915" s="3" t="s">
        <v>36</v>
      </c>
      <c r="Q5915" s="3" t="s">
        <v>36</v>
      </c>
      <c r="R5915" s="3" t="s">
        <v>36</v>
      </c>
      <c r="S5915" s="3" t="s">
        <v>36</v>
      </c>
      <c r="T5915" s="3" t="s">
        <v>4917</v>
      </c>
      <c r="U5915" s="3" t="s">
        <v>38</v>
      </c>
      <c r="V5915" s="3" t="s">
        <v>39</v>
      </c>
      <c r="W5915" s="3" t="s">
        <v>21960</v>
      </c>
      <c r="X5915" s="10" t="s">
        <v>27397</v>
      </c>
      <c r="Y5915" s="6" t="s">
        <v>42</v>
      </c>
      <c r="Z5915" s="4">
        <v>0.13</v>
      </c>
      <c r="AA5915" s="4">
        <v>0.88</v>
      </c>
      <c r="AB5915" s="3" t="s">
        <v>43</v>
      </c>
      <c r="AC5915" s="3" t="s">
        <v>21962</v>
      </c>
      <c r="AD5915" s="9">
        <v>42951</v>
      </c>
      <c r="AE5915" s="3" t="s">
        <v>134</v>
      </c>
      <c r="AF5915" s="3" t="s">
        <v>21963</v>
      </c>
      <c r="AG5915" s="3" t="s">
        <v>21964</v>
      </c>
      <c r="AH5915" s="11">
        <f>HYPERLINK("https://my.pitchbook.com?c=122914-99T","View Company Online")</f>
      </c>
    </row>
    <row r="5916">
      <c r="A5916" s="12" t="s">
        <v>27398</v>
      </c>
      <c r="B5916" s="12" t="s">
        <v>27399</v>
      </c>
      <c r="C5916" s="19" t="s">
        <v>36</v>
      </c>
      <c r="D5916" s="19" t="s">
        <v>36</v>
      </c>
      <c r="E5916" s="19" t="s">
        <v>36</v>
      </c>
      <c r="F5916" s="19" t="s">
        <v>36</v>
      </c>
      <c r="G5916" s="15" t="s">
        <v>683</v>
      </c>
      <c r="H5916" s="14">
        <v>14.16</v>
      </c>
      <c r="I5916" s="18">
        <v>29.13</v>
      </c>
      <c r="J5916" s="12" t="s">
        <v>521</v>
      </c>
      <c r="K5916" s="13" t="s">
        <v>36</v>
      </c>
      <c r="L5916" s="15" t="s">
        <v>36</v>
      </c>
      <c r="M5916" s="12" t="s">
        <v>36</v>
      </c>
      <c r="N5916" s="12" t="s">
        <v>36</v>
      </c>
      <c r="O5916" s="17" t="s">
        <v>36</v>
      </c>
      <c r="P5916" s="12" t="s">
        <v>36</v>
      </c>
      <c r="Q5916" s="12" t="s">
        <v>36</v>
      </c>
      <c r="R5916" s="12" t="s">
        <v>36</v>
      </c>
      <c r="S5916" s="12" t="s">
        <v>36</v>
      </c>
      <c r="T5916" s="12" t="s">
        <v>3790</v>
      </c>
      <c r="U5916" s="12" t="s">
        <v>318</v>
      </c>
      <c r="V5916" s="12" t="s">
        <v>39</v>
      </c>
      <c r="W5916" s="12" t="s">
        <v>27400</v>
      </c>
      <c r="X5916" s="16" t="s">
        <v>27377</v>
      </c>
      <c r="Y5916" s="15" t="s">
        <v>108</v>
      </c>
      <c r="Z5916" s="14">
        <v>0.66</v>
      </c>
      <c r="AA5916" s="14">
        <v>2.28</v>
      </c>
      <c r="AB5916" s="12" t="s">
        <v>56</v>
      </c>
      <c r="AC5916" s="12" t="s">
        <v>27401</v>
      </c>
      <c r="AD5916" s="13">
        <v>42948</v>
      </c>
      <c r="AE5916" s="12" t="s">
        <v>763</v>
      </c>
      <c r="AF5916" s="12" t="s">
        <v>36</v>
      </c>
      <c r="AG5916" s="12" t="s">
        <v>3406</v>
      </c>
      <c r="AH5916" s="1">
        <f>HYPERLINK("https://my.pitchbook.com?c=187894-99T","View Company Online")</f>
      </c>
    </row>
    <row r="5917">
      <c r="A5917" s="3" t="s">
        <v>27402</v>
      </c>
      <c r="B5917" s="3" t="s">
        <v>27403</v>
      </c>
      <c r="C5917" s="5" t="s">
        <v>36</v>
      </c>
      <c r="D5917" s="5" t="s">
        <v>36</v>
      </c>
      <c r="E5917" s="5" t="s">
        <v>36</v>
      </c>
      <c r="F5917" s="5" t="s">
        <v>36</v>
      </c>
      <c r="G5917" s="6" t="s">
        <v>36</v>
      </c>
      <c r="H5917" s="4" t="s">
        <v>36</v>
      </c>
      <c r="I5917" s="7" t="s">
        <v>36</v>
      </c>
      <c r="J5917" s="3" t="s">
        <v>36</v>
      </c>
      <c r="K5917" s="9" t="s">
        <v>36</v>
      </c>
      <c r="L5917" s="6" t="s">
        <v>36</v>
      </c>
      <c r="M5917" s="3" t="s">
        <v>36</v>
      </c>
      <c r="N5917" s="3" t="s">
        <v>36</v>
      </c>
      <c r="O5917" s="8" t="s">
        <v>36</v>
      </c>
      <c r="P5917" s="3" t="s">
        <v>36</v>
      </c>
      <c r="Q5917" s="3" t="s">
        <v>36</v>
      </c>
      <c r="R5917" s="3" t="s">
        <v>36</v>
      </c>
      <c r="S5917" s="3" t="s">
        <v>36</v>
      </c>
      <c r="T5917" s="3" t="s">
        <v>9456</v>
      </c>
      <c r="U5917" s="3" t="s">
        <v>63</v>
      </c>
      <c r="V5917" s="3" t="s">
        <v>64</v>
      </c>
      <c r="W5917" s="3" t="s">
        <v>27404</v>
      </c>
      <c r="X5917" s="10" t="s">
        <v>1872</v>
      </c>
      <c r="Y5917" s="6" t="s">
        <v>42</v>
      </c>
      <c r="Z5917" s="4" t="s">
        <v>36</v>
      </c>
      <c r="AA5917" s="4" t="s">
        <v>36</v>
      </c>
      <c r="AB5917" s="3" t="s">
        <v>56</v>
      </c>
      <c r="AC5917" s="3" t="s">
        <v>27405</v>
      </c>
      <c r="AD5917" s="9">
        <v>42948</v>
      </c>
      <c r="AE5917" s="3" t="s">
        <v>4310</v>
      </c>
      <c r="AF5917" s="3" t="s">
        <v>36</v>
      </c>
      <c r="AG5917" s="3" t="s">
        <v>14233</v>
      </c>
      <c r="AH5917" s="11">
        <f>HYPERLINK("https://my.pitchbook.com?c=93529-09T","View Company Online")</f>
      </c>
    </row>
    <row r="5918">
      <c r="A5918" s="12" t="s">
        <v>27406</v>
      </c>
      <c r="B5918" s="12" t="s">
        <v>27407</v>
      </c>
      <c r="C5918" s="19" t="s">
        <v>36</v>
      </c>
      <c r="D5918" s="19" t="s">
        <v>36</v>
      </c>
      <c r="E5918" s="19" t="s">
        <v>36</v>
      </c>
      <c r="F5918" s="19" t="s">
        <v>36</v>
      </c>
      <c r="G5918" s="15" t="s">
        <v>36</v>
      </c>
      <c r="H5918" s="14" t="s">
        <v>36</v>
      </c>
      <c r="I5918" s="18" t="s">
        <v>36</v>
      </c>
      <c r="J5918" s="12" t="s">
        <v>36</v>
      </c>
      <c r="K5918" s="13" t="s">
        <v>36</v>
      </c>
      <c r="L5918" s="15" t="s">
        <v>36</v>
      </c>
      <c r="M5918" s="12" t="s">
        <v>36</v>
      </c>
      <c r="N5918" s="12" t="s">
        <v>36</v>
      </c>
      <c r="O5918" s="17" t="s">
        <v>36</v>
      </c>
      <c r="P5918" s="12" t="s">
        <v>36</v>
      </c>
      <c r="Q5918" s="12" t="s">
        <v>36</v>
      </c>
      <c r="R5918" s="12" t="s">
        <v>36</v>
      </c>
      <c r="S5918" s="12" t="s">
        <v>36</v>
      </c>
      <c r="T5918" s="12" t="s">
        <v>4827</v>
      </c>
      <c r="U5918" s="12" t="s">
        <v>648</v>
      </c>
      <c r="V5918" s="12" t="s">
        <v>64</v>
      </c>
      <c r="W5918" s="12" t="s">
        <v>27408</v>
      </c>
      <c r="X5918" s="16" t="s">
        <v>1872</v>
      </c>
      <c r="Y5918" s="15" t="s">
        <v>42</v>
      </c>
      <c r="Z5918" s="14" t="s">
        <v>36</v>
      </c>
      <c r="AA5918" s="14" t="s">
        <v>36</v>
      </c>
      <c r="AB5918" s="12" t="s">
        <v>43</v>
      </c>
      <c r="AC5918" s="12" t="s">
        <v>27409</v>
      </c>
      <c r="AD5918" s="13">
        <v>42948</v>
      </c>
      <c r="AE5918" s="12" t="s">
        <v>3988</v>
      </c>
      <c r="AF5918" s="12" t="s">
        <v>4284</v>
      </c>
      <c r="AG5918" s="12" t="s">
        <v>11675</v>
      </c>
      <c r="AH5918" s="1">
        <f>HYPERLINK("https://my.pitchbook.com?c=93527-65T","View Company Online")</f>
      </c>
    </row>
    <row r="5919">
      <c r="A5919" s="3" t="s">
        <v>27410</v>
      </c>
      <c r="B5919" s="3" t="s">
        <v>27411</v>
      </c>
      <c r="C5919" s="5">
        <v>1</v>
      </c>
      <c r="D5919" s="5" t="s">
        <v>36</v>
      </c>
      <c r="E5919" s="5">
        <v>1</v>
      </c>
      <c r="F5919" s="5">
        <v>1</v>
      </c>
      <c r="G5919" s="6" t="s">
        <v>36</v>
      </c>
      <c r="H5919" s="4" t="s">
        <v>36</v>
      </c>
      <c r="I5919" s="7" t="s">
        <v>36</v>
      </c>
      <c r="J5919" s="3" t="s">
        <v>36</v>
      </c>
      <c r="K5919" s="9" t="s">
        <v>36</v>
      </c>
      <c r="L5919" s="6" t="s">
        <v>36</v>
      </c>
      <c r="M5919" s="3" t="s">
        <v>36</v>
      </c>
      <c r="N5919" s="3" t="s">
        <v>36</v>
      </c>
      <c r="O5919" s="8" t="s">
        <v>36</v>
      </c>
      <c r="P5919" s="3" t="s">
        <v>36</v>
      </c>
      <c r="Q5919" s="3" t="s">
        <v>36</v>
      </c>
      <c r="R5919" s="3" t="s">
        <v>36</v>
      </c>
      <c r="S5919" s="3" t="s">
        <v>36</v>
      </c>
      <c r="T5919" s="3" t="s">
        <v>27412</v>
      </c>
      <c r="U5919" s="3" t="s">
        <v>648</v>
      </c>
      <c r="V5919" s="3" t="s">
        <v>64</v>
      </c>
      <c r="W5919" s="3" t="s">
        <v>27413</v>
      </c>
      <c r="X5919" s="10" t="s">
        <v>1872</v>
      </c>
      <c r="Y5919" s="6" t="s">
        <v>42</v>
      </c>
      <c r="Z5919" s="4" t="s">
        <v>36</v>
      </c>
      <c r="AA5919" s="4" t="s">
        <v>36</v>
      </c>
      <c r="AB5919" s="3" t="s">
        <v>56</v>
      </c>
      <c r="AC5919" s="3" t="s">
        <v>27414</v>
      </c>
      <c r="AD5919" s="9">
        <v>42948</v>
      </c>
      <c r="AE5919" s="3" t="s">
        <v>651</v>
      </c>
      <c r="AF5919" s="3" t="s">
        <v>90</v>
      </c>
      <c r="AG5919" s="3" t="s">
        <v>11675</v>
      </c>
      <c r="AH5919" s="11">
        <f>HYPERLINK("https://my.pitchbook.com?c=93526-03T","View Company Online")</f>
      </c>
    </row>
    <row r="5920">
      <c r="A5920" s="12" t="s">
        <v>27415</v>
      </c>
      <c r="B5920" s="12" t="s">
        <v>27416</v>
      </c>
      <c r="C5920" s="19" t="s">
        <v>36</v>
      </c>
      <c r="D5920" s="19">
        <v>2</v>
      </c>
      <c r="E5920" s="19">
        <v>2</v>
      </c>
      <c r="F5920" s="19">
        <v>3</v>
      </c>
      <c r="G5920" s="15" t="s">
        <v>2497</v>
      </c>
      <c r="H5920" s="14">
        <v>390</v>
      </c>
      <c r="I5920" s="18">
        <v>38.46</v>
      </c>
      <c r="J5920" s="12" t="s">
        <v>521</v>
      </c>
      <c r="K5920" s="13" t="s">
        <v>36</v>
      </c>
      <c r="L5920" s="15" t="s">
        <v>36</v>
      </c>
      <c r="M5920" s="12" t="s">
        <v>36</v>
      </c>
      <c r="N5920" s="12" t="s">
        <v>36</v>
      </c>
      <c r="O5920" s="17" t="s">
        <v>36</v>
      </c>
      <c r="P5920" s="12" t="s">
        <v>36</v>
      </c>
      <c r="Q5920" s="12" t="s">
        <v>36</v>
      </c>
      <c r="R5920" s="12" t="s">
        <v>36</v>
      </c>
      <c r="S5920" s="12" t="s">
        <v>36</v>
      </c>
      <c r="T5920" s="12" t="s">
        <v>27417</v>
      </c>
      <c r="U5920" s="12" t="s">
        <v>833</v>
      </c>
      <c r="V5920" s="12" t="s">
        <v>64</v>
      </c>
      <c r="W5920" s="12" t="s">
        <v>27418</v>
      </c>
      <c r="X5920" s="16" t="s">
        <v>26248</v>
      </c>
      <c r="Y5920" s="15" t="s">
        <v>55</v>
      </c>
      <c r="Z5920" s="14">
        <v>1</v>
      </c>
      <c r="AA5920" s="14">
        <v>2.6</v>
      </c>
      <c r="AB5920" s="12" t="s">
        <v>43</v>
      </c>
      <c r="AC5920" s="12" t="s">
        <v>27419</v>
      </c>
      <c r="AD5920" s="13">
        <v>42948</v>
      </c>
      <c r="AE5920" s="12" t="s">
        <v>837</v>
      </c>
      <c r="AF5920" s="12" t="s">
        <v>3040</v>
      </c>
      <c r="AG5920" s="12" t="s">
        <v>186</v>
      </c>
      <c r="AH5920" s="1">
        <f>HYPERLINK("https://my.pitchbook.com?c=109685-26T","View Company Online")</f>
      </c>
    </row>
    <row r="5921">
      <c r="A5921" s="3" t="s">
        <v>27420</v>
      </c>
      <c r="B5921" s="3" t="s">
        <v>27421</v>
      </c>
      <c r="C5921" s="5" t="s">
        <v>36</v>
      </c>
      <c r="D5921" s="5" t="s">
        <v>36</v>
      </c>
      <c r="E5921" s="5" t="s">
        <v>36</v>
      </c>
      <c r="F5921" s="5" t="s">
        <v>36</v>
      </c>
      <c r="G5921" s="6" t="s">
        <v>36</v>
      </c>
      <c r="H5921" s="4">
        <v>9986.22</v>
      </c>
      <c r="I5921" s="7">
        <v>34.21</v>
      </c>
      <c r="J5921" s="3" t="s">
        <v>327</v>
      </c>
      <c r="K5921" s="9">
        <v>42947</v>
      </c>
      <c r="L5921" s="6" t="s">
        <v>36</v>
      </c>
      <c r="M5921" s="3" t="s">
        <v>36</v>
      </c>
      <c r="N5921" s="3" t="s">
        <v>36</v>
      </c>
      <c r="O5921" s="8" t="s">
        <v>36</v>
      </c>
      <c r="P5921" s="3" t="s">
        <v>36</v>
      </c>
      <c r="Q5921" s="3" t="s">
        <v>36</v>
      </c>
      <c r="R5921" s="3" t="s">
        <v>36</v>
      </c>
      <c r="S5921" s="3" t="s">
        <v>36</v>
      </c>
      <c r="T5921" s="3" t="s">
        <v>5302</v>
      </c>
      <c r="U5921" s="3" t="s">
        <v>74</v>
      </c>
      <c r="V5921" s="3" t="s">
        <v>75</v>
      </c>
      <c r="W5921" s="3" t="s">
        <v>27422</v>
      </c>
      <c r="X5921" s="10" t="s">
        <v>27423</v>
      </c>
      <c r="Y5921" s="6" t="s">
        <v>42</v>
      </c>
      <c r="Z5921" s="4">
        <v>0.58</v>
      </c>
      <c r="AA5921" s="4">
        <v>1.69</v>
      </c>
      <c r="AB5921" s="3" t="s">
        <v>43</v>
      </c>
      <c r="AC5921" s="3" t="s">
        <v>27424</v>
      </c>
      <c r="AD5921" s="9">
        <v>42948</v>
      </c>
      <c r="AE5921" s="3" t="s">
        <v>362</v>
      </c>
      <c r="AF5921" s="3" t="s">
        <v>4668</v>
      </c>
      <c r="AG5921" s="3" t="s">
        <v>27425</v>
      </c>
      <c r="AH5921" s="11">
        <f>HYPERLINK("https://my.pitchbook.com?c=102635-11T","View Company Online")</f>
      </c>
    </row>
    <row r="5922">
      <c r="A5922" s="12" t="s">
        <v>27426</v>
      </c>
      <c r="B5922" s="12" t="s">
        <v>21509</v>
      </c>
      <c r="C5922" s="19" t="s">
        <v>36</v>
      </c>
      <c r="D5922" s="19" t="s">
        <v>36</v>
      </c>
      <c r="E5922" s="19" t="s">
        <v>36</v>
      </c>
      <c r="F5922" s="19" t="s">
        <v>36</v>
      </c>
      <c r="G5922" s="15" t="s">
        <v>36</v>
      </c>
      <c r="H5922" s="14">
        <v>229.69</v>
      </c>
      <c r="I5922" s="18">
        <v>16.11</v>
      </c>
      <c r="J5922" s="12" t="s">
        <v>521</v>
      </c>
      <c r="K5922" s="13" t="s">
        <v>36</v>
      </c>
      <c r="L5922" s="15" t="s">
        <v>36</v>
      </c>
      <c r="M5922" s="12" t="s">
        <v>36</v>
      </c>
      <c r="N5922" s="12" t="s">
        <v>36</v>
      </c>
      <c r="O5922" s="17" t="s">
        <v>36</v>
      </c>
      <c r="P5922" s="12" t="s">
        <v>36</v>
      </c>
      <c r="Q5922" s="12" t="s">
        <v>36</v>
      </c>
      <c r="R5922" s="12" t="s">
        <v>36</v>
      </c>
      <c r="S5922" s="12" t="s">
        <v>36</v>
      </c>
      <c r="T5922" s="12" t="s">
        <v>4911</v>
      </c>
      <c r="U5922" s="12" t="s">
        <v>63</v>
      </c>
      <c r="V5922" s="12" t="s">
        <v>64</v>
      </c>
      <c r="W5922" s="12" t="s">
        <v>21510</v>
      </c>
      <c r="X5922" s="16" t="s">
        <v>9641</v>
      </c>
      <c r="Y5922" s="15" t="s">
        <v>108</v>
      </c>
      <c r="Z5922" s="14">
        <v>0.58</v>
      </c>
      <c r="AA5922" s="14">
        <v>3.58</v>
      </c>
      <c r="AB5922" s="12" t="s">
        <v>56</v>
      </c>
      <c r="AC5922" s="12" t="s">
        <v>21511</v>
      </c>
      <c r="AD5922" s="13">
        <v>42947</v>
      </c>
      <c r="AE5922" s="12" t="s">
        <v>399</v>
      </c>
      <c r="AF5922" s="12" t="s">
        <v>21512</v>
      </c>
      <c r="AG5922" s="12" t="s">
        <v>81</v>
      </c>
      <c r="AH5922" s="1">
        <f>HYPERLINK("https://my.pitchbook.com?c=127452-34T","View Company Online")</f>
      </c>
    </row>
    <row r="5923">
      <c r="A5923" s="3" t="s">
        <v>27427</v>
      </c>
      <c r="B5923" s="3" t="s">
        <v>27428</v>
      </c>
      <c r="C5923" s="5" t="s">
        <v>36</v>
      </c>
      <c r="D5923" s="5" t="s">
        <v>36</v>
      </c>
      <c r="E5923" s="5" t="s">
        <v>36</v>
      </c>
      <c r="F5923" s="5" t="s">
        <v>36</v>
      </c>
      <c r="G5923" s="6" t="s">
        <v>36</v>
      </c>
      <c r="H5923" s="4" t="s">
        <v>36</v>
      </c>
      <c r="I5923" s="7" t="s">
        <v>36</v>
      </c>
      <c r="J5923" s="3" t="s">
        <v>36</v>
      </c>
      <c r="K5923" s="9" t="s">
        <v>36</v>
      </c>
      <c r="L5923" s="6" t="s">
        <v>1279</v>
      </c>
      <c r="M5923" s="3" t="s">
        <v>36</v>
      </c>
      <c r="N5923" s="3" t="s">
        <v>1279</v>
      </c>
      <c r="O5923" s="8" t="s">
        <v>36</v>
      </c>
      <c r="P5923" s="3" t="s">
        <v>36</v>
      </c>
      <c r="Q5923" s="3" t="s">
        <v>36</v>
      </c>
      <c r="R5923" s="3" t="s">
        <v>36</v>
      </c>
      <c r="S5923" s="3" t="s">
        <v>36</v>
      </c>
      <c r="T5923" s="3" t="s">
        <v>27429</v>
      </c>
      <c r="U5923" s="3" t="s">
        <v>648</v>
      </c>
      <c r="V5923" s="3" t="s">
        <v>64</v>
      </c>
      <c r="W5923" s="3" t="s">
        <v>27430</v>
      </c>
      <c r="X5923" s="10" t="s">
        <v>26647</v>
      </c>
      <c r="Y5923" s="6" t="s">
        <v>166</v>
      </c>
      <c r="Z5923" s="4">
        <v>2.19</v>
      </c>
      <c r="AA5923" s="4" t="s">
        <v>36</v>
      </c>
      <c r="AB5923" s="3" t="s">
        <v>56</v>
      </c>
      <c r="AC5923" s="3" t="s">
        <v>27431</v>
      </c>
      <c r="AD5923" s="9">
        <v>42947</v>
      </c>
      <c r="AE5923" s="3" t="s">
        <v>3988</v>
      </c>
      <c r="AF5923" s="3" t="s">
        <v>4842</v>
      </c>
      <c r="AG5923" s="3" t="s">
        <v>4449</v>
      </c>
      <c r="AH5923" s="11">
        <f>HYPERLINK("https://my.pitchbook.com?c=156643-03T","View Company Online")</f>
      </c>
    </row>
    <row r="5924">
      <c r="A5924" s="12" t="s">
        <v>27432</v>
      </c>
      <c r="B5924" s="12" t="s">
        <v>7498</v>
      </c>
      <c r="C5924" s="19">
        <v>39</v>
      </c>
      <c r="D5924" s="19">
        <v>26</v>
      </c>
      <c r="E5924" s="19">
        <v>15</v>
      </c>
      <c r="F5924" s="19">
        <v>72</v>
      </c>
      <c r="G5924" s="15" t="s">
        <v>326</v>
      </c>
      <c r="H5924" s="14">
        <v>46.74</v>
      </c>
      <c r="I5924" s="18">
        <v>61.59</v>
      </c>
      <c r="J5924" s="12" t="s">
        <v>521</v>
      </c>
      <c r="K5924" s="13">
        <v>42446</v>
      </c>
      <c r="L5924" s="15" t="s">
        <v>1862</v>
      </c>
      <c r="M5924" s="12" t="s">
        <v>36</v>
      </c>
      <c r="N5924" s="12" t="s">
        <v>1862</v>
      </c>
      <c r="O5924" s="17" t="s">
        <v>36</v>
      </c>
      <c r="P5924" s="12" t="s">
        <v>36</v>
      </c>
      <c r="Q5924" s="12" t="s">
        <v>36</v>
      </c>
      <c r="R5924" s="12" t="s">
        <v>36</v>
      </c>
      <c r="S5924" s="12" t="s">
        <v>36</v>
      </c>
      <c r="T5924" s="12" t="s">
        <v>1863</v>
      </c>
      <c r="U5924" s="12" t="s">
        <v>96</v>
      </c>
      <c r="V5924" s="12" t="s">
        <v>52</v>
      </c>
      <c r="W5924" s="12" t="s">
        <v>7499</v>
      </c>
      <c r="X5924" s="16" t="s">
        <v>27433</v>
      </c>
      <c r="Y5924" s="15" t="s">
        <v>108</v>
      </c>
      <c r="Z5924" s="14">
        <v>25.93</v>
      </c>
      <c r="AA5924" s="14">
        <v>42.11</v>
      </c>
      <c r="AB5924" s="12" t="s">
        <v>43</v>
      </c>
      <c r="AC5924" s="12" t="s">
        <v>7501</v>
      </c>
      <c r="AD5924" s="13">
        <v>42946</v>
      </c>
      <c r="AE5924" s="12" t="s">
        <v>1414</v>
      </c>
      <c r="AF5924" s="12" t="s">
        <v>159</v>
      </c>
      <c r="AG5924" s="12" t="s">
        <v>81</v>
      </c>
      <c r="AH5924" s="1">
        <f>HYPERLINK("https://my.pitchbook.com?c=67804-21T","View Company Online")</f>
      </c>
    </row>
    <row r="5925">
      <c r="A5925" s="3" t="s">
        <v>27434</v>
      </c>
      <c r="B5925" s="3" t="s">
        <v>23559</v>
      </c>
      <c r="C5925" s="5">
        <v>16</v>
      </c>
      <c r="D5925" s="5">
        <v>170</v>
      </c>
      <c r="E5925" s="5">
        <v>31</v>
      </c>
      <c r="F5925" s="5">
        <v>193</v>
      </c>
      <c r="G5925" s="6" t="s">
        <v>2497</v>
      </c>
      <c r="H5925" s="4">
        <v>0.6</v>
      </c>
      <c r="I5925" s="7">
        <v>52.75</v>
      </c>
      <c r="J5925" s="3" t="s">
        <v>521</v>
      </c>
      <c r="K5925" s="9" t="s">
        <v>36</v>
      </c>
      <c r="L5925" s="6" t="s">
        <v>122</v>
      </c>
      <c r="M5925" s="3" t="s">
        <v>36</v>
      </c>
      <c r="N5925" s="3" t="s">
        <v>122</v>
      </c>
      <c r="O5925" s="8" t="s">
        <v>36</v>
      </c>
      <c r="P5925" s="3" t="s">
        <v>36</v>
      </c>
      <c r="Q5925" s="3" t="s">
        <v>36</v>
      </c>
      <c r="R5925" s="3" t="s">
        <v>36</v>
      </c>
      <c r="S5925" s="3" t="s">
        <v>36</v>
      </c>
      <c r="T5925" s="3" t="s">
        <v>4225</v>
      </c>
      <c r="U5925" s="3" t="s">
        <v>96</v>
      </c>
      <c r="V5925" s="3" t="s">
        <v>52</v>
      </c>
      <c r="W5925" s="3" t="s">
        <v>23560</v>
      </c>
      <c r="X5925" s="10" t="s">
        <v>27435</v>
      </c>
      <c r="Y5925" s="6" t="s">
        <v>108</v>
      </c>
      <c r="Z5925" s="4">
        <v>14.16</v>
      </c>
      <c r="AA5925" s="4">
        <v>13.64</v>
      </c>
      <c r="AB5925" s="3" t="s">
        <v>56</v>
      </c>
      <c r="AC5925" s="3" t="s">
        <v>23562</v>
      </c>
      <c r="AD5925" s="9">
        <v>42945</v>
      </c>
      <c r="AE5925" s="3" t="s">
        <v>143</v>
      </c>
      <c r="AF5925" s="3" t="s">
        <v>101</v>
      </c>
      <c r="AG5925" s="3" t="s">
        <v>81</v>
      </c>
      <c r="AH5925" s="11">
        <f>HYPERLINK("https://my.pitchbook.com?c=96428-62T","View Company Online")</f>
      </c>
    </row>
    <row r="5926">
      <c r="A5926" s="12" t="s">
        <v>27436</v>
      </c>
      <c r="B5926" s="12" t="s">
        <v>27437</v>
      </c>
      <c r="C5926" s="19" t="s">
        <v>36</v>
      </c>
      <c r="D5926" s="19" t="s">
        <v>36</v>
      </c>
      <c r="E5926" s="19" t="s">
        <v>36</v>
      </c>
      <c r="F5926" s="19" t="s">
        <v>36</v>
      </c>
      <c r="G5926" s="15" t="s">
        <v>36</v>
      </c>
      <c r="H5926" s="14">
        <v>330.83</v>
      </c>
      <c r="I5926" s="18">
        <v>16.34</v>
      </c>
      <c r="J5926" s="12" t="s">
        <v>327</v>
      </c>
      <c r="K5926" s="13" t="s">
        <v>36</v>
      </c>
      <c r="L5926" s="15" t="s">
        <v>36</v>
      </c>
      <c r="M5926" s="12" t="s">
        <v>36</v>
      </c>
      <c r="N5926" s="12" t="s">
        <v>36</v>
      </c>
      <c r="O5926" s="17" t="s">
        <v>36</v>
      </c>
      <c r="P5926" s="12" t="s">
        <v>36</v>
      </c>
      <c r="Q5926" s="12" t="s">
        <v>36</v>
      </c>
      <c r="R5926" s="12" t="s">
        <v>36</v>
      </c>
      <c r="S5926" s="12" t="s">
        <v>36</v>
      </c>
      <c r="T5926" s="12" t="s">
        <v>27438</v>
      </c>
      <c r="U5926" s="12" t="s">
        <v>289</v>
      </c>
      <c r="V5926" s="12" t="s">
        <v>64</v>
      </c>
      <c r="W5926" s="12" t="s">
        <v>27439</v>
      </c>
      <c r="X5926" s="16" t="s">
        <v>27440</v>
      </c>
      <c r="Y5926" s="15" t="s">
        <v>192</v>
      </c>
      <c r="Z5926" s="14">
        <v>8.4</v>
      </c>
      <c r="AA5926" s="14">
        <v>51.41</v>
      </c>
      <c r="AB5926" s="12" t="s">
        <v>56</v>
      </c>
      <c r="AC5926" s="12" t="s">
        <v>27441</v>
      </c>
      <c r="AD5926" s="13">
        <v>42944</v>
      </c>
      <c r="AE5926" s="12" t="s">
        <v>292</v>
      </c>
      <c r="AF5926" s="12" t="s">
        <v>2118</v>
      </c>
      <c r="AG5926" s="12" t="s">
        <v>2133</v>
      </c>
      <c r="AH5926" s="1">
        <f>HYPERLINK("https://my.pitchbook.com?c=91932-40T","View Company Online")</f>
      </c>
    </row>
    <row r="5927">
      <c r="A5927" s="3" t="s">
        <v>27442</v>
      </c>
      <c r="B5927" s="3" t="s">
        <v>10873</v>
      </c>
      <c r="C5927" s="5" t="s">
        <v>36</v>
      </c>
      <c r="D5927" s="5" t="s">
        <v>36</v>
      </c>
      <c r="E5927" s="5" t="s">
        <v>36</v>
      </c>
      <c r="F5927" s="5" t="s">
        <v>36</v>
      </c>
      <c r="G5927" s="6" t="s">
        <v>36</v>
      </c>
      <c r="H5927" s="4" t="s">
        <v>36</v>
      </c>
      <c r="I5927" s="7" t="s">
        <v>36</v>
      </c>
      <c r="J5927" s="3" t="s">
        <v>36</v>
      </c>
      <c r="K5927" s="9" t="s">
        <v>36</v>
      </c>
      <c r="L5927" s="6" t="s">
        <v>122</v>
      </c>
      <c r="M5927" s="3" t="s">
        <v>36</v>
      </c>
      <c r="N5927" s="3" t="s">
        <v>122</v>
      </c>
      <c r="O5927" s="8" t="s">
        <v>36</v>
      </c>
      <c r="P5927" s="3" t="s">
        <v>36</v>
      </c>
      <c r="Q5927" s="3" t="s">
        <v>36</v>
      </c>
      <c r="R5927" s="3" t="s">
        <v>36</v>
      </c>
      <c r="S5927" s="3" t="s">
        <v>36</v>
      </c>
      <c r="T5927" s="3" t="s">
        <v>27443</v>
      </c>
      <c r="U5927" s="3" t="s">
        <v>74</v>
      </c>
      <c r="V5927" s="3" t="s">
        <v>75</v>
      </c>
      <c r="W5927" s="3" t="s">
        <v>27444</v>
      </c>
      <c r="X5927" s="10" t="s">
        <v>27445</v>
      </c>
      <c r="Y5927" s="6" t="s">
        <v>192</v>
      </c>
      <c r="Z5927" s="4">
        <v>5.69</v>
      </c>
      <c r="AA5927" s="4" t="s">
        <v>36</v>
      </c>
      <c r="AB5927" s="3" t="s">
        <v>56</v>
      </c>
      <c r="AC5927" s="3" t="s">
        <v>27446</v>
      </c>
      <c r="AD5927" s="9">
        <v>42944</v>
      </c>
      <c r="AE5927" s="3" t="s">
        <v>1243</v>
      </c>
      <c r="AF5927" s="3" t="s">
        <v>546</v>
      </c>
      <c r="AG5927" s="3" t="s">
        <v>81</v>
      </c>
      <c r="AH5927" s="11">
        <f>HYPERLINK("https://my.pitchbook.com?c=97621-57T","View Company Online")</f>
      </c>
    </row>
    <row r="5928">
      <c r="A5928" s="12" t="s">
        <v>27447</v>
      </c>
      <c r="B5928" s="12" t="s">
        <v>20489</v>
      </c>
      <c r="C5928" s="19" t="s">
        <v>36</v>
      </c>
      <c r="D5928" s="19">
        <v>7</v>
      </c>
      <c r="E5928" s="19">
        <v>2</v>
      </c>
      <c r="F5928" s="19">
        <v>7</v>
      </c>
      <c r="G5928" s="15" t="s">
        <v>36</v>
      </c>
      <c r="H5928" s="14">
        <v>605.48</v>
      </c>
      <c r="I5928" s="18" t="s">
        <v>36</v>
      </c>
      <c r="J5928" s="12" t="s">
        <v>36</v>
      </c>
      <c r="K5928" s="13" t="s">
        <v>36</v>
      </c>
      <c r="L5928" s="15" t="s">
        <v>36</v>
      </c>
      <c r="M5928" s="12" t="s">
        <v>36</v>
      </c>
      <c r="N5928" s="12" t="s">
        <v>36</v>
      </c>
      <c r="O5928" s="17" t="s">
        <v>36</v>
      </c>
      <c r="P5928" s="12" t="s">
        <v>36</v>
      </c>
      <c r="Q5928" s="12" t="s">
        <v>36</v>
      </c>
      <c r="R5928" s="12" t="s">
        <v>36</v>
      </c>
      <c r="S5928" s="12" t="s">
        <v>36</v>
      </c>
      <c r="T5928" s="12" t="s">
        <v>20490</v>
      </c>
      <c r="U5928" s="12" t="s">
        <v>180</v>
      </c>
      <c r="V5928" s="12" t="s">
        <v>52</v>
      </c>
      <c r="W5928" s="12" t="s">
        <v>20491</v>
      </c>
      <c r="X5928" s="16" t="s">
        <v>27448</v>
      </c>
      <c r="Y5928" s="15" t="s">
        <v>108</v>
      </c>
      <c r="Z5928" s="14">
        <v>7.36</v>
      </c>
      <c r="AA5928" s="14" t="s">
        <v>36</v>
      </c>
      <c r="AB5928" s="12" t="s">
        <v>43</v>
      </c>
      <c r="AC5928" s="12" t="s">
        <v>20493</v>
      </c>
      <c r="AD5928" s="13">
        <v>42943</v>
      </c>
      <c r="AE5928" s="12" t="s">
        <v>1192</v>
      </c>
      <c r="AF5928" s="12" t="s">
        <v>20494</v>
      </c>
      <c r="AG5928" s="12" t="s">
        <v>81</v>
      </c>
      <c r="AH5928" s="1">
        <f>HYPERLINK("https://my.pitchbook.com?c=95315-68T","View Company Online")</f>
      </c>
    </row>
    <row r="5929">
      <c r="A5929" s="3" t="s">
        <v>27449</v>
      </c>
      <c r="B5929" s="3" t="s">
        <v>13569</v>
      </c>
      <c r="C5929" s="5" t="s">
        <v>36</v>
      </c>
      <c r="D5929" s="5" t="s">
        <v>36</v>
      </c>
      <c r="E5929" s="5" t="s">
        <v>36</v>
      </c>
      <c r="F5929" s="5" t="s">
        <v>36</v>
      </c>
      <c r="G5929" s="6" t="s">
        <v>36</v>
      </c>
      <c r="H5929" s="4">
        <v>86</v>
      </c>
      <c r="I5929" s="7">
        <v>31.38</v>
      </c>
      <c r="J5929" s="3" t="s">
        <v>521</v>
      </c>
      <c r="K5929" s="9">
        <v>42826</v>
      </c>
      <c r="L5929" s="6" t="s">
        <v>36</v>
      </c>
      <c r="M5929" s="3" t="s">
        <v>36</v>
      </c>
      <c r="N5929" s="3" t="s">
        <v>36</v>
      </c>
      <c r="O5929" s="8" t="s">
        <v>36</v>
      </c>
      <c r="P5929" s="3" t="s">
        <v>36</v>
      </c>
      <c r="Q5929" s="3" t="s">
        <v>36</v>
      </c>
      <c r="R5929" s="3" t="s">
        <v>36</v>
      </c>
      <c r="S5929" s="3" t="s">
        <v>36</v>
      </c>
      <c r="T5929" s="3" t="s">
        <v>13570</v>
      </c>
      <c r="U5929" s="3" t="s">
        <v>63</v>
      </c>
      <c r="V5929" s="3" t="s">
        <v>64</v>
      </c>
      <c r="W5929" s="3" t="s">
        <v>13571</v>
      </c>
      <c r="X5929" s="10" t="s">
        <v>23669</v>
      </c>
      <c r="Y5929" s="6" t="s">
        <v>42</v>
      </c>
      <c r="Z5929" s="4">
        <v>0.58</v>
      </c>
      <c r="AA5929" s="4">
        <v>1.84</v>
      </c>
      <c r="AB5929" s="3" t="s">
        <v>43</v>
      </c>
      <c r="AC5929" s="3" t="s">
        <v>13573</v>
      </c>
      <c r="AD5929" s="9">
        <v>42943</v>
      </c>
      <c r="AE5929" s="3" t="s">
        <v>399</v>
      </c>
      <c r="AF5929" s="3" t="s">
        <v>36</v>
      </c>
      <c r="AG5929" s="3" t="s">
        <v>81</v>
      </c>
      <c r="AH5929" s="11">
        <f>HYPERLINK("https://my.pitchbook.com?c=123004-27T","View Company Online")</f>
      </c>
    </row>
    <row r="5930">
      <c r="A5930" s="12" t="s">
        <v>27450</v>
      </c>
      <c r="B5930" s="12" t="s">
        <v>27451</v>
      </c>
      <c r="C5930" s="19" t="s">
        <v>36</v>
      </c>
      <c r="D5930" s="19">
        <v>13</v>
      </c>
      <c r="E5930" s="19">
        <v>2</v>
      </c>
      <c r="F5930" s="19">
        <v>14</v>
      </c>
      <c r="G5930" s="15" t="s">
        <v>326</v>
      </c>
      <c r="H5930" s="14">
        <v>548.51</v>
      </c>
      <c r="I5930" s="18">
        <v>11.02</v>
      </c>
      <c r="J5930" s="12" t="s">
        <v>521</v>
      </c>
      <c r="K5930" s="13" t="s">
        <v>36</v>
      </c>
      <c r="L5930" s="15" t="s">
        <v>36</v>
      </c>
      <c r="M5930" s="12" t="s">
        <v>36</v>
      </c>
      <c r="N5930" s="12" t="s">
        <v>36</v>
      </c>
      <c r="O5930" s="17" t="s">
        <v>36</v>
      </c>
      <c r="P5930" s="12" t="s">
        <v>36</v>
      </c>
      <c r="Q5930" s="12" t="s">
        <v>36</v>
      </c>
      <c r="R5930" s="12" t="s">
        <v>36</v>
      </c>
      <c r="S5930" s="12" t="s">
        <v>36</v>
      </c>
      <c r="T5930" s="12" t="s">
        <v>9243</v>
      </c>
      <c r="U5930" s="12" t="s">
        <v>423</v>
      </c>
      <c r="V5930" s="12" t="s">
        <v>64</v>
      </c>
      <c r="W5930" s="12" t="s">
        <v>27452</v>
      </c>
      <c r="X5930" s="16" t="s">
        <v>27453</v>
      </c>
      <c r="Y5930" s="15" t="s">
        <v>108</v>
      </c>
      <c r="Z5930" s="14">
        <v>1.19</v>
      </c>
      <c r="AA5930" s="14">
        <v>10.78</v>
      </c>
      <c r="AB5930" s="12" t="s">
        <v>56</v>
      </c>
      <c r="AC5930" s="12" t="s">
        <v>27454</v>
      </c>
      <c r="AD5930" s="13">
        <v>42942</v>
      </c>
      <c r="AE5930" s="12" t="s">
        <v>427</v>
      </c>
      <c r="AF5930" s="12" t="s">
        <v>15548</v>
      </c>
      <c r="AG5930" s="12" t="s">
        <v>186</v>
      </c>
      <c r="AH5930" s="1">
        <f>HYPERLINK("https://my.pitchbook.com?c=249271-48T","View Company Online")</f>
      </c>
    </row>
    <row r="5931">
      <c r="A5931" s="3" t="s">
        <v>27455</v>
      </c>
      <c r="B5931" s="3" t="s">
        <v>6485</v>
      </c>
      <c r="C5931" s="5" t="s">
        <v>36</v>
      </c>
      <c r="D5931" s="5" t="s">
        <v>36</v>
      </c>
      <c r="E5931" s="5" t="s">
        <v>36</v>
      </c>
      <c r="F5931" s="5" t="s">
        <v>36</v>
      </c>
      <c r="G5931" s="6" t="s">
        <v>36</v>
      </c>
      <c r="H5931" s="4">
        <v>270.03</v>
      </c>
      <c r="I5931" s="7">
        <v>31.57</v>
      </c>
      <c r="J5931" s="3" t="s">
        <v>521</v>
      </c>
      <c r="K5931" s="9">
        <v>42871</v>
      </c>
      <c r="L5931" s="6" t="s">
        <v>36</v>
      </c>
      <c r="M5931" s="3" t="s">
        <v>36</v>
      </c>
      <c r="N5931" s="3" t="s">
        <v>36</v>
      </c>
      <c r="O5931" s="8" t="s">
        <v>36</v>
      </c>
      <c r="P5931" s="3" t="s">
        <v>36</v>
      </c>
      <c r="Q5931" s="3" t="s">
        <v>36</v>
      </c>
      <c r="R5931" s="3" t="s">
        <v>36</v>
      </c>
      <c r="S5931" s="3" t="s">
        <v>36</v>
      </c>
      <c r="T5931" s="3" t="s">
        <v>105</v>
      </c>
      <c r="U5931" s="3" t="s">
        <v>38</v>
      </c>
      <c r="V5931" s="3" t="s">
        <v>39</v>
      </c>
      <c r="W5931" s="3" t="s">
        <v>6486</v>
      </c>
      <c r="X5931" s="10" t="s">
        <v>27456</v>
      </c>
      <c r="Y5931" s="6" t="s">
        <v>108</v>
      </c>
      <c r="Z5931" s="4">
        <v>2.07</v>
      </c>
      <c r="AA5931" s="4">
        <v>6.54</v>
      </c>
      <c r="AB5931" s="3" t="s">
        <v>43</v>
      </c>
      <c r="AC5931" s="3" t="s">
        <v>6487</v>
      </c>
      <c r="AD5931" s="9">
        <v>42942</v>
      </c>
      <c r="AE5931" s="3" t="s">
        <v>110</v>
      </c>
      <c r="AF5931" s="3" t="s">
        <v>6488</v>
      </c>
      <c r="AG5931" s="3" t="s">
        <v>81</v>
      </c>
      <c r="AH5931" s="11">
        <f>HYPERLINK("https://my.pitchbook.com?c=117594-46T","View Company Online")</f>
      </c>
    </row>
    <row r="5932">
      <c r="A5932" s="12" t="s">
        <v>27457</v>
      </c>
      <c r="B5932" s="12" t="s">
        <v>27458</v>
      </c>
      <c r="C5932" s="19" t="s">
        <v>36</v>
      </c>
      <c r="D5932" s="19" t="s">
        <v>36</v>
      </c>
      <c r="E5932" s="19" t="s">
        <v>36</v>
      </c>
      <c r="F5932" s="19" t="s">
        <v>36</v>
      </c>
      <c r="G5932" s="15" t="s">
        <v>36</v>
      </c>
      <c r="H5932" s="14">
        <v>311.57</v>
      </c>
      <c r="I5932" s="18">
        <v>33.33</v>
      </c>
      <c r="J5932" s="12" t="s">
        <v>521</v>
      </c>
      <c r="K5932" s="13" t="s">
        <v>36</v>
      </c>
      <c r="L5932" s="15" t="s">
        <v>36</v>
      </c>
      <c r="M5932" s="12" t="s">
        <v>36</v>
      </c>
      <c r="N5932" s="12" t="s">
        <v>36</v>
      </c>
      <c r="O5932" s="17" t="s">
        <v>36</v>
      </c>
      <c r="P5932" s="12" t="s">
        <v>36</v>
      </c>
      <c r="Q5932" s="12" t="s">
        <v>36</v>
      </c>
      <c r="R5932" s="12" t="s">
        <v>36</v>
      </c>
      <c r="S5932" s="12" t="s">
        <v>36</v>
      </c>
      <c r="T5932" s="12" t="s">
        <v>27459</v>
      </c>
      <c r="U5932" s="12" t="s">
        <v>1091</v>
      </c>
      <c r="V5932" s="12" t="s">
        <v>378</v>
      </c>
      <c r="W5932" s="12" t="s">
        <v>27460</v>
      </c>
      <c r="X5932" s="16" t="s">
        <v>26647</v>
      </c>
      <c r="Y5932" s="15" t="s">
        <v>42</v>
      </c>
      <c r="Z5932" s="14">
        <v>0.69</v>
      </c>
      <c r="AA5932" s="14">
        <v>2.06</v>
      </c>
      <c r="AB5932" s="12" t="s">
        <v>56</v>
      </c>
      <c r="AC5932" s="12" t="s">
        <v>27461</v>
      </c>
      <c r="AD5932" s="13">
        <v>42940</v>
      </c>
      <c r="AE5932" s="12" t="s">
        <v>10463</v>
      </c>
      <c r="AF5932" s="12" t="s">
        <v>36</v>
      </c>
      <c r="AG5932" s="12" t="s">
        <v>27462</v>
      </c>
      <c r="AH5932" s="1">
        <f>HYPERLINK("https://my.pitchbook.com?c=110312-38T","View Company Online")</f>
      </c>
    </row>
    <row r="5933">
      <c r="A5933" s="3" t="s">
        <v>27463</v>
      </c>
      <c r="B5933" s="3" t="s">
        <v>27464</v>
      </c>
      <c r="C5933" s="5" t="s">
        <v>36</v>
      </c>
      <c r="D5933" s="5" t="s">
        <v>36</v>
      </c>
      <c r="E5933" s="5" t="s">
        <v>36</v>
      </c>
      <c r="F5933" s="5" t="s">
        <v>36</v>
      </c>
      <c r="G5933" s="6" t="s">
        <v>36</v>
      </c>
      <c r="H5933" s="4">
        <v>35.12</v>
      </c>
      <c r="I5933" s="7">
        <v>4.85</v>
      </c>
      <c r="J5933" s="3" t="s">
        <v>521</v>
      </c>
      <c r="K5933" s="9" t="s">
        <v>36</v>
      </c>
      <c r="L5933" s="6" t="s">
        <v>36</v>
      </c>
      <c r="M5933" s="3" t="s">
        <v>36</v>
      </c>
      <c r="N5933" s="3" t="s">
        <v>36</v>
      </c>
      <c r="O5933" s="8" t="s">
        <v>36</v>
      </c>
      <c r="P5933" s="3" t="s">
        <v>36</v>
      </c>
      <c r="Q5933" s="3" t="s">
        <v>36</v>
      </c>
      <c r="R5933" s="3" t="s">
        <v>36</v>
      </c>
      <c r="S5933" s="3" t="s">
        <v>36</v>
      </c>
      <c r="T5933" s="3" t="s">
        <v>27465</v>
      </c>
      <c r="U5933" s="3" t="s">
        <v>455</v>
      </c>
      <c r="V5933" s="3" t="s">
        <v>367</v>
      </c>
      <c r="W5933" s="3" t="s">
        <v>27466</v>
      </c>
      <c r="X5933" s="10" t="s">
        <v>27467</v>
      </c>
      <c r="Y5933" s="6" t="s">
        <v>42</v>
      </c>
      <c r="Z5933" s="4">
        <v>18.03</v>
      </c>
      <c r="AA5933" s="4">
        <v>371.39</v>
      </c>
      <c r="AB5933" s="3" t="s">
        <v>56</v>
      </c>
      <c r="AC5933" s="3" t="s">
        <v>27468</v>
      </c>
      <c r="AD5933" s="9">
        <v>42937</v>
      </c>
      <c r="AE5933" s="3" t="s">
        <v>12356</v>
      </c>
      <c r="AF5933" s="3" t="s">
        <v>1977</v>
      </c>
      <c r="AG5933" s="3" t="s">
        <v>434</v>
      </c>
      <c r="AH5933" s="11">
        <f>HYPERLINK("https://my.pitchbook.com?c=205340-05T","View Company Online")</f>
      </c>
    </row>
    <row r="5934">
      <c r="A5934" s="12" t="s">
        <v>27469</v>
      </c>
      <c r="B5934" s="12" t="s">
        <v>24890</v>
      </c>
      <c r="C5934" s="19" t="s">
        <v>36</v>
      </c>
      <c r="D5934" s="19" t="s">
        <v>36</v>
      </c>
      <c r="E5934" s="19" t="s">
        <v>36</v>
      </c>
      <c r="F5934" s="19" t="s">
        <v>36</v>
      </c>
      <c r="G5934" s="15" t="s">
        <v>36</v>
      </c>
      <c r="H5934" s="14">
        <v>299.11</v>
      </c>
      <c r="I5934" s="18">
        <v>23.19</v>
      </c>
      <c r="J5934" s="12" t="s">
        <v>521</v>
      </c>
      <c r="K5934" s="13" t="s">
        <v>36</v>
      </c>
      <c r="L5934" s="15" t="s">
        <v>36</v>
      </c>
      <c r="M5934" s="12" t="s">
        <v>36</v>
      </c>
      <c r="N5934" s="12" t="s">
        <v>36</v>
      </c>
      <c r="O5934" s="17" t="s">
        <v>36</v>
      </c>
      <c r="P5934" s="12" t="s">
        <v>36</v>
      </c>
      <c r="Q5934" s="12" t="s">
        <v>36</v>
      </c>
      <c r="R5934" s="12" t="s">
        <v>36</v>
      </c>
      <c r="S5934" s="12" t="s">
        <v>36</v>
      </c>
      <c r="T5934" s="12" t="s">
        <v>24891</v>
      </c>
      <c r="U5934" s="12" t="s">
        <v>38</v>
      </c>
      <c r="V5934" s="12" t="s">
        <v>39</v>
      </c>
      <c r="W5934" s="12" t="s">
        <v>24892</v>
      </c>
      <c r="X5934" s="16" t="s">
        <v>27470</v>
      </c>
      <c r="Y5934" s="15" t="s">
        <v>42</v>
      </c>
      <c r="Z5934" s="14">
        <v>0.62</v>
      </c>
      <c r="AA5934" s="14">
        <v>2.67</v>
      </c>
      <c r="AB5934" s="12" t="s">
        <v>43</v>
      </c>
      <c r="AC5934" s="12" t="s">
        <v>24894</v>
      </c>
      <c r="AD5934" s="13">
        <v>42937</v>
      </c>
      <c r="AE5934" s="12" t="s">
        <v>1330</v>
      </c>
      <c r="AF5934" s="12" t="s">
        <v>1465</v>
      </c>
      <c r="AG5934" s="12" t="s">
        <v>347</v>
      </c>
      <c r="AH5934" s="1">
        <f>HYPERLINK("https://my.pitchbook.com?c=202140-91T","View Company Online")</f>
      </c>
    </row>
    <row r="5935">
      <c r="A5935" s="3" t="s">
        <v>27471</v>
      </c>
      <c r="B5935" s="3" t="s">
        <v>27472</v>
      </c>
      <c r="C5935" s="5" t="s">
        <v>36</v>
      </c>
      <c r="D5935" s="5" t="s">
        <v>36</v>
      </c>
      <c r="E5935" s="5" t="s">
        <v>36</v>
      </c>
      <c r="F5935" s="5" t="s">
        <v>36</v>
      </c>
      <c r="G5935" s="6" t="s">
        <v>2497</v>
      </c>
      <c r="H5935" s="4">
        <v>8.11</v>
      </c>
      <c r="I5935" s="7">
        <v>8.62</v>
      </c>
      <c r="J5935" s="3" t="s">
        <v>521</v>
      </c>
      <c r="K5935" s="9" t="s">
        <v>36</v>
      </c>
      <c r="L5935" s="6" t="s">
        <v>36</v>
      </c>
      <c r="M5935" s="3" t="s">
        <v>36</v>
      </c>
      <c r="N5935" s="3" t="s">
        <v>36</v>
      </c>
      <c r="O5935" s="8" t="s">
        <v>36</v>
      </c>
      <c r="P5935" s="3" t="s">
        <v>36</v>
      </c>
      <c r="Q5935" s="3" t="s">
        <v>36</v>
      </c>
      <c r="R5935" s="3" t="s">
        <v>36</v>
      </c>
      <c r="S5935" s="3" t="s">
        <v>36</v>
      </c>
      <c r="T5935" s="3" t="s">
        <v>550</v>
      </c>
      <c r="U5935" s="3" t="s">
        <v>38</v>
      </c>
      <c r="V5935" s="3" t="s">
        <v>39</v>
      </c>
      <c r="W5935" s="3" t="s">
        <v>27473</v>
      </c>
      <c r="X5935" s="10" t="s">
        <v>27474</v>
      </c>
      <c r="Y5935" s="6" t="s">
        <v>108</v>
      </c>
      <c r="Z5935" s="4">
        <v>0.24</v>
      </c>
      <c r="AA5935" s="4">
        <v>2.75</v>
      </c>
      <c r="AB5935" s="3" t="s">
        <v>43</v>
      </c>
      <c r="AC5935" s="3" t="s">
        <v>27475</v>
      </c>
      <c r="AD5935" s="9">
        <v>42936</v>
      </c>
      <c r="AE5935" s="3" t="s">
        <v>554</v>
      </c>
      <c r="AF5935" s="3" t="s">
        <v>24643</v>
      </c>
      <c r="AG5935" s="3" t="s">
        <v>81</v>
      </c>
      <c r="AH5935" s="11">
        <f>HYPERLINK("https://my.pitchbook.com?c=119419-66T","View Company Online")</f>
      </c>
    </row>
    <row r="5936">
      <c r="A5936" s="12" t="s">
        <v>27476</v>
      </c>
      <c r="B5936" s="12" t="s">
        <v>9407</v>
      </c>
      <c r="C5936" s="19" t="s">
        <v>36</v>
      </c>
      <c r="D5936" s="19" t="s">
        <v>36</v>
      </c>
      <c r="E5936" s="19" t="s">
        <v>36</v>
      </c>
      <c r="F5936" s="19" t="s">
        <v>36</v>
      </c>
      <c r="G5936" s="15" t="s">
        <v>36</v>
      </c>
      <c r="H5936" s="14" t="s">
        <v>36</v>
      </c>
      <c r="I5936" s="18" t="s">
        <v>36</v>
      </c>
      <c r="J5936" s="12" t="s">
        <v>36</v>
      </c>
      <c r="K5936" s="13" t="s">
        <v>36</v>
      </c>
      <c r="L5936" s="15" t="s">
        <v>122</v>
      </c>
      <c r="M5936" s="12" t="s">
        <v>36</v>
      </c>
      <c r="N5936" s="12" t="s">
        <v>122</v>
      </c>
      <c r="O5936" s="17" t="s">
        <v>36</v>
      </c>
      <c r="P5936" s="12" t="s">
        <v>36</v>
      </c>
      <c r="Q5936" s="12" t="s">
        <v>36</v>
      </c>
      <c r="R5936" s="12" t="s">
        <v>36</v>
      </c>
      <c r="S5936" s="12" t="s">
        <v>36</v>
      </c>
      <c r="T5936" s="12" t="s">
        <v>9159</v>
      </c>
      <c r="U5936" s="12" t="s">
        <v>74</v>
      </c>
      <c r="V5936" s="12" t="s">
        <v>75</v>
      </c>
      <c r="W5936" s="12" t="s">
        <v>9408</v>
      </c>
      <c r="X5936" s="16" t="s">
        <v>27477</v>
      </c>
      <c r="Y5936" s="15" t="s">
        <v>108</v>
      </c>
      <c r="Z5936" s="14">
        <v>7</v>
      </c>
      <c r="AA5936" s="14" t="s">
        <v>36</v>
      </c>
      <c r="AB5936" s="12" t="s">
        <v>43</v>
      </c>
      <c r="AC5936" s="12" t="s">
        <v>9410</v>
      </c>
      <c r="AD5936" s="13">
        <v>42935</v>
      </c>
      <c r="AE5936" s="12" t="s">
        <v>3144</v>
      </c>
      <c r="AF5936" s="12" t="s">
        <v>9411</v>
      </c>
      <c r="AG5936" s="12" t="s">
        <v>81</v>
      </c>
      <c r="AH5936" s="1">
        <f>HYPERLINK("https://my.pitchbook.com?c=90907-39T","View Company Online")</f>
      </c>
    </row>
    <row r="5937">
      <c r="A5937" s="3" t="s">
        <v>27478</v>
      </c>
      <c r="B5937" s="3" t="s">
        <v>9903</v>
      </c>
      <c r="C5937" s="5">
        <v>12</v>
      </c>
      <c r="D5937" s="5">
        <v>33</v>
      </c>
      <c r="E5937" s="5">
        <v>15</v>
      </c>
      <c r="F5937" s="5">
        <v>47</v>
      </c>
      <c r="G5937" s="6" t="s">
        <v>36</v>
      </c>
      <c r="H5937" s="4" t="s">
        <v>36</v>
      </c>
      <c r="I5937" s="7" t="s">
        <v>36</v>
      </c>
      <c r="J5937" s="3" t="s">
        <v>36</v>
      </c>
      <c r="K5937" s="9" t="s">
        <v>36</v>
      </c>
      <c r="L5937" s="6" t="s">
        <v>36</v>
      </c>
      <c r="M5937" s="3" t="s">
        <v>36</v>
      </c>
      <c r="N5937" s="3" t="s">
        <v>36</v>
      </c>
      <c r="O5937" s="8" t="s">
        <v>36</v>
      </c>
      <c r="P5937" s="3" t="s">
        <v>36</v>
      </c>
      <c r="Q5937" s="3" t="s">
        <v>36</v>
      </c>
      <c r="R5937" s="3" t="s">
        <v>36</v>
      </c>
      <c r="S5937" s="3" t="s">
        <v>36</v>
      </c>
      <c r="T5937" s="3" t="s">
        <v>9904</v>
      </c>
      <c r="U5937" s="3" t="s">
        <v>51</v>
      </c>
      <c r="V5937" s="3" t="s">
        <v>52</v>
      </c>
      <c r="W5937" s="3" t="s">
        <v>9905</v>
      </c>
      <c r="X5937" s="10" t="s">
        <v>27479</v>
      </c>
      <c r="Y5937" s="6" t="s">
        <v>108</v>
      </c>
      <c r="Z5937" s="4" t="s">
        <v>36</v>
      </c>
      <c r="AA5937" s="4" t="s">
        <v>36</v>
      </c>
      <c r="AB5937" s="3" t="s">
        <v>56</v>
      </c>
      <c r="AC5937" s="3" t="s">
        <v>9907</v>
      </c>
      <c r="AD5937" s="9">
        <v>42935</v>
      </c>
      <c r="AE5937" s="3" t="s">
        <v>158</v>
      </c>
      <c r="AF5937" s="3" t="s">
        <v>9908</v>
      </c>
      <c r="AG5937" s="3" t="s">
        <v>9909</v>
      </c>
      <c r="AH5937" s="11">
        <f>HYPERLINK("https://my.pitchbook.com?c=120650-50T","View Company Online")</f>
      </c>
    </row>
    <row r="5938">
      <c r="A5938" s="12" t="s">
        <v>27480</v>
      </c>
      <c r="B5938" s="12" t="s">
        <v>27481</v>
      </c>
      <c r="C5938" s="19" t="s">
        <v>36</v>
      </c>
      <c r="D5938" s="19" t="s">
        <v>36</v>
      </c>
      <c r="E5938" s="19" t="s">
        <v>36</v>
      </c>
      <c r="F5938" s="19" t="s">
        <v>36</v>
      </c>
      <c r="G5938" s="15" t="s">
        <v>36</v>
      </c>
      <c r="H5938" s="14">
        <v>33.23</v>
      </c>
      <c r="I5938" s="18">
        <v>31.25</v>
      </c>
      <c r="J5938" s="12" t="s">
        <v>521</v>
      </c>
      <c r="K5938" s="13" t="s">
        <v>36</v>
      </c>
      <c r="L5938" s="15" t="s">
        <v>36</v>
      </c>
      <c r="M5938" s="12" t="s">
        <v>36</v>
      </c>
      <c r="N5938" s="12" t="s">
        <v>36</v>
      </c>
      <c r="O5938" s="17" t="s">
        <v>36</v>
      </c>
      <c r="P5938" s="12" t="s">
        <v>36</v>
      </c>
      <c r="Q5938" s="12" t="s">
        <v>36</v>
      </c>
      <c r="R5938" s="12" t="s">
        <v>36</v>
      </c>
      <c r="S5938" s="12" t="s">
        <v>36</v>
      </c>
      <c r="T5938" s="12" t="s">
        <v>3545</v>
      </c>
      <c r="U5938" s="12" t="s">
        <v>38</v>
      </c>
      <c r="V5938" s="12" t="s">
        <v>39</v>
      </c>
      <c r="W5938" s="12" t="s">
        <v>27482</v>
      </c>
      <c r="X5938" s="16" t="s">
        <v>27483</v>
      </c>
      <c r="Y5938" s="15" t="s">
        <v>42</v>
      </c>
      <c r="Z5938" s="14">
        <v>1.65</v>
      </c>
      <c r="AA5938" s="14">
        <v>5.28</v>
      </c>
      <c r="AB5938" s="12" t="s">
        <v>43</v>
      </c>
      <c r="AC5938" s="12" t="s">
        <v>27484</v>
      </c>
      <c r="AD5938" s="13">
        <v>42934</v>
      </c>
      <c r="AE5938" s="12" t="s">
        <v>1945</v>
      </c>
      <c r="AF5938" s="12" t="s">
        <v>1842</v>
      </c>
      <c r="AG5938" s="12" t="s">
        <v>400</v>
      </c>
      <c r="AH5938" s="1">
        <f>HYPERLINK("https://my.pitchbook.com?c=98736-04T","View Company Online")</f>
      </c>
    </row>
    <row r="5939">
      <c r="A5939" s="3" t="s">
        <v>27485</v>
      </c>
      <c r="B5939" s="3" t="s">
        <v>27486</v>
      </c>
      <c r="C5939" s="5" t="s">
        <v>36</v>
      </c>
      <c r="D5939" s="5">
        <v>2</v>
      </c>
      <c r="E5939" s="5">
        <v>1</v>
      </c>
      <c r="F5939" s="5">
        <v>2</v>
      </c>
      <c r="G5939" s="6" t="s">
        <v>36</v>
      </c>
      <c r="H5939" s="4" t="s">
        <v>36</v>
      </c>
      <c r="I5939" s="7" t="s">
        <v>36</v>
      </c>
      <c r="J5939" s="3" t="s">
        <v>36</v>
      </c>
      <c r="K5939" s="9" t="s">
        <v>36</v>
      </c>
      <c r="L5939" s="6" t="s">
        <v>36</v>
      </c>
      <c r="M5939" s="3" t="s">
        <v>36</v>
      </c>
      <c r="N5939" s="3" t="s">
        <v>36</v>
      </c>
      <c r="O5939" s="8" t="s">
        <v>36</v>
      </c>
      <c r="P5939" s="3" t="s">
        <v>36</v>
      </c>
      <c r="Q5939" s="3" t="s">
        <v>36</v>
      </c>
      <c r="R5939" s="3" t="s">
        <v>36</v>
      </c>
      <c r="S5939" s="3" t="s">
        <v>36</v>
      </c>
      <c r="T5939" s="3" t="s">
        <v>2584</v>
      </c>
      <c r="U5939" s="3" t="s">
        <v>96</v>
      </c>
      <c r="V5939" s="3" t="s">
        <v>52</v>
      </c>
      <c r="W5939" s="3" t="s">
        <v>27487</v>
      </c>
      <c r="X5939" s="10" t="s">
        <v>27488</v>
      </c>
      <c r="Y5939" s="6" t="s">
        <v>55</v>
      </c>
      <c r="Z5939" s="4">
        <v>0.91</v>
      </c>
      <c r="AA5939" s="4" t="s">
        <v>36</v>
      </c>
      <c r="AB5939" s="3" t="s">
        <v>56</v>
      </c>
      <c r="AC5939" s="3" t="s">
        <v>27489</v>
      </c>
      <c r="AD5939" s="9">
        <v>42933</v>
      </c>
      <c r="AE5939" s="3" t="s">
        <v>100</v>
      </c>
      <c r="AF5939" s="3" t="s">
        <v>1636</v>
      </c>
      <c r="AG5939" s="3" t="s">
        <v>81</v>
      </c>
      <c r="AH5939" s="11">
        <f>HYPERLINK("https://my.pitchbook.com?c=138782-17T","View Company Online")</f>
      </c>
    </row>
    <row r="5940">
      <c r="A5940" s="12" t="s">
        <v>27490</v>
      </c>
      <c r="B5940" s="12" t="s">
        <v>27491</v>
      </c>
      <c r="C5940" s="19" t="s">
        <v>36</v>
      </c>
      <c r="D5940" s="19" t="s">
        <v>36</v>
      </c>
      <c r="E5940" s="19">
        <v>1</v>
      </c>
      <c r="F5940" s="19">
        <v>1</v>
      </c>
      <c r="G5940" s="15" t="s">
        <v>36</v>
      </c>
      <c r="H5940" s="14" t="s">
        <v>36</v>
      </c>
      <c r="I5940" s="18">
        <v>30</v>
      </c>
      <c r="J5940" s="12" t="s">
        <v>521</v>
      </c>
      <c r="K5940" s="13" t="s">
        <v>36</v>
      </c>
      <c r="L5940" s="15" t="s">
        <v>36</v>
      </c>
      <c r="M5940" s="12" t="s">
        <v>36</v>
      </c>
      <c r="N5940" s="12" t="s">
        <v>36</v>
      </c>
      <c r="O5940" s="17" t="s">
        <v>36</v>
      </c>
      <c r="P5940" s="12" t="s">
        <v>36</v>
      </c>
      <c r="Q5940" s="12" t="s">
        <v>36</v>
      </c>
      <c r="R5940" s="12" t="s">
        <v>36</v>
      </c>
      <c r="S5940" s="12" t="s">
        <v>36</v>
      </c>
      <c r="T5940" s="12" t="s">
        <v>6904</v>
      </c>
      <c r="U5940" s="12" t="s">
        <v>96</v>
      </c>
      <c r="V5940" s="12" t="s">
        <v>52</v>
      </c>
      <c r="W5940" s="12" t="s">
        <v>27492</v>
      </c>
      <c r="X5940" s="16" t="s">
        <v>27493</v>
      </c>
      <c r="Y5940" s="15" t="s">
        <v>42</v>
      </c>
      <c r="Z5940" s="14">
        <v>1.36</v>
      </c>
      <c r="AA5940" s="14">
        <v>4.53</v>
      </c>
      <c r="AB5940" s="12" t="s">
        <v>43</v>
      </c>
      <c r="AC5940" s="12" t="s">
        <v>27494</v>
      </c>
      <c r="AD5940" s="13">
        <v>42932</v>
      </c>
      <c r="AE5940" s="12" t="s">
        <v>143</v>
      </c>
      <c r="AF5940" s="12" t="s">
        <v>101</v>
      </c>
      <c r="AG5940" s="12" t="s">
        <v>6875</v>
      </c>
      <c r="AH5940" s="1">
        <f>HYPERLINK("https://my.pitchbook.com?c=125056-54T","View Company Online")</f>
      </c>
    </row>
    <row r="5941">
      <c r="A5941" s="3" t="s">
        <v>27495</v>
      </c>
      <c r="B5941" s="3" t="s">
        <v>26346</v>
      </c>
      <c r="C5941" s="5">
        <v>1</v>
      </c>
      <c r="D5941" s="5">
        <v>1</v>
      </c>
      <c r="E5941" s="5">
        <v>2</v>
      </c>
      <c r="F5941" s="5">
        <v>5</v>
      </c>
      <c r="G5941" s="6" t="s">
        <v>36</v>
      </c>
      <c r="H5941" s="4" t="s">
        <v>36</v>
      </c>
      <c r="I5941" s="7" t="s">
        <v>36</v>
      </c>
      <c r="J5941" s="3" t="s">
        <v>36</v>
      </c>
      <c r="K5941" s="9" t="s">
        <v>36</v>
      </c>
      <c r="L5941" s="6" t="s">
        <v>36</v>
      </c>
      <c r="M5941" s="3" t="s">
        <v>36</v>
      </c>
      <c r="N5941" s="3" t="s">
        <v>36</v>
      </c>
      <c r="O5941" s="8" t="s">
        <v>36</v>
      </c>
      <c r="P5941" s="3" t="s">
        <v>36</v>
      </c>
      <c r="Q5941" s="3" t="s">
        <v>36</v>
      </c>
      <c r="R5941" s="3" t="s">
        <v>36</v>
      </c>
      <c r="S5941" s="3" t="s">
        <v>36</v>
      </c>
      <c r="T5941" s="3" t="s">
        <v>596</v>
      </c>
      <c r="U5941" s="3" t="s">
        <v>366</v>
      </c>
      <c r="V5941" s="3" t="s">
        <v>367</v>
      </c>
      <c r="W5941" s="3" t="s">
        <v>26347</v>
      </c>
      <c r="X5941" s="10" t="s">
        <v>27496</v>
      </c>
      <c r="Y5941" s="6" t="s">
        <v>108</v>
      </c>
      <c r="Z5941" s="4">
        <v>0.34</v>
      </c>
      <c r="AA5941" s="4" t="s">
        <v>36</v>
      </c>
      <c r="AB5941" s="3" t="s">
        <v>56</v>
      </c>
      <c r="AC5941" s="3" t="s">
        <v>26349</v>
      </c>
      <c r="AD5941" s="9">
        <v>42929</v>
      </c>
      <c r="AE5941" s="3" t="s">
        <v>600</v>
      </c>
      <c r="AF5941" s="3" t="s">
        <v>26350</v>
      </c>
      <c r="AG5941" s="3" t="s">
        <v>26351</v>
      </c>
      <c r="AH5941" s="11">
        <f>HYPERLINK("https://my.pitchbook.com?c=90868-69T","View Company Online")</f>
      </c>
    </row>
    <row r="5942">
      <c r="A5942" s="12" t="s">
        <v>27497</v>
      </c>
      <c r="B5942" s="12" t="s">
        <v>20051</v>
      </c>
      <c r="C5942" s="19" t="s">
        <v>36</v>
      </c>
      <c r="D5942" s="19" t="s">
        <v>36</v>
      </c>
      <c r="E5942" s="19" t="s">
        <v>36</v>
      </c>
      <c r="F5942" s="19" t="s">
        <v>36</v>
      </c>
      <c r="G5942" s="15" t="s">
        <v>36</v>
      </c>
      <c r="H5942" s="14">
        <v>113.69</v>
      </c>
      <c r="I5942" s="18">
        <v>33.06</v>
      </c>
      <c r="J5942" s="12" t="s">
        <v>521</v>
      </c>
      <c r="K5942" s="13">
        <v>42928</v>
      </c>
      <c r="L5942" s="15" t="s">
        <v>122</v>
      </c>
      <c r="M5942" s="12" t="s">
        <v>36</v>
      </c>
      <c r="N5942" s="12" t="s">
        <v>122</v>
      </c>
      <c r="O5942" s="17" t="s">
        <v>36</v>
      </c>
      <c r="P5942" s="12" t="s">
        <v>36</v>
      </c>
      <c r="Q5942" s="12" t="s">
        <v>36</v>
      </c>
      <c r="R5942" s="12" t="s">
        <v>36</v>
      </c>
      <c r="S5942" s="12" t="s">
        <v>36</v>
      </c>
      <c r="T5942" s="12" t="s">
        <v>105</v>
      </c>
      <c r="U5942" s="12" t="s">
        <v>38</v>
      </c>
      <c r="V5942" s="12" t="s">
        <v>39</v>
      </c>
      <c r="W5942" s="12" t="s">
        <v>20052</v>
      </c>
      <c r="X5942" s="16" t="s">
        <v>27498</v>
      </c>
      <c r="Y5942" s="15" t="s">
        <v>42</v>
      </c>
      <c r="Z5942" s="14">
        <v>2.26</v>
      </c>
      <c r="AA5942" s="14">
        <v>6.84</v>
      </c>
      <c r="AB5942" s="12" t="s">
        <v>56</v>
      </c>
      <c r="AC5942" s="12" t="s">
        <v>20054</v>
      </c>
      <c r="AD5942" s="13">
        <v>42929</v>
      </c>
      <c r="AE5942" s="12" t="s">
        <v>110</v>
      </c>
      <c r="AF5942" s="12" t="s">
        <v>36</v>
      </c>
      <c r="AG5942" s="12" t="s">
        <v>2542</v>
      </c>
      <c r="AH5942" s="1">
        <f>HYPERLINK("https://my.pitchbook.com?c=102586-96T","View Company Online")</f>
      </c>
    </row>
    <row r="5943">
      <c r="A5943" s="3" t="s">
        <v>27499</v>
      </c>
      <c r="B5943" s="3" t="s">
        <v>27500</v>
      </c>
      <c r="C5943" s="5">
        <v>10</v>
      </c>
      <c r="D5943" s="5">
        <v>39</v>
      </c>
      <c r="E5943" s="5">
        <v>6</v>
      </c>
      <c r="F5943" s="5">
        <v>49</v>
      </c>
      <c r="G5943" s="6" t="s">
        <v>683</v>
      </c>
      <c r="H5943" s="4">
        <v>44.53</v>
      </c>
      <c r="I5943" s="7">
        <v>18.63</v>
      </c>
      <c r="J5943" s="3" t="s">
        <v>521</v>
      </c>
      <c r="K5943" s="9" t="s">
        <v>36</v>
      </c>
      <c r="L5943" s="6" t="s">
        <v>36</v>
      </c>
      <c r="M5943" s="3" t="s">
        <v>36</v>
      </c>
      <c r="N5943" s="3" t="s">
        <v>36</v>
      </c>
      <c r="O5943" s="8" t="s">
        <v>36</v>
      </c>
      <c r="P5943" s="3" t="s">
        <v>36</v>
      </c>
      <c r="Q5943" s="3" t="s">
        <v>36</v>
      </c>
      <c r="R5943" s="3" t="s">
        <v>36</v>
      </c>
      <c r="S5943" s="3" t="s">
        <v>36</v>
      </c>
      <c r="T5943" s="3" t="s">
        <v>27501</v>
      </c>
      <c r="U5943" s="3" t="s">
        <v>423</v>
      </c>
      <c r="V5943" s="3" t="s">
        <v>64</v>
      </c>
      <c r="W5943" s="3" t="s">
        <v>27502</v>
      </c>
      <c r="X5943" s="10" t="s">
        <v>27503</v>
      </c>
      <c r="Y5943" s="6" t="s">
        <v>192</v>
      </c>
      <c r="Z5943" s="4">
        <v>0.72</v>
      </c>
      <c r="AA5943" s="4">
        <v>3.89</v>
      </c>
      <c r="AB5943" s="3" t="s">
        <v>43</v>
      </c>
      <c r="AC5943" s="3" t="s">
        <v>27504</v>
      </c>
      <c r="AD5943" s="9">
        <v>42929</v>
      </c>
      <c r="AE5943" s="3" t="s">
        <v>1051</v>
      </c>
      <c r="AF5943" s="3" t="s">
        <v>27505</v>
      </c>
      <c r="AG5943" s="3" t="s">
        <v>2618</v>
      </c>
      <c r="AH5943" s="11">
        <f>HYPERLINK("https://my.pitchbook.com?c=133513-48T","View Company Online")</f>
      </c>
    </row>
    <row r="5944">
      <c r="A5944" s="12" t="s">
        <v>27506</v>
      </c>
      <c r="B5944" s="12" t="s">
        <v>13855</v>
      </c>
      <c r="C5944" s="19" t="s">
        <v>36</v>
      </c>
      <c r="D5944" s="19">
        <v>2</v>
      </c>
      <c r="E5944" s="19">
        <v>2</v>
      </c>
      <c r="F5944" s="19">
        <v>2</v>
      </c>
      <c r="G5944" s="15" t="s">
        <v>36</v>
      </c>
      <c r="H5944" s="14" t="s">
        <v>36</v>
      </c>
      <c r="I5944" s="18" t="s">
        <v>36</v>
      </c>
      <c r="J5944" s="12" t="s">
        <v>36</v>
      </c>
      <c r="K5944" s="13" t="s">
        <v>36</v>
      </c>
      <c r="L5944" s="15" t="s">
        <v>36</v>
      </c>
      <c r="M5944" s="12" t="s">
        <v>36</v>
      </c>
      <c r="N5944" s="12" t="s">
        <v>36</v>
      </c>
      <c r="O5944" s="17" t="s">
        <v>36</v>
      </c>
      <c r="P5944" s="12" t="s">
        <v>36</v>
      </c>
      <c r="Q5944" s="12" t="s">
        <v>36</v>
      </c>
      <c r="R5944" s="12" t="s">
        <v>36</v>
      </c>
      <c r="S5944" s="12" t="s">
        <v>36</v>
      </c>
      <c r="T5944" s="12" t="s">
        <v>2213</v>
      </c>
      <c r="U5944" s="12" t="s">
        <v>219</v>
      </c>
      <c r="V5944" s="12" t="s">
        <v>75</v>
      </c>
      <c r="W5944" s="12" t="s">
        <v>13856</v>
      </c>
      <c r="X5944" s="16" t="s">
        <v>4499</v>
      </c>
      <c r="Y5944" s="15" t="s">
        <v>108</v>
      </c>
      <c r="Z5944" s="14">
        <v>0.91</v>
      </c>
      <c r="AA5944" s="14" t="s">
        <v>36</v>
      </c>
      <c r="AB5944" s="12" t="s">
        <v>56</v>
      </c>
      <c r="AC5944" s="12" t="s">
        <v>13858</v>
      </c>
      <c r="AD5944" s="13">
        <v>42929</v>
      </c>
      <c r="AE5944" s="12" t="s">
        <v>1912</v>
      </c>
      <c r="AF5944" s="12" t="s">
        <v>982</v>
      </c>
      <c r="AG5944" s="12" t="s">
        <v>2246</v>
      </c>
      <c r="AH5944" s="1">
        <f>HYPERLINK("https://my.pitchbook.com?c=90767-62T","View Company Online")</f>
      </c>
    </row>
    <row r="5945">
      <c r="A5945" s="3" t="s">
        <v>27507</v>
      </c>
      <c r="B5945" s="3" t="s">
        <v>27508</v>
      </c>
      <c r="C5945" s="5" t="s">
        <v>36</v>
      </c>
      <c r="D5945" s="5" t="s">
        <v>36</v>
      </c>
      <c r="E5945" s="5" t="s">
        <v>36</v>
      </c>
      <c r="F5945" s="5" t="s">
        <v>36</v>
      </c>
      <c r="G5945" s="6" t="s">
        <v>36</v>
      </c>
      <c r="H5945" s="4" t="s">
        <v>36</v>
      </c>
      <c r="I5945" s="7" t="s">
        <v>36</v>
      </c>
      <c r="J5945" s="3" t="s">
        <v>36</v>
      </c>
      <c r="K5945" s="9" t="s">
        <v>36</v>
      </c>
      <c r="L5945" s="6" t="s">
        <v>36</v>
      </c>
      <c r="M5945" s="3" t="s">
        <v>36</v>
      </c>
      <c r="N5945" s="3" t="s">
        <v>36</v>
      </c>
      <c r="O5945" s="8" t="s">
        <v>36</v>
      </c>
      <c r="P5945" s="3" t="s">
        <v>36</v>
      </c>
      <c r="Q5945" s="3" t="s">
        <v>36</v>
      </c>
      <c r="R5945" s="3" t="s">
        <v>36</v>
      </c>
      <c r="S5945" s="3" t="s">
        <v>36</v>
      </c>
      <c r="T5945" s="3" t="s">
        <v>6159</v>
      </c>
      <c r="U5945" s="3" t="s">
        <v>648</v>
      </c>
      <c r="V5945" s="3" t="s">
        <v>64</v>
      </c>
      <c r="W5945" s="3" t="s">
        <v>27509</v>
      </c>
      <c r="X5945" s="10" t="s">
        <v>27510</v>
      </c>
      <c r="Y5945" s="6" t="s">
        <v>108</v>
      </c>
      <c r="Z5945" s="4">
        <v>3.39</v>
      </c>
      <c r="AA5945" s="4" t="s">
        <v>36</v>
      </c>
      <c r="AB5945" s="3" t="s">
        <v>43</v>
      </c>
      <c r="AC5945" s="3" t="s">
        <v>27511</v>
      </c>
      <c r="AD5945" s="9">
        <v>42929</v>
      </c>
      <c r="AE5945" s="3" t="s">
        <v>3988</v>
      </c>
      <c r="AF5945" s="3" t="s">
        <v>4284</v>
      </c>
      <c r="AG5945" s="3" t="s">
        <v>81</v>
      </c>
      <c r="AH5945" s="11">
        <f>HYPERLINK("https://my.pitchbook.com?c=106209-46T","View Company Online")</f>
      </c>
    </row>
    <row r="5946">
      <c r="A5946" s="12" t="s">
        <v>27512</v>
      </c>
      <c r="B5946" s="12" t="s">
        <v>27513</v>
      </c>
      <c r="C5946" s="19" t="s">
        <v>36</v>
      </c>
      <c r="D5946" s="19" t="s">
        <v>36</v>
      </c>
      <c r="E5946" s="19">
        <v>1</v>
      </c>
      <c r="F5946" s="19">
        <v>1</v>
      </c>
      <c r="G5946" s="15" t="s">
        <v>36</v>
      </c>
      <c r="H5946" s="14">
        <v>15.81</v>
      </c>
      <c r="I5946" s="18">
        <v>30</v>
      </c>
      <c r="J5946" s="12" t="s">
        <v>521</v>
      </c>
      <c r="K5946" s="13" t="s">
        <v>36</v>
      </c>
      <c r="L5946" s="15" t="s">
        <v>36</v>
      </c>
      <c r="M5946" s="12" t="s">
        <v>36</v>
      </c>
      <c r="N5946" s="12" t="s">
        <v>36</v>
      </c>
      <c r="O5946" s="17" t="s">
        <v>36</v>
      </c>
      <c r="P5946" s="12" t="s">
        <v>36</v>
      </c>
      <c r="Q5946" s="12" t="s">
        <v>36</v>
      </c>
      <c r="R5946" s="12" t="s">
        <v>36</v>
      </c>
      <c r="S5946" s="12" t="s">
        <v>36</v>
      </c>
      <c r="T5946" s="12" t="s">
        <v>27514</v>
      </c>
      <c r="U5946" s="12" t="s">
        <v>38</v>
      </c>
      <c r="V5946" s="12" t="s">
        <v>39</v>
      </c>
      <c r="W5946" s="12" t="s">
        <v>27515</v>
      </c>
      <c r="X5946" s="16" t="s">
        <v>27516</v>
      </c>
      <c r="Y5946" s="15" t="s">
        <v>42</v>
      </c>
      <c r="Z5946" s="14">
        <v>0.17</v>
      </c>
      <c r="AA5946" s="14">
        <v>0.56</v>
      </c>
      <c r="AB5946" s="12" t="s">
        <v>43</v>
      </c>
      <c r="AC5946" s="12" t="s">
        <v>27517</v>
      </c>
      <c r="AD5946" s="13">
        <v>42928</v>
      </c>
      <c r="AE5946" s="12" t="s">
        <v>110</v>
      </c>
      <c r="AF5946" s="12" t="s">
        <v>8894</v>
      </c>
      <c r="AG5946" s="12" t="s">
        <v>27518</v>
      </c>
      <c r="AH5946" s="1">
        <f>HYPERLINK("https://my.pitchbook.com?c=95354-20T","View Company Online")</f>
      </c>
    </row>
    <row r="5947">
      <c r="A5947" s="3" t="s">
        <v>27519</v>
      </c>
      <c r="B5947" s="3" t="s">
        <v>27520</v>
      </c>
      <c r="C5947" s="5" t="s">
        <v>36</v>
      </c>
      <c r="D5947" s="5" t="s">
        <v>36</v>
      </c>
      <c r="E5947" s="5" t="s">
        <v>36</v>
      </c>
      <c r="F5947" s="5" t="s">
        <v>36</v>
      </c>
      <c r="G5947" s="6" t="s">
        <v>36</v>
      </c>
      <c r="H5947" s="4">
        <v>109.75</v>
      </c>
      <c r="I5947" s="7">
        <v>17.64</v>
      </c>
      <c r="J5947" s="3" t="s">
        <v>521</v>
      </c>
      <c r="K5947" s="9" t="s">
        <v>36</v>
      </c>
      <c r="L5947" s="6" t="s">
        <v>36</v>
      </c>
      <c r="M5947" s="3" t="s">
        <v>36</v>
      </c>
      <c r="N5947" s="3" t="s">
        <v>36</v>
      </c>
      <c r="O5947" s="8" t="s">
        <v>36</v>
      </c>
      <c r="P5947" s="3" t="s">
        <v>36</v>
      </c>
      <c r="Q5947" s="3" t="s">
        <v>36</v>
      </c>
      <c r="R5947" s="3" t="s">
        <v>36</v>
      </c>
      <c r="S5947" s="3" t="s">
        <v>36</v>
      </c>
      <c r="T5947" s="3" t="s">
        <v>15076</v>
      </c>
      <c r="U5947" s="3" t="s">
        <v>74</v>
      </c>
      <c r="V5947" s="3" t="s">
        <v>75</v>
      </c>
      <c r="W5947" s="3" t="s">
        <v>27521</v>
      </c>
      <c r="X5947" s="10" t="s">
        <v>27522</v>
      </c>
      <c r="Y5947" s="6" t="s">
        <v>108</v>
      </c>
      <c r="Z5947" s="4">
        <v>0.44</v>
      </c>
      <c r="AA5947" s="4">
        <v>2.47</v>
      </c>
      <c r="AB5947" s="3" t="s">
        <v>56</v>
      </c>
      <c r="AC5947" s="3" t="s">
        <v>27523</v>
      </c>
      <c r="AD5947" s="9">
        <v>42928</v>
      </c>
      <c r="AE5947" s="3" t="s">
        <v>79</v>
      </c>
      <c r="AF5947" s="3" t="s">
        <v>80</v>
      </c>
      <c r="AG5947" s="3" t="s">
        <v>81</v>
      </c>
      <c r="AH5947" s="11">
        <f>HYPERLINK("https://my.pitchbook.com?c=126066-07T","View Company Online")</f>
      </c>
    </row>
    <row r="5948">
      <c r="A5948" s="12" t="s">
        <v>27524</v>
      </c>
      <c r="B5948" s="12" t="s">
        <v>27525</v>
      </c>
      <c r="C5948" s="19">
        <v>2</v>
      </c>
      <c r="D5948" s="19" t="s">
        <v>36</v>
      </c>
      <c r="E5948" s="19">
        <v>2</v>
      </c>
      <c r="F5948" s="19">
        <v>3</v>
      </c>
      <c r="G5948" s="15" t="s">
        <v>36</v>
      </c>
      <c r="H5948" s="14" t="s">
        <v>36</v>
      </c>
      <c r="I5948" s="18" t="s">
        <v>36</v>
      </c>
      <c r="J5948" s="12" t="s">
        <v>36</v>
      </c>
      <c r="K5948" s="13" t="s">
        <v>36</v>
      </c>
      <c r="L5948" s="15" t="s">
        <v>36</v>
      </c>
      <c r="M5948" s="12" t="s">
        <v>36</v>
      </c>
      <c r="N5948" s="12" t="s">
        <v>36</v>
      </c>
      <c r="O5948" s="17" t="s">
        <v>36</v>
      </c>
      <c r="P5948" s="12" t="s">
        <v>36</v>
      </c>
      <c r="Q5948" s="12" t="s">
        <v>36</v>
      </c>
      <c r="R5948" s="12" t="s">
        <v>36</v>
      </c>
      <c r="S5948" s="12" t="s">
        <v>36</v>
      </c>
      <c r="T5948" s="12" t="s">
        <v>27526</v>
      </c>
      <c r="U5948" s="12" t="s">
        <v>1502</v>
      </c>
      <c r="V5948" s="12" t="s">
        <v>75</v>
      </c>
      <c r="W5948" s="12" t="s">
        <v>27527</v>
      </c>
      <c r="X5948" s="16" t="s">
        <v>27528</v>
      </c>
      <c r="Y5948" s="15" t="s">
        <v>42</v>
      </c>
      <c r="Z5948" s="14">
        <v>1.13</v>
      </c>
      <c r="AA5948" s="14" t="s">
        <v>36</v>
      </c>
      <c r="AB5948" s="12" t="s">
        <v>43</v>
      </c>
      <c r="AC5948" s="12" t="s">
        <v>27529</v>
      </c>
      <c r="AD5948" s="13">
        <v>42928</v>
      </c>
      <c r="AE5948" s="12" t="s">
        <v>1506</v>
      </c>
      <c r="AF5948" s="12" t="s">
        <v>815</v>
      </c>
      <c r="AG5948" s="12" t="s">
        <v>5257</v>
      </c>
      <c r="AH5948" s="1">
        <f>HYPERLINK("https://my.pitchbook.com?c=112774-60T","View Company Online")</f>
      </c>
    </row>
    <row r="5949">
      <c r="A5949" s="3" t="s">
        <v>27530</v>
      </c>
      <c r="B5949" s="3" t="s">
        <v>23968</v>
      </c>
      <c r="C5949" s="5" t="s">
        <v>36</v>
      </c>
      <c r="D5949" s="5">
        <v>2</v>
      </c>
      <c r="E5949" s="5">
        <v>2</v>
      </c>
      <c r="F5949" s="5">
        <v>8</v>
      </c>
      <c r="G5949" s="6" t="s">
        <v>36</v>
      </c>
      <c r="H5949" s="4" t="s">
        <v>36</v>
      </c>
      <c r="I5949" s="7" t="s">
        <v>36</v>
      </c>
      <c r="J5949" s="3" t="s">
        <v>36</v>
      </c>
      <c r="K5949" s="9" t="s">
        <v>36</v>
      </c>
      <c r="L5949" s="6" t="s">
        <v>36</v>
      </c>
      <c r="M5949" s="3" t="s">
        <v>36</v>
      </c>
      <c r="N5949" s="3" t="s">
        <v>36</v>
      </c>
      <c r="O5949" s="8" t="s">
        <v>36</v>
      </c>
      <c r="P5949" s="3" t="s">
        <v>36</v>
      </c>
      <c r="Q5949" s="3" t="s">
        <v>36</v>
      </c>
      <c r="R5949" s="3" t="s">
        <v>36</v>
      </c>
      <c r="S5949" s="3" t="s">
        <v>2699</v>
      </c>
      <c r="T5949" s="3" t="s">
        <v>23969</v>
      </c>
      <c r="U5949" s="3" t="s">
        <v>619</v>
      </c>
      <c r="V5949" s="3" t="s">
        <v>378</v>
      </c>
      <c r="W5949" s="3" t="s">
        <v>23970</v>
      </c>
      <c r="X5949" s="10" t="s">
        <v>27531</v>
      </c>
      <c r="Y5949" s="6" t="s">
        <v>55</v>
      </c>
      <c r="Z5949" s="4">
        <v>9.1</v>
      </c>
      <c r="AA5949" s="4" t="s">
        <v>36</v>
      </c>
      <c r="AB5949" s="3" t="s">
        <v>43</v>
      </c>
      <c r="AC5949" s="3" t="s">
        <v>23972</v>
      </c>
      <c r="AD5949" s="9">
        <v>42927</v>
      </c>
      <c r="AE5949" s="3" t="s">
        <v>2672</v>
      </c>
      <c r="AF5949" s="3" t="s">
        <v>23973</v>
      </c>
      <c r="AG5949" s="3" t="s">
        <v>23974</v>
      </c>
      <c r="AH5949" s="11">
        <f>HYPERLINK("https://my.pitchbook.com?c=90501-13T","View Company Online")</f>
      </c>
    </row>
    <row r="5950">
      <c r="A5950" s="12" t="s">
        <v>27532</v>
      </c>
      <c r="B5950" s="12" t="s">
        <v>15283</v>
      </c>
      <c r="C5950" s="19">
        <v>1</v>
      </c>
      <c r="D5950" s="19">
        <v>14</v>
      </c>
      <c r="E5950" s="19">
        <v>11</v>
      </c>
      <c r="F5950" s="19">
        <v>28</v>
      </c>
      <c r="G5950" s="15" t="s">
        <v>36</v>
      </c>
      <c r="H5950" s="14">
        <v>3.29</v>
      </c>
      <c r="I5950" s="18">
        <v>35.06</v>
      </c>
      <c r="J5950" s="12" t="s">
        <v>521</v>
      </c>
      <c r="K5950" s="13">
        <v>42507</v>
      </c>
      <c r="L5950" s="15" t="s">
        <v>1279</v>
      </c>
      <c r="M5950" s="12" t="s">
        <v>36</v>
      </c>
      <c r="N5950" s="12" t="s">
        <v>1279</v>
      </c>
      <c r="O5950" s="17" t="s">
        <v>36</v>
      </c>
      <c r="P5950" s="12" t="s">
        <v>3530</v>
      </c>
      <c r="Q5950" s="12" t="s">
        <v>3530</v>
      </c>
      <c r="R5950" s="12" t="s">
        <v>3531</v>
      </c>
      <c r="S5950" s="12" t="s">
        <v>36</v>
      </c>
      <c r="T5950" s="12" t="s">
        <v>15284</v>
      </c>
      <c r="U5950" s="12" t="s">
        <v>96</v>
      </c>
      <c r="V5950" s="12" t="s">
        <v>52</v>
      </c>
      <c r="W5950" s="12" t="s">
        <v>15285</v>
      </c>
      <c r="X5950" s="16" t="s">
        <v>27533</v>
      </c>
      <c r="Y5950" s="15" t="s">
        <v>166</v>
      </c>
      <c r="Z5950" s="14">
        <v>27</v>
      </c>
      <c r="AA5950" s="14">
        <v>77</v>
      </c>
      <c r="AB5950" s="12" t="s">
        <v>56</v>
      </c>
      <c r="AC5950" s="12" t="s">
        <v>15287</v>
      </c>
      <c r="AD5950" s="13">
        <v>42927</v>
      </c>
      <c r="AE5950" s="12" t="s">
        <v>143</v>
      </c>
      <c r="AF5950" s="12" t="s">
        <v>5170</v>
      </c>
      <c r="AG5950" s="12" t="s">
        <v>81</v>
      </c>
      <c r="AH5950" s="1">
        <f>HYPERLINK("https://my.pitchbook.com?c=70294-60T","View Company Online")</f>
      </c>
    </row>
    <row r="5951">
      <c r="A5951" s="3" t="s">
        <v>27534</v>
      </c>
      <c r="B5951" s="3" t="s">
        <v>27535</v>
      </c>
      <c r="C5951" s="5" t="s">
        <v>36</v>
      </c>
      <c r="D5951" s="5" t="s">
        <v>36</v>
      </c>
      <c r="E5951" s="5" t="s">
        <v>36</v>
      </c>
      <c r="F5951" s="5" t="s">
        <v>36</v>
      </c>
      <c r="G5951" s="6" t="s">
        <v>36</v>
      </c>
      <c r="H5951" s="4" t="s">
        <v>36</v>
      </c>
      <c r="I5951" s="7">
        <v>11.81</v>
      </c>
      <c r="J5951" s="3" t="s">
        <v>327</v>
      </c>
      <c r="K5951" s="9" t="s">
        <v>36</v>
      </c>
      <c r="L5951" s="6" t="s">
        <v>36</v>
      </c>
      <c r="M5951" s="3" t="s">
        <v>36</v>
      </c>
      <c r="N5951" s="3" t="s">
        <v>36</v>
      </c>
      <c r="O5951" s="8" t="s">
        <v>36</v>
      </c>
      <c r="P5951" s="3" t="s">
        <v>36</v>
      </c>
      <c r="Q5951" s="3" t="s">
        <v>36</v>
      </c>
      <c r="R5951" s="3" t="s">
        <v>36</v>
      </c>
      <c r="S5951" s="3" t="s">
        <v>36</v>
      </c>
      <c r="T5951" s="3" t="s">
        <v>522</v>
      </c>
      <c r="U5951" s="3" t="s">
        <v>38</v>
      </c>
      <c r="V5951" s="3" t="s">
        <v>39</v>
      </c>
      <c r="W5951" s="3" t="s">
        <v>27536</v>
      </c>
      <c r="X5951" s="10" t="s">
        <v>27537</v>
      </c>
      <c r="Y5951" s="6" t="s">
        <v>42</v>
      </c>
      <c r="Z5951" s="4">
        <v>1.13</v>
      </c>
      <c r="AA5951" s="4">
        <v>9.56</v>
      </c>
      <c r="AB5951" s="3" t="s">
        <v>43</v>
      </c>
      <c r="AC5951" s="3" t="s">
        <v>27538</v>
      </c>
      <c r="AD5951" s="9">
        <v>42927</v>
      </c>
      <c r="AE5951" s="3" t="s">
        <v>110</v>
      </c>
      <c r="AF5951" s="3" t="s">
        <v>1401</v>
      </c>
      <c r="AG5951" s="3" t="s">
        <v>392</v>
      </c>
      <c r="AH5951" s="11">
        <f>HYPERLINK("https://my.pitchbook.com?c=164665-45T","View Company Online")</f>
      </c>
    </row>
    <row r="5952">
      <c r="A5952" s="12" t="s">
        <v>27539</v>
      </c>
      <c r="B5952" s="12" t="s">
        <v>27540</v>
      </c>
      <c r="C5952" s="19" t="s">
        <v>36</v>
      </c>
      <c r="D5952" s="19" t="s">
        <v>36</v>
      </c>
      <c r="E5952" s="19" t="s">
        <v>36</v>
      </c>
      <c r="F5952" s="19" t="s">
        <v>36</v>
      </c>
      <c r="G5952" s="15" t="s">
        <v>36</v>
      </c>
      <c r="H5952" s="14">
        <v>121.12</v>
      </c>
      <c r="I5952" s="18">
        <v>28.72</v>
      </c>
      <c r="J5952" s="12" t="s">
        <v>521</v>
      </c>
      <c r="K5952" s="13" t="s">
        <v>36</v>
      </c>
      <c r="L5952" s="15" t="s">
        <v>36</v>
      </c>
      <c r="M5952" s="12" t="s">
        <v>36</v>
      </c>
      <c r="N5952" s="12" t="s">
        <v>36</v>
      </c>
      <c r="O5952" s="17" t="s">
        <v>36</v>
      </c>
      <c r="P5952" s="12" t="s">
        <v>36</v>
      </c>
      <c r="Q5952" s="12" t="s">
        <v>36</v>
      </c>
      <c r="R5952" s="12" t="s">
        <v>36</v>
      </c>
      <c r="S5952" s="12" t="s">
        <v>36</v>
      </c>
      <c r="T5952" s="12" t="s">
        <v>27541</v>
      </c>
      <c r="U5952" s="12" t="s">
        <v>85</v>
      </c>
      <c r="V5952" s="12" t="s">
        <v>64</v>
      </c>
      <c r="W5952" s="12" t="s">
        <v>27542</v>
      </c>
      <c r="X5952" s="16" t="s">
        <v>1872</v>
      </c>
      <c r="Y5952" s="15" t="s">
        <v>42</v>
      </c>
      <c r="Z5952" s="14">
        <v>0.27</v>
      </c>
      <c r="AA5952" s="14">
        <v>0.92</v>
      </c>
      <c r="AB5952" s="12" t="s">
        <v>56</v>
      </c>
      <c r="AC5952" s="12" t="s">
        <v>27543</v>
      </c>
      <c r="AD5952" s="13">
        <v>42927</v>
      </c>
      <c r="AE5952" s="12" t="s">
        <v>89</v>
      </c>
      <c r="AF5952" s="12" t="s">
        <v>11966</v>
      </c>
      <c r="AG5952" s="12" t="s">
        <v>27544</v>
      </c>
      <c r="AH5952" s="1">
        <f>HYPERLINK("https://my.pitchbook.com?c=101186-92T","View Company Online")</f>
      </c>
    </row>
    <row r="5953">
      <c r="A5953" s="3" t="s">
        <v>27545</v>
      </c>
      <c r="B5953" s="3" t="s">
        <v>13475</v>
      </c>
      <c r="C5953" s="5" t="s">
        <v>36</v>
      </c>
      <c r="D5953" s="5" t="s">
        <v>36</v>
      </c>
      <c r="E5953" s="5" t="s">
        <v>36</v>
      </c>
      <c r="F5953" s="5" t="s">
        <v>36</v>
      </c>
      <c r="G5953" s="6" t="s">
        <v>36</v>
      </c>
      <c r="H5953" s="4">
        <v>20.77</v>
      </c>
      <c r="I5953" s="7">
        <v>12.36</v>
      </c>
      <c r="J5953" s="3" t="s">
        <v>521</v>
      </c>
      <c r="K5953" s="9" t="s">
        <v>36</v>
      </c>
      <c r="L5953" s="6" t="s">
        <v>36</v>
      </c>
      <c r="M5953" s="3" t="s">
        <v>36</v>
      </c>
      <c r="N5953" s="3" t="s">
        <v>36</v>
      </c>
      <c r="O5953" s="8" t="s">
        <v>36</v>
      </c>
      <c r="P5953" s="3" t="s">
        <v>36</v>
      </c>
      <c r="Q5953" s="3" t="s">
        <v>36</v>
      </c>
      <c r="R5953" s="3" t="s">
        <v>36</v>
      </c>
      <c r="S5953" s="3" t="s">
        <v>36</v>
      </c>
      <c r="T5953" s="3" t="s">
        <v>13476</v>
      </c>
      <c r="U5953" s="3" t="s">
        <v>648</v>
      </c>
      <c r="V5953" s="3" t="s">
        <v>64</v>
      </c>
      <c r="W5953" s="3" t="s">
        <v>13477</v>
      </c>
      <c r="X5953" s="10" t="s">
        <v>27546</v>
      </c>
      <c r="Y5953" s="6" t="s">
        <v>42</v>
      </c>
      <c r="Z5953" s="4">
        <v>0.16</v>
      </c>
      <c r="AA5953" s="4">
        <v>1.29</v>
      </c>
      <c r="AB5953" s="3" t="s">
        <v>43</v>
      </c>
      <c r="AC5953" s="3" t="s">
        <v>13479</v>
      </c>
      <c r="AD5953" s="9">
        <v>42927</v>
      </c>
      <c r="AE5953" s="3" t="s">
        <v>651</v>
      </c>
      <c r="AF5953" s="3" t="s">
        <v>36</v>
      </c>
      <c r="AG5953" s="3" t="s">
        <v>81</v>
      </c>
      <c r="AH5953" s="11">
        <f>HYPERLINK("https://my.pitchbook.com?c=121776-76T","View Company Online")</f>
      </c>
    </row>
    <row r="5954">
      <c r="A5954" s="12" t="s">
        <v>27547</v>
      </c>
      <c r="B5954" s="12" t="s">
        <v>8158</v>
      </c>
      <c r="C5954" s="19" t="s">
        <v>36</v>
      </c>
      <c r="D5954" s="19" t="s">
        <v>36</v>
      </c>
      <c r="E5954" s="19" t="s">
        <v>36</v>
      </c>
      <c r="F5954" s="19" t="s">
        <v>36</v>
      </c>
      <c r="G5954" s="15" t="s">
        <v>36</v>
      </c>
      <c r="H5954" s="14">
        <v>10.39</v>
      </c>
      <c r="I5954" s="18">
        <v>30.46</v>
      </c>
      <c r="J5954" s="12" t="s">
        <v>521</v>
      </c>
      <c r="K5954" s="13" t="s">
        <v>36</v>
      </c>
      <c r="L5954" s="15" t="s">
        <v>36</v>
      </c>
      <c r="M5954" s="12" t="s">
        <v>36</v>
      </c>
      <c r="N5954" s="12" t="s">
        <v>36</v>
      </c>
      <c r="O5954" s="17" t="s">
        <v>36</v>
      </c>
      <c r="P5954" s="12" t="s">
        <v>36</v>
      </c>
      <c r="Q5954" s="12" t="s">
        <v>36</v>
      </c>
      <c r="R5954" s="12" t="s">
        <v>36</v>
      </c>
      <c r="S5954" s="12" t="s">
        <v>36</v>
      </c>
      <c r="T5954" s="12" t="s">
        <v>8159</v>
      </c>
      <c r="U5954" s="12" t="s">
        <v>63</v>
      </c>
      <c r="V5954" s="12" t="s">
        <v>64</v>
      </c>
      <c r="W5954" s="12" t="s">
        <v>8160</v>
      </c>
      <c r="X5954" s="16" t="s">
        <v>2130</v>
      </c>
      <c r="Y5954" s="15" t="s">
        <v>42</v>
      </c>
      <c r="Z5954" s="14">
        <v>6.77</v>
      </c>
      <c r="AA5954" s="14">
        <v>22.22</v>
      </c>
      <c r="AB5954" s="12" t="s">
        <v>56</v>
      </c>
      <c r="AC5954" s="12" t="s">
        <v>8161</v>
      </c>
      <c r="AD5954" s="13">
        <v>42926</v>
      </c>
      <c r="AE5954" s="12" t="s">
        <v>642</v>
      </c>
      <c r="AF5954" s="12" t="s">
        <v>36</v>
      </c>
      <c r="AG5954" s="12" t="s">
        <v>81</v>
      </c>
      <c r="AH5954" s="1">
        <f>HYPERLINK("https://my.pitchbook.com?c=223364-26T","View Company Online")</f>
      </c>
    </row>
    <row r="5955">
      <c r="A5955" s="3" t="s">
        <v>27548</v>
      </c>
      <c r="B5955" s="3" t="s">
        <v>27549</v>
      </c>
      <c r="C5955" s="5" t="s">
        <v>36</v>
      </c>
      <c r="D5955" s="5" t="s">
        <v>36</v>
      </c>
      <c r="E5955" s="5" t="s">
        <v>36</v>
      </c>
      <c r="F5955" s="5" t="s">
        <v>36</v>
      </c>
      <c r="G5955" s="6" t="s">
        <v>36</v>
      </c>
      <c r="H5955" s="4" t="s">
        <v>36</v>
      </c>
      <c r="I5955" s="7" t="s">
        <v>36</v>
      </c>
      <c r="J5955" s="3" t="s">
        <v>36</v>
      </c>
      <c r="K5955" s="9" t="s">
        <v>36</v>
      </c>
      <c r="L5955" s="6" t="s">
        <v>36</v>
      </c>
      <c r="M5955" s="3" t="s">
        <v>36</v>
      </c>
      <c r="N5955" s="3" t="s">
        <v>36</v>
      </c>
      <c r="O5955" s="8" t="s">
        <v>36</v>
      </c>
      <c r="P5955" s="3" t="s">
        <v>36</v>
      </c>
      <c r="Q5955" s="3" t="s">
        <v>36</v>
      </c>
      <c r="R5955" s="3" t="s">
        <v>36</v>
      </c>
      <c r="S5955" s="3" t="s">
        <v>36</v>
      </c>
      <c r="T5955" s="3" t="s">
        <v>27550</v>
      </c>
      <c r="U5955" s="3" t="s">
        <v>63</v>
      </c>
      <c r="V5955" s="3" t="s">
        <v>64</v>
      </c>
      <c r="W5955" s="3" t="s">
        <v>27551</v>
      </c>
      <c r="X5955" s="10" t="s">
        <v>27552</v>
      </c>
      <c r="Y5955" s="6" t="s">
        <v>42</v>
      </c>
      <c r="Z5955" s="4">
        <v>1.13</v>
      </c>
      <c r="AA5955" s="4" t="s">
        <v>36</v>
      </c>
      <c r="AB5955" s="3" t="s">
        <v>43</v>
      </c>
      <c r="AC5955" s="3" t="s">
        <v>27553</v>
      </c>
      <c r="AD5955" s="9">
        <v>42926</v>
      </c>
      <c r="AE5955" s="3" t="s">
        <v>4310</v>
      </c>
      <c r="AF5955" s="3" t="s">
        <v>36</v>
      </c>
      <c r="AG5955" s="3" t="s">
        <v>81</v>
      </c>
      <c r="AH5955" s="11">
        <f>HYPERLINK("https://my.pitchbook.com?c=43986-25T","View Company Online")</f>
      </c>
    </row>
    <row r="5956">
      <c r="A5956" s="12" t="s">
        <v>27554</v>
      </c>
      <c r="B5956" s="12" t="s">
        <v>27555</v>
      </c>
      <c r="C5956" s="19" t="s">
        <v>36</v>
      </c>
      <c r="D5956" s="19" t="s">
        <v>36</v>
      </c>
      <c r="E5956" s="19" t="s">
        <v>36</v>
      </c>
      <c r="F5956" s="19" t="s">
        <v>36</v>
      </c>
      <c r="G5956" s="15" t="s">
        <v>36</v>
      </c>
      <c r="H5956" s="14">
        <v>10.39</v>
      </c>
      <c r="I5956" s="18">
        <v>35.29</v>
      </c>
      <c r="J5956" s="12" t="s">
        <v>521</v>
      </c>
      <c r="K5956" s="13" t="s">
        <v>36</v>
      </c>
      <c r="L5956" s="15" t="s">
        <v>36</v>
      </c>
      <c r="M5956" s="12" t="s">
        <v>36</v>
      </c>
      <c r="N5956" s="12" t="s">
        <v>36</v>
      </c>
      <c r="O5956" s="17" t="s">
        <v>36</v>
      </c>
      <c r="P5956" s="12" t="s">
        <v>36</v>
      </c>
      <c r="Q5956" s="12" t="s">
        <v>36</v>
      </c>
      <c r="R5956" s="12" t="s">
        <v>36</v>
      </c>
      <c r="S5956" s="12" t="s">
        <v>36</v>
      </c>
      <c r="T5956" s="12" t="s">
        <v>4733</v>
      </c>
      <c r="U5956" s="12" t="s">
        <v>423</v>
      </c>
      <c r="V5956" s="12" t="s">
        <v>64</v>
      </c>
      <c r="W5956" s="12" t="s">
        <v>27556</v>
      </c>
      <c r="X5956" s="16" t="s">
        <v>27155</v>
      </c>
      <c r="Y5956" s="15" t="s">
        <v>42</v>
      </c>
      <c r="Z5956" s="14">
        <v>1.69</v>
      </c>
      <c r="AA5956" s="14">
        <v>4.79</v>
      </c>
      <c r="AB5956" s="12" t="s">
        <v>56</v>
      </c>
      <c r="AC5956" s="12" t="s">
        <v>27557</v>
      </c>
      <c r="AD5956" s="13">
        <v>42926</v>
      </c>
      <c r="AE5956" s="12" t="s">
        <v>1051</v>
      </c>
      <c r="AF5956" s="12" t="s">
        <v>27558</v>
      </c>
      <c r="AG5956" s="12" t="s">
        <v>27559</v>
      </c>
      <c r="AH5956" s="1">
        <f>HYPERLINK("https://my.pitchbook.com?c=90448-30T","View Company Online")</f>
      </c>
    </row>
    <row r="5957">
      <c r="A5957" s="3" t="s">
        <v>27560</v>
      </c>
      <c r="B5957" s="3" t="s">
        <v>27561</v>
      </c>
      <c r="C5957" s="5" t="s">
        <v>36</v>
      </c>
      <c r="D5957" s="5" t="s">
        <v>36</v>
      </c>
      <c r="E5957" s="5" t="s">
        <v>36</v>
      </c>
      <c r="F5957" s="5" t="s">
        <v>36</v>
      </c>
      <c r="G5957" s="6" t="s">
        <v>326</v>
      </c>
      <c r="H5957" s="4">
        <v>83.09</v>
      </c>
      <c r="I5957" s="7">
        <v>30.33</v>
      </c>
      <c r="J5957" s="3" t="s">
        <v>521</v>
      </c>
      <c r="K5957" s="9" t="s">
        <v>36</v>
      </c>
      <c r="L5957" s="6" t="s">
        <v>36</v>
      </c>
      <c r="M5957" s="3" t="s">
        <v>36</v>
      </c>
      <c r="N5957" s="3" t="s">
        <v>36</v>
      </c>
      <c r="O5957" s="8" t="s">
        <v>36</v>
      </c>
      <c r="P5957" s="3" t="s">
        <v>36</v>
      </c>
      <c r="Q5957" s="3" t="s">
        <v>36</v>
      </c>
      <c r="R5957" s="3" t="s">
        <v>36</v>
      </c>
      <c r="S5957" s="3" t="s">
        <v>36</v>
      </c>
      <c r="T5957" s="3" t="s">
        <v>522</v>
      </c>
      <c r="U5957" s="3" t="s">
        <v>38</v>
      </c>
      <c r="V5957" s="3" t="s">
        <v>39</v>
      </c>
      <c r="W5957" s="3" t="s">
        <v>27562</v>
      </c>
      <c r="X5957" s="10" t="s">
        <v>27563</v>
      </c>
      <c r="Y5957" s="6" t="s">
        <v>108</v>
      </c>
      <c r="Z5957" s="4">
        <v>6.76</v>
      </c>
      <c r="AA5957" s="4">
        <v>19.4</v>
      </c>
      <c r="AB5957" s="3" t="s">
        <v>43</v>
      </c>
      <c r="AC5957" s="3" t="s">
        <v>27564</v>
      </c>
      <c r="AD5957" s="9">
        <v>42925</v>
      </c>
      <c r="AE5957" s="3" t="s">
        <v>110</v>
      </c>
      <c r="AF5957" s="3" t="s">
        <v>27565</v>
      </c>
      <c r="AG5957" s="3" t="s">
        <v>81</v>
      </c>
      <c r="AH5957" s="11">
        <f>HYPERLINK("https://my.pitchbook.com?c=90404-92T","View Company Online")</f>
      </c>
    </row>
    <row r="5958">
      <c r="A5958" s="12" t="s">
        <v>27566</v>
      </c>
      <c r="B5958" s="12" t="s">
        <v>27567</v>
      </c>
      <c r="C5958" s="19" t="s">
        <v>36</v>
      </c>
      <c r="D5958" s="19" t="s">
        <v>36</v>
      </c>
      <c r="E5958" s="19" t="s">
        <v>36</v>
      </c>
      <c r="F5958" s="19" t="s">
        <v>36</v>
      </c>
      <c r="G5958" s="15" t="s">
        <v>36</v>
      </c>
      <c r="H5958" s="14">
        <v>207.71</v>
      </c>
      <c r="I5958" s="18">
        <v>16.67</v>
      </c>
      <c r="J5958" s="12" t="s">
        <v>521</v>
      </c>
      <c r="K5958" s="13" t="s">
        <v>36</v>
      </c>
      <c r="L5958" s="15" t="s">
        <v>36</v>
      </c>
      <c r="M5958" s="12" t="s">
        <v>36</v>
      </c>
      <c r="N5958" s="12" t="s">
        <v>36</v>
      </c>
      <c r="O5958" s="17" t="s">
        <v>36</v>
      </c>
      <c r="P5958" s="12" t="s">
        <v>36</v>
      </c>
      <c r="Q5958" s="12" t="s">
        <v>36</v>
      </c>
      <c r="R5958" s="12" t="s">
        <v>36</v>
      </c>
      <c r="S5958" s="12" t="s">
        <v>36</v>
      </c>
      <c r="T5958" s="12" t="s">
        <v>27568</v>
      </c>
      <c r="U5958" s="12" t="s">
        <v>318</v>
      </c>
      <c r="V5958" s="12" t="s">
        <v>39</v>
      </c>
      <c r="W5958" s="12" t="s">
        <v>27569</v>
      </c>
      <c r="X5958" s="16" t="s">
        <v>11058</v>
      </c>
      <c r="Y5958" s="15" t="s">
        <v>42</v>
      </c>
      <c r="Z5958" s="14">
        <v>0.18</v>
      </c>
      <c r="AA5958" s="14">
        <v>1.08</v>
      </c>
      <c r="AB5958" s="12" t="s">
        <v>43</v>
      </c>
      <c r="AC5958" s="12" t="s">
        <v>27570</v>
      </c>
      <c r="AD5958" s="13">
        <v>42923</v>
      </c>
      <c r="AE5958" s="12" t="s">
        <v>417</v>
      </c>
      <c r="AF5958" s="12" t="s">
        <v>27571</v>
      </c>
      <c r="AG5958" s="12" t="s">
        <v>102</v>
      </c>
      <c r="AH5958" s="1">
        <f>HYPERLINK("https://my.pitchbook.com?c=89337-07T","View Company Online")</f>
      </c>
    </row>
    <row r="5959">
      <c r="A5959" s="3" t="s">
        <v>27572</v>
      </c>
      <c r="B5959" s="3" t="s">
        <v>27573</v>
      </c>
      <c r="C5959" s="5" t="s">
        <v>36</v>
      </c>
      <c r="D5959" s="5">
        <v>4</v>
      </c>
      <c r="E5959" s="5">
        <v>2</v>
      </c>
      <c r="F5959" s="5">
        <v>6</v>
      </c>
      <c r="G5959" s="6" t="s">
        <v>36</v>
      </c>
      <c r="H5959" s="4" t="s">
        <v>36</v>
      </c>
      <c r="I5959" s="7">
        <v>28.9</v>
      </c>
      <c r="J5959" s="3" t="s">
        <v>327</v>
      </c>
      <c r="K5959" s="9" t="s">
        <v>36</v>
      </c>
      <c r="L5959" s="6" t="s">
        <v>36</v>
      </c>
      <c r="M5959" s="3" t="s">
        <v>36</v>
      </c>
      <c r="N5959" s="3" t="s">
        <v>36</v>
      </c>
      <c r="O5959" s="8" t="s">
        <v>36</v>
      </c>
      <c r="P5959" s="3" t="s">
        <v>36</v>
      </c>
      <c r="Q5959" s="3" t="s">
        <v>36</v>
      </c>
      <c r="R5959" s="3" t="s">
        <v>36</v>
      </c>
      <c r="S5959" s="3" t="s">
        <v>36</v>
      </c>
      <c r="T5959" s="3" t="s">
        <v>27574</v>
      </c>
      <c r="U5959" s="3" t="s">
        <v>85</v>
      </c>
      <c r="V5959" s="3" t="s">
        <v>64</v>
      </c>
      <c r="W5959" s="3" t="s">
        <v>27575</v>
      </c>
      <c r="X5959" s="10" t="s">
        <v>1840</v>
      </c>
      <c r="Y5959" s="6" t="s">
        <v>42</v>
      </c>
      <c r="Z5959" s="4">
        <v>0.68</v>
      </c>
      <c r="AA5959" s="4">
        <v>2.34</v>
      </c>
      <c r="AB5959" s="3" t="s">
        <v>43</v>
      </c>
      <c r="AC5959" s="3" t="s">
        <v>27576</v>
      </c>
      <c r="AD5959" s="9">
        <v>42922</v>
      </c>
      <c r="AE5959" s="3" t="s">
        <v>89</v>
      </c>
      <c r="AF5959" s="3" t="s">
        <v>1507</v>
      </c>
      <c r="AG5959" s="3" t="s">
        <v>1353</v>
      </c>
      <c r="AH5959" s="11">
        <f>HYPERLINK("https://my.pitchbook.com?c=171442-99T","View Company Online")</f>
      </c>
    </row>
    <row r="5960">
      <c r="A5960" s="12" t="s">
        <v>27577</v>
      </c>
      <c r="B5960" s="12" t="s">
        <v>14052</v>
      </c>
      <c r="C5960" s="19" t="s">
        <v>36</v>
      </c>
      <c r="D5960" s="19" t="s">
        <v>36</v>
      </c>
      <c r="E5960" s="19" t="s">
        <v>36</v>
      </c>
      <c r="F5960" s="19" t="s">
        <v>36</v>
      </c>
      <c r="G5960" s="15" t="s">
        <v>326</v>
      </c>
      <c r="H5960" s="14">
        <v>1991.03</v>
      </c>
      <c r="I5960" s="18">
        <v>27.5</v>
      </c>
      <c r="J5960" s="12" t="s">
        <v>521</v>
      </c>
      <c r="K5960" s="13" t="s">
        <v>36</v>
      </c>
      <c r="L5960" s="15" t="s">
        <v>94</v>
      </c>
      <c r="M5960" s="12" t="s">
        <v>36</v>
      </c>
      <c r="N5960" s="12" t="s">
        <v>94</v>
      </c>
      <c r="O5960" s="17" t="s">
        <v>36</v>
      </c>
      <c r="P5960" s="12" t="s">
        <v>36</v>
      </c>
      <c r="Q5960" s="12" t="s">
        <v>36</v>
      </c>
      <c r="R5960" s="12" t="s">
        <v>36</v>
      </c>
      <c r="S5960" s="12" t="s">
        <v>36</v>
      </c>
      <c r="T5960" s="12" t="s">
        <v>10669</v>
      </c>
      <c r="U5960" s="12" t="s">
        <v>38</v>
      </c>
      <c r="V5960" s="12" t="s">
        <v>39</v>
      </c>
      <c r="W5960" s="12" t="s">
        <v>14053</v>
      </c>
      <c r="X5960" s="16" t="s">
        <v>27578</v>
      </c>
      <c r="Y5960" s="15" t="s">
        <v>55</v>
      </c>
      <c r="Z5960" s="14">
        <v>15.76</v>
      </c>
      <c r="AA5960" s="14">
        <v>57.31</v>
      </c>
      <c r="AB5960" s="12" t="s">
        <v>43</v>
      </c>
      <c r="AC5960" s="12" t="s">
        <v>14055</v>
      </c>
      <c r="AD5960" s="13">
        <v>42922</v>
      </c>
      <c r="AE5960" s="12" t="s">
        <v>110</v>
      </c>
      <c r="AF5960" s="12" t="s">
        <v>14056</v>
      </c>
      <c r="AG5960" s="12" t="s">
        <v>81</v>
      </c>
      <c r="AH5960" s="1">
        <f>HYPERLINK("https://my.pitchbook.com?c=90266-95T","View Company Online")</f>
      </c>
    </row>
    <row r="5961">
      <c r="A5961" s="3" t="s">
        <v>27579</v>
      </c>
      <c r="B5961" s="3" t="s">
        <v>27580</v>
      </c>
      <c r="C5961" s="5">
        <v>1</v>
      </c>
      <c r="D5961" s="5" t="s">
        <v>36</v>
      </c>
      <c r="E5961" s="5">
        <v>1</v>
      </c>
      <c r="F5961" s="5">
        <v>1</v>
      </c>
      <c r="G5961" s="6" t="s">
        <v>36</v>
      </c>
      <c r="H5961" s="4" t="s">
        <v>36</v>
      </c>
      <c r="I5961" s="7" t="s">
        <v>36</v>
      </c>
      <c r="J5961" s="3" t="s">
        <v>36</v>
      </c>
      <c r="K5961" s="9" t="s">
        <v>36</v>
      </c>
      <c r="L5961" s="6" t="s">
        <v>36</v>
      </c>
      <c r="M5961" s="3" t="s">
        <v>36</v>
      </c>
      <c r="N5961" s="3" t="s">
        <v>36</v>
      </c>
      <c r="O5961" s="8" t="s">
        <v>36</v>
      </c>
      <c r="P5961" s="3" t="s">
        <v>36</v>
      </c>
      <c r="Q5961" s="3" t="s">
        <v>36</v>
      </c>
      <c r="R5961" s="3" t="s">
        <v>36</v>
      </c>
      <c r="S5961" s="3" t="s">
        <v>36</v>
      </c>
      <c r="T5961" s="3" t="s">
        <v>27581</v>
      </c>
      <c r="U5961" s="3" t="s">
        <v>38</v>
      </c>
      <c r="V5961" s="3" t="s">
        <v>39</v>
      </c>
      <c r="W5961" s="3" t="s">
        <v>27582</v>
      </c>
      <c r="X5961" s="10" t="s">
        <v>27583</v>
      </c>
      <c r="Y5961" s="6" t="s">
        <v>42</v>
      </c>
      <c r="Z5961" s="4">
        <v>1.46</v>
      </c>
      <c r="AA5961" s="4" t="s">
        <v>36</v>
      </c>
      <c r="AB5961" s="3" t="s">
        <v>43</v>
      </c>
      <c r="AC5961" s="3" t="s">
        <v>27584</v>
      </c>
      <c r="AD5961" s="9">
        <v>42922</v>
      </c>
      <c r="AE5961" s="3" t="s">
        <v>1422</v>
      </c>
      <c r="AF5961" s="3" t="s">
        <v>4842</v>
      </c>
      <c r="AG5961" s="3" t="s">
        <v>81</v>
      </c>
      <c r="AH5961" s="11">
        <f>HYPERLINK("https://my.pitchbook.com?c=96673-06T","View Company Online")</f>
      </c>
    </row>
    <row r="5962">
      <c r="A5962" s="12" t="s">
        <v>27585</v>
      </c>
      <c r="B5962" s="12" t="s">
        <v>27586</v>
      </c>
      <c r="C5962" s="19" t="s">
        <v>36</v>
      </c>
      <c r="D5962" s="19" t="s">
        <v>36</v>
      </c>
      <c r="E5962" s="19" t="s">
        <v>36</v>
      </c>
      <c r="F5962" s="19" t="s">
        <v>36</v>
      </c>
      <c r="G5962" s="15" t="s">
        <v>36</v>
      </c>
      <c r="H5962" s="14">
        <v>21.53</v>
      </c>
      <c r="I5962" s="18">
        <v>25</v>
      </c>
      <c r="J5962" s="12" t="s">
        <v>327</v>
      </c>
      <c r="K5962" s="13" t="s">
        <v>36</v>
      </c>
      <c r="L5962" s="15" t="s">
        <v>36</v>
      </c>
      <c r="M5962" s="12" t="s">
        <v>36</v>
      </c>
      <c r="N5962" s="12" t="s">
        <v>36</v>
      </c>
      <c r="O5962" s="17" t="s">
        <v>36</v>
      </c>
      <c r="P5962" s="12" t="s">
        <v>36</v>
      </c>
      <c r="Q5962" s="12" t="s">
        <v>36</v>
      </c>
      <c r="R5962" s="12" t="s">
        <v>36</v>
      </c>
      <c r="S5962" s="12" t="s">
        <v>27587</v>
      </c>
      <c r="T5962" s="12" t="s">
        <v>2308</v>
      </c>
      <c r="U5962" s="12" t="s">
        <v>38</v>
      </c>
      <c r="V5962" s="12" t="s">
        <v>39</v>
      </c>
      <c r="W5962" s="12" t="s">
        <v>27588</v>
      </c>
      <c r="X5962" s="16" t="s">
        <v>26325</v>
      </c>
      <c r="Y5962" s="15" t="s">
        <v>42</v>
      </c>
      <c r="Z5962" s="14">
        <v>0.9</v>
      </c>
      <c r="AA5962" s="14">
        <v>3.6</v>
      </c>
      <c r="AB5962" s="12" t="s">
        <v>43</v>
      </c>
      <c r="AC5962" s="12" t="s">
        <v>27589</v>
      </c>
      <c r="AD5962" s="13">
        <v>42921</v>
      </c>
      <c r="AE5962" s="12" t="s">
        <v>45</v>
      </c>
      <c r="AF5962" s="12" t="s">
        <v>27590</v>
      </c>
      <c r="AG5962" s="12" t="s">
        <v>81</v>
      </c>
      <c r="AH5962" s="1">
        <f>HYPERLINK("https://my.pitchbook.com?c=120615-58T","View Company Online")</f>
      </c>
    </row>
    <row r="5963">
      <c r="A5963" s="3" t="s">
        <v>27591</v>
      </c>
      <c r="B5963" s="3" t="s">
        <v>27592</v>
      </c>
      <c r="C5963" s="5" t="s">
        <v>36</v>
      </c>
      <c r="D5963" s="5" t="s">
        <v>36</v>
      </c>
      <c r="E5963" s="5" t="s">
        <v>36</v>
      </c>
      <c r="F5963" s="5" t="s">
        <v>36</v>
      </c>
      <c r="G5963" s="6" t="s">
        <v>36</v>
      </c>
      <c r="H5963" s="4">
        <v>213.26</v>
      </c>
      <c r="I5963" s="7">
        <v>46.15</v>
      </c>
      <c r="J5963" s="3" t="s">
        <v>521</v>
      </c>
      <c r="K5963" s="9" t="s">
        <v>36</v>
      </c>
      <c r="L5963" s="6" t="s">
        <v>122</v>
      </c>
      <c r="M5963" s="3" t="s">
        <v>36</v>
      </c>
      <c r="N5963" s="3" t="s">
        <v>122</v>
      </c>
      <c r="O5963" s="8" t="s">
        <v>36</v>
      </c>
      <c r="P5963" s="3" t="s">
        <v>36</v>
      </c>
      <c r="Q5963" s="3" t="s">
        <v>36</v>
      </c>
      <c r="R5963" s="3" t="s">
        <v>36</v>
      </c>
      <c r="S5963" s="3" t="s">
        <v>36</v>
      </c>
      <c r="T5963" s="3" t="s">
        <v>2213</v>
      </c>
      <c r="U5963" s="3" t="s">
        <v>219</v>
      </c>
      <c r="V5963" s="3" t="s">
        <v>75</v>
      </c>
      <c r="W5963" s="3" t="s">
        <v>27593</v>
      </c>
      <c r="X5963" s="10" t="s">
        <v>27594</v>
      </c>
      <c r="Y5963" s="6" t="s">
        <v>42</v>
      </c>
      <c r="Z5963" s="4">
        <v>5.63</v>
      </c>
      <c r="AA5963" s="4">
        <v>7.31</v>
      </c>
      <c r="AB5963" s="3" t="s">
        <v>43</v>
      </c>
      <c r="AC5963" s="3" t="s">
        <v>27595</v>
      </c>
      <c r="AD5963" s="9">
        <v>42921</v>
      </c>
      <c r="AE5963" s="3" t="s">
        <v>1912</v>
      </c>
      <c r="AF5963" s="3" t="s">
        <v>571</v>
      </c>
      <c r="AG5963" s="3" t="s">
        <v>4249</v>
      </c>
      <c r="AH5963" s="11">
        <f>HYPERLINK("https://my.pitchbook.com?c=90262-27T","View Company Online")</f>
      </c>
    </row>
    <row r="5964">
      <c r="A5964" s="12" t="s">
        <v>27596</v>
      </c>
      <c r="B5964" s="12" t="s">
        <v>14000</v>
      </c>
      <c r="C5964" s="19" t="s">
        <v>36</v>
      </c>
      <c r="D5964" s="19">
        <v>1</v>
      </c>
      <c r="E5964" s="19">
        <v>1</v>
      </c>
      <c r="F5964" s="19">
        <v>2</v>
      </c>
      <c r="G5964" s="15" t="s">
        <v>326</v>
      </c>
      <c r="H5964" s="14">
        <v>201.47</v>
      </c>
      <c r="I5964" s="18">
        <v>27.84</v>
      </c>
      <c r="J5964" s="12" t="s">
        <v>521</v>
      </c>
      <c r="K5964" s="13">
        <v>42807</v>
      </c>
      <c r="L5964" s="15" t="s">
        <v>122</v>
      </c>
      <c r="M5964" s="12" t="s">
        <v>36</v>
      </c>
      <c r="N5964" s="12" t="s">
        <v>122</v>
      </c>
      <c r="O5964" s="17" t="s">
        <v>36</v>
      </c>
      <c r="P5964" s="12" t="s">
        <v>36</v>
      </c>
      <c r="Q5964" s="12" t="s">
        <v>36</v>
      </c>
      <c r="R5964" s="12" t="s">
        <v>36</v>
      </c>
      <c r="S5964" s="12" t="s">
        <v>36</v>
      </c>
      <c r="T5964" s="12" t="s">
        <v>37</v>
      </c>
      <c r="U5964" s="12" t="s">
        <v>38</v>
      </c>
      <c r="V5964" s="12" t="s">
        <v>39</v>
      </c>
      <c r="W5964" s="12" t="s">
        <v>14001</v>
      </c>
      <c r="X5964" s="16" t="s">
        <v>27597</v>
      </c>
      <c r="Y5964" s="15" t="s">
        <v>108</v>
      </c>
      <c r="Z5964" s="14">
        <v>11.25</v>
      </c>
      <c r="AA5964" s="14">
        <v>40.41</v>
      </c>
      <c r="AB5964" s="12" t="s">
        <v>43</v>
      </c>
      <c r="AC5964" s="12" t="s">
        <v>14003</v>
      </c>
      <c r="AD5964" s="13">
        <v>42921</v>
      </c>
      <c r="AE5964" s="12" t="s">
        <v>45</v>
      </c>
      <c r="AF5964" s="12" t="s">
        <v>14004</v>
      </c>
      <c r="AG5964" s="12" t="s">
        <v>81</v>
      </c>
      <c r="AH5964" s="1">
        <f>HYPERLINK("https://my.pitchbook.com?c=90214-93T","View Company Online")</f>
      </c>
    </row>
    <row r="5965">
      <c r="A5965" s="3" t="s">
        <v>27598</v>
      </c>
      <c r="B5965" s="3" t="s">
        <v>27599</v>
      </c>
      <c r="C5965" s="5" t="s">
        <v>36</v>
      </c>
      <c r="D5965" s="5" t="s">
        <v>36</v>
      </c>
      <c r="E5965" s="5" t="s">
        <v>36</v>
      </c>
      <c r="F5965" s="5" t="s">
        <v>36</v>
      </c>
      <c r="G5965" s="6" t="s">
        <v>326</v>
      </c>
      <c r="H5965" s="4">
        <v>441.74</v>
      </c>
      <c r="I5965" s="7">
        <v>27.12</v>
      </c>
      <c r="J5965" s="3" t="s">
        <v>521</v>
      </c>
      <c r="K5965" s="9">
        <v>41947</v>
      </c>
      <c r="L5965" s="6" t="s">
        <v>122</v>
      </c>
      <c r="M5965" s="3" t="s">
        <v>36</v>
      </c>
      <c r="N5965" s="3" t="s">
        <v>122</v>
      </c>
      <c r="O5965" s="8" t="s">
        <v>36</v>
      </c>
      <c r="P5965" s="3" t="s">
        <v>36</v>
      </c>
      <c r="Q5965" s="3" t="s">
        <v>36</v>
      </c>
      <c r="R5965" s="3" t="s">
        <v>36</v>
      </c>
      <c r="S5965" s="3" t="s">
        <v>36</v>
      </c>
      <c r="T5965" s="3" t="s">
        <v>27600</v>
      </c>
      <c r="U5965" s="3" t="s">
        <v>38</v>
      </c>
      <c r="V5965" s="3" t="s">
        <v>39</v>
      </c>
      <c r="W5965" s="3" t="s">
        <v>27601</v>
      </c>
      <c r="X5965" s="10" t="s">
        <v>27602</v>
      </c>
      <c r="Y5965" s="6" t="s">
        <v>42</v>
      </c>
      <c r="Z5965" s="4">
        <v>4.5</v>
      </c>
      <c r="AA5965" s="4">
        <v>12.55</v>
      </c>
      <c r="AB5965" s="3" t="s">
        <v>56</v>
      </c>
      <c r="AC5965" s="3" t="s">
        <v>27603</v>
      </c>
      <c r="AD5965" s="9">
        <v>42921</v>
      </c>
      <c r="AE5965" s="3" t="s">
        <v>110</v>
      </c>
      <c r="AF5965" s="3" t="s">
        <v>14056</v>
      </c>
      <c r="AG5965" s="3" t="s">
        <v>81</v>
      </c>
      <c r="AH5965" s="11">
        <f>HYPERLINK("https://my.pitchbook.com?c=90322-66T","View Company Online")</f>
      </c>
    </row>
    <row r="5966">
      <c r="A5966" s="12" t="s">
        <v>27604</v>
      </c>
      <c r="B5966" s="12" t="s">
        <v>22149</v>
      </c>
      <c r="C5966" s="19" t="s">
        <v>36</v>
      </c>
      <c r="D5966" s="19" t="s">
        <v>36</v>
      </c>
      <c r="E5966" s="19">
        <v>1</v>
      </c>
      <c r="F5966" s="19">
        <v>1</v>
      </c>
      <c r="G5966" s="15" t="s">
        <v>683</v>
      </c>
      <c r="H5966" s="14">
        <v>127.3</v>
      </c>
      <c r="I5966" s="18">
        <v>26.64</v>
      </c>
      <c r="J5966" s="12" t="s">
        <v>521</v>
      </c>
      <c r="K5966" s="13" t="s">
        <v>36</v>
      </c>
      <c r="L5966" s="15" t="s">
        <v>36</v>
      </c>
      <c r="M5966" s="12" t="s">
        <v>36</v>
      </c>
      <c r="N5966" s="12" t="s">
        <v>36</v>
      </c>
      <c r="O5966" s="17" t="s">
        <v>36</v>
      </c>
      <c r="P5966" s="12" t="s">
        <v>36</v>
      </c>
      <c r="Q5966" s="12" t="s">
        <v>36</v>
      </c>
      <c r="R5966" s="12" t="s">
        <v>36</v>
      </c>
      <c r="S5966" s="12" t="s">
        <v>36</v>
      </c>
      <c r="T5966" s="12" t="s">
        <v>588</v>
      </c>
      <c r="U5966" s="12" t="s">
        <v>318</v>
      </c>
      <c r="V5966" s="12" t="s">
        <v>39</v>
      </c>
      <c r="W5966" s="12" t="s">
        <v>22150</v>
      </c>
      <c r="X5966" s="16" t="s">
        <v>27605</v>
      </c>
      <c r="Y5966" s="15" t="s">
        <v>42</v>
      </c>
      <c r="Z5966" s="14">
        <v>0.9</v>
      </c>
      <c r="AA5966" s="14">
        <v>2.22</v>
      </c>
      <c r="AB5966" s="12" t="s">
        <v>43</v>
      </c>
      <c r="AC5966" s="12" t="s">
        <v>22152</v>
      </c>
      <c r="AD5966" s="13">
        <v>42920</v>
      </c>
      <c r="AE5966" s="12" t="s">
        <v>417</v>
      </c>
      <c r="AF5966" s="12" t="s">
        <v>5236</v>
      </c>
      <c r="AG5966" s="12" t="s">
        <v>899</v>
      </c>
      <c r="AH5966" s="1">
        <f>HYPERLINK("https://my.pitchbook.com?c=109484-29T","View Company Online")</f>
      </c>
    </row>
    <row r="5967">
      <c r="A5967" s="3" t="s">
        <v>27606</v>
      </c>
      <c r="B5967" s="3" t="s">
        <v>27607</v>
      </c>
      <c r="C5967" s="5" t="s">
        <v>36</v>
      </c>
      <c r="D5967" s="5" t="s">
        <v>36</v>
      </c>
      <c r="E5967" s="5" t="s">
        <v>36</v>
      </c>
      <c r="F5967" s="5" t="s">
        <v>36</v>
      </c>
      <c r="G5967" s="6" t="s">
        <v>36</v>
      </c>
      <c r="H5967" s="4">
        <v>222.59</v>
      </c>
      <c r="I5967" s="7">
        <v>20</v>
      </c>
      <c r="J5967" s="3" t="s">
        <v>521</v>
      </c>
      <c r="K5967" s="9">
        <v>42905</v>
      </c>
      <c r="L5967" s="6" t="s">
        <v>36</v>
      </c>
      <c r="M5967" s="3" t="s">
        <v>36</v>
      </c>
      <c r="N5967" s="3" t="s">
        <v>36</v>
      </c>
      <c r="O5967" s="8" t="s">
        <v>36</v>
      </c>
      <c r="P5967" s="3" t="s">
        <v>36</v>
      </c>
      <c r="Q5967" s="3" t="s">
        <v>36</v>
      </c>
      <c r="R5967" s="3" t="s">
        <v>36</v>
      </c>
      <c r="S5967" s="3" t="s">
        <v>36</v>
      </c>
      <c r="T5967" s="3" t="s">
        <v>4529</v>
      </c>
      <c r="U5967" s="3" t="s">
        <v>38</v>
      </c>
      <c r="V5967" s="3" t="s">
        <v>39</v>
      </c>
      <c r="W5967" s="3" t="s">
        <v>27608</v>
      </c>
      <c r="X5967" s="10" t="s">
        <v>27609</v>
      </c>
      <c r="Y5967" s="6" t="s">
        <v>42</v>
      </c>
      <c r="Z5967" s="4">
        <v>0.56</v>
      </c>
      <c r="AA5967" s="4">
        <v>2.81</v>
      </c>
      <c r="AB5967" s="3" t="s">
        <v>43</v>
      </c>
      <c r="AC5967" s="3" t="s">
        <v>27610</v>
      </c>
      <c r="AD5967" s="9">
        <v>42920</v>
      </c>
      <c r="AE5967" s="3" t="s">
        <v>1422</v>
      </c>
      <c r="AF5967" s="3" t="s">
        <v>7239</v>
      </c>
      <c r="AG5967" s="3" t="s">
        <v>81</v>
      </c>
      <c r="AH5967" s="11">
        <f>HYPERLINK("https://my.pitchbook.com?c=109625-41T","View Company Online")</f>
      </c>
    </row>
    <row r="5968">
      <c r="A5968" s="12" t="s">
        <v>27611</v>
      </c>
      <c r="B5968" s="12" t="s">
        <v>7407</v>
      </c>
      <c r="C5968" s="19" t="s">
        <v>36</v>
      </c>
      <c r="D5968" s="19" t="s">
        <v>36</v>
      </c>
      <c r="E5968" s="19" t="s">
        <v>36</v>
      </c>
      <c r="F5968" s="19" t="s">
        <v>36</v>
      </c>
      <c r="G5968" s="15" t="s">
        <v>326</v>
      </c>
      <c r="H5968" s="14">
        <v>135.46</v>
      </c>
      <c r="I5968" s="18">
        <v>25.37</v>
      </c>
      <c r="J5968" s="12" t="s">
        <v>521</v>
      </c>
      <c r="K5968" s="13" t="s">
        <v>36</v>
      </c>
      <c r="L5968" s="15" t="s">
        <v>36</v>
      </c>
      <c r="M5968" s="12" t="s">
        <v>36</v>
      </c>
      <c r="N5968" s="12" t="s">
        <v>36</v>
      </c>
      <c r="O5968" s="17" t="s">
        <v>36</v>
      </c>
      <c r="P5968" s="12" t="s">
        <v>36</v>
      </c>
      <c r="Q5968" s="12" t="s">
        <v>36</v>
      </c>
      <c r="R5968" s="12" t="s">
        <v>36</v>
      </c>
      <c r="S5968" s="12" t="s">
        <v>36</v>
      </c>
      <c r="T5968" s="12" t="s">
        <v>7408</v>
      </c>
      <c r="U5968" s="12" t="s">
        <v>833</v>
      </c>
      <c r="V5968" s="12" t="s">
        <v>64</v>
      </c>
      <c r="W5968" s="12" t="s">
        <v>7409</v>
      </c>
      <c r="X5968" s="16" t="s">
        <v>27612</v>
      </c>
      <c r="Y5968" s="15" t="s">
        <v>108</v>
      </c>
      <c r="Z5968" s="14">
        <v>1.15</v>
      </c>
      <c r="AA5968" s="14">
        <v>4.52</v>
      </c>
      <c r="AB5968" s="12" t="s">
        <v>43</v>
      </c>
      <c r="AC5968" s="12" t="s">
        <v>7411</v>
      </c>
      <c r="AD5968" s="13">
        <v>42919</v>
      </c>
      <c r="AE5968" s="12" t="s">
        <v>3615</v>
      </c>
      <c r="AF5968" s="12" t="s">
        <v>7412</v>
      </c>
      <c r="AG5968" s="12" t="s">
        <v>332</v>
      </c>
      <c r="AH5968" s="1">
        <f>HYPERLINK("https://my.pitchbook.com?c=199957-24T","View Company Online")</f>
      </c>
    </row>
    <row r="5969">
      <c r="A5969" s="3" t="s">
        <v>27613</v>
      </c>
      <c r="B5969" s="3" t="s">
        <v>27614</v>
      </c>
      <c r="C5969" s="5" t="s">
        <v>36</v>
      </c>
      <c r="D5969" s="5" t="s">
        <v>36</v>
      </c>
      <c r="E5969" s="5" t="s">
        <v>36</v>
      </c>
      <c r="F5969" s="5" t="s">
        <v>36</v>
      </c>
      <c r="G5969" s="6" t="s">
        <v>683</v>
      </c>
      <c r="H5969" s="4">
        <v>10.95</v>
      </c>
      <c r="I5969" s="7">
        <v>8.8</v>
      </c>
      <c r="J5969" s="3" t="s">
        <v>521</v>
      </c>
      <c r="K5969" s="9">
        <v>42908</v>
      </c>
      <c r="L5969" s="6" t="s">
        <v>36</v>
      </c>
      <c r="M5969" s="3" t="s">
        <v>36</v>
      </c>
      <c r="N5969" s="3" t="s">
        <v>36</v>
      </c>
      <c r="O5969" s="8" t="s">
        <v>36</v>
      </c>
      <c r="P5969" s="3" t="s">
        <v>36</v>
      </c>
      <c r="Q5969" s="3" t="s">
        <v>36</v>
      </c>
      <c r="R5969" s="3" t="s">
        <v>36</v>
      </c>
      <c r="S5969" s="3" t="s">
        <v>36</v>
      </c>
      <c r="T5969" s="3" t="s">
        <v>522</v>
      </c>
      <c r="U5969" s="3" t="s">
        <v>38</v>
      </c>
      <c r="V5969" s="3" t="s">
        <v>39</v>
      </c>
      <c r="W5969" s="3" t="s">
        <v>27615</v>
      </c>
      <c r="X5969" s="10" t="s">
        <v>27616</v>
      </c>
      <c r="Y5969" s="6" t="s">
        <v>192</v>
      </c>
      <c r="Z5969" s="4">
        <v>2.81</v>
      </c>
      <c r="AA5969" s="4">
        <v>31.95</v>
      </c>
      <c r="AB5969" s="3" t="s">
        <v>56</v>
      </c>
      <c r="AC5969" s="3" t="s">
        <v>27617</v>
      </c>
      <c r="AD5969" s="9">
        <v>42919</v>
      </c>
      <c r="AE5969" s="3" t="s">
        <v>110</v>
      </c>
      <c r="AF5969" s="3" t="s">
        <v>3172</v>
      </c>
      <c r="AG5969" s="3" t="s">
        <v>186</v>
      </c>
      <c r="AH5969" s="11">
        <f>HYPERLINK("https://my.pitchbook.com?c=113251-33T","View Company Online")</f>
      </c>
    </row>
    <row r="5970">
      <c r="A5970" s="12" t="s">
        <v>27618</v>
      </c>
      <c r="B5970" s="12" t="s">
        <v>21699</v>
      </c>
      <c r="C5970" s="19">
        <v>6</v>
      </c>
      <c r="D5970" s="19">
        <v>4</v>
      </c>
      <c r="E5970" s="19">
        <v>2</v>
      </c>
      <c r="F5970" s="19">
        <v>10</v>
      </c>
      <c r="G5970" s="15" t="s">
        <v>36</v>
      </c>
      <c r="H5970" s="14">
        <v>77.89</v>
      </c>
      <c r="I5970" s="18">
        <v>21.05</v>
      </c>
      <c r="J5970" s="12" t="s">
        <v>327</v>
      </c>
      <c r="K5970" s="13" t="s">
        <v>36</v>
      </c>
      <c r="L5970" s="15" t="s">
        <v>36</v>
      </c>
      <c r="M5970" s="12" t="s">
        <v>36</v>
      </c>
      <c r="N5970" s="12" t="s">
        <v>36</v>
      </c>
      <c r="O5970" s="17" t="s">
        <v>36</v>
      </c>
      <c r="P5970" s="12" t="s">
        <v>36</v>
      </c>
      <c r="Q5970" s="12" t="s">
        <v>36</v>
      </c>
      <c r="R5970" s="12" t="s">
        <v>36</v>
      </c>
      <c r="S5970" s="12" t="s">
        <v>36</v>
      </c>
      <c r="T5970" s="12" t="s">
        <v>1628</v>
      </c>
      <c r="U5970" s="12" t="s">
        <v>96</v>
      </c>
      <c r="V5970" s="12" t="s">
        <v>52</v>
      </c>
      <c r="W5970" s="12" t="s">
        <v>21700</v>
      </c>
      <c r="X5970" s="16" t="s">
        <v>27619</v>
      </c>
      <c r="Y5970" s="15" t="s">
        <v>42</v>
      </c>
      <c r="Z5970" s="14">
        <v>1.12</v>
      </c>
      <c r="AA5970" s="14">
        <v>5.34</v>
      </c>
      <c r="AB5970" s="12" t="s">
        <v>43</v>
      </c>
      <c r="AC5970" s="12" t="s">
        <v>21702</v>
      </c>
      <c r="AD5970" s="13">
        <v>42919</v>
      </c>
      <c r="AE5970" s="12" t="s">
        <v>755</v>
      </c>
      <c r="AF5970" s="12" t="s">
        <v>36</v>
      </c>
      <c r="AG5970" s="12" t="s">
        <v>1078</v>
      </c>
      <c r="AH5970" s="1">
        <f>HYPERLINK("https://my.pitchbook.com?c=122793-94T","View Company Online")</f>
      </c>
    </row>
    <row r="5971">
      <c r="A5971" s="3" t="s">
        <v>27620</v>
      </c>
      <c r="B5971" s="3" t="s">
        <v>27621</v>
      </c>
      <c r="C5971" s="5" t="s">
        <v>36</v>
      </c>
      <c r="D5971" s="5" t="s">
        <v>36</v>
      </c>
      <c r="E5971" s="5" t="s">
        <v>36</v>
      </c>
      <c r="F5971" s="5" t="s">
        <v>36</v>
      </c>
      <c r="G5971" s="6" t="s">
        <v>36</v>
      </c>
      <c r="H5971" s="4">
        <v>29.47</v>
      </c>
      <c r="I5971" s="7">
        <v>30.84</v>
      </c>
      <c r="J5971" s="3" t="s">
        <v>521</v>
      </c>
      <c r="K5971" s="9" t="s">
        <v>36</v>
      </c>
      <c r="L5971" s="6" t="s">
        <v>36</v>
      </c>
      <c r="M5971" s="3" t="s">
        <v>36</v>
      </c>
      <c r="N5971" s="3" t="s">
        <v>36</v>
      </c>
      <c r="O5971" s="8" t="s">
        <v>36</v>
      </c>
      <c r="P5971" s="3" t="s">
        <v>36</v>
      </c>
      <c r="Q5971" s="3" t="s">
        <v>36</v>
      </c>
      <c r="R5971" s="3" t="s">
        <v>36</v>
      </c>
      <c r="S5971" s="3" t="s">
        <v>36</v>
      </c>
      <c r="T5971" s="3" t="s">
        <v>27622</v>
      </c>
      <c r="U5971" s="3" t="s">
        <v>1357</v>
      </c>
      <c r="V5971" s="3" t="s">
        <v>52</v>
      </c>
      <c r="W5971" s="3" t="s">
        <v>27623</v>
      </c>
      <c r="X5971" s="10" t="s">
        <v>11579</v>
      </c>
      <c r="Y5971" s="6" t="s">
        <v>42</v>
      </c>
      <c r="Z5971" s="4">
        <v>0.65</v>
      </c>
      <c r="AA5971" s="4">
        <v>2.12</v>
      </c>
      <c r="AB5971" s="3" t="s">
        <v>43</v>
      </c>
      <c r="AC5971" s="3" t="s">
        <v>27624</v>
      </c>
      <c r="AD5971" s="9">
        <v>42919</v>
      </c>
      <c r="AE5971" s="3" t="s">
        <v>2808</v>
      </c>
      <c r="AF5971" s="3" t="s">
        <v>1331</v>
      </c>
      <c r="AG5971" s="3" t="s">
        <v>924</v>
      </c>
      <c r="AH5971" s="11">
        <f>HYPERLINK("https://my.pitchbook.com?c=129689-20T","View Company Online")</f>
      </c>
    </row>
    <row r="5972">
      <c r="A5972" s="12" t="s">
        <v>27625</v>
      </c>
      <c r="B5972" s="12" t="s">
        <v>17698</v>
      </c>
      <c r="C5972" s="19" t="s">
        <v>36</v>
      </c>
      <c r="D5972" s="19" t="s">
        <v>36</v>
      </c>
      <c r="E5972" s="19" t="s">
        <v>36</v>
      </c>
      <c r="F5972" s="19" t="s">
        <v>36</v>
      </c>
      <c r="G5972" s="15" t="s">
        <v>683</v>
      </c>
      <c r="H5972" s="14">
        <v>117.88</v>
      </c>
      <c r="I5972" s="18">
        <v>25.45</v>
      </c>
      <c r="J5972" s="12" t="s">
        <v>521</v>
      </c>
      <c r="K5972" s="13" t="s">
        <v>36</v>
      </c>
      <c r="L5972" s="15" t="s">
        <v>122</v>
      </c>
      <c r="M5972" s="12" t="s">
        <v>36</v>
      </c>
      <c r="N5972" s="12" t="s">
        <v>122</v>
      </c>
      <c r="O5972" s="17" t="s">
        <v>36</v>
      </c>
      <c r="P5972" s="12" t="s">
        <v>36</v>
      </c>
      <c r="Q5972" s="12" t="s">
        <v>36</v>
      </c>
      <c r="R5972" s="12" t="s">
        <v>36</v>
      </c>
      <c r="S5972" s="12" t="s">
        <v>36</v>
      </c>
      <c r="T5972" s="12" t="s">
        <v>17699</v>
      </c>
      <c r="U5972" s="12" t="s">
        <v>63</v>
      </c>
      <c r="V5972" s="12" t="s">
        <v>64</v>
      </c>
      <c r="W5972" s="12" t="s">
        <v>17700</v>
      </c>
      <c r="X5972" s="16" t="s">
        <v>221</v>
      </c>
      <c r="Y5972" s="15" t="s">
        <v>42</v>
      </c>
      <c r="Z5972" s="14">
        <v>1.91</v>
      </c>
      <c r="AA5972" s="14">
        <v>4.53</v>
      </c>
      <c r="AB5972" s="12" t="s">
        <v>43</v>
      </c>
      <c r="AC5972" s="12" t="s">
        <v>17701</v>
      </c>
      <c r="AD5972" s="13">
        <v>42917</v>
      </c>
      <c r="AE5972" s="12" t="s">
        <v>68</v>
      </c>
      <c r="AF5972" s="12" t="s">
        <v>4270</v>
      </c>
      <c r="AG5972" s="12" t="s">
        <v>81</v>
      </c>
      <c r="AH5972" s="1">
        <f>HYPERLINK("https://my.pitchbook.com?c=94661-20T","View Company Online")</f>
      </c>
    </row>
    <row r="5973">
      <c r="A5973" s="3" t="s">
        <v>27626</v>
      </c>
      <c r="B5973" s="3" t="s">
        <v>27627</v>
      </c>
      <c r="C5973" s="5" t="s">
        <v>36</v>
      </c>
      <c r="D5973" s="5" t="s">
        <v>36</v>
      </c>
      <c r="E5973" s="5" t="s">
        <v>36</v>
      </c>
      <c r="F5973" s="5" t="s">
        <v>36</v>
      </c>
      <c r="G5973" s="6" t="s">
        <v>36</v>
      </c>
      <c r="H5973" s="4" t="s">
        <v>36</v>
      </c>
      <c r="I5973" s="7" t="s">
        <v>36</v>
      </c>
      <c r="J5973" s="3" t="s">
        <v>36</v>
      </c>
      <c r="K5973" s="9" t="s">
        <v>36</v>
      </c>
      <c r="L5973" s="6" t="s">
        <v>36</v>
      </c>
      <c r="M5973" s="3" t="s">
        <v>36</v>
      </c>
      <c r="N5973" s="3" t="s">
        <v>36</v>
      </c>
      <c r="O5973" s="8" t="s">
        <v>36</v>
      </c>
      <c r="P5973" s="3" t="s">
        <v>36</v>
      </c>
      <c r="Q5973" s="3" t="s">
        <v>36</v>
      </c>
      <c r="R5973" s="3" t="s">
        <v>36</v>
      </c>
      <c r="S5973" s="3" t="s">
        <v>36</v>
      </c>
      <c r="T5973" s="3" t="s">
        <v>1941</v>
      </c>
      <c r="U5973" s="3" t="s">
        <v>38</v>
      </c>
      <c r="V5973" s="3" t="s">
        <v>39</v>
      </c>
      <c r="W5973" s="3" t="s">
        <v>27628</v>
      </c>
      <c r="X5973" s="10" t="s">
        <v>26888</v>
      </c>
      <c r="Y5973" s="6" t="s">
        <v>108</v>
      </c>
      <c r="Z5973" s="4" t="s">
        <v>36</v>
      </c>
      <c r="AA5973" s="4" t="s">
        <v>36</v>
      </c>
      <c r="AB5973" s="3" t="s">
        <v>43</v>
      </c>
      <c r="AC5973" s="3" t="s">
        <v>27629</v>
      </c>
      <c r="AD5973" s="9">
        <v>42917</v>
      </c>
      <c r="AE5973" s="3" t="s">
        <v>1945</v>
      </c>
      <c r="AF5973" s="3" t="s">
        <v>12054</v>
      </c>
      <c r="AG5973" s="3" t="s">
        <v>1447</v>
      </c>
      <c r="AH5973" s="11">
        <f>HYPERLINK("https://my.pitchbook.com?c=113589-37T","View Company Online")</f>
      </c>
    </row>
    <row r="5974">
      <c r="A5974" s="12" t="s">
        <v>27630</v>
      </c>
      <c r="B5974" s="12" t="s">
        <v>27631</v>
      </c>
      <c r="C5974" s="19" t="s">
        <v>36</v>
      </c>
      <c r="D5974" s="19" t="s">
        <v>36</v>
      </c>
      <c r="E5974" s="19" t="s">
        <v>36</v>
      </c>
      <c r="F5974" s="19" t="s">
        <v>36</v>
      </c>
      <c r="G5974" s="15" t="s">
        <v>36</v>
      </c>
      <c r="H5974" s="14" t="s">
        <v>36</v>
      </c>
      <c r="I5974" s="18" t="s">
        <v>36</v>
      </c>
      <c r="J5974" s="12" t="s">
        <v>36</v>
      </c>
      <c r="K5974" s="13" t="s">
        <v>36</v>
      </c>
      <c r="L5974" s="15" t="s">
        <v>36</v>
      </c>
      <c r="M5974" s="12" t="s">
        <v>36</v>
      </c>
      <c r="N5974" s="12" t="s">
        <v>36</v>
      </c>
      <c r="O5974" s="17" t="s">
        <v>36</v>
      </c>
      <c r="P5974" s="12" t="s">
        <v>36</v>
      </c>
      <c r="Q5974" s="12" t="s">
        <v>36</v>
      </c>
      <c r="R5974" s="12" t="s">
        <v>36</v>
      </c>
      <c r="S5974" s="12" t="s">
        <v>36</v>
      </c>
      <c r="T5974" s="12" t="s">
        <v>422</v>
      </c>
      <c r="U5974" s="12" t="s">
        <v>423</v>
      </c>
      <c r="V5974" s="12" t="s">
        <v>64</v>
      </c>
      <c r="W5974" s="12" t="s">
        <v>27632</v>
      </c>
      <c r="X5974" s="16" t="s">
        <v>8652</v>
      </c>
      <c r="Y5974" s="15" t="s">
        <v>42</v>
      </c>
      <c r="Z5974" s="14" t="s">
        <v>36</v>
      </c>
      <c r="AA5974" s="14" t="s">
        <v>36</v>
      </c>
      <c r="AB5974" s="12" t="s">
        <v>43</v>
      </c>
      <c r="AC5974" s="12" t="s">
        <v>27633</v>
      </c>
      <c r="AD5974" s="13">
        <v>42917</v>
      </c>
      <c r="AE5974" s="12" t="s">
        <v>427</v>
      </c>
      <c r="AF5974" s="12" t="s">
        <v>90</v>
      </c>
      <c r="AG5974" s="12" t="s">
        <v>81</v>
      </c>
      <c r="AH5974" s="1">
        <f>HYPERLINK("https://my.pitchbook.com?c=121492-09T","View Company Online")</f>
      </c>
    </row>
    <row r="5975">
      <c r="A5975" s="3" t="s">
        <v>27634</v>
      </c>
      <c r="B5975" s="3" t="s">
        <v>27635</v>
      </c>
      <c r="C5975" s="5" t="s">
        <v>36</v>
      </c>
      <c r="D5975" s="5">
        <v>19</v>
      </c>
      <c r="E5975" s="5">
        <v>4</v>
      </c>
      <c r="F5975" s="5">
        <v>20</v>
      </c>
      <c r="G5975" s="6" t="s">
        <v>326</v>
      </c>
      <c r="H5975" s="4">
        <v>141.25</v>
      </c>
      <c r="I5975" s="7">
        <v>12.52</v>
      </c>
      <c r="J5975" s="3" t="s">
        <v>521</v>
      </c>
      <c r="K5975" s="9" t="s">
        <v>36</v>
      </c>
      <c r="L5975" s="6" t="s">
        <v>36</v>
      </c>
      <c r="M5975" s="3" t="s">
        <v>36</v>
      </c>
      <c r="N5975" s="3" t="s">
        <v>36</v>
      </c>
      <c r="O5975" s="8" t="s">
        <v>36</v>
      </c>
      <c r="P5975" s="3" t="s">
        <v>36</v>
      </c>
      <c r="Q5975" s="3" t="s">
        <v>36</v>
      </c>
      <c r="R5975" s="3" t="s">
        <v>36</v>
      </c>
      <c r="S5975" s="3" t="s">
        <v>36</v>
      </c>
      <c r="T5975" s="3" t="s">
        <v>27636</v>
      </c>
      <c r="U5975" s="3" t="s">
        <v>85</v>
      </c>
      <c r="V5975" s="3" t="s">
        <v>64</v>
      </c>
      <c r="W5975" s="3" t="s">
        <v>27637</v>
      </c>
      <c r="X5975" s="10" t="s">
        <v>27638</v>
      </c>
      <c r="Y5975" s="6" t="s">
        <v>55</v>
      </c>
      <c r="Z5975" s="4">
        <v>1.74</v>
      </c>
      <c r="AA5975" s="4">
        <v>9.96</v>
      </c>
      <c r="AB5975" s="3" t="s">
        <v>56</v>
      </c>
      <c r="AC5975" s="3" t="s">
        <v>27639</v>
      </c>
      <c r="AD5975" s="9">
        <v>42917</v>
      </c>
      <c r="AE5975" s="3" t="s">
        <v>1822</v>
      </c>
      <c r="AF5975" s="3" t="s">
        <v>11966</v>
      </c>
      <c r="AG5975" s="3" t="s">
        <v>23170</v>
      </c>
      <c r="AH5975" s="11">
        <f>HYPERLINK("https://my.pitchbook.com?c=113893-03T","View Company Online")</f>
      </c>
    </row>
    <row r="5976">
      <c r="A5976" s="12" t="s">
        <v>27640</v>
      </c>
      <c r="B5976" s="12" t="s">
        <v>23424</v>
      </c>
      <c r="C5976" s="19" t="s">
        <v>36</v>
      </c>
      <c r="D5976" s="19" t="s">
        <v>36</v>
      </c>
      <c r="E5976" s="19" t="s">
        <v>36</v>
      </c>
      <c r="F5976" s="19" t="s">
        <v>36</v>
      </c>
      <c r="G5976" s="15" t="s">
        <v>36</v>
      </c>
      <c r="H5976" s="14">
        <v>1.26</v>
      </c>
      <c r="I5976" s="18">
        <v>25.66</v>
      </c>
      <c r="J5976" s="12" t="s">
        <v>521</v>
      </c>
      <c r="K5976" s="13" t="s">
        <v>36</v>
      </c>
      <c r="L5976" s="15" t="s">
        <v>36</v>
      </c>
      <c r="M5976" s="12" t="s">
        <v>36</v>
      </c>
      <c r="N5976" s="12" t="s">
        <v>36</v>
      </c>
      <c r="O5976" s="17" t="s">
        <v>36</v>
      </c>
      <c r="P5976" s="12" t="s">
        <v>36</v>
      </c>
      <c r="Q5976" s="12" t="s">
        <v>36</v>
      </c>
      <c r="R5976" s="12" t="s">
        <v>36</v>
      </c>
      <c r="S5976" s="12" t="s">
        <v>36</v>
      </c>
      <c r="T5976" s="12" t="s">
        <v>62</v>
      </c>
      <c r="U5976" s="12" t="s">
        <v>63</v>
      </c>
      <c r="V5976" s="12" t="s">
        <v>64</v>
      </c>
      <c r="W5976" s="12" t="s">
        <v>23425</v>
      </c>
      <c r="X5976" s="16" t="s">
        <v>27641</v>
      </c>
      <c r="Y5976" s="15" t="s">
        <v>42</v>
      </c>
      <c r="Z5976" s="14">
        <v>1.12</v>
      </c>
      <c r="AA5976" s="14">
        <v>2.65</v>
      </c>
      <c r="AB5976" s="12" t="s">
        <v>43</v>
      </c>
      <c r="AC5976" s="12" t="s">
        <v>23427</v>
      </c>
      <c r="AD5976" s="13">
        <v>42917</v>
      </c>
      <c r="AE5976" s="12" t="s">
        <v>68</v>
      </c>
      <c r="AF5976" s="12" t="s">
        <v>36</v>
      </c>
      <c r="AG5976" s="12" t="s">
        <v>81</v>
      </c>
      <c r="AH5976" s="1">
        <f>HYPERLINK("https://my.pitchbook.com?c=115960-69T","View Company Online")</f>
      </c>
    </row>
    <row r="5977">
      <c r="A5977" s="3" t="s">
        <v>27642</v>
      </c>
      <c r="B5977" s="3" t="s">
        <v>27643</v>
      </c>
      <c r="C5977" s="5">
        <v>2</v>
      </c>
      <c r="D5977" s="5">
        <v>16</v>
      </c>
      <c r="E5977" s="5">
        <v>3</v>
      </c>
      <c r="F5977" s="5">
        <v>19</v>
      </c>
      <c r="G5977" s="6" t="s">
        <v>36</v>
      </c>
      <c r="H5977" s="4">
        <v>72.7</v>
      </c>
      <c r="I5977" s="7">
        <v>12.5</v>
      </c>
      <c r="J5977" s="3" t="s">
        <v>327</v>
      </c>
      <c r="K5977" s="9" t="s">
        <v>36</v>
      </c>
      <c r="L5977" s="6" t="s">
        <v>36</v>
      </c>
      <c r="M5977" s="3" t="s">
        <v>36</v>
      </c>
      <c r="N5977" s="3" t="s">
        <v>36</v>
      </c>
      <c r="O5977" s="8" t="s">
        <v>36</v>
      </c>
      <c r="P5977" s="3" t="s">
        <v>36</v>
      </c>
      <c r="Q5977" s="3" t="s">
        <v>36</v>
      </c>
      <c r="R5977" s="3" t="s">
        <v>36</v>
      </c>
      <c r="S5977" s="3" t="s">
        <v>36</v>
      </c>
      <c r="T5977" s="3" t="s">
        <v>4406</v>
      </c>
      <c r="U5977" s="3" t="s">
        <v>833</v>
      </c>
      <c r="V5977" s="3" t="s">
        <v>64</v>
      </c>
      <c r="W5977" s="3" t="s">
        <v>27644</v>
      </c>
      <c r="X5977" s="10" t="s">
        <v>27645</v>
      </c>
      <c r="Y5977" s="6" t="s">
        <v>42</v>
      </c>
      <c r="Z5977" s="4">
        <v>1.12</v>
      </c>
      <c r="AA5977" s="4">
        <v>8.99</v>
      </c>
      <c r="AB5977" s="3" t="s">
        <v>43</v>
      </c>
      <c r="AC5977" s="3" t="s">
        <v>27646</v>
      </c>
      <c r="AD5977" s="9">
        <v>42917</v>
      </c>
      <c r="AE5977" s="3" t="s">
        <v>1069</v>
      </c>
      <c r="AF5977" s="3" t="s">
        <v>1061</v>
      </c>
      <c r="AG5977" s="3" t="s">
        <v>27647</v>
      </c>
      <c r="AH5977" s="11">
        <f>HYPERLINK("https://my.pitchbook.com?c=140311-00T","View Company Online")</f>
      </c>
    </row>
    <row r="5978">
      <c r="A5978" s="12" t="s">
        <v>27648</v>
      </c>
      <c r="B5978" s="12" t="s">
        <v>27649</v>
      </c>
      <c r="C5978" s="19" t="s">
        <v>36</v>
      </c>
      <c r="D5978" s="19" t="s">
        <v>36</v>
      </c>
      <c r="E5978" s="19" t="s">
        <v>36</v>
      </c>
      <c r="F5978" s="19" t="s">
        <v>36</v>
      </c>
      <c r="G5978" s="15" t="s">
        <v>36</v>
      </c>
      <c r="H5978" s="14">
        <v>182.79</v>
      </c>
      <c r="I5978" s="18">
        <v>71.38</v>
      </c>
      <c r="J5978" s="12" t="s">
        <v>521</v>
      </c>
      <c r="K5978" s="13" t="s">
        <v>36</v>
      </c>
      <c r="L5978" s="15" t="s">
        <v>36</v>
      </c>
      <c r="M5978" s="12" t="s">
        <v>36</v>
      </c>
      <c r="N5978" s="12" t="s">
        <v>36</v>
      </c>
      <c r="O5978" s="17" t="s">
        <v>36</v>
      </c>
      <c r="P5978" s="12" t="s">
        <v>36</v>
      </c>
      <c r="Q5978" s="12" t="s">
        <v>36</v>
      </c>
      <c r="R5978" s="12" t="s">
        <v>36</v>
      </c>
      <c r="S5978" s="12" t="s">
        <v>36</v>
      </c>
      <c r="T5978" s="12" t="s">
        <v>27650</v>
      </c>
      <c r="U5978" s="12" t="s">
        <v>38</v>
      </c>
      <c r="V5978" s="12" t="s">
        <v>39</v>
      </c>
      <c r="W5978" s="12" t="s">
        <v>27651</v>
      </c>
      <c r="X5978" s="16" t="s">
        <v>18485</v>
      </c>
      <c r="Y5978" s="15" t="s">
        <v>42</v>
      </c>
      <c r="Z5978" s="14">
        <v>1.1</v>
      </c>
      <c r="AA5978" s="14">
        <v>1.54</v>
      </c>
      <c r="AB5978" s="12" t="s">
        <v>43</v>
      </c>
      <c r="AC5978" s="12" t="s">
        <v>27652</v>
      </c>
      <c r="AD5978" s="13">
        <v>42917</v>
      </c>
      <c r="AE5978" s="12" t="s">
        <v>1200</v>
      </c>
      <c r="AF5978" s="12" t="s">
        <v>4552</v>
      </c>
      <c r="AG5978" s="12" t="s">
        <v>186</v>
      </c>
      <c r="AH5978" s="1">
        <f>HYPERLINK("https://my.pitchbook.com?c=104619-52T","View Company Online")</f>
      </c>
    </row>
    <row r="5979">
      <c r="A5979" s="3" t="s">
        <v>27653</v>
      </c>
      <c r="B5979" s="3" t="s">
        <v>13131</v>
      </c>
      <c r="C5979" s="5">
        <v>2</v>
      </c>
      <c r="D5979" s="5">
        <v>9</v>
      </c>
      <c r="E5979" s="5">
        <v>7</v>
      </c>
      <c r="F5979" s="5">
        <v>30</v>
      </c>
      <c r="G5979" s="6" t="s">
        <v>36</v>
      </c>
      <c r="H5979" s="4">
        <v>16.18</v>
      </c>
      <c r="I5979" s="7">
        <v>50</v>
      </c>
      <c r="J5979" s="3" t="s">
        <v>521</v>
      </c>
      <c r="K5979" s="9" t="s">
        <v>36</v>
      </c>
      <c r="L5979" s="6" t="s">
        <v>36</v>
      </c>
      <c r="M5979" s="3" t="s">
        <v>36</v>
      </c>
      <c r="N5979" s="3" t="s">
        <v>36</v>
      </c>
      <c r="O5979" s="8" t="s">
        <v>36</v>
      </c>
      <c r="P5979" s="3" t="s">
        <v>36</v>
      </c>
      <c r="Q5979" s="3" t="s">
        <v>36</v>
      </c>
      <c r="R5979" s="3" t="s">
        <v>36</v>
      </c>
      <c r="S5979" s="3" t="s">
        <v>36</v>
      </c>
      <c r="T5979" s="3" t="s">
        <v>522</v>
      </c>
      <c r="U5979" s="3" t="s">
        <v>38</v>
      </c>
      <c r="V5979" s="3" t="s">
        <v>39</v>
      </c>
      <c r="W5979" s="3" t="s">
        <v>13132</v>
      </c>
      <c r="X5979" s="10" t="s">
        <v>24068</v>
      </c>
      <c r="Y5979" s="6" t="s">
        <v>42</v>
      </c>
      <c r="Z5979" s="4">
        <v>0.67</v>
      </c>
      <c r="AA5979" s="4">
        <v>1.35</v>
      </c>
      <c r="AB5979" s="3" t="s">
        <v>43</v>
      </c>
      <c r="AC5979" s="3" t="s">
        <v>13134</v>
      </c>
      <c r="AD5979" s="9">
        <v>42917</v>
      </c>
      <c r="AE5979" s="3" t="s">
        <v>110</v>
      </c>
      <c r="AF5979" s="3" t="s">
        <v>1842</v>
      </c>
      <c r="AG5979" s="3" t="s">
        <v>81</v>
      </c>
      <c r="AH5979" s="11">
        <f>HYPERLINK("https://my.pitchbook.com?c=118146-34T","View Company Online")</f>
      </c>
    </row>
    <row r="5980">
      <c r="A5980" s="12" t="s">
        <v>27654</v>
      </c>
      <c r="B5980" s="12" t="s">
        <v>27655</v>
      </c>
      <c r="C5980" s="19" t="s">
        <v>36</v>
      </c>
      <c r="D5980" s="19" t="s">
        <v>36</v>
      </c>
      <c r="E5980" s="19" t="s">
        <v>36</v>
      </c>
      <c r="F5980" s="19" t="s">
        <v>36</v>
      </c>
      <c r="G5980" s="15" t="s">
        <v>36</v>
      </c>
      <c r="H5980" s="14">
        <v>0.92</v>
      </c>
      <c r="I5980" s="18">
        <v>25.9</v>
      </c>
      <c r="J5980" s="12" t="s">
        <v>521</v>
      </c>
      <c r="K5980" s="13" t="s">
        <v>36</v>
      </c>
      <c r="L5980" s="15" t="s">
        <v>36</v>
      </c>
      <c r="M5980" s="12" t="s">
        <v>36</v>
      </c>
      <c r="N5980" s="12" t="s">
        <v>36</v>
      </c>
      <c r="O5980" s="17" t="s">
        <v>36</v>
      </c>
      <c r="P5980" s="12" t="s">
        <v>36</v>
      </c>
      <c r="Q5980" s="12" t="s">
        <v>36</v>
      </c>
      <c r="R5980" s="12" t="s">
        <v>36</v>
      </c>
      <c r="S5980" s="12" t="s">
        <v>36</v>
      </c>
      <c r="T5980" s="12" t="s">
        <v>1935</v>
      </c>
      <c r="U5980" s="12" t="s">
        <v>38</v>
      </c>
      <c r="V5980" s="12" t="s">
        <v>39</v>
      </c>
      <c r="W5980" s="12" t="s">
        <v>27656</v>
      </c>
      <c r="X5980" s="16" t="s">
        <v>27657</v>
      </c>
      <c r="Y5980" s="15" t="s">
        <v>42</v>
      </c>
      <c r="Z5980" s="14">
        <v>1.12</v>
      </c>
      <c r="AA5980" s="14">
        <v>3.03</v>
      </c>
      <c r="AB5980" s="12" t="s">
        <v>56</v>
      </c>
      <c r="AC5980" s="12" t="s">
        <v>27658</v>
      </c>
      <c r="AD5980" s="13">
        <v>42916</v>
      </c>
      <c r="AE5980" s="12" t="s">
        <v>45</v>
      </c>
      <c r="AF5980" s="12" t="s">
        <v>3076</v>
      </c>
      <c r="AG5980" s="12" t="s">
        <v>21815</v>
      </c>
      <c r="AH5980" s="1">
        <f>HYPERLINK("https://my.pitchbook.com?c=95435-29T","View Company Online")</f>
      </c>
    </row>
    <row r="5981">
      <c r="A5981" s="3" t="s">
        <v>27659</v>
      </c>
      <c r="B5981" s="3" t="s">
        <v>19099</v>
      </c>
      <c r="C5981" s="5" t="s">
        <v>36</v>
      </c>
      <c r="D5981" s="5" t="s">
        <v>36</v>
      </c>
      <c r="E5981" s="5" t="s">
        <v>36</v>
      </c>
      <c r="F5981" s="5" t="s">
        <v>36</v>
      </c>
      <c r="G5981" s="6" t="s">
        <v>326</v>
      </c>
      <c r="H5981" s="4">
        <v>3.31</v>
      </c>
      <c r="I5981" s="7">
        <v>37.24</v>
      </c>
      <c r="J5981" s="3" t="s">
        <v>521</v>
      </c>
      <c r="K5981" s="9">
        <v>42760</v>
      </c>
      <c r="L5981" s="6" t="s">
        <v>36</v>
      </c>
      <c r="M5981" s="3" t="s">
        <v>36</v>
      </c>
      <c r="N5981" s="3" t="s">
        <v>36</v>
      </c>
      <c r="O5981" s="8" t="s">
        <v>36</v>
      </c>
      <c r="P5981" s="3" t="s">
        <v>36</v>
      </c>
      <c r="Q5981" s="3" t="s">
        <v>36</v>
      </c>
      <c r="R5981" s="3" t="s">
        <v>36</v>
      </c>
      <c r="S5981" s="3" t="s">
        <v>36</v>
      </c>
      <c r="T5981" s="3" t="s">
        <v>3270</v>
      </c>
      <c r="U5981" s="3" t="s">
        <v>1336</v>
      </c>
      <c r="V5981" s="3" t="s">
        <v>367</v>
      </c>
      <c r="W5981" s="3" t="s">
        <v>19100</v>
      </c>
      <c r="X5981" s="10" t="s">
        <v>27660</v>
      </c>
      <c r="Y5981" s="6" t="s">
        <v>55</v>
      </c>
      <c r="Z5981" s="4">
        <v>5.05</v>
      </c>
      <c r="AA5981" s="4">
        <v>8.48</v>
      </c>
      <c r="AB5981" s="3" t="s">
        <v>43</v>
      </c>
      <c r="AC5981" s="3" t="s">
        <v>19102</v>
      </c>
      <c r="AD5981" s="9">
        <v>42916</v>
      </c>
      <c r="AE5981" s="3" t="s">
        <v>2464</v>
      </c>
      <c r="AF5981" s="3" t="s">
        <v>982</v>
      </c>
      <c r="AG5981" s="3" t="s">
        <v>144</v>
      </c>
      <c r="AH5981" s="11">
        <f>HYPERLINK("https://my.pitchbook.com?c=93221-02T","View Company Online")</f>
      </c>
    </row>
    <row r="5982">
      <c r="A5982" s="12" t="s">
        <v>27661</v>
      </c>
      <c r="B5982" s="12" t="s">
        <v>6688</v>
      </c>
      <c r="C5982" s="19">
        <v>20</v>
      </c>
      <c r="D5982" s="19">
        <v>12</v>
      </c>
      <c r="E5982" s="19">
        <v>11</v>
      </c>
      <c r="F5982" s="19">
        <v>32</v>
      </c>
      <c r="G5982" s="15" t="s">
        <v>36</v>
      </c>
      <c r="H5982" s="14">
        <v>13.5</v>
      </c>
      <c r="I5982" s="18">
        <v>23.53</v>
      </c>
      <c r="J5982" s="12" t="s">
        <v>521</v>
      </c>
      <c r="K5982" s="13" t="s">
        <v>36</v>
      </c>
      <c r="L5982" s="15" t="s">
        <v>36</v>
      </c>
      <c r="M5982" s="12" t="s">
        <v>36</v>
      </c>
      <c r="N5982" s="12" t="s">
        <v>36</v>
      </c>
      <c r="O5982" s="17" t="s">
        <v>36</v>
      </c>
      <c r="P5982" s="12" t="s">
        <v>36</v>
      </c>
      <c r="Q5982" s="12" t="s">
        <v>36</v>
      </c>
      <c r="R5982" s="12" t="s">
        <v>36</v>
      </c>
      <c r="S5982" s="12" t="s">
        <v>36</v>
      </c>
      <c r="T5982" s="12" t="s">
        <v>6689</v>
      </c>
      <c r="U5982" s="12" t="s">
        <v>219</v>
      </c>
      <c r="V5982" s="12" t="s">
        <v>75</v>
      </c>
      <c r="W5982" s="12" t="s">
        <v>6690</v>
      </c>
      <c r="X5982" s="16" t="s">
        <v>1840</v>
      </c>
      <c r="Y5982" s="15" t="s">
        <v>42</v>
      </c>
      <c r="Z5982" s="14">
        <v>0.56</v>
      </c>
      <c r="AA5982" s="14">
        <v>1.91</v>
      </c>
      <c r="AB5982" s="12" t="s">
        <v>43</v>
      </c>
      <c r="AC5982" s="12" t="s">
        <v>6691</v>
      </c>
      <c r="AD5982" s="13">
        <v>42916</v>
      </c>
      <c r="AE5982" s="12" t="s">
        <v>1912</v>
      </c>
      <c r="AF5982" s="12" t="s">
        <v>1969</v>
      </c>
      <c r="AG5982" s="12" t="s">
        <v>144</v>
      </c>
      <c r="AH5982" s="1">
        <f>HYPERLINK("https://my.pitchbook.com?c=133772-05T","View Company Online")</f>
      </c>
    </row>
    <row r="5983">
      <c r="A5983" s="3" t="s">
        <v>27662</v>
      </c>
      <c r="B5983" s="3" t="s">
        <v>27663</v>
      </c>
      <c r="C5983" s="5" t="s">
        <v>36</v>
      </c>
      <c r="D5983" s="5" t="s">
        <v>36</v>
      </c>
      <c r="E5983" s="5" t="s">
        <v>36</v>
      </c>
      <c r="F5983" s="5" t="s">
        <v>36</v>
      </c>
      <c r="G5983" s="6" t="s">
        <v>2497</v>
      </c>
      <c r="H5983" s="4">
        <v>30.1</v>
      </c>
      <c r="I5983" s="7">
        <v>22.22</v>
      </c>
      <c r="J5983" s="3" t="s">
        <v>521</v>
      </c>
      <c r="K5983" s="9" t="s">
        <v>36</v>
      </c>
      <c r="L5983" s="6" t="s">
        <v>36</v>
      </c>
      <c r="M5983" s="3" t="s">
        <v>36</v>
      </c>
      <c r="N5983" s="3" t="s">
        <v>36</v>
      </c>
      <c r="O5983" s="8" t="s">
        <v>36</v>
      </c>
      <c r="P5983" s="3" t="s">
        <v>36</v>
      </c>
      <c r="Q5983" s="3" t="s">
        <v>36</v>
      </c>
      <c r="R5983" s="3" t="s">
        <v>36</v>
      </c>
      <c r="S5983" s="3" t="s">
        <v>36</v>
      </c>
      <c r="T5983" s="3" t="s">
        <v>27664</v>
      </c>
      <c r="U5983" s="3" t="s">
        <v>648</v>
      </c>
      <c r="V5983" s="3" t="s">
        <v>64</v>
      </c>
      <c r="W5983" s="3" t="s">
        <v>27665</v>
      </c>
      <c r="X5983" s="10" t="s">
        <v>8487</v>
      </c>
      <c r="Y5983" s="6" t="s">
        <v>42</v>
      </c>
      <c r="Z5983" s="4">
        <v>0.22</v>
      </c>
      <c r="AA5983" s="4">
        <v>1.01</v>
      </c>
      <c r="AB5983" s="3" t="s">
        <v>56</v>
      </c>
      <c r="AC5983" s="3" t="s">
        <v>27666</v>
      </c>
      <c r="AD5983" s="9">
        <v>42915</v>
      </c>
      <c r="AE5983" s="3" t="s">
        <v>651</v>
      </c>
      <c r="AF5983" s="3" t="s">
        <v>1636</v>
      </c>
      <c r="AG5983" s="3" t="s">
        <v>186</v>
      </c>
      <c r="AH5983" s="11">
        <f>HYPERLINK("https://my.pitchbook.com?c=189600-22T","View Company Online")</f>
      </c>
    </row>
    <row r="5984">
      <c r="A5984" s="12" t="s">
        <v>27667</v>
      </c>
      <c r="B5984" s="12" t="s">
        <v>5443</v>
      </c>
      <c r="C5984" s="19">
        <v>1</v>
      </c>
      <c r="D5984" s="19">
        <v>4</v>
      </c>
      <c r="E5984" s="19">
        <v>1</v>
      </c>
      <c r="F5984" s="19">
        <v>5</v>
      </c>
      <c r="G5984" s="15" t="s">
        <v>326</v>
      </c>
      <c r="H5984" s="14">
        <v>103.86</v>
      </c>
      <c r="I5984" s="18">
        <v>40.18</v>
      </c>
      <c r="J5984" s="12" t="s">
        <v>521</v>
      </c>
      <c r="K5984" s="13">
        <v>42912</v>
      </c>
      <c r="L5984" s="15" t="s">
        <v>36</v>
      </c>
      <c r="M5984" s="12" t="s">
        <v>36</v>
      </c>
      <c r="N5984" s="12" t="s">
        <v>36</v>
      </c>
      <c r="O5984" s="17" t="s">
        <v>36</v>
      </c>
      <c r="P5984" s="12" t="s">
        <v>36</v>
      </c>
      <c r="Q5984" s="12" t="s">
        <v>36</v>
      </c>
      <c r="R5984" s="12" t="s">
        <v>36</v>
      </c>
      <c r="S5984" s="12" t="s">
        <v>36</v>
      </c>
      <c r="T5984" s="12" t="s">
        <v>386</v>
      </c>
      <c r="U5984" s="12" t="s">
        <v>387</v>
      </c>
      <c r="V5984" s="12" t="s">
        <v>367</v>
      </c>
      <c r="W5984" s="12" t="s">
        <v>5444</v>
      </c>
      <c r="X5984" s="16" t="s">
        <v>27668</v>
      </c>
      <c r="Y5984" s="15" t="s">
        <v>108</v>
      </c>
      <c r="Z5984" s="14">
        <v>2.02</v>
      </c>
      <c r="AA5984" s="14">
        <v>5.03</v>
      </c>
      <c r="AB5984" s="12" t="s">
        <v>43</v>
      </c>
      <c r="AC5984" s="12" t="s">
        <v>5446</v>
      </c>
      <c r="AD5984" s="13">
        <v>42915</v>
      </c>
      <c r="AE5984" s="12" t="s">
        <v>391</v>
      </c>
      <c r="AF5984" s="12" t="s">
        <v>5447</v>
      </c>
      <c r="AG5984" s="12" t="s">
        <v>102</v>
      </c>
      <c r="AH5984" s="1">
        <f>HYPERLINK("https://my.pitchbook.com?c=90280-81T","View Company Online")</f>
      </c>
    </row>
    <row r="5985">
      <c r="A5985" s="3" t="s">
        <v>27669</v>
      </c>
      <c r="B5985" s="3" t="s">
        <v>13539</v>
      </c>
      <c r="C5985" s="5" t="s">
        <v>36</v>
      </c>
      <c r="D5985" s="5" t="s">
        <v>36</v>
      </c>
      <c r="E5985" s="5" t="s">
        <v>36</v>
      </c>
      <c r="F5985" s="5" t="s">
        <v>36</v>
      </c>
      <c r="G5985" s="6" t="s">
        <v>2497</v>
      </c>
      <c r="H5985" s="4">
        <v>74.15</v>
      </c>
      <c r="I5985" s="7">
        <v>26.94</v>
      </c>
      <c r="J5985" s="3" t="s">
        <v>521</v>
      </c>
      <c r="K5985" s="9" t="s">
        <v>36</v>
      </c>
      <c r="L5985" s="6" t="s">
        <v>36</v>
      </c>
      <c r="M5985" s="3" t="s">
        <v>36</v>
      </c>
      <c r="N5985" s="3" t="s">
        <v>36</v>
      </c>
      <c r="O5985" s="8" t="s">
        <v>36</v>
      </c>
      <c r="P5985" s="3" t="s">
        <v>36</v>
      </c>
      <c r="Q5985" s="3" t="s">
        <v>36</v>
      </c>
      <c r="R5985" s="3" t="s">
        <v>36</v>
      </c>
      <c r="S5985" s="3" t="s">
        <v>36</v>
      </c>
      <c r="T5985" s="3" t="s">
        <v>13540</v>
      </c>
      <c r="U5985" s="3" t="s">
        <v>279</v>
      </c>
      <c r="V5985" s="3" t="s">
        <v>64</v>
      </c>
      <c r="W5985" s="3" t="s">
        <v>13541</v>
      </c>
      <c r="X5985" s="10" t="s">
        <v>27670</v>
      </c>
      <c r="Y5985" s="6" t="s">
        <v>166</v>
      </c>
      <c r="Z5985" s="4">
        <v>0.66</v>
      </c>
      <c r="AA5985" s="4">
        <v>2.46</v>
      </c>
      <c r="AB5985" s="3" t="s">
        <v>56</v>
      </c>
      <c r="AC5985" s="3" t="s">
        <v>13543</v>
      </c>
      <c r="AD5985" s="9">
        <v>42915</v>
      </c>
      <c r="AE5985" s="3" t="s">
        <v>851</v>
      </c>
      <c r="AF5985" s="3" t="s">
        <v>1077</v>
      </c>
      <c r="AG5985" s="3" t="s">
        <v>81</v>
      </c>
      <c r="AH5985" s="11">
        <f>HYPERLINK("https://my.pitchbook.com?c=196443-64T","View Company Online")</f>
      </c>
    </row>
    <row r="5986">
      <c r="A5986" s="12" t="s">
        <v>27671</v>
      </c>
      <c r="B5986" s="12" t="s">
        <v>19781</v>
      </c>
      <c r="C5986" s="19" t="s">
        <v>36</v>
      </c>
      <c r="D5986" s="19">
        <v>4</v>
      </c>
      <c r="E5986" s="19">
        <v>2</v>
      </c>
      <c r="F5986" s="19">
        <v>9</v>
      </c>
      <c r="G5986" s="15" t="s">
        <v>326</v>
      </c>
      <c r="H5986" s="14">
        <v>457.4</v>
      </c>
      <c r="I5986" s="18">
        <v>37.72</v>
      </c>
      <c r="J5986" s="12" t="s">
        <v>521</v>
      </c>
      <c r="K5986" s="13" t="s">
        <v>36</v>
      </c>
      <c r="L5986" s="15" t="s">
        <v>36</v>
      </c>
      <c r="M5986" s="12" t="s">
        <v>36</v>
      </c>
      <c r="N5986" s="12" t="s">
        <v>36</v>
      </c>
      <c r="O5986" s="17" t="s">
        <v>36</v>
      </c>
      <c r="P5986" s="12" t="s">
        <v>36</v>
      </c>
      <c r="Q5986" s="12" t="s">
        <v>36</v>
      </c>
      <c r="R5986" s="12" t="s">
        <v>36</v>
      </c>
      <c r="S5986" s="12" t="s">
        <v>36</v>
      </c>
      <c r="T5986" s="12" t="s">
        <v>19782</v>
      </c>
      <c r="U5986" s="12" t="s">
        <v>1357</v>
      </c>
      <c r="V5986" s="12" t="s">
        <v>52</v>
      </c>
      <c r="W5986" s="12" t="s">
        <v>19783</v>
      </c>
      <c r="X5986" s="16" t="s">
        <v>27672</v>
      </c>
      <c r="Y5986" s="15" t="s">
        <v>42</v>
      </c>
      <c r="Z5986" s="14">
        <v>4.49</v>
      </c>
      <c r="AA5986" s="14">
        <v>11.9</v>
      </c>
      <c r="AB5986" s="12" t="s">
        <v>56</v>
      </c>
      <c r="AC5986" s="12" t="s">
        <v>19785</v>
      </c>
      <c r="AD5986" s="13">
        <v>42914</v>
      </c>
      <c r="AE5986" s="12" t="s">
        <v>10392</v>
      </c>
      <c r="AF5986" s="12" t="s">
        <v>159</v>
      </c>
      <c r="AG5986" s="12" t="s">
        <v>81</v>
      </c>
      <c r="AH5986" s="1">
        <f>HYPERLINK("https://my.pitchbook.com?c=100159-30T","View Company Online")</f>
      </c>
    </row>
    <row r="5987">
      <c r="A5987" s="3" t="s">
        <v>27673</v>
      </c>
      <c r="B5987" s="3" t="s">
        <v>20686</v>
      </c>
      <c r="C5987" s="5" t="s">
        <v>36</v>
      </c>
      <c r="D5987" s="5" t="s">
        <v>36</v>
      </c>
      <c r="E5987" s="5">
        <v>1</v>
      </c>
      <c r="F5987" s="5">
        <v>1</v>
      </c>
      <c r="G5987" s="6" t="s">
        <v>326</v>
      </c>
      <c r="H5987" s="4">
        <v>342.06</v>
      </c>
      <c r="I5987" s="7">
        <v>53.86</v>
      </c>
      <c r="J5987" s="3" t="s">
        <v>521</v>
      </c>
      <c r="K5987" s="9">
        <v>42465</v>
      </c>
      <c r="L5987" s="6" t="s">
        <v>36</v>
      </c>
      <c r="M5987" s="3" t="s">
        <v>36</v>
      </c>
      <c r="N5987" s="3" t="s">
        <v>36</v>
      </c>
      <c r="O5987" s="8" t="s">
        <v>36</v>
      </c>
      <c r="P5987" s="3" t="s">
        <v>36</v>
      </c>
      <c r="Q5987" s="3" t="s">
        <v>36</v>
      </c>
      <c r="R5987" s="3" t="s">
        <v>36</v>
      </c>
      <c r="S5987" s="3" t="s">
        <v>36</v>
      </c>
      <c r="T5987" s="3" t="s">
        <v>105</v>
      </c>
      <c r="U5987" s="3" t="s">
        <v>38</v>
      </c>
      <c r="V5987" s="3" t="s">
        <v>39</v>
      </c>
      <c r="W5987" s="3" t="s">
        <v>20687</v>
      </c>
      <c r="X5987" s="10" t="s">
        <v>27674</v>
      </c>
      <c r="Y5987" s="6" t="s">
        <v>108</v>
      </c>
      <c r="Z5987" s="4">
        <v>4.9</v>
      </c>
      <c r="AA5987" s="4">
        <v>9.09</v>
      </c>
      <c r="AB5987" s="3" t="s">
        <v>43</v>
      </c>
      <c r="AC5987" s="3" t="s">
        <v>20689</v>
      </c>
      <c r="AD5987" s="9">
        <v>42914</v>
      </c>
      <c r="AE5987" s="3" t="s">
        <v>110</v>
      </c>
      <c r="AF5987" s="3" t="s">
        <v>615</v>
      </c>
      <c r="AG5987" s="3" t="s">
        <v>81</v>
      </c>
      <c r="AH5987" s="11">
        <f>HYPERLINK("https://my.pitchbook.com?c=68629-87T","View Company Online")</f>
      </c>
    </row>
    <row r="5988">
      <c r="A5988" s="12" t="s">
        <v>27675</v>
      </c>
      <c r="B5988" s="12" t="s">
        <v>20851</v>
      </c>
      <c r="C5988" s="19" t="s">
        <v>36</v>
      </c>
      <c r="D5988" s="19" t="s">
        <v>36</v>
      </c>
      <c r="E5988" s="19" t="s">
        <v>36</v>
      </c>
      <c r="F5988" s="19" t="s">
        <v>36</v>
      </c>
      <c r="G5988" s="15" t="s">
        <v>326</v>
      </c>
      <c r="H5988" s="14">
        <v>294.42</v>
      </c>
      <c r="I5988" s="18">
        <v>25.53</v>
      </c>
      <c r="J5988" s="12" t="s">
        <v>521</v>
      </c>
      <c r="K5988" s="13" t="s">
        <v>36</v>
      </c>
      <c r="L5988" s="15" t="s">
        <v>36</v>
      </c>
      <c r="M5988" s="12" t="s">
        <v>36</v>
      </c>
      <c r="N5988" s="12" t="s">
        <v>36</v>
      </c>
      <c r="O5988" s="17" t="s">
        <v>36</v>
      </c>
      <c r="P5988" s="12" t="s">
        <v>36</v>
      </c>
      <c r="Q5988" s="12" t="s">
        <v>36</v>
      </c>
      <c r="R5988" s="12" t="s">
        <v>36</v>
      </c>
      <c r="S5988" s="12" t="s">
        <v>36</v>
      </c>
      <c r="T5988" s="12" t="s">
        <v>1162</v>
      </c>
      <c r="U5988" s="12" t="s">
        <v>423</v>
      </c>
      <c r="V5988" s="12" t="s">
        <v>64</v>
      </c>
      <c r="W5988" s="12" t="s">
        <v>20852</v>
      </c>
      <c r="X5988" s="16" t="s">
        <v>2869</v>
      </c>
      <c r="Y5988" s="15" t="s">
        <v>42</v>
      </c>
      <c r="Z5988" s="14">
        <v>1.34</v>
      </c>
      <c r="AA5988" s="14">
        <v>5.27</v>
      </c>
      <c r="AB5988" s="12" t="s">
        <v>43</v>
      </c>
      <c r="AC5988" s="12" t="s">
        <v>20854</v>
      </c>
      <c r="AD5988" s="13">
        <v>42913</v>
      </c>
      <c r="AE5988" s="12" t="s">
        <v>562</v>
      </c>
      <c r="AF5988" s="12" t="s">
        <v>7222</v>
      </c>
      <c r="AG5988" s="12" t="s">
        <v>47</v>
      </c>
      <c r="AH5988" s="1">
        <f>HYPERLINK("https://my.pitchbook.com?c=119778-31T","View Company Online")</f>
      </c>
    </row>
    <row r="5989">
      <c r="A5989" s="3" t="s">
        <v>27676</v>
      </c>
      <c r="B5989" s="3" t="s">
        <v>21076</v>
      </c>
      <c r="C5989" s="5" t="s">
        <v>36</v>
      </c>
      <c r="D5989" s="5">
        <v>6</v>
      </c>
      <c r="E5989" s="5">
        <v>4</v>
      </c>
      <c r="F5989" s="5">
        <v>7</v>
      </c>
      <c r="G5989" s="6" t="s">
        <v>326</v>
      </c>
      <c r="H5989" s="4">
        <v>3.12</v>
      </c>
      <c r="I5989" s="7">
        <v>29.75</v>
      </c>
      <c r="J5989" s="3" t="s">
        <v>521</v>
      </c>
      <c r="K5989" s="9">
        <v>42802</v>
      </c>
      <c r="L5989" s="6" t="s">
        <v>36</v>
      </c>
      <c r="M5989" s="3" t="s">
        <v>36</v>
      </c>
      <c r="N5989" s="3" t="s">
        <v>36</v>
      </c>
      <c r="O5989" s="8" t="s">
        <v>36</v>
      </c>
      <c r="P5989" s="3" t="s">
        <v>36</v>
      </c>
      <c r="Q5989" s="3" t="s">
        <v>36</v>
      </c>
      <c r="R5989" s="3" t="s">
        <v>36</v>
      </c>
      <c r="S5989" s="3" t="s">
        <v>36</v>
      </c>
      <c r="T5989" s="3" t="s">
        <v>3843</v>
      </c>
      <c r="U5989" s="3" t="s">
        <v>180</v>
      </c>
      <c r="V5989" s="3" t="s">
        <v>52</v>
      </c>
      <c r="W5989" s="3" t="s">
        <v>21077</v>
      </c>
      <c r="X5989" s="10" t="s">
        <v>27677</v>
      </c>
      <c r="Y5989" s="6" t="s">
        <v>108</v>
      </c>
      <c r="Z5989" s="4">
        <v>8.97</v>
      </c>
      <c r="AA5989" s="4">
        <v>15.37</v>
      </c>
      <c r="AB5989" s="3" t="s">
        <v>56</v>
      </c>
      <c r="AC5989" s="3" t="s">
        <v>21079</v>
      </c>
      <c r="AD5989" s="9">
        <v>42913</v>
      </c>
      <c r="AE5989" s="3" t="s">
        <v>3847</v>
      </c>
      <c r="AF5989" s="3" t="s">
        <v>3514</v>
      </c>
      <c r="AG5989" s="3" t="s">
        <v>21080</v>
      </c>
      <c r="AH5989" s="11">
        <f>HYPERLINK("https://my.pitchbook.com?c=105855-49T","View Company Online")</f>
      </c>
    </row>
    <row r="5990">
      <c r="A5990" s="12" t="s">
        <v>27678</v>
      </c>
      <c r="B5990" s="12" t="s">
        <v>17877</v>
      </c>
      <c r="C5990" s="19" t="s">
        <v>36</v>
      </c>
      <c r="D5990" s="19" t="s">
        <v>36</v>
      </c>
      <c r="E5990" s="19" t="s">
        <v>36</v>
      </c>
      <c r="F5990" s="19" t="s">
        <v>36</v>
      </c>
      <c r="G5990" s="15" t="s">
        <v>36</v>
      </c>
      <c r="H5990" s="14" t="s">
        <v>36</v>
      </c>
      <c r="I5990" s="18" t="s">
        <v>36</v>
      </c>
      <c r="J5990" s="12" t="s">
        <v>36</v>
      </c>
      <c r="K5990" s="13" t="s">
        <v>36</v>
      </c>
      <c r="L5990" s="15" t="s">
        <v>36</v>
      </c>
      <c r="M5990" s="12" t="s">
        <v>36</v>
      </c>
      <c r="N5990" s="12" t="s">
        <v>36</v>
      </c>
      <c r="O5990" s="17" t="s">
        <v>36</v>
      </c>
      <c r="P5990" s="12" t="s">
        <v>36</v>
      </c>
      <c r="Q5990" s="12" t="s">
        <v>36</v>
      </c>
      <c r="R5990" s="12" t="s">
        <v>36</v>
      </c>
      <c r="S5990" s="12" t="s">
        <v>36</v>
      </c>
      <c r="T5990" s="12" t="s">
        <v>16221</v>
      </c>
      <c r="U5990" s="12" t="s">
        <v>38</v>
      </c>
      <c r="V5990" s="12" t="s">
        <v>39</v>
      </c>
      <c r="W5990" s="12" t="s">
        <v>17878</v>
      </c>
      <c r="X5990" s="16" t="s">
        <v>8652</v>
      </c>
      <c r="Y5990" s="15" t="s">
        <v>108</v>
      </c>
      <c r="Z5990" s="14" t="s">
        <v>36</v>
      </c>
      <c r="AA5990" s="14" t="s">
        <v>36</v>
      </c>
      <c r="AB5990" s="12" t="s">
        <v>43</v>
      </c>
      <c r="AC5990" s="12" t="s">
        <v>17879</v>
      </c>
      <c r="AD5990" s="13">
        <v>42913</v>
      </c>
      <c r="AE5990" s="12" t="s">
        <v>110</v>
      </c>
      <c r="AF5990" s="12" t="s">
        <v>7533</v>
      </c>
      <c r="AG5990" s="12" t="s">
        <v>81</v>
      </c>
      <c r="AH5990" s="1">
        <f>HYPERLINK("https://my.pitchbook.com?c=122789-08T","View Company Online")</f>
      </c>
    </row>
    <row r="5991">
      <c r="A5991" s="3" t="s">
        <v>27679</v>
      </c>
      <c r="B5991" s="3" t="s">
        <v>27680</v>
      </c>
      <c r="C5991" s="5" t="s">
        <v>36</v>
      </c>
      <c r="D5991" s="5">
        <v>1</v>
      </c>
      <c r="E5991" s="5">
        <v>1</v>
      </c>
      <c r="F5991" s="5">
        <v>2</v>
      </c>
      <c r="G5991" s="6" t="s">
        <v>36</v>
      </c>
      <c r="H5991" s="4">
        <v>159.64</v>
      </c>
      <c r="I5991" s="7">
        <v>35.44</v>
      </c>
      <c r="J5991" s="3" t="s">
        <v>521</v>
      </c>
      <c r="K5991" s="9" t="s">
        <v>36</v>
      </c>
      <c r="L5991" s="6" t="s">
        <v>36</v>
      </c>
      <c r="M5991" s="3" t="s">
        <v>36</v>
      </c>
      <c r="N5991" s="3" t="s">
        <v>36</v>
      </c>
      <c r="O5991" s="8" t="s">
        <v>36</v>
      </c>
      <c r="P5991" s="3" t="s">
        <v>36</v>
      </c>
      <c r="Q5991" s="3" t="s">
        <v>36</v>
      </c>
      <c r="R5991" s="3" t="s">
        <v>36</v>
      </c>
      <c r="S5991" s="3" t="s">
        <v>36</v>
      </c>
      <c r="T5991" s="3" t="s">
        <v>27681</v>
      </c>
      <c r="U5991" s="3" t="s">
        <v>833</v>
      </c>
      <c r="V5991" s="3" t="s">
        <v>64</v>
      </c>
      <c r="W5991" s="3" t="s">
        <v>27682</v>
      </c>
      <c r="X5991" s="10" t="s">
        <v>27683</v>
      </c>
      <c r="Y5991" s="6" t="s">
        <v>42</v>
      </c>
      <c r="Z5991" s="4">
        <v>0.99</v>
      </c>
      <c r="AA5991" s="4">
        <v>2.79</v>
      </c>
      <c r="AB5991" s="3" t="s">
        <v>43</v>
      </c>
      <c r="AC5991" s="3" t="s">
        <v>27684</v>
      </c>
      <c r="AD5991" s="9">
        <v>42912</v>
      </c>
      <c r="AE5991" s="3" t="s">
        <v>1069</v>
      </c>
      <c r="AF5991" s="3" t="s">
        <v>27685</v>
      </c>
      <c r="AG5991" s="3" t="s">
        <v>81</v>
      </c>
      <c r="AH5991" s="11">
        <f>HYPERLINK("https://my.pitchbook.com?c=92067-04T","View Company Online")</f>
      </c>
    </row>
    <row r="5992">
      <c r="A5992" s="12" t="s">
        <v>27686</v>
      </c>
      <c r="B5992" s="12" t="s">
        <v>27687</v>
      </c>
      <c r="C5992" s="19" t="s">
        <v>36</v>
      </c>
      <c r="D5992" s="19">
        <v>4</v>
      </c>
      <c r="E5992" s="19">
        <v>2</v>
      </c>
      <c r="F5992" s="19">
        <v>4</v>
      </c>
      <c r="G5992" s="15" t="s">
        <v>36</v>
      </c>
      <c r="H5992" s="14">
        <v>60.24</v>
      </c>
      <c r="I5992" s="18">
        <v>38.25</v>
      </c>
      <c r="J5992" s="12" t="s">
        <v>521</v>
      </c>
      <c r="K5992" s="13" t="s">
        <v>36</v>
      </c>
      <c r="L5992" s="15" t="s">
        <v>36</v>
      </c>
      <c r="M5992" s="12" t="s">
        <v>36</v>
      </c>
      <c r="N5992" s="12" t="s">
        <v>36</v>
      </c>
      <c r="O5992" s="17" t="s">
        <v>36</v>
      </c>
      <c r="P5992" s="12" t="s">
        <v>36</v>
      </c>
      <c r="Q5992" s="12" t="s">
        <v>36</v>
      </c>
      <c r="R5992" s="12" t="s">
        <v>36</v>
      </c>
      <c r="S5992" s="12" t="s">
        <v>36</v>
      </c>
      <c r="T5992" s="12" t="s">
        <v>139</v>
      </c>
      <c r="U5992" s="12" t="s">
        <v>96</v>
      </c>
      <c r="V5992" s="12" t="s">
        <v>52</v>
      </c>
      <c r="W5992" s="12" t="s">
        <v>27688</v>
      </c>
      <c r="X5992" s="16" t="s">
        <v>27689</v>
      </c>
      <c r="Y5992" s="15" t="s">
        <v>42</v>
      </c>
      <c r="Z5992" s="14">
        <v>0.47</v>
      </c>
      <c r="AA5992" s="14">
        <v>1.23</v>
      </c>
      <c r="AB5992" s="12" t="s">
        <v>43</v>
      </c>
      <c r="AC5992" s="12" t="s">
        <v>27690</v>
      </c>
      <c r="AD5992" s="13">
        <v>42912</v>
      </c>
      <c r="AE5992" s="12" t="s">
        <v>143</v>
      </c>
      <c r="AF5992" s="12" t="s">
        <v>6285</v>
      </c>
      <c r="AG5992" s="12" t="s">
        <v>5020</v>
      </c>
      <c r="AH5992" s="1">
        <f>HYPERLINK("https://my.pitchbook.com?c=116241-40T","View Company Online")</f>
      </c>
    </row>
    <row r="5993">
      <c r="A5993" s="3" t="s">
        <v>27691</v>
      </c>
      <c r="B5993" s="3" t="s">
        <v>21070</v>
      </c>
      <c r="C5993" s="5" t="s">
        <v>36</v>
      </c>
      <c r="D5993" s="5" t="s">
        <v>36</v>
      </c>
      <c r="E5993" s="5" t="s">
        <v>36</v>
      </c>
      <c r="F5993" s="5" t="s">
        <v>36</v>
      </c>
      <c r="G5993" s="6" t="s">
        <v>36</v>
      </c>
      <c r="H5993" s="4" t="s">
        <v>36</v>
      </c>
      <c r="I5993" s="7" t="s">
        <v>36</v>
      </c>
      <c r="J5993" s="3" t="s">
        <v>36</v>
      </c>
      <c r="K5993" s="9">
        <v>42849</v>
      </c>
      <c r="L5993" s="6" t="s">
        <v>36</v>
      </c>
      <c r="M5993" s="3" t="s">
        <v>36</v>
      </c>
      <c r="N5993" s="3" t="s">
        <v>36</v>
      </c>
      <c r="O5993" s="8" t="s">
        <v>36</v>
      </c>
      <c r="P5993" s="3" t="s">
        <v>36</v>
      </c>
      <c r="Q5993" s="3" t="s">
        <v>36</v>
      </c>
      <c r="R5993" s="3" t="s">
        <v>36</v>
      </c>
      <c r="S5993" s="3" t="s">
        <v>36</v>
      </c>
      <c r="T5993" s="3" t="s">
        <v>21071</v>
      </c>
      <c r="U5993" s="3" t="s">
        <v>63</v>
      </c>
      <c r="V5993" s="3" t="s">
        <v>64</v>
      </c>
      <c r="W5993" s="3" t="s">
        <v>21072</v>
      </c>
      <c r="X5993" s="10" t="s">
        <v>9641</v>
      </c>
      <c r="Y5993" s="6" t="s">
        <v>42</v>
      </c>
      <c r="Z5993" s="4">
        <v>1.12</v>
      </c>
      <c r="AA5993" s="4" t="s">
        <v>36</v>
      </c>
      <c r="AB5993" s="3" t="s">
        <v>56</v>
      </c>
      <c r="AC5993" s="3" t="s">
        <v>21073</v>
      </c>
      <c r="AD5993" s="9">
        <v>42912</v>
      </c>
      <c r="AE5993" s="3" t="s">
        <v>642</v>
      </c>
      <c r="AF5993" s="3" t="s">
        <v>546</v>
      </c>
      <c r="AG5993" s="3" t="s">
        <v>21074</v>
      </c>
      <c r="AH5993" s="11">
        <f>HYPERLINK("https://my.pitchbook.com?c=134003-53T","View Company Online")</f>
      </c>
    </row>
    <row r="5994">
      <c r="A5994" s="12" t="s">
        <v>27692</v>
      </c>
      <c r="B5994" s="12" t="s">
        <v>15367</v>
      </c>
      <c r="C5994" s="19" t="s">
        <v>36</v>
      </c>
      <c r="D5994" s="19" t="s">
        <v>36</v>
      </c>
      <c r="E5994" s="19" t="s">
        <v>36</v>
      </c>
      <c r="F5994" s="19" t="s">
        <v>36</v>
      </c>
      <c r="G5994" s="15" t="s">
        <v>2497</v>
      </c>
      <c r="H5994" s="14">
        <v>1.76</v>
      </c>
      <c r="I5994" s="18">
        <v>37.98</v>
      </c>
      <c r="J5994" s="12" t="s">
        <v>521</v>
      </c>
      <c r="K5994" s="13" t="s">
        <v>36</v>
      </c>
      <c r="L5994" s="15" t="s">
        <v>36</v>
      </c>
      <c r="M5994" s="12" t="s">
        <v>36</v>
      </c>
      <c r="N5994" s="12" t="s">
        <v>36</v>
      </c>
      <c r="O5994" s="17" t="s">
        <v>36</v>
      </c>
      <c r="P5994" s="12" t="s">
        <v>36</v>
      </c>
      <c r="Q5994" s="12" t="s">
        <v>36</v>
      </c>
      <c r="R5994" s="12" t="s">
        <v>36</v>
      </c>
      <c r="S5994" s="12" t="s">
        <v>36</v>
      </c>
      <c r="T5994" s="12" t="s">
        <v>2044</v>
      </c>
      <c r="U5994" s="12" t="s">
        <v>74</v>
      </c>
      <c r="V5994" s="12" t="s">
        <v>75</v>
      </c>
      <c r="W5994" s="12" t="s">
        <v>15368</v>
      </c>
      <c r="X5994" s="16" t="s">
        <v>27693</v>
      </c>
      <c r="Y5994" s="15" t="s">
        <v>108</v>
      </c>
      <c r="Z5994" s="14">
        <v>4.35</v>
      </c>
      <c r="AA5994" s="14">
        <v>11.45</v>
      </c>
      <c r="AB5994" s="12" t="s">
        <v>56</v>
      </c>
      <c r="AC5994" s="12" t="s">
        <v>15370</v>
      </c>
      <c r="AD5994" s="13">
        <v>42912</v>
      </c>
      <c r="AE5994" s="12" t="s">
        <v>79</v>
      </c>
      <c r="AF5994" s="12" t="s">
        <v>80</v>
      </c>
      <c r="AG5994" s="12" t="s">
        <v>81</v>
      </c>
      <c r="AH5994" s="1">
        <f>HYPERLINK("https://my.pitchbook.com?c=81468-46T","View Company Online")</f>
      </c>
    </row>
    <row r="5995">
      <c r="A5995" s="3" t="s">
        <v>27694</v>
      </c>
      <c r="B5995" s="3" t="s">
        <v>27695</v>
      </c>
      <c r="C5995" s="5" t="s">
        <v>36</v>
      </c>
      <c r="D5995" s="5" t="s">
        <v>36</v>
      </c>
      <c r="E5995" s="5" t="s">
        <v>36</v>
      </c>
      <c r="F5995" s="5" t="s">
        <v>36</v>
      </c>
      <c r="G5995" s="6" t="s">
        <v>36</v>
      </c>
      <c r="H5995" s="4">
        <v>251.63</v>
      </c>
      <c r="I5995" s="7">
        <v>2.81</v>
      </c>
      <c r="J5995" s="3" t="s">
        <v>521</v>
      </c>
      <c r="K5995" s="9" t="s">
        <v>36</v>
      </c>
      <c r="L5995" s="6" t="s">
        <v>36</v>
      </c>
      <c r="M5995" s="3" t="s">
        <v>36</v>
      </c>
      <c r="N5995" s="3" t="s">
        <v>36</v>
      </c>
      <c r="O5995" s="8" t="s">
        <v>36</v>
      </c>
      <c r="P5995" s="3" t="s">
        <v>36</v>
      </c>
      <c r="Q5995" s="3" t="s">
        <v>36</v>
      </c>
      <c r="R5995" s="3" t="s">
        <v>36</v>
      </c>
      <c r="S5995" s="3" t="s">
        <v>36</v>
      </c>
      <c r="T5995" s="3" t="s">
        <v>422</v>
      </c>
      <c r="U5995" s="3" t="s">
        <v>423</v>
      </c>
      <c r="V5995" s="3" t="s">
        <v>64</v>
      </c>
      <c r="W5995" s="3" t="s">
        <v>27696</v>
      </c>
      <c r="X5995" s="10" t="s">
        <v>27697</v>
      </c>
      <c r="Y5995" s="6" t="s">
        <v>108</v>
      </c>
      <c r="Z5995" s="4">
        <v>0.16</v>
      </c>
      <c r="AA5995" s="4">
        <v>5.76</v>
      </c>
      <c r="AB5995" s="3" t="s">
        <v>43</v>
      </c>
      <c r="AC5995" s="3" t="s">
        <v>27698</v>
      </c>
      <c r="AD5995" s="9">
        <v>42912</v>
      </c>
      <c r="AE5995" s="3" t="s">
        <v>427</v>
      </c>
      <c r="AF5995" s="3" t="s">
        <v>938</v>
      </c>
      <c r="AG5995" s="3" t="s">
        <v>81</v>
      </c>
      <c r="AH5995" s="11">
        <f>HYPERLINK("https://my.pitchbook.com?c=108235-00T","View Company Online")</f>
      </c>
    </row>
    <row r="5996">
      <c r="A5996" s="12" t="s">
        <v>27699</v>
      </c>
      <c r="B5996" s="12" t="s">
        <v>22499</v>
      </c>
      <c r="C5996" s="19" t="s">
        <v>36</v>
      </c>
      <c r="D5996" s="19" t="s">
        <v>36</v>
      </c>
      <c r="E5996" s="19" t="s">
        <v>36</v>
      </c>
      <c r="F5996" s="19" t="s">
        <v>36</v>
      </c>
      <c r="G5996" s="15" t="s">
        <v>36</v>
      </c>
      <c r="H5996" s="14">
        <v>4.66</v>
      </c>
      <c r="I5996" s="18">
        <v>28.62</v>
      </c>
      <c r="J5996" s="12" t="s">
        <v>521</v>
      </c>
      <c r="K5996" s="13" t="s">
        <v>36</v>
      </c>
      <c r="L5996" s="15" t="s">
        <v>36</v>
      </c>
      <c r="M5996" s="12" t="s">
        <v>36</v>
      </c>
      <c r="N5996" s="12" t="s">
        <v>36</v>
      </c>
      <c r="O5996" s="17" t="s">
        <v>36</v>
      </c>
      <c r="P5996" s="12" t="s">
        <v>36</v>
      </c>
      <c r="Q5996" s="12" t="s">
        <v>36</v>
      </c>
      <c r="R5996" s="12" t="s">
        <v>36</v>
      </c>
      <c r="S5996" s="12" t="s">
        <v>36</v>
      </c>
      <c r="T5996" s="12" t="s">
        <v>1350</v>
      </c>
      <c r="U5996" s="12" t="s">
        <v>38</v>
      </c>
      <c r="V5996" s="12" t="s">
        <v>39</v>
      </c>
      <c r="W5996" s="12" t="s">
        <v>22500</v>
      </c>
      <c r="X5996" s="16" t="s">
        <v>27700</v>
      </c>
      <c r="Y5996" s="15" t="s">
        <v>42</v>
      </c>
      <c r="Z5996" s="14">
        <v>1.12</v>
      </c>
      <c r="AA5996" s="14">
        <v>2.82</v>
      </c>
      <c r="AB5996" s="12" t="s">
        <v>43</v>
      </c>
      <c r="AC5996" s="12" t="s">
        <v>22502</v>
      </c>
      <c r="AD5996" s="13">
        <v>42912</v>
      </c>
      <c r="AE5996" s="12" t="s">
        <v>785</v>
      </c>
      <c r="AF5996" s="12" t="s">
        <v>22503</v>
      </c>
      <c r="AG5996" s="12" t="s">
        <v>81</v>
      </c>
      <c r="AH5996" s="1">
        <f>HYPERLINK("https://my.pitchbook.com?c=103323-25T","View Company Online")</f>
      </c>
    </row>
    <row r="5997">
      <c r="A5997" s="3" t="s">
        <v>27701</v>
      </c>
      <c r="B5997" s="3" t="s">
        <v>27702</v>
      </c>
      <c r="C5997" s="5" t="s">
        <v>36</v>
      </c>
      <c r="D5997" s="5" t="s">
        <v>36</v>
      </c>
      <c r="E5997" s="5" t="s">
        <v>36</v>
      </c>
      <c r="F5997" s="5" t="s">
        <v>36</v>
      </c>
      <c r="G5997" s="6" t="s">
        <v>2497</v>
      </c>
      <c r="H5997" s="4">
        <v>87.14</v>
      </c>
      <c r="I5997" s="7">
        <v>28.48</v>
      </c>
      <c r="J5997" s="3" t="s">
        <v>521</v>
      </c>
      <c r="K5997" s="9" t="s">
        <v>36</v>
      </c>
      <c r="L5997" s="6" t="s">
        <v>36</v>
      </c>
      <c r="M5997" s="3" t="s">
        <v>36</v>
      </c>
      <c r="N5997" s="3" t="s">
        <v>36</v>
      </c>
      <c r="O5997" s="8" t="s">
        <v>36</v>
      </c>
      <c r="P5997" s="3" t="s">
        <v>36</v>
      </c>
      <c r="Q5997" s="3" t="s">
        <v>36</v>
      </c>
      <c r="R5997" s="3" t="s">
        <v>36</v>
      </c>
      <c r="S5997" s="3" t="s">
        <v>36</v>
      </c>
      <c r="T5997" s="3" t="s">
        <v>27703</v>
      </c>
      <c r="U5997" s="3" t="s">
        <v>289</v>
      </c>
      <c r="V5997" s="3" t="s">
        <v>64</v>
      </c>
      <c r="W5997" s="3" t="s">
        <v>27704</v>
      </c>
      <c r="X5997" s="10" t="s">
        <v>27705</v>
      </c>
      <c r="Y5997" s="6" t="s">
        <v>108</v>
      </c>
      <c r="Z5997" s="4">
        <v>0.66</v>
      </c>
      <c r="AA5997" s="4">
        <v>2.32</v>
      </c>
      <c r="AB5997" s="3" t="s">
        <v>56</v>
      </c>
      <c r="AC5997" s="3" t="s">
        <v>27706</v>
      </c>
      <c r="AD5997" s="9">
        <v>42912</v>
      </c>
      <c r="AE5997" s="3" t="s">
        <v>292</v>
      </c>
      <c r="AF5997" s="3" t="s">
        <v>2118</v>
      </c>
      <c r="AG5997" s="3" t="s">
        <v>81</v>
      </c>
      <c r="AH5997" s="11">
        <f>HYPERLINK("https://my.pitchbook.com?c=122758-48T","View Company Online")</f>
      </c>
    </row>
    <row r="5998">
      <c r="A5998" s="12" t="s">
        <v>27707</v>
      </c>
      <c r="B5998" s="12" t="s">
        <v>27708</v>
      </c>
      <c r="C5998" s="19" t="s">
        <v>36</v>
      </c>
      <c r="D5998" s="19" t="s">
        <v>36</v>
      </c>
      <c r="E5998" s="19" t="s">
        <v>36</v>
      </c>
      <c r="F5998" s="19" t="s">
        <v>36</v>
      </c>
      <c r="G5998" s="15" t="s">
        <v>36</v>
      </c>
      <c r="H5998" s="14" t="s">
        <v>36</v>
      </c>
      <c r="I5998" s="18" t="s">
        <v>36</v>
      </c>
      <c r="J5998" s="12" t="s">
        <v>36</v>
      </c>
      <c r="K5998" s="13" t="s">
        <v>36</v>
      </c>
      <c r="L5998" s="15" t="s">
        <v>36</v>
      </c>
      <c r="M5998" s="12" t="s">
        <v>36</v>
      </c>
      <c r="N5998" s="12" t="s">
        <v>36</v>
      </c>
      <c r="O5998" s="17" t="s">
        <v>36</v>
      </c>
      <c r="P5998" s="12" t="s">
        <v>36</v>
      </c>
      <c r="Q5998" s="12" t="s">
        <v>36</v>
      </c>
      <c r="R5998" s="12" t="s">
        <v>36</v>
      </c>
      <c r="S5998" s="12" t="s">
        <v>36</v>
      </c>
      <c r="T5998" s="12" t="s">
        <v>422</v>
      </c>
      <c r="U5998" s="12" t="s">
        <v>423</v>
      </c>
      <c r="V5998" s="12" t="s">
        <v>64</v>
      </c>
      <c r="W5998" s="12" t="s">
        <v>27709</v>
      </c>
      <c r="X5998" s="16" t="s">
        <v>9680</v>
      </c>
      <c r="Y5998" s="15" t="s">
        <v>42</v>
      </c>
      <c r="Z5998" s="14" t="s">
        <v>36</v>
      </c>
      <c r="AA5998" s="14" t="s">
        <v>36</v>
      </c>
      <c r="AB5998" s="12" t="s">
        <v>43</v>
      </c>
      <c r="AC5998" s="12" t="s">
        <v>27710</v>
      </c>
      <c r="AD5998" s="13">
        <v>42910</v>
      </c>
      <c r="AE5998" s="12" t="s">
        <v>427</v>
      </c>
      <c r="AF5998" s="12" t="s">
        <v>36</v>
      </c>
      <c r="AG5998" s="12" t="s">
        <v>741</v>
      </c>
      <c r="AH5998" s="1">
        <f>HYPERLINK("https://my.pitchbook.com?c=156194-92T","View Company Online")</f>
      </c>
    </row>
    <row r="5999">
      <c r="A5999" s="3" t="s">
        <v>27711</v>
      </c>
      <c r="B5999" s="3" t="s">
        <v>21151</v>
      </c>
      <c r="C5999" s="5" t="s">
        <v>36</v>
      </c>
      <c r="D5999" s="5" t="s">
        <v>36</v>
      </c>
      <c r="E5999" s="5" t="s">
        <v>36</v>
      </c>
      <c r="F5999" s="5" t="s">
        <v>36</v>
      </c>
      <c r="G5999" s="6" t="s">
        <v>36</v>
      </c>
      <c r="H5999" s="4">
        <v>9825.61</v>
      </c>
      <c r="I5999" s="7">
        <v>12.51</v>
      </c>
      <c r="J5999" s="3" t="s">
        <v>521</v>
      </c>
      <c r="K5999" s="9">
        <v>42822</v>
      </c>
      <c r="L5999" s="6" t="s">
        <v>36</v>
      </c>
      <c r="M5999" s="3" t="s">
        <v>36</v>
      </c>
      <c r="N5999" s="3" t="s">
        <v>36</v>
      </c>
      <c r="O5999" s="8" t="s">
        <v>36</v>
      </c>
      <c r="P5999" s="3" t="s">
        <v>36</v>
      </c>
      <c r="Q5999" s="3" t="s">
        <v>36</v>
      </c>
      <c r="R5999" s="3" t="s">
        <v>36</v>
      </c>
      <c r="S5999" s="3" t="s">
        <v>7049</v>
      </c>
      <c r="T5999" s="3" t="s">
        <v>105</v>
      </c>
      <c r="U5999" s="3" t="s">
        <v>38</v>
      </c>
      <c r="V5999" s="3" t="s">
        <v>39</v>
      </c>
      <c r="W5999" s="3" t="s">
        <v>21152</v>
      </c>
      <c r="X5999" s="10" t="s">
        <v>22826</v>
      </c>
      <c r="Y5999" s="6" t="s">
        <v>42</v>
      </c>
      <c r="Z5999" s="4">
        <v>1.52</v>
      </c>
      <c r="AA5999" s="4">
        <v>12.11</v>
      </c>
      <c r="AB5999" s="3" t="s">
        <v>43</v>
      </c>
      <c r="AC5999" s="3" t="s">
        <v>21154</v>
      </c>
      <c r="AD5999" s="9">
        <v>42908</v>
      </c>
      <c r="AE5999" s="3" t="s">
        <v>110</v>
      </c>
      <c r="AF5999" s="3" t="s">
        <v>5901</v>
      </c>
      <c r="AG5999" s="3" t="s">
        <v>81</v>
      </c>
      <c r="AH5999" s="11">
        <f>HYPERLINK("https://my.pitchbook.com?c=108001-90T","View Company Online")</f>
      </c>
    </row>
    <row r="6000">
      <c r="A6000" s="12" t="s">
        <v>27712</v>
      </c>
      <c r="B6000" s="12" t="s">
        <v>27713</v>
      </c>
      <c r="C6000" s="19" t="s">
        <v>36</v>
      </c>
      <c r="D6000" s="19">
        <v>3</v>
      </c>
      <c r="E6000" s="19">
        <v>2</v>
      </c>
      <c r="F6000" s="19">
        <v>8</v>
      </c>
      <c r="G6000" s="15" t="s">
        <v>36</v>
      </c>
      <c r="H6000" s="14">
        <v>47.81</v>
      </c>
      <c r="I6000" s="18">
        <v>15</v>
      </c>
      <c r="J6000" s="12" t="s">
        <v>521</v>
      </c>
      <c r="K6000" s="13" t="s">
        <v>36</v>
      </c>
      <c r="L6000" s="15" t="s">
        <v>36</v>
      </c>
      <c r="M6000" s="12" t="s">
        <v>36</v>
      </c>
      <c r="N6000" s="12" t="s">
        <v>36</v>
      </c>
      <c r="O6000" s="17" t="s">
        <v>36</v>
      </c>
      <c r="P6000" s="12" t="s">
        <v>36</v>
      </c>
      <c r="Q6000" s="12" t="s">
        <v>36</v>
      </c>
      <c r="R6000" s="12" t="s">
        <v>36</v>
      </c>
      <c r="S6000" s="12" t="s">
        <v>36</v>
      </c>
      <c r="T6000" s="12" t="s">
        <v>27714</v>
      </c>
      <c r="U6000" s="12" t="s">
        <v>219</v>
      </c>
      <c r="V6000" s="12" t="s">
        <v>75</v>
      </c>
      <c r="W6000" s="12" t="s">
        <v>27715</v>
      </c>
      <c r="X6000" s="16" t="s">
        <v>11058</v>
      </c>
      <c r="Y6000" s="15" t="s">
        <v>42</v>
      </c>
      <c r="Z6000" s="14">
        <v>0.15</v>
      </c>
      <c r="AA6000" s="14">
        <v>0.97</v>
      </c>
      <c r="AB6000" s="12" t="s">
        <v>56</v>
      </c>
      <c r="AC6000" s="12" t="s">
        <v>27716</v>
      </c>
      <c r="AD6000" s="13">
        <v>42908</v>
      </c>
      <c r="AE6000" s="12" t="s">
        <v>1912</v>
      </c>
      <c r="AF6000" s="12" t="s">
        <v>36</v>
      </c>
      <c r="AG6000" s="12" t="s">
        <v>102</v>
      </c>
      <c r="AH6000" s="1">
        <f>HYPERLINK("https://my.pitchbook.com?c=89339-23T","View Company Online")</f>
      </c>
    </row>
    <row r="6001">
      <c r="A6001" s="3" t="s">
        <v>27717</v>
      </c>
      <c r="B6001" s="3" t="s">
        <v>15305</v>
      </c>
      <c r="C6001" s="5" t="s">
        <v>36</v>
      </c>
      <c r="D6001" s="5" t="s">
        <v>36</v>
      </c>
      <c r="E6001" s="5" t="s">
        <v>36</v>
      </c>
      <c r="F6001" s="5" t="s">
        <v>36</v>
      </c>
      <c r="G6001" s="6" t="s">
        <v>36</v>
      </c>
      <c r="H6001" s="4">
        <v>5.84</v>
      </c>
      <c r="I6001" s="7">
        <v>23.74</v>
      </c>
      <c r="J6001" s="3" t="s">
        <v>327</v>
      </c>
      <c r="K6001" s="9" t="s">
        <v>36</v>
      </c>
      <c r="L6001" s="6" t="s">
        <v>36</v>
      </c>
      <c r="M6001" s="3" t="s">
        <v>36</v>
      </c>
      <c r="N6001" s="3" t="s">
        <v>36</v>
      </c>
      <c r="O6001" s="8" t="s">
        <v>36</v>
      </c>
      <c r="P6001" s="3" t="s">
        <v>36</v>
      </c>
      <c r="Q6001" s="3" t="s">
        <v>36</v>
      </c>
      <c r="R6001" s="3" t="s">
        <v>36</v>
      </c>
      <c r="S6001" s="3" t="s">
        <v>36</v>
      </c>
      <c r="T6001" s="3" t="s">
        <v>15306</v>
      </c>
      <c r="U6001" s="3" t="s">
        <v>38</v>
      </c>
      <c r="V6001" s="3" t="s">
        <v>39</v>
      </c>
      <c r="W6001" s="3" t="s">
        <v>15307</v>
      </c>
      <c r="X6001" s="10" t="s">
        <v>1840</v>
      </c>
      <c r="Y6001" s="6" t="s">
        <v>42</v>
      </c>
      <c r="Z6001" s="4">
        <v>0.2</v>
      </c>
      <c r="AA6001" s="4">
        <v>0.83</v>
      </c>
      <c r="AB6001" s="3" t="s">
        <v>43</v>
      </c>
      <c r="AC6001" s="3" t="s">
        <v>15309</v>
      </c>
      <c r="AD6001" s="9">
        <v>42908</v>
      </c>
      <c r="AE6001" s="3" t="s">
        <v>45</v>
      </c>
      <c r="AF6001" s="3" t="s">
        <v>46</v>
      </c>
      <c r="AG6001" s="3" t="s">
        <v>5114</v>
      </c>
      <c r="AH6001" s="11">
        <f>HYPERLINK("https://my.pitchbook.com?c=117998-29T","View Company Online")</f>
      </c>
    </row>
    <row r="6002">
      <c r="A6002" s="12" t="s">
        <v>27718</v>
      </c>
      <c r="B6002" s="12" t="s">
        <v>15437</v>
      </c>
      <c r="C6002" s="19">
        <v>1</v>
      </c>
      <c r="D6002" s="19">
        <v>2</v>
      </c>
      <c r="E6002" s="19">
        <v>1</v>
      </c>
      <c r="F6002" s="19">
        <v>4</v>
      </c>
      <c r="G6002" s="15" t="s">
        <v>36</v>
      </c>
      <c r="H6002" s="14">
        <v>152.67</v>
      </c>
      <c r="I6002" s="18">
        <v>31.62</v>
      </c>
      <c r="J6002" s="12" t="s">
        <v>521</v>
      </c>
      <c r="K6002" s="13">
        <v>42857</v>
      </c>
      <c r="L6002" s="15" t="s">
        <v>36</v>
      </c>
      <c r="M6002" s="12" t="s">
        <v>36</v>
      </c>
      <c r="N6002" s="12" t="s">
        <v>36</v>
      </c>
      <c r="O6002" s="17" t="s">
        <v>36</v>
      </c>
      <c r="P6002" s="12" t="s">
        <v>36</v>
      </c>
      <c r="Q6002" s="12" t="s">
        <v>36</v>
      </c>
      <c r="R6002" s="12" t="s">
        <v>36</v>
      </c>
      <c r="S6002" s="12" t="s">
        <v>36</v>
      </c>
      <c r="T6002" s="12" t="s">
        <v>15438</v>
      </c>
      <c r="U6002" s="12" t="s">
        <v>1144</v>
      </c>
      <c r="V6002" s="12" t="s">
        <v>378</v>
      </c>
      <c r="W6002" s="12" t="s">
        <v>15439</v>
      </c>
      <c r="X6002" s="16" t="s">
        <v>27719</v>
      </c>
      <c r="Y6002" s="15" t="s">
        <v>42</v>
      </c>
      <c r="Z6002" s="14">
        <v>0.76</v>
      </c>
      <c r="AA6002" s="14">
        <v>2.41</v>
      </c>
      <c r="AB6002" s="12" t="s">
        <v>43</v>
      </c>
      <c r="AC6002" s="12" t="s">
        <v>15441</v>
      </c>
      <c r="AD6002" s="13">
        <v>42908</v>
      </c>
      <c r="AE6002" s="12" t="s">
        <v>7667</v>
      </c>
      <c r="AF6002" s="12" t="s">
        <v>571</v>
      </c>
      <c r="AG6002" s="12" t="s">
        <v>15442</v>
      </c>
      <c r="AH6002" s="1">
        <f>HYPERLINK("https://my.pitchbook.com?c=108631-54T","View Company Online")</f>
      </c>
    </row>
    <row r="6003">
      <c r="A6003" s="3" t="s">
        <v>27720</v>
      </c>
      <c r="B6003" s="3" t="s">
        <v>27721</v>
      </c>
      <c r="C6003" s="5" t="s">
        <v>36</v>
      </c>
      <c r="D6003" s="5" t="s">
        <v>36</v>
      </c>
      <c r="E6003" s="5" t="s">
        <v>36</v>
      </c>
      <c r="F6003" s="5" t="s">
        <v>36</v>
      </c>
      <c r="G6003" s="6" t="s">
        <v>36</v>
      </c>
      <c r="H6003" s="4" t="s">
        <v>36</v>
      </c>
      <c r="I6003" s="7" t="s">
        <v>36</v>
      </c>
      <c r="J6003" s="3" t="s">
        <v>36</v>
      </c>
      <c r="K6003" s="9">
        <v>42644</v>
      </c>
      <c r="L6003" s="6" t="s">
        <v>36</v>
      </c>
      <c r="M6003" s="3" t="s">
        <v>36</v>
      </c>
      <c r="N6003" s="3" t="s">
        <v>36</v>
      </c>
      <c r="O6003" s="8" t="s">
        <v>36</v>
      </c>
      <c r="P6003" s="3" t="s">
        <v>36</v>
      </c>
      <c r="Q6003" s="3" t="s">
        <v>36</v>
      </c>
      <c r="R6003" s="3" t="s">
        <v>36</v>
      </c>
      <c r="S6003" s="3" t="s">
        <v>36</v>
      </c>
      <c r="T6003" s="3" t="s">
        <v>10338</v>
      </c>
      <c r="U6003" s="3" t="s">
        <v>648</v>
      </c>
      <c r="V6003" s="3" t="s">
        <v>64</v>
      </c>
      <c r="W6003" s="3" t="s">
        <v>27722</v>
      </c>
      <c r="X6003" s="10" t="s">
        <v>27723</v>
      </c>
      <c r="Y6003" s="6" t="s">
        <v>166</v>
      </c>
      <c r="Z6003" s="4">
        <v>6.05</v>
      </c>
      <c r="AA6003" s="4" t="s">
        <v>36</v>
      </c>
      <c r="AB6003" s="3" t="s">
        <v>56</v>
      </c>
      <c r="AC6003" s="3" t="s">
        <v>27724</v>
      </c>
      <c r="AD6003" s="9">
        <v>42908</v>
      </c>
      <c r="AE6003" s="3" t="s">
        <v>651</v>
      </c>
      <c r="AF6003" s="3" t="s">
        <v>2118</v>
      </c>
      <c r="AG6003" s="3" t="s">
        <v>81</v>
      </c>
      <c r="AH6003" s="11">
        <f>HYPERLINK("https://my.pitchbook.com?c=86026-87T","View Company Online")</f>
      </c>
    </row>
    <row r="6004">
      <c r="A6004" s="12" t="s">
        <v>27725</v>
      </c>
      <c r="B6004" s="12" t="s">
        <v>27726</v>
      </c>
      <c r="C6004" s="19" t="s">
        <v>36</v>
      </c>
      <c r="D6004" s="19">
        <v>4</v>
      </c>
      <c r="E6004" s="19">
        <v>2</v>
      </c>
      <c r="F6004" s="19">
        <v>5</v>
      </c>
      <c r="G6004" s="15" t="s">
        <v>36</v>
      </c>
      <c r="H6004" s="14" t="s">
        <v>36</v>
      </c>
      <c r="I6004" s="18" t="s">
        <v>36</v>
      </c>
      <c r="J6004" s="12" t="s">
        <v>36</v>
      </c>
      <c r="K6004" s="13" t="s">
        <v>36</v>
      </c>
      <c r="L6004" s="15" t="s">
        <v>36</v>
      </c>
      <c r="M6004" s="12" t="s">
        <v>36</v>
      </c>
      <c r="N6004" s="12" t="s">
        <v>36</v>
      </c>
      <c r="O6004" s="17" t="s">
        <v>36</v>
      </c>
      <c r="P6004" s="12" t="s">
        <v>36</v>
      </c>
      <c r="Q6004" s="12" t="s">
        <v>36</v>
      </c>
      <c r="R6004" s="12" t="s">
        <v>36</v>
      </c>
      <c r="S6004" s="12" t="s">
        <v>36</v>
      </c>
      <c r="T6004" s="12" t="s">
        <v>9494</v>
      </c>
      <c r="U6004" s="12" t="s">
        <v>38</v>
      </c>
      <c r="V6004" s="12" t="s">
        <v>39</v>
      </c>
      <c r="W6004" s="12" t="s">
        <v>27727</v>
      </c>
      <c r="X6004" s="16" t="s">
        <v>27728</v>
      </c>
      <c r="Y6004" s="15" t="s">
        <v>166</v>
      </c>
      <c r="Z6004" s="14">
        <v>2.24</v>
      </c>
      <c r="AA6004" s="14" t="s">
        <v>36</v>
      </c>
      <c r="AB6004" s="12" t="s">
        <v>56</v>
      </c>
      <c r="AC6004" s="12" t="s">
        <v>27729</v>
      </c>
      <c r="AD6004" s="13">
        <v>42907</v>
      </c>
      <c r="AE6004" s="12" t="s">
        <v>554</v>
      </c>
      <c r="AF6004" s="12" t="s">
        <v>20487</v>
      </c>
      <c r="AG6004" s="12" t="s">
        <v>666</v>
      </c>
      <c r="AH6004" s="1">
        <f>HYPERLINK("https://my.pitchbook.com?c=134724-97T","View Company Online")</f>
      </c>
    </row>
    <row r="6005">
      <c r="A6005" s="3" t="s">
        <v>27730</v>
      </c>
      <c r="B6005" s="3" t="s">
        <v>23092</v>
      </c>
      <c r="C6005" s="5" t="s">
        <v>36</v>
      </c>
      <c r="D6005" s="5" t="s">
        <v>36</v>
      </c>
      <c r="E6005" s="5" t="s">
        <v>36</v>
      </c>
      <c r="F6005" s="5" t="s">
        <v>36</v>
      </c>
      <c r="G6005" s="6" t="s">
        <v>36</v>
      </c>
      <c r="H6005" s="4">
        <v>11.73</v>
      </c>
      <c r="I6005" s="7">
        <v>33.36</v>
      </c>
      <c r="J6005" s="3" t="s">
        <v>521</v>
      </c>
      <c r="K6005" s="9">
        <v>42552</v>
      </c>
      <c r="L6005" s="6" t="s">
        <v>122</v>
      </c>
      <c r="M6005" s="3" t="s">
        <v>36</v>
      </c>
      <c r="N6005" s="3" t="s">
        <v>122</v>
      </c>
      <c r="O6005" s="8" t="s">
        <v>36</v>
      </c>
      <c r="P6005" s="3" t="s">
        <v>36</v>
      </c>
      <c r="Q6005" s="3" t="s">
        <v>36</v>
      </c>
      <c r="R6005" s="3" t="s">
        <v>36</v>
      </c>
      <c r="S6005" s="3" t="s">
        <v>36</v>
      </c>
      <c r="T6005" s="3" t="s">
        <v>1227</v>
      </c>
      <c r="U6005" s="3" t="s">
        <v>74</v>
      </c>
      <c r="V6005" s="3" t="s">
        <v>75</v>
      </c>
      <c r="W6005" s="3" t="s">
        <v>23093</v>
      </c>
      <c r="X6005" s="10" t="s">
        <v>27731</v>
      </c>
      <c r="Y6005" s="6" t="s">
        <v>42</v>
      </c>
      <c r="Z6005" s="4">
        <v>3.36</v>
      </c>
      <c r="AA6005" s="4">
        <v>10.06</v>
      </c>
      <c r="AB6005" s="3" t="s">
        <v>56</v>
      </c>
      <c r="AC6005" s="3" t="s">
        <v>23095</v>
      </c>
      <c r="AD6005" s="9">
        <v>42907</v>
      </c>
      <c r="AE6005" s="3" t="s">
        <v>570</v>
      </c>
      <c r="AF6005" s="3" t="s">
        <v>372</v>
      </c>
      <c r="AG6005" s="3" t="s">
        <v>23096</v>
      </c>
      <c r="AH6005" s="11">
        <f>HYPERLINK("https://my.pitchbook.com?c=73690-84T","View Company Online")</f>
      </c>
    </row>
    <row r="6006">
      <c r="A6006" s="12" t="s">
        <v>27732</v>
      </c>
      <c r="B6006" s="12" t="s">
        <v>27733</v>
      </c>
      <c r="C6006" s="19" t="s">
        <v>36</v>
      </c>
      <c r="D6006" s="19" t="s">
        <v>36</v>
      </c>
      <c r="E6006" s="19" t="s">
        <v>36</v>
      </c>
      <c r="F6006" s="19" t="s">
        <v>36</v>
      </c>
      <c r="G6006" s="15" t="s">
        <v>36</v>
      </c>
      <c r="H6006" s="14" t="s">
        <v>36</v>
      </c>
      <c r="I6006" s="18" t="s">
        <v>36</v>
      </c>
      <c r="J6006" s="12" t="s">
        <v>36</v>
      </c>
      <c r="K6006" s="13" t="s">
        <v>36</v>
      </c>
      <c r="L6006" s="15" t="s">
        <v>36</v>
      </c>
      <c r="M6006" s="12" t="s">
        <v>36</v>
      </c>
      <c r="N6006" s="12" t="s">
        <v>36</v>
      </c>
      <c r="O6006" s="17" t="s">
        <v>36</v>
      </c>
      <c r="P6006" s="12" t="s">
        <v>36</v>
      </c>
      <c r="Q6006" s="12" t="s">
        <v>36</v>
      </c>
      <c r="R6006" s="12" t="s">
        <v>36</v>
      </c>
      <c r="S6006" s="12" t="s">
        <v>36</v>
      </c>
      <c r="T6006" s="12" t="s">
        <v>27734</v>
      </c>
      <c r="U6006" s="12" t="s">
        <v>289</v>
      </c>
      <c r="V6006" s="12" t="s">
        <v>64</v>
      </c>
      <c r="W6006" s="12" t="s">
        <v>27735</v>
      </c>
      <c r="X6006" s="16" t="s">
        <v>27736</v>
      </c>
      <c r="Y6006" s="15" t="s">
        <v>108</v>
      </c>
      <c r="Z6006" s="14">
        <v>0.28</v>
      </c>
      <c r="AA6006" s="14" t="s">
        <v>36</v>
      </c>
      <c r="AB6006" s="12" t="s">
        <v>43</v>
      </c>
      <c r="AC6006" s="12" t="s">
        <v>27737</v>
      </c>
      <c r="AD6006" s="13">
        <v>42907</v>
      </c>
      <c r="AE6006" s="12" t="s">
        <v>3134</v>
      </c>
      <c r="AF6006" s="12" t="s">
        <v>3172</v>
      </c>
      <c r="AG6006" s="12" t="s">
        <v>21691</v>
      </c>
      <c r="AH6006" s="1">
        <f>HYPERLINK("https://my.pitchbook.com?c=115870-60T","View Company Online")</f>
      </c>
    </row>
    <row r="6007">
      <c r="A6007" s="3" t="s">
        <v>27738</v>
      </c>
      <c r="B6007" s="3" t="s">
        <v>16161</v>
      </c>
      <c r="C6007" s="5" t="s">
        <v>36</v>
      </c>
      <c r="D6007" s="5" t="s">
        <v>36</v>
      </c>
      <c r="E6007" s="5" t="s">
        <v>36</v>
      </c>
      <c r="F6007" s="5" t="s">
        <v>36</v>
      </c>
      <c r="G6007" s="6" t="s">
        <v>36</v>
      </c>
      <c r="H6007" s="4">
        <v>22.35</v>
      </c>
      <c r="I6007" s="7">
        <v>41.11</v>
      </c>
      <c r="J6007" s="3" t="s">
        <v>521</v>
      </c>
      <c r="K6007" s="9" t="s">
        <v>36</v>
      </c>
      <c r="L6007" s="6" t="s">
        <v>36</v>
      </c>
      <c r="M6007" s="3" t="s">
        <v>36</v>
      </c>
      <c r="N6007" s="3" t="s">
        <v>36</v>
      </c>
      <c r="O6007" s="8" t="s">
        <v>36</v>
      </c>
      <c r="P6007" s="3" t="s">
        <v>36</v>
      </c>
      <c r="Q6007" s="3" t="s">
        <v>36</v>
      </c>
      <c r="R6007" s="3" t="s">
        <v>36</v>
      </c>
      <c r="S6007" s="3" t="s">
        <v>36</v>
      </c>
      <c r="T6007" s="3" t="s">
        <v>8858</v>
      </c>
      <c r="U6007" s="3" t="s">
        <v>619</v>
      </c>
      <c r="V6007" s="3" t="s">
        <v>378</v>
      </c>
      <c r="W6007" s="3" t="s">
        <v>16162</v>
      </c>
      <c r="X6007" s="10" t="s">
        <v>27739</v>
      </c>
      <c r="Y6007" s="6" t="s">
        <v>42</v>
      </c>
      <c r="Z6007" s="4">
        <v>0.84</v>
      </c>
      <c r="AA6007" s="4">
        <v>2.05</v>
      </c>
      <c r="AB6007" s="3" t="s">
        <v>43</v>
      </c>
      <c r="AC6007" s="3" t="s">
        <v>16163</v>
      </c>
      <c r="AD6007" s="9">
        <v>42906</v>
      </c>
      <c r="AE6007" s="3" t="s">
        <v>2040</v>
      </c>
      <c r="AF6007" s="3" t="s">
        <v>8828</v>
      </c>
      <c r="AG6007" s="3" t="s">
        <v>81</v>
      </c>
      <c r="AH6007" s="11">
        <f>HYPERLINK("https://my.pitchbook.com?c=97743-25T","View Company Online")</f>
      </c>
    </row>
    <row r="6008">
      <c r="A6008" s="12" t="s">
        <v>27740</v>
      </c>
      <c r="B6008" s="12" t="s">
        <v>27741</v>
      </c>
      <c r="C6008" s="19" t="s">
        <v>36</v>
      </c>
      <c r="D6008" s="19">
        <v>4</v>
      </c>
      <c r="E6008" s="19">
        <v>1</v>
      </c>
      <c r="F6008" s="19">
        <v>4</v>
      </c>
      <c r="G6008" s="15" t="s">
        <v>683</v>
      </c>
      <c r="H6008" s="14">
        <v>59.29</v>
      </c>
      <c r="I6008" s="18">
        <v>40.8</v>
      </c>
      <c r="J6008" s="12" t="s">
        <v>521</v>
      </c>
      <c r="K6008" s="13">
        <v>42873</v>
      </c>
      <c r="L6008" s="15" t="s">
        <v>36</v>
      </c>
      <c r="M6008" s="12" t="s">
        <v>36</v>
      </c>
      <c r="N6008" s="12" t="s">
        <v>36</v>
      </c>
      <c r="O6008" s="17" t="s">
        <v>36</v>
      </c>
      <c r="P6008" s="12" t="s">
        <v>36</v>
      </c>
      <c r="Q6008" s="12" t="s">
        <v>36</v>
      </c>
      <c r="R6008" s="12" t="s">
        <v>36</v>
      </c>
      <c r="S6008" s="12" t="s">
        <v>36</v>
      </c>
      <c r="T6008" s="12" t="s">
        <v>27742</v>
      </c>
      <c r="U6008" s="12" t="s">
        <v>96</v>
      </c>
      <c r="V6008" s="12" t="s">
        <v>52</v>
      </c>
      <c r="W6008" s="12" t="s">
        <v>27743</v>
      </c>
      <c r="X6008" s="16" t="s">
        <v>27744</v>
      </c>
      <c r="Y6008" s="15" t="s">
        <v>55</v>
      </c>
      <c r="Z6008" s="14">
        <v>0.76</v>
      </c>
      <c r="AA6008" s="14">
        <v>1.87</v>
      </c>
      <c r="AB6008" s="12" t="s">
        <v>56</v>
      </c>
      <c r="AC6008" s="12" t="s">
        <v>27745</v>
      </c>
      <c r="AD6008" s="13">
        <v>42906</v>
      </c>
      <c r="AE6008" s="12" t="s">
        <v>1414</v>
      </c>
      <c r="AF6008" s="12" t="s">
        <v>20763</v>
      </c>
      <c r="AG6008" s="12" t="s">
        <v>16742</v>
      </c>
      <c r="AH6008" s="1">
        <f>HYPERLINK("https://my.pitchbook.com?c=115811-02T","View Company Online")</f>
      </c>
    </row>
    <row r="6009">
      <c r="A6009" s="3" t="s">
        <v>27746</v>
      </c>
      <c r="B6009" s="3" t="s">
        <v>23151</v>
      </c>
      <c r="C6009" s="5" t="s">
        <v>36</v>
      </c>
      <c r="D6009" s="5" t="s">
        <v>36</v>
      </c>
      <c r="E6009" s="5" t="s">
        <v>36</v>
      </c>
      <c r="F6009" s="5" t="s">
        <v>36</v>
      </c>
      <c r="G6009" s="6" t="s">
        <v>326</v>
      </c>
      <c r="H6009" s="4">
        <v>1436.46</v>
      </c>
      <c r="I6009" s="7">
        <v>20.27</v>
      </c>
      <c r="J6009" s="3" t="s">
        <v>521</v>
      </c>
      <c r="K6009" s="9" t="s">
        <v>36</v>
      </c>
      <c r="L6009" s="6" t="s">
        <v>36</v>
      </c>
      <c r="M6009" s="3" t="s">
        <v>36</v>
      </c>
      <c r="N6009" s="3" t="s">
        <v>36</v>
      </c>
      <c r="O6009" s="8" t="s">
        <v>36</v>
      </c>
      <c r="P6009" s="3" t="s">
        <v>36</v>
      </c>
      <c r="Q6009" s="3" t="s">
        <v>36</v>
      </c>
      <c r="R6009" s="3" t="s">
        <v>36</v>
      </c>
      <c r="S6009" s="3" t="s">
        <v>36</v>
      </c>
      <c r="T6009" s="3" t="s">
        <v>23152</v>
      </c>
      <c r="U6009" s="3" t="s">
        <v>38</v>
      </c>
      <c r="V6009" s="3" t="s">
        <v>39</v>
      </c>
      <c r="W6009" s="3" t="s">
        <v>23153</v>
      </c>
      <c r="X6009" s="10" t="s">
        <v>27747</v>
      </c>
      <c r="Y6009" s="6" t="s">
        <v>42</v>
      </c>
      <c r="Z6009" s="4">
        <v>0.53</v>
      </c>
      <c r="AA6009" s="4">
        <v>2.64</v>
      </c>
      <c r="AB6009" s="3" t="s">
        <v>43</v>
      </c>
      <c r="AC6009" s="3" t="s">
        <v>23155</v>
      </c>
      <c r="AD6009" s="9">
        <v>42905</v>
      </c>
      <c r="AE6009" s="3" t="s">
        <v>554</v>
      </c>
      <c r="AF6009" s="3" t="s">
        <v>1492</v>
      </c>
      <c r="AG6009" s="3" t="s">
        <v>2088</v>
      </c>
      <c r="AH6009" s="11">
        <f>HYPERLINK("https://my.pitchbook.com?c=118508-68T","View Company Online")</f>
      </c>
    </row>
    <row r="6010">
      <c r="A6010" s="12" t="s">
        <v>27748</v>
      </c>
      <c r="B6010" s="12" t="s">
        <v>22992</v>
      </c>
      <c r="C6010" s="19" t="s">
        <v>36</v>
      </c>
      <c r="D6010" s="19" t="s">
        <v>36</v>
      </c>
      <c r="E6010" s="19" t="s">
        <v>36</v>
      </c>
      <c r="F6010" s="19" t="s">
        <v>36</v>
      </c>
      <c r="G6010" s="15" t="s">
        <v>36</v>
      </c>
      <c r="H6010" s="14">
        <v>5.9</v>
      </c>
      <c r="I6010" s="18">
        <v>26.33</v>
      </c>
      <c r="J6010" s="12" t="s">
        <v>521</v>
      </c>
      <c r="K6010" s="13" t="s">
        <v>36</v>
      </c>
      <c r="L6010" s="15" t="s">
        <v>36</v>
      </c>
      <c r="M6010" s="12" t="s">
        <v>36</v>
      </c>
      <c r="N6010" s="12" t="s">
        <v>36</v>
      </c>
      <c r="O6010" s="17" t="s">
        <v>36</v>
      </c>
      <c r="P6010" s="12" t="s">
        <v>36</v>
      </c>
      <c r="Q6010" s="12" t="s">
        <v>36</v>
      </c>
      <c r="R6010" s="12" t="s">
        <v>36</v>
      </c>
      <c r="S6010" s="12" t="s">
        <v>36</v>
      </c>
      <c r="T6010" s="12" t="s">
        <v>522</v>
      </c>
      <c r="U6010" s="12" t="s">
        <v>38</v>
      </c>
      <c r="V6010" s="12" t="s">
        <v>39</v>
      </c>
      <c r="W6010" s="12" t="s">
        <v>22993</v>
      </c>
      <c r="X6010" s="16" t="s">
        <v>7151</v>
      </c>
      <c r="Y6010" s="15" t="s">
        <v>108</v>
      </c>
      <c r="Z6010" s="14">
        <v>0.9</v>
      </c>
      <c r="AA6010" s="14">
        <v>3.41</v>
      </c>
      <c r="AB6010" s="12" t="s">
        <v>56</v>
      </c>
      <c r="AC6010" s="12" t="s">
        <v>22995</v>
      </c>
      <c r="AD6010" s="13">
        <v>42905</v>
      </c>
      <c r="AE6010" s="12" t="s">
        <v>110</v>
      </c>
      <c r="AF6010" s="12" t="s">
        <v>22104</v>
      </c>
      <c r="AG6010" s="12" t="s">
        <v>81</v>
      </c>
      <c r="AH6010" s="1">
        <f>HYPERLINK("https://my.pitchbook.com?c=117715-60T","View Company Online")</f>
      </c>
    </row>
    <row r="6011">
      <c r="A6011" s="3" t="s">
        <v>27749</v>
      </c>
      <c r="B6011" s="3" t="s">
        <v>22866</v>
      </c>
      <c r="C6011" s="5" t="s">
        <v>36</v>
      </c>
      <c r="D6011" s="5" t="s">
        <v>36</v>
      </c>
      <c r="E6011" s="5" t="s">
        <v>36</v>
      </c>
      <c r="F6011" s="5" t="s">
        <v>36</v>
      </c>
      <c r="G6011" s="6" t="s">
        <v>36</v>
      </c>
      <c r="H6011" s="4" t="s">
        <v>36</v>
      </c>
      <c r="I6011" s="7" t="s">
        <v>36</v>
      </c>
      <c r="J6011" s="3" t="s">
        <v>36</v>
      </c>
      <c r="K6011" s="9" t="s">
        <v>36</v>
      </c>
      <c r="L6011" s="6" t="s">
        <v>122</v>
      </c>
      <c r="M6011" s="3" t="s">
        <v>36</v>
      </c>
      <c r="N6011" s="3" t="s">
        <v>122</v>
      </c>
      <c r="O6011" s="8" t="s">
        <v>36</v>
      </c>
      <c r="P6011" s="3" t="s">
        <v>36</v>
      </c>
      <c r="Q6011" s="3" t="s">
        <v>36</v>
      </c>
      <c r="R6011" s="3" t="s">
        <v>36</v>
      </c>
      <c r="S6011" s="3" t="s">
        <v>36</v>
      </c>
      <c r="T6011" s="3" t="s">
        <v>6462</v>
      </c>
      <c r="U6011" s="3" t="s">
        <v>1357</v>
      </c>
      <c r="V6011" s="3" t="s">
        <v>52</v>
      </c>
      <c r="W6011" s="3" t="s">
        <v>22867</v>
      </c>
      <c r="X6011" s="10" t="s">
        <v>22868</v>
      </c>
      <c r="Y6011" s="6" t="s">
        <v>42</v>
      </c>
      <c r="Z6011" s="4">
        <v>6</v>
      </c>
      <c r="AA6011" s="4" t="s">
        <v>36</v>
      </c>
      <c r="AB6011" s="3" t="s">
        <v>43</v>
      </c>
      <c r="AC6011" s="3" t="s">
        <v>22869</v>
      </c>
      <c r="AD6011" s="9">
        <v>42903</v>
      </c>
      <c r="AE6011" s="3" t="s">
        <v>2808</v>
      </c>
      <c r="AF6011" s="3" t="s">
        <v>8573</v>
      </c>
      <c r="AG6011" s="3" t="s">
        <v>81</v>
      </c>
      <c r="AH6011" s="11">
        <f>HYPERLINK("https://my.pitchbook.com?c=113556-07T","View Company Online")</f>
      </c>
    </row>
    <row r="6012">
      <c r="A6012" s="12" t="s">
        <v>27750</v>
      </c>
      <c r="B6012" s="12" t="s">
        <v>27751</v>
      </c>
      <c r="C6012" s="19" t="s">
        <v>36</v>
      </c>
      <c r="D6012" s="19" t="s">
        <v>36</v>
      </c>
      <c r="E6012" s="19" t="s">
        <v>36</v>
      </c>
      <c r="F6012" s="19" t="s">
        <v>36</v>
      </c>
      <c r="G6012" s="15" t="s">
        <v>36</v>
      </c>
      <c r="H6012" s="14">
        <v>16.62</v>
      </c>
      <c r="I6012" s="18">
        <v>36</v>
      </c>
      <c r="J6012" s="12" t="s">
        <v>521</v>
      </c>
      <c r="K6012" s="13" t="s">
        <v>36</v>
      </c>
      <c r="L6012" s="15" t="s">
        <v>36</v>
      </c>
      <c r="M6012" s="12" t="s">
        <v>36</v>
      </c>
      <c r="N6012" s="12" t="s">
        <v>36</v>
      </c>
      <c r="O6012" s="17" t="s">
        <v>36</v>
      </c>
      <c r="P6012" s="12" t="s">
        <v>36</v>
      </c>
      <c r="Q6012" s="12" t="s">
        <v>36</v>
      </c>
      <c r="R6012" s="12" t="s">
        <v>36</v>
      </c>
      <c r="S6012" s="12" t="s">
        <v>36</v>
      </c>
      <c r="T6012" s="12" t="s">
        <v>9211</v>
      </c>
      <c r="U6012" s="12" t="s">
        <v>74</v>
      </c>
      <c r="V6012" s="12" t="s">
        <v>75</v>
      </c>
      <c r="W6012" s="12" t="s">
        <v>27752</v>
      </c>
      <c r="X6012" s="16" t="s">
        <v>27753</v>
      </c>
      <c r="Y6012" s="15" t="s">
        <v>42</v>
      </c>
      <c r="Z6012" s="14">
        <v>0.5</v>
      </c>
      <c r="AA6012" s="14">
        <v>1.4</v>
      </c>
      <c r="AB6012" s="12" t="s">
        <v>43</v>
      </c>
      <c r="AC6012" s="12" t="s">
        <v>27754</v>
      </c>
      <c r="AD6012" s="13">
        <v>42902</v>
      </c>
      <c r="AE6012" s="12" t="s">
        <v>9215</v>
      </c>
      <c r="AF6012" s="12" t="s">
        <v>36</v>
      </c>
      <c r="AG6012" s="12" t="s">
        <v>27755</v>
      </c>
      <c r="AH6012" s="1">
        <f>HYPERLINK("https://my.pitchbook.com?c=108412-39T","View Company Online")</f>
      </c>
    </row>
    <row r="6013">
      <c r="A6013" s="3" t="s">
        <v>27756</v>
      </c>
      <c r="B6013" s="3" t="s">
        <v>13934</v>
      </c>
      <c r="C6013" s="5">
        <v>1</v>
      </c>
      <c r="D6013" s="5">
        <v>16</v>
      </c>
      <c r="E6013" s="5">
        <v>3</v>
      </c>
      <c r="F6013" s="5">
        <v>18</v>
      </c>
      <c r="G6013" s="6" t="s">
        <v>36</v>
      </c>
      <c r="H6013" s="4">
        <v>419.8</v>
      </c>
      <c r="I6013" s="7">
        <v>23.99</v>
      </c>
      <c r="J6013" s="3" t="s">
        <v>521</v>
      </c>
      <c r="K6013" s="9" t="s">
        <v>36</v>
      </c>
      <c r="L6013" s="6" t="s">
        <v>36</v>
      </c>
      <c r="M6013" s="3" t="s">
        <v>36</v>
      </c>
      <c r="N6013" s="3" t="s">
        <v>36</v>
      </c>
      <c r="O6013" s="8" t="s">
        <v>36</v>
      </c>
      <c r="P6013" s="3" t="s">
        <v>36</v>
      </c>
      <c r="Q6013" s="3" t="s">
        <v>36</v>
      </c>
      <c r="R6013" s="3" t="s">
        <v>36</v>
      </c>
      <c r="S6013" s="3" t="s">
        <v>8864</v>
      </c>
      <c r="T6013" s="3" t="s">
        <v>927</v>
      </c>
      <c r="U6013" s="3" t="s">
        <v>219</v>
      </c>
      <c r="V6013" s="3" t="s">
        <v>75</v>
      </c>
      <c r="W6013" s="3" t="s">
        <v>13935</v>
      </c>
      <c r="X6013" s="10" t="s">
        <v>27757</v>
      </c>
      <c r="Y6013" s="6" t="s">
        <v>42</v>
      </c>
      <c r="Z6013" s="4">
        <v>1.91</v>
      </c>
      <c r="AA6013" s="4">
        <v>5.96</v>
      </c>
      <c r="AB6013" s="3" t="s">
        <v>43</v>
      </c>
      <c r="AC6013" s="3" t="s">
        <v>13937</v>
      </c>
      <c r="AD6013" s="9">
        <v>42902</v>
      </c>
      <c r="AE6013" s="3" t="s">
        <v>243</v>
      </c>
      <c r="AF6013" s="3" t="s">
        <v>3114</v>
      </c>
      <c r="AG6013" s="3" t="s">
        <v>81</v>
      </c>
      <c r="AH6013" s="11">
        <f>HYPERLINK("https://my.pitchbook.com?c=100325-17T","View Company Online")</f>
      </c>
    </row>
    <row r="6014">
      <c r="A6014" s="12" t="s">
        <v>27758</v>
      </c>
      <c r="B6014" s="12" t="s">
        <v>27759</v>
      </c>
      <c r="C6014" s="19" t="s">
        <v>36</v>
      </c>
      <c r="D6014" s="19" t="s">
        <v>36</v>
      </c>
      <c r="E6014" s="19" t="s">
        <v>36</v>
      </c>
      <c r="F6014" s="19" t="s">
        <v>36</v>
      </c>
      <c r="G6014" s="15" t="s">
        <v>36</v>
      </c>
      <c r="H6014" s="14">
        <v>8.87</v>
      </c>
      <c r="I6014" s="18">
        <v>20.2</v>
      </c>
      <c r="J6014" s="12" t="s">
        <v>521</v>
      </c>
      <c r="K6014" s="13" t="s">
        <v>36</v>
      </c>
      <c r="L6014" s="15" t="s">
        <v>36</v>
      </c>
      <c r="M6014" s="12" t="s">
        <v>36</v>
      </c>
      <c r="N6014" s="12" t="s">
        <v>36</v>
      </c>
      <c r="O6014" s="17" t="s">
        <v>36</v>
      </c>
      <c r="P6014" s="12" t="s">
        <v>36</v>
      </c>
      <c r="Q6014" s="12" t="s">
        <v>36</v>
      </c>
      <c r="R6014" s="12" t="s">
        <v>36</v>
      </c>
      <c r="S6014" s="12" t="s">
        <v>36</v>
      </c>
      <c r="T6014" s="12" t="s">
        <v>27760</v>
      </c>
      <c r="U6014" s="12" t="s">
        <v>85</v>
      </c>
      <c r="V6014" s="12" t="s">
        <v>64</v>
      </c>
      <c r="W6014" s="12" t="s">
        <v>27761</v>
      </c>
      <c r="X6014" s="16" t="s">
        <v>27762</v>
      </c>
      <c r="Y6014" s="15" t="s">
        <v>42</v>
      </c>
      <c r="Z6014" s="14">
        <v>2.27</v>
      </c>
      <c r="AA6014" s="14">
        <v>11.23</v>
      </c>
      <c r="AB6014" s="12" t="s">
        <v>56</v>
      </c>
      <c r="AC6014" s="12" t="s">
        <v>27763</v>
      </c>
      <c r="AD6014" s="13">
        <v>42901</v>
      </c>
      <c r="AE6014" s="12" t="s">
        <v>1822</v>
      </c>
      <c r="AF6014" s="12" t="s">
        <v>36</v>
      </c>
      <c r="AG6014" s="12" t="s">
        <v>7647</v>
      </c>
      <c r="AH6014" s="1">
        <f>HYPERLINK("https://my.pitchbook.com?c=111889-45T","View Company Online")</f>
      </c>
    </row>
    <row r="6015">
      <c r="A6015" s="3" t="s">
        <v>27764</v>
      </c>
      <c r="B6015" s="3" t="s">
        <v>6556</v>
      </c>
      <c r="C6015" s="5" t="s">
        <v>36</v>
      </c>
      <c r="D6015" s="5" t="s">
        <v>36</v>
      </c>
      <c r="E6015" s="5" t="s">
        <v>36</v>
      </c>
      <c r="F6015" s="5" t="s">
        <v>36</v>
      </c>
      <c r="G6015" s="6" t="s">
        <v>36</v>
      </c>
      <c r="H6015" s="4">
        <v>12.12</v>
      </c>
      <c r="I6015" s="7">
        <v>26.31</v>
      </c>
      <c r="J6015" s="3" t="s">
        <v>521</v>
      </c>
      <c r="K6015" s="9" t="s">
        <v>36</v>
      </c>
      <c r="L6015" s="6" t="s">
        <v>36</v>
      </c>
      <c r="M6015" s="3" t="s">
        <v>36</v>
      </c>
      <c r="N6015" s="3" t="s">
        <v>36</v>
      </c>
      <c r="O6015" s="8" t="s">
        <v>36</v>
      </c>
      <c r="P6015" s="3" t="s">
        <v>36</v>
      </c>
      <c r="Q6015" s="3" t="s">
        <v>36</v>
      </c>
      <c r="R6015" s="3" t="s">
        <v>36</v>
      </c>
      <c r="S6015" s="3" t="s">
        <v>36</v>
      </c>
      <c r="T6015" s="3" t="s">
        <v>6557</v>
      </c>
      <c r="U6015" s="3" t="s">
        <v>648</v>
      </c>
      <c r="V6015" s="3" t="s">
        <v>64</v>
      </c>
      <c r="W6015" s="3" t="s">
        <v>6558</v>
      </c>
      <c r="X6015" s="10" t="s">
        <v>27765</v>
      </c>
      <c r="Y6015" s="6" t="s">
        <v>42</v>
      </c>
      <c r="Z6015" s="4">
        <v>1.12</v>
      </c>
      <c r="AA6015" s="4">
        <v>4.26</v>
      </c>
      <c r="AB6015" s="3" t="s">
        <v>43</v>
      </c>
      <c r="AC6015" s="3" t="s">
        <v>6560</v>
      </c>
      <c r="AD6015" s="9">
        <v>42900</v>
      </c>
      <c r="AE6015" s="3" t="s">
        <v>1897</v>
      </c>
      <c r="AF6015" s="3" t="s">
        <v>1115</v>
      </c>
      <c r="AG6015" s="3" t="s">
        <v>81</v>
      </c>
      <c r="AH6015" s="11">
        <f>HYPERLINK("https://my.pitchbook.com?c=107518-24T","View Company Online")</f>
      </c>
    </row>
    <row r="6016">
      <c r="A6016" s="12" t="s">
        <v>27766</v>
      </c>
      <c r="B6016" s="12" t="s">
        <v>27767</v>
      </c>
      <c r="C6016" s="19" t="s">
        <v>36</v>
      </c>
      <c r="D6016" s="19" t="s">
        <v>36</v>
      </c>
      <c r="E6016" s="19" t="s">
        <v>36</v>
      </c>
      <c r="F6016" s="19" t="s">
        <v>36</v>
      </c>
      <c r="G6016" s="15" t="s">
        <v>36</v>
      </c>
      <c r="H6016" s="14">
        <v>62.31</v>
      </c>
      <c r="I6016" s="18">
        <v>31.03</v>
      </c>
      <c r="J6016" s="12" t="s">
        <v>521</v>
      </c>
      <c r="K6016" s="13" t="s">
        <v>36</v>
      </c>
      <c r="L6016" s="15" t="s">
        <v>36</v>
      </c>
      <c r="M6016" s="12" t="s">
        <v>36</v>
      </c>
      <c r="N6016" s="12" t="s">
        <v>36</v>
      </c>
      <c r="O6016" s="17" t="s">
        <v>36</v>
      </c>
      <c r="P6016" s="12" t="s">
        <v>36</v>
      </c>
      <c r="Q6016" s="12" t="s">
        <v>36</v>
      </c>
      <c r="R6016" s="12" t="s">
        <v>36</v>
      </c>
      <c r="S6016" s="12" t="s">
        <v>36</v>
      </c>
      <c r="T6016" s="12" t="s">
        <v>27768</v>
      </c>
      <c r="U6016" s="12" t="s">
        <v>728</v>
      </c>
      <c r="V6016" s="12" t="s">
        <v>64</v>
      </c>
      <c r="W6016" s="12" t="s">
        <v>27769</v>
      </c>
      <c r="X6016" s="16" t="s">
        <v>18222</v>
      </c>
      <c r="Y6016" s="15" t="s">
        <v>42</v>
      </c>
      <c r="Z6016" s="14">
        <v>0.3</v>
      </c>
      <c r="AA6016" s="14">
        <v>0.97</v>
      </c>
      <c r="AB6016" s="12" t="s">
        <v>43</v>
      </c>
      <c r="AC6016" s="12" t="s">
        <v>27770</v>
      </c>
      <c r="AD6016" s="13">
        <v>42900</v>
      </c>
      <c r="AE6016" s="12" t="s">
        <v>1600</v>
      </c>
      <c r="AF6016" s="12" t="s">
        <v>90</v>
      </c>
      <c r="AG6016" s="12" t="s">
        <v>27771</v>
      </c>
      <c r="AH6016" s="1">
        <f>HYPERLINK("https://my.pitchbook.com?c=138827-98T","View Company Online")</f>
      </c>
    </row>
    <row r="6017">
      <c r="A6017" s="3" t="s">
        <v>27772</v>
      </c>
      <c r="B6017" s="3" t="s">
        <v>21213</v>
      </c>
      <c r="C6017" s="5">
        <v>1</v>
      </c>
      <c r="D6017" s="5">
        <v>8</v>
      </c>
      <c r="E6017" s="5">
        <v>6</v>
      </c>
      <c r="F6017" s="5">
        <v>10</v>
      </c>
      <c r="G6017" s="6" t="s">
        <v>36</v>
      </c>
      <c r="H6017" s="4" t="s">
        <v>36</v>
      </c>
      <c r="I6017" s="7" t="s">
        <v>36</v>
      </c>
      <c r="J6017" s="3" t="s">
        <v>36</v>
      </c>
      <c r="K6017" s="9" t="s">
        <v>36</v>
      </c>
      <c r="L6017" s="6" t="s">
        <v>122</v>
      </c>
      <c r="M6017" s="3" t="s">
        <v>36</v>
      </c>
      <c r="N6017" s="3" t="s">
        <v>122</v>
      </c>
      <c r="O6017" s="8" t="s">
        <v>36</v>
      </c>
      <c r="P6017" s="3" t="s">
        <v>36</v>
      </c>
      <c r="Q6017" s="3" t="s">
        <v>36</v>
      </c>
      <c r="R6017" s="3" t="s">
        <v>36</v>
      </c>
      <c r="S6017" s="3" t="s">
        <v>3895</v>
      </c>
      <c r="T6017" s="3" t="s">
        <v>21214</v>
      </c>
      <c r="U6017" s="3" t="s">
        <v>38</v>
      </c>
      <c r="V6017" s="3" t="s">
        <v>39</v>
      </c>
      <c r="W6017" s="3" t="s">
        <v>21215</v>
      </c>
      <c r="X6017" s="10" t="s">
        <v>27773</v>
      </c>
      <c r="Y6017" s="6" t="s">
        <v>108</v>
      </c>
      <c r="Z6017" s="4">
        <v>57.14</v>
      </c>
      <c r="AA6017" s="4" t="s">
        <v>36</v>
      </c>
      <c r="AB6017" s="3" t="s">
        <v>43</v>
      </c>
      <c r="AC6017" s="3" t="s">
        <v>21217</v>
      </c>
      <c r="AD6017" s="9">
        <v>42900</v>
      </c>
      <c r="AE6017" s="3" t="s">
        <v>1330</v>
      </c>
      <c r="AF6017" s="3" t="s">
        <v>1380</v>
      </c>
      <c r="AG6017" s="3" t="s">
        <v>81</v>
      </c>
      <c r="AH6017" s="11">
        <f>HYPERLINK("https://my.pitchbook.com?c=89138-62T","View Company Online")</f>
      </c>
    </row>
    <row r="6018">
      <c r="A6018" s="12" t="s">
        <v>27774</v>
      </c>
      <c r="B6018" s="12" t="s">
        <v>27775</v>
      </c>
      <c r="C6018" s="19" t="s">
        <v>36</v>
      </c>
      <c r="D6018" s="19">
        <v>7</v>
      </c>
      <c r="E6018" s="19">
        <v>8</v>
      </c>
      <c r="F6018" s="19">
        <v>13</v>
      </c>
      <c r="G6018" s="15" t="s">
        <v>36</v>
      </c>
      <c r="H6018" s="14">
        <v>2246.44</v>
      </c>
      <c r="I6018" s="18">
        <v>26.83</v>
      </c>
      <c r="J6018" s="12" t="s">
        <v>521</v>
      </c>
      <c r="K6018" s="13" t="s">
        <v>36</v>
      </c>
      <c r="L6018" s="15" t="s">
        <v>122</v>
      </c>
      <c r="M6018" s="12" t="s">
        <v>36</v>
      </c>
      <c r="N6018" s="12" t="s">
        <v>122</v>
      </c>
      <c r="O6018" s="17" t="s">
        <v>36</v>
      </c>
      <c r="P6018" s="12" t="s">
        <v>36</v>
      </c>
      <c r="Q6018" s="12" t="s">
        <v>36</v>
      </c>
      <c r="R6018" s="12" t="s">
        <v>36</v>
      </c>
      <c r="S6018" s="12" t="s">
        <v>36</v>
      </c>
      <c r="T6018" s="12" t="s">
        <v>27776</v>
      </c>
      <c r="U6018" s="12" t="s">
        <v>38</v>
      </c>
      <c r="V6018" s="12" t="s">
        <v>39</v>
      </c>
      <c r="W6018" s="12" t="s">
        <v>27777</v>
      </c>
      <c r="X6018" s="16" t="s">
        <v>27778</v>
      </c>
      <c r="Y6018" s="15" t="s">
        <v>55</v>
      </c>
      <c r="Z6018" s="14">
        <v>13.45</v>
      </c>
      <c r="AA6018" s="14">
        <v>50.11</v>
      </c>
      <c r="AB6018" s="12" t="s">
        <v>43</v>
      </c>
      <c r="AC6018" s="12" t="s">
        <v>27779</v>
      </c>
      <c r="AD6018" s="13">
        <v>42900</v>
      </c>
      <c r="AE6018" s="12" t="s">
        <v>339</v>
      </c>
      <c r="AF6018" s="12" t="s">
        <v>27780</v>
      </c>
      <c r="AG6018" s="12" t="s">
        <v>81</v>
      </c>
      <c r="AH6018" s="1">
        <f>HYPERLINK("https://my.pitchbook.com?c=89136-82T","View Company Online")</f>
      </c>
    </row>
    <row r="6019">
      <c r="A6019" s="3" t="s">
        <v>27781</v>
      </c>
      <c r="B6019" s="3" t="s">
        <v>2949</v>
      </c>
      <c r="C6019" s="5" t="s">
        <v>36</v>
      </c>
      <c r="D6019" s="5" t="s">
        <v>36</v>
      </c>
      <c r="E6019" s="5" t="s">
        <v>36</v>
      </c>
      <c r="F6019" s="5" t="s">
        <v>36</v>
      </c>
      <c r="G6019" s="6" t="s">
        <v>36</v>
      </c>
      <c r="H6019" s="4">
        <v>1.52</v>
      </c>
      <c r="I6019" s="7">
        <v>10.42</v>
      </c>
      <c r="J6019" s="3" t="s">
        <v>521</v>
      </c>
      <c r="K6019" s="9" t="s">
        <v>36</v>
      </c>
      <c r="L6019" s="6" t="s">
        <v>36</v>
      </c>
      <c r="M6019" s="3" t="s">
        <v>36</v>
      </c>
      <c r="N6019" s="3" t="s">
        <v>36</v>
      </c>
      <c r="O6019" s="8" t="s">
        <v>36</v>
      </c>
      <c r="P6019" s="3" t="s">
        <v>36</v>
      </c>
      <c r="Q6019" s="3" t="s">
        <v>36</v>
      </c>
      <c r="R6019" s="3" t="s">
        <v>36</v>
      </c>
      <c r="S6019" s="3" t="s">
        <v>36</v>
      </c>
      <c r="T6019" s="3" t="s">
        <v>2950</v>
      </c>
      <c r="U6019" s="3" t="s">
        <v>38</v>
      </c>
      <c r="V6019" s="3" t="s">
        <v>39</v>
      </c>
      <c r="W6019" s="3" t="s">
        <v>2951</v>
      </c>
      <c r="X6019" s="10" t="s">
        <v>13431</v>
      </c>
      <c r="Y6019" s="6" t="s">
        <v>42</v>
      </c>
      <c r="Z6019" s="4">
        <v>0.39</v>
      </c>
      <c r="AA6019" s="4">
        <v>3.76</v>
      </c>
      <c r="AB6019" s="3" t="s">
        <v>43</v>
      </c>
      <c r="AC6019" s="3" t="s">
        <v>2953</v>
      </c>
      <c r="AD6019" s="9">
        <v>42900</v>
      </c>
      <c r="AE6019" s="3" t="s">
        <v>134</v>
      </c>
      <c r="AF6019" s="3" t="s">
        <v>135</v>
      </c>
      <c r="AG6019" s="3" t="s">
        <v>81</v>
      </c>
      <c r="AH6019" s="11">
        <f>HYPERLINK("https://my.pitchbook.com?c=119596-06T","View Company Online")</f>
      </c>
    </row>
    <row r="6020">
      <c r="A6020" s="12" t="s">
        <v>27782</v>
      </c>
      <c r="B6020" s="12" t="s">
        <v>901</v>
      </c>
      <c r="C6020" s="19" t="s">
        <v>36</v>
      </c>
      <c r="D6020" s="19" t="s">
        <v>36</v>
      </c>
      <c r="E6020" s="19" t="s">
        <v>36</v>
      </c>
      <c r="F6020" s="19" t="s">
        <v>36</v>
      </c>
      <c r="G6020" s="15" t="s">
        <v>36</v>
      </c>
      <c r="H6020" s="14">
        <v>201.82</v>
      </c>
      <c r="I6020" s="18">
        <v>24.48</v>
      </c>
      <c r="J6020" s="12" t="s">
        <v>521</v>
      </c>
      <c r="K6020" s="13" t="s">
        <v>36</v>
      </c>
      <c r="L6020" s="15" t="s">
        <v>36</v>
      </c>
      <c r="M6020" s="12" t="s">
        <v>36</v>
      </c>
      <c r="N6020" s="12" t="s">
        <v>36</v>
      </c>
      <c r="O6020" s="17" t="s">
        <v>36</v>
      </c>
      <c r="P6020" s="12" t="s">
        <v>36</v>
      </c>
      <c r="Q6020" s="12" t="s">
        <v>36</v>
      </c>
      <c r="R6020" s="12" t="s">
        <v>36</v>
      </c>
      <c r="S6020" s="12" t="s">
        <v>36</v>
      </c>
      <c r="T6020" s="12" t="s">
        <v>522</v>
      </c>
      <c r="U6020" s="12" t="s">
        <v>38</v>
      </c>
      <c r="V6020" s="12" t="s">
        <v>39</v>
      </c>
      <c r="W6020" s="12" t="s">
        <v>902</v>
      </c>
      <c r="X6020" s="16" t="s">
        <v>27783</v>
      </c>
      <c r="Y6020" s="15" t="s">
        <v>42</v>
      </c>
      <c r="Z6020" s="14">
        <v>2.24</v>
      </c>
      <c r="AA6020" s="14">
        <v>4.32</v>
      </c>
      <c r="AB6020" s="12" t="s">
        <v>43</v>
      </c>
      <c r="AC6020" s="12" t="s">
        <v>904</v>
      </c>
      <c r="AD6020" s="13">
        <v>42899</v>
      </c>
      <c r="AE6020" s="12" t="s">
        <v>110</v>
      </c>
      <c r="AF6020" s="12" t="s">
        <v>905</v>
      </c>
      <c r="AG6020" s="12" t="s">
        <v>81</v>
      </c>
      <c r="AH6020" s="1">
        <f>HYPERLINK("https://my.pitchbook.com?c=89256-16T","View Company Online")</f>
      </c>
    </row>
    <row r="6021">
      <c r="A6021" s="3" t="s">
        <v>27784</v>
      </c>
      <c r="B6021" s="3" t="s">
        <v>12849</v>
      </c>
      <c r="C6021" s="5">
        <v>21</v>
      </c>
      <c r="D6021" s="5">
        <v>52</v>
      </c>
      <c r="E6021" s="5">
        <v>7</v>
      </c>
      <c r="F6021" s="5">
        <v>73</v>
      </c>
      <c r="G6021" s="6" t="s">
        <v>683</v>
      </c>
      <c r="H6021" s="4">
        <v>210.83</v>
      </c>
      <c r="I6021" s="7">
        <v>45.49</v>
      </c>
      <c r="J6021" s="3" t="s">
        <v>521</v>
      </c>
      <c r="K6021" s="9" t="s">
        <v>36</v>
      </c>
      <c r="L6021" s="6" t="s">
        <v>94</v>
      </c>
      <c r="M6021" s="3" t="s">
        <v>36</v>
      </c>
      <c r="N6021" s="3" t="s">
        <v>94</v>
      </c>
      <c r="O6021" s="8" t="s">
        <v>36</v>
      </c>
      <c r="P6021" s="3" t="s">
        <v>36</v>
      </c>
      <c r="Q6021" s="3" t="s">
        <v>36</v>
      </c>
      <c r="R6021" s="3" t="s">
        <v>12841</v>
      </c>
      <c r="S6021" s="3" t="s">
        <v>36</v>
      </c>
      <c r="T6021" s="3" t="s">
        <v>4225</v>
      </c>
      <c r="U6021" s="3" t="s">
        <v>96</v>
      </c>
      <c r="V6021" s="3" t="s">
        <v>52</v>
      </c>
      <c r="W6021" s="3" t="s">
        <v>12850</v>
      </c>
      <c r="X6021" s="10" t="s">
        <v>27785</v>
      </c>
      <c r="Y6021" s="6" t="s">
        <v>55</v>
      </c>
      <c r="Z6021" s="4">
        <v>11.73</v>
      </c>
      <c r="AA6021" s="4">
        <v>25.78</v>
      </c>
      <c r="AB6021" s="3" t="s">
        <v>56</v>
      </c>
      <c r="AC6021" s="3" t="s">
        <v>12852</v>
      </c>
      <c r="AD6021" s="9">
        <v>42899</v>
      </c>
      <c r="AE6021" s="3" t="s">
        <v>143</v>
      </c>
      <c r="AF6021" s="3" t="s">
        <v>6285</v>
      </c>
      <c r="AG6021" s="3" t="s">
        <v>81</v>
      </c>
      <c r="AH6021" s="11">
        <f>HYPERLINK("https://my.pitchbook.com?c=109289-89T","View Company Online")</f>
      </c>
    </row>
    <row r="6022">
      <c r="A6022" s="12" t="s">
        <v>27786</v>
      </c>
      <c r="B6022" s="12" t="s">
        <v>27787</v>
      </c>
      <c r="C6022" s="19" t="s">
        <v>36</v>
      </c>
      <c r="D6022" s="19" t="s">
        <v>36</v>
      </c>
      <c r="E6022" s="19" t="s">
        <v>36</v>
      </c>
      <c r="F6022" s="19" t="s">
        <v>36</v>
      </c>
      <c r="G6022" s="15" t="s">
        <v>2497</v>
      </c>
      <c r="H6022" s="14">
        <v>35.31</v>
      </c>
      <c r="I6022" s="18">
        <v>15.95</v>
      </c>
      <c r="J6022" s="12" t="s">
        <v>521</v>
      </c>
      <c r="K6022" s="13" t="s">
        <v>36</v>
      </c>
      <c r="L6022" s="15" t="s">
        <v>36</v>
      </c>
      <c r="M6022" s="12" t="s">
        <v>36</v>
      </c>
      <c r="N6022" s="12" t="s">
        <v>36</v>
      </c>
      <c r="O6022" s="17" t="s">
        <v>36</v>
      </c>
      <c r="P6022" s="12" t="s">
        <v>36</v>
      </c>
      <c r="Q6022" s="12" t="s">
        <v>36</v>
      </c>
      <c r="R6022" s="12" t="s">
        <v>36</v>
      </c>
      <c r="S6022" s="12" t="s">
        <v>36</v>
      </c>
      <c r="T6022" s="12" t="s">
        <v>1048</v>
      </c>
      <c r="U6022" s="12" t="s">
        <v>423</v>
      </c>
      <c r="V6022" s="12" t="s">
        <v>64</v>
      </c>
      <c r="W6022" s="12" t="s">
        <v>27788</v>
      </c>
      <c r="X6022" s="16" t="s">
        <v>6176</v>
      </c>
      <c r="Y6022" s="15" t="s">
        <v>108</v>
      </c>
      <c r="Z6022" s="14">
        <v>0.44</v>
      </c>
      <c r="AA6022" s="14">
        <v>2.75</v>
      </c>
      <c r="AB6022" s="12" t="s">
        <v>56</v>
      </c>
      <c r="AC6022" s="12" t="s">
        <v>27789</v>
      </c>
      <c r="AD6022" s="13">
        <v>42899</v>
      </c>
      <c r="AE6022" s="12" t="s">
        <v>1051</v>
      </c>
      <c r="AF6022" s="12" t="s">
        <v>27790</v>
      </c>
      <c r="AG6022" s="12" t="s">
        <v>81</v>
      </c>
      <c r="AH6022" s="1">
        <f>HYPERLINK("https://my.pitchbook.com?c=242074-36T","View Company Online")</f>
      </c>
    </row>
    <row r="6023">
      <c r="A6023" s="3" t="s">
        <v>27791</v>
      </c>
      <c r="B6023" s="3" t="s">
        <v>9638</v>
      </c>
      <c r="C6023" s="5" t="s">
        <v>36</v>
      </c>
      <c r="D6023" s="5" t="s">
        <v>36</v>
      </c>
      <c r="E6023" s="5" t="s">
        <v>36</v>
      </c>
      <c r="F6023" s="5" t="s">
        <v>36</v>
      </c>
      <c r="G6023" s="6" t="s">
        <v>326</v>
      </c>
      <c r="H6023" s="4">
        <v>6862.85</v>
      </c>
      <c r="I6023" s="7">
        <v>62.28</v>
      </c>
      <c r="J6023" s="3" t="s">
        <v>521</v>
      </c>
      <c r="K6023" s="9" t="s">
        <v>36</v>
      </c>
      <c r="L6023" s="6" t="s">
        <v>36</v>
      </c>
      <c r="M6023" s="3" t="s">
        <v>36</v>
      </c>
      <c r="N6023" s="3" t="s">
        <v>36</v>
      </c>
      <c r="O6023" s="8" t="s">
        <v>36</v>
      </c>
      <c r="P6023" s="3" t="s">
        <v>36</v>
      </c>
      <c r="Q6023" s="3" t="s">
        <v>36</v>
      </c>
      <c r="R6023" s="3" t="s">
        <v>36</v>
      </c>
      <c r="S6023" s="3" t="s">
        <v>36</v>
      </c>
      <c r="T6023" s="3" t="s">
        <v>9639</v>
      </c>
      <c r="U6023" s="3" t="s">
        <v>63</v>
      </c>
      <c r="V6023" s="3" t="s">
        <v>64</v>
      </c>
      <c r="W6023" s="3" t="s">
        <v>9640</v>
      </c>
      <c r="X6023" s="10" t="s">
        <v>9641</v>
      </c>
      <c r="Y6023" s="6" t="s">
        <v>108</v>
      </c>
      <c r="Z6023" s="4">
        <v>6.72</v>
      </c>
      <c r="AA6023" s="4">
        <v>10.79</v>
      </c>
      <c r="AB6023" s="3" t="s">
        <v>56</v>
      </c>
      <c r="AC6023" s="3" t="s">
        <v>9642</v>
      </c>
      <c r="AD6023" s="9">
        <v>42899</v>
      </c>
      <c r="AE6023" s="3" t="s">
        <v>4310</v>
      </c>
      <c r="AF6023" s="3" t="s">
        <v>36</v>
      </c>
      <c r="AG6023" s="3" t="s">
        <v>9643</v>
      </c>
      <c r="AH6023" s="11">
        <f>HYPERLINK("https://my.pitchbook.com?c=114004-54T","View Company Online")</f>
      </c>
    </row>
    <row r="6024">
      <c r="A6024" s="12" t="s">
        <v>27792</v>
      </c>
      <c r="B6024" s="12" t="s">
        <v>27793</v>
      </c>
      <c r="C6024" s="19">
        <v>1</v>
      </c>
      <c r="D6024" s="19">
        <v>5</v>
      </c>
      <c r="E6024" s="19">
        <v>4</v>
      </c>
      <c r="F6024" s="19">
        <v>8</v>
      </c>
      <c r="G6024" s="15" t="s">
        <v>36</v>
      </c>
      <c r="H6024" s="14" t="s">
        <v>36</v>
      </c>
      <c r="I6024" s="18" t="s">
        <v>36</v>
      </c>
      <c r="J6024" s="12" t="s">
        <v>521</v>
      </c>
      <c r="K6024" s="13" t="s">
        <v>36</v>
      </c>
      <c r="L6024" s="15" t="s">
        <v>36</v>
      </c>
      <c r="M6024" s="12" t="s">
        <v>36</v>
      </c>
      <c r="N6024" s="12" t="s">
        <v>36</v>
      </c>
      <c r="O6024" s="17" t="s">
        <v>36</v>
      </c>
      <c r="P6024" s="12" t="s">
        <v>36</v>
      </c>
      <c r="Q6024" s="12" t="s">
        <v>36</v>
      </c>
      <c r="R6024" s="12" t="s">
        <v>36</v>
      </c>
      <c r="S6024" s="12" t="s">
        <v>36</v>
      </c>
      <c r="T6024" s="12" t="s">
        <v>19109</v>
      </c>
      <c r="U6024" s="12" t="s">
        <v>833</v>
      </c>
      <c r="V6024" s="12" t="s">
        <v>64</v>
      </c>
      <c r="W6024" s="12" t="s">
        <v>27794</v>
      </c>
      <c r="X6024" s="16" t="s">
        <v>27795</v>
      </c>
      <c r="Y6024" s="15" t="s">
        <v>42</v>
      </c>
      <c r="Z6024" s="14">
        <v>1.12</v>
      </c>
      <c r="AA6024" s="14">
        <v>5.15</v>
      </c>
      <c r="AB6024" s="12" t="s">
        <v>43</v>
      </c>
      <c r="AC6024" s="12" t="s">
        <v>27796</v>
      </c>
      <c r="AD6024" s="13">
        <v>42898</v>
      </c>
      <c r="AE6024" s="12" t="s">
        <v>3615</v>
      </c>
      <c r="AF6024" s="12" t="s">
        <v>1977</v>
      </c>
      <c r="AG6024" s="12" t="s">
        <v>27797</v>
      </c>
      <c r="AH6024" s="1">
        <f>HYPERLINK("https://my.pitchbook.com?c=90586-54T","View Company Online")</f>
      </c>
    </row>
    <row r="6025">
      <c r="A6025" s="3" t="s">
        <v>27798</v>
      </c>
      <c r="B6025" s="3" t="s">
        <v>23774</v>
      </c>
      <c r="C6025" s="5" t="s">
        <v>36</v>
      </c>
      <c r="D6025" s="5" t="s">
        <v>36</v>
      </c>
      <c r="E6025" s="5" t="s">
        <v>36</v>
      </c>
      <c r="F6025" s="5" t="s">
        <v>36</v>
      </c>
      <c r="G6025" s="6" t="s">
        <v>36</v>
      </c>
      <c r="H6025" s="4">
        <v>116.84</v>
      </c>
      <c r="I6025" s="7">
        <v>9.18</v>
      </c>
      <c r="J6025" s="3" t="s">
        <v>521</v>
      </c>
      <c r="K6025" s="9" t="s">
        <v>36</v>
      </c>
      <c r="L6025" s="6" t="s">
        <v>36</v>
      </c>
      <c r="M6025" s="3" t="s">
        <v>36</v>
      </c>
      <c r="N6025" s="3" t="s">
        <v>36</v>
      </c>
      <c r="O6025" s="8" t="s">
        <v>36</v>
      </c>
      <c r="P6025" s="3" t="s">
        <v>36</v>
      </c>
      <c r="Q6025" s="3" t="s">
        <v>36</v>
      </c>
      <c r="R6025" s="3" t="s">
        <v>36</v>
      </c>
      <c r="S6025" s="3" t="s">
        <v>36</v>
      </c>
      <c r="T6025" s="3" t="s">
        <v>2609</v>
      </c>
      <c r="U6025" s="3" t="s">
        <v>423</v>
      </c>
      <c r="V6025" s="3" t="s">
        <v>64</v>
      </c>
      <c r="W6025" s="3" t="s">
        <v>23775</v>
      </c>
      <c r="X6025" s="10" t="s">
        <v>27799</v>
      </c>
      <c r="Y6025" s="6" t="s">
        <v>42</v>
      </c>
      <c r="Z6025" s="4">
        <v>0.2</v>
      </c>
      <c r="AA6025" s="4">
        <v>2.19</v>
      </c>
      <c r="AB6025" s="3" t="s">
        <v>43</v>
      </c>
      <c r="AC6025" s="3" t="s">
        <v>23777</v>
      </c>
      <c r="AD6025" s="9">
        <v>42898</v>
      </c>
      <c r="AE6025" s="3" t="s">
        <v>562</v>
      </c>
      <c r="AF6025" s="3" t="s">
        <v>4270</v>
      </c>
      <c r="AG6025" s="3" t="s">
        <v>1843</v>
      </c>
      <c r="AH6025" s="11">
        <f>HYPERLINK("https://my.pitchbook.com?c=157288-87T","View Company Online")</f>
      </c>
    </row>
    <row r="6026">
      <c r="A6026" s="12" t="s">
        <v>27800</v>
      </c>
      <c r="B6026" s="12" t="s">
        <v>2090</v>
      </c>
      <c r="C6026" s="19" t="s">
        <v>36</v>
      </c>
      <c r="D6026" s="19" t="s">
        <v>36</v>
      </c>
      <c r="E6026" s="19" t="s">
        <v>36</v>
      </c>
      <c r="F6026" s="19" t="s">
        <v>36</v>
      </c>
      <c r="G6026" s="15" t="s">
        <v>36</v>
      </c>
      <c r="H6026" s="14">
        <v>41.54</v>
      </c>
      <c r="I6026" s="18">
        <v>48.18</v>
      </c>
      <c r="J6026" s="12" t="s">
        <v>521</v>
      </c>
      <c r="K6026" s="13" t="s">
        <v>36</v>
      </c>
      <c r="L6026" s="15" t="s">
        <v>36</v>
      </c>
      <c r="M6026" s="12" t="s">
        <v>36</v>
      </c>
      <c r="N6026" s="12" t="s">
        <v>36</v>
      </c>
      <c r="O6026" s="17" t="s">
        <v>36</v>
      </c>
      <c r="P6026" s="12" t="s">
        <v>36</v>
      </c>
      <c r="Q6026" s="12" t="s">
        <v>36</v>
      </c>
      <c r="R6026" s="12" t="s">
        <v>36</v>
      </c>
      <c r="S6026" s="12" t="s">
        <v>36</v>
      </c>
      <c r="T6026" s="12" t="s">
        <v>972</v>
      </c>
      <c r="U6026" s="12" t="s">
        <v>74</v>
      </c>
      <c r="V6026" s="12" t="s">
        <v>75</v>
      </c>
      <c r="W6026" s="12" t="s">
        <v>2091</v>
      </c>
      <c r="X6026" s="16" t="s">
        <v>27801</v>
      </c>
      <c r="Y6026" s="15" t="s">
        <v>42</v>
      </c>
      <c r="Z6026" s="14">
        <v>1.19</v>
      </c>
      <c r="AA6026" s="14">
        <v>2.46</v>
      </c>
      <c r="AB6026" s="12" t="s">
        <v>43</v>
      </c>
      <c r="AC6026" s="12" t="s">
        <v>2093</v>
      </c>
      <c r="AD6026" s="13">
        <v>42898</v>
      </c>
      <c r="AE6026" s="12" t="s">
        <v>975</v>
      </c>
      <c r="AF6026" s="12" t="s">
        <v>1115</v>
      </c>
      <c r="AG6026" s="12" t="s">
        <v>102</v>
      </c>
      <c r="AH6026" s="1">
        <f>HYPERLINK("https://my.pitchbook.com?c=253434-61T","View Company Online")</f>
      </c>
    </row>
    <row r="6027">
      <c r="A6027" s="3" t="s">
        <v>27802</v>
      </c>
      <c r="B6027" s="3" t="s">
        <v>1500</v>
      </c>
      <c r="C6027" s="5" t="s">
        <v>36</v>
      </c>
      <c r="D6027" s="5" t="s">
        <v>36</v>
      </c>
      <c r="E6027" s="5" t="s">
        <v>36</v>
      </c>
      <c r="F6027" s="5" t="s">
        <v>36</v>
      </c>
      <c r="G6027" s="6" t="s">
        <v>326</v>
      </c>
      <c r="H6027" s="4">
        <v>58.89</v>
      </c>
      <c r="I6027" s="7">
        <v>14.88</v>
      </c>
      <c r="J6027" s="3" t="s">
        <v>521</v>
      </c>
      <c r="K6027" s="9" t="s">
        <v>36</v>
      </c>
      <c r="L6027" s="6" t="s">
        <v>36</v>
      </c>
      <c r="M6027" s="3" t="s">
        <v>36</v>
      </c>
      <c r="N6027" s="3" t="s">
        <v>36</v>
      </c>
      <c r="O6027" s="8" t="s">
        <v>36</v>
      </c>
      <c r="P6027" s="3" t="s">
        <v>36</v>
      </c>
      <c r="Q6027" s="3" t="s">
        <v>36</v>
      </c>
      <c r="R6027" s="3" t="s">
        <v>36</v>
      </c>
      <c r="S6027" s="3" t="s">
        <v>36</v>
      </c>
      <c r="T6027" s="3" t="s">
        <v>1501</v>
      </c>
      <c r="U6027" s="3" t="s">
        <v>1502</v>
      </c>
      <c r="V6027" s="3" t="s">
        <v>75</v>
      </c>
      <c r="W6027" s="3" t="s">
        <v>1503</v>
      </c>
      <c r="X6027" s="10" t="s">
        <v>1840</v>
      </c>
      <c r="Y6027" s="6" t="s">
        <v>42</v>
      </c>
      <c r="Z6027" s="4">
        <v>1.23</v>
      </c>
      <c r="AA6027" s="4">
        <v>5.04</v>
      </c>
      <c r="AB6027" s="3" t="s">
        <v>43</v>
      </c>
      <c r="AC6027" s="3" t="s">
        <v>1505</v>
      </c>
      <c r="AD6027" s="9">
        <v>42898</v>
      </c>
      <c r="AE6027" s="3" t="s">
        <v>1506</v>
      </c>
      <c r="AF6027" s="3" t="s">
        <v>1507</v>
      </c>
      <c r="AG6027" s="3" t="s">
        <v>81</v>
      </c>
      <c r="AH6027" s="11">
        <f>HYPERLINK("https://my.pitchbook.com?c=129434-32T","View Company Online")</f>
      </c>
    </row>
    <row r="6028">
      <c r="A6028" s="12" t="s">
        <v>27803</v>
      </c>
      <c r="B6028" s="12" t="s">
        <v>21934</v>
      </c>
      <c r="C6028" s="19" t="s">
        <v>36</v>
      </c>
      <c r="D6028" s="19" t="s">
        <v>36</v>
      </c>
      <c r="E6028" s="19" t="s">
        <v>36</v>
      </c>
      <c r="F6028" s="19" t="s">
        <v>36</v>
      </c>
      <c r="G6028" s="15" t="s">
        <v>36</v>
      </c>
      <c r="H6028" s="14">
        <v>207.71</v>
      </c>
      <c r="I6028" s="18">
        <v>28.31</v>
      </c>
      <c r="J6028" s="12" t="s">
        <v>521</v>
      </c>
      <c r="K6028" s="13" t="s">
        <v>36</v>
      </c>
      <c r="L6028" s="15" t="s">
        <v>36</v>
      </c>
      <c r="M6028" s="12" t="s">
        <v>36</v>
      </c>
      <c r="N6028" s="12" t="s">
        <v>36</v>
      </c>
      <c r="O6028" s="17" t="s">
        <v>36</v>
      </c>
      <c r="P6028" s="12" t="s">
        <v>36</v>
      </c>
      <c r="Q6028" s="12" t="s">
        <v>36</v>
      </c>
      <c r="R6028" s="12" t="s">
        <v>36</v>
      </c>
      <c r="S6028" s="12" t="s">
        <v>36</v>
      </c>
      <c r="T6028" s="12" t="s">
        <v>1260</v>
      </c>
      <c r="U6028" s="12" t="s">
        <v>38</v>
      </c>
      <c r="V6028" s="12" t="s">
        <v>39</v>
      </c>
      <c r="W6028" s="12" t="s">
        <v>21935</v>
      </c>
      <c r="X6028" s="16" t="s">
        <v>27804</v>
      </c>
      <c r="Y6028" s="15" t="s">
        <v>42</v>
      </c>
      <c r="Z6028" s="14">
        <v>1.12</v>
      </c>
      <c r="AA6028" s="14">
        <v>1.98</v>
      </c>
      <c r="AB6028" s="12" t="s">
        <v>56</v>
      </c>
      <c r="AC6028" s="12" t="s">
        <v>21936</v>
      </c>
      <c r="AD6028" s="13">
        <v>42898</v>
      </c>
      <c r="AE6028" s="12" t="s">
        <v>110</v>
      </c>
      <c r="AF6028" s="12" t="s">
        <v>80</v>
      </c>
      <c r="AG6028" s="12" t="s">
        <v>924</v>
      </c>
      <c r="AH6028" s="1">
        <f>HYPERLINK("https://my.pitchbook.com?c=127450-81T","View Company Online")</f>
      </c>
    </row>
    <row r="6029">
      <c r="A6029" s="3" t="s">
        <v>27805</v>
      </c>
      <c r="B6029" s="3" t="s">
        <v>27806</v>
      </c>
      <c r="C6029" s="5" t="s">
        <v>36</v>
      </c>
      <c r="D6029" s="5" t="s">
        <v>36</v>
      </c>
      <c r="E6029" s="5" t="s">
        <v>36</v>
      </c>
      <c r="F6029" s="5" t="s">
        <v>36</v>
      </c>
      <c r="G6029" s="6" t="s">
        <v>326</v>
      </c>
      <c r="H6029" s="4">
        <v>30.05</v>
      </c>
      <c r="I6029" s="7">
        <v>19.65</v>
      </c>
      <c r="J6029" s="3" t="s">
        <v>521</v>
      </c>
      <c r="K6029" s="9">
        <v>42853</v>
      </c>
      <c r="L6029" s="6" t="s">
        <v>122</v>
      </c>
      <c r="M6029" s="3" t="s">
        <v>36</v>
      </c>
      <c r="N6029" s="3" t="s">
        <v>122</v>
      </c>
      <c r="O6029" s="8" t="s">
        <v>36</v>
      </c>
      <c r="P6029" s="3" t="s">
        <v>36</v>
      </c>
      <c r="Q6029" s="3" t="s">
        <v>36</v>
      </c>
      <c r="R6029" s="3" t="s">
        <v>36</v>
      </c>
      <c r="S6029" s="3" t="s">
        <v>36</v>
      </c>
      <c r="T6029" s="3" t="s">
        <v>278</v>
      </c>
      <c r="U6029" s="3" t="s">
        <v>279</v>
      </c>
      <c r="V6029" s="3" t="s">
        <v>64</v>
      </c>
      <c r="W6029" s="3" t="s">
        <v>27807</v>
      </c>
      <c r="X6029" s="10" t="s">
        <v>27808</v>
      </c>
      <c r="Y6029" s="6" t="s">
        <v>166</v>
      </c>
      <c r="Z6029" s="4">
        <v>1.24</v>
      </c>
      <c r="AA6029" s="4">
        <v>6.32</v>
      </c>
      <c r="AB6029" s="3" t="s">
        <v>43</v>
      </c>
      <c r="AC6029" s="3" t="s">
        <v>27809</v>
      </c>
      <c r="AD6029" s="9">
        <v>42898</v>
      </c>
      <c r="AE6029" s="3" t="s">
        <v>283</v>
      </c>
      <c r="AF6029" s="3" t="s">
        <v>15624</v>
      </c>
      <c r="AG6029" s="3" t="s">
        <v>81</v>
      </c>
      <c r="AH6029" s="11">
        <f>HYPERLINK("https://my.pitchbook.com?c=89674-03T","View Company Online")</f>
      </c>
    </row>
    <row r="6030">
      <c r="A6030" s="12" t="s">
        <v>27810</v>
      </c>
      <c r="B6030" s="12" t="s">
        <v>25071</v>
      </c>
      <c r="C6030" s="19" t="s">
        <v>36</v>
      </c>
      <c r="D6030" s="19" t="s">
        <v>36</v>
      </c>
      <c r="E6030" s="19" t="s">
        <v>36</v>
      </c>
      <c r="F6030" s="19" t="s">
        <v>36</v>
      </c>
      <c r="G6030" s="15" t="s">
        <v>36</v>
      </c>
      <c r="H6030" s="14" t="s">
        <v>36</v>
      </c>
      <c r="I6030" s="18" t="s">
        <v>36</v>
      </c>
      <c r="J6030" s="12" t="s">
        <v>36</v>
      </c>
      <c r="K6030" s="13" t="s">
        <v>36</v>
      </c>
      <c r="L6030" s="15" t="s">
        <v>36</v>
      </c>
      <c r="M6030" s="12" t="s">
        <v>36</v>
      </c>
      <c r="N6030" s="12" t="s">
        <v>36</v>
      </c>
      <c r="O6030" s="17" t="s">
        <v>36</v>
      </c>
      <c r="P6030" s="12" t="s">
        <v>36</v>
      </c>
      <c r="Q6030" s="12" t="s">
        <v>36</v>
      </c>
      <c r="R6030" s="12" t="s">
        <v>36</v>
      </c>
      <c r="S6030" s="12" t="s">
        <v>36</v>
      </c>
      <c r="T6030" s="12" t="s">
        <v>2084</v>
      </c>
      <c r="U6030" s="12" t="s">
        <v>74</v>
      </c>
      <c r="V6030" s="12" t="s">
        <v>75</v>
      </c>
      <c r="W6030" s="12" t="s">
        <v>25072</v>
      </c>
      <c r="X6030" s="16" t="s">
        <v>27811</v>
      </c>
      <c r="Y6030" s="15" t="s">
        <v>108</v>
      </c>
      <c r="Z6030" s="14">
        <v>0.67</v>
      </c>
      <c r="AA6030" s="14" t="s">
        <v>36</v>
      </c>
      <c r="AB6030" s="12" t="s">
        <v>43</v>
      </c>
      <c r="AC6030" s="12" t="s">
        <v>25074</v>
      </c>
      <c r="AD6030" s="13">
        <v>42894</v>
      </c>
      <c r="AE6030" s="12" t="s">
        <v>362</v>
      </c>
      <c r="AF6030" s="12" t="s">
        <v>250</v>
      </c>
      <c r="AG6030" s="12" t="s">
        <v>81</v>
      </c>
      <c r="AH6030" s="1">
        <f>HYPERLINK("https://my.pitchbook.com?c=108005-77T","View Company Online")</f>
      </c>
    </row>
    <row r="6031">
      <c r="A6031" s="3" t="s">
        <v>27812</v>
      </c>
      <c r="B6031" s="3" t="s">
        <v>20116</v>
      </c>
      <c r="C6031" s="5">
        <v>1</v>
      </c>
      <c r="D6031" s="5">
        <v>2</v>
      </c>
      <c r="E6031" s="5">
        <v>1</v>
      </c>
      <c r="F6031" s="5">
        <v>3</v>
      </c>
      <c r="G6031" s="6" t="s">
        <v>36</v>
      </c>
      <c r="H6031" s="4" t="s">
        <v>36</v>
      </c>
      <c r="I6031" s="7">
        <v>17</v>
      </c>
      <c r="J6031" s="3" t="s">
        <v>36</v>
      </c>
      <c r="K6031" s="9" t="s">
        <v>36</v>
      </c>
      <c r="L6031" s="6" t="s">
        <v>122</v>
      </c>
      <c r="M6031" s="3" t="s">
        <v>36</v>
      </c>
      <c r="N6031" s="3" t="s">
        <v>122</v>
      </c>
      <c r="O6031" s="8" t="s">
        <v>36</v>
      </c>
      <c r="P6031" s="3" t="s">
        <v>36</v>
      </c>
      <c r="Q6031" s="3" t="s">
        <v>36</v>
      </c>
      <c r="R6031" s="3" t="s">
        <v>36</v>
      </c>
      <c r="S6031" s="3" t="s">
        <v>36</v>
      </c>
      <c r="T6031" s="3" t="s">
        <v>4917</v>
      </c>
      <c r="U6031" s="3" t="s">
        <v>38</v>
      </c>
      <c r="V6031" s="3" t="s">
        <v>39</v>
      </c>
      <c r="W6031" s="3" t="s">
        <v>20117</v>
      </c>
      <c r="X6031" s="10" t="s">
        <v>27813</v>
      </c>
      <c r="Y6031" s="6" t="s">
        <v>108</v>
      </c>
      <c r="Z6031" s="4">
        <v>3.34</v>
      </c>
      <c r="AA6031" s="4" t="s">
        <v>36</v>
      </c>
      <c r="AB6031" s="3" t="s">
        <v>43</v>
      </c>
      <c r="AC6031" s="3" t="s">
        <v>20119</v>
      </c>
      <c r="AD6031" s="9">
        <v>42893</v>
      </c>
      <c r="AE6031" s="3" t="s">
        <v>134</v>
      </c>
      <c r="AF6031" s="3" t="s">
        <v>7730</v>
      </c>
      <c r="AG6031" s="3" t="s">
        <v>81</v>
      </c>
      <c r="AH6031" s="11">
        <f>HYPERLINK("https://my.pitchbook.com?c=88756-03T","View Company Online")</f>
      </c>
    </row>
    <row r="6032">
      <c r="A6032" s="12" t="s">
        <v>27814</v>
      </c>
      <c r="B6032" s="12" t="s">
        <v>27815</v>
      </c>
      <c r="C6032" s="19" t="s">
        <v>36</v>
      </c>
      <c r="D6032" s="19" t="s">
        <v>36</v>
      </c>
      <c r="E6032" s="19" t="s">
        <v>36</v>
      </c>
      <c r="F6032" s="19" t="s">
        <v>36</v>
      </c>
      <c r="G6032" s="15" t="s">
        <v>36</v>
      </c>
      <c r="H6032" s="14" t="s">
        <v>36</v>
      </c>
      <c r="I6032" s="18" t="s">
        <v>36</v>
      </c>
      <c r="J6032" s="12" t="s">
        <v>36</v>
      </c>
      <c r="K6032" s="13" t="s">
        <v>36</v>
      </c>
      <c r="L6032" s="15" t="s">
        <v>36</v>
      </c>
      <c r="M6032" s="12" t="s">
        <v>36</v>
      </c>
      <c r="N6032" s="12" t="s">
        <v>36</v>
      </c>
      <c r="O6032" s="17" t="s">
        <v>36</v>
      </c>
      <c r="P6032" s="12" t="s">
        <v>36</v>
      </c>
      <c r="Q6032" s="12" t="s">
        <v>36</v>
      </c>
      <c r="R6032" s="12" t="s">
        <v>36</v>
      </c>
      <c r="S6032" s="12" t="s">
        <v>36</v>
      </c>
      <c r="T6032" s="12" t="s">
        <v>27816</v>
      </c>
      <c r="U6032" s="12" t="s">
        <v>38</v>
      </c>
      <c r="V6032" s="12" t="s">
        <v>39</v>
      </c>
      <c r="W6032" s="12" t="s">
        <v>27817</v>
      </c>
      <c r="X6032" s="16" t="s">
        <v>27818</v>
      </c>
      <c r="Y6032" s="15" t="s">
        <v>108</v>
      </c>
      <c r="Z6032" s="14">
        <v>6</v>
      </c>
      <c r="AA6032" s="14" t="s">
        <v>36</v>
      </c>
      <c r="AB6032" s="12" t="s">
        <v>43</v>
      </c>
      <c r="AC6032" s="12" t="s">
        <v>27819</v>
      </c>
      <c r="AD6032" s="13">
        <v>42893</v>
      </c>
      <c r="AE6032" s="12" t="s">
        <v>110</v>
      </c>
      <c r="AF6032" s="12" t="s">
        <v>19562</v>
      </c>
      <c r="AG6032" s="12" t="s">
        <v>81</v>
      </c>
      <c r="AH6032" s="1">
        <f>HYPERLINK("https://my.pitchbook.com?c=90352-81T","View Company Online")</f>
      </c>
    </row>
    <row r="6033">
      <c r="A6033" s="3" t="s">
        <v>27820</v>
      </c>
      <c r="B6033" s="3" t="s">
        <v>27821</v>
      </c>
      <c r="C6033" s="5" t="s">
        <v>36</v>
      </c>
      <c r="D6033" s="5" t="s">
        <v>36</v>
      </c>
      <c r="E6033" s="5" t="s">
        <v>36</v>
      </c>
      <c r="F6033" s="5" t="s">
        <v>36</v>
      </c>
      <c r="G6033" s="6" t="s">
        <v>36</v>
      </c>
      <c r="H6033" s="4">
        <v>138.47</v>
      </c>
      <c r="I6033" s="7">
        <v>30</v>
      </c>
      <c r="J6033" s="3" t="s">
        <v>521</v>
      </c>
      <c r="K6033" s="9" t="s">
        <v>36</v>
      </c>
      <c r="L6033" s="6" t="s">
        <v>36</v>
      </c>
      <c r="M6033" s="3" t="s">
        <v>36</v>
      </c>
      <c r="N6033" s="3" t="s">
        <v>36</v>
      </c>
      <c r="O6033" s="8" t="s">
        <v>36</v>
      </c>
      <c r="P6033" s="3" t="s">
        <v>36</v>
      </c>
      <c r="Q6033" s="3" t="s">
        <v>36</v>
      </c>
      <c r="R6033" s="3" t="s">
        <v>36</v>
      </c>
      <c r="S6033" s="3" t="s">
        <v>453</v>
      </c>
      <c r="T6033" s="3" t="s">
        <v>27822</v>
      </c>
      <c r="U6033" s="3" t="s">
        <v>85</v>
      </c>
      <c r="V6033" s="3" t="s">
        <v>64</v>
      </c>
      <c r="W6033" s="3" t="s">
        <v>27823</v>
      </c>
      <c r="X6033" s="10" t="s">
        <v>27824</v>
      </c>
      <c r="Y6033" s="6" t="s">
        <v>42</v>
      </c>
      <c r="Z6033" s="4">
        <v>1.11</v>
      </c>
      <c r="AA6033" s="4">
        <v>2.23</v>
      </c>
      <c r="AB6033" s="3" t="s">
        <v>43</v>
      </c>
      <c r="AC6033" s="3" t="s">
        <v>27825</v>
      </c>
      <c r="AD6033" s="9">
        <v>42893</v>
      </c>
      <c r="AE6033" s="3" t="s">
        <v>89</v>
      </c>
      <c r="AF6033" s="3" t="s">
        <v>10834</v>
      </c>
      <c r="AG6033" s="3" t="s">
        <v>539</v>
      </c>
      <c r="AH6033" s="11">
        <f>HYPERLINK("https://my.pitchbook.com?c=102132-55T","View Company Online")</f>
      </c>
    </row>
    <row r="6034">
      <c r="A6034" s="12" t="s">
        <v>27826</v>
      </c>
      <c r="B6034" s="12" t="s">
        <v>27827</v>
      </c>
      <c r="C6034" s="19" t="s">
        <v>36</v>
      </c>
      <c r="D6034" s="19">
        <v>42</v>
      </c>
      <c r="E6034" s="19">
        <v>5</v>
      </c>
      <c r="F6034" s="19">
        <v>48</v>
      </c>
      <c r="G6034" s="15" t="s">
        <v>36</v>
      </c>
      <c r="H6034" s="14" t="s">
        <v>36</v>
      </c>
      <c r="I6034" s="18" t="s">
        <v>36</v>
      </c>
      <c r="J6034" s="12" t="s">
        <v>36</v>
      </c>
      <c r="K6034" s="13" t="s">
        <v>36</v>
      </c>
      <c r="L6034" s="15" t="s">
        <v>36</v>
      </c>
      <c r="M6034" s="12" t="s">
        <v>36</v>
      </c>
      <c r="N6034" s="12" t="s">
        <v>36</v>
      </c>
      <c r="O6034" s="17" t="s">
        <v>36</v>
      </c>
      <c r="P6034" s="12" t="s">
        <v>36</v>
      </c>
      <c r="Q6034" s="12" t="s">
        <v>36</v>
      </c>
      <c r="R6034" s="12" t="s">
        <v>36</v>
      </c>
      <c r="S6034" s="12" t="s">
        <v>36</v>
      </c>
      <c r="T6034" s="12" t="s">
        <v>27828</v>
      </c>
      <c r="U6034" s="12" t="s">
        <v>387</v>
      </c>
      <c r="V6034" s="12" t="s">
        <v>367</v>
      </c>
      <c r="W6034" s="12" t="s">
        <v>27829</v>
      </c>
      <c r="X6034" s="16" t="s">
        <v>27830</v>
      </c>
      <c r="Y6034" s="15" t="s">
        <v>166</v>
      </c>
      <c r="Z6034" s="14">
        <v>8.9</v>
      </c>
      <c r="AA6034" s="14" t="s">
        <v>36</v>
      </c>
      <c r="AB6034" s="12" t="s">
        <v>56</v>
      </c>
      <c r="AC6034" s="12" t="s">
        <v>27831</v>
      </c>
      <c r="AD6034" s="13">
        <v>42892</v>
      </c>
      <c r="AE6034" s="12" t="s">
        <v>391</v>
      </c>
      <c r="AF6034" s="12" t="s">
        <v>7368</v>
      </c>
      <c r="AG6034" s="12" t="s">
        <v>8850</v>
      </c>
      <c r="AH6034" s="1">
        <f>HYPERLINK("https://my.pitchbook.com?c=89628-40T","View Company Online")</f>
      </c>
    </row>
    <row r="6035">
      <c r="A6035" s="3" t="s">
        <v>27832</v>
      </c>
      <c r="B6035" s="3" t="s">
        <v>27833</v>
      </c>
      <c r="C6035" s="5" t="s">
        <v>36</v>
      </c>
      <c r="D6035" s="5" t="s">
        <v>36</v>
      </c>
      <c r="E6035" s="5" t="s">
        <v>36</v>
      </c>
      <c r="F6035" s="5" t="s">
        <v>36</v>
      </c>
      <c r="G6035" s="6" t="s">
        <v>36</v>
      </c>
      <c r="H6035" s="4" t="s">
        <v>36</v>
      </c>
      <c r="I6035" s="7" t="s">
        <v>36</v>
      </c>
      <c r="J6035" s="3" t="s">
        <v>36</v>
      </c>
      <c r="K6035" s="9" t="s">
        <v>36</v>
      </c>
      <c r="L6035" s="6" t="s">
        <v>122</v>
      </c>
      <c r="M6035" s="3" t="s">
        <v>36</v>
      </c>
      <c r="N6035" s="3" t="s">
        <v>122</v>
      </c>
      <c r="O6035" s="8" t="s">
        <v>36</v>
      </c>
      <c r="P6035" s="3" t="s">
        <v>36</v>
      </c>
      <c r="Q6035" s="3" t="s">
        <v>36</v>
      </c>
      <c r="R6035" s="3" t="s">
        <v>36</v>
      </c>
      <c r="S6035" s="3" t="s">
        <v>36</v>
      </c>
      <c r="T6035" s="3" t="s">
        <v>5302</v>
      </c>
      <c r="U6035" s="3" t="s">
        <v>74</v>
      </c>
      <c r="V6035" s="3" t="s">
        <v>75</v>
      </c>
      <c r="W6035" s="3" t="s">
        <v>27834</v>
      </c>
      <c r="X6035" s="10" t="s">
        <v>27835</v>
      </c>
      <c r="Y6035" s="6" t="s">
        <v>55</v>
      </c>
      <c r="Z6035" s="4">
        <v>7.79</v>
      </c>
      <c r="AA6035" s="4" t="s">
        <v>36</v>
      </c>
      <c r="AB6035" s="3" t="s">
        <v>43</v>
      </c>
      <c r="AC6035" s="3" t="s">
        <v>27836</v>
      </c>
      <c r="AD6035" s="9">
        <v>42892</v>
      </c>
      <c r="AE6035" s="3" t="s">
        <v>362</v>
      </c>
      <c r="AF6035" s="3" t="s">
        <v>27837</v>
      </c>
      <c r="AG6035" s="3" t="s">
        <v>81</v>
      </c>
      <c r="AH6035" s="11">
        <f>HYPERLINK("https://my.pitchbook.com?c=88728-13T","View Company Online")</f>
      </c>
    </row>
    <row r="6036">
      <c r="A6036" s="12" t="s">
        <v>27838</v>
      </c>
      <c r="B6036" s="12" t="s">
        <v>27839</v>
      </c>
      <c r="C6036" s="19">
        <v>1</v>
      </c>
      <c r="D6036" s="19">
        <v>14</v>
      </c>
      <c r="E6036" s="19">
        <v>7</v>
      </c>
      <c r="F6036" s="19">
        <v>15</v>
      </c>
      <c r="G6036" s="15" t="s">
        <v>326</v>
      </c>
      <c r="H6036" s="14">
        <v>88.28</v>
      </c>
      <c r="I6036" s="18">
        <v>46.15</v>
      </c>
      <c r="J6036" s="12" t="s">
        <v>327</v>
      </c>
      <c r="K6036" s="13">
        <v>42856</v>
      </c>
      <c r="L6036" s="15" t="s">
        <v>36</v>
      </c>
      <c r="M6036" s="12" t="s">
        <v>36</v>
      </c>
      <c r="N6036" s="12" t="s">
        <v>36</v>
      </c>
      <c r="O6036" s="17" t="s">
        <v>36</v>
      </c>
      <c r="P6036" s="12" t="s">
        <v>36</v>
      </c>
      <c r="Q6036" s="12" t="s">
        <v>36</v>
      </c>
      <c r="R6036" s="12" t="s">
        <v>36</v>
      </c>
      <c r="S6036" s="12" t="s">
        <v>36</v>
      </c>
      <c r="T6036" s="12" t="s">
        <v>1305</v>
      </c>
      <c r="U6036" s="12" t="s">
        <v>38</v>
      </c>
      <c r="V6036" s="12" t="s">
        <v>39</v>
      </c>
      <c r="W6036" s="12" t="s">
        <v>27840</v>
      </c>
      <c r="X6036" s="16" t="s">
        <v>27841</v>
      </c>
      <c r="Y6036" s="15" t="s">
        <v>42</v>
      </c>
      <c r="Z6036" s="14">
        <v>3.36</v>
      </c>
      <c r="AA6036" s="14">
        <v>7.27</v>
      </c>
      <c r="AB6036" s="12" t="s">
        <v>56</v>
      </c>
      <c r="AC6036" s="12" t="s">
        <v>27842</v>
      </c>
      <c r="AD6036" s="13">
        <v>42892</v>
      </c>
      <c r="AE6036" s="12" t="s">
        <v>110</v>
      </c>
      <c r="AF6036" s="12" t="s">
        <v>27843</v>
      </c>
      <c r="AG6036" s="12" t="s">
        <v>81</v>
      </c>
      <c r="AH6036" s="1">
        <f>HYPERLINK("https://my.pitchbook.com?c=88774-30T","View Company Online")</f>
      </c>
    </row>
    <row r="6037">
      <c r="A6037" s="3" t="s">
        <v>27844</v>
      </c>
      <c r="B6037" s="3" t="s">
        <v>13830</v>
      </c>
      <c r="C6037" s="5">
        <v>3</v>
      </c>
      <c r="D6037" s="5">
        <v>4</v>
      </c>
      <c r="E6037" s="5">
        <v>4</v>
      </c>
      <c r="F6037" s="5">
        <v>8</v>
      </c>
      <c r="G6037" s="6" t="s">
        <v>36</v>
      </c>
      <c r="H6037" s="4">
        <v>86.07</v>
      </c>
      <c r="I6037" s="7">
        <v>11.96</v>
      </c>
      <c r="J6037" s="3" t="s">
        <v>521</v>
      </c>
      <c r="K6037" s="9" t="s">
        <v>36</v>
      </c>
      <c r="L6037" s="6" t="s">
        <v>36</v>
      </c>
      <c r="M6037" s="3" t="s">
        <v>36</v>
      </c>
      <c r="N6037" s="3" t="s">
        <v>36</v>
      </c>
      <c r="O6037" s="8" t="s">
        <v>36</v>
      </c>
      <c r="P6037" s="3" t="s">
        <v>36</v>
      </c>
      <c r="Q6037" s="3" t="s">
        <v>36</v>
      </c>
      <c r="R6037" s="3" t="s">
        <v>36</v>
      </c>
      <c r="S6037" s="3" t="s">
        <v>36</v>
      </c>
      <c r="T6037" s="3" t="s">
        <v>189</v>
      </c>
      <c r="U6037" s="3" t="s">
        <v>180</v>
      </c>
      <c r="V6037" s="3" t="s">
        <v>52</v>
      </c>
      <c r="W6037" s="3" t="s">
        <v>13831</v>
      </c>
      <c r="X6037" s="10" t="s">
        <v>27845</v>
      </c>
      <c r="Y6037" s="6" t="s">
        <v>42</v>
      </c>
      <c r="Z6037" s="4">
        <v>0.19</v>
      </c>
      <c r="AA6037" s="4">
        <v>1.55</v>
      </c>
      <c r="AB6037" s="3" t="s">
        <v>43</v>
      </c>
      <c r="AC6037" s="3" t="s">
        <v>13833</v>
      </c>
      <c r="AD6037" s="9">
        <v>42892</v>
      </c>
      <c r="AE6037" s="3" t="s">
        <v>184</v>
      </c>
      <c r="AF6037" s="3" t="s">
        <v>885</v>
      </c>
      <c r="AG6037" s="3" t="s">
        <v>652</v>
      </c>
      <c r="AH6037" s="11">
        <f>HYPERLINK("https://my.pitchbook.com?c=119596-15T","View Company Online")</f>
      </c>
    </row>
    <row r="6038">
      <c r="A6038" s="12" t="s">
        <v>27846</v>
      </c>
      <c r="B6038" s="12" t="s">
        <v>27847</v>
      </c>
      <c r="C6038" s="19" t="s">
        <v>36</v>
      </c>
      <c r="D6038" s="19" t="s">
        <v>36</v>
      </c>
      <c r="E6038" s="19" t="s">
        <v>36</v>
      </c>
      <c r="F6038" s="19" t="s">
        <v>36</v>
      </c>
      <c r="G6038" s="15" t="s">
        <v>36</v>
      </c>
      <c r="H6038" s="14">
        <v>6.07</v>
      </c>
      <c r="I6038" s="18">
        <v>35.78</v>
      </c>
      <c r="J6038" s="12" t="s">
        <v>521</v>
      </c>
      <c r="K6038" s="13" t="s">
        <v>36</v>
      </c>
      <c r="L6038" s="15" t="s">
        <v>36</v>
      </c>
      <c r="M6038" s="12" t="s">
        <v>36</v>
      </c>
      <c r="N6038" s="12" t="s">
        <v>36</v>
      </c>
      <c r="O6038" s="17" t="s">
        <v>36</v>
      </c>
      <c r="P6038" s="12" t="s">
        <v>36</v>
      </c>
      <c r="Q6038" s="12" t="s">
        <v>36</v>
      </c>
      <c r="R6038" s="12" t="s">
        <v>36</v>
      </c>
      <c r="S6038" s="12" t="s">
        <v>36</v>
      </c>
      <c r="T6038" s="12" t="s">
        <v>27848</v>
      </c>
      <c r="U6038" s="12" t="s">
        <v>74</v>
      </c>
      <c r="V6038" s="12" t="s">
        <v>75</v>
      </c>
      <c r="W6038" s="12" t="s">
        <v>27849</v>
      </c>
      <c r="X6038" s="16" t="s">
        <v>27850</v>
      </c>
      <c r="Y6038" s="15" t="s">
        <v>108</v>
      </c>
      <c r="Z6038" s="14">
        <v>1.3</v>
      </c>
      <c r="AA6038" s="14">
        <v>3.64</v>
      </c>
      <c r="AB6038" s="12" t="s">
        <v>43</v>
      </c>
      <c r="AC6038" s="12" t="s">
        <v>27851</v>
      </c>
      <c r="AD6038" s="13">
        <v>42892</v>
      </c>
      <c r="AE6038" s="12" t="s">
        <v>79</v>
      </c>
      <c r="AF6038" s="12" t="s">
        <v>1401</v>
      </c>
      <c r="AG6038" s="12" t="s">
        <v>373</v>
      </c>
      <c r="AH6038" s="1">
        <f>HYPERLINK("https://my.pitchbook.com?c=31801-42T","View Company Online")</f>
      </c>
    </row>
    <row r="6039">
      <c r="A6039" s="3" t="s">
        <v>27852</v>
      </c>
      <c r="B6039" s="3" t="s">
        <v>27853</v>
      </c>
      <c r="C6039" s="5" t="s">
        <v>36</v>
      </c>
      <c r="D6039" s="5" t="s">
        <v>36</v>
      </c>
      <c r="E6039" s="5" t="s">
        <v>36</v>
      </c>
      <c r="F6039" s="5" t="s">
        <v>36</v>
      </c>
      <c r="G6039" s="6" t="s">
        <v>36</v>
      </c>
      <c r="H6039" s="4">
        <v>56.92</v>
      </c>
      <c r="I6039" s="7">
        <v>14.5</v>
      </c>
      <c r="J6039" s="3" t="s">
        <v>521</v>
      </c>
      <c r="K6039" s="9" t="s">
        <v>36</v>
      </c>
      <c r="L6039" s="6" t="s">
        <v>36</v>
      </c>
      <c r="M6039" s="3" t="s">
        <v>36</v>
      </c>
      <c r="N6039" s="3" t="s">
        <v>36</v>
      </c>
      <c r="O6039" s="8" t="s">
        <v>36</v>
      </c>
      <c r="P6039" s="3" t="s">
        <v>36</v>
      </c>
      <c r="Q6039" s="3" t="s">
        <v>36</v>
      </c>
      <c r="R6039" s="3" t="s">
        <v>36</v>
      </c>
      <c r="S6039" s="3" t="s">
        <v>36</v>
      </c>
      <c r="T6039" s="3" t="s">
        <v>1701</v>
      </c>
      <c r="U6039" s="3" t="s">
        <v>74</v>
      </c>
      <c r="V6039" s="3" t="s">
        <v>75</v>
      </c>
      <c r="W6039" s="3" t="s">
        <v>27854</v>
      </c>
      <c r="X6039" s="10" t="s">
        <v>27855</v>
      </c>
      <c r="Y6039" s="6" t="s">
        <v>42</v>
      </c>
      <c r="Z6039" s="4">
        <v>0.62</v>
      </c>
      <c r="AA6039" s="4">
        <v>4.28</v>
      </c>
      <c r="AB6039" s="3" t="s">
        <v>43</v>
      </c>
      <c r="AC6039" s="3" t="s">
        <v>27856</v>
      </c>
      <c r="AD6039" s="9">
        <v>42892</v>
      </c>
      <c r="AE6039" s="3" t="s">
        <v>79</v>
      </c>
      <c r="AF6039" s="3" t="s">
        <v>20661</v>
      </c>
      <c r="AG6039" s="3" t="s">
        <v>27857</v>
      </c>
      <c r="AH6039" s="11">
        <f>HYPERLINK("https://my.pitchbook.com?c=202098-79T","View Company Online")</f>
      </c>
    </row>
    <row r="6040">
      <c r="A6040" s="12" t="s">
        <v>27858</v>
      </c>
      <c r="B6040" s="12" t="s">
        <v>27859</v>
      </c>
      <c r="C6040" s="19" t="s">
        <v>36</v>
      </c>
      <c r="D6040" s="19" t="s">
        <v>36</v>
      </c>
      <c r="E6040" s="19" t="s">
        <v>36</v>
      </c>
      <c r="F6040" s="19" t="s">
        <v>36</v>
      </c>
      <c r="G6040" s="15" t="s">
        <v>326</v>
      </c>
      <c r="H6040" s="14">
        <v>949.6</v>
      </c>
      <c r="I6040" s="18">
        <v>17.54</v>
      </c>
      <c r="J6040" s="12" t="s">
        <v>521</v>
      </c>
      <c r="K6040" s="13" t="s">
        <v>36</v>
      </c>
      <c r="L6040" s="15" t="s">
        <v>36</v>
      </c>
      <c r="M6040" s="12" t="s">
        <v>36</v>
      </c>
      <c r="N6040" s="12" t="s">
        <v>36</v>
      </c>
      <c r="O6040" s="17" t="s">
        <v>36</v>
      </c>
      <c r="P6040" s="12" t="s">
        <v>36</v>
      </c>
      <c r="Q6040" s="12" t="s">
        <v>36</v>
      </c>
      <c r="R6040" s="12" t="s">
        <v>36</v>
      </c>
      <c r="S6040" s="12" t="s">
        <v>36</v>
      </c>
      <c r="T6040" s="12" t="s">
        <v>16553</v>
      </c>
      <c r="U6040" s="12" t="s">
        <v>38</v>
      </c>
      <c r="V6040" s="12" t="s">
        <v>39</v>
      </c>
      <c r="W6040" s="12" t="s">
        <v>27860</v>
      </c>
      <c r="X6040" s="16" t="s">
        <v>27861</v>
      </c>
      <c r="Y6040" s="15" t="s">
        <v>108</v>
      </c>
      <c r="Z6040" s="14">
        <v>1.34</v>
      </c>
      <c r="AA6040" s="14">
        <v>7.64</v>
      </c>
      <c r="AB6040" s="12" t="s">
        <v>43</v>
      </c>
      <c r="AC6040" s="12" t="s">
        <v>27862</v>
      </c>
      <c r="AD6040" s="13">
        <v>42892</v>
      </c>
      <c r="AE6040" s="12" t="s">
        <v>1945</v>
      </c>
      <c r="AF6040" s="12" t="s">
        <v>1636</v>
      </c>
      <c r="AG6040" s="12" t="s">
        <v>81</v>
      </c>
      <c r="AH6040" s="1">
        <f>HYPERLINK("https://my.pitchbook.com?c=190637-47T","View Company Online")</f>
      </c>
    </row>
    <row r="6041">
      <c r="A6041" s="3" t="s">
        <v>27863</v>
      </c>
      <c r="B6041" s="3" t="s">
        <v>24450</v>
      </c>
      <c r="C6041" s="5" t="s">
        <v>36</v>
      </c>
      <c r="D6041" s="5" t="s">
        <v>36</v>
      </c>
      <c r="E6041" s="5" t="s">
        <v>36</v>
      </c>
      <c r="F6041" s="5" t="s">
        <v>36</v>
      </c>
      <c r="G6041" s="6" t="s">
        <v>36</v>
      </c>
      <c r="H6041" s="4">
        <v>60.85</v>
      </c>
      <c r="I6041" s="7">
        <v>9.44</v>
      </c>
      <c r="J6041" s="3" t="s">
        <v>521</v>
      </c>
      <c r="K6041" s="9" t="s">
        <v>36</v>
      </c>
      <c r="L6041" s="6" t="s">
        <v>36</v>
      </c>
      <c r="M6041" s="3" t="s">
        <v>36</v>
      </c>
      <c r="N6041" s="3" t="s">
        <v>36</v>
      </c>
      <c r="O6041" s="8" t="s">
        <v>36</v>
      </c>
      <c r="P6041" s="3" t="s">
        <v>36</v>
      </c>
      <c r="Q6041" s="3" t="s">
        <v>36</v>
      </c>
      <c r="R6041" s="3" t="s">
        <v>36</v>
      </c>
      <c r="S6041" s="3" t="s">
        <v>36</v>
      </c>
      <c r="T6041" s="3" t="s">
        <v>24451</v>
      </c>
      <c r="U6041" s="3" t="s">
        <v>648</v>
      </c>
      <c r="V6041" s="3" t="s">
        <v>64</v>
      </c>
      <c r="W6041" s="3" t="s">
        <v>24452</v>
      </c>
      <c r="X6041" s="10" t="s">
        <v>4336</v>
      </c>
      <c r="Y6041" s="6" t="s">
        <v>42</v>
      </c>
      <c r="Z6041" s="4">
        <v>0.14</v>
      </c>
      <c r="AA6041" s="4">
        <v>1.47</v>
      </c>
      <c r="AB6041" s="3" t="s">
        <v>43</v>
      </c>
      <c r="AC6041" s="3" t="s">
        <v>24454</v>
      </c>
      <c r="AD6041" s="9">
        <v>42891</v>
      </c>
      <c r="AE6041" s="3" t="s">
        <v>1897</v>
      </c>
      <c r="AF6041" s="3" t="s">
        <v>1115</v>
      </c>
      <c r="AG6041" s="3" t="s">
        <v>81</v>
      </c>
      <c r="AH6041" s="11">
        <f>HYPERLINK("https://my.pitchbook.com?c=119143-63T","View Company Online")</f>
      </c>
    </row>
    <row r="6042">
      <c r="A6042" s="12" t="s">
        <v>27864</v>
      </c>
      <c r="B6042" s="12" t="s">
        <v>16750</v>
      </c>
      <c r="C6042" s="19" t="s">
        <v>36</v>
      </c>
      <c r="D6042" s="19" t="s">
        <v>36</v>
      </c>
      <c r="E6042" s="19" t="s">
        <v>36</v>
      </c>
      <c r="F6042" s="19" t="s">
        <v>36</v>
      </c>
      <c r="G6042" s="15" t="s">
        <v>36</v>
      </c>
      <c r="H6042" s="14" t="s">
        <v>36</v>
      </c>
      <c r="I6042" s="18" t="s">
        <v>36</v>
      </c>
      <c r="J6042" s="12" t="s">
        <v>36</v>
      </c>
      <c r="K6042" s="13" t="s">
        <v>36</v>
      </c>
      <c r="L6042" s="15" t="s">
        <v>36</v>
      </c>
      <c r="M6042" s="12" t="s">
        <v>36</v>
      </c>
      <c r="N6042" s="12" t="s">
        <v>36</v>
      </c>
      <c r="O6042" s="17" t="s">
        <v>36</v>
      </c>
      <c r="P6042" s="12" t="s">
        <v>36</v>
      </c>
      <c r="Q6042" s="12" t="s">
        <v>36</v>
      </c>
      <c r="R6042" s="12" t="s">
        <v>36</v>
      </c>
      <c r="S6042" s="12" t="s">
        <v>36</v>
      </c>
      <c r="T6042" s="12" t="s">
        <v>1260</v>
      </c>
      <c r="U6042" s="12" t="s">
        <v>38</v>
      </c>
      <c r="V6042" s="12" t="s">
        <v>39</v>
      </c>
      <c r="W6042" s="12" t="s">
        <v>16751</v>
      </c>
      <c r="X6042" s="16" t="s">
        <v>27865</v>
      </c>
      <c r="Y6042" s="15" t="s">
        <v>108</v>
      </c>
      <c r="Z6042" s="14" t="s">
        <v>36</v>
      </c>
      <c r="AA6042" s="14" t="s">
        <v>36</v>
      </c>
      <c r="AB6042" s="12" t="s">
        <v>43</v>
      </c>
      <c r="AC6042" s="12" t="s">
        <v>16753</v>
      </c>
      <c r="AD6042" s="13">
        <v>42888</v>
      </c>
      <c r="AE6042" s="12" t="s">
        <v>110</v>
      </c>
      <c r="AF6042" s="12" t="s">
        <v>275</v>
      </c>
      <c r="AG6042" s="12" t="s">
        <v>81</v>
      </c>
      <c r="AH6042" s="1">
        <f>HYPERLINK("https://my.pitchbook.com?c=110296-00T","View Company Online")</f>
      </c>
    </row>
    <row r="6043">
      <c r="A6043" s="3" t="s">
        <v>27866</v>
      </c>
      <c r="B6043" s="3" t="s">
        <v>25988</v>
      </c>
      <c r="C6043" s="5" t="s">
        <v>36</v>
      </c>
      <c r="D6043" s="5" t="s">
        <v>36</v>
      </c>
      <c r="E6043" s="5" t="s">
        <v>36</v>
      </c>
      <c r="F6043" s="5" t="s">
        <v>36</v>
      </c>
      <c r="G6043" s="6" t="s">
        <v>36</v>
      </c>
      <c r="H6043" s="4">
        <v>18.49</v>
      </c>
      <c r="I6043" s="7">
        <v>23.78</v>
      </c>
      <c r="J6043" s="3" t="s">
        <v>521</v>
      </c>
      <c r="K6043" s="9" t="s">
        <v>36</v>
      </c>
      <c r="L6043" s="6" t="s">
        <v>36</v>
      </c>
      <c r="M6043" s="3" t="s">
        <v>36</v>
      </c>
      <c r="N6043" s="3" t="s">
        <v>36</v>
      </c>
      <c r="O6043" s="8" t="s">
        <v>36</v>
      </c>
      <c r="P6043" s="3" t="s">
        <v>36</v>
      </c>
      <c r="Q6043" s="3" t="s">
        <v>36</v>
      </c>
      <c r="R6043" s="3" t="s">
        <v>36</v>
      </c>
      <c r="S6043" s="3" t="s">
        <v>36</v>
      </c>
      <c r="T6043" s="3" t="s">
        <v>25989</v>
      </c>
      <c r="U6043" s="3" t="s">
        <v>219</v>
      </c>
      <c r="V6043" s="3" t="s">
        <v>75</v>
      </c>
      <c r="W6043" s="3" t="s">
        <v>25990</v>
      </c>
      <c r="X6043" s="10" t="s">
        <v>27867</v>
      </c>
      <c r="Y6043" s="6" t="s">
        <v>42</v>
      </c>
      <c r="Z6043" s="4">
        <v>0.21</v>
      </c>
      <c r="AA6043" s="4">
        <v>0.87</v>
      </c>
      <c r="AB6043" s="3" t="s">
        <v>56</v>
      </c>
      <c r="AC6043" s="3" t="s">
        <v>25991</v>
      </c>
      <c r="AD6043" s="9">
        <v>42888</v>
      </c>
      <c r="AE6043" s="3" t="s">
        <v>223</v>
      </c>
      <c r="AF6043" s="3" t="s">
        <v>372</v>
      </c>
      <c r="AG6043" s="3" t="s">
        <v>25992</v>
      </c>
      <c r="AH6043" s="11">
        <f>HYPERLINK("https://my.pitchbook.com?c=136426-06T","View Company Online")</f>
      </c>
    </row>
    <row r="6044">
      <c r="A6044" s="12" t="s">
        <v>27868</v>
      </c>
      <c r="B6044" s="12" t="s">
        <v>22972</v>
      </c>
      <c r="C6044" s="19" t="s">
        <v>36</v>
      </c>
      <c r="D6044" s="19" t="s">
        <v>36</v>
      </c>
      <c r="E6044" s="19" t="s">
        <v>36</v>
      </c>
      <c r="F6044" s="19" t="s">
        <v>36</v>
      </c>
      <c r="G6044" s="15" t="s">
        <v>36</v>
      </c>
      <c r="H6044" s="14">
        <v>235.61</v>
      </c>
      <c r="I6044" s="18">
        <v>20.69</v>
      </c>
      <c r="J6044" s="12" t="s">
        <v>521</v>
      </c>
      <c r="K6044" s="13" t="s">
        <v>36</v>
      </c>
      <c r="L6044" s="15" t="s">
        <v>36</v>
      </c>
      <c r="M6044" s="12" t="s">
        <v>36</v>
      </c>
      <c r="N6044" s="12" t="s">
        <v>36</v>
      </c>
      <c r="O6044" s="17" t="s">
        <v>36</v>
      </c>
      <c r="P6044" s="12" t="s">
        <v>36</v>
      </c>
      <c r="Q6044" s="12" t="s">
        <v>36</v>
      </c>
      <c r="R6044" s="12" t="s">
        <v>36</v>
      </c>
      <c r="S6044" s="12" t="s">
        <v>36</v>
      </c>
      <c r="T6044" s="12" t="s">
        <v>4827</v>
      </c>
      <c r="U6044" s="12" t="s">
        <v>648</v>
      </c>
      <c r="V6044" s="12" t="s">
        <v>64</v>
      </c>
      <c r="W6044" s="12" t="s">
        <v>22973</v>
      </c>
      <c r="X6044" s="16" t="s">
        <v>27869</v>
      </c>
      <c r="Y6044" s="15" t="s">
        <v>55</v>
      </c>
      <c r="Z6044" s="14">
        <v>0.72</v>
      </c>
      <c r="AA6044" s="14">
        <v>3.49</v>
      </c>
      <c r="AB6044" s="12" t="s">
        <v>43</v>
      </c>
      <c r="AC6044" s="12" t="s">
        <v>22975</v>
      </c>
      <c r="AD6044" s="13">
        <v>42888</v>
      </c>
      <c r="AE6044" s="12" t="s">
        <v>3988</v>
      </c>
      <c r="AF6044" s="12" t="s">
        <v>4284</v>
      </c>
      <c r="AG6044" s="12" t="s">
        <v>332</v>
      </c>
      <c r="AH6044" s="1">
        <f>HYPERLINK("https://my.pitchbook.com?c=140153-23T","View Company Online")</f>
      </c>
    </row>
    <row r="6045">
      <c r="A6045" s="3" t="s">
        <v>27870</v>
      </c>
      <c r="B6045" s="3" t="s">
        <v>13423</v>
      </c>
      <c r="C6045" s="5" t="s">
        <v>36</v>
      </c>
      <c r="D6045" s="5" t="s">
        <v>36</v>
      </c>
      <c r="E6045" s="5" t="s">
        <v>36</v>
      </c>
      <c r="F6045" s="5" t="s">
        <v>36</v>
      </c>
      <c r="G6045" s="6" t="s">
        <v>36</v>
      </c>
      <c r="H6045" s="4">
        <v>2.32</v>
      </c>
      <c r="I6045" s="7">
        <v>23.83</v>
      </c>
      <c r="J6045" s="3" t="s">
        <v>327</v>
      </c>
      <c r="K6045" s="9" t="s">
        <v>36</v>
      </c>
      <c r="L6045" s="6" t="s">
        <v>36</v>
      </c>
      <c r="M6045" s="3" t="s">
        <v>36</v>
      </c>
      <c r="N6045" s="3" t="s">
        <v>36</v>
      </c>
      <c r="O6045" s="8" t="s">
        <v>36</v>
      </c>
      <c r="P6045" s="3" t="s">
        <v>36</v>
      </c>
      <c r="Q6045" s="3" t="s">
        <v>36</v>
      </c>
      <c r="R6045" s="3" t="s">
        <v>36</v>
      </c>
      <c r="S6045" s="3" t="s">
        <v>36</v>
      </c>
      <c r="T6045" s="3" t="s">
        <v>13424</v>
      </c>
      <c r="U6045" s="3" t="s">
        <v>38</v>
      </c>
      <c r="V6045" s="3" t="s">
        <v>39</v>
      </c>
      <c r="W6045" s="3" t="s">
        <v>13425</v>
      </c>
      <c r="X6045" s="10" t="s">
        <v>27871</v>
      </c>
      <c r="Y6045" s="6" t="s">
        <v>42</v>
      </c>
      <c r="Z6045" s="4">
        <v>0.78</v>
      </c>
      <c r="AA6045" s="4">
        <v>3.26</v>
      </c>
      <c r="AB6045" s="3" t="s">
        <v>43</v>
      </c>
      <c r="AC6045" s="3" t="s">
        <v>13427</v>
      </c>
      <c r="AD6045" s="9">
        <v>42888</v>
      </c>
      <c r="AE6045" s="3" t="s">
        <v>110</v>
      </c>
      <c r="AF6045" s="3" t="s">
        <v>8063</v>
      </c>
      <c r="AG6045" s="3" t="s">
        <v>81</v>
      </c>
      <c r="AH6045" s="11">
        <f>HYPERLINK("https://my.pitchbook.com?c=90818-74T","View Company Online")</f>
      </c>
    </row>
    <row r="6046">
      <c r="A6046" s="12" t="s">
        <v>27872</v>
      </c>
      <c r="B6046" s="12" t="s">
        <v>22436</v>
      </c>
      <c r="C6046" s="19" t="s">
        <v>36</v>
      </c>
      <c r="D6046" s="19" t="s">
        <v>36</v>
      </c>
      <c r="E6046" s="19" t="s">
        <v>36</v>
      </c>
      <c r="F6046" s="19" t="s">
        <v>36</v>
      </c>
      <c r="G6046" s="15" t="s">
        <v>326</v>
      </c>
      <c r="H6046" s="14">
        <v>2958.44</v>
      </c>
      <c r="I6046" s="18">
        <v>23.38</v>
      </c>
      <c r="J6046" s="12" t="s">
        <v>521</v>
      </c>
      <c r="K6046" s="13" t="s">
        <v>36</v>
      </c>
      <c r="L6046" s="15" t="s">
        <v>36</v>
      </c>
      <c r="M6046" s="12" t="s">
        <v>36</v>
      </c>
      <c r="N6046" s="12" t="s">
        <v>36</v>
      </c>
      <c r="O6046" s="17" t="s">
        <v>36</v>
      </c>
      <c r="P6046" s="12" t="s">
        <v>36</v>
      </c>
      <c r="Q6046" s="12" t="s">
        <v>36</v>
      </c>
      <c r="R6046" s="12" t="s">
        <v>36</v>
      </c>
      <c r="S6046" s="12" t="s">
        <v>36</v>
      </c>
      <c r="T6046" s="12" t="s">
        <v>6557</v>
      </c>
      <c r="U6046" s="12" t="s">
        <v>648</v>
      </c>
      <c r="V6046" s="12" t="s">
        <v>64</v>
      </c>
      <c r="W6046" s="12" t="s">
        <v>22437</v>
      </c>
      <c r="X6046" s="16" t="s">
        <v>27873</v>
      </c>
      <c r="Y6046" s="15" t="s">
        <v>55</v>
      </c>
      <c r="Z6046" s="14">
        <v>1.28</v>
      </c>
      <c r="AA6046" s="14">
        <v>5.49</v>
      </c>
      <c r="AB6046" s="12" t="s">
        <v>43</v>
      </c>
      <c r="AC6046" s="12" t="s">
        <v>22438</v>
      </c>
      <c r="AD6046" s="13">
        <v>42887</v>
      </c>
      <c r="AE6046" s="12" t="s">
        <v>1897</v>
      </c>
      <c r="AF6046" s="12" t="s">
        <v>1115</v>
      </c>
      <c r="AG6046" s="12" t="s">
        <v>22439</v>
      </c>
      <c r="AH6046" s="1">
        <f>HYPERLINK("https://my.pitchbook.com?c=115960-87T","View Company Online")</f>
      </c>
    </row>
    <row r="6047">
      <c r="A6047" s="3" t="s">
        <v>27874</v>
      </c>
      <c r="B6047" s="3" t="s">
        <v>27875</v>
      </c>
      <c r="C6047" s="5" t="s">
        <v>36</v>
      </c>
      <c r="D6047" s="5" t="s">
        <v>36</v>
      </c>
      <c r="E6047" s="5" t="s">
        <v>36</v>
      </c>
      <c r="F6047" s="5" t="s">
        <v>36</v>
      </c>
      <c r="G6047" s="6" t="s">
        <v>36</v>
      </c>
      <c r="H6047" s="4" t="s">
        <v>36</v>
      </c>
      <c r="I6047" s="7" t="s">
        <v>36</v>
      </c>
      <c r="J6047" s="3" t="s">
        <v>36</v>
      </c>
      <c r="K6047" s="9" t="s">
        <v>36</v>
      </c>
      <c r="L6047" s="6" t="s">
        <v>36</v>
      </c>
      <c r="M6047" s="3" t="s">
        <v>36</v>
      </c>
      <c r="N6047" s="3" t="s">
        <v>36</v>
      </c>
      <c r="O6047" s="8" t="s">
        <v>36</v>
      </c>
      <c r="P6047" s="3" t="s">
        <v>36</v>
      </c>
      <c r="Q6047" s="3" t="s">
        <v>36</v>
      </c>
      <c r="R6047" s="3" t="s">
        <v>36</v>
      </c>
      <c r="S6047" s="3" t="s">
        <v>36</v>
      </c>
      <c r="T6047" s="3" t="s">
        <v>12057</v>
      </c>
      <c r="U6047" s="3" t="s">
        <v>233</v>
      </c>
      <c r="V6047" s="3" t="s">
        <v>39</v>
      </c>
      <c r="W6047" s="3" t="s">
        <v>27876</v>
      </c>
      <c r="X6047" s="10" t="s">
        <v>27877</v>
      </c>
      <c r="Y6047" s="6" t="s">
        <v>108</v>
      </c>
      <c r="Z6047" s="4">
        <v>2.21</v>
      </c>
      <c r="AA6047" s="4" t="s">
        <v>36</v>
      </c>
      <c r="AB6047" s="3" t="s">
        <v>43</v>
      </c>
      <c r="AC6047" s="3" t="s">
        <v>27878</v>
      </c>
      <c r="AD6047" s="9">
        <v>42887</v>
      </c>
      <c r="AE6047" s="3" t="s">
        <v>12061</v>
      </c>
      <c r="AF6047" s="3" t="s">
        <v>1636</v>
      </c>
      <c r="AG6047" s="3" t="s">
        <v>81</v>
      </c>
      <c r="AH6047" s="11">
        <f>HYPERLINK("https://my.pitchbook.com?c=95357-62T","View Company Online")</f>
      </c>
    </row>
    <row r="6048">
      <c r="A6048" s="12" t="s">
        <v>27879</v>
      </c>
      <c r="B6048" s="12" t="s">
        <v>27880</v>
      </c>
      <c r="C6048" s="19" t="s">
        <v>36</v>
      </c>
      <c r="D6048" s="19" t="s">
        <v>36</v>
      </c>
      <c r="E6048" s="19" t="s">
        <v>36</v>
      </c>
      <c r="F6048" s="19" t="s">
        <v>36</v>
      </c>
      <c r="G6048" s="15" t="s">
        <v>36</v>
      </c>
      <c r="H6048" s="14" t="s">
        <v>36</v>
      </c>
      <c r="I6048" s="18" t="s">
        <v>36</v>
      </c>
      <c r="J6048" s="12" t="s">
        <v>36</v>
      </c>
      <c r="K6048" s="13" t="s">
        <v>36</v>
      </c>
      <c r="L6048" s="15" t="s">
        <v>36</v>
      </c>
      <c r="M6048" s="12" t="s">
        <v>36</v>
      </c>
      <c r="N6048" s="12" t="s">
        <v>36</v>
      </c>
      <c r="O6048" s="17" t="s">
        <v>36</v>
      </c>
      <c r="P6048" s="12" t="s">
        <v>36</v>
      </c>
      <c r="Q6048" s="12" t="s">
        <v>36</v>
      </c>
      <c r="R6048" s="12" t="s">
        <v>36</v>
      </c>
      <c r="S6048" s="12" t="s">
        <v>36</v>
      </c>
      <c r="T6048" s="12" t="s">
        <v>27881</v>
      </c>
      <c r="U6048" s="12" t="s">
        <v>38</v>
      </c>
      <c r="V6048" s="12" t="s">
        <v>39</v>
      </c>
      <c r="W6048" s="12" t="s">
        <v>27882</v>
      </c>
      <c r="X6048" s="16" t="s">
        <v>221</v>
      </c>
      <c r="Y6048" s="15" t="s">
        <v>42</v>
      </c>
      <c r="Z6048" s="14">
        <v>0.55</v>
      </c>
      <c r="AA6048" s="14" t="s">
        <v>36</v>
      </c>
      <c r="AB6048" s="12" t="s">
        <v>43</v>
      </c>
      <c r="AC6048" s="12" t="s">
        <v>27883</v>
      </c>
      <c r="AD6048" s="13">
        <v>42887</v>
      </c>
      <c r="AE6048" s="12" t="s">
        <v>339</v>
      </c>
      <c r="AF6048" s="12" t="s">
        <v>1077</v>
      </c>
      <c r="AG6048" s="12" t="s">
        <v>81</v>
      </c>
      <c r="AH6048" s="1">
        <f>HYPERLINK("https://my.pitchbook.com?c=107508-52T","View Company Online")</f>
      </c>
    </row>
    <row r="6049">
      <c r="A6049" s="3" t="s">
        <v>27884</v>
      </c>
      <c r="B6049" s="3" t="s">
        <v>2284</v>
      </c>
      <c r="C6049" s="5" t="s">
        <v>36</v>
      </c>
      <c r="D6049" s="5" t="s">
        <v>36</v>
      </c>
      <c r="E6049" s="5" t="s">
        <v>36</v>
      </c>
      <c r="F6049" s="5" t="s">
        <v>36</v>
      </c>
      <c r="G6049" s="6" t="s">
        <v>326</v>
      </c>
      <c r="H6049" s="4">
        <v>16.98</v>
      </c>
      <c r="I6049" s="7">
        <v>30.17</v>
      </c>
      <c r="J6049" s="3" t="s">
        <v>521</v>
      </c>
      <c r="K6049" s="9" t="s">
        <v>36</v>
      </c>
      <c r="L6049" s="6" t="s">
        <v>36</v>
      </c>
      <c r="M6049" s="3" t="s">
        <v>36</v>
      </c>
      <c r="N6049" s="3" t="s">
        <v>36</v>
      </c>
      <c r="O6049" s="8" t="s">
        <v>36</v>
      </c>
      <c r="P6049" s="3" t="s">
        <v>36</v>
      </c>
      <c r="Q6049" s="3" t="s">
        <v>36</v>
      </c>
      <c r="R6049" s="3" t="s">
        <v>36</v>
      </c>
      <c r="S6049" s="3" t="s">
        <v>36</v>
      </c>
      <c r="T6049" s="3" t="s">
        <v>2285</v>
      </c>
      <c r="U6049" s="3" t="s">
        <v>38</v>
      </c>
      <c r="V6049" s="3" t="s">
        <v>39</v>
      </c>
      <c r="W6049" s="3" t="s">
        <v>2286</v>
      </c>
      <c r="X6049" s="10" t="s">
        <v>27885</v>
      </c>
      <c r="Y6049" s="6" t="s">
        <v>192</v>
      </c>
      <c r="Z6049" s="4">
        <v>2.45</v>
      </c>
      <c r="AA6049" s="4">
        <v>8.12</v>
      </c>
      <c r="AB6049" s="3" t="s">
        <v>43</v>
      </c>
      <c r="AC6049" s="3" t="s">
        <v>2288</v>
      </c>
      <c r="AD6049" s="9">
        <v>42887</v>
      </c>
      <c r="AE6049" s="3" t="s">
        <v>110</v>
      </c>
      <c r="AF6049" s="3" t="s">
        <v>815</v>
      </c>
      <c r="AG6049" s="3" t="s">
        <v>81</v>
      </c>
      <c r="AH6049" s="11">
        <f>HYPERLINK("https://my.pitchbook.com?c=130447-45T","View Company Online")</f>
      </c>
    </row>
    <row r="6050">
      <c r="A6050" s="12" t="s">
        <v>27886</v>
      </c>
      <c r="B6050" s="12" t="s">
        <v>22140</v>
      </c>
      <c r="C6050" s="19" t="s">
        <v>36</v>
      </c>
      <c r="D6050" s="19" t="s">
        <v>36</v>
      </c>
      <c r="E6050" s="19" t="s">
        <v>36</v>
      </c>
      <c r="F6050" s="19" t="s">
        <v>36</v>
      </c>
      <c r="G6050" s="15" t="s">
        <v>36</v>
      </c>
      <c r="H6050" s="14">
        <v>68.47</v>
      </c>
      <c r="I6050" s="18">
        <v>25.17</v>
      </c>
      <c r="J6050" s="12" t="s">
        <v>521</v>
      </c>
      <c r="K6050" s="13" t="s">
        <v>36</v>
      </c>
      <c r="L6050" s="15" t="s">
        <v>122</v>
      </c>
      <c r="M6050" s="12" t="s">
        <v>36</v>
      </c>
      <c r="N6050" s="12" t="s">
        <v>122</v>
      </c>
      <c r="O6050" s="17" t="s">
        <v>36</v>
      </c>
      <c r="P6050" s="12" t="s">
        <v>36</v>
      </c>
      <c r="Q6050" s="12" t="s">
        <v>36</v>
      </c>
      <c r="R6050" s="12" t="s">
        <v>36</v>
      </c>
      <c r="S6050" s="12" t="s">
        <v>36</v>
      </c>
      <c r="T6050" s="12" t="s">
        <v>22141</v>
      </c>
      <c r="U6050" s="12" t="s">
        <v>74</v>
      </c>
      <c r="V6050" s="12" t="s">
        <v>75</v>
      </c>
      <c r="W6050" s="12" t="s">
        <v>22142</v>
      </c>
      <c r="X6050" s="16" t="s">
        <v>27887</v>
      </c>
      <c r="Y6050" s="15" t="s">
        <v>42</v>
      </c>
      <c r="Z6050" s="14">
        <v>2.77</v>
      </c>
      <c r="AA6050" s="14">
        <v>6.6</v>
      </c>
      <c r="AB6050" s="12" t="s">
        <v>43</v>
      </c>
      <c r="AC6050" s="12" t="s">
        <v>22144</v>
      </c>
      <c r="AD6050" s="13">
        <v>42887</v>
      </c>
      <c r="AE6050" s="12" t="s">
        <v>79</v>
      </c>
      <c r="AF6050" s="12" t="s">
        <v>22145</v>
      </c>
      <c r="AG6050" s="12" t="s">
        <v>81</v>
      </c>
      <c r="AH6050" s="1">
        <f>HYPERLINK("https://my.pitchbook.com?c=91972-54T","View Company Online")</f>
      </c>
    </row>
    <row r="6051">
      <c r="A6051" s="3" t="s">
        <v>27888</v>
      </c>
      <c r="B6051" s="3" t="s">
        <v>11576</v>
      </c>
      <c r="C6051" s="5" t="s">
        <v>36</v>
      </c>
      <c r="D6051" s="5" t="s">
        <v>36</v>
      </c>
      <c r="E6051" s="5" t="s">
        <v>36</v>
      </c>
      <c r="F6051" s="5" t="s">
        <v>36</v>
      </c>
      <c r="G6051" s="6" t="s">
        <v>36</v>
      </c>
      <c r="H6051" s="4" t="s">
        <v>36</v>
      </c>
      <c r="I6051" s="7">
        <v>5</v>
      </c>
      <c r="J6051" s="3" t="s">
        <v>36</v>
      </c>
      <c r="K6051" s="9" t="s">
        <v>36</v>
      </c>
      <c r="L6051" s="6" t="s">
        <v>36</v>
      </c>
      <c r="M6051" s="3" t="s">
        <v>36</v>
      </c>
      <c r="N6051" s="3" t="s">
        <v>36</v>
      </c>
      <c r="O6051" s="8" t="s">
        <v>36</v>
      </c>
      <c r="P6051" s="3" t="s">
        <v>36</v>
      </c>
      <c r="Q6051" s="3" t="s">
        <v>36</v>
      </c>
      <c r="R6051" s="3" t="s">
        <v>36</v>
      </c>
      <c r="S6051" s="3" t="s">
        <v>36</v>
      </c>
      <c r="T6051" s="3" t="s">
        <v>11577</v>
      </c>
      <c r="U6051" s="3" t="s">
        <v>318</v>
      </c>
      <c r="V6051" s="3" t="s">
        <v>39</v>
      </c>
      <c r="W6051" s="3" t="s">
        <v>11578</v>
      </c>
      <c r="X6051" s="10" t="s">
        <v>27889</v>
      </c>
      <c r="Y6051" s="6" t="s">
        <v>42</v>
      </c>
      <c r="Z6051" s="4" t="s">
        <v>36</v>
      </c>
      <c r="AA6051" s="4" t="s">
        <v>36</v>
      </c>
      <c r="AB6051" s="3" t="s">
        <v>56</v>
      </c>
      <c r="AC6051" s="3" t="s">
        <v>11580</v>
      </c>
      <c r="AD6051" s="9">
        <v>42887</v>
      </c>
      <c r="AE6051" s="3" t="s">
        <v>763</v>
      </c>
      <c r="AF6051" s="3" t="s">
        <v>11581</v>
      </c>
      <c r="AG6051" s="3" t="s">
        <v>11582</v>
      </c>
      <c r="AH6051" s="11">
        <f>HYPERLINK("https://my.pitchbook.com?c=200627-47T","View Company Online")</f>
      </c>
    </row>
    <row r="6052">
      <c r="A6052" s="12" t="s">
        <v>27890</v>
      </c>
      <c r="B6052" s="12" t="s">
        <v>27891</v>
      </c>
      <c r="C6052" s="19" t="s">
        <v>36</v>
      </c>
      <c r="D6052" s="19" t="s">
        <v>36</v>
      </c>
      <c r="E6052" s="19" t="s">
        <v>36</v>
      </c>
      <c r="F6052" s="19" t="s">
        <v>36</v>
      </c>
      <c r="G6052" s="15" t="s">
        <v>36</v>
      </c>
      <c r="H6052" s="14" t="s">
        <v>36</v>
      </c>
      <c r="I6052" s="18" t="s">
        <v>36</v>
      </c>
      <c r="J6052" s="12" t="s">
        <v>36</v>
      </c>
      <c r="K6052" s="13" t="s">
        <v>36</v>
      </c>
      <c r="L6052" s="15" t="s">
        <v>36</v>
      </c>
      <c r="M6052" s="12" t="s">
        <v>36</v>
      </c>
      <c r="N6052" s="12" t="s">
        <v>36</v>
      </c>
      <c r="O6052" s="17" t="s">
        <v>36</v>
      </c>
      <c r="P6052" s="12" t="s">
        <v>36</v>
      </c>
      <c r="Q6052" s="12" t="s">
        <v>36</v>
      </c>
      <c r="R6052" s="12" t="s">
        <v>36</v>
      </c>
      <c r="S6052" s="12" t="s">
        <v>36</v>
      </c>
      <c r="T6052" s="12" t="s">
        <v>27892</v>
      </c>
      <c r="U6052" s="12" t="s">
        <v>38</v>
      </c>
      <c r="V6052" s="12" t="s">
        <v>39</v>
      </c>
      <c r="W6052" s="12" t="s">
        <v>27893</v>
      </c>
      <c r="X6052" s="16" t="s">
        <v>27894</v>
      </c>
      <c r="Y6052" s="15" t="s">
        <v>192</v>
      </c>
      <c r="Z6052" s="14">
        <v>2.77</v>
      </c>
      <c r="AA6052" s="14" t="s">
        <v>36</v>
      </c>
      <c r="AB6052" s="12" t="s">
        <v>56</v>
      </c>
      <c r="AC6052" s="12" t="s">
        <v>27895</v>
      </c>
      <c r="AD6052" s="13">
        <v>42887</v>
      </c>
      <c r="AE6052" s="12" t="s">
        <v>339</v>
      </c>
      <c r="AF6052" s="12" t="s">
        <v>16414</v>
      </c>
      <c r="AG6052" s="12" t="s">
        <v>434</v>
      </c>
      <c r="AH6052" s="1">
        <f>HYPERLINK("https://my.pitchbook.com?c=88573-96T","View Company Online")</f>
      </c>
    </row>
    <row r="6053">
      <c r="A6053" s="3" t="s">
        <v>27896</v>
      </c>
      <c r="B6053" s="3" t="s">
        <v>27897</v>
      </c>
      <c r="C6053" s="5" t="s">
        <v>36</v>
      </c>
      <c r="D6053" s="5" t="s">
        <v>36</v>
      </c>
      <c r="E6053" s="5" t="s">
        <v>36</v>
      </c>
      <c r="F6053" s="5" t="s">
        <v>36</v>
      </c>
      <c r="G6053" s="6" t="s">
        <v>326</v>
      </c>
      <c r="H6053" s="4">
        <v>22.82</v>
      </c>
      <c r="I6053" s="7">
        <v>24.33</v>
      </c>
      <c r="J6053" s="3" t="s">
        <v>521</v>
      </c>
      <c r="K6053" s="9" t="s">
        <v>36</v>
      </c>
      <c r="L6053" s="6" t="s">
        <v>36</v>
      </c>
      <c r="M6053" s="3" t="s">
        <v>36</v>
      </c>
      <c r="N6053" s="3" t="s">
        <v>36</v>
      </c>
      <c r="O6053" s="8" t="s">
        <v>36</v>
      </c>
      <c r="P6053" s="3" t="s">
        <v>36</v>
      </c>
      <c r="Q6053" s="3" t="s">
        <v>36</v>
      </c>
      <c r="R6053" s="3" t="s">
        <v>36</v>
      </c>
      <c r="S6053" s="3" t="s">
        <v>36</v>
      </c>
      <c r="T6053" s="3" t="s">
        <v>7701</v>
      </c>
      <c r="U6053" s="3" t="s">
        <v>833</v>
      </c>
      <c r="V6053" s="3" t="s">
        <v>64</v>
      </c>
      <c r="W6053" s="3" t="s">
        <v>27898</v>
      </c>
      <c r="X6053" s="10" t="s">
        <v>27899</v>
      </c>
      <c r="Y6053" s="6" t="s">
        <v>192</v>
      </c>
      <c r="Z6053" s="4">
        <v>5.76</v>
      </c>
      <c r="AA6053" s="4">
        <v>12.25</v>
      </c>
      <c r="AB6053" s="3" t="s">
        <v>43</v>
      </c>
      <c r="AC6053" s="3" t="s">
        <v>27900</v>
      </c>
      <c r="AD6053" s="9">
        <v>42887</v>
      </c>
      <c r="AE6053" s="3" t="s">
        <v>1069</v>
      </c>
      <c r="AF6053" s="3" t="s">
        <v>27901</v>
      </c>
      <c r="AG6053" s="3" t="s">
        <v>81</v>
      </c>
      <c r="AH6053" s="11">
        <f>HYPERLINK("https://my.pitchbook.com?c=109461-97T","View Company Online")</f>
      </c>
    </row>
    <row r="6054">
      <c r="A6054" s="12" t="s">
        <v>27902</v>
      </c>
      <c r="B6054" s="12" t="s">
        <v>27903</v>
      </c>
      <c r="C6054" s="19" t="s">
        <v>36</v>
      </c>
      <c r="D6054" s="19" t="s">
        <v>36</v>
      </c>
      <c r="E6054" s="19" t="s">
        <v>36</v>
      </c>
      <c r="F6054" s="19" t="s">
        <v>36</v>
      </c>
      <c r="G6054" s="15" t="s">
        <v>36</v>
      </c>
      <c r="H6054" s="14">
        <v>31.16</v>
      </c>
      <c r="I6054" s="18">
        <v>20</v>
      </c>
      <c r="J6054" s="12" t="s">
        <v>521</v>
      </c>
      <c r="K6054" s="13" t="s">
        <v>36</v>
      </c>
      <c r="L6054" s="15" t="s">
        <v>36</v>
      </c>
      <c r="M6054" s="12" t="s">
        <v>36</v>
      </c>
      <c r="N6054" s="12" t="s">
        <v>36</v>
      </c>
      <c r="O6054" s="17" t="s">
        <v>36</v>
      </c>
      <c r="P6054" s="12" t="s">
        <v>36</v>
      </c>
      <c r="Q6054" s="12" t="s">
        <v>36</v>
      </c>
      <c r="R6054" s="12" t="s">
        <v>36</v>
      </c>
      <c r="S6054" s="12" t="s">
        <v>36</v>
      </c>
      <c r="T6054" s="12" t="s">
        <v>27904</v>
      </c>
      <c r="U6054" s="12" t="s">
        <v>63</v>
      </c>
      <c r="V6054" s="12" t="s">
        <v>64</v>
      </c>
      <c r="W6054" s="12" t="s">
        <v>27905</v>
      </c>
      <c r="X6054" s="16" t="s">
        <v>27906</v>
      </c>
      <c r="Y6054" s="15" t="s">
        <v>42</v>
      </c>
      <c r="Z6054" s="14">
        <v>0.17</v>
      </c>
      <c r="AA6054" s="14">
        <v>0.83</v>
      </c>
      <c r="AB6054" s="12" t="s">
        <v>43</v>
      </c>
      <c r="AC6054" s="12" t="s">
        <v>27907</v>
      </c>
      <c r="AD6054" s="13">
        <v>42887</v>
      </c>
      <c r="AE6054" s="12" t="s">
        <v>4310</v>
      </c>
      <c r="AF6054" s="12" t="s">
        <v>90</v>
      </c>
      <c r="AG6054" s="12" t="s">
        <v>27908</v>
      </c>
      <c r="AH6054" s="1">
        <f>HYPERLINK("https://my.pitchbook.com?c=128719-18T","View Company Online")</f>
      </c>
    </row>
    <row r="6055">
      <c r="A6055" s="3" t="s">
        <v>27909</v>
      </c>
      <c r="B6055" s="3" t="s">
        <v>18214</v>
      </c>
      <c r="C6055" s="5" t="s">
        <v>36</v>
      </c>
      <c r="D6055" s="5" t="s">
        <v>36</v>
      </c>
      <c r="E6055" s="5" t="s">
        <v>36</v>
      </c>
      <c r="F6055" s="5" t="s">
        <v>36</v>
      </c>
      <c r="G6055" s="6" t="s">
        <v>36</v>
      </c>
      <c r="H6055" s="4">
        <v>207.71</v>
      </c>
      <c r="I6055" s="7">
        <v>20</v>
      </c>
      <c r="J6055" s="3" t="s">
        <v>521</v>
      </c>
      <c r="K6055" s="9" t="s">
        <v>36</v>
      </c>
      <c r="L6055" s="6" t="s">
        <v>36</v>
      </c>
      <c r="M6055" s="3" t="s">
        <v>36</v>
      </c>
      <c r="N6055" s="3" t="s">
        <v>36</v>
      </c>
      <c r="O6055" s="8" t="s">
        <v>36</v>
      </c>
      <c r="P6055" s="3" t="s">
        <v>36</v>
      </c>
      <c r="Q6055" s="3" t="s">
        <v>36</v>
      </c>
      <c r="R6055" s="3" t="s">
        <v>36</v>
      </c>
      <c r="S6055" s="3" t="s">
        <v>14408</v>
      </c>
      <c r="T6055" s="3" t="s">
        <v>335</v>
      </c>
      <c r="U6055" s="3" t="s">
        <v>38</v>
      </c>
      <c r="V6055" s="3" t="s">
        <v>39</v>
      </c>
      <c r="W6055" s="3" t="s">
        <v>18215</v>
      </c>
      <c r="X6055" s="10" t="s">
        <v>27910</v>
      </c>
      <c r="Y6055" s="6" t="s">
        <v>42</v>
      </c>
      <c r="Z6055" s="4">
        <v>0.55</v>
      </c>
      <c r="AA6055" s="4">
        <v>2.77</v>
      </c>
      <c r="AB6055" s="3" t="s">
        <v>43</v>
      </c>
      <c r="AC6055" s="3" t="s">
        <v>18217</v>
      </c>
      <c r="AD6055" s="9">
        <v>42887</v>
      </c>
      <c r="AE6055" s="3" t="s">
        <v>339</v>
      </c>
      <c r="AF6055" s="3" t="s">
        <v>176</v>
      </c>
      <c r="AG6055" s="3" t="s">
        <v>81</v>
      </c>
      <c r="AH6055" s="11">
        <f>HYPERLINK("https://my.pitchbook.com?c=107526-88T","View Company Online")</f>
      </c>
    </row>
    <row r="6056">
      <c r="A6056" s="12" t="s">
        <v>27911</v>
      </c>
      <c r="B6056" s="12" t="s">
        <v>27912</v>
      </c>
      <c r="C6056" s="19" t="s">
        <v>36</v>
      </c>
      <c r="D6056" s="19" t="s">
        <v>36</v>
      </c>
      <c r="E6056" s="19" t="s">
        <v>36</v>
      </c>
      <c r="F6056" s="19" t="s">
        <v>36</v>
      </c>
      <c r="G6056" s="15" t="s">
        <v>36</v>
      </c>
      <c r="H6056" s="14">
        <v>1.04</v>
      </c>
      <c r="I6056" s="18">
        <v>49.69</v>
      </c>
      <c r="J6056" s="12" t="s">
        <v>521</v>
      </c>
      <c r="K6056" s="13" t="s">
        <v>36</v>
      </c>
      <c r="L6056" s="15" t="s">
        <v>36</v>
      </c>
      <c r="M6056" s="12" t="s">
        <v>36</v>
      </c>
      <c r="N6056" s="12" t="s">
        <v>36</v>
      </c>
      <c r="O6056" s="17" t="s">
        <v>36</v>
      </c>
      <c r="P6056" s="12" t="s">
        <v>36</v>
      </c>
      <c r="Q6056" s="12" t="s">
        <v>36</v>
      </c>
      <c r="R6056" s="12" t="s">
        <v>36</v>
      </c>
      <c r="S6056" s="12" t="s">
        <v>36</v>
      </c>
      <c r="T6056" s="12" t="s">
        <v>935</v>
      </c>
      <c r="U6056" s="12" t="s">
        <v>63</v>
      </c>
      <c r="V6056" s="12" t="s">
        <v>64</v>
      </c>
      <c r="W6056" s="12" t="s">
        <v>27913</v>
      </c>
      <c r="X6056" s="16" t="s">
        <v>27914</v>
      </c>
      <c r="Y6056" s="15" t="s">
        <v>42</v>
      </c>
      <c r="Z6056" s="14">
        <v>3.85</v>
      </c>
      <c r="AA6056" s="14">
        <v>7.75</v>
      </c>
      <c r="AB6056" s="12" t="s">
        <v>56</v>
      </c>
      <c r="AC6056" s="12" t="s">
        <v>27915</v>
      </c>
      <c r="AD6056" s="13">
        <v>42887</v>
      </c>
      <c r="AE6056" s="12" t="s">
        <v>399</v>
      </c>
      <c r="AF6056" s="12" t="s">
        <v>36</v>
      </c>
      <c r="AG6056" s="12" t="s">
        <v>12125</v>
      </c>
      <c r="AH6056" s="1">
        <f>HYPERLINK("https://my.pitchbook.com?c=106144-12T","View Company Online")</f>
      </c>
    </row>
    <row r="6057">
      <c r="A6057" s="3" t="s">
        <v>27916</v>
      </c>
      <c r="B6057" s="3" t="s">
        <v>27917</v>
      </c>
      <c r="C6057" s="5" t="s">
        <v>36</v>
      </c>
      <c r="D6057" s="5" t="s">
        <v>36</v>
      </c>
      <c r="E6057" s="5" t="s">
        <v>36</v>
      </c>
      <c r="F6057" s="5" t="s">
        <v>36</v>
      </c>
      <c r="G6057" s="6" t="s">
        <v>36</v>
      </c>
      <c r="H6057" s="4" t="s">
        <v>36</v>
      </c>
      <c r="I6057" s="7" t="s">
        <v>36</v>
      </c>
      <c r="J6057" s="3" t="s">
        <v>36</v>
      </c>
      <c r="K6057" s="9" t="s">
        <v>36</v>
      </c>
      <c r="L6057" s="6" t="s">
        <v>36</v>
      </c>
      <c r="M6057" s="3" t="s">
        <v>36</v>
      </c>
      <c r="N6057" s="3" t="s">
        <v>36</v>
      </c>
      <c r="O6057" s="8" t="s">
        <v>36</v>
      </c>
      <c r="P6057" s="3" t="s">
        <v>36</v>
      </c>
      <c r="Q6057" s="3" t="s">
        <v>36</v>
      </c>
      <c r="R6057" s="3" t="s">
        <v>36</v>
      </c>
      <c r="S6057" s="3" t="s">
        <v>36</v>
      </c>
      <c r="T6057" s="3" t="s">
        <v>4911</v>
      </c>
      <c r="U6057" s="3" t="s">
        <v>63</v>
      </c>
      <c r="V6057" s="3" t="s">
        <v>64</v>
      </c>
      <c r="W6057" s="3" t="s">
        <v>27918</v>
      </c>
      <c r="X6057" s="10" t="s">
        <v>27919</v>
      </c>
      <c r="Y6057" s="6" t="s">
        <v>42</v>
      </c>
      <c r="Z6057" s="4" t="s">
        <v>36</v>
      </c>
      <c r="AA6057" s="4" t="s">
        <v>36</v>
      </c>
      <c r="AB6057" s="3" t="s">
        <v>56</v>
      </c>
      <c r="AC6057" s="3" t="s">
        <v>27920</v>
      </c>
      <c r="AD6057" s="9">
        <v>42887</v>
      </c>
      <c r="AE6057" s="3" t="s">
        <v>399</v>
      </c>
      <c r="AF6057" s="3" t="s">
        <v>6536</v>
      </c>
      <c r="AG6057" s="3" t="s">
        <v>81</v>
      </c>
      <c r="AH6057" s="11">
        <f>HYPERLINK("https://my.pitchbook.com?c=50555-35T","View Company Online")</f>
      </c>
    </row>
    <row r="6058">
      <c r="A6058" s="12" t="s">
        <v>27921</v>
      </c>
      <c r="B6058" s="12" t="s">
        <v>25091</v>
      </c>
      <c r="C6058" s="19" t="s">
        <v>36</v>
      </c>
      <c r="D6058" s="19" t="s">
        <v>36</v>
      </c>
      <c r="E6058" s="19" t="s">
        <v>36</v>
      </c>
      <c r="F6058" s="19" t="s">
        <v>36</v>
      </c>
      <c r="G6058" s="15" t="s">
        <v>36</v>
      </c>
      <c r="H6058" s="14" t="s">
        <v>36</v>
      </c>
      <c r="I6058" s="18" t="s">
        <v>36</v>
      </c>
      <c r="J6058" s="12" t="s">
        <v>36</v>
      </c>
      <c r="K6058" s="13" t="s">
        <v>36</v>
      </c>
      <c r="L6058" s="15" t="s">
        <v>122</v>
      </c>
      <c r="M6058" s="12" t="s">
        <v>36</v>
      </c>
      <c r="N6058" s="12" t="s">
        <v>122</v>
      </c>
      <c r="O6058" s="17" t="s">
        <v>36</v>
      </c>
      <c r="P6058" s="12" t="s">
        <v>36</v>
      </c>
      <c r="Q6058" s="12" t="s">
        <v>36</v>
      </c>
      <c r="R6058" s="12" t="s">
        <v>36</v>
      </c>
      <c r="S6058" s="12" t="s">
        <v>6677</v>
      </c>
      <c r="T6058" s="12" t="s">
        <v>6288</v>
      </c>
      <c r="U6058" s="12" t="s">
        <v>85</v>
      </c>
      <c r="V6058" s="12" t="s">
        <v>64</v>
      </c>
      <c r="W6058" s="12" t="s">
        <v>25092</v>
      </c>
      <c r="X6058" s="16" t="s">
        <v>27922</v>
      </c>
      <c r="Y6058" s="15" t="s">
        <v>108</v>
      </c>
      <c r="Z6058" s="14">
        <v>1.49</v>
      </c>
      <c r="AA6058" s="14" t="s">
        <v>36</v>
      </c>
      <c r="AB6058" s="12" t="s">
        <v>43</v>
      </c>
      <c r="AC6058" s="12" t="s">
        <v>25094</v>
      </c>
      <c r="AD6058" s="13">
        <v>42887</v>
      </c>
      <c r="AE6058" s="12" t="s">
        <v>89</v>
      </c>
      <c r="AF6058" s="12" t="s">
        <v>12984</v>
      </c>
      <c r="AG6058" s="12" t="s">
        <v>899</v>
      </c>
      <c r="AH6058" s="1">
        <f>HYPERLINK("https://my.pitchbook.com?c=223160-77T","View Company Online")</f>
      </c>
    </row>
    <row r="6059">
      <c r="A6059" s="3" t="s">
        <v>27923</v>
      </c>
      <c r="B6059" s="3" t="s">
        <v>27924</v>
      </c>
      <c r="C6059" s="5" t="s">
        <v>36</v>
      </c>
      <c r="D6059" s="5">
        <v>2</v>
      </c>
      <c r="E6059" s="5">
        <v>2</v>
      </c>
      <c r="F6059" s="5">
        <v>7</v>
      </c>
      <c r="G6059" s="6" t="s">
        <v>326</v>
      </c>
      <c r="H6059" s="4">
        <v>745.14</v>
      </c>
      <c r="I6059" s="7">
        <v>15.52</v>
      </c>
      <c r="J6059" s="3" t="s">
        <v>521</v>
      </c>
      <c r="K6059" s="9" t="s">
        <v>36</v>
      </c>
      <c r="L6059" s="6" t="s">
        <v>36</v>
      </c>
      <c r="M6059" s="3" t="s">
        <v>36</v>
      </c>
      <c r="N6059" s="3" t="s">
        <v>36</v>
      </c>
      <c r="O6059" s="8" t="s">
        <v>36</v>
      </c>
      <c r="P6059" s="3" t="s">
        <v>36</v>
      </c>
      <c r="Q6059" s="3" t="s">
        <v>36</v>
      </c>
      <c r="R6059" s="3" t="s">
        <v>36</v>
      </c>
      <c r="S6059" s="3" t="s">
        <v>36</v>
      </c>
      <c r="T6059" s="3" t="s">
        <v>27925</v>
      </c>
      <c r="U6059" s="3" t="s">
        <v>51</v>
      </c>
      <c r="V6059" s="3" t="s">
        <v>52</v>
      </c>
      <c r="W6059" s="3" t="s">
        <v>27926</v>
      </c>
      <c r="X6059" s="10" t="s">
        <v>7962</v>
      </c>
      <c r="Y6059" s="6" t="s">
        <v>42</v>
      </c>
      <c r="Z6059" s="4">
        <v>0.5</v>
      </c>
      <c r="AA6059" s="4">
        <v>3.22</v>
      </c>
      <c r="AB6059" s="3" t="s">
        <v>56</v>
      </c>
      <c r="AC6059" s="3" t="s">
        <v>27927</v>
      </c>
      <c r="AD6059" s="9">
        <v>42886</v>
      </c>
      <c r="AE6059" s="3" t="s">
        <v>158</v>
      </c>
      <c r="AF6059" s="3" t="s">
        <v>665</v>
      </c>
      <c r="AG6059" s="3" t="s">
        <v>899</v>
      </c>
      <c r="AH6059" s="11">
        <f>HYPERLINK("https://my.pitchbook.com?c=191285-20T","View Company Online")</f>
      </c>
    </row>
    <row r="6060">
      <c r="A6060" s="12" t="s">
        <v>27928</v>
      </c>
      <c r="B6060" s="12" t="s">
        <v>8693</v>
      </c>
      <c r="C6060" s="19" t="s">
        <v>36</v>
      </c>
      <c r="D6060" s="19" t="s">
        <v>36</v>
      </c>
      <c r="E6060" s="19" t="s">
        <v>36</v>
      </c>
      <c r="F6060" s="19" t="s">
        <v>36</v>
      </c>
      <c r="G6060" s="15" t="s">
        <v>36</v>
      </c>
      <c r="H6060" s="14">
        <v>21.81</v>
      </c>
      <c r="I6060" s="18">
        <v>5.98</v>
      </c>
      <c r="J6060" s="12" t="s">
        <v>521</v>
      </c>
      <c r="K6060" s="13" t="s">
        <v>36</v>
      </c>
      <c r="L6060" s="15" t="s">
        <v>36</v>
      </c>
      <c r="M6060" s="12" t="s">
        <v>36</v>
      </c>
      <c r="N6060" s="12" t="s">
        <v>36</v>
      </c>
      <c r="O6060" s="17" t="s">
        <v>36</v>
      </c>
      <c r="P6060" s="12" t="s">
        <v>36</v>
      </c>
      <c r="Q6060" s="12" t="s">
        <v>36</v>
      </c>
      <c r="R6060" s="12" t="s">
        <v>36</v>
      </c>
      <c r="S6060" s="12" t="s">
        <v>36</v>
      </c>
      <c r="T6060" s="12" t="s">
        <v>8694</v>
      </c>
      <c r="U6060" s="12" t="s">
        <v>279</v>
      </c>
      <c r="V6060" s="12" t="s">
        <v>64</v>
      </c>
      <c r="W6060" s="12" t="s">
        <v>8695</v>
      </c>
      <c r="X6060" s="16" t="s">
        <v>27929</v>
      </c>
      <c r="Y6060" s="15" t="s">
        <v>108</v>
      </c>
      <c r="Z6060" s="14">
        <v>1.33</v>
      </c>
      <c r="AA6060" s="14">
        <v>22.23</v>
      </c>
      <c r="AB6060" s="12" t="s">
        <v>56</v>
      </c>
      <c r="AC6060" s="12" t="s">
        <v>8697</v>
      </c>
      <c r="AD6060" s="13">
        <v>42886</v>
      </c>
      <c r="AE6060" s="12" t="s">
        <v>283</v>
      </c>
      <c r="AF6060" s="12" t="s">
        <v>90</v>
      </c>
      <c r="AG6060" s="12" t="s">
        <v>102</v>
      </c>
      <c r="AH6060" s="1">
        <f>HYPERLINK("https://my.pitchbook.com?c=135780-40T","View Company Online")</f>
      </c>
    </row>
    <row r="6061">
      <c r="A6061" s="3" t="s">
        <v>27930</v>
      </c>
      <c r="B6061" s="3" t="s">
        <v>23844</v>
      </c>
      <c r="C6061" s="5">
        <v>25</v>
      </c>
      <c r="D6061" s="5">
        <v>42</v>
      </c>
      <c r="E6061" s="5">
        <v>27</v>
      </c>
      <c r="F6061" s="5">
        <v>71</v>
      </c>
      <c r="G6061" s="6" t="s">
        <v>326</v>
      </c>
      <c r="H6061" s="4">
        <v>10.63</v>
      </c>
      <c r="I6061" s="7">
        <v>47.27</v>
      </c>
      <c r="J6061" s="3" t="s">
        <v>521</v>
      </c>
      <c r="K6061" s="9" t="s">
        <v>36</v>
      </c>
      <c r="L6061" s="6" t="s">
        <v>94</v>
      </c>
      <c r="M6061" s="3" t="s">
        <v>36</v>
      </c>
      <c r="N6061" s="3" t="s">
        <v>94</v>
      </c>
      <c r="O6061" s="8" t="s">
        <v>36</v>
      </c>
      <c r="P6061" s="3" t="s">
        <v>36</v>
      </c>
      <c r="Q6061" s="3" t="s">
        <v>36</v>
      </c>
      <c r="R6061" s="3" t="s">
        <v>36</v>
      </c>
      <c r="S6061" s="3" t="s">
        <v>36</v>
      </c>
      <c r="T6061" s="3" t="s">
        <v>1535</v>
      </c>
      <c r="U6061" s="3" t="s">
        <v>96</v>
      </c>
      <c r="V6061" s="3" t="s">
        <v>52</v>
      </c>
      <c r="W6061" s="3" t="s">
        <v>23845</v>
      </c>
      <c r="X6061" s="10" t="s">
        <v>27931</v>
      </c>
      <c r="Y6061" s="6" t="s">
        <v>55</v>
      </c>
      <c r="Z6061" s="4">
        <v>3.76</v>
      </c>
      <c r="AA6061" s="4">
        <v>7.95</v>
      </c>
      <c r="AB6061" s="3" t="s">
        <v>56</v>
      </c>
      <c r="AC6061" s="3" t="s">
        <v>23847</v>
      </c>
      <c r="AD6061" s="9">
        <v>42886</v>
      </c>
      <c r="AE6061" s="3" t="s">
        <v>1414</v>
      </c>
      <c r="AF6061" s="3" t="s">
        <v>23848</v>
      </c>
      <c r="AG6061" s="3" t="s">
        <v>765</v>
      </c>
      <c r="AH6061" s="11">
        <f>HYPERLINK("https://my.pitchbook.com?c=107542-72T","View Company Online")</f>
      </c>
    </row>
    <row r="6062">
      <c r="A6062" s="12" t="s">
        <v>27932</v>
      </c>
      <c r="B6062" s="12" t="s">
        <v>27933</v>
      </c>
      <c r="C6062" s="19" t="s">
        <v>36</v>
      </c>
      <c r="D6062" s="19" t="s">
        <v>36</v>
      </c>
      <c r="E6062" s="19" t="s">
        <v>36</v>
      </c>
      <c r="F6062" s="19" t="s">
        <v>36</v>
      </c>
      <c r="G6062" s="15" t="s">
        <v>2497</v>
      </c>
      <c r="H6062" s="14">
        <v>35.31</v>
      </c>
      <c r="I6062" s="18">
        <v>15.95</v>
      </c>
      <c r="J6062" s="12" t="s">
        <v>521</v>
      </c>
      <c r="K6062" s="13" t="s">
        <v>36</v>
      </c>
      <c r="L6062" s="15" t="s">
        <v>36</v>
      </c>
      <c r="M6062" s="12" t="s">
        <v>36</v>
      </c>
      <c r="N6062" s="12" t="s">
        <v>36</v>
      </c>
      <c r="O6062" s="17" t="s">
        <v>36</v>
      </c>
      <c r="P6062" s="12" t="s">
        <v>36</v>
      </c>
      <c r="Q6062" s="12" t="s">
        <v>36</v>
      </c>
      <c r="R6062" s="12" t="s">
        <v>36</v>
      </c>
      <c r="S6062" s="12" t="s">
        <v>36</v>
      </c>
      <c r="T6062" s="12" t="s">
        <v>27934</v>
      </c>
      <c r="U6062" s="12" t="s">
        <v>423</v>
      </c>
      <c r="V6062" s="12" t="s">
        <v>64</v>
      </c>
      <c r="W6062" s="12" t="s">
        <v>27935</v>
      </c>
      <c r="X6062" s="16" t="s">
        <v>27936</v>
      </c>
      <c r="Y6062" s="15" t="s">
        <v>108</v>
      </c>
      <c r="Z6062" s="14">
        <v>0.43</v>
      </c>
      <c r="AA6062" s="14">
        <v>2.71</v>
      </c>
      <c r="AB6062" s="12" t="s">
        <v>56</v>
      </c>
      <c r="AC6062" s="12" t="s">
        <v>27937</v>
      </c>
      <c r="AD6062" s="13">
        <v>42886</v>
      </c>
      <c r="AE6062" s="12" t="s">
        <v>1051</v>
      </c>
      <c r="AF6062" s="12" t="s">
        <v>4397</v>
      </c>
      <c r="AG6062" s="12" t="s">
        <v>81</v>
      </c>
      <c r="AH6062" s="1">
        <f>HYPERLINK("https://my.pitchbook.com?c=119412-19T","View Company Online")</f>
      </c>
    </row>
    <row r="6063">
      <c r="A6063" s="3" t="s">
        <v>27938</v>
      </c>
      <c r="B6063" s="3" t="s">
        <v>27939</v>
      </c>
      <c r="C6063" s="5" t="s">
        <v>36</v>
      </c>
      <c r="D6063" s="5" t="s">
        <v>36</v>
      </c>
      <c r="E6063" s="5" t="s">
        <v>36</v>
      </c>
      <c r="F6063" s="5" t="s">
        <v>36</v>
      </c>
      <c r="G6063" s="6" t="s">
        <v>36</v>
      </c>
      <c r="H6063" s="4">
        <v>93.47</v>
      </c>
      <c r="I6063" s="7">
        <v>28.02</v>
      </c>
      <c r="J6063" s="3" t="s">
        <v>521</v>
      </c>
      <c r="K6063" s="9" t="s">
        <v>36</v>
      </c>
      <c r="L6063" s="6" t="s">
        <v>36</v>
      </c>
      <c r="M6063" s="3" t="s">
        <v>36</v>
      </c>
      <c r="N6063" s="3" t="s">
        <v>36</v>
      </c>
      <c r="O6063" s="8" t="s">
        <v>36</v>
      </c>
      <c r="P6063" s="3" t="s">
        <v>36</v>
      </c>
      <c r="Q6063" s="3" t="s">
        <v>36</v>
      </c>
      <c r="R6063" s="3" t="s">
        <v>36</v>
      </c>
      <c r="S6063" s="3" t="s">
        <v>36</v>
      </c>
      <c r="T6063" s="3" t="s">
        <v>27940</v>
      </c>
      <c r="U6063" s="3" t="s">
        <v>96</v>
      </c>
      <c r="V6063" s="3" t="s">
        <v>52</v>
      </c>
      <c r="W6063" s="3" t="s">
        <v>27941</v>
      </c>
      <c r="X6063" s="10" t="s">
        <v>27942</v>
      </c>
      <c r="Y6063" s="6" t="s">
        <v>55</v>
      </c>
      <c r="Z6063" s="4">
        <v>0.55</v>
      </c>
      <c r="AA6063" s="4">
        <v>1.98</v>
      </c>
      <c r="AB6063" s="3" t="s">
        <v>56</v>
      </c>
      <c r="AC6063" s="3" t="s">
        <v>27943</v>
      </c>
      <c r="AD6063" s="9">
        <v>42885</v>
      </c>
      <c r="AE6063" s="3" t="s">
        <v>12392</v>
      </c>
      <c r="AF6063" s="3" t="s">
        <v>17897</v>
      </c>
      <c r="AG6063" s="3" t="s">
        <v>27944</v>
      </c>
      <c r="AH6063" s="11">
        <f>HYPERLINK("https://my.pitchbook.com?c=138833-74T","View Company Online")</f>
      </c>
    </row>
    <row r="6064">
      <c r="A6064" s="12" t="s">
        <v>27945</v>
      </c>
      <c r="B6064" s="12" t="s">
        <v>27946</v>
      </c>
      <c r="C6064" s="19" t="s">
        <v>36</v>
      </c>
      <c r="D6064" s="19" t="s">
        <v>36</v>
      </c>
      <c r="E6064" s="19" t="s">
        <v>36</v>
      </c>
      <c r="F6064" s="19" t="s">
        <v>36</v>
      </c>
      <c r="G6064" s="15" t="s">
        <v>326</v>
      </c>
      <c r="H6064" s="14">
        <v>72.66</v>
      </c>
      <c r="I6064" s="18">
        <v>26.97</v>
      </c>
      <c r="J6064" s="12" t="s">
        <v>521</v>
      </c>
      <c r="K6064" s="13" t="s">
        <v>36</v>
      </c>
      <c r="L6064" s="15" t="s">
        <v>36</v>
      </c>
      <c r="M6064" s="12" t="s">
        <v>36</v>
      </c>
      <c r="N6064" s="12" t="s">
        <v>36</v>
      </c>
      <c r="O6064" s="17" t="s">
        <v>36</v>
      </c>
      <c r="P6064" s="12" t="s">
        <v>36</v>
      </c>
      <c r="Q6064" s="12" t="s">
        <v>36</v>
      </c>
      <c r="R6064" s="12" t="s">
        <v>36</v>
      </c>
      <c r="S6064" s="12" t="s">
        <v>36</v>
      </c>
      <c r="T6064" s="12" t="s">
        <v>811</v>
      </c>
      <c r="U6064" s="12" t="s">
        <v>38</v>
      </c>
      <c r="V6064" s="12" t="s">
        <v>39</v>
      </c>
      <c r="W6064" s="12" t="s">
        <v>27947</v>
      </c>
      <c r="X6064" s="16" t="s">
        <v>27948</v>
      </c>
      <c r="Y6064" s="15" t="s">
        <v>42</v>
      </c>
      <c r="Z6064" s="14">
        <v>0.54</v>
      </c>
      <c r="AA6064" s="14">
        <v>2</v>
      </c>
      <c r="AB6064" s="12" t="s">
        <v>43</v>
      </c>
      <c r="AC6064" s="12" t="s">
        <v>27949</v>
      </c>
      <c r="AD6064" s="13">
        <v>42885</v>
      </c>
      <c r="AE6064" s="12" t="s">
        <v>339</v>
      </c>
      <c r="AF6064" s="12" t="s">
        <v>6214</v>
      </c>
      <c r="AG6064" s="12" t="s">
        <v>4249</v>
      </c>
      <c r="AH6064" s="1">
        <f>HYPERLINK("https://my.pitchbook.com?c=114298-21T","View Company Online")</f>
      </c>
    </row>
    <row r="6065">
      <c r="A6065" s="3" t="s">
        <v>27950</v>
      </c>
      <c r="B6065" s="3" t="s">
        <v>9944</v>
      </c>
      <c r="C6065" s="5" t="s">
        <v>36</v>
      </c>
      <c r="D6065" s="5" t="s">
        <v>36</v>
      </c>
      <c r="E6065" s="5" t="s">
        <v>36</v>
      </c>
      <c r="F6065" s="5" t="s">
        <v>36</v>
      </c>
      <c r="G6065" s="6" t="s">
        <v>326</v>
      </c>
      <c r="H6065" s="4">
        <v>3.47</v>
      </c>
      <c r="I6065" s="7">
        <v>27.8</v>
      </c>
      <c r="J6065" s="3" t="s">
        <v>327</v>
      </c>
      <c r="K6065" s="9">
        <v>42413</v>
      </c>
      <c r="L6065" s="6" t="s">
        <v>122</v>
      </c>
      <c r="M6065" s="3" t="s">
        <v>36</v>
      </c>
      <c r="N6065" s="3" t="s">
        <v>122</v>
      </c>
      <c r="O6065" s="8" t="s">
        <v>36</v>
      </c>
      <c r="P6065" s="3" t="s">
        <v>36</v>
      </c>
      <c r="Q6065" s="3" t="s">
        <v>36</v>
      </c>
      <c r="R6065" s="3" t="s">
        <v>36</v>
      </c>
      <c r="S6065" s="3" t="s">
        <v>36</v>
      </c>
      <c r="T6065" s="3" t="s">
        <v>522</v>
      </c>
      <c r="U6065" s="3" t="s">
        <v>38</v>
      </c>
      <c r="V6065" s="3" t="s">
        <v>39</v>
      </c>
      <c r="W6065" s="3" t="s">
        <v>9945</v>
      </c>
      <c r="X6065" s="10" t="s">
        <v>27951</v>
      </c>
      <c r="Y6065" s="6" t="s">
        <v>108</v>
      </c>
      <c r="Z6065" s="4">
        <v>5.51</v>
      </c>
      <c r="AA6065" s="4">
        <v>19.83</v>
      </c>
      <c r="AB6065" s="3" t="s">
        <v>56</v>
      </c>
      <c r="AC6065" s="3" t="s">
        <v>9947</v>
      </c>
      <c r="AD6065" s="9">
        <v>42882</v>
      </c>
      <c r="AE6065" s="3" t="s">
        <v>110</v>
      </c>
      <c r="AF6065" s="3" t="s">
        <v>4552</v>
      </c>
      <c r="AG6065" s="3" t="s">
        <v>81</v>
      </c>
      <c r="AH6065" s="11">
        <f>HYPERLINK("https://my.pitchbook.com?c=67020-31T","View Company Online")</f>
      </c>
    </row>
    <row r="6066">
      <c r="A6066" s="12" t="s">
        <v>27952</v>
      </c>
      <c r="B6066" s="12" t="s">
        <v>27953</v>
      </c>
      <c r="C6066" s="19" t="s">
        <v>36</v>
      </c>
      <c r="D6066" s="19" t="s">
        <v>36</v>
      </c>
      <c r="E6066" s="19" t="s">
        <v>36</v>
      </c>
      <c r="F6066" s="19" t="s">
        <v>36</v>
      </c>
      <c r="G6066" s="15" t="s">
        <v>326</v>
      </c>
      <c r="H6066" s="14">
        <v>17.16</v>
      </c>
      <c r="I6066" s="18">
        <v>36.45</v>
      </c>
      <c r="J6066" s="12" t="s">
        <v>521</v>
      </c>
      <c r="K6066" s="13" t="s">
        <v>36</v>
      </c>
      <c r="L6066" s="15" t="s">
        <v>36</v>
      </c>
      <c r="M6066" s="12" t="s">
        <v>36</v>
      </c>
      <c r="N6066" s="12" t="s">
        <v>36</v>
      </c>
      <c r="O6066" s="17" t="s">
        <v>36</v>
      </c>
      <c r="P6066" s="12" t="s">
        <v>36</v>
      </c>
      <c r="Q6066" s="12" t="s">
        <v>36</v>
      </c>
      <c r="R6066" s="12" t="s">
        <v>36</v>
      </c>
      <c r="S6066" s="12" t="s">
        <v>36</v>
      </c>
      <c r="T6066" s="12" t="s">
        <v>11802</v>
      </c>
      <c r="U6066" s="12" t="s">
        <v>74</v>
      </c>
      <c r="V6066" s="12" t="s">
        <v>75</v>
      </c>
      <c r="W6066" s="12" t="s">
        <v>27954</v>
      </c>
      <c r="X6066" s="16" t="s">
        <v>27955</v>
      </c>
      <c r="Y6066" s="15" t="s">
        <v>42</v>
      </c>
      <c r="Z6066" s="14">
        <v>0.6</v>
      </c>
      <c r="AA6066" s="14">
        <v>1.65</v>
      </c>
      <c r="AB6066" s="12" t="s">
        <v>43</v>
      </c>
      <c r="AC6066" s="12" t="s">
        <v>27956</v>
      </c>
      <c r="AD6066" s="13">
        <v>42882</v>
      </c>
      <c r="AE6066" s="12" t="s">
        <v>1888</v>
      </c>
      <c r="AF6066" s="12" t="s">
        <v>2643</v>
      </c>
      <c r="AG6066" s="12" t="s">
        <v>22253</v>
      </c>
      <c r="AH6066" s="1">
        <f>HYPERLINK("https://my.pitchbook.com?c=101849-23T","View Company Online")</f>
      </c>
    </row>
    <row r="6067">
      <c r="A6067" s="3" t="s">
        <v>27957</v>
      </c>
      <c r="B6067" s="3" t="s">
        <v>27958</v>
      </c>
      <c r="C6067" s="5" t="s">
        <v>36</v>
      </c>
      <c r="D6067" s="5" t="s">
        <v>36</v>
      </c>
      <c r="E6067" s="5" t="s">
        <v>36</v>
      </c>
      <c r="F6067" s="5" t="s">
        <v>36</v>
      </c>
      <c r="G6067" s="6" t="s">
        <v>36</v>
      </c>
      <c r="H6067" s="4">
        <v>769.02</v>
      </c>
      <c r="I6067" s="7">
        <v>17.75</v>
      </c>
      <c r="J6067" s="3" t="s">
        <v>521</v>
      </c>
      <c r="K6067" s="9" t="s">
        <v>36</v>
      </c>
      <c r="L6067" s="6" t="s">
        <v>36</v>
      </c>
      <c r="M6067" s="3" t="s">
        <v>36</v>
      </c>
      <c r="N6067" s="3" t="s">
        <v>36</v>
      </c>
      <c r="O6067" s="8" t="s">
        <v>36</v>
      </c>
      <c r="P6067" s="3" t="s">
        <v>36</v>
      </c>
      <c r="Q6067" s="3" t="s">
        <v>36</v>
      </c>
      <c r="R6067" s="3" t="s">
        <v>36</v>
      </c>
      <c r="S6067" s="3" t="s">
        <v>36</v>
      </c>
      <c r="T6067" s="3" t="s">
        <v>27959</v>
      </c>
      <c r="U6067" s="3" t="s">
        <v>219</v>
      </c>
      <c r="V6067" s="3" t="s">
        <v>75</v>
      </c>
      <c r="W6067" s="3" t="s">
        <v>27960</v>
      </c>
      <c r="X6067" s="10" t="s">
        <v>17134</v>
      </c>
      <c r="Y6067" s="6" t="s">
        <v>42</v>
      </c>
      <c r="Z6067" s="4">
        <v>0.21</v>
      </c>
      <c r="AA6067" s="4">
        <v>1.2</v>
      </c>
      <c r="AB6067" s="3" t="s">
        <v>56</v>
      </c>
      <c r="AC6067" s="3" t="s">
        <v>27961</v>
      </c>
      <c r="AD6067" s="9">
        <v>42881</v>
      </c>
      <c r="AE6067" s="3" t="s">
        <v>1912</v>
      </c>
      <c r="AF6067" s="3" t="s">
        <v>10212</v>
      </c>
      <c r="AG6067" s="3" t="s">
        <v>2133</v>
      </c>
      <c r="AH6067" s="11">
        <f>HYPERLINK("https://my.pitchbook.com?c=123000-85T","View Company Online")</f>
      </c>
    </row>
    <row r="6068">
      <c r="A6068" s="12" t="s">
        <v>27962</v>
      </c>
      <c r="B6068" s="12" t="s">
        <v>27963</v>
      </c>
      <c r="C6068" s="19" t="s">
        <v>36</v>
      </c>
      <c r="D6068" s="19" t="s">
        <v>36</v>
      </c>
      <c r="E6068" s="19" t="s">
        <v>36</v>
      </c>
      <c r="F6068" s="19" t="s">
        <v>36</v>
      </c>
      <c r="G6068" s="15" t="s">
        <v>36</v>
      </c>
      <c r="H6068" s="14">
        <v>26.48</v>
      </c>
      <c r="I6068" s="18">
        <v>15.89</v>
      </c>
      <c r="J6068" s="12" t="s">
        <v>327</v>
      </c>
      <c r="K6068" s="13">
        <v>42866</v>
      </c>
      <c r="L6068" s="15" t="s">
        <v>36</v>
      </c>
      <c r="M6068" s="12" t="s">
        <v>36</v>
      </c>
      <c r="N6068" s="12" t="s">
        <v>36</v>
      </c>
      <c r="O6068" s="17" t="s">
        <v>36</v>
      </c>
      <c r="P6068" s="12" t="s">
        <v>36</v>
      </c>
      <c r="Q6068" s="12" t="s">
        <v>36</v>
      </c>
      <c r="R6068" s="12" t="s">
        <v>36</v>
      </c>
      <c r="S6068" s="12" t="s">
        <v>36</v>
      </c>
      <c r="T6068" s="12" t="s">
        <v>27964</v>
      </c>
      <c r="U6068" s="12" t="s">
        <v>648</v>
      </c>
      <c r="V6068" s="12" t="s">
        <v>64</v>
      </c>
      <c r="W6068" s="12" t="s">
        <v>27965</v>
      </c>
      <c r="X6068" s="16" t="s">
        <v>19582</v>
      </c>
      <c r="Y6068" s="15" t="s">
        <v>42</v>
      </c>
      <c r="Z6068" s="14">
        <v>1.1</v>
      </c>
      <c r="AA6068" s="14">
        <v>5.01</v>
      </c>
      <c r="AB6068" s="12" t="s">
        <v>43</v>
      </c>
      <c r="AC6068" s="12" t="s">
        <v>27966</v>
      </c>
      <c r="AD6068" s="13">
        <v>42881</v>
      </c>
      <c r="AE6068" s="12" t="s">
        <v>3988</v>
      </c>
      <c r="AF6068" s="12" t="s">
        <v>27967</v>
      </c>
      <c r="AG6068" s="12" t="s">
        <v>81</v>
      </c>
      <c r="AH6068" s="1">
        <f>HYPERLINK("https://my.pitchbook.com?c=106103-53T","View Company Online")</f>
      </c>
    </row>
    <row r="6069">
      <c r="A6069" s="3" t="s">
        <v>27968</v>
      </c>
      <c r="B6069" s="3" t="s">
        <v>27969</v>
      </c>
      <c r="C6069" s="5">
        <v>3</v>
      </c>
      <c r="D6069" s="5">
        <v>87</v>
      </c>
      <c r="E6069" s="5">
        <v>40</v>
      </c>
      <c r="F6069" s="5">
        <v>123</v>
      </c>
      <c r="G6069" s="6" t="s">
        <v>36</v>
      </c>
      <c r="H6069" s="4" t="s">
        <v>36</v>
      </c>
      <c r="I6069" s="7" t="s">
        <v>36</v>
      </c>
      <c r="J6069" s="3" t="s">
        <v>36</v>
      </c>
      <c r="K6069" s="9" t="s">
        <v>36</v>
      </c>
      <c r="L6069" s="6" t="s">
        <v>36</v>
      </c>
      <c r="M6069" s="3" t="s">
        <v>36</v>
      </c>
      <c r="N6069" s="3" t="s">
        <v>36</v>
      </c>
      <c r="O6069" s="8" t="s">
        <v>36</v>
      </c>
      <c r="P6069" s="3" t="s">
        <v>36</v>
      </c>
      <c r="Q6069" s="3" t="s">
        <v>36</v>
      </c>
      <c r="R6069" s="3" t="s">
        <v>36</v>
      </c>
      <c r="S6069" s="3" t="s">
        <v>20994</v>
      </c>
      <c r="T6069" s="3" t="s">
        <v>27970</v>
      </c>
      <c r="U6069" s="3" t="s">
        <v>1580</v>
      </c>
      <c r="V6069" s="3" t="s">
        <v>39</v>
      </c>
      <c r="W6069" s="3" t="s">
        <v>27971</v>
      </c>
      <c r="X6069" s="10" t="s">
        <v>27972</v>
      </c>
      <c r="Y6069" s="6" t="s">
        <v>321</v>
      </c>
      <c r="Z6069" s="4" t="s">
        <v>36</v>
      </c>
      <c r="AA6069" s="4" t="s">
        <v>36</v>
      </c>
      <c r="AB6069" s="3" t="s">
        <v>56</v>
      </c>
      <c r="AC6069" s="3" t="s">
        <v>27973</v>
      </c>
      <c r="AD6069" s="9">
        <v>42879</v>
      </c>
      <c r="AE6069" s="3" t="s">
        <v>3854</v>
      </c>
      <c r="AF6069" s="3" t="s">
        <v>24285</v>
      </c>
      <c r="AG6069" s="3" t="s">
        <v>539</v>
      </c>
      <c r="AH6069" s="11">
        <f>HYPERLINK("https://my.pitchbook.com?c=88699-51T","View Company Online")</f>
      </c>
    </row>
    <row r="6070">
      <c r="A6070" s="12" t="s">
        <v>27974</v>
      </c>
      <c r="B6070" s="12" t="s">
        <v>21130</v>
      </c>
      <c r="C6070" s="19" t="s">
        <v>36</v>
      </c>
      <c r="D6070" s="19" t="s">
        <v>36</v>
      </c>
      <c r="E6070" s="19" t="s">
        <v>36</v>
      </c>
      <c r="F6070" s="19" t="s">
        <v>36</v>
      </c>
      <c r="G6070" s="15" t="s">
        <v>326</v>
      </c>
      <c r="H6070" s="14">
        <v>240.38</v>
      </c>
      <c r="I6070" s="18">
        <v>33.93</v>
      </c>
      <c r="J6070" s="12" t="s">
        <v>521</v>
      </c>
      <c r="K6070" s="13" t="s">
        <v>36</v>
      </c>
      <c r="L6070" s="15" t="s">
        <v>36</v>
      </c>
      <c r="M6070" s="12" t="s">
        <v>36</v>
      </c>
      <c r="N6070" s="12" t="s">
        <v>36</v>
      </c>
      <c r="O6070" s="17" t="s">
        <v>36</v>
      </c>
      <c r="P6070" s="12" t="s">
        <v>36</v>
      </c>
      <c r="Q6070" s="12" t="s">
        <v>36</v>
      </c>
      <c r="R6070" s="12" t="s">
        <v>36</v>
      </c>
      <c r="S6070" s="12" t="s">
        <v>36</v>
      </c>
      <c r="T6070" s="12" t="s">
        <v>6288</v>
      </c>
      <c r="U6070" s="12" t="s">
        <v>85</v>
      </c>
      <c r="V6070" s="12" t="s">
        <v>64</v>
      </c>
      <c r="W6070" s="12" t="s">
        <v>21131</v>
      </c>
      <c r="X6070" s="16" t="s">
        <v>27975</v>
      </c>
      <c r="Y6070" s="15" t="s">
        <v>108</v>
      </c>
      <c r="Z6070" s="14">
        <v>2.75</v>
      </c>
      <c r="AA6070" s="14">
        <v>6.48</v>
      </c>
      <c r="AB6070" s="12" t="s">
        <v>43</v>
      </c>
      <c r="AC6070" s="12" t="s">
        <v>21133</v>
      </c>
      <c r="AD6070" s="13">
        <v>42878</v>
      </c>
      <c r="AE6070" s="12" t="s">
        <v>89</v>
      </c>
      <c r="AF6070" s="12" t="s">
        <v>5529</v>
      </c>
      <c r="AG6070" s="12" t="s">
        <v>81</v>
      </c>
      <c r="AH6070" s="1">
        <f>HYPERLINK("https://my.pitchbook.com?c=88137-37T","View Company Online")</f>
      </c>
    </row>
    <row r="6071">
      <c r="A6071" s="3" t="s">
        <v>27976</v>
      </c>
      <c r="B6071" s="3" t="s">
        <v>16657</v>
      </c>
      <c r="C6071" s="5" t="s">
        <v>36</v>
      </c>
      <c r="D6071" s="5" t="s">
        <v>36</v>
      </c>
      <c r="E6071" s="5" t="s">
        <v>36</v>
      </c>
      <c r="F6071" s="5" t="s">
        <v>36</v>
      </c>
      <c r="G6071" s="6" t="s">
        <v>36</v>
      </c>
      <c r="H6071" s="4">
        <v>0.5</v>
      </c>
      <c r="I6071" s="7">
        <v>18</v>
      </c>
      <c r="J6071" s="3" t="s">
        <v>521</v>
      </c>
      <c r="K6071" s="9" t="s">
        <v>36</v>
      </c>
      <c r="L6071" s="6" t="s">
        <v>36</v>
      </c>
      <c r="M6071" s="3" t="s">
        <v>36</v>
      </c>
      <c r="N6071" s="3" t="s">
        <v>36</v>
      </c>
      <c r="O6071" s="8" t="s">
        <v>36</v>
      </c>
      <c r="P6071" s="3" t="s">
        <v>36</v>
      </c>
      <c r="Q6071" s="3" t="s">
        <v>36</v>
      </c>
      <c r="R6071" s="3" t="s">
        <v>36</v>
      </c>
      <c r="S6071" s="3" t="s">
        <v>36</v>
      </c>
      <c r="T6071" s="3" t="s">
        <v>1935</v>
      </c>
      <c r="U6071" s="3" t="s">
        <v>38</v>
      </c>
      <c r="V6071" s="3" t="s">
        <v>39</v>
      </c>
      <c r="W6071" s="3" t="s">
        <v>16658</v>
      </c>
      <c r="X6071" s="10" t="s">
        <v>27977</v>
      </c>
      <c r="Y6071" s="6" t="s">
        <v>108</v>
      </c>
      <c r="Z6071" s="4">
        <v>1.08</v>
      </c>
      <c r="AA6071" s="4">
        <v>3.86</v>
      </c>
      <c r="AB6071" s="3" t="s">
        <v>43</v>
      </c>
      <c r="AC6071" s="3" t="s">
        <v>16660</v>
      </c>
      <c r="AD6071" s="9">
        <v>42878</v>
      </c>
      <c r="AE6071" s="3" t="s">
        <v>45</v>
      </c>
      <c r="AF6071" s="3" t="s">
        <v>331</v>
      </c>
      <c r="AG6071" s="3" t="s">
        <v>81</v>
      </c>
      <c r="AH6071" s="11">
        <f>HYPERLINK("https://my.pitchbook.com?c=100169-65T","View Company Online")</f>
      </c>
    </row>
    <row r="6072">
      <c r="A6072" s="12" t="s">
        <v>27978</v>
      </c>
      <c r="B6072" s="12" t="s">
        <v>22983</v>
      </c>
      <c r="C6072" s="19" t="s">
        <v>36</v>
      </c>
      <c r="D6072" s="19" t="s">
        <v>36</v>
      </c>
      <c r="E6072" s="19" t="s">
        <v>36</v>
      </c>
      <c r="F6072" s="19" t="s">
        <v>36</v>
      </c>
      <c r="G6072" s="15" t="s">
        <v>326</v>
      </c>
      <c r="H6072" s="14">
        <v>322.94</v>
      </c>
      <c r="I6072" s="18">
        <v>28.43</v>
      </c>
      <c r="J6072" s="12" t="s">
        <v>521</v>
      </c>
      <c r="K6072" s="13" t="s">
        <v>36</v>
      </c>
      <c r="L6072" s="15" t="s">
        <v>94</v>
      </c>
      <c r="M6072" s="12" t="s">
        <v>36</v>
      </c>
      <c r="N6072" s="12" t="s">
        <v>94</v>
      </c>
      <c r="O6072" s="17" t="s">
        <v>36</v>
      </c>
      <c r="P6072" s="12" t="s">
        <v>36</v>
      </c>
      <c r="Q6072" s="12" t="s">
        <v>36</v>
      </c>
      <c r="R6072" s="12" t="s">
        <v>36</v>
      </c>
      <c r="S6072" s="12" t="s">
        <v>36</v>
      </c>
      <c r="T6072" s="12" t="s">
        <v>22984</v>
      </c>
      <c r="U6072" s="12" t="s">
        <v>63</v>
      </c>
      <c r="V6072" s="12" t="s">
        <v>64</v>
      </c>
      <c r="W6072" s="12" t="s">
        <v>22985</v>
      </c>
      <c r="X6072" s="16" t="s">
        <v>27979</v>
      </c>
      <c r="Y6072" s="15" t="s">
        <v>192</v>
      </c>
      <c r="Z6072" s="14">
        <v>32.96</v>
      </c>
      <c r="AA6072" s="14">
        <v>92.73</v>
      </c>
      <c r="AB6072" s="12" t="s">
        <v>43</v>
      </c>
      <c r="AC6072" s="12" t="s">
        <v>22987</v>
      </c>
      <c r="AD6072" s="13">
        <v>42878</v>
      </c>
      <c r="AE6072" s="12" t="s">
        <v>68</v>
      </c>
      <c r="AF6072" s="12" t="s">
        <v>22988</v>
      </c>
      <c r="AG6072" s="12" t="s">
        <v>81</v>
      </c>
      <c r="AH6072" s="1">
        <f>HYPERLINK("https://my.pitchbook.com?c=88030-00T","View Company Online")</f>
      </c>
    </row>
    <row r="6073">
      <c r="A6073" s="3" t="s">
        <v>27980</v>
      </c>
      <c r="B6073" s="3" t="s">
        <v>27981</v>
      </c>
      <c r="C6073" s="5">
        <v>1</v>
      </c>
      <c r="D6073" s="5">
        <v>12</v>
      </c>
      <c r="E6073" s="5">
        <v>6</v>
      </c>
      <c r="F6073" s="5">
        <v>21</v>
      </c>
      <c r="G6073" s="6" t="s">
        <v>36</v>
      </c>
      <c r="H6073" s="4">
        <v>1414.53</v>
      </c>
      <c r="I6073" s="7">
        <v>14.05</v>
      </c>
      <c r="J6073" s="3" t="s">
        <v>521</v>
      </c>
      <c r="K6073" s="9">
        <v>42771</v>
      </c>
      <c r="L6073" s="6" t="s">
        <v>36</v>
      </c>
      <c r="M6073" s="3" t="s">
        <v>36</v>
      </c>
      <c r="N6073" s="3" t="s">
        <v>36</v>
      </c>
      <c r="O6073" s="8" t="s">
        <v>36</v>
      </c>
      <c r="P6073" s="3" t="s">
        <v>36</v>
      </c>
      <c r="Q6073" s="3" t="s">
        <v>36</v>
      </c>
      <c r="R6073" s="3" t="s">
        <v>36</v>
      </c>
      <c r="S6073" s="3" t="s">
        <v>36</v>
      </c>
      <c r="T6073" s="3" t="s">
        <v>661</v>
      </c>
      <c r="U6073" s="3" t="s">
        <v>51</v>
      </c>
      <c r="V6073" s="3" t="s">
        <v>52</v>
      </c>
      <c r="W6073" s="3" t="s">
        <v>27982</v>
      </c>
      <c r="X6073" s="10" t="s">
        <v>27983</v>
      </c>
      <c r="Y6073" s="6" t="s">
        <v>192</v>
      </c>
      <c r="Z6073" s="4">
        <v>2.14</v>
      </c>
      <c r="AA6073" s="4">
        <v>15.21</v>
      </c>
      <c r="AB6073" s="3" t="s">
        <v>56</v>
      </c>
      <c r="AC6073" s="3" t="s">
        <v>27984</v>
      </c>
      <c r="AD6073" s="9">
        <v>42878</v>
      </c>
      <c r="AE6073" s="3" t="s">
        <v>158</v>
      </c>
      <c r="AF6073" s="3" t="s">
        <v>665</v>
      </c>
      <c r="AG6073" s="3" t="s">
        <v>14541</v>
      </c>
      <c r="AH6073" s="11">
        <f>HYPERLINK("https://my.pitchbook.com?c=135257-59T","View Company Online")</f>
      </c>
    </row>
    <row r="6074">
      <c r="A6074" s="12" t="s">
        <v>27985</v>
      </c>
      <c r="B6074" s="12" t="s">
        <v>27986</v>
      </c>
      <c r="C6074" s="19" t="s">
        <v>36</v>
      </c>
      <c r="D6074" s="19">
        <v>4</v>
      </c>
      <c r="E6074" s="19">
        <v>2</v>
      </c>
      <c r="F6074" s="19">
        <v>4</v>
      </c>
      <c r="G6074" s="15" t="s">
        <v>36</v>
      </c>
      <c r="H6074" s="14">
        <v>550.44</v>
      </c>
      <c r="I6074" s="18">
        <v>7</v>
      </c>
      <c r="J6074" s="12" t="s">
        <v>521</v>
      </c>
      <c r="K6074" s="13" t="s">
        <v>36</v>
      </c>
      <c r="L6074" s="15" t="s">
        <v>36</v>
      </c>
      <c r="M6074" s="12" t="s">
        <v>36</v>
      </c>
      <c r="N6074" s="12" t="s">
        <v>36</v>
      </c>
      <c r="O6074" s="17" t="s">
        <v>36</v>
      </c>
      <c r="P6074" s="12" t="s">
        <v>36</v>
      </c>
      <c r="Q6074" s="12" t="s">
        <v>36</v>
      </c>
      <c r="R6074" s="12" t="s">
        <v>36</v>
      </c>
      <c r="S6074" s="12" t="s">
        <v>36</v>
      </c>
      <c r="T6074" s="12" t="s">
        <v>27987</v>
      </c>
      <c r="U6074" s="12" t="s">
        <v>74</v>
      </c>
      <c r="V6074" s="12" t="s">
        <v>75</v>
      </c>
      <c r="W6074" s="12" t="s">
        <v>27988</v>
      </c>
      <c r="X6074" s="16" t="s">
        <v>27989</v>
      </c>
      <c r="Y6074" s="15" t="s">
        <v>42</v>
      </c>
      <c r="Z6074" s="14">
        <v>0.49</v>
      </c>
      <c r="AA6074" s="14">
        <v>7.04</v>
      </c>
      <c r="AB6074" s="12" t="s">
        <v>56</v>
      </c>
      <c r="AC6074" s="12" t="s">
        <v>27990</v>
      </c>
      <c r="AD6074" s="13">
        <v>42878</v>
      </c>
      <c r="AE6074" s="12" t="s">
        <v>975</v>
      </c>
      <c r="AF6074" s="12" t="s">
        <v>1969</v>
      </c>
      <c r="AG6074" s="12" t="s">
        <v>27991</v>
      </c>
      <c r="AH6074" s="1">
        <f>HYPERLINK("https://my.pitchbook.com?c=30025-72T","View Company Online")</f>
      </c>
    </row>
    <row r="6075">
      <c r="A6075" s="3" t="s">
        <v>27992</v>
      </c>
      <c r="B6075" s="3" t="s">
        <v>14955</v>
      </c>
      <c r="C6075" s="5">
        <v>13</v>
      </c>
      <c r="D6075" s="5">
        <v>42</v>
      </c>
      <c r="E6075" s="5">
        <v>10</v>
      </c>
      <c r="F6075" s="5">
        <v>56</v>
      </c>
      <c r="G6075" s="6" t="s">
        <v>36</v>
      </c>
      <c r="H6075" s="4">
        <v>51.51</v>
      </c>
      <c r="I6075" s="7">
        <v>37.82</v>
      </c>
      <c r="J6075" s="3" t="s">
        <v>521</v>
      </c>
      <c r="K6075" s="9">
        <v>42878</v>
      </c>
      <c r="L6075" s="6" t="s">
        <v>122</v>
      </c>
      <c r="M6075" s="3" t="s">
        <v>36</v>
      </c>
      <c r="N6075" s="3" t="s">
        <v>122</v>
      </c>
      <c r="O6075" s="8" t="s">
        <v>36</v>
      </c>
      <c r="P6075" s="3" t="s">
        <v>36</v>
      </c>
      <c r="Q6075" s="3" t="s">
        <v>36</v>
      </c>
      <c r="R6075" s="3" t="s">
        <v>36</v>
      </c>
      <c r="S6075" s="3" t="s">
        <v>36</v>
      </c>
      <c r="T6075" s="3" t="s">
        <v>14956</v>
      </c>
      <c r="U6075" s="3" t="s">
        <v>318</v>
      </c>
      <c r="V6075" s="3" t="s">
        <v>39</v>
      </c>
      <c r="W6075" s="3" t="s">
        <v>14957</v>
      </c>
      <c r="X6075" s="10" t="s">
        <v>27993</v>
      </c>
      <c r="Y6075" s="6" t="s">
        <v>42</v>
      </c>
      <c r="Z6075" s="4">
        <v>3.98</v>
      </c>
      <c r="AA6075" s="4">
        <v>10.52</v>
      </c>
      <c r="AB6075" s="3" t="s">
        <v>43</v>
      </c>
      <c r="AC6075" s="3" t="s">
        <v>14959</v>
      </c>
      <c r="AD6075" s="9">
        <v>42878</v>
      </c>
      <c r="AE6075" s="3" t="s">
        <v>417</v>
      </c>
      <c r="AF6075" s="3" t="s">
        <v>592</v>
      </c>
      <c r="AG6075" s="3" t="s">
        <v>81</v>
      </c>
      <c r="AH6075" s="11">
        <f>HYPERLINK("https://my.pitchbook.com?c=88049-08T","View Company Online")</f>
      </c>
    </row>
    <row r="6076">
      <c r="A6076" s="12" t="s">
        <v>27994</v>
      </c>
      <c r="B6076" s="12" t="s">
        <v>8134</v>
      </c>
      <c r="C6076" s="19" t="s">
        <v>36</v>
      </c>
      <c r="D6076" s="19" t="s">
        <v>36</v>
      </c>
      <c r="E6076" s="19" t="s">
        <v>36</v>
      </c>
      <c r="F6076" s="19" t="s">
        <v>36</v>
      </c>
      <c r="G6076" s="15" t="s">
        <v>36</v>
      </c>
      <c r="H6076" s="14">
        <v>25.96</v>
      </c>
      <c r="I6076" s="18">
        <v>31.51</v>
      </c>
      <c r="J6076" s="12" t="s">
        <v>521</v>
      </c>
      <c r="K6076" s="13" t="s">
        <v>36</v>
      </c>
      <c r="L6076" s="15" t="s">
        <v>36</v>
      </c>
      <c r="M6076" s="12" t="s">
        <v>36</v>
      </c>
      <c r="N6076" s="12" t="s">
        <v>36</v>
      </c>
      <c r="O6076" s="17" t="s">
        <v>36</v>
      </c>
      <c r="P6076" s="12" t="s">
        <v>36</v>
      </c>
      <c r="Q6076" s="12" t="s">
        <v>36</v>
      </c>
      <c r="R6076" s="12" t="s">
        <v>36</v>
      </c>
      <c r="S6076" s="12" t="s">
        <v>36</v>
      </c>
      <c r="T6076" s="12" t="s">
        <v>464</v>
      </c>
      <c r="U6076" s="12" t="s">
        <v>38</v>
      </c>
      <c r="V6076" s="12" t="s">
        <v>39</v>
      </c>
      <c r="W6076" s="12" t="s">
        <v>8135</v>
      </c>
      <c r="X6076" s="16" t="s">
        <v>267</v>
      </c>
      <c r="Y6076" s="15" t="s">
        <v>42</v>
      </c>
      <c r="Z6076" s="14">
        <v>0.38</v>
      </c>
      <c r="AA6076" s="14">
        <v>1.2</v>
      </c>
      <c r="AB6076" s="12" t="s">
        <v>43</v>
      </c>
      <c r="AC6076" s="12" t="s">
        <v>8136</v>
      </c>
      <c r="AD6076" s="13">
        <v>42878</v>
      </c>
      <c r="AE6076" s="12" t="s">
        <v>110</v>
      </c>
      <c r="AF6076" s="12" t="s">
        <v>7294</v>
      </c>
      <c r="AG6076" s="12" t="s">
        <v>4796</v>
      </c>
      <c r="AH6076" s="1">
        <f>HYPERLINK("https://my.pitchbook.com?c=203406-04T","View Company Online")</f>
      </c>
    </row>
    <row r="6077">
      <c r="A6077" s="3" t="s">
        <v>27995</v>
      </c>
      <c r="B6077" s="3" t="s">
        <v>22488</v>
      </c>
      <c r="C6077" s="5" t="s">
        <v>36</v>
      </c>
      <c r="D6077" s="5" t="s">
        <v>36</v>
      </c>
      <c r="E6077" s="5" t="s">
        <v>36</v>
      </c>
      <c r="F6077" s="5" t="s">
        <v>36</v>
      </c>
      <c r="G6077" s="6" t="s">
        <v>36</v>
      </c>
      <c r="H6077" s="4">
        <v>1.14</v>
      </c>
      <c r="I6077" s="7">
        <v>34.56</v>
      </c>
      <c r="J6077" s="3" t="s">
        <v>521</v>
      </c>
      <c r="K6077" s="9">
        <v>42866</v>
      </c>
      <c r="L6077" s="6" t="s">
        <v>36</v>
      </c>
      <c r="M6077" s="3" t="s">
        <v>36</v>
      </c>
      <c r="N6077" s="3" t="s">
        <v>36</v>
      </c>
      <c r="O6077" s="8" t="s">
        <v>36</v>
      </c>
      <c r="P6077" s="3" t="s">
        <v>36</v>
      </c>
      <c r="Q6077" s="3" t="s">
        <v>36</v>
      </c>
      <c r="R6077" s="3" t="s">
        <v>36</v>
      </c>
      <c r="S6077" s="3" t="s">
        <v>36</v>
      </c>
      <c r="T6077" s="3" t="s">
        <v>22489</v>
      </c>
      <c r="U6077" s="3" t="s">
        <v>279</v>
      </c>
      <c r="V6077" s="3" t="s">
        <v>64</v>
      </c>
      <c r="W6077" s="3" t="s">
        <v>22490</v>
      </c>
      <c r="X6077" s="10" t="s">
        <v>1740</v>
      </c>
      <c r="Y6077" s="6" t="s">
        <v>42</v>
      </c>
      <c r="Z6077" s="4">
        <v>0.55</v>
      </c>
      <c r="AA6077" s="4">
        <v>1.59</v>
      </c>
      <c r="AB6077" s="3" t="s">
        <v>56</v>
      </c>
      <c r="AC6077" s="3" t="s">
        <v>22492</v>
      </c>
      <c r="AD6077" s="9">
        <v>42876</v>
      </c>
      <c r="AE6077" s="3" t="s">
        <v>740</v>
      </c>
      <c r="AF6077" s="3" t="s">
        <v>19834</v>
      </c>
      <c r="AG6077" s="3" t="s">
        <v>4637</v>
      </c>
      <c r="AH6077" s="11">
        <f>HYPERLINK("https://my.pitchbook.com?c=113606-74T","View Company Online")</f>
      </c>
    </row>
    <row r="6078">
      <c r="A6078" s="12" t="s">
        <v>27996</v>
      </c>
      <c r="B6078" s="12" t="s">
        <v>21670</v>
      </c>
      <c r="C6078" s="19" t="s">
        <v>36</v>
      </c>
      <c r="D6078" s="19" t="s">
        <v>36</v>
      </c>
      <c r="E6078" s="19" t="s">
        <v>36</v>
      </c>
      <c r="F6078" s="19" t="s">
        <v>36</v>
      </c>
      <c r="G6078" s="15" t="s">
        <v>326</v>
      </c>
      <c r="H6078" s="14">
        <v>506.71</v>
      </c>
      <c r="I6078" s="18">
        <v>24.56</v>
      </c>
      <c r="J6078" s="12" t="s">
        <v>521</v>
      </c>
      <c r="K6078" s="13" t="s">
        <v>36</v>
      </c>
      <c r="L6078" s="15" t="s">
        <v>36</v>
      </c>
      <c r="M6078" s="12" t="s">
        <v>36</v>
      </c>
      <c r="N6078" s="12" t="s">
        <v>36</v>
      </c>
      <c r="O6078" s="17" t="s">
        <v>36</v>
      </c>
      <c r="P6078" s="12" t="s">
        <v>36</v>
      </c>
      <c r="Q6078" s="12" t="s">
        <v>36</v>
      </c>
      <c r="R6078" s="12" t="s">
        <v>36</v>
      </c>
      <c r="S6078" s="12" t="s">
        <v>36</v>
      </c>
      <c r="T6078" s="12" t="s">
        <v>21671</v>
      </c>
      <c r="U6078" s="12" t="s">
        <v>279</v>
      </c>
      <c r="V6078" s="12" t="s">
        <v>64</v>
      </c>
      <c r="W6078" s="12" t="s">
        <v>21672</v>
      </c>
      <c r="X6078" s="16" t="s">
        <v>27997</v>
      </c>
      <c r="Y6078" s="15" t="s">
        <v>108</v>
      </c>
      <c r="Z6078" s="14">
        <v>9.87</v>
      </c>
      <c r="AA6078" s="14">
        <v>40.18</v>
      </c>
      <c r="AB6078" s="12" t="s">
        <v>56</v>
      </c>
      <c r="AC6078" s="12" t="s">
        <v>21674</v>
      </c>
      <c r="AD6078" s="13">
        <v>42876</v>
      </c>
      <c r="AE6078" s="12" t="s">
        <v>283</v>
      </c>
      <c r="AF6078" s="12" t="s">
        <v>468</v>
      </c>
      <c r="AG6078" s="12" t="s">
        <v>81</v>
      </c>
      <c r="AH6078" s="1">
        <f>HYPERLINK("https://my.pitchbook.com?c=87873-04T","View Company Online")</f>
      </c>
    </row>
    <row r="6079">
      <c r="A6079" s="3" t="s">
        <v>27998</v>
      </c>
      <c r="B6079" s="3" t="s">
        <v>23631</v>
      </c>
      <c r="C6079" s="5">
        <v>6</v>
      </c>
      <c r="D6079" s="5">
        <v>45</v>
      </c>
      <c r="E6079" s="5">
        <v>12</v>
      </c>
      <c r="F6079" s="5">
        <v>56</v>
      </c>
      <c r="G6079" s="6" t="s">
        <v>683</v>
      </c>
      <c r="H6079" s="4">
        <v>3.53</v>
      </c>
      <c r="I6079" s="7">
        <v>2.96</v>
      </c>
      <c r="J6079" s="3" t="s">
        <v>327</v>
      </c>
      <c r="K6079" s="9" t="s">
        <v>36</v>
      </c>
      <c r="L6079" s="6" t="s">
        <v>36</v>
      </c>
      <c r="M6079" s="3" t="s">
        <v>36</v>
      </c>
      <c r="N6079" s="3" t="s">
        <v>36</v>
      </c>
      <c r="O6079" s="8" t="s">
        <v>36</v>
      </c>
      <c r="P6079" s="3" t="s">
        <v>36</v>
      </c>
      <c r="Q6079" s="3" t="s">
        <v>36</v>
      </c>
      <c r="R6079" s="3" t="s">
        <v>36</v>
      </c>
      <c r="S6079" s="3" t="s">
        <v>36</v>
      </c>
      <c r="T6079" s="3" t="s">
        <v>3264</v>
      </c>
      <c r="U6079" s="3" t="s">
        <v>96</v>
      </c>
      <c r="V6079" s="3" t="s">
        <v>52</v>
      </c>
      <c r="W6079" s="3" t="s">
        <v>23632</v>
      </c>
      <c r="X6079" s="10" t="s">
        <v>27999</v>
      </c>
      <c r="Y6079" s="6" t="s">
        <v>166</v>
      </c>
      <c r="Z6079" s="4">
        <v>0.64</v>
      </c>
      <c r="AA6079" s="4">
        <v>21.63</v>
      </c>
      <c r="AB6079" s="3" t="s">
        <v>56</v>
      </c>
      <c r="AC6079" s="3" t="s">
        <v>23634</v>
      </c>
      <c r="AD6079" s="9">
        <v>42873</v>
      </c>
      <c r="AE6079" s="3" t="s">
        <v>496</v>
      </c>
      <c r="AF6079" s="3" t="s">
        <v>23635</v>
      </c>
      <c r="AG6079" s="3" t="s">
        <v>969</v>
      </c>
      <c r="AH6079" s="11">
        <f>HYPERLINK("https://my.pitchbook.com?c=130438-27T","View Company Online")</f>
      </c>
    </row>
    <row r="6080">
      <c r="A6080" s="12" t="s">
        <v>28000</v>
      </c>
      <c r="B6080" s="12" t="s">
        <v>28001</v>
      </c>
      <c r="C6080" s="19" t="s">
        <v>36</v>
      </c>
      <c r="D6080" s="19" t="s">
        <v>36</v>
      </c>
      <c r="E6080" s="19" t="s">
        <v>36</v>
      </c>
      <c r="F6080" s="19" t="s">
        <v>36</v>
      </c>
      <c r="G6080" s="15" t="s">
        <v>36</v>
      </c>
      <c r="H6080" s="14" t="s">
        <v>36</v>
      </c>
      <c r="I6080" s="18">
        <v>10</v>
      </c>
      <c r="J6080" s="12" t="s">
        <v>36</v>
      </c>
      <c r="K6080" s="13" t="s">
        <v>36</v>
      </c>
      <c r="L6080" s="15" t="s">
        <v>36</v>
      </c>
      <c r="M6080" s="12" t="s">
        <v>36</v>
      </c>
      <c r="N6080" s="12" t="s">
        <v>36</v>
      </c>
      <c r="O6080" s="17" t="s">
        <v>36</v>
      </c>
      <c r="P6080" s="12" t="s">
        <v>36</v>
      </c>
      <c r="Q6080" s="12" t="s">
        <v>36</v>
      </c>
      <c r="R6080" s="12" t="s">
        <v>36</v>
      </c>
      <c r="S6080" s="12" t="s">
        <v>36</v>
      </c>
      <c r="T6080" s="12" t="s">
        <v>647</v>
      </c>
      <c r="U6080" s="12" t="s">
        <v>648</v>
      </c>
      <c r="V6080" s="12" t="s">
        <v>64</v>
      </c>
      <c r="W6080" s="12" t="s">
        <v>28002</v>
      </c>
      <c r="X6080" s="16" t="s">
        <v>28003</v>
      </c>
      <c r="Y6080" s="15" t="s">
        <v>42</v>
      </c>
      <c r="Z6080" s="14" t="s">
        <v>36</v>
      </c>
      <c r="AA6080" s="14" t="s">
        <v>36</v>
      </c>
      <c r="AB6080" s="12" t="s">
        <v>56</v>
      </c>
      <c r="AC6080" s="12" t="s">
        <v>28004</v>
      </c>
      <c r="AD6080" s="13">
        <v>42873</v>
      </c>
      <c r="AE6080" s="12" t="s">
        <v>651</v>
      </c>
      <c r="AF6080" s="12" t="s">
        <v>36</v>
      </c>
      <c r="AG6080" s="12" t="s">
        <v>81</v>
      </c>
      <c r="AH6080" s="1">
        <f>HYPERLINK("https://my.pitchbook.com?c=96530-59T","View Company Online")</f>
      </c>
    </row>
    <row r="6081">
      <c r="A6081" s="3" t="s">
        <v>28005</v>
      </c>
      <c r="B6081" s="3" t="s">
        <v>28006</v>
      </c>
      <c r="C6081" s="5" t="s">
        <v>36</v>
      </c>
      <c r="D6081" s="5" t="s">
        <v>36</v>
      </c>
      <c r="E6081" s="5" t="s">
        <v>36</v>
      </c>
      <c r="F6081" s="5" t="s">
        <v>36</v>
      </c>
      <c r="G6081" s="6" t="s">
        <v>36</v>
      </c>
      <c r="H6081" s="4">
        <v>147.68</v>
      </c>
      <c r="I6081" s="7">
        <v>11.91</v>
      </c>
      <c r="J6081" s="3" t="s">
        <v>521</v>
      </c>
      <c r="K6081" s="9" t="s">
        <v>36</v>
      </c>
      <c r="L6081" s="6" t="s">
        <v>36</v>
      </c>
      <c r="M6081" s="3" t="s">
        <v>36</v>
      </c>
      <c r="N6081" s="3" t="s">
        <v>36</v>
      </c>
      <c r="O6081" s="8" t="s">
        <v>36</v>
      </c>
      <c r="P6081" s="3" t="s">
        <v>36</v>
      </c>
      <c r="Q6081" s="3" t="s">
        <v>36</v>
      </c>
      <c r="R6081" s="3" t="s">
        <v>36</v>
      </c>
      <c r="S6081" s="3" t="s">
        <v>36</v>
      </c>
      <c r="T6081" s="3" t="s">
        <v>28007</v>
      </c>
      <c r="U6081" s="3" t="s">
        <v>279</v>
      </c>
      <c r="V6081" s="3" t="s">
        <v>64</v>
      </c>
      <c r="W6081" s="3" t="s">
        <v>28008</v>
      </c>
      <c r="X6081" s="10" t="s">
        <v>28009</v>
      </c>
      <c r="Y6081" s="6" t="s">
        <v>42</v>
      </c>
      <c r="Z6081" s="4">
        <v>0.49</v>
      </c>
      <c r="AA6081" s="4">
        <v>4.12</v>
      </c>
      <c r="AB6081" s="3" t="s">
        <v>43</v>
      </c>
      <c r="AC6081" s="3" t="s">
        <v>28010</v>
      </c>
      <c r="AD6081" s="9">
        <v>42873</v>
      </c>
      <c r="AE6081" s="3" t="s">
        <v>283</v>
      </c>
      <c r="AF6081" s="3" t="s">
        <v>36</v>
      </c>
      <c r="AG6081" s="3" t="s">
        <v>23999</v>
      </c>
      <c r="AH6081" s="11">
        <f>HYPERLINK("https://my.pitchbook.com?c=108640-45T","View Company Online")</f>
      </c>
    </row>
    <row r="6082">
      <c r="A6082" s="12" t="s">
        <v>28011</v>
      </c>
      <c r="B6082" s="12" t="s">
        <v>28012</v>
      </c>
      <c r="C6082" s="19" t="s">
        <v>36</v>
      </c>
      <c r="D6082" s="19">
        <v>6</v>
      </c>
      <c r="E6082" s="19">
        <v>2</v>
      </c>
      <c r="F6082" s="19">
        <v>7</v>
      </c>
      <c r="G6082" s="15" t="s">
        <v>2497</v>
      </c>
      <c r="H6082" s="14">
        <v>55.43</v>
      </c>
      <c r="I6082" s="18">
        <v>33.14</v>
      </c>
      <c r="J6082" s="12" t="s">
        <v>521</v>
      </c>
      <c r="K6082" s="13" t="s">
        <v>36</v>
      </c>
      <c r="L6082" s="15" t="s">
        <v>36</v>
      </c>
      <c r="M6082" s="12" t="s">
        <v>36</v>
      </c>
      <c r="N6082" s="12" t="s">
        <v>36</v>
      </c>
      <c r="O6082" s="17" t="s">
        <v>36</v>
      </c>
      <c r="P6082" s="12" t="s">
        <v>36</v>
      </c>
      <c r="Q6082" s="12" t="s">
        <v>36</v>
      </c>
      <c r="R6082" s="12" t="s">
        <v>36</v>
      </c>
      <c r="S6082" s="12" t="s">
        <v>36</v>
      </c>
      <c r="T6082" s="12" t="s">
        <v>4917</v>
      </c>
      <c r="U6082" s="12" t="s">
        <v>38</v>
      </c>
      <c r="V6082" s="12" t="s">
        <v>39</v>
      </c>
      <c r="W6082" s="12" t="s">
        <v>28013</v>
      </c>
      <c r="X6082" s="16" t="s">
        <v>28014</v>
      </c>
      <c r="Y6082" s="15" t="s">
        <v>108</v>
      </c>
      <c r="Z6082" s="14">
        <v>1.37</v>
      </c>
      <c r="AA6082" s="14">
        <v>4.14</v>
      </c>
      <c r="AB6082" s="12" t="s">
        <v>56</v>
      </c>
      <c r="AC6082" s="12" t="s">
        <v>28015</v>
      </c>
      <c r="AD6082" s="13">
        <v>42872</v>
      </c>
      <c r="AE6082" s="12" t="s">
        <v>134</v>
      </c>
      <c r="AF6082" s="12" t="s">
        <v>2752</v>
      </c>
      <c r="AG6082" s="12" t="s">
        <v>17393</v>
      </c>
      <c r="AH6082" s="1">
        <f>HYPERLINK("https://my.pitchbook.com?c=136624-33T","View Company Online")</f>
      </c>
    </row>
    <row r="6083">
      <c r="A6083" s="3" t="s">
        <v>28016</v>
      </c>
      <c r="B6083" s="3" t="s">
        <v>13957</v>
      </c>
      <c r="C6083" s="5" t="s">
        <v>36</v>
      </c>
      <c r="D6083" s="5" t="s">
        <v>36</v>
      </c>
      <c r="E6083" s="5" t="s">
        <v>36</v>
      </c>
      <c r="F6083" s="5" t="s">
        <v>36</v>
      </c>
      <c r="G6083" s="6" t="s">
        <v>36</v>
      </c>
      <c r="H6083" s="4">
        <v>48.81</v>
      </c>
      <c r="I6083" s="7">
        <v>32.57</v>
      </c>
      <c r="J6083" s="3" t="s">
        <v>521</v>
      </c>
      <c r="K6083" s="9" t="s">
        <v>36</v>
      </c>
      <c r="L6083" s="6" t="s">
        <v>36</v>
      </c>
      <c r="M6083" s="3" t="s">
        <v>36</v>
      </c>
      <c r="N6083" s="3" t="s">
        <v>36</v>
      </c>
      <c r="O6083" s="8" t="s">
        <v>36</v>
      </c>
      <c r="P6083" s="3" t="s">
        <v>36</v>
      </c>
      <c r="Q6083" s="3" t="s">
        <v>36</v>
      </c>
      <c r="R6083" s="3" t="s">
        <v>36</v>
      </c>
      <c r="S6083" s="3" t="s">
        <v>36</v>
      </c>
      <c r="T6083" s="3" t="s">
        <v>13958</v>
      </c>
      <c r="U6083" s="3" t="s">
        <v>180</v>
      </c>
      <c r="V6083" s="3" t="s">
        <v>52</v>
      </c>
      <c r="W6083" s="3" t="s">
        <v>13959</v>
      </c>
      <c r="X6083" s="10" t="s">
        <v>28017</v>
      </c>
      <c r="Y6083" s="6" t="s">
        <v>42</v>
      </c>
      <c r="Z6083" s="4">
        <v>1.05</v>
      </c>
      <c r="AA6083" s="4">
        <v>3.24</v>
      </c>
      <c r="AB6083" s="3" t="s">
        <v>43</v>
      </c>
      <c r="AC6083" s="3" t="s">
        <v>13961</v>
      </c>
      <c r="AD6083" s="9">
        <v>42872</v>
      </c>
      <c r="AE6083" s="3" t="s">
        <v>8291</v>
      </c>
      <c r="AF6083" s="3" t="s">
        <v>7086</v>
      </c>
      <c r="AG6083" s="3" t="s">
        <v>47</v>
      </c>
      <c r="AH6083" s="11">
        <f>HYPERLINK("https://my.pitchbook.com?c=102397-60T","View Company Online")</f>
      </c>
    </row>
    <row r="6084">
      <c r="A6084" s="12" t="s">
        <v>28018</v>
      </c>
      <c r="B6084" s="12" t="s">
        <v>28019</v>
      </c>
      <c r="C6084" s="19" t="s">
        <v>36</v>
      </c>
      <c r="D6084" s="19" t="s">
        <v>36</v>
      </c>
      <c r="E6084" s="19" t="s">
        <v>36</v>
      </c>
      <c r="F6084" s="19" t="s">
        <v>36</v>
      </c>
      <c r="G6084" s="15" t="s">
        <v>36</v>
      </c>
      <c r="H6084" s="14" t="s">
        <v>36</v>
      </c>
      <c r="I6084" s="18">
        <v>32.73</v>
      </c>
      <c r="J6084" s="12" t="s">
        <v>327</v>
      </c>
      <c r="K6084" s="13" t="s">
        <v>36</v>
      </c>
      <c r="L6084" s="15" t="s">
        <v>36</v>
      </c>
      <c r="M6084" s="12" t="s">
        <v>36</v>
      </c>
      <c r="N6084" s="12" t="s">
        <v>36</v>
      </c>
      <c r="O6084" s="17" t="s">
        <v>36</v>
      </c>
      <c r="P6084" s="12" t="s">
        <v>36</v>
      </c>
      <c r="Q6084" s="12" t="s">
        <v>36</v>
      </c>
      <c r="R6084" s="12" t="s">
        <v>36</v>
      </c>
      <c r="S6084" s="12" t="s">
        <v>36</v>
      </c>
      <c r="T6084" s="12" t="s">
        <v>522</v>
      </c>
      <c r="U6084" s="12" t="s">
        <v>38</v>
      </c>
      <c r="V6084" s="12" t="s">
        <v>39</v>
      </c>
      <c r="W6084" s="12" t="s">
        <v>28020</v>
      </c>
      <c r="X6084" s="16" t="s">
        <v>28021</v>
      </c>
      <c r="Y6084" s="15" t="s">
        <v>42</v>
      </c>
      <c r="Z6084" s="14">
        <v>1.09</v>
      </c>
      <c r="AA6084" s="14">
        <v>3.33</v>
      </c>
      <c r="AB6084" s="12" t="s">
        <v>43</v>
      </c>
      <c r="AC6084" s="12" t="s">
        <v>28022</v>
      </c>
      <c r="AD6084" s="13">
        <v>42872</v>
      </c>
      <c r="AE6084" s="12" t="s">
        <v>110</v>
      </c>
      <c r="AF6084" s="12" t="s">
        <v>1401</v>
      </c>
      <c r="AG6084" s="12" t="s">
        <v>186</v>
      </c>
      <c r="AH6084" s="1">
        <f>HYPERLINK("https://my.pitchbook.com?c=138833-11T","View Company Online")</f>
      </c>
    </row>
    <row r="6085">
      <c r="A6085" s="3" t="s">
        <v>28023</v>
      </c>
      <c r="B6085" s="3" t="s">
        <v>28024</v>
      </c>
      <c r="C6085" s="5" t="s">
        <v>36</v>
      </c>
      <c r="D6085" s="5" t="s">
        <v>36</v>
      </c>
      <c r="E6085" s="5" t="s">
        <v>36</v>
      </c>
      <c r="F6085" s="5" t="s">
        <v>36</v>
      </c>
      <c r="G6085" s="6" t="s">
        <v>36</v>
      </c>
      <c r="H6085" s="4" t="s">
        <v>36</v>
      </c>
      <c r="I6085" s="7" t="s">
        <v>36</v>
      </c>
      <c r="J6085" s="3" t="s">
        <v>36</v>
      </c>
      <c r="K6085" s="9" t="s">
        <v>36</v>
      </c>
      <c r="L6085" s="6" t="s">
        <v>122</v>
      </c>
      <c r="M6085" s="3" t="s">
        <v>36</v>
      </c>
      <c r="N6085" s="3" t="s">
        <v>122</v>
      </c>
      <c r="O6085" s="8" t="s">
        <v>36</v>
      </c>
      <c r="P6085" s="3" t="s">
        <v>36</v>
      </c>
      <c r="Q6085" s="3" t="s">
        <v>36</v>
      </c>
      <c r="R6085" s="3" t="s">
        <v>36</v>
      </c>
      <c r="S6085" s="3" t="s">
        <v>36</v>
      </c>
      <c r="T6085" s="3" t="s">
        <v>5302</v>
      </c>
      <c r="U6085" s="3" t="s">
        <v>74</v>
      </c>
      <c r="V6085" s="3" t="s">
        <v>75</v>
      </c>
      <c r="W6085" s="3" t="s">
        <v>28025</v>
      </c>
      <c r="X6085" s="10" t="s">
        <v>28026</v>
      </c>
      <c r="Y6085" s="6" t="s">
        <v>108</v>
      </c>
      <c r="Z6085" s="4">
        <v>8.8</v>
      </c>
      <c r="AA6085" s="4" t="s">
        <v>36</v>
      </c>
      <c r="AB6085" s="3" t="s">
        <v>43</v>
      </c>
      <c r="AC6085" s="3" t="s">
        <v>28027</v>
      </c>
      <c r="AD6085" s="9">
        <v>42871</v>
      </c>
      <c r="AE6085" s="3" t="s">
        <v>362</v>
      </c>
      <c r="AF6085" s="3" t="s">
        <v>468</v>
      </c>
      <c r="AG6085" s="3" t="s">
        <v>81</v>
      </c>
      <c r="AH6085" s="11">
        <f>HYPERLINK("https://my.pitchbook.com?c=87719-95T","View Company Online")</f>
      </c>
    </row>
    <row r="6086">
      <c r="A6086" s="12" t="s">
        <v>28028</v>
      </c>
      <c r="B6086" s="12" t="s">
        <v>28029</v>
      </c>
      <c r="C6086" s="19" t="s">
        <v>36</v>
      </c>
      <c r="D6086" s="19" t="s">
        <v>36</v>
      </c>
      <c r="E6086" s="19" t="s">
        <v>36</v>
      </c>
      <c r="F6086" s="19" t="s">
        <v>36</v>
      </c>
      <c r="G6086" s="15" t="s">
        <v>36</v>
      </c>
      <c r="H6086" s="14" t="s">
        <v>36</v>
      </c>
      <c r="I6086" s="18" t="s">
        <v>36</v>
      </c>
      <c r="J6086" s="12" t="s">
        <v>36</v>
      </c>
      <c r="K6086" s="13" t="s">
        <v>36</v>
      </c>
      <c r="L6086" s="15" t="s">
        <v>36</v>
      </c>
      <c r="M6086" s="12" t="s">
        <v>36</v>
      </c>
      <c r="N6086" s="12" t="s">
        <v>36</v>
      </c>
      <c r="O6086" s="17" t="s">
        <v>36</v>
      </c>
      <c r="P6086" s="12" t="s">
        <v>36</v>
      </c>
      <c r="Q6086" s="12" t="s">
        <v>36</v>
      </c>
      <c r="R6086" s="12" t="s">
        <v>36</v>
      </c>
      <c r="S6086" s="12" t="s">
        <v>36</v>
      </c>
      <c r="T6086" s="12" t="s">
        <v>28030</v>
      </c>
      <c r="U6086" s="12" t="s">
        <v>38</v>
      </c>
      <c r="V6086" s="12" t="s">
        <v>39</v>
      </c>
      <c r="W6086" s="12" t="s">
        <v>28031</v>
      </c>
      <c r="X6086" s="16" t="s">
        <v>28032</v>
      </c>
      <c r="Y6086" s="15" t="s">
        <v>108</v>
      </c>
      <c r="Z6086" s="14">
        <v>8.7</v>
      </c>
      <c r="AA6086" s="14" t="s">
        <v>36</v>
      </c>
      <c r="AB6086" s="12" t="s">
        <v>43</v>
      </c>
      <c r="AC6086" s="12" t="s">
        <v>28033</v>
      </c>
      <c r="AD6086" s="13">
        <v>42870</v>
      </c>
      <c r="AE6086" s="12" t="s">
        <v>110</v>
      </c>
      <c r="AF6086" s="12" t="s">
        <v>28034</v>
      </c>
      <c r="AG6086" s="12" t="s">
        <v>81</v>
      </c>
      <c r="AH6086" s="1">
        <f>HYPERLINK("https://my.pitchbook.com?c=87689-44T","View Company Online")</f>
      </c>
    </row>
    <row r="6087">
      <c r="A6087" s="3" t="s">
        <v>28035</v>
      </c>
      <c r="B6087" s="3" t="s">
        <v>4748</v>
      </c>
      <c r="C6087" s="5" t="s">
        <v>36</v>
      </c>
      <c r="D6087" s="5" t="s">
        <v>36</v>
      </c>
      <c r="E6087" s="5" t="s">
        <v>36</v>
      </c>
      <c r="F6087" s="5" t="s">
        <v>36</v>
      </c>
      <c r="G6087" s="6" t="s">
        <v>326</v>
      </c>
      <c r="H6087" s="4">
        <v>6.93</v>
      </c>
      <c r="I6087" s="7">
        <v>44.88</v>
      </c>
      <c r="J6087" s="3" t="s">
        <v>521</v>
      </c>
      <c r="K6087" s="9" t="s">
        <v>36</v>
      </c>
      <c r="L6087" s="6" t="s">
        <v>1862</v>
      </c>
      <c r="M6087" s="3" t="s">
        <v>36</v>
      </c>
      <c r="N6087" s="3" t="s">
        <v>1862</v>
      </c>
      <c r="O6087" s="8" t="s">
        <v>36</v>
      </c>
      <c r="P6087" s="3" t="s">
        <v>36</v>
      </c>
      <c r="Q6087" s="3" t="s">
        <v>36</v>
      </c>
      <c r="R6087" s="3" t="s">
        <v>36</v>
      </c>
      <c r="S6087" s="3" t="s">
        <v>36</v>
      </c>
      <c r="T6087" s="3" t="s">
        <v>881</v>
      </c>
      <c r="U6087" s="3" t="s">
        <v>51</v>
      </c>
      <c r="V6087" s="3" t="s">
        <v>52</v>
      </c>
      <c r="W6087" s="3" t="s">
        <v>4749</v>
      </c>
      <c r="X6087" s="10" t="s">
        <v>28036</v>
      </c>
      <c r="Y6087" s="6" t="s">
        <v>108</v>
      </c>
      <c r="Z6087" s="4">
        <v>8.23</v>
      </c>
      <c r="AA6087" s="4">
        <v>18.34</v>
      </c>
      <c r="AB6087" s="3" t="s">
        <v>43</v>
      </c>
      <c r="AC6087" s="3" t="s">
        <v>4751</v>
      </c>
      <c r="AD6087" s="9">
        <v>42866</v>
      </c>
      <c r="AE6087" s="3" t="s">
        <v>504</v>
      </c>
      <c r="AF6087" s="3" t="s">
        <v>159</v>
      </c>
      <c r="AG6087" s="3" t="s">
        <v>81</v>
      </c>
      <c r="AH6087" s="11">
        <f>HYPERLINK("https://my.pitchbook.com?c=135580-69T","View Company Online")</f>
      </c>
    </row>
    <row r="6088">
      <c r="A6088" s="12" t="s">
        <v>28037</v>
      </c>
      <c r="B6088" s="12" t="s">
        <v>26110</v>
      </c>
      <c r="C6088" s="19" t="s">
        <v>36</v>
      </c>
      <c r="D6088" s="19" t="s">
        <v>36</v>
      </c>
      <c r="E6088" s="19" t="s">
        <v>36</v>
      </c>
      <c r="F6088" s="19" t="s">
        <v>36</v>
      </c>
      <c r="G6088" s="15" t="s">
        <v>326</v>
      </c>
      <c r="H6088" s="14">
        <v>684.28</v>
      </c>
      <c r="I6088" s="18">
        <v>19.62</v>
      </c>
      <c r="J6088" s="12" t="s">
        <v>521</v>
      </c>
      <c r="K6088" s="13" t="s">
        <v>36</v>
      </c>
      <c r="L6088" s="15" t="s">
        <v>122</v>
      </c>
      <c r="M6088" s="12" t="s">
        <v>36</v>
      </c>
      <c r="N6088" s="12" t="s">
        <v>122</v>
      </c>
      <c r="O6088" s="17" t="s">
        <v>36</v>
      </c>
      <c r="P6088" s="12" t="s">
        <v>36</v>
      </c>
      <c r="Q6088" s="12" t="s">
        <v>36</v>
      </c>
      <c r="R6088" s="12" t="s">
        <v>36</v>
      </c>
      <c r="S6088" s="12" t="s">
        <v>36</v>
      </c>
      <c r="T6088" s="12" t="s">
        <v>26111</v>
      </c>
      <c r="U6088" s="12" t="s">
        <v>63</v>
      </c>
      <c r="V6088" s="12" t="s">
        <v>64</v>
      </c>
      <c r="W6088" s="12" t="s">
        <v>26112</v>
      </c>
      <c r="X6088" s="16" t="s">
        <v>28038</v>
      </c>
      <c r="Y6088" s="15" t="s">
        <v>108</v>
      </c>
      <c r="Z6088" s="14">
        <v>2.17</v>
      </c>
      <c r="AA6088" s="14">
        <v>11.04</v>
      </c>
      <c r="AB6088" s="12" t="s">
        <v>43</v>
      </c>
      <c r="AC6088" s="12" t="s">
        <v>26114</v>
      </c>
      <c r="AD6088" s="13">
        <v>42866</v>
      </c>
      <c r="AE6088" s="12" t="s">
        <v>68</v>
      </c>
      <c r="AF6088" s="12" t="s">
        <v>26115</v>
      </c>
      <c r="AG6088" s="12" t="s">
        <v>26116</v>
      </c>
      <c r="AH6088" s="1">
        <f>HYPERLINK("https://my.pitchbook.com?c=93689-02T","View Company Online")</f>
      </c>
    </row>
    <row r="6089">
      <c r="A6089" s="3" t="s">
        <v>28039</v>
      </c>
      <c r="B6089" s="3" t="s">
        <v>28040</v>
      </c>
      <c r="C6089" s="5" t="s">
        <v>36</v>
      </c>
      <c r="D6089" s="5" t="s">
        <v>36</v>
      </c>
      <c r="E6089" s="5" t="s">
        <v>36</v>
      </c>
      <c r="F6089" s="5" t="s">
        <v>36</v>
      </c>
      <c r="G6089" s="6" t="s">
        <v>2497</v>
      </c>
      <c r="H6089" s="4">
        <v>1142.42</v>
      </c>
      <c r="I6089" s="7">
        <v>7.65</v>
      </c>
      <c r="J6089" s="3" t="s">
        <v>521</v>
      </c>
      <c r="K6089" s="9">
        <v>42845</v>
      </c>
      <c r="L6089" s="6" t="s">
        <v>36</v>
      </c>
      <c r="M6089" s="3" t="s">
        <v>36</v>
      </c>
      <c r="N6089" s="3" t="s">
        <v>36</v>
      </c>
      <c r="O6089" s="8" t="s">
        <v>36</v>
      </c>
      <c r="P6089" s="3" t="s">
        <v>36</v>
      </c>
      <c r="Q6089" s="3" t="s">
        <v>36</v>
      </c>
      <c r="R6089" s="3" t="s">
        <v>36</v>
      </c>
      <c r="S6089" s="3" t="s">
        <v>36</v>
      </c>
      <c r="T6089" s="3" t="s">
        <v>3907</v>
      </c>
      <c r="U6089" s="3" t="s">
        <v>279</v>
      </c>
      <c r="V6089" s="3" t="s">
        <v>64</v>
      </c>
      <c r="W6089" s="3" t="s">
        <v>28041</v>
      </c>
      <c r="X6089" s="10" t="s">
        <v>8174</v>
      </c>
      <c r="Y6089" s="6" t="s">
        <v>55</v>
      </c>
      <c r="Z6089" s="4">
        <v>0.76</v>
      </c>
      <c r="AA6089" s="4">
        <v>6.45</v>
      </c>
      <c r="AB6089" s="3" t="s">
        <v>56</v>
      </c>
      <c r="AC6089" s="3" t="s">
        <v>28042</v>
      </c>
      <c r="AD6089" s="9">
        <v>42866</v>
      </c>
      <c r="AE6089" s="3" t="s">
        <v>851</v>
      </c>
      <c r="AF6089" s="3" t="s">
        <v>28043</v>
      </c>
      <c r="AG6089" s="3" t="s">
        <v>81</v>
      </c>
      <c r="AH6089" s="11">
        <f>HYPERLINK("https://my.pitchbook.com?c=94313-53T","View Company Online")</f>
      </c>
    </row>
    <row r="6090">
      <c r="A6090" s="12" t="s">
        <v>28044</v>
      </c>
      <c r="B6090" s="12" t="s">
        <v>17160</v>
      </c>
      <c r="C6090" s="19">
        <v>4</v>
      </c>
      <c r="D6090" s="19">
        <v>2</v>
      </c>
      <c r="E6090" s="19">
        <v>5</v>
      </c>
      <c r="F6090" s="19">
        <v>9</v>
      </c>
      <c r="G6090" s="15" t="s">
        <v>326</v>
      </c>
      <c r="H6090" s="14">
        <v>751.38</v>
      </c>
      <c r="I6090" s="18">
        <v>10</v>
      </c>
      <c r="J6090" s="12" t="s">
        <v>521</v>
      </c>
      <c r="K6090" s="13" t="s">
        <v>36</v>
      </c>
      <c r="L6090" s="15" t="s">
        <v>94</v>
      </c>
      <c r="M6090" s="12" t="s">
        <v>36</v>
      </c>
      <c r="N6090" s="12" t="s">
        <v>94</v>
      </c>
      <c r="O6090" s="17" t="s">
        <v>36</v>
      </c>
      <c r="P6090" s="12" t="s">
        <v>36</v>
      </c>
      <c r="Q6090" s="12" t="s">
        <v>36</v>
      </c>
      <c r="R6090" s="12" t="s">
        <v>36</v>
      </c>
      <c r="S6090" s="12" t="s">
        <v>36</v>
      </c>
      <c r="T6090" s="12" t="s">
        <v>2647</v>
      </c>
      <c r="U6090" s="12" t="s">
        <v>85</v>
      </c>
      <c r="V6090" s="12" t="s">
        <v>64</v>
      </c>
      <c r="W6090" s="12" t="s">
        <v>17161</v>
      </c>
      <c r="X6090" s="16" t="s">
        <v>11438</v>
      </c>
      <c r="Y6090" s="15" t="s">
        <v>55</v>
      </c>
      <c r="Z6090" s="14">
        <v>10.83</v>
      </c>
      <c r="AA6090" s="14">
        <v>108.27</v>
      </c>
      <c r="AB6090" s="12" t="s">
        <v>43</v>
      </c>
      <c r="AC6090" s="12" t="s">
        <v>17163</v>
      </c>
      <c r="AD6090" s="13">
        <v>42866</v>
      </c>
      <c r="AE6090" s="12" t="s">
        <v>1822</v>
      </c>
      <c r="AF6090" s="12" t="s">
        <v>12769</v>
      </c>
      <c r="AG6090" s="12" t="s">
        <v>47</v>
      </c>
      <c r="AH6090" s="1">
        <f>HYPERLINK("https://my.pitchbook.com?c=85745-98T","View Company Online")</f>
      </c>
    </row>
    <row r="6091">
      <c r="A6091" s="3" t="s">
        <v>28045</v>
      </c>
      <c r="B6091" s="3" t="s">
        <v>21523</v>
      </c>
      <c r="C6091" s="5" t="s">
        <v>36</v>
      </c>
      <c r="D6091" s="5" t="s">
        <v>36</v>
      </c>
      <c r="E6091" s="5" t="s">
        <v>36</v>
      </c>
      <c r="F6091" s="5" t="s">
        <v>36</v>
      </c>
      <c r="G6091" s="6" t="s">
        <v>326</v>
      </c>
      <c r="H6091" s="4">
        <v>5.24</v>
      </c>
      <c r="I6091" s="7">
        <v>23.09</v>
      </c>
      <c r="J6091" s="3" t="s">
        <v>521</v>
      </c>
      <c r="K6091" s="9" t="s">
        <v>36</v>
      </c>
      <c r="L6091" s="6" t="s">
        <v>36</v>
      </c>
      <c r="M6091" s="3" t="s">
        <v>36</v>
      </c>
      <c r="N6091" s="3" t="s">
        <v>36</v>
      </c>
      <c r="O6091" s="8" t="s">
        <v>36</v>
      </c>
      <c r="P6091" s="3" t="s">
        <v>36</v>
      </c>
      <c r="Q6091" s="3" t="s">
        <v>36</v>
      </c>
      <c r="R6091" s="3" t="s">
        <v>36</v>
      </c>
      <c r="S6091" s="3" t="s">
        <v>36</v>
      </c>
      <c r="T6091" s="3" t="s">
        <v>1106</v>
      </c>
      <c r="U6091" s="3" t="s">
        <v>38</v>
      </c>
      <c r="V6091" s="3" t="s">
        <v>39</v>
      </c>
      <c r="W6091" s="3" t="s">
        <v>21524</v>
      </c>
      <c r="X6091" s="10" t="s">
        <v>28046</v>
      </c>
      <c r="Y6091" s="6" t="s">
        <v>42</v>
      </c>
      <c r="Z6091" s="4">
        <v>2.16</v>
      </c>
      <c r="AA6091" s="4">
        <v>4.94</v>
      </c>
      <c r="AB6091" s="3" t="s">
        <v>43</v>
      </c>
      <c r="AC6091" s="3" t="s">
        <v>21526</v>
      </c>
      <c r="AD6091" s="9">
        <v>42864</v>
      </c>
      <c r="AE6091" s="3" t="s">
        <v>110</v>
      </c>
      <c r="AF6091" s="3" t="s">
        <v>8063</v>
      </c>
      <c r="AG6091" s="3" t="s">
        <v>21527</v>
      </c>
      <c r="AH6091" s="11">
        <f>HYPERLINK("https://my.pitchbook.com?c=138917-44T","View Company Online")</f>
      </c>
    </row>
    <row r="6092">
      <c r="A6092" s="12" t="s">
        <v>28047</v>
      </c>
      <c r="B6092" s="12" t="s">
        <v>28048</v>
      </c>
      <c r="C6092" s="19" t="s">
        <v>36</v>
      </c>
      <c r="D6092" s="19" t="s">
        <v>36</v>
      </c>
      <c r="E6092" s="19" t="s">
        <v>36</v>
      </c>
      <c r="F6092" s="19" t="s">
        <v>36</v>
      </c>
      <c r="G6092" s="15" t="s">
        <v>36</v>
      </c>
      <c r="H6092" s="14">
        <v>311.57</v>
      </c>
      <c r="I6092" s="18" t="s">
        <v>36</v>
      </c>
      <c r="J6092" s="12" t="s">
        <v>521</v>
      </c>
      <c r="K6092" s="13" t="s">
        <v>36</v>
      </c>
      <c r="L6092" s="15" t="s">
        <v>36</v>
      </c>
      <c r="M6092" s="12" t="s">
        <v>36</v>
      </c>
      <c r="N6092" s="12" t="s">
        <v>36</v>
      </c>
      <c r="O6092" s="17" t="s">
        <v>36</v>
      </c>
      <c r="P6092" s="12" t="s">
        <v>36</v>
      </c>
      <c r="Q6092" s="12" t="s">
        <v>36</v>
      </c>
      <c r="R6092" s="12" t="s">
        <v>36</v>
      </c>
      <c r="S6092" s="12" t="s">
        <v>36</v>
      </c>
      <c r="T6092" s="12" t="s">
        <v>1260</v>
      </c>
      <c r="U6092" s="12" t="s">
        <v>38</v>
      </c>
      <c r="V6092" s="12" t="s">
        <v>39</v>
      </c>
      <c r="W6092" s="12" t="s">
        <v>28049</v>
      </c>
      <c r="X6092" s="16" t="s">
        <v>28050</v>
      </c>
      <c r="Y6092" s="15" t="s">
        <v>42</v>
      </c>
      <c r="Z6092" s="14">
        <v>1.3</v>
      </c>
      <c r="AA6092" s="14">
        <v>4.54</v>
      </c>
      <c r="AB6092" s="12" t="s">
        <v>43</v>
      </c>
      <c r="AC6092" s="12" t="s">
        <v>28051</v>
      </c>
      <c r="AD6092" s="13">
        <v>42864</v>
      </c>
      <c r="AE6092" s="12" t="s">
        <v>110</v>
      </c>
      <c r="AF6092" s="12" t="s">
        <v>28052</v>
      </c>
      <c r="AG6092" s="12" t="s">
        <v>81</v>
      </c>
      <c r="AH6092" s="1">
        <f>HYPERLINK("https://my.pitchbook.com?c=107428-33T","View Company Online")</f>
      </c>
    </row>
    <row r="6093">
      <c r="A6093" s="3" t="s">
        <v>28053</v>
      </c>
      <c r="B6093" s="3" t="s">
        <v>21295</v>
      </c>
      <c r="C6093" s="5">
        <v>12</v>
      </c>
      <c r="D6093" s="5">
        <v>40</v>
      </c>
      <c r="E6093" s="5">
        <v>8</v>
      </c>
      <c r="F6093" s="5">
        <v>52</v>
      </c>
      <c r="G6093" s="6" t="s">
        <v>36</v>
      </c>
      <c r="H6093" s="4" t="s">
        <v>36</v>
      </c>
      <c r="I6093" s="7" t="s">
        <v>36</v>
      </c>
      <c r="J6093" s="3" t="s">
        <v>36</v>
      </c>
      <c r="K6093" s="9" t="s">
        <v>36</v>
      </c>
      <c r="L6093" s="6" t="s">
        <v>36</v>
      </c>
      <c r="M6093" s="3" t="s">
        <v>36</v>
      </c>
      <c r="N6093" s="3" t="s">
        <v>36</v>
      </c>
      <c r="O6093" s="8" t="s">
        <v>36</v>
      </c>
      <c r="P6093" s="3" t="s">
        <v>36</v>
      </c>
      <c r="Q6093" s="3" t="s">
        <v>36</v>
      </c>
      <c r="R6093" s="3" t="s">
        <v>36</v>
      </c>
      <c r="S6093" s="3" t="s">
        <v>36</v>
      </c>
      <c r="T6093" s="3" t="s">
        <v>13085</v>
      </c>
      <c r="U6093" s="3" t="s">
        <v>96</v>
      </c>
      <c r="V6093" s="3" t="s">
        <v>52</v>
      </c>
      <c r="W6093" s="3" t="s">
        <v>21296</v>
      </c>
      <c r="X6093" s="10" t="s">
        <v>28054</v>
      </c>
      <c r="Y6093" s="6" t="s">
        <v>108</v>
      </c>
      <c r="Z6093" s="4">
        <v>1.33</v>
      </c>
      <c r="AA6093" s="4" t="s">
        <v>36</v>
      </c>
      <c r="AB6093" s="3" t="s">
        <v>43</v>
      </c>
      <c r="AC6093" s="3" t="s">
        <v>21298</v>
      </c>
      <c r="AD6093" s="9">
        <v>42864</v>
      </c>
      <c r="AE6093" s="3" t="s">
        <v>496</v>
      </c>
      <c r="AF6093" s="3" t="s">
        <v>579</v>
      </c>
      <c r="AG6093" s="3" t="s">
        <v>186</v>
      </c>
      <c r="AH6093" s="11">
        <f>HYPERLINK("https://my.pitchbook.com?c=108118-81T","View Company Online")</f>
      </c>
    </row>
    <row r="6094">
      <c r="A6094" s="12" t="s">
        <v>28055</v>
      </c>
      <c r="B6094" s="12" t="s">
        <v>28056</v>
      </c>
      <c r="C6094" s="19" t="s">
        <v>36</v>
      </c>
      <c r="D6094" s="19" t="s">
        <v>36</v>
      </c>
      <c r="E6094" s="19" t="s">
        <v>36</v>
      </c>
      <c r="F6094" s="19" t="s">
        <v>36</v>
      </c>
      <c r="G6094" s="15" t="s">
        <v>36</v>
      </c>
      <c r="H6094" s="14" t="s">
        <v>36</v>
      </c>
      <c r="I6094" s="18" t="s">
        <v>36</v>
      </c>
      <c r="J6094" s="12" t="s">
        <v>36</v>
      </c>
      <c r="K6094" s="13" t="s">
        <v>36</v>
      </c>
      <c r="L6094" s="15" t="s">
        <v>36</v>
      </c>
      <c r="M6094" s="12" t="s">
        <v>36</v>
      </c>
      <c r="N6094" s="12" t="s">
        <v>36</v>
      </c>
      <c r="O6094" s="17" t="s">
        <v>36</v>
      </c>
      <c r="P6094" s="12" t="s">
        <v>36</v>
      </c>
      <c r="Q6094" s="12" t="s">
        <v>36</v>
      </c>
      <c r="R6094" s="12" t="s">
        <v>36</v>
      </c>
      <c r="S6094" s="12" t="s">
        <v>36</v>
      </c>
      <c r="T6094" s="12" t="s">
        <v>28057</v>
      </c>
      <c r="U6094" s="12" t="s">
        <v>63</v>
      </c>
      <c r="V6094" s="12" t="s">
        <v>64</v>
      </c>
      <c r="W6094" s="12" t="s">
        <v>28058</v>
      </c>
      <c r="X6094" s="16" t="s">
        <v>28059</v>
      </c>
      <c r="Y6094" s="15" t="s">
        <v>42</v>
      </c>
      <c r="Z6094" s="14" t="s">
        <v>36</v>
      </c>
      <c r="AA6094" s="14" t="s">
        <v>36</v>
      </c>
      <c r="AB6094" s="12" t="s">
        <v>43</v>
      </c>
      <c r="AC6094" s="12" t="s">
        <v>28060</v>
      </c>
      <c r="AD6094" s="13">
        <v>42864</v>
      </c>
      <c r="AE6094" s="12" t="s">
        <v>399</v>
      </c>
      <c r="AF6094" s="12" t="s">
        <v>18630</v>
      </c>
      <c r="AG6094" s="12" t="s">
        <v>81</v>
      </c>
      <c r="AH6094" s="1">
        <f>HYPERLINK("https://my.pitchbook.com?c=122789-62T","View Company Online")</f>
      </c>
    </row>
    <row r="6095">
      <c r="A6095" s="3" t="s">
        <v>28061</v>
      </c>
      <c r="B6095" s="3" t="s">
        <v>28062</v>
      </c>
      <c r="C6095" s="5" t="s">
        <v>36</v>
      </c>
      <c r="D6095" s="5" t="s">
        <v>36</v>
      </c>
      <c r="E6095" s="5" t="s">
        <v>36</v>
      </c>
      <c r="F6095" s="5" t="s">
        <v>36</v>
      </c>
      <c r="G6095" s="6" t="s">
        <v>36</v>
      </c>
      <c r="H6095" s="4">
        <v>10.58</v>
      </c>
      <c r="I6095" s="7">
        <v>19.99</v>
      </c>
      <c r="J6095" s="3" t="s">
        <v>521</v>
      </c>
      <c r="K6095" s="9" t="s">
        <v>36</v>
      </c>
      <c r="L6095" s="6" t="s">
        <v>36</v>
      </c>
      <c r="M6095" s="3" t="s">
        <v>36</v>
      </c>
      <c r="N6095" s="3" t="s">
        <v>36</v>
      </c>
      <c r="O6095" s="8" t="s">
        <v>36</v>
      </c>
      <c r="P6095" s="3" t="s">
        <v>36</v>
      </c>
      <c r="Q6095" s="3" t="s">
        <v>36</v>
      </c>
      <c r="R6095" s="3" t="s">
        <v>36</v>
      </c>
      <c r="S6095" s="3" t="s">
        <v>36</v>
      </c>
      <c r="T6095" s="3" t="s">
        <v>28063</v>
      </c>
      <c r="U6095" s="3" t="s">
        <v>74</v>
      </c>
      <c r="V6095" s="3" t="s">
        <v>75</v>
      </c>
      <c r="W6095" s="3" t="s">
        <v>28064</v>
      </c>
      <c r="X6095" s="10" t="s">
        <v>28065</v>
      </c>
      <c r="Y6095" s="6" t="s">
        <v>108</v>
      </c>
      <c r="Z6095" s="4">
        <v>0.65</v>
      </c>
      <c r="AA6095" s="4">
        <v>1.62</v>
      </c>
      <c r="AB6095" s="3" t="s">
        <v>56</v>
      </c>
      <c r="AC6095" s="3" t="s">
        <v>28066</v>
      </c>
      <c r="AD6095" s="9">
        <v>42860</v>
      </c>
      <c r="AE6095" s="3" t="s">
        <v>975</v>
      </c>
      <c r="AF6095" s="3" t="s">
        <v>36</v>
      </c>
      <c r="AG6095" s="3" t="s">
        <v>47</v>
      </c>
      <c r="AH6095" s="11">
        <f>HYPERLINK("https://my.pitchbook.com?c=101505-25T","View Company Online")</f>
      </c>
    </row>
    <row r="6096">
      <c r="A6096" s="12" t="s">
        <v>28067</v>
      </c>
      <c r="B6096" s="12" t="s">
        <v>21830</v>
      </c>
      <c r="C6096" s="19" t="s">
        <v>36</v>
      </c>
      <c r="D6096" s="19" t="s">
        <v>36</v>
      </c>
      <c r="E6096" s="19" t="s">
        <v>36</v>
      </c>
      <c r="F6096" s="19" t="s">
        <v>36</v>
      </c>
      <c r="G6096" s="15" t="s">
        <v>683</v>
      </c>
      <c r="H6096" s="14">
        <v>3.82</v>
      </c>
      <c r="I6096" s="18">
        <v>17.97</v>
      </c>
      <c r="J6096" s="12" t="s">
        <v>521</v>
      </c>
      <c r="K6096" s="13" t="s">
        <v>36</v>
      </c>
      <c r="L6096" s="15" t="s">
        <v>36</v>
      </c>
      <c r="M6096" s="12" t="s">
        <v>36</v>
      </c>
      <c r="N6096" s="12" t="s">
        <v>36</v>
      </c>
      <c r="O6096" s="17" t="s">
        <v>36</v>
      </c>
      <c r="P6096" s="12" t="s">
        <v>36</v>
      </c>
      <c r="Q6096" s="12" t="s">
        <v>36</v>
      </c>
      <c r="R6096" s="12" t="s">
        <v>36</v>
      </c>
      <c r="S6096" s="12" t="s">
        <v>36</v>
      </c>
      <c r="T6096" s="12" t="s">
        <v>21831</v>
      </c>
      <c r="U6096" s="12" t="s">
        <v>38</v>
      </c>
      <c r="V6096" s="12" t="s">
        <v>39</v>
      </c>
      <c r="W6096" s="12" t="s">
        <v>21832</v>
      </c>
      <c r="X6096" s="16" t="s">
        <v>21833</v>
      </c>
      <c r="Y6096" s="15" t="s">
        <v>108</v>
      </c>
      <c r="Z6096" s="14">
        <v>1.01</v>
      </c>
      <c r="AA6096" s="14">
        <v>5.61</v>
      </c>
      <c r="AB6096" s="12" t="s">
        <v>43</v>
      </c>
      <c r="AC6096" s="12" t="s">
        <v>21834</v>
      </c>
      <c r="AD6096" s="13">
        <v>42859</v>
      </c>
      <c r="AE6096" s="12" t="s">
        <v>110</v>
      </c>
      <c r="AF6096" s="12" t="s">
        <v>4552</v>
      </c>
      <c r="AG6096" s="12" t="s">
        <v>765</v>
      </c>
      <c r="AH6096" s="1">
        <f>HYPERLINK("https://my.pitchbook.com?c=252139-24T","View Company Online")</f>
      </c>
    </row>
    <row r="6097">
      <c r="A6097" s="3" t="s">
        <v>28068</v>
      </c>
      <c r="B6097" s="3" t="s">
        <v>5110</v>
      </c>
      <c r="C6097" s="5">
        <v>11</v>
      </c>
      <c r="D6097" s="5">
        <v>21</v>
      </c>
      <c r="E6097" s="5">
        <v>7</v>
      </c>
      <c r="F6097" s="5">
        <v>32</v>
      </c>
      <c r="G6097" s="6" t="s">
        <v>36</v>
      </c>
      <c r="H6097" s="4">
        <v>207.71</v>
      </c>
      <c r="I6097" s="7">
        <v>42.16</v>
      </c>
      <c r="J6097" s="3" t="s">
        <v>521</v>
      </c>
      <c r="K6097" s="9" t="s">
        <v>36</v>
      </c>
      <c r="L6097" s="6" t="s">
        <v>36</v>
      </c>
      <c r="M6097" s="3" t="s">
        <v>36</v>
      </c>
      <c r="N6097" s="3" t="s">
        <v>36</v>
      </c>
      <c r="O6097" s="8" t="s">
        <v>36</v>
      </c>
      <c r="P6097" s="3" t="s">
        <v>36</v>
      </c>
      <c r="Q6097" s="3" t="s">
        <v>36</v>
      </c>
      <c r="R6097" s="3" t="s">
        <v>36</v>
      </c>
      <c r="S6097" s="3" t="s">
        <v>36</v>
      </c>
      <c r="T6097" s="3" t="s">
        <v>2121</v>
      </c>
      <c r="U6097" s="3" t="s">
        <v>387</v>
      </c>
      <c r="V6097" s="3" t="s">
        <v>367</v>
      </c>
      <c r="W6097" s="3" t="s">
        <v>5111</v>
      </c>
      <c r="X6097" s="10" t="s">
        <v>28069</v>
      </c>
      <c r="Y6097" s="6" t="s">
        <v>42</v>
      </c>
      <c r="Z6097" s="4">
        <v>1.57</v>
      </c>
      <c r="AA6097" s="4">
        <v>3.72</v>
      </c>
      <c r="AB6097" s="3" t="s">
        <v>43</v>
      </c>
      <c r="AC6097" s="3" t="s">
        <v>5113</v>
      </c>
      <c r="AD6097" s="9">
        <v>42859</v>
      </c>
      <c r="AE6097" s="3" t="s">
        <v>391</v>
      </c>
      <c r="AF6097" s="3" t="s">
        <v>871</v>
      </c>
      <c r="AG6097" s="3" t="s">
        <v>5114</v>
      </c>
      <c r="AH6097" s="11">
        <f>HYPERLINK("https://my.pitchbook.com?c=87562-72T","View Company Online")</f>
      </c>
    </row>
    <row r="6098">
      <c r="A6098" s="12" t="s">
        <v>28070</v>
      </c>
      <c r="B6098" s="12" t="s">
        <v>23081</v>
      </c>
      <c r="C6098" s="19">
        <v>10</v>
      </c>
      <c r="D6098" s="19">
        <v>3</v>
      </c>
      <c r="E6098" s="19">
        <v>4</v>
      </c>
      <c r="F6098" s="19">
        <v>16</v>
      </c>
      <c r="G6098" s="15" t="s">
        <v>36</v>
      </c>
      <c r="H6098" s="14" t="s">
        <v>36</v>
      </c>
      <c r="I6098" s="18" t="s">
        <v>36</v>
      </c>
      <c r="J6098" s="12" t="s">
        <v>36</v>
      </c>
      <c r="K6098" s="13" t="s">
        <v>36</v>
      </c>
      <c r="L6098" s="15" t="s">
        <v>122</v>
      </c>
      <c r="M6098" s="12" t="s">
        <v>36</v>
      </c>
      <c r="N6098" s="12" t="s">
        <v>122</v>
      </c>
      <c r="O6098" s="17" t="s">
        <v>36</v>
      </c>
      <c r="P6098" s="12" t="s">
        <v>36</v>
      </c>
      <c r="Q6098" s="12" t="s">
        <v>36</v>
      </c>
      <c r="R6098" s="12" t="s">
        <v>36</v>
      </c>
      <c r="S6098" s="12" t="s">
        <v>36</v>
      </c>
      <c r="T6098" s="12" t="s">
        <v>2321</v>
      </c>
      <c r="U6098" s="12" t="s">
        <v>51</v>
      </c>
      <c r="V6098" s="12" t="s">
        <v>52</v>
      </c>
      <c r="W6098" s="12" t="s">
        <v>23082</v>
      </c>
      <c r="X6098" s="16" t="s">
        <v>28071</v>
      </c>
      <c r="Y6098" s="15" t="s">
        <v>42</v>
      </c>
      <c r="Z6098" s="14">
        <v>41</v>
      </c>
      <c r="AA6098" s="14" t="s">
        <v>36</v>
      </c>
      <c r="AB6098" s="12" t="s">
        <v>43</v>
      </c>
      <c r="AC6098" s="12" t="s">
        <v>23084</v>
      </c>
      <c r="AD6098" s="13">
        <v>42859</v>
      </c>
      <c r="AE6098" s="12" t="s">
        <v>504</v>
      </c>
      <c r="AF6098" s="12" t="s">
        <v>159</v>
      </c>
      <c r="AG6098" s="12" t="s">
        <v>81</v>
      </c>
      <c r="AH6098" s="1">
        <f>HYPERLINK("https://my.pitchbook.com?c=87246-91T","View Company Online")</f>
      </c>
    </row>
    <row r="6099">
      <c r="A6099" s="3" t="s">
        <v>28072</v>
      </c>
      <c r="B6099" s="3" t="s">
        <v>28073</v>
      </c>
      <c r="C6099" s="5" t="s">
        <v>36</v>
      </c>
      <c r="D6099" s="5" t="s">
        <v>36</v>
      </c>
      <c r="E6099" s="5" t="s">
        <v>36</v>
      </c>
      <c r="F6099" s="5" t="s">
        <v>36</v>
      </c>
      <c r="G6099" s="6" t="s">
        <v>36</v>
      </c>
      <c r="H6099" s="4" t="s">
        <v>36</v>
      </c>
      <c r="I6099" s="7" t="s">
        <v>36</v>
      </c>
      <c r="J6099" s="3" t="s">
        <v>36</v>
      </c>
      <c r="K6099" s="9" t="s">
        <v>36</v>
      </c>
      <c r="L6099" s="6" t="s">
        <v>36</v>
      </c>
      <c r="M6099" s="3" t="s">
        <v>36</v>
      </c>
      <c r="N6099" s="3" t="s">
        <v>36</v>
      </c>
      <c r="O6099" s="8" t="s">
        <v>36</v>
      </c>
      <c r="P6099" s="3" t="s">
        <v>36</v>
      </c>
      <c r="Q6099" s="3" t="s">
        <v>36</v>
      </c>
      <c r="R6099" s="3" t="s">
        <v>36</v>
      </c>
      <c r="S6099" s="3" t="s">
        <v>36</v>
      </c>
      <c r="T6099" s="3" t="s">
        <v>6989</v>
      </c>
      <c r="U6099" s="3" t="s">
        <v>63</v>
      </c>
      <c r="V6099" s="3" t="s">
        <v>64</v>
      </c>
      <c r="W6099" s="3" t="s">
        <v>28074</v>
      </c>
      <c r="X6099" s="10" t="s">
        <v>28075</v>
      </c>
      <c r="Y6099" s="6" t="s">
        <v>42</v>
      </c>
      <c r="Z6099" s="4">
        <v>4.3</v>
      </c>
      <c r="AA6099" s="4" t="s">
        <v>36</v>
      </c>
      <c r="AB6099" s="3" t="s">
        <v>56</v>
      </c>
      <c r="AC6099" s="3" t="s">
        <v>28076</v>
      </c>
      <c r="AD6099" s="9">
        <v>42858</v>
      </c>
      <c r="AE6099" s="3" t="s">
        <v>68</v>
      </c>
      <c r="AF6099" s="3" t="s">
        <v>1636</v>
      </c>
      <c r="AG6099" s="3" t="s">
        <v>3115</v>
      </c>
      <c r="AH6099" s="11">
        <f>HYPERLINK("https://my.pitchbook.com?c=87518-08T","View Company Online")</f>
      </c>
    </row>
    <row r="6100">
      <c r="A6100" s="12" t="s">
        <v>28077</v>
      </c>
      <c r="B6100" s="12" t="s">
        <v>28078</v>
      </c>
      <c r="C6100" s="19" t="s">
        <v>36</v>
      </c>
      <c r="D6100" s="19" t="s">
        <v>36</v>
      </c>
      <c r="E6100" s="19" t="s">
        <v>36</v>
      </c>
      <c r="F6100" s="19" t="s">
        <v>36</v>
      </c>
      <c r="G6100" s="15" t="s">
        <v>326</v>
      </c>
      <c r="H6100" s="14">
        <v>540.05</v>
      </c>
      <c r="I6100" s="18">
        <v>23.09</v>
      </c>
      <c r="J6100" s="12" t="s">
        <v>521</v>
      </c>
      <c r="K6100" s="13" t="s">
        <v>36</v>
      </c>
      <c r="L6100" s="15" t="s">
        <v>122</v>
      </c>
      <c r="M6100" s="12" t="s">
        <v>36</v>
      </c>
      <c r="N6100" s="12" t="s">
        <v>122</v>
      </c>
      <c r="O6100" s="17" t="s">
        <v>36</v>
      </c>
      <c r="P6100" s="12" t="s">
        <v>36</v>
      </c>
      <c r="Q6100" s="12" t="s">
        <v>36</v>
      </c>
      <c r="R6100" s="12" t="s">
        <v>36</v>
      </c>
      <c r="S6100" s="12" t="s">
        <v>36</v>
      </c>
      <c r="T6100" s="12" t="s">
        <v>62</v>
      </c>
      <c r="U6100" s="12" t="s">
        <v>63</v>
      </c>
      <c r="V6100" s="12" t="s">
        <v>64</v>
      </c>
      <c r="W6100" s="12" t="s">
        <v>28079</v>
      </c>
      <c r="X6100" s="16" t="s">
        <v>28080</v>
      </c>
      <c r="Y6100" s="15" t="s">
        <v>108</v>
      </c>
      <c r="Z6100" s="14">
        <v>4.3</v>
      </c>
      <c r="AA6100" s="14">
        <v>12.64</v>
      </c>
      <c r="AB6100" s="12" t="s">
        <v>56</v>
      </c>
      <c r="AC6100" s="12" t="s">
        <v>28081</v>
      </c>
      <c r="AD6100" s="13">
        <v>42858</v>
      </c>
      <c r="AE6100" s="12" t="s">
        <v>68</v>
      </c>
      <c r="AF6100" s="12" t="s">
        <v>6417</v>
      </c>
      <c r="AG6100" s="12" t="s">
        <v>81</v>
      </c>
      <c r="AH6100" s="1">
        <f>HYPERLINK("https://my.pitchbook.com?c=87190-21T","View Company Online")</f>
      </c>
    </row>
    <row r="6101">
      <c r="A6101" s="3" t="s">
        <v>28082</v>
      </c>
      <c r="B6101" s="3" t="s">
        <v>12039</v>
      </c>
      <c r="C6101" s="5">
        <v>25</v>
      </c>
      <c r="D6101" s="5">
        <v>12</v>
      </c>
      <c r="E6101" s="5">
        <v>6</v>
      </c>
      <c r="F6101" s="5">
        <v>37</v>
      </c>
      <c r="G6101" s="6" t="s">
        <v>326</v>
      </c>
      <c r="H6101" s="4">
        <v>207.71</v>
      </c>
      <c r="I6101" s="7">
        <v>42.44</v>
      </c>
      <c r="J6101" s="3" t="s">
        <v>521</v>
      </c>
      <c r="K6101" s="9" t="s">
        <v>36</v>
      </c>
      <c r="L6101" s="6" t="s">
        <v>122</v>
      </c>
      <c r="M6101" s="3" t="s">
        <v>36</v>
      </c>
      <c r="N6101" s="3" t="s">
        <v>122</v>
      </c>
      <c r="O6101" s="8" t="s">
        <v>36</v>
      </c>
      <c r="P6101" s="3" t="s">
        <v>36</v>
      </c>
      <c r="Q6101" s="3" t="s">
        <v>36</v>
      </c>
      <c r="R6101" s="3" t="s">
        <v>36</v>
      </c>
      <c r="S6101" s="3" t="s">
        <v>36</v>
      </c>
      <c r="T6101" s="3" t="s">
        <v>881</v>
      </c>
      <c r="U6101" s="3" t="s">
        <v>51</v>
      </c>
      <c r="V6101" s="3" t="s">
        <v>52</v>
      </c>
      <c r="W6101" s="3" t="s">
        <v>12040</v>
      </c>
      <c r="X6101" s="10" t="s">
        <v>28083</v>
      </c>
      <c r="Y6101" s="6" t="s">
        <v>108</v>
      </c>
      <c r="Z6101" s="4">
        <v>21.47</v>
      </c>
      <c r="AA6101" s="4">
        <v>48.07</v>
      </c>
      <c r="AB6101" s="3" t="s">
        <v>43</v>
      </c>
      <c r="AC6101" s="3" t="s">
        <v>12042</v>
      </c>
      <c r="AD6101" s="9">
        <v>42857</v>
      </c>
      <c r="AE6101" s="3" t="s">
        <v>504</v>
      </c>
      <c r="AF6101" s="3" t="s">
        <v>3193</v>
      </c>
      <c r="AG6101" s="3" t="s">
        <v>899</v>
      </c>
      <c r="AH6101" s="11">
        <f>HYPERLINK("https://my.pitchbook.com?c=87129-46T","View Company Online")</f>
      </c>
    </row>
    <row r="6102">
      <c r="A6102" s="12" t="s">
        <v>28084</v>
      </c>
      <c r="B6102" s="12" t="s">
        <v>28085</v>
      </c>
      <c r="C6102" s="19" t="s">
        <v>36</v>
      </c>
      <c r="D6102" s="19" t="s">
        <v>36</v>
      </c>
      <c r="E6102" s="19" t="s">
        <v>36</v>
      </c>
      <c r="F6102" s="19" t="s">
        <v>36</v>
      </c>
      <c r="G6102" s="15" t="s">
        <v>36</v>
      </c>
      <c r="H6102" s="14" t="s">
        <v>36</v>
      </c>
      <c r="I6102" s="18" t="s">
        <v>36</v>
      </c>
      <c r="J6102" s="12" t="s">
        <v>36</v>
      </c>
      <c r="K6102" s="13" t="s">
        <v>36</v>
      </c>
      <c r="L6102" s="15" t="s">
        <v>36</v>
      </c>
      <c r="M6102" s="12" t="s">
        <v>36</v>
      </c>
      <c r="N6102" s="12" t="s">
        <v>36</v>
      </c>
      <c r="O6102" s="17" t="s">
        <v>36</v>
      </c>
      <c r="P6102" s="12" t="s">
        <v>36</v>
      </c>
      <c r="Q6102" s="12" t="s">
        <v>36</v>
      </c>
      <c r="R6102" s="12" t="s">
        <v>36</v>
      </c>
      <c r="S6102" s="12" t="s">
        <v>36</v>
      </c>
      <c r="T6102" s="12" t="s">
        <v>28086</v>
      </c>
      <c r="U6102" s="12" t="s">
        <v>233</v>
      </c>
      <c r="V6102" s="12" t="s">
        <v>39</v>
      </c>
      <c r="W6102" s="12" t="s">
        <v>28087</v>
      </c>
      <c r="X6102" s="16" t="s">
        <v>5661</v>
      </c>
      <c r="Y6102" s="15" t="s">
        <v>108</v>
      </c>
      <c r="Z6102" s="14" t="s">
        <v>36</v>
      </c>
      <c r="AA6102" s="14" t="s">
        <v>36</v>
      </c>
      <c r="AB6102" s="12" t="s">
        <v>56</v>
      </c>
      <c r="AC6102" s="12" t="s">
        <v>28088</v>
      </c>
      <c r="AD6102" s="13">
        <v>42856</v>
      </c>
      <c r="AE6102" s="12" t="s">
        <v>236</v>
      </c>
      <c r="AF6102" s="12" t="s">
        <v>1636</v>
      </c>
      <c r="AG6102" s="12" t="s">
        <v>8939</v>
      </c>
      <c r="AH6102" s="1">
        <f>HYPERLINK("https://my.pitchbook.com?c=72851-32T","View Company Online")</f>
      </c>
    </row>
    <row r="6103">
      <c r="A6103" s="3" t="s">
        <v>28089</v>
      </c>
      <c r="B6103" s="3" t="s">
        <v>28090</v>
      </c>
      <c r="C6103" s="5" t="s">
        <v>36</v>
      </c>
      <c r="D6103" s="5" t="s">
        <v>36</v>
      </c>
      <c r="E6103" s="5" t="s">
        <v>36</v>
      </c>
      <c r="F6103" s="5" t="s">
        <v>36</v>
      </c>
      <c r="G6103" s="6" t="s">
        <v>36</v>
      </c>
      <c r="H6103" s="4" t="s">
        <v>36</v>
      </c>
      <c r="I6103" s="7" t="s">
        <v>36</v>
      </c>
      <c r="J6103" s="3" t="s">
        <v>36</v>
      </c>
      <c r="K6103" s="9" t="s">
        <v>36</v>
      </c>
      <c r="L6103" s="6" t="s">
        <v>36</v>
      </c>
      <c r="M6103" s="3" t="s">
        <v>36</v>
      </c>
      <c r="N6103" s="3" t="s">
        <v>36</v>
      </c>
      <c r="O6103" s="8" t="s">
        <v>36</v>
      </c>
      <c r="P6103" s="3" t="s">
        <v>36</v>
      </c>
      <c r="Q6103" s="3" t="s">
        <v>36</v>
      </c>
      <c r="R6103" s="3" t="s">
        <v>36</v>
      </c>
      <c r="S6103" s="3" t="s">
        <v>36</v>
      </c>
      <c r="T6103" s="3" t="s">
        <v>3226</v>
      </c>
      <c r="U6103" s="3" t="s">
        <v>38</v>
      </c>
      <c r="V6103" s="3" t="s">
        <v>39</v>
      </c>
      <c r="W6103" s="3" t="s">
        <v>28091</v>
      </c>
      <c r="X6103" s="10" t="s">
        <v>19985</v>
      </c>
      <c r="Y6103" s="6" t="s">
        <v>42</v>
      </c>
      <c r="Z6103" s="4">
        <v>0.54</v>
      </c>
      <c r="AA6103" s="4" t="s">
        <v>36</v>
      </c>
      <c r="AB6103" s="3" t="s">
        <v>43</v>
      </c>
      <c r="AC6103" s="3" t="s">
        <v>28092</v>
      </c>
      <c r="AD6103" s="9">
        <v>42856</v>
      </c>
      <c r="AE6103" s="3" t="s">
        <v>110</v>
      </c>
      <c r="AF6103" s="3" t="s">
        <v>176</v>
      </c>
      <c r="AG6103" s="3" t="s">
        <v>11409</v>
      </c>
      <c r="AH6103" s="11">
        <f>HYPERLINK("https://my.pitchbook.com?c=105728-32T","View Company Online")</f>
      </c>
    </row>
    <row r="6104">
      <c r="A6104" s="12" t="s">
        <v>28093</v>
      </c>
      <c r="B6104" s="12" t="s">
        <v>18342</v>
      </c>
      <c r="C6104" s="19">
        <v>9</v>
      </c>
      <c r="D6104" s="19">
        <v>25</v>
      </c>
      <c r="E6104" s="19">
        <v>6</v>
      </c>
      <c r="F6104" s="19">
        <v>34</v>
      </c>
      <c r="G6104" s="15" t="s">
        <v>36</v>
      </c>
      <c r="H6104" s="14">
        <v>5.3</v>
      </c>
      <c r="I6104" s="18">
        <v>54.63</v>
      </c>
      <c r="J6104" s="12" t="s">
        <v>521</v>
      </c>
      <c r="K6104" s="13" t="s">
        <v>36</v>
      </c>
      <c r="L6104" s="15" t="s">
        <v>122</v>
      </c>
      <c r="M6104" s="12" t="s">
        <v>36</v>
      </c>
      <c r="N6104" s="12" t="s">
        <v>122</v>
      </c>
      <c r="O6104" s="17" t="s">
        <v>36</v>
      </c>
      <c r="P6104" s="12" t="s">
        <v>36</v>
      </c>
      <c r="Q6104" s="12" t="s">
        <v>36</v>
      </c>
      <c r="R6104" s="12" t="s">
        <v>36</v>
      </c>
      <c r="S6104" s="12" t="s">
        <v>36</v>
      </c>
      <c r="T6104" s="12" t="s">
        <v>7561</v>
      </c>
      <c r="U6104" s="12" t="s">
        <v>366</v>
      </c>
      <c r="V6104" s="12" t="s">
        <v>367</v>
      </c>
      <c r="W6104" s="12" t="s">
        <v>18343</v>
      </c>
      <c r="X6104" s="16" t="s">
        <v>28094</v>
      </c>
      <c r="Y6104" s="15" t="s">
        <v>108</v>
      </c>
      <c r="Z6104" s="14">
        <v>6.44</v>
      </c>
      <c r="AA6104" s="14">
        <v>11.78</v>
      </c>
      <c r="AB6104" s="12" t="s">
        <v>43</v>
      </c>
      <c r="AC6104" s="12" t="s">
        <v>18345</v>
      </c>
      <c r="AD6104" s="13">
        <v>42856</v>
      </c>
      <c r="AE6104" s="12" t="s">
        <v>7565</v>
      </c>
      <c r="AF6104" s="12" t="s">
        <v>18346</v>
      </c>
      <c r="AG6104" s="12" t="s">
        <v>9060</v>
      </c>
      <c r="AH6104" s="1">
        <f>HYPERLINK("https://my.pitchbook.com?c=73034-20T","View Company Online")</f>
      </c>
    </row>
    <row r="6105">
      <c r="A6105" s="3" t="s">
        <v>28095</v>
      </c>
      <c r="B6105" s="3" t="s">
        <v>28096</v>
      </c>
      <c r="C6105" s="5" t="s">
        <v>36</v>
      </c>
      <c r="D6105" s="5">
        <v>1</v>
      </c>
      <c r="E6105" s="5">
        <v>1</v>
      </c>
      <c r="F6105" s="5">
        <v>2</v>
      </c>
      <c r="G6105" s="6" t="s">
        <v>36</v>
      </c>
      <c r="H6105" s="4" t="s">
        <v>36</v>
      </c>
      <c r="I6105" s="7" t="s">
        <v>36</v>
      </c>
      <c r="J6105" s="3" t="s">
        <v>36</v>
      </c>
      <c r="K6105" s="9" t="s">
        <v>36</v>
      </c>
      <c r="L6105" s="6" t="s">
        <v>36</v>
      </c>
      <c r="M6105" s="3" t="s">
        <v>36</v>
      </c>
      <c r="N6105" s="3" t="s">
        <v>36</v>
      </c>
      <c r="O6105" s="8" t="s">
        <v>36</v>
      </c>
      <c r="P6105" s="3" t="s">
        <v>36</v>
      </c>
      <c r="Q6105" s="3" t="s">
        <v>36</v>
      </c>
      <c r="R6105" s="3" t="s">
        <v>36</v>
      </c>
      <c r="S6105" s="3" t="s">
        <v>36</v>
      </c>
      <c r="T6105" s="3" t="s">
        <v>5576</v>
      </c>
      <c r="U6105" s="3" t="s">
        <v>38</v>
      </c>
      <c r="V6105" s="3" t="s">
        <v>39</v>
      </c>
      <c r="W6105" s="3" t="s">
        <v>28097</v>
      </c>
      <c r="X6105" s="10" t="s">
        <v>28098</v>
      </c>
      <c r="Y6105" s="6" t="s">
        <v>108</v>
      </c>
      <c r="Z6105" s="4">
        <v>1.61</v>
      </c>
      <c r="AA6105" s="4" t="s">
        <v>36</v>
      </c>
      <c r="AB6105" s="3" t="s">
        <v>43</v>
      </c>
      <c r="AC6105" s="3" t="s">
        <v>28099</v>
      </c>
      <c r="AD6105" s="9">
        <v>42856</v>
      </c>
      <c r="AE6105" s="3" t="s">
        <v>110</v>
      </c>
      <c r="AF6105" s="3" t="s">
        <v>3974</v>
      </c>
      <c r="AG6105" s="3" t="s">
        <v>373</v>
      </c>
      <c r="AH6105" s="11">
        <f>HYPERLINK("https://my.pitchbook.com?c=156202-03T","View Company Online")</f>
      </c>
    </row>
    <row r="6106">
      <c r="A6106" s="12" t="s">
        <v>28100</v>
      </c>
      <c r="B6106" s="12" t="s">
        <v>26317</v>
      </c>
      <c r="C6106" s="19" t="s">
        <v>36</v>
      </c>
      <c r="D6106" s="19" t="s">
        <v>36</v>
      </c>
      <c r="E6106" s="19" t="s">
        <v>36</v>
      </c>
      <c r="F6106" s="19" t="s">
        <v>36</v>
      </c>
      <c r="G6106" s="15" t="s">
        <v>36</v>
      </c>
      <c r="H6106" s="14">
        <v>70.83</v>
      </c>
      <c r="I6106" s="18">
        <v>14.75</v>
      </c>
      <c r="J6106" s="12" t="s">
        <v>521</v>
      </c>
      <c r="K6106" s="13" t="s">
        <v>36</v>
      </c>
      <c r="L6106" s="15" t="s">
        <v>122</v>
      </c>
      <c r="M6106" s="12" t="s">
        <v>36</v>
      </c>
      <c r="N6106" s="12" t="s">
        <v>122</v>
      </c>
      <c r="O6106" s="17" t="s">
        <v>36</v>
      </c>
      <c r="P6106" s="12" t="s">
        <v>36</v>
      </c>
      <c r="Q6106" s="12" t="s">
        <v>36</v>
      </c>
      <c r="R6106" s="12" t="s">
        <v>36</v>
      </c>
      <c r="S6106" s="12" t="s">
        <v>36</v>
      </c>
      <c r="T6106" s="12" t="s">
        <v>26318</v>
      </c>
      <c r="U6106" s="12" t="s">
        <v>279</v>
      </c>
      <c r="V6106" s="12" t="s">
        <v>64</v>
      </c>
      <c r="W6106" s="12" t="s">
        <v>26319</v>
      </c>
      <c r="X6106" s="16" t="s">
        <v>28101</v>
      </c>
      <c r="Y6106" s="15" t="s">
        <v>108</v>
      </c>
      <c r="Z6106" s="14">
        <v>1.27</v>
      </c>
      <c r="AA6106" s="14">
        <v>8.58</v>
      </c>
      <c r="AB6106" s="12" t="s">
        <v>43</v>
      </c>
      <c r="AC6106" s="12" t="s">
        <v>26321</v>
      </c>
      <c r="AD6106" s="13">
        <v>42856</v>
      </c>
      <c r="AE6106" s="12" t="s">
        <v>283</v>
      </c>
      <c r="AF6106" s="12" t="s">
        <v>215</v>
      </c>
      <c r="AG6106" s="12" t="s">
        <v>81</v>
      </c>
      <c r="AH6106" s="1">
        <f>HYPERLINK("https://my.pitchbook.com?c=103321-18T","View Company Online")</f>
      </c>
    </row>
    <row r="6107">
      <c r="A6107" s="3" t="s">
        <v>28102</v>
      </c>
      <c r="B6107" s="3" t="s">
        <v>28103</v>
      </c>
      <c r="C6107" s="5" t="s">
        <v>36</v>
      </c>
      <c r="D6107" s="5">
        <v>7</v>
      </c>
      <c r="E6107" s="5">
        <v>1</v>
      </c>
      <c r="F6107" s="5">
        <v>8</v>
      </c>
      <c r="G6107" s="6" t="s">
        <v>36</v>
      </c>
      <c r="H6107" s="4" t="s">
        <v>36</v>
      </c>
      <c r="I6107" s="7" t="s">
        <v>36</v>
      </c>
      <c r="J6107" s="3" t="s">
        <v>36</v>
      </c>
      <c r="K6107" s="9" t="s">
        <v>36</v>
      </c>
      <c r="L6107" s="6" t="s">
        <v>36</v>
      </c>
      <c r="M6107" s="3" t="s">
        <v>36</v>
      </c>
      <c r="N6107" s="3" t="s">
        <v>36</v>
      </c>
      <c r="O6107" s="8" t="s">
        <v>36</v>
      </c>
      <c r="P6107" s="3" t="s">
        <v>36</v>
      </c>
      <c r="Q6107" s="3" t="s">
        <v>36</v>
      </c>
      <c r="R6107" s="3" t="s">
        <v>36</v>
      </c>
      <c r="S6107" s="3" t="s">
        <v>36</v>
      </c>
      <c r="T6107" s="3" t="s">
        <v>28104</v>
      </c>
      <c r="U6107" s="3" t="s">
        <v>219</v>
      </c>
      <c r="V6107" s="3" t="s">
        <v>75</v>
      </c>
      <c r="W6107" s="3" t="s">
        <v>28105</v>
      </c>
      <c r="X6107" s="10" t="s">
        <v>4794</v>
      </c>
      <c r="Y6107" s="6" t="s">
        <v>42</v>
      </c>
      <c r="Z6107" s="4" t="s">
        <v>36</v>
      </c>
      <c r="AA6107" s="4" t="s">
        <v>36</v>
      </c>
      <c r="AB6107" s="3" t="s">
        <v>43</v>
      </c>
      <c r="AC6107" s="3" t="s">
        <v>28106</v>
      </c>
      <c r="AD6107" s="9">
        <v>42856</v>
      </c>
      <c r="AE6107" s="3" t="s">
        <v>2914</v>
      </c>
      <c r="AF6107" s="3" t="s">
        <v>546</v>
      </c>
      <c r="AG6107" s="3" t="s">
        <v>1750</v>
      </c>
      <c r="AH6107" s="11">
        <f>HYPERLINK("https://my.pitchbook.com?c=140593-15T","View Company Online")</f>
      </c>
    </row>
    <row r="6108">
      <c r="A6108" s="12" t="s">
        <v>28107</v>
      </c>
      <c r="B6108" s="12" t="s">
        <v>28108</v>
      </c>
      <c r="C6108" s="19" t="s">
        <v>36</v>
      </c>
      <c r="D6108" s="19" t="s">
        <v>36</v>
      </c>
      <c r="E6108" s="19" t="s">
        <v>36</v>
      </c>
      <c r="F6108" s="19" t="s">
        <v>36</v>
      </c>
      <c r="G6108" s="15" t="s">
        <v>36</v>
      </c>
      <c r="H6108" s="14" t="s">
        <v>36</v>
      </c>
      <c r="I6108" s="18" t="s">
        <v>36</v>
      </c>
      <c r="J6108" s="12" t="s">
        <v>36</v>
      </c>
      <c r="K6108" s="13" t="s">
        <v>36</v>
      </c>
      <c r="L6108" s="15" t="s">
        <v>36</v>
      </c>
      <c r="M6108" s="12" t="s">
        <v>36</v>
      </c>
      <c r="N6108" s="12" t="s">
        <v>36</v>
      </c>
      <c r="O6108" s="17" t="s">
        <v>36</v>
      </c>
      <c r="P6108" s="12" t="s">
        <v>36</v>
      </c>
      <c r="Q6108" s="12" t="s">
        <v>36</v>
      </c>
      <c r="R6108" s="12" t="s">
        <v>36</v>
      </c>
      <c r="S6108" s="12" t="s">
        <v>36</v>
      </c>
      <c r="T6108" s="12" t="s">
        <v>1125</v>
      </c>
      <c r="U6108" s="12" t="s">
        <v>74</v>
      </c>
      <c r="V6108" s="12" t="s">
        <v>75</v>
      </c>
      <c r="W6108" s="12" t="s">
        <v>28109</v>
      </c>
      <c r="X6108" s="16" t="s">
        <v>28110</v>
      </c>
      <c r="Y6108" s="15" t="s">
        <v>42</v>
      </c>
      <c r="Z6108" s="14">
        <v>1.07</v>
      </c>
      <c r="AA6108" s="14" t="s">
        <v>36</v>
      </c>
      <c r="AB6108" s="12" t="s">
        <v>56</v>
      </c>
      <c r="AC6108" s="12" t="s">
        <v>28111</v>
      </c>
      <c r="AD6108" s="13">
        <v>42856</v>
      </c>
      <c r="AE6108" s="12" t="s">
        <v>975</v>
      </c>
      <c r="AF6108" s="12" t="s">
        <v>1115</v>
      </c>
      <c r="AG6108" s="12" t="s">
        <v>186</v>
      </c>
      <c r="AH6108" s="1">
        <f>HYPERLINK("https://my.pitchbook.com?c=138838-06T","View Company Online")</f>
      </c>
    </row>
    <row r="6109">
      <c r="A6109" s="3" t="s">
        <v>28112</v>
      </c>
      <c r="B6109" s="3" t="s">
        <v>28113</v>
      </c>
      <c r="C6109" s="5" t="s">
        <v>36</v>
      </c>
      <c r="D6109" s="5" t="s">
        <v>36</v>
      </c>
      <c r="E6109" s="5" t="s">
        <v>36</v>
      </c>
      <c r="F6109" s="5" t="s">
        <v>36</v>
      </c>
      <c r="G6109" s="6" t="s">
        <v>36</v>
      </c>
      <c r="H6109" s="4" t="s">
        <v>36</v>
      </c>
      <c r="I6109" s="7" t="s">
        <v>36</v>
      </c>
      <c r="J6109" s="3" t="s">
        <v>36</v>
      </c>
      <c r="K6109" s="9" t="s">
        <v>36</v>
      </c>
      <c r="L6109" s="6" t="s">
        <v>36</v>
      </c>
      <c r="M6109" s="3" t="s">
        <v>36</v>
      </c>
      <c r="N6109" s="3" t="s">
        <v>36</v>
      </c>
      <c r="O6109" s="8" t="s">
        <v>36</v>
      </c>
      <c r="P6109" s="3" t="s">
        <v>36</v>
      </c>
      <c r="Q6109" s="3" t="s">
        <v>36</v>
      </c>
      <c r="R6109" s="3" t="s">
        <v>36</v>
      </c>
      <c r="S6109" s="3" t="s">
        <v>36</v>
      </c>
      <c r="T6109" s="3" t="s">
        <v>4225</v>
      </c>
      <c r="U6109" s="3" t="s">
        <v>96</v>
      </c>
      <c r="V6109" s="3" t="s">
        <v>52</v>
      </c>
      <c r="W6109" s="3" t="s">
        <v>28114</v>
      </c>
      <c r="X6109" s="10" t="s">
        <v>23707</v>
      </c>
      <c r="Y6109" s="6" t="s">
        <v>166</v>
      </c>
      <c r="Z6109" s="4">
        <v>2.15</v>
      </c>
      <c r="AA6109" s="4" t="s">
        <v>36</v>
      </c>
      <c r="AB6109" s="3" t="s">
        <v>56</v>
      </c>
      <c r="AC6109" s="3" t="s">
        <v>28115</v>
      </c>
      <c r="AD6109" s="9">
        <v>42856</v>
      </c>
      <c r="AE6109" s="3" t="s">
        <v>143</v>
      </c>
      <c r="AF6109" s="3" t="s">
        <v>159</v>
      </c>
      <c r="AG6109" s="3" t="s">
        <v>2636</v>
      </c>
      <c r="AH6109" s="11">
        <f>HYPERLINK("https://my.pitchbook.com?c=134164-72T","View Company Online")</f>
      </c>
    </row>
    <row r="6110">
      <c r="A6110" s="12" t="s">
        <v>28116</v>
      </c>
      <c r="B6110" s="12" t="s">
        <v>28117</v>
      </c>
      <c r="C6110" s="19" t="s">
        <v>36</v>
      </c>
      <c r="D6110" s="19" t="s">
        <v>36</v>
      </c>
      <c r="E6110" s="19" t="s">
        <v>36</v>
      </c>
      <c r="F6110" s="19" t="s">
        <v>36</v>
      </c>
      <c r="G6110" s="15" t="s">
        <v>36</v>
      </c>
      <c r="H6110" s="14" t="s">
        <v>36</v>
      </c>
      <c r="I6110" s="18" t="s">
        <v>36</v>
      </c>
      <c r="J6110" s="12" t="s">
        <v>36</v>
      </c>
      <c r="K6110" s="13" t="s">
        <v>36</v>
      </c>
      <c r="L6110" s="15" t="s">
        <v>36</v>
      </c>
      <c r="M6110" s="12" t="s">
        <v>36</v>
      </c>
      <c r="N6110" s="12" t="s">
        <v>36</v>
      </c>
      <c r="O6110" s="17" t="s">
        <v>36</v>
      </c>
      <c r="P6110" s="12" t="s">
        <v>36</v>
      </c>
      <c r="Q6110" s="12" t="s">
        <v>36</v>
      </c>
      <c r="R6110" s="12" t="s">
        <v>36</v>
      </c>
      <c r="S6110" s="12" t="s">
        <v>36</v>
      </c>
      <c r="T6110" s="12" t="s">
        <v>28118</v>
      </c>
      <c r="U6110" s="12" t="s">
        <v>74</v>
      </c>
      <c r="V6110" s="12" t="s">
        <v>75</v>
      </c>
      <c r="W6110" s="12" t="s">
        <v>28119</v>
      </c>
      <c r="X6110" s="16" t="s">
        <v>28120</v>
      </c>
      <c r="Y6110" s="15" t="s">
        <v>42</v>
      </c>
      <c r="Z6110" s="14">
        <v>1.07</v>
      </c>
      <c r="AA6110" s="14" t="s">
        <v>36</v>
      </c>
      <c r="AB6110" s="12" t="s">
        <v>43</v>
      </c>
      <c r="AC6110" s="12" t="s">
        <v>28121</v>
      </c>
      <c r="AD6110" s="13">
        <v>42856</v>
      </c>
      <c r="AE6110" s="12" t="s">
        <v>3144</v>
      </c>
      <c r="AF6110" s="12" t="s">
        <v>36</v>
      </c>
      <c r="AG6110" s="12" t="s">
        <v>28122</v>
      </c>
      <c r="AH6110" s="1">
        <f>HYPERLINK("https://my.pitchbook.com?c=118270-09T","View Company Online")</f>
      </c>
    </row>
    <row r="6111">
      <c r="A6111" s="3" t="s">
        <v>28123</v>
      </c>
      <c r="B6111" s="3" t="s">
        <v>28124</v>
      </c>
      <c r="C6111" s="5" t="s">
        <v>36</v>
      </c>
      <c r="D6111" s="5">
        <v>2</v>
      </c>
      <c r="E6111" s="5">
        <v>1</v>
      </c>
      <c r="F6111" s="5">
        <v>2</v>
      </c>
      <c r="G6111" s="6" t="s">
        <v>36</v>
      </c>
      <c r="H6111" s="4">
        <v>314.69</v>
      </c>
      <c r="I6111" s="7">
        <v>33.31</v>
      </c>
      <c r="J6111" s="3" t="s">
        <v>521</v>
      </c>
      <c r="K6111" s="9" t="s">
        <v>36</v>
      </c>
      <c r="L6111" s="6" t="s">
        <v>36</v>
      </c>
      <c r="M6111" s="3" t="s">
        <v>36</v>
      </c>
      <c r="N6111" s="3" t="s">
        <v>36</v>
      </c>
      <c r="O6111" s="8" t="s">
        <v>36</v>
      </c>
      <c r="P6111" s="3" t="s">
        <v>36</v>
      </c>
      <c r="Q6111" s="3" t="s">
        <v>36</v>
      </c>
      <c r="R6111" s="3" t="s">
        <v>36</v>
      </c>
      <c r="S6111" s="3" t="s">
        <v>36</v>
      </c>
      <c r="T6111" s="3" t="s">
        <v>9456</v>
      </c>
      <c r="U6111" s="3" t="s">
        <v>63</v>
      </c>
      <c r="V6111" s="3" t="s">
        <v>64</v>
      </c>
      <c r="W6111" s="3" t="s">
        <v>28125</v>
      </c>
      <c r="X6111" s="10" t="s">
        <v>28126</v>
      </c>
      <c r="Y6111" s="6" t="s">
        <v>108</v>
      </c>
      <c r="Z6111" s="4">
        <v>0.43</v>
      </c>
      <c r="AA6111" s="4">
        <v>1.29</v>
      </c>
      <c r="AB6111" s="3" t="s">
        <v>43</v>
      </c>
      <c r="AC6111" s="3" t="s">
        <v>28127</v>
      </c>
      <c r="AD6111" s="9">
        <v>42856</v>
      </c>
      <c r="AE6111" s="3" t="s">
        <v>4310</v>
      </c>
      <c r="AF6111" s="3" t="s">
        <v>1216</v>
      </c>
      <c r="AG6111" s="3" t="s">
        <v>23170</v>
      </c>
      <c r="AH6111" s="11">
        <f>HYPERLINK("https://my.pitchbook.com?c=109362-16T","View Company Online")</f>
      </c>
    </row>
    <row r="6112">
      <c r="A6112" s="12" t="s">
        <v>28128</v>
      </c>
      <c r="B6112" s="12" t="s">
        <v>28129</v>
      </c>
      <c r="C6112" s="19" t="s">
        <v>36</v>
      </c>
      <c r="D6112" s="19" t="s">
        <v>36</v>
      </c>
      <c r="E6112" s="19" t="s">
        <v>36</v>
      </c>
      <c r="F6112" s="19" t="s">
        <v>36</v>
      </c>
      <c r="G6112" s="15" t="s">
        <v>683</v>
      </c>
      <c r="H6112" s="14">
        <v>0.09</v>
      </c>
      <c r="I6112" s="18">
        <v>20.38</v>
      </c>
      <c r="J6112" s="12" t="s">
        <v>521</v>
      </c>
      <c r="K6112" s="13" t="s">
        <v>36</v>
      </c>
      <c r="L6112" s="15" t="s">
        <v>36</v>
      </c>
      <c r="M6112" s="12" t="s">
        <v>36</v>
      </c>
      <c r="N6112" s="12" t="s">
        <v>36</v>
      </c>
      <c r="O6112" s="17" t="s">
        <v>36</v>
      </c>
      <c r="P6112" s="12" t="s">
        <v>36</v>
      </c>
      <c r="Q6112" s="12" t="s">
        <v>36</v>
      </c>
      <c r="R6112" s="12" t="s">
        <v>36</v>
      </c>
      <c r="S6112" s="12" t="s">
        <v>36</v>
      </c>
      <c r="T6112" s="12" t="s">
        <v>1106</v>
      </c>
      <c r="U6112" s="12" t="s">
        <v>38</v>
      </c>
      <c r="V6112" s="12" t="s">
        <v>39</v>
      </c>
      <c r="W6112" s="12" t="s">
        <v>28130</v>
      </c>
      <c r="X6112" s="16" t="s">
        <v>28131</v>
      </c>
      <c r="Y6112" s="15" t="s">
        <v>42</v>
      </c>
      <c r="Z6112" s="14">
        <v>0.61</v>
      </c>
      <c r="AA6112" s="14">
        <v>3.01</v>
      </c>
      <c r="AB6112" s="12" t="s">
        <v>43</v>
      </c>
      <c r="AC6112" s="12" t="s">
        <v>28132</v>
      </c>
      <c r="AD6112" s="13">
        <v>42856</v>
      </c>
      <c r="AE6112" s="12" t="s">
        <v>110</v>
      </c>
      <c r="AF6112" s="12" t="s">
        <v>6347</v>
      </c>
      <c r="AG6112" s="12" t="s">
        <v>1843</v>
      </c>
      <c r="AH6112" s="1">
        <f>HYPERLINK("https://my.pitchbook.com?c=106040-17T","View Company Online")</f>
      </c>
    </row>
    <row r="6113">
      <c r="A6113" s="3" t="s">
        <v>28133</v>
      </c>
      <c r="B6113" s="3" t="s">
        <v>28134</v>
      </c>
      <c r="C6113" s="5" t="s">
        <v>36</v>
      </c>
      <c r="D6113" s="5" t="s">
        <v>36</v>
      </c>
      <c r="E6113" s="5" t="s">
        <v>36</v>
      </c>
      <c r="F6113" s="5" t="s">
        <v>36</v>
      </c>
      <c r="G6113" s="6" t="s">
        <v>36</v>
      </c>
      <c r="H6113" s="4">
        <v>187.25</v>
      </c>
      <c r="I6113" s="7">
        <v>15.76</v>
      </c>
      <c r="J6113" s="3" t="s">
        <v>521</v>
      </c>
      <c r="K6113" s="9" t="s">
        <v>36</v>
      </c>
      <c r="L6113" s="6" t="s">
        <v>122</v>
      </c>
      <c r="M6113" s="3" t="s">
        <v>36</v>
      </c>
      <c r="N6113" s="3" t="s">
        <v>122</v>
      </c>
      <c r="O6113" s="8" t="s">
        <v>36</v>
      </c>
      <c r="P6113" s="3" t="s">
        <v>36</v>
      </c>
      <c r="Q6113" s="3" t="s">
        <v>36</v>
      </c>
      <c r="R6113" s="3" t="s">
        <v>36</v>
      </c>
      <c r="S6113" s="3" t="s">
        <v>36</v>
      </c>
      <c r="T6113" s="3" t="s">
        <v>2910</v>
      </c>
      <c r="U6113" s="3" t="s">
        <v>219</v>
      </c>
      <c r="V6113" s="3" t="s">
        <v>75</v>
      </c>
      <c r="W6113" s="3" t="s">
        <v>28135</v>
      </c>
      <c r="X6113" s="10" t="s">
        <v>28136</v>
      </c>
      <c r="Y6113" s="6" t="s">
        <v>42</v>
      </c>
      <c r="Z6113" s="4">
        <v>1.07</v>
      </c>
      <c r="AA6113" s="4">
        <v>3.58</v>
      </c>
      <c r="AB6113" s="3" t="s">
        <v>43</v>
      </c>
      <c r="AC6113" s="3" t="s">
        <v>28137</v>
      </c>
      <c r="AD6113" s="9">
        <v>42856</v>
      </c>
      <c r="AE6113" s="3" t="s">
        <v>2914</v>
      </c>
      <c r="AF6113" s="3" t="s">
        <v>1969</v>
      </c>
      <c r="AG6113" s="3" t="s">
        <v>28138</v>
      </c>
      <c r="AH6113" s="11">
        <f>HYPERLINK("https://my.pitchbook.com?c=89289-91T","View Company Online")</f>
      </c>
    </row>
    <row r="6114">
      <c r="A6114" s="12" t="s">
        <v>28139</v>
      </c>
      <c r="B6114" s="12" t="s">
        <v>28140</v>
      </c>
      <c r="C6114" s="19" t="s">
        <v>36</v>
      </c>
      <c r="D6114" s="19" t="s">
        <v>36</v>
      </c>
      <c r="E6114" s="19" t="s">
        <v>36</v>
      </c>
      <c r="F6114" s="19" t="s">
        <v>36</v>
      </c>
      <c r="G6114" s="15" t="s">
        <v>36</v>
      </c>
      <c r="H6114" s="14" t="s">
        <v>36</v>
      </c>
      <c r="I6114" s="18" t="s">
        <v>36</v>
      </c>
      <c r="J6114" s="12" t="s">
        <v>36</v>
      </c>
      <c r="K6114" s="13" t="s">
        <v>36</v>
      </c>
      <c r="L6114" s="15" t="s">
        <v>36</v>
      </c>
      <c r="M6114" s="12" t="s">
        <v>36</v>
      </c>
      <c r="N6114" s="12" t="s">
        <v>36</v>
      </c>
      <c r="O6114" s="17" t="s">
        <v>36</v>
      </c>
      <c r="P6114" s="12" t="s">
        <v>36</v>
      </c>
      <c r="Q6114" s="12" t="s">
        <v>36</v>
      </c>
      <c r="R6114" s="12" t="s">
        <v>36</v>
      </c>
      <c r="S6114" s="12" t="s">
        <v>36</v>
      </c>
      <c r="T6114" s="12" t="s">
        <v>18352</v>
      </c>
      <c r="U6114" s="12" t="s">
        <v>289</v>
      </c>
      <c r="V6114" s="12" t="s">
        <v>64</v>
      </c>
      <c r="W6114" s="12" t="s">
        <v>28141</v>
      </c>
      <c r="X6114" s="16" t="s">
        <v>28142</v>
      </c>
      <c r="Y6114" s="15" t="s">
        <v>192</v>
      </c>
      <c r="Z6114" s="14">
        <v>2.43</v>
      </c>
      <c r="AA6114" s="14" t="s">
        <v>36</v>
      </c>
      <c r="AB6114" s="12" t="s">
        <v>56</v>
      </c>
      <c r="AC6114" s="12" t="s">
        <v>28143</v>
      </c>
      <c r="AD6114" s="13">
        <v>42856</v>
      </c>
      <c r="AE6114" s="12" t="s">
        <v>3134</v>
      </c>
      <c r="AF6114" s="12" t="s">
        <v>2118</v>
      </c>
      <c r="AG6114" s="12" t="s">
        <v>969</v>
      </c>
      <c r="AH6114" s="1">
        <f>HYPERLINK("https://my.pitchbook.com?c=103111-03T","View Company Online")</f>
      </c>
    </row>
    <row r="6115">
      <c r="A6115" s="3" t="s">
        <v>28144</v>
      </c>
      <c r="B6115" s="3" t="s">
        <v>28145</v>
      </c>
      <c r="C6115" s="5" t="s">
        <v>36</v>
      </c>
      <c r="D6115" s="5" t="s">
        <v>36</v>
      </c>
      <c r="E6115" s="5" t="s">
        <v>36</v>
      </c>
      <c r="F6115" s="5" t="s">
        <v>36</v>
      </c>
      <c r="G6115" s="6" t="s">
        <v>36</v>
      </c>
      <c r="H6115" s="4" t="s">
        <v>36</v>
      </c>
      <c r="I6115" s="7" t="s">
        <v>36</v>
      </c>
      <c r="J6115" s="3" t="s">
        <v>36</v>
      </c>
      <c r="K6115" s="9" t="s">
        <v>36</v>
      </c>
      <c r="L6115" s="6" t="s">
        <v>36</v>
      </c>
      <c r="M6115" s="3" t="s">
        <v>36</v>
      </c>
      <c r="N6115" s="3" t="s">
        <v>36</v>
      </c>
      <c r="O6115" s="8" t="s">
        <v>36</v>
      </c>
      <c r="P6115" s="3" t="s">
        <v>36</v>
      </c>
      <c r="Q6115" s="3" t="s">
        <v>36</v>
      </c>
      <c r="R6115" s="3" t="s">
        <v>36</v>
      </c>
      <c r="S6115" s="3" t="s">
        <v>36</v>
      </c>
      <c r="T6115" s="3" t="s">
        <v>28146</v>
      </c>
      <c r="U6115" s="3" t="s">
        <v>289</v>
      </c>
      <c r="V6115" s="3" t="s">
        <v>64</v>
      </c>
      <c r="W6115" s="3" t="s">
        <v>28147</v>
      </c>
      <c r="X6115" s="10" t="s">
        <v>28148</v>
      </c>
      <c r="Y6115" s="6" t="s">
        <v>42</v>
      </c>
      <c r="Z6115" s="4" t="s">
        <v>36</v>
      </c>
      <c r="AA6115" s="4" t="s">
        <v>36</v>
      </c>
      <c r="AB6115" s="3" t="s">
        <v>43</v>
      </c>
      <c r="AC6115" s="3" t="s">
        <v>28149</v>
      </c>
      <c r="AD6115" s="9">
        <v>42856</v>
      </c>
      <c r="AE6115" s="3" t="s">
        <v>9563</v>
      </c>
      <c r="AF6115" s="3" t="s">
        <v>36</v>
      </c>
      <c r="AG6115" s="3" t="s">
        <v>741</v>
      </c>
      <c r="AH6115" s="11">
        <f>HYPERLINK("https://my.pitchbook.com?c=87228-28T","View Company Online")</f>
      </c>
    </row>
    <row r="6116">
      <c r="A6116" s="12" t="s">
        <v>28150</v>
      </c>
      <c r="B6116" s="12" t="s">
        <v>28151</v>
      </c>
      <c r="C6116" s="19" t="s">
        <v>36</v>
      </c>
      <c r="D6116" s="19" t="s">
        <v>36</v>
      </c>
      <c r="E6116" s="19" t="s">
        <v>36</v>
      </c>
      <c r="F6116" s="19" t="s">
        <v>36</v>
      </c>
      <c r="G6116" s="15" t="s">
        <v>2497</v>
      </c>
      <c r="H6116" s="14">
        <v>0.65</v>
      </c>
      <c r="I6116" s="18">
        <v>12.26</v>
      </c>
      <c r="J6116" s="12" t="s">
        <v>521</v>
      </c>
      <c r="K6116" s="13">
        <v>42836</v>
      </c>
      <c r="L6116" s="15" t="s">
        <v>36</v>
      </c>
      <c r="M6116" s="12" t="s">
        <v>36</v>
      </c>
      <c r="N6116" s="12" t="s">
        <v>36</v>
      </c>
      <c r="O6116" s="17" t="s">
        <v>36</v>
      </c>
      <c r="P6116" s="12" t="s">
        <v>36</v>
      </c>
      <c r="Q6116" s="12" t="s">
        <v>36</v>
      </c>
      <c r="R6116" s="12" t="s">
        <v>36</v>
      </c>
      <c r="S6116" s="12" t="s">
        <v>28152</v>
      </c>
      <c r="T6116" s="12" t="s">
        <v>123</v>
      </c>
      <c r="U6116" s="12" t="s">
        <v>38</v>
      </c>
      <c r="V6116" s="12" t="s">
        <v>39</v>
      </c>
      <c r="W6116" s="12" t="s">
        <v>28153</v>
      </c>
      <c r="X6116" s="16" t="s">
        <v>17352</v>
      </c>
      <c r="Y6116" s="15" t="s">
        <v>108</v>
      </c>
      <c r="Z6116" s="14">
        <v>0.2</v>
      </c>
      <c r="AA6116" s="14">
        <v>1.6</v>
      </c>
      <c r="AB6116" s="12" t="s">
        <v>56</v>
      </c>
      <c r="AC6116" s="12" t="s">
        <v>28154</v>
      </c>
      <c r="AD6116" s="13">
        <v>42852</v>
      </c>
      <c r="AE6116" s="12" t="s">
        <v>110</v>
      </c>
      <c r="AF6116" s="12" t="s">
        <v>111</v>
      </c>
      <c r="AG6116" s="12" t="s">
        <v>1193</v>
      </c>
      <c r="AH6116" s="1">
        <f>HYPERLINK("https://my.pitchbook.com?c=92047-33T","View Company Online")</f>
      </c>
    </row>
    <row r="6117">
      <c r="A6117" s="3" t="s">
        <v>28155</v>
      </c>
      <c r="B6117" s="3" t="s">
        <v>12271</v>
      </c>
      <c r="C6117" s="5" t="s">
        <v>36</v>
      </c>
      <c r="D6117" s="5" t="s">
        <v>36</v>
      </c>
      <c r="E6117" s="5" t="s">
        <v>36</v>
      </c>
      <c r="F6117" s="5" t="s">
        <v>36</v>
      </c>
      <c r="G6117" s="6" t="s">
        <v>36</v>
      </c>
      <c r="H6117" s="4">
        <v>469.43</v>
      </c>
      <c r="I6117" s="7">
        <v>29.96</v>
      </c>
      <c r="J6117" s="3" t="s">
        <v>521</v>
      </c>
      <c r="K6117" s="9" t="s">
        <v>36</v>
      </c>
      <c r="L6117" s="6" t="s">
        <v>36</v>
      </c>
      <c r="M6117" s="3" t="s">
        <v>36</v>
      </c>
      <c r="N6117" s="3" t="s">
        <v>36</v>
      </c>
      <c r="O6117" s="8" t="s">
        <v>36</v>
      </c>
      <c r="P6117" s="3" t="s">
        <v>36</v>
      </c>
      <c r="Q6117" s="3" t="s">
        <v>36</v>
      </c>
      <c r="R6117" s="3" t="s">
        <v>36</v>
      </c>
      <c r="S6117" s="3" t="s">
        <v>36</v>
      </c>
      <c r="T6117" s="3" t="s">
        <v>1048</v>
      </c>
      <c r="U6117" s="3" t="s">
        <v>423</v>
      </c>
      <c r="V6117" s="3" t="s">
        <v>64</v>
      </c>
      <c r="W6117" s="3" t="s">
        <v>12272</v>
      </c>
      <c r="X6117" s="10" t="s">
        <v>13436</v>
      </c>
      <c r="Y6117" s="6" t="s">
        <v>42</v>
      </c>
      <c r="Z6117" s="4">
        <v>0.32</v>
      </c>
      <c r="AA6117" s="4">
        <v>1.07</v>
      </c>
      <c r="AB6117" s="3" t="s">
        <v>43</v>
      </c>
      <c r="AC6117" s="3" t="s">
        <v>12274</v>
      </c>
      <c r="AD6117" s="9">
        <v>42852</v>
      </c>
      <c r="AE6117" s="3" t="s">
        <v>1051</v>
      </c>
      <c r="AF6117" s="3" t="s">
        <v>12275</v>
      </c>
      <c r="AG6117" s="3" t="s">
        <v>81</v>
      </c>
      <c r="AH6117" s="11">
        <f>HYPERLINK("https://my.pitchbook.com?c=130718-80T","View Company Online")</f>
      </c>
    </row>
    <row r="6118">
      <c r="A6118" s="12" t="s">
        <v>28156</v>
      </c>
      <c r="B6118" s="12" t="s">
        <v>22423</v>
      </c>
      <c r="C6118" s="19" t="s">
        <v>36</v>
      </c>
      <c r="D6118" s="19">
        <v>9</v>
      </c>
      <c r="E6118" s="19">
        <v>6</v>
      </c>
      <c r="F6118" s="19">
        <v>19</v>
      </c>
      <c r="G6118" s="15" t="s">
        <v>36</v>
      </c>
      <c r="H6118" s="14">
        <v>285.82</v>
      </c>
      <c r="I6118" s="18">
        <v>26.46</v>
      </c>
      <c r="J6118" s="12" t="s">
        <v>521</v>
      </c>
      <c r="K6118" s="13" t="s">
        <v>36</v>
      </c>
      <c r="L6118" s="15" t="s">
        <v>36</v>
      </c>
      <c r="M6118" s="12" t="s">
        <v>36</v>
      </c>
      <c r="N6118" s="12" t="s">
        <v>36</v>
      </c>
      <c r="O6118" s="17" t="s">
        <v>36</v>
      </c>
      <c r="P6118" s="12" t="s">
        <v>36</v>
      </c>
      <c r="Q6118" s="12" t="s">
        <v>36</v>
      </c>
      <c r="R6118" s="12" t="s">
        <v>36</v>
      </c>
      <c r="S6118" s="12" t="s">
        <v>36</v>
      </c>
      <c r="T6118" s="12" t="s">
        <v>22424</v>
      </c>
      <c r="U6118" s="12" t="s">
        <v>38</v>
      </c>
      <c r="V6118" s="12" t="s">
        <v>39</v>
      </c>
      <c r="W6118" s="12" t="s">
        <v>22425</v>
      </c>
      <c r="X6118" s="16" t="s">
        <v>28157</v>
      </c>
      <c r="Y6118" s="15" t="s">
        <v>42</v>
      </c>
      <c r="Z6118" s="14">
        <v>12.84</v>
      </c>
      <c r="AA6118" s="14">
        <v>41.24</v>
      </c>
      <c r="AB6118" s="12" t="s">
        <v>56</v>
      </c>
      <c r="AC6118" s="12" t="s">
        <v>22427</v>
      </c>
      <c r="AD6118" s="13">
        <v>42852</v>
      </c>
      <c r="AE6118" s="12" t="s">
        <v>110</v>
      </c>
      <c r="AF6118" s="12" t="s">
        <v>22428</v>
      </c>
      <c r="AG6118" s="12" t="s">
        <v>2534</v>
      </c>
      <c r="AH6118" s="1">
        <f>HYPERLINK("https://my.pitchbook.com?c=87034-33T","View Company Online")</f>
      </c>
    </row>
    <row r="6119">
      <c r="A6119" s="3" t="s">
        <v>28158</v>
      </c>
      <c r="B6119" s="3" t="s">
        <v>28159</v>
      </c>
      <c r="C6119" s="5" t="s">
        <v>36</v>
      </c>
      <c r="D6119" s="5">
        <v>2</v>
      </c>
      <c r="E6119" s="5">
        <v>1</v>
      </c>
      <c r="F6119" s="5">
        <v>3</v>
      </c>
      <c r="G6119" s="6" t="s">
        <v>36</v>
      </c>
      <c r="H6119" s="4" t="s">
        <v>36</v>
      </c>
      <c r="I6119" s="7" t="s">
        <v>36</v>
      </c>
      <c r="J6119" s="3" t="s">
        <v>36</v>
      </c>
      <c r="K6119" s="9" t="s">
        <v>36</v>
      </c>
      <c r="L6119" s="6" t="s">
        <v>36</v>
      </c>
      <c r="M6119" s="3" t="s">
        <v>36</v>
      </c>
      <c r="N6119" s="3" t="s">
        <v>36</v>
      </c>
      <c r="O6119" s="8" t="s">
        <v>36</v>
      </c>
      <c r="P6119" s="3" t="s">
        <v>36</v>
      </c>
      <c r="Q6119" s="3" t="s">
        <v>36</v>
      </c>
      <c r="R6119" s="3" t="s">
        <v>36</v>
      </c>
      <c r="S6119" s="3" t="s">
        <v>36</v>
      </c>
      <c r="T6119" s="3" t="s">
        <v>28160</v>
      </c>
      <c r="U6119" s="3" t="s">
        <v>219</v>
      </c>
      <c r="V6119" s="3" t="s">
        <v>75</v>
      </c>
      <c r="W6119" s="3" t="s">
        <v>28161</v>
      </c>
      <c r="X6119" s="10" t="s">
        <v>28162</v>
      </c>
      <c r="Y6119" s="6" t="s">
        <v>42</v>
      </c>
      <c r="Z6119" s="4" t="s">
        <v>36</v>
      </c>
      <c r="AA6119" s="4" t="s">
        <v>36</v>
      </c>
      <c r="AB6119" s="3" t="s">
        <v>43</v>
      </c>
      <c r="AC6119" s="3" t="s">
        <v>28163</v>
      </c>
      <c r="AD6119" s="9">
        <v>42851</v>
      </c>
      <c r="AE6119" s="3" t="s">
        <v>223</v>
      </c>
      <c r="AF6119" s="3" t="s">
        <v>28164</v>
      </c>
      <c r="AG6119" s="3" t="s">
        <v>81</v>
      </c>
      <c r="AH6119" s="11">
        <f>HYPERLINK("https://my.pitchbook.com?c=100976-50T","View Company Online")</f>
      </c>
    </row>
    <row r="6120">
      <c r="A6120" s="12" t="s">
        <v>28165</v>
      </c>
      <c r="B6120" s="12" t="s">
        <v>23336</v>
      </c>
      <c r="C6120" s="19" t="s">
        <v>36</v>
      </c>
      <c r="D6120" s="19" t="s">
        <v>36</v>
      </c>
      <c r="E6120" s="19" t="s">
        <v>36</v>
      </c>
      <c r="F6120" s="19" t="s">
        <v>36</v>
      </c>
      <c r="G6120" s="15" t="s">
        <v>326</v>
      </c>
      <c r="H6120" s="14">
        <v>168.36</v>
      </c>
      <c r="I6120" s="18">
        <v>17.65</v>
      </c>
      <c r="J6120" s="12" t="s">
        <v>521</v>
      </c>
      <c r="K6120" s="13" t="s">
        <v>36</v>
      </c>
      <c r="L6120" s="15" t="s">
        <v>36</v>
      </c>
      <c r="M6120" s="12" t="s">
        <v>36</v>
      </c>
      <c r="N6120" s="12" t="s">
        <v>36</v>
      </c>
      <c r="O6120" s="17" t="s">
        <v>36</v>
      </c>
      <c r="P6120" s="12" t="s">
        <v>36</v>
      </c>
      <c r="Q6120" s="12" t="s">
        <v>36</v>
      </c>
      <c r="R6120" s="12" t="s">
        <v>36</v>
      </c>
      <c r="S6120" s="12" t="s">
        <v>36</v>
      </c>
      <c r="T6120" s="12" t="s">
        <v>23337</v>
      </c>
      <c r="U6120" s="12" t="s">
        <v>423</v>
      </c>
      <c r="V6120" s="12" t="s">
        <v>64</v>
      </c>
      <c r="W6120" s="12" t="s">
        <v>23338</v>
      </c>
      <c r="X6120" s="16" t="s">
        <v>28166</v>
      </c>
      <c r="Y6120" s="15" t="s">
        <v>42</v>
      </c>
      <c r="Z6120" s="14">
        <v>1.61</v>
      </c>
      <c r="AA6120" s="14">
        <v>9.11</v>
      </c>
      <c r="AB6120" s="12" t="s">
        <v>56</v>
      </c>
      <c r="AC6120" s="12" t="s">
        <v>23340</v>
      </c>
      <c r="AD6120" s="13">
        <v>42850</v>
      </c>
      <c r="AE6120" s="12" t="s">
        <v>562</v>
      </c>
      <c r="AF6120" s="12" t="s">
        <v>1061</v>
      </c>
      <c r="AG6120" s="12" t="s">
        <v>10365</v>
      </c>
      <c r="AH6120" s="1">
        <f>HYPERLINK("https://my.pitchbook.com?c=105309-37T","View Company Online")</f>
      </c>
    </row>
    <row r="6121">
      <c r="A6121" s="3" t="s">
        <v>28167</v>
      </c>
      <c r="B6121" s="3" t="s">
        <v>28168</v>
      </c>
      <c r="C6121" s="5" t="s">
        <v>36</v>
      </c>
      <c r="D6121" s="5" t="s">
        <v>36</v>
      </c>
      <c r="E6121" s="5" t="s">
        <v>36</v>
      </c>
      <c r="F6121" s="5" t="s">
        <v>36</v>
      </c>
      <c r="G6121" s="6" t="s">
        <v>36</v>
      </c>
      <c r="H6121" s="4">
        <v>1226.5</v>
      </c>
      <c r="I6121" s="7">
        <v>26.38</v>
      </c>
      <c r="J6121" s="3" t="s">
        <v>521</v>
      </c>
      <c r="K6121" s="9" t="s">
        <v>36</v>
      </c>
      <c r="L6121" s="6" t="s">
        <v>36</v>
      </c>
      <c r="M6121" s="3" t="s">
        <v>36</v>
      </c>
      <c r="N6121" s="3" t="s">
        <v>36</v>
      </c>
      <c r="O6121" s="8" t="s">
        <v>36</v>
      </c>
      <c r="P6121" s="3" t="s">
        <v>36</v>
      </c>
      <c r="Q6121" s="3" t="s">
        <v>36</v>
      </c>
      <c r="R6121" s="3" t="s">
        <v>36</v>
      </c>
      <c r="S6121" s="3" t="s">
        <v>36</v>
      </c>
      <c r="T6121" s="3" t="s">
        <v>28169</v>
      </c>
      <c r="U6121" s="3" t="s">
        <v>648</v>
      </c>
      <c r="V6121" s="3" t="s">
        <v>64</v>
      </c>
      <c r="W6121" s="3" t="s">
        <v>28170</v>
      </c>
      <c r="X6121" s="10" t="s">
        <v>28171</v>
      </c>
      <c r="Y6121" s="6" t="s">
        <v>42</v>
      </c>
      <c r="Z6121" s="4">
        <v>3.7</v>
      </c>
      <c r="AA6121" s="4">
        <v>14.02</v>
      </c>
      <c r="AB6121" s="3" t="s">
        <v>56</v>
      </c>
      <c r="AC6121" s="3" t="s">
        <v>28172</v>
      </c>
      <c r="AD6121" s="9">
        <v>42850</v>
      </c>
      <c r="AE6121" s="3" t="s">
        <v>651</v>
      </c>
      <c r="AF6121" s="3" t="s">
        <v>90</v>
      </c>
      <c r="AG6121" s="3" t="s">
        <v>81</v>
      </c>
      <c r="AH6121" s="11">
        <f>HYPERLINK("https://my.pitchbook.com?c=112242-25T","View Company Online")</f>
      </c>
    </row>
    <row r="6122">
      <c r="A6122" s="12" t="s">
        <v>28173</v>
      </c>
      <c r="B6122" s="12" t="s">
        <v>28174</v>
      </c>
      <c r="C6122" s="19" t="s">
        <v>36</v>
      </c>
      <c r="D6122" s="19" t="s">
        <v>36</v>
      </c>
      <c r="E6122" s="19" t="s">
        <v>36</v>
      </c>
      <c r="F6122" s="19" t="s">
        <v>36</v>
      </c>
      <c r="G6122" s="15" t="s">
        <v>36</v>
      </c>
      <c r="H6122" s="14">
        <v>48.99</v>
      </c>
      <c r="I6122" s="18">
        <v>19.98</v>
      </c>
      <c r="J6122" s="12" t="s">
        <v>521</v>
      </c>
      <c r="K6122" s="13">
        <v>42830</v>
      </c>
      <c r="L6122" s="15" t="s">
        <v>36</v>
      </c>
      <c r="M6122" s="12" t="s">
        <v>36</v>
      </c>
      <c r="N6122" s="12" t="s">
        <v>36</v>
      </c>
      <c r="O6122" s="17" t="s">
        <v>36</v>
      </c>
      <c r="P6122" s="12" t="s">
        <v>36</v>
      </c>
      <c r="Q6122" s="12" t="s">
        <v>36</v>
      </c>
      <c r="R6122" s="12" t="s">
        <v>36</v>
      </c>
      <c r="S6122" s="12" t="s">
        <v>36</v>
      </c>
      <c r="T6122" s="12" t="s">
        <v>9021</v>
      </c>
      <c r="U6122" s="12" t="s">
        <v>38</v>
      </c>
      <c r="V6122" s="12" t="s">
        <v>39</v>
      </c>
      <c r="W6122" s="12" t="s">
        <v>28175</v>
      </c>
      <c r="X6122" s="16" t="s">
        <v>28176</v>
      </c>
      <c r="Y6122" s="15" t="s">
        <v>42</v>
      </c>
      <c r="Z6122" s="14">
        <v>0.21</v>
      </c>
      <c r="AA6122" s="14">
        <v>0.54</v>
      </c>
      <c r="AB6122" s="12" t="s">
        <v>43</v>
      </c>
      <c r="AC6122" s="12" t="s">
        <v>28177</v>
      </c>
      <c r="AD6122" s="13">
        <v>42849</v>
      </c>
      <c r="AE6122" s="12" t="s">
        <v>554</v>
      </c>
      <c r="AF6122" s="12" t="s">
        <v>28178</v>
      </c>
      <c r="AG6122" s="12" t="s">
        <v>81</v>
      </c>
      <c r="AH6122" s="1">
        <f>HYPERLINK("https://my.pitchbook.com?c=87276-70T","View Company Online")</f>
      </c>
    </row>
    <row r="6123">
      <c r="A6123" s="3" t="s">
        <v>28179</v>
      </c>
      <c r="B6123" s="3" t="s">
        <v>28180</v>
      </c>
      <c r="C6123" s="5" t="s">
        <v>36</v>
      </c>
      <c r="D6123" s="5" t="s">
        <v>36</v>
      </c>
      <c r="E6123" s="5" t="s">
        <v>36</v>
      </c>
      <c r="F6123" s="5" t="s">
        <v>36</v>
      </c>
      <c r="G6123" s="6" t="s">
        <v>36</v>
      </c>
      <c r="H6123" s="4" t="s">
        <v>36</v>
      </c>
      <c r="I6123" s="7" t="s">
        <v>36</v>
      </c>
      <c r="J6123" s="3" t="s">
        <v>36</v>
      </c>
      <c r="K6123" s="9" t="s">
        <v>36</v>
      </c>
      <c r="L6123" s="6" t="s">
        <v>36</v>
      </c>
      <c r="M6123" s="3" t="s">
        <v>36</v>
      </c>
      <c r="N6123" s="3" t="s">
        <v>36</v>
      </c>
      <c r="O6123" s="8" t="s">
        <v>36</v>
      </c>
      <c r="P6123" s="3" t="s">
        <v>36</v>
      </c>
      <c r="Q6123" s="3" t="s">
        <v>36</v>
      </c>
      <c r="R6123" s="3" t="s">
        <v>36</v>
      </c>
      <c r="S6123" s="3" t="s">
        <v>36</v>
      </c>
      <c r="T6123" s="3" t="s">
        <v>28181</v>
      </c>
      <c r="U6123" s="3" t="s">
        <v>63</v>
      </c>
      <c r="V6123" s="3" t="s">
        <v>64</v>
      </c>
      <c r="W6123" s="3" t="s">
        <v>28182</v>
      </c>
      <c r="X6123" s="10" t="s">
        <v>28183</v>
      </c>
      <c r="Y6123" s="6" t="s">
        <v>42</v>
      </c>
      <c r="Z6123" s="4">
        <v>0.12</v>
      </c>
      <c r="AA6123" s="4" t="s">
        <v>36</v>
      </c>
      <c r="AB6123" s="3" t="s">
        <v>43</v>
      </c>
      <c r="AC6123" s="3" t="s">
        <v>28184</v>
      </c>
      <c r="AD6123" s="9">
        <v>42849</v>
      </c>
      <c r="AE6123" s="3" t="s">
        <v>4310</v>
      </c>
      <c r="AF6123" s="3" t="s">
        <v>36</v>
      </c>
      <c r="AG6123" s="3" t="s">
        <v>26364</v>
      </c>
      <c r="AH6123" s="11">
        <f>HYPERLINK("https://my.pitchbook.com?c=194821-48T","View Company Online")</f>
      </c>
    </row>
    <row r="6124">
      <c r="A6124" s="12" t="s">
        <v>28185</v>
      </c>
      <c r="B6124" s="12" t="s">
        <v>8699</v>
      </c>
      <c r="C6124" s="19">
        <v>2</v>
      </c>
      <c r="D6124" s="19">
        <v>10</v>
      </c>
      <c r="E6124" s="19">
        <v>4</v>
      </c>
      <c r="F6124" s="19">
        <v>12</v>
      </c>
      <c r="G6124" s="15" t="s">
        <v>326</v>
      </c>
      <c r="H6124" s="14">
        <v>436.29</v>
      </c>
      <c r="I6124" s="18">
        <v>27.73</v>
      </c>
      <c r="J6124" s="12" t="s">
        <v>521</v>
      </c>
      <c r="K6124" s="13" t="s">
        <v>36</v>
      </c>
      <c r="L6124" s="15" t="s">
        <v>36</v>
      </c>
      <c r="M6124" s="12" t="s">
        <v>36</v>
      </c>
      <c r="N6124" s="12" t="s">
        <v>36</v>
      </c>
      <c r="O6124" s="17" t="s">
        <v>36</v>
      </c>
      <c r="P6124" s="12" t="s">
        <v>36</v>
      </c>
      <c r="Q6124" s="12" t="s">
        <v>36</v>
      </c>
      <c r="R6124" s="12" t="s">
        <v>36</v>
      </c>
      <c r="S6124" s="12" t="s">
        <v>36</v>
      </c>
      <c r="T6124" s="12" t="s">
        <v>8700</v>
      </c>
      <c r="U6124" s="12" t="s">
        <v>833</v>
      </c>
      <c r="V6124" s="12" t="s">
        <v>64</v>
      </c>
      <c r="W6124" s="12" t="s">
        <v>8701</v>
      </c>
      <c r="X6124" s="16" t="s">
        <v>18750</v>
      </c>
      <c r="Y6124" s="15" t="s">
        <v>108</v>
      </c>
      <c r="Z6124" s="14">
        <v>1.15</v>
      </c>
      <c r="AA6124" s="14">
        <v>4.14</v>
      </c>
      <c r="AB6124" s="12" t="s">
        <v>43</v>
      </c>
      <c r="AC6124" s="12" t="s">
        <v>8703</v>
      </c>
      <c r="AD6124" s="13">
        <v>42846</v>
      </c>
      <c r="AE6124" s="12" t="s">
        <v>1069</v>
      </c>
      <c r="AF6124" s="12" t="s">
        <v>36</v>
      </c>
      <c r="AG6124" s="12" t="s">
        <v>81</v>
      </c>
      <c r="AH6124" s="1">
        <f>HYPERLINK("https://my.pitchbook.com?c=219461-50T","View Company Online")</f>
      </c>
    </row>
    <row r="6125">
      <c r="A6125" s="3" t="s">
        <v>28186</v>
      </c>
      <c r="B6125" s="3" t="s">
        <v>19195</v>
      </c>
      <c r="C6125" s="5" t="s">
        <v>36</v>
      </c>
      <c r="D6125" s="5">
        <v>2</v>
      </c>
      <c r="E6125" s="5">
        <v>1</v>
      </c>
      <c r="F6125" s="5">
        <v>2</v>
      </c>
      <c r="G6125" s="6" t="s">
        <v>326</v>
      </c>
      <c r="H6125" s="4">
        <v>280.41</v>
      </c>
      <c r="I6125" s="7">
        <v>5.89</v>
      </c>
      <c r="J6125" s="3" t="s">
        <v>521</v>
      </c>
      <c r="K6125" s="9" t="s">
        <v>36</v>
      </c>
      <c r="L6125" s="6" t="s">
        <v>36</v>
      </c>
      <c r="M6125" s="3" t="s">
        <v>36</v>
      </c>
      <c r="N6125" s="3" t="s">
        <v>36</v>
      </c>
      <c r="O6125" s="8" t="s">
        <v>36</v>
      </c>
      <c r="P6125" s="3" t="s">
        <v>36</v>
      </c>
      <c r="Q6125" s="3" t="s">
        <v>36</v>
      </c>
      <c r="R6125" s="3" t="s">
        <v>36</v>
      </c>
      <c r="S6125" s="3" t="s">
        <v>36</v>
      </c>
      <c r="T6125" s="3" t="s">
        <v>19196</v>
      </c>
      <c r="U6125" s="3" t="s">
        <v>648</v>
      </c>
      <c r="V6125" s="3" t="s">
        <v>64</v>
      </c>
      <c r="W6125" s="3" t="s">
        <v>19197</v>
      </c>
      <c r="X6125" s="10" t="s">
        <v>28187</v>
      </c>
      <c r="Y6125" s="6" t="s">
        <v>108</v>
      </c>
      <c r="Z6125" s="4">
        <v>0.13</v>
      </c>
      <c r="AA6125" s="4">
        <v>2.27</v>
      </c>
      <c r="AB6125" s="3" t="s">
        <v>43</v>
      </c>
      <c r="AC6125" s="3" t="s">
        <v>19199</v>
      </c>
      <c r="AD6125" s="9">
        <v>42846</v>
      </c>
      <c r="AE6125" s="3" t="s">
        <v>1897</v>
      </c>
      <c r="AF6125" s="3" t="s">
        <v>36</v>
      </c>
      <c r="AG6125" s="3" t="s">
        <v>19200</v>
      </c>
      <c r="AH6125" s="11">
        <f>HYPERLINK("https://my.pitchbook.com?c=139751-20T","View Company Online")</f>
      </c>
    </row>
    <row r="6126">
      <c r="A6126" s="12" t="s">
        <v>28188</v>
      </c>
      <c r="B6126" s="12" t="s">
        <v>22379</v>
      </c>
      <c r="C6126" s="19" t="s">
        <v>36</v>
      </c>
      <c r="D6126" s="19" t="s">
        <v>36</v>
      </c>
      <c r="E6126" s="19" t="s">
        <v>36</v>
      </c>
      <c r="F6126" s="19" t="s">
        <v>36</v>
      </c>
      <c r="G6126" s="15" t="s">
        <v>36</v>
      </c>
      <c r="H6126" s="14">
        <v>38.89</v>
      </c>
      <c r="I6126" s="18">
        <v>33.63</v>
      </c>
      <c r="J6126" s="12" t="s">
        <v>521</v>
      </c>
      <c r="K6126" s="13" t="s">
        <v>36</v>
      </c>
      <c r="L6126" s="15" t="s">
        <v>36</v>
      </c>
      <c r="M6126" s="12" t="s">
        <v>36</v>
      </c>
      <c r="N6126" s="12" t="s">
        <v>36</v>
      </c>
      <c r="O6126" s="17" t="s">
        <v>36</v>
      </c>
      <c r="P6126" s="12" t="s">
        <v>36</v>
      </c>
      <c r="Q6126" s="12" t="s">
        <v>36</v>
      </c>
      <c r="R6126" s="12" t="s">
        <v>36</v>
      </c>
      <c r="S6126" s="12" t="s">
        <v>36</v>
      </c>
      <c r="T6126" s="12" t="s">
        <v>751</v>
      </c>
      <c r="U6126" s="12" t="s">
        <v>96</v>
      </c>
      <c r="V6126" s="12" t="s">
        <v>52</v>
      </c>
      <c r="W6126" s="12" t="s">
        <v>22380</v>
      </c>
      <c r="X6126" s="16" t="s">
        <v>28189</v>
      </c>
      <c r="Y6126" s="15" t="s">
        <v>42</v>
      </c>
      <c r="Z6126" s="14">
        <v>0.73</v>
      </c>
      <c r="AA6126" s="14">
        <v>2.18</v>
      </c>
      <c r="AB6126" s="12" t="s">
        <v>43</v>
      </c>
      <c r="AC6126" s="12" t="s">
        <v>22382</v>
      </c>
      <c r="AD6126" s="13">
        <v>42845</v>
      </c>
      <c r="AE6126" s="12" t="s">
        <v>755</v>
      </c>
      <c r="AF6126" s="12" t="s">
        <v>571</v>
      </c>
      <c r="AG6126" s="12" t="s">
        <v>512</v>
      </c>
      <c r="AH6126" s="1">
        <f>HYPERLINK("https://my.pitchbook.com?c=206420-68T","View Company Online")</f>
      </c>
    </row>
    <row r="6127">
      <c r="A6127" s="3" t="s">
        <v>28190</v>
      </c>
      <c r="B6127" s="3" t="s">
        <v>15144</v>
      </c>
      <c r="C6127" s="5">
        <v>2</v>
      </c>
      <c r="D6127" s="5">
        <v>8</v>
      </c>
      <c r="E6127" s="5">
        <v>4</v>
      </c>
      <c r="F6127" s="5">
        <v>13</v>
      </c>
      <c r="G6127" s="6" t="s">
        <v>36</v>
      </c>
      <c r="H6127" s="4">
        <v>4.15</v>
      </c>
      <c r="I6127" s="7">
        <v>35.95</v>
      </c>
      <c r="J6127" s="3" t="s">
        <v>521</v>
      </c>
      <c r="K6127" s="9" t="s">
        <v>36</v>
      </c>
      <c r="L6127" s="6" t="s">
        <v>36</v>
      </c>
      <c r="M6127" s="3" t="s">
        <v>36</v>
      </c>
      <c r="N6127" s="3" t="s">
        <v>36</v>
      </c>
      <c r="O6127" s="8" t="s">
        <v>36</v>
      </c>
      <c r="P6127" s="3" t="s">
        <v>36</v>
      </c>
      <c r="Q6127" s="3" t="s">
        <v>36</v>
      </c>
      <c r="R6127" s="3" t="s">
        <v>36</v>
      </c>
      <c r="S6127" s="3" t="s">
        <v>36</v>
      </c>
      <c r="T6127" s="3" t="s">
        <v>15145</v>
      </c>
      <c r="U6127" s="3" t="s">
        <v>74</v>
      </c>
      <c r="V6127" s="3" t="s">
        <v>75</v>
      </c>
      <c r="W6127" s="3" t="s">
        <v>15146</v>
      </c>
      <c r="X6127" s="10" t="s">
        <v>28191</v>
      </c>
      <c r="Y6127" s="6" t="s">
        <v>42</v>
      </c>
      <c r="Z6127" s="4">
        <v>0.14</v>
      </c>
      <c r="AA6127" s="4">
        <v>0.38</v>
      </c>
      <c r="AB6127" s="3" t="s">
        <v>43</v>
      </c>
      <c r="AC6127" s="3" t="s">
        <v>15148</v>
      </c>
      <c r="AD6127" s="9">
        <v>42845</v>
      </c>
      <c r="AE6127" s="3" t="s">
        <v>570</v>
      </c>
      <c r="AF6127" s="3" t="s">
        <v>982</v>
      </c>
      <c r="AG6127" s="3" t="s">
        <v>15149</v>
      </c>
      <c r="AH6127" s="11">
        <f>HYPERLINK("https://my.pitchbook.com?c=135707-05T","View Company Online")</f>
      </c>
    </row>
    <row r="6128">
      <c r="A6128" s="12" t="s">
        <v>28192</v>
      </c>
      <c r="B6128" s="12" t="s">
        <v>28193</v>
      </c>
      <c r="C6128" s="19" t="s">
        <v>36</v>
      </c>
      <c r="D6128" s="19" t="s">
        <v>36</v>
      </c>
      <c r="E6128" s="19">
        <v>1</v>
      </c>
      <c r="F6128" s="19">
        <v>1</v>
      </c>
      <c r="G6128" s="15" t="s">
        <v>36</v>
      </c>
      <c r="H6128" s="14" t="s">
        <v>36</v>
      </c>
      <c r="I6128" s="18" t="s">
        <v>36</v>
      </c>
      <c r="J6128" s="12" t="s">
        <v>36</v>
      </c>
      <c r="K6128" s="13" t="s">
        <v>36</v>
      </c>
      <c r="L6128" s="15" t="s">
        <v>36</v>
      </c>
      <c r="M6128" s="12" t="s">
        <v>36</v>
      </c>
      <c r="N6128" s="12" t="s">
        <v>36</v>
      </c>
      <c r="O6128" s="17" t="s">
        <v>36</v>
      </c>
      <c r="P6128" s="12" t="s">
        <v>36</v>
      </c>
      <c r="Q6128" s="12" t="s">
        <v>36</v>
      </c>
      <c r="R6128" s="12" t="s">
        <v>36</v>
      </c>
      <c r="S6128" s="12" t="s">
        <v>36</v>
      </c>
      <c r="T6128" s="12" t="s">
        <v>4692</v>
      </c>
      <c r="U6128" s="12" t="s">
        <v>85</v>
      </c>
      <c r="V6128" s="12" t="s">
        <v>64</v>
      </c>
      <c r="W6128" s="12" t="s">
        <v>28194</v>
      </c>
      <c r="X6128" s="16" t="s">
        <v>28195</v>
      </c>
      <c r="Y6128" s="15" t="s">
        <v>108</v>
      </c>
      <c r="Z6128" s="14">
        <v>3.21</v>
      </c>
      <c r="AA6128" s="14" t="s">
        <v>36</v>
      </c>
      <c r="AB6128" s="12" t="s">
        <v>43</v>
      </c>
      <c r="AC6128" s="12" t="s">
        <v>28196</v>
      </c>
      <c r="AD6128" s="13">
        <v>42845</v>
      </c>
      <c r="AE6128" s="12" t="s">
        <v>89</v>
      </c>
      <c r="AF6128" s="12" t="s">
        <v>28197</v>
      </c>
      <c r="AG6128" s="12" t="s">
        <v>461</v>
      </c>
      <c r="AH6128" s="1">
        <f>HYPERLINK("https://my.pitchbook.com?c=86637-79T","View Company Online")</f>
      </c>
    </row>
    <row r="6129">
      <c r="A6129" s="3" t="s">
        <v>28198</v>
      </c>
      <c r="B6129" s="3" t="s">
        <v>6210</v>
      </c>
      <c r="C6129" s="5" t="s">
        <v>36</v>
      </c>
      <c r="D6129" s="5" t="s">
        <v>36</v>
      </c>
      <c r="E6129" s="5" t="s">
        <v>36</v>
      </c>
      <c r="F6129" s="5" t="s">
        <v>36</v>
      </c>
      <c r="G6129" s="6" t="s">
        <v>326</v>
      </c>
      <c r="H6129" s="4">
        <v>53.63</v>
      </c>
      <c r="I6129" s="7">
        <v>33.33</v>
      </c>
      <c r="J6129" s="3" t="s">
        <v>521</v>
      </c>
      <c r="K6129" s="9">
        <v>42822</v>
      </c>
      <c r="L6129" s="6" t="s">
        <v>122</v>
      </c>
      <c r="M6129" s="3" t="s">
        <v>36</v>
      </c>
      <c r="N6129" s="3" t="s">
        <v>122</v>
      </c>
      <c r="O6129" s="8" t="s">
        <v>36</v>
      </c>
      <c r="P6129" s="3" t="s">
        <v>36</v>
      </c>
      <c r="Q6129" s="3" t="s">
        <v>36</v>
      </c>
      <c r="R6129" s="3" t="s">
        <v>36</v>
      </c>
      <c r="S6129" s="3" t="s">
        <v>36</v>
      </c>
      <c r="T6129" s="3" t="s">
        <v>1941</v>
      </c>
      <c r="U6129" s="3" t="s">
        <v>38</v>
      </c>
      <c r="V6129" s="3" t="s">
        <v>39</v>
      </c>
      <c r="W6129" s="3" t="s">
        <v>6211</v>
      </c>
      <c r="X6129" s="10" t="s">
        <v>28199</v>
      </c>
      <c r="Y6129" s="6" t="s">
        <v>108</v>
      </c>
      <c r="Z6129" s="4">
        <v>4.28</v>
      </c>
      <c r="AA6129" s="4">
        <v>9.62</v>
      </c>
      <c r="AB6129" s="3" t="s">
        <v>43</v>
      </c>
      <c r="AC6129" s="3" t="s">
        <v>6213</v>
      </c>
      <c r="AD6129" s="9">
        <v>42845</v>
      </c>
      <c r="AE6129" s="3" t="s">
        <v>1945</v>
      </c>
      <c r="AF6129" s="3" t="s">
        <v>6214</v>
      </c>
      <c r="AG6129" s="3" t="s">
        <v>81</v>
      </c>
      <c r="AH6129" s="11">
        <f>HYPERLINK("https://my.pitchbook.com?c=86695-30T","View Company Online")</f>
      </c>
    </row>
    <row r="6130">
      <c r="A6130" s="12" t="s">
        <v>28200</v>
      </c>
      <c r="B6130" s="12" t="s">
        <v>11899</v>
      </c>
      <c r="C6130" s="19" t="s">
        <v>36</v>
      </c>
      <c r="D6130" s="19" t="s">
        <v>36</v>
      </c>
      <c r="E6130" s="19" t="s">
        <v>36</v>
      </c>
      <c r="F6130" s="19" t="s">
        <v>36</v>
      </c>
      <c r="G6130" s="15" t="s">
        <v>326</v>
      </c>
      <c r="H6130" s="14">
        <v>2706.16</v>
      </c>
      <c r="I6130" s="18">
        <v>28.45</v>
      </c>
      <c r="J6130" s="12" t="s">
        <v>521</v>
      </c>
      <c r="K6130" s="13" t="s">
        <v>36</v>
      </c>
      <c r="L6130" s="15" t="s">
        <v>122</v>
      </c>
      <c r="M6130" s="12" t="s">
        <v>36</v>
      </c>
      <c r="N6130" s="12" t="s">
        <v>122</v>
      </c>
      <c r="O6130" s="17" t="s">
        <v>36</v>
      </c>
      <c r="P6130" s="12" t="s">
        <v>36</v>
      </c>
      <c r="Q6130" s="12" t="s">
        <v>36</v>
      </c>
      <c r="R6130" s="12" t="s">
        <v>36</v>
      </c>
      <c r="S6130" s="12" t="s">
        <v>11900</v>
      </c>
      <c r="T6130" s="12" t="s">
        <v>1260</v>
      </c>
      <c r="U6130" s="12" t="s">
        <v>38</v>
      </c>
      <c r="V6130" s="12" t="s">
        <v>39</v>
      </c>
      <c r="W6130" s="12" t="s">
        <v>11901</v>
      </c>
      <c r="X6130" s="16" t="s">
        <v>28201</v>
      </c>
      <c r="Y6130" s="15" t="s">
        <v>108</v>
      </c>
      <c r="Z6130" s="14">
        <v>1.6</v>
      </c>
      <c r="AA6130" s="14">
        <v>6.39</v>
      </c>
      <c r="AB6130" s="12" t="s">
        <v>43</v>
      </c>
      <c r="AC6130" s="12" t="s">
        <v>11903</v>
      </c>
      <c r="AD6130" s="13">
        <v>42844</v>
      </c>
      <c r="AE6130" s="12" t="s">
        <v>110</v>
      </c>
      <c r="AF6130" s="12" t="s">
        <v>3040</v>
      </c>
      <c r="AG6130" s="12" t="s">
        <v>81</v>
      </c>
      <c r="AH6130" s="1">
        <f>HYPERLINK("https://my.pitchbook.com?c=134774-02T","View Company Online")</f>
      </c>
    </row>
    <row r="6131">
      <c r="A6131" s="3" t="s">
        <v>28202</v>
      </c>
      <c r="B6131" s="3" t="s">
        <v>25043</v>
      </c>
      <c r="C6131" s="5" t="s">
        <v>36</v>
      </c>
      <c r="D6131" s="5">
        <v>7</v>
      </c>
      <c r="E6131" s="5">
        <v>2</v>
      </c>
      <c r="F6131" s="5">
        <v>11</v>
      </c>
      <c r="G6131" s="6" t="s">
        <v>36</v>
      </c>
      <c r="H6131" s="4" t="s">
        <v>36</v>
      </c>
      <c r="I6131" s="7" t="s">
        <v>36</v>
      </c>
      <c r="J6131" s="3" t="s">
        <v>36</v>
      </c>
      <c r="K6131" s="9" t="s">
        <v>36</v>
      </c>
      <c r="L6131" s="6" t="s">
        <v>36</v>
      </c>
      <c r="M6131" s="3" t="s">
        <v>36</v>
      </c>
      <c r="N6131" s="3" t="s">
        <v>36</v>
      </c>
      <c r="O6131" s="8" t="s">
        <v>36</v>
      </c>
      <c r="P6131" s="3" t="s">
        <v>36</v>
      </c>
      <c r="Q6131" s="3" t="s">
        <v>36</v>
      </c>
      <c r="R6131" s="3" t="s">
        <v>36</v>
      </c>
      <c r="S6131" s="3" t="s">
        <v>36</v>
      </c>
      <c r="T6131" s="3" t="s">
        <v>2736</v>
      </c>
      <c r="U6131" s="3" t="s">
        <v>51</v>
      </c>
      <c r="V6131" s="3" t="s">
        <v>52</v>
      </c>
      <c r="W6131" s="3" t="s">
        <v>25044</v>
      </c>
      <c r="X6131" s="10" t="s">
        <v>28203</v>
      </c>
      <c r="Y6131" s="6" t="s">
        <v>108</v>
      </c>
      <c r="Z6131" s="4">
        <v>0.8</v>
      </c>
      <c r="AA6131" s="4" t="s">
        <v>36</v>
      </c>
      <c r="AB6131" s="3" t="s">
        <v>56</v>
      </c>
      <c r="AC6131" s="3" t="s">
        <v>25045</v>
      </c>
      <c r="AD6131" s="9">
        <v>42843</v>
      </c>
      <c r="AE6131" s="3" t="s">
        <v>2740</v>
      </c>
      <c r="AF6131" s="3" t="s">
        <v>159</v>
      </c>
      <c r="AG6131" s="3" t="s">
        <v>3823</v>
      </c>
      <c r="AH6131" s="11">
        <f>HYPERLINK("https://my.pitchbook.com?c=86511-88T","View Company Online")</f>
      </c>
    </row>
    <row r="6132">
      <c r="A6132" s="12" t="s">
        <v>28204</v>
      </c>
      <c r="B6132" s="12" t="s">
        <v>28205</v>
      </c>
      <c r="C6132" s="19" t="s">
        <v>36</v>
      </c>
      <c r="D6132" s="19">
        <v>13</v>
      </c>
      <c r="E6132" s="19">
        <v>5</v>
      </c>
      <c r="F6132" s="19">
        <v>16</v>
      </c>
      <c r="G6132" s="15" t="s">
        <v>683</v>
      </c>
      <c r="H6132" s="14">
        <v>404.21</v>
      </c>
      <c r="I6132" s="18">
        <v>11</v>
      </c>
      <c r="J6132" s="12" t="s">
        <v>521</v>
      </c>
      <c r="K6132" s="13" t="s">
        <v>36</v>
      </c>
      <c r="L6132" s="15" t="s">
        <v>36</v>
      </c>
      <c r="M6132" s="12" t="s">
        <v>36</v>
      </c>
      <c r="N6132" s="12" t="s">
        <v>36</v>
      </c>
      <c r="O6132" s="17" t="s">
        <v>36</v>
      </c>
      <c r="P6132" s="12" t="s">
        <v>36</v>
      </c>
      <c r="Q6132" s="12" t="s">
        <v>36</v>
      </c>
      <c r="R6132" s="12" t="s">
        <v>36</v>
      </c>
      <c r="S6132" s="12" t="s">
        <v>36</v>
      </c>
      <c r="T6132" s="12" t="s">
        <v>28206</v>
      </c>
      <c r="U6132" s="12" t="s">
        <v>51</v>
      </c>
      <c r="V6132" s="12" t="s">
        <v>52</v>
      </c>
      <c r="W6132" s="12" t="s">
        <v>28207</v>
      </c>
      <c r="X6132" s="16" t="s">
        <v>28208</v>
      </c>
      <c r="Y6132" s="15" t="s">
        <v>55</v>
      </c>
      <c r="Z6132" s="14">
        <v>0.3</v>
      </c>
      <c r="AA6132" s="14">
        <v>2.74</v>
      </c>
      <c r="AB6132" s="12" t="s">
        <v>56</v>
      </c>
      <c r="AC6132" s="12" t="s">
        <v>28209</v>
      </c>
      <c r="AD6132" s="13">
        <v>42843</v>
      </c>
      <c r="AE6132" s="12" t="s">
        <v>158</v>
      </c>
      <c r="AF6132" s="12" t="s">
        <v>159</v>
      </c>
      <c r="AG6132" s="12" t="s">
        <v>6075</v>
      </c>
      <c r="AH6132" s="1">
        <f>HYPERLINK("https://my.pitchbook.com?c=188044-39T","View Company Online")</f>
      </c>
    </row>
    <row r="6133">
      <c r="A6133" s="3" t="s">
        <v>28210</v>
      </c>
      <c r="B6133" s="3" t="s">
        <v>17282</v>
      </c>
      <c r="C6133" s="5">
        <v>37</v>
      </c>
      <c r="D6133" s="5">
        <v>69</v>
      </c>
      <c r="E6133" s="5">
        <v>18</v>
      </c>
      <c r="F6133" s="5">
        <v>121</v>
      </c>
      <c r="G6133" s="6" t="s">
        <v>36</v>
      </c>
      <c r="H6133" s="4">
        <v>30.54</v>
      </c>
      <c r="I6133" s="7">
        <v>9.02</v>
      </c>
      <c r="J6133" s="3" t="s">
        <v>521</v>
      </c>
      <c r="K6133" s="9">
        <v>42817</v>
      </c>
      <c r="L6133" s="6" t="s">
        <v>36</v>
      </c>
      <c r="M6133" s="3" t="s">
        <v>36</v>
      </c>
      <c r="N6133" s="3" t="s">
        <v>36</v>
      </c>
      <c r="O6133" s="8" t="s">
        <v>36</v>
      </c>
      <c r="P6133" s="3" t="s">
        <v>36</v>
      </c>
      <c r="Q6133" s="3" t="s">
        <v>36</v>
      </c>
      <c r="R6133" s="3" t="s">
        <v>36</v>
      </c>
      <c r="S6133" s="3" t="s">
        <v>36</v>
      </c>
      <c r="T6133" s="3" t="s">
        <v>17283</v>
      </c>
      <c r="U6133" s="3" t="s">
        <v>51</v>
      </c>
      <c r="V6133" s="3" t="s">
        <v>52</v>
      </c>
      <c r="W6133" s="3" t="s">
        <v>17284</v>
      </c>
      <c r="X6133" s="10" t="s">
        <v>28211</v>
      </c>
      <c r="Y6133" s="6" t="s">
        <v>192</v>
      </c>
      <c r="Z6133" s="4">
        <v>6.28</v>
      </c>
      <c r="AA6133" s="4">
        <v>69.61</v>
      </c>
      <c r="AB6133" s="3" t="s">
        <v>56</v>
      </c>
      <c r="AC6133" s="3" t="s">
        <v>17286</v>
      </c>
      <c r="AD6133" s="9">
        <v>42843</v>
      </c>
      <c r="AE6133" s="3" t="s">
        <v>504</v>
      </c>
      <c r="AF6133" s="3" t="s">
        <v>159</v>
      </c>
      <c r="AG6133" s="3" t="s">
        <v>81</v>
      </c>
      <c r="AH6133" s="11">
        <f>HYPERLINK("https://my.pitchbook.com?c=103304-80T","View Company Online")</f>
      </c>
    </row>
    <row r="6134">
      <c r="A6134" s="12" t="s">
        <v>28212</v>
      </c>
      <c r="B6134" s="12" t="s">
        <v>5116</v>
      </c>
      <c r="C6134" s="19" t="s">
        <v>36</v>
      </c>
      <c r="D6134" s="19">
        <v>19</v>
      </c>
      <c r="E6134" s="19">
        <v>3</v>
      </c>
      <c r="F6134" s="19">
        <v>21</v>
      </c>
      <c r="G6134" s="15" t="s">
        <v>36</v>
      </c>
      <c r="H6134" s="14" t="s">
        <v>36</v>
      </c>
      <c r="I6134" s="18" t="s">
        <v>36</v>
      </c>
      <c r="J6134" s="12" t="s">
        <v>36</v>
      </c>
      <c r="K6134" s="13">
        <v>42829</v>
      </c>
      <c r="L6134" s="15" t="s">
        <v>3736</v>
      </c>
      <c r="M6134" s="12" t="s">
        <v>36</v>
      </c>
      <c r="N6134" s="12" t="s">
        <v>3736</v>
      </c>
      <c r="O6134" s="17" t="s">
        <v>36</v>
      </c>
      <c r="P6134" s="12" t="s">
        <v>36</v>
      </c>
      <c r="Q6134" s="12" t="s">
        <v>36</v>
      </c>
      <c r="R6134" s="12" t="s">
        <v>36</v>
      </c>
      <c r="S6134" s="12" t="s">
        <v>36</v>
      </c>
      <c r="T6134" s="12" t="s">
        <v>5117</v>
      </c>
      <c r="U6134" s="12" t="s">
        <v>1580</v>
      </c>
      <c r="V6134" s="12" t="s">
        <v>39</v>
      </c>
      <c r="W6134" s="12" t="s">
        <v>5118</v>
      </c>
      <c r="X6134" s="16" t="s">
        <v>28213</v>
      </c>
      <c r="Y6134" s="15" t="s">
        <v>192</v>
      </c>
      <c r="Z6134" s="14">
        <v>80.34</v>
      </c>
      <c r="AA6134" s="14" t="s">
        <v>36</v>
      </c>
      <c r="AB6134" s="12" t="s">
        <v>56</v>
      </c>
      <c r="AC6134" s="12" t="s">
        <v>5120</v>
      </c>
      <c r="AD6134" s="13">
        <v>42837</v>
      </c>
      <c r="AE6134" s="12" t="s">
        <v>4387</v>
      </c>
      <c r="AF6134" s="12" t="s">
        <v>4477</v>
      </c>
      <c r="AG6134" s="12" t="s">
        <v>81</v>
      </c>
      <c r="AH6134" s="1">
        <f>HYPERLINK("https://my.pitchbook.com?c=86178-79T","View Company Online")</f>
      </c>
    </row>
    <row r="6135">
      <c r="A6135" s="3" t="s">
        <v>28214</v>
      </c>
      <c r="B6135" s="3" t="s">
        <v>2113</v>
      </c>
      <c r="C6135" s="5" t="s">
        <v>36</v>
      </c>
      <c r="D6135" s="5">
        <v>2</v>
      </c>
      <c r="E6135" s="5">
        <v>1</v>
      </c>
      <c r="F6135" s="5">
        <v>2</v>
      </c>
      <c r="G6135" s="6" t="s">
        <v>326</v>
      </c>
      <c r="H6135" s="4">
        <v>9.34</v>
      </c>
      <c r="I6135" s="7">
        <v>25.57</v>
      </c>
      <c r="J6135" s="3" t="s">
        <v>521</v>
      </c>
      <c r="K6135" s="9" t="s">
        <v>36</v>
      </c>
      <c r="L6135" s="6" t="s">
        <v>122</v>
      </c>
      <c r="M6135" s="3" t="s">
        <v>36</v>
      </c>
      <c r="N6135" s="3" t="s">
        <v>122</v>
      </c>
      <c r="O6135" s="8" t="s">
        <v>36</v>
      </c>
      <c r="P6135" s="3" t="s">
        <v>36</v>
      </c>
      <c r="Q6135" s="3" t="s">
        <v>36</v>
      </c>
      <c r="R6135" s="3" t="s">
        <v>36</v>
      </c>
      <c r="S6135" s="3" t="s">
        <v>36</v>
      </c>
      <c r="T6135" s="3" t="s">
        <v>2114</v>
      </c>
      <c r="U6135" s="3" t="s">
        <v>289</v>
      </c>
      <c r="V6135" s="3" t="s">
        <v>64</v>
      </c>
      <c r="W6135" s="3" t="s">
        <v>2115</v>
      </c>
      <c r="X6135" s="10" t="s">
        <v>28215</v>
      </c>
      <c r="Y6135" s="6" t="s">
        <v>108</v>
      </c>
      <c r="Z6135" s="4">
        <v>7.5</v>
      </c>
      <c r="AA6135" s="4">
        <v>27.96</v>
      </c>
      <c r="AB6135" s="3" t="s">
        <v>43</v>
      </c>
      <c r="AC6135" s="3" t="s">
        <v>2117</v>
      </c>
      <c r="AD6135" s="9">
        <v>42836</v>
      </c>
      <c r="AE6135" s="3" t="s">
        <v>292</v>
      </c>
      <c r="AF6135" s="3" t="s">
        <v>2118</v>
      </c>
      <c r="AG6135" s="3" t="s">
        <v>81</v>
      </c>
      <c r="AH6135" s="11">
        <f>HYPERLINK("https://my.pitchbook.com?c=107338-78T","View Company Online")</f>
      </c>
    </row>
    <row r="6136">
      <c r="A6136" s="12" t="s">
        <v>28216</v>
      </c>
      <c r="B6136" s="12" t="s">
        <v>22763</v>
      </c>
      <c r="C6136" s="19" t="s">
        <v>36</v>
      </c>
      <c r="D6136" s="19" t="s">
        <v>36</v>
      </c>
      <c r="E6136" s="19" t="s">
        <v>36</v>
      </c>
      <c r="F6136" s="19" t="s">
        <v>36</v>
      </c>
      <c r="G6136" s="15" t="s">
        <v>36</v>
      </c>
      <c r="H6136" s="14">
        <v>31.36</v>
      </c>
      <c r="I6136" s="18">
        <v>40.47</v>
      </c>
      <c r="J6136" s="12" t="s">
        <v>327</v>
      </c>
      <c r="K6136" s="13" t="s">
        <v>36</v>
      </c>
      <c r="L6136" s="15" t="s">
        <v>122</v>
      </c>
      <c r="M6136" s="12" t="s">
        <v>36</v>
      </c>
      <c r="N6136" s="12" t="s">
        <v>122</v>
      </c>
      <c r="O6136" s="17" t="s">
        <v>36</v>
      </c>
      <c r="P6136" s="12" t="s">
        <v>36</v>
      </c>
      <c r="Q6136" s="12" t="s">
        <v>36</v>
      </c>
      <c r="R6136" s="12" t="s">
        <v>36</v>
      </c>
      <c r="S6136" s="12" t="s">
        <v>36</v>
      </c>
      <c r="T6136" s="12" t="s">
        <v>22764</v>
      </c>
      <c r="U6136" s="12" t="s">
        <v>74</v>
      </c>
      <c r="V6136" s="12" t="s">
        <v>75</v>
      </c>
      <c r="W6136" s="12" t="s">
        <v>22765</v>
      </c>
      <c r="X6136" s="16" t="s">
        <v>28217</v>
      </c>
      <c r="Y6136" s="15" t="s">
        <v>42</v>
      </c>
      <c r="Z6136" s="14">
        <v>5.36</v>
      </c>
      <c r="AA6136" s="14">
        <v>13.23</v>
      </c>
      <c r="AB6136" s="12" t="s">
        <v>43</v>
      </c>
      <c r="AC6136" s="12" t="s">
        <v>22767</v>
      </c>
      <c r="AD6136" s="13">
        <v>42836</v>
      </c>
      <c r="AE6136" s="12" t="s">
        <v>3144</v>
      </c>
      <c r="AF6136" s="12" t="s">
        <v>22768</v>
      </c>
      <c r="AG6136" s="12" t="s">
        <v>2760</v>
      </c>
      <c r="AH6136" s="1">
        <f>HYPERLINK("https://my.pitchbook.com?c=86191-12T","View Company Online")</f>
      </c>
    </row>
    <row r="6137">
      <c r="A6137" s="3" t="s">
        <v>28218</v>
      </c>
      <c r="B6137" s="3" t="s">
        <v>28219</v>
      </c>
      <c r="C6137" s="5">
        <v>4</v>
      </c>
      <c r="D6137" s="5">
        <v>35</v>
      </c>
      <c r="E6137" s="5">
        <v>12</v>
      </c>
      <c r="F6137" s="5">
        <v>57</v>
      </c>
      <c r="G6137" s="6" t="s">
        <v>326</v>
      </c>
      <c r="H6137" s="4" t="s">
        <v>36</v>
      </c>
      <c r="I6137" s="7">
        <v>71.96</v>
      </c>
      <c r="J6137" s="3" t="s">
        <v>521</v>
      </c>
      <c r="K6137" s="9">
        <v>42474</v>
      </c>
      <c r="L6137" s="6" t="s">
        <v>122</v>
      </c>
      <c r="M6137" s="3" t="s">
        <v>36</v>
      </c>
      <c r="N6137" s="3" t="s">
        <v>122</v>
      </c>
      <c r="O6137" s="8" t="s">
        <v>36</v>
      </c>
      <c r="P6137" s="3" t="s">
        <v>36</v>
      </c>
      <c r="Q6137" s="3" t="s">
        <v>36</v>
      </c>
      <c r="R6137" s="3" t="s">
        <v>36</v>
      </c>
      <c r="S6137" s="3" t="s">
        <v>36</v>
      </c>
      <c r="T6137" s="3" t="s">
        <v>661</v>
      </c>
      <c r="U6137" s="3" t="s">
        <v>51</v>
      </c>
      <c r="V6137" s="3" t="s">
        <v>52</v>
      </c>
      <c r="W6137" s="3" t="s">
        <v>28220</v>
      </c>
      <c r="X6137" s="10" t="s">
        <v>28221</v>
      </c>
      <c r="Y6137" s="6" t="s">
        <v>42</v>
      </c>
      <c r="Z6137" s="4">
        <v>10.5</v>
      </c>
      <c r="AA6137" s="4">
        <v>14.59</v>
      </c>
      <c r="AB6137" s="3" t="s">
        <v>56</v>
      </c>
      <c r="AC6137" s="3" t="s">
        <v>28222</v>
      </c>
      <c r="AD6137" s="9">
        <v>42836</v>
      </c>
      <c r="AE6137" s="3" t="s">
        <v>158</v>
      </c>
      <c r="AF6137" s="3" t="s">
        <v>36</v>
      </c>
      <c r="AG6137" s="3" t="s">
        <v>28223</v>
      </c>
      <c r="AH6137" s="11">
        <f>HYPERLINK("https://my.pitchbook.com?c=68986-90T","View Company Online")</f>
      </c>
    </row>
    <row r="6138">
      <c r="A6138" s="12" t="s">
        <v>28224</v>
      </c>
      <c r="B6138" s="12" t="s">
        <v>22983</v>
      </c>
      <c r="C6138" s="19" t="s">
        <v>36</v>
      </c>
      <c r="D6138" s="19" t="s">
        <v>36</v>
      </c>
      <c r="E6138" s="19" t="s">
        <v>36</v>
      </c>
      <c r="F6138" s="19" t="s">
        <v>36</v>
      </c>
      <c r="G6138" s="15" t="s">
        <v>326</v>
      </c>
      <c r="H6138" s="14">
        <v>209.54</v>
      </c>
      <c r="I6138" s="18">
        <v>29.34</v>
      </c>
      <c r="J6138" s="12" t="s">
        <v>521</v>
      </c>
      <c r="K6138" s="13">
        <v>42430</v>
      </c>
      <c r="L6138" s="15" t="s">
        <v>122</v>
      </c>
      <c r="M6138" s="12" t="s">
        <v>36</v>
      </c>
      <c r="N6138" s="12" t="s">
        <v>122</v>
      </c>
      <c r="O6138" s="17" t="s">
        <v>36</v>
      </c>
      <c r="P6138" s="12" t="s">
        <v>36</v>
      </c>
      <c r="Q6138" s="12" t="s">
        <v>36</v>
      </c>
      <c r="R6138" s="12" t="s">
        <v>36</v>
      </c>
      <c r="S6138" s="12" t="s">
        <v>36</v>
      </c>
      <c r="T6138" s="12" t="s">
        <v>22984</v>
      </c>
      <c r="U6138" s="12" t="s">
        <v>63</v>
      </c>
      <c r="V6138" s="12" t="s">
        <v>64</v>
      </c>
      <c r="W6138" s="12" t="s">
        <v>22985</v>
      </c>
      <c r="X6138" s="16" t="s">
        <v>28225</v>
      </c>
      <c r="Y6138" s="15" t="s">
        <v>55</v>
      </c>
      <c r="Z6138" s="14">
        <v>12.32</v>
      </c>
      <c r="AA6138" s="14">
        <v>42</v>
      </c>
      <c r="AB6138" s="12" t="s">
        <v>43</v>
      </c>
      <c r="AC6138" s="12" t="s">
        <v>22987</v>
      </c>
      <c r="AD6138" s="13">
        <v>42832</v>
      </c>
      <c r="AE6138" s="12" t="s">
        <v>68</v>
      </c>
      <c r="AF6138" s="12" t="s">
        <v>22988</v>
      </c>
      <c r="AG6138" s="12" t="s">
        <v>81</v>
      </c>
      <c r="AH6138" s="1">
        <f>HYPERLINK("https://my.pitchbook.com?c=68242-69T","View Company Online")</f>
      </c>
    </row>
    <row r="6139">
      <c r="A6139" s="3" t="s">
        <v>28226</v>
      </c>
      <c r="B6139" s="3" t="s">
        <v>28227</v>
      </c>
      <c r="C6139" s="5" t="s">
        <v>36</v>
      </c>
      <c r="D6139" s="5" t="s">
        <v>36</v>
      </c>
      <c r="E6139" s="5" t="s">
        <v>36</v>
      </c>
      <c r="F6139" s="5" t="s">
        <v>36</v>
      </c>
      <c r="G6139" s="6" t="s">
        <v>36</v>
      </c>
      <c r="H6139" s="4">
        <v>422.5</v>
      </c>
      <c r="I6139" s="7">
        <v>14.95</v>
      </c>
      <c r="J6139" s="3" t="s">
        <v>521</v>
      </c>
      <c r="K6139" s="9" t="s">
        <v>36</v>
      </c>
      <c r="L6139" s="6" t="s">
        <v>36</v>
      </c>
      <c r="M6139" s="3" t="s">
        <v>36</v>
      </c>
      <c r="N6139" s="3" t="s">
        <v>36</v>
      </c>
      <c r="O6139" s="8" t="s">
        <v>36</v>
      </c>
      <c r="P6139" s="3" t="s">
        <v>36</v>
      </c>
      <c r="Q6139" s="3" t="s">
        <v>36</v>
      </c>
      <c r="R6139" s="3" t="s">
        <v>36</v>
      </c>
      <c r="S6139" s="3" t="s">
        <v>36</v>
      </c>
      <c r="T6139" s="3" t="s">
        <v>942</v>
      </c>
      <c r="U6139" s="3" t="s">
        <v>38</v>
      </c>
      <c r="V6139" s="3" t="s">
        <v>39</v>
      </c>
      <c r="W6139" s="3" t="s">
        <v>28228</v>
      </c>
      <c r="X6139" s="10" t="s">
        <v>28229</v>
      </c>
      <c r="Y6139" s="6" t="s">
        <v>108</v>
      </c>
      <c r="Z6139" s="4">
        <v>0.96</v>
      </c>
      <c r="AA6139" s="4">
        <v>6.39</v>
      </c>
      <c r="AB6139" s="3" t="s">
        <v>43</v>
      </c>
      <c r="AC6139" s="3" t="s">
        <v>28230</v>
      </c>
      <c r="AD6139" s="9">
        <v>42832</v>
      </c>
      <c r="AE6139" s="3" t="s">
        <v>45</v>
      </c>
      <c r="AF6139" s="3" t="s">
        <v>615</v>
      </c>
      <c r="AG6139" s="3" t="s">
        <v>12125</v>
      </c>
      <c r="AH6139" s="11">
        <f>HYPERLINK("https://my.pitchbook.com?c=113143-15T","View Company Online")</f>
      </c>
    </row>
    <row r="6140">
      <c r="A6140" s="12" t="s">
        <v>28231</v>
      </c>
      <c r="B6140" s="12" t="s">
        <v>28232</v>
      </c>
      <c r="C6140" s="19" t="s">
        <v>36</v>
      </c>
      <c r="D6140" s="19" t="s">
        <v>36</v>
      </c>
      <c r="E6140" s="19" t="s">
        <v>36</v>
      </c>
      <c r="F6140" s="19" t="s">
        <v>36</v>
      </c>
      <c r="G6140" s="15" t="s">
        <v>683</v>
      </c>
      <c r="H6140" s="14">
        <v>1.59</v>
      </c>
      <c r="I6140" s="18">
        <v>5</v>
      </c>
      <c r="J6140" s="12" t="s">
        <v>521</v>
      </c>
      <c r="K6140" s="13">
        <v>42823</v>
      </c>
      <c r="L6140" s="15" t="s">
        <v>36</v>
      </c>
      <c r="M6140" s="12" t="s">
        <v>36</v>
      </c>
      <c r="N6140" s="12" t="s">
        <v>36</v>
      </c>
      <c r="O6140" s="17" t="s">
        <v>36</v>
      </c>
      <c r="P6140" s="12" t="s">
        <v>36</v>
      </c>
      <c r="Q6140" s="12" t="s">
        <v>36</v>
      </c>
      <c r="R6140" s="12" t="s">
        <v>36</v>
      </c>
      <c r="S6140" s="12" t="s">
        <v>36</v>
      </c>
      <c r="T6140" s="12" t="s">
        <v>28233</v>
      </c>
      <c r="U6140" s="12" t="s">
        <v>63</v>
      </c>
      <c r="V6140" s="12" t="s">
        <v>64</v>
      </c>
      <c r="W6140" s="12" t="s">
        <v>28234</v>
      </c>
      <c r="X6140" s="16" t="s">
        <v>28235</v>
      </c>
      <c r="Y6140" s="15" t="s">
        <v>108</v>
      </c>
      <c r="Z6140" s="14">
        <v>0.21</v>
      </c>
      <c r="AA6140" s="14">
        <v>4.28</v>
      </c>
      <c r="AB6140" s="12" t="s">
        <v>56</v>
      </c>
      <c r="AC6140" s="12" t="s">
        <v>28236</v>
      </c>
      <c r="AD6140" s="13">
        <v>42829</v>
      </c>
      <c r="AE6140" s="12" t="s">
        <v>28237</v>
      </c>
      <c r="AF6140" s="12" t="s">
        <v>36</v>
      </c>
      <c r="AG6140" s="12" t="s">
        <v>102</v>
      </c>
      <c r="AH6140" s="1">
        <f>HYPERLINK("https://my.pitchbook.com?c=89238-43T","View Company Online")</f>
      </c>
    </row>
    <row r="6141">
      <c r="A6141" s="3" t="s">
        <v>28238</v>
      </c>
      <c r="B6141" s="3" t="s">
        <v>28239</v>
      </c>
      <c r="C6141" s="5" t="s">
        <v>36</v>
      </c>
      <c r="D6141" s="5" t="s">
        <v>36</v>
      </c>
      <c r="E6141" s="5" t="s">
        <v>36</v>
      </c>
      <c r="F6141" s="5" t="s">
        <v>36</v>
      </c>
      <c r="G6141" s="6" t="s">
        <v>683</v>
      </c>
      <c r="H6141" s="4">
        <v>32.46</v>
      </c>
      <c r="I6141" s="7">
        <v>13.84</v>
      </c>
      <c r="J6141" s="3" t="s">
        <v>521</v>
      </c>
      <c r="K6141" s="9" t="s">
        <v>36</v>
      </c>
      <c r="L6141" s="6" t="s">
        <v>36</v>
      </c>
      <c r="M6141" s="3" t="s">
        <v>36</v>
      </c>
      <c r="N6141" s="3" t="s">
        <v>36</v>
      </c>
      <c r="O6141" s="8" t="s">
        <v>36</v>
      </c>
      <c r="P6141" s="3" t="s">
        <v>36</v>
      </c>
      <c r="Q6141" s="3" t="s">
        <v>36</v>
      </c>
      <c r="R6141" s="3" t="s">
        <v>36</v>
      </c>
      <c r="S6141" s="3" t="s">
        <v>36</v>
      </c>
      <c r="T6141" s="3" t="s">
        <v>1973</v>
      </c>
      <c r="U6141" s="3" t="s">
        <v>728</v>
      </c>
      <c r="V6141" s="3" t="s">
        <v>64</v>
      </c>
      <c r="W6141" s="3" t="s">
        <v>28240</v>
      </c>
      <c r="X6141" s="10" t="s">
        <v>24800</v>
      </c>
      <c r="Y6141" s="6" t="s">
        <v>108</v>
      </c>
      <c r="Z6141" s="4">
        <v>0.6</v>
      </c>
      <c r="AA6141" s="4">
        <v>4.33</v>
      </c>
      <c r="AB6141" s="3" t="s">
        <v>43</v>
      </c>
      <c r="AC6141" s="3" t="s">
        <v>28241</v>
      </c>
      <c r="AD6141" s="9">
        <v>42829</v>
      </c>
      <c r="AE6141" s="3" t="s">
        <v>1600</v>
      </c>
      <c r="AF6141" s="3" t="s">
        <v>90</v>
      </c>
      <c r="AG6141" s="3" t="s">
        <v>81</v>
      </c>
      <c r="AH6141" s="11">
        <f>HYPERLINK("https://my.pitchbook.com?c=121321-72T","View Company Online")</f>
      </c>
    </row>
    <row r="6142">
      <c r="A6142" s="12" t="s">
        <v>28242</v>
      </c>
      <c r="B6142" s="12" t="s">
        <v>24297</v>
      </c>
      <c r="C6142" s="19" t="s">
        <v>36</v>
      </c>
      <c r="D6142" s="19" t="s">
        <v>36</v>
      </c>
      <c r="E6142" s="19" t="s">
        <v>36</v>
      </c>
      <c r="F6142" s="19" t="s">
        <v>36</v>
      </c>
      <c r="G6142" s="15" t="s">
        <v>36</v>
      </c>
      <c r="H6142" s="14" t="s">
        <v>36</v>
      </c>
      <c r="I6142" s="18" t="s">
        <v>36</v>
      </c>
      <c r="J6142" s="12" t="s">
        <v>36</v>
      </c>
      <c r="K6142" s="13" t="s">
        <v>36</v>
      </c>
      <c r="L6142" s="15" t="s">
        <v>36</v>
      </c>
      <c r="M6142" s="12" t="s">
        <v>36</v>
      </c>
      <c r="N6142" s="12" t="s">
        <v>36</v>
      </c>
      <c r="O6142" s="17" t="s">
        <v>36</v>
      </c>
      <c r="P6142" s="12" t="s">
        <v>36</v>
      </c>
      <c r="Q6142" s="12" t="s">
        <v>36</v>
      </c>
      <c r="R6142" s="12" t="s">
        <v>36</v>
      </c>
      <c r="S6142" s="12" t="s">
        <v>36</v>
      </c>
      <c r="T6142" s="12" t="s">
        <v>522</v>
      </c>
      <c r="U6142" s="12" t="s">
        <v>38</v>
      </c>
      <c r="V6142" s="12" t="s">
        <v>39</v>
      </c>
      <c r="W6142" s="12" t="s">
        <v>24298</v>
      </c>
      <c r="X6142" s="16" t="s">
        <v>28243</v>
      </c>
      <c r="Y6142" s="15" t="s">
        <v>108</v>
      </c>
      <c r="Z6142" s="14">
        <v>4.28</v>
      </c>
      <c r="AA6142" s="14" t="s">
        <v>36</v>
      </c>
      <c r="AB6142" s="12" t="s">
        <v>56</v>
      </c>
      <c r="AC6142" s="12" t="s">
        <v>24299</v>
      </c>
      <c r="AD6142" s="13">
        <v>42829</v>
      </c>
      <c r="AE6142" s="12" t="s">
        <v>110</v>
      </c>
      <c r="AF6142" s="12" t="s">
        <v>7533</v>
      </c>
      <c r="AG6142" s="12" t="s">
        <v>186</v>
      </c>
      <c r="AH6142" s="1">
        <f>HYPERLINK("https://my.pitchbook.com?c=91589-68T","View Company Online")</f>
      </c>
    </row>
    <row r="6143">
      <c r="A6143" s="3" t="s">
        <v>28244</v>
      </c>
      <c r="B6143" s="3" t="s">
        <v>28245</v>
      </c>
      <c r="C6143" s="5" t="s">
        <v>36</v>
      </c>
      <c r="D6143" s="5" t="s">
        <v>36</v>
      </c>
      <c r="E6143" s="5" t="s">
        <v>36</v>
      </c>
      <c r="F6143" s="5" t="s">
        <v>36</v>
      </c>
      <c r="G6143" s="6" t="s">
        <v>36</v>
      </c>
      <c r="H6143" s="4" t="s">
        <v>36</v>
      </c>
      <c r="I6143" s="7" t="s">
        <v>36</v>
      </c>
      <c r="J6143" s="3" t="s">
        <v>36</v>
      </c>
      <c r="K6143" s="9" t="s">
        <v>36</v>
      </c>
      <c r="L6143" s="6" t="s">
        <v>36</v>
      </c>
      <c r="M6143" s="3" t="s">
        <v>36</v>
      </c>
      <c r="N6143" s="3" t="s">
        <v>36</v>
      </c>
      <c r="O6143" s="8" t="s">
        <v>36</v>
      </c>
      <c r="P6143" s="3" t="s">
        <v>36</v>
      </c>
      <c r="Q6143" s="3" t="s">
        <v>36</v>
      </c>
      <c r="R6143" s="3" t="s">
        <v>36</v>
      </c>
      <c r="S6143" s="3" t="s">
        <v>36</v>
      </c>
      <c r="T6143" s="3" t="s">
        <v>28246</v>
      </c>
      <c r="U6143" s="3" t="s">
        <v>38</v>
      </c>
      <c r="V6143" s="3" t="s">
        <v>39</v>
      </c>
      <c r="W6143" s="3" t="s">
        <v>28247</v>
      </c>
      <c r="X6143" s="10" t="s">
        <v>1840</v>
      </c>
      <c r="Y6143" s="6" t="s">
        <v>42</v>
      </c>
      <c r="Z6143" s="4">
        <v>0.07</v>
      </c>
      <c r="AA6143" s="4" t="s">
        <v>36</v>
      </c>
      <c r="AB6143" s="3" t="s">
        <v>43</v>
      </c>
      <c r="AC6143" s="3" t="s">
        <v>28248</v>
      </c>
      <c r="AD6143" s="9">
        <v>42829</v>
      </c>
      <c r="AE6143" s="3" t="s">
        <v>688</v>
      </c>
      <c r="AF6143" s="3" t="s">
        <v>16669</v>
      </c>
      <c r="AG6143" s="3" t="s">
        <v>382</v>
      </c>
      <c r="AH6143" s="11">
        <f>HYPERLINK("https://my.pitchbook.com?c=85869-73T","View Company Online")</f>
      </c>
    </row>
    <row r="6144">
      <c r="A6144" s="12" t="s">
        <v>28249</v>
      </c>
      <c r="B6144" s="12" t="s">
        <v>26829</v>
      </c>
      <c r="C6144" s="19" t="s">
        <v>36</v>
      </c>
      <c r="D6144" s="19">
        <v>3</v>
      </c>
      <c r="E6144" s="19">
        <v>1</v>
      </c>
      <c r="F6144" s="19">
        <v>4</v>
      </c>
      <c r="G6144" s="15" t="s">
        <v>36</v>
      </c>
      <c r="H6144" s="14">
        <v>150.59</v>
      </c>
      <c r="I6144" s="18">
        <v>30.84</v>
      </c>
      <c r="J6144" s="12" t="s">
        <v>521</v>
      </c>
      <c r="K6144" s="13" t="s">
        <v>36</v>
      </c>
      <c r="L6144" s="15" t="s">
        <v>36</v>
      </c>
      <c r="M6144" s="12" t="s">
        <v>36</v>
      </c>
      <c r="N6144" s="12" t="s">
        <v>36</v>
      </c>
      <c r="O6144" s="17" t="s">
        <v>36</v>
      </c>
      <c r="P6144" s="12" t="s">
        <v>36</v>
      </c>
      <c r="Q6144" s="12" t="s">
        <v>36</v>
      </c>
      <c r="R6144" s="12" t="s">
        <v>36</v>
      </c>
      <c r="S6144" s="12" t="s">
        <v>36</v>
      </c>
      <c r="T6144" s="12" t="s">
        <v>26830</v>
      </c>
      <c r="U6144" s="12" t="s">
        <v>38</v>
      </c>
      <c r="V6144" s="12" t="s">
        <v>39</v>
      </c>
      <c r="W6144" s="12" t="s">
        <v>26831</v>
      </c>
      <c r="X6144" s="16" t="s">
        <v>28250</v>
      </c>
      <c r="Y6144" s="15" t="s">
        <v>55</v>
      </c>
      <c r="Z6144" s="14">
        <v>1.85</v>
      </c>
      <c r="AA6144" s="14">
        <v>6</v>
      </c>
      <c r="AB6144" s="12" t="s">
        <v>56</v>
      </c>
      <c r="AC6144" s="12" t="s">
        <v>26833</v>
      </c>
      <c r="AD6144" s="13">
        <v>42828</v>
      </c>
      <c r="AE6144" s="12" t="s">
        <v>110</v>
      </c>
      <c r="AF6144" s="12" t="s">
        <v>1331</v>
      </c>
      <c r="AG6144" s="12" t="s">
        <v>81</v>
      </c>
      <c r="AH6144" s="1">
        <f>HYPERLINK("https://my.pitchbook.com?c=116306-47T","View Company Online")</f>
      </c>
    </row>
    <row r="6145">
      <c r="A6145" s="3" t="s">
        <v>28251</v>
      </c>
      <c r="B6145" s="3" t="s">
        <v>28252</v>
      </c>
      <c r="C6145" s="5" t="s">
        <v>36</v>
      </c>
      <c r="D6145" s="5">
        <v>1</v>
      </c>
      <c r="E6145" s="5">
        <v>1</v>
      </c>
      <c r="F6145" s="5">
        <v>3</v>
      </c>
      <c r="G6145" s="6" t="s">
        <v>326</v>
      </c>
      <c r="H6145" s="4">
        <v>34.07</v>
      </c>
      <c r="I6145" s="7">
        <v>20.6</v>
      </c>
      <c r="J6145" s="3" t="s">
        <v>521</v>
      </c>
      <c r="K6145" s="9" t="s">
        <v>36</v>
      </c>
      <c r="L6145" s="6" t="s">
        <v>36</v>
      </c>
      <c r="M6145" s="3" t="s">
        <v>36</v>
      </c>
      <c r="N6145" s="3" t="s">
        <v>36</v>
      </c>
      <c r="O6145" s="8" t="s">
        <v>36</v>
      </c>
      <c r="P6145" s="3" t="s">
        <v>36</v>
      </c>
      <c r="Q6145" s="3" t="s">
        <v>36</v>
      </c>
      <c r="R6145" s="3" t="s">
        <v>36</v>
      </c>
      <c r="S6145" s="3" t="s">
        <v>36</v>
      </c>
      <c r="T6145" s="3" t="s">
        <v>28253</v>
      </c>
      <c r="U6145" s="3" t="s">
        <v>233</v>
      </c>
      <c r="V6145" s="3" t="s">
        <v>39</v>
      </c>
      <c r="W6145" s="3" t="s">
        <v>28254</v>
      </c>
      <c r="X6145" s="10" t="s">
        <v>28255</v>
      </c>
      <c r="Y6145" s="6" t="s">
        <v>42</v>
      </c>
      <c r="Z6145" s="4">
        <v>2.14</v>
      </c>
      <c r="AA6145" s="4">
        <v>10.11</v>
      </c>
      <c r="AB6145" s="3" t="s">
        <v>43</v>
      </c>
      <c r="AC6145" s="3" t="s">
        <v>28256</v>
      </c>
      <c r="AD6145" s="9">
        <v>42828</v>
      </c>
      <c r="AE6145" s="3" t="s">
        <v>12061</v>
      </c>
      <c r="AF6145" s="3" t="s">
        <v>36</v>
      </c>
      <c r="AG6145" s="3" t="s">
        <v>28257</v>
      </c>
      <c r="AH6145" s="11">
        <f>HYPERLINK("https://my.pitchbook.com?c=109494-82T","View Company Online")</f>
      </c>
    </row>
    <row r="6146">
      <c r="A6146" s="12" t="s">
        <v>28258</v>
      </c>
      <c r="B6146" s="12" t="s">
        <v>28259</v>
      </c>
      <c r="C6146" s="19" t="s">
        <v>36</v>
      </c>
      <c r="D6146" s="19" t="s">
        <v>36</v>
      </c>
      <c r="E6146" s="19" t="s">
        <v>36</v>
      </c>
      <c r="F6146" s="19" t="s">
        <v>36</v>
      </c>
      <c r="G6146" s="15" t="s">
        <v>326</v>
      </c>
      <c r="H6146" s="14">
        <v>13.24</v>
      </c>
      <c r="I6146" s="18">
        <v>27.45</v>
      </c>
      <c r="J6146" s="12" t="s">
        <v>521</v>
      </c>
      <c r="K6146" s="13" t="s">
        <v>36</v>
      </c>
      <c r="L6146" s="15" t="s">
        <v>36</v>
      </c>
      <c r="M6146" s="12" t="s">
        <v>36</v>
      </c>
      <c r="N6146" s="12" t="s">
        <v>36</v>
      </c>
      <c r="O6146" s="17" t="s">
        <v>36</v>
      </c>
      <c r="P6146" s="12" t="s">
        <v>36</v>
      </c>
      <c r="Q6146" s="12" t="s">
        <v>36</v>
      </c>
      <c r="R6146" s="12" t="s">
        <v>36</v>
      </c>
      <c r="S6146" s="12" t="s">
        <v>36</v>
      </c>
      <c r="T6146" s="12" t="s">
        <v>28260</v>
      </c>
      <c r="U6146" s="12" t="s">
        <v>74</v>
      </c>
      <c r="V6146" s="12" t="s">
        <v>75</v>
      </c>
      <c r="W6146" s="12" t="s">
        <v>28261</v>
      </c>
      <c r="X6146" s="16" t="s">
        <v>28262</v>
      </c>
      <c r="Y6146" s="15" t="s">
        <v>192</v>
      </c>
      <c r="Z6146" s="14">
        <v>10.71</v>
      </c>
      <c r="AA6146" s="14">
        <v>39.02</v>
      </c>
      <c r="AB6146" s="12" t="s">
        <v>56</v>
      </c>
      <c r="AC6146" s="12" t="s">
        <v>28263</v>
      </c>
      <c r="AD6146" s="13">
        <v>42828</v>
      </c>
      <c r="AE6146" s="12" t="s">
        <v>79</v>
      </c>
      <c r="AF6146" s="12" t="s">
        <v>10797</v>
      </c>
      <c r="AG6146" s="12" t="s">
        <v>2033</v>
      </c>
      <c r="AH6146" s="1">
        <f>HYPERLINK("https://my.pitchbook.com?c=85889-35T","View Company Online")</f>
      </c>
    </row>
    <row r="6147">
      <c r="A6147" s="3" t="s">
        <v>28264</v>
      </c>
      <c r="B6147" s="3" t="s">
        <v>28265</v>
      </c>
      <c r="C6147" s="5" t="s">
        <v>36</v>
      </c>
      <c r="D6147" s="5">
        <v>2</v>
      </c>
      <c r="E6147" s="5">
        <v>1</v>
      </c>
      <c r="F6147" s="5">
        <v>5</v>
      </c>
      <c r="G6147" s="6" t="s">
        <v>36</v>
      </c>
      <c r="H6147" s="4">
        <v>1038.57</v>
      </c>
      <c r="I6147" s="7">
        <v>15.79</v>
      </c>
      <c r="J6147" s="3" t="s">
        <v>521</v>
      </c>
      <c r="K6147" s="9">
        <v>42705</v>
      </c>
      <c r="L6147" s="6" t="s">
        <v>36</v>
      </c>
      <c r="M6147" s="3" t="s">
        <v>36</v>
      </c>
      <c r="N6147" s="3" t="s">
        <v>36</v>
      </c>
      <c r="O6147" s="8" t="s">
        <v>36</v>
      </c>
      <c r="P6147" s="3" t="s">
        <v>36</v>
      </c>
      <c r="Q6147" s="3" t="s">
        <v>36</v>
      </c>
      <c r="R6147" s="3" t="s">
        <v>36</v>
      </c>
      <c r="S6147" s="3" t="s">
        <v>36</v>
      </c>
      <c r="T6147" s="3" t="s">
        <v>28266</v>
      </c>
      <c r="U6147" s="3" t="s">
        <v>233</v>
      </c>
      <c r="V6147" s="3" t="s">
        <v>39</v>
      </c>
      <c r="W6147" s="3" t="s">
        <v>28267</v>
      </c>
      <c r="X6147" s="10" t="s">
        <v>28268</v>
      </c>
      <c r="Y6147" s="6" t="s">
        <v>42</v>
      </c>
      <c r="Z6147" s="4">
        <v>0.32</v>
      </c>
      <c r="AA6147" s="4">
        <v>1.02</v>
      </c>
      <c r="AB6147" s="3" t="s">
        <v>43</v>
      </c>
      <c r="AC6147" s="3" t="s">
        <v>28269</v>
      </c>
      <c r="AD6147" s="9">
        <v>42828</v>
      </c>
      <c r="AE6147" s="3" t="s">
        <v>236</v>
      </c>
      <c r="AF6147" s="3" t="s">
        <v>1077</v>
      </c>
      <c r="AG6147" s="3" t="s">
        <v>741</v>
      </c>
      <c r="AH6147" s="11">
        <f>HYPERLINK("https://my.pitchbook.com?c=82658-17T","View Company Online")</f>
      </c>
    </row>
    <row r="6148">
      <c r="A6148" s="12" t="s">
        <v>28270</v>
      </c>
      <c r="B6148" s="12" t="s">
        <v>28271</v>
      </c>
      <c r="C6148" s="19" t="s">
        <v>36</v>
      </c>
      <c r="D6148" s="19">
        <v>1</v>
      </c>
      <c r="E6148" s="19">
        <v>1</v>
      </c>
      <c r="F6148" s="19">
        <v>2</v>
      </c>
      <c r="G6148" s="15" t="s">
        <v>36</v>
      </c>
      <c r="H6148" s="14" t="s">
        <v>36</v>
      </c>
      <c r="I6148" s="18" t="s">
        <v>36</v>
      </c>
      <c r="J6148" s="12" t="s">
        <v>36</v>
      </c>
      <c r="K6148" s="13" t="s">
        <v>36</v>
      </c>
      <c r="L6148" s="15" t="s">
        <v>36</v>
      </c>
      <c r="M6148" s="12" t="s">
        <v>36</v>
      </c>
      <c r="N6148" s="12" t="s">
        <v>36</v>
      </c>
      <c r="O6148" s="17" t="s">
        <v>36</v>
      </c>
      <c r="P6148" s="12" t="s">
        <v>36</v>
      </c>
      <c r="Q6148" s="12" t="s">
        <v>36</v>
      </c>
      <c r="R6148" s="12" t="s">
        <v>36</v>
      </c>
      <c r="S6148" s="12" t="s">
        <v>36</v>
      </c>
      <c r="T6148" s="12" t="s">
        <v>522</v>
      </c>
      <c r="U6148" s="12" t="s">
        <v>38</v>
      </c>
      <c r="V6148" s="12" t="s">
        <v>39</v>
      </c>
      <c r="W6148" s="12" t="s">
        <v>28272</v>
      </c>
      <c r="X6148" s="16" t="s">
        <v>28273</v>
      </c>
      <c r="Y6148" s="15" t="s">
        <v>108</v>
      </c>
      <c r="Z6148" s="14" t="s">
        <v>36</v>
      </c>
      <c r="AA6148" s="14" t="s">
        <v>36</v>
      </c>
      <c r="AB6148" s="12" t="s">
        <v>43</v>
      </c>
      <c r="AC6148" s="12" t="s">
        <v>28274</v>
      </c>
      <c r="AD6148" s="13">
        <v>42826</v>
      </c>
      <c r="AE6148" s="12" t="s">
        <v>110</v>
      </c>
      <c r="AF6148" s="12" t="s">
        <v>24433</v>
      </c>
      <c r="AG6148" s="12" t="s">
        <v>23058</v>
      </c>
      <c r="AH6148" s="1">
        <f>HYPERLINK("https://my.pitchbook.com?c=86322-79T","View Company Online")</f>
      </c>
    </row>
    <row r="6149">
      <c r="A6149" s="3" t="s">
        <v>28275</v>
      </c>
      <c r="B6149" s="3" t="s">
        <v>28276</v>
      </c>
      <c r="C6149" s="5" t="s">
        <v>36</v>
      </c>
      <c r="D6149" s="5" t="s">
        <v>36</v>
      </c>
      <c r="E6149" s="5" t="s">
        <v>36</v>
      </c>
      <c r="F6149" s="5" t="s">
        <v>36</v>
      </c>
      <c r="G6149" s="6" t="s">
        <v>36</v>
      </c>
      <c r="H6149" s="4" t="s">
        <v>36</v>
      </c>
      <c r="I6149" s="7" t="s">
        <v>36</v>
      </c>
      <c r="J6149" s="3" t="s">
        <v>36</v>
      </c>
      <c r="K6149" s="9" t="s">
        <v>36</v>
      </c>
      <c r="L6149" s="6" t="s">
        <v>36</v>
      </c>
      <c r="M6149" s="3" t="s">
        <v>36</v>
      </c>
      <c r="N6149" s="3" t="s">
        <v>36</v>
      </c>
      <c r="O6149" s="8" t="s">
        <v>36</v>
      </c>
      <c r="P6149" s="3" t="s">
        <v>36</v>
      </c>
      <c r="Q6149" s="3" t="s">
        <v>36</v>
      </c>
      <c r="R6149" s="3" t="s">
        <v>36</v>
      </c>
      <c r="S6149" s="3" t="s">
        <v>36</v>
      </c>
      <c r="T6149" s="3" t="s">
        <v>28277</v>
      </c>
      <c r="U6149" s="3" t="s">
        <v>289</v>
      </c>
      <c r="V6149" s="3" t="s">
        <v>64</v>
      </c>
      <c r="W6149" s="3" t="s">
        <v>28278</v>
      </c>
      <c r="X6149" s="10" t="s">
        <v>1872</v>
      </c>
      <c r="Y6149" s="6" t="s">
        <v>42</v>
      </c>
      <c r="Z6149" s="4" t="s">
        <v>36</v>
      </c>
      <c r="AA6149" s="4" t="s">
        <v>36</v>
      </c>
      <c r="AB6149" s="3" t="s">
        <v>43</v>
      </c>
      <c r="AC6149" s="3" t="s">
        <v>28279</v>
      </c>
      <c r="AD6149" s="9">
        <v>42826</v>
      </c>
      <c r="AE6149" s="3" t="s">
        <v>3134</v>
      </c>
      <c r="AF6149" s="3" t="s">
        <v>20865</v>
      </c>
      <c r="AG6149" s="3" t="s">
        <v>2618</v>
      </c>
      <c r="AH6149" s="11">
        <f>HYPERLINK("https://my.pitchbook.com?c=86811-94T","View Company Online")</f>
      </c>
    </row>
    <row r="6150">
      <c r="A6150" s="12" t="s">
        <v>28280</v>
      </c>
      <c r="B6150" s="12" t="s">
        <v>21263</v>
      </c>
      <c r="C6150" s="19" t="s">
        <v>36</v>
      </c>
      <c r="D6150" s="19" t="s">
        <v>36</v>
      </c>
      <c r="E6150" s="19" t="s">
        <v>36</v>
      </c>
      <c r="F6150" s="19" t="s">
        <v>36</v>
      </c>
      <c r="G6150" s="15" t="s">
        <v>36</v>
      </c>
      <c r="H6150" s="14">
        <v>1.35</v>
      </c>
      <c r="I6150" s="18">
        <v>25</v>
      </c>
      <c r="J6150" s="12" t="s">
        <v>521</v>
      </c>
      <c r="K6150" s="13" t="s">
        <v>36</v>
      </c>
      <c r="L6150" s="15" t="s">
        <v>36</v>
      </c>
      <c r="M6150" s="12" t="s">
        <v>36</v>
      </c>
      <c r="N6150" s="12" t="s">
        <v>36</v>
      </c>
      <c r="O6150" s="17" t="s">
        <v>36</v>
      </c>
      <c r="P6150" s="12" t="s">
        <v>36</v>
      </c>
      <c r="Q6150" s="12" t="s">
        <v>36</v>
      </c>
      <c r="R6150" s="12" t="s">
        <v>36</v>
      </c>
      <c r="S6150" s="12" t="s">
        <v>36</v>
      </c>
      <c r="T6150" s="12" t="s">
        <v>1701</v>
      </c>
      <c r="U6150" s="12" t="s">
        <v>74</v>
      </c>
      <c r="V6150" s="12" t="s">
        <v>75</v>
      </c>
      <c r="W6150" s="12" t="s">
        <v>21264</v>
      </c>
      <c r="X6150" s="16" t="s">
        <v>28281</v>
      </c>
      <c r="Y6150" s="15" t="s">
        <v>42</v>
      </c>
      <c r="Z6150" s="14">
        <v>0.86</v>
      </c>
      <c r="AA6150" s="14">
        <v>2.56</v>
      </c>
      <c r="AB6150" s="12" t="s">
        <v>43</v>
      </c>
      <c r="AC6150" s="12" t="s">
        <v>21265</v>
      </c>
      <c r="AD6150" s="13">
        <v>42826</v>
      </c>
      <c r="AE6150" s="12" t="s">
        <v>79</v>
      </c>
      <c r="AF6150" s="12" t="s">
        <v>2759</v>
      </c>
      <c r="AG6150" s="12" t="s">
        <v>81</v>
      </c>
      <c r="AH6150" s="1">
        <f>HYPERLINK("https://my.pitchbook.com?c=82813-51T","View Company Online")</f>
      </c>
    </row>
    <row r="6151">
      <c r="A6151" s="3" t="s">
        <v>28282</v>
      </c>
      <c r="B6151" s="3" t="s">
        <v>2248</v>
      </c>
      <c r="C6151" s="5" t="s">
        <v>36</v>
      </c>
      <c r="D6151" s="5" t="s">
        <v>36</v>
      </c>
      <c r="E6151" s="5" t="s">
        <v>36</v>
      </c>
      <c r="F6151" s="5" t="s">
        <v>36</v>
      </c>
      <c r="G6151" s="6" t="s">
        <v>36</v>
      </c>
      <c r="H6151" s="4">
        <v>43.93</v>
      </c>
      <c r="I6151" s="7">
        <v>11.81</v>
      </c>
      <c r="J6151" s="3" t="s">
        <v>521</v>
      </c>
      <c r="K6151" s="9" t="s">
        <v>36</v>
      </c>
      <c r="L6151" s="6" t="s">
        <v>36</v>
      </c>
      <c r="M6151" s="3" t="s">
        <v>36</v>
      </c>
      <c r="N6151" s="3" t="s">
        <v>36</v>
      </c>
      <c r="O6151" s="8" t="s">
        <v>36</v>
      </c>
      <c r="P6151" s="3" t="s">
        <v>36</v>
      </c>
      <c r="Q6151" s="3" t="s">
        <v>36</v>
      </c>
      <c r="R6151" s="3" t="s">
        <v>36</v>
      </c>
      <c r="S6151" s="3" t="s">
        <v>36</v>
      </c>
      <c r="T6151" s="3" t="s">
        <v>1589</v>
      </c>
      <c r="U6151" s="3" t="s">
        <v>38</v>
      </c>
      <c r="V6151" s="3" t="s">
        <v>39</v>
      </c>
      <c r="W6151" s="3" t="s">
        <v>2249</v>
      </c>
      <c r="X6151" s="10" t="s">
        <v>28283</v>
      </c>
      <c r="Y6151" s="6" t="s">
        <v>42</v>
      </c>
      <c r="Z6151" s="4">
        <v>0.46</v>
      </c>
      <c r="AA6151" s="4">
        <v>3.88</v>
      </c>
      <c r="AB6151" s="3" t="s">
        <v>56</v>
      </c>
      <c r="AC6151" s="3" t="s">
        <v>2251</v>
      </c>
      <c r="AD6151" s="9">
        <v>42826</v>
      </c>
      <c r="AE6151" s="3" t="s">
        <v>110</v>
      </c>
      <c r="AF6151" s="3" t="s">
        <v>2252</v>
      </c>
      <c r="AG6151" s="3" t="s">
        <v>1843</v>
      </c>
      <c r="AH6151" s="11">
        <f>HYPERLINK("https://my.pitchbook.com?c=106039-90T","View Company Online")</f>
      </c>
    </row>
    <row r="6152">
      <c r="A6152" s="12" t="s">
        <v>28284</v>
      </c>
      <c r="B6152" s="12" t="s">
        <v>28285</v>
      </c>
      <c r="C6152" s="19" t="s">
        <v>36</v>
      </c>
      <c r="D6152" s="19" t="s">
        <v>36</v>
      </c>
      <c r="E6152" s="19" t="s">
        <v>36</v>
      </c>
      <c r="F6152" s="19" t="s">
        <v>36</v>
      </c>
      <c r="G6152" s="15" t="s">
        <v>326</v>
      </c>
      <c r="H6152" s="14">
        <v>275.43</v>
      </c>
      <c r="I6152" s="18">
        <v>6.41</v>
      </c>
      <c r="J6152" s="12" t="s">
        <v>521</v>
      </c>
      <c r="K6152" s="13" t="s">
        <v>36</v>
      </c>
      <c r="L6152" s="15" t="s">
        <v>36</v>
      </c>
      <c r="M6152" s="12" t="s">
        <v>36</v>
      </c>
      <c r="N6152" s="12" t="s">
        <v>36</v>
      </c>
      <c r="O6152" s="17" t="s">
        <v>36</v>
      </c>
      <c r="P6152" s="12" t="s">
        <v>36</v>
      </c>
      <c r="Q6152" s="12" t="s">
        <v>36</v>
      </c>
      <c r="R6152" s="12" t="s">
        <v>36</v>
      </c>
      <c r="S6152" s="12" t="s">
        <v>36</v>
      </c>
      <c r="T6152" s="12" t="s">
        <v>2195</v>
      </c>
      <c r="U6152" s="12" t="s">
        <v>279</v>
      </c>
      <c r="V6152" s="12" t="s">
        <v>64</v>
      </c>
      <c r="W6152" s="12" t="s">
        <v>28286</v>
      </c>
      <c r="X6152" s="16" t="s">
        <v>28287</v>
      </c>
      <c r="Y6152" s="15" t="s">
        <v>108</v>
      </c>
      <c r="Z6152" s="14">
        <v>0.12</v>
      </c>
      <c r="AA6152" s="14">
        <v>1.49</v>
      </c>
      <c r="AB6152" s="12" t="s">
        <v>43</v>
      </c>
      <c r="AC6152" s="12" t="s">
        <v>28288</v>
      </c>
      <c r="AD6152" s="13">
        <v>42826</v>
      </c>
      <c r="AE6152" s="12" t="s">
        <v>283</v>
      </c>
      <c r="AF6152" s="12" t="s">
        <v>7783</v>
      </c>
      <c r="AG6152" s="12" t="s">
        <v>28289</v>
      </c>
      <c r="AH6152" s="1">
        <f>HYPERLINK("https://my.pitchbook.com?c=136506-25T","View Company Online")</f>
      </c>
    </row>
    <row r="6153">
      <c r="A6153" s="3" t="s">
        <v>28290</v>
      </c>
      <c r="B6153" s="3" t="s">
        <v>2774</v>
      </c>
      <c r="C6153" s="5" t="s">
        <v>36</v>
      </c>
      <c r="D6153" s="5" t="s">
        <v>36</v>
      </c>
      <c r="E6153" s="5" t="s">
        <v>36</v>
      </c>
      <c r="F6153" s="5" t="s">
        <v>36</v>
      </c>
      <c r="G6153" s="6" t="s">
        <v>36</v>
      </c>
      <c r="H6153" s="4">
        <v>519.28</v>
      </c>
      <c r="I6153" s="7">
        <v>8.61</v>
      </c>
      <c r="J6153" s="3" t="s">
        <v>521</v>
      </c>
      <c r="K6153" s="9" t="s">
        <v>36</v>
      </c>
      <c r="L6153" s="6" t="s">
        <v>36</v>
      </c>
      <c r="M6153" s="3" t="s">
        <v>36</v>
      </c>
      <c r="N6153" s="3" t="s">
        <v>36</v>
      </c>
      <c r="O6153" s="8" t="s">
        <v>36</v>
      </c>
      <c r="P6153" s="3" t="s">
        <v>36</v>
      </c>
      <c r="Q6153" s="3" t="s">
        <v>36</v>
      </c>
      <c r="R6153" s="3" t="s">
        <v>36</v>
      </c>
      <c r="S6153" s="3" t="s">
        <v>36</v>
      </c>
      <c r="T6153" s="3" t="s">
        <v>522</v>
      </c>
      <c r="U6153" s="3" t="s">
        <v>38</v>
      </c>
      <c r="V6153" s="3" t="s">
        <v>39</v>
      </c>
      <c r="W6153" s="3" t="s">
        <v>2775</v>
      </c>
      <c r="X6153" s="10" t="s">
        <v>28291</v>
      </c>
      <c r="Y6153" s="6" t="s">
        <v>42</v>
      </c>
      <c r="Z6153" s="4">
        <v>0.09</v>
      </c>
      <c r="AA6153" s="4">
        <v>1.06</v>
      </c>
      <c r="AB6153" s="3" t="s">
        <v>43</v>
      </c>
      <c r="AC6153" s="3" t="s">
        <v>2777</v>
      </c>
      <c r="AD6153" s="9">
        <v>42825</v>
      </c>
      <c r="AE6153" s="3" t="s">
        <v>110</v>
      </c>
      <c r="AF6153" s="3" t="s">
        <v>2778</v>
      </c>
      <c r="AG6153" s="3" t="s">
        <v>81</v>
      </c>
      <c r="AH6153" s="11">
        <f>HYPERLINK("https://my.pitchbook.com?c=77294-80T","View Company Online")</f>
      </c>
    </row>
    <row r="6154">
      <c r="A6154" s="12" t="s">
        <v>28292</v>
      </c>
      <c r="B6154" s="12" t="s">
        <v>18499</v>
      </c>
      <c r="C6154" s="19" t="s">
        <v>36</v>
      </c>
      <c r="D6154" s="19" t="s">
        <v>36</v>
      </c>
      <c r="E6154" s="19" t="s">
        <v>36</v>
      </c>
      <c r="F6154" s="19" t="s">
        <v>36</v>
      </c>
      <c r="G6154" s="15" t="s">
        <v>36</v>
      </c>
      <c r="H6154" s="14">
        <v>155.78</v>
      </c>
      <c r="I6154" s="18">
        <v>25</v>
      </c>
      <c r="J6154" s="12" t="s">
        <v>521</v>
      </c>
      <c r="K6154" s="13" t="s">
        <v>36</v>
      </c>
      <c r="L6154" s="15" t="s">
        <v>122</v>
      </c>
      <c r="M6154" s="12" t="s">
        <v>36</v>
      </c>
      <c r="N6154" s="12" t="s">
        <v>122</v>
      </c>
      <c r="O6154" s="17" t="s">
        <v>36</v>
      </c>
      <c r="P6154" s="12" t="s">
        <v>36</v>
      </c>
      <c r="Q6154" s="12" t="s">
        <v>36</v>
      </c>
      <c r="R6154" s="12" t="s">
        <v>36</v>
      </c>
      <c r="S6154" s="12" t="s">
        <v>36</v>
      </c>
      <c r="T6154" s="12" t="s">
        <v>4933</v>
      </c>
      <c r="U6154" s="12" t="s">
        <v>74</v>
      </c>
      <c r="V6154" s="12" t="s">
        <v>75</v>
      </c>
      <c r="W6154" s="12" t="s">
        <v>18500</v>
      </c>
      <c r="X6154" s="16" t="s">
        <v>27657</v>
      </c>
      <c r="Y6154" s="15" t="s">
        <v>42</v>
      </c>
      <c r="Z6154" s="14">
        <v>1.07</v>
      </c>
      <c r="AA6154" s="14">
        <v>4.28</v>
      </c>
      <c r="AB6154" s="12" t="s">
        <v>43</v>
      </c>
      <c r="AC6154" s="12" t="s">
        <v>18502</v>
      </c>
      <c r="AD6154" s="13">
        <v>42825</v>
      </c>
      <c r="AE6154" s="12" t="s">
        <v>79</v>
      </c>
      <c r="AF6154" s="12" t="s">
        <v>18503</v>
      </c>
      <c r="AG6154" s="12" t="s">
        <v>81</v>
      </c>
      <c r="AH6154" s="1">
        <f>HYPERLINK("https://my.pitchbook.com?c=160024-51T","View Company Online")</f>
      </c>
    </row>
    <row r="6155">
      <c r="A6155" s="3" t="s">
        <v>28293</v>
      </c>
      <c r="B6155" s="3" t="s">
        <v>28294</v>
      </c>
      <c r="C6155" s="5" t="s">
        <v>36</v>
      </c>
      <c r="D6155" s="5" t="s">
        <v>36</v>
      </c>
      <c r="E6155" s="5" t="s">
        <v>36</v>
      </c>
      <c r="F6155" s="5" t="s">
        <v>36</v>
      </c>
      <c r="G6155" s="6" t="s">
        <v>326</v>
      </c>
      <c r="H6155" s="4">
        <v>233.4</v>
      </c>
      <c r="I6155" s="7">
        <v>20</v>
      </c>
      <c r="J6155" s="3" t="s">
        <v>521</v>
      </c>
      <c r="K6155" s="9" t="s">
        <v>36</v>
      </c>
      <c r="L6155" s="6" t="s">
        <v>36</v>
      </c>
      <c r="M6155" s="3" t="s">
        <v>36</v>
      </c>
      <c r="N6155" s="3" t="s">
        <v>36</v>
      </c>
      <c r="O6155" s="8" t="s">
        <v>36</v>
      </c>
      <c r="P6155" s="3" t="s">
        <v>36</v>
      </c>
      <c r="Q6155" s="3" t="s">
        <v>36</v>
      </c>
      <c r="R6155" s="3" t="s">
        <v>36</v>
      </c>
      <c r="S6155" s="3" t="s">
        <v>36</v>
      </c>
      <c r="T6155" s="3" t="s">
        <v>2151</v>
      </c>
      <c r="U6155" s="3" t="s">
        <v>728</v>
      </c>
      <c r="V6155" s="3" t="s">
        <v>64</v>
      </c>
      <c r="W6155" s="3" t="s">
        <v>28295</v>
      </c>
      <c r="X6155" s="10" t="s">
        <v>28296</v>
      </c>
      <c r="Y6155" s="6" t="s">
        <v>55</v>
      </c>
      <c r="Z6155" s="4">
        <v>1.39</v>
      </c>
      <c r="AA6155" s="4">
        <v>6.95</v>
      </c>
      <c r="AB6155" s="3" t="s">
        <v>43</v>
      </c>
      <c r="AC6155" s="3" t="s">
        <v>28297</v>
      </c>
      <c r="AD6155" s="9">
        <v>42825</v>
      </c>
      <c r="AE6155" s="3" t="s">
        <v>2154</v>
      </c>
      <c r="AF6155" s="3" t="s">
        <v>733</v>
      </c>
      <c r="AG6155" s="3" t="s">
        <v>81</v>
      </c>
      <c r="AH6155" s="11">
        <f>HYPERLINK("https://my.pitchbook.com?c=90399-61T","View Company Online")</f>
      </c>
    </row>
    <row r="6156">
      <c r="A6156" s="12" t="s">
        <v>28298</v>
      </c>
      <c r="B6156" s="12" t="s">
        <v>28299</v>
      </c>
      <c r="C6156" s="19" t="s">
        <v>36</v>
      </c>
      <c r="D6156" s="19" t="s">
        <v>36</v>
      </c>
      <c r="E6156" s="19" t="s">
        <v>36</v>
      </c>
      <c r="F6156" s="19" t="s">
        <v>36</v>
      </c>
      <c r="G6156" s="15" t="s">
        <v>36</v>
      </c>
      <c r="H6156" s="14">
        <v>78.31</v>
      </c>
      <c r="I6156" s="18">
        <v>7.41</v>
      </c>
      <c r="J6156" s="12" t="s">
        <v>521</v>
      </c>
      <c r="K6156" s="13">
        <v>42733</v>
      </c>
      <c r="L6156" s="15" t="s">
        <v>36</v>
      </c>
      <c r="M6156" s="12" t="s">
        <v>36</v>
      </c>
      <c r="N6156" s="12" t="s">
        <v>36</v>
      </c>
      <c r="O6156" s="17" t="s">
        <v>36</v>
      </c>
      <c r="P6156" s="12" t="s">
        <v>36</v>
      </c>
      <c r="Q6156" s="12" t="s">
        <v>36</v>
      </c>
      <c r="R6156" s="12" t="s">
        <v>36</v>
      </c>
      <c r="S6156" s="12" t="s">
        <v>36</v>
      </c>
      <c r="T6156" s="12" t="s">
        <v>3843</v>
      </c>
      <c r="U6156" s="12" t="s">
        <v>180</v>
      </c>
      <c r="V6156" s="12" t="s">
        <v>52</v>
      </c>
      <c r="W6156" s="12" t="s">
        <v>28300</v>
      </c>
      <c r="X6156" s="16" t="s">
        <v>28301</v>
      </c>
      <c r="Y6156" s="15" t="s">
        <v>108</v>
      </c>
      <c r="Z6156" s="14">
        <v>1.28</v>
      </c>
      <c r="AA6156" s="14">
        <v>17.33</v>
      </c>
      <c r="AB6156" s="12" t="s">
        <v>56</v>
      </c>
      <c r="AC6156" s="12" t="s">
        <v>28302</v>
      </c>
      <c r="AD6156" s="13">
        <v>42824</v>
      </c>
      <c r="AE6156" s="12" t="s">
        <v>3847</v>
      </c>
      <c r="AF6156" s="12" t="s">
        <v>18783</v>
      </c>
      <c r="AG6156" s="12" t="s">
        <v>81</v>
      </c>
      <c r="AH6156" s="1">
        <f>HYPERLINK("https://my.pitchbook.com?c=117711-37T","View Company Online")</f>
      </c>
    </row>
    <row r="6157">
      <c r="A6157" s="3" t="s">
        <v>28303</v>
      </c>
      <c r="B6157" s="3" t="s">
        <v>28304</v>
      </c>
      <c r="C6157" s="5" t="s">
        <v>36</v>
      </c>
      <c r="D6157" s="5" t="s">
        <v>36</v>
      </c>
      <c r="E6157" s="5" t="s">
        <v>36</v>
      </c>
      <c r="F6157" s="5" t="s">
        <v>36</v>
      </c>
      <c r="G6157" s="6" t="s">
        <v>36</v>
      </c>
      <c r="H6157" s="4" t="s">
        <v>36</v>
      </c>
      <c r="I6157" s="7" t="s">
        <v>36</v>
      </c>
      <c r="J6157" s="3" t="s">
        <v>36</v>
      </c>
      <c r="K6157" s="9" t="s">
        <v>36</v>
      </c>
      <c r="L6157" s="6" t="s">
        <v>122</v>
      </c>
      <c r="M6157" s="3" t="s">
        <v>36</v>
      </c>
      <c r="N6157" s="3" t="s">
        <v>122</v>
      </c>
      <c r="O6157" s="8" t="s">
        <v>36</v>
      </c>
      <c r="P6157" s="3" t="s">
        <v>36</v>
      </c>
      <c r="Q6157" s="3" t="s">
        <v>36</v>
      </c>
      <c r="R6157" s="3" t="s">
        <v>36</v>
      </c>
      <c r="S6157" s="3" t="s">
        <v>36</v>
      </c>
      <c r="T6157" s="3" t="s">
        <v>28305</v>
      </c>
      <c r="U6157" s="3" t="s">
        <v>85</v>
      </c>
      <c r="V6157" s="3" t="s">
        <v>64</v>
      </c>
      <c r="W6157" s="3" t="s">
        <v>28306</v>
      </c>
      <c r="X6157" s="10" t="s">
        <v>28307</v>
      </c>
      <c r="Y6157" s="6" t="s">
        <v>42</v>
      </c>
      <c r="Z6157" s="4">
        <v>10</v>
      </c>
      <c r="AA6157" s="4" t="s">
        <v>36</v>
      </c>
      <c r="AB6157" s="3" t="s">
        <v>43</v>
      </c>
      <c r="AC6157" s="3" t="s">
        <v>28308</v>
      </c>
      <c r="AD6157" s="9">
        <v>42824</v>
      </c>
      <c r="AE6157" s="3" t="s">
        <v>89</v>
      </c>
      <c r="AF6157" s="3" t="s">
        <v>21323</v>
      </c>
      <c r="AG6157" s="3" t="s">
        <v>81</v>
      </c>
      <c r="AH6157" s="11">
        <f>HYPERLINK("https://my.pitchbook.com?c=201978-37T","View Company Online")</f>
      </c>
    </row>
    <row r="6158">
      <c r="A6158" s="12" t="s">
        <v>28309</v>
      </c>
      <c r="B6158" s="12" t="s">
        <v>28310</v>
      </c>
      <c r="C6158" s="19" t="s">
        <v>36</v>
      </c>
      <c r="D6158" s="19">
        <v>1</v>
      </c>
      <c r="E6158" s="19">
        <v>1</v>
      </c>
      <c r="F6158" s="19">
        <v>2</v>
      </c>
      <c r="G6158" s="15" t="s">
        <v>36</v>
      </c>
      <c r="H6158" s="14">
        <v>347.92</v>
      </c>
      <c r="I6158" s="18">
        <v>43.81</v>
      </c>
      <c r="J6158" s="12" t="s">
        <v>521</v>
      </c>
      <c r="K6158" s="13" t="s">
        <v>36</v>
      </c>
      <c r="L6158" s="15" t="s">
        <v>36</v>
      </c>
      <c r="M6158" s="12" t="s">
        <v>36</v>
      </c>
      <c r="N6158" s="12" t="s">
        <v>36</v>
      </c>
      <c r="O6158" s="17" t="s">
        <v>36</v>
      </c>
      <c r="P6158" s="12" t="s">
        <v>36</v>
      </c>
      <c r="Q6158" s="12" t="s">
        <v>36</v>
      </c>
      <c r="R6158" s="12" t="s">
        <v>36</v>
      </c>
      <c r="S6158" s="12" t="s">
        <v>36</v>
      </c>
      <c r="T6158" s="12" t="s">
        <v>17704</v>
      </c>
      <c r="U6158" s="12" t="s">
        <v>833</v>
      </c>
      <c r="V6158" s="12" t="s">
        <v>64</v>
      </c>
      <c r="W6158" s="12" t="s">
        <v>28311</v>
      </c>
      <c r="X6158" s="16" t="s">
        <v>28312</v>
      </c>
      <c r="Y6158" s="15" t="s">
        <v>42</v>
      </c>
      <c r="Z6158" s="14">
        <v>2.35</v>
      </c>
      <c r="AA6158" s="14">
        <v>4.69</v>
      </c>
      <c r="AB6158" s="12" t="s">
        <v>43</v>
      </c>
      <c r="AC6158" s="12" t="s">
        <v>28313</v>
      </c>
      <c r="AD6158" s="13">
        <v>42824</v>
      </c>
      <c r="AE6158" s="12" t="s">
        <v>1069</v>
      </c>
      <c r="AF6158" s="12" t="s">
        <v>15534</v>
      </c>
      <c r="AG6158" s="12" t="s">
        <v>899</v>
      </c>
      <c r="AH6158" s="1">
        <f>HYPERLINK("https://my.pitchbook.com?c=96285-16T","View Company Online")</f>
      </c>
    </row>
    <row r="6159">
      <c r="A6159" s="3" t="s">
        <v>28314</v>
      </c>
      <c r="B6159" s="3" t="s">
        <v>8260</v>
      </c>
      <c r="C6159" s="5">
        <v>10</v>
      </c>
      <c r="D6159" s="5">
        <v>22</v>
      </c>
      <c r="E6159" s="5">
        <v>6</v>
      </c>
      <c r="F6159" s="5">
        <v>33</v>
      </c>
      <c r="G6159" s="6" t="s">
        <v>36</v>
      </c>
      <c r="H6159" s="4">
        <v>21.28</v>
      </c>
      <c r="I6159" s="7">
        <v>29.25</v>
      </c>
      <c r="J6159" s="3" t="s">
        <v>521</v>
      </c>
      <c r="K6159" s="9" t="s">
        <v>36</v>
      </c>
      <c r="L6159" s="6" t="s">
        <v>122</v>
      </c>
      <c r="M6159" s="3" t="s">
        <v>36</v>
      </c>
      <c r="N6159" s="3" t="s">
        <v>122</v>
      </c>
      <c r="O6159" s="8" t="s">
        <v>36</v>
      </c>
      <c r="P6159" s="3" t="s">
        <v>36</v>
      </c>
      <c r="Q6159" s="3" t="s">
        <v>36</v>
      </c>
      <c r="R6159" s="3" t="s">
        <v>36</v>
      </c>
      <c r="S6159" s="3" t="s">
        <v>36</v>
      </c>
      <c r="T6159" s="3" t="s">
        <v>8261</v>
      </c>
      <c r="U6159" s="3" t="s">
        <v>318</v>
      </c>
      <c r="V6159" s="3" t="s">
        <v>39</v>
      </c>
      <c r="W6159" s="3" t="s">
        <v>8262</v>
      </c>
      <c r="X6159" s="10" t="s">
        <v>28315</v>
      </c>
      <c r="Y6159" s="6" t="s">
        <v>55</v>
      </c>
      <c r="Z6159" s="4">
        <v>6.97</v>
      </c>
      <c r="AA6159" s="4">
        <v>20.3</v>
      </c>
      <c r="AB6159" s="3" t="s">
        <v>56</v>
      </c>
      <c r="AC6159" s="3" t="s">
        <v>8264</v>
      </c>
      <c r="AD6159" s="9">
        <v>42824</v>
      </c>
      <c r="AE6159" s="3" t="s">
        <v>417</v>
      </c>
      <c r="AF6159" s="3" t="s">
        <v>8265</v>
      </c>
      <c r="AG6159" s="3" t="s">
        <v>81</v>
      </c>
      <c r="AH6159" s="11">
        <f>HYPERLINK("https://my.pitchbook.com?c=85652-29T","View Company Online")</f>
      </c>
    </row>
    <row r="6160">
      <c r="A6160" s="12" t="s">
        <v>28316</v>
      </c>
      <c r="B6160" s="12" t="s">
        <v>9064</v>
      </c>
      <c r="C6160" s="19" t="s">
        <v>36</v>
      </c>
      <c r="D6160" s="19" t="s">
        <v>36</v>
      </c>
      <c r="E6160" s="19" t="s">
        <v>36</v>
      </c>
      <c r="F6160" s="19" t="s">
        <v>36</v>
      </c>
      <c r="G6160" s="15" t="s">
        <v>36</v>
      </c>
      <c r="H6160" s="14">
        <v>5.48</v>
      </c>
      <c r="I6160" s="18">
        <v>46.51</v>
      </c>
      <c r="J6160" s="12" t="s">
        <v>521</v>
      </c>
      <c r="K6160" s="13">
        <v>42718</v>
      </c>
      <c r="L6160" s="15" t="s">
        <v>122</v>
      </c>
      <c r="M6160" s="12" t="s">
        <v>36</v>
      </c>
      <c r="N6160" s="12" t="s">
        <v>122</v>
      </c>
      <c r="O6160" s="17" t="s">
        <v>36</v>
      </c>
      <c r="P6160" s="12" t="s">
        <v>36</v>
      </c>
      <c r="Q6160" s="12" t="s">
        <v>36</v>
      </c>
      <c r="R6160" s="12" t="s">
        <v>36</v>
      </c>
      <c r="S6160" s="12" t="s">
        <v>36</v>
      </c>
      <c r="T6160" s="12" t="s">
        <v>9065</v>
      </c>
      <c r="U6160" s="12" t="s">
        <v>648</v>
      </c>
      <c r="V6160" s="12" t="s">
        <v>64</v>
      </c>
      <c r="W6160" s="12" t="s">
        <v>9066</v>
      </c>
      <c r="X6160" s="16" t="s">
        <v>28317</v>
      </c>
      <c r="Y6160" s="15" t="s">
        <v>55</v>
      </c>
      <c r="Z6160" s="14">
        <v>2.46</v>
      </c>
      <c r="AA6160" s="14">
        <v>3.68</v>
      </c>
      <c r="AB6160" s="12" t="s">
        <v>43</v>
      </c>
      <c r="AC6160" s="12" t="s">
        <v>9068</v>
      </c>
      <c r="AD6160" s="13">
        <v>42823</v>
      </c>
      <c r="AE6160" s="12" t="s">
        <v>1897</v>
      </c>
      <c r="AF6160" s="12" t="s">
        <v>2409</v>
      </c>
      <c r="AG6160" s="12" t="s">
        <v>2618</v>
      </c>
      <c r="AH6160" s="1">
        <f>HYPERLINK("https://my.pitchbook.com?c=85684-06T","View Company Online")</f>
      </c>
    </row>
    <row r="6161">
      <c r="A6161" s="3" t="s">
        <v>28318</v>
      </c>
      <c r="B6161" s="3" t="s">
        <v>13060</v>
      </c>
      <c r="C6161" s="5">
        <v>9</v>
      </c>
      <c r="D6161" s="5">
        <v>10</v>
      </c>
      <c r="E6161" s="5">
        <v>9</v>
      </c>
      <c r="F6161" s="5">
        <v>22</v>
      </c>
      <c r="G6161" s="6" t="s">
        <v>326</v>
      </c>
      <c r="H6161" s="4">
        <v>179.44</v>
      </c>
      <c r="I6161" s="7">
        <v>31.47</v>
      </c>
      <c r="J6161" s="3" t="s">
        <v>521</v>
      </c>
      <c r="K6161" s="9">
        <v>42668</v>
      </c>
      <c r="L6161" s="6" t="s">
        <v>122</v>
      </c>
      <c r="M6161" s="3" t="s">
        <v>36</v>
      </c>
      <c r="N6161" s="3" t="s">
        <v>122</v>
      </c>
      <c r="O6161" s="8" t="s">
        <v>36</v>
      </c>
      <c r="P6161" s="3" t="s">
        <v>36</v>
      </c>
      <c r="Q6161" s="3" t="s">
        <v>36</v>
      </c>
      <c r="R6161" s="3" t="s">
        <v>36</v>
      </c>
      <c r="S6161" s="3" t="s">
        <v>36</v>
      </c>
      <c r="T6161" s="3" t="s">
        <v>1645</v>
      </c>
      <c r="U6161" s="3" t="s">
        <v>38</v>
      </c>
      <c r="V6161" s="3" t="s">
        <v>39</v>
      </c>
      <c r="W6161" s="3" t="s">
        <v>13061</v>
      </c>
      <c r="X6161" s="10" t="s">
        <v>28319</v>
      </c>
      <c r="Y6161" s="6" t="s">
        <v>108</v>
      </c>
      <c r="Z6161" s="4">
        <v>10.18</v>
      </c>
      <c r="AA6161" s="4">
        <v>32.34</v>
      </c>
      <c r="AB6161" s="3" t="s">
        <v>43</v>
      </c>
      <c r="AC6161" s="3" t="s">
        <v>13063</v>
      </c>
      <c r="AD6161" s="9">
        <v>42823</v>
      </c>
      <c r="AE6161" s="3" t="s">
        <v>110</v>
      </c>
      <c r="AF6161" s="3" t="s">
        <v>13064</v>
      </c>
      <c r="AG6161" s="3" t="s">
        <v>81</v>
      </c>
      <c r="AH6161" s="11">
        <f>HYPERLINK("https://my.pitchbook.com?c=81094-42T","View Company Online")</f>
      </c>
    </row>
    <row r="6162">
      <c r="A6162" s="12" t="s">
        <v>28320</v>
      </c>
      <c r="B6162" s="12" t="s">
        <v>28321</v>
      </c>
      <c r="C6162" s="19" t="s">
        <v>36</v>
      </c>
      <c r="D6162" s="19" t="s">
        <v>36</v>
      </c>
      <c r="E6162" s="19" t="s">
        <v>36</v>
      </c>
      <c r="F6162" s="19" t="s">
        <v>36</v>
      </c>
      <c r="G6162" s="15" t="s">
        <v>326</v>
      </c>
      <c r="H6162" s="14">
        <v>4.18</v>
      </c>
      <c r="I6162" s="18">
        <v>33.62</v>
      </c>
      <c r="J6162" s="12" t="s">
        <v>521</v>
      </c>
      <c r="K6162" s="13">
        <v>42821</v>
      </c>
      <c r="L6162" s="15" t="s">
        <v>36</v>
      </c>
      <c r="M6162" s="12" t="s">
        <v>36</v>
      </c>
      <c r="N6162" s="12" t="s">
        <v>36</v>
      </c>
      <c r="O6162" s="17" t="s">
        <v>36</v>
      </c>
      <c r="P6162" s="12" t="s">
        <v>36</v>
      </c>
      <c r="Q6162" s="12" t="s">
        <v>36</v>
      </c>
      <c r="R6162" s="12" t="s">
        <v>36</v>
      </c>
      <c r="S6162" s="12" t="s">
        <v>36</v>
      </c>
      <c r="T6162" s="12" t="s">
        <v>522</v>
      </c>
      <c r="U6162" s="12" t="s">
        <v>38</v>
      </c>
      <c r="V6162" s="12" t="s">
        <v>39</v>
      </c>
      <c r="W6162" s="12" t="s">
        <v>28322</v>
      </c>
      <c r="X6162" s="16" t="s">
        <v>28323</v>
      </c>
      <c r="Y6162" s="15" t="s">
        <v>108</v>
      </c>
      <c r="Z6162" s="14">
        <v>2.62</v>
      </c>
      <c r="AA6162" s="14">
        <v>7.79</v>
      </c>
      <c r="AB6162" s="12" t="s">
        <v>43</v>
      </c>
      <c r="AC6162" s="12" t="s">
        <v>28324</v>
      </c>
      <c r="AD6162" s="13">
        <v>42823</v>
      </c>
      <c r="AE6162" s="12" t="s">
        <v>110</v>
      </c>
      <c r="AF6162" s="12" t="s">
        <v>3904</v>
      </c>
      <c r="AG6162" s="12" t="s">
        <v>81</v>
      </c>
      <c r="AH6162" s="1">
        <f>HYPERLINK("https://my.pitchbook.com?c=86274-73T","View Company Online")</f>
      </c>
    </row>
    <row r="6163">
      <c r="A6163" s="3" t="s">
        <v>28325</v>
      </c>
      <c r="B6163" s="3" t="s">
        <v>28326</v>
      </c>
      <c r="C6163" s="5" t="s">
        <v>36</v>
      </c>
      <c r="D6163" s="5" t="s">
        <v>36</v>
      </c>
      <c r="E6163" s="5" t="s">
        <v>36</v>
      </c>
      <c r="F6163" s="5" t="s">
        <v>36</v>
      </c>
      <c r="G6163" s="6" t="s">
        <v>326</v>
      </c>
      <c r="H6163" s="4">
        <v>23.58</v>
      </c>
      <c r="I6163" s="7">
        <v>23.47</v>
      </c>
      <c r="J6163" s="3" t="s">
        <v>521</v>
      </c>
      <c r="K6163" s="9" t="s">
        <v>36</v>
      </c>
      <c r="L6163" s="6" t="s">
        <v>36</v>
      </c>
      <c r="M6163" s="3" t="s">
        <v>36</v>
      </c>
      <c r="N6163" s="3" t="s">
        <v>36</v>
      </c>
      <c r="O6163" s="8" t="s">
        <v>36</v>
      </c>
      <c r="P6163" s="3" t="s">
        <v>36</v>
      </c>
      <c r="Q6163" s="3" t="s">
        <v>36</v>
      </c>
      <c r="R6163" s="3" t="s">
        <v>36</v>
      </c>
      <c r="S6163" s="3" t="s">
        <v>36</v>
      </c>
      <c r="T6163" s="3" t="s">
        <v>881</v>
      </c>
      <c r="U6163" s="3" t="s">
        <v>51</v>
      </c>
      <c r="V6163" s="3" t="s">
        <v>52</v>
      </c>
      <c r="W6163" s="3" t="s">
        <v>28327</v>
      </c>
      <c r="X6163" s="10" t="s">
        <v>7099</v>
      </c>
      <c r="Y6163" s="6" t="s">
        <v>108</v>
      </c>
      <c r="Z6163" s="4">
        <v>0.98</v>
      </c>
      <c r="AA6163" s="4">
        <v>4.19</v>
      </c>
      <c r="AB6163" s="3" t="s">
        <v>56</v>
      </c>
      <c r="AC6163" s="3" t="s">
        <v>28328</v>
      </c>
      <c r="AD6163" s="9">
        <v>42823</v>
      </c>
      <c r="AE6163" s="3" t="s">
        <v>504</v>
      </c>
      <c r="AF6163" s="3" t="s">
        <v>159</v>
      </c>
      <c r="AG6163" s="3" t="s">
        <v>969</v>
      </c>
      <c r="AH6163" s="11">
        <f>HYPERLINK("https://my.pitchbook.com?c=204576-67T","View Company Online")</f>
      </c>
    </row>
    <row r="6164">
      <c r="A6164" s="12" t="s">
        <v>28329</v>
      </c>
      <c r="B6164" s="12" t="s">
        <v>28330</v>
      </c>
      <c r="C6164" s="19" t="s">
        <v>36</v>
      </c>
      <c r="D6164" s="19" t="s">
        <v>36</v>
      </c>
      <c r="E6164" s="19" t="s">
        <v>36</v>
      </c>
      <c r="F6164" s="19" t="s">
        <v>36</v>
      </c>
      <c r="G6164" s="15" t="s">
        <v>36</v>
      </c>
      <c r="H6164" s="14" t="s">
        <v>36</v>
      </c>
      <c r="I6164" s="18" t="s">
        <v>36</v>
      </c>
      <c r="J6164" s="12" t="s">
        <v>36</v>
      </c>
      <c r="K6164" s="13">
        <v>42492</v>
      </c>
      <c r="L6164" s="15" t="s">
        <v>122</v>
      </c>
      <c r="M6164" s="12" t="s">
        <v>36</v>
      </c>
      <c r="N6164" s="12" t="s">
        <v>122</v>
      </c>
      <c r="O6164" s="17" t="s">
        <v>36</v>
      </c>
      <c r="P6164" s="12" t="s">
        <v>36</v>
      </c>
      <c r="Q6164" s="12" t="s">
        <v>36</v>
      </c>
      <c r="R6164" s="12" t="s">
        <v>36</v>
      </c>
      <c r="S6164" s="12" t="s">
        <v>36</v>
      </c>
      <c r="T6164" s="12" t="s">
        <v>105</v>
      </c>
      <c r="U6164" s="12" t="s">
        <v>38</v>
      </c>
      <c r="V6164" s="12" t="s">
        <v>39</v>
      </c>
      <c r="W6164" s="12" t="s">
        <v>28331</v>
      </c>
      <c r="X6164" s="16" t="s">
        <v>28332</v>
      </c>
      <c r="Y6164" s="15" t="s">
        <v>108</v>
      </c>
      <c r="Z6164" s="14">
        <v>4.6</v>
      </c>
      <c r="AA6164" s="14" t="s">
        <v>36</v>
      </c>
      <c r="AB6164" s="12" t="s">
        <v>43</v>
      </c>
      <c r="AC6164" s="12" t="s">
        <v>28333</v>
      </c>
      <c r="AD6164" s="13">
        <v>42823</v>
      </c>
      <c r="AE6164" s="12" t="s">
        <v>110</v>
      </c>
      <c r="AF6164" s="12" t="s">
        <v>4552</v>
      </c>
      <c r="AG6164" s="12" t="s">
        <v>12667</v>
      </c>
      <c r="AH6164" s="1">
        <f>HYPERLINK("https://my.pitchbook.com?c=85622-50T","View Company Online")</f>
      </c>
    </row>
    <row r="6165">
      <c r="A6165" s="3" t="s">
        <v>28334</v>
      </c>
      <c r="B6165" s="3" t="s">
        <v>18596</v>
      </c>
      <c r="C6165" s="5" t="s">
        <v>36</v>
      </c>
      <c r="D6165" s="5" t="s">
        <v>36</v>
      </c>
      <c r="E6165" s="5" t="s">
        <v>36</v>
      </c>
      <c r="F6165" s="5" t="s">
        <v>36</v>
      </c>
      <c r="G6165" s="6" t="s">
        <v>36</v>
      </c>
      <c r="H6165" s="4" t="s">
        <v>36</v>
      </c>
      <c r="I6165" s="7">
        <v>14.23</v>
      </c>
      <c r="J6165" s="3" t="s">
        <v>327</v>
      </c>
      <c r="K6165" s="9" t="s">
        <v>36</v>
      </c>
      <c r="L6165" s="6" t="s">
        <v>36</v>
      </c>
      <c r="M6165" s="3" t="s">
        <v>36</v>
      </c>
      <c r="N6165" s="3" t="s">
        <v>36</v>
      </c>
      <c r="O6165" s="8" t="s">
        <v>36</v>
      </c>
      <c r="P6165" s="3" t="s">
        <v>36</v>
      </c>
      <c r="Q6165" s="3" t="s">
        <v>36</v>
      </c>
      <c r="R6165" s="3" t="s">
        <v>36</v>
      </c>
      <c r="S6165" s="3" t="s">
        <v>36</v>
      </c>
      <c r="T6165" s="3" t="s">
        <v>12045</v>
      </c>
      <c r="U6165" s="3" t="s">
        <v>9881</v>
      </c>
      <c r="V6165" s="3" t="s">
        <v>75</v>
      </c>
      <c r="W6165" s="3" t="s">
        <v>18597</v>
      </c>
      <c r="X6165" s="10" t="s">
        <v>28335</v>
      </c>
      <c r="Y6165" s="6" t="s">
        <v>42</v>
      </c>
      <c r="Z6165" s="4">
        <v>8.55</v>
      </c>
      <c r="AA6165" s="4">
        <v>60.07</v>
      </c>
      <c r="AB6165" s="3" t="s">
        <v>43</v>
      </c>
      <c r="AC6165" s="3" t="s">
        <v>18599</v>
      </c>
      <c r="AD6165" s="9">
        <v>42822</v>
      </c>
      <c r="AE6165" s="3" t="s">
        <v>12049</v>
      </c>
      <c r="AF6165" s="3" t="s">
        <v>36</v>
      </c>
      <c r="AG6165" s="3" t="s">
        <v>81</v>
      </c>
      <c r="AH6165" s="11">
        <f>HYPERLINK("https://my.pitchbook.com?c=159877-54T","View Company Online")</f>
      </c>
    </row>
    <row r="6166">
      <c r="A6166" s="12" t="s">
        <v>28336</v>
      </c>
      <c r="B6166" s="12" t="s">
        <v>19000</v>
      </c>
      <c r="C6166" s="19">
        <v>3</v>
      </c>
      <c r="D6166" s="19">
        <v>21</v>
      </c>
      <c r="E6166" s="19">
        <v>5</v>
      </c>
      <c r="F6166" s="19">
        <v>27</v>
      </c>
      <c r="G6166" s="15" t="s">
        <v>36</v>
      </c>
      <c r="H6166" s="14">
        <v>6.79</v>
      </c>
      <c r="I6166" s="18">
        <v>37.48</v>
      </c>
      <c r="J6166" s="12" t="s">
        <v>521</v>
      </c>
      <c r="K6166" s="13" t="s">
        <v>36</v>
      </c>
      <c r="L6166" s="15" t="s">
        <v>36</v>
      </c>
      <c r="M6166" s="12" t="s">
        <v>36</v>
      </c>
      <c r="N6166" s="12" t="s">
        <v>36</v>
      </c>
      <c r="O6166" s="17" t="s">
        <v>36</v>
      </c>
      <c r="P6166" s="12" t="s">
        <v>36</v>
      </c>
      <c r="Q6166" s="12" t="s">
        <v>36</v>
      </c>
      <c r="R6166" s="12" t="s">
        <v>36</v>
      </c>
      <c r="S6166" s="12" t="s">
        <v>36</v>
      </c>
      <c r="T6166" s="12" t="s">
        <v>881</v>
      </c>
      <c r="U6166" s="12" t="s">
        <v>51</v>
      </c>
      <c r="V6166" s="12" t="s">
        <v>52</v>
      </c>
      <c r="W6166" s="12" t="s">
        <v>19001</v>
      </c>
      <c r="X6166" s="16" t="s">
        <v>28337</v>
      </c>
      <c r="Y6166" s="15" t="s">
        <v>42</v>
      </c>
      <c r="Z6166" s="14">
        <v>2.53</v>
      </c>
      <c r="AA6166" s="14">
        <v>6.74</v>
      </c>
      <c r="AB6166" s="12" t="s">
        <v>56</v>
      </c>
      <c r="AC6166" s="12" t="s">
        <v>19003</v>
      </c>
      <c r="AD6166" s="13">
        <v>42822</v>
      </c>
      <c r="AE6166" s="12" t="s">
        <v>504</v>
      </c>
      <c r="AF6166" s="12" t="s">
        <v>159</v>
      </c>
      <c r="AG6166" s="12" t="s">
        <v>47</v>
      </c>
      <c r="AH6166" s="1">
        <f>HYPERLINK("https://my.pitchbook.com?c=85497-13T","View Company Online")</f>
      </c>
    </row>
    <row r="6167">
      <c r="A6167" s="3" t="s">
        <v>28338</v>
      </c>
      <c r="B6167" s="3" t="s">
        <v>5903</v>
      </c>
      <c r="C6167" s="5">
        <v>6</v>
      </c>
      <c r="D6167" s="5">
        <v>6</v>
      </c>
      <c r="E6167" s="5">
        <v>8</v>
      </c>
      <c r="F6167" s="5">
        <v>15</v>
      </c>
      <c r="G6167" s="6" t="s">
        <v>36</v>
      </c>
      <c r="H6167" s="4">
        <v>0.31</v>
      </c>
      <c r="I6167" s="7">
        <v>56.37</v>
      </c>
      <c r="J6167" s="3" t="s">
        <v>521</v>
      </c>
      <c r="K6167" s="9" t="s">
        <v>36</v>
      </c>
      <c r="L6167" s="6" t="s">
        <v>122</v>
      </c>
      <c r="M6167" s="3" t="s">
        <v>36</v>
      </c>
      <c r="N6167" s="3" t="s">
        <v>122</v>
      </c>
      <c r="O6167" s="8" t="s">
        <v>36</v>
      </c>
      <c r="P6167" s="3" t="s">
        <v>36</v>
      </c>
      <c r="Q6167" s="3" t="s">
        <v>36</v>
      </c>
      <c r="R6167" s="3" t="s">
        <v>36</v>
      </c>
      <c r="S6167" s="3" t="s">
        <v>36</v>
      </c>
      <c r="T6167" s="3" t="s">
        <v>189</v>
      </c>
      <c r="U6167" s="3" t="s">
        <v>180</v>
      </c>
      <c r="V6167" s="3" t="s">
        <v>52</v>
      </c>
      <c r="W6167" s="3" t="s">
        <v>5905</v>
      </c>
      <c r="X6167" s="10" t="s">
        <v>21944</v>
      </c>
      <c r="Y6167" s="6" t="s">
        <v>42</v>
      </c>
      <c r="Z6167" s="4">
        <v>2.67</v>
      </c>
      <c r="AA6167" s="4">
        <v>4.74</v>
      </c>
      <c r="AB6167" s="3" t="s">
        <v>43</v>
      </c>
      <c r="AC6167" s="3" t="s">
        <v>5907</v>
      </c>
      <c r="AD6167" s="9">
        <v>42822</v>
      </c>
      <c r="AE6167" s="3" t="s">
        <v>184</v>
      </c>
      <c r="AF6167" s="3" t="s">
        <v>5908</v>
      </c>
      <c r="AG6167" s="3" t="s">
        <v>81</v>
      </c>
      <c r="AH6167" s="11">
        <f>HYPERLINK("https://my.pitchbook.com?c=75334-78T","View Company Online")</f>
      </c>
    </row>
    <row r="6168">
      <c r="A6168" s="12" t="s">
        <v>28339</v>
      </c>
      <c r="B6168" s="12" t="s">
        <v>28340</v>
      </c>
      <c r="C6168" s="19" t="s">
        <v>36</v>
      </c>
      <c r="D6168" s="19" t="s">
        <v>36</v>
      </c>
      <c r="E6168" s="19" t="s">
        <v>36</v>
      </c>
      <c r="F6168" s="19" t="s">
        <v>36</v>
      </c>
      <c r="G6168" s="15" t="s">
        <v>36</v>
      </c>
      <c r="H6168" s="14">
        <v>153.71</v>
      </c>
      <c r="I6168" s="18">
        <v>40</v>
      </c>
      <c r="J6168" s="12" t="s">
        <v>521</v>
      </c>
      <c r="K6168" s="13">
        <v>42802</v>
      </c>
      <c r="L6168" s="15" t="s">
        <v>36</v>
      </c>
      <c r="M6168" s="12" t="s">
        <v>36</v>
      </c>
      <c r="N6168" s="12" t="s">
        <v>36</v>
      </c>
      <c r="O6168" s="17" t="s">
        <v>36</v>
      </c>
      <c r="P6168" s="12" t="s">
        <v>36</v>
      </c>
      <c r="Q6168" s="12" t="s">
        <v>36</v>
      </c>
      <c r="R6168" s="12" t="s">
        <v>36</v>
      </c>
      <c r="S6168" s="12" t="s">
        <v>6677</v>
      </c>
      <c r="T6168" s="12" t="s">
        <v>4692</v>
      </c>
      <c r="U6168" s="12" t="s">
        <v>85</v>
      </c>
      <c r="V6168" s="12" t="s">
        <v>64</v>
      </c>
      <c r="W6168" s="12" t="s">
        <v>28341</v>
      </c>
      <c r="X6168" s="16" t="s">
        <v>28342</v>
      </c>
      <c r="Y6168" s="15" t="s">
        <v>42</v>
      </c>
      <c r="Z6168" s="14">
        <v>1.07</v>
      </c>
      <c r="AA6168" s="14">
        <v>2.67</v>
      </c>
      <c r="AB6168" s="12" t="s">
        <v>43</v>
      </c>
      <c r="AC6168" s="12" t="s">
        <v>28343</v>
      </c>
      <c r="AD6168" s="13">
        <v>42821</v>
      </c>
      <c r="AE6168" s="12" t="s">
        <v>89</v>
      </c>
      <c r="AF6168" s="12" t="s">
        <v>28344</v>
      </c>
      <c r="AG6168" s="12" t="s">
        <v>81</v>
      </c>
      <c r="AH6168" s="1">
        <f>HYPERLINK("https://my.pitchbook.com?c=85773-70T","View Company Online")</f>
      </c>
    </row>
    <row r="6169">
      <c r="A6169" s="3" t="s">
        <v>28345</v>
      </c>
      <c r="B6169" s="3" t="s">
        <v>17500</v>
      </c>
      <c r="C6169" s="5" t="s">
        <v>36</v>
      </c>
      <c r="D6169" s="5" t="s">
        <v>36</v>
      </c>
      <c r="E6169" s="5" t="s">
        <v>36</v>
      </c>
      <c r="F6169" s="5" t="s">
        <v>36</v>
      </c>
      <c r="G6169" s="6" t="s">
        <v>36</v>
      </c>
      <c r="H6169" s="4">
        <v>31.16</v>
      </c>
      <c r="I6169" s="7">
        <v>25</v>
      </c>
      <c r="J6169" s="3" t="s">
        <v>521</v>
      </c>
      <c r="K6169" s="9" t="s">
        <v>36</v>
      </c>
      <c r="L6169" s="6" t="s">
        <v>36</v>
      </c>
      <c r="M6169" s="3" t="s">
        <v>36</v>
      </c>
      <c r="N6169" s="3" t="s">
        <v>36</v>
      </c>
      <c r="O6169" s="8" t="s">
        <v>36</v>
      </c>
      <c r="P6169" s="3" t="s">
        <v>36</v>
      </c>
      <c r="Q6169" s="3" t="s">
        <v>36</v>
      </c>
      <c r="R6169" s="3" t="s">
        <v>36</v>
      </c>
      <c r="S6169" s="3" t="s">
        <v>36</v>
      </c>
      <c r="T6169" s="3" t="s">
        <v>17501</v>
      </c>
      <c r="U6169" s="3" t="s">
        <v>85</v>
      </c>
      <c r="V6169" s="3" t="s">
        <v>64</v>
      </c>
      <c r="W6169" s="3" t="s">
        <v>17502</v>
      </c>
      <c r="X6169" s="10" t="s">
        <v>23852</v>
      </c>
      <c r="Y6169" s="6" t="s">
        <v>42</v>
      </c>
      <c r="Z6169" s="4">
        <v>0.03</v>
      </c>
      <c r="AA6169" s="4">
        <v>0.13</v>
      </c>
      <c r="AB6169" s="3" t="s">
        <v>43</v>
      </c>
      <c r="AC6169" s="3" t="s">
        <v>17504</v>
      </c>
      <c r="AD6169" s="9">
        <v>42818</v>
      </c>
      <c r="AE6169" s="3" t="s">
        <v>89</v>
      </c>
      <c r="AF6169" s="3" t="s">
        <v>17505</v>
      </c>
      <c r="AG6169" s="3" t="s">
        <v>270</v>
      </c>
      <c r="AH6169" s="11">
        <f>HYPERLINK("https://my.pitchbook.com?c=88630-93T","View Company Online")</f>
      </c>
    </row>
    <row r="6170">
      <c r="A6170" s="12" t="s">
        <v>28346</v>
      </c>
      <c r="B6170" s="12" t="s">
        <v>14776</v>
      </c>
      <c r="C6170" s="19" t="s">
        <v>36</v>
      </c>
      <c r="D6170" s="19" t="s">
        <v>36</v>
      </c>
      <c r="E6170" s="19" t="s">
        <v>36</v>
      </c>
      <c r="F6170" s="19" t="s">
        <v>36</v>
      </c>
      <c r="G6170" s="15" t="s">
        <v>36</v>
      </c>
      <c r="H6170" s="14">
        <v>13.04</v>
      </c>
      <c r="I6170" s="18">
        <v>10.46</v>
      </c>
      <c r="J6170" s="12" t="s">
        <v>521</v>
      </c>
      <c r="K6170" s="13" t="s">
        <v>36</v>
      </c>
      <c r="L6170" s="15" t="s">
        <v>36</v>
      </c>
      <c r="M6170" s="12" t="s">
        <v>36</v>
      </c>
      <c r="N6170" s="12" t="s">
        <v>36</v>
      </c>
      <c r="O6170" s="17" t="s">
        <v>36</v>
      </c>
      <c r="P6170" s="12" t="s">
        <v>36</v>
      </c>
      <c r="Q6170" s="12" t="s">
        <v>36</v>
      </c>
      <c r="R6170" s="12" t="s">
        <v>36</v>
      </c>
      <c r="S6170" s="12" t="s">
        <v>36</v>
      </c>
      <c r="T6170" s="12" t="s">
        <v>14777</v>
      </c>
      <c r="U6170" s="12" t="s">
        <v>648</v>
      </c>
      <c r="V6170" s="12" t="s">
        <v>64</v>
      </c>
      <c r="W6170" s="12" t="s">
        <v>14778</v>
      </c>
      <c r="X6170" s="16" t="s">
        <v>10887</v>
      </c>
      <c r="Y6170" s="15" t="s">
        <v>42</v>
      </c>
      <c r="Z6170" s="14">
        <v>0.47</v>
      </c>
      <c r="AA6170" s="14">
        <v>4.45</v>
      </c>
      <c r="AB6170" s="12" t="s">
        <v>43</v>
      </c>
      <c r="AC6170" s="12" t="s">
        <v>14780</v>
      </c>
      <c r="AD6170" s="13">
        <v>42817</v>
      </c>
      <c r="AE6170" s="12" t="s">
        <v>1897</v>
      </c>
      <c r="AF6170" s="12" t="s">
        <v>14781</v>
      </c>
      <c r="AG6170" s="12" t="s">
        <v>741</v>
      </c>
      <c r="AH6170" s="1">
        <f>HYPERLINK("https://my.pitchbook.com?c=97462-99T","View Company Online")</f>
      </c>
    </row>
    <row r="6171">
      <c r="A6171" s="3" t="s">
        <v>28347</v>
      </c>
      <c r="B6171" s="3" t="s">
        <v>28348</v>
      </c>
      <c r="C6171" s="5" t="s">
        <v>36</v>
      </c>
      <c r="D6171" s="5" t="s">
        <v>36</v>
      </c>
      <c r="E6171" s="5" t="s">
        <v>36</v>
      </c>
      <c r="F6171" s="5" t="s">
        <v>36</v>
      </c>
      <c r="G6171" s="6" t="s">
        <v>36</v>
      </c>
      <c r="H6171" s="4" t="s">
        <v>36</v>
      </c>
      <c r="I6171" s="7" t="s">
        <v>36</v>
      </c>
      <c r="J6171" s="3" t="s">
        <v>36</v>
      </c>
      <c r="K6171" s="9" t="s">
        <v>36</v>
      </c>
      <c r="L6171" s="6" t="s">
        <v>36</v>
      </c>
      <c r="M6171" s="3" t="s">
        <v>36</v>
      </c>
      <c r="N6171" s="3" t="s">
        <v>36</v>
      </c>
      <c r="O6171" s="8" t="s">
        <v>36</v>
      </c>
      <c r="P6171" s="3" t="s">
        <v>36</v>
      </c>
      <c r="Q6171" s="3" t="s">
        <v>36</v>
      </c>
      <c r="R6171" s="3" t="s">
        <v>36</v>
      </c>
      <c r="S6171" s="3" t="s">
        <v>36</v>
      </c>
      <c r="T6171" s="3" t="s">
        <v>1125</v>
      </c>
      <c r="U6171" s="3" t="s">
        <v>74</v>
      </c>
      <c r="V6171" s="3" t="s">
        <v>75</v>
      </c>
      <c r="W6171" s="3" t="s">
        <v>28349</v>
      </c>
      <c r="X6171" s="10" t="s">
        <v>28350</v>
      </c>
      <c r="Y6171" s="6" t="s">
        <v>42</v>
      </c>
      <c r="Z6171" s="4">
        <v>0.32</v>
      </c>
      <c r="AA6171" s="4" t="s">
        <v>36</v>
      </c>
      <c r="AB6171" s="3" t="s">
        <v>43</v>
      </c>
      <c r="AC6171" s="3" t="s">
        <v>28351</v>
      </c>
      <c r="AD6171" s="9">
        <v>42817</v>
      </c>
      <c r="AE6171" s="3" t="s">
        <v>975</v>
      </c>
      <c r="AF6171" s="3" t="s">
        <v>1636</v>
      </c>
      <c r="AG6171" s="3" t="s">
        <v>28352</v>
      </c>
      <c r="AH6171" s="11">
        <f>HYPERLINK("https://my.pitchbook.com?c=100181-26T","View Company Online")</f>
      </c>
    </row>
    <row r="6172">
      <c r="A6172" s="12" t="s">
        <v>28353</v>
      </c>
      <c r="B6172" s="12" t="s">
        <v>25903</v>
      </c>
      <c r="C6172" s="19" t="s">
        <v>36</v>
      </c>
      <c r="D6172" s="19" t="s">
        <v>36</v>
      </c>
      <c r="E6172" s="19" t="s">
        <v>36</v>
      </c>
      <c r="F6172" s="19" t="s">
        <v>36</v>
      </c>
      <c r="G6172" s="15" t="s">
        <v>36</v>
      </c>
      <c r="H6172" s="14">
        <v>60.24</v>
      </c>
      <c r="I6172" s="18">
        <v>18.69</v>
      </c>
      <c r="J6172" s="12" t="s">
        <v>521</v>
      </c>
      <c r="K6172" s="13" t="s">
        <v>36</v>
      </c>
      <c r="L6172" s="15" t="s">
        <v>36</v>
      </c>
      <c r="M6172" s="12" t="s">
        <v>36</v>
      </c>
      <c r="N6172" s="12" t="s">
        <v>36</v>
      </c>
      <c r="O6172" s="17" t="s">
        <v>36</v>
      </c>
      <c r="P6172" s="12" t="s">
        <v>36</v>
      </c>
      <c r="Q6172" s="12" t="s">
        <v>36</v>
      </c>
      <c r="R6172" s="12" t="s">
        <v>36</v>
      </c>
      <c r="S6172" s="12" t="s">
        <v>36</v>
      </c>
      <c r="T6172" s="12" t="s">
        <v>9281</v>
      </c>
      <c r="U6172" s="12" t="s">
        <v>38</v>
      </c>
      <c r="V6172" s="12" t="s">
        <v>39</v>
      </c>
      <c r="W6172" s="12" t="s">
        <v>25904</v>
      </c>
      <c r="X6172" s="16" t="s">
        <v>20521</v>
      </c>
      <c r="Y6172" s="15" t="s">
        <v>42</v>
      </c>
      <c r="Z6172" s="14">
        <v>0.43</v>
      </c>
      <c r="AA6172" s="14">
        <v>2.28</v>
      </c>
      <c r="AB6172" s="12" t="s">
        <v>43</v>
      </c>
      <c r="AC6172" s="12" t="s">
        <v>25905</v>
      </c>
      <c r="AD6172" s="13">
        <v>42817</v>
      </c>
      <c r="AE6172" s="12" t="s">
        <v>1945</v>
      </c>
      <c r="AF6172" s="12" t="s">
        <v>25906</v>
      </c>
      <c r="AG6172" s="12" t="s">
        <v>332</v>
      </c>
      <c r="AH6172" s="1">
        <f>HYPERLINK("https://my.pitchbook.com?c=203563-63T","View Company Online")</f>
      </c>
    </row>
    <row r="6173">
      <c r="A6173" s="3" t="s">
        <v>28354</v>
      </c>
      <c r="B6173" s="3" t="s">
        <v>28355</v>
      </c>
      <c r="C6173" s="5" t="s">
        <v>36</v>
      </c>
      <c r="D6173" s="5">
        <v>5</v>
      </c>
      <c r="E6173" s="5">
        <v>1</v>
      </c>
      <c r="F6173" s="5">
        <v>5</v>
      </c>
      <c r="G6173" s="6" t="s">
        <v>326</v>
      </c>
      <c r="H6173" s="4">
        <v>65.29</v>
      </c>
      <c r="I6173" s="7">
        <v>29.41</v>
      </c>
      <c r="J6173" s="3" t="s">
        <v>521</v>
      </c>
      <c r="K6173" s="9" t="s">
        <v>36</v>
      </c>
      <c r="L6173" s="6" t="s">
        <v>36</v>
      </c>
      <c r="M6173" s="3" t="s">
        <v>36</v>
      </c>
      <c r="N6173" s="3" t="s">
        <v>36</v>
      </c>
      <c r="O6173" s="8" t="s">
        <v>36</v>
      </c>
      <c r="P6173" s="3" t="s">
        <v>36</v>
      </c>
      <c r="Q6173" s="3" t="s">
        <v>36</v>
      </c>
      <c r="R6173" s="3" t="s">
        <v>36</v>
      </c>
      <c r="S6173" s="3" t="s">
        <v>36</v>
      </c>
      <c r="T6173" s="3" t="s">
        <v>1838</v>
      </c>
      <c r="U6173" s="3" t="s">
        <v>38</v>
      </c>
      <c r="V6173" s="3" t="s">
        <v>39</v>
      </c>
      <c r="W6173" s="3" t="s">
        <v>28356</v>
      </c>
      <c r="X6173" s="10" t="s">
        <v>28357</v>
      </c>
      <c r="Y6173" s="6" t="s">
        <v>42</v>
      </c>
      <c r="Z6173" s="4">
        <v>1.33</v>
      </c>
      <c r="AA6173" s="4">
        <v>4.52</v>
      </c>
      <c r="AB6173" s="3" t="s">
        <v>56</v>
      </c>
      <c r="AC6173" s="3" t="s">
        <v>28358</v>
      </c>
      <c r="AD6173" s="9">
        <v>42817</v>
      </c>
      <c r="AE6173" s="3" t="s">
        <v>110</v>
      </c>
      <c r="AF6173" s="3" t="s">
        <v>28359</v>
      </c>
      <c r="AG6173" s="3" t="s">
        <v>102</v>
      </c>
      <c r="AH6173" s="11">
        <f>HYPERLINK("https://my.pitchbook.com?c=96632-29T","View Company Online")</f>
      </c>
    </row>
    <row r="6174">
      <c r="A6174" s="12" t="s">
        <v>28360</v>
      </c>
      <c r="B6174" s="12" t="s">
        <v>28361</v>
      </c>
      <c r="C6174" s="19" t="s">
        <v>36</v>
      </c>
      <c r="D6174" s="19" t="s">
        <v>36</v>
      </c>
      <c r="E6174" s="19" t="s">
        <v>36</v>
      </c>
      <c r="F6174" s="19" t="s">
        <v>36</v>
      </c>
      <c r="G6174" s="15" t="s">
        <v>36</v>
      </c>
      <c r="H6174" s="14" t="s">
        <v>36</v>
      </c>
      <c r="I6174" s="18" t="s">
        <v>36</v>
      </c>
      <c r="J6174" s="12" t="s">
        <v>36</v>
      </c>
      <c r="K6174" s="13" t="s">
        <v>36</v>
      </c>
      <c r="L6174" s="15" t="s">
        <v>36</v>
      </c>
      <c r="M6174" s="12" t="s">
        <v>36</v>
      </c>
      <c r="N6174" s="12" t="s">
        <v>36</v>
      </c>
      <c r="O6174" s="17" t="s">
        <v>36</v>
      </c>
      <c r="P6174" s="12" t="s">
        <v>36</v>
      </c>
      <c r="Q6174" s="12" t="s">
        <v>36</v>
      </c>
      <c r="R6174" s="12" t="s">
        <v>36</v>
      </c>
      <c r="S6174" s="12" t="s">
        <v>36</v>
      </c>
      <c r="T6174" s="12" t="s">
        <v>10033</v>
      </c>
      <c r="U6174" s="12" t="s">
        <v>38</v>
      </c>
      <c r="V6174" s="12" t="s">
        <v>39</v>
      </c>
      <c r="W6174" s="12" t="s">
        <v>28362</v>
      </c>
      <c r="X6174" s="16" t="s">
        <v>28363</v>
      </c>
      <c r="Y6174" s="15" t="s">
        <v>42</v>
      </c>
      <c r="Z6174" s="14" t="s">
        <v>36</v>
      </c>
      <c r="AA6174" s="14" t="s">
        <v>36</v>
      </c>
      <c r="AB6174" s="12" t="s">
        <v>43</v>
      </c>
      <c r="AC6174" s="12" t="s">
        <v>28364</v>
      </c>
      <c r="AD6174" s="13">
        <v>42815</v>
      </c>
      <c r="AE6174" s="12" t="s">
        <v>785</v>
      </c>
      <c r="AF6174" s="12" t="s">
        <v>799</v>
      </c>
      <c r="AG6174" s="12" t="s">
        <v>81</v>
      </c>
      <c r="AH6174" s="1">
        <f>HYPERLINK("https://my.pitchbook.com?c=131751-46T","View Company Online")</f>
      </c>
    </row>
    <row r="6175">
      <c r="A6175" s="3" t="s">
        <v>28365</v>
      </c>
      <c r="B6175" s="3" t="s">
        <v>20071</v>
      </c>
      <c r="C6175" s="5" t="s">
        <v>36</v>
      </c>
      <c r="D6175" s="5" t="s">
        <v>36</v>
      </c>
      <c r="E6175" s="5" t="s">
        <v>36</v>
      </c>
      <c r="F6175" s="5" t="s">
        <v>36</v>
      </c>
      <c r="G6175" s="6" t="s">
        <v>36</v>
      </c>
      <c r="H6175" s="4">
        <v>15.54</v>
      </c>
      <c r="I6175" s="7">
        <v>29.77</v>
      </c>
      <c r="J6175" s="3" t="s">
        <v>521</v>
      </c>
      <c r="K6175" s="9">
        <v>42702</v>
      </c>
      <c r="L6175" s="6" t="s">
        <v>36</v>
      </c>
      <c r="M6175" s="3" t="s">
        <v>36</v>
      </c>
      <c r="N6175" s="3" t="s">
        <v>36</v>
      </c>
      <c r="O6175" s="8" t="s">
        <v>36</v>
      </c>
      <c r="P6175" s="3" t="s">
        <v>36</v>
      </c>
      <c r="Q6175" s="3" t="s">
        <v>36</v>
      </c>
      <c r="R6175" s="3" t="s">
        <v>36</v>
      </c>
      <c r="S6175" s="3" t="s">
        <v>36</v>
      </c>
      <c r="T6175" s="3" t="s">
        <v>20072</v>
      </c>
      <c r="U6175" s="3" t="s">
        <v>279</v>
      </c>
      <c r="V6175" s="3" t="s">
        <v>64</v>
      </c>
      <c r="W6175" s="3" t="s">
        <v>20073</v>
      </c>
      <c r="X6175" s="10" t="s">
        <v>28366</v>
      </c>
      <c r="Y6175" s="6" t="s">
        <v>42</v>
      </c>
      <c r="Z6175" s="4">
        <v>0.34</v>
      </c>
      <c r="AA6175" s="4">
        <v>1.13</v>
      </c>
      <c r="AB6175" s="3" t="s">
        <v>43</v>
      </c>
      <c r="AC6175" s="3" t="s">
        <v>20074</v>
      </c>
      <c r="AD6175" s="9">
        <v>42815</v>
      </c>
      <c r="AE6175" s="3" t="s">
        <v>851</v>
      </c>
      <c r="AF6175" s="3" t="s">
        <v>2363</v>
      </c>
      <c r="AG6175" s="3" t="s">
        <v>5504</v>
      </c>
      <c r="AH6175" s="11">
        <f>HYPERLINK("https://my.pitchbook.com?c=88137-91T","View Company Online")</f>
      </c>
    </row>
    <row r="6176">
      <c r="A6176" s="12" t="s">
        <v>28367</v>
      </c>
      <c r="B6176" s="12" t="s">
        <v>28368</v>
      </c>
      <c r="C6176" s="19" t="s">
        <v>36</v>
      </c>
      <c r="D6176" s="19" t="s">
        <v>36</v>
      </c>
      <c r="E6176" s="19" t="s">
        <v>36</v>
      </c>
      <c r="F6176" s="19" t="s">
        <v>36</v>
      </c>
      <c r="G6176" s="15" t="s">
        <v>326</v>
      </c>
      <c r="H6176" s="14">
        <v>7.03</v>
      </c>
      <c r="I6176" s="18">
        <v>34.36</v>
      </c>
      <c r="J6176" s="12" t="s">
        <v>521</v>
      </c>
      <c r="K6176" s="13">
        <v>42801</v>
      </c>
      <c r="L6176" s="15" t="s">
        <v>122</v>
      </c>
      <c r="M6176" s="12" t="s">
        <v>36</v>
      </c>
      <c r="N6176" s="12" t="s">
        <v>122</v>
      </c>
      <c r="O6176" s="17" t="s">
        <v>36</v>
      </c>
      <c r="P6176" s="12" t="s">
        <v>36</v>
      </c>
      <c r="Q6176" s="12" t="s">
        <v>36</v>
      </c>
      <c r="R6176" s="12" t="s">
        <v>36</v>
      </c>
      <c r="S6176" s="12" t="s">
        <v>36</v>
      </c>
      <c r="T6176" s="12" t="s">
        <v>1701</v>
      </c>
      <c r="U6176" s="12" t="s">
        <v>74</v>
      </c>
      <c r="V6176" s="12" t="s">
        <v>75</v>
      </c>
      <c r="W6176" s="12" t="s">
        <v>28369</v>
      </c>
      <c r="X6176" s="16" t="s">
        <v>28370</v>
      </c>
      <c r="Y6176" s="15" t="s">
        <v>108</v>
      </c>
      <c r="Z6176" s="14">
        <v>15.94</v>
      </c>
      <c r="AA6176" s="14">
        <v>46.39</v>
      </c>
      <c r="AB6176" s="12" t="s">
        <v>43</v>
      </c>
      <c r="AC6176" s="12" t="s">
        <v>28371</v>
      </c>
      <c r="AD6176" s="13">
        <v>42815</v>
      </c>
      <c r="AE6176" s="12" t="s">
        <v>79</v>
      </c>
      <c r="AF6176" s="12" t="s">
        <v>36</v>
      </c>
      <c r="AG6176" s="12" t="s">
        <v>81</v>
      </c>
      <c r="AH6176" s="1">
        <f>HYPERLINK("https://my.pitchbook.com?c=85154-23T","View Company Online")</f>
      </c>
    </row>
    <row r="6177">
      <c r="A6177" s="3" t="s">
        <v>28372</v>
      </c>
      <c r="B6177" s="3" t="s">
        <v>7959</v>
      </c>
      <c r="C6177" s="5">
        <v>11</v>
      </c>
      <c r="D6177" s="5">
        <v>48</v>
      </c>
      <c r="E6177" s="5">
        <v>9</v>
      </c>
      <c r="F6177" s="5">
        <v>60</v>
      </c>
      <c r="G6177" s="6" t="s">
        <v>36</v>
      </c>
      <c r="H6177" s="4">
        <v>71.66</v>
      </c>
      <c r="I6177" s="7">
        <v>10.67</v>
      </c>
      <c r="J6177" s="3" t="s">
        <v>521</v>
      </c>
      <c r="K6177" s="9">
        <v>42126</v>
      </c>
      <c r="L6177" s="6" t="s">
        <v>36</v>
      </c>
      <c r="M6177" s="3" t="s">
        <v>36</v>
      </c>
      <c r="N6177" s="3" t="s">
        <v>36</v>
      </c>
      <c r="O6177" s="8" t="s">
        <v>36</v>
      </c>
      <c r="P6177" s="3" t="s">
        <v>36</v>
      </c>
      <c r="Q6177" s="3" t="s">
        <v>36</v>
      </c>
      <c r="R6177" s="3" t="s">
        <v>36</v>
      </c>
      <c r="S6177" s="3" t="s">
        <v>36</v>
      </c>
      <c r="T6177" s="3" t="s">
        <v>7960</v>
      </c>
      <c r="U6177" s="3" t="s">
        <v>51</v>
      </c>
      <c r="V6177" s="3" t="s">
        <v>52</v>
      </c>
      <c r="W6177" s="3" t="s">
        <v>7961</v>
      </c>
      <c r="X6177" s="10" t="s">
        <v>28373</v>
      </c>
      <c r="Y6177" s="6" t="s">
        <v>192</v>
      </c>
      <c r="Z6177" s="4">
        <v>2.63</v>
      </c>
      <c r="AA6177" s="4">
        <v>26.99</v>
      </c>
      <c r="AB6177" s="3" t="s">
        <v>56</v>
      </c>
      <c r="AC6177" s="3" t="s">
        <v>7963</v>
      </c>
      <c r="AD6177" s="9">
        <v>42815</v>
      </c>
      <c r="AE6177" s="3" t="s">
        <v>6868</v>
      </c>
      <c r="AF6177" s="3" t="s">
        <v>159</v>
      </c>
      <c r="AG6177" s="3" t="s">
        <v>899</v>
      </c>
      <c r="AH6177" s="11">
        <f>HYPERLINK("https://my.pitchbook.com?c=107064-82T","View Company Online")</f>
      </c>
    </row>
    <row r="6178">
      <c r="A6178" s="12" t="s">
        <v>28374</v>
      </c>
      <c r="B6178" s="12" t="s">
        <v>28375</v>
      </c>
      <c r="C6178" s="19">
        <v>3</v>
      </c>
      <c r="D6178" s="19">
        <v>28</v>
      </c>
      <c r="E6178" s="19">
        <v>4</v>
      </c>
      <c r="F6178" s="19">
        <v>31</v>
      </c>
      <c r="G6178" s="15" t="s">
        <v>326</v>
      </c>
      <c r="H6178" s="14">
        <v>39.15</v>
      </c>
      <c r="I6178" s="18">
        <v>39.39</v>
      </c>
      <c r="J6178" s="12" t="s">
        <v>521</v>
      </c>
      <c r="K6178" s="13" t="s">
        <v>36</v>
      </c>
      <c r="L6178" s="15" t="s">
        <v>1279</v>
      </c>
      <c r="M6178" s="12" t="s">
        <v>36</v>
      </c>
      <c r="N6178" s="12" t="s">
        <v>1279</v>
      </c>
      <c r="O6178" s="17" t="s">
        <v>36</v>
      </c>
      <c r="P6178" s="12" t="s">
        <v>36</v>
      </c>
      <c r="Q6178" s="12" t="s">
        <v>36</v>
      </c>
      <c r="R6178" s="12" t="s">
        <v>36</v>
      </c>
      <c r="S6178" s="12" t="s">
        <v>36</v>
      </c>
      <c r="T6178" s="12" t="s">
        <v>15724</v>
      </c>
      <c r="U6178" s="12" t="s">
        <v>51</v>
      </c>
      <c r="V6178" s="12" t="s">
        <v>52</v>
      </c>
      <c r="W6178" s="12" t="s">
        <v>28376</v>
      </c>
      <c r="X6178" s="16" t="s">
        <v>28377</v>
      </c>
      <c r="Y6178" s="15" t="s">
        <v>192</v>
      </c>
      <c r="Z6178" s="14">
        <v>20.15</v>
      </c>
      <c r="AA6178" s="14">
        <v>51.15</v>
      </c>
      <c r="AB6178" s="12" t="s">
        <v>56</v>
      </c>
      <c r="AC6178" s="12" t="s">
        <v>28378</v>
      </c>
      <c r="AD6178" s="13">
        <v>42814</v>
      </c>
      <c r="AE6178" s="12" t="s">
        <v>6868</v>
      </c>
      <c r="AF6178" s="12" t="s">
        <v>159</v>
      </c>
      <c r="AG6178" s="12" t="s">
        <v>81</v>
      </c>
      <c r="AH6178" s="1">
        <f>HYPERLINK("https://my.pitchbook.com?c=85092-58T","View Company Online")</f>
      </c>
    </row>
    <row r="6179">
      <c r="A6179" s="3" t="s">
        <v>28379</v>
      </c>
      <c r="B6179" s="3" t="s">
        <v>13155</v>
      </c>
      <c r="C6179" s="5" t="s">
        <v>36</v>
      </c>
      <c r="D6179" s="5" t="s">
        <v>36</v>
      </c>
      <c r="E6179" s="5" t="s">
        <v>36</v>
      </c>
      <c r="F6179" s="5" t="s">
        <v>36</v>
      </c>
      <c r="G6179" s="6" t="s">
        <v>36</v>
      </c>
      <c r="H6179" s="4" t="s">
        <v>36</v>
      </c>
      <c r="I6179" s="7" t="s">
        <v>36</v>
      </c>
      <c r="J6179" s="3" t="s">
        <v>36</v>
      </c>
      <c r="K6179" s="9" t="s">
        <v>36</v>
      </c>
      <c r="L6179" s="6" t="s">
        <v>94</v>
      </c>
      <c r="M6179" s="3" t="s">
        <v>36</v>
      </c>
      <c r="N6179" s="3" t="s">
        <v>94</v>
      </c>
      <c r="O6179" s="8" t="s">
        <v>36</v>
      </c>
      <c r="P6179" s="3" t="s">
        <v>36</v>
      </c>
      <c r="Q6179" s="3" t="s">
        <v>36</v>
      </c>
      <c r="R6179" s="3" t="s">
        <v>36</v>
      </c>
      <c r="S6179" s="3" t="s">
        <v>36</v>
      </c>
      <c r="T6179" s="3" t="s">
        <v>522</v>
      </c>
      <c r="U6179" s="3" t="s">
        <v>38</v>
      </c>
      <c r="V6179" s="3" t="s">
        <v>39</v>
      </c>
      <c r="W6179" s="3" t="s">
        <v>13156</v>
      </c>
      <c r="X6179" s="10" t="s">
        <v>28380</v>
      </c>
      <c r="Y6179" s="6" t="s">
        <v>55</v>
      </c>
      <c r="Z6179" s="4">
        <v>13</v>
      </c>
      <c r="AA6179" s="4" t="s">
        <v>36</v>
      </c>
      <c r="AB6179" s="3" t="s">
        <v>43</v>
      </c>
      <c r="AC6179" s="3" t="s">
        <v>13158</v>
      </c>
      <c r="AD6179" s="9">
        <v>42814</v>
      </c>
      <c r="AE6179" s="3" t="s">
        <v>110</v>
      </c>
      <c r="AF6179" s="3" t="s">
        <v>4552</v>
      </c>
      <c r="AG6179" s="3" t="s">
        <v>186</v>
      </c>
      <c r="AH6179" s="11">
        <f>HYPERLINK("https://my.pitchbook.com?c=85148-83T","View Company Online")</f>
      </c>
    </row>
    <row r="6180">
      <c r="A6180" s="12" t="s">
        <v>28381</v>
      </c>
      <c r="B6180" s="12" t="s">
        <v>28382</v>
      </c>
      <c r="C6180" s="19" t="s">
        <v>36</v>
      </c>
      <c r="D6180" s="19" t="s">
        <v>36</v>
      </c>
      <c r="E6180" s="19" t="s">
        <v>36</v>
      </c>
      <c r="F6180" s="19" t="s">
        <v>36</v>
      </c>
      <c r="G6180" s="15" t="s">
        <v>36</v>
      </c>
      <c r="H6180" s="14">
        <v>0.59</v>
      </c>
      <c r="I6180" s="18">
        <v>1.99</v>
      </c>
      <c r="J6180" s="12" t="s">
        <v>521</v>
      </c>
      <c r="K6180" s="13" t="s">
        <v>36</v>
      </c>
      <c r="L6180" s="15" t="s">
        <v>36</v>
      </c>
      <c r="M6180" s="12" t="s">
        <v>36</v>
      </c>
      <c r="N6180" s="12" t="s">
        <v>36</v>
      </c>
      <c r="O6180" s="17" t="s">
        <v>36</v>
      </c>
      <c r="P6180" s="12" t="s">
        <v>36</v>
      </c>
      <c r="Q6180" s="12" t="s">
        <v>36</v>
      </c>
      <c r="R6180" s="12" t="s">
        <v>36</v>
      </c>
      <c r="S6180" s="12" t="s">
        <v>36</v>
      </c>
      <c r="T6180" s="12" t="s">
        <v>6647</v>
      </c>
      <c r="U6180" s="12" t="s">
        <v>233</v>
      </c>
      <c r="V6180" s="12" t="s">
        <v>39</v>
      </c>
      <c r="W6180" s="12" t="s">
        <v>28383</v>
      </c>
      <c r="X6180" s="16" t="s">
        <v>28384</v>
      </c>
      <c r="Y6180" s="15" t="s">
        <v>42</v>
      </c>
      <c r="Z6180" s="14">
        <v>0.01</v>
      </c>
      <c r="AA6180" s="14">
        <v>0.62</v>
      </c>
      <c r="AB6180" s="12" t="s">
        <v>43</v>
      </c>
      <c r="AC6180" s="12" t="s">
        <v>28385</v>
      </c>
      <c r="AD6180" s="13">
        <v>42814</v>
      </c>
      <c r="AE6180" s="12" t="s">
        <v>236</v>
      </c>
      <c r="AF6180" s="12" t="s">
        <v>36</v>
      </c>
      <c r="AG6180" s="12" t="s">
        <v>434</v>
      </c>
      <c r="AH6180" s="1">
        <f>HYPERLINK("https://my.pitchbook.com?c=123908-23T","View Company Online")</f>
      </c>
    </row>
    <row r="6181">
      <c r="A6181" s="3" t="s">
        <v>28386</v>
      </c>
      <c r="B6181" s="3" t="s">
        <v>20078</v>
      </c>
      <c r="C6181" s="5" t="s">
        <v>36</v>
      </c>
      <c r="D6181" s="5" t="s">
        <v>36</v>
      </c>
      <c r="E6181" s="5" t="s">
        <v>36</v>
      </c>
      <c r="F6181" s="5" t="s">
        <v>36</v>
      </c>
      <c r="G6181" s="6" t="s">
        <v>683</v>
      </c>
      <c r="H6181" s="4">
        <v>159.94</v>
      </c>
      <c r="I6181" s="7">
        <v>5.75</v>
      </c>
      <c r="J6181" s="3" t="s">
        <v>521</v>
      </c>
      <c r="K6181" s="9" t="s">
        <v>36</v>
      </c>
      <c r="L6181" s="6" t="s">
        <v>36</v>
      </c>
      <c r="M6181" s="3" t="s">
        <v>36</v>
      </c>
      <c r="N6181" s="3" t="s">
        <v>36</v>
      </c>
      <c r="O6181" s="8" t="s">
        <v>36</v>
      </c>
      <c r="P6181" s="3" t="s">
        <v>36</v>
      </c>
      <c r="Q6181" s="3" t="s">
        <v>36</v>
      </c>
      <c r="R6181" s="3" t="s">
        <v>36</v>
      </c>
      <c r="S6181" s="3" t="s">
        <v>36</v>
      </c>
      <c r="T6181" s="3" t="s">
        <v>20079</v>
      </c>
      <c r="U6181" s="3" t="s">
        <v>74</v>
      </c>
      <c r="V6181" s="3" t="s">
        <v>75</v>
      </c>
      <c r="W6181" s="3" t="s">
        <v>20080</v>
      </c>
      <c r="X6181" s="10" t="s">
        <v>11438</v>
      </c>
      <c r="Y6181" s="6" t="s">
        <v>108</v>
      </c>
      <c r="Z6181" s="4">
        <v>0.27</v>
      </c>
      <c r="AA6181" s="4">
        <v>4.62</v>
      </c>
      <c r="AB6181" s="3" t="s">
        <v>43</v>
      </c>
      <c r="AC6181" s="3" t="s">
        <v>20082</v>
      </c>
      <c r="AD6181" s="9">
        <v>42814</v>
      </c>
      <c r="AE6181" s="3" t="s">
        <v>975</v>
      </c>
      <c r="AF6181" s="3" t="s">
        <v>36</v>
      </c>
      <c r="AG6181" s="3" t="s">
        <v>102</v>
      </c>
      <c r="AH6181" s="11">
        <f>HYPERLINK("https://my.pitchbook.com?c=127833-04T","View Company Online")</f>
      </c>
    </row>
    <row r="6182">
      <c r="A6182" s="12" t="s">
        <v>28387</v>
      </c>
      <c r="B6182" s="12" t="s">
        <v>28388</v>
      </c>
      <c r="C6182" s="19" t="s">
        <v>36</v>
      </c>
      <c r="D6182" s="19">
        <v>4</v>
      </c>
      <c r="E6182" s="19">
        <v>1</v>
      </c>
      <c r="F6182" s="19">
        <v>5</v>
      </c>
      <c r="G6182" s="15" t="s">
        <v>683</v>
      </c>
      <c r="H6182" s="14">
        <v>5.65</v>
      </c>
      <c r="I6182" s="18">
        <v>24.31</v>
      </c>
      <c r="J6182" s="12" t="s">
        <v>521</v>
      </c>
      <c r="K6182" s="13" t="s">
        <v>36</v>
      </c>
      <c r="L6182" s="15" t="s">
        <v>36</v>
      </c>
      <c r="M6182" s="12" t="s">
        <v>36</v>
      </c>
      <c r="N6182" s="12" t="s">
        <v>36</v>
      </c>
      <c r="O6182" s="17" t="s">
        <v>36</v>
      </c>
      <c r="P6182" s="12" t="s">
        <v>36</v>
      </c>
      <c r="Q6182" s="12" t="s">
        <v>36</v>
      </c>
      <c r="R6182" s="12" t="s">
        <v>36</v>
      </c>
      <c r="S6182" s="12" t="s">
        <v>36</v>
      </c>
      <c r="T6182" s="12" t="s">
        <v>3790</v>
      </c>
      <c r="U6182" s="12" t="s">
        <v>318</v>
      </c>
      <c r="V6182" s="12" t="s">
        <v>39</v>
      </c>
      <c r="W6182" s="12" t="s">
        <v>28389</v>
      </c>
      <c r="X6182" s="16" t="s">
        <v>28390</v>
      </c>
      <c r="Y6182" s="15" t="s">
        <v>55</v>
      </c>
      <c r="Z6182" s="14">
        <v>3.71</v>
      </c>
      <c r="AA6182" s="14">
        <v>11.96</v>
      </c>
      <c r="AB6182" s="12" t="s">
        <v>56</v>
      </c>
      <c r="AC6182" s="12" t="s">
        <v>28391</v>
      </c>
      <c r="AD6182" s="13">
        <v>42811</v>
      </c>
      <c r="AE6182" s="12" t="s">
        <v>763</v>
      </c>
      <c r="AF6182" s="12" t="s">
        <v>1969</v>
      </c>
      <c r="AG6182" s="12" t="s">
        <v>2218</v>
      </c>
      <c r="AH6182" s="1">
        <f>HYPERLINK("https://my.pitchbook.com?c=85016-44T","View Company Online")</f>
      </c>
    </row>
    <row r="6183">
      <c r="A6183" s="3" t="s">
        <v>28392</v>
      </c>
      <c r="B6183" s="3" t="s">
        <v>22892</v>
      </c>
      <c r="C6183" s="5" t="s">
        <v>36</v>
      </c>
      <c r="D6183" s="5" t="s">
        <v>36</v>
      </c>
      <c r="E6183" s="5" t="s">
        <v>36</v>
      </c>
      <c r="F6183" s="5" t="s">
        <v>36</v>
      </c>
      <c r="G6183" s="6" t="s">
        <v>36</v>
      </c>
      <c r="H6183" s="4">
        <v>51.93</v>
      </c>
      <c r="I6183" s="7">
        <v>28.57</v>
      </c>
      <c r="J6183" s="3" t="s">
        <v>521</v>
      </c>
      <c r="K6183" s="9" t="s">
        <v>36</v>
      </c>
      <c r="L6183" s="6" t="s">
        <v>36</v>
      </c>
      <c r="M6183" s="3" t="s">
        <v>36</v>
      </c>
      <c r="N6183" s="3" t="s">
        <v>36</v>
      </c>
      <c r="O6183" s="8" t="s">
        <v>36</v>
      </c>
      <c r="P6183" s="3" t="s">
        <v>36</v>
      </c>
      <c r="Q6183" s="3" t="s">
        <v>36</v>
      </c>
      <c r="R6183" s="3" t="s">
        <v>36</v>
      </c>
      <c r="S6183" s="3" t="s">
        <v>36</v>
      </c>
      <c r="T6183" s="3" t="s">
        <v>22893</v>
      </c>
      <c r="U6183" s="3" t="s">
        <v>1082</v>
      </c>
      <c r="V6183" s="3" t="s">
        <v>378</v>
      </c>
      <c r="W6183" s="3" t="s">
        <v>22894</v>
      </c>
      <c r="X6183" s="10" t="s">
        <v>28393</v>
      </c>
      <c r="Y6183" s="6" t="s">
        <v>42</v>
      </c>
      <c r="Z6183" s="4">
        <v>0.42</v>
      </c>
      <c r="AA6183" s="4">
        <v>1.48</v>
      </c>
      <c r="AB6183" s="3" t="s">
        <v>43</v>
      </c>
      <c r="AC6183" s="3" t="s">
        <v>22896</v>
      </c>
      <c r="AD6183" s="9">
        <v>42809</v>
      </c>
      <c r="AE6183" s="3" t="s">
        <v>7876</v>
      </c>
      <c r="AF6183" s="3" t="s">
        <v>786</v>
      </c>
      <c r="AG6183" s="3" t="s">
        <v>22897</v>
      </c>
      <c r="AH6183" s="11">
        <f>HYPERLINK("https://my.pitchbook.com?c=116244-91T","View Company Online")</f>
      </c>
    </row>
    <row r="6184">
      <c r="A6184" s="12" t="s">
        <v>28394</v>
      </c>
      <c r="B6184" s="12" t="s">
        <v>28395</v>
      </c>
      <c r="C6184" s="19">
        <v>1</v>
      </c>
      <c r="D6184" s="19" t="s">
        <v>36</v>
      </c>
      <c r="E6184" s="19">
        <v>1</v>
      </c>
      <c r="F6184" s="19">
        <v>1</v>
      </c>
      <c r="G6184" s="15" t="s">
        <v>36</v>
      </c>
      <c r="H6184" s="14" t="s">
        <v>36</v>
      </c>
      <c r="I6184" s="18" t="s">
        <v>36</v>
      </c>
      <c r="J6184" s="12" t="s">
        <v>36</v>
      </c>
      <c r="K6184" s="13" t="s">
        <v>36</v>
      </c>
      <c r="L6184" s="15" t="s">
        <v>36</v>
      </c>
      <c r="M6184" s="12" t="s">
        <v>36</v>
      </c>
      <c r="N6184" s="12" t="s">
        <v>36</v>
      </c>
      <c r="O6184" s="17" t="s">
        <v>36</v>
      </c>
      <c r="P6184" s="12" t="s">
        <v>36</v>
      </c>
      <c r="Q6184" s="12" t="s">
        <v>36</v>
      </c>
      <c r="R6184" s="12" t="s">
        <v>36</v>
      </c>
      <c r="S6184" s="12" t="s">
        <v>36</v>
      </c>
      <c r="T6184" s="12" t="s">
        <v>28396</v>
      </c>
      <c r="U6184" s="12" t="s">
        <v>38</v>
      </c>
      <c r="V6184" s="12" t="s">
        <v>39</v>
      </c>
      <c r="W6184" s="12" t="s">
        <v>28397</v>
      </c>
      <c r="X6184" s="16" t="s">
        <v>28398</v>
      </c>
      <c r="Y6184" s="15" t="s">
        <v>42</v>
      </c>
      <c r="Z6184" s="14">
        <v>0.26</v>
      </c>
      <c r="AA6184" s="14" t="s">
        <v>36</v>
      </c>
      <c r="AB6184" s="12" t="s">
        <v>56</v>
      </c>
      <c r="AC6184" s="12" t="s">
        <v>28399</v>
      </c>
      <c r="AD6184" s="13">
        <v>42809</v>
      </c>
      <c r="AE6184" s="12" t="s">
        <v>110</v>
      </c>
      <c r="AF6184" s="12" t="s">
        <v>2643</v>
      </c>
      <c r="AG6184" s="12" t="s">
        <v>28400</v>
      </c>
      <c r="AH6184" s="1">
        <f>HYPERLINK("https://my.pitchbook.com?c=120259-99T","View Company Online")</f>
      </c>
    </row>
    <row r="6185">
      <c r="A6185" s="3" t="s">
        <v>28401</v>
      </c>
      <c r="B6185" s="3" t="s">
        <v>28402</v>
      </c>
      <c r="C6185" s="5" t="s">
        <v>36</v>
      </c>
      <c r="D6185" s="5" t="s">
        <v>36</v>
      </c>
      <c r="E6185" s="5" t="s">
        <v>36</v>
      </c>
      <c r="F6185" s="5" t="s">
        <v>36</v>
      </c>
      <c r="G6185" s="6" t="s">
        <v>36</v>
      </c>
      <c r="H6185" s="4">
        <v>3.6</v>
      </c>
      <c r="I6185" s="7">
        <v>37.36</v>
      </c>
      <c r="J6185" s="3" t="s">
        <v>521</v>
      </c>
      <c r="K6185" s="9" t="s">
        <v>36</v>
      </c>
      <c r="L6185" s="6" t="s">
        <v>36</v>
      </c>
      <c r="M6185" s="3" t="s">
        <v>36</v>
      </c>
      <c r="N6185" s="3" t="s">
        <v>36</v>
      </c>
      <c r="O6185" s="8" t="s">
        <v>36</v>
      </c>
      <c r="P6185" s="3" t="s">
        <v>36</v>
      </c>
      <c r="Q6185" s="3" t="s">
        <v>36</v>
      </c>
      <c r="R6185" s="3" t="s">
        <v>36</v>
      </c>
      <c r="S6185" s="3" t="s">
        <v>36</v>
      </c>
      <c r="T6185" s="3" t="s">
        <v>28403</v>
      </c>
      <c r="U6185" s="3" t="s">
        <v>648</v>
      </c>
      <c r="V6185" s="3" t="s">
        <v>64</v>
      </c>
      <c r="W6185" s="3" t="s">
        <v>28404</v>
      </c>
      <c r="X6185" s="10" t="s">
        <v>28405</v>
      </c>
      <c r="Y6185" s="6" t="s">
        <v>108</v>
      </c>
      <c r="Z6185" s="4">
        <v>2.03</v>
      </c>
      <c r="AA6185" s="4">
        <v>5.43</v>
      </c>
      <c r="AB6185" s="3" t="s">
        <v>43</v>
      </c>
      <c r="AC6185" s="3" t="s">
        <v>28406</v>
      </c>
      <c r="AD6185" s="9">
        <v>42809</v>
      </c>
      <c r="AE6185" s="3" t="s">
        <v>3988</v>
      </c>
      <c r="AF6185" s="3" t="s">
        <v>4842</v>
      </c>
      <c r="AG6185" s="3" t="s">
        <v>8183</v>
      </c>
      <c r="AH6185" s="11">
        <f>HYPERLINK("https://my.pitchbook.com?c=93584-44T","View Company Online")</f>
      </c>
    </row>
    <row r="6186">
      <c r="A6186" s="12" t="s">
        <v>28407</v>
      </c>
      <c r="B6186" s="12" t="s">
        <v>28408</v>
      </c>
      <c r="C6186" s="19" t="s">
        <v>36</v>
      </c>
      <c r="D6186" s="19" t="s">
        <v>36</v>
      </c>
      <c r="E6186" s="19" t="s">
        <v>36</v>
      </c>
      <c r="F6186" s="19" t="s">
        <v>36</v>
      </c>
      <c r="G6186" s="15" t="s">
        <v>36</v>
      </c>
      <c r="H6186" s="14" t="s">
        <v>36</v>
      </c>
      <c r="I6186" s="18" t="s">
        <v>36</v>
      </c>
      <c r="J6186" s="12" t="s">
        <v>36</v>
      </c>
      <c r="K6186" s="13" t="s">
        <v>36</v>
      </c>
      <c r="L6186" s="15" t="s">
        <v>122</v>
      </c>
      <c r="M6186" s="12" t="s">
        <v>36</v>
      </c>
      <c r="N6186" s="12" t="s">
        <v>122</v>
      </c>
      <c r="O6186" s="17" t="s">
        <v>36</v>
      </c>
      <c r="P6186" s="12" t="s">
        <v>36</v>
      </c>
      <c r="Q6186" s="12" t="s">
        <v>36</v>
      </c>
      <c r="R6186" s="12" t="s">
        <v>36</v>
      </c>
      <c r="S6186" s="12" t="s">
        <v>36</v>
      </c>
      <c r="T6186" s="12" t="s">
        <v>3141</v>
      </c>
      <c r="U6186" s="12" t="s">
        <v>74</v>
      </c>
      <c r="V6186" s="12" t="s">
        <v>75</v>
      </c>
      <c r="W6186" s="12" t="s">
        <v>28409</v>
      </c>
      <c r="X6186" s="16" t="s">
        <v>28410</v>
      </c>
      <c r="Y6186" s="15" t="s">
        <v>42</v>
      </c>
      <c r="Z6186" s="14">
        <v>3.71</v>
      </c>
      <c r="AA6186" s="14" t="s">
        <v>36</v>
      </c>
      <c r="AB6186" s="12" t="s">
        <v>43</v>
      </c>
      <c r="AC6186" s="12" t="s">
        <v>28411</v>
      </c>
      <c r="AD6186" s="13">
        <v>42808</v>
      </c>
      <c r="AE6186" s="12" t="s">
        <v>3144</v>
      </c>
      <c r="AF6186" s="12" t="s">
        <v>28412</v>
      </c>
      <c r="AG6186" s="12" t="s">
        <v>939</v>
      </c>
      <c r="AH6186" s="1">
        <f>HYPERLINK("https://my.pitchbook.com?c=84947-77T","View Company Online")</f>
      </c>
    </row>
    <row r="6187">
      <c r="A6187" s="3" t="s">
        <v>28413</v>
      </c>
      <c r="B6187" s="3" t="s">
        <v>28414</v>
      </c>
      <c r="C6187" s="5" t="s">
        <v>36</v>
      </c>
      <c r="D6187" s="5" t="s">
        <v>36</v>
      </c>
      <c r="E6187" s="5" t="s">
        <v>36</v>
      </c>
      <c r="F6187" s="5" t="s">
        <v>36</v>
      </c>
      <c r="G6187" s="6" t="s">
        <v>36</v>
      </c>
      <c r="H6187" s="4" t="s">
        <v>36</v>
      </c>
      <c r="I6187" s="7" t="s">
        <v>36</v>
      </c>
      <c r="J6187" s="3" t="s">
        <v>36</v>
      </c>
      <c r="K6187" s="9" t="s">
        <v>36</v>
      </c>
      <c r="L6187" s="6" t="s">
        <v>36</v>
      </c>
      <c r="M6187" s="3" t="s">
        <v>36</v>
      </c>
      <c r="N6187" s="3" t="s">
        <v>36</v>
      </c>
      <c r="O6187" s="8" t="s">
        <v>36</v>
      </c>
      <c r="P6187" s="3" t="s">
        <v>36</v>
      </c>
      <c r="Q6187" s="3" t="s">
        <v>36</v>
      </c>
      <c r="R6187" s="3" t="s">
        <v>36</v>
      </c>
      <c r="S6187" s="3" t="s">
        <v>36</v>
      </c>
      <c r="T6187" s="3" t="s">
        <v>28415</v>
      </c>
      <c r="U6187" s="3" t="s">
        <v>38</v>
      </c>
      <c r="V6187" s="3" t="s">
        <v>39</v>
      </c>
      <c r="W6187" s="3" t="s">
        <v>28416</v>
      </c>
      <c r="X6187" s="10" t="s">
        <v>28417</v>
      </c>
      <c r="Y6187" s="6" t="s">
        <v>55</v>
      </c>
      <c r="Z6187" s="4">
        <v>1.06</v>
      </c>
      <c r="AA6187" s="4" t="s">
        <v>36</v>
      </c>
      <c r="AB6187" s="3" t="s">
        <v>56</v>
      </c>
      <c r="AC6187" s="3" t="s">
        <v>28418</v>
      </c>
      <c r="AD6187" s="9">
        <v>42808</v>
      </c>
      <c r="AE6187" s="3" t="s">
        <v>110</v>
      </c>
      <c r="AF6187" s="3" t="s">
        <v>8789</v>
      </c>
      <c r="AG6187" s="3" t="s">
        <v>741</v>
      </c>
      <c r="AH6187" s="11">
        <f>HYPERLINK("https://my.pitchbook.com?c=171227-98T","View Company Online")</f>
      </c>
    </row>
    <row r="6188">
      <c r="A6188" s="12" t="s">
        <v>28419</v>
      </c>
      <c r="B6188" s="12" t="s">
        <v>28420</v>
      </c>
      <c r="C6188" s="19" t="s">
        <v>36</v>
      </c>
      <c r="D6188" s="19" t="s">
        <v>36</v>
      </c>
      <c r="E6188" s="19" t="s">
        <v>36</v>
      </c>
      <c r="F6188" s="19" t="s">
        <v>36</v>
      </c>
      <c r="G6188" s="15" t="s">
        <v>36</v>
      </c>
      <c r="H6188" s="14" t="s">
        <v>36</v>
      </c>
      <c r="I6188" s="18" t="s">
        <v>36</v>
      </c>
      <c r="J6188" s="12" t="s">
        <v>36</v>
      </c>
      <c r="K6188" s="13" t="s">
        <v>36</v>
      </c>
      <c r="L6188" s="15" t="s">
        <v>36</v>
      </c>
      <c r="M6188" s="12" t="s">
        <v>36</v>
      </c>
      <c r="N6188" s="12" t="s">
        <v>36</v>
      </c>
      <c r="O6188" s="17" t="s">
        <v>36</v>
      </c>
      <c r="P6188" s="12" t="s">
        <v>36</v>
      </c>
      <c r="Q6188" s="12" t="s">
        <v>36</v>
      </c>
      <c r="R6188" s="12" t="s">
        <v>36</v>
      </c>
      <c r="S6188" s="12" t="s">
        <v>36</v>
      </c>
      <c r="T6188" s="12" t="s">
        <v>189</v>
      </c>
      <c r="U6188" s="12" t="s">
        <v>180</v>
      </c>
      <c r="V6188" s="12" t="s">
        <v>52</v>
      </c>
      <c r="W6188" s="12" t="s">
        <v>28421</v>
      </c>
      <c r="X6188" s="16" t="s">
        <v>20582</v>
      </c>
      <c r="Y6188" s="15" t="s">
        <v>42</v>
      </c>
      <c r="Z6188" s="14">
        <v>3.18</v>
      </c>
      <c r="AA6188" s="14" t="s">
        <v>36</v>
      </c>
      <c r="AB6188" s="12" t="s">
        <v>43</v>
      </c>
      <c r="AC6188" s="12" t="s">
        <v>28422</v>
      </c>
      <c r="AD6188" s="13">
        <v>42808</v>
      </c>
      <c r="AE6188" s="12" t="s">
        <v>184</v>
      </c>
      <c r="AF6188" s="12" t="s">
        <v>28423</v>
      </c>
      <c r="AG6188" s="12" t="s">
        <v>81</v>
      </c>
      <c r="AH6188" s="1">
        <f>HYPERLINK("https://my.pitchbook.com?c=158235-22T","View Company Online")</f>
      </c>
    </row>
    <row r="6189">
      <c r="A6189" s="3" t="s">
        <v>28424</v>
      </c>
      <c r="B6189" s="3" t="s">
        <v>15406</v>
      </c>
      <c r="C6189" s="5" t="s">
        <v>36</v>
      </c>
      <c r="D6189" s="5" t="s">
        <v>36</v>
      </c>
      <c r="E6189" s="5" t="s">
        <v>36</v>
      </c>
      <c r="F6189" s="5" t="s">
        <v>36</v>
      </c>
      <c r="G6189" s="6" t="s">
        <v>326</v>
      </c>
      <c r="H6189" s="4">
        <v>7.57</v>
      </c>
      <c r="I6189" s="7">
        <v>24.62</v>
      </c>
      <c r="J6189" s="3" t="s">
        <v>327</v>
      </c>
      <c r="K6189" s="9">
        <v>42751</v>
      </c>
      <c r="L6189" s="6" t="s">
        <v>36</v>
      </c>
      <c r="M6189" s="3" t="s">
        <v>36</v>
      </c>
      <c r="N6189" s="3" t="s">
        <v>36</v>
      </c>
      <c r="O6189" s="8" t="s">
        <v>36</v>
      </c>
      <c r="P6189" s="3" t="s">
        <v>36</v>
      </c>
      <c r="Q6189" s="3" t="s">
        <v>36</v>
      </c>
      <c r="R6189" s="3" t="s">
        <v>36</v>
      </c>
      <c r="S6189" s="3" t="s">
        <v>36</v>
      </c>
      <c r="T6189" s="3" t="s">
        <v>522</v>
      </c>
      <c r="U6189" s="3" t="s">
        <v>38</v>
      </c>
      <c r="V6189" s="3" t="s">
        <v>39</v>
      </c>
      <c r="W6189" s="3" t="s">
        <v>15407</v>
      </c>
      <c r="X6189" s="10" t="s">
        <v>28425</v>
      </c>
      <c r="Y6189" s="6" t="s">
        <v>108</v>
      </c>
      <c r="Z6189" s="4">
        <v>2.12</v>
      </c>
      <c r="AA6189" s="4">
        <v>4.78</v>
      </c>
      <c r="AB6189" s="3" t="s">
        <v>43</v>
      </c>
      <c r="AC6189" s="3" t="s">
        <v>15409</v>
      </c>
      <c r="AD6189" s="9">
        <v>42804</v>
      </c>
      <c r="AE6189" s="3" t="s">
        <v>110</v>
      </c>
      <c r="AF6189" s="3" t="s">
        <v>1401</v>
      </c>
      <c r="AG6189" s="3" t="s">
        <v>81</v>
      </c>
      <c r="AH6189" s="11">
        <f>HYPERLINK("https://my.pitchbook.com?c=106371-46T","View Company Online")</f>
      </c>
    </row>
    <row r="6190">
      <c r="A6190" s="12" t="s">
        <v>28426</v>
      </c>
      <c r="B6190" s="12" t="s">
        <v>23475</v>
      </c>
      <c r="C6190" s="19" t="s">
        <v>36</v>
      </c>
      <c r="D6190" s="19" t="s">
        <v>36</v>
      </c>
      <c r="E6190" s="19" t="s">
        <v>36</v>
      </c>
      <c r="F6190" s="19" t="s">
        <v>36</v>
      </c>
      <c r="G6190" s="15" t="s">
        <v>36</v>
      </c>
      <c r="H6190" s="14" t="s">
        <v>36</v>
      </c>
      <c r="I6190" s="18" t="s">
        <v>36</v>
      </c>
      <c r="J6190" s="12" t="s">
        <v>36</v>
      </c>
      <c r="K6190" s="13" t="s">
        <v>36</v>
      </c>
      <c r="L6190" s="15" t="s">
        <v>36</v>
      </c>
      <c r="M6190" s="12" t="s">
        <v>36</v>
      </c>
      <c r="N6190" s="12" t="s">
        <v>36</v>
      </c>
      <c r="O6190" s="17" t="s">
        <v>36</v>
      </c>
      <c r="P6190" s="12" t="s">
        <v>36</v>
      </c>
      <c r="Q6190" s="12" t="s">
        <v>36</v>
      </c>
      <c r="R6190" s="12" t="s">
        <v>36</v>
      </c>
      <c r="S6190" s="12" t="s">
        <v>36</v>
      </c>
      <c r="T6190" s="12" t="s">
        <v>5470</v>
      </c>
      <c r="U6190" s="12" t="s">
        <v>38</v>
      </c>
      <c r="V6190" s="12" t="s">
        <v>39</v>
      </c>
      <c r="W6190" s="12" t="s">
        <v>23476</v>
      </c>
      <c r="X6190" s="16" t="s">
        <v>28427</v>
      </c>
      <c r="Y6190" s="15" t="s">
        <v>42</v>
      </c>
      <c r="Z6190" s="14">
        <v>2.33</v>
      </c>
      <c r="AA6190" s="14" t="s">
        <v>36</v>
      </c>
      <c r="AB6190" s="12" t="s">
        <v>43</v>
      </c>
      <c r="AC6190" s="12" t="s">
        <v>23478</v>
      </c>
      <c r="AD6190" s="13">
        <v>42804</v>
      </c>
      <c r="AE6190" s="12" t="s">
        <v>1422</v>
      </c>
      <c r="AF6190" s="12" t="s">
        <v>7239</v>
      </c>
      <c r="AG6190" s="12" t="s">
        <v>12667</v>
      </c>
      <c r="AH6190" s="1">
        <f>HYPERLINK("https://my.pitchbook.com?c=115803-73T","View Company Online")</f>
      </c>
    </row>
    <row r="6191">
      <c r="A6191" s="3" t="s">
        <v>28428</v>
      </c>
      <c r="B6191" s="3" t="s">
        <v>10583</v>
      </c>
      <c r="C6191" s="5" t="s">
        <v>36</v>
      </c>
      <c r="D6191" s="5" t="s">
        <v>36</v>
      </c>
      <c r="E6191" s="5" t="s">
        <v>36</v>
      </c>
      <c r="F6191" s="5" t="s">
        <v>36</v>
      </c>
      <c r="G6191" s="6" t="s">
        <v>36</v>
      </c>
      <c r="H6191" s="4">
        <v>201.31</v>
      </c>
      <c r="I6191" s="7">
        <v>24.35</v>
      </c>
      <c r="J6191" s="3" t="s">
        <v>327</v>
      </c>
      <c r="K6191" s="9" t="s">
        <v>36</v>
      </c>
      <c r="L6191" s="6" t="s">
        <v>36</v>
      </c>
      <c r="M6191" s="3" t="s">
        <v>36</v>
      </c>
      <c r="N6191" s="3" t="s">
        <v>36</v>
      </c>
      <c r="O6191" s="8" t="s">
        <v>36</v>
      </c>
      <c r="P6191" s="3" t="s">
        <v>36</v>
      </c>
      <c r="Q6191" s="3" t="s">
        <v>36</v>
      </c>
      <c r="R6191" s="3" t="s">
        <v>36</v>
      </c>
      <c r="S6191" s="3" t="s">
        <v>36</v>
      </c>
      <c r="T6191" s="3" t="s">
        <v>464</v>
      </c>
      <c r="U6191" s="3" t="s">
        <v>38</v>
      </c>
      <c r="V6191" s="3" t="s">
        <v>39</v>
      </c>
      <c r="W6191" s="3" t="s">
        <v>10584</v>
      </c>
      <c r="X6191" s="10" t="s">
        <v>221</v>
      </c>
      <c r="Y6191" s="6" t="s">
        <v>108</v>
      </c>
      <c r="Z6191" s="4">
        <v>1.06</v>
      </c>
      <c r="AA6191" s="4">
        <v>4.35</v>
      </c>
      <c r="AB6191" s="3" t="s">
        <v>43</v>
      </c>
      <c r="AC6191" s="3" t="s">
        <v>10586</v>
      </c>
      <c r="AD6191" s="9">
        <v>42803</v>
      </c>
      <c r="AE6191" s="3" t="s">
        <v>110</v>
      </c>
      <c r="AF6191" s="3" t="s">
        <v>468</v>
      </c>
      <c r="AG6191" s="3" t="s">
        <v>81</v>
      </c>
      <c r="AH6191" s="11">
        <f>HYPERLINK("https://my.pitchbook.com?c=103409-65T","View Company Online")</f>
      </c>
    </row>
    <row r="6192">
      <c r="A6192" s="12" t="s">
        <v>28429</v>
      </c>
      <c r="B6192" s="12" t="s">
        <v>28430</v>
      </c>
      <c r="C6192" s="19" t="s">
        <v>36</v>
      </c>
      <c r="D6192" s="19" t="s">
        <v>36</v>
      </c>
      <c r="E6192" s="19" t="s">
        <v>36</v>
      </c>
      <c r="F6192" s="19" t="s">
        <v>36</v>
      </c>
      <c r="G6192" s="15" t="s">
        <v>36</v>
      </c>
      <c r="H6192" s="14">
        <v>211.85</v>
      </c>
      <c r="I6192" s="18">
        <v>35.36</v>
      </c>
      <c r="J6192" s="12" t="s">
        <v>521</v>
      </c>
      <c r="K6192" s="13" t="s">
        <v>36</v>
      </c>
      <c r="L6192" s="15" t="s">
        <v>36</v>
      </c>
      <c r="M6192" s="12" t="s">
        <v>36</v>
      </c>
      <c r="N6192" s="12" t="s">
        <v>36</v>
      </c>
      <c r="O6192" s="17" t="s">
        <v>36</v>
      </c>
      <c r="P6192" s="12" t="s">
        <v>36</v>
      </c>
      <c r="Q6192" s="12" t="s">
        <v>36</v>
      </c>
      <c r="R6192" s="12" t="s">
        <v>36</v>
      </c>
      <c r="S6192" s="12" t="s">
        <v>28431</v>
      </c>
      <c r="T6192" s="12" t="s">
        <v>189</v>
      </c>
      <c r="U6192" s="12" t="s">
        <v>180</v>
      </c>
      <c r="V6192" s="12" t="s">
        <v>52</v>
      </c>
      <c r="W6192" s="12" t="s">
        <v>28432</v>
      </c>
      <c r="X6192" s="16" t="s">
        <v>28433</v>
      </c>
      <c r="Y6192" s="15" t="s">
        <v>42</v>
      </c>
      <c r="Z6192" s="14">
        <v>1.06</v>
      </c>
      <c r="AA6192" s="14">
        <v>2.79</v>
      </c>
      <c r="AB6192" s="12" t="s">
        <v>43</v>
      </c>
      <c r="AC6192" s="12" t="s">
        <v>28434</v>
      </c>
      <c r="AD6192" s="13">
        <v>42803</v>
      </c>
      <c r="AE6192" s="12" t="s">
        <v>184</v>
      </c>
      <c r="AF6192" s="12" t="s">
        <v>1636</v>
      </c>
      <c r="AG6192" s="12" t="s">
        <v>81</v>
      </c>
      <c r="AH6192" s="1">
        <f>HYPERLINK("https://my.pitchbook.com?c=122955-22T","View Company Online")</f>
      </c>
    </row>
    <row r="6193">
      <c r="A6193" s="3" t="s">
        <v>28435</v>
      </c>
      <c r="B6193" s="3" t="s">
        <v>10387</v>
      </c>
      <c r="C6193" s="5">
        <v>15</v>
      </c>
      <c r="D6193" s="5">
        <v>78</v>
      </c>
      <c r="E6193" s="5">
        <v>19</v>
      </c>
      <c r="F6193" s="5">
        <v>97</v>
      </c>
      <c r="G6193" s="6" t="s">
        <v>326</v>
      </c>
      <c r="H6193" s="4">
        <v>126.65</v>
      </c>
      <c r="I6193" s="7">
        <v>10.03</v>
      </c>
      <c r="J6193" s="3" t="s">
        <v>521</v>
      </c>
      <c r="K6193" s="9">
        <v>42492</v>
      </c>
      <c r="L6193" s="6" t="s">
        <v>36</v>
      </c>
      <c r="M6193" s="3" t="s">
        <v>36</v>
      </c>
      <c r="N6193" s="3" t="s">
        <v>36</v>
      </c>
      <c r="O6193" s="8" t="s">
        <v>36</v>
      </c>
      <c r="P6193" s="3" t="s">
        <v>36</v>
      </c>
      <c r="Q6193" s="3" t="s">
        <v>36</v>
      </c>
      <c r="R6193" s="3" t="s">
        <v>36</v>
      </c>
      <c r="S6193" s="3" t="s">
        <v>36</v>
      </c>
      <c r="T6193" s="3" t="s">
        <v>10388</v>
      </c>
      <c r="U6193" s="3" t="s">
        <v>1357</v>
      </c>
      <c r="V6193" s="3" t="s">
        <v>52</v>
      </c>
      <c r="W6193" s="3" t="s">
        <v>10389</v>
      </c>
      <c r="X6193" s="10" t="s">
        <v>28436</v>
      </c>
      <c r="Y6193" s="6" t="s">
        <v>166</v>
      </c>
      <c r="Z6193" s="4">
        <v>8.53</v>
      </c>
      <c r="AA6193" s="4">
        <v>84.99</v>
      </c>
      <c r="AB6193" s="3" t="s">
        <v>56</v>
      </c>
      <c r="AC6193" s="3" t="s">
        <v>10391</v>
      </c>
      <c r="AD6193" s="9">
        <v>42803</v>
      </c>
      <c r="AE6193" s="3" t="s">
        <v>10392</v>
      </c>
      <c r="AF6193" s="3" t="s">
        <v>159</v>
      </c>
      <c r="AG6193" s="3" t="s">
        <v>10393</v>
      </c>
      <c r="AH6193" s="11">
        <f>HYPERLINK("https://my.pitchbook.com?c=85266-19T","View Company Online")</f>
      </c>
    </row>
    <row r="6194">
      <c r="A6194" s="12" t="s">
        <v>28437</v>
      </c>
      <c r="B6194" s="12" t="s">
        <v>13481</v>
      </c>
      <c r="C6194" s="19" t="s">
        <v>36</v>
      </c>
      <c r="D6194" s="19">
        <v>1</v>
      </c>
      <c r="E6194" s="19">
        <v>1</v>
      </c>
      <c r="F6194" s="19">
        <v>4</v>
      </c>
      <c r="G6194" s="15" t="s">
        <v>326</v>
      </c>
      <c r="H6194" s="14">
        <v>41.25</v>
      </c>
      <c r="I6194" s="18">
        <v>39.43</v>
      </c>
      <c r="J6194" s="12" t="s">
        <v>521</v>
      </c>
      <c r="K6194" s="13" t="s">
        <v>36</v>
      </c>
      <c r="L6194" s="15" t="s">
        <v>94</v>
      </c>
      <c r="M6194" s="12" t="s">
        <v>36</v>
      </c>
      <c r="N6194" s="12" t="s">
        <v>94</v>
      </c>
      <c r="O6194" s="17" t="s">
        <v>36</v>
      </c>
      <c r="P6194" s="12" t="s">
        <v>36</v>
      </c>
      <c r="Q6194" s="12" t="s">
        <v>36</v>
      </c>
      <c r="R6194" s="12" t="s">
        <v>36</v>
      </c>
      <c r="S6194" s="12" t="s">
        <v>36</v>
      </c>
      <c r="T6194" s="12" t="s">
        <v>13482</v>
      </c>
      <c r="U6194" s="12" t="s">
        <v>38</v>
      </c>
      <c r="V6194" s="12" t="s">
        <v>39</v>
      </c>
      <c r="W6194" s="12" t="s">
        <v>13483</v>
      </c>
      <c r="X6194" s="16" t="s">
        <v>28438</v>
      </c>
      <c r="Y6194" s="15" t="s">
        <v>108</v>
      </c>
      <c r="Z6194" s="14">
        <v>10.59</v>
      </c>
      <c r="AA6194" s="14">
        <v>26.87</v>
      </c>
      <c r="AB6194" s="12" t="s">
        <v>56</v>
      </c>
      <c r="AC6194" s="12" t="s">
        <v>13485</v>
      </c>
      <c r="AD6194" s="13">
        <v>42803</v>
      </c>
      <c r="AE6194" s="12" t="s">
        <v>110</v>
      </c>
      <c r="AF6194" s="12" t="s">
        <v>176</v>
      </c>
      <c r="AG6194" s="12" t="s">
        <v>81</v>
      </c>
      <c r="AH6194" s="1">
        <f>HYPERLINK("https://my.pitchbook.com?c=84471-22T","View Company Online")</f>
      </c>
    </row>
    <row r="6195">
      <c r="A6195" s="3" t="s">
        <v>28439</v>
      </c>
      <c r="B6195" s="3" t="s">
        <v>21089</v>
      </c>
      <c r="C6195" s="5" t="s">
        <v>36</v>
      </c>
      <c r="D6195" s="5" t="s">
        <v>36</v>
      </c>
      <c r="E6195" s="5" t="s">
        <v>36</v>
      </c>
      <c r="F6195" s="5" t="s">
        <v>36</v>
      </c>
      <c r="G6195" s="6" t="s">
        <v>326</v>
      </c>
      <c r="H6195" s="4">
        <v>98.96</v>
      </c>
      <c r="I6195" s="7">
        <v>14.89</v>
      </c>
      <c r="J6195" s="3" t="s">
        <v>521</v>
      </c>
      <c r="K6195" s="9" t="s">
        <v>36</v>
      </c>
      <c r="L6195" s="6" t="s">
        <v>36</v>
      </c>
      <c r="M6195" s="3" t="s">
        <v>36</v>
      </c>
      <c r="N6195" s="3" t="s">
        <v>36</v>
      </c>
      <c r="O6195" s="8" t="s">
        <v>36</v>
      </c>
      <c r="P6195" s="3" t="s">
        <v>36</v>
      </c>
      <c r="Q6195" s="3" t="s">
        <v>36</v>
      </c>
      <c r="R6195" s="3" t="s">
        <v>36</v>
      </c>
      <c r="S6195" s="3" t="s">
        <v>14479</v>
      </c>
      <c r="T6195" s="3" t="s">
        <v>4917</v>
      </c>
      <c r="U6195" s="3" t="s">
        <v>38</v>
      </c>
      <c r="V6195" s="3" t="s">
        <v>39</v>
      </c>
      <c r="W6195" s="3" t="s">
        <v>21090</v>
      </c>
      <c r="X6195" s="10" t="s">
        <v>28440</v>
      </c>
      <c r="Y6195" s="6" t="s">
        <v>42</v>
      </c>
      <c r="Z6195" s="4">
        <v>1.3</v>
      </c>
      <c r="AA6195" s="4">
        <v>8.71</v>
      </c>
      <c r="AB6195" s="3" t="s">
        <v>43</v>
      </c>
      <c r="AC6195" s="3" t="s">
        <v>21092</v>
      </c>
      <c r="AD6195" s="9">
        <v>42803</v>
      </c>
      <c r="AE6195" s="3" t="s">
        <v>134</v>
      </c>
      <c r="AF6195" s="3" t="s">
        <v>9319</v>
      </c>
      <c r="AG6195" s="3" t="s">
        <v>81</v>
      </c>
      <c r="AH6195" s="11">
        <f>HYPERLINK("https://my.pitchbook.com?c=84514-78T","View Company Online")</f>
      </c>
    </row>
    <row r="6196">
      <c r="A6196" s="12" t="s">
        <v>28441</v>
      </c>
      <c r="B6196" s="12" t="s">
        <v>8979</v>
      </c>
      <c r="C6196" s="19">
        <v>1</v>
      </c>
      <c r="D6196" s="19">
        <v>13</v>
      </c>
      <c r="E6196" s="19">
        <v>3</v>
      </c>
      <c r="F6196" s="19">
        <v>18</v>
      </c>
      <c r="G6196" s="15" t="s">
        <v>36</v>
      </c>
      <c r="H6196" s="14">
        <v>1.59</v>
      </c>
      <c r="I6196" s="18">
        <v>35.89</v>
      </c>
      <c r="J6196" s="12" t="s">
        <v>521</v>
      </c>
      <c r="K6196" s="13">
        <v>42790</v>
      </c>
      <c r="L6196" s="15" t="s">
        <v>36</v>
      </c>
      <c r="M6196" s="12" t="s">
        <v>36</v>
      </c>
      <c r="N6196" s="12" t="s">
        <v>36</v>
      </c>
      <c r="O6196" s="17" t="s">
        <v>36</v>
      </c>
      <c r="P6196" s="12" t="s">
        <v>36</v>
      </c>
      <c r="Q6196" s="12" t="s">
        <v>36</v>
      </c>
      <c r="R6196" s="12" t="s">
        <v>36</v>
      </c>
      <c r="S6196" s="12" t="s">
        <v>36</v>
      </c>
      <c r="T6196" s="12" t="s">
        <v>8980</v>
      </c>
      <c r="U6196" s="12" t="s">
        <v>366</v>
      </c>
      <c r="V6196" s="12" t="s">
        <v>367</v>
      </c>
      <c r="W6196" s="12" t="s">
        <v>8981</v>
      </c>
      <c r="X6196" s="16" t="s">
        <v>5892</v>
      </c>
      <c r="Y6196" s="15" t="s">
        <v>42</v>
      </c>
      <c r="Z6196" s="14">
        <v>1.01</v>
      </c>
      <c r="AA6196" s="14">
        <v>2.81</v>
      </c>
      <c r="AB6196" s="12" t="s">
        <v>56</v>
      </c>
      <c r="AC6196" s="12" t="s">
        <v>8983</v>
      </c>
      <c r="AD6196" s="13">
        <v>42801</v>
      </c>
      <c r="AE6196" s="12" t="s">
        <v>7565</v>
      </c>
      <c r="AF6196" s="12" t="s">
        <v>3274</v>
      </c>
      <c r="AG6196" s="12" t="s">
        <v>81</v>
      </c>
      <c r="AH6196" s="1">
        <f>HYPERLINK("https://my.pitchbook.com?c=85406-32T","View Company Online")</f>
      </c>
    </row>
    <row r="6197">
      <c r="A6197" s="3" t="s">
        <v>28442</v>
      </c>
      <c r="B6197" s="3" t="s">
        <v>28443</v>
      </c>
      <c r="C6197" s="5" t="s">
        <v>36</v>
      </c>
      <c r="D6197" s="5" t="s">
        <v>36</v>
      </c>
      <c r="E6197" s="5" t="s">
        <v>36</v>
      </c>
      <c r="F6197" s="5" t="s">
        <v>36</v>
      </c>
      <c r="G6197" s="6" t="s">
        <v>36</v>
      </c>
      <c r="H6197" s="4">
        <v>190.06</v>
      </c>
      <c r="I6197" s="7">
        <v>8.54</v>
      </c>
      <c r="J6197" s="3" t="s">
        <v>521</v>
      </c>
      <c r="K6197" s="9" t="s">
        <v>36</v>
      </c>
      <c r="L6197" s="6" t="s">
        <v>36</v>
      </c>
      <c r="M6197" s="3" t="s">
        <v>36</v>
      </c>
      <c r="N6197" s="3" t="s">
        <v>36</v>
      </c>
      <c r="O6197" s="8" t="s">
        <v>36</v>
      </c>
      <c r="P6197" s="3" t="s">
        <v>36</v>
      </c>
      <c r="Q6197" s="3" t="s">
        <v>36</v>
      </c>
      <c r="R6197" s="3" t="s">
        <v>36</v>
      </c>
      <c r="S6197" s="3" t="s">
        <v>36</v>
      </c>
      <c r="T6197" s="3" t="s">
        <v>7415</v>
      </c>
      <c r="U6197" s="3" t="s">
        <v>38</v>
      </c>
      <c r="V6197" s="3" t="s">
        <v>39</v>
      </c>
      <c r="W6197" s="3" t="s">
        <v>28444</v>
      </c>
      <c r="X6197" s="10" t="s">
        <v>28445</v>
      </c>
      <c r="Y6197" s="6" t="s">
        <v>42</v>
      </c>
      <c r="Z6197" s="4">
        <v>0.18</v>
      </c>
      <c r="AA6197" s="4">
        <v>2.12</v>
      </c>
      <c r="AB6197" s="3" t="s">
        <v>43</v>
      </c>
      <c r="AC6197" s="3" t="s">
        <v>28446</v>
      </c>
      <c r="AD6197" s="9">
        <v>42801</v>
      </c>
      <c r="AE6197" s="3" t="s">
        <v>1422</v>
      </c>
      <c r="AF6197" s="3" t="s">
        <v>5177</v>
      </c>
      <c r="AG6197" s="3" t="s">
        <v>81</v>
      </c>
      <c r="AH6197" s="11">
        <f>HYPERLINK("https://my.pitchbook.com?c=191134-18T","View Company Online")</f>
      </c>
    </row>
    <row r="6198">
      <c r="A6198" s="12" t="s">
        <v>28447</v>
      </c>
      <c r="B6198" s="12" t="s">
        <v>18421</v>
      </c>
      <c r="C6198" s="19">
        <v>9</v>
      </c>
      <c r="D6198" s="19">
        <v>26</v>
      </c>
      <c r="E6198" s="19">
        <v>8</v>
      </c>
      <c r="F6198" s="19">
        <v>37</v>
      </c>
      <c r="G6198" s="15" t="s">
        <v>683</v>
      </c>
      <c r="H6198" s="14">
        <v>59.09</v>
      </c>
      <c r="I6198" s="18" t="s">
        <v>36</v>
      </c>
      <c r="J6198" s="12" t="s">
        <v>521</v>
      </c>
      <c r="K6198" s="13">
        <v>42723</v>
      </c>
      <c r="L6198" s="15" t="s">
        <v>36</v>
      </c>
      <c r="M6198" s="12" t="s">
        <v>36</v>
      </c>
      <c r="N6198" s="12" t="s">
        <v>36</v>
      </c>
      <c r="O6198" s="17" t="s">
        <v>36</v>
      </c>
      <c r="P6198" s="12" t="s">
        <v>36</v>
      </c>
      <c r="Q6198" s="12" t="s">
        <v>36</v>
      </c>
      <c r="R6198" s="12" t="s">
        <v>36</v>
      </c>
      <c r="S6198" s="12" t="s">
        <v>36</v>
      </c>
      <c r="T6198" s="12" t="s">
        <v>7773</v>
      </c>
      <c r="U6198" s="12" t="s">
        <v>96</v>
      </c>
      <c r="V6198" s="12" t="s">
        <v>52</v>
      </c>
      <c r="W6198" s="12" t="s">
        <v>18422</v>
      </c>
      <c r="X6198" s="16" t="s">
        <v>28448</v>
      </c>
      <c r="Y6198" s="15" t="s">
        <v>108</v>
      </c>
      <c r="Z6198" s="14">
        <v>1.57</v>
      </c>
      <c r="AA6198" s="14">
        <v>5.53</v>
      </c>
      <c r="AB6198" s="12" t="s">
        <v>43</v>
      </c>
      <c r="AC6198" s="12" t="s">
        <v>18424</v>
      </c>
      <c r="AD6198" s="13">
        <v>42800</v>
      </c>
      <c r="AE6198" s="12" t="s">
        <v>143</v>
      </c>
      <c r="AF6198" s="12" t="s">
        <v>36</v>
      </c>
      <c r="AG6198" s="12" t="s">
        <v>2088</v>
      </c>
      <c r="AH6198" s="1">
        <f>HYPERLINK("https://my.pitchbook.com?c=83761-39T","View Company Online")</f>
      </c>
    </row>
    <row r="6199">
      <c r="A6199" s="3" t="s">
        <v>28449</v>
      </c>
      <c r="B6199" s="3" t="s">
        <v>28450</v>
      </c>
      <c r="C6199" s="5" t="s">
        <v>36</v>
      </c>
      <c r="D6199" s="5" t="s">
        <v>36</v>
      </c>
      <c r="E6199" s="5" t="s">
        <v>36</v>
      </c>
      <c r="F6199" s="5" t="s">
        <v>36</v>
      </c>
      <c r="G6199" s="6" t="s">
        <v>36</v>
      </c>
      <c r="H6199" s="4">
        <v>20.02</v>
      </c>
      <c r="I6199" s="7">
        <v>27.62</v>
      </c>
      <c r="J6199" s="3" t="s">
        <v>521</v>
      </c>
      <c r="K6199" s="9" t="s">
        <v>36</v>
      </c>
      <c r="L6199" s="6" t="s">
        <v>36</v>
      </c>
      <c r="M6199" s="3" t="s">
        <v>36</v>
      </c>
      <c r="N6199" s="3" t="s">
        <v>36</v>
      </c>
      <c r="O6199" s="8" t="s">
        <v>36</v>
      </c>
      <c r="P6199" s="3" t="s">
        <v>36</v>
      </c>
      <c r="Q6199" s="3" t="s">
        <v>36</v>
      </c>
      <c r="R6199" s="3" t="s">
        <v>36</v>
      </c>
      <c r="S6199" s="3" t="s">
        <v>36</v>
      </c>
      <c r="T6199" s="3" t="s">
        <v>28451</v>
      </c>
      <c r="U6199" s="3" t="s">
        <v>1336</v>
      </c>
      <c r="V6199" s="3" t="s">
        <v>367</v>
      </c>
      <c r="W6199" s="3" t="s">
        <v>28452</v>
      </c>
      <c r="X6199" s="10" t="s">
        <v>23123</v>
      </c>
      <c r="Y6199" s="6" t="s">
        <v>42</v>
      </c>
      <c r="Z6199" s="4">
        <v>1.59</v>
      </c>
      <c r="AA6199" s="4">
        <v>3.08</v>
      </c>
      <c r="AB6199" s="3" t="s">
        <v>56</v>
      </c>
      <c r="AC6199" s="3" t="s">
        <v>28453</v>
      </c>
      <c r="AD6199" s="9">
        <v>42800</v>
      </c>
      <c r="AE6199" s="3" t="s">
        <v>2464</v>
      </c>
      <c r="AF6199" s="3" t="s">
        <v>28454</v>
      </c>
      <c r="AG6199" s="3" t="s">
        <v>81</v>
      </c>
      <c r="AH6199" s="11">
        <f>HYPERLINK("https://my.pitchbook.com?c=87784-93T","View Company Online")</f>
      </c>
    </row>
    <row r="6200">
      <c r="A6200" s="12" t="s">
        <v>28455</v>
      </c>
      <c r="B6200" s="12" t="s">
        <v>9660</v>
      </c>
      <c r="C6200" s="19" t="s">
        <v>36</v>
      </c>
      <c r="D6200" s="19" t="s">
        <v>36</v>
      </c>
      <c r="E6200" s="19" t="s">
        <v>36</v>
      </c>
      <c r="F6200" s="19" t="s">
        <v>36</v>
      </c>
      <c r="G6200" s="15" t="s">
        <v>36</v>
      </c>
      <c r="H6200" s="14">
        <v>214.54</v>
      </c>
      <c r="I6200" s="18">
        <v>25.94</v>
      </c>
      <c r="J6200" s="12" t="s">
        <v>521</v>
      </c>
      <c r="K6200" s="13" t="s">
        <v>36</v>
      </c>
      <c r="L6200" s="15" t="s">
        <v>122</v>
      </c>
      <c r="M6200" s="12" t="s">
        <v>36</v>
      </c>
      <c r="N6200" s="12" t="s">
        <v>122</v>
      </c>
      <c r="O6200" s="17" t="s">
        <v>36</v>
      </c>
      <c r="P6200" s="12" t="s">
        <v>36</v>
      </c>
      <c r="Q6200" s="12" t="s">
        <v>36</v>
      </c>
      <c r="R6200" s="12" t="s">
        <v>36</v>
      </c>
      <c r="S6200" s="12" t="s">
        <v>36</v>
      </c>
      <c r="T6200" s="12" t="s">
        <v>5302</v>
      </c>
      <c r="U6200" s="12" t="s">
        <v>74</v>
      </c>
      <c r="V6200" s="12" t="s">
        <v>75</v>
      </c>
      <c r="W6200" s="12" t="s">
        <v>9661</v>
      </c>
      <c r="X6200" s="16" t="s">
        <v>28456</v>
      </c>
      <c r="Y6200" s="15" t="s">
        <v>108</v>
      </c>
      <c r="Z6200" s="14">
        <v>2.34</v>
      </c>
      <c r="AA6200" s="14">
        <v>5.73</v>
      </c>
      <c r="AB6200" s="12" t="s">
        <v>43</v>
      </c>
      <c r="AC6200" s="12" t="s">
        <v>9663</v>
      </c>
      <c r="AD6200" s="13">
        <v>42799</v>
      </c>
      <c r="AE6200" s="12" t="s">
        <v>362</v>
      </c>
      <c r="AF6200" s="12" t="s">
        <v>9664</v>
      </c>
      <c r="AG6200" s="12" t="s">
        <v>81</v>
      </c>
      <c r="AH6200" s="1">
        <f>HYPERLINK("https://my.pitchbook.com?c=84260-53T","View Company Online")</f>
      </c>
    </row>
    <row r="6201">
      <c r="A6201" s="3" t="s">
        <v>28457</v>
      </c>
      <c r="B6201" s="3" t="s">
        <v>28458</v>
      </c>
      <c r="C6201" s="5" t="s">
        <v>36</v>
      </c>
      <c r="D6201" s="5" t="s">
        <v>36</v>
      </c>
      <c r="E6201" s="5" t="s">
        <v>36</v>
      </c>
      <c r="F6201" s="5" t="s">
        <v>36</v>
      </c>
      <c r="G6201" s="6" t="s">
        <v>36</v>
      </c>
      <c r="H6201" s="4">
        <v>235.75</v>
      </c>
      <c r="I6201" s="7">
        <v>23.51</v>
      </c>
      <c r="J6201" s="3" t="s">
        <v>521</v>
      </c>
      <c r="K6201" s="9" t="s">
        <v>36</v>
      </c>
      <c r="L6201" s="6" t="s">
        <v>36</v>
      </c>
      <c r="M6201" s="3" t="s">
        <v>36</v>
      </c>
      <c r="N6201" s="3" t="s">
        <v>36</v>
      </c>
      <c r="O6201" s="8" t="s">
        <v>36</v>
      </c>
      <c r="P6201" s="3" t="s">
        <v>36</v>
      </c>
      <c r="Q6201" s="3" t="s">
        <v>36</v>
      </c>
      <c r="R6201" s="3" t="s">
        <v>36</v>
      </c>
      <c r="S6201" s="3" t="s">
        <v>36</v>
      </c>
      <c r="T6201" s="3" t="s">
        <v>1048</v>
      </c>
      <c r="U6201" s="3" t="s">
        <v>423</v>
      </c>
      <c r="V6201" s="3" t="s">
        <v>64</v>
      </c>
      <c r="W6201" s="3" t="s">
        <v>28459</v>
      </c>
      <c r="X6201" s="10" t="s">
        <v>28460</v>
      </c>
      <c r="Y6201" s="6" t="s">
        <v>42</v>
      </c>
      <c r="Z6201" s="4">
        <v>0.37</v>
      </c>
      <c r="AA6201" s="4">
        <v>1.58</v>
      </c>
      <c r="AB6201" s="3" t="s">
        <v>43</v>
      </c>
      <c r="AC6201" s="3" t="s">
        <v>28461</v>
      </c>
      <c r="AD6201" s="9">
        <v>42796</v>
      </c>
      <c r="AE6201" s="3" t="s">
        <v>1051</v>
      </c>
      <c r="AF6201" s="3" t="s">
        <v>4397</v>
      </c>
      <c r="AG6201" s="3" t="s">
        <v>102</v>
      </c>
      <c r="AH6201" s="11">
        <f>HYPERLINK("https://my.pitchbook.com?c=108614-17T","View Company Online")</f>
      </c>
    </row>
    <row r="6202">
      <c r="A6202" s="12" t="s">
        <v>28462</v>
      </c>
      <c r="B6202" s="12" t="s">
        <v>28463</v>
      </c>
      <c r="C6202" s="19" t="s">
        <v>36</v>
      </c>
      <c r="D6202" s="19" t="s">
        <v>36</v>
      </c>
      <c r="E6202" s="19" t="s">
        <v>36</v>
      </c>
      <c r="F6202" s="19" t="s">
        <v>36</v>
      </c>
      <c r="G6202" s="15" t="s">
        <v>36</v>
      </c>
      <c r="H6202" s="14">
        <v>1.04</v>
      </c>
      <c r="I6202" s="18">
        <v>24.92</v>
      </c>
      <c r="J6202" s="12" t="s">
        <v>521</v>
      </c>
      <c r="K6202" s="13" t="s">
        <v>36</v>
      </c>
      <c r="L6202" s="15" t="s">
        <v>36</v>
      </c>
      <c r="M6202" s="12" t="s">
        <v>36</v>
      </c>
      <c r="N6202" s="12" t="s">
        <v>36</v>
      </c>
      <c r="O6202" s="17" t="s">
        <v>36</v>
      </c>
      <c r="P6202" s="12" t="s">
        <v>36</v>
      </c>
      <c r="Q6202" s="12" t="s">
        <v>36</v>
      </c>
      <c r="R6202" s="12" t="s">
        <v>36</v>
      </c>
      <c r="S6202" s="12" t="s">
        <v>36</v>
      </c>
      <c r="T6202" s="12" t="s">
        <v>9456</v>
      </c>
      <c r="U6202" s="12" t="s">
        <v>63</v>
      </c>
      <c r="V6202" s="12" t="s">
        <v>64</v>
      </c>
      <c r="W6202" s="12" t="s">
        <v>28464</v>
      </c>
      <c r="X6202" s="16" t="s">
        <v>17804</v>
      </c>
      <c r="Y6202" s="15" t="s">
        <v>42</v>
      </c>
      <c r="Z6202" s="14">
        <v>1.76</v>
      </c>
      <c r="AA6202" s="14">
        <v>7.08</v>
      </c>
      <c r="AB6202" s="12" t="s">
        <v>43</v>
      </c>
      <c r="AC6202" s="12" t="s">
        <v>28465</v>
      </c>
      <c r="AD6202" s="13">
        <v>42796</v>
      </c>
      <c r="AE6202" s="12" t="s">
        <v>4310</v>
      </c>
      <c r="AF6202" s="12" t="s">
        <v>36</v>
      </c>
      <c r="AG6202" s="12" t="s">
        <v>4172</v>
      </c>
      <c r="AH6202" s="1">
        <f>HYPERLINK("https://my.pitchbook.com?c=174389-14T","View Company Online")</f>
      </c>
    </row>
    <row r="6203">
      <c r="A6203" s="3" t="s">
        <v>28466</v>
      </c>
      <c r="B6203" s="3" t="s">
        <v>28467</v>
      </c>
      <c r="C6203" s="5" t="s">
        <v>36</v>
      </c>
      <c r="D6203" s="5">
        <v>7</v>
      </c>
      <c r="E6203" s="5">
        <v>3</v>
      </c>
      <c r="F6203" s="5">
        <v>7</v>
      </c>
      <c r="G6203" s="6" t="s">
        <v>36</v>
      </c>
      <c r="H6203" s="4" t="s">
        <v>36</v>
      </c>
      <c r="I6203" s="7" t="s">
        <v>36</v>
      </c>
      <c r="J6203" s="3" t="s">
        <v>36</v>
      </c>
      <c r="K6203" s="9" t="s">
        <v>36</v>
      </c>
      <c r="L6203" s="6" t="s">
        <v>122</v>
      </c>
      <c r="M6203" s="3" t="s">
        <v>36</v>
      </c>
      <c r="N6203" s="3" t="s">
        <v>122</v>
      </c>
      <c r="O6203" s="8" t="s">
        <v>36</v>
      </c>
      <c r="P6203" s="3" t="s">
        <v>36</v>
      </c>
      <c r="Q6203" s="3" t="s">
        <v>36</v>
      </c>
      <c r="R6203" s="3" t="s">
        <v>36</v>
      </c>
      <c r="S6203" s="3" t="s">
        <v>36</v>
      </c>
      <c r="T6203" s="3" t="s">
        <v>27574</v>
      </c>
      <c r="U6203" s="3" t="s">
        <v>85</v>
      </c>
      <c r="V6203" s="3" t="s">
        <v>64</v>
      </c>
      <c r="W6203" s="3" t="s">
        <v>28468</v>
      </c>
      <c r="X6203" s="10" t="s">
        <v>28469</v>
      </c>
      <c r="Y6203" s="6" t="s">
        <v>42</v>
      </c>
      <c r="Z6203" s="4">
        <v>1.6</v>
      </c>
      <c r="AA6203" s="4" t="s">
        <v>36</v>
      </c>
      <c r="AB6203" s="3" t="s">
        <v>43</v>
      </c>
      <c r="AC6203" s="3" t="s">
        <v>28470</v>
      </c>
      <c r="AD6203" s="9">
        <v>42795</v>
      </c>
      <c r="AE6203" s="3" t="s">
        <v>89</v>
      </c>
      <c r="AF6203" s="3" t="s">
        <v>269</v>
      </c>
      <c r="AG6203" s="3" t="s">
        <v>16838</v>
      </c>
      <c r="AH6203" s="11">
        <f>HYPERLINK("https://my.pitchbook.com?c=120566-71T","View Company Online")</f>
      </c>
    </row>
    <row r="6204">
      <c r="A6204" s="12" t="s">
        <v>28471</v>
      </c>
      <c r="B6204" s="12" t="s">
        <v>11333</v>
      </c>
      <c r="C6204" s="19" t="s">
        <v>36</v>
      </c>
      <c r="D6204" s="19" t="s">
        <v>36</v>
      </c>
      <c r="E6204" s="19" t="s">
        <v>36</v>
      </c>
      <c r="F6204" s="19" t="s">
        <v>36</v>
      </c>
      <c r="G6204" s="15" t="s">
        <v>36</v>
      </c>
      <c r="H6204" s="14" t="s">
        <v>36</v>
      </c>
      <c r="I6204" s="18" t="s">
        <v>36</v>
      </c>
      <c r="J6204" s="12" t="s">
        <v>36</v>
      </c>
      <c r="K6204" s="13" t="s">
        <v>36</v>
      </c>
      <c r="L6204" s="15" t="s">
        <v>36</v>
      </c>
      <c r="M6204" s="12" t="s">
        <v>36</v>
      </c>
      <c r="N6204" s="12" t="s">
        <v>36</v>
      </c>
      <c r="O6204" s="17" t="s">
        <v>36</v>
      </c>
      <c r="P6204" s="12" t="s">
        <v>36</v>
      </c>
      <c r="Q6204" s="12" t="s">
        <v>36</v>
      </c>
      <c r="R6204" s="12" t="s">
        <v>36</v>
      </c>
      <c r="S6204" s="12" t="s">
        <v>36</v>
      </c>
      <c r="T6204" s="12" t="s">
        <v>11334</v>
      </c>
      <c r="U6204" s="12" t="s">
        <v>38</v>
      </c>
      <c r="V6204" s="12" t="s">
        <v>39</v>
      </c>
      <c r="W6204" s="12" t="s">
        <v>11335</v>
      </c>
      <c r="X6204" s="16" t="s">
        <v>28472</v>
      </c>
      <c r="Y6204" s="15" t="s">
        <v>108</v>
      </c>
      <c r="Z6204" s="14">
        <v>6.39</v>
      </c>
      <c r="AA6204" s="14" t="s">
        <v>36</v>
      </c>
      <c r="AB6204" s="12" t="s">
        <v>43</v>
      </c>
      <c r="AC6204" s="12" t="s">
        <v>11337</v>
      </c>
      <c r="AD6204" s="13">
        <v>42795</v>
      </c>
      <c r="AE6204" s="12" t="s">
        <v>45</v>
      </c>
      <c r="AF6204" s="12" t="s">
        <v>1852</v>
      </c>
      <c r="AG6204" s="12" t="s">
        <v>81</v>
      </c>
      <c r="AH6204" s="1">
        <f>HYPERLINK("https://my.pitchbook.com?c=117693-91T","View Company Online")</f>
      </c>
    </row>
    <row r="6205">
      <c r="A6205" s="3" t="s">
        <v>28473</v>
      </c>
      <c r="B6205" s="3" t="s">
        <v>28474</v>
      </c>
      <c r="C6205" s="5" t="s">
        <v>36</v>
      </c>
      <c r="D6205" s="5" t="s">
        <v>36</v>
      </c>
      <c r="E6205" s="5" t="s">
        <v>36</v>
      </c>
      <c r="F6205" s="5" t="s">
        <v>36</v>
      </c>
      <c r="G6205" s="6" t="s">
        <v>36</v>
      </c>
      <c r="H6205" s="4">
        <v>42.58</v>
      </c>
      <c r="I6205" s="7">
        <v>20.01</v>
      </c>
      <c r="J6205" s="3" t="s">
        <v>521</v>
      </c>
      <c r="K6205" s="9" t="s">
        <v>36</v>
      </c>
      <c r="L6205" s="6" t="s">
        <v>36</v>
      </c>
      <c r="M6205" s="3" t="s">
        <v>36</v>
      </c>
      <c r="N6205" s="3" t="s">
        <v>36</v>
      </c>
      <c r="O6205" s="8" t="s">
        <v>36</v>
      </c>
      <c r="P6205" s="3" t="s">
        <v>36</v>
      </c>
      <c r="Q6205" s="3" t="s">
        <v>36</v>
      </c>
      <c r="R6205" s="3" t="s">
        <v>36</v>
      </c>
      <c r="S6205" s="3" t="s">
        <v>36</v>
      </c>
      <c r="T6205" s="3" t="s">
        <v>2653</v>
      </c>
      <c r="U6205" s="3" t="s">
        <v>74</v>
      </c>
      <c r="V6205" s="3" t="s">
        <v>75</v>
      </c>
      <c r="W6205" s="3" t="s">
        <v>28475</v>
      </c>
      <c r="X6205" s="10" t="s">
        <v>10302</v>
      </c>
      <c r="Y6205" s="6" t="s">
        <v>108</v>
      </c>
      <c r="Z6205" s="4">
        <v>0.19</v>
      </c>
      <c r="AA6205" s="4">
        <v>0.96</v>
      </c>
      <c r="AB6205" s="3" t="s">
        <v>43</v>
      </c>
      <c r="AC6205" s="3" t="s">
        <v>28476</v>
      </c>
      <c r="AD6205" s="9">
        <v>42795</v>
      </c>
      <c r="AE6205" s="3" t="s">
        <v>696</v>
      </c>
      <c r="AF6205" s="3" t="s">
        <v>4284</v>
      </c>
      <c r="AG6205" s="3" t="s">
        <v>81</v>
      </c>
      <c r="AH6205" s="11">
        <f>HYPERLINK("https://my.pitchbook.com?c=127131-76T","View Company Online")</f>
      </c>
    </row>
    <row r="6206">
      <c r="A6206" s="12" t="s">
        <v>28477</v>
      </c>
      <c r="B6206" s="12" t="s">
        <v>5044</v>
      </c>
      <c r="C6206" s="19">
        <v>1</v>
      </c>
      <c r="D6206" s="19">
        <v>16</v>
      </c>
      <c r="E6206" s="19">
        <v>6</v>
      </c>
      <c r="F6206" s="19">
        <v>20</v>
      </c>
      <c r="G6206" s="15" t="s">
        <v>36</v>
      </c>
      <c r="H6206" s="14" t="s">
        <v>36</v>
      </c>
      <c r="I6206" s="18" t="s">
        <v>36</v>
      </c>
      <c r="J6206" s="12" t="s">
        <v>36</v>
      </c>
      <c r="K6206" s="13" t="s">
        <v>36</v>
      </c>
      <c r="L6206" s="15" t="s">
        <v>36</v>
      </c>
      <c r="M6206" s="12" t="s">
        <v>36</v>
      </c>
      <c r="N6206" s="12" t="s">
        <v>36</v>
      </c>
      <c r="O6206" s="17" t="s">
        <v>36</v>
      </c>
      <c r="P6206" s="12" t="s">
        <v>36</v>
      </c>
      <c r="Q6206" s="12" t="s">
        <v>36</v>
      </c>
      <c r="R6206" s="12" t="s">
        <v>36</v>
      </c>
      <c r="S6206" s="12" t="s">
        <v>36</v>
      </c>
      <c r="T6206" s="12" t="s">
        <v>5045</v>
      </c>
      <c r="U6206" s="12" t="s">
        <v>318</v>
      </c>
      <c r="V6206" s="12" t="s">
        <v>39</v>
      </c>
      <c r="W6206" s="12" t="s">
        <v>5046</v>
      </c>
      <c r="X6206" s="16" t="s">
        <v>26325</v>
      </c>
      <c r="Y6206" s="15" t="s">
        <v>42</v>
      </c>
      <c r="Z6206" s="14">
        <v>3.46</v>
      </c>
      <c r="AA6206" s="14" t="s">
        <v>36</v>
      </c>
      <c r="AB6206" s="12" t="s">
        <v>43</v>
      </c>
      <c r="AC6206" s="12" t="s">
        <v>5048</v>
      </c>
      <c r="AD6206" s="13">
        <v>42795</v>
      </c>
      <c r="AE6206" s="12" t="s">
        <v>763</v>
      </c>
      <c r="AF6206" s="12" t="s">
        <v>5049</v>
      </c>
      <c r="AG6206" s="12" t="s">
        <v>186</v>
      </c>
      <c r="AH6206" s="1">
        <f>HYPERLINK("https://my.pitchbook.com?c=121425-94T","View Company Online")</f>
      </c>
    </row>
    <row r="6207">
      <c r="A6207" s="3" t="s">
        <v>28478</v>
      </c>
      <c r="B6207" s="3" t="s">
        <v>28479</v>
      </c>
      <c r="C6207" s="5" t="s">
        <v>36</v>
      </c>
      <c r="D6207" s="5" t="s">
        <v>36</v>
      </c>
      <c r="E6207" s="5" t="s">
        <v>36</v>
      </c>
      <c r="F6207" s="5" t="s">
        <v>36</v>
      </c>
      <c r="G6207" s="6" t="s">
        <v>36</v>
      </c>
      <c r="H6207" s="4">
        <v>143.32</v>
      </c>
      <c r="I6207" s="7">
        <v>25.1</v>
      </c>
      <c r="J6207" s="3" t="s">
        <v>521</v>
      </c>
      <c r="K6207" s="9" t="s">
        <v>36</v>
      </c>
      <c r="L6207" s="6" t="s">
        <v>36</v>
      </c>
      <c r="M6207" s="3" t="s">
        <v>36</v>
      </c>
      <c r="N6207" s="3" t="s">
        <v>36</v>
      </c>
      <c r="O6207" s="8" t="s">
        <v>36</v>
      </c>
      <c r="P6207" s="3" t="s">
        <v>36</v>
      </c>
      <c r="Q6207" s="3" t="s">
        <v>36</v>
      </c>
      <c r="R6207" s="3" t="s">
        <v>36</v>
      </c>
      <c r="S6207" s="3" t="s">
        <v>36</v>
      </c>
      <c r="T6207" s="3" t="s">
        <v>27703</v>
      </c>
      <c r="U6207" s="3" t="s">
        <v>289</v>
      </c>
      <c r="V6207" s="3" t="s">
        <v>64</v>
      </c>
      <c r="W6207" s="3" t="s">
        <v>28480</v>
      </c>
      <c r="X6207" s="10" t="s">
        <v>1872</v>
      </c>
      <c r="Y6207" s="6" t="s">
        <v>42</v>
      </c>
      <c r="Z6207" s="4">
        <v>0.04</v>
      </c>
      <c r="AA6207" s="4">
        <v>0.14</v>
      </c>
      <c r="AB6207" s="3" t="s">
        <v>56</v>
      </c>
      <c r="AC6207" s="3" t="s">
        <v>28481</v>
      </c>
      <c r="AD6207" s="9">
        <v>42793</v>
      </c>
      <c r="AE6207" s="3" t="s">
        <v>292</v>
      </c>
      <c r="AF6207" s="3" t="s">
        <v>36</v>
      </c>
      <c r="AG6207" s="3" t="s">
        <v>28482</v>
      </c>
      <c r="AH6207" s="11">
        <f>HYPERLINK("https://my.pitchbook.com?c=93484-18T","View Company Online")</f>
      </c>
    </row>
    <row r="6208">
      <c r="A6208" s="12" t="s">
        <v>28483</v>
      </c>
      <c r="B6208" s="12" t="s">
        <v>11915</v>
      </c>
      <c r="C6208" s="19" t="s">
        <v>36</v>
      </c>
      <c r="D6208" s="19" t="s">
        <v>36</v>
      </c>
      <c r="E6208" s="19" t="s">
        <v>36</v>
      </c>
      <c r="F6208" s="19" t="s">
        <v>36</v>
      </c>
      <c r="G6208" s="15" t="s">
        <v>36</v>
      </c>
      <c r="H6208" s="14" t="s">
        <v>36</v>
      </c>
      <c r="I6208" s="18" t="s">
        <v>36</v>
      </c>
      <c r="J6208" s="12" t="s">
        <v>36</v>
      </c>
      <c r="K6208" s="13" t="s">
        <v>36</v>
      </c>
      <c r="L6208" s="15" t="s">
        <v>36</v>
      </c>
      <c r="M6208" s="12" t="s">
        <v>36</v>
      </c>
      <c r="N6208" s="12" t="s">
        <v>36</v>
      </c>
      <c r="O6208" s="17" t="s">
        <v>36</v>
      </c>
      <c r="P6208" s="12" t="s">
        <v>36</v>
      </c>
      <c r="Q6208" s="12" t="s">
        <v>36</v>
      </c>
      <c r="R6208" s="12" t="s">
        <v>36</v>
      </c>
      <c r="S6208" s="12" t="s">
        <v>3895</v>
      </c>
      <c r="T6208" s="12" t="s">
        <v>550</v>
      </c>
      <c r="U6208" s="12" t="s">
        <v>38</v>
      </c>
      <c r="V6208" s="12" t="s">
        <v>39</v>
      </c>
      <c r="W6208" s="12" t="s">
        <v>11916</v>
      </c>
      <c r="X6208" s="16" t="s">
        <v>28484</v>
      </c>
      <c r="Y6208" s="15" t="s">
        <v>108</v>
      </c>
      <c r="Z6208" s="14">
        <v>2.56</v>
      </c>
      <c r="AA6208" s="14" t="s">
        <v>36</v>
      </c>
      <c r="AB6208" s="12" t="s">
        <v>43</v>
      </c>
      <c r="AC6208" s="12" t="s">
        <v>11918</v>
      </c>
      <c r="AD6208" s="13">
        <v>42789</v>
      </c>
      <c r="AE6208" s="12" t="s">
        <v>554</v>
      </c>
      <c r="AF6208" s="12" t="s">
        <v>1296</v>
      </c>
      <c r="AG6208" s="12" t="s">
        <v>1078</v>
      </c>
      <c r="AH6208" s="1">
        <f>HYPERLINK("https://my.pitchbook.com?c=86323-42T","View Company Online")</f>
      </c>
    </row>
    <row r="6209">
      <c r="A6209" s="3" t="s">
        <v>28485</v>
      </c>
      <c r="B6209" s="3" t="s">
        <v>18747</v>
      </c>
      <c r="C6209" s="5" t="s">
        <v>36</v>
      </c>
      <c r="D6209" s="5" t="s">
        <v>36</v>
      </c>
      <c r="E6209" s="5" t="s">
        <v>36</v>
      </c>
      <c r="F6209" s="5" t="s">
        <v>36</v>
      </c>
      <c r="G6209" s="6" t="s">
        <v>326</v>
      </c>
      <c r="H6209" s="4">
        <v>75.82</v>
      </c>
      <c r="I6209" s="7">
        <v>37.93</v>
      </c>
      <c r="J6209" s="3" t="s">
        <v>521</v>
      </c>
      <c r="K6209" s="9" t="s">
        <v>36</v>
      </c>
      <c r="L6209" s="6" t="s">
        <v>36</v>
      </c>
      <c r="M6209" s="3" t="s">
        <v>36</v>
      </c>
      <c r="N6209" s="3" t="s">
        <v>36</v>
      </c>
      <c r="O6209" s="8" t="s">
        <v>36</v>
      </c>
      <c r="P6209" s="3" t="s">
        <v>36</v>
      </c>
      <c r="Q6209" s="3" t="s">
        <v>36</v>
      </c>
      <c r="R6209" s="3" t="s">
        <v>36</v>
      </c>
      <c r="S6209" s="3" t="s">
        <v>6677</v>
      </c>
      <c r="T6209" s="3" t="s">
        <v>18748</v>
      </c>
      <c r="U6209" s="3" t="s">
        <v>74</v>
      </c>
      <c r="V6209" s="3" t="s">
        <v>75</v>
      </c>
      <c r="W6209" s="3" t="s">
        <v>18749</v>
      </c>
      <c r="X6209" s="10" t="s">
        <v>28486</v>
      </c>
      <c r="Y6209" s="6" t="s">
        <v>166</v>
      </c>
      <c r="Z6209" s="4">
        <v>5.87</v>
      </c>
      <c r="AA6209" s="4">
        <v>15.48</v>
      </c>
      <c r="AB6209" s="3" t="s">
        <v>56</v>
      </c>
      <c r="AC6209" s="3" t="s">
        <v>18751</v>
      </c>
      <c r="AD6209" s="9">
        <v>42789</v>
      </c>
      <c r="AE6209" s="3" t="s">
        <v>79</v>
      </c>
      <c r="AF6209" s="3" t="s">
        <v>18752</v>
      </c>
      <c r="AG6209" s="3" t="s">
        <v>1078</v>
      </c>
      <c r="AH6209" s="11">
        <f>HYPERLINK("https://my.pitchbook.com?c=90245-71T","View Company Online")</f>
      </c>
    </row>
    <row r="6210">
      <c r="A6210" s="12" t="s">
        <v>28487</v>
      </c>
      <c r="B6210" s="12" t="s">
        <v>28488</v>
      </c>
      <c r="C6210" s="19">
        <v>1</v>
      </c>
      <c r="D6210" s="19">
        <v>22</v>
      </c>
      <c r="E6210" s="19">
        <v>7</v>
      </c>
      <c r="F6210" s="19">
        <v>24</v>
      </c>
      <c r="G6210" s="15" t="s">
        <v>36</v>
      </c>
      <c r="H6210" s="14" t="s">
        <v>36</v>
      </c>
      <c r="I6210" s="18" t="s">
        <v>36</v>
      </c>
      <c r="J6210" s="12" t="s">
        <v>36</v>
      </c>
      <c r="K6210" s="13" t="s">
        <v>36</v>
      </c>
      <c r="L6210" s="15" t="s">
        <v>36</v>
      </c>
      <c r="M6210" s="12" t="s">
        <v>36</v>
      </c>
      <c r="N6210" s="12" t="s">
        <v>36</v>
      </c>
      <c r="O6210" s="17" t="s">
        <v>36</v>
      </c>
      <c r="P6210" s="12" t="s">
        <v>36</v>
      </c>
      <c r="Q6210" s="12" t="s">
        <v>36</v>
      </c>
      <c r="R6210" s="12" t="s">
        <v>36</v>
      </c>
      <c r="S6210" s="12" t="s">
        <v>36</v>
      </c>
      <c r="T6210" s="12" t="s">
        <v>3996</v>
      </c>
      <c r="U6210" s="12" t="s">
        <v>74</v>
      </c>
      <c r="V6210" s="12" t="s">
        <v>75</v>
      </c>
      <c r="W6210" s="12" t="s">
        <v>28489</v>
      </c>
      <c r="X6210" s="16" t="s">
        <v>28490</v>
      </c>
      <c r="Y6210" s="15" t="s">
        <v>108</v>
      </c>
      <c r="Z6210" s="14">
        <v>1</v>
      </c>
      <c r="AA6210" s="14" t="s">
        <v>36</v>
      </c>
      <c r="AB6210" s="12" t="s">
        <v>56</v>
      </c>
      <c r="AC6210" s="12" t="s">
        <v>28491</v>
      </c>
      <c r="AD6210" s="13">
        <v>42788</v>
      </c>
      <c r="AE6210" s="12" t="s">
        <v>79</v>
      </c>
      <c r="AF6210" s="12" t="s">
        <v>28492</v>
      </c>
      <c r="AG6210" s="12" t="s">
        <v>81</v>
      </c>
      <c r="AH6210" s="1">
        <f>HYPERLINK("https://my.pitchbook.com?c=130206-88T","View Company Online")</f>
      </c>
    </row>
    <row r="6211">
      <c r="A6211" s="3" t="s">
        <v>28493</v>
      </c>
      <c r="B6211" s="3" t="s">
        <v>21228</v>
      </c>
      <c r="C6211" s="5" t="s">
        <v>36</v>
      </c>
      <c r="D6211" s="5" t="s">
        <v>36</v>
      </c>
      <c r="E6211" s="5" t="s">
        <v>36</v>
      </c>
      <c r="F6211" s="5" t="s">
        <v>36</v>
      </c>
      <c r="G6211" s="6" t="s">
        <v>326</v>
      </c>
      <c r="H6211" s="4">
        <v>1.99</v>
      </c>
      <c r="I6211" s="7">
        <v>32.79</v>
      </c>
      <c r="J6211" s="3" t="s">
        <v>327</v>
      </c>
      <c r="K6211" s="9" t="s">
        <v>36</v>
      </c>
      <c r="L6211" s="6" t="s">
        <v>36</v>
      </c>
      <c r="M6211" s="3" t="s">
        <v>36</v>
      </c>
      <c r="N6211" s="3" t="s">
        <v>36</v>
      </c>
      <c r="O6211" s="8" t="s">
        <v>36</v>
      </c>
      <c r="P6211" s="3" t="s">
        <v>36</v>
      </c>
      <c r="Q6211" s="3" t="s">
        <v>36</v>
      </c>
      <c r="R6211" s="3" t="s">
        <v>36</v>
      </c>
      <c r="S6211" s="3" t="s">
        <v>36</v>
      </c>
      <c r="T6211" s="3" t="s">
        <v>472</v>
      </c>
      <c r="U6211" s="3" t="s">
        <v>38</v>
      </c>
      <c r="V6211" s="3" t="s">
        <v>39</v>
      </c>
      <c r="W6211" s="3" t="s">
        <v>21229</v>
      </c>
      <c r="X6211" s="10" t="s">
        <v>28494</v>
      </c>
      <c r="Y6211" s="6" t="s">
        <v>55</v>
      </c>
      <c r="Z6211" s="4">
        <v>5.34</v>
      </c>
      <c r="AA6211" s="4">
        <v>16.28</v>
      </c>
      <c r="AB6211" s="3" t="s">
        <v>56</v>
      </c>
      <c r="AC6211" s="3" t="s">
        <v>21231</v>
      </c>
      <c r="AD6211" s="9">
        <v>42788</v>
      </c>
      <c r="AE6211" s="3" t="s">
        <v>110</v>
      </c>
      <c r="AF6211" s="3" t="s">
        <v>21232</v>
      </c>
      <c r="AG6211" s="3" t="s">
        <v>81</v>
      </c>
      <c r="AH6211" s="11">
        <f>HYPERLINK("https://my.pitchbook.com?c=86345-29T","View Company Online")</f>
      </c>
    </row>
    <row r="6212">
      <c r="A6212" s="12" t="s">
        <v>28495</v>
      </c>
      <c r="B6212" s="12" t="s">
        <v>28496</v>
      </c>
      <c r="C6212" s="19" t="s">
        <v>36</v>
      </c>
      <c r="D6212" s="19" t="s">
        <v>36</v>
      </c>
      <c r="E6212" s="19" t="s">
        <v>36</v>
      </c>
      <c r="F6212" s="19" t="s">
        <v>36</v>
      </c>
      <c r="G6212" s="15" t="s">
        <v>36</v>
      </c>
      <c r="H6212" s="14" t="s">
        <v>36</v>
      </c>
      <c r="I6212" s="18" t="s">
        <v>36</v>
      </c>
      <c r="J6212" s="12" t="s">
        <v>36</v>
      </c>
      <c r="K6212" s="13">
        <v>42453</v>
      </c>
      <c r="L6212" s="15" t="s">
        <v>94</v>
      </c>
      <c r="M6212" s="12" t="s">
        <v>36</v>
      </c>
      <c r="N6212" s="12" t="s">
        <v>94</v>
      </c>
      <c r="O6212" s="17" t="s">
        <v>36</v>
      </c>
      <c r="P6212" s="12" t="s">
        <v>36</v>
      </c>
      <c r="Q6212" s="12" t="s">
        <v>36</v>
      </c>
      <c r="R6212" s="12" t="s">
        <v>36</v>
      </c>
      <c r="S6212" s="12" t="s">
        <v>6677</v>
      </c>
      <c r="T6212" s="12" t="s">
        <v>8394</v>
      </c>
      <c r="U6212" s="12" t="s">
        <v>85</v>
      </c>
      <c r="V6212" s="12" t="s">
        <v>64</v>
      </c>
      <c r="W6212" s="12" t="s">
        <v>28497</v>
      </c>
      <c r="X6212" s="16" t="s">
        <v>28498</v>
      </c>
      <c r="Y6212" s="15" t="s">
        <v>166</v>
      </c>
      <c r="Z6212" s="14">
        <v>16.02</v>
      </c>
      <c r="AA6212" s="14" t="s">
        <v>36</v>
      </c>
      <c r="AB6212" s="12" t="s">
        <v>43</v>
      </c>
      <c r="AC6212" s="12" t="s">
        <v>28499</v>
      </c>
      <c r="AD6212" s="13">
        <v>42788</v>
      </c>
      <c r="AE6212" s="12" t="s">
        <v>89</v>
      </c>
      <c r="AF6212" s="12" t="s">
        <v>28500</v>
      </c>
      <c r="AG6212" s="12" t="s">
        <v>81</v>
      </c>
      <c r="AH6212" s="1">
        <f>HYPERLINK("https://my.pitchbook.com?c=68095-00T","View Company Online")</f>
      </c>
    </row>
    <row r="6213">
      <c r="A6213" s="3" t="s">
        <v>28501</v>
      </c>
      <c r="B6213" s="3" t="s">
        <v>28502</v>
      </c>
      <c r="C6213" s="5" t="s">
        <v>36</v>
      </c>
      <c r="D6213" s="5" t="s">
        <v>36</v>
      </c>
      <c r="E6213" s="5" t="s">
        <v>36</v>
      </c>
      <c r="F6213" s="5" t="s">
        <v>36</v>
      </c>
      <c r="G6213" s="6" t="s">
        <v>36</v>
      </c>
      <c r="H6213" s="4">
        <v>1453.99</v>
      </c>
      <c r="I6213" s="7">
        <v>17.9</v>
      </c>
      <c r="J6213" s="3" t="s">
        <v>521</v>
      </c>
      <c r="K6213" s="9" t="s">
        <v>36</v>
      </c>
      <c r="L6213" s="6" t="s">
        <v>36</v>
      </c>
      <c r="M6213" s="3" t="s">
        <v>36</v>
      </c>
      <c r="N6213" s="3" t="s">
        <v>36</v>
      </c>
      <c r="O6213" s="8" t="s">
        <v>36</v>
      </c>
      <c r="P6213" s="3" t="s">
        <v>36</v>
      </c>
      <c r="Q6213" s="3" t="s">
        <v>36</v>
      </c>
      <c r="R6213" s="3" t="s">
        <v>36</v>
      </c>
      <c r="S6213" s="3" t="s">
        <v>36</v>
      </c>
      <c r="T6213" s="3" t="s">
        <v>105</v>
      </c>
      <c r="U6213" s="3" t="s">
        <v>38</v>
      </c>
      <c r="V6213" s="3" t="s">
        <v>39</v>
      </c>
      <c r="W6213" s="3" t="s">
        <v>28503</v>
      </c>
      <c r="X6213" s="10" t="s">
        <v>28504</v>
      </c>
      <c r="Y6213" s="6" t="s">
        <v>42</v>
      </c>
      <c r="Z6213" s="4">
        <v>0.53</v>
      </c>
      <c r="AA6213" s="4">
        <v>1.82</v>
      </c>
      <c r="AB6213" s="3" t="s">
        <v>43</v>
      </c>
      <c r="AC6213" s="3" t="s">
        <v>28505</v>
      </c>
      <c r="AD6213" s="9">
        <v>42787</v>
      </c>
      <c r="AE6213" s="3" t="s">
        <v>110</v>
      </c>
      <c r="AF6213" s="3" t="s">
        <v>16414</v>
      </c>
      <c r="AG6213" s="3" t="s">
        <v>81</v>
      </c>
      <c r="AH6213" s="11">
        <f>HYPERLINK("https://my.pitchbook.com?c=101920-33T","View Company Online")</f>
      </c>
    </row>
    <row r="6214">
      <c r="A6214" s="12" t="s">
        <v>28506</v>
      </c>
      <c r="B6214" s="12" t="s">
        <v>20601</v>
      </c>
      <c r="C6214" s="19" t="s">
        <v>36</v>
      </c>
      <c r="D6214" s="19" t="s">
        <v>36</v>
      </c>
      <c r="E6214" s="19" t="s">
        <v>36</v>
      </c>
      <c r="F6214" s="19" t="s">
        <v>36</v>
      </c>
      <c r="G6214" s="15" t="s">
        <v>36</v>
      </c>
      <c r="H6214" s="14" t="s">
        <v>36</v>
      </c>
      <c r="I6214" s="18" t="s">
        <v>36</v>
      </c>
      <c r="J6214" s="12" t="s">
        <v>36</v>
      </c>
      <c r="K6214" s="13">
        <v>42370</v>
      </c>
      <c r="L6214" s="15" t="s">
        <v>36</v>
      </c>
      <c r="M6214" s="12" t="s">
        <v>36</v>
      </c>
      <c r="N6214" s="12" t="s">
        <v>36</v>
      </c>
      <c r="O6214" s="17" t="s">
        <v>36</v>
      </c>
      <c r="P6214" s="12" t="s">
        <v>36</v>
      </c>
      <c r="Q6214" s="12" t="s">
        <v>36</v>
      </c>
      <c r="R6214" s="12" t="s">
        <v>36</v>
      </c>
      <c r="S6214" s="12" t="s">
        <v>1651</v>
      </c>
      <c r="T6214" s="12" t="s">
        <v>20602</v>
      </c>
      <c r="U6214" s="12" t="s">
        <v>423</v>
      </c>
      <c r="V6214" s="12" t="s">
        <v>64</v>
      </c>
      <c r="W6214" s="12" t="s">
        <v>20603</v>
      </c>
      <c r="X6214" s="16" t="s">
        <v>28507</v>
      </c>
      <c r="Y6214" s="15" t="s">
        <v>42</v>
      </c>
      <c r="Z6214" s="14">
        <v>1.07</v>
      </c>
      <c r="AA6214" s="14" t="s">
        <v>36</v>
      </c>
      <c r="AB6214" s="12" t="s">
        <v>56</v>
      </c>
      <c r="AC6214" s="12" t="s">
        <v>20604</v>
      </c>
      <c r="AD6214" s="13">
        <v>42787</v>
      </c>
      <c r="AE6214" s="12" t="s">
        <v>562</v>
      </c>
      <c r="AF6214" s="12" t="s">
        <v>4270</v>
      </c>
      <c r="AG6214" s="12" t="s">
        <v>81</v>
      </c>
      <c r="AH6214" s="1">
        <f>HYPERLINK("https://my.pitchbook.com?c=122951-44T","View Company Online")</f>
      </c>
    </row>
    <row r="6215">
      <c r="A6215" s="3" t="s">
        <v>28508</v>
      </c>
      <c r="B6215" s="3" t="s">
        <v>26050</v>
      </c>
      <c r="C6215" s="5" t="s">
        <v>36</v>
      </c>
      <c r="D6215" s="5" t="s">
        <v>36</v>
      </c>
      <c r="E6215" s="5" t="s">
        <v>36</v>
      </c>
      <c r="F6215" s="5" t="s">
        <v>36</v>
      </c>
      <c r="G6215" s="6" t="s">
        <v>326</v>
      </c>
      <c r="H6215" s="4">
        <v>49.08</v>
      </c>
      <c r="I6215" s="7">
        <v>21.64</v>
      </c>
      <c r="J6215" s="3" t="s">
        <v>521</v>
      </c>
      <c r="K6215" s="9" t="s">
        <v>36</v>
      </c>
      <c r="L6215" s="6" t="s">
        <v>36</v>
      </c>
      <c r="M6215" s="3" t="s">
        <v>36</v>
      </c>
      <c r="N6215" s="3" t="s">
        <v>36</v>
      </c>
      <c r="O6215" s="8" t="s">
        <v>36</v>
      </c>
      <c r="P6215" s="3" t="s">
        <v>36</v>
      </c>
      <c r="Q6215" s="3" t="s">
        <v>36</v>
      </c>
      <c r="R6215" s="3" t="s">
        <v>36</v>
      </c>
      <c r="S6215" s="3" t="s">
        <v>36</v>
      </c>
      <c r="T6215" s="3" t="s">
        <v>2925</v>
      </c>
      <c r="U6215" s="3" t="s">
        <v>38</v>
      </c>
      <c r="V6215" s="3" t="s">
        <v>39</v>
      </c>
      <c r="W6215" s="3" t="s">
        <v>26051</v>
      </c>
      <c r="X6215" s="10" t="s">
        <v>28509</v>
      </c>
      <c r="Y6215" s="6" t="s">
        <v>42</v>
      </c>
      <c r="Z6215" s="4">
        <v>0.69</v>
      </c>
      <c r="AA6215" s="4">
        <v>3.2</v>
      </c>
      <c r="AB6215" s="3" t="s">
        <v>43</v>
      </c>
      <c r="AC6215" s="3" t="s">
        <v>26053</v>
      </c>
      <c r="AD6215" s="9">
        <v>42786</v>
      </c>
      <c r="AE6215" s="3" t="s">
        <v>110</v>
      </c>
      <c r="AF6215" s="3" t="s">
        <v>275</v>
      </c>
      <c r="AG6215" s="3" t="s">
        <v>81</v>
      </c>
      <c r="AH6215" s="11">
        <f>HYPERLINK("https://my.pitchbook.com?c=189422-11T","View Company Online")</f>
      </c>
    </row>
    <row r="6216">
      <c r="A6216" s="12" t="s">
        <v>28510</v>
      </c>
      <c r="B6216" s="12" t="s">
        <v>28511</v>
      </c>
      <c r="C6216" s="19">
        <v>1</v>
      </c>
      <c r="D6216" s="19">
        <v>2</v>
      </c>
      <c r="E6216" s="19">
        <v>3</v>
      </c>
      <c r="F6216" s="19">
        <v>5</v>
      </c>
      <c r="G6216" s="15" t="s">
        <v>36</v>
      </c>
      <c r="H6216" s="14" t="s">
        <v>36</v>
      </c>
      <c r="I6216" s="18" t="s">
        <v>36</v>
      </c>
      <c r="J6216" s="12" t="s">
        <v>36</v>
      </c>
      <c r="K6216" s="13" t="s">
        <v>36</v>
      </c>
      <c r="L6216" s="15" t="s">
        <v>36</v>
      </c>
      <c r="M6216" s="12" t="s">
        <v>36</v>
      </c>
      <c r="N6216" s="12" t="s">
        <v>36</v>
      </c>
      <c r="O6216" s="17" t="s">
        <v>36</v>
      </c>
      <c r="P6216" s="12" t="s">
        <v>36</v>
      </c>
      <c r="Q6216" s="12" t="s">
        <v>36</v>
      </c>
      <c r="R6216" s="12" t="s">
        <v>36</v>
      </c>
      <c r="S6216" s="12" t="s">
        <v>36</v>
      </c>
      <c r="T6216" s="12" t="s">
        <v>28512</v>
      </c>
      <c r="U6216" s="12" t="s">
        <v>38</v>
      </c>
      <c r="V6216" s="12" t="s">
        <v>39</v>
      </c>
      <c r="W6216" s="12" t="s">
        <v>28513</v>
      </c>
      <c r="X6216" s="16" t="s">
        <v>28514</v>
      </c>
      <c r="Y6216" s="15" t="s">
        <v>192</v>
      </c>
      <c r="Z6216" s="14">
        <v>11.76</v>
      </c>
      <c r="AA6216" s="14" t="s">
        <v>36</v>
      </c>
      <c r="AB6216" s="12" t="s">
        <v>56</v>
      </c>
      <c r="AC6216" s="12" t="s">
        <v>28515</v>
      </c>
      <c r="AD6216" s="13">
        <v>42786</v>
      </c>
      <c r="AE6216" s="12" t="s">
        <v>110</v>
      </c>
      <c r="AF6216" s="12" t="s">
        <v>19493</v>
      </c>
      <c r="AG6216" s="12" t="s">
        <v>81</v>
      </c>
      <c r="AH6216" s="1">
        <f>HYPERLINK("https://my.pitchbook.com?c=82636-84T","View Company Online")</f>
      </c>
    </row>
    <row r="6217">
      <c r="A6217" s="3" t="s">
        <v>28516</v>
      </c>
      <c r="B6217" s="3" t="s">
        <v>28517</v>
      </c>
      <c r="C6217" s="5" t="s">
        <v>36</v>
      </c>
      <c r="D6217" s="5" t="s">
        <v>36</v>
      </c>
      <c r="E6217" s="5" t="s">
        <v>36</v>
      </c>
      <c r="F6217" s="5" t="s">
        <v>36</v>
      </c>
      <c r="G6217" s="6" t="s">
        <v>36</v>
      </c>
      <c r="H6217" s="4">
        <v>360.3</v>
      </c>
      <c r="I6217" s="7">
        <v>27.31</v>
      </c>
      <c r="J6217" s="3" t="s">
        <v>327</v>
      </c>
      <c r="K6217" s="9" t="s">
        <v>36</v>
      </c>
      <c r="L6217" s="6" t="s">
        <v>36</v>
      </c>
      <c r="M6217" s="3" t="s">
        <v>36</v>
      </c>
      <c r="N6217" s="3" t="s">
        <v>36</v>
      </c>
      <c r="O6217" s="8" t="s">
        <v>36</v>
      </c>
      <c r="P6217" s="3" t="s">
        <v>36</v>
      </c>
      <c r="Q6217" s="3" t="s">
        <v>36</v>
      </c>
      <c r="R6217" s="3" t="s">
        <v>36</v>
      </c>
      <c r="S6217" s="3" t="s">
        <v>36</v>
      </c>
      <c r="T6217" s="3" t="s">
        <v>1701</v>
      </c>
      <c r="U6217" s="3" t="s">
        <v>74</v>
      </c>
      <c r="V6217" s="3" t="s">
        <v>75</v>
      </c>
      <c r="W6217" s="3" t="s">
        <v>28518</v>
      </c>
      <c r="X6217" s="10" t="s">
        <v>28519</v>
      </c>
      <c r="Y6217" s="6" t="s">
        <v>108</v>
      </c>
      <c r="Z6217" s="4">
        <v>0.86</v>
      </c>
      <c r="AA6217" s="4">
        <v>3.13</v>
      </c>
      <c r="AB6217" s="3" t="s">
        <v>43</v>
      </c>
      <c r="AC6217" s="3" t="s">
        <v>28520</v>
      </c>
      <c r="AD6217" s="9">
        <v>42785</v>
      </c>
      <c r="AE6217" s="3" t="s">
        <v>79</v>
      </c>
      <c r="AF6217" s="3" t="s">
        <v>36</v>
      </c>
      <c r="AG6217" s="3" t="s">
        <v>144</v>
      </c>
      <c r="AH6217" s="11">
        <f>HYPERLINK("https://my.pitchbook.com?c=82997-29T","View Company Online")</f>
      </c>
    </row>
    <row r="6218">
      <c r="A6218" s="12" t="s">
        <v>28521</v>
      </c>
      <c r="B6218" s="12" t="s">
        <v>28522</v>
      </c>
      <c r="C6218" s="19" t="s">
        <v>36</v>
      </c>
      <c r="D6218" s="19" t="s">
        <v>36</v>
      </c>
      <c r="E6218" s="19" t="s">
        <v>36</v>
      </c>
      <c r="F6218" s="19" t="s">
        <v>36</v>
      </c>
      <c r="G6218" s="15" t="s">
        <v>36</v>
      </c>
      <c r="H6218" s="14">
        <v>1.35</v>
      </c>
      <c r="I6218" s="18">
        <v>31.87</v>
      </c>
      <c r="J6218" s="12" t="s">
        <v>521</v>
      </c>
      <c r="K6218" s="13" t="s">
        <v>36</v>
      </c>
      <c r="L6218" s="15" t="s">
        <v>122</v>
      </c>
      <c r="M6218" s="12" t="s">
        <v>36</v>
      </c>
      <c r="N6218" s="12" t="s">
        <v>122</v>
      </c>
      <c r="O6218" s="17" t="s">
        <v>36</v>
      </c>
      <c r="P6218" s="12" t="s">
        <v>36</v>
      </c>
      <c r="Q6218" s="12" t="s">
        <v>36</v>
      </c>
      <c r="R6218" s="12" t="s">
        <v>36</v>
      </c>
      <c r="S6218" s="12" t="s">
        <v>36</v>
      </c>
      <c r="T6218" s="12" t="s">
        <v>5929</v>
      </c>
      <c r="U6218" s="12" t="s">
        <v>38</v>
      </c>
      <c r="V6218" s="12" t="s">
        <v>39</v>
      </c>
      <c r="W6218" s="12" t="s">
        <v>28523</v>
      </c>
      <c r="X6218" s="16" t="s">
        <v>28524</v>
      </c>
      <c r="Y6218" s="15" t="s">
        <v>42</v>
      </c>
      <c r="Z6218" s="14">
        <v>0.53</v>
      </c>
      <c r="AA6218" s="14">
        <v>1.68</v>
      </c>
      <c r="AB6218" s="12" t="s">
        <v>43</v>
      </c>
      <c r="AC6218" s="12" t="s">
        <v>28525</v>
      </c>
      <c r="AD6218" s="13">
        <v>42781</v>
      </c>
      <c r="AE6218" s="12" t="s">
        <v>110</v>
      </c>
      <c r="AF6218" s="12" t="s">
        <v>28526</v>
      </c>
      <c r="AG6218" s="12" t="s">
        <v>270</v>
      </c>
      <c r="AH6218" s="1">
        <f>HYPERLINK("https://my.pitchbook.com?c=78872-23T","View Company Online")</f>
      </c>
    </row>
    <row r="6219">
      <c r="A6219" s="3" t="s">
        <v>28527</v>
      </c>
      <c r="B6219" s="3" t="s">
        <v>28528</v>
      </c>
      <c r="C6219" s="5" t="s">
        <v>36</v>
      </c>
      <c r="D6219" s="5" t="s">
        <v>36</v>
      </c>
      <c r="E6219" s="5" t="s">
        <v>36</v>
      </c>
      <c r="F6219" s="5" t="s">
        <v>36</v>
      </c>
      <c r="G6219" s="6" t="s">
        <v>683</v>
      </c>
      <c r="H6219" s="4">
        <v>13.25</v>
      </c>
      <c r="I6219" s="7">
        <v>32.35</v>
      </c>
      <c r="J6219" s="3" t="s">
        <v>521</v>
      </c>
      <c r="K6219" s="9" t="s">
        <v>36</v>
      </c>
      <c r="L6219" s="6" t="s">
        <v>36</v>
      </c>
      <c r="M6219" s="3" t="s">
        <v>36</v>
      </c>
      <c r="N6219" s="3" t="s">
        <v>36</v>
      </c>
      <c r="O6219" s="8" t="s">
        <v>36</v>
      </c>
      <c r="P6219" s="3" t="s">
        <v>36</v>
      </c>
      <c r="Q6219" s="3" t="s">
        <v>36</v>
      </c>
      <c r="R6219" s="3" t="s">
        <v>36</v>
      </c>
      <c r="S6219" s="3" t="s">
        <v>36</v>
      </c>
      <c r="T6219" s="3" t="s">
        <v>28529</v>
      </c>
      <c r="U6219" s="3" t="s">
        <v>38</v>
      </c>
      <c r="V6219" s="3" t="s">
        <v>39</v>
      </c>
      <c r="W6219" s="3" t="s">
        <v>28530</v>
      </c>
      <c r="X6219" s="10" t="s">
        <v>28531</v>
      </c>
      <c r="Y6219" s="6" t="s">
        <v>192</v>
      </c>
      <c r="Z6219" s="4">
        <v>2.17</v>
      </c>
      <c r="AA6219" s="4">
        <v>3.41</v>
      </c>
      <c r="AB6219" s="3" t="s">
        <v>43</v>
      </c>
      <c r="AC6219" s="3" t="s">
        <v>28532</v>
      </c>
      <c r="AD6219" s="9">
        <v>42781</v>
      </c>
      <c r="AE6219" s="3" t="s">
        <v>45</v>
      </c>
      <c r="AF6219" s="3" t="s">
        <v>28533</v>
      </c>
      <c r="AG6219" s="3" t="s">
        <v>81</v>
      </c>
      <c r="AH6219" s="11">
        <f>HYPERLINK("https://my.pitchbook.com?c=100179-37T","View Company Online")</f>
      </c>
    </row>
    <row r="6220">
      <c r="A6220" s="12" t="s">
        <v>28534</v>
      </c>
      <c r="B6220" s="12" t="s">
        <v>28535</v>
      </c>
      <c r="C6220" s="19" t="s">
        <v>36</v>
      </c>
      <c r="D6220" s="19" t="s">
        <v>36</v>
      </c>
      <c r="E6220" s="19" t="s">
        <v>36</v>
      </c>
      <c r="F6220" s="19" t="s">
        <v>36</v>
      </c>
      <c r="G6220" s="15" t="s">
        <v>36</v>
      </c>
      <c r="H6220" s="14">
        <v>10.25</v>
      </c>
      <c r="I6220" s="18">
        <v>33.34</v>
      </c>
      <c r="J6220" s="12" t="s">
        <v>521</v>
      </c>
      <c r="K6220" s="13" t="s">
        <v>36</v>
      </c>
      <c r="L6220" s="15" t="s">
        <v>36</v>
      </c>
      <c r="M6220" s="12" t="s">
        <v>36</v>
      </c>
      <c r="N6220" s="12" t="s">
        <v>36</v>
      </c>
      <c r="O6220" s="17" t="s">
        <v>36</v>
      </c>
      <c r="P6220" s="12" t="s">
        <v>36</v>
      </c>
      <c r="Q6220" s="12" t="s">
        <v>36</v>
      </c>
      <c r="R6220" s="12" t="s">
        <v>36</v>
      </c>
      <c r="S6220" s="12" t="s">
        <v>36</v>
      </c>
      <c r="T6220" s="12" t="s">
        <v>179</v>
      </c>
      <c r="U6220" s="12" t="s">
        <v>180</v>
      </c>
      <c r="V6220" s="12" t="s">
        <v>52</v>
      </c>
      <c r="W6220" s="12" t="s">
        <v>28536</v>
      </c>
      <c r="X6220" s="16" t="s">
        <v>28537</v>
      </c>
      <c r="Y6220" s="15" t="s">
        <v>42</v>
      </c>
      <c r="Z6220" s="14">
        <v>1.28</v>
      </c>
      <c r="AA6220" s="14">
        <v>3.85</v>
      </c>
      <c r="AB6220" s="12" t="s">
        <v>43</v>
      </c>
      <c r="AC6220" s="12" t="s">
        <v>28538</v>
      </c>
      <c r="AD6220" s="13">
        <v>42781</v>
      </c>
      <c r="AE6220" s="12" t="s">
        <v>184</v>
      </c>
      <c r="AF6220" s="12" t="s">
        <v>18783</v>
      </c>
      <c r="AG6220" s="12" t="s">
        <v>2218</v>
      </c>
      <c r="AH6220" s="1">
        <f>HYPERLINK("https://my.pitchbook.com?c=88104-97T","View Company Online")</f>
      </c>
    </row>
    <row r="6221">
      <c r="A6221" s="3" t="s">
        <v>28539</v>
      </c>
      <c r="B6221" s="3" t="s">
        <v>28540</v>
      </c>
      <c r="C6221" s="5" t="s">
        <v>36</v>
      </c>
      <c r="D6221" s="5" t="s">
        <v>36</v>
      </c>
      <c r="E6221" s="5" t="s">
        <v>36</v>
      </c>
      <c r="F6221" s="5" t="s">
        <v>36</v>
      </c>
      <c r="G6221" s="6" t="s">
        <v>36</v>
      </c>
      <c r="H6221" s="4">
        <v>56.65</v>
      </c>
      <c r="I6221" s="7">
        <v>27.74</v>
      </c>
      <c r="J6221" s="3" t="s">
        <v>521</v>
      </c>
      <c r="K6221" s="9" t="s">
        <v>36</v>
      </c>
      <c r="L6221" s="6" t="s">
        <v>36</v>
      </c>
      <c r="M6221" s="3" t="s">
        <v>36</v>
      </c>
      <c r="N6221" s="3" t="s">
        <v>36</v>
      </c>
      <c r="O6221" s="8" t="s">
        <v>36</v>
      </c>
      <c r="P6221" s="3" t="s">
        <v>36</v>
      </c>
      <c r="Q6221" s="3" t="s">
        <v>36</v>
      </c>
      <c r="R6221" s="3" t="s">
        <v>36</v>
      </c>
      <c r="S6221" s="3" t="s">
        <v>36</v>
      </c>
      <c r="T6221" s="3" t="s">
        <v>647</v>
      </c>
      <c r="U6221" s="3" t="s">
        <v>648</v>
      </c>
      <c r="V6221" s="3" t="s">
        <v>64</v>
      </c>
      <c r="W6221" s="3" t="s">
        <v>28541</v>
      </c>
      <c r="X6221" s="10" t="s">
        <v>28542</v>
      </c>
      <c r="Y6221" s="6" t="s">
        <v>108</v>
      </c>
      <c r="Z6221" s="4">
        <v>0.74</v>
      </c>
      <c r="AA6221" s="4">
        <v>2.67</v>
      </c>
      <c r="AB6221" s="3" t="s">
        <v>56</v>
      </c>
      <c r="AC6221" s="3" t="s">
        <v>28543</v>
      </c>
      <c r="AD6221" s="9">
        <v>42779</v>
      </c>
      <c r="AE6221" s="3" t="s">
        <v>651</v>
      </c>
      <c r="AF6221" s="3" t="s">
        <v>36</v>
      </c>
      <c r="AG6221" s="3" t="s">
        <v>81</v>
      </c>
      <c r="AH6221" s="11">
        <f>HYPERLINK("https://my.pitchbook.com?c=86547-79T","View Company Online")</f>
      </c>
    </row>
    <row r="6222">
      <c r="A6222" s="12" t="s">
        <v>28544</v>
      </c>
      <c r="B6222" s="12" t="s">
        <v>13136</v>
      </c>
      <c r="C6222" s="19" t="s">
        <v>36</v>
      </c>
      <c r="D6222" s="19" t="s">
        <v>36</v>
      </c>
      <c r="E6222" s="19" t="s">
        <v>36</v>
      </c>
      <c r="F6222" s="19" t="s">
        <v>36</v>
      </c>
      <c r="G6222" s="15" t="s">
        <v>683</v>
      </c>
      <c r="H6222" s="14">
        <v>1979.93</v>
      </c>
      <c r="I6222" s="18">
        <v>47.64</v>
      </c>
      <c r="J6222" s="12" t="s">
        <v>521</v>
      </c>
      <c r="K6222" s="13" t="s">
        <v>36</v>
      </c>
      <c r="L6222" s="15" t="s">
        <v>36</v>
      </c>
      <c r="M6222" s="12" t="s">
        <v>36</v>
      </c>
      <c r="N6222" s="12" t="s">
        <v>36</v>
      </c>
      <c r="O6222" s="17" t="s">
        <v>36</v>
      </c>
      <c r="P6222" s="12" t="s">
        <v>36</v>
      </c>
      <c r="Q6222" s="12" t="s">
        <v>36</v>
      </c>
      <c r="R6222" s="12" t="s">
        <v>36</v>
      </c>
      <c r="S6222" s="12" t="s">
        <v>36</v>
      </c>
      <c r="T6222" s="12" t="s">
        <v>265</v>
      </c>
      <c r="U6222" s="12" t="s">
        <v>85</v>
      </c>
      <c r="V6222" s="12" t="s">
        <v>64</v>
      </c>
      <c r="W6222" s="12" t="s">
        <v>13137</v>
      </c>
      <c r="X6222" s="16" t="s">
        <v>26759</v>
      </c>
      <c r="Y6222" s="15" t="s">
        <v>42</v>
      </c>
      <c r="Z6222" s="14">
        <v>1.93</v>
      </c>
      <c r="AA6222" s="14">
        <v>2.25</v>
      </c>
      <c r="AB6222" s="12" t="s">
        <v>56</v>
      </c>
      <c r="AC6222" s="12" t="s">
        <v>13139</v>
      </c>
      <c r="AD6222" s="13">
        <v>42779</v>
      </c>
      <c r="AE6222" s="12" t="s">
        <v>89</v>
      </c>
      <c r="AF6222" s="12" t="s">
        <v>13140</v>
      </c>
      <c r="AG6222" s="12" t="s">
        <v>13141</v>
      </c>
      <c r="AH6222" s="1">
        <f>HYPERLINK("https://my.pitchbook.com?c=88136-29T","View Company Online")</f>
      </c>
    </row>
    <row r="6223">
      <c r="A6223" s="3" t="s">
        <v>28545</v>
      </c>
      <c r="B6223" s="3" t="s">
        <v>25460</v>
      </c>
      <c r="C6223" s="5" t="s">
        <v>36</v>
      </c>
      <c r="D6223" s="5" t="s">
        <v>36</v>
      </c>
      <c r="E6223" s="5" t="s">
        <v>36</v>
      </c>
      <c r="F6223" s="5" t="s">
        <v>36</v>
      </c>
      <c r="G6223" s="6" t="s">
        <v>36</v>
      </c>
      <c r="H6223" s="4">
        <v>69.24</v>
      </c>
      <c r="I6223" s="7">
        <v>19.35</v>
      </c>
      <c r="J6223" s="3" t="s">
        <v>521</v>
      </c>
      <c r="K6223" s="9" t="s">
        <v>36</v>
      </c>
      <c r="L6223" s="6" t="s">
        <v>36</v>
      </c>
      <c r="M6223" s="3" t="s">
        <v>36</v>
      </c>
      <c r="N6223" s="3" t="s">
        <v>36</v>
      </c>
      <c r="O6223" s="8" t="s">
        <v>36</v>
      </c>
      <c r="P6223" s="3" t="s">
        <v>36</v>
      </c>
      <c r="Q6223" s="3" t="s">
        <v>36</v>
      </c>
      <c r="R6223" s="3" t="s">
        <v>36</v>
      </c>
      <c r="S6223" s="3" t="s">
        <v>36</v>
      </c>
      <c r="T6223" s="3" t="s">
        <v>522</v>
      </c>
      <c r="U6223" s="3" t="s">
        <v>38</v>
      </c>
      <c r="V6223" s="3" t="s">
        <v>39</v>
      </c>
      <c r="W6223" s="3" t="s">
        <v>25461</v>
      </c>
      <c r="X6223" s="10" t="s">
        <v>25462</v>
      </c>
      <c r="Y6223" s="6" t="s">
        <v>42</v>
      </c>
      <c r="Z6223" s="4">
        <v>0.64</v>
      </c>
      <c r="AA6223" s="4">
        <v>3.32</v>
      </c>
      <c r="AB6223" s="3" t="s">
        <v>43</v>
      </c>
      <c r="AC6223" s="3" t="s">
        <v>25463</v>
      </c>
      <c r="AD6223" s="9">
        <v>42779</v>
      </c>
      <c r="AE6223" s="3" t="s">
        <v>110</v>
      </c>
      <c r="AF6223" s="3" t="s">
        <v>4552</v>
      </c>
      <c r="AG6223" s="3" t="s">
        <v>652</v>
      </c>
      <c r="AH6223" s="11">
        <f>HYPERLINK("https://my.pitchbook.com?c=90025-84T","View Company Online")</f>
      </c>
    </row>
    <row r="6224">
      <c r="A6224" s="12" t="s">
        <v>28546</v>
      </c>
      <c r="B6224" s="12" t="s">
        <v>25551</v>
      </c>
      <c r="C6224" s="19" t="s">
        <v>36</v>
      </c>
      <c r="D6224" s="19" t="s">
        <v>36</v>
      </c>
      <c r="E6224" s="19" t="s">
        <v>36</v>
      </c>
      <c r="F6224" s="19" t="s">
        <v>36</v>
      </c>
      <c r="G6224" s="15" t="s">
        <v>326</v>
      </c>
      <c r="H6224" s="14">
        <v>2.55</v>
      </c>
      <c r="I6224" s="18">
        <v>12.43</v>
      </c>
      <c r="J6224" s="12" t="s">
        <v>521</v>
      </c>
      <c r="K6224" s="13" t="s">
        <v>36</v>
      </c>
      <c r="L6224" s="15" t="s">
        <v>36</v>
      </c>
      <c r="M6224" s="12" t="s">
        <v>36</v>
      </c>
      <c r="N6224" s="12" t="s">
        <v>36</v>
      </c>
      <c r="O6224" s="17" t="s">
        <v>36</v>
      </c>
      <c r="P6224" s="12" t="s">
        <v>36</v>
      </c>
      <c r="Q6224" s="12" t="s">
        <v>36</v>
      </c>
      <c r="R6224" s="12" t="s">
        <v>36</v>
      </c>
      <c r="S6224" s="12" t="s">
        <v>36</v>
      </c>
      <c r="T6224" s="12" t="s">
        <v>25552</v>
      </c>
      <c r="U6224" s="12" t="s">
        <v>180</v>
      </c>
      <c r="V6224" s="12" t="s">
        <v>52</v>
      </c>
      <c r="W6224" s="12" t="s">
        <v>25553</v>
      </c>
      <c r="X6224" s="16" t="s">
        <v>28547</v>
      </c>
      <c r="Y6224" s="15" t="s">
        <v>108</v>
      </c>
      <c r="Z6224" s="14">
        <v>0.68</v>
      </c>
      <c r="AA6224" s="14">
        <v>5.51</v>
      </c>
      <c r="AB6224" s="12" t="s">
        <v>43</v>
      </c>
      <c r="AC6224" s="12" t="s">
        <v>25555</v>
      </c>
      <c r="AD6224" s="13">
        <v>42779</v>
      </c>
      <c r="AE6224" s="12" t="s">
        <v>8291</v>
      </c>
      <c r="AF6224" s="12" t="s">
        <v>917</v>
      </c>
      <c r="AG6224" s="12" t="s">
        <v>102</v>
      </c>
      <c r="AH6224" s="1">
        <f>HYPERLINK("https://my.pitchbook.com?c=119921-77T","View Company Online")</f>
      </c>
    </row>
    <row r="6225">
      <c r="A6225" s="3" t="s">
        <v>28548</v>
      </c>
      <c r="B6225" s="3" t="s">
        <v>7795</v>
      </c>
      <c r="C6225" s="5" t="s">
        <v>36</v>
      </c>
      <c r="D6225" s="5" t="s">
        <v>36</v>
      </c>
      <c r="E6225" s="5" t="s">
        <v>36</v>
      </c>
      <c r="F6225" s="5" t="s">
        <v>36</v>
      </c>
      <c r="G6225" s="6" t="s">
        <v>36</v>
      </c>
      <c r="H6225" s="4">
        <v>124.52</v>
      </c>
      <c r="I6225" s="7">
        <v>14.3</v>
      </c>
      <c r="J6225" s="3" t="s">
        <v>521</v>
      </c>
      <c r="K6225" s="9" t="s">
        <v>36</v>
      </c>
      <c r="L6225" s="6" t="s">
        <v>36</v>
      </c>
      <c r="M6225" s="3" t="s">
        <v>36</v>
      </c>
      <c r="N6225" s="3" t="s">
        <v>36</v>
      </c>
      <c r="O6225" s="8" t="s">
        <v>36</v>
      </c>
      <c r="P6225" s="3" t="s">
        <v>36</v>
      </c>
      <c r="Q6225" s="3" t="s">
        <v>36</v>
      </c>
      <c r="R6225" s="3" t="s">
        <v>36</v>
      </c>
      <c r="S6225" s="3" t="s">
        <v>36</v>
      </c>
      <c r="T6225" s="3" t="s">
        <v>522</v>
      </c>
      <c r="U6225" s="3" t="s">
        <v>38</v>
      </c>
      <c r="V6225" s="3" t="s">
        <v>39</v>
      </c>
      <c r="W6225" s="3" t="s">
        <v>7796</v>
      </c>
      <c r="X6225" s="10" t="s">
        <v>7797</v>
      </c>
      <c r="Y6225" s="6" t="s">
        <v>42</v>
      </c>
      <c r="Z6225" s="4">
        <v>0.21</v>
      </c>
      <c r="AA6225" s="4">
        <v>1.5</v>
      </c>
      <c r="AB6225" s="3" t="s">
        <v>43</v>
      </c>
      <c r="AC6225" s="3" t="s">
        <v>7798</v>
      </c>
      <c r="AD6225" s="9">
        <v>42779</v>
      </c>
      <c r="AE6225" s="3" t="s">
        <v>110</v>
      </c>
      <c r="AF6225" s="3" t="s">
        <v>1401</v>
      </c>
      <c r="AG6225" s="3" t="s">
        <v>3527</v>
      </c>
      <c r="AH6225" s="11">
        <f>HYPERLINK("https://my.pitchbook.com?c=135970-03T","View Company Online")</f>
      </c>
    </row>
    <row r="6226">
      <c r="A6226" s="12" t="s">
        <v>28549</v>
      </c>
      <c r="B6226" s="12" t="s">
        <v>16081</v>
      </c>
      <c r="C6226" s="19">
        <v>15</v>
      </c>
      <c r="D6226" s="19">
        <v>78</v>
      </c>
      <c r="E6226" s="19">
        <v>23</v>
      </c>
      <c r="F6226" s="19">
        <v>120</v>
      </c>
      <c r="G6226" s="15" t="s">
        <v>326</v>
      </c>
      <c r="H6226" s="14">
        <v>514.09</v>
      </c>
      <c r="I6226" s="18">
        <v>7.68</v>
      </c>
      <c r="J6226" s="12" t="s">
        <v>521</v>
      </c>
      <c r="K6226" s="13" t="s">
        <v>36</v>
      </c>
      <c r="L6226" s="15" t="s">
        <v>36</v>
      </c>
      <c r="M6226" s="12" t="s">
        <v>36</v>
      </c>
      <c r="N6226" s="12" t="s">
        <v>36</v>
      </c>
      <c r="O6226" s="17" t="s">
        <v>36</v>
      </c>
      <c r="P6226" s="12" t="s">
        <v>36</v>
      </c>
      <c r="Q6226" s="12" t="s">
        <v>36</v>
      </c>
      <c r="R6226" s="12" t="s">
        <v>36</v>
      </c>
      <c r="S6226" s="12" t="s">
        <v>36</v>
      </c>
      <c r="T6226" s="12" t="s">
        <v>16082</v>
      </c>
      <c r="U6226" s="12" t="s">
        <v>96</v>
      </c>
      <c r="V6226" s="12" t="s">
        <v>52</v>
      </c>
      <c r="W6226" s="12" t="s">
        <v>16083</v>
      </c>
      <c r="X6226" s="16" t="s">
        <v>28550</v>
      </c>
      <c r="Y6226" s="15" t="s">
        <v>192</v>
      </c>
      <c r="Z6226" s="14">
        <v>2.23</v>
      </c>
      <c r="AA6226" s="14">
        <v>29.03</v>
      </c>
      <c r="AB6226" s="12" t="s">
        <v>56</v>
      </c>
      <c r="AC6226" s="12" t="s">
        <v>16085</v>
      </c>
      <c r="AD6226" s="13">
        <v>42776</v>
      </c>
      <c r="AE6226" s="12" t="s">
        <v>1414</v>
      </c>
      <c r="AF6226" s="12" t="s">
        <v>159</v>
      </c>
      <c r="AG6226" s="12" t="s">
        <v>10841</v>
      </c>
      <c r="AH6226" s="1">
        <f>HYPERLINK("https://my.pitchbook.com?c=124127-56T","View Company Online")</f>
      </c>
    </row>
    <row r="6227">
      <c r="A6227" s="3" t="s">
        <v>28551</v>
      </c>
      <c r="B6227" s="3" t="s">
        <v>28552</v>
      </c>
      <c r="C6227" s="5" t="s">
        <v>36</v>
      </c>
      <c r="D6227" s="5">
        <v>13</v>
      </c>
      <c r="E6227" s="5">
        <v>4</v>
      </c>
      <c r="F6227" s="5">
        <v>34</v>
      </c>
      <c r="G6227" s="6" t="s">
        <v>683</v>
      </c>
      <c r="H6227" s="4">
        <v>2.51</v>
      </c>
      <c r="I6227" s="7">
        <v>3.81</v>
      </c>
      <c r="J6227" s="3" t="s">
        <v>521</v>
      </c>
      <c r="K6227" s="9" t="s">
        <v>36</v>
      </c>
      <c r="L6227" s="6" t="s">
        <v>36</v>
      </c>
      <c r="M6227" s="3" t="s">
        <v>36</v>
      </c>
      <c r="N6227" s="3" t="s">
        <v>36</v>
      </c>
      <c r="O6227" s="8" t="s">
        <v>36</v>
      </c>
      <c r="P6227" s="3" t="s">
        <v>36</v>
      </c>
      <c r="Q6227" s="3" t="s">
        <v>36</v>
      </c>
      <c r="R6227" s="3" t="s">
        <v>36</v>
      </c>
      <c r="S6227" s="3" t="s">
        <v>36</v>
      </c>
      <c r="T6227" s="3" t="s">
        <v>28553</v>
      </c>
      <c r="U6227" s="3" t="s">
        <v>1798</v>
      </c>
      <c r="V6227" s="3" t="s">
        <v>39</v>
      </c>
      <c r="W6227" s="3" t="s">
        <v>28554</v>
      </c>
      <c r="X6227" s="10" t="s">
        <v>28555</v>
      </c>
      <c r="Y6227" s="6" t="s">
        <v>166</v>
      </c>
      <c r="Z6227" s="4">
        <v>0.21</v>
      </c>
      <c r="AA6227" s="4">
        <v>5.62</v>
      </c>
      <c r="AB6227" s="3" t="s">
        <v>56</v>
      </c>
      <c r="AC6227" s="3" t="s">
        <v>28556</v>
      </c>
      <c r="AD6227" s="9">
        <v>42776</v>
      </c>
      <c r="AE6227" s="3" t="s">
        <v>5561</v>
      </c>
      <c r="AF6227" s="3" t="s">
        <v>28557</v>
      </c>
      <c r="AG6227" s="3" t="s">
        <v>1193</v>
      </c>
      <c r="AH6227" s="11">
        <f>HYPERLINK("https://my.pitchbook.com?c=117558-10T","View Company Online")</f>
      </c>
    </row>
    <row r="6228">
      <c r="A6228" s="12" t="s">
        <v>28558</v>
      </c>
      <c r="B6228" s="12" t="s">
        <v>28559</v>
      </c>
      <c r="C6228" s="19" t="s">
        <v>36</v>
      </c>
      <c r="D6228" s="19">
        <v>5</v>
      </c>
      <c r="E6228" s="19">
        <v>2</v>
      </c>
      <c r="F6228" s="19">
        <v>5</v>
      </c>
      <c r="G6228" s="15" t="s">
        <v>36</v>
      </c>
      <c r="H6228" s="14">
        <v>20.77</v>
      </c>
      <c r="I6228" s="18">
        <v>30</v>
      </c>
      <c r="J6228" s="12" t="s">
        <v>521</v>
      </c>
      <c r="K6228" s="13" t="s">
        <v>36</v>
      </c>
      <c r="L6228" s="15" t="s">
        <v>36</v>
      </c>
      <c r="M6228" s="12" t="s">
        <v>36</v>
      </c>
      <c r="N6228" s="12" t="s">
        <v>36</v>
      </c>
      <c r="O6228" s="17" t="s">
        <v>36</v>
      </c>
      <c r="P6228" s="12" t="s">
        <v>36</v>
      </c>
      <c r="Q6228" s="12" t="s">
        <v>36</v>
      </c>
      <c r="R6228" s="12" t="s">
        <v>36</v>
      </c>
      <c r="S6228" s="12" t="s">
        <v>36</v>
      </c>
      <c r="T6228" s="12" t="s">
        <v>2658</v>
      </c>
      <c r="U6228" s="12" t="s">
        <v>38</v>
      </c>
      <c r="V6228" s="12" t="s">
        <v>39</v>
      </c>
      <c r="W6228" s="12" t="s">
        <v>28560</v>
      </c>
      <c r="X6228" s="16" t="s">
        <v>28561</v>
      </c>
      <c r="Y6228" s="15" t="s">
        <v>42</v>
      </c>
      <c r="Z6228" s="14">
        <v>0.96</v>
      </c>
      <c r="AA6228" s="14">
        <v>2.14</v>
      </c>
      <c r="AB6228" s="12" t="s">
        <v>43</v>
      </c>
      <c r="AC6228" s="12" t="s">
        <v>28562</v>
      </c>
      <c r="AD6228" s="13">
        <v>42775</v>
      </c>
      <c r="AE6228" s="12" t="s">
        <v>110</v>
      </c>
      <c r="AF6228" s="12" t="s">
        <v>8789</v>
      </c>
      <c r="AG6228" s="12" t="s">
        <v>419</v>
      </c>
      <c r="AH6228" s="1">
        <f>HYPERLINK("https://my.pitchbook.com?c=90022-87T","View Company Online")</f>
      </c>
    </row>
    <row r="6229">
      <c r="A6229" s="3" t="s">
        <v>28563</v>
      </c>
      <c r="B6229" s="3" t="s">
        <v>28564</v>
      </c>
      <c r="C6229" s="5" t="s">
        <v>36</v>
      </c>
      <c r="D6229" s="5" t="s">
        <v>36</v>
      </c>
      <c r="E6229" s="5" t="s">
        <v>36</v>
      </c>
      <c r="F6229" s="5" t="s">
        <v>36</v>
      </c>
      <c r="G6229" s="6" t="s">
        <v>326</v>
      </c>
      <c r="H6229" s="4">
        <v>2138.93</v>
      </c>
      <c r="I6229" s="7">
        <v>30.77</v>
      </c>
      <c r="J6229" s="3" t="s">
        <v>521</v>
      </c>
      <c r="K6229" s="9" t="s">
        <v>36</v>
      </c>
      <c r="L6229" s="6" t="s">
        <v>36</v>
      </c>
      <c r="M6229" s="3" t="s">
        <v>36</v>
      </c>
      <c r="N6229" s="3" t="s">
        <v>36</v>
      </c>
      <c r="O6229" s="8" t="s">
        <v>36</v>
      </c>
      <c r="P6229" s="3" t="s">
        <v>36</v>
      </c>
      <c r="Q6229" s="3" t="s">
        <v>36</v>
      </c>
      <c r="R6229" s="3" t="s">
        <v>36</v>
      </c>
      <c r="S6229" s="3" t="s">
        <v>196</v>
      </c>
      <c r="T6229" s="3" t="s">
        <v>4985</v>
      </c>
      <c r="U6229" s="3" t="s">
        <v>38</v>
      </c>
      <c r="V6229" s="3" t="s">
        <v>39</v>
      </c>
      <c r="W6229" s="3" t="s">
        <v>28565</v>
      </c>
      <c r="X6229" s="10" t="s">
        <v>28566</v>
      </c>
      <c r="Y6229" s="6" t="s">
        <v>108</v>
      </c>
      <c r="Z6229" s="4">
        <v>2.14</v>
      </c>
      <c r="AA6229" s="4">
        <v>6.96</v>
      </c>
      <c r="AB6229" s="3" t="s">
        <v>56</v>
      </c>
      <c r="AC6229" s="3" t="s">
        <v>28567</v>
      </c>
      <c r="AD6229" s="9">
        <v>42775</v>
      </c>
      <c r="AE6229" s="3" t="s">
        <v>110</v>
      </c>
      <c r="AF6229" s="3" t="s">
        <v>18012</v>
      </c>
      <c r="AG6229" s="3" t="s">
        <v>81</v>
      </c>
      <c r="AH6229" s="11">
        <f>HYPERLINK("https://my.pitchbook.com?c=258664-15T","View Company Online")</f>
      </c>
    </row>
    <row r="6230">
      <c r="A6230" s="12" t="s">
        <v>28568</v>
      </c>
      <c r="B6230" s="12" t="s">
        <v>21252</v>
      </c>
      <c r="C6230" s="19" t="s">
        <v>36</v>
      </c>
      <c r="D6230" s="19" t="s">
        <v>36</v>
      </c>
      <c r="E6230" s="19" t="s">
        <v>36</v>
      </c>
      <c r="F6230" s="19" t="s">
        <v>36</v>
      </c>
      <c r="G6230" s="15" t="s">
        <v>36</v>
      </c>
      <c r="H6230" s="14">
        <v>68.31</v>
      </c>
      <c r="I6230" s="18">
        <v>18.16</v>
      </c>
      <c r="J6230" s="12" t="s">
        <v>327</v>
      </c>
      <c r="K6230" s="13" t="s">
        <v>36</v>
      </c>
      <c r="L6230" s="15" t="s">
        <v>36</v>
      </c>
      <c r="M6230" s="12" t="s">
        <v>36</v>
      </c>
      <c r="N6230" s="12" t="s">
        <v>36</v>
      </c>
      <c r="O6230" s="17" t="s">
        <v>36</v>
      </c>
      <c r="P6230" s="12" t="s">
        <v>36</v>
      </c>
      <c r="Q6230" s="12" t="s">
        <v>36</v>
      </c>
      <c r="R6230" s="12" t="s">
        <v>36</v>
      </c>
      <c r="S6230" s="12" t="s">
        <v>36</v>
      </c>
      <c r="T6230" s="12" t="s">
        <v>21253</v>
      </c>
      <c r="U6230" s="12" t="s">
        <v>833</v>
      </c>
      <c r="V6230" s="12" t="s">
        <v>64</v>
      </c>
      <c r="W6230" s="12" t="s">
        <v>21254</v>
      </c>
      <c r="X6230" s="16" t="s">
        <v>221</v>
      </c>
      <c r="Y6230" s="15" t="s">
        <v>42</v>
      </c>
      <c r="Z6230" s="14">
        <v>0.78</v>
      </c>
      <c r="AA6230" s="14">
        <v>4.3</v>
      </c>
      <c r="AB6230" s="12" t="s">
        <v>43</v>
      </c>
      <c r="AC6230" s="12" t="s">
        <v>21256</v>
      </c>
      <c r="AD6230" s="13">
        <v>42775</v>
      </c>
      <c r="AE6230" s="12" t="s">
        <v>1687</v>
      </c>
      <c r="AF6230" s="12" t="s">
        <v>10633</v>
      </c>
      <c r="AG6230" s="12" t="s">
        <v>81</v>
      </c>
      <c r="AH6230" s="1">
        <f>HYPERLINK("https://my.pitchbook.com?c=108736-12T","View Company Online")</f>
      </c>
    </row>
    <row r="6231">
      <c r="A6231" s="3" t="s">
        <v>28569</v>
      </c>
      <c r="B6231" s="3" t="s">
        <v>15156</v>
      </c>
      <c r="C6231" s="5" t="s">
        <v>36</v>
      </c>
      <c r="D6231" s="5">
        <v>2</v>
      </c>
      <c r="E6231" s="5">
        <v>1</v>
      </c>
      <c r="F6231" s="5">
        <v>2</v>
      </c>
      <c r="G6231" s="6" t="s">
        <v>683</v>
      </c>
      <c r="H6231" s="4">
        <v>3.21</v>
      </c>
      <c r="I6231" s="7">
        <v>52.4</v>
      </c>
      <c r="J6231" s="3" t="s">
        <v>521</v>
      </c>
      <c r="K6231" s="9">
        <v>42711</v>
      </c>
      <c r="L6231" s="6" t="s">
        <v>94</v>
      </c>
      <c r="M6231" s="3" t="s">
        <v>36</v>
      </c>
      <c r="N6231" s="3" t="s">
        <v>94</v>
      </c>
      <c r="O6231" s="8" t="s">
        <v>36</v>
      </c>
      <c r="P6231" s="3" t="s">
        <v>36</v>
      </c>
      <c r="Q6231" s="3" t="s">
        <v>36</v>
      </c>
      <c r="R6231" s="3" t="s">
        <v>36</v>
      </c>
      <c r="S6231" s="3" t="s">
        <v>36</v>
      </c>
      <c r="T6231" s="3" t="s">
        <v>5518</v>
      </c>
      <c r="U6231" s="3" t="s">
        <v>318</v>
      </c>
      <c r="V6231" s="3" t="s">
        <v>39</v>
      </c>
      <c r="W6231" s="3" t="s">
        <v>15157</v>
      </c>
      <c r="X6231" s="10" t="s">
        <v>15158</v>
      </c>
      <c r="Y6231" s="6" t="s">
        <v>55</v>
      </c>
      <c r="Z6231" s="4">
        <v>3.53</v>
      </c>
      <c r="AA6231" s="4">
        <v>6.74</v>
      </c>
      <c r="AB6231" s="3" t="s">
        <v>56</v>
      </c>
      <c r="AC6231" s="3" t="s">
        <v>15159</v>
      </c>
      <c r="AD6231" s="9">
        <v>42774</v>
      </c>
      <c r="AE6231" s="3" t="s">
        <v>763</v>
      </c>
      <c r="AF6231" s="3" t="s">
        <v>15160</v>
      </c>
      <c r="AG6231" s="3" t="s">
        <v>5895</v>
      </c>
      <c r="AH6231" s="11">
        <f>HYPERLINK("https://my.pitchbook.com?c=82112-32T","View Company Online")</f>
      </c>
    </row>
    <row r="6232">
      <c r="A6232" s="12" t="s">
        <v>28570</v>
      </c>
      <c r="B6232" s="12" t="s">
        <v>8609</v>
      </c>
      <c r="C6232" s="19" t="s">
        <v>36</v>
      </c>
      <c r="D6232" s="19" t="s">
        <v>36</v>
      </c>
      <c r="E6232" s="19" t="s">
        <v>36</v>
      </c>
      <c r="F6232" s="19" t="s">
        <v>36</v>
      </c>
      <c r="G6232" s="15" t="s">
        <v>36</v>
      </c>
      <c r="H6232" s="14">
        <v>1091.53</v>
      </c>
      <c r="I6232" s="18">
        <v>24.98</v>
      </c>
      <c r="J6232" s="12" t="s">
        <v>521</v>
      </c>
      <c r="K6232" s="13" t="s">
        <v>36</v>
      </c>
      <c r="L6232" s="15" t="s">
        <v>36</v>
      </c>
      <c r="M6232" s="12" t="s">
        <v>36</v>
      </c>
      <c r="N6232" s="12" t="s">
        <v>36</v>
      </c>
      <c r="O6232" s="17" t="s">
        <v>36</v>
      </c>
      <c r="P6232" s="12" t="s">
        <v>36</v>
      </c>
      <c r="Q6232" s="12" t="s">
        <v>36</v>
      </c>
      <c r="R6232" s="12" t="s">
        <v>36</v>
      </c>
      <c r="S6232" s="12" t="s">
        <v>36</v>
      </c>
      <c r="T6232" s="12" t="s">
        <v>8610</v>
      </c>
      <c r="U6232" s="12" t="s">
        <v>728</v>
      </c>
      <c r="V6232" s="12" t="s">
        <v>64</v>
      </c>
      <c r="W6232" s="12" t="s">
        <v>8611</v>
      </c>
      <c r="X6232" s="16" t="s">
        <v>28571</v>
      </c>
      <c r="Y6232" s="15" t="s">
        <v>42</v>
      </c>
      <c r="Z6232" s="14">
        <v>0.37</v>
      </c>
      <c r="AA6232" s="14">
        <v>1.5</v>
      </c>
      <c r="AB6232" s="12" t="s">
        <v>43</v>
      </c>
      <c r="AC6232" s="12" t="s">
        <v>8613</v>
      </c>
      <c r="AD6232" s="13">
        <v>42774</v>
      </c>
      <c r="AE6232" s="12" t="s">
        <v>2154</v>
      </c>
      <c r="AF6232" s="12" t="s">
        <v>733</v>
      </c>
      <c r="AG6232" s="12" t="s">
        <v>81</v>
      </c>
      <c r="AH6232" s="1">
        <f>HYPERLINK("https://my.pitchbook.com?c=251620-93T","View Company Online")</f>
      </c>
    </row>
    <row r="6233">
      <c r="A6233" s="3" t="s">
        <v>28572</v>
      </c>
      <c r="B6233" s="3" t="s">
        <v>28573</v>
      </c>
      <c r="C6233" s="5" t="s">
        <v>36</v>
      </c>
      <c r="D6233" s="5" t="s">
        <v>36</v>
      </c>
      <c r="E6233" s="5" t="s">
        <v>36</v>
      </c>
      <c r="F6233" s="5" t="s">
        <v>36</v>
      </c>
      <c r="G6233" s="6" t="s">
        <v>326</v>
      </c>
      <c r="H6233" s="4">
        <v>129.29</v>
      </c>
      <c r="I6233" s="7">
        <v>19.98</v>
      </c>
      <c r="J6233" s="3" t="s">
        <v>521</v>
      </c>
      <c r="K6233" s="9">
        <v>42583</v>
      </c>
      <c r="L6233" s="6" t="s">
        <v>36</v>
      </c>
      <c r="M6233" s="3" t="s">
        <v>36</v>
      </c>
      <c r="N6233" s="3" t="s">
        <v>36</v>
      </c>
      <c r="O6233" s="8" t="s">
        <v>36</v>
      </c>
      <c r="P6233" s="3" t="s">
        <v>36</v>
      </c>
      <c r="Q6233" s="3" t="s">
        <v>36</v>
      </c>
      <c r="R6233" s="3" t="s">
        <v>36</v>
      </c>
      <c r="S6233" s="3" t="s">
        <v>36</v>
      </c>
      <c r="T6233" s="3" t="s">
        <v>28574</v>
      </c>
      <c r="U6233" s="3" t="s">
        <v>74</v>
      </c>
      <c r="V6233" s="3" t="s">
        <v>75</v>
      </c>
      <c r="W6233" s="3" t="s">
        <v>28575</v>
      </c>
      <c r="X6233" s="10" t="s">
        <v>28576</v>
      </c>
      <c r="Y6233" s="6" t="s">
        <v>42</v>
      </c>
      <c r="Z6233" s="4">
        <v>1.39</v>
      </c>
      <c r="AA6233" s="4">
        <v>6.95</v>
      </c>
      <c r="AB6233" s="3" t="s">
        <v>56</v>
      </c>
      <c r="AC6233" s="3" t="s">
        <v>28577</v>
      </c>
      <c r="AD6233" s="9">
        <v>42774</v>
      </c>
      <c r="AE6233" s="3" t="s">
        <v>79</v>
      </c>
      <c r="AF6233" s="3" t="s">
        <v>28578</v>
      </c>
      <c r="AG6233" s="3" t="s">
        <v>81</v>
      </c>
      <c r="AH6233" s="11">
        <f>HYPERLINK("https://my.pitchbook.com?c=82438-66T","View Company Online")</f>
      </c>
    </row>
    <row r="6234">
      <c r="A6234" s="12" t="s">
        <v>28579</v>
      </c>
      <c r="B6234" s="12" t="s">
        <v>28580</v>
      </c>
      <c r="C6234" s="19" t="s">
        <v>36</v>
      </c>
      <c r="D6234" s="19" t="s">
        <v>36</v>
      </c>
      <c r="E6234" s="19" t="s">
        <v>36</v>
      </c>
      <c r="F6234" s="19" t="s">
        <v>36</v>
      </c>
      <c r="G6234" s="15" t="s">
        <v>36</v>
      </c>
      <c r="H6234" s="14" t="s">
        <v>36</v>
      </c>
      <c r="I6234" s="18" t="s">
        <v>36</v>
      </c>
      <c r="J6234" s="12" t="s">
        <v>36</v>
      </c>
      <c r="K6234" s="13" t="s">
        <v>36</v>
      </c>
      <c r="L6234" s="15" t="s">
        <v>36</v>
      </c>
      <c r="M6234" s="12" t="s">
        <v>36</v>
      </c>
      <c r="N6234" s="12" t="s">
        <v>36</v>
      </c>
      <c r="O6234" s="17" t="s">
        <v>36</v>
      </c>
      <c r="P6234" s="12" t="s">
        <v>36</v>
      </c>
      <c r="Q6234" s="12" t="s">
        <v>36</v>
      </c>
      <c r="R6234" s="12" t="s">
        <v>36</v>
      </c>
      <c r="S6234" s="12" t="s">
        <v>36</v>
      </c>
      <c r="T6234" s="12" t="s">
        <v>647</v>
      </c>
      <c r="U6234" s="12" t="s">
        <v>648</v>
      </c>
      <c r="V6234" s="12" t="s">
        <v>64</v>
      </c>
      <c r="W6234" s="12" t="s">
        <v>28581</v>
      </c>
      <c r="X6234" s="16" t="s">
        <v>28582</v>
      </c>
      <c r="Y6234" s="15" t="s">
        <v>192</v>
      </c>
      <c r="Z6234" s="14">
        <v>3.21</v>
      </c>
      <c r="AA6234" s="14" t="s">
        <v>36</v>
      </c>
      <c r="AB6234" s="12" t="s">
        <v>56</v>
      </c>
      <c r="AC6234" s="12" t="s">
        <v>28583</v>
      </c>
      <c r="AD6234" s="13">
        <v>42774</v>
      </c>
      <c r="AE6234" s="12" t="s">
        <v>651</v>
      </c>
      <c r="AF6234" s="12" t="s">
        <v>36</v>
      </c>
      <c r="AG6234" s="12" t="s">
        <v>81</v>
      </c>
      <c r="AH6234" s="1">
        <f>HYPERLINK("https://my.pitchbook.com?c=109242-19T","View Company Online")</f>
      </c>
    </row>
    <row r="6235">
      <c r="A6235" s="3" t="s">
        <v>28584</v>
      </c>
      <c r="B6235" s="3" t="s">
        <v>15515</v>
      </c>
      <c r="C6235" s="5">
        <v>6</v>
      </c>
      <c r="D6235" s="5">
        <v>15</v>
      </c>
      <c r="E6235" s="5">
        <v>3</v>
      </c>
      <c r="F6235" s="5">
        <v>23</v>
      </c>
      <c r="G6235" s="6" t="s">
        <v>326</v>
      </c>
      <c r="H6235" s="4">
        <v>57.12</v>
      </c>
      <c r="I6235" s="7">
        <v>29.14</v>
      </c>
      <c r="J6235" s="3" t="s">
        <v>521</v>
      </c>
      <c r="K6235" s="9">
        <v>42551</v>
      </c>
      <c r="L6235" s="6" t="s">
        <v>36</v>
      </c>
      <c r="M6235" s="3" t="s">
        <v>36</v>
      </c>
      <c r="N6235" s="3" t="s">
        <v>36</v>
      </c>
      <c r="O6235" s="8" t="s">
        <v>36</v>
      </c>
      <c r="P6235" s="3" t="s">
        <v>36</v>
      </c>
      <c r="Q6235" s="3" t="s">
        <v>36</v>
      </c>
      <c r="R6235" s="3" t="s">
        <v>36</v>
      </c>
      <c r="S6235" s="3" t="s">
        <v>36</v>
      </c>
      <c r="T6235" s="3" t="s">
        <v>661</v>
      </c>
      <c r="U6235" s="3" t="s">
        <v>51</v>
      </c>
      <c r="V6235" s="3" t="s">
        <v>52</v>
      </c>
      <c r="W6235" s="3" t="s">
        <v>15516</v>
      </c>
      <c r="X6235" s="10" t="s">
        <v>28585</v>
      </c>
      <c r="Y6235" s="6" t="s">
        <v>108</v>
      </c>
      <c r="Z6235" s="4">
        <v>1.65</v>
      </c>
      <c r="AA6235" s="4">
        <v>5.66</v>
      </c>
      <c r="AB6235" s="3" t="s">
        <v>43</v>
      </c>
      <c r="AC6235" s="3" t="s">
        <v>15517</v>
      </c>
      <c r="AD6235" s="9">
        <v>42773</v>
      </c>
      <c r="AE6235" s="3" t="s">
        <v>158</v>
      </c>
      <c r="AF6235" s="3" t="s">
        <v>159</v>
      </c>
      <c r="AG6235" s="3" t="s">
        <v>81</v>
      </c>
      <c r="AH6235" s="11">
        <f>HYPERLINK("https://my.pitchbook.com?c=72706-06T","View Company Online")</f>
      </c>
    </row>
    <row r="6236">
      <c r="A6236" s="12" t="s">
        <v>28586</v>
      </c>
      <c r="B6236" s="12" t="s">
        <v>28587</v>
      </c>
      <c r="C6236" s="19" t="s">
        <v>36</v>
      </c>
      <c r="D6236" s="19" t="s">
        <v>36</v>
      </c>
      <c r="E6236" s="19" t="s">
        <v>36</v>
      </c>
      <c r="F6236" s="19" t="s">
        <v>36</v>
      </c>
      <c r="G6236" s="15" t="s">
        <v>36</v>
      </c>
      <c r="H6236" s="14" t="s">
        <v>36</v>
      </c>
      <c r="I6236" s="18" t="s">
        <v>36</v>
      </c>
      <c r="J6236" s="12" t="s">
        <v>36</v>
      </c>
      <c r="K6236" s="13">
        <v>42765</v>
      </c>
      <c r="L6236" s="15" t="s">
        <v>36</v>
      </c>
      <c r="M6236" s="12" t="s">
        <v>36</v>
      </c>
      <c r="N6236" s="12" t="s">
        <v>36</v>
      </c>
      <c r="O6236" s="17" t="s">
        <v>36</v>
      </c>
      <c r="P6236" s="12" t="s">
        <v>36</v>
      </c>
      <c r="Q6236" s="12" t="s">
        <v>36</v>
      </c>
      <c r="R6236" s="12" t="s">
        <v>36</v>
      </c>
      <c r="S6236" s="12" t="s">
        <v>36</v>
      </c>
      <c r="T6236" s="12" t="s">
        <v>28588</v>
      </c>
      <c r="U6236" s="12" t="s">
        <v>38</v>
      </c>
      <c r="V6236" s="12" t="s">
        <v>39</v>
      </c>
      <c r="W6236" s="12" t="s">
        <v>28589</v>
      </c>
      <c r="X6236" s="16" t="s">
        <v>28590</v>
      </c>
      <c r="Y6236" s="15" t="s">
        <v>108</v>
      </c>
      <c r="Z6236" s="14">
        <v>6.27</v>
      </c>
      <c r="AA6236" s="14" t="s">
        <v>36</v>
      </c>
      <c r="AB6236" s="12" t="s">
        <v>43</v>
      </c>
      <c r="AC6236" s="12" t="s">
        <v>28591</v>
      </c>
      <c r="AD6236" s="13">
        <v>42772</v>
      </c>
      <c r="AE6236" s="12" t="s">
        <v>45</v>
      </c>
      <c r="AF6236" s="12" t="s">
        <v>28592</v>
      </c>
      <c r="AG6236" s="12" t="s">
        <v>12062</v>
      </c>
      <c r="AH6236" s="1">
        <f>HYPERLINK("https://my.pitchbook.com?c=82109-89T","View Company Online")</f>
      </c>
    </row>
    <row r="6237">
      <c r="A6237" s="3" t="s">
        <v>28593</v>
      </c>
      <c r="B6237" s="3" t="s">
        <v>9938</v>
      </c>
      <c r="C6237" s="5" t="s">
        <v>36</v>
      </c>
      <c r="D6237" s="5" t="s">
        <v>36</v>
      </c>
      <c r="E6237" s="5" t="s">
        <v>36</v>
      </c>
      <c r="F6237" s="5" t="s">
        <v>36</v>
      </c>
      <c r="G6237" s="6" t="s">
        <v>36</v>
      </c>
      <c r="H6237" s="4">
        <v>230.04</v>
      </c>
      <c r="I6237" s="7">
        <v>25.87</v>
      </c>
      <c r="J6237" s="3" t="s">
        <v>327</v>
      </c>
      <c r="K6237" s="9" t="s">
        <v>36</v>
      </c>
      <c r="L6237" s="6" t="s">
        <v>36</v>
      </c>
      <c r="M6237" s="3" t="s">
        <v>36</v>
      </c>
      <c r="N6237" s="3" t="s">
        <v>36</v>
      </c>
      <c r="O6237" s="8" t="s">
        <v>36</v>
      </c>
      <c r="P6237" s="3" t="s">
        <v>36</v>
      </c>
      <c r="Q6237" s="3" t="s">
        <v>36</v>
      </c>
      <c r="R6237" s="3" t="s">
        <v>36</v>
      </c>
      <c r="S6237" s="3" t="s">
        <v>36</v>
      </c>
      <c r="T6237" s="3" t="s">
        <v>2405</v>
      </c>
      <c r="U6237" s="3" t="s">
        <v>648</v>
      </c>
      <c r="V6237" s="3" t="s">
        <v>64</v>
      </c>
      <c r="W6237" s="3" t="s">
        <v>9939</v>
      </c>
      <c r="X6237" s="10" t="s">
        <v>28594</v>
      </c>
      <c r="Y6237" s="6" t="s">
        <v>42</v>
      </c>
      <c r="Z6237" s="4">
        <v>0.11</v>
      </c>
      <c r="AA6237" s="4">
        <v>0.32</v>
      </c>
      <c r="AB6237" s="3" t="s">
        <v>43</v>
      </c>
      <c r="AC6237" s="3" t="s">
        <v>9941</v>
      </c>
      <c r="AD6237" s="9">
        <v>42772</v>
      </c>
      <c r="AE6237" s="3" t="s">
        <v>1897</v>
      </c>
      <c r="AF6237" s="3" t="s">
        <v>1115</v>
      </c>
      <c r="AG6237" s="3" t="s">
        <v>9942</v>
      </c>
      <c r="AH6237" s="11">
        <f>HYPERLINK("https://my.pitchbook.com?c=115586-56T","View Company Online")</f>
      </c>
    </row>
    <row r="6238">
      <c r="A6238" s="12" t="s">
        <v>28595</v>
      </c>
      <c r="B6238" s="12" t="s">
        <v>28596</v>
      </c>
      <c r="C6238" s="19" t="s">
        <v>36</v>
      </c>
      <c r="D6238" s="19" t="s">
        <v>36</v>
      </c>
      <c r="E6238" s="19" t="s">
        <v>36</v>
      </c>
      <c r="F6238" s="19" t="s">
        <v>36</v>
      </c>
      <c r="G6238" s="15" t="s">
        <v>36</v>
      </c>
      <c r="H6238" s="14" t="s">
        <v>36</v>
      </c>
      <c r="I6238" s="18" t="s">
        <v>36</v>
      </c>
      <c r="J6238" s="12" t="s">
        <v>36</v>
      </c>
      <c r="K6238" s="13" t="s">
        <v>36</v>
      </c>
      <c r="L6238" s="15" t="s">
        <v>36</v>
      </c>
      <c r="M6238" s="12" t="s">
        <v>36</v>
      </c>
      <c r="N6238" s="12" t="s">
        <v>36</v>
      </c>
      <c r="O6238" s="17" t="s">
        <v>36</v>
      </c>
      <c r="P6238" s="12" t="s">
        <v>36</v>
      </c>
      <c r="Q6238" s="12" t="s">
        <v>36</v>
      </c>
      <c r="R6238" s="12" t="s">
        <v>36</v>
      </c>
      <c r="S6238" s="12" t="s">
        <v>36</v>
      </c>
      <c r="T6238" s="12" t="s">
        <v>3604</v>
      </c>
      <c r="U6238" s="12" t="s">
        <v>404</v>
      </c>
      <c r="V6238" s="12" t="s">
        <v>405</v>
      </c>
      <c r="W6238" s="12" t="s">
        <v>28597</v>
      </c>
      <c r="X6238" s="16" t="s">
        <v>28598</v>
      </c>
      <c r="Y6238" s="15" t="s">
        <v>192</v>
      </c>
      <c r="Z6238" s="14" t="s">
        <v>36</v>
      </c>
      <c r="AA6238" s="14" t="s">
        <v>36</v>
      </c>
      <c r="AB6238" s="12" t="s">
        <v>56</v>
      </c>
      <c r="AC6238" s="12" t="s">
        <v>28599</v>
      </c>
      <c r="AD6238" s="13">
        <v>42768</v>
      </c>
      <c r="AE6238" s="12" t="s">
        <v>3608</v>
      </c>
      <c r="AF6238" s="12" t="s">
        <v>159</v>
      </c>
      <c r="AG6238" s="12" t="s">
        <v>81</v>
      </c>
      <c r="AH6238" s="1">
        <f>HYPERLINK("https://my.pitchbook.com?c=157882-69T","View Company Online")</f>
      </c>
    </row>
    <row r="6239">
      <c r="A6239" s="3" t="s">
        <v>28600</v>
      </c>
      <c r="B6239" s="3" t="s">
        <v>28601</v>
      </c>
      <c r="C6239" s="5" t="s">
        <v>36</v>
      </c>
      <c r="D6239" s="5" t="s">
        <v>36</v>
      </c>
      <c r="E6239" s="5" t="s">
        <v>36</v>
      </c>
      <c r="F6239" s="5" t="s">
        <v>36</v>
      </c>
      <c r="G6239" s="6" t="s">
        <v>2497</v>
      </c>
      <c r="H6239" s="4" t="s">
        <v>36</v>
      </c>
      <c r="I6239" s="7" t="s">
        <v>36</v>
      </c>
      <c r="J6239" s="3" t="s">
        <v>521</v>
      </c>
      <c r="K6239" s="9" t="s">
        <v>36</v>
      </c>
      <c r="L6239" s="6" t="s">
        <v>36</v>
      </c>
      <c r="M6239" s="3" t="s">
        <v>36</v>
      </c>
      <c r="N6239" s="3" t="s">
        <v>36</v>
      </c>
      <c r="O6239" s="8" t="s">
        <v>36</v>
      </c>
      <c r="P6239" s="3" t="s">
        <v>36</v>
      </c>
      <c r="Q6239" s="3" t="s">
        <v>36</v>
      </c>
      <c r="R6239" s="3" t="s">
        <v>36</v>
      </c>
      <c r="S6239" s="3" t="s">
        <v>36</v>
      </c>
      <c r="T6239" s="3" t="s">
        <v>1935</v>
      </c>
      <c r="U6239" s="3" t="s">
        <v>38</v>
      </c>
      <c r="V6239" s="3" t="s">
        <v>39</v>
      </c>
      <c r="W6239" s="3" t="s">
        <v>28602</v>
      </c>
      <c r="X6239" s="10" t="s">
        <v>21112</v>
      </c>
      <c r="Y6239" s="6" t="s">
        <v>108</v>
      </c>
      <c r="Z6239" s="4">
        <v>6.39</v>
      </c>
      <c r="AA6239" s="4">
        <v>21.31</v>
      </c>
      <c r="AB6239" s="3" t="s">
        <v>56</v>
      </c>
      <c r="AC6239" s="3" t="s">
        <v>28603</v>
      </c>
      <c r="AD6239" s="9">
        <v>42768</v>
      </c>
      <c r="AE6239" s="3" t="s">
        <v>45</v>
      </c>
      <c r="AF6239" s="3" t="s">
        <v>331</v>
      </c>
      <c r="AG6239" s="3" t="s">
        <v>270</v>
      </c>
      <c r="AH6239" s="11">
        <f>HYPERLINK("https://my.pitchbook.com?c=83064-43T","View Company Online")</f>
      </c>
    </row>
    <row r="6240">
      <c r="A6240" s="12" t="s">
        <v>28604</v>
      </c>
      <c r="B6240" s="12" t="s">
        <v>13160</v>
      </c>
      <c r="C6240" s="19" t="s">
        <v>36</v>
      </c>
      <c r="D6240" s="19" t="s">
        <v>36</v>
      </c>
      <c r="E6240" s="19" t="s">
        <v>36</v>
      </c>
      <c r="F6240" s="19" t="s">
        <v>36</v>
      </c>
      <c r="G6240" s="15" t="s">
        <v>326</v>
      </c>
      <c r="H6240" s="14">
        <v>2354.18</v>
      </c>
      <c r="I6240" s="18">
        <v>9.45</v>
      </c>
      <c r="J6240" s="12" t="s">
        <v>521</v>
      </c>
      <c r="K6240" s="13">
        <v>42760</v>
      </c>
      <c r="L6240" s="15" t="s">
        <v>1279</v>
      </c>
      <c r="M6240" s="12" t="s">
        <v>36</v>
      </c>
      <c r="N6240" s="12" t="s">
        <v>1279</v>
      </c>
      <c r="O6240" s="17" t="s">
        <v>36</v>
      </c>
      <c r="P6240" s="12" t="s">
        <v>36</v>
      </c>
      <c r="Q6240" s="12" t="s">
        <v>36</v>
      </c>
      <c r="R6240" s="12" t="s">
        <v>36</v>
      </c>
      <c r="S6240" s="12" t="s">
        <v>36</v>
      </c>
      <c r="T6240" s="12" t="s">
        <v>189</v>
      </c>
      <c r="U6240" s="12" t="s">
        <v>180</v>
      </c>
      <c r="V6240" s="12" t="s">
        <v>52</v>
      </c>
      <c r="W6240" s="12" t="s">
        <v>13161</v>
      </c>
      <c r="X6240" s="16" t="s">
        <v>28605</v>
      </c>
      <c r="Y6240" s="15" t="s">
        <v>192</v>
      </c>
      <c r="Z6240" s="14">
        <v>30.19</v>
      </c>
      <c r="AA6240" s="14">
        <v>319.49</v>
      </c>
      <c r="AB6240" s="12" t="s">
        <v>56</v>
      </c>
      <c r="AC6240" s="12" t="s">
        <v>13163</v>
      </c>
      <c r="AD6240" s="13">
        <v>42768</v>
      </c>
      <c r="AE6240" s="12" t="s">
        <v>184</v>
      </c>
      <c r="AF6240" s="12" t="s">
        <v>7086</v>
      </c>
      <c r="AG6240" s="12" t="s">
        <v>2088</v>
      </c>
      <c r="AH6240" s="1">
        <f>HYPERLINK("https://my.pitchbook.com?c=81558-10T","View Company Online")</f>
      </c>
    </row>
    <row r="6241">
      <c r="A6241" s="3" t="s">
        <v>28606</v>
      </c>
      <c r="B6241" s="3" t="s">
        <v>25266</v>
      </c>
      <c r="C6241" s="5">
        <v>5</v>
      </c>
      <c r="D6241" s="5">
        <v>37</v>
      </c>
      <c r="E6241" s="5">
        <v>7</v>
      </c>
      <c r="F6241" s="5">
        <v>50</v>
      </c>
      <c r="G6241" s="6" t="s">
        <v>683</v>
      </c>
      <c r="H6241" s="4">
        <v>103.86</v>
      </c>
      <c r="I6241" s="7">
        <v>20.74</v>
      </c>
      <c r="J6241" s="3" t="s">
        <v>521</v>
      </c>
      <c r="K6241" s="9" t="s">
        <v>36</v>
      </c>
      <c r="L6241" s="6" t="s">
        <v>36</v>
      </c>
      <c r="M6241" s="3" t="s">
        <v>36</v>
      </c>
      <c r="N6241" s="3" t="s">
        <v>36</v>
      </c>
      <c r="O6241" s="8" t="s">
        <v>36</v>
      </c>
      <c r="P6241" s="3" t="s">
        <v>36</v>
      </c>
      <c r="Q6241" s="3" t="s">
        <v>36</v>
      </c>
      <c r="R6241" s="3" t="s">
        <v>36</v>
      </c>
      <c r="S6241" s="3" t="s">
        <v>36</v>
      </c>
      <c r="T6241" s="3" t="s">
        <v>25267</v>
      </c>
      <c r="U6241" s="3" t="s">
        <v>1082</v>
      </c>
      <c r="V6241" s="3" t="s">
        <v>378</v>
      </c>
      <c r="W6241" s="3" t="s">
        <v>25268</v>
      </c>
      <c r="X6241" s="10" t="s">
        <v>28607</v>
      </c>
      <c r="Y6241" s="6" t="s">
        <v>192</v>
      </c>
      <c r="Z6241" s="4">
        <v>1.36</v>
      </c>
      <c r="AA6241" s="4">
        <v>6.55</v>
      </c>
      <c r="AB6241" s="3" t="s">
        <v>56</v>
      </c>
      <c r="AC6241" s="3" t="s">
        <v>25270</v>
      </c>
      <c r="AD6241" s="9">
        <v>42768</v>
      </c>
      <c r="AE6241" s="3" t="s">
        <v>7876</v>
      </c>
      <c r="AF6241" s="3" t="s">
        <v>20655</v>
      </c>
      <c r="AG6241" s="3" t="s">
        <v>382</v>
      </c>
      <c r="AH6241" s="11">
        <f>HYPERLINK("https://my.pitchbook.com?c=117637-93T","View Company Online")</f>
      </c>
    </row>
    <row r="6242">
      <c r="A6242" s="12" t="s">
        <v>28608</v>
      </c>
      <c r="B6242" s="12" t="s">
        <v>28609</v>
      </c>
      <c r="C6242" s="19" t="s">
        <v>36</v>
      </c>
      <c r="D6242" s="19" t="s">
        <v>36</v>
      </c>
      <c r="E6242" s="19" t="s">
        <v>36</v>
      </c>
      <c r="F6242" s="19" t="s">
        <v>36</v>
      </c>
      <c r="G6242" s="15" t="s">
        <v>36</v>
      </c>
      <c r="H6242" s="14" t="s">
        <v>36</v>
      </c>
      <c r="I6242" s="18" t="s">
        <v>36</v>
      </c>
      <c r="J6242" s="12" t="s">
        <v>36</v>
      </c>
      <c r="K6242" s="13" t="s">
        <v>36</v>
      </c>
      <c r="L6242" s="15" t="s">
        <v>36</v>
      </c>
      <c r="M6242" s="12" t="s">
        <v>36</v>
      </c>
      <c r="N6242" s="12" t="s">
        <v>36</v>
      </c>
      <c r="O6242" s="17" t="s">
        <v>36</v>
      </c>
      <c r="P6242" s="12" t="s">
        <v>36</v>
      </c>
      <c r="Q6242" s="12" t="s">
        <v>36</v>
      </c>
      <c r="R6242" s="12" t="s">
        <v>36</v>
      </c>
      <c r="S6242" s="12" t="s">
        <v>36</v>
      </c>
      <c r="T6242" s="12" t="s">
        <v>15306</v>
      </c>
      <c r="U6242" s="12" t="s">
        <v>38</v>
      </c>
      <c r="V6242" s="12" t="s">
        <v>39</v>
      </c>
      <c r="W6242" s="12" t="s">
        <v>28610</v>
      </c>
      <c r="X6242" s="16" t="s">
        <v>17804</v>
      </c>
      <c r="Y6242" s="15" t="s">
        <v>42</v>
      </c>
      <c r="Z6242" s="14">
        <v>5.01</v>
      </c>
      <c r="AA6242" s="14" t="s">
        <v>36</v>
      </c>
      <c r="AB6242" s="12" t="s">
        <v>43</v>
      </c>
      <c r="AC6242" s="12" t="s">
        <v>28611</v>
      </c>
      <c r="AD6242" s="13">
        <v>42768</v>
      </c>
      <c r="AE6242" s="12" t="s">
        <v>45</v>
      </c>
      <c r="AF6242" s="12" t="s">
        <v>1257</v>
      </c>
      <c r="AG6242" s="12" t="s">
        <v>652</v>
      </c>
      <c r="AH6242" s="1">
        <f>HYPERLINK("https://my.pitchbook.com?c=81902-44T","View Company Online")</f>
      </c>
    </row>
    <row r="6243">
      <c r="A6243" s="3" t="s">
        <v>28612</v>
      </c>
      <c r="B6243" s="3" t="s">
        <v>15903</v>
      </c>
      <c r="C6243" s="5">
        <v>6</v>
      </c>
      <c r="D6243" s="5">
        <v>34</v>
      </c>
      <c r="E6243" s="5">
        <v>11</v>
      </c>
      <c r="F6243" s="5">
        <v>44</v>
      </c>
      <c r="G6243" s="6" t="s">
        <v>36</v>
      </c>
      <c r="H6243" s="4">
        <v>7.79</v>
      </c>
      <c r="I6243" s="7">
        <v>42.72</v>
      </c>
      <c r="J6243" s="3" t="s">
        <v>521</v>
      </c>
      <c r="K6243" s="9" t="s">
        <v>36</v>
      </c>
      <c r="L6243" s="6" t="s">
        <v>36</v>
      </c>
      <c r="M6243" s="3" t="s">
        <v>36</v>
      </c>
      <c r="N6243" s="3" t="s">
        <v>36</v>
      </c>
      <c r="O6243" s="8" t="s">
        <v>36</v>
      </c>
      <c r="P6243" s="3" t="s">
        <v>36</v>
      </c>
      <c r="Q6243" s="3" t="s">
        <v>36</v>
      </c>
      <c r="R6243" s="3" t="s">
        <v>36</v>
      </c>
      <c r="S6243" s="3" t="s">
        <v>15904</v>
      </c>
      <c r="T6243" s="3" t="s">
        <v>3729</v>
      </c>
      <c r="U6243" s="3" t="s">
        <v>219</v>
      </c>
      <c r="V6243" s="3" t="s">
        <v>75</v>
      </c>
      <c r="W6243" s="3" t="s">
        <v>15905</v>
      </c>
      <c r="X6243" s="10" t="s">
        <v>28613</v>
      </c>
      <c r="Y6243" s="6" t="s">
        <v>42</v>
      </c>
      <c r="Z6243" s="4">
        <v>1.17</v>
      </c>
      <c r="AA6243" s="4">
        <v>2.74</v>
      </c>
      <c r="AB6243" s="3" t="s">
        <v>43</v>
      </c>
      <c r="AC6243" s="3" t="s">
        <v>15906</v>
      </c>
      <c r="AD6243" s="9">
        <v>42768</v>
      </c>
      <c r="AE6243" s="3" t="s">
        <v>1032</v>
      </c>
      <c r="AF6243" s="3" t="s">
        <v>15907</v>
      </c>
      <c r="AG6243" s="3" t="s">
        <v>4514</v>
      </c>
      <c r="AH6243" s="11">
        <f>HYPERLINK("https://my.pitchbook.com?c=82851-04T","View Company Online")</f>
      </c>
    </row>
    <row r="6244">
      <c r="A6244" s="12" t="s">
        <v>28614</v>
      </c>
      <c r="B6244" s="12" t="s">
        <v>28615</v>
      </c>
      <c r="C6244" s="19" t="s">
        <v>36</v>
      </c>
      <c r="D6244" s="19" t="s">
        <v>36</v>
      </c>
      <c r="E6244" s="19" t="s">
        <v>36</v>
      </c>
      <c r="F6244" s="19" t="s">
        <v>36</v>
      </c>
      <c r="G6244" s="15" t="s">
        <v>36</v>
      </c>
      <c r="H6244" s="14">
        <v>24.33</v>
      </c>
      <c r="I6244" s="18">
        <v>29.91</v>
      </c>
      <c r="J6244" s="12" t="s">
        <v>327</v>
      </c>
      <c r="K6244" s="13" t="s">
        <v>36</v>
      </c>
      <c r="L6244" s="15" t="s">
        <v>36</v>
      </c>
      <c r="M6244" s="12" t="s">
        <v>36</v>
      </c>
      <c r="N6244" s="12" t="s">
        <v>36</v>
      </c>
      <c r="O6244" s="17" t="s">
        <v>36</v>
      </c>
      <c r="P6244" s="12" t="s">
        <v>36</v>
      </c>
      <c r="Q6244" s="12" t="s">
        <v>36</v>
      </c>
      <c r="R6244" s="12" t="s">
        <v>36</v>
      </c>
      <c r="S6244" s="12" t="s">
        <v>36</v>
      </c>
      <c r="T6244" s="12" t="s">
        <v>16553</v>
      </c>
      <c r="U6244" s="12" t="s">
        <v>38</v>
      </c>
      <c r="V6244" s="12" t="s">
        <v>39</v>
      </c>
      <c r="W6244" s="12" t="s">
        <v>28616</v>
      </c>
      <c r="X6244" s="16" t="s">
        <v>28617</v>
      </c>
      <c r="Y6244" s="15" t="s">
        <v>42</v>
      </c>
      <c r="Z6244" s="14">
        <v>1.28</v>
      </c>
      <c r="AA6244" s="14">
        <v>2.28</v>
      </c>
      <c r="AB6244" s="12" t="s">
        <v>43</v>
      </c>
      <c r="AC6244" s="12" t="s">
        <v>28618</v>
      </c>
      <c r="AD6244" s="13">
        <v>42767</v>
      </c>
      <c r="AE6244" s="12" t="s">
        <v>1945</v>
      </c>
      <c r="AF6244" s="12" t="s">
        <v>4552</v>
      </c>
      <c r="AG6244" s="12" t="s">
        <v>144</v>
      </c>
      <c r="AH6244" s="1">
        <f>HYPERLINK("https://my.pitchbook.com?c=78868-90T","View Company Online")</f>
      </c>
    </row>
    <row r="6245">
      <c r="A6245" s="3" t="s">
        <v>28619</v>
      </c>
      <c r="B6245" s="3" t="s">
        <v>28620</v>
      </c>
      <c r="C6245" s="5" t="s">
        <v>36</v>
      </c>
      <c r="D6245" s="5" t="s">
        <v>36</v>
      </c>
      <c r="E6245" s="5" t="s">
        <v>36</v>
      </c>
      <c r="F6245" s="5" t="s">
        <v>36</v>
      </c>
      <c r="G6245" s="6" t="s">
        <v>36</v>
      </c>
      <c r="H6245" s="4" t="s">
        <v>36</v>
      </c>
      <c r="I6245" s="7" t="s">
        <v>36</v>
      </c>
      <c r="J6245" s="3" t="s">
        <v>36</v>
      </c>
      <c r="K6245" s="9" t="s">
        <v>36</v>
      </c>
      <c r="L6245" s="6" t="s">
        <v>36</v>
      </c>
      <c r="M6245" s="3" t="s">
        <v>36</v>
      </c>
      <c r="N6245" s="3" t="s">
        <v>36</v>
      </c>
      <c r="O6245" s="8" t="s">
        <v>36</v>
      </c>
      <c r="P6245" s="3" t="s">
        <v>36</v>
      </c>
      <c r="Q6245" s="3" t="s">
        <v>36</v>
      </c>
      <c r="R6245" s="3" t="s">
        <v>36</v>
      </c>
      <c r="S6245" s="3" t="s">
        <v>36</v>
      </c>
      <c r="T6245" s="3" t="s">
        <v>105</v>
      </c>
      <c r="U6245" s="3" t="s">
        <v>38</v>
      </c>
      <c r="V6245" s="3" t="s">
        <v>39</v>
      </c>
      <c r="W6245" s="3" t="s">
        <v>28621</v>
      </c>
      <c r="X6245" s="10" t="s">
        <v>11111</v>
      </c>
      <c r="Y6245" s="6" t="s">
        <v>42</v>
      </c>
      <c r="Z6245" s="4">
        <v>0.64</v>
      </c>
      <c r="AA6245" s="4" t="s">
        <v>36</v>
      </c>
      <c r="AB6245" s="3" t="s">
        <v>43</v>
      </c>
      <c r="AC6245" s="3" t="s">
        <v>28622</v>
      </c>
      <c r="AD6245" s="9">
        <v>42767</v>
      </c>
      <c r="AE6245" s="3" t="s">
        <v>110</v>
      </c>
      <c r="AF6245" s="3" t="s">
        <v>80</v>
      </c>
      <c r="AG6245" s="3" t="s">
        <v>81</v>
      </c>
      <c r="AH6245" s="11">
        <f>HYPERLINK("https://my.pitchbook.com?c=112166-74T","View Company Online")</f>
      </c>
    </row>
    <row r="6246">
      <c r="A6246" s="12" t="s">
        <v>28623</v>
      </c>
      <c r="B6246" s="12" t="s">
        <v>28624</v>
      </c>
      <c r="C6246" s="19" t="s">
        <v>36</v>
      </c>
      <c r="D6246" s="19">
        <v>14</v>
      </c>
      <c r="E6246" s="19">
        <v>11</v>
      </c>
      <c r="F6246" s="19">
        <v>36</v>
      </c>
      <c r="G6246" s="15" t="s">
        <v>36</v>
      </c>
      <c r="H6246" s="14" t="s">
        <v>36</v>
      </c>
      <c r="I6246" s="18" t="s">
        <v>36</v>
      </c>
      <c r="J6246" s="12" t="s">
        <v>36</v>
      </c>
      <c r="K6246" s="13" t="s">
        <v>36</v>
      </c>
      <c r="L6246" s="15" t="s">
        <v>36</v>
      </c>
      <c r="M6246" s="12" t="s">
        <v>36</v>
      </c>
      <c r="N6246" s="12" t="s">
        <v>36</v>
      </c>
      <c r="O6246" s="17" t="s">
        <v>36</v>
      </c>
      <c r="P6246" s="12" t="s">
        <v>36</v>
      </c>
      <c r="Q6246" s="12" t="s">
        <v>36</v>
      </c>
      <c r="R6246" s="12" t="s">
        <v>36</v>
      </c>
      <c r="S6246" s="12" t="s">
        <v>36</v>
      </c>
      <c r="T6246" s="12" t="s">
        <v>28625</v>
      </c>
      <c r="U6246" s="12" t="s">
        <v>219</v>
      </c>
      <c r="V6246" s="12" t="s">
        <v>75</v>
      </c>
      <c r="W6246" s="12" t="s">
        <v>28626</v>
      </c>
      <c r="X6246" s="16" t="s">
        <v>28627</v>
      </c>
      <c r="Y6246" s="15" t="s">
        <v>1067</v>
      </c>
      <c r="Z6246" s="14" t="s">
        <v>36</v>
      </c>
      <c r="AA6246" s="14" t="s">
        <v>36</v>
      </c>
      <c r="AB6246" s="12" t="s">
        <v>56</v>
      </c>
      <c r="AC6246" s="12" t="s">
        <v>28628</v>
      </c>
      <c r="AD6246" s="13">
        <v>42767</v>
      </c>
      <c r="AE6246" s="12" t="s">
        <v>1912</v>
      </c>
      <c r="AF6246" s="12" t="s">
        <v>36</v>
      </c>
      <c r="AG6246" s="12" t="s">
        <v>186</v>
      </c>
      <c r="AH6246" s="1">
        <f>HYPERLINK("https://my.pitchbook.com?c=184754-26T","View Company Online")</f>
      </c>
    </row>
    <row r="6247">
      <c r="A6247" s="3" t="s">
        <v>28629</v>
      </c>
      <c r="B6247" s="3" t="s">
        <v>20736</v>
      </c>
      <c r="C6247" s="5" t="s">
        <v>36</v>
      </c>
      <c r="D6247" s="5" t="s">
        <v>36</v>
      </c>
      <c r="E6247" s="5" t="s">
        <v>36</v>
      </c>
      <c r="F6247" s="5" t="s">
        <v>36</v>
      </c>
      <c r="G6247" s="6" t="s">
        <v>36</v>
      </c>
      <c r="H6247" s="4" t="s">
        <v>36</v>
      </c>
      <c r="I6247" s="7">
        <v>25.01</v>
      </c>
      <c r="J6247" s="3" t="s">
        <v>327</v>
      </c>
      <c r="K6247" s="9" t="s">
        <v>36</v>
      </c>
      <c r="L6247" s="6" t="s">
        <v>36</v>
      </c>
      <c r="M6247" s="3" t="s">
        <v>36</v>
      </c>
      <c r="N6247" s="3" t="s">
        <v>36</v>
      </c>
      <c r="O6247" s="8" t="s">
        <v>36</v>
      </c>
      <c r="P6247" s="3" t="s">
        <v>36</v>
      </c>
      <c r="Q6247" s="3" t="s">
        <v>36</v>
      </c>
      <c r="R6247" s="3" t="s">
        <v>36</v>
      </c>
      <c r="S6247" s="3" t="s">
        <v>36</v>
      </c>
      <c r="T6247" s="3" t="s">
        <v>2609</v>
      </c>
      <c r="U6247" s="3" t="s">
        <v>423</v>
      </c>
      <c r="V6247" s="3" t="s">
        <v>64</v>
      </c>
      <c r="W6247" s="3" t="s">
        <v>20737</v>
      </c>
      <c r="X6247" s="10" t="s">
        <v>28630</v>
      </c>
      <c r="Y6247" s="6" t="s">
        <v>42</v>
      </c>
      <c r="Z6247" s="4">
        <v>0.53</v>
      </c>
      <c r="AA6247" s="4">
        <v>2.13</v>
      </c>
      <c r="AB6247" s="3" t="s">
        <v>56</v>
      </c>
      <c r="AC6247" s="3" t="s">
        <v>20739</v>
      </c>
      <c r="AD6247" s="9">
        <v>42767</v>
      </c>
      <c r="AE6247" s="3" t="s">
        <v>562</v>
      </c>
      <c r="AF6247" s="3" t="s">
        <v>1061</v>
      </c>
      <c r="AG6247" s="3" t="s">
        <v>81</v>
      </c>
      <c r="AH6247" s="11">
        <f>HYPERLINK("https://my.pitchbook.com?c=94365-55T","View Company Online")</f>
      </c>
    </row>
    <row r="6248">
      <c r="A6248" s="12" t="s">
        <v>28631</v>
      </c>
      <c r="B6248" s="12" t="s">
        <v>25362</v>
      </c>
      <c r="C6248" s="19" t="s">
        <v>36</v>
      </c>
      <c r="D6248" s="19" t="s">
        <v>36</v>
      </c>
      <c r="E6248" s="19" t="s">
        <v>36</v>
      </c>
      <c r="F6248" s="19" t="s">
        <v>36</v>
      </c>
      <c r="G6248" s="15" t="s">
        <v>36</v>
      </c>
      <c r="H6248" s="14" t="s">
        <v>36</v>
      </c>
      <c r="I6248" s="18" t="s">
        <v>36</v>
      </c>
      <c r="J6248" s="12" t="s">
        <v>36</v>
      </c>
      <c r="K6248" s="13" t="s">
        <v>36</v>
      </c>
      <c r="L6248" s="15" t="s">
        <v>36</v>
      </c>
      <c r="M6248" s="12" t="s">
        <v>36</v>
      </c>
      <c r="N6248" s="12" t="s">
        <v>36</v>
      </c>
      <c r="O6248" s="17" t="s">
        <v>36</v>
      </c>
      <c r="P6248" s="12" t="s">
        <v>36</v>
      </c>
      <c r="Q6248" s="12" t="s">
        <v>36</v>
      </c>
      <c r="R6248" s="12" t="s">
        <v>36</v>
      </c>
      <c r="S6248" s="12" t="s">
        <v>36</v>
      </c>
      <c r="T6248" s="12" t="s">
        <v>25363</v>
      </c>
      <c r="U6248" s="12" t="s">
        <v>74</v>
      </c>
      <c r="V6248" s="12" t="s">
        <v>75</v>
      </c>
      <c r="W6248" s="12" t="s">
        <v>25364</v>
      </c>
      <c r="X6248" s="16" t="s">
        <v>28632</v>
      </c>
      <c r="Y6248" s="15" t="s">
        <v>108</v>
      </c>
      <c r="Z6248" s="14" t="s">
        <v>36</v>
      </c>
      <c r="AA6248" s="14" t="s">
        <v>36</v>
      </c>
      <c r="AB6248" s="12" t="s">
        <v>43</v>
      </c>
      <c r="AC6248" s="12" t="s">
        <v>25366</v>
      </c>
      <c r="AD6248" s="13">
        <v>42767</v>
      </c>
      <c r="AE6248" s="12" t="s">
        <v>362</v>
      </c>
      <c r="AF6248" s="12" t="s">
        <v>8083</v>
      </c>
      <c r="AG6248" s="12" t="s">
        <v>81</v>
      </c>
      <c r="AH6248" s="1">
        <f>HYPERLINK("https://my.pitchbook.com?c=82504-63T","View Company Online")</f>
      </c>
    </row>
    <row r="6249">
      <c r="A6249" s="3" t="s">
        <v>28633</v>
      </c>
      <c r="B6249" s="3" t="s">
        <v>28634</v>
      </c>
      <c r="C6249" s="5" t="s">
        <v>36</v>
      </c>
      <c r="D6249" s="5" t="s">
        <v>36</v>
      </c>
      <c r="E6249" s="5" t="s">
        <v>36</v>
      </c>
      <c r="F6249" s="5" t="s">
        <v>36</v>
      </c>
      <c r="G6249" s="6" t="s">
        <v>36</v>
      </c>
      <c r="H6249" s="4" t="s">
        <v>36</v>
      </c>
      <c r="I6249" s="7" t="s">
        <v>36</v>
      </c>
      <c r="J6249" s="3" t="s">
        <v>36</v>
      </c>
      <c r="K6249" s="9" t="s">
        <v>36</v>
      </c>
      <c r="L6249" s="6" t="s">
        <v>36</v>
      </c>
      <c r="M6249" s="3" t="s">
        <v>36</v>
      </c>
      <c r="N6249" s="3" t="s">
        <v>36</v>
      </c>
      <c r="O6249" s="8" t="s">
        <v>36</v>
      </c>
      <c r="P6249" s="3" t="s">
        <v>36</v>
      </c>
      <c r="Q6249" s="3" t="s">
        <v>36</v>
      </c>
      <c r="R6249" s="3" t="s">
        <v>36</v>
      </c>
      <c r="S6249" s="3" t="s">
        <v>36</v>
      </c>
      <c r="T6249" s="3" t="s">
        <v>28635</v>
      </c>
      <c r="U6249" s="3" t="s">
        <v>423</v>
      </c>
      <c r="V6249" s="3" t="s">
        <v>64</v>
      </c>
      <c r="W6249" s="3" t="s">
        <v>28636</v>
      </c>
      <c r="X6249" s="10" t="s">
        <v>20713</v>
      </c>
      <c r="Y6249" s="6" t="s">
        <v>42</v>
      </c>
      <c r="Z6249" s="4" t="s">
        <v>36</v>
      </c>
      <c r="AA6249" s="4" t="s">
        <v>36</v>
      </c>
      <c r="AB6249" s="3" t="s">
        <v>43</v>
      </c>
      <c r="AC6249" s="3" t="s">
        <v>28637</v>
      </c>
      <c r="AD6249" s="9">
        <v>42767</v>
      </c>
      <c r="AE6249" s="3" t="s">
        <v>1051</v>
      </c>
      <c r="AF6249" s="3" t="s">
        <v>28638</v>
      </c>
      <c r="AG6249" s="3" t="s">
        <v>81</v>
      </c>
      <c r="AH6249" s="11">
        <f>HYPERLINK("https://my.pitchbook.com?c=165414-07T","View Company Online")</f>
      </c>
    </row>
    <row r="6250">
      <c r="A6250" s="12" t="s">
        <v>28639</v>
      </c>
      <c r="B6250" s="12" t="s">
        <v>28640</v>
      </c>
      <c r="C6250" s="19" t="s">
        <v>36</v>
      </c>
      <c r="D6250" s="19" t="s">
        <v>36</v>
      </c>
      <c r="E6250" s="19" t="s">
        <v>36</v>
      </c>
      <c r="F6250" s="19" t="s">
        <v>36</v>
      </c>
      <c r="G6250" s="15" t="s">
        <v>36</v>
      </c>
      <c r="H6250" s="14" t="s">
        <v>36</v>
      </c>
      <c r="I6250" s="18" t="s">
        <v>36</v>
      </c>
      <c r="J6250" s="12" t="s">
        <v>36</v>
      </c>
      <c r="K6250" s="13" t="s">
        <v>36</v>
      </c>
      <c r="L6250" s="15" t="s">
        <v>36</v>
      </c>
      <c r="M6250" s="12" t="s">
        <v>36</v>
      </c>
      <c r="N6250" s="12" t="s">
        <v>36</v>
      </c>
      <c r="O6250" s="17" t="s">
        <v>36</v>
      </c>
      <c r="P6250" s="12" t="s">
        <v>36</v>
      </c>
      <c r="Q6250" s="12" t="s">
        <v>36</v>
      </c>
      <c r="R6250" s="12" t="s">
        <v>36</v>
      </c>
      <c r="S6250" s="12" t="s">
        <v>36</v>
      </c>
      <c r="T6250" s="12" t="s">
        <v>1884</v>
      </c>
      <c r="U6250" s="12" t="s">
        <v>74</v>
      </c>
      <c r="V6250" s="12" t="s">
        <v>75</v>
      </c>
      <c r="W6250" s="12" t="s">
        <v>28641</v>
      </c>
      <c r="X6250" s="16" t="s">
        <v>1872</v>
      </c>
      <c r="Y6250" s="15" t="s">
        <v>42</v>
      </c>
      <c r="Z6250" s="14" t="s">
        <v>36</v>
      </c>
      <c r="AA6250" s="14" t="s">
        <v>36</v>
      </c>
      <c r="AB6250" s="12" t="s">
        <v>43</v>
      </c>
      <c r="AC6250" s="12" t="s">
        <v>28642</v>
      </c>
      <c r="AD6250" s="13">
        <v>42767</v>
      </c>
      <c r="AE6250" s="12" t="s">
        <v>1888</v>
      </c>
      <c r="AF6250" s="12" t="s">
        <v>546</v>
      </c>
      <c r="AG6250" s="12" t="s">
        <v>28643</v>
      </c>
      <c r="AH6250" s="1">
        <f>HYPERLINK("https://my.pitchbook.com?c=82069-39T","View Company Online")</f>
      </c>
    </row>
    <row r="6251">
      <c r="A6251" s="3" t="s">
        <v>28644</v>
      </c>
      <c r="B6251" s="3" t="s">
        <v>7420</v>
      </c>
      <c r="C6251" s="5" t="s">
        <v>36</v>
      </c>
      <c r="D6251" s="5" t="s">
        <v>36</v>
      </c>
      <c r="E6251" s="5" t="s">
        <v>36</v>
      </c>
      <c r="F6251" s="5" t="s">
        <v>36</v>
      </c>
      <c r="G6251" s="6" t="s">
        <v>36</v>
      </c>
      <c r="H6251" s="4">
        <v>4.52</v>
      </c>
      <c r="I6251" s="7">
        <v>25.02</v>
      </c>
      <c r="J6251" s="3" t="s">
        <v>327</v>
      </c>
      <c r="K6251" s="9">
        <v>42735</v>
      </c>
      <c r="L6251" s="6" t="s">
        <v>36</v>
      </c>
      <c r="M6251" s="3" t="s">
        <v>36</v>
      </c>
      <c r="N6251" s="3" t="s">
        <v>36</v>
      </c>
      <c r="O6251" s="8" t="s">
        <v>36</v>
      </c>
      <c r="P6251" s="3" t="s">
        <v>36</v>
      </c>
      <c r="Q6251" s="3" t="s">
        <v>36</v>
      </c>
      <c r="R6251" s="3" t="s">
        <v>36</v>
      </c>
      <c r="S6251" s="3" t="s">
        <v>36</v>
      </c>
      <c r="T6251" s="3" t="s">
        <v>1188</v>
      </c>
      <c r="U6251" s="3" t="s">
        <v>180</v>
      </c>
      <c r="V6251" s="3" t="s">
        <v>52</v>
      </c>
      <c r="W6251" s="3" t="s">
        <v>7421</v>
      </c>
      <c r="X6251" s="10" t="s">
        <v>28645</v>
      </c>
      <c r="Y6251" s="6" t="s">
        <v>108</v>
      </c>
      <c r="Z6251" s="4">
        <v>0.53</v>
      </c>
      <c r="AA6251" s="4">
        <v>2.13</v>
      </c>
      <c r="AB6251" s="3" t="s">
        <v>43</v>
      </c>
      <c r="AC6251" s="3" t="s">
        <v>7423</v>
      </c>
      <c r="AD6251" s="9">
        <v>42767</v>
      </c>
      <c r="AE6251" s="3" t="s">
        <v>1192</v>
      </c>
      <c r="AF6251" s="3" t="s">
        <v>7424</v>
      </c>
      <c r="AG6251" s="3" t="s">
        <v>7425</v>
      </c>
      <c r="AH6251" s="11">
        <f>HYPERLINK("https://my.pitchbook.com?c=96134-59T","View Company Online")</f>
      </c>
    </row>
    <row r="6252">
      <c r="A6252" s="12" t="s">
        <v>28646</v>
      </c>
      <c r="B6252" s="12" t="s">
        <v>25873</v>
      </c>
      <c r="C6252" s="19" t="s">
        <v>36</v>
      </c>
      <c r="D6252" s="19" t="s">
        <v>36</v>
      </c>
      <c r="E6252" s="19" t="s">
        <v>36</v>
      </c>
      <c r="F6252" s="19" t="s">
        <v>36</v>
      </c>
      <c r="G6252" s="15" t="s">
        <v>36</v>
      </c>
      <c r="H6252" s="14" t="s">
        <v>36</v>
      </c>
      <c r="I6252" s="18" t="s">
        <v>36</v>
      </c>
      <c r="J6252" s="12" t="s">
        <v>36</v>
      </c>
      <c r="K6252" s="13" t="s">
        <v>36</v>
      </c>
      <c r="L6252" s="15" t="s">
        <v>36</v>
      </c>
      <c r="M6252" s="12" t="s">
        <v>36</v>
      </c>
      <c r="N6252" s="12" t="s">
        <v>36</v>
      </c>
      <c r="O6252" s="17" t="s">
        <v>36</v>
      </c>
      <c r="P6252" s="12" t="s">
        <v>36</v>
      </c>
      <c r="Q6252" s="12" t="s">
        <v>36</v>
      </c>
      <c r="R6252" s="12" t="s">
        <v>36</v>
      </c>
      <c r="S6252" s="12" t="s">
        <v>36</v>
      </c>
      <c r="T6252" s="12" t="s">
        <v>25874</v>
      </c>
      <c r="U6252" s="12" t="s">
        <v>38</v>
      </c>
      <c r="V6252" s="12" t="s">
        <v>39</v>
      </c>
      <c r="W6252" s="12" t="s">
        <v>25875</v>
      </c>
      <c r="X6252" s="16" t="s">
        <v>221</v>
      </c>
      <c r="Y6252" s="15" t="s">
        <v>192</v>
      </c>
      <c r="Z6252" s="14">
        <v>9.58</v>
      </c>
      <c r="AA6252" s="14" t="s">
        <v>36</v>
      </c>
      <c r="AB6252" s="12" t="s">
        <v>56</v>
      </c>
      <c r="AC6252" s="12" t="s">
        <v>25876</v>
      </c>
      <c r="AD6252" s="13">
        <v>42767</v>
      </c>
      <c r="AE6252" s="12" t="s">
        <v>1330</v>
      </c>
      <c r="AF6252" s="12" t="s">
        <v>25877</v>
      </c>
      <c r="AG6252" s="12" t="s">
        <v>81</v>
      </c>
      <c r="AH6252" s="1">
        <f>HYPERLINK("https://my.pitchbook.com?c=138421-54T","View Company Online")</f>
      </c>
    </row>
    <row r="6253">
      <c r="A6253" s="3" t="s">
        <v>28647</v>
      </c>
      <c r="B6253" s="3" t="s">
        <v>11173</v>
      </c>
      <c r="C6253" s="5" t="s">
        <v>36</v>
      </c>
      <c r="D6253" s="5" t="s">
        <v>36</v>
      </c>
      <c r="E6253" s="5" t="s">
        <v>36</v>
      </c>
      <c r="F6253" s="5" t="s">
        <v>36</v>
      </c>
      <c r="G6253" s="6" t="s">
        <v>326</v>
      </c>
      <c r="H6253" s="4">
        <v>7.56</v>
      </c>
      <c r="I6253" s="7">
        <v>33.47</v>
      </c>
      <c r="J6253" s="3" t="s">
        <v>521</v>
      </c>
      <c r="K6253" s="9">
        <v>42725</v>
      </c>
      <c r="L6253" s="6" t="s">
        <v>36</v>
      </c>
      <c r="M6253" s="3" t="s">
        <v>36</v>
      </c>
      <c r="N6253" s="3" t="s">
        <v>36</v>
      </c>
      <c r="O6253" s="8" t="s">
        <v>36</v>
      </c>
      <c r="P6253" s="3" t="s">
        <v>36</v>
      </c>
      <c r="Q6253" s="3" t="s">
        <v>36</v>
      </c>
      <c r="R6253" s="3" t="s">
        <v>36</v>
      </c>
      <c r="S6253" s="3" t="s">
        <v>36</v>
      </c>
      <c r="T6253" s="3" t="s">
        <v>11174</v>
      </c>
      <c r="U6253" s="3" t="s">
        <v>404</v>
      </c>
      <c r="V6253" s="3" t="s">
        <v>405</v>
      </c>
      <c r="W6253" s="3" t="s">
        <v>11175</v>
      </c>
      <c r="X6253" s="10" t="s">
        <v>28648</v>
      </c>
      <c r="Y6253" s="6" t="s">
        <v>108</v>
      </c>
      <c r="Z6253" s="4">
        <v>5.32</v>
      </c>
      <c r="AA6253" s="4">
        <v>10.06</v>
      </c>
      <c r="AB6253" s="3" t="s">
        <v>43</v>
      </c>
      <c r="AC6253" s="3" t="s">
        <v>11177</v>
      </c>
      <c r="AD6253" s="9">
        <v>42767</v>
      </c>
      <c r="AE6253" s="3" t="s">
        <v>3608</v>
      </c>
      <c r="AF6253" s="3" t="s">
        <v>7466</v>
      </c>
      <c r="AG6253" s="3" t="s">
        <v>81</v>
      </c>
      <c r="AH6253" s="11">
        <f>HYPERLINK("https://my.pitchbook.com?c=81844-48T","View Company Online")</f>
      </c>
    </row>
    <row r="6254">
      <c r="A6254" s="12" t="s">
        <v>28649</v>
      </c>
      <c r="B6254" s="12" t="s">
        <v>15425</v>
      </c>
      <c r="C6254" s="19">
        <v>1</v>
      </c>
      <c r="D6254" s="19">
        <v>4</v>
      </c>
      <c r="E6254" s="19">
        <v>2</v>
      </c>
      <c r="F6254" s="19">
        <v>5</v>
      </c>
      <c r="G6254" s="15" t="s">
        <v>36</v>
      </c>
      <c r="H6254" s="14" t="s">
        <v>36</v>
      </c>
      <c r="I6254" s="18" t="s">
        <v>36</v>
      </c>
      <c r="J6254" s="12" t="s">
        <v>36</v>
      </c>
      <c r="K6254" s="13" t="s">
        <v>36</v>
      </c>
      <c r="L6254" s="15" t="s">
        <v>36</v>
      </c>
      <c r="M6254" s="12" t="s">
        <v>36</v>
      </c>
      <c r="N6254" s="12" t="s">
        <v>36</v>
      </c>
      <c r="O6254" s="17" t="s">
        <v>36</v>
      </c>
      <c r="P6254" s="12" t="s">
        <v>36</v>
      </c>
      <c r="Q6254" s="12" t="s">
        <v>36</v>
      </c>
      <c r="R6254" s="12" t="s">
        <v>36</v>
      </c>
      <c r="S6254" s="12" t="s">
        <v>36</v>
      </c>
      <c r="T6254" s="12" t="s">
        <v>5789</v>
      </c>
      <c r="U6254" s="12" t="s">
        <v>648</v>
      </c>
      <c r="V6254" s="12" t="s">
        <v>64</v>
      </c>
      <c r="W6254" s="12" t="s">
        <v>15426</v>
      </c>
      <c r="X6254" s="16" t="s">
        <v>28650</v>
      </c>
      <c r="Y6254" s="15" t="s">
        <v>108</v>
      </c>
      <c r="Z6254" s="14">
        <v>1.66</v>
      </c>
      <c r="AA6254" s="14" t="s">
        <v>36</v>
      </c>
      <c r="AB6254" s="12" t="s">
        <v>43</v>
      </c>
      <c r="AC6254" s="12" t="s">
        <v>15428</v>
      </c>
      <c r="AD6254" s="13">
        <v>42766</v>
      </c>
      <c r="AE6254" s="12" t="s">
        <v>651</v>
      </c>
      <c r="AF6254" s="12" t="s">
        <v>15429</v>
      </c>
      <c r="AG6254" s="12" t="s">
        <v>347</v>
      </c>
      <c r="AH6254" s="1">
        <f>HYPERLINK("https://my.pitchbook.com?c=90432-82T","View Company Online")</f>
      </c>
    </row>
    <row r="6255">
      <c r="A6255" s="3" t="s">
        <v>28651</v>
      </c>
      <c r="B6255" s="3" t="s">
        <v>28652</v>
      </c>
      <c r="C6255" s="5" t="s">
        <v>36</v>
      </c>
      <c r="D6255" s="5" t="s">
        <v>36</v>
      </c>
      <c r="E6255" s="5" t="s">
        <v>36</v>
      </c>
      <c r="F6255" s="5" t="s">
        <v>36</v>
      </c>
      <c r="G6255" s="6" t="s">
        <v>36</v>
      </c>
      <c r="H6255" s="4" t="s">
        <v>36</v>
      </c>
      <c r="I6255" s="7">
        <v>42</v>
      </c>
      <c r="J6255" s="3" t="s">
        <v>36</v>
      </c>
      <c r="K6255" s="9" t="s">
        <v>36</v>
      </c>
      <c r="L6255" s="6" t="s">
        <v>36</v>
      </c>
      <c r="M6255" s="3" t="s">
        <v>36</v>
      </c>
      <c r="N6255" s="3" t="s">
        <v>36</v>
      </c>
      <c r="O6255" s="8" t="s">
        <v>36</v>
      </c>
      <c r="P6255" s="3" t="s">
        <v>36</v>
      </c>
      <c r="Q6255" s="3" t="s">
        <v>36</v>
      </c>
      <c r="R6255" s="3" t="s">
        <v>36</v>
      </c>
      <c r="S6255" s="3" t="s">
        <v>36</v>
      </c>
      <c r="T6255" s="3" t="s">
        <v>12800</v>
      </c>
      <c r="U6255" s="3" t="s">
        <v>833</v>
      </c>
      <c r="V6255" s="3" t="s">
        <v>64</v>
      </c>
      <c r="W6255" s="3" t="s">
        <v>28653</v>
      </c>
      <c r="X6255" s="10" t="s">
        <v>28654</v>
      </c>
      <c r="Y6255" s="6" t="s">
        <v>192</v>
      </c>
      <c r="Z6255" s="4" t="s">
        <v>36</v>
      </c>
      <c r="AA6255" s="4" t="s">
        <v>36</v>
      </c>
      <c r="AB6255" s="3" t="s">
        <v>43</v>
      </c>
      <c r="AC6255" s="3" t="s">
        <v>28655</v>
      </c>
      <c r="AD6255" s="9">
        <v>42766</v>
      </c>
      <c r="AE6255" s="3" t="s">
        <v>1687</v>
      </c>
      <c r="AF6255" s="3" t="s">
        <v>10633</v>
      </c>
      <c r="AG6255" s="3" t="s">
        <v>5262</v>
      </c>
      <c r="AH6255" s="11">
        <f>HYPERLINK("https://my.pitchbook.com?c=83053-09T","View Company Online")</f>
      </c>
    </row>
    <row r="6256">
      <c r="A6256" s="12" t="s">
        <v>28656</v>
      </c>
      <c r="B6256" s="12" t="s">
        <v>19928</v>
      </c>
      <c r="C6256" s="19" t="s">
        <v>36</v>
      </c>
      <c r="D6256" s="19" t="s">
        <v>36</v>
      </c>
      <c r="E6256" s="19">
        <v>1</v>
      </c>
      <c r="F6256" s="19">
        <v>1</v>
      </c>
      <c r="G6256" s="15" t="s">
        <v>36</v>
      </c>
      <c r="H6256" s="14" t="s">
        <v>36</v>
      </c>
      <c r="I6256" s="18" t="s">
        <v>36</v>
      </c>
      <c r="J6256" s="12" t="s">
        <v>36</v>
      </c>
      <c r="K6256" s="13" t="s">
        <v>36</v>
      </c>
      <c r="L6256" s="15" t="s">
        <v>36</v>
      </c>
      <c r="M6256" s="12" t="s">
        <v>36</v>
      </c>
      <c r="N6256" s="12" t="s">
        <v>36</v>
      </c>
      <c r="O6256" s="17" t="s">
        <v>36</v>
      </c>
      <c r="P6256" s="12" t="s">
        <v>36</v>
      </c>
      <c r="Q6256" s="12" t="s">
        <v>36</v>
      </c>
      <c r="R6256" s="12" t="s">
        <v>36</v>
      </c>
      <c r="S6256" s="12" t="s">
        <v>36</v>
      </c>
      <c r="T6256" s="12" t="s">
        <v>19929</v>
      </c>
      <c r="U6256" s="12" t="s">
        <v>180</v>
      </c>
      <c r="V6256" s="12" t="s">
        <v>52</v>
      </c>
      <c r="W6256" s="12" t="s">
        <v>19930</v>
      </c>
      <c r="X6256" s="16" t="s">
        <v>28657</v>
      </c>
      <c r="Y6256" s="15" t="s">
        <v>108</v>
      </c>
      <c r="Z6256" s="14">
        <v>1.06</v>
      </c>
      <c r="AA6256" s="14" t="s">
        <v>36</v>
      </c>
      <c r="AB6256" s="12" t="s">
        <v>43</v>
      </c>
      <c r="AC6256" s="12" t="s">
        <v>19932</v>
      </c>
      <c r="AD6256" s="13">
        <v>42765</v>
      </c>
      <c r="AE6256" s="12" t="s">
        <v>184</v>
      </c>
      <c r="AF6256" s="12" t="s">
        <v>19933</v>
      </c>
      <c r="AG6256" s="12" t="s">
        <v>144</v>
      </c>
      <c r="AH6256" s="1">
        <f>HYPERLINK("https://my.pitchbook.com?c=91680-49T","View Company Online")</f>
      </c>
    </row>
    <row r="6257">
      <c r="A6257" s="3" t="s">
        <v>28658</v>
      </c>
      <c r="B6257" s="3" t="s">
        <v>28659</v>
      </c>
      <c r="C6257" s="5" t="s">
        <v>36</v>
      </c>
      <c r="D6257" s="5" t="s">
        <v>36</v>
      </c>
      <c r="E6257" s="5" t="s">
        <v>36</v>
      </c>
      <c r="F6257" s="5" t="s">
        <v>36</v>
      </c>
      <c r="G6257" s="6" t="s">
        <v>36</v>
      </c>
      <c r="H6257" s="4">
        <v>33.23</v>
      </c>
      <c r="I6257" s="7">
        <v>20</v>
      </c>
      <c r="J6257" s="3" t="s">
        <v>521</v>
      </c>
      <c r="K6257" s="9">
        <v>42699</v>
      </c>
      <c r="L6257" s="6" t="s">
        <v>36</v>
      </c>
      <c r="M6257" s="3" t="s">
        <v>36</v>
      </c>
      <c r="N6257" s="3" t="s">
        <v>36</v>
      </c>
      <c r="O6257" s="8" t="s">
        <v>36</v>
      </c>
      <c r="P6257" s="3" t="s">
        <v>36</v>
      </c>
      <c r="Q6257" s="3" t="s">
        <v>36</v>
      </c>
      <c r="R6257" s="3" t="s">
        <v>36</v>
      </c>
      <c r="S6257" s="3" t="s">
        <v>36</v>
      </c>
      <c r="T6257" s="3" t="s">
        <v>15345</v>
      </c>
      <c r="U6257" s="3" t="s">
        <v>318</v>
      </c>
      <c r="V6257" s="3" t="s">
        <v>39</v>
      </c>
      <c r="W6257" s="3" t="s">
        <v>28660</v>
      </c>
      <c r="X6257" s="10" t="s">
        <v>28661</v>
      </c>
      <c r="Y6257" s="6" t="s">
        <v>42</v>
      </c>
      <c r="Z6257" s="4">
        <v>0.95</v>
      </c>
      <c r="AA6257" s="4">
        <v>2.12</v>
      </c>
      <c r="AB6257" s="3" t="s">
        <v>43</v>
      </c>
      <c r="AC6257" s="3" t="s">
        <v>28662</v>
      </c>
      <c r="AD6257" s="9">
        <v>42762</v>
      </c>
      <c r="AE6257" s="3" t="s">
        <v>763</v>
      </c>
      <c r="AF6257" s="3" t="s">
        <v>20293</v>
      </c>
      <c r="AG6257" s="3" t="s">
        <v>652</v>
      </c>
      <c r="AH6257" s="11">
        <f>HYPERLINK("https://my.pitchbook.com?c=82501-84T","View Company Online")</f>
      </c>
    </row>
    <row r="6258">
      <c r="A6258" s="12" t="s">
        <v>28663</v>
      </c>
      <c r="B6258" s="12" t="s">
        <v>28664</v>
      </c>
      <c r="C6258" s="19" t="s">
        <v>36</v>
      </c>
      <c r="D6258" s="19" t="s">
        <v>36</v>
      </c>
      <c r="E6258" s="19" t="s">
        <v>36</v>
      </c>
      <c r="F6258" s="19" t="s">
        <v>36</v>
      </c>
      <c r="G6258" s="15" t="s">
        <v>36</v>
      </c>
      <c r="H6258" s="14" t="s">
        <v>36</v>
      </c>
      <c r="I6258" s="18" t="s">
        <v>36</v>
      </c>
      <c r="J6258" s="12" t="s">
        <v>36</v>
      </c>
      <c r="K6258" s="13" t="s">
        <v>36</v>
      </c>
      <c r="L6258" s="15" t="s">
        <v>36</v>
      </c>
      <c r="M6258" s="12" t="s">
        <v>36</v>
      </c>
      <c r="N6258" s="12" t="s">
        <v>36</v>
      </c>
      <c r="O6258" s="17" t="s">
        <v>36</v>
      </c>
      <c r="P6258" s="12" t="s">
        <v>36</v>
      </c>
      <c r="Q6258" s="12" t="s">
        <v>36</v>
      </c>
      <c r="R6258" s="12" t="s">
        <v>36</v>
      </c>
      <c r="S6258" s="12" t="s">
        <v>36</v>
      </c>
      <c r="T6258" s="12" t="s">
        <v>4648</v>
      </c>
      <c r="U6258" s="12" t="s">
        <v>74</v>
      </c>
      <c r="V6258" s="12" t="s">
        <v>75</v>
      </c>
      <c r="W6258" s="12" t="s">
        <v>28665</v>
      </c>
      <c r="X6258" s="16" t="s">
        <v>13670</v>
      </c>
      <c r="Y6258" s="15" t="s">
        <v>55</v>
      </c>
      <c r="Z6258" s="14">
        <v>2.12</v>
      </c>
      <c r="AA6258" s="14" t="s">
        <v>36</v>
      </c>
      <c r="AB6258" s="12" t="s">
        <v>56</v>
      </c>
      <c r="AC6258" s="12" t="s">
        <v>28666</v>
      </c>
      <c r="AD6258" s="13">
        <v>42762</v>
      </c>
      <c r="AE6258" s="12" t="s">
        <v>362</v>
      </c>
      <c r="AF6258" s="12" t="s">
        <v>1636</v>
      </c>
      <c r="AG6258" s="12" t="s">
        <v>81</v>
      </c>
      <c r="AH6258" s="1">
        <f>HYPERLINK("https://my.pitchbook.com?c=99617-95T","View Company Online")</f>
      </c>
    </row>
    <row r="6259">
      <c r="A6259" s="3" t="s">
        <v>28667</v>
      </c>
      <c r="B6259" s="3" t="s">
        <v>28668</v>
      </c>
      <c r="C6259" s="5">
        <v>2</v>
      </c>
      <c r="D6259" s="5">
        <v>10</v>
      </c>
      <c r="E6259" s="5">
        <v>7</v>
      </c>
      <c r="F6259" s="5">
        <v>15</v>
      </c>
      <c r="G6259" s="6" t="s">
        <v>36</v>
      </c>
      <c r="H6259" s="4">
        <v>721.23</v>
      </c>
      <c r="I6259" s="7">
        <v>15.25</v>
      </c>
      <c r="J6259" s="3" t="s">
        <v>521</v>
      </c>
      <c r="K6259" s="9" t="s">
        <v>36</v>
      </c>
      <c r="L6259" s="6" t="s">
        <v>36</v>
      </c>
      <c r="M6259" s="3" t="s">
        <v>36</v>
      </c>
      <c r="N6259" s="3" t="s">
        <v>36</v>
      </c>
      <c r="O6259" s="8" t="s">
        <v>36</v>
      </c>
      <c r="P6259" s="3" t="s">
        <v>36</v>
      </c>
      <c r="Q6259" s="3" t="s">
        <v>36</v>
      </c>
      <c r="R6259" s="3" t="s">
        <v>36</v>
      </c>
      <c r="S6259" s="3" t="s">
        <v>36</v>
      </c>
      <c r="T6259" s="3" t="s">
        <v>522</v>
      </c>
      <c r="U6259" s="3" t="s">
        <v>38</v>
      </c>
      <c r="V6259" s="3" t="s">
        <v>39</v>
      </c>
      <c r="W6259" s="3" t="s">
        <v>28669</v>
      </c>
      <c r="X6259" s="10" t="s">
        <v>28670</v>
      </c>
      <c r="Y6259" s="6" t="s">
        <v>42</v>
      </c>
      <c r="Z6259" s="4">
        <v>2.65</v>
      </c>
      <c r="AA6259" s="4">
        <v>17.37</v>
      </c>
      <c r="AB6259" s="3" t="s">
        <v>56</v>
      </c>
      <c r="AC6259" s="3" t="s">
        <v>28671</v>
      </c>
      <c r="AD6259" s="9">
        <v>42761</v>
      </c>
      <c r="AE6259" s="3" t="s">
        <v>110</v>
      </c>
      <c r="AF6259" s="3" t="s">
        <v>25118</v>
      </c>
      <c r="AG6259" s="3" t="s">
        <v>81</v>
      </c>
      <c r="AH6259" s="11">
        <f>HYPERLINK("https://my.pitchbook.com?c=189646-57T","View Company Online")</f>
      </c>
    </row>
    <row r="6260">
      <c r="A6260" s="12" t="s">
        <v>28672</v>
      </c>
      <c r="B6260" s="12" t="s">
        <v>18239</v>
      </c>
      <c r="C6260" s="19" t="s">
        <v>36</v>
      </c>
      <c r="D6260" s="19">
        <v>6</v>
      </c>
      <c r="E6260" s="19">
        <v>5</v>
      </c>
      <c r="F6260" s="19">
        <v>11</v>
      </c>
      <c r="G6260" s="15" t="s">
        <v>326</v>
      </c>
      <c r="H6260" s="14">
        <v>267.09</v>
      </c>
      <c r="I6260" s="18">
        <v>39.77</v>
      </c>
      <c r="J6260" s="12" t="s">
        <v>521</v>
      </c>
      <c r="K6260" s="13">
        <v>42724</v>
      </c>
      <c r="L6260" s="15" t="s">
        <v>36</v>
      </c>
      <c r="M6260" s="12" t="s">
        <v>36</v>
      </c>
      <c r="N6260" s="12" t="s">
        <v>36</v>
      </c>
      <c r="O6260" s="17" t="s">
        <v>36</v>
      </c>
      <c r="P6260" s="12" t="s">
        <v>36</v>
      </c>
      <c r="Q6260" s="12" t="s">
        <v>36</v>
      </c>
      <c r="R6260" s="12" t="s">
        <v>36</v>
      </c>
      <c r="S6260" s="12" t="s">
        <v>36</v>
      </c>
      <c r="T6260" s="12" t="s">
        <v>1048</v>
      </c>
      <c r="U6260" s="12" t="s">
        <v>423</v>
      </c>
      <c r="V6260" s="12" t="s">
        <v>64</v>
      </c>
      <c r="W6260" s="12" t="s">
        <v>18240</v>
      </c>
      <c r="X6260" s="16" t="s">
        <v>27166</v>
      </c>
      <c r="Y6260" s="15" t="s">
        <v>55</v>
      </c>
      <c r="Z6260" s="14">
        <v>3.73</v>
      </c>
      <c r="AA6260" s="14">
        <v>9.38</v>
      </c>
      <c r="AB6260" s="12" t="s">
        <v>56</v>
      </c>
      <c r="AC6260" s="12" t="s">
        <v>18242</v>
      </c>
      <c r="AD6260" s="13">
        <v>42761</v>
      </c>
      <c r="AE6260" s="12" t="s">
        <v>1051</v>
      </c>
      <c r="AF6260" s="12" t="s">
        <v>1061</v>
      </c>
      <c r="AG6260" s="12" t="s">
        <v>81</v>
      </c>
      <c r="AH6260" s="1">
        <f>HYPERLINK("https://my.pitchbook.com?c=81614-71T","View Company Online")</f>
      </c>
    </row>
    <row r="6261">
      <c r="A6261" s="3" t="s">
        <v>28673</v>
      </c>
      <c r="B6261" s="3" t="s">
        <v>2860</v>
      </c>
      <c r="C6261" s="5" t="s">
        <v>36</v>
      </c>
      <c r="D6261" s="5" t="s">
        <v>36</v>
      </c>
      <c r="E6261" s="5" t="s">
        <v>36</v>
      </c>
      <c r="F6261" s="5" t="s">
        <v>36</v>
      </c>
      <c r="G6261" s="6" t="s">
        <v>326</v>
      </c>
      <c r="H6261" s="4">
        <v>12.56</v>
      </c>
      <c r="I6261" s="7">
        <v>33</v>
      </c>
      <c r="J6261" s="3" t="s">
        <v>521</v>
      </c>
      <c r="K6261" s="9" t="s">
        <v>36</v>
      </c>
      <c r="L6261" s="6" t="s">
        <v>36</v>
      </c>
      <c r="M6261" s="3" t="s">
        <v>36</v>
      </c>
      <c r="N6261" s="3" t="s">
        <v>36</v>
      </c>
      <c r="O6261" s="8" t="s">
        <v>36</v>
      </c>
      <c r="P6261" s="3" t="s">
        <v>36</v>
      </c>
      <c r="Q6261" s="3" t="s">
        <v>36</v>
      </c>
      <c r="R6261" s="3" t="s">
        <v>36</v>
      </c>
      <c r="S6261" s="3" t="s">
        <v>36</v>
      </c>
      <c r="T6261" s="3" t="s">
        <v>2861</v>
      </c>
      <c r="U6261" s="3" t="s">
        <v>74</v>
      </c>
      <c r="V6261" s="3" t="s">
        <v>75</v>
      </c>
      <c r="W6261" s="3" t="s">
        <v>2862</v>
      </c>
      <c r="X6261" s="10" t="s">
        <v>28674</v>
      </c>
      <c r="Y6261" s="6" t="s">
        <v>108</v>
      </c>
      <c r="Z6261" s="4">
        <v>2.12</v>
      </c>
      <c r="AA6261" s="4">
        <v>4.27</v>
      </c>
      <c r="AB6261" s="3" t="s">
        <v>43</v>
      </c>
      <c r="AC6261" s="3" t="s">
        <v>2864</v>
      </c>
      <c r="AD6261" s="9">
        <v>42761</v>
      </c>
      <c r="AE6261" s="3" t="s">
        <v>362</v>
      </c>
      <c r="AF6261" s="3" t="s">
        <v>250</v>
      </c>
      <c r="AG6261" s="3" t="s">
        <v>81</v>
      </c>
      <c r="AH6261" s="11">
        <f>HYPERLINK("https://my.pitchbook.com?c=122787-37T","View Company Online")</f>
      </c>
    </row>
    <row r="6262">
      <c r="A6262" s="12" t="s">
        <v>28675</v>
      </c>
      <c r="B6262" s="12" t="s">
        <v>13539</v>
      </c>
      <c r="C6262" s="19" t="s">
        <v>36</v>
      </c>
      <c r="D6262" s="19" t="s">
        <v>36</v>
      </c>
      <c r="E6262" s="19" t="s">
        <v>36</v>
      </c>
      <c r="F6262" s="19" t="s">
        <v>36</v>
      </c>
      <c r="G6262" s="15" t="s">
        <v>2497</v>
      </c>
      <c r="H6262" s="14">
        <v>189.54</v>
      </c>
      <c r="I6262" s="18">
        <v>12.82</v>
      </c>
      <c r="J6262" s="12" t="s">
        <v>521</v>
      </c>
      <c r="K6262" s="13" t="s">
        <v>36</v>
      </c>
      <c r="L6262" s="15" t="s">
        <v>36</v>
      </c>
      <c r="M6262" s="12" t="s">
        <v>36</v>
      </c>
      <c r="N6262" s="12" t="s">
        <v>36</v>
      </c>
      <c r="O6262" s="17" t="s">
        <v>36</v>
      </c>
      <c r="P6262" s="12" t="s">
        <v>36</v>
      </c>
      <c r="Q6262" s="12" t="s">
        <v>36</v>
      </c>
      <c r="R6262" s="12" t="s">
        <v>36</v>
      </c>
      <c r="S6262" s="12" t="s">
        <v>36</v>
      </c>
      <c r="T6262" s="12" t="s">
        <v>13540</v>
      </c>
      <c r="U6262" s="12" t="s">
        <v>279</v>
      </c>
      <c r="V6262" s="12" t="s">
        <v>64</v>
      </c>
      <c r="W6262" s="12" t="s">
        <v>13541</v>
      </c>
      <c r="X6262" s="16" t="s">
        <v>28676</v>
      </c>
      <c r="Y6262" s="15" t="s">
        <v>192</v>
      </c>
      <c r="Z6262" s="14">
        <v>0.56</v>
      </c>
      <c r="AA6262" s="14">
        <v>4.33</v>
      </c>
      <c r="AB6262" s="12" t="s">
        <v>56</v>
      </c>
      <c r="AC6262" s="12" t="s">
        <v>13543</v>
      </c>
      <c r="AD6262" s="13">
        <v>42761</v>
      </c>
      <c r="AE6262" s="12" t="s">
        <v>851</v>
      </c>
      <c r="AF6262" s="12" t="s">
        <v>1077</v>
      </c>
      <c r="AG6262" s="12" t="s">
        <v>81</v>
      </c>
      <c r="AH6262" s="1">
        <f>HYPERLINK("https://my.pitchbook.com?c=196443-55T","View Company Online")</f>
      </c>
    </row>
    <row r="6263">
      <c r="A6263" s="3" t="s">
        <v>28677</v>
      </c>
      <c r="B6263" s="3" t="s">
        <v>28678</v>
      </c>
      <c r="C6263" s="5">
        <v>1</v>
      </c>
      <c r="D6263" s="5">
        <v>2</v>
      </c>
      <c r="E6263" s="5">
        <v>2</v>
      </c>
      <c r="F6263" s="5">
        <v>5</v>
      </c>
      <c r="G6263" s="6" t="s">
        <v>326</v>
      </c>
      <c r="H6263" s="4">
        <v>152.6</v>
      </c>
      <c r="I6263" s="7">
        <v>11.76</v>
      </c>
      <c r="J6263" s="3" t="s">
        <v>521</v>
      </c>
      <c r="K6263" s="9" t="s">
        <v>36</v>
      </c>
      <c r="L6263" s="6" t="s">
        <v>36</v>
      </c>
      <c r="M6263" s="3" t="s">
        <v>36</v>
      </c>
      <c r="N6263" s="3" t="s">
        <v>36</v>
      </c>
      <c r="O6263" s="8" t="s">
        <v>36</v>
      </c>
      <c r="P6263" s="3" t="s">
        <v>36</v>
      </c>
      <c r="Q6263" s="3" t="s">
        <v>36</v>
      </c>
      <c r="R6263" s="3" t="s">
        <v>36</v>
      </c>
      <c r="S6263" s="3" t="s">
        <v>36</v>
      </c>
      <c r="T6263" s="3" t="s">
        <v>4822</v>
      </c>
      <c r="U6263" s="3" t="s">
        <v>38</v>
      </c>
      <c r="V6263" s="3" t="s">
        <v>39</v>
      </c>
      <c r="W6263" s="3" t="s">
        <v>28679</v>
      </c>
      <c r="X6263" s="10" t="s">
        <v>21624</v>
      </c>
      <c r="Y6263" s="6" t="s">
        <v>42</v>
      </c>
      <c r="Z6263" s="4">
        <v>0.53</v>
      </c>
      <c r="AA6263" s="4">
        <v>4.5</v>
      </c>
      <c r="AB6263" s="3" t="s">
        <v>43</v>
      </c>
      <c r="AC6263" s="3" t="s">
        <v>28680</v>
      </c>
      <c r="AD6263" s="9">
        <v>42760</v>
      </c>
      <c r="AE6263" s="3" t="s">
        <v>110</v>
      </c>
      <c r="AF6263" s="3" t="s">
        <v>28681</v>
      </c>
      <c r="AG6263" s="3" t="s">
        <v>47</v>
      </c>
      <c r="AH6263" s="11">
        <f>HYPERLINK("https://my.pitchbook.com?c=124337-26T","View Company Online")</f>
      </c>
    </row>
    <row r="6264">
      <c r="A6264" s="12" t="s">
        <v>28682</v>
      </c>
      <c r="B6264" s="12" t="s">
        <v>24875</v>
      </c>
      <c r="C6264" s="19" t="s">
        <v>36</v>
      </c>
      <c r="D6264" s="19" t="s">
        <v>36</v>
      </c>
      <c r="E6264" s="19" t="s">
        <v>36</v>
      </c>
      <c r="F6264" s="19" t="s">
        <v>36</v>
      </c>
      <c r="G6264" s="15" t="s">
        <v>326</v>
      </c>
      <c r="H6264" s="14">
        <v>286.19</v>
      </c>
      <c r="I6264" s="18">
        <v>24.59</v>
      </c>
      <c r="J6264" s="12" t="s">
        <v>521</v>
      </c>
      <c r="K6264" s="13" t="s">
        <v>36</v>
      </c>
      <c r="L6264" s="15" t="s">
        <v>36</v>
      </c>
      <c r="M6264" s="12" t="s">
        <v>36</v>
      </c>
      <c r="N6264" s="12" t="s">
        <v>36</v>
      </c>
      <c r="O6264" s="17" t="s">
        <v>36</v>
      </c>
      <c r="P6264" s="12" t="s">
        <v>36</v>
      </c>
      <c r="Q6264" s="12" t="s">
        <v>36</v>
      </c>
      <c r="R6264" s="12" t="s">
        <v>36</v>
      </c>
      <c r="S6264" s="12" t="s">
        <v>36</v>
      </c>
      <c r="T6264" s="12" t="s">
        <v>5490</v>
      </c>
      <c r="U6264" s="12" t="s">
        <v>648</v>
      </c>
      <c r="V6264" s="12" t="s">
        <v>64</v>
      </c>
      <c r="W6264" s="12" t="s">
        <v>24876</v>
      </c>
      <c r="X6264" s="16" t="s">
        <v>28683</v>
      </c>
      <c r="Y6264" s="15" t="s">
        <v>55</v>
      </c>
      <c r="Z6264" s="14">
        <v>2.27</v>
      </c>
      <c r="AA6264" s="14">
        <v>9.25</v>
      </c>
      <c r="AB6264" s="12" t="s">
        <v>43</v>
      </c>
      <c r="AC6264" s="12" t="s">
        <v>24878</v>
      </c>
      <c r="AD6264" s="13">
        <v>42760</v>
      </c>
      <c r="AE6264" s="12" t="s">
        <v>3988</v>
      </c>
      <c r="AF6264" s="12" t="s">
        <v>24879</v>
      </c>
      <c r="AG6264" s="12" t="s">
        <v>81</v>
      </c>
      <c r="AH6264" s="1">
        <f>HYPERLINK("https://my.pitchbook.com?c=105538-69T","View Company Online")</f>
      </c>
    </row>
    <row r="6265">
      <c r="A6265" s="3" t="s">
        <v>28684</v>
      </c>
      <c r="B6265" s="3" t="s">
        <v>22679</v>
      </c>
      <c r="C6265" s="5" t="s">
        <v>36</v>
      </c>
      <c r="D6265" s="5">
        <v>2</v>
      </c>
      <c r="E6265" s="5">
        <v>1</v>
      </c>
      <c r="F6265" s="5">
        <v>2</v>
      </c>
      <c r="G6265" s="6" t="s">
        <v>326</v>
      </c>
      <c r="H6265" s="4">
        <v>2.96</v>
      </c>
      <c r="I6265" s="7">
        <v>13.4</v>
      </c>
      <c r="J6265" s="3" t="s">
        <v>521</v>
      </c>
      <c r="K6265" s="9" t="s">
        <v>36</v>
      </c>
      <c r="L6265" s="6" t="s">
        <v>36</v>
      </c>
      <c r="M6265" s="3" t="s">
        <v>36</v>
      </c>
      <c r="N6265" s="3" t="s">
        <v>36</v>
      </c>
      <c r="O6265" s="8" t="s">
        <v>36</v>
      </c>
      <c r="P6265" s="3" t="s">
        <v>36</v>
      </c>
      <c r="Q6265" s="3" t="s">
        <v>36</v>
      </c>
      <c r="R6265" s="3" t="s">
        <v>36</v>
      </c>
      <c r="S6265" s="3" t="s">
        <v>36</v>
      </c>
      <c r="T6265" s="3" t="s">
        <v>2647</v>
      </c>
      <c r="U6265" s="3" t="s">
        <v>1502</v>
      </c>
      <c r="V6265" s="3" t="s">
        <v>75</v>
      </c>
      <c r="W6265" s="3" t="s">
        <v>22680</v>
      </c>
      <c r="X6265" s="10" t="s">
        <v>28685</v>
      </c>
      <c r="Y6265" s="6" t="s">
        <v>321</v>
      </c>
      <c r="Z6265" s="4">
        <v>3.6</v>
      </c>
      <c r="AA6265" s="4">
        <v>26.87</v>
      </c>
      <c r="AB6265" s="3" t="s">
        <v>56</v>
      </c>
      <c r="AC6265" s="3" t="s">
        <v>22682</v>
      </c>
      <c r="AD6265" s="9">
        <v>42760</v>
      </c>
      <c r="AE6265" s="3" t="s">
        <v>1822</v>
      </c>
      <c r="AF6265" s="3" t="s">
        <v>36</v>
      </c>
      <c r="AG6265" s="3" t="s">
        <v>81</v>
      </c>
      <c r="AH6265" s="11">
        <f>HYPERLINK("https://my.pitchbook.com?c=211460-50T","View Company Online")</f>
      </c>
    </row>
    <row r="6266">
      <c r="A6266" s="12" t="s">
        <v>28686</v>
      </c>
      <c r="B6266" s="12" t="s">
        <v>5706</v>
      </c>
      <c r="C6266" s="19" t="s">
        <v>36</v>
      </c>
      <c r="D6266" s="19" t="s">
        <v>36</v>
      </c>
      <c r="E6266" s="19" t="s">
        <v>36</v>
      </c>
      <c r="F6266" s="19" t="s">
        <v>36</v>
      </c>
      <c r="G6266" s="15" t="s">
        <v>326</v>
      </c>
      <c r="H6266" s="14">
        <v>0.96</v>
      </c>
      <c r="I6266" s="18">
        <v>27.43</v>
      </c>
      <c r="J6266" s="12" t="s">
        <v>521</v>
      </c>
      <c r="K6266" s="13" t="s">
        <v>36</v>
      </c>
      <c r="L6266" s="15" t="s">
        <v>12462</v>
      </c>
      <c r="M6266" s="12" t="s">
        <v>36</v>
      </c>
      <c r="N6266" s="12" t="s">
        <v>12462</v>
      </c>
      <c r="O6266" s="17" t="s">
        <v>36</v>
      </c>
      <c r="P6266" s="12" t="s">
        <v>36</v>
      </c>
      <c r="Q6266" s="12" t="s">
        <v>36</v>
      </c>
      <c r="R6266" s="12" t="s">
        <v>36</v>
      </c>
      <c r="S6266" s="12" t="s">
        <v>36</v>
      </c>
      <c r="T6266" s="12" t="s">
        <v>5707</v>
      </c>
      <c r="U6266" s="12" t="s">
        <v>279</v>
      </c>
      <c r="V6266" s="12" t="s">
        <v>64</v>
      </c>
      <c r="W6266" s="12" t="s">
        <v>5708</v>
      </c>
      <c r="X6266" s="16" t="s">
        <v>28687</v>
      </c>
      <c r="Y6266" s="15" t="s">
        <v>321</v>
      </c>
      <c r="Z6266" s="14">
        <v>61.37</v>
      </c>
      <c r="AA6266" s="14">
        <v>200.58</v>
      </c>
      <c r="AB6266" s="12" t="s">
        <v>56</v>
      </c>
      <c r="AC6266" s="12" t="s">
        <v>5711</v>
      </c>
      <c r="AD6266" s="13">
        <v>42759</v>
      </c>
      <c r="AE6266" s="12" t="s">
        <v>283</v>
      </c>
      <c r="AF6266" s="12" t="s">
        <v>2363</v>
      </c>
      <c r="AG6266" s="12" t="s">
        <v>81</v>
      </c>
      <c r="AH6266" s="1">
        <f>HYPERLINK("https://my.pitchbook.com?c=81494-74T","View Company Online")</f>
      </c>
    </row>
    <row r="6267">
      <c r="A6267" s="3" t="s">
        <v>28688</v>
      </c>
      <c r="B6267" s="3" t="s">
        <v>12604</v>
      </c>
      <c r="C6267" s="5" t="s">
        <v>36</v>
      </c>
      <c r="D6267" s="5">
        <v>2</v>
      </c>
      <c r="E6267" s="5">
        <v>1</v>
      </c>
      <c r="F6267" s="5">
        <v>2</v>
      </c>
      <c r="G6267" s="6" t="s">
        <v>36</v>
      </c>
      <c r="H6267" s="4" t="s">
        <v>36</v>
      </c>
      <c r="I6267" s="7" t="s">
        <v>36</v>
      </c>
      <c r="J6267" s="3" t="s">
        <v>36</v>
      </c>
      <c r="K6267" s="9" t="s">
        <v>36</v>
      </c>
      <c r="L6267" s="6" t="s">
        <v>36</v>
      </c>
      <c r="M6267" s="3" t="s">
        <v>36</v>
      </c>
      <c r="N6267" s="3" t="s">
        <v>36</v>
      </c>
      <c r="O6267" s="8" t="s">
        <v>36</v>
      </c>
      <c r="P6267" s="3" t="s">
        <v>36</v>
      </c>
      <c r="Q6267" s="3" t="s">
        <v>36</v>
      </c>
      <c r="R6267" s="3" t="s">
        <v>36</v>
      </c>
      <c r="S6267" s="3" t="s">
        <v>36</v>
      </c>
      <c r="T6267" s="3" t="s">
        <v>588</v>
      </c>
      <c r="U6267" s="3" t="s">
        <v>318</v>
      </c>
      <c r="V6267" s="3" t="s">
        <v>39</v>
      </c>
      <c r="W6267" s="3" t="s">
        <v>12605</v>
      </c>
      <c r="X6267" s="10" t="s">
        <v>28689</v>
      </c>
      <c r="Y6267" s="6" t="s">
        <v>42</v>
      </c>
      <c r="Z6267" s="4">
        <v>0.32</v>
      </c>
      <c r="AA6267" s="4" t="s">
        <v>36</v>
      </c>
      <c r="AB6267" s="3" t="s">
        <v>43</v>
      </c>
      <c r="AC6267" s="3" t="s">
        <v>12606</v>
      </c>
      <c r="AD6267" s="9">
        <v>42758</v>
      </c>
      <c r="AE6267" s="3" t="s">
        <v>417</v>
      </c>
      <c r="AF6267" s="3" t="s">
        <v>12607</v>
      </c>
      <c r="AG6267" s="3" t="s">
        <v>12608</v>
      </c>
      <c r="AH6267" s="11">
        <f>HYPERLINK("https://my.pitchbook.com?c=139197-79T","View Company Online")</f>
      </c>
    </row>
    <row r="6268">
      <c r="A6268" s="12" t="s">
        <v>28690</v>
      </c>
      <c r="B6268" s="12" t="s">
        <v>28691</v>
      </c>
      <c r="C6268" s="19" t="s">
        <v>36</v>
      </c>
      <c r="D6268" s="19" t="s">
        <v>36</v>
      </c>
      <c r="E6268" s="19" t="s">
        <v>36</v>
      </c>
      <c r="F6268" s="19" t="s">
        <v>36</v>
      </c>
      <c r="G6268" s="15" t="s">
        <v>36</v>
      </c>
      <c r="H6268" s="14">
        <v>7.27</v>
      </c>
      <c r="I6268" s="18">
        <v>52.86</v>
      </c>
      <c r="J6268" s="12" t="s">
        <v>521</v>
      </c>
      <c r="K6268" s="13">
        <v>42725</v>
      </c>
      <c r="L6268" s="15" t="s">
        <v>36</v>
      </c>
      <c r="M6268" s="12" t="s">
        <v>36</v>
      </c>
      <c r="N6268" s="12" t="s">
        <v>36</v>
      </c>
      <c r="O6268" s="17" t="s">
        <v>36</v>
      </c>
      <c r="P6268" s="12" t="s">
        <v>36</v>
      </c>
      <c r="Q6268" s="12" t="s">
        <v>36</v>
      </c>
      <c r="R6268" s="12" t="s">
        <v>36</v>
      </c>
      <c r="S6268" s="12" t="s">
        <v>36</v>
      </c>
      <c r="T6268" s="12" t="s">
        <v>522</v>
      </c>
      <c r="U6268" s="12" t="s">
        <v>38</v>
      </c>
      <c r="V6268" s="12" t="s">
        <v>39</v>
      </c>
      <c r="W6268" s="12" t="s">
        <v>28692</v>
      </c>
      <c r="X6268" s="16" t="s">
        <v>28693</v>
      </c>
      <c r="Y6268" s="15" t="s">
        <v>42</v>
      </c>
      <c r="Z6268" s="14">
        <v>0.63</v>
      </c>
      <c r="AA6268" s="14">
        <v>1.2</v>
      </c>
      <c r="AB6268" s="12" t="s">
        <v>43</v>
      </c>
      <c r="AC6268" s="12" t="s">
        <v>28694</v>
      </c>
      <c r="AD6268" s="13">
        <v>42758</v>
      </c>
      <c r="AE6268" s="12" t="s">
        <v>110</v>
      </c>
      <c r="AF6268" s="12" t="s">
        <v>28695</v>
      </c>
      <c r="AG6268" s="12" t="s">
        <v>28696</v>
      </c>
      <c r="AH6268" s="1">
        <f>HYPERLINK("https://my.pitchbook.com?c=82215-55T","View Company Online")</f>
      </c>
    </row>
    <row r="6269">
      <c r="A6269" s="3" t="s">
        <v>28697</v>
      </c>
      <c r="B6269" s="3" t="s">
        <v>28698</v>
      </c>
      <c r="C6269" s="5" t="s">
        <v>36</v>
      </c>
      <c r="D6269" s="5" t="s">
        <v>36</v>
      </c>
      <c r="E6269" s="5" t="s">
        <v>36</v>
      </c>
      <c r="F6269" s="5" t="s">
        <v>36</v>
      </c>
      <c r="G6269" s="6" t="s">
        <v>36</v>
      </c>
      <c r="H6269" s="4" t="s">
        <v>36</v>
      </c>
      <c r="I6269" s="7" t="s">
        <v>36</v>
      </c>
      <c r="J6269" s="3" t="s">
        <v>36</v>
      </c>
      <c r="K6269" s="9" t="s">
        <v>36</v>
      </c>
      <c r="L6269" s="6" t="s">
        <v>122</v>
      </c>
      <c r="M6269" s="3" t="s">
        <v>36</v>
      </c>
      <c r="N6269" s="3" t="s">
        <v>122</v>
      </c>
      <c r="O6269" s="8" t="s">
        <v>36</v>
      </c>
      <c r="P6269" s="3" t="s">
        <v>36</v>
      </c>
      <c r="Q6269" s="3" t="s">
        <v>36</v>
      </c>
      <c r="R6269" s="3" t="s">
        <v>36</v>
      </c>
      <c r="S6269" s="3" t="s">
        <v>36</v>
      </c>
      <c r="T6269" s="3" t="s">
        <v>2084</v>
      </c>
      <c r="U6269" s="3" t="s">
        <v>74</v>
      </c>
      <c r="V6269" s="3" t="s">
        <v>75</v>
      </c>
      <c r="W6269" s="3" t="s">
        <v>28699</v>
      </c>
      <c r="X6269" s="10" t="s">
        <v>28700</v>
      </c>
      <c r="Y6269" s="6" t="s">
        <v>55</v>
      </c>
      <c r="Z6269" s="4">
        <v>11.63</v>
      </c>
      <c r="AA6269" s="4" t="s">
        <v>36</v>
      </c>
      <c r="AB6269" s="3" t="s">
        <v>56</v>
      </c>
      <c r="AC6269" s="3" t="s">
        <v>28701</v>
      </c>
      <c r="AD6269" s="9">
        <v>42758</v>
      </c>
      <c r="AE6269" s="3" t="s">
        <v>362</v>
      </c>
      <c r="AF6269" s="3" t="s">
        <v>28702</v>
      </c>
      <c r="AG6269" s="3" t="s">
        <v>81</v>
      </c>
      <c r="AH6269" s="11">
        <f>HYPERLINK("https://my.pitchbook.com?c=81490-42T","View Company Online")</f>
      </c>
    </row>
    <row r="6270">
      <c r="A6270" s="12" t="s">
        <v>28703</v>
      </c>
      <c r="B6270" s="12" t="s">
        <v>21579</v>
      </c>
      <c r="C6270" s="19" t="s">
        <v>36</v>
      </c>
      <c r="D6270" s="19" t="s">
        <v>36</v>
      </c>
      <c r="E6270" s="19" t="s">
        <v>36</v>
      </c>
      <c r="F6270" s="19" t="s">
        <v>36</v>
      </c>
      <c r="G6270" s="15" t="s">
        <v>36</v>
      </c>
      <c r="H6270" s="14" t="s">
        <v>36</v>
      </c>
      <c r="I6270" s="18" t="s">
        <v>36</v>
      </c>
      <c r="J6270" s="12" t="s">
        <v>36</v>
      </c>
      <c r="K6270" s="13" t="s">
        <v>36</v>
      </c>
      <c r="L6270" s="15" t="s">
        <v>36</v>
      </c>
      <c r="M6270" s="12" t="s">
        <v>36</v>
      </c>
      <c r="N6270" s="12" t="s">
        <v>36</v>
      </c>
      <c r="O6270" s="17" t="s">
        <v>36</v>
      </c>
      <c r="P6270" s="12" t="s">
        <v>36</v>
      </c>
      <c r="Q6270" s="12" t="s">
        <v>36</v>
      </c>
      <c r="R6270" s="12" t="s">
        <v>36</v>
      </c>
      <c r="S6270" s="12" t="s">
        <v>36</v>
      </c>
      <c r="T6270" s="12" t="s">
        <v>21580</v>
      </c>
      <c r="U6270" s="12" t="s">
        <v>1357</v>
      </c>
      <c r="V6270" s="12" t="s">
        <v>52</v>
      </c>
      <c r="W6270" s="12" t="s">
        <v>21581</v>
      </c>
      <c r="X6270" s="16" t="s">
        <v>28704</v>
      </c>
      <c r="Y6270" s="15" t="s">
        <v>42</v>
      </c>
      <c r="Z6270" s="14">
        <v>1.05</v>
      </c>
      <c r="AA6270" s="14" t="s">
        <v>36</v>
      </c>
      <c r="AB6270" s="12" t="s">
        <v>43</v>
      </c>
      <c r="AC6270" s="12" t="s">
        <v>21583</v>
      </c>
      <c r="AD6270" s="13">
        <v>42755</v>
      </c>
      <c r="AE6270" s="12" t="s">
        <v>3204</v>
      </c>
      <c r="AF6270" s="12" t="s">
        <v>20871</v>
      </c>
      <c r="AG6270" s="12" t="s">
        <v>102</v>
      </c>
      <c r="AH6270" s="1">
        <f>HYPERLINK("https://my.pitchbook.com?c=89315-20T","View Company Online")</f>
      </c>
    </row>
    <row r="6271">
      <c r="A6271" s="3" t="s">
        <v>28705</v>
      </c>
      <c r="B6271" s="3" t="s">
        <v>17160</v>
      </c>
      <c r="C6271" s="5">
        <v>4</v>
      </c>
      <c r="D6271" s="5">
        <v>2</v>
      </c>
      <c r="E6271" s="5">
        <v>5</v>
      </c>
      <c r="F6271" s="5">
        <v>9</v>
      </c>
      <c r="G6271" s="6" t="s">
        <v>326</v>
      </c>
      <c r="H6271" s="4">
        <v>250.46</v>
      </c>
      <c r="I6271" s="7">
        <v>11.5</v>
      </c>
      <c r="J6271" s="3" t="s">
        <v>521</v>
      </c>
      <c r="K6271" s="9">
        <v>42705</v>
      </c>
      <c r="L6271" s="6" t="s">
        <v>122</v>
      </c>
      <c r="M6271" s="3" t="s">
        <v>36</v>
      </c>
      <c r="N6271" s="3" t="s">
        <v>122</v>
      </c>
      <c r="O6271" s="8" t="s">
        <v>36</v>
      </c>
      <c r="P6271" s="3" t="s">
        <v>36</v>
      </c>
      <c r="Q6271" s="3" t="s">
        <v>36</v>
      </c>
      <c r="R6271" s="3" t="s">
        <v>36</v>
      </c>
      <c r="S6271" s="3" t="s">
        <v>36</v>
      </c>
      <c r="T6271" s="3" t="s">
        <v>2647</v>
      </c>
      <c r="U6271" s="3" t="s">
        <v>85</v>
      </c>
      <c r="V6271" s="3" t="s">
        <v>64</v>
      </c>
      <c r="W6271" s="3" t="s">
        <v>17161</v>
      </c>
      <c r="X6271" s="10" t="s">
        <v>28706</v>
      </c>
      <c r="Y6271" s="6" t="s">
        <v>108</v>
      </c>
      <c r="Z6271" s="4">
        <v>3.64</v>
      </c>
      <c r="AA6271" s="4">
        <v>31.63</v>
      </c>
      <c r="AB6271" s="3" t="s">
        <v>43</v>
      </c>
      <c r="AC6271" s="3" t="s">
        <v>17163</v>
      </c>
      <c r="AD6271" s="9">
        <v>42755</v>
      </c>
      <c r="AE6271" s="3" t="s">
        <v>1822</v>
      </c>
      <c r="AF6271" s="3" t="s">
        <v>12769</v>
      </c>
      <c r="AG6271" s="3" t="s">
        <v>47</v>
      </c>
      <c r="AH6271" s="11">
        <f>HYPERLINK("https://my.pitchbook.com?c=73774-09T","View Company Online")</f>
      </c>
    </row>
    <row r="6272">
      <c r="A6272" s="12" t="s">
        <v>28707</v>
      </c>
      <c r="B6272" s="12" t="s">
        <v>25276</v>
      </c>
      <c r="C6272" s="19" t="s">
        <v>36</v>
      </c>
      <c r="D6272" s="19" t="s">
        <v>36</v>
      </c>
      <c r="E6272" s="19" t="s">
        <v>36</v>
      </c>
      <c r="F6272" s="19" t="s">
        <v>36</v>
      </c>
      <c r="G6272" s="15" t="s">
        <v>36</v>
      </c>
      <c r="H6272" s="14">
        <v>69.24</v>
      </c>
      <c r="I6272" s="18">
        <v>20.24</v>
      </c>
      <c r="J6272" s="12" t="s">
        <v>521</v>
      </c>
      <c r="K6272" s="13">
        <v>42709</v>
      </c>
      <c r="L6272" s="15" t="s">
        <v>36</v>
      </c>
      <c r="M6272" s="12" t="s">
        <v>36</v>
      </c>
      <c r="N6272" s="12" t="s">
        <v>36</v>
      </c>
      <c r="O6272" s="17" t="s">
        <v>36</v>
      </c>
      <c r="P6272" s="12" t="s">
        <v>36</v>
      </c>
      <c r="Q6272" s="12" t="s">
        <v>36</v>
      </c>
      <c r="R6272" s="12" t="s">
        <v>36</v>
      </c>
      <c r="S6272" s="12" t="s">
        <v>36</v>
      </c>
      <c r="T6272" s="12" t="s">
        <v>522</v>
      </c>
      <c r="U6272" s="12" t="s">
        <v>38</v>
      </c>
      <c r="V6272" s="12" t="s">
        <v>39</v>
      </c>
      <c r="W6272" s="12" t="s">
        <v>25277</v>
      </c>
      <c r="X6272" s="16" t="s">
        <v>28708</v>
      </c>
      <c r="Y6272" s="15" t="s">
        <v>42</v>
      </c>
      <c r="Z6272" s="14">
        <v>1.07</v>
      </c>
      <c r="AA6272" s="14">
        <v>5.28</v>
      </c>
      <c r="AB6272" s="12" t="s">
        <v>43</v>
      </c>
      <c r="AC6272" s="12" t="s">
        <v>25279</v>
      </c>
      <c r="AD6272" s="13">
        <v>42752</v>
      </c>
      <c r="AE6272" s="12" t="s">
        <v>110</v>
      </c>
      <c r="AF6272" s="12" t="s">
        <v>905</v>
      </c>
      <c r="AG6272" s="12" t="s">
        <v>81</v>
      </c>
      <c r="AH6272" s="1">
        <f>HYPERLINK("https://my.pitchbook.com?c=81219-16T","View Company Online")</f>
      </c>
    </row>
    <row r="6273">
      <c r="A6273" s="3" t="s">
        <v>28709</v>
      </c>
      <c r="B6273" s="3" t="s">
        <v>28710</v>
      </c>
      <c r="C6273" s="5" t="s">
        <v>36</v>
      </c>
      <c r="D6273" s="5" t="s">
        <v>36</v>
      </c>
      <c r="E6273" s="5" t="s">
        <v>36</v>
      </c>
      <c r="F6273" s="5" t="s">
        <v>36</v>
      </c>
      <c r="G6273" s="6" t="s">
        <v>36</v>
      </c>
      <c r="H6273" s="4" t="s">
        <v>36</v>
      </c>
      <c r="I6273" s="7" t="s">
        <v>36</v>
      </c>
      <c r="J6273" s="3" t="s">
        <v>36</v>
      </c>
      <c r="K6273" s="9" t="s">
        <v>36</v>
      </c>
      <c r="L6273" s="6" t="s">
        <v>36</v>
      </c>
      <c r="M6273" s="3" t="s">
        <v>36</v>
      </c>
      <c r="N6273" s="3" t="s">
        <v>36</v>
      </c>
      <c r="O6273" s="8" t="s">
        <v>36</v>
      </c>
      <c r="P6273" s="3" t="s">
        <v>36</v>
      </c>
      <c r="Q6273" s="3" t="s">
        <v>36</v>
      </c>
      <c r="R6273" s="3" t="s">
        <v>36</v>
      </c>
      <c r="S6273" s="3" t="s">
        <v>36</v>
      </c>
      <c r="T6273" s="3" t="s">
        <v>16553</v>
      </c>
      <c r="U6273" s="3" t="s">
        <v>38</v>
      </c>
      <c r="V6273" s="3" t="s">
        <v>39</v>
      </c>
      <c r="W6273" s="3" t="s">
        <v>28711</v>
      </c>
      <c r="X6273" s="10" t="s">
        <v>28712</v>
      </c>
      <c r="Y6273" s="6" t="s">
        <v>42</v>
      </c>
      <c r="Z6273" s="4">
        <v>0.63</v>
      </c>
      <c r="AA6273" s="4" t="s">
        <v>36</v>
      </c>
      <c r="AB6273" s="3" t="s">
        <v>43</v>
      </c>
      <c r="AC6273" s="3" t="s">
        <v>28713</v>
      </c>
      <c r="AD6273" s="9">
        <v>42752</v>
      </c>
      <c r="AE6273" s="3" t="s">
        <v>1945</v>
      </c>
      <c r="AF6273" s="3" t="s">
        <v>28714</v>
      </c>
      <c r="AG6273" s="3" t="s">
        <v>1978</v>
      </c>
      <c r="AH6273" s="11">
        <f>HYPERLINK("https://my.pitchbook.com?c=82015-84T","View Company Online")</f>
      </c>
    </row>
    <row r="6274">
      <c r="A6274" s="12" t="s">
        <v>28715</v>
      </c>
      <c r="B6274" s="12" t="s">
        <v>21765</v>
      </c>
      <c r="C6274" s="19" t="s">
        <v>36</v>
      </c>
      <c r="D6274" s="19" t="s">
        <v>36</v>
      </c>
      <c r="E6274" s="19" t="s">
        <v>36</v>
      </c>
      <c r="F6274" s="19" t="s">
        <v>36</v>
      </c>
      <c r="G6274" s="15" t="s">
        <v>36</v>
      </c>
      <c r="H6274" s="14">
        <v>166.17</v>
      </c>
      <c r="I6274" s="18">
        <v>28.03</v>
      </c>
      <c r="J6274" s="12" t="s">
        <v>521</v>
      </c>
      <c r="K6274" s="13">
        <v>42723</v>
      </c>
      <c r="L6274" s="15" t="s">
        <v>36</v>
      </c>
      <c r="M6274" s="12" t="s">
        <v>36</v>
      </c>
      <c r="N6274" s="12" t="s">
        <v>36</v>
      </c>
      <c r="O6274" s="17" t="s">
        <v>36</v>
      </c>
      <c r="P6274" s="12" t="s">
        <v>36</v>
      </c>
      <c r="Q6274" s="12" t="s">
        <v>36</v>
      </c>
      <c r="R6274" s="12" t="s">
        <v>36</v>
      </c>
      <c r="S6274" s="12" t="s">
        <v>36</v>
      </c>
      <c r="T6274" s="12" t="s">
        <v>522</v>
      </c>
      <c r="U6274" s="12" t="s">
        <v>38</v>
      </c>
      <c r="V6274" s="12" t="s">
        <v>39</v>
      </c>
      <c r="W6274" s="12" t="s">
        <v>21766</v>
      </c>
      <c r="X6274" s="16" t="s">
        <v>28716</v>
      </c>
      <c r="Y6274" s="15" t="s">
        <v>42</v>
      </c>
      <c r="Z6274" s="14">
        <v>1.17</v>
      </c>
      <c r="AA6274" s="14">
        <v>4.19</v>
      </c>
      <c r="AB6274" s="12" t="s">
        <v>43</v>
      </c>
      <c r="AC6274" s="12" t="s">
        <v>21768</v>
      </c>
      <c r="AD6274" s="13">
        <v>42752</v>
      </c>
      <c r="AE6274" s="12" t="s">
        <v>110</v>
      </c>
      <c r="AF6274" s="12" t="s">
        <v>11479</v>
      </c>
      <c r="AG6274" s="12" t="s">
        <v>81</v>
      </c>
      <c r="AH6274" s="1">
        <f>HYPERLINK("https://my.pitchbook.com?c=81216-10T","View Company Online")</f>
      </c>
    </row>
    <row r="6275">
      <c r="A6275" s="3" t="s">
        <v>28717</v>
      </c>
      <c r="B6275" s="3" t="s">
        <v>25411</v>
      </c>
      <c r="C6275" s="5">
        <v>1</v>
      </c>
      <c r="D6275" s="5">
        <v>17</v>
      </c>
      <c r="E6275" s="5">
        <v>3</v>
      </c>
      <c r="F6275" s="5">
        <v>21</v>
      </c>
      <c r="G6275" s="6" t="s">
        <v>326</v>
      </c>
      <c r="H6275" s="4">
        <v>11.42</v>
      </c>
      <c r="I6275" s="7">
        <v>33.45</v>
      </c>
      <c r="J6275" s="3" t="s">
        <v>521</v>
      </c>
      <c r="K6275" s="9" t="s">
        <v>36</v>
      </c>
      <c r="L6275" s="6" t="s">
        <v>36</v>
      </c>
      <c r="M6275" s="3" t="s">
        <v>36</v>
      </c>
      <c r="N6275" s="3" t="s">
        <v>36</v>
      </c>
      <c r="O6275" s="8" t="s">
        <v>36</v>
      </c>
      <c r="P6275" s="3" t="s">
        <v>36</v>
      </c>
      <c r="Q6275" s="3" t="s">
        <v>36</v>
      </c>
      <c r="R6275" s="3" t="s">
        <v>36</v>
      </c>
      <c r="S6275" s="3" t="s">
        <v>36</v>
      </c>
      <c r="T6275" s="3" t="s">
        <v>3264</v>
      </c>
      <c r="U6275" s="3" t="s">
        <v>96</v>
      </c>
      <c r="V6275" s="3" t="s">
        <v>52</v>
      </c>
      <c r="W6275" s="3" t="s">
        <v>25412</v>
      </c>
      <c r="X6275" s="10" t="s">
        <v>28718</v>
      </c>
      <c r="Y6275" s="6" t="s">
        <v>108</v>
      </c>
      <c r="Z6275" s="4">
        <v>0.47</v>
      </c>
      <c r="AA6275" s="4">
        <v>1.42</v>
      </c>
      <c r="AB6275" s="3" t="s">
        <v>56</v>
      </c>
      <c r="AC6275" s="3" t="s">
        <v>25414</v>
      </c>
      <c r="AD6275" s="9">
        <v>42752</v>
      </c>
      <c r="AE6275" s="3" t="s">
        <v>496</v>
      </c>
      <c r="AF6275" s="3" t="s">
        <v>885</v>
      </c>
      <c r="AG6275" s="3" t="s">
        <v>1276</v>
      </c>
      <c r="AH6275" s="11">
        <f>HYPERLINK("https://my.pitchbook.com?c=232284-79T","View Company Online")</f>
      </c>
    </row>
    <row r="6276">
      <c r="A6276" s="12" t="s">
        <v>28719</v>
      </c>
      <c r="B6276" s="12" t="s">
        <v>28720</v>
      </c>
      <c r="C6276" s="19" t="s">
        <v>36</v>
      </c>
      <c r="D6276" s="19" t="s">
        <v>36</v>
      </c>
      <c r="E6276" s="19" t="s">
        <v>36</v>
      </c>
      <c r="F6276" s="19" t="s">
        <v>36</v>
      </c>
      <c r="G6276" s="15" t="s">
        <v>36</v>
      </c>
      <c r="H6276" s="14" t="s">
        <v>36</v>
      </c>
      <c r="I6276" s="18" t="s">
        <v>36</v>
      </c>
      <c r="J6276" s="12" t="s">
        <v>36</v>
      </c>
      <c r="K6276" s="13" t="s">
        <v>36</v>
      </c>
      <c r="L6276" s="15" t="s">
        <v>36</v>
      </c>
      <c r="M6276" s="12" t="s">
        <v>36</v>
      </c>
      <c r="N6276" s="12" t="s">
        <v>36</v>
      </c>
      <c r="O6276" s="17" t="s">
        <v>36</v>
      </c>
      <c r="P6276" s="12" t="s">
        <v>36</v>
      </c>
      <c r="Q6276" s="12" t="s">
        <v>36</v>
      </c>
      <c r="R6276" s="12" t="s">
        <v>36</v>
      </c>
      <c r="S6276" s="12" t="s">
        <v>36</v>
      </c>
      <c r="T6276" s="12" t="s">
        <v>1023</v>
      </c>
      <c r="U6276" s="12" t="s">
        <v>74</v>
      </c>
      <c r="V6276" s="12" t="s">
        <v>75</v>
      </c>
      <c r="W6276" s="12" t="s">
        <v>28721</v>
      </c>
      <c r="X6276" s="16" t="s">
        <v>26016</v>
      </c>
      <c r="Y6276" s="15" t="s">
        <v>42</v>
      </c>
      <c r="Z6276" s="14">
        <v>1.05</v>
      </c>
      <c r="AA6276" s="14" t="s">
        <v>36</v>
      </c>
      <c r="AB6276" s="12" t="s">
        <v>43</v>
      </c>
      <c r="AC6276" s="12" t="s">
        <v>28722</v>
      </c>
      <c r="AD6276" s="13">
        <v>42752</v>
      </c>
      <c r="AE6276" s="12" t="s">
        <v>79</v>
      </c>
      <c r="AF6276" s="12" t="s">
        <v>1636</v>
      </c>
      <c r="AG6276" s="12" t="s">
        <v>81</v>
      </c>
      <c r="AH6276" s="1">
        <f>HYPERLINK("https://my.pitchbook.com?c=80513-65T","View Company Online")</f>
      </c>
    </row>
    <row r="6277">
      <c r="A6277" s="3" t="s">
        <v>28723</v>
      </c>
      <c r="B6277" s="3" t="s">
        <v>23808</v>
      </c>
      <c r="C6277" s="5" t="s">
        <v>36</v>
      </c>
      <c r="D6277" s="5" t="s">
        <v>36</v>
      </c>
      <c r="E6277" s="5" t="s">
        <v>36</v>
      </c>
      <c r="F6277" s="5" t="s">
        <v>36</v>
      </c>
      <c r="G6277" s="6" t="s">
        <v>326</v>
      </c>
      <c r="H6277" s="4">
        <v>1002.22</v>
      </c>
      <c r="I6277" s="7">
        <v>26.1</v>
      </c>
      <c r="J6277" s="3" t="s">
        <v>521</v>
      </c>
      <c r="K6277" s="9" t="s">
        <v>36</v>
      </c>
      <c r="L6277" s="6" t="s">
        <v>36</v>
      </c>
      <c r="M6277" s="3" t="s">
        <v>36</v>
      </c>
      <c r="N6277" s="3" t="s">
        <v>36</v>
      </c>
      <c r="O6277" s="8" t="s">
        <v>36</v>
      </c>
      <c r="P6277" s="3" t="s">
        <v>36</v>
      </c>
      <c r="Q6277" s="3" t="s">
        <v>36</v>
      </c>
      <c r="R6277" s="3" t="s">
        <v>36</v>
      </c>
      <c r="S6277" s="3" t="s">
        <v>36</v>
      </c>
      <c r="T6277" s="3" t="s">
        <v>23809</v>
      </c>
      <c r="U6277" s="3" t="s">
        <v>233</v>
      </c>
      <c r="V6277" s="3" t="s">
        <v>39</v>
      </c>
      <c r="W6277" s="3" t="s">
        <v>23810</v>
      </c>
      <c r="X6277" s="10" t="s">
        <v>23811</v>
      </c>
      <c r="Y6277" s="6" t="s">
        <v>192</v>
      </c>
      <c r="Z6277" s="4">
        <v>3.16</v>
      </c>
      <c r="AA6277" s="4">
        <v>11.19</v>
      </c>
      <c r="AB6277" s="3" t="s">
        <v>56</v>
      </c>
      <c r="AC6277" s="3" t="s">
        <v>23812</v>
      </c>
      <c r="AD6277" s="9">
        <v>42752</v>
      </c>
      <c r="AE6277" s="3" t="s">
        <v>12061</v>
      </c>
      <c r="AF6277" s="3" t="s">
        <v>4930</v>
      </c>
      <c r="AG6277" s="3" t="s">
        <v>23813</v>
      </c>
      <c r="AH6277" s="11">
        <f>HYPERLINK("https://my.pitchbook.com?c=81413-02T","View Company Online")</f>
      </c>
    </row>
    <row r="6278">
      <c r="A6278" s="12" t="s">
        <v>28724</v>
      </c>
      <c r="B6278" s="12" t="s">
        <v>28725</v>
      </c>
      <c r="C6278" s="19" t="s">
        <v>36</v>
      </c>
      <c r="D6278" s="19">
        <v>4</v>
      </c>
      <c r="E6278" s="19">
        <v>1</v>
      </c>
      <c r="F6278" s="19">
        <v>6</v>
      </c>
      <c r="G6278" s="15" t="s">
        <v>36</v>
      </c>
      <c r="H6278" s="14">
        <v>47.77</v>
      </c>
      <c r="I6278" s="18" t="s">
        <v>36</v>
      </c>
      <c r="J6278" s="12" t="s">
        <v>521</v>
      </c>
      <c r="K6278" s="13" t="s">
        <v>36</v>
      </c>
      <c r="L6278" s="15" t="s">
        <v>36</v>
      </c>
      <c r="M6278" s="12" t="s">
        <v>36</v>
      </c>
      <c r="N6278" s="12" t="s">
        <v>36</v>
      </c>
      <c r="O6278" s="17" t="s">
        <v>36</v>
      </c>
      <c r="P6278" s="12" t="s">
        <v>36</v>
      </c>
      <c r="Q6278" s="12" t="s">
        <v>36</v>
      </c>
      <c r="R6278" s="12" t="s">
        <v>36</v>
      </c>
      <c r="S6278" s="12" t="s">
        <v>36</v>
      </c>
      <c r="T6278" s="12" t="s">
        <v>5377</v>
      </c>
      <c r="U6278" s="12" t="s">
        <v>38</v>
      </c>
      <c r="V6278" s="12" t="s">
        <v>39</v>
      </c>
      <c r="W6278" s="12" t="s">
        <v>28726</v>
      </c>
      <c r="X6278" s="16" t="s">
        <v>28727</v>
      </c>
      <c r="Y6278" s="15" t="s">
        <v>42</v>
      </c>
      <c r="Z6278" s="14">
        <v>1.31</v>
      </c>
      <c r="AA6278" s="14">
        <v>4.78</v>
      </c>
      <c r="AB6278" s="12" t="s">
        <v>43</v>
      </c>
      <c r="AC6278" s="12" t="s">
        <v>28728</v>
      </c>
      <c r="AD6278" s="13">
        <v>42751</v>
      </c>
      <c r="AE6278" s="12" t="s">
        <v>1200</v>
      </c>
      <c r="AF6278" s="12" t="s">
        <v>1636</v>
      </c>
      <c r="AG6278" s="12" t="s">
        <v>81</v>
      </c>
      <c r="AH6278" s="1">
        <f>HYPERLINK("https://my.pitchbook.com?c=81392-86T","View Company Online")</f>
      </c>
    </row>
    <row r="6279">
      <c r="A6279" s="3" t="s">
        <v>28729</v>
      </c>
      <c r="B6279" s="3" t="s">
        <v>10801</v>
      </c>
      <c r="C6279" s="5" t="s">
        <v>36</v>
      </c>
      <c r="D6279" s="5" t="s">
        <v>36</v>
      </c>
      <c r="E6279" s="5">
        <v>1</v>
      </c>
      <c r="F6279" s="5">
        <v>1</v>
      </c>
      <c r="G6279" s="6" t="s">
        <v>36</v>
      </c>
      <c r="H6279" s="4">
        <v>83.09</v>
      </c>
      <c r="I6279" s="7">
        <v>30.43</v>
      </c>
      <c r="J6279" s="3" t="s">
        <v>521</v>
      </c>
      <c r="K6279" s="9" t="s">
        <v>36</v>
      </c>
      <c r="L6279" s="6" t="s">
        <v>36</v>
      </c>
      <c r="M6279" s="3" t="s">
        <v>36</v>
      </c>
      <c r="N6279" s="3" t="s">
        <v>36</v>
      </c>
      <c r="O6279" s="8" t="s">
        <v>36</v>
      </c>
      <c r="P6279" s="3" t="s">
        <v>36</v>
      </c>
      <c r="Q6279" s="3" t="s">
        <v>36</v>
      </c>
      <c r="R6279" s="3" t="s">
        <v>36</v>
      </c>
      <c r="S6279" s="3" t="s">
        <v>36</v>
      </c>
      <c r="T6279" s="3" t="s">
        <v>10802</v>
      </c>
      <c r="U6279" s="3" t="s">
        <v>438</v>
      </c>
      <c r="V6279" s="3" t="s">
        <v>405</v>
      </c>
      <c r="W6279" s="3" t="s">
        <v>10803</v>
      </c>
      <c r="X6279" s="10" t="s">
        <v>87</v>
      </c>
      <c r="Y6279" s="6" t="s">
        <v>42</v>
      </c>
      <c r="Z6279" s="4">
        <v>1.84</v>
      </c>
      <c r="AA6279" s="4">
        <v>6.03</v>
      </c>
      <c r="AB6279" s="3" t="s">
        <v>43</v>
      </c>
      <c r="AC6279" s="3" t="s">
        <v>10804</v>
      </c>
      <c r="AD6279" s="9">
        <v>42748</v>
      </c>
      <c r="AE6279" s="3" t="s">
        <v>438</v>
      </c>
      <c r="AF6279" s="3" t="s">
        <v>331</v>
      </c>
      <c r="AG6279" s="3" t="s">
        <v>81</v>
      </c>
      <c r="AH6279" s="11">
        <f>HYPERLINK("https://my.pitchbook.com?c=224566-48T","View Company Online")</f>
      </c>
    </row>
    <row r="6280">
      <c r="A6280" s="12" t="s">
        <v>28730</v>
      </c>
      <c r="B6280" s="12" t="s">
        <v>28731</v>
      </c>
      <c r="C6280" s="19" t="s">
        <v>36</v>
      </c>
      <c r="D6280" s="19" t="s">
        <v>36</v>
      </c>
      <c r="E6280" s="19" t="s">
        <v>36</v>
      </c>
      <c r="F6280" s="19" t="s">
        <v>36</v>
      </c>
      <c r="G6280" s="15" t="s">
        <v>36</v>
      </c>
      <c r="H6280" s="14" t="s">
        <v>36</v>
      </c>
      <c r="I6280" s="18" t="s">
        <v>36</v>
      </c>
      <c r="J6280" s="12" t="s">
        <v>36</v>
      </c>
      <c r="K6280" s="13">
        <v>42370</v>
      </c>
      <c r="L6280" s="15" t="s">
        <v>36</v>
      </c>
      <c r="M6280" s="12" t="s">
        <v>36</v>
      </c>
      <c r="N6280" s="12" t="s">
        <v>36</v>
      </c>
      <c r="O6280" s="17" t="s">
        <v>36</v>
      </c>
      <c r="P6280" s="12" t="s">
        <v>36</v>
      </c>
      <c r="Q6280" s="12" t="s">
        <v>36</v>
      </c>
      <c r="R6280" s="12" t="s">
        <v>36</v>
      </c>
      <c r="S6280" s="12" t="s">
        <v>36</v>
      </c>
      <c r="T6280" s="12" t="s">
        <v>1596</v>
      </c>
      <c r="U6280" s="12" t="s">
        <v>728</v>
      </c>
      <c r="V6280" s="12" t="s">
        <v>64</v>
      </c>
      <c r="W6280" s="12" t="s">
        <v>28732</v>
      </c>
      <c r="X6280" s="16" t="s">
        <v>1043</v>
      </c>
      <c r="Y6280" s="15" t="s">
        <v>42</v>
      </c>
      <c r="Z6280" s="14">
        <v>2.1</v>
      </c>
      <c r="AA6280" s="14" t="s">
        <v>36</v>
      </c>
      <c r="AB6280" s="12" t="s">
        <v>43</v>
      </c>
      <c r="AC6280" s="12" t="s">
        <v>28733</v>
      </c>
      <c r="AD6280" s="13">
        <v>42748</v>
      </c>
      <c r="AE6280" s="12" t="s">
        <v>1600</v>
      </c>
      <c r="AF6280" s="12" t="s">
        <v>90</v>
      </c>
      <c r="AG6280" s="12" t="s">
        <v>81</v>
      </c>
      <c r="AH6280" s="1">
        <f>HYPERLINK("https://my.pitchbook.com?c=131057-11T","View Company Online")</f>
      </c>
    </row>
    <row r="6281">
      <c r="A6281" s="3" t="s">
        <v>28734</v>
      </c>
      <c r="B6281" s="3" t="s">
        <v>23231</v>
      </c>
      <c r="C6281" s="5" t="s">
        <v>36</v>
      </c>
      <c r="D6281" s="5" t="s">
        <v>36</v>
      </c>
      <c r="E6281" s="5" t="s">
        <v>36</v>
      </c>
      <c r="F6281" s="5" t="s">
        <v>36</v>
      </c>
      <c r="G6281" s="6" t="s">
        <v>36</v>
      </c>
      <c r="H6281" s="4">
        <v>5091.05</v>
      </c>
      <c r="I6281" s="7">
        <v>9.26</v>
      </c>
      <c r="J6281" s="3" t="s">
        <v>521</v>
      </c>
      <c r="K6281" s="9" t="s">
        <v>36</v>
      </c>
      <c r="L6281" s="6" t="s">
        <v>36</v>
      </c>
      <c r="M6281" s="3" t="s">
        <v>36</v>
      </c>
      <c r="N6281" s="3" t="s">
        <v>36</v>
      </c>
      <c r="O6281" s="8" t="s">
        <v>36</v>
      </c>
      <c r="P6281" s="3" t="s">
        <v>36</v>
      </c>
      <c r="Q6281" s="3" t="s">
        <v>36</v>
      </c>
      <c r="R6281" s="3" t="s">
        <v>36</v>
      </c>
      <c r="S6281" s="3" t="s">
        <v>36</v>
      </c>
      <c r="T6281" s="3" t="s">
        <v>4933</v>
      </c>
      <c r="U6281" s="3" t="s">
        <v>74</v>
      </c>
      <c r="V6281" s="3" t="s">
        <v>75</v>
      </c>
      <c r="W6281" s="3" t="s">
        <v>23232</v>
      </c>
      <c r="X6281" s="10" t="s">
        <v>28735</v>
      </c>
      <c r="Y6281" s="6" t="s">
        <v>42</v>
      </c>
      <c r="Z6281" s="4">
        <v>0.52</v>
      </c>
      <c r="AA6281" s="4">
        <v>5.67</v>
      </c>
      <c r="AB6281" s="3" t="s">
        <v>43</v>
      </c>
      <c r="AC6281" s="3" t="s">
        <v>23233</v>
      </c>
      <c r="AD6281" s="9">
        <v>42748</v>
      </c>
      <c r="AE6281" s="3" t="s">
        <v>79</v>
      </c>
      <c r="AF6281" s="3" t="s">
        <v>815</v>
      </c>
      <c r="AG6281" s="3" t="s">
        <v>5504</v>
      </c>
      <c r="AH6281" s="11">
        <f>HYPERLINK("https://my.pitchbook.com?c=106191-37T","View Company Online")</f>
      </c>
    </row>
    <row r="6282">
      <c r="A6282" s="12" t="s">
        <v>28736</v>
      </c>
      <c r="B6282" s="12" t="s">
        <v>28737</v>
      </c>
      <c r="C6282" s="19" t="s">
        <v>36</v>
      </c>
      <c r="D6282" s="19" t="s">
        <v>36</v>
      </c>
      <c r="E6282" s="19" t="s">
        <v>36</v>
      </c>
      <c r="F6282" s="19" t="s">
        <v>36</v>
      </c>
      <c r="G6282" s="15" t="s">
        <v>36</v>
      </c>
      <c r="H6282" s="14" t="s">
        <v>36</v>
      </c>
      <c r="I6282" s="18" t="s">
        <v>36</v>
      </c>
      <c r="J6282" s="12" t="s">
        <v>36</v>
      </c>
      <c r="K6282" s="13" t="s">
        <v>36</v>
      </c>
      <c r="L6282" s="15" t="s">
        <v>122</v>
      </c>
      <c r="M6282" s="12" t="s">
        <v>36</v>
      </c>
      <c r="N6282" s="12" t="s">
        <v>122</v>
      </c>
      <c r="O6282" s="17" t="s">
        <v>36</v>
      </c>
      <c r="P6282" s="12" t="s">
        <v>36</v>
      </c>
      <c r="Q6282" s="12" t="s">
        <v>36</v>
      </c>
      <c r="R6282" s="12" t="s">
        <v>36</v>
      </c>
      <c r="S6282" s="12" t="s">
        <v>36</v>
      </c>
      <c r="T6282" s="12" t="s">
        <v>522</v>
      </c>
      <c r="U6282" s="12" t="s">
        <v>38</v>
      </c>
      <c r="V6282" s="12" t="s">
        <v>39</v>
      </c>
      <c r="W6282" s="12" t="s">
        <v>28738</v>
      </c>
      <c r="X6282" s="16" t="s">
        <v>28739</v>
      </c>
      <c r="Y6282" s="15" t="s">
        <v>42</v>
      </c>
      <c r="Z6282" s="14">
        <v>5.24</v>
      </c>
      <c r="AA6282" s="14" t="s">
        <v>36</v>
      </c>
      <c r="AB6282" s="12" t="s">
        <v>56</v>
      </c>
      <c r="AC6282" s="12" t="s">
        <v>28740</v>
      </c>
      <c r="AD6282" s="13">
        <v>42747</v>
      </c>
      <c r="AE6282" s="12" t="s">
        <v>110</v>
      </c>
      <c r="AF6282" s="12" t="s">
        <v>256</v>
      </c>
      <c r="AG6282" s="12" t="s">
        <v>81</v>
      </c>
      <c r="AH6282" s="1">
        <f>HYPERLINK("https://my.pitchbook.com?c=81476-74T","View Company Online")</f>
      </c>
    </row>
    <row r="6283">
      <c r="A6283" s="3" t="s">
        <v>28741</v>
      </c>
      <c r="B6283" s="3" t="s">
        <v>28742</v>
      </c>
      <c r="C6283" s="5" t="s">
        <v>36</v>
      </c>
      <c r="D6283" s="5" t="s">
        <v>36</v>
      </c>
      <c r="E6283" s="5" t="s">
        <v>36</v>
      </c>
      <c r="F6283" s="5" t="s">
        <v>36</v>
      </c>
      <c r="G6283" s="6" t="s">
        <v>36</v>
      </c>
      <c r="H6283" s="4" t="s">
        <v>36</v>
      </c>
      <c r="I6283" s="7" t="s">
        <v>36</v>
      </c>
      <c r="J6283" s="3" t="s">
        <v>36</v>
      </c>
      <c r="K6283" s="9" t="s">
        <v>36</v>
      </c>
      <c r="L6283" s="6" t="s">
        <v>36</v>
      </c>
      <c r="M6283" s="3" t="s">
        <v>36</v>
      </c>
      <c r="N6283" s="3" t="s">
        <v>36</v>
      </c>
      <c r="O6283" s="8" t="s">
        <v>36</v>
      </c>
      <c r="P6283" s="3" t="s">
        <v>36</v>
      </c>
      <c r="Q6283" s="3" t="s">
        <v>36</v>
      </c>
      <c r="R6283" s="3" t="s">
        <v>36</v>
      </c>
      <c r="S6283" s="3" t="s">
        <v>36</v>
      </c>
      <c r="T6283" s="3" t="s">
        <v>28743</v>
      </c>
      <c r="U6283" s="3" t="s">
        <v>289</v>
      </c>
      <c r="V6283" s="3" t="s">
        <v>64</v>
      </c>
      <c r="W6283" s="3" t="s">
        <v>28744</v>
      </c>
      <c r="X6283" s="10" t="s">
        <v>28745</v>
      </c>
      <c r="Y6283" s="6" t="s">
        <v>55</v>
      </c>
      <c r="Z6283" s="4">
        <v>1.06</v>
      </c>
      <c r="AA6283" s="4" t="s">
        <v>36</v>
      </c>
      <c r="AB6283" s="3" t="s">
        <v>56</v>
      </c>
      <c r="AC6283" s="3" t="s">
        <v>28746</v>
      </c>
      <c r="AD6283" s="9">
        <v>42746</v>
      </c>
      <c r="AE6283" s="3" t="s">
        <v>292</v>
      </c>
      <c r="AF6283" s="3" t="s">
        <v>90</v>
      </c>
      <c r="AG6283" s="3" t="s">
        <v>652</v>
      </c>
      <c r="AH6283" s="11">
        <f>HYPERLINK("https://my.pitchbook.com?c=199876-60T","View Company Online")</f>
      </c>
    </row>
    <row r="6284">
      <c r="A6284" s="12" t="s">
        <v>28747</v>
      </c>
      <c r="B6284" s="12" t="s">
        <v>28748</v>
      </c>
      <c r="C6284" s="19" t="s">
        <v>36</v>
      </c>
      <c r="D6284" s="19" t="s">
        <v>36</v>
      </c>
      <c r="E6284" s="19" t="s">
        <v>36</v>
      </c>
      <c r="F6284" s="19" t="s">
        <v>36</v>
      </c>
      <c r="G6284" s="15" t="s">
        <v>36</v>
      </c>
      <c r="H6284" s="14">
        <v>59.2</v>
      </c>
      <c r="I6284" s="18">
        <v>29.81</v>
      </c>
      <c r="J6284" s="12" t="s">
        <v>521</v>
      </c>
      <c r="K6284" s="13" t="s">
        <v>36</v>
      </c>
      <c r="L6284" s="15" t="s">
        <v>36</v>
      </c>
      <c r="M6284" s="12" t="s">
        <v>36</v>
      </c>
      <c r="N6284" s="12" t="s">
        <v>36</v>
      </c>
      <c r="O6284" s="17" t="s">
        <v>36</v>
      </c>
      <c r="P6284" s="12" t="s">
        <v>36</v>
      </c>
      <c r="Q6284" s="12" t="s">
        <v>36</v>
      </c>
      <c r="R6284" s="12" t="s">
        <v>36</v>
      </c>
      <c r="S6284" s="12" t="s">
        <v>36</v>
      </c>
      <c r="T6284" s="12" t="s">
        <v>28749</v>
      </c>
      <c r="U6284" s="12" t="s">
        <v>38</v>
      </c>
      <c r="V6284" s="12" t="s">
        <v>39</v>
      </c>
      <c r="W6284" s="12" t="s">
        <v>28750</v>
      </c>
      <c r="X6284" s="16" t="s">
        <v>28751</v>
      </c>
      <c r="Y6284" s="15" t="s">
        <v>55</v>
      </c>
      <c r="Z6284" s="14">
        <v>2.83</v>
      </c>
      <c r="AA6284" s="14">
        <v>6.28</v>
      </c>
      <c r="AB6284" s="12" t="s">
        <v>56</v>
      </c>
      <c r="AC6284" s="12" t="s">
        <v>28752</v>
      </c>
      <c r="AD6284" s="13">
        <v>42746</v>
      </c>
      <c r="AE6284" s="12" t="s">
        <v>45</v>
      </c>
      <c r="AF6284" s="12" t="s">
        <v>1636</v>
      </c>
      <c r="AG6284" s="12" t="s">
        <v>81</v>
      </c>
      <c r="AH6284" s="1">
        <f>HYPERLINK("https://my.pitchbook.com?c=104371-57T","View Company Online")</f>
      </c>
    </row>
    <row r="6285">
      <c r="A6285" s="3" t="s">
        <v>28753</v>
      </c>
      <c r="B6285" s="3" t="s">
        <v>11638</v>
      </c>
      <c r="C6285" s="5" t="s">
        <v>36</v>
      </c>
      <c r="D6285" s="5" t="s">
        <v>36</v>
      </c>
      <c r="E6285" s="5" t="s">
        <v>36</v>
      </c>
      <c r="F6285" s="5" t="s">
        <v>36</v>
      </c>
      <c r="G6285" s="6" t="s">
        <v>326</v>
      </c>
      <c r="H6285" s="4">
        <v>1099.24</v>
      </c>
      <c r="I6285" s="7">
        <v>32.26</v>
      </c>
      <c r="J6285" s="3" t="s">
        <v>521</v>
      </c>
      <c r="K6285" s="9">
        <v>42702</v>
      </c>
      <c r="L6285" s="6" t="s">
        <v>122</v>
      </c>
      <c r="M6285" s="3" t="s">
        <v>36</v>
      </c>
      <c r="N6285" s="3" t="s">
        <v>122</v>
      </c>
      <c r="O6285" s="8" t="s">
        <v>36</v>
      </c>
      <c r="P6285" s="3" t="s">
        <v>36</v>
      </c>
      <c r="Q6285" s="3" t="s">
        <v>36</v>
      </c>
      <c r="R6285" s="3" t="s">
        <v>36</v>
      </c>
      <c r="S6285" s="3" t="s">
        <v>36</v>
      </c>
      <c r="T6285" s="3" t="s">
        <v>2308</v>
      </c>
      <c r="U6285" s="3" t="s">
        <v>38</v>
      </c>
      <c r="V6285" s="3" t="s">
        <v>39</v>
      </c>
      <c r="W6285" s="3" t="s">
        <v>11639</v>
      </c>
      <c r="X6285" s="10" t="s">
        <v>28754</v>
      </c>
      <c r="Y6285" s="6" t="s">
        <v>55</v>
      </c>
      <c r="Z6285" s="4">
        <v>7.34</v>
      </c>
      <c r="AA6285" s="4">
        <v>22.76</v>
      </c>
      <c r="AB6285" s="3" t="s">
        <v>56</v>
      </c>
      <c r="AC6285" s="3" t="s">
        <v>11641</v>
      </c>
      <c r="AD6285" s="9">
        <v>42745</v>
      </c>
      <c r="AE6285" s="3" t="s">
        <v>45</v>
      </c>
      <c r="AF6285" s="3" t="s">
        <v>5816</v>
      </c>
      <c r="AG6285" s="3" t="s">
        <v>81</v>
      </c>
      <c r="AH6285" s="11">
        <f>HYPERLINK("https://my.pitchbook.com?c=80942-77T","View Company Online")</f>
      </c>
    </row>
    <row r="6286">
      <c r="A6286" s="12" t="s">
        <v>28755</v>
      </c>
      <c r="B6286" s="12" t="s">
        <v>28756</v>
      </c>
      <c r="C6286" s="19" t="s">
        <v>36</v>
      </c>
      <c r="D6286" s="19">
        <v>5</v>
      </c>
      <c r="E6286" s="19">
        <v>3</v>
      </c>
      <c r="F6286" s="19">
        <v>9</v>
      </c>
      <c r="G6286" s="15" t="s">
        <v>36</v>
      </c>
      <c r="H6286" s="14">
        <v>50.53</v>
      </c>
      <c r="I6286" s="18">
        <v>43.75</v>
      </c>
      <c r="J6286" s="12" t="s">
        <v>521</v>
      </c>
      <c r="K6286" s="13">
        <v>42739</v>
      </c>
      <c r="L6286" s="15" t="s">
        <v>36</v>
      </c>
      <c r="M6286" s="12" t="s">
        <v>36</v>
      </c>
      <c r="N6286" s="12" t="s">
        <v>36</v>
      </c>
      <c r="O6286" s="17" t="s">
        <v>36</v>
      </c>
      <c r="P6286" s="12" t="s">
        <v>36</v>
      </c>
      <c r="Q6286" s="12" t="s">
        <v>36</v>
      </c>
      <c r="R6286" s="12" t="s">
        <v>36</v>
      </c>
      <c r="S6286" s="12" t="s">
        <v>36</v>
      </c>
      <c r="T6286" s="12" t="s">
        <v>4640</v>
      </c>
      <c r="U6286" s="12" t="s">
        <v>833</v>
      </c>
      <c r="V6286" s="12" t="s">
        <v>64</v>
      </c>
      <c r="W6286" s="12" t="s">
        <v>28757</v>
      </c>
      <c r="X6286" s="16" t="s">
        <v>28758</v>
      </c>
      <c r="Y6286" s="15" t="s">
        <v>42</v>
      </c>
      <c r="Z6286" s="14">
        <v>1.36</v>
      </c>
      <c r="AA6286" s="14">
        <v>1.68</v>
      </c>
      <c r="AB6286" s="12" t="s">
        <v>43</v>
      </c>
      <c r="AC6286" s="12" t="s">
        <v>28759</v>
      </c>
      <c r="AD6286" s="13">
        <v>42745</v>
      </c>
      <c r="AE6286" s="12" t="s">
        <v>1687</v>
      </c>
      <c r="AF6286" s="12" t="s">
        <v>733</v>
      </c>
      <c r="AG6286" s="12" t="s">
        <v>28760</v>
      </c>
      <c r="AH6286" s="1">
        <f>HYPERLINK("https://my.pitchbook.com?c=86352-22T","View Company Online")</f>
      </c>
    </row>
    <row r="6287">
      <c r="A6287" s="3" t="s">
        <v>28761</v>
      </c>
      <c r="B6287" s="3" t="s">
        <v>28762</v>
      </c>
      <c r="C6287" s="5" t="s">
        <v>36</v>
      </c>
      <c r="D6287" s="5" t="s">
        <v>36</v>
      </c>
      <c r="E6287" s="5" t="s">
        <v>36</v>
      </c>
      <c r="F6287" s="5" t="s">
        <v>36</v>
      </c>
      <c r="G6287" s="6" t="s">
        <v>36</v>
      </c>
      <c r="H6287" s="4">
        <v>21.39</v>
      </c>
      <c r="I6287" s="7">
        <v>31.85</v>
      </c>
      <c r="J6287" s="3" t="s">
        <v>521</v>
      </c>
      <c r="K6287" s="9" t="s">
        <v>36</v>
      </c>
      <c r="L6287" s="6" t="s">
        <v>122</v>
      </c>
      <c r="M6287" s="3" t="s">
        <v>36</v>
      </c>
      <c r="N6287" s="3" t="s">
        <v>122</v>
      </c>
      <c r="O6287" s="8" t="s">
        <v>36</v>
      </c>
      <c r="P6287" s="3" t="s">
        <v>36</v>
      </c>
      <c r="Q6287" s="3" t="s">
        <v>36</v>
      </c>
      <c r="R6287" s="3" t="s">
        <v>36</v>
      </c>
      <c r="S6287" s="3" t="s">
        <v>36</v>
      </c>
      <c r="T6287" s="3" t="s">
        <v>28763</v>
      </c>
      <c r="U6287" s="3" t="s">
        <v>279</v>
      </c>
      <c r="V6287" s="3" t="s">
        <v>64</v>
      </c>
      <c r="W6287" s="3" t="s">
        <v>28764</v>
      </c>
      <c r="X6287" s="10" t="s">
        <v>28765</v>
      </c>
      <c r="Y6287" s="6" t="s">
        <v>108</v>
      </c>
      <c r="Z6287" s="4">
        <v>1.52</v>
      </c>
      <c r="AA6287" s="4">
        <v>4.78</v>
      </c>
      <c r="AB6287" s="3" t="s">
        <v>43</v>
      </c>
      <c r="AC6287" s="3" t="s">
        <v>28766</v>
      </c>
      <c r="AD6287" s="9">
        <v>42741</v>
      </c>
      <c r="AE6287" s="3" t="s">
        <v>740</v>
      </c>
      <c r="AF6287" s="3" t="s">
        <v>1077</v>
      </c>
      <c r="AG6287" s="3" t="s">
        <v>81</v>
      </c>
      <c r="AH6287" s="11">
        <f>HYPERLINK("https://my.pitchbook.com?c=93688-03T","View Company Online")</f>
      </c>
    </row>
    <row r="6288">
      <c r="A6288" s="12" t="s">
        <v>28767</v>
      </c>
      <c r="B6288" s="12" t="s">
        <v>12351</v>
      </c>
      <c r="C6288" s="19" t="s">
        <v>36</v>
      </c>
      <c r="D6288" s="19" t="s">
        <v>36</v>
      </c>
      <c r="E6288" s="19" t="s">
        <v>36</v>
      </c>
      <c r="F6288" s="19" t="s">
        <v>36</v>
      </c>
      <c r="G6288" s="15" t="s">
        <v>36</v>
      </c>
      <c r="H6288" s="14" t="s">
        <v>36</v>
      </c>
      <c r="I6288" s="18" t="s">
        <v>36</v>
      </c>
      <c r="J6288" s="12" t="s">
        <v>36</v>
      </c>
      <c r="K6288" s="13" t="s">
        <v>36</v>
      </c>
      <c r="L6288" s="15" t="s">
        <v>122</v>
      </c>
      <c r="M6288" s="12" t="s">
        <v>36</v>
      </c>
      <c r="N6288" s="12" t="s">
        <v>122</v>
      </c>
      <c r="O6288" s="17" t="s">
        <v>36</v>
      </c>
      <c r="P6288" s="12" t="s">
        <v>36</v>
      </c>
      <c r="Q6288" s="12" t="s">
        <v>36</v>
      </c>
      <c r="R6288" s="12" t="s">
        <v>36</v>
      </c>
      <c r="S6288" s="12" t="s">
        <v>36</v>
      </c>
      <c r="T6288" s="12" t="s">
        <v>12352</v>
      </c>
      <c r="U6288" s="12" t="s">
        <v>455</v>
      </c>
      <c r="V6288" s="12" t="s">
        <v>367</v>
      </c>
      <c r="W6288" s="12" t="s">
        <v>12353</v>
      </c>
      <c r="X6288" s="16" t="s">
        <v>28768</v>
      </c>
      <c r="Y6288" s="15" t="s">
        <v>42</v>
      </c>
      <c r="Z6288" s="14">
        <v>2.1</v>
      </c>
      <c r="AA6288" s="14" t="s">
        <v>36</v>
      </c>
      <c r="AB6288" s="12" t="s">
        <v>43</v>
      </c>
      <c r="AC6288" s="12" t="s">
        <v>12355</v>
      </c>
      <c r="AD6288" s="13">
        <v>42740</v>
      </c>
      <c r="AE6288" s="12" t="s">
        <v>12356</v>
      </c>
      <c r="AF6288" s="12" t="s">
        <v>3179</v>
      </c>
      <c r="AG6288" s="12" t="s">
        <v>81</v>
      </c>
      <c r="AH6288" s="1">
        <f>HYPERLINK("https://my.pitchbook.com?c=80781-85T","View Company Online")</f>
      </c>
    </row>
    <row r="6289">
      <c r="A6289" s="3" t="s">
        <v>28769</v>
      </c>
      <c r="B6289" s="3" t="s">
        <v>28770</v>
      </c>
      <c r="C6289" s="5" t="s">
        <v>36</v>
      </c>
      <c r="D6289" s="5" t="s">
        <v>36</v>
      </c>
      <c r="E6289" s="5" t="s">
        <v>36</v>
      </c>
      <c r="F6289" s="5" t="s">
        <v>36</v>
      </c>
      <c r="G6289" s="6" t="s">
        <v>326</v>
      </c>
      <c r="H6289" s="4">
        <v>185.8</v>
      </c>
      <c r="I6289" s="7">
        <v>4.06</v>
      </c>
      <c r="J6289" s="3" t="s">
        <v>521</v>
      </c>
      <c r="K6289" s="9" t="s">
        <v>36</v>
      </c>
      <c r="L6289" s="6" t="s">
        <v>36</v>
      </c>
      <c r="M6289" s="3" t="s">
        <v>36</v>
      </c>
      <c r="N6289" s="3" t="s">
        <v>36</v>
      </c>
      <c r="O6289" s="8" t="s">
        <v>36</v>
      </c>
      <c r="P6289" s="3" t="s">
        <v>36</v>
      </c>
      <c r="Q6289" s="3" t="s">
        <v>36</v>
      </c>
      <c r="R6289" s="3" t="s">
        <v>36</v>
      </c>
      <c r="S6289" s="3" t="s">
        <v>36</v>
      </c>
      <c r="T6289" s="3" t="s">
        <v>28771</v>
      </c>
      <c r="U6289" s="3" t="s">
        <v>38</v>
      </c>
      <c r="V6289" s="3" t="s">
        <v>39</v>
      </c>
      <c r="W6289" s="3" t="s">
        <v>28772</v>
      </c>
      <c r="X6289" s="10" t="s">
        <v>18444</v>
      </c>
      <c r="Y6289" s="6" t="s">
        <v>166</v>
      </c>
      <c r="Z6289" s="4">
        <v>5.33</v>
      </c>
      <c r="AA6289" s="4">
        <v>131.33</v>
      </c>
      <c r="AB6289" s="3" t="s">
        <v>43</v>
      </c>
      <c r="AC6289" s="3" t="s">
        <v>28773</v>
      </c>
      <c r="AD6289" s="9">
        <v>42740</v>
      </c>
      <c r="AE6289" s="3" t="s">
        <v>45</v>
      </c>
      <c r="AF6289" s="3" t="s">
        <v>28774</v>
      </c>
      <c r="AG6289" s="3" t="s">
        <v>28775</v>
      </c>
      <c r="AH6289" s="11">
        <f>HYPERLINK("https://my.pitchbook.com?c=85831-03T","View Company Online")</f>
      </c>
    </row>
    <row r="6290">
      <c r="A6290" s="12" t="s">
        <v>28776</v>
      </c>
      <c r="B6290" s="12" t="s">
        <v>20911</v>
      </c>
      <c r="C6290" s="19">
        <v>1</v>
      </c>
      <c r="D6290" s="19">
        <v>6</v>
      </c>
      <c r="E6290" s="19">
        <v>3</v>
      </c>
      <c r="F6290" s="19">
        <v>9</v>
      </c>
      <c r="G6290" s="15" t="s">
        <v>36</v>
      </c>
      <c r="H6290" s="14" t="s">
        <v>36</v>
      </c>
      <c r="I6290" s="18" t="s">
        <v>36</v>
      </c>
      <c r="J6290" s="12" t="s">
        <v>36</v>
      </c>
      <c r="K6290" s="13">
        <v>42670</v>
      </c>
      <c r="L6290" s="15" t="s">
        <v>36</v>
      </c>
      <c r="M6290" s="12" t="s">
        <v>36</v>
      </c>
      <c r="N6290" s="12" t="s">
        <v>36</v>
      </c>
      <c r="O6290" s="17" t="s">
        <v>36</v>
      </c>
      <c r="P6290" s="12" t="s">
        <v>36</v>
      </c>
      <c r="Q6290" s="12" t="s">
        <v>36</v>
      </c>
      <c r="R6290" s="12" t="s">
        <v>36</v>
      </c>
      <c r="S6290" s="12" t="s">
        <v>36</v>
      </c>
      <c r="T6290" s="12" t="s">
        <v>2255</v>
      </c>
      <c r="U6290" s="12" t="s">
        <v>833</v>
      </c>
      <c r="V6290" s="12" t="s">
        <v>64</v>
      </c>
      <c r="W6290" s="12" t="s">
        <v>20912</v>
      </c>
      <c r="X6290" s="16" t="s">
        <v>28777</v>
      </c>
      <c r="Y6290" s="15" t="s">
        <v>108</v>
      </c>
      <c r="Z6290" s="14">
        <v>0.84</v>
      </c>
      <c r="AA6290" s="14" t="s">
        <v>36</v>
      </c>
      <c r="AB6290" s="12" t="s">
        <v>43</v>
      </c>
      <c r="AC6290" s="12" t="s">
        <v>20914</v>
      </c>
      <c r="AD6290" s="13">
        <v>42739</v>
      </c>
      <c r="AE6290" s="12" t="s">
        <v>1769</v>
      </c>
      <c r="AF6290" s="12" t="s">
        <v>571</v>
      </c>
      <c r="AG6290" s="12" t="s">
        <v>741</v>
      </c>
      <c r="AH6290" s="1">
        <f>HYPERLINK("https://my.pitchbook.com?c=94994-02T","View Company Online")</f>
      </c>
    </row>
    <row r="6291">
      <c r="A6291" s="3" t="s">
        <v>28778</v>
      </c>
      <c r="B6291" s="3" t="s">
        <v>28779</v>
      </c>
      <c r="C6291" s="5" t="s">
        <v>36</v>
      </c>
      <c r="D6291" s="5" t="s">
        <v>36</v>
      </c>
      <c r="E6291" s="5" t="s">
        <v>36</v>
      </c>
      <c r="F6291" s="5" t="s">
        <v>36</v>
      </c>
      <c r="G6291" s="6" t="s">
        <v>326</v>
      </c>
      <c r="H6291" s="4">
        <v>228.48</v>
      </c>
      <c r="I6291" s="7">
        <v>24.98</v>
      </c>
      <c r="J6291" s="3" t="s">
        <v>521</v>
      </c>
      <c r="K6291" s="9" t="s">
        <v>36</v>
      </c>
      <c r="L6291" s="6" t="s">
        <v>36</v>
      </c>
      <c r="M6291" s="3" t="s">
        <v>36</v>
      </c>
      <c r="N6291" s="3" t="s">
        <v>36</v>
      </c>
      <c r="O6291" s="8" t="s">
        <v>36</v>
      </c>
      <c r="P6291" s="3" t="s">
        <v>36</v>
      </c>
      <c r="Q6291" s="3" t="s">
        <v>36</v>
      </c>
      <c r="R6291" s="3" t="s">
        <v>36</v>
      </c>
      <c r="S6291" s="3" t="s">
        <v>36</v>
      </c>
      <c r="T6291" s="3" t="s">
        <v>5512</v>
      </c>
      <c r="U6291" s="3" t="s">
        <v>38</v>
      </c>
      <c r="V6291" s="3" t="s">
        <v>39</v>
      </c>
      <c r="W6291" s="3" t="s">
        <v>28780</v>
      </c>
      <c r="X6291" s="10" t="s">
        <v>28781</v>
      </c>
      <c r="Y6291" s="6" t="s">
        <v>42</v>
      </c>
      <c r="Z6291" s="4">
        <v>0.35</v>
      </c>
      <c r="AA6291" s="4">
        <v>1.41</v>
      </c>
      <c r="AB6291" s="3" t="s">
        <v>43</v>
      </c>
      <c r="AC6291" s="3" t="s">
        <v>28782</v>
      </c>
      <c r="AD6291" s="9">
        <v>42737</v>
      </c>
      <c r="AE6291" s="3" t="s">
        <v>45</v>
      </c>
      <c r="AF6291" s="3" t="s">
        <v>1077</v>
      </c>
      <c r="AG6291" s="3" t="s">
        <v>6013</v>
      </c>
      <c r="AH6291" s="11">
        <f>HYPERLINK("https://my.pitchbook.com?c=87765-85T","View Company Online")</f>
      </c>
    </row>
    <row r="6292">
      <c r="A6292" s="12" t="s">
        <v>28783</v>
      </c>
      <c r="B6292" s="12" t="s">
        <v>28784</v>
      </c>
      <c r="C6292" s="19" t="s">
        <v>36</v>
      </c>
      <c r="D6292" s="19" t="s">
        <v>36</v>
      </c>
      <c r="E6292" s="19" t="s">
        <v>36</v>
      </c>
      <c r="F6292" s="19" t="s">
        <v>36</v>
      </c>
      <c r="G6292" s="15" t="s">
        <v>683</v>
      </c>
      <c r="H6292" s="14">
        <v>5.09</v>
      </c>
      <c r="I6292" s="18">
        <v>24.51</v>
      </c>
      <c r="J6292" s="12" t="s">
        <v>521</v>
      </c>
      <c r="K6292" s="13" t="s">
        <v>36</v>
      </c>
      <c r="L6292" s="15" t="s">
        <v>36</v>
      </c>
      <c r="M6292" s="12" t="s">
        <v>36</v>
      </c>
      <c r="N6292" s="12" t="s">
        <v>36</v>
      </c>
      <c r="O6292" s="17" t="s">
        <v>36</v>
      </c>
      <c r="P6292" s="12" t="s">
        <v>36</v>
      </c>
      <c r="Q6292" s="12" t="s">
        <v>36</v>
      </c>
      <c r="R6292" s="12" t="s">
        <v>36</v>
      </c>
      <c r="S6292" s="12" t="s">
        <v>36</v>
      </c>
      <c r="T6292" s="12" t="s">
        <v>8556</v>
      </c>
      <c r="U6292" s="12" t="s">
        <v>38</v>
      </c>
      <c r="V6292" s="12" t="s">
        <v>39</v>
      </c>
      <c r="W6292" s="12" t="s">
        <v>28785</v>
      </c>
      <c r="X6292" s="16" t="s">
        <v>28786</v>
      </c>
      <c r="Y6292" s="15" t="s">
        <v>42</v>
      </c>
      <c r="Z6292" s="14">
        <v>0.89</v>
      </c>
      <c r="AA6292" s="14">
        <v>3.65</v>
      </c>
      <c r="AB6292" s="12" t="s">
        <v>56</v>
      </c>
      <c r="AC6292" s="12" t="s">
        <v>28787</v>
      </c>
      <c r="AD6292" s="13">
        <v>42736</v>
      </c>
      <c r="AE6292" s="12" t="s">
        <v>110</v>
      </c>
      <c r="AF6292" s="12" t="s">
        <v>4552</v>
      </c>
      <c r="AG6292" s="12" t="s">
        <v>924</v>
      </c>
      <c r="AH6292" s="1">
        <f>HYPERLINK("https://my.pitchbook.com?c=82335-88T","View Company Online")</f>
      </c>
    </row>
    <row r="6293">
      <c r="A6293" s="3" t="s">
        <v>28788</v>
      </c>
      <c r="B6293" s="3" t="s">
        <v>28789</v>
      </c>
      <c r="C6293" s="5" t="s">
        <v>36</v>
      </c>
      <c r="D6293" s="5" t="s">
        <v>36</v>
      </c>
      <c r="E6293" s="5" t="s">
        <v>36</v>
      </c>
      <c r="F6293" s="5" t="s">
        <v>36</v>
      </c>
      <c r="G6293" s="6" t="s">
        <v>326</v>
      </c>
      <c r="H6293" s="4">
        <v>14.96</v>
      </c>
      <c r="I6293" s="7">
        <v>6.23</v>
      </c>
      <c r="J6293" s="3" t="s">
        <v>521</v>
      </c>
      <c r="K6293" s="9" t="s">
        <v>36</v>
      </c>
      <c r="L6293" s="6" t="s">
        <v>36</v>
      </c>
      <c r="M6293" s="3" t="s">
        <v>36</v>
      </c>
      <c r="N6293" s="3" t="s">
        <v>36</v>
      </c>
      <c r="O6293" s="8" t="s">
        <v>36</v>
      </c>
      <c r="P6293" s="3" t="s">
        <v>36</v>
      </c>
      <c r="Q6293" s="3" t="s">
        <v>36</v>
      </c>
      <c r="R6293" s="3" t="s">
        <v>36</v>
      </c>
      <c r="S6293" s="3" t="s">
        <v>6657</v>
      </c>
      <c r="T6293" s="3" t="s">
        <v>4318</v>
      </c>
      <c r="U6293" s="3" t="s">
        <v>366</v>
      </c>
      <c r="V6293" s="3" t="s">
        <v>367</v>
      </c>
      <c r="W6293" s="3" t="s">
        <v>28790</v>
      </c>
      <c r="X6293" s="10" t="s">
        <v>10358</v>
      </c>
      <c r="Y6293" s="6" t="s">
        <v>42</v>
      </c>
      <c r="Z6293" s="4">
        <v>0.11</v>
      </c>
      <c r="AA6293" s="4">
        <v>1.69</v>
      </c>
      <c r="AB6293" s="3" t="s">
        <v>56</v>
      </c>
      <c r="AC6293" s="3" t="s">
        <v>28791</v>
      </c>
      <c r="AD6293" s="9">
        <v>42736</v>
      </c>
      <c r="AE6293" s="3" t="s">
        <v>371</v>
      </c>
      <c r="AF6293" s="3" t="s">
        <v>28792</v>
      </c>
      <c r="AG6293" s="3" t="s">
        <v>16648</v>
      </c>
      <c r="AH6293" s="11">
        <f>HYPERLINK("https://my.pitchbook.com?c=190689-31T","View Company Online")</f>
      </c>
    </row>
    <row r="6294">
      <c r="A6294" s="12" t="s">
        <v>28793</v>
      </c>
      <c r="B6294" s="12" t="s">
        <v>28794</v>
      </c>
      <c r="C6294" s="19">
        <v>28</v>
      </c>
      <c r="D6294" s="19">
        <v>2</v>
      </c>
      <c r="E6294" s="19">
        <v>8</v>
      </c>
      <c r="F6294" s="19">
        <v>37</v>
      </c>
      <c r="G6294" s="15" t="s">
        <v>36</v>
      </c>
      <c r="H6294" s="14" t="s">
        <v>36</v>
      </c>
      <c r="I6294" s="18" t="s">
        <v>36</v>
      </c>
      <c r="J6294" s="12" t="s">
        <v>36</v>
      </c>
      <c r="K6294" s="13" t="s">
        <v>36</v>
      </c>
      <c r="L6294" s="15" t="s">
        <v>36</v>
      </c>
      <c r="M6294" s="12" t="s">
        <v>36</v>
      </c>
      <c r="N6294" s="12" t="s">
        <v>36</v>
      </c>
      <c r="O6294" s="17" t="s">
        <v>36</v>
      </c>
      <c r="P6294" s="12" t="s">
        <v>36</v>
      </c>
      <c r="Q6294" s="12" t="s">
        <v>36</v>
      </c>
      <c r="R6294" s="12" t="s">
        <v>36</v>
      </c>
      <c r="S6294" s="12" t="s">
        <v>36</v>
      </c>
      <c r="T6294" s="12" t="s">
        <v>4225</v>
      </c>
      <c r="U6294" s="12" t="s">
        <v>96</v>
      </c>
      <c r="V6294" s="12" t="s">
        <v>52</v>
      </c>
      <c r="W6294" s="12" t="s">
        <v>28795</v>
      </c>
      <c r="X6294" s="16" t="s">
        <v>9533</v>
      </c>
      <c r="Y6294" s="15" t="s">
        <v>42</v>
      </c>
      <c r="Z6294" s="14" t="s">
        <v>36</v>
      </c>
      <c r="AA6294" s="14" t="s">
        <v>36</v>
      </c>
      <c r="AB6294" s="12" t="s">
        <v>43</v>
      </c>
      <c r="AC6294" s="12" t="s">
        <v>28796</v>
      </c>
      <c r="AD6294" s="13">
        <v>42736</v>
      </c>
      <c r="AE6294" s="12" t="s">
        <v>143</v>
      </c>
      <c r="AF6294" s="12" t="s">
        <v>28797</v>
      </c>
      <c r="AG6294" s="12" t="s">
        <v>81</v>
      </c>
      <c r="AH6294" s="1">
        <f>HYPERLINK("https://my.pitchbook.com?c=219234-97T","View Company Online")</f>
      </c>
    </row>
    <row r="6295">
      <c r="A6295" s="3" t="s">
        <v>28798</v>
      </c>
      <c r="B6295" s="3" t="s">
        <v>28799</v>
      </c>
      <c r="C6295" s="5" t="s">
        <v>36</v>
      </c>
      <c r="D6295" s="5" t="s">
        <v>36</v>
      </c>
      <c r="E6295" s="5" t="s">
        <v>36</v>
      </c>
      <c r="F6295" s="5" t="s">
        <v>36</v>
      </c>
      <c r="G6295" s="6" t="s">
        <v>36</v>
      </c>
      <c r="H6295" s="4" t="s">
        <v>36</v>
      </c>
      <c r="I6295" s="7" t="s">
        <v>36</v>
      </c>
      <c r="J6295" s="3" t="s">
        <v>36</v>
      </c>
      <c r="K6295" s="9" t="s">
        <v>36</v>
      </c>
      <c r="L6295" s="6" t="s">
        <v>36</v>
      </c>
      <c r="M6295" s="3" t="s">
        <v>36</v>
      </c>
      <c r="N6295" s="3" t="s">
        <v>36</v>
      </c>
      <c r="O6295" s="8" t="s">
        <v>36</v>
      </c>
      <c r="P6295" s="3" t="s">
        <v>36</v>
      </c>
      <c r="Q6295" s="3" t="s">
        <v>36</v>
      </c>
      <c r="R6295" s="3" t="s">
        <v>36</v>
      </c>
      <c r="S6295" s="3" t="s">
        <v>36</v>
      </c>
      <c r="T6295" s="3" t="s">
        <v>9522</v>
      </c>
      <c r="U6295" s="3" t="s">
        <v>423</v>
      </c>
      <c r="V6295" s="3" t="s">
        <v>64</v>
      </c>
      <c r="W6295" s="3" t="s">
        <v>28800</v>
      </c>
      <c r="X6295" s="10" t="s">
        <v>1872</v>
      </c>
      <c r="Y6295" s="6" t="s">
        <v>42</v>
      </c>
      <c r="Z6295" s="4" t="s">
        <v>36</v>
      </c>
      <c r="AA6295" s="4" t="s">
        <v>36</v>
      </c>
      <c r="AB6295" s="3" t="s">
        <v>56</v>
      </c>
      <c r="AC6295" s="3" t="s">
        <v>28801</v>
      </c>
      <c r="AD6295" s="9">
        <v>42736</v>
      </c>
      <c r="AE6295" s="3" t="s">
        <v>2871</v>
      </c>
      <c r="AF6295" s="3" t="s">
        <v>90</v>
      </c>
      <c r="AG6295" s="3" t="s">
        <v>28802</v>
      </c>
      <c r="AH6295" s="11">
        <f>HYPERLINK("https://my.pitchbook.com?c=82019-62T","View Company Online")</f>
      </c>
    </row>
    <row r="6296">
      <c r="A6296" s="12" t="s">
        <v>28803</v>
      </c>
      <c r="B6296" s="12" t="s">
        <v>28804</v>
      </c>
      <c r="C6296" s="19" t="s">
        <v>36</v>
      </c>
      <c r="D6296" s="19" t="s">
        <v>36</v>
      </c>
      <c r="E6296" s="19" t="s">
        <v>36</v>
      </c>
      <c r="F6296" s="19" t="s">
        <v>36</v>
      </c>
      <c r="G6296" s="15" t="s">
        <v>683</v>
      </c>
      <c r="H6296" s="14">
        <v>1136.29</v>
      </c>
      <c r="I6296" s="18">
        <v>10.9</v>
      </c>
      <c r="J6296" s="12" t="s">
        <v>327</v>
      </c>
      <c r="K6296" s="13" t="s">
        <v>36</v>
      </c>
      <c r="L6296" s="15" t="s">
        <v>36</v>
      </c>
      <c r="M6296" s="12" t="s">
        <v>36</v>
      </c>
      <c r="N6296" s="12" t="s">
        <v>36</v>
      </c>
      <c r="O6296" s="17" t="s">
        <v>36</v>
      </c>
      <c r="P6296" s="12" t="s">
        <v>36</v>
      </c>
      <c r="Q6296" s="12" t="s">
        <v>36</v>
      </c>
      <c r="R6296" s="12" t="s">
        <v>36</v>
      </c>
      <c r="S6296" s="12" t="s">
        <v>36</v>
      </c>
      <c r="T6296" s="12" t="s">
        <v>2044</v>
      </c>
      <c r="U6296" s="12" t="s">
        <v>74</v>
      </c>
      <c r="V6296" s="12" t="s">
        <v>75</v>
      </c>
      <c r="W6296" s="12" t="s">
        <v>28805</v>
      </c>
      <c r="X6296" s="16" t="s">
        <v>28806</v>
      </c>
      <c r="Y6296" s="15" t="s">
        <v>108</v>
      </c>
      <c r="Z6296" s="14">
        <v>2.1</v>
      </c>
      <c r="AA6296" s="14">
        <v>19.31</v>
      </c>
      <c r="AB6296" s="12" t="s">
        <v>56</v>
      </c>
      <c r="AC6296" s="12" t="s">
        <v>28807</v>
      </c>
      <c r="AD6296" s="13">
        <v>42736</v>
      </c>
      <c r="AE6296" s="12" t="s">
        <v>79</v>
      </c>
      <c r="AF6296" s="12" t="s">
        <v>19021</v>
      </c>
      <c r="AG6296" s="12" t="s">
        <v>81</v>
      </c>
      <c r="AH6296" s="1">
        <f>HYPERLINK("https://my.pitchbook.com?c=118840-15T","View Company Online")</f>
      </c>
    </row>
    <row r="6297">
      <c r="A6297" s="3" t="s">
        <v>28808</v>
      </c>
      <c r="B6297" s="3" t="s">
        <v>28809</v>
      </c>
      <c r="C6297" s="5" t="s">
        <v>36</v>
      </c>
      <c r="D6297" s="5" t="s">
        <v>36</v>
      </c>
      <c r="E6297" s="5" t="s">
        <v>36</v>
      </c>
      <c r="F6297" s="5" t="s">
        <v>36</v>
      </c>
      <c r="G6297" s="6" t="s">
        <v>36</v>
      </c>
      <c r="H6297" s="4" t="s">
        <v>36</v>
      </c>
      <c r="I6297" s="7" t="s">
        <v>36</v>
      </c>
      <c r="J6297" s="3" t="s">
        <v>36</v>
      </c>
      <c r="K6297" s="9" t="s">
        <v>36</v>
      </c>
      <c r="L6297" s="6" t="s">
        <v>36</v>
      </c>
      <c r="M6297" s="3" t="s">
        <v>36</v>
      </c>
      <c r="N6297" s="3" t="s">
        <v>36</v>
      </c>
      <c r="O6297" s="8" t="s">
        <v>36</v>
      </c>
      <c r="P6297" s="3" t="s">
        <v>36</v>
      </c>
      <c r="Q6297" s="3" t="s">
        <v>36</v>
      </c>
      <c r="R6297" s="3" t="s">
        <v>36</v>
      </c>
      <c r="S6297" s="3" t="s">
        <v>36</v>
      </c>
      <c r="T6297" s="3" t="s">
        <v>28810</v>
      </c>
      <c r="U6297" s="3" t="s">
        <v>279</v>
      </c>
      <c r="V6297" s="3" t="s">
        <v>64</v>
      </c>
      <c r="W6297" s="3" t="s">
        <v>28811</v>
      </c>
      <c r="X6297" s="10" t="s">
        <v>28812</v>
      </c>
      <c r="Y6297" s="6" t="s">
        <v>42</v>
      </c>
      <c r="Z6297" s="4" t="s">
        <v>36</v>
      </c>
      <c r="AA6297" s="4" t="s">
        <v>36</v>
      </c>
      <c r="AB6297" s="3" t="s">
        <v>56</v>
      </c>
      <c r="AC6297" s="3" t="s">
        <v>28813</v>
      </c>
      <c r="AD6297" s="9">
        <v>42736</v>
      </c>
      <c r="AE6297" s="3" t="s">
        <v>283</v>
      </c>
      <c r="AF6297" s="3" t="s">
        <v>2118</v>
      </c>
      <c r="AG6297" s="3" t="s">
        <v>81</v>
      </c>
      <c r="AH6297" s="11">
        <f>HYPERLINK("https://my.pitchbook.com?c=106382-35T","View Company Online")</f>
      </c>
    </row>
    <row r="6298">
      <c r="A6298" s="12" t="s">
        <v>28814</v>
      </c>
      <c r="B6298" s="12" t="s">
        <v>28815</v>
      </c>
      <c r="C6298" s="19">
        <v>9</v>
      </c>
      <c r="D6298" s="19">
        <v>32</v>
      </c>
      <c r="E6298" s="19">
        <v>18</v>
      </c>
      <c r="F6298" s="19">
        <v>47</v>
      </c>
      <c r="G6298" s="15" t="s">
        <v>36</v>
      </c>
      <c r="H6298" s="14" t="s">
        <v>36</v>
      </c>
      <c r="I6298" s="18" t="s">
        <v>36</v>
      </c>
      <c r="J6298" s="12" t="s">
        <v>36</v>
      </c>
      <c r="K6298" s="13" t="s">
        <v>36</v>
      </c>
      <c r="L6298" s="15" t="s">
        <v>36</v>
      </c>
      <c r="M6298" s="12" t="s">
        <v>36</v>
      </c>
      <c r="N6298" s="12" t="s">
        <v>36</v>
      </c>
      <c r="O6298" s="17" t="s">
        <v>36</v>
      </c>
      <c r="P6298" s="12" t="s">
        <v>36</v>
      </c>
      <c r="Q6298" s="12" t="s">
        <v>36</v>
      </c>
      <c r="R6298" s="12" t="s">
        <v>36</v>
      </c>
      <c r="S6298" s="12" t="s">
        <v>36</v>
      </c>
      <c r="T6298" s="12" t="s">
        <v>3729</v>
      </c>
      <c r="U6298" s="12" t="s">
        <v>219</v>
      </c>
      <c r="V6298" s="12" t="s">
        <v>75</v>
      </c>
      <c r="W6298" s="12" t="s">
        <v>28816</v>
      </c>
      <c r="X6298" s="16" t="s">
        <v>28817</v>
      </c>
      <c r="Y6298" s="15" t="s">
        <v>192</v>
      </c>
      <c r="Z6298" s="14" t="s">
        <v>36</v>
      </c>
      <c r="AA6298" s="14" t="s">
        <v>36</v>
      </c>
      <c r="AB6298" s="12" t="s">
        <v>56</v>
      </c>
      <c r="AC6298" s="12" t="s">
        <v>28818</v>
      </c>
      <c r="AD6298" s="13">
        <v>42736</v>
      </c>
      <c r="AE6298" s="12" t="s">
        <v>1032</v>
      </c>
      <c r="AF6298" s="12" t="s">
        <v>1969</v>
      </c>
      <c r="AG6298" s="12" t="s">
        <v>1453</v>
      </c>
      <c r="AH6298" s="1">
        <f>HYPERLINK("https://my.pitchbook.com?c=100553-59T","View Company Online")</f>
      </c>
    </row>
    <row r="6299">
      <c r="A6299" s="3" t="s">
        <v>28819</v>
      </c>
      <c r="B6299" s="3" t="s">
        <v>28820</v>
      </c>
      <c r="C6299" s="5" t="s">
        <v>36</v>
      </c>
      <c r="D6299" s="5" t="s">
        <v>36</v>
      </c>
      <c r="E6299" s="5" t="s">
        <v>36</v>
      </c>
      <c r="F6299" s="5" t="s">
        <v>36</v>
      </c>
      <c r="G6299" s="6" t="s">
        <v>36</v>
      </c>
      <c r="H6299" s="4" t="s">
        <v>36</v>
      </c>
      <c r="I6299" s="7" t="s">
        <v>36</v>
      </c>
      <c r="J6299" s="3" t="s">
        <v>36</v>
      </c>
      <c r="K6299" s="9" t="s">
        <v>36</v>
      </c>
      <c r="L6299" s="6" t="s">
        <v>36</v>
      </c>
      <c r="M6299" s="3" t="s">
        <v>36</v>
      </c>
      <c r="N6299" s="3" t="s">
        <v>36</v>
      </c>
      <c r="O6299" s="8" t="s">
        <v>36</v>
      </c>
      <c r="P6299" s="3" t="s">
        <v>36</v>
      </c>
      <c r="Q6299" s="3" t="s">
        <v>36</v>
      </c>
      <c r="R6299" s="3" t="s">
        <v>36</v>
      </c>
      <c r="S6299" s="3" t="s">
        <v>36</v>
      </c>
      <c r="T6299" s="3" t="s">
        <v>16247</v>
      </c>
      <c r="U6299" s="3" t="s">
        <v>1357</v>
      </c>
      <c r="V6299" s="3" t="s">
        <v>52</v>
      </c>
      <c r="W6299" s="3" t="s">
        <v>28821</v>
      </c>
      <c r="X6299" s="10" t="s">
        <v>10226</v>
      </c>
      <c r="Y6299" s="6" t="s">
        <v>42</v>
      </c>
      <c r="Z6299" s="4" t="s">
        <v>36</v>
      </c>
      <c r="AA6299" s="4" t="s">
        <v>36</v>
      </c>
      <c r="AB6299" s="3" t="s">
        <v>43</v>
      </c>
      <c r="AC6299" s="3" t="s">
        <v>28822</v>
      </c>
      <c r="AD6299" s="9">
        <v>42736</v>
      </c>
      <c r="AE6299" s="3" t="s">
        <v>3204</v>
      </c>
      <c r="AF6299" s="3" t="s">
        <v>8573</v>
      </c>
      <c r="AG6299" s="3" t="s">
        <v>2033</v>
      </c>
      <c r="AH6299" s="11">
        <f>HYPERLINK("https://my.pitchbook.com?c=139278-97T","View Company Online")</f>
      </c>
    </row>
    <row r="6300">
      <c r="A6300" s="12" t="s">
        <v>28823</v>
      </c>
      <c r="B6300" s="12" t="s">
        <v>17131</v>
      </c>
      <c r="C6300" s="19" t="s">
        <v>36</v>
      </c>
      <c r="D6300" s="19" t="s">
        <v>36</v>
      </c>
      <c r="E6300" s="19" t="s">
        <v>36</v>
      </c>
      <c r="F6300" s="19" t="s">
        <v>36</v>
      </c>
      <c r="G6300" s="15" t="s">
        <v>36</v>
      </c>
      <c r="H6300" s="14">
        <v>741.84</v>
      </c>
      <c r="I6300" s="18">
        <v>24.99</v>
      </c>
      <c r="J6300" s="12" t="s">
        <v>521</v>
      </c>
      <c r="K6300" s="13" t="s">
        <v>36</v>
      </c>
      <c r="L6300" s="15" t="s">
        <v>36</v>
      </c>
      <c r="M6300" s="12" t="s">
        <v>36</v>
      </c>
      <c r="N6300" s="12" t="s">
        <v>36</v>
      </c>
      <c r="O6300" s="17" t="s">
        <v>36</v>
      </c>
      <c r="P6300" s="12" t="s">
        <v>36</v>
      </c>
      <c r="Q6300" s="12" t="s">
        <v>36</v>
      </c>
      <c r="R6300" s="12" t="s">
        <v>36</v>
      </c>
      <c r="S6300" s="12" t="s">
        <v>36</v>
      </c>
      <c r="T6300" s="12" t="s">
        <v>17132</v>
      </c>
      <c r="U6300" s="12" t="s">
        <v>728</v>
      </c>
      <c r="V6300" s="12" t="s">
        <v>64</v>
      </c>
      <c r="W6300" s="12" t="s">
        <v>17133</v>
      </c>
      <c r="X6300" s="16" t="s">
        <v>23669</v>
      </c>
      <c r="Y6300" s="15" t="s">
        <v>42</v>
      </c>
      <c r="Z6300" s="14">
        <v>0.44</v>
      </c>
      <c r="AA6300" s="14">
        <v>1.75</v>
      </c>
      <c r="AB6300" s="12" t="s">
        <v>56</v>
      </c>
      <c r="AC6300" s="12" t="s">
        <v>17135</v>
      </c>
      <c r="AD6300" s="13">
        <v>42736</v>
      </c>
      <c r="AE6300" s="12" t="s">
        <v>1600</v>
      </c>
      <c r="AF6300" s="12" t="s">
        <v>1061</v>
      </c>
      <c r="AG6300" s="12" t="s">
        <v>17136</v>
      </c>
      <c r="AH6300" s="1">
        <f>HYPERLINK("https://my.pitchbook.com?c=227282-23T","View Company Online")</f>
      </c>
    </row>
    <row r="6301">
      <c r="A6301" s="3" t="s">
        <v>28824</v>
      </c>
      <c r="B6301" s="3" t="s">
        <v>28825</v>
      </c>
      <c r="C6301" s="5" t="s">
        <v>36</v>
      </c>
      <c r="D6301" s="5" t="s">
        <v>36</v>
      </c>
      <c r="E6301" s="5" t="s">
        <v>36</v>
      </c>
      <c r="F6301" s="5" t="s">
        <v>36</v>
      </c>
      <c r="G6301" s="6" t="s">
        <v>36</v>
      </c>
      <c r="H6301" s="4" t="s">
        <v>36</v>
      </c>
      <c r="I6301" s="7" t="s">
        <v>36</v>
      </c>
      <c r="J6301" s="3" t="s">
        <v>36</v>
      </c>
      <c r="K6301" s="9" t="s">
        <v>36</v>
      </c>
      <c r="L6301" s="6" t="s">
        <v>36</v>
      </c>
      <c r="M6301" s="3" t="s">
        <v>36</v>
      </c>
      <c r="N6301" s="3" t="s">
        <v>36</v>
      </c>
      <c r="O6301" s="8" t="s">
        <v>36</v>
      </c>
      <c r="P6301" s="3" t="s">
        <v>36</v>
      </c>
      <c r="Q6301" s="3" t="s">
        <v>36</v>
      </c>
      <c r="R6301" s="3" t="s">
        <v>36</v>
      </c>
      <c r="S6301" s="3" t="s">
        <v>36</v>
      </c>
      <c r="T6301" s="3" t="s">
        <v>1701</v>
      </c>
      <c r="U6301" s="3" t="s">
        <v>74</v>
      </c>
      <c r="V6301" s="3" t="s">
        <v>75</v>
      </c>
      <c r="W6301" s="3" t="s">
        <v>28826</v>
      </c>
      <c r="X6301" s="10" t="s">
        <v>26808</v>
      </c>
      <c r="Y6301" s="6" t="s">
        <v>192</v>
      </c>
      <c r="Z6301" s="4" t="s">
        <v>36</v>
      </c>
      <c r="AA6301" s="4" t="s">
        <v>36</v>
      </c>
      <c r="AB6301" s="3" t="s">
        <v>56</v>
      </c>
      <c r="AC6301" s="3" t="s">
        <v>28827</v>
      </c>
      <c r="AD6301" s="9">
        <v>42736</v>
      </c>
      <c r="AE6301" s="3" t="s">
        <v>79</v>
      </c>
      <c r="AF6301" s="3" t="s">
        <v>80</v>
      </c>
      <c r="AG6301" s="3" t="s">
        <v>765</v>
      </c>
      <c r="AH6301" s="11">
        <f>HYPERLINK("https://my.pitchbook.com?c=153861-94T","View Company Online")</f>
      </c>
    </row>
    <row r="6302">
      <c r="A6302" s="12" t="s">
        <v>28828</v>
      </c>
      <c r="B6302" s="12" t="s">
        <v>12186</v>
      </c>
      <c r="C6302" s="19" t="s">
        <v>36</v>
      </c>
      <c r="D6302" s="19">
        <v>10</v>
      </c>
      <c r="E6302" s="19">
        <v>3</v>
      </c>
      <c r="F6302" s="19">
        <v>11</v>
      </c>
      <c r="G6302" s="15" t="s">
        <v>36</v>
      </c>
      <c r="H6302" s="14">
        <v>481.89</v>
      </c>
      <c r="I6302" s="18">
        <v>52.77</v>
      </c>
      <c r="J6302" s="12" t="s">
        <v>521</v>
      </c>
      <c r="K6302" s="13" t="s">
        <v>36</v>
      </c>
      <c r="L6302" s="15" t="s">
        <v>36</v>
      </c>
      <c r="M6302" s="12" t="s">
        <v>36</v>
      </c>
      <c r="N6302" s="12" t="s">
        <v>36</v>
      </c>
      <c r="O6302" s="17" t="s">
        <v>36</v>
      </c>
      <c r="P6302" s="12" t="s">
        <v>36</v>
      </c>
      <c r="Q6302" s="12" t="s">
        <v>36</v>
      </c>
      <c r="R6302" s="12" t="s">
        <v>36</v>
      </c>
      <c r="S6302" s="12" t="s">
        <v>36</v>
      </c>
      <c r="T6302" s="12" t="s">
        <v>596</v>
      </c>
      <c r="U6302" s="12" t="s">
        <v>366</v>
      </c>
      <c r="V6302" s="12" t="s">
        <v>367</v>
      </c>
      <c r="W6302" s="12" t="s">
        <v>12187</v>
      </c>
      <c r="X6302" s="16" t="s">
        <v>28829</v>
      </c>
      <c r="Y6302" s="15" t="s">
        <v>42</v>
      </c>
      <c r="Z6302" s="14">
        <v>1.04</v>
      </c>
      <c r="AA6302" s="14">
        <v>1.97</v>
      </c>
      <c r="AB6302" s="12" t="s">
        <v>43</v>
      </c>
      <c r="AC6302" s="12" t="s">
        <v>12189</v>
      </c>
      <c r="AD6302" s="13">
        <v>42736</v>
      </c>
      <c r="AE6302" s="12" t="s">
        <v>600</v>
      </c>
      <c r="AF6302" s="12" t="s">
        <v>703</v>
      </c>
      <c r="AG6302" s="12" t="s">
        <v>3733</v>
      </c>
      <c r="AH6302" s="1">
        <f>HYPERLINK("https://my.pitchbook.com?c=120257-38T","View Company Online")</f>
      </c>
    </row>
    <row r="6303">
      <c r="A6303" s="3" t="s">
        <v>28830</v>
      </c>
      <c r="B6303" s="3" t="s">
        <v>28831</v>
      </c>
      <c r="C6303" s="5">
        <v>2</v>
      </c>
      <c r="D6303" s="5">
        <v>7</v>
      </c>
      <c r="E6303" s="5">
        <v>3</v>
      </c>
      <c r="F6303" s="5">
        <v>9</v>
      </c>
      <c r="G6303" s="6" t="s">
        <v>326</v>
      </c>
      <c r="H6303" s="4">
        <v>235.24</v>
      </c>
      <c r="I6303" s="7">
        <v>23.07</v>
      </c>
      <c r="J6303" s="3" t="s">
        <v>521</v>
      </c>
      <c r="K6303" s="9" t="s">
        <v>36</v>
      </c>
      <c r="L6303" s="6" t="s">
        <v>36</v>
      </c>
      <c r="M6303" s="3" t="s">
        <v>36</v>
      </c>
      <c r="N6303" s="3" t="s">
        <v>36</v>
      </c>
      <c r="O6303" s="8" t="s">
        <v>36</v>
      </c>
      <c r="P6303" s="3" t="s">
        <v>36</v>
      </c>
      <c r="Q6303" s="3" t="s">
        <v>36</v>
      </c>
      <c r="R6303" s="3" t="s">
        <v>36</v>
      </c>
      <c r="S6303" s="3" t="s">
        <v>36</v>
      </c>
      <c r="T6303" s="3" t="s">
        <v>3233</v>
      </c>
      <c r="U6303" s="3" t="s">
        <v>219</v>
      </c>
      <c r="V6303" s="3" t="s">
        <v>75</v>
      </c>
      <c r="W6303" s="3" t="s">
        <v>28832</v>
      </c>
      <c r="X6303" s="10" t="s">
        <v>23472</v>
      </c>
      <c r="Y6303" s="6" t="s">
        <v>55</v>
      </c>
      <c r="Z6303" s="4">
        <v>2.53</v>
      </c>
      <c r="AA6303" s="4">
        <v>5.47</v>
      </c>
      <c r="AB6303" s="3" t="s">
        <v>56</v>
      </c>
      <c r="AC6303" s="3" t="s">
        <v>28833</v>
      </c>
      <c r="AD6303" s="9">
        <v>42736</v>
      </c>
      <c r="AE6303" s="3" t="s">
        <v>1032</v>
      </c>
      <c r="AF6303" s="3" t="s">
        <v>592</v>
      </c>
      <c r="AG6303" s="3" t="s">
        <v>28834</v>
      </c>
      <c r="AH6303" s="11">
        <f>HYPERLINK("https://my.pitchbook.com?c=120850-84T","View Company Online")</f>
      </c>
    </row>
    <row r="6304">
      <c r="A6304" s="12" t="s">
        <v>28835</v>
      </c>
      <c r="B6304" s="12" t="s">
        <v>28836</v>
      </c>
      <c r="C6304" s="19" t="s">
        <v>36</v>
      </c>
      <c r="D6304" s="19">
        <v>3</v>
      </c>
      <c r="E6304" s="19">
        <v>4</v>
      </c>
      <c r="F6304" s="19">
        <v>5</v>
      </c>
      <c r="G6304" s="15" t="s">
        <v>36</v>
      </c>
      <c r="H6304" s="14" t="s">
        <v>36</v>
      </c>
      <c r="I6304" s="18" t="s">
        <v>36</v>
      </c>
      <c r="J6304" s="12" t="s">
        <v>36</v>
      </c>
      <c r="K6304" s="13" t="s">
        <v>36</v>
      </c>
      <c r="L6304" s="15" t="s">
        <v>36</v>
      </c>
      <c r="M6304" s="12" t="s">
        <v>36</v>
      </c>
      <c r="N6304" s="12" t="s">
        <v>36</v>
      </c>
      <c r="O6304" s="17" t="s">
        <v>36</v>
      </c>
      <c r="P6304" s="12" t="s">
        <v>36</v>
      </c>
      <c r="Q6304" s="12" t="s">
        <v>36</v>
      </c>
      <c r="R6304" s="12" t="s">
        <v>36</v>
      </c>
      <c r="S6304" s="12" t="s">
        <v>36</v>
      </c>
      <c r="T6304" s="12" t="s">
        <v>5732</v>
      </c>
      <c r="U6304" s="12" t="s">
        <v>96</v>
      </c>
      <c r="V6304" s="12" t="s">
        <v>52</v>
      </c>
      <c r="W6304" s="12" t="s">
        <v>28837</v>
      </c>
      <c r="X6304" s="16" t="s">
        <v>28838</v>
      </c>
      <c r="Y6304" s="15" t="s">
        <v>108</v>
      </c>
      <c r="Z6304" s="14" t="s">
        <v>36</v>
      </c>
      <c r="AA6304" s="14" t="s">
        <v>36</v>
      </c>
      <c r="AB6304" s="12" t="s">
        <v>43</v>
      </c>
      <c r="AC6304" s="12" t="s">
        <v>28839</v>
      </c>
      <c r="AD6304" s="13">
        <v>42736</v>
      </c>
      <c r="AE6304" s="12" t="s">
        <v>496</v>
      </c>
      <c r="AF6304" s="12" t="s">
        <v>571</v>
      </c>
      <c r="AG6304" s="12" t="s">
        <v>28840</v>
      </c>
      <c r="AH6304" s="1">
        <f>HYPERLINK("https://my.pitchbook.com?c=75946-96T","View Company Online")</f>
      </c>
    </row>
    <row r="6305">
      <c r="A6305" s="3" t="s">
        <v>28841</v>
      </c>
      <c r="B6305" s="3" t="s">
        <v>28842</v>
      </c>
      <c r="C6305" s="5" t="s">
        <v>36</v>
      </c>
      <c r="D6305" s="5" t="s">
        <v>36</v>
      </c>
      <c r="E6305" s="5" t="s">
        <v>36</v>
      </c>
      <c r="F6305" s="5" t="s">
        <v>36</v>
      </c>
      <c r="G6305" s="6" t="s">
        <v>36</v>
      </c>
      <c r="H6305" s="4" t="s">
        <v>36</v>
      </c>
      <c r="I6305" s="7" t="s">
        <v>36</v>
      </c>
      <c r="J6305" s="3" t="s">
        <v>36</v>
      </c>
      <c r="K6305" s="9" t="s">
        <v>36</v>
      </c>
      <c r="L6305" s="6" t="s">
        <v>36</v>
      </c>
      <c r="M6305" s="3" t="s">
        <v>36</v>
      </c>
      <c r="N6305" s="3" t="s">
        <v>36</v>
      </c>
      <c r="O6305" s="8" t="s">
        <v>36</v>
      </c>
      <c r="P6305" s="3" t="s">
        <v>36</v>
      </c>
      <c r="Q6305" s="3" t="s">
        <v>36</v>
      </c>
      <c r="R6305" s="3" t="s">
        <v>36</v>
      </c>
      <c r="S6305" s="3" t="s">
        <v>36</v>
      </c>
      <c r="T6305" s="3" t="s">
        <v>28843</v>
      </c>
      <c r="U6305" s="3" t="s">
        <v>74</v>
      </c>
      <c r="V6305" s="3" t="s">
        <v>75</v>
      </c>
      <c r="W6305" s="3" t="s">
        <v>28844</v>
      </c>
      <c r="X6305" s="10" t="s">
        <v>5661</v>
      </c>
      <c r="Y6305" s="6" t="s">
        <v>42</v>
      </c>
      <c r="Z6305" s="4" t="s">
        <v>36</v>
      </c>
      <c r="AA6305" s="4" t="s">
        <v>36</v>
      </c>
      <c r="AB6305" s="3" t="s">
        <v>56</v>
      </c>
      <c r="AC6305" s="3" t="s">
        <v>28845</v>
      </c>
      <c r="AD6305" s="9">
        <v>42736</v>
      </c>
      <c r="AE6305" s="3" t="s">
        <v>8410</v>
      </c>
      <c r="AF6305" s="3" t="s">
        <v>36</v>
      </c>
      <c r="AG6305" s="3" t="s">
        <v>1823</v>
      </c>
      <c r="AH6305" s="11">
        <f>HYPERLINK("https://my.pitchbook.com?c=136792-09T","View Company Online")</f>
      </c>
    </row>
    <row r="6306">
      <c r="A6306" s="12" t="s">
        <v>28846</v>
      </c>
      <c r="B6306" s="12" t="s">
        <v>17962</v>
      </c>
      <c r="C6306" s="19" t="s">
        <v>36</v>
      </c>
      <c r="D6306" s="19" t="s">
        <v>36</v>
      </c>
      <c r="E6306" s="19" t="s">
        <v>36</v>
      </c>
      <c r="F6306" s="19" t="s">
        <v>36</v>
      </c>
      <c r="G6306" s="15" t="s">
        <v>36</v>
      </c>
      <c r="H6306" s="14" t="s">
        <v>36</v>
      </c>
      <c r="I6306" s="18" t="s">
        <v>36</v>
      </c>
      <c r="J6306" s="12" t="s">
        <v>36</v>
      </c>
      <c r="K6306" s="13" t="s">
        <v>36</v>
      </c>
      <c r="L6306" s="15" t="s">
        <v>36</v>
      </c>
      <c r="M6306" s="12" t="s">
        <v>36</v>
      </c>
      <c r="N6306" s="12" t="s">
        <v>36</v>
      </c>
      <c r="O6306" s="17" t="s">
        <v>36</v>
      </c>
      <c r="P6306" s="12" t="s">
        <v>36</v>
      </c>
      <c r="Q6306" s="12" t="s">
        <v>36</v>
      </c>
      <c r="R6306" s="12" t="s">
        <v>36</v>
      </c>
      <c r="S6306" s="12" t="s">
        <v>36</v>
      </c>
      <c r="T6306" s="12" t="s">
        <v>365</v>
      </c>
      <c r="U6306" s="12" t="s">
        <v>366</v>
      </c>
      <c r="V6306" s="12" t="s">
        <v>367</v>
      </c>
      <c r="W6306" s="12" t="s">
        <v>17963</v>
      </c>
      <c r="X6306" s="16" t="s">
        <v>12486</v>
      </c>
      <c r="Y6306" s="15" t="s">
        <v>108</v>
      </c>
      <c r="Z6306" s="14">
        <v>1.1</v>
      </c>
      <c r="AA6306" s="14" t="s">
        <v>36</v>
      </c>
      <c r="AB6306" s="12" t="s">
        <v>56</v>
      </c>
      <c r="AC6306" s="12" t="s">
        <v>17965</v>
      </c>
      <c r="AD6306" s="13">
        <v>42736</v>
      </c>
      <c r="AE6306" s="12" t="s">
        <v>371</v>
      </c>
      <c r="AF6306" s="12" t="s">
        <v>982</v>
      </c>
      <c r="AG6306" s="12" t="s">
        <v>17966</v>
      </c>
      <c r="AH6306" s="1">
        <f>HYPERLINK("https://my.pitchbook.com?c=135347-50T","View Company Online")</f>
      </c>
    </row>
    <row r="6307">
      <c r="A6307" s="3" t="s">
        <v>28847</v>
      </c>
      <c r="B6307" s="3" t="s">
        <v>21981</v>
      </c>
      <c r="C6307" s="5" t="s">
        <v>36</v>
      </c>
      <c r="D6307" s="5" t="s">
        <v>36</v>
      </c>
      <c r="E6307" s="5" t="s">
        <v>36</v>
      </c>
      <c r="F6307" s="5" t="s">
        <v>36</v>
      </c>
      <c r="G6307" s="6" t="s">
        <v>36</v>
      </c>
      <c r="H6307" s="4">
        <v>83.09</v>
      </c>
      <c r="I6307" s="7">
        <v>20</v>
      </c>
      <c r="J6307" s="3" t="s">
        <v>521</v>
      </c>
      <c r="K6307" s="9" t="s">
        <v>36</v>
      </c>
      <c r="L6307" s="6" t="s">
        <v>36</v>
      </c>
      <c r="M6307" s="3" t="s">
        <v>36</v>
      </c>
      <c r="N6307" s="3" t="s">
        <v>36</v>
      </c>
      <c r="O6307" s="8" t="s">
        <v>36</v>
      </c>
      <c r="P6307" s="3" t="s">
        <v>36</v>
      </c>
      <c r="Q6307" s="3" t="s">
        <v>36</v>
      </c>
      <c r="R6307" s="3" t="s">
        <v>36</v>
      </c>
      <c r="S6307" s="3" t="s">
        <v>36</v>
      </c>
      <c r="T6307" s="3" t="s">
        <v>21982</v>
      </c>
      <c r="U6307" s="3" t="s">
        <v>74</v>
      </c>
      <c r="V6307" s="3" t="s">
        <v>75</v>
      </c>
      <c r="W6307" s="3" t="s">
        <v>21983</v>
      </c>
      <c r="X6307" s="10" t="s">
        <v>28848</v>
      </c>
      <c r="Y6307" s="6" t="s">
        <v>42</v>
      </c>
      <c r="Z6307" s="4">
        <v>0.21</v>
      </c>
      <c r="AA6307" s="4">
        <v>1.05</v>
      </c>
      <c r="AB6307" s="3" t="s">
        <v>43</v>
      </c>
      <c r="AC6307" s="3" t="s">
        <v>21985</v>
      </c>
      <c r="AD6307" s="9">
        <v>42736</v>
      </c>
      <c r="AE6307" s="3" t="s">
        <v>570</v>
      </c>
      <c r="AF6307" s="3" t="s">
        <v>1340</v>
      </c>
      <c r="AG6307" s="3" t="s">
        <v>144</v>
      </c>
      <c r="AH6307" s="11">
        <f>HYPERLINK("https://my.pitchbook.com?c=250832-08T","View Company Online")</f>
      </c>
    </row>
    <row r="6308">
      <c r="A6308" s="12" t="s">
        <v>28849</v>
      </c>
      <c r="B6308" s="12" t="s">
        <v>28850</v>
      </c>
      <c r="C6308" s="19" t="s">
        <v>36</v>
      </c>
      <c r="D6308" s="19" t="s">
        <v>36</v>
      </c>
      <c r="E6308" s="19" t="s">
        <v>36</v>
      </c>
      <c r="F6308" s="19" t="s">
        <v>36</v>
      </c>
      <c r="G6308" s="15" t="s">
        <v>36</v>
      </c>
      <c r="H6308" s="14" t="s">
        <v>36</v>
      </c>
      <c r="I6308" s="18" t="s">
        <v>36</v>
      </c>
      <c r="J6308" s="12" t="s">
        <v>36</v>
      </c>
      <c r="K6308" s="13" t="s">
        <v>36</v>
      </c>
      <c r="L6308" s="15" t="s">
        <v>36</v>
      </c>
      <c r="M6308" s="12" t="s">
        <v>36</v>
      </c>
      <c r="N6308" s="12" t="s">
        <v>36</v>
      </c>
      <c r="O6308" s="17" t="s">
        <v>36</v>
      </c>
      <c r="P6308" s="12" t="s">
        <v>36</v>
      </c>
      <c r="Q6308" s="12" t="s">
        <v>36</v>
      </c>
      <c r="R6308" s="12" t="s">
        <v>36</v>
      </c>
      <c r="S6308" s="12" t="s">
        <v>36</v>
      </c>
      <c r="T6308" s="12" t="s">
        <v>28851</v>
      </c>
      <c r="U6308" s="12" t="s">
        <v>728</v>
      </c>
      <c r="V6308" s="12" t="s">
        <v>64</v>
      </c>
      <c r="W6308" s="12" t="s">
        <v>28852</v>
      </c>
      <c r="X6308" s="16" t="s">
        <v>1872</v>
      </c>
      <c r="Y6308" s="15" t="s">
        <v>42</v>
      </c>
      <c r="Z6308" s="14" t="s">
        <v>36</v>
      </c>
      <c r="AA6308" s="14" t="s">
        <v>36</v>
      </c>
      <c r="AB6308" s="12" t="s">
        <v>56</v>
      </c>
      <c r="AC6308" s="12" t="s">
        <v>28853</v>
      </c>
      <c r="AD6308" s="13">
        <v>42736</v>
      </c>
      <c r="AE6308" s="12" t="s">
        <v>2154</v>
      </c>
      <c r="AF6308" s="12" t="s">
        <v>571</v>
      </c>
      <c r="AG6308" s="12" t="s">
        <v>28854</v>
      </c>
      <c r="AH6308" s="1">
        <f>HYPERLINK("https://my.pitchbook.com?c=93740-50T","View Company Online")</f>
      </c>
    </row>
    <row r="6309">
      <c r="A6309" s="3" t="s">
        <v>28855</v>
      </c>
      <c r="B6309" s="3" t="s">
        <v>28856</v>
      </c>
      <c r="C6309" s="5" t="s">
        <v>36</v>
      </c>
      <c r="D6309" s="5" t="s">
        <v>36</v>
      </c>
      <c r="E6309" s="5" t="s">
        <v>36</v>
      </c>
      <c r="F6309" s="5" t="s">
        <v>36</v>
      </c>
      <c r="G6309" s="6" t="s">
        <v>36</v>
      </c>
      <c r="H6309" s="4" t="s">
        <v>36</v>
      </c>
      <c r="I6309" s="7" t="s">
        <v>36</v>
      </c>
      <c r="J6309" s="3" t="s">
        <v>36</v>
      </c>
      <c r="K6309" s="9" t="s">
        <v>36</v>
      </c>
      <c r="L6309" s="6" t="s">
        <v>36</v>
      </c>
      <c r="M6309" s="3" t="s">
        <v>36</v>
      </c>
      <c r="N6309" s="3" t="s">
        <v>36</v>
      </c>
      <c r="O6309" s="8" t="s">
        <v>36</v>
      </c>
      <c r="P6309" s="3" t="s">
        <v>36</v>
      </c>
      <c r="Q6309" s="3" t="s">
        <v>36</v>
      </c>
      <c r="R6309" s="3" t="s">
        <v>36</v>
      </c>
      <c r="S6309" s="3" t="s">
        <v>36</v>
      </c>
      <c r="T6309" s="3" t="s">
        <v>5750</v>
      </c>
      <c r="U6309" s="3" t="s">
        <v>38</v>
      </c>
      <c r="V6309" s="3" t="s">
        <v>39</v>
      </c>
      <c r="W6309" s="3" t="s">
        <v>28857</v>
      </c>
      <c r="X6309" s="10" t="s">
        <v>28858</v>
      </c>
      <c r="Y6309" s="6" t="s">
        <v>42</v>
      </c>
      <c r="Z6309" s="4" t="s">
        <v>36</v>
      </c>
      <c r="AA6309" s="4" t="s">
        <v>36</v>
      </c>
      <c r="AB6309" s="3" t="s">
        <v>43</v>
      </c>
      <c r="AC6309" s="3" t="s">
        <v>28859</v>
      </c>
      <c r="AD6309" s="9">
        <v>42736</v>
      </c>
      <c r="AE6309" s="3" t="s">
        <v>554</v>
      </c>
      <c r="AF6309" s="3" t="s">
        <v>176</v>
      </c>
      <c r="AG6309" s="3" t="s">
        <v>1369</v>
      </c>
      <c r="AH6309" s="11">
        <f>HYPERLINK("https://my.pitchbook.com?c=126079-75T","View Company Online")</f>
      </c>
    </row>
    <row r="6310">
      <c r="A6310" s="12" t="s">
        <v>28860</v>
      </c>
      <c r="B6310" s="12" t="s">
        <v>14766</v>
      </c>
      <c r="C6310" s="19">
        <v>1</v>
      </c>
      <c r="D6310" s="19">
        <v>5</v>
      </c>
      <c r="E6310" s="19">
        <v>2</v>
      </c>
      <c r="F6310" s="19">
        <v>7</v>
      </c>
      <c r="G6310" s="15" t="s">
        <v>36</v>
      </c>
      <c r="H6310" s="14" t="s">
        <v>36</v>
      </c>
      <c r="I6310" s="18" t="s">
        <v>36</v>
      </c>
      <c r="J6310" s="12" t="s">
        <v>36</v>
      </c>
      <c r="K6310" s="13" t="s">
        <v>36</v>
      </c>
      <c r="L6310" s="15" t="s">
        <v>36</v>
      </c>
      <c r="M6310" s="12" t="s">
        <v>36</v>
      </c>
      <c r="N6310" s="12" t="s">
        <v>36</v>
      </c>
      <c r="O6310" s="17" t="s">
        <v>36</v>
      </c>
      <c r="P6310" s="12" t="s">
        <v>36</v>
      </c>
      <c r="Q6310" s="12" t="s">
        <v>36</v>
      </c>
      <c r="R6310" s="12" t="s">
        <v>36</v>
      </c>
      <c r="S6310" s="12" t="s">
        <v>36</v>
      </c>
      <c r="T6310" s="12" t="s">
        <v>14522</v>
      </c>
      <c r="U6310" s="12" t="s">
        <v>956</v>
      </c>
      <c r="V6310" s="12" t="s">
        <v>405</v>
      </c>
      <c r="W6310" s="12" t="s">
        <v>14767</v>
      </c>
      <c r="X6310" s="16" t="s">
        <v>1840</v>
      </c>
      <c r="Y6310" s="15" t="s">
        <v>42</v>
      </c>
      <c r="Z6310" s="14">
        <v>1.37</v>
      </c>
      <c r="AA6310" s="14" t="s">
        <v>36</v>
      </c>
      <c r="AB6310" s="12" t="s">
        <v>43</v>
      </c>
      <c r="AC6310" s="12" t="s">
        <v>14769</v>
      </c>
      <c r="AD6310" s="13">
        <v>42736</v>
      </c>
      <c r="AE6310" s="12" t="s">
        <v>14526</v>
      </c>
      <c r="AF6310" s="12" t="s">
        <v>14770</v>
      </c>
      <c r="AG6310" s="12" t="s">
        <v>81</v>
      </c>
      <c r="AH6310" s="1">
        <f>HYPERLINK("https://my.pitchbook.com?c=117202-24T","View Company Online")</f>
      </c>
    </row>
    <row r="6311">
      <c r="A6311" s="3" t="s">
        <v>28861</v>
      </c>
      <c r="B6311" s="3" t="s">
        <v>28862</v>
      </c>
      <c r="C6311" s="5" t="s">
        <v>36</v>
      </c>
      <c r="D6311" s="5" t="s">
        <v>36</v>
      </c>
      <c r="E6311" s="5" t="s">
        <v>36</v>
      </c>
      <c r="F6311" s="5" t="s">
        <v>36</v>
      </c>
      <c r="G6311" s="6" t="s">
        <v>36</v>
      </c>
      <c r="H6311" s="4" t="s">
        <v>36</v>
      </c>
      <c r="I6311" s="7" t="s">
        <v>36</v>
      </c>
      <c r="J6311" s="3" t="s">
        <v>36</v>
      </c>
      <c r="K6311" s="9" t="s">
        <v>36</v>
      </c>
      <c r="L6311" s="6" t="s">
        <v>36</v>
      </c>
      <c r="M6311" s="3" t="s">
        <v>36</v>
      </c>
      <c r="N6311" s="3" t="s">
        <v>36</v>
      </c>
      <c r="O6311" s="8" t="s">
        <v>36</v>
      </c>
      <c r="P6311" s="3" t="s">
        <v>36</v>
      </c>
      <c r="Q6311" s="3" t="s">
        <v>36</v>
      </c>
      <c r="R6311" s="3" t="s">
        <v>36</v>
      </c>
      <c r="S6311" s="3" t="s">
        <v>36</v>
      </c>
      <c r="T6311" s="3" t="s">
        <v>15475</v>
      </c>
      <c r="U6311" s="3" t="s">
        <v>279</v>
      </c>
      <c r="V6311" s="3" t="s">
        <v>64</v>
      </c>
      <c r="W6311" s="3" t="s">
        <v>28863</v>
      </c>
      <c r="X6311" s="10" t="s">
        <v>25524</v>
      </c>
      <c r="Y6311" s="6" t="s">
        <v>42</v>
      </c>
      <c r="Z6311" s="4" t="s">
        <v>36</v>
      </c>
      <c r="AA6311" s="4" t="s">
        <v>36</v>
      </c>
      <c r="AB6311" s="3" t="s">
        <v>43</v>
      </c>
      <c r="AC6311" s="3" t="s">
        <v>28864</v>
      </c>
      <c r="AD6311" s="9">
        <v>42736</v>
      </c>
      <c r="AE6311" s="3" t="s">
        <v>740</v>
      </c>
      <c r="AF6311" s="3" t="s">
        <v>1636</v>
      </c>
      <c r="AG6311" s="3" t="s">
        <v>81</v>
      </c>
      <c r="AH6311" s="11">
        <f>HYPERLINK("https://my.pitchbook.com?c=88588-81T","View Company Online")</f>
      </c>
    </row>
    <row r="6312">
      <c r="A6312" s="12" t="s">
        <v>28865</v>
      </c>
      <c r="B6312" s="12" t="s">
        <v>28866</v>
      </c>
      <c r="C6312" s="19" t="s">
        <v>36</v>
      </c>
      <c r="D6312" s="19" t="s">
        <v>36</v>
      </c>
      <c r="E6312" s="19" t="s">
        <v>36</v>
      </c>
      <c r="F6312" s="19" t="s">
        <v>36</v>
      </c>
      <c r="G6312" s="15" t="s">
        <v>36</v>
      </c>
      <c r="H6312" s="14" t="s">
        <v>36</v>
      </c>
      <c r="I6312" s="18" t="s">
        <v>36</v>
      </c>
      <c r="J6312" s="12" t="s">
        <v>36</v>
      </c>
      <c r="K6312" s="13" t="s">
        <v>36</v>
      </c>
      <c r="L6312" s="15" t="s">
        <v>36</v>
      </c>
      <c r="M6312" s="12" t="s">
        <v>36</v>
      </c>
      <c r="N6312" s="12" t="s">
        <v>36</v>
      </c>
      <c r="O6312" s="17" t="s">
        <v>36</v>
      </c>
      <c r="P6312" s="12" t="s">
        <v>36</v>
      </c>
      <c r="Q6312" s="12" t="s">
        <v>36</v>
      </c>
      <c r="R6312" s="12" t="s">
        <v>36</v>
      </c>
      <c r="S6312" s="12" t="s">
        <v>36</v>
      </c>
      <c r="T6312" s="12" t="s">
        <v>28867</v>
      </c>
      <c r="U6312" s="12" t="s">
        <v>63</v>
      </c>
      <c r="V6312" s="12" t="s">
        <v>64</v>
      </c>
      <c r="W6312" s="12" t="s">
        <v>28868</v>
      </c>
      <c r="X6312" s="16" t="s">
        <v>5661</v>
      </c>
      <c r="Y6312" s="15" t="s">
        <v>42</v>
      </c>
      <c r="Z6312" s="14" t="s">
        <v>36</v>
      </c>
      <c r="AA6312" s="14" t="s">
        <v>36</v>
      </c>
      <c r="AB6312" s="12" t="s">
        <v>43</v>
      </c>
      <c r="AC6312" s="12" t="s">
        <v>28869</v>
      </c>
      <c r="AD6312" s="13">
        <v>42736</v>
      </c>
      <c r="AE6312" s="12" t="s">
        <v>399</v>
      </c>
      <c r="AF6312" s="12" t="s">
        <v>36</v>
      </c>
      <c r="AG6312" s="12" t="s">
        <v>28870</v>
      </c>
      <c r="AH6312" s="1">
        <f>HYPERLINK("https://my.pitchbook.com?c=116296-12T","View Company Online")</f>
      </c>
    </row>
    <row r="6313">
      <c r="A6313" s="3" t="s">
        <v>28871</v>
      </c>
      <c r="B6313" s="3" t="s">
        <v>20257</v>
      </c>
      <c r="C6313" s="5" t="s">
        <v>36</v>
      </c>
      <c r="D6313" s="5" t="s">
        <v>36</v>
      </c>
      <c r="E6313" s="5" t="s">
        <v>36</v>
      </c>
      <c r="F6313" s="5" t="s">
        <v>36</v>
      </c>
      <c r="G6313" s="6" t="s">
        <v>36</v>
      </c>
      <c r="H6313" s="4" t="s">
        <v>36</v>
      </c>
      <c r="I6313" s="7">
        <v>9</v>
      </c>
      <c r="J6313" s="3" t="s">
        <v>36</v>
      </c>
      <c r="K6313" s="9" t="s">
        <v>36</v>
      </c>
      <c r="L6313" s="6" t="s">
        <v>36</v>
      </c>
      <c r="M6313" s="3" t="s">
        <v>36</v>
      </c>
      <c r="N6313" s="3" t="s">
        <v>36</v>
      </c>
      <c r="O6313" s="8" t="s">
        <v>36</v>
      </c>
      <c r="P6313" s="3" t="s">
        <v>36</v>
      </c>
      <c r="Q6313" s="3" t="s">
        <v>36</v>
      </c>
      <c r="R6313" s="3" t="s">
        <v>36</v>
      </c>
      <c r="S6313" s="3" t="s">
        <v>36</v>
      </c>
      <c r="T6313" s="3" t="s">
        <v>20258</v>
      </c>
      <c r="U6313" s="3" t="s">
        <v>38</v>
      </c>
      <c r="V6313" s="3" t="s">
        <v>39</v>
      </c>
      <c r="W6313" s="3" t="s">
        <v>20259</v>
      </c>
      <c r="X6313" s="10" t="s">
        <v>28872</v>
      </c>
      <c r="Y6313" s="6" t="s">
        <v>42</v>
      </c>
      <c r="Z6313" s="4">
        <v>0.95</v>
      </c>
      <c r="AA6313" s="4" t="s">
        <v>36</v>
      </c>
      <c r="AB6313" s="3" t="s">
        <v>43</v>
      </c>
      <c r="AC6313" s="3" t="s">
        <v>20261</v>
      </c>
      <c r="AD6313" s="9">
        <v>42736</v>
      </c>
      <c r="AE6313" s="3" t="s">
        <v>110</v>
      </c>
      <c r="AF6313" s="3" t="s">
        <v>20262</v>
      </c>
      <c r="AG6313" s="3" t="s">
        <v>127</v>
      </c>
      <c r="AH6313" s="11">
        <f>HYPERLINK("https://my.pitchbook.com?c=125128-00T","View Company Online")</f>
      </c>
    </row>
    <row r="6314">
      <c r="A6314" s="12" t="s">
        <v>28873</v>
      </c>
      <c r="B6314" s="12" t="s">
        <v>28874</v>
      </c>
      <c r="C6314" s="19">
        <v>1</v>
      </c>
      <c r="D6314" s="19">
        <v>17</v>
      </c>
      <c r="E6314" s="19">
        <v>4</v>
      </c>
      <c r="F6314" s="19">
        <v>29</v>
      </c>
      <c r="G6314" s="15" t="s">
        <v>36</v>
      </c>
      <c r="H6314" s="14" t="s">
        <v>36</v>
      </c>
      <c r="I6314" s="18" t="s">
        <v>36</v>
      </c>
      <c r="J6314" s="12" t="s">
        <v>36</v>
      </c>
      <c r="K6314" s="13" t="s">
        <v>36</v>
      </c>
      <c r="L6314" s="15" t="s">
        <v>36</v>
      </c>
      <c r="M6314" s="12" t="s">
        <v>36</v>
      </c>
      <c r="N6314" s="12" t="s">
        <v>36</v>
      </c>
      <c r="O6314" s="17" t="s">
        <v>36</v>
      </c>
      <c r="P6314" s="12" t="s">
        <v>36</v>
      </c>
      <c r="Q6314" s="12" t="s">
        <v>36</v>
      </c>
      <c r="R6314" s="12" t="s">
        <v>36</v>
      </c>
      <c r="S6314" s="12" t="s">
        <v>36</v>
      </c>
      <c r="T6314" s="12" t="s">
        <v>28875</v>
      </c>
      <c r="U6314" s="12" t="s">
        <v>51</v>
      </c>
      <c r="V6314" s="12" t="s">
        <v>52</v>
      </c>
      <c r="W6314" s="12" t="s">
        <v>28876</v>
      </c>
      <c r="X6314" s="16" t="s">
        <v>28877</v>
      </c>
      <c r="Y6314" s="15" t="s">
        <v>42</v>
      </c>
      <c r="Z6314" s="14">
        <v>0.18</v>
      </c>
      <c r="AA6314" s="14" t="s">
        <v>36</v>
      </c>
      <c r="AB6314" s="12" t="s">
        <v>56</v>
      </c>
      <c r="AC6314" s="12" t="s">
        <v>28878</v>
      </c>
      <c r="AD6314" s="13">
        <v>42736</v>
      </c>
      <c r="AE6314" s="12" t="s">
        <v>504</v>
      </c>
      <c r="AF6314" s="12" t="s">
        <v>885</v>
      </c>
      <c r="AG6314" s="12" t="s">
        <v>47</v>
      </c>
      <c r="AH6314" s="1">
        <f>HYPERLINK("https://my.pitchbook.com?c=167743-90T","View Company Online")</f>
      </c>
    </row>
    <row r="6315">
      <c r="A6315" s="3" t="s">
        <v>28879</v>
      </c>
      <c r="B6315" s="3" t="s">
        <v>28880</v>
      </c>
      <c r="C6315" s="5" t="s">
        <v>36</v>
      </c>
      <c r="D6315" s="5" t="s">
        <v>36</v>
      </c>
      <c r="E6315" s="5" t="s">
        <v>36</v>
      </c>
      <c r="F6315" s="5" t="s">
        <v>36</v>
      </c>
      <c r="G6315" s="6" t="s">
        <v>36</v>
      </c>
      <c r="H6315" s="4" t="s">
        <v>36</v>
      </c>
      <c r="I6315" s="7" t="s">
        <v>36</v>
      </c>
      <c r="J6315" s="3" t="s">
        <v>36</v>
      </c>
      <c r="K6315" s="9" t="s">
        <v>36</v>
      </c>
      <c r="L6315" s="6" t="s">
        <v>36</v>
      </c>
      <c r="M6315" s="3" t="s">
        <v>36</v>
      </c>
      <c r="N6315" s="3" t="s">
        <v>36</v>
      </c>
      <c r="O6315" s="8" t="s">
        <v>36</v>
      </c>
      <c r="P6315" s="3" t="s">
        <v>36</v>
      </c>
      <c r="Q6315" s="3" t="s">
        <v>36</v>
      </c>
      <c r="R6315" s="3" t="s">
        <v>36</v>
      </c>
      <c r="S6315" s="3" t="s">
        <v>36</v>
      </c>
      <c r="T6315" s="3" t="s">
        <v>1701</v>
      </c>
      <c r="U6315" s="3" t="s">
        <v>74</v>
      </c>
      <c r="V6315" s="3" t="s">
        <v>75</v>
      </c>
      <c r="W6315" s="3" t="s">
        <v>28881</v>
      </c>
      <c r="X6315" s="10" t="s">
        <v>26808</v>
      </c>
      <c r="Y6315" s="6" t="s">
        <v>42</v>
      </c>
      <c r="Z6315" s="4" t="s">
        <v>36</v>
      </c>
      <c r="AA6315" s="4" t="s">
        <v>36</v>
      </c>
      <c r="AB6315" s="3" t="s">
        <v>56</v>
      </c>
      <c r="AC6315" s="3" t="s">
        <v>28882</v>
      </c>
      <c r="AD6315" s="9">
        <v>42736</v>
      </c>
      <c r="AE6315" s="3" t="s">
        <v>79</v>
      </c>
      <c r="AF6315" s="3" t="s">
        <v>2759</v>
      </c>
      <c r="AG6315" s="3" t="s">
        <v>81</v>
      </c>
      <c r="AH6315" s="11">
        <f>HYPERLINK("https://my.pitchbook.com?c=155636-11T","View Company Online")</f>
      </c>
    </row>
    <row r="6316">
      <c r="A6316" s="12" t="s">
        <v>28883</v>
      </c>
      <c r="B6316" s="12" t="s">
        <v>28884</v>
      </c>
      <c r="C6316" s="19" t="s">
        <v>36</v>
      </c>
      <c r="D6316" s="19" t="s">
        <v>36</v>
      </c>
      <c r="E6316" s="19" t="s">
        <v>36</v>
      </c>
      <c r="F6316" s="19" t="s">
        <v>36</v>
      </c>
      <c r="G6316" s="15" t="s">
        <v>36</v>
      </c>
      <c r="H6316" s="14" t="s">
        <v>36</v>
      </c>
      <c r="I6316" s="18" t="s">
        <v>36</v>
      </c>
      <c r="J6316" s="12" t="s">
        <v>36</v>
      </c>
      <c r="K6316" s="13" t="s">
        <v>36</v>
      </c>
      <c r="L6316" s="15" t="s">
        <v>36</v>
      </c>
      <c r="M6316" s="12" t="s">
        <v>36</v>
      </c>
      <c r="N6316" s="12" t="s">
        <v>36</v>
      </c>
      <c r="O6316" s="17" t="s">
        <v>36</v>
      </c>
      <c r="P6316" s="12" t="s">
        <v>36</v>
      </c>
      <c r="Q6316" s="12" t="s">
        <v>36</v>
      </c>
      <c r="R6316" s="12" t="s">
        <v>36</v>
      </c>
      <c r="S6316" s="12" t="s">
        <v>36</v>
      </c>
      <c r="T6316" s="12" t="s">
        <v>647</v>
      </c>
      <c r="U6316" s="12" t="s">
        <v>648</v>
      </c>
      <c r="V6316" s="12" t="s">
        <v>64</v>
      </c>
      <c r="W6316" s="12" t="s">
        <v>28885</v>
      </c>
      <c r="X6316" s="16" t="s">
        <v>1043</v>
      </c>
      <c r="Y6316" s="15" t="s">
        <v>42</v>
      </c>
      <c r="Z6316" s="14" t="s">
        <v>36</v>
      </c>
      <c r="AA6316" s="14" t="s">
        <v>36</v>
      </c>
      <c r="AB6316" s="12" t="s">
        <v>43</v>
      </c>
      <c r="AC6316" s="12" t="s">
        <v>28886</v>
      </c>
      <c r="AD6316" s="13">
        <v>42736</v>
      </c>
      <c r="AE6316" s="12" t="s">
        <v>651</v>
      </c>
      <c r="AF6316" s="12" t="s">
        <v>90</v>
      </c>
      <c r="AG6316" s="12" t="s">
        <v>2299</v>
      </c>
      <c r="AH6316" s="1">
        <f>HYPERLINK("https://my.pitchbook.com?c=280397-44T","View Company Online")</f>
      </c>
    </row>
    <row r="6317">
      <c r="A6317" s="3" t="s">
        <v>28887</v>
      </c>
      <c r="B6317" s="3" t="s">
        <v>11333</v>
      </c>
      <c r="C6317" s="5" t="s">
        <v>36</v>
      </c>
      <c r="D6317" s="5" t="s">
        <v>36</v>
      </c>
      <c r="E6317" s="5" t="s">
        <v>36</v>
      </c>
      <c r="F6317" s="5" t="s">
        <v>36</v>
      </c>
      <c r="G6317" s="6" t="s">
        <v>36</v>
      </c>
      <c r="H6317" s="4" t="s">
        <v>36</v>
      </c>
      <c r="I6317" s="7" t="s">
        <v>36</v>
      </c>
      <c r="J6317" s="3" t="s">
        <v>36</v>
      </c>
      <c r="K6317" s="9" t="s">
        <v>36</v>
      </c>
      <c r="L6317" s="6" t="s">
        <v>1279</v>
      </c>
      <c r="M6317" s="3" t="s">
        <v>36</v>
      </c>
      <c r="N6317" s="3" t="s">
        <v>1279</v>
      </c>
      <c r="O6317" s="8" t="s">
        <v>36</v>
      </c>
      <c r="P6317" s="3" t="s">
        <v>36</v>
      </c>
      <c r="Q6317" s="3" t="s">
        <v>36</v>
      </c>
      <c r="R6317" s="3" t="s">
        <v>36</v>
      </c>
      <c r="S6317" s="3" t="s">
        <v>36</v>
      </c>
      <c r="T6317" s="3" t="s">
        <v>11334</v>
      </c>
      <c r="U6317" s="3" t="s">
        <v>38</v>
      </c>
      <c r="V6317" s="3" t="s">
        <v>39</v>
      </c>
      <c r="W6317" s="3" t="s">
        <v>11335</v>
      </c>
      <c r="X6317" s="10" t="s">
        <v>16874</v>
      </c>
      <c r="Y6317" s="6" t="s">
        <v>42</v>
      </c>
      <c r="Z6317" s="4">
        <v>17.7</v>
      </c>
      <c r="AA6317" s="4" t="s">
        <v>36</v>
      </c>
      <c r="AB6317" s="3" t="s">
        <v>56</v>
      </c>
      <c r="AC6317" s="3" t="s">
        <v>11337</v>
      </c>
      <c r="AD6317" s="9">
        <v>42736</v>
      </c>
      <c r="AE6317" s="3" t="s">
        <v>45</v>
      </c>
      <c r="AF6317" s="3" t="s">
        <v>1852</v>
      </c>
      <c r="AG6317" s="3" t="s">
        <v>81</v>
      </c>
      <c r="AH6317" s="11">
        <f>HYPERLINK("https://my.pitchbook.com?c=223565-23T","View Company Online")</f>
      </c>
    </row>
    <row r="6318">
      <c r="A6318" s="12" t="s">
        <v>28888</v>
      </c>
      <c r="B6318" s="12" t="s">
        <v>28889</v>
      </c>
      <c r="C6318" s="19" t="s">
        <v>36</v>
      </c>
      <c r="D6318" s="19" t="s">
        <v>36</v>
      </c>
      <c r="E6318" s="19">
        <v>1</v>
      </c>
      <c r="F6318" s="19">
        <v>1</v>
      </c>
      <c r="G6318" s="15" t="s">
        <v>36</v>
      </c>
      <c r="H6318" s="14" t="s">
        <v>36</v>
      </c>
      <c r="I6318" s="18" t="s">
        <v>36</v>
      </c>
      <c r="J6318" s="12" t="s">
        <v>36</v>
      </c>
      <c r="K6318" s="13" t="s">
        <v>36</v>
      </c>
      <c r="L6318" s="15" t="s">
        <v>36</v>
      </c>
      <c r="M6318" s="12" t="s">
        <v>36</v>
      </c>
      <c r="N6318" s="12" t="s">
        <v>36</v>
      </c>
      <c r="O6318" s="17" t="s">
        <v>36</v>
      </c>
      <c r="P6318" s="12" t="s">
        <v>36</v>
      </c>
      <c r="Q6318" s="12" t="s">
        <v>36</v>
      </c>
      <c r="R6318" s="12" t="s">
        <v>36</v>
      </c>
      <c r="S6318" s="12" t="s">
        <v>36</v>
      </c>
      <c r="T6318" s="12" t="s">
        <v>16975</v>
      </c>
      <c r="U6318" s="12" t="s">
        <v>96</v>
      </c>
      <c r="V6318" s="12" t="s">
        <v>52</v>
      </c>
      <c r="W6318" s="12" t="s">
        <v>28890</v>
      </c>
      <c r="X6318" s="16" t="s">
        <v>5661</v>
      </c>
      <c r="Y6318" s="15" t="s">
        <v>42</v>
      </c>
      <c r="Z6318" s="14" t="s">
        <v>36</v>
      </c>
      <c r="AA6318" s="14" t="s">
        <v>36</v>
      </c>
      <c r="AB6318" s="12" t="s">
        <v>56</v>
      </c>
      <c r="AC6318" s="12" t="s">
        <v>28891</v>
      </c>
      <c r="AD6318" s="13">
        <v>42736</v>
      </c>
      <c r="AE6318" s="12" t="s">
        <v>12392</v>
      </c>
      <c r="AF6318" s="12" t="s">
        <v>36</v>
      </c>
      <c r="AG6318" s="12" t="s">
        <v>6013</v>
      </c>
      <c r="AH6318" s="1">
        <f>HYPERLINK("https://my.pitchbook.com?c=136858-51T","View Company Online")</f>
      </c>
    </row>
    <row r="6319">
      <c r="A6319" s="3" t="s">
        <v>28892</v>
      </c>
      <c r="B6319" s="3" t="s">
        <v>28893</v>
      </c>
      <c r="C6319" s="5" t="s">
        <v>36</v>
      </c>
      <c r="D6319" s="5" t="s">
        <v>36</v>
      </c>
      <c r="E6319" s="5" t="s">
        <v>36</v>
      </c>
      <c r="F6319" s="5" t="s">
        <v>36</v>
      </c>
      <c r="G6319" s="6" t="s">
        <v>36</v>
      </c>
      <c r="H6319" s="4" t="s">
        <v>36</v>
      </c>
      <c r="I6319" s="7" t="s">
        <v>36</v>
      </c>
      <c r="J6319" s="3" t="s">
        <v>36</v>
      </c>
      <c r="K6319" s="9" t="s">
        <v>36</v>
      </c>
      <c r="L6319" s="6" t="s">
        <v>36</v>
      </c>
      <c r="M6319" s="3" t="s">
        <v>36</v>
      </c>
      <c r="N6319" s="3" t="s">
        <v>36</v>
      </c>
      <c r="O6319" s="8" t="s">
        <v>36</v>
      </c>
      <c r="P6319" s="3" t="s">
        <v>36</v>
      </c>
      <c r="Q6319" s="3" t="s">
        <v>36</v>
      </c>
      <c r="R6319" s="3" t="s">
        <v>36</v>
      </c>
      <c r="S6319" s="3" t="s">
        <v>10241</v>
      </c>
      <c r="T6319" s="3" t="s">
        <v>7575</v>
      </c>
      <c r="U6319" s="3" t="s">
        <v>85</v>
      </c>
      <c r="V6319" s="3" t="s">
        <v>64</v>
      </c>
      <c r="W6319" s="3" t="s">
        <v>28894</v>
      </c>
      <c r="X6319" s="10" t="s">
        <v>7099</v>
      </c>
      <c r="Y6319" s="6" t="s">
        <v>42</v>
      </c>
      <c r="Z6319" s="4" t="s">
        <v>36</v>
      </c>
      <c r="AA6319" s="4" t="s">
        <v>36</v>
      </c>
      <c r="AB6319" s="3" t="s">
        <v>56</v>
      </c>
      <c r="AC6319" s="3" t="s">
        <v>28895</v>
      </c>
      <c r="AD6319" s="9">
        <v>42736</v>
      </c>
      <c r="AE6319" s="3" t="s">
        <v>3645</v>
      </c>
      <c r="AF6319" s="3" t="s">
        <v>36</v>
      </c>
      <c r="AG6319" s="3" t="s">
        <v>28896</v>
      </c>
      <c r="AH6319" s="11">
        <f>HYPERLINK("https://my.pitchbook.com?c=204495-31T","View Company Online")</f>
      </c>
    </row>
    <row r="6320">
      <c r="A6320" s="12" t="s">
        <v>28897</v>
      </c>
      <c r="B6320" s="12" t="s">
        <v>6693</v>
      </c>
      <c r="C6320" s="19" t="s">
        <v>36</v>
      </c>
      <c r="D6320" s="19" t="s">
        <v>36</v>
      </c>
      <c r="E6320" s="19" t="s">
        <v>36</v>
      </c>
      <c r="F6320" s="19" t="s">
        <v>36</v>
      </c>
      <c r="G6320" s="15" t="s">
        <v>36</v>
      </c>
      <c r="H6320" s="14" t="s">
        <v>36</v>
      </c>
      <c r="I6320" s="18" t="s">
        <v>36</v>
      </c>
      <c r="J6320" s="12" t="s">
        <v>36</v>
      </c>
      <c r="K6320" s="13" t="s">
        <v>36</v>
      </c>
      <c r="L6320" s="15" t="s">
        <v>94</v>
      </c>
      <c r="M6320" s="12" t="s">
        <v>36</v>
      </c>
      <c r="N6320" s="12" t="s">
        <v>94</v>
      </c>
      <c r="O6320" s="17" t="s">
        <v>36</v>
      </c>
      <c r="P6320" s="12" t="s">
        <v>36</v>
      </c>
      <c r="Q6320" s="12" t="s">
        <v>36</v>
      </c>
      <c r="R6320" s="12" t="s">
        <v>36</v>
      </c>
      <c r="S6320" s="12" t="s">
        <v>36</v>
      </c>
      <c r="T6320" s="12" t="s">
        <v>6694</v>
      </c>
      <c r="U6320" s="12" t="s">
        <v>728</v>
      </c>
      <c r="V6320" s="12" t="s">
        <v>64</v>
      </c>
      <c r="W6320" s="12" t="s">
        <v>6695</v>
      </c>
      <c r="X6320" s="16" t="s">
        <v>5892</v>
      </c>
      <c r="Y6320" s="15" t="s">
        <v>192</v>
      </c>
      <c r="Z6320" s="14">
        <v>2</v>
      </c>
      <c r="AA6320" s="14" t="s">
        <v>36</v>
      </c>
      <c r="AB6320" s="12" t="s">
        <v>56</v>
      </c>
      <c r="AC6320" s="12" t="s">
        <v>6697</v>
      </c>
      <c r="AD6320" s="13">
        <v>42736</v>
      </c>
      <c r="AE6320" s="12" t="s">
        <v>2154</v>
      </c>
      <c r="AF6320" s="12" t="s">
        <v>2118</v>
      </c>
      <c r="AG6320" s="12" t="s">
        <v>81</v>
      </c>
      <c r="AH6320" s="1">
        <f>HYPERLINK("https://my.pitchbook.com?c=173262-88T","View Company Online")</f>
      </c>
    </row>
    <row r="6321">
      <c r="A6321" s="3" t="s">
        <v>28898</v>
      </c>
      <c r="B6321" s="3" t="s">
        <v>28899</v>
      </c>
      <c r="C6321" s="5" t="s">
        <v>36</v>
      </c>
      <c r="D6321" s="5" t="s">
        <v>36</v>
      </c>
      <c r="E6321" s="5" t="s">
        <v>36</v>
      </c>
      <c r="F6321" s="5" t="s">
        <v>36</v>
      </c>
      <c r="G6321" s="6" t="s">
        <v>36</v>
      </c>
      <c r="H6321" s="4" t="s">
        <v>36</v>
      </c>
      <c r="I6321" s="7" t="s">
        <v>36</v>
      </c>
      <c r="J6321" s="3" t="s">
        <v>36</v>
      </c>
      <c r="K6321" s="9" t="s">
        <v>36</v>
      </c>
      <c r="L6321" s="6" t="s">
        <v>36</v>
      </c>
      <c r="M6321" s="3" t="s">
        <v>36</v>
      </c>
      <c r="N6321" s="3" t="s">
        <v>36</v>
      </c>
      <c r="O6321" s="8" t="s">
        <v>36</v>
      </c>
      <c r="P6321" s="3" t="s">
        <v>36</v>
      </c>
      <c r="Q6321" s="3" t="s">
        <v>36</v>
      </c>
      <c r="R6321" s="3" t="s">
        <v>36</v>
      </c>
      <c r="S6321" s="3" t="s">
        <v>36</v>
      </c>
      <c r="T6321" s="3" t="s">
        <v>28900</v>
      </c>
      <c r="U6321" s="3" t="s">
        <v>423</v>
      </c>
      <c r="V6321" s="3" t="s">
        <v>64</v>
      </c>
      <c r="W6321" s="3" t="s">
        <v>28901</v>
      </c>
      <c r="X6321" s="10" t="s">
        <v>28902</v>
      </c>
      <c r="Y6321" s="6" t="s">
        <v>42</v>
      </c>
      <c r="Z6321" s="4">
        <v>0.21</v>
      </c>
      <c r="AA6321" s="4" t="s">
        <v>36</v>
      </c>
      <c r="AB6321" s="3" t="s">
        <v>43</v>
      </c>
      <c r="AC6321" s="3" t="s">
        <v>28903</v>
      </c>
      <c r="AD6321" s="9">
        <v>42736</v>
      </c>
      <c r="AE6321" s="3" t="s">
        <v>562</v>
      </c>
      <c r="AF6321" s="3" t="s">
        <v>5793</v>
      </c>
      <c r="AG6321" s="3" t="s">
        <v>28904</v>
      </c>
      <c r="AH6321" s="11">
        <f>HYPERLINK("https://my.pitchbook.com?c=97523-74T","View Company Online")</f>
      </c>
    </row>
    <row r="6322">
      <c r="A6322" s="12" t="s">
        <v>28905</v>
      </c>
      <c r="B6322" s="12" t="s">
        <v>21634</v>
      </c>
      <c r="C6322" s="19" t="s">
        <v>36</v>
      </c>
      <c r="D6322" s="19" t="s">
        <v>36</v>
      </c>
      <c r="E6322" s="19" t="s">
        <v>36</v>
      </c>
      <c r="F6322" s="19" t="s">
        <v>36</v>
      </c>
      <c r="G6322" s="15" t="s">
        <v>36</v>
      </c>
      <c r="H6322" s="14" t="s">
        <v>36</v>
      </c>
      <c r="I6322" s="18" t="s">
        <v>36</v>
      </c>
      <c r="J6322" s="12" t="s">
        <v>36</v>
      </c>
      <c r="K6322" s="13" t="s">
        <v>36</v>
      </c>
      <c r="L6322" s="15" t="s">
        <v>36</v>
      </c>
      <c r="M6322" s="12" t="s">
        <v>36</v>
      </c>
      <c r="N6322" s="12" t="s">
        <v>36</v>
      </c>
      <c r="O6322" s="17" t="s">
        <v>36</v>
      </c>
      <c r="P6322" s="12" t="s">
        <v>36</v>
      </c>
      <c r="Q6322" s="12" t="s">
        <v>36</v>
      </c>
      <c r="R6322" s="12" t="s">
        <v>36</v>
      </c>
      <c r="S6322" s="12" t="s">
        <v>36</v>
      </c>
      <c r="T6322" s="12" t="s">
        <v>3397</v>
      </c>
      <c r="U6322" s="12" t="s">
        <v>423</v>
      </c>
      <c r="V6322" s="12" t="s">
        <v>64</v>
      </c>
      <c r="W6322" s="12" t="s">
        <v>21635</v>
      </c>
      <c r="X6322" s="16" t="s">
        <v>28906</v>
      </c>
      <c r="Y6322" s="15" t="s">
        <v>42</v>
      </c>
      <c r="Z6322" s="14">
        <v>0.03</v>
      </c>
      <c r="AA6322" s="14" t="s">
        <v>36</v>
      </c>
      <c r="AB6322" s="12" t="s">
        <v>43</v>
      </c>
      <c r="AC6322" s="12" t="s">
        <v>21637</v>
      </c>
      <c r="AD6322" s="13">
        <v>42736</v>
      </c>
      <c r="AE6322" s="12" t="s">
        <v>562</v>
      </c>
      <c r="AF6322" s="12" t="s">
        <v>21638</v>
      </c>
      <c r="AG6322" s="12" t="s">
        <v>81</v>
      </c>
      <c r="AH6322" s="1">
        <f>HYPERLINK("https://my.pitchbook.com?c=139524-04T","View Company Online")</f>
      </c>
    </row>
    <row r="6323">
      <c r="A6323" s="3" t="s">
        <v>28907</v>
      </c>
      <c r="B6323" s="3" t="s">
        <v>15374</v>
      </c>
      <c r="C6323" s="5" t="s">
        <v>36</v>
      </c>
      <c r="D6323" s="5" t="s">
        <v>36</v>
      </c>
      <c r="E6323" s="5" t="s">
        <v>36</v>
      </c>
      <c r="F6323" s="5" t="s">
        <v>36</v>
      </c>
      <c r="G6323" s="6" t="s">
        <v>36</v>
      </c>
      <c r="H6323" s="4" t="s">
        <v>36</v>
      </c>
      <c r="I6323" s="7" t="s">
        <v>36</v>
      </c>
      <c r="J6323" s="3" t="s">
        <v>36</v>
      </c>
      <c r="K6323" s="9" t="s">
        <v>36</v>
      </c>
      <c r="L6323" s="6" t="s">
        <v>36</v>
      </c>
      <c r="M6323" s="3" t="s">
        <v>36</v>
      </c>
      <c r="N6323" s="3" t="s">
        <v>36</v>
      </c>
      <c r="O6323" s="8" t="s">
        <v>36</v>
      </c>
      <c r="P6323" s="3" t="s">
        <v>36</v>
      </c>
      <c r="Q6323" s="3" t="s">
        <v>36</v>
      </c>
      <c r="R6323" s="3" t="s">
        <v>36</v>
      </c>
      <c r="S6323" s="3" t="s">
        <v>36</v>
      </c>
      <c r="T6323" s="3" t="s">
        <v>630</v>
      </c>
      <c r="U6323" s="3" t="s">
        <v>38</v>
      </c>
      <c r="V6323" s="3" t="s">
        <v>39</v>
      </c>
      <c r="W6323" s="3" t="s">
        <v>15375</v>
      </c>
      <c r="X6323" s="10" t="s">
        <v>28908</v>
      </c>
      <c r="Y6323" s="6" t="s">
        <v>42</v>
      </c>
      <c r="Z6323" s="4">
        <v>1.05</v>
      </c>
      <c r="AA6323" s="4" t="s">
        <v>36</v>
      </c>
      <c r="AB6323" s="3" t="s">
        <v>43</v>
      </c>
      <c r="AC6323" s="3" t="s">
        <v>15377</v>
      </c>
      <c r="AD6323" s="9">
        <v>42736</v>
      </c>
      <c r="AE6323" s="3" t="s">
        <v>110</v>
      </c>
      <c r="AF6323" s="3" t="s">
        <v>4276</v>
      </c>
      <c r="AG6323" s="3" t="s">
        <v>81</v>
      </c>
      <c r="AH6323" s="11">
        <f>HYPERLINK("https://my.pitchbook.com?c=191980-36T","View Company Online")</f>
      </c>
    </row>
    <row r="6324">
      <c r="A6324" s="12" t="s">
        <v>28909</v>
      </c>
      <c r="B6324" s="12" t="s">
        <v>26341</v>
      </c>
      <c r="C6324" s="19" t="s">
        <v>36</v>
      </c>
      <c r="D6324" s="19" t="s">
        <v>36</v>
      </c>
      <c r="E6324" s="19" t="s">
        <v>36</v>
      </c>
      <c r="F6324" s="19" t="s">
        <v>36</v>
      </c>
      <c r="G6324" s="15" t="s">
        <v>36</v>
      </c>
      <c r="H6324" s="14" t="s">
        <v>36</v>
      </c>
      <c r="I6324" s="18" t="s">
        <v>36</v>
      </c>
      <c r="J6324" s="12" t="s">
        <v>36</v>
      </c>
      <c r="K6324" s="13" t="s">
        <v>36</v>
      </c>
      <c r="L6324" s="15" t="s">
        <v>36</v>
      </c>
      <c r="M6324" s="12" t="s">
        <v>36</v>
      </c>
      <c r="N6324" s="12" t="s">
        <v>36</v>
      </c>
      <c r="O6324" s="17" t="s">
        <v>36</v>
      </c>
      <c r="P6324" s="12" t="s">
        <v>36</v>
      </c>
      <c r="Q6324" s="12" t="s">
        <v>36</v>
      </c>
      <c r="R6324" s="12" t="s">
        <v>36</v>
      </c>
      <c r="S6324" s="12" t="s">
        <v>36</v>
      </c>
      <c r="T6324" s="12" t="s">
        <v>105</v>
      </c>
      <c r="U6324" s="12" t="s">
        <v>38</v>
      </c>
      <c r="V6324" s="12" t="s">
        <v>39</v>
      </c>
      <c r="W6324" s="12" t="s">
        <v>26342</v>
      </c>
      <c r="X6324" s="16" t="s">
        <v>28910</v>
      </c>
      <c r="Y6324" s="15" t="s">
        <v>166</v>
      </c>
      <c r="Z6324" s="14" t="s">
        <v>36</v>
      </c>
      <c r="AA6324" s="14" t="s">
        <v>36</v>
      </c>
      <c r="AB6324" s="12" t="s">
        <v>56</v>
      </c>
      <c r="AC6324" s="12" t="s">
        <v>26344</v>
      </c>
      <c r="AD6324" s="13">
        <v>42736</v>
      </c>
      <c r="AE6324" s="12" t="s">
        <v>110</v>
      </c>
      <c r="AF6324" s="12" t="s">
        <v>1401</v>
      </c>
      <c r="AG6324" s="12" t="s">
        <v>3595</v>
      </c>
      <c r="AH6324" s="1">
        <f>HYPERLINK("https://my.pitchbook.com?c=138790-99T","View Company Online")</f>
      </c>
    </row>
    <row r="6325">
      <c r="A6325" s="3" t="s">
        <v>28911</v>
      </c>
      <c r="B6325" s="3" t="s">
        <v>28912</v>
      </c>
      <c r="C6325" s="5" t="s">
        <v>36</v>
      </c>
      <c r="D6325" s="5" t="s">
        <v>36</v>
      </c>
      <c r="E6325" s="5" t="s">
        <v>36</v>
      </c>
      <c r="F6325" s="5" t="s">
        <v>36</v>
      </c>
      <c r="G6325" s="6" t="s">
        <v>36</v>
      </c>
      <c r="H6325" s="4" t="s">
        <v>36</v>
      </c>
      <c r="I6325" s="7" t="s">
        <v>36</v>
      </c>
      <c r="J6325" s="3" t="s">
        <v>36</v>
      </c>
      <c r="K6325" s="9" t="s">
        <v>36</v>
      </c>
      <c r="L6325" s="6" t="s">
        <v>36</v>
      </c>
      <c r="M6325" s="3" t="s">
        <v>36</v>
      </c>
      <c r="N6325" s="3" t="s">
        <v>36</v>
      </c>
      <c r="O6325" s="8" t="s">
        <v>36</v>
      </c>
      <c r="P6325" s="3" t="s">
        <v>36</v>
      </c>
      <c r="Q6325" s="3" t="s">
        <v>36</v>
      </c>
      <c r="R6325" s="3" t="s">
        <v>36</v>
      </c>
      <c r="S6325" s="3" t="s">
        <v>36</v>
      </c>
      <c r="T6325" s="3" t="s">
        <v>4640</v>
      </c>
      <c r="U6325" s="3" t="s">
        <v>833</v>
      </c>
      <c r="V6325" s="3" t="s">
        <v>64</v>
      </c>
      <c r="W6325" s="3" t="s">
        <v>28913</v>
      </c>
      <c r="X6325" s="10" t="s">
        <v>1043</v>
      </c>
      <c r="Y6325" s="6" t="s">
        <v>42</v>
      </c>
      <c r="Z6325" s="4" t="s">
        <v>36</v>
      </c>
      <c r="AA6325" s="4" t="s">
        <v>36</v>
      </c>
      <c r="AB6325" s="3" t="s">
        <v>56</v>
      </c>
      <c r="AC6325" s="3" t="s">
        <v>28914</v>
      </c>
      <c r="AD6325" s="9">
        <v>42736</v>
      </c>
      <c r="AE6325" s="3" t="s">
        <v>1687</v>
      </c>
      <c r="AF6325" s="3" t="s">
        <v>36</v>
      </c>
      <c r="AG6325" s="3" t="s">
        <v>81</v>
      </c>
      <c r="AH6325" s="11">
        <f>HYPERLINK("https://my.pitchbook.com?c=280396-09T","View Company Online")</f>
      </c>
    </row>
    <row r="6326">
      <c r="A6326" s="12" t="s">
        <v>28915</v>
      </c>
      <c r="B6326" s="12" t="s">
        <v>25846</v>
      </c>
      <c r="C6326" s="19" t="s">
        <v>36</v>
      </c>
      <c r="D6326" s="19" t="s">
        <v>36</v>
      </c>
      <c r="E6326" s="19" t="s">
        <v>36</v>
      </c>
      <c r="F6326" s="19" t="s">
        <v>36</v>
      </c>
      <c r="G6326" s="15" t="s">
        <v>36</v>
      </c>
      <c r="H6326" s="14" t="s">
        <v>36</v>
      </c>
      <c r="I6326" s="18" t="s">
        <v>36</v>
      </c>
      <c r="J6326" s="12" t="s">
        <v>36</v>
      </c>
      <c r="K6326" s="13" t="s">
        <v>36</v>
      </c>
      <c r="L6326" s="15" t="s">
        <v>36</v>
      </c>
      <c r="M6326" s="12" t="s">
        <v>36</v>
      </c>
      <c r="N6326" s="12" t="s">
        <v>36</v>
      </c>
      <c r="O6326" s="17" t="s">
        <v>36</v>
      </c>
      <c r="P6326" s="12" t="s">
        <v>36</v>
      </c>
      <c r="Q6326" s="12" t="s">
        <v>36</v>
      </c>
      <c r="R6326" s="12" t="s">
        <v>36</v>
      </c>
      <c r="S6326" s="12" t="s">
        <v>36</v>
      </c>
      <c r="T6326" s="12" t="s">
        <v>522</v>
      </c>
      <c r="U6326" s="12" t="s">
        <v>38</v>
      </c>
      <c r="V6326" s="12" t="s">
        <v>39</v>
      </c>
      <c r="W6326" s="12" t="s">
        <v>25847</v>
      </c>
      <c r="X6326" s="16" t="s">
        <v>28910</v>
      </c>
      <c r="Y6326" s="15" t="s">
        <v>42</v>
      </c>
      <c r="Z6326" s="14" t="s">
        <v>36</v>
      </c>
      <c r="AA6326" s="14" t="s">
        <v>36</v>
      </c>
      <c r="AB6326" s="12" t="s">
        <v>56</v>
      </c>
      <c r="AC6326" s="12" t="s">
        <v>25849</v>
      </c>
      <c r="AD6326" s="13">
        <v>42736</v>
      </c>
      <c r="AE6326" s="12" t="s">
        <v>110</v>
      </c>
      <c r="AF6326" s="12" t="s">
        <v>22104</v>
      </c>
      <c r="AG6326" s="12" t="s">
        <v>81</v>
      </c>
      <c r="AH6326" s="1">
        <f>HYPERLINK("https://my.pitchbook.com?c=127498-24T","View Company Online")</f>
      </c>
    </row>
    <row r="6327">
      <c r="A6327" s="3" t="s">
        <v>28916</v>
      </c>
      <c r="B6327" s="3" t="s">
        <v>28917</v>
      </c>
      <c r="C6327" s="5" t="s">
        <v>36</v>
      </c>
      <c r="D6327" s="5" t="s">
        <v>36</v>
      </c>
      <c r="E6327" s="5" t="s">
        <v>36</v>
      </c>
      <c r="F6327" s="5" t="s">
        <v>36</v>
      </c>
      <c r="G6327" s="6" t="s">
        <v>36</v>
      </c>
      <c r="H6327" s="4" t="s">
        <v>36</v>
      </c>
      <c r="I6327" s="7" t="s">
        <v>36</v>
      </c>
      <c r="J6327" s="3" t="s">
        <v>36</v>
      </c>
      <c r="K6327" s="9" t="s">
        <v>36</v>
      </c>
      <c r="L6327" s="6" t="s">
        <v>36</v>
      </c>
      <c r="M6327" s="3" t="s">
        <v>36</v>
      </c>
      <c r="N6327" s="3" t="s">
        <v>36</v>
      </c>
      <c r="O6327" s="8" t="s">
        <v>36</v>
      </c>
      <c r="P6327" s="3" t="s">
        <v>36</v>
      </c>
      <c r="Q6327" s="3" t="s">
        <v>36</v>
      </c>
      <c r="R6327" s="3" t="s">
        <v>36</v>
      </c>
      <c r="S6327" s="3" t="s">
        <v>36</v>
      </c>
      <c r="T6327" s="3" t="s">
        <v>3907</v>
      </c>
      <c r="U6327" s="3" t="s">
        <v>279</v>
      </c>
      <c r="V6327" s="3" t="s">
        <v>64</v>
      </c>
      <c r="W6327" s="3" t="s">
        <v>28918</v>
      </c>
      <c r="X6327" s="10" t="s">
        <v>1872</v>
      </c>
      <c r="Y6327" s="6" t="s">
        <v>42</v>
      </c>
      <c r="Z6327" s="4">
        <v>1.37</v>
      </c>
      <c r="AA6327" s="4" t="s">
        <v>36</v>
      </c>
      <c r="AB6327" s="3" t="s">
        <v>56</v>
      </c>
      <c r="AC6327" s="3" t="s">
        <v>28919</v>
      </c>
      <c r="AD6327" s="9">
        <v>42736</v>
      </c>
      <c r="AE6327" s="3" t="s">
        <v>851</v>
      </c>
      <c r="AF6327" s="3" t="s">
        <v>36</v>
      </c>
      <c r="AG6327" s="3" t="s">
        <v>355</v>
      </c>
      <c r="AH6327" s="11">
        <f>HYPERLINK("https://my.pitchbook.com?c=93736-00T","View Company Online")</f>
      </c>
    </row>
    <row r="6328">
      <c r="A6328" s="12" t="s">
        <v>28920</v>
      </c>
      <c r="B6328" s="12" t="s">
        <v>28921</v>
      </c>
      <c r="C6328" s="19" t="s">
        <v>36</v>
      </c>
      <c r="D6328" s="19" t="s">
        <v>36</v>
      </c>
      <c r="E6328" s="19" t="s">
        <v>36</v>
      </c>
      <c r="F6328" s="19" t="s">
        <v>36</v>
      </c>
      <c r="G6328" s="15" t="s">
        <v>36</v>
      </c>
      <c r="H6328" s="14" t="s">
        <v>36</v>
      </c>
      <c r="I6328" s="18" t="s">
        <v>36</v>
      </c>
      <c r="J6328" s="12" t="s">
        <v>36</v>
      </c>
      <c r="K6328" s="13" t="s">
        <v>36</v>
      </c>
      <c r="L6328" s="15" t="s">
        <v>36</v>
      </c>
      <c r="M6328" s="12" t="s">
        <v>36</v>
      </c>
      <c r="N6328" s="12" t="s">
        <v>36</v>
      </c>
      <c r="O6328" s="17" t="s">
        <v>36</v>
      </c>
      <c r="P6328" s="12" t="s">
        <v>36</v>
      </c>
      <c r="Q6328" s="12" t="s">
        <v>36</v>
      </c>
      <c r="R6328" s="12" t="s">
        <v>36</v>
      </c>
      <c r="S6328" s="12" t="s">
        <v>36</v>
      </c>
      <c r="T6328" s="12" t="s">
        <v>28922</v>
      </c>
      <c r="U6328" s="12" t="s">
        <v>9881</v>
      </c>
      <c r="V6328" s="12" t="s">
        <v>75</v>
      </c>
      <c r="W6328" s="12" t="s">
        <v>28923</v>
      </c>
      <c r="X6328" s="16" t="s">
        <v>28924</v>
      </c>
      <c r="Y6328" s="15" t="s">
        <v>55</v>
      </c>
      <c r="Z6328" s="14" t="s">
        <v>36</v>
      </c>
      <c r="AA6328" s="14" t="s">
        <v>36</v>
      </c>
      <c r="AB6328" s="12" t="s">
        <v>43</v>
      </c>
      <c r="AC6328" s="12" t="s">
        <v>28925</v>
      </c>
      <c r="AD6328" s="13">
        <v>42736</v>
      </c>
      <c r="AE6328" s="12" t="s">
        <v>12049</v>
      </c>
      <c r="AF6328" s="12" t="s">
        <v>36</v>
      </c>
      <c r="AG6328" s="12" t="s">
        <v>28926</v>
      </c>
      <c r="AH6328" s="1">
        <f>HYPERLINK("https://my.pitchbook.com?c=93736-63T","View Company Online")</f>
      </c>
    </row>
    <row r="6329">
      <c r="A6329" s="3" t="s">
        <v>28927</v>
      </c>
      <c r="B6329" s="3" t="s">
        <v>28928</v>
      </c>
      <c r="C6329" s="5" t="s">
        <v>36</v>
      </c>
      <c r="D6329" s="5" t="s">
        <v>36</v>
      </c>
      <c r="E6329" s="5" t="s">
        <v>36</v>
      </c>
      <c r="F6329" s="5" t="s">
        <v>36</v>
      </c>
      <c r="G6329" s="6" t="s">
        <v>36</v>
      </c>
      <c r="H6329" s="4">
        <v>1730.95</v>
      </c>
      <c r="I6329" s="7">
        <v>11.67</v>
      </c>
      <c r="J6329" s="3" t="s">
        <v>521</v>
      </c>
      <c r="K6329" s="9" t="s">
        <v>36</v>
      </c>
      <c r="L6329" s="6" t="s">
        <v>36</v>
      </c>
      <c r="M6329" s="3" t="s">
        <v>36</v>
      </c>
      <c r="N6329" s="3" t="s">
        <v>36</v>
      </c>
      <c r="O6329" s="8" t="s">
        <v>36</v>
      </c>
      <c r="P6329" s="3" t="s">
        <v>36</v>
      </c>
      <c r="Q6329" s="3" t="s">
        <v>36</v>
      </c>
      <c r="R6329" s="3" t="s">
        <v>36</v>
      </c>
      <c r="S6329" s="3" t="s">
        <v>36</v>
      </c>
      <c r="T6329" s="3" t="s">
        <v>472</v>
      </c>
      <c r="U6329" s="3" t="s">
        <v>38</v>
      </c>
      <c r="V6329" s="3" t="s">
        <v>39</v>
      </c>
      <c r="W6329" s="3" t="s">
        <v>28929</v>
      </c>
      <c r="X6329" s="10" t="s">
        <v>28930</v>
      </c>
      <c r="Y6329" s="6" t="s">
        <v>42</v>
      </c>
      <c r="Z6329" s="4">
        <v>0.05</v>
      </c>
      <c r="AA6329" s="4">
        <v>0.45</v>
      </c>
      <c r="AB6329" s="3" t="s">
        <v>56</v>
      </c>
      <c r="AC6329" s="3" t="s">
        <v>28931</v>
      </c>
      <c r="AD6329" s="9">
        <v>42736</v>
      </c>
      <c r="AE6329" s="3" t="s">
        <v>110</v>
      </c>
      <c r="AF6329" s="3" t="s">
        <v>28932</v>
      </c>
      <c r="AG6329" s="3" t="s">
        <v>102</v>
      </c>
      <c r="AH6329" s="11">
        <f>HYPERLINK("https://my.pitchbook.com?c=89261-29T","View Company Online")</f>
      </c>
    </row>
    <row r="6330">
      <c r="A6330" s="12" t="s">
        <v>28933</v>
      </c>
      <c r="B6330" s="12" t="s">
        <v>28934</v>
      </c>
      <c r="C6330" s="19" t="s">
        <v>36</v>
      </c>
      <c r="D6330" s="19" t="s">
        <v>36</v>
      </c>
      <c r="E6330" s="19" t="s">
        <v>36</v>
      </c>
      <c r="F6330" s="19" t="s">
        <v>36</v>
      </c>
      <c r="G6330" s="15" t="s">
        <v>36</v>
      </c>
      <c r="H6330" s="14" t="s">
        <v>36</v>
      </c>
      <c r="I6330" s="18" t="s">
        <v>36</v>
      </c>
      <c r="J6330" s="12" t="s">
        <v>36</v>
      </c>
      <c r="K6330" s="13" t="s">
        <v>36</v>
      </c>
      <c r="L6330" s="15" t="s">
        <v>36</v>
      </c>
      <c r="M6330" s="12" t="s">
        <v>36</v>
      </c>
      <c r="N6330" s="12" t="s">
        <v>36</v>
      </c>
      <c r="O6330" s="17" t="s">
        <v>36</v>
      </c>
      <c r="P6330" s="12" t="s">
        <v>36</v>
      </c>
      <c r="Q6330" s="12" t="s">
        <v>36</v>
      </c>
      <c r="R6330" s="12" t="s">
        <v>36</v>
      </c>
      <c r="S6330" s="12" t="s">
        <v>36</v>
      </c>
      <c r="T6330" s="12" t="s">
        <v>28935</v>
      </c>
      <c r="U6330" s="12" t="s">
        <v>38</v>
      </c>
      <c r="V6330" s="12" t="s">
        <v>39</v>
      </c>
      <c r="W6330" s="12" t="s">
        <v>28936</v>
      </c>
      <c r="X6330" s="16" t="s">
        <v>4788</v>
      </c>
      <c r="Y6330" s="15" t="s">
        <v>42</v>
      </c>
      <c r="Z6330" s="14" t="s">
        <v>36</v>
      </c>
      <c r="AA6330" s="14" t="s">
        <v>36</v>
      </c>
      <c r="AB6330" s="12" t="s">
        <v>43</v>
      </c>
      <c r="AC6330" s="12" t="s">
        <v>28937</v>
      </c>
      <c r="AD6330" s="13">
        <v>42736</v>
      </c>
      <c r="AE6330" s="12" t="s">
        <v>688</v>
      </c>
      <c r="AF6330" s="12" t="s">
        <v>1636</v>
      </c>
      <c r="AG6330" s="12" t="s">
        <v>5718</v>
      </c>
      <c r="AH6330" s="1">
        <f>HYPERLINK("https://my.pitchbook.com?c=100119-43T","View Company Online")</f>
      </c>
    </row>
    <row r="6331">
      <c r="A6331" s="3" t="s">
        <v>28938</v>
      </c>
      <c r="B6331" s="3" t="s">
        <v>1430</v>
      </c>
      <c r="C6331" s="5">
        <v>6</v>
      </c>
      <c r="D6331" s="5">
        <v>2</v>
      </c>
      <c r="E6331" s="5">
        <v>3</v>
      </c>
      <c r="F6331" s="5">
        <v>8</v>
      </c>
      <c r="G6331" s="6" t="s">
        <v>36</v>
      </c>
      <c r="H6331" s="4">
        <v>103.86</v>
      </c>
      <c r="I6331" s="7">
        <v>17.97</v>
      </c>
      <c r="J6331" s="3" t="s">
        <v>521</v>
      </c>
      <c r="K6331" s="9" t="s">
        <v>36</v>
      </c>
      <c r="L6331" s="6" t="s">
        <v>36</v>
      </c>
      <c r="M6331" s="3" t="s">
        <v>36</v>
      </c>
      <c r="N6331" s="3" t="s">
        <v>36</v>
      </c>
      <c r="O6331" s="8" t="s">
        <v>36</v>
      </c>
      <c r="P6331" s="3" t="s">
        <v>36</v>
      </c>
      <c r="Q6331" s="3" t="s">
        <v>36</v>
      </c>
      <c r="R6331" s="3" t="s">
        <v>36</v>
      </c>
      <c r="S6331" s="3" t="s">
        <v>36</v>
      </c>
      <c r="T6331" s="3" t="s">
        <v>1431</v>
      </c>
      <c r="U6331" s="3" t="s">
        <v>51</v>
      </c>
      <c r="V6331" s="3" t="s">
        <v>52</v>
      </c>
      <c r="W6331" s="3" t="s">
        <v>1432</v>
      </c>
      <c r="X6331" s="10" t="s">
        <v>1840</v>
      </c>
      <c r="Y6331" s="6" t="s">
        <v>42</v>
      </c>
      <c r="Z6331" s="4">
        <v>1.68</v>
      </c>
      <c r="AA6331" s="4">
        <v>6.41</v>
      </c>
      <c r="AB6331" s="3" t="s">
        <v>43</v>
      </c>
      <c r="AC6331" s="3" t="s">
        <v>1434</v>
      </c>
      <c r="AD6331" s="9">
        <v>42736</v>
      </c>
      <c r="AE6331" s="3" t="s">
        <v>504</v>
      </c>
      <c r="AF6331" s="3" t="s">
        <v>1435</v>
      </c>
      <c r="AG6331" s="3" t="s">
        <v>991</v>
      </c>
      <c r="AH6331" s="11">
        <f>HYPERLINK("https://my.pitchbook.com?c=115556-32T","View Company Online")</f>
      </c>
    </row>
    <row r="6332">
      <c r="A6332" s="12" t="s">
        <v>28939</v>
      </c>
      <c r="B6332" s="12" t="s">
        <v>24429</v>
      </c>
      <c r="C6332" s="19" t="s">
        <v>36</v>
      </c>
      <c r="D6332" s="19" t="s">
        <v>36</v>
      </c>
      <c r="E6332" s="19" t="s">
        <v>36</v>
      </c>
      <c r="F6332" s="19" t="s">
        <v>36</v>
      </c>
      <c r="G6332" s="15" t="s">
        <v>36</v>
      </c>
      <c r="H6332" s="14" t="s">
        <v>36</v>
      </c>
      <c r="I6332" s="18" t="s">
        <v>36</v>
      </c>
      <c r="J6332" s="12" t="s">
        <v>36</v>
      </c>
      <c r="K6332" s="13" t="s">
        <v>36</v>
      </c>
      <c r="L6332" s="15" t="s">
        <v>122</v>
      </c>
      <c r="M6332" s="12" t="s">
        <v>36</v>
      </c>
      <c r="N6332" s="12" t="s">
        <v>122</v>
      </c>
      <c r="O6332" s="17" t="s">
        <v>36</v>
      </c>
      <c r="P6332" s="12" t="s">
        <v>36</v>
      </c>
      <c r="Q6332" s="12" t="s">
        <v>36</v>
      </c>
      <c r="R6332" s="12" t="s">
        <v>36</v>
      </c>
      <c r="S6332" s="12" t="s">
        <v>36</v>
      </c>
      <c r="T6332" s="12" t="s">
        <v>5576</v>
      </c>
      <c r="U6332" s="12" t="s">
        <v>38</v>
      </c>
      <c r="V6332" s="12" t="s">
        <v>39</v>
      </c>
      <c r="W6332" s="12" t="s">
        <v>24430</v>
      </c>
      <c r="X6332" s="16" t="s">
        <v>7381</v>
      </c>
      <c r="Y6332" s="15" t="s">
        <v>108</v>
      </c>
      <c r="Z6332" s="14" t="s">
        <v>36</v>
      </c>
      <c r="AA6332" s="14" t="s">
        <v>36</v>
      </c>
      <c r="AB6332" s="12" t="s">
        <v>43</v>
      </c>
      <c r="AC6332" s="12" t="s">
        <v>24432</v>
      </c>
      <c r="AD6332" s="13">
        <v>42736</v>
      </c>
      <c r="AE6332" s="12" t="s">
        <v>110</v>
      </c>
      <c r="AF6332" s="12" t="s">
        <v>24433</v>
      </c>
      <c r="AG6332" s="12" t="s">
        <v>81</v>
      </c>
      <c r="AH6332" s="1">
        <f>HYPERLINK("https://my.pitchbook.com?c=133425-73T","View Company Online")</f>
      </c>
    </row>
    <row r="6333">
      <c r="A6333" s="3" t="s">
        <v>28940</v>
      </c>
      <c r="B6333" s="3" t="s">
        <v>28941</v>
      </c>
      <c r="C6333" s="5" t="s">
        <v>36</v>
      </c>
      <c r="D6333" s="5" t="s">
        <v>36</v>
      </c>
      <c r="E6333" s="5" t="s">
        <v>36</v>
      </c>
      <c r="F6333" s="5" t="s">
        <v>36</v>
      </c>
      <c r="G6333" s="6" t="s">
        <v>36</v>
      </c>
      <c r="H6333" s="4">
        <v>1606.66</v>
      </c>
      <c r="I6333" s="7">
        <v>42.67</v>
      </c>
      <c r="J6333" s="3" t="s">
        <v>521</v>
      </c>
      <c r="K6333" s="9">
        <v>42736</v>
      </c>
      <c r="L6333" s="6" t="s">
        <v>36</v>
      </c>
      <c r="M6333" s="3" t="s">
        <v>36</v>
      </c>
      <c r="N6333" s="3" t="s">
        <v>36</v>
      </c>
      <c r="O6333" s="8" t="s">
        <v>36</v>
      </c>
      <c r="P6333" s="3" t="s">
        <v>36</v>
      </c>
      <c r="Q6333" s="3" t="s">
        <v>36</v>
      </c>
      <c r="R6333" s="3" t="s">
        <v>36</v>
      </c>
      <c r="S6333" s="3" t="s">
        <v>36</v>
      </c>
      <c r="T6333" s="3" t="s">
        <v>1701</v>
      </c>
      <c r="U6333" s="3" t="s">
        <v>74</v>
      </c>
      <c r="V6333" s="3" t="s">
        <v>75</v>
      </c>
      <c r="W6333" s="3" t="s">
        <v>28942</v>
      </c>
      <c r="X6333" s="10" t="s">
        <v>28943</v>
      </c>
      <c r="Y6333" s="6" t="s">
        <v>42</v>
      </c>
      <c r="Z6333" s="4">
        <v>2.42</v>
      </c>
      <c r="AA6333" s="4">
        <v>2.95</v>
      </c>
      <c r="AB6333" s="3" t="s">
        <v>43</v>
      </c>
      <c r="AC6333" s="3" t="s">
        <v>28944</v>
      </c>
      <c r="AD6333" s="9">
        <v>42736</v>
      </c>
      <c r="AE6333" s="3" t="s">
        <v>79</v>
      </c>
      <c r="AF6333" s="3" t="s">
        <v>80</v>
      </c>
      <c r="AG6333" s="3" t="s">
        <v>81</v>
      </c>
      <c r="AH6333" s="11">
        <f>HYPERLINK("https://my.pitchbook.com?c=120519-37T","View Company Online")</f>
      </c>
    </row>
    <row r="6334">
      <c r="A6334" s="12" t="s">
        <v>28945</v>
      </c>
      <c r="B6334" s="12" t="s">
        <v>14964</v>
      </c>
      <c r="C6334" s="19" t="s">
        <v>36</v>
      </c>
      <c r="D6334" s="19" t="s">
        <v>36</v>
      </c>
      <c r="E6334" s="19" t="s">
        <v>36</v>
      </c>
      <c r="F6334" s="19" t="s">
        <v>36</v>
      </c>
      <c r="G6334" s="15" t="s">
        <v>36</v>
      </c>
      <c r="H6334" s="14" t="s">
        <v>36</v>
      </c>
      <c r="I6334" s="18" t="s">
        <v>36</v>
      </c>
      <c r="J6334" s="12" t="s">
        <v>36</v>
      </c>
      <c r="K6334" s="13" t="s">
        <v>36</v>
      </c>
      <c r="L6334" s="15" t="s">
        <v>36</v>
      </c>
      <c r="M6334" s="12" t="s">
        <v>36</v>
      </c>
      <c r="N6334" s="12" t="s">
        <v>36</v>
      </c>
      <c r="O6334" s="17" t="s">
        <v>36</v>
      </c>
      <c r="P6334" s="12" t="s">
        <v>36</v>
      </c>
      <c r="Q6334" s="12" t="s">
        <v>36</v>
      </c>
      <c r="R6334" s="12" t="s">
        <v>36</v>
      </c>
      <c r="S6334" s="12" t="s">
        <v>36</v>
      </c>
      <c r="T6334" s="12" t="s">
        <v>12747</v>
      </c>
      <c r="U6334" s="12" t="s">
        <v>648</v>
      </c>
      <c r="V6334" s="12" t="s">
        <v>64</v>
      </c>
      <c r="W6334" s="12" t="s">
        <v>14965</v>
      </c>
      <c r="X6334" s="16" t="s">
        <v>28946</v>
      </c>
      <c r="Y6334" s="15" t="s">
        <v>108</v>
      </c>
      <c r="Z6334" s="14">
        <v>0.78</v>
      </c>
      <c r="AA6334" s="14" t="s">
        <v>36</v>
      </c>
      <c r="AB6334" s="12" t="s">
        <v>43</v>
      </c>
      <c r="AC6334" s="12" t="s">
        <v>14967</v>
      </c>
      <c r="AD6334" s="13">
        <v>42736</v>
      </c>
      <c r="AE6334" s="12" t="s">
        <v>651</v>
      </c>
      <c r="AF6334" s="12" t="s">
        <v>36</v>
      </c>
      <c r="AG6334" s="12" t="s">
        <v>924</v>
      </c>
      <c r="AH6334" s="1">
        <f>HYPERLINK("https://my.pitchbook.com?c=135525-43T","View Company Online")</f>
      </c>
    </row>
    <row r="6335">
      <c r="A6335" s="3" t="s">
        <v>28947</v>
      </c>
      <c r="B6335" s="3" t="s">
        <v>28948</v>
      </c>
      <c r="C6335" s="5" t="s">
        <v>36</v>
      </c>
      <c r="D6335" s="5">
        <v>2</v>
      </c>
      <c r="E6335" s="5">
        <v>1</v>
      </c>
      <c r="F6335" s="5">
        <v>2</v>
      </c>
      <c r="G6335" s="6" t="s">
        <v>36</v>
      </c>
      <c r="H6335" s="4" t="s">
        <v>36</v>
      </c>
      <c r="I6335" s="7" t="s">
        <v>36</v>
      </c>
      <c r="J6335" s="3" t="s">
        <v>36</v>
      </c>
      <c r="K6335" s="9" t="s">
        <v>36</v>
      </c>
      <c r="L6335" s="6" t="s">
        <v>36</v>
      </c>
      <c r="M6335" s="3" t="s">
        <v>36</v>
      </c>
      <c r="N6335" s="3" t="s">
        <v>36</v>
      </c>
      <c r="O6335" s="8" t="s">
        <v>36</v>
      </c>
      <c r="P6335" s="3" t="s">
        <v>36</v>
      </c>
      <c r="Q6335" s="3" t="s">
        <v>36</v>
      </c>
      <c r="R6335" s="3" t="s">
        <v>36</v>
      </c>
      <c r="S6335" s="3" t="s">
        <v>28949</v>
      </c>
      <c r="T6335" s="3" t="s">
        <v>927</v>
      </c>
      <c r="U6335" s="3" t="s">
        <v>219</v>
      </c>
      <c r="V6335" s="3" t="s">
        <v>75</v>
      </c>
      <c r="W6335" s="3" t="s">
        <v>28950</v>
      </c>
      <c r="X6335" s="10" t="s">
        <v>8932</v>
      </c>
      <c r="Y6335" s="6" t="s">
        <v>42</v>
      </c>
      <c r="Z6335" s="4" t="s">
        <v>36</v>
      </c>
      <c r="AA6335" s="4" t="s">
        <v>36</v>
      </c>
      <c r="AB6335" s="3" t="s">
        <v>43</v>
      </c>
      <c r="AC6335" s="3" t="s">
        <v>28951</v>
      </c>
      <c r="AD6335" s="9">
        <v>42736</v>
      </c>
      <c r="AE6335" s="3" t="s">
        <v>243</v>
      </c>
      <c r="AF6335" s="3" t="s">
        <v>1507</v>
      </c>
      <c r="AG6335" s="3" t="s">
        <v>28952</v>
      </c>
      <c r="AH6335" s="11">
        <f>HYPERLINK("https://my.pitchbook.com?c=202632-40T","View Company Online")</f>
      </c>
    </row>
    <row r="6336">
      <c r="A6336" s="12" t="s">
        <v>28953</v>
      </c>
      <c r="B6336" s="12" t="s">
        <v>18382</v>
      </c>
      <c r="C6336" s="19">
        <v>8</v>
      </c>
      <c r="D6336" s="19">
        <v>28</v>
      </c>
      <c r="E6336" s="19">
        <v>8</v>
      </c>
      <c r="F6336" s="19">
        <v>38</v>
      </c>
      <c r="G6336" s="15" t="s">
        <v>36</v>
      </c>
      <c r="H6336" s="14">
        <v>6.54</v>
      </c>
      <c r="I6336" s="18">
        <v>64.8</v>
      </c>
      <c r="J6336" s="12" t="s">
        <v>521</v>
      </c>
      <c r="K6336" s="13" t="s">
        <v>36</v>
      </c>
      <c r="L6336" s="15" t="s">
        <v>36</v>
      </c>
      <c r="M6336" s="12" t="s">
        <v>36</v>
      </c>
      <c r="N6336" s="12" t="s">
        <v>36</v>
      </c>
      <c r="O6336" s="17" t="s">
        <v>36</v>
      </c>
      <c r="P6336" s="12" t="s">
        <v>36</v>
      </c>
      <c r="Q6336" s="12" t="s">
        <v>36</v>
      </c>
      <c r="R6336" s="12" t="s">
        <v>36</v>
      </c>
      <c r="S6336" s="12" t="s">
        <v>36</v>
      </c>
      <c r="T6336" s="12" t="s">
        <v>18383</v>
      </c>
      <c r="U6336" s="12" t="s">
        <v>1082</v>
      </c>
      <c r="V6336" s="12" t="s">
        <v>378</v>
      </c>
      <c r="W6336" s="12" t="s">
        <v>18384</v>
      </c>
      <c r="X6336" s="16" t="s">
        <v>24521</v>
      </c>
      <c r="Y6336" s="15" t="s">
        <v>42</v>
      </c>
      <c r="Z6336" s="14">
        <v>1.26</v>
      </c>
      <c r="AA6336" s="14">
        <v>1.51</v>
      </c>
      <c r="AB6336" s="12" t="s">
        <v>56</v>
      </c>
      <c r="AC6336" s="12" t="s">
        <v>18386</v>
      </c>
      <c r="AD6336" s="13">
        <v>42734</v>
      </c>
      <c r="AE6336" s="12" t="s">
        <v>2068</v>
      </c>
      <c r="AF6336" s="12" t="s">
        <v>2422</v>
      </c>
      <c r="AG6336" s="12" t="s">
        <v>1078</v>
      </c>
      <c r="AH6336" s="1">
        <f>HYPERLINK("https://my.pitchbook.com?c=82218-16T","View Company Online")</f>
      </c>
    </row>
    <row r="6337">
      <c r="A6337" s="3" t="s">
        <v>28954</v>
      </c>
      <c r="B6337" s="3" t="s">
        <v>1675</v>
      </c>
      <c r="C6337" s="5" t="s">
        <v>36</v>
      </c>
      <c r="D6337" s="5" t="s">
        <v>36</v>
      </c>
      <c r="E6337" s="5" t="s">
        <v>36</v>
      </c>
      <c r="F6337" s="5" t="s">
        <v>36</v>
      </c>
      <c r="G6337" s="6" t="s">
        <v>36</v>
      </c>
      <c r="H6337" s="4">
        <v>15.58</v>
      </c>
      <c r="I6337" s="7">
        <v>10</v>
      </c>
      <c r="J6337" s="3" t="s">
        <v>521</v>
      </c>
      <c r="K6337" s="9" t="s">
        <v>36</v>
      </c>
      <c r="L6337" s="6" t="s">
        <v>36</v>
      </c>
      <c r="M6337" s="3" t="s">
        <v>36</v>
      </c>
      <c r="N6337" s="3" t="s">
        <v>36</v>
      </c>
      <c r="O6337" s="8" t="s">
        <v>36</v>
      </c>
      <c r="P6337" s="3" t="s">
        <v>36</v>
      </c>
      <c r="Q6337" s="3" t="s">
        <v>36</v>
      </c>
      <c r="R6337" s="3" t="s">
        <v>36</v>
      </c>
      <c r="S6337" s="3" t="s">
        <v>36</v>
      </c>
      <c r="T6337" s="3" t="s">
        <v>1676</v>
      </c>
      <c r="U6337" s="3" t="s">
        <v>85</v>
      </c>
      <c r="V6337" s="3" t="s">
        <v>64</v>
      </c>
      <c r="W6337" s="3" t="s">
        <v>1677</v>
      </c>
      <c r="X6337" s="10" t="s">
        <v>28955</v>
      </c>
      <c r="Y6337" s="6" t="s">
        <v>42</v>
      </c>
      <c r="Z6337" s="4">
        <v>0.09</v>
      </c>
      <c r="AA6337" s="4">
        <v>0.88</v>
      </c>
      <c r="AB6337" s="3" t="s">
        <v>43</v>
      </c>
      <c r="AC6337" s="3" t="s">
        <v>1678</v>
      </c>
      <c r="AD6337" s="9">
        <v>42730</v>
      </c>
      <c r="AE6337" s="3" t="s">
        <v>89</v>
      </c>
      <c r="AF6337" s="3" t="s">
        <v>1507</v>
      </c>
      <c r="AG6337" s="3" t="s">
        <v>47</v>
      </c>
      <c r="AH6337" s="11">
        <f>HYPERLINK("https://my.pitchbook.com?c=248780-89T","View Company Online")</f>
      </c>
    </row>
    <row r="6338">
      <c r="A6338" s="12" t="s">
        <v>28956</v>
      </c>
      <c r="B6338" s="12" t="s">
        <v>7970</v>
      </c>
      <c r="C6338" s="19">
        <v>59</v>
      </c>
      <c r="D6338" s="19">
        <v>148</v>
      </c>
      <c r="E6338" s="19">
        <v>35</v>
      </c>
      <c r="F6338" s="19">
        <v>232</v>
      </c>
      <c r="G6338" s="15" t="s">
        <v>36</v>
      </c>
      <c r="H6338" s="14" t="s">
        <v>36</v>
      </c>
      <c r="I6338" s="18">
        <v>36.03</v>
      </c>
      <c r="J6338" s="12" t="s">
        <v>327</v>
      </c>
      <c r="K6338" s="13" t="s">
        <v>36</v>
      </c>
      <c r="L6338" s="15" t="s">
        <v>94</v>
      </c>
      <c r="M6338" s="12" t="s">
        <v>36</v>
      </c>
      <c r="N6338" s="12" t="s">
        <v>94</v>
      </c>
      <c r="O6338" s="17" t="s">
        <v>36</v>
      </c>
      <c r="P6338" s="12" t="s">
        <v>36</v>
      </c>
      <c r="Q6338" s="12" t="s">
        <v>36</v>
      </c>
      <c r="R6338" s="12" t="s">
        <v>36</v>
      </c>
      <c r="S6338" s="12" t="s">
        <v>2699</v>
      </c>
      <c r="T6338" s="12" t="s">
        <v>7971</v>
      </c>
      <c r="U6338" s="12" t="s">
        <v>1082</v>
      </c>
      <c r="V6338" s="12" t="s">
        <v>378</v>
      </c>
      <c r="W6338" s="12" t="s">
        <v>7972</v>
      </c>
      <c r="X6338" s="16" t="s">
        <v>28957</v>
      </c>
      <c r="Y6338" s="15" t="s">
        <v>192</v>
      </c>
      <c r="Z6338" s="14">
        <v>14.77</v>
      </c>
      <c r="AA6338" s="14">
        <v>40.98</v>
      </c>
      <c r="AB6338" s="12" t="s">
        <v>56</v>
      </c>
      <c r="AC6338" s="12" t="s">
        <v>7974</v>
      </c>
      <c r="AD6338" s="13">
        <v>42730</v>
      </c>
      <c r="AE6338" s="12" t="s">
        <v>1086</v>
      </c>
      <c r="AF6338" s="12" t="s">
        <v>7975</v>
      </c>
      <c r="AG6338" s="12" t="s">
        <v>2370</v>
      </c>
      <c r="AH6338" s="1">
        <f>HYPERLINK("https://my.pitchbook.com?c=79856-83T","View Company Online")</f>
      </c>
    </row>
    <row r="6339">
      <c r="A6339" s="3" t="s">
        <v>28958</v>
      </c>
      <c r="B6339" s="3" t="s">
        <v>28959</v>
      </c>
      <c r="C6339" s="5" t="s">
        <v>36</v>
      </c>
      <c r="D6339" s="5" t="s">
        <v>36</v>
      </c>
      <c r="E6339" s="5" t="s">
        <v>36</v>
      </c>
      <c r="F6339" s="5" t="s">
        <v>36</v>
      </c>
      <c r="G6339" s="6" t="s">
        <v>326</v>
      </c>
      <c r="H6339" s="4">
        <v>1274.84</v>
      </c>
      <c r="I6339" s="7">
        <v>11.74</v>
      </c>
      <c r="J6339" s="3" t="s">
        <v>521</v>
      </c>
      <c r="K6339" s="9" t="s">
        <v>36</v>
      </c>
      <c r="L6339" s="6" t="s">
        <v>36</v>
      </c>
      <c r="M6339" s="3" t="s">
        <v>36</v>
      </c>
      <c r="N6339" s="3" t="s">
        <v>36</v>
      </c>
      <c r="O6339" s="8" t="s">
        <v>36</v>
      </c>
      <c r="P6339" s="3" t="s">
        <v>36</v>
      </c>
      <c r="Q6339" s="3" t="s">
        <v>36</v>
      </c>
      <c r="R6339" s="3" t="s">
        <v>36</v>
      </c>
      <c r="S6339" s="3" t="s">
        <v>36</v>
      </c>
      <c r="T6339" s="3" t="s">
        <v>2308</v>
      </c>
      <c r="U6339" s="3" t="s">
        <v>38</v>
      </c>
      <c r="V6339" s="3" t="s">
        <v>39</v>
      </c>
      <c r="W6339" s="3" t="s">
        <v>28960</v>
      </c>
      <c r="X6339" s="10" t="s">
        <v>28961</v>
      </c>
      <c r="Y6339" s="6" t="s">
        <v>42</v>
      </c>
      <c r="Z6339" s="4">
        <v>0.42</v>
      </c>
      <c r="AA6339" s="4">
        <v>3.59</v>
      </c>
      <c r="AB6339" s="3" t="s">
        <v>43</v>
      </c>
      <c r="AC6339" s="3" t="s">
        <v>28962</v>
      </c>
      <c r="AD6339" s="9">
        <v>42727</v>
      </c>
      <c r="AE6339" s="3" t="s">
        <v>45</v>
      </c>
      <c r="AF6339" s="3" t="s">
        <v>615</v>
      </c>
      <c r="AG6339" s="3" t="s">
        <v>1276</v>
      </c>
      <c r="AH6339" s="11">
        <f>HYPERLINK("https://my.pitchbook.com?c=77975-11T","View Company Online")</f>
      </c>
    </row>
    <row r="6340">
      <c r="A6340" s="12" t="s">
        <v>28963</v>
      </c>
      <c r="B6340" s="12" t="s">
        <v>14140</v>
      </c>
      <c r="C6340" s="19" t="s">
        <v>36</v>
      </c>
      <c r="D6340" s="19" t="s">
        <v>36</v>
      </c>
      <c r="E6340" s="19" t="s">
        <v>36</v>
      </c>
      <c r="F6340" s="19" t="s">
        <v>36</v>
      </c>
      <c r="G6340" s="15" t="s">
        <v>36</v>
      </c>
      <c r="H6340" s="14">
        <v>647.35</v>
      </c>
      <c r="I6340" s="18">
        <v>13.76</v>
      </c>
      <c r="J6340" s="12" t="s">
        <v>521</v>
      </c>
      <c r="K6340" s="13" t="s">
        <v>36</v>
      </c>
      <c r="L6340" s="15" t="s">
        <v>36</v>
      </c>
      <c r="M6340" s="12" t="s">
        <v>36</v>
      </c>
      <c r="N6340" s="12" t="s">
        <v>36</v>
      </c>
      <c r="O6340" s="17" t="s">
        <v>36</v>
      </c>
      <c r="P6340" s="12" t="s">
        <v>36</v>
      </c>
      <c r="Q6340" s="12" t="s">
        <v>36</v>
      </c>
      <c r="R6340" s="12" t="s">
        <v>36</v>
      </c>
      <c r="S6340" s="12" t="s">
        <v>36</v>
      </c>
      <c r="T6340" s="12" t="s">
        <v>11657</v>
      </c>
      <c r="U6340" s="12" t="s">
        <v>289</v>
      </c>
      <c r="V6340" s="12" t="s">
        <v>64</v>
      </c>
      <c r="W6340" s="12" t="s">
        <v>14141</v>
      </c>
      <c r="X6340" s="16" t="s">
        <v>28964</v>
      </c>
      <c r="Y6340" s="15" t="s">
        <v>108</v>
      </c>
      <c r="Z6340" s="14">
        <v>0.39</v>
      </c>
      <c r="AA6340" s="14">
        <v>2.82</v>
      </c>
      <c r="AB6340" s="12" t="s">
        <v>43</v>
      </c>
      <c r="AC6340" s="12" t="s">
        <v>14143</v>
      </c>
      <c r="AD6340" s="13">
        <v>42727</v>
      </c>
      <c r="AE6340" s="12" t="s">
        <v>292</v>
      </c>
      <c r="AF6340" s="12" t="s">
        <v>90</v>
      </c>
      <c r="AG6340" s="12" t="s">
        <v>1705</v>
      </c>
      <c r="AH6340" s="1">
        <f>HYPERLINK("https://my.pitchbook.com?c=123650-38T","View Company Online")</f>
      </c>
    </row>
    <row r="6341">
      <c r="A6341" s="3" t="s">
        <v>28965</v>
      </c>
      <c r="B6341" s="3" t="s">
        <v>12849</v>
      </c>
      <c r="C6341" s="5">
        <v>21</v>
      </c>
      <c r="D6341" s="5">
        <v>52</v>
      </c>
      <c r="E6341" s="5">
        <v>7</v>
      </c>
      <c r="F6341" s="5">
        <v>73</v>
      </c>
      <c r="G6341" s="6" t="s">
        <v>36</v>
      </c>
      <c r="H6341" s="4">
        <v>210.83</v>
      </c>
      <c r="I6341" s="7">
        <v>62.56</v>
      </c>
      <c r="J6341" s="3" t="s">
        <v>521</v>
      </c>
      <c r="K6341" s="9" t="s">
        <v>36</v>
      </c>
      <c r="L6341" s="6" t="s">
        <v>36</v>
      </c>
      <c r="M6341" s="3" t="s">
        <v>36</v>
      </c>
      <c r="N6341" s="3" t="s">
        <v>36</v>
      </c>
      <c r="O6341" s="8" t="s">
        <v>36</v>
      </c>
      <c r="P6341" s="3" t="s">
        <v>36</v>
      </c>
      <c r="Q6341" s="3" t="s">
        <v>36</v>
      </c>
      <c r="R6341" s="3" t="s">
        <v>12841</v>
      </c>
      <c r="S6341" s="3" t="s">
        <v>36</v>
      </c>
      <c r="T6341" s="3" t="s">
        <v>4225</v>
      </c>
      <c r="U6341" s="3" t="s">
        <v>96</v>
      </c>
      <c r="V6341" s="3" t="s">
        <v>52</v>
      </c>
      <c r="W6341" s="3" t="s">
        <v>12850</v>
      </c>
      <c r="X6341" s="10" t="s">
        <v>28966</v>
      </c>
      <c r="Y6341" s="6" t="s">
        <v>108</v>
      </c>
      <c r="Z6341" s="4">
        <v>13.26</v>
      </c>
      <c r="AA6341" s="4">
        <v>21.19</v>
      </c>
      <c r="AB6341" s="3" t="s">
        <v>43</v>
      </c>
      <c r="AC6341" s="3" t="s">
        <v>12852</v>
      </c>
      <c r="AD6341" s="9">
        <v>42727</v>
      </c>
      <c r="AE6341" s="3" t="s">
        <v>143</v>
      </c>
      <c r="AF6341" s="3" t="s">
        <v>6285</v>
      </c>
      <c r="AG6341" s="3" t="s">
        <v>81</v>
      </c>
      <c r="AH6341" s="11">
        <f>HYPERLINK("https://my.pitchbook.com?c=205712-02T","View Company Online")</f>
      </c>
    </row>
    <row r="6342">
      <c r="A6342" s="12" t="s">
        <v>28967</v>
      </c>
      <c r="B6342" s="12" t="s">
        <v>3714</v>
      </c>
      <c r="C6342" s="19" t="s">
        <v>36</v>
      </c>
      <c r="D6342" s="19" t="s">
        <v>36</v>
      </c>
      <c r="E6342" s="19" t="s">
        <v>36</v>
      </c>
      <c r="F6342" s="19" t="s">
        <v>36</v>
      </c>
      <c r="G6342" s="15" t="s">
        <v>326</v>
      </c>
      <c r="H6342" s="14">
        <v>9.76</v>
      </c>
      <c r="I6342" s="18">
        <v>24.7</v>
      </c>
      <c r="J6342" s="12" t="s">
        <v>521</v>
      </c>
      <c r="K6342" s="13" t="s">
        <v>36</v>
      </c>
      <c r="L6342" s="15" t="s">
        <v>36</v>
      </c>
      <c r="M6342" s="12" t="s">
        <v>36</v>
      </c>
      <c r="N6342" s="12" t="s">
        <v>36</v>
      </c>
      <c r="O6342" s="17" t="s">
        <v>36</v>
      </c>
      <c r="P6342" s="12" t="s">
        <v>36</v>
      </c>
      <c r="Q6342" s="12" t="s">
        <v>36</v>
      </c>
      <c r="R6342" s="12" t="s">
        <v>36</v>
      </c>
      <c r="S6342" s="12" t="s">
        <v>36</v>
      </c>
      <c r="T6342" s="12" t="s">
        <v>3715</v>
      </c>
      <c r="U6342" s="12" t="s">
        <v>318</v>
      </c>
      <c r="V6342" s="12" t="s">
        <v>39</v>
      </c>
      <c r="W6342" s="12" t="s">
        <v>3716</v>
      </c>
      <c r="X6342" s="16" t="s">
        <v>28968</v>
      </c>
      <c r="Y6342" s="15" t="s">
        <v>108</v>
      </c>
      <c r="Z6342" s="14">
        <v>1.06</v>
      </c>
      <c r="AA6342" s="14">
        <v>3.86</v>
      </c>
      <c r="AB6342" s="12" t="s">
        <v>43</v>
      </c>
      <c r="AC6342" s="12" t="s">
        <v>3718</v>
      </c>
      <c r="AD6342" s="13">
        <v>42727</v>
      </c>
      <c r="AE6342" s="12" t="s">
        <v>763</v>
      </c>
      <c r="AF6342" s="12" t="s">
        <v>3719</v>
      </c>
      <c r="AG6342" s="12" t="s">
        <v>186</v>
      </c>
      <c r="AH6342" s="1">
        <f>HYPERLINK("https://my.pitchbook.com?c=121355-02T","View Company Online")</f>
      </c>
    </row>
    <row r="6343">
      <c r="A6343" s="3" t="s">
        <v>28969</v>
      </c>
      <c r="B6343" s="3" t="s">
        <v>28970</v>
      </c>
      <c r="C6343" s="5" t="s">
        <v>36</v>
      </c>
      <c r="D6343" s="5" t="s">
        <v>36</v>
      </c>
      <c r="E6343" s="5" t="s">
        <v>36</v>
      </c>
      <c r="F6343" s="5" t="s">
        <v>36</v>
      </c>
      <c r="G6343" s="6" t="s">
        <v>36</v>
      </c>
      <c r="H6343" s="4">
        <v>114.81</v>
      </c>
      <c r="I6343" s="7">
        <v>33.79</v>
      </c>
      <c r="J6343" s="3" t="s">
        <v>521</v>
      </c>
      <c r="K6343" s="9" t="s">
        <v>36</v>
      </c>
      <c r="L6343" s="6" t="s">
        <v>36</v>
      </c>
      <c r="M6343" s="3" t="s">
        <v>36</v>
      </c>
      <c r="N6343" s="3" t="s">
        <v>36</v>
      </c>
      <c r="O6343" s="8" t="s">
        <v>36</v>
      </c>
      <c r="P6343" s="3" t="s">
        <v>36</v>
      </c>
      <c r="Q6343" s="3" t="s">
        <v>36</v>
      </c>
      <c r="R6343" s="3" t="s">
        <v>36</v>
      </c>
      <c r="S6343" s="3" t="s">
        <v>36</v>
      </c>
      <c r="T6343" s="3" t="s">
        <v>28971</v>
      </c>
      <c r="U6343" s="3" t="s">
        <v>423</v>
      </c>
      <c r="V6343" s="3" t="s">
        <v>64</v>
      </c>
      <c r="W6343" s="3" t="s">
        <v>28972</v>
      </c>
      <c r="X6343" s="10" t="s">
        <v>28973</v>
      </c>
      <c r="Y6343" s="6" t="s">
        <v>42</v>
      </c>
      <c r="Z6343" s="4">
        <v>0.56</v>
      </c>
      <c r="AA6343" s="4">
        <v>1.65</v>
      </c>
      <c r="AB6343" s="3" t="s">
        <v>43</v>
      </c>
      <c r="AC6343" s="3" t="s">
        <v>28974</v>
      </c>
      <c r="AD6343" s="9">
        <v>42726</v>
      </c>
      <c r="AE6343" s="3" t="s">
        <v>1051</v>
      </c>
      <c r="AF6343" s="3" t="s">
        <v>6718</v>
      </c>
      <c r="AG6343" s="3" t="s">
        <v>28975</v>
      </c>
      <c r="AH6343" s="11">
        <f>HYPERLINK("https://my.pitchbook.com?c=126446-23T","View Company Online")</f>
      </c>
    </row>
    <row r="6344">
      <c r="A6344" s="12" t="s">
        <v>28976</v>
      </c>
      <c r="B6344" s="12" t="s">
        <v>24740</v>
      </c>
      <c r="C6344" s="19" t="s">
        <v>36</v>
      </c>
      <c r="D6344" s="19" t="s">
        <v>36</v>
      </c>
      <c r="E6344" s="19" t="s">
        <v>36</v>
      </c>
      <c r="F6344" s="19" t="s">
        <v>36</v>
      </c>
      <c r="G6344" s="15" t="s">
        <v>36</v>
      </c>
      <c r="H6344" s="14">
        <v>32.2</v>
      </c>
      <c r="I6344" s="18">
        <v>20.43</v>
      </c>
      <c r="J6344" s="12" t="s">
        <v>521</v>
      </c>
      <c r="K6344" s="13" t="s">
        <v>36</v>
      </c>
      <c r="L6344" s="15" t="s">
        <v>36</v>
      </c>
      <c r="M6344" s="12" t="s">
        <v>36</v>
      </c>
      <c r="N6344" s="12" t="s">
        <v>36</v>
      </c>
      <c r="O6344" s="17" t="s">
        <v>36</v>
      </c>
      <c r="P6344" s="12" t="s">
        <v>36</v>
      </c>
      <c r="Q6344" s="12" t="s">
        <v>36</v>
      </c>
      <c r="R6344" s="12" t="s">
        <v>36</v>
      </c>
      <c r="S6344" s="12" t="s">
        <v>36</v>
      </c>
      <c r="T6344" s="12" t="s">
        <v>24741</v>
      </c>
      <c r="U6344" s="12" t="s">
        <v>38</v>
      </c>
      <c r="V6344" s="12" t="s">
        <v>39</v>
      </c>
      <c r="W6344" s="12" t="s">
        <v>24742</v>
      </c>
      <c r="X6344" s="16" t="s">
        <v>28977</v>
      </c>
      <c r="Y6344" s="15" t="s">
        <v>108</v>
      </c>
      <c r="Z6344" s="14">
        <v>1.42</v>
      </c>
      <c r="AA6344" s="14">
        <v>6.94</v>
      </c>
      <c r="AB6344" s="12" t="s">
        <v>56</v>
      </c>
      <c r="AC6344" s="12" t="s">
        <v>24744</v>
      </c>
      <c r="AD6344" s="13">
        <v>42726</v>
      </c>
      <c r="AE6344" s="12" t="s">
        <v>1330</v>
      </c>
      <c r="AF6344" s="12" t="s">
        <v>24745</v>
      </c>
      <c r="AG6344" s="12" t="s">
        <v>81</v>
      </c>
      <c r="AH6344" s="1">
        <f>HYPERLINK("https://my.pitchbook.com?c=117633-07T","View Company Online")</f>
      </c>
    </row>
    <row r="6345">
      <c r="A6345" s="3" t="s">
        <v>28978</v>
      </c>
      <c r="B6345" s="3" t="s">
        <v>25057</v>
      </c>
      <c r="C6345" s="5" t="s">
        <v>36</v>
      </c>
      <c r="D6345" s="5" t="s">
        <v>36</v>
      </c>
      <c r="E6345" s="5">
        <v>1</v>
      </c>
      <c r="F6345" s="5">
        <v>2</v>
      </c>
      <c r="G6345" s="6" t="s">
        <v>683</v>
      </c>
      <c r="H6345" s="4">
        <v>12.46</v>
      </c>
      <c r="I6345" s="7">
        <v>31.84</v>
      </c>
      <c r="J6345" s="3" t="s">
        <v>521</v>
      </c>
      <c r="K6345" s="9" t="s">
        <v>36</v>
      </c>
      <c r="L6345" s="6" t="s">
        <v>36</v>
      </c>
      <c r="M6345" s="3" t="s">
        <v>36</v>
      </c>
      <c r="N6345" s="3" t="s">
        <v>36</v>
      </c>
      <c r="O6345" s="8" t="s">
        <v>36</v>
      </c>
      <c r="P6345" s="3" t="s">
        <v>36</v>
      </c>
      <c r="Q6345" s="3" t="s">
        <v>36</v>
      </c>
      <c r="R6345" s="3" t="s">
        <v>36</v>
      </c>
      <c r="S6345" s="3" t="s">
        <v>25058</v>
      </c>
      <c r="T6345" s="3" t="s">
        <v>942</v>
      </c>
      <c r="U6345" s="3" t="s">
        <v>38</v>
      </c>
      <c r="V6345" s="3" t="s">
        <v>39</v>
      </c>
      <c r="W6345" s="3" t="s">
        <v>25059</v>
      </c>
      <c r="X6345" s="10" t="s">
        <v>28979</v>
      </c>
      <c r="Y6345" s="6" t="s">
        <v>192</v>
      </c>
      <c r="Z6345" s="4">
        <v>1.22</v>
      </c>
      <c r="AA6345" s="4">
        <v>3.82</v>
      </c>
      <c r="AB6345" s="3" t="s">
        <v>56</v>
      </c>
      <c r="AC6345" s="3" t="s">
        <v>25061</v>
      </c>
      <c r="AD6345" s="9">
        <v>42725</v>
      </c>
      <c r="AE6345" s="3" t="s">
        <v>45</v>
      </c>
      <c r="AF6345" s="3" t="s">
        <v>25062</v>
      </c>
      <c r="AG6345" s="3" t="s">
        <v>81</v>
      </c>
      <c r="AH6345" s="11">
        <f>HYPERLINK("https://my.pitchbook.com?c=90086-59T","View Company Online")</f>
      </c>
    </row>
    <row r="6346">
      <c r="A6346" s="12" t="s">
        <v>28980</v>
      </c>
      <c r="B6346" s="12" t="s">
        <v>28981</v>
      </c>
      <c r="C6346" s="19" t="s">
        <v>36</v>
      </c>
      <c r="D6346" s="19" t="s">
        <v>36</v>
      </c>
      <c r="E6346" s="19" t="s">
        <v>36</v>
      </c>
      <c r="F6346" s="19" t="s">
        <v>36</v>
      </c>
      <c r="G6346" s="15" t="s">
        <v>326</v>
      </c>
      <c r="H6346" s="14">
        <v>1555.25</v>
      </c>
      <c r="I6346" s="18">
        <v>4</v>
      </c>
      <c r="J6346" s="12" t="s">
        <v>521</v>
      </c>
      <c r="K6346" s="13" t="s">
        <v>36</v>
      </c>
      <c r="L6346" s="15" t="s">
        <v>36</v>
      </c>
      <c r="M6346" s="12" t="s">
        <v>36</v>
      </c>
      <c r="N6346" s="12" t="s">
        <v>36</v>
      </c>
      <c r="O6346" s="17" t="s">
        <v>36</v>
      </c>
      <c r="P6346" s="12" t="s">
        <v>36</v>
      </c>
      <c r="Q6346" s="12" t="s">
        <v>36</v>
      </c>
      <c r="R6346" s="12" t="s">
        <v>36</v>
      </c>
      <c r="S6346" s="12" t="s">
        <v>36</v>
      </c>
      <c r="T6346" s="12" t="s">
        <v>17385</v>
      </c>
      <c r="U6346" s="12" t="s">
        <v>423</v>
      </c>
      <c r="V6346" s="12" t="s">
        <v>64</v>
      </c>
      <c r="W6346" s="12" t="s">
        <v>28982</v>
      </c>
      <c r="X6346" s="16" t="s">
        <v>28983</v>
      </c>
      <c r="Y6346" s="15" t="s">
        <v>42</v>
      </c>
      <c r="Z6346" s="14">
        <v>0.33</v>
      </c>
      <c r="AA6346" s="14">
        <v>8.31</v>
      </c>
      <c r="AB6346" s="12" t="s">
        <v>56</v>
      </c>
      <c r="AC6346" s="12" t="s">
        <v>28984</v>
      </c>
      <c r="AD6346" s="13">
        <v>42724</v>
      </c>
      <c r="AE6346" s="12" t="s">
        <v>562</v>
      </c>
      <c r="AF6346" s="12" t="s">
        <v>18700</v>
      </c>
      <c r="AG6346" s="12" t="s">
        <v>28985</v>
      </c>
      <c r="AH6346" s="1">
        <f>HYPERLINK("https://my.pitchbook.com?c=71839-90T","View Company Online")</f>
      </c>
    </row>
    <row r="6347">
      <c r="A6347" s="3" t="s">
        <v>28986</v>
      </c>
      <c r="B6347" s="3" t="s">
        <v>28987</v>
      </c>
      <c r="C6347" s="5" t="s">
        <v>36</v>
      </c>
      <c r="D6347" s="5" t="s">
        <v>36</v>
      </c>
      <c r="E6347" s="5" t="s">
        <v>36</v>
      </c>
      <c r="F6347" s="5" t="s">
        <v>36</v>
      </c>
      <c r="G6347" s="6" t="s">
        <v>326</v>
      </c>
      <c r="H6347" s="4">
        <v>45.59</v>
      </c>
      <c r="I6347" s="7">
        <v>36.59</v>
      </c>
      <c r="J6347" s="3" t="s">
        <v>521</v>
      </c>
      <c r="K6347" s="9" t="s">
        <v>36</v>
      </c>
      <c r="L6347" s="6" t="s">
        <v>36</v>
      </c>
      <c r="M6347" s="3" t="s">
        <v>36</v>
      </c>
      <c r="N6347" s="3" t="s">
        <v>36</v>
      </c>
      <c r="O6347" s="8" t="s">
        <v>36</v>
      </c>
      <c r="P6347" s="3" t="s">
        <v>36</v>
      </c>
      <c r="Q6347" s="3" t="s">
        <v>36</v>
      </c>
      <c r="R6347" s="3" t="s">
        <v>36</v>
      </c>
      <c r="S6347" s="3" t="s">
        <v>36</v>
      </c>
      <c r="T6347" s="3" t="s">
        <v>4361</v>
      </c>
      <c r="U6347" s="3" t="s">
        <v>648</v>
      </c>
      <c r="V6347" s="3" t="s">
        <v>64</v>
      </c>
      <c r="W6347" s="3" t="s">
        <v>28988</v>
      </c>
      <c r="X6347" s="10" t="s">
        <v>28989</v>
      </c>
      <c r="Y6347" s="6" t="s">
        <v>42</v>
      </c>
      <c r="Z6347" s="4">
        <v>1.55</v>
      </c>
      <c r="AA6347" s="4">
        <v>4.24</v>
      </c>
      <c r="AB6347" s="3" t="s">
        <v>43</v>
      </c>
      <c r="AC6347" s="3" t="s">
        <v>28990</v>
      </c>
      <c r="AD6347" s="9">
        <v>42724</v>
      </c>
      <c r="AE6347" s="3" t="s">
        <v>651</v>
      </c>
      <c r="AF6347" s="3" t="s">
        <v>25398</v>
      </c>
      <c r="AG6347" s="3" t="s">
        <v>81</v>
      </c>
      <c r="AH6347" s="11">
        <f>HYPERLINK("https://my.pitchbook.com?c=128453-86T","View Company Online")</f>
      </c>
    </row>
    <row r="6348">
      <c r="A6348" s="12" t="s">
        <v>28991</v>
      </c>
      <c r="B6348" s="12" t="s">
        <v>28992</v>
      </c>
      <c r="C6348" s="19">
        <v>2</v>
      </c>
      <c r="D6348" s="19">
        <v>4</v>
      </c>
      <c r="E6348" s="19">
        <v>2</v>
      </c>
      <c r="F6348" s="19">
        <v>8</v>
      </c>
      <c r="G6348" s="15" t="s">
        <v>36</v>
      </c>
      <c r="H6348" s="14" t="s">
        <v>36</v>
      </c>
      <c r="I6348" s="18" t="s">
        <v>36</v>
      </c>
      <c r="J6348" s="12" t="s">
        <v>36</v>
      </c>
      <c r="K6348" s="13" t="s">
        <v>36</v>
      </c>
      <c r="L6348" s="15" t="s">
        <v>36</v>
      </c>
      <c r="M6348" s="12" t="s">
        <v>36</v>
      </c>
      <c r="N6348" s="12" t="s">
        <v>36</v>
      </c>
      <c r="O6348" s="17" t="s">
        <v>36</v>
      </c>
      <c r="P6348" s="12" t="s">
        <v>36</v>
      </c>
      <c r="Q6348" s="12" t="s">
        <v>36</v>
      </c>
      <c r="R6348" s="12" t="s">
        <v>36</v>
      </c>
      <c r="S6348" s="12" t="s">
        <v>36</v>
      </c>
      <c r="T6348" s="12" t="s">
        <v>588</v>
      </c>
      <c r="U6348" s="12" t="s">
        <v>318</v>
      </c>
      <c r="V6348" s="12" t="s">
        <v>39</v>
      </c>
      <c r="W6348" s="12" t="s">
        <v>28993</v>
      </c>
      <c r="X6348" s="16" t="s">
        <v>28994</v>
      </c>
      <c r="Y6348" s="15" t="s">
        <v>55</v>
      </c>
      <c r="Z6348" s="14">
        <v>1</v>
      </c>
      <c r="AA6348" s="14" t="s">
        <v>36</v>
      </c>
      <c r="AB6348" s="12" t="s">
        <v>43</v>
      </c>
      <c r="AC6348" s="12" t="s">
        <v>28995</v>
      </c>
      <c r="AD6348" s="13">
        <v>42724</v>
      </c>
      <c r="AE6348" s="12" t="s">
        <v>417</v>
      </c>
      <c r="AF6348" s="12" t="s">
        <v>28996</v>
      </c>
      <c r="AG6348" s="12" t="s">
        <v>969</v>
      </c>
      <c r="AH6348" s="1">
        <f>HYPERLINK("https://my.pitchbook.com?c=114368-32T","View Company Online")</f>
      </c>
    </row>
    <row r="6349">
      <c r="A6349" s="3" t="s">
        <v>28997</v>
      </c>
      <c r="B6349" s="3" t="s">
        <v>26098</v>
      </c>
      <c r="C6349" s="5" t="s">
        <v>36</v>
      </c>
      <c r="D6349" s="5" t="s">
        <v>36</v>
      </c>
      <c r="E6349" s="5" t="s">
        <v>36</v>
      </c>
      <c r="F6349" s="5" t="s">
        <v>36</v>
      </c>
      <c r="G6349" s="6" t="s">
        <v>36</v>
      </c>
      <c r="H6349" s="4">
        <v>72.7</v>
      </c>
      <c r="I6349" s="7">
        <v>25</v>
      </c>
      <c r="J6349" s="3" t="s">
        <v>521</v>
      </c>
      <c r="K6349" s="9" t="s">
        <v>36</v>
      </c>
      <c r="L6349" s="6" t="s">
        <v>36</v>
      </c>
      <c r="M6349" s="3" t="s">
        <v>36</v>
      </c>
      <c r="N6349" s="3" t="s">
        <v>36</v>
      </c>
      <c r="O6349" s="8" t="s">
        <v>36</v>
      </c>
      <c r="P6349" s="3" t="s">
        <v>36</v>
      </c>
      <c r="Q6349" s="3" t="s">
        <v>36</v>
      </c>
      <c r="R6349" s="3" t="s">
        <v>36</v>
      </c>
      <c r="S6349" s="3" t="s">
        <v>36</v>
      </c>
      <c r="T6349" s="3" t="s">
        <v>26099</v>
      </c>
      <c r="U6349" s="3" t="s">
        <v>63</v>
      </c>
      <c r="V6349" s="3" t="s">
        <v>64</v>
      </c>
      <c r="W6349" s="3" t="s">
        <v>26100</v>
      </c>
      <c r="X6349" s="10" t="s">
        <v>1840</v>
      </c>
      <c r="Y6349" s="6" t="s">
        <v>42</v>
      </c>
      <c r="Z6349" s="4">
        <v>0.99</v>
      </c>
      <c r="AA6349" s="4">
        <v>3.95</v>
      </c>
      <c r="AB6349" s="3" t="s">
        <v>43</v>
      </c>
      <c r="AC6349" s="3" t="s">
        <v>26102</v>
      </c>
      <c r="AD6349" s="9">
        <v>42724</v>
      </c>
      <c r="AE6349" s="3" t="s">
        <v>642</v>
      </c>
      <c r="AF6349" s="3" t="s">
        <v>36</v>
      </c>
      <c r="AG6349" s="3" t="s">
        <v>400</v>
      </c>
      <c r="AH6349" s="11">
        <f>HYPERLINK("https://my.pitchbook.com?c=122911-84T","View Company Online")</f>
      </c>
    </row>
    <row r="6350">
      <c r="A6350" s="12" t="s">
        <v>28998</v>
      </c>
      <c r="B6350" s="12" t="s">
        <v>28999</v>
      </c>
      <c r="C6350" s="19" t="s">
        <v>36</v>
      </c>
      <c r="D6350" s="19" t="s">
        <v>36</v>
      </c>
      <c r="E6350" s="19" t="s">
        <v>36</v>
      </c>
      <c r="F6350" s="19" t="s">
        <v>36</v>
      </c>
      <c r="G6350" s="15" t="s">
        <v>36</v>
      </c>
      <c r="H6350" s="14">
        <v>525</v>
      </c>
      <c r="I6350" s="18">
        <v>20.76</v>
      </c>
      <c r="J6350" s="12" t="s">
        <v>521</v>
      </c>
      <c r="K6350" s="13" t="s">
        <v>36</v>
      </c>
      <c r="L6350" s="15" t="s">
        <v>36</v>
      </c>
      <c r="M6350" s="12" t="s">
        <v>36</v>
      </c>
      <c r="N6350" s="12" t="s">
        <v>36</v>
      </c>
      <c r="O6350" s="17" t="s">
        <v>36</v>
      </c>
      <c r="P6350" s="12" t="s">
        <v>36</v>
      </c>
      <c r="Q6350" s="12" t="s">
        <v>36</v>
      </c>
      <c r="R6350" s="12" t="s">
        <v>36</v>
      </c>
      <c r="S6350" s="12" t="s">
        <v>36</v>
      </c>
      <c r="T6350" s="12" t="s">
        <v>29000</v>
      </c>
      <c r="U6350" s="12" t="s">
        <v>1580</v>
      </c>
      <c r="V6350" s="12" t="s">
        <v>39</v>
      </c>
      <c r="W6350" s="12" t="s">
        <v>29001</v>
      </c>
      <c r="X6350" s="16" t="s">
        <v>29002</v>
      </c>
      <c r="Y6350" s="15" t="s">
        <v>42</v>
      </c>
      <c r="Z6350" s="14">
        <v>0.28</v>
      </c>
      <c r="AA6350" s="14">
        <v>1.33</v>
      </c>
      <c r="AB6350" s="12" t="s">
        <v>43</v>
      </c>
      <c r="AC6350" s="12" t="s">
        <v>29003</v>
      </c>
      <c r="AD6350" s="13">
        <v>42722</v>
      </c>
      <c r="AE6350" s="12" t="s">
        <v>4086</v>
      </c>
      <c r="AF6350" s="12" t="s">
        <v>1969</v>
      </c>
      <c r="AG6350" s="12" t="s">
        <v>2636</v>
      </c>
      <c r="AH6350" s="1">
        <f>HYPERLINK("https://my.pitchbook.com?c=123743-17T","View Company Online")</f>
      </c>
    </row>
    <row r="6351">
      <c r="A6351" s="3" t="s">
        <v>29004</v>
      </c>
      <c r="B6351" s="3" t="s">
        <v>29005</v>
      </c>
      <c r="C6351" s="5" t="s">
        <v>36</v>
      </c>
      <c r="D6351" s="5" t="s">
        <v>36</v>
      </c>
      <c r="E6351" s="5" t="s">
        <v>36</v>
      </c>
      <c r="F6351" s="5" t="s">
        <v>36</v>
      </c>
      <c r="G6351" s="6" t="s">
        <v>36</v>
      </c>
      <c r="H6351" s="4">
        <v>35.89</v>
      </c>
      <c r="I6351" s="7">
        <v>20.63</v>
      </c>
      <c r="J6351" s="3" t="s">
        <v>521</v>
      </c>
      <c r="K6351" s="9" t="s">
        <v>36</v>
      </c>
      <c r="L6351" s="6" t="s">
        <v>36</v>
      </c>
      <c r="M6351" s="3" t="s">
        <v>36</v>
      </c>
      <c r="N6351" s="3" t="s">
        <v>36</v>
      </c>
      <c r="O6351" s="8" t="s">
        <v>36</v>
      </c>
      <c r="P6351" s="3" t="s">
        <v>36</v>
      </c>
      <c r="Q6351" s="3" t="s">
        <v>36</v>
      </c>
      <c r="R6351" s="3" t="s">
        <v>36</v>
      </c>
      <c r="S6351" s="3" t="s">
        <v>36</v>
      </c>
      <c r="T6351" s="3" t="s">
        <v>29006</v>
      </c>
      <c r="U6351" s="3" t="s">
        <v>289</v>
      </c>
      <c r="V6351" s="3" t="s">
        <v>64</v>
      </c>
      <c r="W6351" s="3" t="s">
        <v>29007</v>
      </c>
      <c r="X6351" s="10" t="s">
        <v>29008</v>
      </c>
      <c r="Y6351" s="6" t="s">
        <v>192</v>
      </c>
      <c r="Z6351" s="4">
        <v>1.7</v>
      </c>
      <c r="AA6351" s="4">
        <v>6.68</v>
      </c>
      <c r="AB6351" s="3" t="s">
        <v>43</v>
      </c>
      <c r="AC6351" s="3" t="s">
        <v>29009</v>
      </c>
      <c r="AD6351" s="9">
        <v>42720</v>
      </c>
      <c r="AE6351" s="3" t="s">
        <v>292</v>
      </c>
      <c r="AF6351" s="3" t="s">
        <v>2343</v>
      </c>
      <c r="AG6351" s="3" t="s">
        <v>81</v>
      </c>
      <c r="AH6351" s="11">
        <f>HYPERLINK("https://my.pitchbook.com?c=102622-33T","View Company Online")</f>
      </c>
    </row>
    <row r="6352">
      <c r="A6352" s="12" t="s">
        <v>29010</v>
      </c>
      <c r="B6352" s="12" t="s">
        <v>23287</v>
      </c>
      <c r="C6352" s="19" t="s">
        <v>36</v>
      </c>
      <c r="D6352" s="19" t="s">
        <v>36</v>
      </c>
      <c r="E6352" s="19" t="s">
        <v>36</v>
      </c>
      <c r="F6352" s="19" t="s">
        <v>36</v>
      </c>
      <c r="G6352" s="15" t="s">
        <v>36</v>
      </c>
      <c r="H6352" s="14" t="s">
        <v>36</v>
      </c>
      <c r="I6352" s="18" t="s">
        <v>36</v>
      </c>
      <c r="J6352" s="12" t="s">
        <v>36</v>
      </c>
      <c r="K6352" s="13" t="s">
        <v>36</v>
      </c>
      <c r="L6352" s="15" t="s">
        <v>122</v>
      </c>
      <c r="M6352" s="12" t="s">
        <v>36</v>
      </c>
      <c r="N6352" s="12" t="s">
        <v>122</v>
      </c>
      <c r="O6352" s="17" t="s">
        <v>36</v>
      </c>
      <c r="P6352" s="12" t="s">
        <v>36</v>
      </c>
      <c r="Q6352" s="12" t="s">
        <v>36</v>
      </c>
      <c r="R6352" s="12" t="s">
        <v>36</v>
      </c>
      <c r="S6352" s="12" t="s">
        <v>36</v>
      </c>
      <c r="T6352" s="12" t="s">
        <v>12788</v>
      </c>
      <c r="U6352" s="12" t="s">
        <v>180</v>
      </c>
      <c r="V6352" s="12" t="s">
        <v>52</v>
      </c>
      <c r="W6352" s="12" t="s">
        <v>23288</v>
      </c>
      <c r="X6352" s="16" t="s">
        <v>22868</v>
      </c>
      <c r="Y6352" s="15" t="s">
        <v>42</v>
      </c>
      <c r="Z6352" s="14">
        <v>5.3</v>
      </c>
      <c r="AA6352" s="14" t="s">
        <v>36</v>
      </c>
      <c r="AB6352" s="12" t="s">
        <v>43</v>
      </c>
      <c r="AC6352" s="12" t="s">
        <v>23289</v>
      </c>
      <c r="AD6352" s="13">
        <v>42720</v>
      </c>
      <c r="AE6352" s="12" t="s">
        <v>8291</v>
      </c>
      <c r="AF6352" s="12" t="s">
        <v>101</v>
      </c>
      <c r="AG6352" s="12" t="s">
        <v>81</v>
      </c>
      <c r="AH6352" s="1">
        <f>HYPERLINK("https://my.pitchbook.com?c=113553-82T","View Company Online")</f>
      </c>
    </row>
    <row r="6353">
      <c r="A6353" s="3" t="s">
        <v>29011</v>
      </c>
      <c r="B6353" s="3" t="s">
        <v>15037</v>
      </c>
      <c r="C6353" s="5">
        <v>44</v>
      </c>
      <c r="D6353" s="5">
        <v>72</v>
      </c>
      <c r="E6353" s="5">
        <v>25</v>
      </c>
      <c r="F6353" s="5">
        <v>118</v>
      </c>
      <c r="G6353" s="6" t="s">
        <v>36</v>
      </c>
      <c r="H6353" s="4" t="s">
        <v>36</v>
      </c>
      <c r="I6353" s="7" t="s">
        <v>36</v>
      </c>
      <c r="J6353" s="3" t="s">
        <v>36</v>
      </c>
      <c r="K6353" s="9" t="s">
        <v>36</v>
      </c>
      <c r="L6353" s="6" t="s">
        <v>122</v>
      </c>
      <c r="M6353" s="3" t="s">
        <v>36</v>
      </c>
      <c r="N6353" s="3" t="s">
        <v>122</v>
      </c>
      <c r="O6353" s="8" t="s">
        <v>36</v>
      </c>
      <c r="P6353" s="3" t="s">
        <v>36</v>
      </c>
      <c r="Q6353" s="3" t="s">
        <v>36</v>
      </c>
      <c r="R6353" s="3" t="s">
        <v>36</v>
      </c>
      <c r="S6353" s="3" t="s">
        <v>36</v>
      </c>
      <c r="T6353" s="3" t="s">
        <v>492</v>
      </c>
      <c r="U6353" s="3" t="s">
        <v>96</v>
      </c>
      <c r="V6353" s="3" t="s">
        <v>52</v>
      </c>
      <c r="W6353" s="3" t="s">
        <v>15038</v>
      </c>
      <c r="X6353" s="10" t="s">
        <v>29012</v>
      </c>
      <c r="Y6353" s="6" t="s">
        <v>42</v>
      </c>
      <c r="Z6353" s="4">
        <v>0.05</v>
      </c>
      <c r="AA6353" s="4" t="s">
        <v>36</v>
      </c>
      <c r="AB6353" s="3" t="s">
        <v>43</v>
      </c>
      <c r="AC6353" s="3" t="s">
        <v>15040</v>
      </c>
      <c r="AD6353" s="9">
        <v>42720</v>
      </c>
      <c r="AE6353" s="3" t="s">
        <v>496</v>
      </c>
      <c r="AF6353" s="3" t="s">
        <v>15041</v>
      </c>
      <c r="AG6353" s="3" t="s">
        <v>652</v>
      </c>
      <c r="AH6353" s="11">
        <f>HYPERLINK("https://my.pitchbook.com?c=106857-55T","View Company Online")</f>
      </c>
    </row>
    <row r="6354">
      <c r="A6354" s="12" t="s">
        <v>29013</v>
      </c>
      <c r="B6354" s="12" t="s">
        <v>12746</v>
      </c>
      <c r="C6354" s="19" t="s">
        <v>36</v>
      </c>
      <c r="D6354" s="19" t="s">
        <v>36</v>
      </c>
      <c r="E6354" s="19" t="s">
        <v>36</v>
      </c>
      <c r="F6354" s="19" t="s">
        <v>36</v>
      </c>
      <c r="G6354" s="15" t="s">
        <v>36</v>
      </c>
      <c r="H6354" s="14" t="s">
        <v>36</v>
      </c>
      <c r="I6354" s="18" t="s">
        <v>36</v>
      </c>
      <c r="J6354" s="12" t="s">
        <v>36</v>
      </c>
      <c r="K6354" s="13">
        <v>42486</v>
      </c>
      <c r="L6354" s="15" t="s">
        <v>36</v>
      </c>
      <c r="M6354" s="12" t="s">
        <v>36</v>
      </c>
      <c r="N6354" s="12" t="s">
        <v>36</v>
      </c>
      <c r="O6354" s="17" t="s">
        <v>36</v>
      </c>
      <c r="P6354" s="12" t="s">
        <v>36</v>
      </c>
      <c r="Q6354" s="12" t="s">
        <v>36</v>
      </c>
      <c r="R6354" s="12" t="s">
        <v>36</v>
      </c>
      <c r="S6354" s="12" t="s">
        <v>36</v>
      </c>
      <c r="T6354" s="12" t="s">
        <v>12747</v>
      </c>
      <c r="U6354" s="12" t="s">
        <v>648</v>
      </c>
      <c r="V6354" s="12" t="s">
        <v>64</v>
      </c>
      <c r="W6354" s="12" t="s">
        <v>12748</v>
      </c>
      <c r="X6354" s="16" t="s">
        <v>29014</v>
      </c>
      <c r="Y6354" s="15" t="s">
        <v>108</v>
      </c>
      <c r="Z6354" s="14">
        <v>2.12</v>
      </c>
      <c r="AA6354" s="14" t="s">
        <v>36</v>
      </c>
      <c r="AB6354" s="12" t="s">
        <v>43</v>
      </c>
      <c r="AC6354" s="12" t="s">
        <v>12750</v>
      </c>
      <c r="AD6354" s="13">
        <v>42720</v>
      </c>
      <c r="AE6354" s="12" t="s">
        <v>651</v>
      </c>
      <c r="AF6354" s="12" t="s">
        <v>546</v>
      </c>
      <c r="AG6354" s="12" t="s">
        <v>12751</v>
      </c>
      <c r="AH6354" s="1">
        <f>HYPERLINK("https://my.pitchbook.com?c=69416-47T","View Company Online")</f>
      </c>
    </row>
    <row r="6355">
      <c r="A6355" s="3" t="s">
        <v>29015</v>
      </c>
      <c r="B6355" s="3" t="s">
        <v>29016</v>
      </c>
      <c r="C6355" s="5" t="s">
        <v>36</v>
      </c>
      <c r="D6355" s="5" t="s">
        <v>36</v>
      </c>
      <c r="E6355" s="5" t="s">
        <v>36</v>
      </c>
      <c r="F6355" s="5" t="s">
        <v>36</v>
      </c>
      <c r="G6355" s="6" t="s">
        <v>36</v>
      </c>
      <c r="H6355" s="4">
        <v>83.09</v>
      </c>
      <c r="I6355" s="7">
        <v>30.43</v>
      </c>
      <c r="J6355" s="3" t="s">
        <v>327</v>
      </c>
      <c r="K6355" s="9" t="s">
        <v>36</v>
      </c>
      <c r="L6355" s="6" t="s">
        <v>36</v>
      </c>
      <c r="M6355" s="3" t="s">
        <v>36</v>
      </c>
      <c r="N6355" s="3" t="s">
        <v>36</v>
      </c>
      <c r="O6355" s="8" t="s">
        <v>36</v>
      </c>
      <c r="P6355" s="3" t="s">
        <v>36</v>
      </c>
      <c r="Q6355" s="3" t="s">
        <v>36</v>
      </c>
      <c r="R6355" s="3" t="s">
        <v>36</v>
      </c>
      <c r="S6355" s="3" t="s">
        <v>36</v>
      </c>
      <c r="T6355" s="3" t="s">
        <v>29017</v>
      </c>
      <c r="U6355" s="3" t="s">
        <v>438</v>
      </c>
      <c r="V6355" s="3" t="s">
        <v>405</v>
      </c>
      <c r="W6355" s="3" t="s">
        <v>29018</v>
      </c>
      <c r="X6355" s="10" t="s">
        <v>29019</v>
      </c>
      <c r="Y6355" s="6" t="s">
        <v>42</v>
      </c>
      <c r="Z6355" s="4">
        <v>1.86</v>
      </c>
      <c r="AA6355" s="4">
        <v>6.1</v>
      </c>
      <c r="AB6355" s="3" t="s">
        <v>43</v>
      </c>
      <c r="AC6355" s="3" t="s">
        <v>29020</v>
      </c>
      <c r="AD6355" s="9">
        <v>42720</v>
      </c>
      <c r="AE6355" s="3" t="s">
        <v>10018</v>
      </c>
      <c r="AF6355" s="3" t="s">
        <v>7466</v>
      </c>
      <c r="AG6355" s="3" t="s">
        <v>81</v>
      </c>
      <c r="AH6355" s="11">
        <f>HYPERLINK("https://my.pitchbook.com?c=88146-82T","View Company Online")</f>
      </c>
    </row>
    <row r="6356">
      <c r="A6356" s="12" t="s">
        <v>29021</v>
      </c>
      <c r="B6356" s="12" t="s">
        <v>29022</v>
      </c>
      <c r="C6356" s="19" t="s">
        <v>36</v>
      </c>
      <c r="D6356" s="19" t="s">
        <v>36</v>
      </c>
      <c r="E6356" s="19" t="s">
        <v>36</v>
      </c>
      <c r="F6356" s="19" t="s">
        <v>36</v>
      </c>
      <c r="G6356" s="15" t="s">
        <v>683</v>
      </c>
      <c r="H6356" s="14">
        <v>35.12</v>
      </c>
      <c r="I6356" s="18">
        <v>11.39</v>
      </c>
      <c r="J6356" s="12" t="s">
        <v>521</v>
      </c>
      <c r="K6356" s="13" t="s">
        <v>36</v>
      </c>
      <c r="L6356" s="15" t="s">
        <v>36</v>
      </c>
      <c r="M6356" s="12" t="s">
        <v>36</v>
      </c>
      <c r="N6356" s="12" t="s">
        <v>36</v>
      </c>
      <c r="O6356" s="17" t="s">
        <v>36</v>
      </c>
      <c r="P6356" s="12" t="s">
        <v>36</v>
      </c>
      <c r="Q6356" s="12" t="s">
        <v>36</v>
      </c>
      <c r="R6356" s="12" t="s">
        <v>36</v>
      </c>
      <c r="S6356" s="12" t="s">
        <v>36</v>
      </c>
      <c r="T6356" s="12" t="s">
        <v>29023</v>
      </c>
      <c r="U6356" s="12" t="s">
        <v>833</v>
      </c>
      <c r="V6356" s="12" t="s">
        <v>64</v>
      </c>
      <c r="W6356" s="12" t="s">
        <v>29024</v>
      </c>
      <c r="X6356" s="16" t="s">
        <v>29025</v>
      </c>
      <c r="Y6356" s="15" t="s">
        <v>55</v>
      </c>
      <c r="Z6356" s="14">
        <v>0.29</v>
      </c>
      <c r="AA6356" s="14">
        <v>2.55</v>
      </c>
      <c r="AB6356" s="12" t="s">
        <v>43</v>
      </c>
      <c r="AC6356" s="12" t="s">
        <v>29026</v>
      </c>
      <c r="AD6356" s="13">
        <v>42719</v>
      </c>
      <c r="AE6356" s="12" t="s">
        <v>3615</v>
      </c>
      <c r="AF6356" s="12" t="s">
        <v>29027</v>
      </c>
      <c r="AG6356" s="12" t="s">
        <v>102</v>
      </c>
      <c r="AH6356" s="1">
        <f>HYPERLINK("https://my.pitchbook.com?c=117715-42T","View Company Online")</f>
      </c>
    </row>
    <row r="6357">
      <c r="A6357" s="3" t="s">
        <v>29028</v>
      </c>
      <c r="B6357" s="3" t="s">
        <v>26180</v>
      </c>
      <c r="C6357" s="5" t="s">
        <v>36</v>
      </c>
      <c r="D6357" s="5" t="s">
        <v>36</v>
      </c>
      <c r="E6357" s="5" t="s">
        <v>36</v>
      </c>
      <c r="F6357" s="5" t="s">
        <v>36</v>
      </c>
      <c r="G6357" s="6" t="s">
        <v>36</v>
      </c>
      <c r="H6357" s="4">
        <v>25.69</v>
      </c>
      <c r="I6357" s="7">
        <v>40.26</v>
      </c>
      <c r="J6357" s="3" t="s">
        <v>327</v>
      </c>
      <c r="K6357" s="9" t="s">
        <v>36</v>
      </c>
      <c r="L6357" s="6" t="s">
        <v>36</v>
      </c>
      <c r="M6357" s="3" t="s">
        <v>36</v>
      </c>
      <c r="N6357" s="3" t="s">
        <v>36</v>
      </c>
      <c r="O6357" s="8" t="s">
        <v>36</v>
      </c>
      <c r="P6357" s="3" t="s">
        <v>36</v>
      </c>
      <c r="Q6357" s="3" t="s">
        <v>36</v>
      </c>
      <c r="R6357" s="3" t="s">
        <v>36</v>
      </c>
      <c r="S6357" s="3" t="s">
        <v>36</v>
      </c>
      <c r="T6357" s="3" t="s">
        <v>3397</v>
      </c>
      <c r="U6357" s="3" t="s">
        <v>423</v>
      </c>
      <c r="V6357" s="3" t="s">
        <v>64</v>
      </c>
      <c r="W6357" s="3" t="s">
        <v>26181</v>
      </c>
      <c r="X6357" s="10" t="s">
        <v>29029</v>
      </c>
      <c r="Y6357" s="6" t="s">
        <v>42</v>
      </c>
      <c r="Z6357" s="4">
        <v>3.18</v>
      </c>
      <c r="AA6357" s="4">
        <v>7.91</v>
      </c>
      <c r="AB6357" s="3" t="s">
        <v>43</v>
      </c>
      <c r="AC6357" s="3" t="s">
        <v>26183</v>
      </c>
      <c r="AD6357" s="9">
        <v>42719</v>
      </c>
      <c r="AE6357" s="3" t="s">
        <v>562</v>
      </c>
      <c r="AF6357" s="3" t="s">
        <v>90</v>
      </c>
      <c r="AG6357" s="3" t="s">
        <v>26184</v>
      </c>
      <c r="AH6357" s="11">
        <f>HYPERLINK("https://my.pitchbook.com?c=88449-13T","View Company Online")</f>
      </c>
    </row>
    <row r="6358">
      <c r="A6358" s="12" t="s">
        <v>29030</v>
      </c>
      <c r="B6358" s="12" t="s">
        <v>4647</v>
      </c>
      <c r="C6358" s="19" t="s">
        <v>36</v>
      </c>
      <c r="D6358" s="19" t="s">
        <v>36</v>
      </c>
      <c r="E6358" s="19" t="s">
        <v>36</v>
      </c>
      <c r="F6358" s="19" t="s">
        <v>36</v>
      </c>
      <c r="G6358" s="15" t="s">
        <v>326</v>
      </c>
      <c r="H6358" s="14">
        <v>911.24</v>
      </c>
      <c r="I6358" s="18">
        <v>25.55</v>
      </c>
      <c r="J6358" s="12" t="s">
        <v>521</v>
      </c>
      <c r="K6358" s="13" t="s">
        <v>36</v>
      </c>
      <c r="L6358" s="15" t="s">
        <v>94</v>
      </c>
      <c r="M6358" s="12" t="s">
        <v>36</v>
      </c>
      <c r="N6358" s="12" t="s">
        <v>94</v>
      </c>
      <c r="O6358" s="17" t="s">
        <v>36</v>
      </c>
      <c r="P6358" s="12" t="s">
        <v>36</v>
      </c>
      <c r="Q6358" s="12" t="s">
        <v>36</v>
      </c>
      <c r="R6358" s="12" t="s">
        <v>36</v>
      </c>
      <c r="S6358" s="12" t="s">
        <v>36</v>
      </c>
      <c r="T6358" s="12" t="s">
        <v>4648</v>
      </c>
      <c r="U6358" s="12" t="s">
        <v>74</v>
      </c>
      <c r="V6358" s="12" t="s">
        <v>75</v>
      </c>
      <c r="W6358" s="12" t="s">
        <v>4649</v>
      </c>
      <c r="X6358" s="16" t="s">
        <v>29031</v>
      </c>
      <c r="Y6358" s="15" t="s">
        <v>55</v>
      </c>
      <c r="Z6358" s="14">
        <v>5.31</v>
      </c>
      <c r="AA6358" s="14">
        <v>20.76</v>
      </c>
      <c r="AB6358" s="12" t="s">
        <v>43</v>
      </c>
      <c r="AC6358" s="12" t="s">
        <v>4650</v>
      </c>
      <c r="AD6358" s="13">
        <v>42719</v>
      </c>
      <c r="AE6358" s="12" t="s">
        <v>362</v>
      </c>
      <c r="AF6358" s="12" t="s">
        <v>4651</v>
      </c>
      <c r="AG6358" s="12" t="s">
        <v>81</v>
      </c>
      <c r="AH6358" s="1">
        <f>HYPERLINK("https://my.pitchbook.com?c=79946-11T","View Company Online")</f>
      </c>
    </row>
    <row r="6359">
      <c r="A6359" s="3" t="s">
        <v>29032</v>
      </c>
      <c r="B6359" s="3" t="s">
        <v>25465</v>
      </c>
      <c r="C6359" s="5" t="s">
        <v>36</v>
      </c>
      <c r="D6359" s="5" t="s">
        <v>36</v>
      </c>
      <c r="E6359" s="5" t="s">
        <v>36</v>
      </c>
      <c r="F6359" s="5" t="s">
        <v>36</v>
      </c>
      <c r="G6359" s="6" t="s">
        <v>326</v>
      </c>
      <c r="H6359" s="4">
        <v>531.09</v>
      </c>
      <c r="I6359" s="7">
        <v>35.97</v>
      </c>
      <c r="J6359" s="3" t="s">
        <v>521</v>
      </c>
      <c r="K6359" s="9" t="s">
        <v>36</v>
      </c>
      <c r="L6359" s="6" t="s">
        <v>122</v>
      </c>
      <c r="M6359" s="3" t="s">
        <v>36</v>
      </c>
      <c r="N6359" s="3" t="s">
        <v>122</v>
      </c>
      <c r="O6359" s="8" t="s">
        <v>36</v>
      </c>
      <c r="P6359" s="3" t="s">
        <v>36</v>
      </c>
      <c r="Q6359" s="3" t="s">
        <v>36</v>
      </c>
      <c r="R6359" s="3" t="s">
        <v>36</v>
      </c>
      <c r="S6359" s="3" t="s">
        <v>36</v>
      </c>
      <c r="T6359" s="3" t="s">
        <v>16221</v>
      </c>
      <c r="U6359" s="3" t="s">
        <v>38</v>
      </c>
      <c r="V6359" s="3" t="s">
        <v>39</v>
      </c>
      <c r="W6359" s="3" t="s">
        <v>25466</v>
      </c>
      <c r="X6359" s="10" t="s">
        <v>29033</v>
      </c>
      <c r="Y6359" s="6" t="s">
        <v>55</v>
      </c>
      <c r="Z6359" s="4">
        <v>5.3</v>
      </c>
      <c r="AA6359" s="4">
        <v>14.74</v>
      </c>
      <c r="AB6359" s="3" t="s">
        <v>43</v>
      </c>
      <c r="AC6359" s="3" t="s">
        <v>25468</v>
      </c>
      <c r="AD6359" s="9">
        <v>42719</v>
      </c>
      <c r="AE6359" s="3" t="s">
        <v>110</v>
      </c>
      <c r="AF6359" s="3" t="s">
        <v>4552</v>
      </c>
      <c r="AG6359" s="3" t="s">
        <v>81</v>
      </c>
      <c r="AH6359" s="11">
        <f>HYPERLINK("https://my.pitchbook.com?c=77526-01T","View Company Online")</f>
      </c>
    </row>
    <row r="6360">
      <c r="A6360" s="12" t="s">
        <v>29034</v>
      </c>
      <c r="B6360" s="12" t="s">
        <v>29035</v>
      </c>
      <c r="C6360" s="19" t="s">
        <v>36</v>
      </c>
      <c r="D6360" s="19" t="s">
        <v>36</v>
      </c>
      <c r="E6360" s="19" t="s">
        <v>36</v>
      </c>
      <c r="F6360" s="19" t="s">
        <v>36</v>
      </c>
      <c r="G6360" s="15" t="s">
        <v>36</v>
      </c>
      <c r="H6360" s="14" t="s">
        <v>36</v>
      </c>
      <c r="I6360" s="18" t="s">
        <v>36</v>
      </c>
      <c r="J6360" s="12" t="s">
        <v>36</v>
      </c>
      <c r="K6360" s="13" t="s">
        <v>36</v>
      </c>
      <c r="L6360" s="15" t="s">
        <v>36</v>
      </c>
      <c r="M6360" s="12" t="s">
        <v>36</v>
      </c>
      <c r="N6360" s="12" t="s">
        <v>36</v>
      </c>
      <c r="O6360" s="17" t="s">
        <v>36</v>
      </c>
      <c r="P6360" s="12" t="s">
        <v>36</v>
      </c>
      <c r="Q6360" s="12" t="s">
        <v>36</v>
      </c>
      <c r="R6360" s="12" t="s">
        <v>36</v>
      </c>
      <c r="S6360" s="12" t="s">
        <v>36</v>
      </c>
      <c r="T6360" s="12" t="s">
        <v>29036</v>
      </c>
      <c r="U6360" s="12" t="s">
        <v>38</v>
      </c>
      <c r="V6360" s="12" t="s">
        <v>39</v>
      </c>
      <c r="W6360" s="12" t="s">
        <v>29037</v>
      </c>
      <c r="X6360" s="16" t="s">
        <v>29038</v>
      </c>
      <c r="Y6360" s="15" t="s">
        <v>42</v>
      </c>
      <c r="Z6360" s="14">
        <v>0.85</v>
      </c>
      <c r="AA6360" s="14" t="s">
        <v>36</v>
      </c>
      <c r="AB6360" s="12" t="s">
        <v>43</v>
      </c>
      <c r="AC6360" s="12" t="s">
        <v>29039</v>
      </c>
      <c r="AD6360" s="13">
        <v>42719</v>
      </c>
      <c r="AE6360" s="12" t="s">
        <v>45</v>
      </c>
      <c r="AF6360" s="12" t="s">
        <v>29040</v>
      </c>
      <c r="AG6360" s="12" t="s">
        <v>373</v>
      </c>
      <c r="AH6360" s="1">
        <f>HYPERLINK("https://my.pitchbook.com?c=88162-75T","View Company Online")</f>
      </c>
    </row>
    <row r="6361">
      <c r="A6361" s="3" t="s">
        <v>29041</v>
      </c>
      <c r="B6361" s="3" t="s">
        <v>29042</v>
      </c>
      <c r="C6361" s="5" t="s">
        <v>36</v>
      </c>
      <c r="D6361" s="5" t="s">
        <v>36</v>
      </c>
      <c r="E6361" s="5" t="s">
        <v>36</v>
      </c>
      <c r="F6361" s="5" t="s">
        <v>36</v>
      </c>
      <c r="G6361" s="6" t="s">
        <v>683</v>
      </c>
      <c r="H6361" s="4">
        <v>17.66</v>
      </c>
      <c r="I6361" s="7">
        <v>51.35</v>
      </c>
      <c r="J6361" s="3" t="s">
        <v>521</v>
      </c>
      <c r="K6361" s="9">
        <v>42625</v>
      </c>
      <c r="L6361" s="6" t="s">
        <v>122</v>
      </c>
      <c r="M6361" s="3" t="s">
        <v>36</v>
      </c>
      <c r="N6361" s="3" t="s">
        <v>122</v>
      </c>
      <c r="O6361" s="8" t="s">
        <v>36</v>
      </c>
      <c r="P6361" s="3" t="s">
        <v>36</v>
      </c>
      <c r="Q6361" s="3" t="s">
        <v>36</v>
      </c>
      <c r="R6361" s="3" t="s">
        <v>36</v>
      </c>
      <c r="S6361" s="3" t="s">
        <v>36</v>
      </c>
      <c r="T6361" s="3" t="s">
        <v>29043</v>
      </c>
      <c r="U6361" s="3" t="s">
        <v>279</v>
      </c>
      <c r="V6361" s="3" t="s">
        <v>64</v>
      </c>
      <c r="W6361" s="3" t="s">
        <v>29044</v>
      </c>
      <c r="X6361" s="10" t="s">
        <v>29045</v>
      </c>
      <c r="Y6361" s="6" t="s">
        <v>108</v>
      </c>
      <c r="Z6361" s="4">
        <v>9.8</v>
      </c>
      <c r="AA6361" s="4">
        <v>19.08</v>
      </c>
      <c r="AB6361" s="3" t="s">
        <v>56</v>
      </c>
      <c r="AC6361" s="3" t="s">
        <v>29046</v>
      </c>
      <c r="AD6361" s="9">
        <v>42719</v>
      </c>
      <c r="AE6361" s="3" t="s">
        <v>851</v>
      </c>
      <c r="AF6361" s="3" t="s">
        <v>1077</v>
      </c>
      <c r="AG6361" s="3" t="s">
        <v>81</v>
      </c>
      <c r="AH6361" s="11">
        <f>HYPERLINK("https://my.pitchbook.com?c=75618-19T","View Company Online")</f>
      </c>
    </row>
    <row r="6362">
      <c r="A6362" s="12" t="s">
        <v>29047</v>
      </c>
      <c r="B6362" s="12" t="s">
        <v>26060</v>
      </c>
      <c r="C6362" s="19" t="s">
        <v>36</v>
      </c>
      <c r="D6362" s="19" t="s">
        <v>36</v>
      </c>
      <c r="E6362" s="19" t="s">
        <v>36</v>
      </c>
      <c r="F6362" s="19" t="s">
        <v>36</v>
      </c>
      <c r="G6362" s="15" t="s">
        <v>36</v>
      </c>
      <c r="H6362" s="14" t="s">
        <v>36</v>
      </c>
      <c r="I6362" s="18" t="s">
        <v>36</v>
      </c>
      <c r="J6362" s="12" t="s">
        <v>36</v>
      </c>
      <c r="K6362" s="13" t="s">
        <v>36</v>
      </c>
      <c r="L6362" s="15" t="s">
        <v>36</v>
      </c>
      <c r="M6362" s="12" t="s">
        <v>36</v>
      </c>
      <c r="N6362" s="12" t="s">
        <v>36</v>
      </c>
      <c r="O6362" s="17" t="s">
        <v>36</v>
      </c>
      <c r="P6362" s="12" t="s">
        <v>36</v>
      </c>
      <c r="Q6362" s="12" t="s">
        <v>36</v>
      </c>
      <c r="R6362" s="12" t="s">
        <v>36</v>
      </c>
      <c r="S6362" s="12" t="s">
        <v>36</v>
      </c>
      <c r="T6362" s="12" t="s">
        <v>24032</v>
      </c>
      <c r="U6362" s="12" t="s">
        <v>279</v>
      </c>
      <c r="V6362" s="12" t="s">
        <v>64</v>
      </c>
      <c r="W6362" s="12" t="s">
        <v>26061</v>
      </c>
      <c r="X6362" s="16" t="s">
        <v>29048</v>
      </c>
      <c r="Y6362" s="15" t="s">
        <v>192</v>
      </c>
      <c r="Z6362" s="14">
        <v>2.66</v>
      </c>
      <c r="AA6362" s="14" t="s">
        <v>36</v>
      </c>
      <c r="AB6362" s="12" t="s">
        <v>43</v>
      </c>
      <c r="AC6362" s="12" t="s">
        <v>26063</v>
      </c>
      <c r="AD6362" s="13">
        <v>42718</v>
      </c>
      <c r="AE6362" s="12" t="s">
        <v>283</v>
      </c>
      <c r="AF6362" s="12" t="s">
        <v>815</v>
      </c>
      <c r="AG6362" s="12" t="s">
        <v>16271</v>
      </c>
      <c r="AH6362" s="1">
        <f>HYPERLINK("https://my.pitchbook.com?c=79887-88T","View Company Online")</f>
      </c>
    </row>
    <row r="6363">
      <c r="A6363" s="3" t="s">
        <v>29049</v>
      </c>
      <c r="B6363" s="3" t="s">
        <v>25382</v>
      </c>
      <c r="C6363" s="5" t="s">
        <v>36</v>
      </c>
      <c r="D6363" s="5" t="s">
        <v>36</v>
      </c>
      <c r="E6363" s="5" t="s">
        <v>36</v>
      </c>
      <c r="F6363" s="5" t="s">
        <v>36</v>
      </c>
      <c r="G6363" s="6" t="s">
        <v>683</v>
      </c>
      <c r="H6363" s="4">
        <v>8.31</v>
      </c>
      <c r="I6363" s="7">
        <v>19.19</v>
      </c>
      <c r="J6363" s="3" t="s">
        <v>521</v>
      </c>
      <c r="K6363" s="9" t="s">
        <v>36</v>
      </c>
      <c r="L6363" s="6" t="s">
        <v>36</v>
      </c>
      <c r="M6363" s="3" t="s">
        <v>36</v>
      </c>
      <c r="N6363" s="3" t="s">
        <v>36</v>
      </c>
      <c r="O6363" s="8" t="s">
        <v>36</v>
      </c>
      <c r="P6363" s="3" t="s">
        <v>36</v>
      </c>
      <c r="Q6363" s="3" t="s">
        <v>36</v>
      </c>
      <c r="R6363" s="3" t="s">
        <v>36</v>
      </c>
      <c r="S6363" s="3" t="s">
        <v>36</v>
      </c>
      <c r="T6363" s="3" t="s">
        <v>6299</v>
      </c>
      <c r="U6363" s="3" t="s">
        <v>728</v>
      </c>
      <c r="V6363" s="3" t="s">
        <v>64</v>
      </c>
      <c r="W6363" s="3" t="s">
        <v>25383</v>
      </c>
      <c r="X6363" s="10" t="s">
        <v>29050</v>
      </c>
      <c r="Y6363" s="6" t="s">
        <v>55</v>
      </c>
      <c r="Z6363" s="4">
        <v>1.65</v>
      </c>
      <c r="AA6363" s="4">
        <v>8.58</v>
      </c>
      <c r="AB6363" s="3" t="s">
        <v>56</v>
      </c>
      <c r="AC6363" s="3" t="s">
        <v>25385</v>
      </c>
      <c r="AD6363" s="9">
        <v>42718</v>
      </c>
      <c r="AE6363" s="3" t="s">
        <v>1600</v>
      </c>
      <c r="AF6363" s="3" t="s">
        <v>90</v>
      </c>
      <c r="AG6363" s="3" t="s">
        <v>81</v>
      </c>
      <c r="AH6363" s="11">
        <f>HYPERLINK("https://my.pitchbook.com?c=206296-30T","View Company Online")</f>
      </c>
    </row>
    <row r="6364">
      <c r="A6364" s="12" t="s">
        <v>29051</v>
      </c>
      <c r="B6364" s="12" t="s">
        <v>26306</v>
      </c>
      <c r="C6364" s="19" t="s">
        <v>36</v>
      </c>
      <c r="D6364" s="19" t="s">
        <v>36</v>
      </c>
      <c r="E6364" s="19" t="s">
        <v>36</v>
      </c>
      <c r="F6364" s="19" t="s">
        <v>36</v>
      </c>
      <c r="G6364" s="15" t="s">
        <v>326</v>
      </c>
      <c r="H6364" s="14">
        <v>1996.85</v>
      </c>
      <c r="I6364" s="18">
        <v>13.2</v>
      </c>
      <c r="J6364" s="12" t="s">
        <v>521</v>
      </c>
      <c r="K6364" s="13" t="s">
        <v>36</v>
      </c>
      <c r="L6364" s="15" t="s">
        <v>122</v>
      </c>
      <c r="M6364" s="12" t="s">
        <v>36</v>
      </c>
      <c r="N6364" s="12" t="s">
        <v>122</v>
      </c>
      <c r="O6364" s="17" t="s">
        <v>36</v>
      </c>
      <c r="P6364" s="12" t="s">
        <v>36</v>
      </c>
      <c r="Q6364" s="12" t="s">
        <v>36</v>
      </c>
      <c r="R6364" s="12" t="s">
        <v>36</v>
      </c>
      <c r="S6364" s="12" t="s">
        <v>36</v>
      </c>
      <c r="T6364" s="12" t="s">
        <v>1023</v>
      </c>
      <c r="U6364" s="12" t="s">
        <v>74</v>
      </c>
      <c r="V6364" s="12" t="s">
        <v>75</v>
      </c>
      <c r="W6364" s="12" t="s">
        <v>26307</v>
      </c>
      <c r="X6364" s="16" t="s">
        <v>26308</v>
      </c>
      <c r="Y6364" s="15" t="s">
        <v>108</v>
      </c>
      <c r="Z6364" s="14">
        <v>31.86</v>
      </c>
      <c r="AA6364" s="14">
        <v>120.66</v>
      </c>
      <c r="AB6364" s="12" t="s">
        <v>56</v>
      </c>
      <c r="AC6364" s="12" t="s">
        <v>26309</v>
      </c>
      <c r="AD6364" s="13">
        <v>42718</v>
      </c>
      <c r="AE6364" s="12" t="s">
        <v>79</v>
      </c>
      <c r="AF6364" s="12" t="s">
        <v>36</v>
      </c>
      <c r="AG6364" s="12" t="s">
        <v>81</v>
      </c>
      <c r="AH6364" s="1">
        <f>HYPERLINK("https://my.pitchbook.com?c=79825-24T","View Company Online")</f>
      </c>
    </row>
    <row r="6365">
      <c r="A6365" s="3" t="s">
        <v>29052</v>
      </c>
      <c r="B6365" s="3" t="s">
        <v>21917</v>
      </c>
      <c r="C6365" s="5">
        <v>3</v>
      </c>
      <c r="D6365" s="5" t="s">
        <v>36</v>
      </c>
      <c r="E6365" s="5">
        <v>3</v>
      </c>
      <c r="F6365" s="5">
        <v>5</v>
      </c>
      <c r="G6365" s="6" t="s">
        <v>36</v>
      </c>
      <c r="H6365" s="4">
        <v>2596.42</v>
      </c>
      <c r="I6365" s="7">
        <v>25.09</v>
      </c>
      <c r="J6365" s="3" t="s">
        <v>521</v>
      </c>
      <c r="K6365" s="9" t="s">
        <v>36</v>
      </c>
      <c r="L6365" s="6" t="s">
        <v>36</v>
      </c>
      <c r="M6365" s="3" t="s">
        <v>36</v>
      </c>
      <c r="N6365" s="3" t="s">
        <v>36</v>
      </c>
      <c r="O6365" s="8" t="s">
        <v>36</v>
      </c>
      <c r="P6365" s="3" t="s">
        <v>36</v>
      </c>
      <c r="Q6365" s="3" t="s">
        <v>36</v>
      </c>
      <c r="R6365" s="3" t="s">
        <v>36</v>
      </c>
      <c r="S6365" s="3" t="s">
        <v>36</v>
      </c>
      <c r="T6365" s="3" t="s">
        <v>154</v>
      </c>
      <c r="U6365" s="3" t="s">
        <v>51</v>
      </c>
      <c r="V6365" s="3" t="s">
        <v>52</v>
      </c>
      <c r="W6365" s="3" t="s">
        <v>21918</v>
      </c>
      <c r="X6365" s="10" t="s">
        <v>29053</v>
      </c>
      <c r="Y6365" s="6" t="s">
        <v>42</v>
      </c>
      <c r="Z6365" s="4">
        <v>0.36</v>
      </c>
      <c r="AA6365" s="4">
        <v>1.42</v>
      </c>
      <c r="AB6365" s="3" t="s">
        <v>43</v>
      </c>
      <c r="AC6365" s="3" t="s">
        <v>21920</v>
      </c>
      <c r="AD6365" s="9">
        <v>42718</v>
      </c>
      <c r="AE6365" s="3" t="s">
        <v>158</v>
      </c>
      <c r="AF6365" s="3" t="s">
        <v>665</v>
      </c>
      <c r="AG6365" s="3" t="s">
        <v>741</v>
      </c>
      <c r="AH6365" s="11">
        <f>HYPERLINK("https://my.pitchbook.com?c=82654-84T","View Company Online")</f>
      </c>
    </row>
    <row r="6366">
      <c r="A6366" s="12" t="s">
        <v>29054</v>
      </c>
      <c r="B6366" s="12" t="s">
        <v>29055</v>
      </c>
      <c r="C6366" s="19" t="s">
        <v>36</v>
      </c>
      <c r="D6366" s="19" t="s">
        <v>36</v>
      </c>
      <c r="E6366" s="19" t="s">
        <v>36</v>
      </c>
      <c r="F6366" s="19" t="s">
        <v>36</v>
      </c>
      <c r="G6366" s="15" t="s">
        <v>36</v>
      </c>
      <c r="H6366" s="14">
        <v>24.3</v>
      </c>
      <c r="I6366" s="18">
        <v>36.32</v>
      </c>
      <c r="J6366" s="12" t="s">
        <v>521</v>
      </c>
      <c r="K6366" s="13">
        <v>42578</v>
      </c>
      <c r="L6366" s="15" t="s">
        <v>36</v>
      </c>
      <c r="M6366" s="12" t="s">
        <v>36</v>
      </c>
      <c r="N6366" s="12" t="s">
        <v>36</v>
      </c>
      <c r="O6366" s="17" t="s">
        <v>36</v>
      </c>
      <c r="P6366" s="12" t="s">
        <v>36</v>
      </c>
      <c r="Q6366" s="12" t="s">
        <v>36</v>
      </c>
      <c r="R6366" s="12" t="s">
        <v>36</v>
      </c>
      <c r="S6366" s="12" t="s">
        <v>36</v>
      </c>
      <c r="T6366" s="12" t="s">
        <v>17737</v>
      </c>
      <c r="U6366" s="12" t="s">
        <v>38</v>
      </c>
      <c r="V6366" s="12" t="s">
        <v>39</v>
      </c>
      <c r="W6366" s="12" t="s">
        <v>29056</v>
      </c>
      <c r="X6366" s="16" t="s">
        <v>29057</v>
      </c>
      <c r="Y6366" s="15" t="s">
        <v>42</v>
      </c>
      <c r="Z6366" s="14">
        <v>1.06</v>
      </c>
      <c r="AA6366" s="14">
        <v>2.1</v>
      </c>
      <c r="AB6366" s="12" t="s">
        <v>43</v>
      </c>
      <c r="AC6366" s="12" t="s">
        <v>29058</v>
      </c>
      <c r="AD6366" s="13">
        <v>42718</v>
      </c>
      <c r="AE6366" s="12" t="s">
        <v>110</v>
      </c>
      <c r="AF6366" s="12" t="s">
        <v>176</v>
      </c>
      <c r="AG6366" s="12" t="s">
        <v>741</v>
      </c>
      <c r="AH6366" s="1">
        <f>HYPERLINK("https://my.pitchbook.com?c=75810-52T","View Company Online")</f>
      </c>
    </row>
    <row r="6367">
      <c r="A6367" s="3" t="s">
        <v>29059</v>
      </c>
      <c r="B6367" s="3" t="s">
        <v>11681</v>
      </c>
      <c r="C6367" s="5" t="s">
        <v>36</v>
      </c>
      <c r="D6367" s="5" t="s">
        <v>36</v>
      </c>
      <c r="E6367" s="5" t="s">
        <v>36</v>
      </c>
      <c r="F6367" s="5" t="s">
        <v>36</v>
      </c>
      <c r="G6367" s="6" t="s">
        <v>36</v>
      </c>
      <c r="H6367" s="4">
        <v>103.86</v>
      </c>
      <c r="I6367" s="7">
        <v>31.5</v>
      </c>
      <c r="J6367" s="3" t="s">
        <v>521</v>
      </c>
      <c r="K6367" s="9" t="s">
        <v>36</v>
      </c>
      <c r="L6367" s="6" t="s">
        <v>36</v>
      </c>
      <c r="M6367" s="3" t="s">
        <v>36</v>
      </c>
      <c r="N6367" s="3" t="s">
        <v>36</v>
      </c>
      <c r="O6367" s="8" t="s">
        <v>36</v>
      </c>
      <c r="P6367" s="3" t="s">
        <v>36</v>
      </c>
      <c r="Q6367" s="3" t="s">
        <v>36</v>
      </c>
      <c r="R6367" s="3" t="s">
        <v>36</v>
      </c>
      <c r="S6367" s="3" t="s">
        <v>36</v>
      </c>
      <c r="T6367" s="3" t="s">
        <v>1162</v>
      </c>
      <c r="U6367" s="3" t="s">
        <v>423</v>
      </c>
      <c r="V6367" s="3" t="s">
        <v>64</v>
      </c>
      <c r="W6367" s="3" t="s">
        <v>11682</v>
      </c>
      <c r="X6367" s="10" t="s">
        <v>21200</v>
      </c>
      <c r="Y6367" s="6" t="s">
        <v>42</v>
      </c>
      <c r="Z6367" s="4">
        <v>0.55</v>
      </c>
      <c r="AA6367" s="4">
        <v>1.74</v>
      </c>
      <c r="AB6367" s="3" t="s">
        <v>43</v>
      </c>
      <c r="AC6367" s="3" t="s">
        <v>11684</v>
      </c>
      <c r="AD6367" s="9">
        <v>42716</v>
      </c>
      <c r="AE6367" s="3" t="s">
        <v>562</v>
      </c>
      <c r="AF6367" s="3" t="s">
        <v>1977</v>
      </c>
      <c r="AG6367" s="3" t="s">
        <v>11685</v>
      </c>
      <c r="AH6367" s="11">
        <f>HYPERLINK("https://my.pitchbook.com?c=204705-82T","View Company Online")</f>
      </c>
    </row>
    <row r="6368">
      <c r="A6368" s="12" t="s">
        <v>29060</v>
      </c>
      <c r="B6368" s="12" t="s">
        <v>24604</v>
      </c>
      <c r="C6368" s="19" t="s">
        <v>36</v>
      </c>
      <c r="D6368" s="19">
        <v>1</v>
      </c>
      <c r="E6368" s="19">
        <v>1</v>
      </c>
      <c r="F6368" s="19">
        <v>3</v>
      </c>
      <c r="G6368" s="15" t="s">
        <v>326</v>
      </c>
      <c r="H6368" s="14">
        <v>8</v>
      </c>
      <c r="I6368" s="18">
        <v>33.75</v>
      </c>
      <c r="J6368" s="12" t="s">
        <v>327</v>
      </c>
      <c r="K6368" s="13">
        <v>42440</v>
      </c>
      <c r="L6368" s="15" t="s">
        <v>122</v>
      </c>
      <c r="M6368" s="12" t="s">
        <v>36</v>
      </c>
      <c r="N6368" s="12" t="s">
        <v>122</v>
      </c>
      <c r="O6368" s="17" t="s">
        <v>36</v>
      </c>
      <c r="P6368" s="12" t="s">
        <v>36</v>
      </c>
      <c r="Q6368" s="12" t="s">
        <v>36</v>
      </c>
      <c r="R6368" s="12" t="s">
        <v>36</v>
      </c>
      <c r="S6368" s="12" t="s">
        <v>36</v>
      </c>
      <c r="T6368" s="12" t="s">
        <v>24605</v>
      </c>
      <c r="U6368" s="12" t="s">
        <v>219</v>
      </c>
      <c r="V6368" s="12" t="s">
        <v>75</v>
      </c>
      <c r="W6368" s="12" t="s">
        <v>24606</v>
      </c>
      <c r="X6368" s="16" t="s">
        <v>29061</v>
      </c>
      <c r="Y6368" s="15" t="s">
        <v>108</v>
      </c>
      <c r="Z6368" s="14">
        <v>13.9</v>
      </c>
      <c r="AA6368" s="14">
        <v>41.2</v>
      </c>
      <c r="AB6368" s="12" t="s">
        <v>56</v>
      </c>
      <c r="AC6368" s="12" t="s">
        <v>24608</v>
      </c>
      <c r="AD6368" s="13">
        <v>42716</v>
      </c>
      <c r="AE6368" s="12" t="s">
        <v>243</v>
      </c>
      <c r="AF6368" s="12" t="s">
        <v>24609</v>
      </c>
      <c r="AG6368" s="12" t="s">
        <v>539</v>
      </c>
      <c r="AH6368" s="1">
        <f>HYPERLINK("https://my.pitchbook.com?c=67608-01T","View Company Online")</f>
      </c>
    </row>
    <row r="6369">
      <c r="A6369" s="3" t="s">
        <v>29062</v>
      </c>
      <c r="B6369" s="3" t="s">
        <v>26843</v>
      </c>
      <c r="C6369" s="5" t="s">
        <v>36</v>
      </c>
      <c r="D6369" s="5" t="s">
        <v>36</v>
      </c>
      <c r="E6369" s="5" t="s">
        <v>36</v>
      </c>
      <c r="F6369" s="5" t="s">
        <v>36</v>
      </c>
      <c r="G6369" s="6" t="s">
        <v>36</v>
      </c>
      <c r="H6369" s="4" t="s">
        <v>36</v>
      </c>
      <c r="I6369" s="7" t="s">
        <v>36</v>
      </c>
      <c r="J6369" s="3" t="s">
        <v>36</v>
      </c>
      <c r="K6369" s="9" t="s">
        <v>36</v>
      </c>
      <c r="L6369" s="6" t="s">
        <v>122</v>
      </c>
      <c r="M6369" s="3" t="s">
        <v>36</v>
      </c>
      <c r="N6369" s="3" t="s">
        <v>122</v>
      </c>
      <c r="O6369" s="8" t="s">
        <v>36</v>
      </c>
      <c r="P6369" s="3" t="s">
        <v>36</v>
      </c>
      <c r="Q6369" s="3" t="s">
        <v>36</v>
      </c>
      <c r="R6369" s="3" t="s">
        <v>36</v>
      </c>
      <c r="S6369" s="3" t="s">
        <v>36</v>
      </c>
      <c r="T6369" s="3" t="s">
        <v>3131</v>
      </c>
      <c r="U6369" s="3" t="s">
        <v>289</v>
      </c>
      <c r="V6369" s="3" t="s">
        <v>64</v>
      </c>
      <c r="W6369" s="3" t="s">
        <v>26844</v>
      </c>
      <c r="X6369" s="10" t="s">
        <v>29063</v>
      </c>
      <c r="Y6369" s="6" t="s">
        <v>108</v>
      </c>
      <c r="Z6369" s="4">
        <v>3.19</v>
      </c>
      <c r="AA6369" s="4" t="s">
        <v>36</v>
      </c>
      <c r="AB6369" s="3" t="s">
        <v>56</v>
      </c>
      <c r="AC6369" s="3" t="s">
        <v>26846</v>
      </c>
      <c r="AD6369" s="9">
        <v>42716</v>
      </c>
      <c r="AE6369" s="3" t="s">
        <v>3134</v>
      </c>
      <c r="AF6369" s="3" t="s">
        <v>90</v>
      </c>
      <c r="AG6369" s="3" t="s">
        <v>81</v>
      </c>
      <c r="AH6369" s="11">
        <f>HYPERLINK("https://my.pitchbook.com?c=80077-96T","View Company Online")</f>
      </c>
    </row>
    <row r="6370">
      <c r="A6370" s="12" t="s">
        <v>29064</v>
      </c>
      <c r="B6370" s="12" t="s">
        <v>29065</v>
      </c>
      <c r="C6370" s="19" t="s">
        <v>36</v>
      </c>
      <c r="D6370" s="19" t="s">
        <v>36</v>
      </c>
      <c r="E6370" s="19" t="s">
        <v>36</v>
      </c>
      <c r="F6370" s="19" t="s">
        <v>36</v>
      </c>
      <c r="G6370" s="15" t="s">
        <v>683</v>
      </c>
      <c r="H6370" s="14">
        <v>0.73</v>
      </c>
      <c r="I6370" s="18">
        <v>25.01</v>
      </c>
      <c r="J6370" s="12" t="s">
        <v>521</v>
      </c>
      <c r="K6370" s="13">
        <v>42704</v>
      </c>
      <c r="L6370" s="15" t="s">
        <v>122</v>
      </c>
      <c r="M6370" s="12" t="s">
        <v>36</v>
      </c>
      <c r="N6370" s="12" t="s">
        <v>122</v>
      </c>
      <c r="O6370" s="17" t="s">
        <v>36</v>
      </c>
      <c r="P6370" s="12" t="s">
        <v>3530</v>
      </c>
      <c r="Q6370" s="12" t="s">
        <v>3530</v>
      </c>
      <c r="R6370" s="12" t="s">
        <v>3531</v>
      </c>
      <c r="S6370" s="12" t="s">
        <v>36</v>
      </c>
      <c r="T6370" s="12" t="s">
        <v>29066</v>
      </c>
      <c r="U6370" s="12" t="s">
        <v>38</v>
      </c>
      <c r="V6370" s="12" t="s">
        <v>39</v>
      </c>
      <c r="W6370" s="12" t="s">
        <v>29067</v>
      </c>
      <c r="X6370" s="16" t="s">
        <v>29068</v>
      </c>
      <c r="Y6370" s="15" t="s">
        <v>55</v>
      </c>
      <c r="Z6370" s="14">
        <v>3.49</v>
      </c>
      <c r="AA6370" s="14">
        <v>13.96</v>
      </c>
      <c r="AB6370" s="12" t="s">
        <v>43</v>
      </c>
      <c r="AC6370" s="12" t="s">
        <v>29069</v>
      </c>
      <c r="AD6370" s="13">
        <v>42716</v>
      </c>
      <c r="AE6370" s="12" t="s">
        <v>1330</v>
      </c>
      <c r="AF6370" s="12" t="s">
        <v>468</v>
      </c>
      <c r="AG6370" s="12" t="s">
        <v>81</v>
      </c>
      <c r="AH6370" s="1">
        <f>HYPERLINK("https://my.pitchbook.com?c=79826-41T","View Company Online")</f>
      </c>
    </row>
    <row r="6371">
      <c r="A6371" s="3" t="s">
        <v>29070</v>
      </c>
      <c r="B6371" s="3" t="s">
        <v>29071</v>
      </c>
      <c r="C6371" s="5" t="s">
        <v>36</v>
      </c>
      <c r="D6371" s="5" t="s">
        <v>36</v>
      </c>
      <c r="E6371" s="5" t="s">
        <v>36</v>
      </c>
      <c r="F6371" s="5" t="s">
        <v>36</v>
      </c>
      <c r="G6371" s="6" t="s">
        <v>36</v>
      </c>
      <c r="H6371" s="4">
        <v>3.12</v>
      </c>
      <c r="I6371" s="7">
        <v>20</v>
      </c>
      <c r="J6371" s="3" t="s">
        <v>521</v>
      </c>
      <c r="K6371" s="9" t="s">
        <v>36</v>
      </c>
      <c r="L6371" s="6" t="s">
        <v>36</v>
      </c>
      <c r="M6371" s="3" t="s">
        <v>36</v>
      </c>
      <c r="N6371" s="3" t="s">
        <v>36</v>
      </c>
      <c r="O6371" s="8" t="s">
        <v>36</v>
      </c>
      <c r="P6371" s="3" t="s">
        <v>36</v>
      </c>
      <c r="Q6371" s="3" t="s">
        <v>36</v>
      </c>
      <c r="R6371" s="3" t="s">
        <v>36</v>
      </c>
      <c r="S6371" s="3" t="s">
        <v>36</v>
      </c>
      <c r="T6371" s="3" t="s">
        <v>278</v>
      </c>
      <c r="U6371" s="3" t="s">
        <v>279</v>
      </c>
      <c r="V6371" s="3" t="s">
        <v>64</v>
      </c>
      <c r="W6371" s="3" t="s">
        <v>29072</v>
      </c>
      <c r="X6371" s="10" t="s">
        <v>29073</v>
      </c>
      <c r="Y6371" s="6" t="s">
        <v>42</v>
      </c>
      <c r="Z6371" s="4">
        <v>0.03</v>
      </c>
      <c r="AA6371" s="4">
        <v>0.16</v>
      </c>
      <c r="AB6371" s="3" t="s">
        <v>43</v>
      </c>
      <c r="AC6371" s="3" t="s">
        <v>29074</v>
      </c>
      <c r="AD6371" s="9">
        <v>42712</v>
      </c>
      <c r="AE6371" s="3" t="s">
        <v>283</v>
      </c>
      <c r="AF6371" s="3" t="s">
        <v>1077</v>
      </c>
      <c r="AG6371" s="3" t="s">
        <v>29075</v>
      </c>
      <c r="AH6371" s="11">
        <f>HYPERLINK("https://my.pitchbook.com?c=93477-88T","View Company Online")</f>
      </c>
    </row>
    <row r="6372">
      <c r="A6372" s="12" t="s">
        <v>29076</v>
      </c>
      <c r="B6372" s="12" t="s">
        <v>22198</v>
      </c>
      <c r="C6372" s="19">
        <v>1</v>
      </c>
      <c r="D6372" s="19">
        <v>8</v>
      </c>
      <c r="E6372" s="19">
        <v>2</v>
      </c>
      <c r="F6372" s="19">
        <v>11</v>
      </c>
      <c r="G6372" s="15" t="s">
        <v>36</v>
      </c>
      <c r="H6372" s="14" t="s">
        <v>36</v>
      </c>
      <c r="I6372" s="18" t="s">
        <v>36</v>
      </c>
      <c r="J6372" s="12" t="s">
        <v>36</v>
      </c>
      <c r="K6372" s="13">
        <v>42597</v>
      </c>
      <c r="L6372" s="15" t="s">
        <v>94</v>
      </c>
      <c r="M6372" s="12" t="s">
        <v>36</v>
      </c>
      <c r="N6372" s="12" t="s">
        <v>94</v>
      </c>
      <c r="O6372" s="17" t="s">
        <v>36</v>
      </c>
      <c r="P6372" s="12" t="s">
        <v>36</v>
      </c>
      <c r="Q6372" s="12" t="s">
        <v>36</v>
      </c>
      <c r="R6372" s="12" t="s">
        <v>36</v>
      </c>
      <c r="S6372" s="12" t="s">
        <v>36</v>
      </c>
      <c r="T6372" s="12" t="s">
        <v>6614</v>
      </c>
      <c r="U6372" s="12" t="s">
        <v>279</v>
      </c>
      <c r="V6372" s="12" t="s">
        <v>64</v>
      </c>
      <c r="W6372" s="12" t="s">
        <v>22199</v>
      </c>
      <c r="X6372" s="16" t="s">
        <v>29077</v>
      </c>
      <c r="Y6372" s="15" t="s">
        <v>108</v>
      </c>
      <c r="Z6372" s="14">
        <v>23.48</v>
      </c>
      <c r="AA6372" s="14" t="s">
        <v>36</v>
      </c>
      <c r="AB6372" s="12" t="s">
        <v>43</v>
      </c>
      <c r="AC6372" s="12" t="s">
        <v>22201</v>
      </c>
      <c r="AD6372" s="13">
        <v>42712</v>
      </c>
      <c r="AE6372" s="12" t="s">
        <v>740</v>
      </c>
      <c r="AF6372" s="12" t="s">
        <v>1077</v>
      </c>
      <c r="AG6372" s="12" t="s">
        <v>81</v>
      </c>
      <c r="AH6372" s="1">
        <f>HYPERLINK("https://my.pitchbook.com?c=68987-26T","View Company Online")</f>
      </c>
    </row>
    <row r="6373">
      <c r="A6373" s="3" t="s">
        <v>29078</v>
      </c>
      <c r="B6373" s="3" t="s">
        <v>20525</v>
      </c>
      <c r="C6373" s="5" t="s">
        <v>36</v>
      </c>
      <c r="D6373" s="5" t="s">
        <v>36</v>
      </c>
      <c r="E6373" s="5" t="s">
        <v>36</v>
      </c>
      <c r="F6373" s="5" t="s">
        <v>36</v>
      </c>
      <c r="G6373" s="6" t="s">
        <v>36</v>
      </c>
      <c r="H6373" s="4">
        <v>399.91</v>
      </c>
      <c r="I6373" s="7">
        <v>36.59</v>
      </c>
      <c r="J6373" s="3" t="s">
        <v>327</v>
      </c>
      <c r="K6373" s="9" t="s">
        <v>36</v>
      </c>
      <c r="L6373" s="6" t="s">
        <v>36</v>
      </c>
      <c r="M6373" s="3" t="s">
        <v>36</v>
      </c>
      <c r="N6373" s="3" t="s">
        <v>36</v>
      </c>
      <c r="O6373" s="8" t="s">
        <v>36</v>
      </c>
      <c r="P6373" s="3" t="s">
        <v>36</v>
      </c>
      <c r="Q6373" s="3" t="s">
        <v>36</v>
      </c>
      <c r="R6373" s="3" t="s">
        <v>36</v>
      </c>
      <c r="S6373" s="3" t="s">
        <v>36</v>
      </c>
      <c r="T6373" s="3" t="s">
        <v>522</v>
      </c>
      <c r="U6373" s="3" t="s">
        <v>38</v>
      </c>
      <c r="V6373" s="3" t="s">
        <v>39</v>
      </c>
      <c r="W6373" s="3" t="s">
        <v>20526</v>
      </c>
      <c r="X6373" s="10" t="s">
        <v>29079</v>
      </c>
      <c r="Y6373" s="6" t="s">
        <v>42</v>
      </c>
      <c r="Z6373" s="4">
        <v>2.13</v>
      </c>
      <c r="AA6373" s="4">
        <v>5.83</v>
      </c>
      <c r="AB6373" s="3" t="s">
        <v>56</v>
      </c>
      <c r="AC6373" s="3" t="s">
        <v>20528</v>
      </c>
      <c r="AD6373" s="9">
        <v>42712</v>
      </c>
      <c r="AE6373" s="3" t="s">
        <v>110</v>
      </c>
      <c r="AF6373" s="3" t="s">
        <v>2343</v>
      </c>
      <c r="AG6373" s="3" t="s">
        <v>12062</v>
      </c>
      <c r="AH6373" s="11">
        <f>HYPERLINK("https://my.pitchbook.com?c=133001-74T","View Company Online")</f>
      </c>
    </row>
    <row r="6374">
      <c r="A6374" s="12" t="s">
        <v>29080</v>
      </c>
      <c r="B6374" s="12" t="s">
        <v>29081</v>
      </c>
      <c r="C6374" s="19" t="s">
        <v>36</v>
      </c>
      <c r="D6374" s="19" t="s">
        <v>36</v>
      </c>
      <c r="E6374" s="19" t="s">
        <v>36</v>
      </c>
      <c r="F6374" s="19" t="s">
        <v>36</v>
      </c>
      <c r="G6374" s="15" t="s">
        <v>2497</v>
      </c>
      <c r="H6374" s="14">
        <v>2.64</v>
      </c>
      <c r="I6374" s="18">
        <v>47.79</v>
      </c>
      <c r="J6374" s="12" t="s">
        <v>327</v>
      </c>
      <c r="K6374" s="13" t="s">
        <v>36</v>
      </c>
      <c r="L6374" s="15" t="s">
        <v>36</v>
      </c>
      <c r="M6374" s="12" t="s">
        <v>36</v>
      </c>
      <c r="N6374" s="12" t="s">
        <v>36</v>
      </c>
      <c r="O6374" s="17" t="s">
        <v>36</v>
      </c>
      <c r="P6374" s="12" t="s">
        <v>36</v>
      </c>
      <c r="Q6374" s="12" t="s">
        <v>36</v>
      </c>
      <c r="R6374" s="12" t="s">
        <v>36</v>
      </c>
      <c r="S6374" s="12" t="s">
        <v>36</v>
      </c>
      <c r="T6374" s="12" t="s">
        <v>1196</v>
      </c>
      <c r="U6374" s="12" t="s">
        <v>38</v>
      </c>
      <c r="V6374" s="12" t="s">
        <v>39</v>
      </c>
      <c r="W6374" s="12" t="s">
        <v>29082</v>
      </c>
      <c r="X6374" s="16" t="s">
        <v>29083</v>
      </c>
      <c r="Y6374" s="15" t="s">
        <v>108</v>
      </c>
      <c r="Z6374" s="14">
        <v>1.6</v>
      </c>
      <c r="AA6374" s="14">
        <v>3.35</v>
      </c>
      <c r="AB6374" s="12" t="s">
        <v>56</v>
      </c>
      <c r="AC6374" s="12" t="s">
        <v>29084</v>
      </c>
      <c r="AD6374" s="13">
        <v>42711</v>
      </c>
      <c r="AE6374" s="12" t="s">
        <v>1200</v>
      </c>
      <c r="AF6374" s="12" t="s">
        <v>10147</v>
      </c>
      <c r="AG6374" s="12" t="s">
        <v>29085</v>
      </c>
      <c r="AH6374" s="1">
        <f>HYPERLINK("https://my.pitchbook.com?c=79556-86T","View Company Online")</f>
      </c>
    </row>
    <row r="6375">
      <c r="A6375" s="3" t="s">
        <v>29086</v>
      </c>
      <c r="B6375" s="3" t="s">
        <v>29087</v>
      </c>
      <c r="C6375" s="5" t="s">
        <v>36</v>
      </c>
      <c r="D6375" s="5">
        <v>28</v>
      </c>
      <c r="E6375" s="5">
        <v>22</v>
      </c>
      <c r="F6375" s="5">
        <v>62</v>
      </c>
      <c r="G6375" s="6" t="s">
        <v>36</v>
      </c>
      <c r="H6375" s="4">
        <v>109.05</v>
      </c>
      <c r="I6375" s="7">
        <v>18.34</v>
      </c>
      <c r="J6375" s="3" t="s">
        <v>521</v>
      </c>
      <c r="K6375" s="9" t="s">
        <v>36</v>
      </c>
      <c r="L6375" s="6" t="s">
        <v>36</v>
      </c>
      <c r="M6375" s="3" t="s">
        <v>36</v>
      </c>
      <c r="N6375" s="3" t="s">
        <v>36</v>
      </c>
      <c r="O6375" s="8" t="s">
        <v>36</v>
      </c>
      <c r="P6375" s="3" t="s">
        <v>36</v>
      </c>
      <c r="Q6375" s="3" t="s">
        <v>36</v>
      </c>
      <c r="R6375" s="3" t="s">
        <v>36</v>
      </c>
      <c r="S6375" s="3" t="s">
        <v>36</v>
      </c>
      <c r="T6375" s="3" t="s">
        <v>4225</v>
      </c>
      <c r="U6375" s="3" t="s">
        <v>96</v>
      </c>
      <c r="V6375" s="3" t="s">
        <v>52</v>
      </c>
      <c r="W6375" s="3" t="s">
        <v>29088</v>
      </c>
      <c r="X6375" s="10" t="s">
        <v>29089</v>
      </c>
      <c r="Y6375" s="6" t="s">
        <v>55</v>
      </c>
      <c r="Z6375" s="4">
        <v>1.56</v>
      </c>
      <c r="AA6375" s="4">
        <v>8.51</v>
      </c>
      <c r="AB6375" s="3" t="s">
        <v>56</v>
      </c>
      <c r="AC6375" s="3" t="s">
        <v>29090</v>
      </c>
      <c r="AD6375" s="9">
        <v>42710</v>
      </c>
      <c r="AE6375" s="3" t="s">
        <v>143</v>
      </c>
      <c r="AF6375" s="3" t="s">
        <v>571</v>
      </c>
      <c r="AG6375" s="3" t="s">
        <v>6368</v>
      </c>
      <c r="AH6375" s="11">
        <f>HYPERLINK("https://my.pitchbook.com?c=97265-62T","View Company Online")</f>
      </c>
    </row>
    <row r="6376">
      <c r="A6376" s="12" t="s">
        <v>29091</v>
      </c>
      <c r="B6376" s="12" t="s">
        <v>14509</v>
      </c>
      <c r="C6376" s="19" t="s">
        <v>36</v>
      </c>
      <c r="D6376" s="19" t="s">
        <v>36</v>
      </c>
      <c r="E6376" s="19" t="s">
        <v>36</v>
      </c>
      <c r="F6376" s="19" t="s">
        <v>36</v>
      </c>
      <c r="G6376" s="15" t="s">
        <v>36</v>
      </c>
      <c r="H6376" s="14" t="s">
        <v>36</v>
      </c>
      <c r="I6376" s="18" t="s">
        <v>36</v>
      </c>
      <c r="J6376" s="12" t="s">
        <v>36</v>
      </c>
      <c r="K6376" s="13" t="s">
        <v>36</v>
      </c>
      <c r="L6376" s="15" t="s">
        <v>36</v>
      </c>
      <c r="M6376" s="12" t="s">
        <v>36</v>
      </c>
      <c r="N6376" s="12" t="s">
        <v>36</v>
      </c>
      <c r="O6376" s="17" t="s">
        <v>36</v>
      </c>
      <c r="P6376" s="12" t="s">
        <v>36</v>
      </c>
      <c r="Q6376" s="12" t="s">
        <v>36</v>
      </c>
      <c r="R6376" s="12" t="s">
        <v>36</v>
      </c>
      <c r="S6376" s="12" t="s">
        <v>36</v>
      </c>
      <c r="T6376" s="12" t="s">
        <v>881</v>
      </c>
      <c r="U6376" s="12" t="s">
        <v>51</v>
      </c>
      <c r="V6376" s="12" t="s">
        <v>52</v>
      </c>
      <c r="W6376" s="12" t="s">
        <v>14510</v>
      </c>
      <c r="X6376" s="16" t="s">
        <v>29092</v>
      </c>
      <c r="Y6376" s="15" t="s">
        <v>42</v>
      </c>
      <c r="Z6376" s="14">
        <v>4.28</v>
      </c>
      <c r="AA6376" s="14" t="s">
        <v>36</v>
      </c>
      <c r="AB6376" s="12" t="s">
        <v>43</v>
      </c>
      <c r="AC6376" s="12" t="s">
        <v>14512</v>
      </c>
      <c r="AD6376" s="13">
        <v>42710</v>
      </c>
      <c r="AE6376" s="12" t="s">
        <v>504</v>
      </c>
      <c r="AF6376" s="12" t="s">
        <v>665</v>
      </c>
      <c r="AG6376" s="12" t="s">
        <v>7425</v>
      </c>
      <c r="AH6376" s="1">
        <f>HYPERLINK("https://my.pitchbook.com?c=79416-28T","View Company Online")</f>
      </c>
    </row>
    <row r="6377">
      <c r="A6377" s="3" t="s">
        <v>29093</v>
      </c>
      <c r="B6377" s="3" t="s">
        <v>29094</v>
      </c>
      <c r="C6377" s="5" t="s">
        <v>36</v>
      </c>
      <c r="D6377" s="5" t="s">
        <v>36</v>
      </c>
      <c r="E6377" s="5" t="s">
        <v>36</v>
      </c>
      <c r="F6377" s="5" t="s">
        <v>36</v>
      </c>
      <c r="G6377" s="6" t="s">
        <v>36</v>
      </c>
      <c r="H6377" s="4" t="s">
        <v>36</v>
      </c>
      <c r="I6377" s="7" t="s">
        <v>36</v>
      </c>
      <c r="J6377" s="3" t="s">
        <v>36</v>
      </c>
      <c r="K6377" s="9" t="s">
        <v>36</v>
      </c>
      <c r="L6377" s="6" t="s">
        <v>36</v>
      </c>
      <c r="M6377" s="3" t="s">
        <v>36</v>
      </c>
      <c r="N6377" s="3" t="s">
        <v>36</v>
      </c>
      <c r="O6377" s="8" t="s">
        <v>36</v>
      </c>
      <c r="P6377" s="3" t="s">
        <v>36</v>
      </c>
      <c r="Q6377" s="3" t="s">
        <v>36</v>
      </c>
      <c r="R6377" s="3" t="s">
        <v>36</v>
      </c>
      <c r="S6377" s="3" t="s">
        <v>36</v>
      </c>
      <c r="T6377" s="3" t="s">
        <v>1701</v>
      </c>
      <c r="U6377" s="3" t="s">
        <v>74</v>
      </c>
      <c r="V6377" s="3" t="s">
        <v>75</v>
      </c>
      <c r="W6377" s="3" t="s">
        <v>29095</v>
      </c>
      <c r="X6377" s="10" t="s">
        <v>27804</v>
      </c>
      <c r="Y6377" s="6" t="s">
        <v>42</v>
      </c>
      <c r="Z6377" s="4">
        <v>1.18</v>
      </c>
      <c r="AA6377" s="4" t="s">
        <v>36</v>
      </c>
      <c r="AB6377" s="3" t="s">
        <v>43</v>
      </c>
      <c r="AC6377" s="3" t="s">
        <v>29096</v>
      </c>
      <c r="AD6377" s="9">
        <v>42709</v>
      </c>
      <c r="AE6377" s="3" t="s">
        <v>79</v>
      </c>
      <c r="AF6377" s="3" t="s">
        <v>256</v>
      </c>
      <c r="AG6377" s="3" t="s">
        <v>924</v>
      </c>
      <c r="AH6377" s="11">
        <f>HYPERLINK("https://my.pitchbook.com?c=90683-56T","View Company Online")</f>
      </c>
    </row>
    <row r="6378">
      <c r="A6378" s="12" t="s">
        <v>29097</v>
      </c>
      <c r="B6378" s="12" t="s">
        <v>15001</v>
      </c>
      <c r="C6378" s="19">
        <v>5</v>
      </c>
      <c r="D6378" s="19">
        <v>16</v>
      </c>
      <c r="E6378" s="19">
        <v>7</v>
      </c>
      <c r="F6378" s="19">
        <v>26</v>
      </c>
      <c r="G6378" s="15" t="s">
        <v>36</v>
      </c>
      <c r="H6378" s="14">
        <v>2.6</v>
      </c>
      <c r="I6378" s="18">
        <v>23.17</v>
      </c>
      <c r="J6378" s="12" t="s">
        <v>521</v>
      </c>
      <c r="K6378" s="13">
        <v>42304</v>
      </c>
      <c r="L6378" s="15" t="s">
        <v>36</v>
      </c>
      <c r="M6378" s="12" t="s">
        <v>36</v>
      </c>
      <c r="N6378" s="12" t="s">
        <v>36</v>
      </c>
      <c r="O6378" s="17" t="s">
        <v>36</v>
      </c>
      <c r="P6378" s="12" t="s">
        <v>36</v>
      </c>
      <c r="Q6378" s="12" t="s">
        <v>36</v>
      </c>
      <c r="R6378" s="12" t="s">
        <v>36</v>
      </c>
      <c r="S6378" s="12" t="s">
        <v>36</v>
      </c>
      <c r="T6378" s="12" t="s">
        <v>1746</v>
      </c>
      <c r="U6378" s="12" t="s">
        <v>74</v>
      </c>
      <c r="V6378" s="12" t="s">
        <v>75</v>
      </c>
      <c r="W6378" s="12" t="s">
        <v>15002</v>
      </c>
      <c r="X6378" s="16" t="s">
        <v>29098</v>
      </c>
      <c r="Y6378" s="15" t="s">
        <v>42</v>
      </c>
      <c r="Z6378" s="14">
        <v>1.07</v>
      </c>
      <c r="AA6378" s="14">
        <v>4.62</v>
      </c>
      <c r="AB6378" s="12" t="s">
        <v>43</v>
      </c>
      <c r="AC6378" s="12" t="s">
        <v>15003</v>
      </c>
      <c r="AD6378" s="13">
        <v>42709</v>
      </c>
      <c r="AE6378" s="12" t="s">
        <v>570</v>
      </c>
      <c r="AF6378" s="12" t="s">
        <v>822</v>
      </c>
      <c r="AG6378" s="12" t="s">
        <v>899</v>
      </c>
      <c r="AH6378" s="1">
        <f>HYPERLINK("https://my.pitchbook.com?c=62574-40T","View Company Online")</f>
      </c>
    </row>
    <row r="6379">
      <c r="A6379" s="3" t="s">
        <v>29099</v>
      </c>
      <c r="B6379" s="3" t="s">
        <v>29100</v>
      </c>
      <c r="C6379" s="5" t="s">
        <v>36</v>
      </c>
      <c r="D6379" s="5" t="s">
        <v>36</v>
      </c>
      <c r="E6379" s="5" t="s">
        <v>36</v>
      </c>
      <c r="F6379" s="5" t="s">
        <v>36</v>
      </c>
      <c r="G6379" s="6" t="s">
        <v>326</v>
      </c>
      <c r="H6379" s="4">
        <v>41.54</v>
      </c>
      <c r="I6379" s="7">
        <v>24.59</v>
      </c>
      <c r="J6379" s="3" t="s">
        <v>521</v>
      </c>
      <c r="K6379" s="9">
        <v>42705</v>
      </c>
      <c r="L6379" s="6" t="s">
        <v>36</v>
      </c>
      <c r="M6379" s="3" t="s">
        <v>36</v>
      </c>
      <c r="N6379" s="3" t="s">
        <v>36</v>
      </c>
      <c r="O6379" s="8" t="s">
        <v>36</v>
      </c>
      <c r="P6379" s="3" t="s">
        <v>36</v>
      </c>
      <c r="Q6379" s="3" t="s">
        <v>36</v>
      </c>
      <c r="R6379" s="3" t="s">
        <v>36</v>
      </c>
      <c r="S6379" s="3" t="s">
        <v>36</v>
      </c>
      <c r="T6379" s="3" t="s">
        <v>29101</v>
      </c>
      <c r="U6379" s="3" t="s">
        <v>1357</v>
      </c>
      <c r="V6379" s="3" t="s">
        <v>52</v>
      </c>
      <c r="W6379" s="3" t="s">
        <v>29102</v>
      </c>
      <c r="X6379" s="10" t="s">
        <v>29103</v>
      </c>
      <c r="Y6379" s="6" t="s">
        <v>55</v>
      </c>
      <c r="Z6379" s="4">
        <v>2.68</v>
      </c>
      <c r="AA6379" s="4">
        <v>10.89</v>
      </c>
      <c r="AB6379" s="3" t="s">
        <v>43</v>
      </c>
      <c r="AC6379" s="3" t="s">
        <v>29104</v>
      </c>
      <c r="AD6379" s="9">
        <v>42709</v>
      </c>
      <c r="AE6379" s="3" t="s">
        <v>2377</v>
      </c>
      <c r="AF6379" s="3" t="s">
        <v>24285</v>
      </c>
      <c r="AG6379" s="3" t="s">
        <v>3250</v>
      </c>
      <c r="AH6379" s="11">
        <f>HYPERLINK("https://my.pitchbook.com?c=118002-07T","View Company Online")</f>
      </c>
    </row>
    <row r="6380">
      <c r="A6380" s="12" t="s">
        <v>29105</v>
      </c>
      <c r="B6380" s="12" t="s">
        <v>25196</v>
      </c>
      <c r="C6380" s="19" t="s">
        <v>36</v>
      </c>
      <c r="D6380" s="19" t="s">
        <v>36</v>
      </c>
      <c r="E6380" s="19" t="s">
        <v>36</v>
      </c>
      <c r="F6380" s="19" t="s">
        <v>36</v>
      </c>
      <c r="G6380" s="15" t="s">
        <v>326</v>
      </c>
      <c r="H6380" s="14">
        <v>4615.39</v>
      </c>
      <c r="I6380" s="18">
        <v>5.89</v>
      </c>
      <c r="J6380" s="12" t="s">
        <v>327</v>
      </c>
      <c r="K6380" s="13" t="s">
        <v>36</v>
      </c>
      <c r="L6380" s="15" t="s">
        <v>36</v>
      </c>
      <c r="M6380" s="12" t="s">
        <v>36</v>
      </c>
      <c r="N6380" s="12" t="s">
        <v>36</v>
      </c>
      <c r="O6380" s="17" t="s">
        <v>36</v>
      </c>
      <c r="P6380" s="12" t="s">
        <v>36</v>
      </c>
      <c r="Q6380" s="12" t="s">
        <v>36</v>
      </c>
      <c r="R6380" s="12" t="s">
        <v>36</v>
      </c>
      <c r="S6380" s="12" t="s">
        <v>36</v>
      </c>
      <c r="T6380" s="12" t="s">
        <v>647</v>
      </c>
      <c r="U6380" s="12" t="s">
        <v>648</v>
      </c>
      <c r="V6380" s="12" t="s">
        <v>64</v>
      </c>
      <c r="W6380" s="12" t="s">
        <v>25197</v>
      </c>
      <c r="X6380" s="16" t="s">
        <v>29106</v>
      </c>
      <c r="Y6380" s="15" t="s">
        <v>55</v>
      </c>
      <c r="Z6380" s="14">
        <v>1.08</v>
      </c>
      <c r="AA6380" s="14">
        <v>18.26</v>
      </c>
      <c r="AB6380" s="12" t="s">
        <v>43</v>
      </c>
      <c r="AC6380" s="12" t="s">
        <v>25199</v>
      </c>
      <c r="AD6380" s="13">
        <v>42706</v>
      </c>
      <c r="AE6380" s="12" t="s">
        <v>651</v>
      </c>
      <c r="AF6380" s="12" t="s">
        <v>36</v>
      </c>
      <c r="AG6380" s="12" t="s">
        <v>81</v>
      </c>
      <c r="AH6380" s="1">
        <f>HYPERLINK("https://my.pitchbook.com?c=79292-80T","View Company Online")</f>
      </c>
    </row>
    <row r="6381">
      <c r="A6381" s="3" t="s">
        <v>29107</v>
      </c>
      <c r="B6381" s="3" t="s">
        <v>29108</v>
      </c>
      <c r="C6381" s="5" t="s">
        <v>36</v>
      </c>
      <c r="D6381" s="5" t="s">
        <v>36</v>
      </c>
      <c r="E6381" s="5" t="s">
        <v>36</v>
      </c>
      <c r="F6381" s="5" t="s">
        <v>36</v>
      </c>
      <c r="G6381" s="6" t="s">
        <v>36</v>
      </c>
      <c r="H6381" s="4" t="s">
        <v>36</v>
      </c>
      <c r="I6381" s="7" t="s">
        <v>36</v>
      </c>
      <c r="J6381" s="3" t="s">
        <v>36</v>
      </c>
      <c r="K6381" s="9" t="s">
        <v>36</v>
      </c>
      <c r="L6381" s="6" t="s">
        <v>122</v>
      </c>
      <c r="M6381" s="3" t="s">
        <v>36</v>
      </c>
      <c r="N6381" s="3" t="s">
        <v>122</v>
      </c>
      <c r="O6381" s="8" t="s">
        <v>36</v>
      </c>
      <c r="P6381" s="3" t="s">
        <v>36</v>
      </c>
      <c r="Q6381" s="3" t="s">
        <v>36</v>
      </c>
      <c r="R6381" s="3" t="s">
        <v>36</v>
      </c>
      <c r="S6381" s="3" t="s">
        <v>36</v>
      </c>
      <c r="T6381" s="3" t="s">
        <v>942</v>
      </c>
      <c r="U6381" s="3" t="s">
        <v>38</v>
      </c>
      <c r="V6381" s="3" t="s">
        <v>39</v>
      </c>
      <c r="W6381" s="3" t="s">
        <v>29109</v>
      </c>
      <c r="X6381" s="10" t="s">
        <v>29110</v>
      </c>
      <c r="Y6381" s="6" t="s">
        <v>42</v>
      </c>
      <c r="Z6381" s="4">
        <v>4.62</v>
      </c>
      <c r="AA6381" s="4" t="s">
        <v>36</v>
      </c>
      <c r="AB6381" s="3" t="s">
        <v>56</v>
      </c>
      <c r="AC6381" s="3" t="s">
        <v>29111</v>
      </c>
      <c r="AD6381" s="9">
        <v>42706</v>
      </c>
      <c r="AE6381" s="3" t="s">
        <v>45</v>
      </c>
      <c r="AF6381" s="3" t="s">
        <v>3334</v>
      </c>
      <c r="AG6381" s="3" t="s">
        <v>81</v>
      </c>
      <c r="AH6381" s="11">
        <f>HYPERLINK("https://my.pitchbook.com?c=86896-72T","View Company Online")</f>
      </c>
    </row>
    <row r="6382">
      <c r="A6382" s="12" t="s">
        <v>29112</v>
      </c>
      <c r="B6382" s="12" t="s">
        <v>24843</v>
      </c>
      <c r="C6382" s="19" t="s">
        <v>36</v>
      </c>
      <c r="D6382" s="19" t="s">
        <v>36</v>
      </c>
      <c r="E6382" s="19" t="s">
        <v>36</v>
      </c>
      <c r="F6382" s="19" t="s">
        <v>36</v>
      </c>
      <c r="G6382" s="15" t="s">
        <v>326</v>
      </c>
      <c r="H6382" s="14">
        <v>1.37</v>
      </c>
      <c r="I6382" s="18">
        <v>42.21</v>
      </c>
      <c r="J6382" s="12" t="s">
        <v>521</v>
      </c>
      <c r="K6382" s="13" t="s">
        <v>36</v>
      </c>
      <c r="L6382" s="15" t="s">
        <v>36</v>
      </c>
      <c r="M6382" s="12" t="s">
        <v>36</v>
      </c>
      <c r="N6382" s="12" t="s">
        <v>36</v>
      </c>
      <c r="O6382" s="17" t="s">
        <v>36</v>
      </c>
      <c r="P6382" s="12" t="s">
        <v>36</v>
      </c>
      <c r="Q6382" s="12" t="s">
        <v>36</v>
      </c>
      <c r="R6382" s="12" t="s">
        <v>36</v>
      </c>
      <c r="S6382" s="12" t="s">
        <v>36</v>
      </c>
      <c r="T6382" s="12" t="s">
        <v>1048</v>
      </c>
      <c r="U6382" s="12" t="s">
        <v>423</v>
      </c>
      <c r="V6382" s="12" t="s">
        <v>64</v>
      </c>
      <c r="W6382" s="12" t="s">
        <v>24844</v>
      </c>
      <c r="X6382" s="16" t="s">
        <v>11058</v>
      </c>
      <c r="Y6382" s="15" t="s">
        <v>42</v>
      </c>
      <c r="Z6382" s="14">
        <v>2.26</v>
      </c>
      <c r="AA6382" s="14">
        <v>5.36</v>
      </c>
      <c r="AB6382" s="12" t="s">
        <v>43</v>
      </c>
      <c r="AC6382" s="12" t="s">
        <v>24846</v>
      </c>
      <c r="AD6382" s="13">
        <v>42706</v>
      </c>
      <c r="AE6382" s="12" t="s">
        <v>1051</v>
      </c>
      <c r="AF6382" s="12" t="s">
        <v>11839</v>
      </c>
      <c r="AG6382" s="12" t="s">
        <v>24847</v>
      </c>
      <c r="AH6382" s="1">
        <f>HYPERLINK("https://my.pitchbook.com?c=204524-56T","View Company Online")</f>
      </c>
    </row>
    <row r="6383">
      <c r="A6383" s="3" t="s">
        <v>29113</v>
      </c>
      <c r="B6383" s="3" t="s">
        <v>29114</v>
      </c>
      <c r="C6383" s="5" t="s">
        <v>36</v>
      </c>
      <c r="D6383" s="5" t="s">
        <v>36</v>
      </c>
      <c r="E6383" s="5">
        <v>3</v>
      </c>
      <c r="F6383" s="5">
        <v>3</v>
      </c>
      <c r="G6383" s="6" t="s">
        <v>36</v>
      </c>
      <c r="H6383" s="4" t="s">
        <v>36</v>
      </c>
      <c r="I6383" s="7" t="s">
        <v>36</v>
      </c>
      <c r="J6383" s="3" t="s">
        <v>36</v>
      </c>
      <c r="K6383" s="9" t="s">
        <v>36</v>
      </c>
      <c r="L6383" s="6" t="s">
        <v>36</v>
      </c>
      <c r="M6383" s="3" t="s">
        <v>36</v>
      </c>
      <c r="N6383" s="3" t="s">
        <v>36</v>
      </c>
      <c r="O6383" s="8" t="s">
        <v>36</v>
      </c>
      <c r="P6383" s="3" t="s">
        <v>36</v>
      </c>
      <c r="Q6383" s="3" t="s">
        <v>36</v>
      </c>
      <c r="R6383" s="3" t="s">
        <v>36</v>
      </c>
      <c r="S6383" s="3" t="s">
        <v>36</v>
      </c>
      <c r="T6383" s="3" t="s">
        <v>29115</v>
      </c>
      <c r="U6383" s="3" t="s">
        <v>74</v>
      </c>
      <c r="V6383" s="3" t="s">
        <v>75</v>
      </c>
      <c r="W6383" s="3" t="s">
        <v>29116</v>
      </c>
      <c r="X6383" s="10" t="s">
        <v>29117</v>
      </c>
      <c r="Y6383" s="6" t="s">
        <v>108</v>
      </c>
      <c r="Z6383" s="4">
        <v>7.54</v>
      </c>
      <c r="AA6383" s="4" t="s">
        <v>36</v>
      </c>
      <c r="AB6383" s="3" t="s">
        <v>43</v>
      </c>
      <c r="AC6383" s="3" t="s">
        <v>29118</v>
      </c>
      <c r="AD6383" s="9">
        <v>42705</v>
      </c>
      <c r="AE6383" s="3" t="s">
        <v>1888</v>
      </c>
      <c r="AF6383" s="3" t="s">
        <v>571</v>
      </c>
      <c r="AG6383" s="3" t="s">
        <v>19091</v>
      </c>
      <c r="AH6383" s="11">
        <f>HYPERLINK("https://my.pitchbook.com?c=67307-50T","View Company Online")</f>
      </c>
    </row>
    <row r="6384">
      <c r="A6384" s="12" t="s">
        <v>29119</v>
      </c>
      <c r="B6384" s="12" t="s">
        <v>18967</v>
      </c>
      <c r="C6384" s="19">
        <v>45</v>
      </c>
      <c r="D6384" s="19">
        <v>100</v>
      </c>
      <c r="E6384" s="19">
        <v>45</v>
      </c>
      <c r="F6384" s="19">
        <v>163</v>
      </c>
      <c r="G6384" s="15" t="s">
        <v>326</v>
      </c>
      <c r="H6384" s="14" t="s">
        <v>36</v>
      </c>
      <c r="I6384" s="18" t="s">
        <v>36</v>
      </c>
      <c r="J6384" s="12" t="s">
        <v>327</v>
      </c>
      <c r="K6384" s="13" t="s">
        <v>36</v>
      </c>
      <c r="L6384" s="15" t="s">
        <v>122</v>
      </c>
      <c r="M6384" s="12" t="s">
        <v>36</v>
      </c>
      <c r="N6384" s="12" t="s">
        <v>122</v>
      </c>
      <c r="O6384" s="17" t="s">
        <v>36</v>
      </c>
      <c r="P6384" s="12" t="s">
        <v>36</v>
      </c>
      <c r="Q6384" s="12" t="s">
        <v>36</v>
      </c>
      <c r="R6384" s="12" t="s">
        <v>36</v>
      </c>
      <c r="S6384" s="12" t="s">
        <v>36</v>
      </c>
      <c r="T6384" s="12" t="s">
        <v>1725</v>
      </c>
      <c r="U6384" s="12" t="s">
        <v>318</v>
      </c>
      <c r="V6384" s="12" t="s">
        <v>39</v>
      </c>
      <c r="W6384" s="12" t="s">
        <v>18968</v>
      </c>
      <c r="X6384" s="16" t="s">
        <v>29120</v>
      </c>
      <c r="Y6384" s="15" t="s">
        <v>55</v>
      </c>
      <c r="Z6384" s="14">
        <v>3.34</v>
      </c>
      <c r="AA6384" s="14">
        <v>28.19</v>
      </c>
      <c r="AB6384" s="12" t="s">
        <v>43</v>
      </c>
      <c r="AC6384" s="12" t="s">
        <v>18970</v>
      </c>
      <c r="AD6384" s="13">
        <v>42705</v>
      </c>
      <c r="AE6384" s="12" t="s">
        <v>763</v>
      </c>
      <c r="AF6384" s="12" t="s">
        <v>111</v>
      </c>
      <c r="AG6384" s="12" t="s">
        <v>969</v>
      </c>
      <c r="AH6384" s="1">
        <f>HYPERLINK("https://my.pitchbook.com?c=79121-71T","View Company Online")</f>
      </c>
    </row>
    <row r="6385">
      <c r="A6385" s="3" t="s">
        <v>29121</v>
      </c>
      <c r="B6385" s="3" t="s">
        <v>28601</v>
      </c>
      <c r="C6385" s="5" t="s">
        <v>36</v>
      </c>
      <c r="D6385" s="5" t="s">
        <v>36</v>
      </c>
      <c r="E6385" s="5" t="s">
        <v>36</v>
      </c>
      <c r="F6385" s="5" t="s">
        <v>36</v>
      </c>
      <c r="G6385" s="6" t="s">
        <v>326</v>
      </c>
      <c r="H6385" s="4">
        <v>7.58</v>
      </c>
      <c r="I6385" s="7">
        <v>16.67</v>
      </c>
      <c r="J6385" s="3" t="s">
        <v>521</v>
      </c>
      <c r="K6385" s="9" t="s">
        <v>36</v>
      </c>
      <c r="L6385" s="6" t="s">
        <v>36</v>
      </c>
      <c r="M6385" s="3" t="s">
        <v>36</v>
      </c>
      <c r="N6385" s="3" t="s">
        <v>36</v>
      </c>
      <c r="O6385" s="8" t="s">
        <v>36</v>
      </c>
      <c r="P6385" s="3" t="s">
        <v>36</v>
      </c>
      <c r="Q6385" s="3" t="s">
        <v>36</v>
      </c>
      <c r="R6385" s="3" t="s">
        <v>36</v>
      </c>
      <c r="S6385" s="3" t="s">
        <v>36</v>
      </c>
      <c r="T6385" s="3" t="s">
        <v>1935</v>
      </c>
      <c r="U6385" s="3" t="s">
        <v>38</v>
      </c>
      <c r="V6385" s="3" t="s">
        <v>39</v>
      </c>
      <c r="W6385" s="3" t="s">
        <v>28602</v>
      </c>
      <c r="X6385" s="10" t="s">
        <v>21112</v>
      </c>
      <c r="Y6385" s="6" t="s">
        <v>42</v>
      </c>
      <c r="Z6385" s="4">
        <v>3.23</v>
      </c>
      <c r="AA6385" s="4">
        <v>19.38</v>
      </c>
      <c r="AB6385" s="3" t="s">
        <v>56</v>
      </c>
      <c r="AC6385" s="3" t="s">
        <v>28603</v>
      </c>
      <c r="AD6385" s="9">
        <v>42705</v>
      </c>
      <c r="AE6385" s="3" t="s">
        <v>45</v>
      </c>
      <c r="AF6385" s="3" t="s">
        <v>331</v>
      </c>
      <c r="AG6385" s="3" t="s">
        <v>270</v>
      </c>
      <c r="AH6385" s="11">
        <f>HYPERLINK("https://my.pitchbook.com?c=83068-03T","View Company Online")</f>
      </c>
    </row>
    <row r="6386">
      <c r="A6386" s="12" t="s">
        <v>29122</v>
      </c>
      <c r="B6386" s="12" t="s">
        <v>12771</v>
      </c>
      <c r="C6386" s="19" t="s">
        <v>36</v>
      </c>
      <c r="D6386" s="19" t="s">
        <v>36</v>
      </c>
      <c r="E6386" s="19" t="s">
        <v>36</v>
      </c>
      <c r="F6386" s="19" t="s">
        <v>36</v>
      </c>
      <c r="G6386" s="15" t="s">
        <v>2497</v>
      </c>
      <c r="H6386" s="14">
        <v>28.69</v>
      </c>
      <c r="I6386" s="18">
        <v>32.28</v>
      </c>
      <c r="J6386" s="12" t="s">
        <v>521</v>
      </c>
      <c r="K6386" s="13" t="s">
        <v>36</v>
      </c>
      <c r="L6386" s="15" t="s">
        <v>36</v>
      </c>
      <c r="M6386" s="12" t="s">
        <v>36</v>
      </c>
      <c r="N6386" s="12" t="s">
        <v>36</v>
      </c>
      <c r="O6386" s="17" t="s">
        <v>36</v>
      </c>
      <c r="P6386" s="12" t="s">
        <v>36</v>
      </c>
      <c r="Q6386" s="12" t="s">
        <v>36</v>
      </c>
      <c r="R6386" s="12" t="s">
        <v>36</v>
      </c>
      <c r="S6386" s="12" t="s">
        <v>36</v>
      </c>
      <c r="T6386" s="12" t="s">
        <v>522</v>
      </c>
      <c r="U6386" s="12" t="s">
        <v>38</v>
      </c>
      <c r="V6386" s="12" t="s">
        <v>39</v>
      </c>
      <c r="W6386" s="12" t="s">
        <v>12772</v>
      </c>
      <c r="X6386" s="16" t="s">
        <v>29123</v>
      </c>
      <c r="Y6386" s="15" t="s">
        <v>55</v>
      </c>
      <c r="Z6386" s="14">
        <v>0.77</v>
      </c>
      <c r="AA6386" s="14">
        <v>2.38</v>
      </c>
      <c r="AB6386" s="12" t="s">
        <v>56</v>
      </c>
      <c r="AC6386" s="12" t="s">
        <v>12774</v>
      </c>
      <c r="AD6386" s="13">
        <v>42705</v>
      </c>
      <c r="AE6386" s="12" t="s">
        <v>110</v>
      </c>
      <c r="AF6386" s="12" t="s">
        <v>3860</v>
      </c>
      <c r="AG6386" s="12" t="s">
        <v>741</v>
      </c>
      <c r="AH6386" s="1">
        <f>HYPERLINK("https://my.pitchbook.com?c=95418-28T","View Company Online")</f>
      </c>
    </row>
    <row r="6387">
      <c r="A6387" s="3" t="s">
        <v>29124</v>
      </c>
      <c r="B6387" s="3" t="s">
        <v>13939</v>
      </c>
      <c r="C6387" s="5">
        <v>36</v>
      </c>
      <c r="D6387" s="5">
        <v>36</v>
      </c>
      <c r="E6387" s="5">
        <v>31</v>
      </c>
      <c r="F6387" s="5">
        <v>78</v>
      </c>
      <c r="G6387" s="6" t="s">
        <v>36</v>
      </c>
      <c r="H6387" s="4" t="s">
        <v>36</v>
      </c>
      <c r="I6387" s="7" t="s">
        <v>36</v>
      </c>
      <c r="J6387" s="3" t="s">
        <v>36</v>
      </c>
      <c r="K6387" s="9" t="s">
        <v>36</v>
      </c>
      <c r="L6387" s="6" t="s">
        <v>122</v>
      </c>
      <c r="M6387" s="3" t="s">
        <v>36</v>
      </c>
      <c r="N6387" s="3" t="s">
        <v>122</v>
      </c>
      <c r="O6387" s="8" t="s">
        <v>36</v>
      </c>
      <c r="P6387" s="3" t="s">
        <v>36</v>
      </c>
      <c r="Q6387" s="3" t="s">
        <v>36</v>
      </c>
      <c r="R6387" s="3" t="s">
        <v>36</v>
      </c>
      <c r="S6387" s="3" t="s">
        <v>2489</v>
      </c>
      <c r="T6387" s="3" t="s">
        <v>13940</v>
      </c>
      <c r="U6387" s="3" t="s">
        <v>318</v>
      </c>
      <c r="V6387" s="3" t="s">
        <v>39</v>
      </c>
      <c r="W6387" s="3" t="s">
        <v>13941</v>
      </c>
      <c r="X6387" s="10" t="s">
        <v>29125</v>
      </c>
      <c r="Y6387" s="6" t="s">
        <v>42</v>
      </c>
      <c r="Z6387" s="4">
        <v>3.77</v>
      </c>
      <c r="AA6387" s="4" t="s">
        <v>36</v>
      </c>
      <c r="AB6387" s="3" t="s">
        <v>43</v>
      </c>
      <c r="AC6387" s="3" t="s">
        <v>13943</v>
      </c>
      <c r="AD6387" s="9">
        <v>42705</v>
      </c>
      <c r="AE6387" s="3" t="s">
        <v>417</v>
      </c>
      <c r="AF6387" s="3" t="s">
        <v>13944</v>
      </c>
      <c r="AG6387" s="3" t="s">
        <v>13945</v>
      </c>
      <c r="AH6387" s="11">
        <f>HYPERLINK("https://my.pitchbook.com?c=79227-37T","View Company Online")</f>
      </c>
    </row>
    <row r="6388">
      <c r="A6388" s="12" t="s">
        <v>29126</v>
      </c>
      <c r="B6388" s="12" t="s">
        <v>29127</v>
      </c>
      <c r="C6388" s="19" t="s">
        <v>36</v>
      </c>
      <c r="D6388" s="19" t="s">
        <v>36</v>
      </c>
      <c r="E6388" s="19" t="s">
        <v>36</v>
      </c>
      <c r="F6388" s="19" t="s">
        <v>36</v>
      </c>
      <c r="G6388" s="15" t="s">
        <v>326</v>
      </c>
      <c r="H6388" s="14">
        <v>2.03</v>
      </c>
      <c r="I6388" s="18">
        <v>30.45</v>
      </c>
      <c r="J6388" s="12" t="s">
        <v>521</v>
      </c>
      <c r="K6388" s="13">
        <v>42696</v>
      </c>
      <c r="L6388" s="15" t="s">
        <v>94</v>
      </c>
      <c r="M6388" s="12" t="s">
        <v>36</v>
      </c>
      <c r="N6388" s="12" t="s">
        <v>94</v>
      </c>
      <c r="O6388" s="17" t="s">
        <v>36</v>
      </c>
      <c r="P6388" s="12" t="s">
        <v>36</v>
      </c>
      <c r="Q6388" s="12" t="s">
        <v>36</v>
      </c>
      <c r="R6388" s="12" t="s">
        <v>36</v>
      </c>
      <c r="S6388" s="12" t="s">
        <v>36</v>
      </c>
      <c r="T6388" s="12" t="s">
        <v>6557</v>
      </c>
      <c r="U6388" s="12" t="s">
        <v>648</v>
      </c>
      <c r="V6388" s="12" t="s">
        <v>64</v>
      </c>
      <c r="W6388" s="12" t="s">
        <v>29128</v>
      </c>
      <c r="X6388" s="16" t="s">
        <v>29129</v>
      </c>
      <c r="Y6388" s="15" t="s">
        <v>192</v>
      </c>
      <c r="Z6388" s="14">
        <v>7.3</v>
      </c>
      <c r="AA6388" s="14">
        <v>23.98</v>
      </c>
      <c r="AB6388" s="12" t="s">
        <v>56</v>
      </c>
      <c r="AC6388" s="12" t="s">
        <v>29130</v>
      </c>
      <c r="AD6388" s="13">
        <v>42705</v>
      </c>
      <c r="AE6388" s="12" t="s">
        <v>1897</v>
      </c>
      <c r="AF6388" s="12" t="s">
        <v>14418</v>
      </c>
      <c r="AG6388" s="12" t="s">
        <v>81</v>
      </c>
      <c r="AH6388" s="1">
        <f>HYPERLINK("https://my.pitchbook.com?c=78924-88T","View Company Online")</f>
      </c>
    </row>
    <row r="6389">
      <c r="A6389" s="3" t="s">
        <v>29131</v>
      </c>
      <c r="B6389" s="3" t="s">
        <v>29132</v>
      </c>
      <c r="C6389" s="5" t="s">
        <v>36</v>
      </c>
      <c r="D6389" s="5" t="s">
        <v>36</v>
      </c>
      <c r="E6389" s="5" t="s">
        <v>36</v>
      </c>
      <c r="F6389" s="5" t="s">
        <v>36</v>
      </c>
      <c r="G6389" s="6" t="s">
        <v>36</v>
      </c>
      <c r="H6389" s="4">
        <v>765.18</v>
      </c>
      <c r="I6389" s="7">
        <v>37.73</v>
      </c>
      <c r="J6389" s="3" t="s">
        <v>521</v>
      </c>
      <c r="K6389" s="9" t="s">
        <v>36</v>
      </c>
      <c r="L6389" s="6" t="s">
        <v>36</v>
      </c>
      <c r="M6389" s="3" t="s">
        <v>36</v>
      </c>
      <c r="N6389" s="3" t="s">
        <v>36</v>
      </c>
      <c r="O6389" s="8" t="s">
        <v>36</v>
      </c>
      <c r="P6389" s="3" t="s">
        <v>36</v>
      </c>
      <c r="Q6389" s="3" t="s">
        <v>36</v>
      </c>
      <c r="R6389" s="3" t="s">
        <v>36</v>
      </c>
      <c r="S6389" s="3" t="s">
        <v>36</v>
      </c>
      <c r="T6389" s="3" t="s">
        <v>522</v>
      </c>
      <c r="U6389" s="3" t="s">
        <v>38</v>
      </c>
      <c r="V6389" s="3" t="s">
        <v>39</v>
      </c>
      <c r="W6389" s="3" t="s">
        <v>29133</v>
      </c>
      <c r="X6389" s="10" t="s">
        <v>29134</v>
      </c>
      <c r="Y6389" s="6" t="s">
        <v>42</v>
      </c>
      <c r="Z6389" s="4">
        <v>3.77</v>
      </c>
      <c r="AA6389" s="4">
        <v>5.71</v>
      </c>
      <c r="AB6389" s="3" t="s">
        <v>43</v>
      </c>
      <c r="AC6389" s="3" t="s">
        <v>29135</v>
      </c>
      <c r="AD6389" s="9">
        <v>42705</v>
      </c>
      <c r="AE6389" s="3" t="s">
        <v>110</v>
      </c>
      <c r="AF6389" s="3" t="s">
        <v>4552</v>
      </c>
      <c r="AG6389" s="3" t="s">
        <v>81</v>
      </c>
      <c r="AH6389" s="11">
        <f>HYPERLINK("https://my.pitchbook.com?c=89463-61T","View Company Online")</f>
      </c>
    </row>
    <row r="6390">
      <c r="A6390" s="12" t="s">
        <v>29136</v>
      </c>
      <c r="B6390" s="12" t="s">
        <v>13126</v>
      </c>
      <c r="C6390" s="19" t="s">
        <v>36</v>
      </c>
      <c r="D6390" s="19" t="s">
        <v>36</v>
      </c>
      <c r="E6390" s="19" t="s">
        <v>36</v>
      </c>
      <c r="F6390" s="19" t="s">
        <v>36</v>
      </c>
      <c r="G6390" s="15" t="s">
        <v>36</v>
      </c>
      <c r="H6390" s="14" t="s">
        <v>36</v>
      </c>
      <c r="I6390" s="18" t="s">
        <v>36</v>
      </c>
      <c r="J6390" s="12" t="s">
        <v>36</v>
      </c>
      <c r="K6390" s="13" t="s">
        <v>36</v>
      </c>
      <c r="L6390" s="15" t="s">
        <v>36</v>
      </c>
      <c r="M6390" s="12" t="s">
        <v>36</v>
      </c>
      <c r="N6390" s="12" t="s">
        <v>36</v>
      </c>
      <c r="O6390" s="17" t="s">
        <v>36</v>
      </c>
      <c r="P6390" s="12" t="s">
        <v>36</v>
      </c>
      <c r="Q6390" s="12" t="s">
        <v>36</v>
      </c>
      <c r="R6390" s="12" t="s">
        <v>36</v>
      </c>
      <c r="S6390" s="12" t="s">
        <v>36</v>
      </c>
      <c r="T6390" s="12" t="s">
        <v>3790</v>
      </c>
      <c r="U6390" s="12" t="s">
        <v>318</v>
      </c>
      <c r="V6390" s="12" t="s">
        <v>39</v>
      </c>
      <c r="W6390" s="12" t="s">
        <v>13127</v>
      </c>
      <c r="X6390" s="16" t="s">
        <v>29137</v>
      </c>
      <c r="Y6390" s="15" t="s">
        <v>42</v>
      </c>
      <c r="Z6390" s="14">
        <v>1.08</v>
      </c>
      <c r="AA6390" s="14" t="s">
        <v>36</v>
      </c>
      <c r="AB6390" s="12" t="s">
        <v>43</v>
      </c>
      <c r="AC6390" s="12" t="s">
        <v>13129</v>
      </c>
      <c r="AD6390" s="13">
        <v>42705</v>
      </c>
      <c r="AE6390" s="12" t="s">
        <v>763</v>
      </c>
      <c r="AF6390" s="12" t="s">
        <v>4668</v>
      </c>
      <c r="AG6390" s="12" t="s">
        <v>81</v>
      </c>
      <c r="AH6390" s="1">
        <f>HYPERLINK("https://my.pitchbook.com?c=108698-50T","View Company Online")</f>
      </c>
    </row>
    <row r="6391">
      <c r="A6391" s="3" t="s">
        <v>29138</v>
      </c>
      <c r="B6391" s="3" t="s">
        <v>29139</v>
      </c>
      <c r="C6391" s="5" t="s">
        <v>36</v>
      </c>
      <c r="D6391" s="5" t="s">
        <v>36</v>
      </c>
      <c r="E6391" s="5" t="s">
        <v>36</v>
      </c>
      <c r="F6391" s="5" t="s">
        <v>36</v>
      </c>
      <c r="G6391" s="6" t="s">
        <v>36</v>
      </c>
      <c r="H6391" s="4" t="s">
        <v>36</v>
      </c>
      <c r="I6391" s="7" t="s">
        <v>36</v>
      </c>
      <c r="J6391" s="3" t="s">
        <v>36</v>
      </c>
      <c r="K6391" s="9" t="s">
        <v>36</v>
      </c>
      <c r="L6391" s="6" t="s">
        <v>36</v>
      </c>
      <c r="M6391" s="3" t="s">
        <v>36</v>
      </c>
      <c r="N6391" s="3" t="s">
        <v>36</v>
      </c>
      <c r="O6391" s="8" t="s">
        <v>36</v>
      </c>
      <c r="P6391" s="3" t="s">
        <v>36</v>
      </c>
      <c r="Q6391" s="3" t="s">
        <v>36</v>
      </c>
      <c r="R6391" s="3" t="s">
        <v>36</v>
      </c>
      <c r="S6391" s="3" t="s">
        <v>36</v>
      </c>
      <c r="T6391" s="3" t="s">
        <v>105</v>
      </c>
      <c r="U6391" s="3" t="s">
        <v>38</v>
      </c>
      <c r="V6391" s="3" t="s">
        <v>39</v>
      </c>
      <c r="W6391" s="3" t="s">
        <v>29140</v>
      </c>
      <c r="X6391" s="10" t="s">
        <v>29141</v>
      </c>
      <c r="Y6391" s="6" t="s">
        <v>55</v>
      </c>
      <c r="Z6391" s="4">
        <v>2.48</v>
      </c>
      <c r="AA6391" s="4" t="s">
        <v>36</v>
      </c>
      <c r="AB6391" s="3" t="s">
        <v>56</v>
      </c>
      <c r="AC6391" s="3" t="s">
        <v>29142</v>
      </c>
      <c r="AD6391" s="9">
        <v>42704</v>
      </c>
      <c r="AE6391" s="3" t="s">
        <v>110</v>
      </c>
      <c r="AF6391" s="3" t="s">
        <v>5001</v>
      </c>
      <c r="AG6391" s="3" t="s">
        <v>47</v>
      </c>
      <c r="AH6391" s="11">
        <f>HYPERLINK("https://my.pitchbook.com?c=79288-75T","View Company Online")</f>
      </c>
    </row>
    <row r="6392">
      <c r="A6392" s="12" t="s">
        <v>29143</v>
      </c>
      <c r="B6392" s="12" t="s">
        <v>29144</v>
      </c>
      <c r="C6392" s="19" t="s">
        <v>36</v>
      </c>
      <c r="D6392" s="19" t="s">
        <v>36</v>
      </c>
      <c r="E6392" s="19" t="s">
        <v>36</v>
      </c>
      <c r="F6392" s="19" t="s">
        <v>36</v>
      </c>
      <c r="G6392" s="15" t="s">
        <v>36</v>
      </c>
      <c r="H6392" s="14">
        <v>230.31</v>
      </c>
      <c r="I6392" s="18">
        <v>28.53</v>
      </c>
      <c r="J6392" s="12" t="s">
        <v>521</v>
      </c>
      <c r="K6392" s="13" t="s">
        <v>36</v>
      </c>
      <c r="L6392" s="15" t="s">
        <v>36</v>
      </c>
      <c r="M6392" s="12" t="s">
        <v>36</v>
      </c>
      <c r="N6392" s="12" t="s">
        <v>36</v>
      </c>
      <c r="O6392" s="17" t="s">
        <v>36</v>
      </c>
      <c r="P6392" s="12" t="s">
        <v>36</v>
      </c>
      <c r="Q6392" s="12" t="s">
        <v>36</v>
      </c>
      <c r="R6392" s="12" t="s">
        <v>36</v>
      </c>
      <c r="S6392" s="12" t="s">
        <v>36</v>
      </c>
      <c r="T6392" s="12" t="s">
        <v>29145</v>
      </c>
      <c r="U6392" s="12" t="s">
        <v>38</v>
      </c>
      <c r="V6392" s="12" t="s">
        <v>39</v>
      </c>
      <c r="W6392" s="12" t="s">
        <v>29146</v>
      </c>
      <c r="X6392" s="16" t="s">
        <v>29147</v>
      </c>
      <c r="Y6392" s="15" t="s">
        <v>42</v>
      </c>
      <c r="Z6392" s="14">
        <v>8.38</v>
      </c>
      <c r="AA6392" s="14">
        <v>29.35</v>
      </c>
      <c r="AB6392" s="12" t="s">
        <v>43</v>
      </c>
      <c r="AC6392" s="12" t="s">
        <v>29148</v>
      </c>
      <c r="AD6392" s="13">
        <v>42704</v>
      </c>
      <c r="AE6392" s="12" t="s">
        <v>110</v>
      </c>
      <c r="AF6392" s="12" t="s">
        <v>16257</v>
      </c>
      <c r="AG6392" s="12" t="s">
        <v>81</v>
      </c>
      <c r="AH6392" s="1">
        <f>HYPERLINK("https://my.pitchbook.com?c=123351-04T","View Company Online")</f>
      </c>
    </row>
    <row r="6393">
      <c r="A6393" s="3" t="s">
        <v>29149</v>
      </c>
      <c r="B6393" s="3" t="s">
        <v>29150</v>
      </c>
      <c r="C6393" s="5" t="s">
        <v>36</v>
      </c>
      <c r="D6393" s="5" t="s">
        <v>36</v>
      </c>
      <c r="E6393" s="5" t="s">
        <v>36</v>
      </c>
      <c r="F6393" s="5" t="s">
        <v>36</v>
      </c>
      <c r="G6393" s="6" t="s">
        <v>326</v>
      </c>
      <c r="H6393" s="4">
        <v>40.46</v>
      </c>
      <c r="I6393" s="7">
        <v>19.75</v>
      </c>
      <c r="J6393" s="3" t="s">
        <v>521</v>
      </c>
      <c r="K6393" s="9" t="s">
        <v>36</v>
      </c>
      <c r="L6393" s="6" t="s">
        <v>36</v>
      </c>
      <c r="M6393" s="3" t="s">
        <v>36</v>
      </c>
      <c r="N6393" s="3" t="s">
        <v>36</v>
      </c>
      <c r="O6393" s="8" t="s">
        <v>36</v>
      </c>
      <c r="P6393" s="3" t="s">
        <v>36</v>
      </c>
      <c r="Q6393" s="3" t="s">
        <v>36</v>
      </c>
      <c r="R6393" s="3" t="s">
        <v>36</v>
      </c>
      <c r="S6393" s="3" t="s">
        <v>36</v>
      </c>
      <c r="T6393" s="3" t="s">
        <v>5377</v>
      </c>
      <c r="U6393" s="3" t="s">
        <v>38</v>
      </c>
      <c r="V6393" s="3" t="s">
        <v>39</v>
      </c>
      <c r="W6393" s="3" t="s">
        <v>29151</v>
      </c>
      <c r="X6393" s="10" t="s">
        <v>26647</v>
      </c>
      <c r="Y6393" s="6" t="s">
        <v>55</v>
      </c>
      <c r="Z6393" s="4">
        <v>0.75</v>
      </c>
      <c r="AA6393" s="4">
        <v>3.82</v>
      </c>
      <c r="AB6393" s="3" t="s">
        <v>56</v>
      </c>
      <c r="AC6393" s="3" t="s">
        <v>29152</v>
      </c>
      <c r="AD6393" s="9">
        <v>42704</v>
      </c>
      <c r="AE6393" s="3" t="s">
        <v>1200</v>
      </c>
      <c r="AF6393" s="3" t="s">
        <v>176</v>
      </c>
      <c r="AG6393" s="3" t="s">
        <v>3188</v>
      </c>
      <c r="AH6393" s="11">
        <f>HYPERLINK("https://my.pitchbook.com?c=212748-04T","View Company Online")</f>
      </c>
    </row>
    <row r="6394">
      <c r="A6394" s="12" t="s">
        <v>29153</v>
      </c>
      <c r="B6394" s="12" t="s">
        <v>1063</v>
      </c>
      <c r="C6394" s="19">
        <v>23</v>
      </c>
      <c r="D6394" s="19">
        <v>334</v>
      </c>
      <c r="E6394" s="19">
        <v>107</v>
      </c>
      <c r="F6394" s="19">
        <v>391</v>
      </c>
      <c r="G6394" s="15" t="s">
        <v>326</v>
      </c>
      <c r="H6394" s="14">
        <v>403.03</v>
      </c>
      <c r="I6394" s="18">
        <v>29.65</v>
      </c>
      <c r="J6394" s="12" t="s">
        <v>521</v>
      </c>
      <c r="K6394" s="13" t="s">
        <v>36</v>
      </c>
      <c r="L6394" s="15" t="s">
        <v>1279</v>
      </c>
      <c r="M6394" s="12" t="s">
        <v>36</v>
      </c>
      <c r="N6394" s="12" t="s">
        <v>1279</v>
      </c>
      <c r="O6394" s="17" t="s">
        <v>36</v>
      </c>
      <c r="P6394" s="12" t="s">
        <v>36</v>
      </c>
      <c r="Q6394" s="12" t="s">
        <v>36</v>
      </c>
      <c r="R6394" s="12" t="s">
        <v>36</v>
      </c>
      <c r="S6394" s="12" t="s">
        <v>36</v>
      </c>
      <c r="T6394" s="12" t="s">
        <v>1064</v>
      </c>
      <c r="U6394" s="12" t="s">
        <v>833</v>
      </c>
      <c r="V6394" s="12" t="s">
        <v>64</v>
      </c>
      <c r="W6394" s="12" t="s">
        <v>1065</v>
      </c>
      <c r="X6394" s="16" t="s">
        <v>29154</v>
      </c>
      <c r="Y6394" s="15" t="s">
        <v>55</v>
      </c>
      <c r="Z6394" s="14">
        <v>108.53</v>
      </c>
      <c r="AA6394" s="14">
        <v>366.09</v>
      </c>
      <c r="AB6394" s="12" t="s">
        <v>56</v>
      </c>
      <c r="AC6394" s="12" t="s">
        <v>1068</v>
      </c>
      <c r="AD6394" s="13">
        <v>42703</v>
      </c>
      <c r="AE6394" s="12" t="s">
        <v>1069</v>
      </c>
      <c r="AF6394" s="12" t="s">
        <v>1070</v>
      </c>
      <c r="AG6394" s="12" t="s">
        <v>81</v>
      </c>
      <c r="AH6394" s="1">
        <f>HYPERLINK("https://my.pitchbook.com?c=79080-94T","View Company Online")</f>
      </c>
    </row>
    <row r="6395">
      <c r="A6395" s="3" t="s">
        <v>29155</v>
      </c>
      <c r="B6395" s="3" t="s">
        <v>23142</v>
      </c>
      <c r="C6395" s="5" t="s">
        <v>36</v>
      </c>
      <c r="D6395" s="5" t="s">
        <v>36</v>
      </c>
      <c r="E6395" s="5" t="s">
        <v>36</v>
      </c>
      <c r="F6395" s="5" t="s">
        <v>36</v>
      </c>
      <c r="G6395" s="6" t="s">
        <v>36</v>
      </c>
      <c r="H6395" s="4">
        <v>83.09</v>
      </c>
      <c r="I6395" s="7">
        <v>29.41</v>
      </c>
      <c r="J6395" s="3" t="s">
        <v>521</v>
      </c>
      <c r="K6395" s="9">
        <v>42641</v>
      </c>
      <c r="L6395" s="6" t="s">
        <v>36</v>
      </c>
      <c r="M6395" s="3" t="s">
        <v>36</v>
      </c>
      <c r="N6395" s="3" t="s">
        <v>36</v>
      </c>
      <c r="O6395" s="8" t="s">
        <v>36</v>
      </c>
      <c r="P6395" s="3" t="s">
        <v>36</v>
      </c>
      <c r="Q6395" s="3" t="s">
        <v>36</v>
      </c>
      <c r="R6395" s="3" t="s">
        <v>36</v>
      </c>
      <c r="S6395" s="3" t="s">
        <v>36</v>
      </c>
      <c r="T6395" s="3" t="s">
        <v>6989</v>
      </c>
      <c r="U6395" s="3" t="s">
        <v>63</v>
      </c>
      <c r="V6395" s="3" t="s">
        <v>64</v>
      </c>
      <c r="W6395" s="3" t="s">
        <v>23143</v>
      </c>
      <c r="X6395" s="10" t="s">
        <v>29156</v>
      </c>
      <c r="Y6395" s="6" t="s">
        <v>42</v>
      </c>
      <c r="Z6395" s="4">
        <v>0.54</v>
      </c>
      <c r="AA6395" s="4">
        <v>1.83</v>
      </c>
      <c r="AB6395" s="3" t="s">
        <v>43</v>
      </c>
      <c r="AC6395" s="3" t="s">
        <v>23145</v>
      </c>
      <c r="AD6395" s="9">
        <v>42703</v>
      </c>
      <c r="AE6395" s="3" t="s">
        <v>68</v>
      </c>
      <c r="AF6395" s="3" t="s">
        <v>36</v>
      </c>
      <c r="AG6395" s="3" t="s">
        <v>81</v>
      </c>
      <c r="AH6395" s="11">
        <f>HYPERLINK("https://my.pitchbook.com?c=83008-54T","View Company Online")</f>
      </c>
    </row>
    <row r="6396">
      <c r="A6396" s="12" t="s">
        <v>29157</v>
      </c>
      <c r="B6396" s="12" t="s">
        <v>29158</v>
      </c>
      <c r="C6396" s="19" t="s">
        <v>36</v>
      </c>
      <c r="D6396" s="19" t="s">
        <v>36</v>
      </c>
      <c r="E6396" s="19" t="s">
        <v>36</v>
      </c>
      <c r="F6396" s="19" t="s">
        <v>36</v>
      </c>
      <c r="G6396" s="15" t="s">
        <v>36</v>
      </c>
      <c r="H6396" s="14">
        <v>0.83</v>
      </c>
      <c r="I6396" s="18">
        <v>24.53</v>
      </c>
      <c r="J6396" s="12" t="s">
        <v>521</v>
      </c>
      <c r="K6396" s="13" t="s">
        <v>36</v>
      </c>
      <c r="L6396" s="15" t="s">
        <v>36</v>
      </c>
      <c r="M6396" s="12" t="s">
        <v>36</v>
      </c>
      <c r="N6396" s="12" t="s">
        <v>36</v>
      </c>
      <c r="O6396" s="17" t="s">
        <v>36</v>
      </c>
      <c r="P6396" s="12" t="s">
        <v>36</v>
      </c>
      <c r="Q6396" s="12" t="s">
        <v>36</v>
      </c>
      <c r="R6396" s="12" t="s">
        <v>36</v>
      </c>
      <c r="S6396" s="12" t="s">
        <v>36</v>
      </c>
      <c r="T6396" s="12" t="s">
        <v>29159</v>
      </c>
      <c r="U6396" s="12" t="s">
        <v>38</v>
      </c>
      <c r="V6396" s="12" t="s">
        <v>39</v>
      </c>
      <c r="W6396" s="12" t="s">
        <v>29160</v>
      </c>
      <c r="X6396" s="16" t="s">
        <v>29161</v>
      </c>
      <c r="Y6396" s="15" t="s">
        <v>42</v>
      </c>
      <c r="Z6396" s="14">
        <v>1.4</v>
      </c>
      <c r="AA6396" s="14">
        <v>5.72</v>
      </c>
      <c r="AB6396" s="12" t="s">
        <v>43</v>
      </c>
      <c r="AC6396" s="12" t="s">
        <v>29162</v>
      </c>
      <c r="AD6396" s="13">
        <v>42703</v>
      </c>
      <c r="AE6396" s="12" t="s">
        <v>45</v>
      </c>
      <c r="AF6396" s="12" t="s">
        <v>29163</v>
      </c>
      <c r="AG6396" s="12" t="s">
        <v>332</v>
      </c>
      <c r="AH6396" s="1">
        <f>HYPERLINK("https://my.pitchbook.com?c=68157-28T","View Company Online")</f>
      </c>
    </row>
    <row r="6397">
      <c r="A6397" s="3" t="s">
        <v>29164</v>
      </c>
      <c r="B6397" s="3" t="s">
        <v>10693</v>
      </c>
      <c r="C6397" s="5" t="s">
        <v>36</v>
      </c>
      <c r="D6397" s="5" t="s">
        <v>36</v>
      </c>
      <c r="E6397" s="5" t="s">
        <v>36</v>
      </c>
      <c r="F6397" s="5" t="s">
        <v>36</v>
      </c>
      <c r="G6397" s="6" t="s">
        <v>36</v>
      </c>
      <c r="H6397" s="4">
        <v>7.76</v>
      </c>
      <c r="I6397" s="7">
        <v>20.79</v>
      </c>
      <c r="J6397" s="3" t="s">
        <v>521</v>
      </c>
      <c r="K6397" s="9" t="s">
        <v>36</v>
      </c>
      <c r="L6397" s="6" t="s">
        <v>36</v>
      </c>
      <c r="M6397" s="3" t="s">
        <v>36</v>
      </c>
      <c r="N6397" s="3" t="s">
        <v>36</v>
      </c>
      <c r="O6397" s="8" t="s">
        <v>36</v>
      </c>
      <c r="P6397" s="3" t="s">
        <v>36</v>
      </c>
      <c r="Q6397" s="3" t="s">
        <v>36</v>
      </c>
      <c r="R6397" s="3" t="s">
        <v>36</v>
      </c>
      <c r="S6397" s="3" t="s">
        <v>36</v>
      </c>
      <c r="T6397" s="3" t="s">
        <v>10694</v>
      </c>
      <c r="U6397" s="3" t="s">
        <v>74</v>
      </c>
      <c r="V6397" s="3" t="s">
        <v>75</v>
      </c>
      <c r="W6397" s="3" t="s">
        <v>10695</v>
      </c>
      <c r="X6397" s="10" t="s">
        <v>29165</v>
      </c>
      <c r="Y6397" s="6" t="s">
        <v>55</v>
      </c>
      <c r="Z6397" s="4">
        <v>3.24</v>
      </c>
      <c r="AA6397" s="4">
        <v>9.74</v>
      </c>
      <c r="AB6397" s="3" t="s">
        <v>43</v>
      </c>
      <c r="AC6397" s="3" t="s">
        <v>10697</v>
      </c>
      <c r="AD6397" s="9">
        <v>42703</v>
      </c>
      <c r="AE6397" s="3" t="s">
        <v>79</v>
      </c>
      <c r="AF6397" s="3" t="s">
        <v>815</v>
      </c>
      <c r="AG6397" s="3" t="s">
        <v>81</v>
      </c>
      <c r="AH6397" s="11">
        <f>HYPERLINK("https://my.pitchbook.com?c=79424-74T","View Company Online")</f>
      </c>
    </row>
    <row r="6398">
      <c r="A6398" s="12" t="s">
        <v>29166</v>
      </c>
      <c r="B6398" s="12" t="s">
        <v>29167</v>
      </c>
      <c r="C6398" s="19" t="s">
        <v>36</v>
      </c>
      <c r="D6398" s="19" t="s">
        <v>36</v>
      </c>
      <c r="E6398" s="19" t="s">
        <v>36</v>
      </c>
      <c r="F6398" s="19" t="s">
        <v>36</v>
      </c>
      <c r="G6398" s="15" t="s">
        <v>36</v>
      </c>
      <c r="H6398" s="14" t="s">
        <v>36</v>
      </c>
      <c r="I6398" s="18" t="s">
        <v>36</v>
      </c>
      <c r="J6398" s="12" t="s">
        <v>36</v>
      </c>
      <c r="K6398" s="13">
        <v>42558</v>
      </c>
      <c r="L6398" s="15" t="s">
        <v>36</v>
      </c>
      <c r="M6398" s="12" t="s">
        <v>36</v>
      </c>
      <c r="N6398" s="12" t="s">
        <v>36</v>
      </c>
      <c r="O6398" s="17" t="s">
        <v>36</v>
      </c>
      <c r="P6398" s="12" t="s">
        <v>36</v>
      </c>
      <c r="Q6398" s="12" t="s">
        <v>36</v>
      </c>
      <c r="R6398" s="12" t="s">
        <v>36</v>
      </c>
      <c r="S6398" s="12" t="s">
        <v>36</v>
      </c>
      <c r="T6398" s="12" t="s">
        <v>29168</v>
      </c>
      <c r="U6398" s="12" t="s">
        <v>833</v>
      </c>
      <c r="V6398" s="12" t="s">
        <v>64</v>
      </c>
      <c r="W6398" s="12" t="s">
        <v>29169</v>
      </c>
      <c r="X6398" s="16" t="s">
        <v>29170</v>
      </c>
      <c r="Y6398" s="15" t="s">
        <v>42</v>
      </c>
      <c r="Z6398" s="14">
        <v>5.4</v>
      </c>
      <c r="AA6398" s="14" t="s">
        <v>36</v>
      </c>
      <c r="AB6398" s="12" t="s">
        <v>56</v>
      </c>
      <c r="AC6398" s="12" t="s">
        <v>29171</v>
      </c>
      <c r="AD6398" s="13">
        <v>42703</v>
      </c>
      <c r="AE6398" s="12" t="s">
        <v>3615</v>
      </c>
      <c r="AF6398" s="12" t="s">
        <v>546</v>
      </c>
      <c r="AG6398" s="12" t="s">
        <v>392</v>
      </c>
      <c r="AH6398" s="1">
        <f>HYPERLINK("https://my.pitchbook.com?c=72748-27T","View Company Online")</f>
      </c>
    </row>
    <row r="6399">
      <c r="A6399" s="3" t="s">
        <v>29172</v>
      </c>
      <c r="B6399" s="3" t="s">
        <v>27260</v>
      </c>
      <c r="C6399" s="5">
        <v>1</v>
      </c>
      <c r="D6399" s="5">
        <v>2</v>
      </c>
      <c r="E6399" s="5">
        <v>1</v>
      </c>
      <c r="F6399" s="5">
        <v>3</v>
      </c>
      <c r="G6399" s="6" t="s">
        <v>36</v>
      </c>
      <c r="H6399" s="4">
        <v>1.45</v>
      </c>
      <c r="I6399" s="7">
        <v>32.07</v>
      </c>
      <c r="J6399" s="3" t="s">
        <v>521</v>
      </c>
      <c r="K6399" s="9">
        <v>42088</v>
      </c>
      <c r="L6399" s="6" t="s">
        <v>36</v>
      </c>
      <c r="M6399" s="3" t="s">
        <v>36</v>
      </c>
      <c r="N6399" s="3" t="s">
        <v>36</v>
      </c>
      <c r="O6399" s="8" t="s">
        <v>36</v>
      </c>
      <c r="P6399" s="3" t="s">
        <v>36</v>
      </c>
      <c r="Q6399" s="3" t="s">
        <v>36</v>
      </c>
      <c r="R6399" s="3" t="s">
        <v>36</v>
      </c>
      <c r="S6399" s="3" t="s">
        <v>36</v>
      </c>
      <c r="T6399" s="3" t="s">
        <v>4917</v>
      </c>
      <c r="U6399" s="3" t="s">
        <v>38</v>
      </c>
      <c r="V6399" s="3" t="s">
        <v>39</v>
      </c>
      <c r="W6399" s="3" t="s">
        <v>27261</v>
      </c>
      <c r="X6399" s="10" t="s">
        <v>29173</v>
      </c>
      <c r="Y6399" s="6" t="s">
        <v>42</v>
      </c>
      <c r="Z6399" s="4">
        <v>0.71</v>
      </c>
      <c r="AA6399" s="4">
        <v>2.23</v>
      </c>
      <c r="AB6399" s="3" t="s">
        <v>43</v>
      </c>
      <c r="AC6399" s="3" t="s">
        <v>27262</v>
      </c>
      <c r="AD6399" s="9">
        <v>42702</v>
      </c>
      <c r="AE6399" s="3" t="s">
        <v>134</v>
      </c>
      <c r="AF6399" s="3" t="s">
        <v>27263</v>
      </c>
      <c r="AG6399" s="3" t="s">
        <v>652</v>
      </c>
      <c r="AH6399" s="11">
        <f>HYPERLINK("https://my.pitchbook.com?c=84952-72T","View Company Online")</f>
      </c>
    </row>
    <row r="6400">
      <c r="A6400" s="12" t="s">
        <v>29174</v>
      </c>
      <c r="B6400" s="12" t="s">
        <v>27437</v>
      </c>
      <c r="C6400" s="19" t="s">
        <v>36</v>
      </c>
      <c r="D6400" s="19" t="s">
        <v>36</v>
      </c>
      <c r="E6400" s="19" t="s">
        <v>36</v>
      </c>
      <c r="F6400" s="19" t="s">
        <v>36</v>
      </c>
      <c r="G6400" s="15" t="s">
        <v>36</v>
      </c>
      <c r="H6400" s="14" t="s">
        <v>36</v>
      </c>
      <c r="I6400" s="18" t="s">
        <v>36</v>
      </c>
      <c r="J6400" s="12" t="s">
        <v>36</v>
      </c>
      <c r="K6400" s="13" t="s">
        <v>36</v>
      </c>
      <c r="L6400" s="15" t="s">
        <v>36</v>
      </c>
      <c r="M6400" s="12" t="s">
        <v>36</v>
      </c>
      <c r="N6400" s="12" t="s">
        <v>36</v>
      </c>
      <c r="O6400" s="17" t="s">
        <v>36</v>
      </c>
      <c r="P6400" s="12" t="s">
        <v>36</v>
      </c>
      <c r="Q6400" s="12" t="s">
        <v>36</v>
      </c>
      <c r="R6400" s="12" t="s">
        <v>36</v>
      </c>
      <c r="S6400" s="12" t="s">
        <v>36</v>
      </c>
      <c r="T6400" s="12" t="s">
        <v>27438</v>
      </c>
      <c r="U6400" s="12" t="s">
        <v>289</v>
      </c>
      <c r="V6400" s="12" t="s">
        <v>64</v>
      </c>
      <c r="W6400" s="12" t="s">
        <v>27439</v>
      </c>
      <c r="X6400" s="16" t="s">
        <v>29175</v>
      </c>
      <c r="Y6400" s="15" t="s">
        <v>55</v>
      </c>
      <c r="Z6400" s="14">
        <v>1.62</v>
      </c>
      <c r="AA6400" s="14" t="s">
        <v>36</v>
      </c>
      <c r="AB6400" s="12" t="s">
        <v>56</v>
      </c>
      <c r="AC6400" s="12" t="s">
        <v>27441</v>
      </c>
      <c r="AD6400" s="13">
        <v>42702</v>
      </c>
      <c r="AE6400" s="12" t="s">
        <v>292</v>
      </c>
      <c r="AF6400" s="12" t="s">
        <v>2118</v>
      </c>
      <c r="AG6400" s="12" t="s">
        <v>2133</v>
      </c>
      <c r="AH6400" s="1">
        <f>HYPERLINK("https://my.pitchbook.com?c=79129-99T","View Company Online")</f>
      </c>
    </row>
    <row r="6401">
      <c r="A6401" s="3" t="s">
        <v>29176</v>
      </c>
      <c r="B6401" s="3" t="s">
        <v>17554</v>
      </c>
      <c r="C6401" s="5" t="s">
        <v>36</v>
      </c>
      <c r="D6401" s="5">
        <v>55</v>
      </c>
      <c r="E6401" s="5">
        <v>17</v>
      </c>
      <c r="F6401" s="5">
        <v>58</v>
      </c>
      <c r="G6401" s="6" t="s">
        <v>326</v>
      </c>
      <c r="H6401" s="4">
        <v>1.87</v>
      </c>
      <c r="I6401" s="7">
        <v>38.77</v>
      </c>
      <c r="J6401" s="3" t="s">
        <v>521</v>
      </c>
      <c r="K6401" s="9">
        <v>42005</v>
      </c>
      <c r="L6401" s="6" t="s">
        <v>36</v>
      </c>
      <c r="M6401" s="3" t="s">
        <v>36</v>
      </c>
      <c r="N6401" s="3" t="s">
        <v>36</v>
      </c>
      <c r="O6401" s="8" t="s">
        <v>36</v>
      </c>
      <c r="P6401" s="3" t="s">
        <v>36</v>
      </c>
      <c r="Q6401" s="3" t="s">
        <v>36</v>
      </c>
      <c r="R6401" s="3" t="s">
        <v>36</v>
      </c>
      <c r="S6401" s="3" t="s">
        <v>36</v>
      </c>
      <c r="T6401" s="3" t="s">
        <v>17555</v>
      </c>
      <c r="U6401" s="3" t="s">
        <v>366</v>
      </c>
      <c r="V6401" s="3" t="s">
        <v>367</v>
      </c>
      <c r="W6401" s="3" t="s">
        <v>17556</v>
      </c>
      <c r="X6401" s="10" t="s">
        <v>29177</v>
      </c>
      <c r="Y6401" s="6" t="s">
        <v>108</v>
      </c>
      <c r="Z6401" s="4">
        <v>6.48</v>
      </c>
      <c r="AA6401" s="4">
        <v>16.72</v>
      </c>
      <c r="AB6401" s="3" t="s">
        <v>56</v>
      </c>
      <c r="AC6401" s="3" t="s">
        <v>17558</v>
      </c>
      <c r="AD6401" s="9">
        <v>42702</v>
      </c>
      <c r="AE6401" s="3" t="s">
        <v>600</v>
      </c>
      <c r="AF6401" s="3" t="s">
        <v>17559</v>
      </c>
      <c r="AG6401" s="3" t="s">
        <v>3508</v>
      </c>
      <c r="AH6401" s="11">
        <f>HYPERLINK("https://my.pitchbook.com?c=79412-05T","View Company Online")</f>
      </c>
    </row>
    <row r="6402">
      <c r="A6402" s="12" t="s">
        <v>29178</v>
      </c>
      <c r="B6402" s="12" t="s">
        <v>21011</v>
      </c>
      <c r="C6402" s="19" t="s">
        <v>36</v>
      </c>
      <c r="D6402" s="19" t="s">
        <v>36</v>
      </c>
      <c r="E6402" s="19" t="s">
        <v>36</v>
      </c>
      <c r="F6402" s="19" t="s">
        <v>36</v>
      </c>
      <c r="G6402" s="15" t="s">
        <v>36</v>
      </c>
      <c r="H6402" s="14" t="s">
        <v>36</v>
      </c>
      <c r="I6402" s="18" t="s">
        <v>36</v>
      </c>
      <c r="J6402" s="12" t="s">
        <v>36</v>
      </c>
      <c r="K6402" s="13" t="s">
        <v>36</v>
      </c>
      <c r="L6402" s="15" t="s">
        <v>36</v>
      </c>
      <c r="M6402" s="12" t="s">
        <v>36</v>
      </c>
      <c r="N6402" s="12" t="s">
        <v>36</v>
      </c>
      <c r="O6402" s="17" t="s">
        <v>36</v>
      </c>
      <c r="P6402" s="12" t="s">
        <v>36</v>
      </c>
      <c r="Q6402" s="12" t="s">
        <v>36</v>
      </c>
      <c r="R6402" s="12" t="s">
        <v>36</v>
      </c>
      <c r="S6402" s="12" t="s">
        <v>36</v>
      </c>
      <c r="T6402" s="12" t="s">
        <v>123</v>
      </c>
      <c r="U6402" s="12" t="s">
        <v>38</v>
      </c>
      <c r="V6402" s="12" t="s">
        <v>39</v>
      </c>
      <c r="W6402" s="12" t="s">
        <v>21012</v>
      </c>
      <c r="X6402" s="16" t="s">
        <v>29179</v>
      </c>
      <c r="Y6402" s="15" t="s">
        <v>42</v>
      </c>
      <c r="Z6402" s="14">
        <v>0.28</v>
      </c>
      <c r="AA6402" s="14" t="s">
        <v>36</v>
      </c>
      <c r="AB6402" s="12" t="s">
        <v>43</v>
      </c>
      <c r="AC6402" s="12" t="s">
        <v>21014</v>
      </c>
      <c r="AD6402" s="13">
        <v>42700</v>
      </c>
      <c r="AE6402" s="12" t="s">
        <v>110</v>
      </c>
      <c r="AF6402" s="12" t="s">
        <v>815</v>
      </c>
      <c r="AG6402" s="12" t="s">
        <v>21015</v>
      </c>
      <c r="AH6402" s="1">
        <f>HYPERLINK("https://my.pitchbook.com?c=116698-69T","View Company Online")</f>
      </c>
    </row>
    <row r="6403">
      <c r="A6403" s="3" t="s">
        <v>29180</v>
      </c>
      <c r="B6403" s="3" t="s">
        <v>27561</v>
      </c>
      <c r="C6403" s="5" t="s">
        <v>36</v>
      </c>
      <c r="D6403" s="5" t="s">
        <v>36</v>
      </c>
      <c r="E6403" s="5" t="s">
        <v>36</v>
      </c>
      <c r="F6403" s="5" t="s">
        <v>36</v>
      </c>
      <c r="G6403" s="6" t="s">
        <v>36</v>
      </c>
      <c r="H6403" s="4">
        <v>26.17</v>
      </c>
      <c r="I6403" s="7">
        <v>26.68</v>
      </c>
      <c r="J6403" s="3" t="s">
        <v>521</v>
      </c>
      <c r="K6403" s="9">
        <v>42695</v>
      </c>
      <c r="L6403" s="6" t="s">
        <v>36</v>
      </c>
      <c r="M6403" s="3" t="s">
        <v>36</v>
      </c>
      <c r="N6403" s="3" t="s">
        <v>36</v>
      </c>
      <c r="O6403" s="8" t="s">
        <v>36</v>
      </c>
      <c r="P6403" s="3" t="s">
        <v>36</v>
      </c>
      <c r="Q6403" s="3" t="s">
        <v>36</v>
      </c>
      <c r="R6403" s="3" t="s">
        <v>36</v>
      </c>
      <c r="S6403" s="3" t="s">
        <v>36</v>
      </c>
      <c r="T6403" s="3" t="s">
        <v>522</v>
      </c>
      <c r="U6403" s="3" t="s">
        <v>38</v>
      </c>
      <c r="V6403" s="3" t="s">
        <v>39</v>
      </c>
      <c r="W6403" s="3" t="s">
        <v>27562</v>
      </c>
      <c r="X6403" s="10" t="s">
        <v>29181</v>
      </c>
      <c r="Y6403" s="6" t="s">
        <v>42</v>
      </c>
      <c r="Z6403" s="4">
        <v>1.09</v>
      </c>
      <c r="AA6403" s="4">
        <v>4.1</v>
      </c>
      <c r="AB6403" s="3" t="s">
        <v>43</v>
      </c>
      <c r="AC6403" s="3" t="s">
        <v>27564</v>
      </c>
      <c r="AD6403" s="9">
        <v>42698</v>
      </c>
      <c r="AE6403" s="3" t="s">
        <v>110</v>
      </c>
      <c r="AF6403" s="3" t="s">
        <v>27565</v>
      </c>
      <c r="AG6403" s="3" t="s">
        <v>81</v>
      </c>
      <c r="AH6403" s="11">
        <f>HYPERLINK("https://my.pitchbook.com?c=78818-59T","View Company Online")</f>
      </c>
    </row>
    <row r="6404">
      <c r="A6404" s="12" t="s">
        <v>29182</v>
      </c>
      <c r="B6404" s="12" t="s">
        <v>23968</v>
      </c>
      <c r="C6404" s="19" t="s">
        <v>36</v>
      </c>
      <c r="D6404" s="19">
        <v>2</v>
      </c>
      <c r="E6404" s="19">
        <v>2</v>
      </c>
      <c r="F6404" s="19">
        <v>8</v>
      </c>
      <c r="G6404" s="15" t="s">
        <v>36</v>
      </c>
      <c r="H6404" s="14" t="s">
        <v>36</v>
      </c>
      <c r="I6404" s="18" t="s">
        <v>36</v>
      </c>
      <c r="J6404" s="12" t="s">
        <v>36</v>
      </c>
      <c r="K6404" s="13">
        <v>42425</v>
      </c>
      <c r="L6404" s="15" t="s">
        <v>36</v>
      </c>
      <c r="M6404" s="12" t="s">
        <v>36</v>
      </c>
      <c r="N6404" s="12" t="s">
        <v>36</v>
      </c>
      <c r="O6404" s="17" t="s">
        <v>36</v>
      </c>
      <c r="P6404" s="12" t="s">
        <v>36</v>
      </c>
      <c r="Q6404" s="12" t="s">
        <v>36</v>
      </c>
      <c r="R6404" s="12" t="s">
        <v>36</v>
      </c>
      <c r="S6404" s="12" t="s">
        <v>2699</v>
      </c>
      <c r="T6404" s="12" t="s">
        <v>23969</v>
      </c>
      <c r="U6404" s="12" t="s">
        <v>619</v>
      </c>
      <c r="V6404" s="12" t="s">
        <v>378</v>
      </c>
      <c r="W6404" s="12" t="s">
        <v>23970</v>
      </c>
      <c r="X6404" s="16" t="s">
        <v>29183</v>
      </c>
      <c r="Y6404" s="15" t="s">
        <v>108</v>
      </c>
      <c r="Z6404" s="14">
        <v>4.3</v>
      </c>
      <c r="AA6404" s="14" t="s">
        <v>36</v>
      </c>
      <c r="AB6404" s="12" t="s">
        <v>43</v>
      </c>
      <c r="AC6404" s="12" t="s">
        <v>23972</v>
      </c>
      <c r="AD6404" s="13">
        <v>42697</v>
      </c>
      <c r="AE6404" s="12" t="s">
        <v>2672</v>
      </c>
      <c r="AF6404" s="12" t="s">
        <v>23973</v>
      </c>
      <c r="AG6404" s="12" t="s">
        <v>23974</v>
      </c>
      <c r="AH6404" s="1">
        <f>HYPERLINK("https://my.pitchbook.com?c=67392-64T","View Company Online")</f>
      </c>
    </row>
    <row r="6405">
      <c r="A6405" s="3" t="s">
        <v>29184</v>
      </c>
      <c r="B6405" s="3" t="s">
        <v>14076</v>
      </c>
      <c r="C6405" s="5">
        <v>1</v>
      </c>
      <c r="D6405" s="5" t="s">
        <v>36</v>
      </c>
      <c r="E6405" s="5">
        <v>1</v>
      </c>
      <c r="F6405" s="5">
        <v>1</v>
      </c>
      <c r="G6405" s="6" t="s">
        <v>326</v>
      </c>
      <c r="H6405" s="4">
        <v>1551.95</v>
      </c>
      <c r="I6405" s="7">
        <v>24.27</v>
      </c>
      <c r="J6405" s="3" t="s">
        <v>521</v>
      </c>
      <c r="K6405" s="9" t="s">
        <v>36</v>
      </c>
      <c r="L6405" s="6" t="s">
        <v>94</v>
      </c>
      <c r="M6405" s="3" t="s">
        <v>36</v>
      </c>
      <c r="N6405" s="3" t="s">
        <v>94</v>
      </c>
      <c r="O6405" s="8" t="s">
        <v>36</v>
      </c>
      <c r="P6405" s="3" t="s">
        <v>36</v>
      </c>
      <c r="Q6405" s="3" t="s">
        <v>36</v>
      </c>
      <c r="R6405" s="3" t="s">
        <v>36</v>
      </c>
      <c r="S6405" s="3" t="s">
        <v>36</v>
      </c>
      <c r="T6405" s="3" t="s">
        <v>14077</v>
      </c>
      <c r="U6405" s="3" t="s">
        <v>38</v>
      </c>
      <c r="V6405" s="3" t="s">
        <v>39</v>
      </c>
      <c r="W6405" s="3" t="s">
        <v>14078</v>
      </c>
      <c r="X6405" s="10" t="s">
        <v>29185</v>
      </c>
      <c r="Y6405" s="6" t="s">
        <v>55</v>
      </c>
      <c r="Z6405" s="4">
        <v>32.58</v>
      </c>
      <c r="AA6405" s="4">
        <v>111.89</v>
      </c>
      <c r="AB6405" s="3" t="s">
        <v>43</v>
      </c>
      <c r="AC6405" s="3" t="s">
        <v>14079</v>
      </c>
      <c r="AD6405" s="9">
        <v>42697</v>
      </c>
      <c r="AE6405" s="3" t="s">
        <v>110</v>
      </c>
      <c r="AF6405" s="3" t="s">
        <v>3172</v>
      </c>
      <c r="AG6405" s="3" t="s">
        <v>81</v>
      </c>
      <c r="AH6405" s="11">
        <f>HYPERLINK("https://my.pitchbook.com?c=78683-50T","View Company Online")</f>
      </c>
    </row>
    <row r="6406">
      <c r="A6406" s="12" t="s">
        <v>29186</v>
      </c>
      <c r="B6406" s="12" t="s">
        <v>29187</v>
      </c>
      <c r="C6406" s="19" t="s">
        <v>36</v>
      </c>
      <c r="D6406" s="19" t="s">
        <v>36</v>
      </c>
      <c r="E6406" s="19" t="s">
        <v>36</v>
      </c>
      <c r="F6406" s="19" t="s">
        <v>36</v>
      </c>
      <c r="G6406" s="15" t="s">
        <v>36</v>
      </c>
      <c r="H6406" s="14">
        <v>58.78</v>
      </c>
      <c r="I6406" s="18">
        <v>23.49</v>
      </c>
      <c r="J6406" s="12" t="s">
        <v>521</v>
      </c>
      <c r="K6406" s="13">
        <v>42564</v>
      </c>
      <c r="L6406" s="15" t="s">
        <v>36</v>
      </c>
      <c r="M6406" s="12" t="s">
        <v>36</v>
      </c>
      <c r="N6406" s="12" t="s">
        <v>36</v>
      </c>
      <c r="O6406" s="17" t="s">
        <v>36</v>
      </c>
      <c r="P6406" s="12" t="s">
        <v>36</v>
      </c>
      <c r="Q6406" s="12" t="s">
        <v>36</v>
      </c>
      <c r="R6406" s="12" t="s">
        <v>36</v>
      </c>
      <c r="S6406" s="12" t="s">
        <v>36</v>
      </c>
      <c r="T6406" s="12" t="s">
        <v>2647</v>
      </c>
      <c r="U6406" s="12" t="s">
        <v>1502</v>
      </c>
      <c r="V6406" s="12" t="s">
        <v>75</v>
      </c>
      <c r="W6406" s="12" t="s">
        <v>29188</v>
      </c>
      <c r="X6406" s="16" t="s">
        <v>11438</v>
      </c>
      <c r="Y6406" s="15" t="s">
        <v>42</v>
      </c>
      <c r="Z6406" s="14">
        <v>1.19</v>
      </c>
      <c r="AA6406" s="14">
        <v>5.04</v>
      </c>
      <c r="AB6406" s="12" t="s">
        <v>43</v>
      </c>
      <c r="AC6406" s="12" t="s">
        <v>29189</v>
      </c>
      <c r="AD6406" s="13">
        <v>42697</v>
      </c>
      <c r="AE6406" s="12" t="s">
        <v>1822</v>
      </c>
      <c r="AF6406" s="12" t="s">
        <v>29190</v>
      </c>
      <c r="AG6406" s="12" t="s">
        <v>102</v>
      </c>
      <c r="AH6406" s="1">
        <f>HYPERLINK("https://my.pitchbook.com?c=86996-53T","View Company Online")</f>
      </c>
    </row>
    <row r="6407">
      <c r="A6407" s="3" t="s">
        <v>29191</v>
      </c>
      <c r="B6407" s="3" t="s">
        <v>29192</v>
      </c>
      <c r="C6407" s="5" t="s">
        <v>36</v>
      </c>
      <c r="D6407" s="5" t="s">
        <v>36</v>
      </c>
      <c r="E6407" s="5" t="s">
        <v>36</v>
      </c>
      <c r="F6407" s="5" t="s">
        <v>36</v>
      </c>
      <c r="G6407" s="6" t="s">
        <v>36</v>
      </c>
      <c r="H6407" s="4" t="s">
        <v>36</v>
      </c>
      <c r="I6407" s="7" t="s">
        <v>36</v>
      </c>
      <c r="J6407" s="3" t="s">
        <v>36</v>
      </c>
      <c r="K6407" s="9" t="s">
        <v>36</v>
      </c>
      <c r="L6407" s="6" t="s">
        <v>36</v>
      </c>
      <c r="M6407" s="3" t="s">
        <v>36</v>
      </c>
      <c r="N6407" s="3" t="s">
        <v>36</v>
      </c>
      <c r="O6407" s="8" t="s">
        <v>36</v>
      </c>
      <c r="P6407" s="3" t="s">
        <v>36</v>
      </c>
      <c r="Q6407" s="3" t="s">
        <v>36</v>
      </c>
      <c r="R6407" s="3" t="s">
        <v>36</v>
      </c>
      <c r="S6407" s="3" t="s">
        <v>36</v>
      </c>
      <c r="T6407" s="3" t="s">
        <v>29193</v>
      </c>
      <c r="U6407" s="3" t="s">
        <v>219</v>
      </c>
      <c r="V6407" s="3" t="s">
        <v>75</v>
      </c>
      <c r="W6407" s="3" t="s">
        <v>29194</v>
      </c>
      <c r="X6407" s="10" t="s">
        <v>28924</v>
      </c>
      <c r="Y6407" s="6" t="s">
        <v>42</v>
      </c>
      <c r="Z6407" s="4">
        <v>0.03</v>
      </c>
      <c r="AA6407" s="4" t="s">
        <v>36</v>
      </c>
      <c r="AB6407" s="3" t="s">
        <v>43</v>
      </c>
      <c r="AC6407" s="3" t="s">
        <v>29195</v>
      </c>
      <c r="AD6407" s="9">
        <v>42693</v>
      </c>
      <c r="AE6407" s="3" t="s">
        <v>2914</v>
      </c>
      <c r="AF6407" s="3" t="s">
        <v>571</v>
      </c>
      <c r="AG6407" s="3" t="s">
        <v>29196</v>
      </c>
      <c r="AH6407" s="11">
        <f>HYPERLINK("https://my.pitchbook.com?c=116506-72T","View Company Online")</f>
      </c>
    </row>
    <row r="6408">
      <c r="A6408" s="12" t="s">
        <v>29197</v>
      </c>
      <c r="B6408" s="12" t="s">
        <v>27969</v>
      </c>
      <c r="C6408" s="19">
        <v>3</v>
      </c>
      <c r="D6408" s="19">
        <v>87</v>
      </c>
      <c r="E6408" s="19">
        <v>40</v>
      </c>
      <c r="F6408" s="19">
        <v>123</v>
      </c>
      <c r="G6408" s="15" t="s">
        <v>326</v>
      </c>
      <c r="H6408" s="14">
        <v>58.75</v>
      </c>
      <c r="I6408" s="18">
        <v>30.61</v>
      </c>
      <c r="J6408" s="12" t="s">
        <v>521</v>
      </c>
      <c r="K6408" s="13">
        <v>42649</v>
      </c>
      <c r="L6408" s="15" t="s">
        <v>12462</v>
      </c>
      <c r="M6408" s="12" t="s">
        <v>36</v>
      </c>
      <c r="N6408" s="12" t="s">
        <v>12462</v>
      </c>
      <c r="O6408" s="17" t="s">
        <v>36</v>
      </c>
      <c r="P6408" s="12" t="s">
        <v>36</v>
      </c>
      <c r="Q6408" s="12" t="s">
        <v>36</v>
      </c>
      <c r="R6408" s="12" t="s">
        <v>36</v>
      </c>
      <c r="S6408" s="12" t="s">
        <v>20994</v>
      </c>
      <c r="T6408" s="12" t="s">
        <v>27970</v>
      </c>
      <c r="U6408" s="12" t="s">
        <v>1580</v>
      </c>
      <c r="V6408" s="12" t="s">
        <v>39</v>
      </c>
      <c r="W6408" s="12" t="s">
        <v>27971</v>
      </c>
      <c r="X6408" s="16" t="s">
        <v>29198</v>
      </c>
      <c r="Y6408" s="15" t="s">
        <v>166</v>
      </c>
      <c r="Z6408" s="14">
        <v>174.58</v>
      </c>
      <c r="AA6408" s="14">
        <v>534.64</v>
      </c>
      <c r="AB6408" s="12" t="s">
        <v>56</v>
      </c>
      <c r="AC6408" s="12" t="s">
        <v>27973</v>
      </c>
      <c r="AD6408" s="13">
        <v>42692</v>
      </c>
      <c r="AE6408" s="12" t="s">
        <v>3854</v>
      </c>
      <c r="AF6408" s="12" t="s">
        <v>24285</v>
      </c>
      <c r="AG6408" s="12" t="s">
        <v>539</v>
      </c>
      <c r="AH6408" s="1">
        <f>HYPERLINK("https://my.pitchbook.com?c=76770-28T","View Company Online")</f>
      </c>
    </row>
    <row r="6409">
      <c r="A6409" s="3" t="s">
        <v>29199</v>
      </c>
      <c r="B6409" s="3" t="s">
        <v>19407</v>
      </c>
      <c r="C6409" s="5" t="s">
        <v>36</v>
      </c>
      <c r="D6409" s="5" t="s">
        <v>36</v>
      </c>
      <c r="E6409" s="5" t="s">
        <v>36</v>
      </c>
      <c r="F6409" s="5" t="s">
        <v>36</v>
      </c>
      <c r="G6409" s="6" t="s">
        <v>36</v>
      </c>
      <c r="H6409" s="4">
        <v>4.07</v>
      </c>
      <c r="I6409" s="7">
        <v>24.66</v>
      </c>
      <c r="J6409" s="3" t="s">
        <v>521</v>
      </c>
      <c r="K6409" s="9" t="s">
        <v>36</v>
      </c>
      <c r="L6409" s="6" t="s">
        <v>36</v>
      </c>
      <c r="M6409" s="3" t="s">
        <v>36</v>
      </c>
      <c r="N6409" s="3" t="s">
        <v>36</v>
      </c>
      <c r="O6409" s="8" t="s">
        <v>36</v>
      </c>
      <c r="P6409" s="3" t="s">
        <v>36</v>
      </c>
      <c r="Q6409" s="3" t="s">
        <v>36</v>
      </c>
      <c r="R6409" s="3" t="s">
        <v>36</v>
      </c>
      <c r="S6409" s="3" t="s">
        <v>36</v>
      </c>
      <c r="T6409" s="3" t="s">
        <v>2285</v>
      </c>
      <c r="U6409" s="3" t="s">
        <v>38</v>
      </c>
      <c r="V6409" s="3" t="s">
        <v>39</v>
      </c>
      <c r="W6409" s="3" t="s">
        <v>19408</v>
      </c>
      <c r="X6409" s="10" t="s">
        <v>29200</v>
      </c>
      <c r="Y6409" s="6" t="s">
        <v>108</v>
      </c>
      <c r="Z6409" s="4">
        <v>4.59</v>
      </c>
      <c r="AA6409" s="4">
        <v>8.19</v>
      </c>
      <c r="AB6409" s="3" t="s">
        <v>43</v>
      </c>
      <c r="AC6409" s="3" t="s">
        <v>19410</v>
      </c>
      <c r="AD6409" s="9">
        <v>42691</v>
      </c>
      <c r="AE6409" s="3" t="s">
        <v>110</v>
      </c>
      <c r="AF6409" s="3" t="s">
        <v>526</v>
      </c>
      <c r="AG6409" s="3" t="s">
        <v>19411</v>
      </c>
      <c r="AH6409" s="11">
        <f>HYPERLINK("https://my.pitchbook.com?c=78684-49T","View Company Online")</f>
      </c>
    </row>
    <row r="6410">
      <c r="A6410" s="12" t="s">
        <v>29201</v>
      </c>
      <c r="B6410" s="12" t="s">
        <v>29202</v>
      </c>
      <c r="C6410" s="19" t="s">
        <v>36</v>
      </c>
      <c r="D6410" s="19" t="s">
        <v>36</v>
      </c>
      <c r="E6410" s="19" t="s">
        <v>36</v>
      </c>
      <c r="F6410" s="19" t="s">
        <v>36</v>
      </c>
      <c r="G6410" s="15" t="s">
        <v>683</v>
      </c>
      <c r="H6410" s="14">
        <v>55.98</v>
      </c>
      <c r="I6410" s="18">
        <v>27.28</v>
      </c>
      <c r="J6410" s="12" t="s">
        <v>521</v>
      </c>
      <c r="K6410" s="13" t="s">
        <v>36</v>
      </c>
      <c r="L6410" s="15" t="s">
        <v>36</v>
      </c>
      <c r="M6410" s="12" t="s">
        <v>36</v>
      </c>
      <c r="N6410" s="12" t="s">
        <v>36</v>
      </c>
      <c r="O6410" s="17" t="s">
        <v>36</v>
      </c>
      <c r="P6410" s="12" t="s">
        <v>36</v>
      </c>
      <c r="Q6410" s="12" t="s">
        <v>36</v>
      </c>
      <c r="R6410" s="12" t="s">
        <v>36</v>
      </c>
      <c r="S6410" s="12" t="s">
        <v>36</v>
      </c>
      <c r="T6410" s="12" t="s">
        <v>29203</v>
      </c>
      <c r="U6410" s="12" t="s">
        <v>1357</v>
      </c>
      <c r="V6410" s="12" t="s">
        <v>52</v>
      </c>
      <c r="W6410" s="12" t="s">
        <v>29204</v>
      </c>
      <c r="X6410" s="16" t="s">
        <v>29205</v>
      </c>
      <c r="Y6410" s="15" t="s">
        <v>108</v>
      </c>
      <c r="Z6410" s="14">
        <v>0.82</v>
      </c>
      <c r="AA6410" s="14">
        <v>3.01</v>
      </c>
      <c r="AB6410" s="12" t="s">
        <v>56</v>
      </c>
      <c r="AC6410" s="12" t="s">
        <v>29206</v>
      </c>
      <c r="AD6410" s="13">
        <v>42690</v>
      </c>
      <c r="AE6410" s="12" t="s">
        <v>3204</v>
      </c>
      <c r="AF6410" s="12" t="s">
        <v>36</v>
      </c>
      <c r="AG6410" s="12" t="s">
        <v>81</v>
      </c>
      <c r="AH6410" s="1">
        <f>HYPERLINK("https://my.pitchbook.com?c=255125-17T","View Company Online")</f>
      </c>
    </row>
    <row r="6411">
      <c r="A6411" s="3" t="s">
        <v>29207</v>
      </c>
      <c r="B6411" s="3" t="s">
        <v>29208</v>
      </c>
      <c r="C6411" s="5" t="s">
        <v>36</v>
      </c>
      <c r="D6411" s="5">
        <v>3</v>
      </c>
      <c r="E6411" s="5">
        <v>2</v>
      </c>
      <c r="F6411" s="5">
        <v>6</v>
      </c>
      <c r="G6411" s="6" t="s">
        <v>326</v>
      </c>
      <c r="H6411" s="4" t="s">
        <v>36</v>
      </c>
      <c r="I6411" s="7" t="s">
        <v>36</v>
      </c>
      <c r="J6411" s="3" t="s">
        <v>327</v>
      </c>
      <c r="K6411" s="9" t="s">
        <v>36</v>
      </c>
      <c r="L6411" s="6" t="s">
        <v>36</v>
      </c>
      <c r="M6411" s="3" t="s">
        <v>36</v>
      </c>
      <c r="N6411" s="3" t="s">
        <v>36</v>
      </c>
      <c r="O6411" s="8" t="s">
        <v>36</v>
      </c>
      <c r="P6411" s="3" t="s">
        <v>36</v>
      </c>
      <c r="Q6411" s="3" t="s">
        <v>36</v>
      </c>
      <c r="R6411" s="3" t="s">
        <v>36</v>
      </c>
      <c r="S6411" s="3" t="s">
        <v>36</v>
      </c>
      <c r="T6411" s="3" t="s">
        <v>1701</v>
      </c>
      <c r="U6411" s="3" t="s">
        <v>74</v>
      </c>
      <c r="V6411" s="3" t="s">
        <v>75</v>
      </c>
      <c r="W6411" s="3" t="s">
        <v>29209</v>
      </c>
      <c r="X6411" s="10" t="s">
        <v>29210</v>
      </c>
      <c r="Y6411" s="6" t="s">
        <v>108</v>
      </c>
      <c r="Z6411" s="4">
        <v>3.28</v>
      </c>
      <c r="AA6411" s="4">
        <v>7.63</v>
      </c>
      <c r="AB6411" s="3" t="s">
        <v>43</v>
      </c>
      <c r="AC6411" s="3" t="s">
        <v>29211</v>
      </c>
      <c r="AD6411" s="9">
        <v>42690</v>
      </c>
      <c r="AE6411" s="3" t="s">
        <v>79</v>
      </c>
      <c r="AF6411" s="3" t="s">
        <v>2759</v>
      </c>
      <c r="AG6411" s="3" t="s">
        <v>347</v>
      </c>
      <c r="AH6411" s="11">
        <f>HYPERLINK("https://my.pitchbook.com?c=78602-05T","View Company Online")</f>
      </c>
    </row>
    <row r="6412">
      <c r="A6412" s="12" t="s">
        <v>29212</v>
      </c>
      <c r="B6412" s="12" t="s">
        <v>28124</v>
      </c>
      <c r="C6412" s="19" t="s">
        <v>36</v>
      </c>
      <c r="D6412" s="19">
        <v>2</v>
      </c>
      <c r="E6412" s="19">
        <v>1</v>
      </c>
      <c r="F6412" s="19">
        <v>2</v>
      </c>
      <c r="G6412" s="15" t="s">
        <v>36</v>
      </c>
      <c r="H6412" s="14" t="s">
        <v>36</v>
      </c>
      <c r="I6412" s="18" t="s">
        <v>36</v>
      </c>
      <c r="J6412" s="12" t="s">
        <v>36</v>
      </c>
      <c r="K6412" s="13" t="s">
        <v>36</v>
      </c>
      <c r="L6412" s="15" t="s">
        <v>36</v>
      </c>
      <c r="M6412" s="12" t="s">
        <v>36</v>
      </c>
      <c r="N6412" s="12" t="s">
        <v>36</v>
      </c>
      <c r="O6412" s="17" t="s">
        <v>36</v>
      </c>
      <c r="P6412" s="12" t="s">
        <v>36</v>
      </c>
      <c r="Q6412" s="12" t="s">
        <v>36</v>
      </c>
      <c r="R6412" s="12" t="s">
        <v>36</v>
      </c>
      <c r="S6412" s="12" t="s">
        <v>36</v>
      </c>
      <c r="T6412" s="12" t="s">
        <v>9456</v>
      </c>
      <c r="U6412" s="12" t="s">
        <v>63</v>
      </c>
      <c r="V6412" s="12" t="s">
        <v>64</v>
      </c>
      <c r="W6412" s="12" t="s">
        <v>28125</v>
      </c>
      <c r="X6412" s="16" t="s">
        <v>29213</v>
      </c>
      <c r="Y6412" s="15" t="s">
        <v>42</v>
      </c>
      <c r="Z6412" s="14">
        <v>0.55</v>
      </c>
      <c r="AA6412" s="14" t="s">
        <v>36</v>
      </c>
      <c r="AB6412" s="12" t="s">
        <v>43</v>
      </c>
      <c r="AC6412" s="12" t="s">
        <v>28127</v>
      </c>
      <c r="AD6412" s="13">
        <v>42690</v>
      </c>
      <c r="AE6412" s="12" t="s">
        <v>4310</v>
      </c>
      <c r="AF6412" s="12" t="s">
        <v>1216</v>
      </c>
      <c r="AG6412" s="12" t="s">
        <v>23170</v>
      </c>
      <c r="AH6412" s="1">
        <f>HYPERLINK("https://my.pitchbook.com?c=109425-16T","View Company Online")</f>
      </c>
    </row>
    <row r="6413">
      <c r="A6413" s="3" t="s">
        <v>29214</v>
      </c>
      <c r="B6413" s="3" t="s">
        <v>10115</v>
      </c>
      <c r="C6413" s="5" t="s">
        <v>36</v>
      </c>
      <c r="D6413" s="5" t="s">
        <v>36</v>
      </c>
      <c r="E6413" s="5" t="s">
        <v>36</v>
      </c>
      <c r="F6413" s="5" t="s">
        <v>36</v>
      </c>
      <c r="G6413" s="6" t="s">
        <v>326</v>
      </c>
      <c r="H6413" s="4">
        <v>11.1</v>
      </c>
      <c r="I6413" s="7">
        <v>28.74</v>
      </c>
      <c r="J6413" s="3" t="s">
        <v>521</v>
      </c>
      <c r="K6413" s="9">
        <v>42643</v>
      </c>
      <c r="L6413" s="6" t="s">
        <v>36</v>
      </c>
      <c r="M6413" s="3" t="s">
        <v>36</v>
      </c>
      <c r="N6413" s="3" t="s">
        <v>36</v>
      </c>
      <c r="O6413" s="8" t="s">
        <v>36</v>
      </c>
      <c r="P6413" s="3" t="s">
        <v>36</v>
      </c>
      <c r="Q6413" s="3" t="s">
        <v>36</v>
      </c>
      <c r="R6413" s="3" t="s">
        <v>36</v>
      </c>
      <c r="S6413" s="3" t="s">
        <v>36</v>
      </c>
      <c r="T6413" s="3" t="s">
        <v>10116</v>
      </c>
      <c r="U6413" s="3" t="s">
        <v>289</v>
      </c>
      <c r="V6413" s="3" t="s">
        <v>64</v>
      </c>
      <c r="W6413" s="3" t="s">
        <v>10117</v>
      </c>
      <c r="X6413" s="10" t="s">
        <v>29215</v>
      </c>
      <c r="Y6413" s="6" t="s">
        <v>108</v>
      </c>
      <c r="Z6413" s="4">
        <v>6.62</v>
      </c>
      <c r="AA6413" s="4">
        <v>23.04</v>
      </c>
      <c r="AB6413" s="3" t="s">
        <v>43</v>
      </c>
      <c r="AC6413" s="3" t="s">
        <v>10119</v>
      </c>
      <c r="AD6413" s="9">
        <v>42689</v>
      </c>
      <c r="AE6413" s="3" t="s">
        <v>292</v>
      </c>
      <c r="AF6413" s="3" t="s">
        <v>90</v>
      </c>
      <c r="AG6413" s="3" t="s">
        <v>10120</v>
      </c>
      <c r="AH6413" s="11">
        <f>HYPERLINK("https://my.pitchbook.com?c=87705-28T","View Company Online")</f>
      </c>
    </row>
    <row r="6414">
      <c r="A6414" s="12" t="s">
        <v>29216</v>
      </c>
      <c r="B6414" s="12" t="s">
        <v>61</v>
      </c>
      <c r="C6414" s="19" t="s">
        <v>36</v>
      </c>
      <c r="D6414" s="19" t="s">
        <v>36</v>
      </c>
      <c r="E6414" s="19" t="s">
        <v>36</v>
      </c>
      <c r="F6414" s="19" t="s">
        <v>36</v>
      </c>
      <c r="G6414" s="15" t="s">
        <v>36</v>
      </c>
      <c r="H6414" s="14">
        <v>69.24</v>
      </c>
      <c r="I6414" s="18">
        <v>19.35</v>
      </c>
      <c r="J6414" s="12" t="s">
        <v>521</v>
      </c>
      <c r="K6414" s="13" t="s">
        <v>36</v>
      </c>
      <c r="L6414" s="15" t="s">
        <v>36</v>
      </c>
      <c r="M6414" s="12" t="s">
        <v>36</v>
      </c>
      <c r="N6414" s="12" t="s">
        <v>36</v>
      </c>
      <c r="O6414" s="17" t="s">
        <v>36</v>
      </c>
      <c r="P6414" s="12" t="s">
        <v>36</v>
      </c>
      <c r="Q6414" s="12" t="s">
        <v>36</v>
      </c>
      <c r="R6414" s="12" t="s">
        <v>36</v>
      </c>
      <c r="S6414" s="12" t="s">
        <v>36</v>
      </c>
      <c r="T6414" s="12" t="s">
        <v>62</v>
      </c>
      <c r="U6414" s="12" t="s">
        <v>63</v>
      </c>
      <c r="V6414" s="12" t="s">
        <v>64</v>
      </c>
      <c r="W6414" s="12" t="s">
        <v>65</v>
      </c>
      <c r="X6414" s="16" t="s">
        <v>29217</v>
      </c>
      <c r="Y6414" s="15" t="s">
        <v>42</v>
      </c>
      <c r="Z6414" s="14">
        <v>0.53</v>
      </c>
      <c r="AA6414" s="14">
        <v>2.71</v>
      </c>
      <c r="AB6414" s="12" t="s">
        <v>43</v>
      </c>
      <c r="AC6414" s="12" t="s">
        <v>67</v>
      </c>
      <c r="AD6414" s="13">
        <v>42689</v>
      </c>
      <c r="AE6414" s="12" t="s">
        <v>68</v>
      </c>
      <c r="AF6414" s="12" t="s">
        <v>69</v>
      </c>
      <c r="AG6414" s="12" t="s">
        <v>70</v>
      </c>
      <c r="AH6414" s="1">
        <f>HYPERLINK("https://my.pitchbook.com?c=81683-20T","View Company Online")</f>
      </c>
    </row>
    <row r="6415">
      <c r="A6415" s="3" t="s">
        <v>29218</v>
      </c>
      <c r="B6415" s="3" t="s">
        <v>3283</v>
      </c>
      <c r="C6415" s="5">
        <v>25</v>
      </c>
      <c r="D6415" s="5">
        <v>125</v>
      </c>
      <c r="E6415" s="5">
        <v>18</v>
      </c>
      <c r="F6415" s="5">
        <v>151</v>
      </c>
      <c r="G6415" s="6" t="s">
        <v>36</v>
      </c>
      <c r="H6415" s="4">
        <v>25.96</v>
      </c>
      <c r="I6415" s="7">
        <v>49.77</v>
      </c>
      <c r="J6415" s="3" t="s">
        <v>521</v>
      </c>
      <c r="K6415" s="9" t="s">
        <v>36</v>
      </c>
      <c r="L6415" s="6" t="s">
        <v>122</v>
      </c>
      <c r="M6415" s="3" t="s">
        <v>36</v>
      </c>
      <c r="N6415" s="3" t="s">
        <v>122</v>
      </c>
      <c r="O6415" s="8" t="s">
        <v>36</v>
      </c>
      <c r="P6415" s="3" t="s">
        <v>36</v>
      </c>
      <c r="Q6415" s="3" t="s">
        <v>36</v>
      </c>
      <c r="R6415" s="3" t="s">
        <v>36</v>
      </c>
      <c r="S6415" s="3" t="s">
        <v>36</v>
      </c>
      <c r="T6415" s="3" t="s">
        <v>3284</v>
      </c>
      <c r="U6415" s="3" t="s">
        <v>96</v>
      </c>
      <c r="V6415" s="3" t="s">
        <v>52</v>
      </c>
      <c r="W6415" s="3" t="s">
        <v>3285</v>
      </c>
      <c r="X6415" s="10" t="s">
        <v>29219</v>
      </c>
      <c r="Y6415" s="6" t="s">
        <v>42</v>
      </c>
      <c r="Z6415" s="4">
        <v>15.33</v>
      </c>
      <c r="AA6415" s="4">
        <v>18.8</v>
      </c>
      <c r="AB6415" s="3" t="s">
        <v>56</v>
      </c>
      <c r="AC6415" s="3" t="s">
        <v>3287</v>
      </c>
      <c r="AD6415" s="9">
        <v>42689</v>
      </c>
      <c r="AE6415" s="3" t="s">
        <v>143</v>
      </c>
      <c r="AF6415" s="3" t="s">
        <v>885</v>
      </c>
      <c r="AG6415" s="3" t="s">
        <v>3288</v>
      </c>
      <c r="AH6415" s="11">
        <f>HYPERLINK("https://my.pitchbook.com?c=78506-38T","View Company Online")</f>
      </c>
    </row>
    <row r="6416">
      <c r="A6416" s="12" t="s">
        <v>29220</v>
      </c>
      <c r="B6416" s="12" t="s">
        <v>29221</v>
      </c>
      <c r="C6416" s="19" t="s">
        <v>36</v>
      </c>
      <c r="D6416" s="19" t="s">
        <v>36</v>
      </c>
      <c r="E6416" s="19" t="s">
        <v>36</v>
      </c>
      <c r="F6416" s="19" t="s">
        <v>36</v>
      </c>
      <c r="G6416" s="15" t="s">
        <v>36</v>
      </c>
      <c r="H6416" s="14">
        <v>62.31</v>
      </c>
      <c r="I6416" s="18">
        <v>19.81</v>
      </c>
      <c r="J6416" s="12" t="s">
        <v>521</v>
      </c>
      <c r="K6416" s="13">
        <v>42679</v>
      </c>
      <c r="L6416" s="15" t="s">
        <v>36</v>
      </c>
      <c r="M6416" s="12" t="s">
        <v>36</v>
      </c>
      <c r="N6416" s="12" t="s">
        <v>36</v>
      </c>
      <c r="O6416" s="17" t="s">
        <v>36</v>
      </c>
      <c r="P6416" s="12" t="s">
        <v>36</v>
      </c>
      <c r="Q6416" s="12" t="s">
        <v>36</v>
      </c>
      <c r="R6416" s="12" t="s">
        <v>36</v>
      </c>
      <c r="S6416" s="12" t="s">
        <v>36</v>
      </c>
      <c r="T6416" s="12" t="s">
        <v>1922</v>
      </c>
      <c r="U6416" s="12" t="s">
        <v>38</v>
      </c>
      <c r="V6416" s="12" t="s">
        <v>39</v>
      </c>
      <c r="W6416" s="12" t="s">
        <v>29222</v>
      </c>
      <c r="X6416" s="16" t="s">
        <v>29223</v>
      </c>
      <c r="Y6416" s="15" t="s">
        <v>42</v>
      </c>
      <c r="Z6416" s="14">
        <v>0.22</v>
      </c>
      <c r="AA6416" s="14">
        <v>0.55</v>
      </c>
      <c r="AB6416" s="12" t="s">
        <v>43</v>
      </c>
      <c r="AC6416" s="12" t="s">
        <v>29224</v>
      </c>
      <c r="AD6416" s="13">
        <v>42687</v>
      </c>
      <c r="AE6416" s="12" t="s">
        <v>1422</v>
      </c>
      <c r="AF6416" s="12" t="s">
        <v>2105</v>
      </c>
      <c r="AG6416" s="12" t="s">
        <v>29225</v>
      </c>
      <c r="AH6416" s="1">
        <f>HYPERLINK("https://my.pitchbook.com?c=131997-52T","View Company Online")</f>
      </c>
    </row>
    <row r="6417">
      <c r="A6417" s="3" t="s">
        <v>29226</v>
      </c>
      <c r="B6417" s="3" t="s">
        <v>23877</v>
      </c>
      <c r="C6417" s="5" t="s">
        <v>36</v>
      </c>
      <c r="D6417" s="5" t="s">
        <v>36</v>
      </c>
      <c r="E6417" s="5" t="s">
        <v>36</v>
      </c>
      <c r="F6417" s="5" t="s">
        <v>36</v>
      </c>
      <c r="G6417" s="6" t="s">
        <v>2497</v>
      </c>
      <c r="H6417" s="4">
        <v>3.25</v>
      </c>
      <c r="I6417" s="7">
        <v>26.98</v>
      </c>
      <c r="J6417" s="3" t="s">
        <v>521</v>
      </c>
      <c r="K6417" s="9">
        <v>42530</v>
      </c>
      <c r="L6417" s="6" t="s">
        <v>36</v>
      </c>
      <c r="M6417" s="3" t="s">
        <v>36</v>
      </c>
      <c r="N6417" s="3" t="s">
        <v>36</v>
      </c>
      <c r="O6417" s="8" t="s">
        <v>36</v>
      </c>
      <c r="P6417" s="3" t="s">
        <v>36</v>
      </c>
      <c r="Q6417" s="3" t="s">
        <v>36</v>
      </c>
      <c r="R6417" s="3" t="s">
        <v>36</v>
      </c>
      <c r="S6417" s="3" t="s">
        <v>36</v>
      </c>
      <c r="T6417" s="3" t="s">
        <v>23878</v>
      </c>
      <c r="U6417" s="3" t="s">
        <v>279</v>
      </c>
      <c r="V6417" s="3" t="s">
        <v>64</v>
      </c>
      <c r="W6417" s="3" t="s">
        <v>23879</v>
      </c>
      <c r="X6417" s="10" t="s">
        <v>29227</v>
      </c>
      <c r="Y6417" s="6" t="s">
        <v>55</v>
      </c>
      <c r="Z6417" s="4">
        <v>1.23</v>
      </c>
      <c r="AA6417" s="4">
        <v>4.55</v>
      </c>
      <c r="AB6417" s="3" t="s">
        <v>56</v>
      </c>
      <c r="AC6417" s="3" t="s">
        <v>23880</v>
      </c>
      <c r="AD6417" s="9">
        <v>42687</v>
      </c>
      <c r="AE6417" s="3" t="s">
        <v>851</v>
      </c>
      <c r="AF6417" s="3" t="s">
        <v>1077</v>
      </c>
      <c r="AG6417" s="3" t="s">
        <v>81</v>
      </c>
      <c r="AH6417" s="11">
        <f>HYPERLINK("https://my.pitchbook.com?c=93382-03T","View Company Online")</f>
      </c>
    </row>
    <row r="6418">
      <c r="A6418" s="12" t="s">
        <v>29228</v>
      </c>
      <c r="B6418" s="12" t="s">
        <v>29229</v>
      </c>
      <c r="C6418" s="19" t="s">
        <v>36</v>
      </c>
      <c r="D6418" s="19">
        <v>11</v>
      </c>
      <c r="E6418" s="19">
        <v>4</v>
      </c>
      <c r="F6418" s="19">
        <v>16</v>
      </c>
      <c r="G6418" s="15" t="s">
        <v>36</v>
      </c>
      <c r="H6418" s="14" t="s">
        <v>36</v>
      </c>
      <c r="I6418" s="18" t="s">
        <v>36</v>
      </c>
      <c r="J6418" s="12" t="s">
        <v>36</v>
      </c>
      <c r="K6418" s="13" t="s">
        <v>36</v>
      </c>
      <c r="L6418" s="15" t="s">
        <v>122</v>
      </c>
      <c r="M6418" s="12" t="s">
        <v>36</v>
      </c>
      <c r="N6418" s="12" t="s">
        <v>122</v>
      </c>
      <c r="O6418" s="17" t="s">
        <v>36</v>
      </c>
      <c r="P6418" s="12" t="s">
        <v>36</v>
      </c>
      <c r="Q6418" s="12" t="s">
        <v>36</v>
      </c>
      <c r="R6418" s="12" t="s">
        <v>36</v>
      </c>
      <c r="S6418" s="12" t="s">
        <v>36</v>
      </c>
      <c r="T6418" s="12" t="s">
        <v>9124</v>
      </c>
      <c r="U6418" s="12" t="s">
        <v>96</v>
      </c>
      <c r="V6418" s="12" t="s">
        <v>52</v>
      </c>
      <c r="W6418" s="12" t="s">
        <v>29230</v>
      </c>
      <c r="X6418" s="16" t="s">
        <v>29231</v>
      </c>
      <c r="Y6418" s="15" t="s">
        <v>108</v>
      </c>
      <c r="Z6418" s="14">
        <v>3.07</v>
      </c>
      <c r="AA6418" s="14" t="s">
        <v>36</v>
      </c>
      <c r="AB6418" s="12" t="s">
        <v>43</v>
      </c>
      <c r="AC6418" s="12" t="s">
        <v>29232</v>
      </c>
      <c r="AD6418" s="13">
        <v>42684</v>
      </c>
      <c r="AE6418" s="12" t="s">
        <v>100</v>
      </c>
      <c r="AF6418" s="12" t="s">
        <v>101</v>
      </c>
      <c r="AG6418" s="12" t="s">
        <v>1353</v>
      </c>
      <c r="AH6418" s="1">
        <f>HYPERLINK("https://my.pitchbook.com?c=120483-46T","View Company Online")</f>
      </c>
    </row>
    <row r="6419">
      <c r="A6419" s="3" t="s">
        <v>29233</v>
      </c>
      <c r="B6419" s="3" t="s">
        <v>29234</v>
      </c>
      <c r="C6419" s="5" t="s">
        <v>36</v>
      </c>
      <c r="D6419" s="5" t="s">
        <v>36</v>
      </c>
      <c r="E6419" s="5" t="s">
        <v>36</v>
      </c>
      <c r="F6419" s="5" t="s">
        <v>36</v>
      </c>
      <c r="G6419" s="6" t="s">
        <v>326</v>
      </c>
      <c r="H6419" s="4">
        <v>143.75</v>
      </c>
      <c r="I6419" s="7">
        <v>25.14</v>
      </c>
      <c r="J6419" s="3" t="s">
        <v>521</v>
      </c>
      <c r="K6419" s="9" t="s">
        <v>36</v>
      </c>
      <c r="L6419" s="6" t="s">
        <v>36</v>
      </c>
      <c r="M6419" s="3" t="s">
        <v>36</v>
      </c>
      <c r="N6419" s="3" t="s">
        <v>36</v>
      </c>
      <c r="O6419" s="8" t="s">
        <v>36</v>
      </c>
      <c r="P6419" s="3" t="s">
        <v>36</v>
      </c>
      <c r="Q6419" s="3" t="s">
        <v>36</v>
      </c>
      <c r="R6419" s="3" t="s">
        <v>36</v>
      </c>
      <c r="S6419" s="3" t="s">
        <v>36</v>
      </c>
      <c r="T6419" s="3" t="s">
        <v>855</v>
      </c>
      <c r="U6419" s="3" t="s">
        <v>648</v>
      </c>
      <c r="V6419" s="3" t="s">
        <v>64</v>
      </c>
      <c r="W6419" s="3" t="s">
        <v>29235</v>
      </c>
      <c r="X6419" s="10" t="s">
        <v>29236</v>
      </c>
      <c r="Y6419" s="6" t="s">
        <v>42</v>
      </c>
      <c r="Z6419" s="4">
        <v>1.12</v>
      </c>
      <c r="AA6419" s="4">
        <v>4.45</v>
      </c>
      <c r="AB6419" s="3" t="s">
        <v>43</v>
      </c>
      <c r="AC6419" s="3" t="s">
        <v>29237</v>
      </c>
      <c r="AD6419" s="9">
        <v>42684</v>
      </c>
      <c r="AE6419" s="3" t="s">
        <v>651</v>
      </c>
      <c r="AF6419" s="3" t="s">
        <v>29238</v>
      </c>
      <c r="AG6419" s="3" t="s">
        <v>81</v>
      </c>
      <c r="AH6419" s="11">
        <f>HYPERLINK("https://my.pitchbook.com?c=130156-39T","View Company Online")</f>
      </c>
    </row>
    <row r="6420">
      <c r="A6420" s="12" t="s">
        <v>29239</v>
      </c>
      <c r="B6420" s="12" t="s">
        <v>24663</v>
      </c>
      <c r="C6420" s="19" t="s">
        <v>36</v>
      </c>
      <c r="D6420" s="19" t="s">
        <v>36</v>
      </c>
      <c r="E6420" s="19" t="s">
        <v>36</v>
      </c>
      <c r="F6420" s="19" t="s">
        <v>36</v>
      </c>
      <c r="G6420" s="15" t="s">
        <v>36</v>
      </c>
      <c r="H6420" s="14" t="s">
        <v>36</v>
      </c>
      <c r="I6420" s="18" t="s">
        <v>36</v>
      </c>
      <c r="J6420" s="12" t="s">
        <v>36</v>
      </c>
      <c r="K6420" s="13" t="s">
        <v>36</v>
      </c>
      <c r="L6420" s="15" t="s">
        <v>36</v>
      </c>
      <c r="M6420" s="12" t="s">
        <v>36</v>
      </c>
      <c r="N6420" s="12" t="s">
        <v>36</v>
      </c>
      <c r="O6420" s="17" t="s">
        <v>36</v>
      </c>
      <c r="P6420" s="12" t="s">
        <v>36</v>
      </c>
      <c r="Q6420" s="12" t="s">
        <v>36</v>
      </c>
      <c r="R6420" s="12" t="s">
        <v>36</v>
      </c>
      <c r="S6420" s="12" t="s">
        <v>36</v>
      </c>
      <c r="T6420" s="12" t="s">
        <v>522</v>
      </c>
      <c r="U6420" s="12" t="s">
        <v>38</v>
      </c>
      <c r="V6420" s="12" t="s">
        <v>39</v>
      </c>
      <c r="W6420" s="12" t="s">
        <v>24664</v>
      </c>
      <c r="X6420" s="16" t="s">
        <v>29240</v>
      </c>
      <c r="Y6420" s="15" t="s">
        <v>55</v>
      </c>
      <c r="Z6420" s="14">
        <v>1.81</v>
      </c>
      <c r="AA6420" s="14" t="s">
        <v>36</v>
      </c>
      <c r="AB6420" s="12" t="s">
        <v>56</v>
      </c>
      <c r="AC6420" s="12" t="s">
        <v>24666</v>
      </c>
      <c r="AD6420" s="13">
        <v>42684</v>
      </c>
      <c r="AE6420" s="12" t="s">
        <v>110</v>
      </c>
      <c r="AF6420" s="12" t="s">
        <v>24667</v>
      </c>
      <c r="AG6420" s="12" t="s">
        <v>2088</v>
      </c>
      <c r="AH6420" s="1">
        <f>HYPERLINK("https://my.pitchbook.com?c=123222-07T","View Company Online")</f>
      </c>
    </row>
    <row r="6421">
      <c r="A6421" s="3" t="s">
        <v>29241</v>
      </c>
      <c r="B6421" s="3" t="s">
        <v>29242</v>
      </c>
      <c r="C6421" s="5" t="s">
        <v>36</v>
      </c>
      <c r="D6421" s="5">
        <v>2</v>
      </c>
      <c r="E6421" s="5">
        <v>1</v>
      </c>
      <c r="F6421" s="5">
        <v>2</v>
      </c>
      <c r="G6421" s="6" t="s">
        <v>36</v>
      </c>
      <c r="H6421" s="4">
        <v>151.89</v>
      </c>
      <c r="I6421" s="7">
        <v>25.82</v>
      </c>
      <c r="J6421" s="3" t="s">
        <v>521</v>
      </c>
      <c r="K6421" s="9" t="s">
        <v>36</v>
      </c>
      <c r="L6421" s="6" t="s">
        <v>36</v>
      </c>
      <c r="M6421" s="3" t="s">
        <v>36</v>
      </c>
      <c r="N6421" s="3" t="s">
        <v>36</v>
      </c>
      <c r="O6421" s="8" t="s">
        <v>36</v>
      </c>
      <c r="P6421" s="3" t="s">
        <v>36</v>
      </c>
      <c r="Q6421" s="3" t="s">
        <v>36</v>
      </c>
      <c r="R6421" s="3" t="s">
        <v>36</v>
      </c>
      <c r="S6421" s="3" t="s">
        <v>36</v>
      </c>
      <c r="T6421" s="3" t="s">
        <v>28971</v>
      </c>
      <c r="U6421" s="3" t="s">
        <v>423</v>
      </c>
      <c r="V6421" s="3" t="s">
        <v>64</v>
      </c>
      <c r="W6421" s="3" t="s">
        <v>29243</v>
      </c>
      <c r="X6421" s="10" t="s">
        <v>29205</v>
      </c>
      <c r="Y6421" s="6" t="s">
        <v>42</v>
      </c>
      <c r="Z6421" s="4">
        <v>0.56</v>
      </c>
      <c r="AA6421" s="4">
        <v>2.17</v>
      </c>
      <c r="AB6421" s="3" t="s">
        <v>43</v>
      </c>
      <c r="AC6421" s="3" t="s">
        <v>29244</v>
      </c>
      <c r="AD6421" s="9">
        <v>42683</v>
      </c>
      <c r="AE6421" s="3" t="s">
        <v>1051</v>
      </c>
      <c r="AF6421" s="3" t="s">
        <v>29245</v>
      </c>
      <c r="AG6421" s="3" t="s">
        <v>81</v>
      </c>
      <c r="AH6421" s="11">
        <f>HYPERLINK("https://my.pitchbook.com?c=90394-75T","View Company Online")</f>
      </c>
    </row>
    <row r="6422">
      <c r="A6422" s="12" t="s">
        <v>29246</v>
      </c>
      <c r="B6422" s="12" t="s">
        <v>29247</v>
      </c>
      <c r="C6422" s="19" t="s">
        <v>36</v>
      </c>
      <c r="D6422" s="19">
        <v>5</v>
      </c>
      <c r="E6422" s="19">
        <v>3</v>
      </c>
      <c r="F6422" s="19">
        <v>7</v>
      </c>
      <c r="G6422" s="15" t="s">
        <v>36</v>
      </c>
      <c r="H6422" s="14" t="s">
        <v>36</v>
      </c>
      <c r="I6422" s="18" t="s">
        <v>36</v>
      </c>
      <c r="J6422" s="12" t="s">
        <v>36</v>
      </c>
      <c r="K6422" s="13" t="s">
        <v>36</v>
      </c>
      <c r="L6422" s="15" t="s">
        <v>36</v>
      </c>
      <c r="M6422" s="12" t="s">
        <v>36</v>
      </c>
      <c r="N6422" s="12" t="s">
        <v>36</v>
      </c>
      <c r="O6422" s="17" t="s">
        <v>36</v>
      </c>
      <c r="P6422" s="12" t="s">
        <v>36</v>
      </c>
      <c r="Q6422" s="12" t="s">
        <v>36</v>
      </c>
      <c r="R6422" s="12" t="s">
        <v>36</v>
      </c>
      <c r="S6422" s="12" t="s">
        <v>36</v>
      </c>
      <c r="T6422" s="12" t="s">
        <v>29248</v>
      </c>
      <c r="U6422" s="12" t="s">
        <v>455</v>
      </c>
      <c r="V6422" s="12" t="s">
        <v>367</v>
      </c>
      <c r="W6422" s="12" t="s">
        <v>29249</v>
      </c>
      <c r="X6422" s="16" t="s">
        <v>29250</v>
      </c>
      <c r="Y6422" s="15" t="s">
        <v>108</v>
      </c>
      <c r="Z6422" s="14">
        <v>8.24</v>
      </c>
      <c r="AA6422" s="14" t="s">
        <v>36</v>
      </c>
      <c r="AB6422" s="12" t="s">
        <v>43</v>
      </c>
      <c r="AC6422" s="12" t="s">
        <v>29251</v>
      </c>
      <c r="AD6422" s="13">
        <v>42682</v>
      </c>
      <c r="AE6422" s="12" t="s">
        <v>29252</v>
      </c>
      <c r="AF6422" s="12" t="s">
        <v>29253</v>
      </c>
      <c r="AG6422" s="12" t="s">
        <v>81</v>
      </c>
      <c r="AH6422" s="1">
        <f>HYPERLINK("https://my.pitchbook.com?c=80832-52T","View Company Online")</f>
      </c>
    </row>
    <row r="6423">
      <c r="A6423" s="3" t="s">
        <v>29254</v>
      </c>
      <c r="B6423" s="3" t="s">
        <v>8526</v>
      </c>
      <c r="C6423" s="5">
        <v>15</v>
      </c>
      <c r="D6423" s="5">
        <v>73</v>
      </c>
      <c r="E6423" s="5">
        <v>25</v>
      </c>
      <c r="F6423" s="5">
        <v>97</v>
      </c>
      <c r="G6423" s="6" t="s">
        <v>36</v>
      </c>
      <c r="H6423" s="4" t="s">
        <v>36</v>
      </c>
      <c r="I6423" s="7">
        <v>17.15</v>
      </c>
      <c r="J6423" s="3" t="s">
        <v>327</v>
      </c>
      <c r="K6423" s="9" t="s">
        <v>36</v>
      </c>
      <c r="L6423" s="6" t="s">
        <v>36</v>
      </c>
      <c r="M6423" s="3" t="s">
        <v>36</v>
      </c>
      <c r="N6423" s="3" t="s">
        <v>36</v>
      </c>
      <c r="O6423" s="8" t="s">
        <v>36</v>
      </c>
      <c r="P6423" s="3" t="s">
        <v>36</v>
      </c>
      <c r="Q6423" s="3" t="s">
        <v>36</v>
      </c>
      <c r="R6423" s="3" t="s">
        <v>36</v>
      </c>
      <c r="S6423" s="3" t="s">
        <v>36</v>
      </c>
      <c r="T6423" s="3" t="s">
        <v>8527</v>
      </c>
      <c r="U6423" s="3" t="s">
        <v>180</v>
      </c>
      <c r="V6423" s="3" t="s">
        <v>52</v>
      </c>
      <c r="W6423" s="3" t="s">
        <v>8528</v>
      </c>
      <c r="X6423" s="10" t="s">
        <v>21035</v>
      </c>
      <c r="Y6423" s="6" t="s">
        <v>192</v>
      </c>
      <c r="Z6423" s="4">
        <v>7.7</v>
      </c>
      <c r="AA6423" s="4">
        <v>44.88</v>
      </c>
      <c r="AB6423" s="3" t="s">
        <v>56</v>
      </c>
      <c r="AC6423" s="3" t="s">
        <v>8530</v>
      </c>
      <c r="AD6423" s="9">
        <v>42682</v>
      </c>
      <c r="AE6423" s="3" t="s">
        <v>184</v>
      </c>
      <c r="AF6423" s="3" t="s">
        <v>3193</v>
      </c>
      <c r="AG6423" s="3" t="s">
        <v>8531</v>
      </c>
      <c r="AH6423" s="11">
        <f>HYPERLINK("https://my.pitchbook.com?c=126626-41T","View Company Online")</f>
      </c>
    </row>
    <row r="6424">
      <c r="A6424" s="12" t="s">
        <v>29255</v>
      </c>
      <c r="B6424" s="12" t="s">
        <v>29256</v>
      </c>
      <c r="C6424" s="19" t="s">
        <v>36</v>
      </c>
      <c r="D6424" s="19" t="s">
        <v>36</v>
      </c>
      <c r="E6424" s="19" t="s">
        <v>36</v>
      </c>
      <c r="F6424" s="19" t="s">
        <v>36</v>
      </c>
      <c r="G6424" s="15" t="s">
        <v>2497</v>
      </c>
      <c r="H6424" s="14">
        <v>4.65</v>
      </c>
      <c r="I6424" s="18">
        <v>18.67</v>
      </c>
      <c r="J6424" s="12" t="s">
        <v>521</v>
      </c>
      <c r="K6424" s="13">
        <v>42670</v>
      </c>
      <c r="L6424" s="15" t="s">
        <v>94</v>
      </c>
      <c r="M6424" s="12" t="s">
        <v>36</v>
      </c>
      <c r="N6424" s="12" t="s">
        <v>94</v>
      </c>
      <c r="O6424" s="17" t="s">
        <v>36</v>
      </c>
      <c r="P6424" s="12" t="s">
        <v>36</v>
      </c>
      <c r="Q6424" s="12" t="s">
        <v>36</v>
      </c>
      <c r="R6424" s="12" t="s">
        <v>36</v>
      </c>
      <c r="S6424" s="12" t="s">
        <v>36</v>
      </c>
      <c r="T6424" s="12" t="s">
        <v>522</v>
      </c>
      <c r="U6424" s="12" t="s">
        <v>38</v>
      </c>
      <c r="V6424" s="12" t="s">
        <v>39</v>
      </c>
      <c r="W6424" s="12" t="s">
        <v>29257</v>
      </c>
      <c r="X6424" s="16" t="s">
        <v>29258</v>
      </c>
      <c r="Y6424" s="15" t="s">
        <v>55</v>
      </c>
      <c r="Z6424" s="14">
        <v>2.2</v>
      </c>
      <c r="AA6424" s="14">
        <v>11.78</v>
      </c>
      <c r="AB6424" s="12" t="s">
        <v>56</v>
      </c>
      <c r="AC6424" s="12" t="s">
        <v>29259</v>
      </c>
      <c r="AD6424" s="13">
        <v>42682</v>
      </c>
      <c r="AE6424" s="12" t="s">
        <v>110</v>
      </c>
      <c r="AF6424" s="12" t="s">
        <v>24667</v>
      </c>
      <c r="AG6424" s="12" t="s">
        <v>81</v>
      </c>
      <c r="AH6424" s="1">
        <f>HYPERLINK("https://my.pitchbook.com?c=117175-06T","View Company Online")</f>
      </c>
    </row>
    <row r="6425">
      <c r="A6425" s="3" t="s">
        <v>29260</v>
      </c>
      <c r="B6425" s="3" t="s">
        <v>8436</v>
      </c>
      <c r="C6425" s="5" t="s">
        <v>36</v>
      </c>
      <c r="D6425" s="5" t="s">
        <v>36</v>
      </c>
      <c r="E6425" s="5" t="s">
        <v>36</v>
      </c>
      <c r="F6425" s="5" t="s">
        <v>36</v>
      </c>
      <c r="G6425" s="6" t="s">
        <v>36</v>
      </c>
      <c r="H6425" s="4">
        <v>235.24</v>
      </c>
      <c r="I6425" s="7">
        <v>18.08</v>
      </c>
      <c r="J6425" s="3" t="s">
        <v>327</v>
      </c>
      <c r="K6425" s="9" t="s">
        <v>36</v>
      </c>
      <c r="L6425" s="6" t="s">
        <v>36</v>
      </c>
      <c r="M6425" s="3" t="s">
        <v>36</v>
      </c>
      <c r="N6425" s="3" t="s">
        <v>36</v>
      </c>
      <c r="O6425" s="8" t="s">
        <v>36</v>
      </c>
      <c r="P6425" s="3" t="s">
        <v>36</v>
      </c>
      <c r="Q6425" s="3" t="s">
        <v>36</v>
      </c>
      <c r="R6425" s="3" t="s">
        <v>36</v>
      </c>
      <c r="S6425" s="3" t="s">
        <v>36</v>
      </c>
      <c r="T6425" s="3" t="s">
        <v>8437</v>
      </c>
      <c r="U6425" s="3" t="s">
        <v>833</v>
      </c>
      <c r="V6425" s="3" t="s">
        <v>64</v>
      </c>
      <c r="W6425" s="3" t="s">
        <v>8438</v>
      </c>
      <c r="X6425" s="10" t="s">
        <v>29261</v>
      </c>
      <c r="Y6425" s="6" t="s">
        <v>42</v>
      </c>
      <c r="Z6425" s="4">
        <v>0.44</v>
      </c>
      <c r="AA6425" s="4">
        <v>2.43</v>
      </c>
      <c r="AB6425" s="3" t="s">
        <v>43</v>
      </c>
      <c r="AC6425" s="3" t="s">
        <v>8440</v>
      </c>
      <c r="AD6425" s="9">
        <v>42682</v>
      </c>
      <c r="AE6425" s="3" t="s">
        <v>3615</v>
      </c>
      <c r="AF6425" s="3" t="s">
        <v>8441</v>
      </c>
      <c r="AG6425" s="3" t="s">
        <v>81</v>
      </c>
      <c r="AH6425" s="11">
        <f>HYPERLINK("https://my.pitchbook.com?c=116169-85T","View Company Online")</f>
      </c>
    </row>
    <row r="6426">
      <c r="A6426" s="12" t="s">
        <v>29262</v>
      </c>
      <c r="B6426" s="12" t="s">
        <v>29263</v>
      </c>
      <c r="C6426" s="19" t="s">
        <v>36</v>
      </c>
      <c r="D6426" s="19" t="s">
        <v>36</v>
      </c>
      <c r="E6426" s="19" t="s">
        <v>36</v>
      </c>
      <c r="F6426" s="19" t="s">
        <v>36</v>
      </c>
      <c r="G6426" s="15" t="s">
        <v>36</v>
      </c>
      <c r="H6426" s="14">
        <v>6.01</v>
      </c>
      <c r="I6426" s="18">
        <v>16.98</v>
      </c>
      <c r="J6426" s="12" t="s">
        <v>521</v>
      </c>
      <c r="K6426" s="13" t="s">
        <v>36</v>
      </c>
      <c r="L6426" s="15" t="s">
        <v>36</v>
      </c>
      <c r="M6426" s="12" t="s">
        <v>36</v>
      </c>
      <c r="N6426" s="12" t="s">
        <v>36</v>
      </c>
      <c r="O6426" s="17" t="s">
        <v>36</v>
      </c>
      <c r="P6426" s="12" t="s">
        <v>36</v>
      </c>
      <c r="Q6426" s="12" t="s">
        <v>36</v>
      </c>
      <c r="R6426" s="12" t="s">
        <v>36</v>
      </c>
      <c r="S6426" s="12" t="s">
        <v>36</v>
      </c>
      <c r="T6426" s="12" t="s">
        <v>29264</v>
      </c>
      <c r="U6426" s="12" t="s">
        <v>38</v>
      </c>
      <c r="V6426" s="12" t="s">
        <v>39</v>
      </c>
      <c r="W6426" s="12" t="s">
        <v>29265</v>
      </c>
      <c r="X6426" s="16" t="s">
        <v>221</v>
      </c>
      <c r="Y6426" s="15" t="s">
        <v>42</v>
      </c>
      <c r="Z6426" s="14">
        <v>0.24</v>
      </c>
      <c r="AA6426" s="14">
        <v>1.4</v>
      </c>
      <c r="AB6426" s="12" t="s">
        <v>56</v>
      </c>
      <c r="AC6426" s="12" t="s">
        <v>29266</v>
      </c>
      <c r="AD6426" s="13">
        <v>42682</v>
      </c>
      <c r="AE6426" s="12" t="s">
        <v>45</v>
      </c>
      <c r="AF6426" s="12" t="s">
        <v>215</v>
      </c>
      <c r="AG6426" s="12" t="s">
        <v>2000</v>
      </c>
      <c r="AH6426" s="1">
        <f>HYPERLINK("https://my.pitchbook.com?c=194125-60T","View Company Online")</f>
      </c>
    </row>
    <row r="6427">
      <c r="A6427" s="3" t="s">
        <v>29267</v>
      </c>
      <c r="B6427" s="3" t="s">
        <v>29268</v>
      </c>
      <c r="C6427" s="5" t="s">
        <v>36</v>
      </c>
      <c r="D6427" s="5" t="s">
        <v>36</v>
      </c>
      <c r="E6427" s="5" t="s">
        <v>36</v>
      </c>
      <c r="F6427" s="5" t="s">
        <v>36</v>
      </c>
      <c r="G6427" s="6" t="s">
        <v>36</v>
      </c>
      <c r="H6427" s="4" t="s">
        <v>36</v>
      </c>
      <c r="I6427" s="7" t="s">
        <v>36</v>
      </c>
      <c r="J6427" s="3" t="s">
        <v>36</v>
      </c>
      <c r="K6427" s="9" t="s">
        <v>36</v>
      </c>
      <c r="L6427" s="6" t="s">
        <v>36</v>
      </c>
      <c r="M6427" s="3" t="s">
        <v>36</v>
      </c>
      <c r="N6427" s="3" t="s">
        <v>36</v>
      </c>
      <c r="O6427" s="8" t="s">
        <v>36</v>
      </c>
      <c r="P6427" s="3" t="s">
        <v>36</v>
      </c>
      <c r="Q6427" s="3" t="s">
        <v>36</v>
      </c>
      <c r="R6427" s="3" t="s">
        <v>36</v>
      </c>
      <c r="S6427" s="3" t="s">
        <v>36</v>
      </c>
      <c r="T6427" s="3" t="s">
        <v>29269</v>
      </c>
      <c r="U6427" s="3" t="s">
        <v>63</v>
      </c>
      <c r="V6427" s="3" t="s">
        <v>64</v>
      </c>
      <c r="W6427" s="3" t="s">
        <v>29270</v>
      </c>
      <c r="X6427" s="10" t="s">
        <v>1840</v>
      </c>
      <c r="Y6427" s="6" t="s">
        <v>42</v>
      </c>
      <c r="Z6427" s="4">
        <v>0.66</v>
      </c>
      <c r="AA6427" s="4" t="s">
        <v>36</v>
      </c>
      <c r="AB6427" s="3" t="s">
        <v>43</v>
      </c>
      <c r="AC6427" s="3" t="s">
        <v>29271</v>
      </c>
      <c r="AD6427" s="9">
        <v>42681</v>
      </c>
      <c r="AE6427" s="3" t="s">
        <v>399</v>
      </c>
      <c r="AF6427" s="3" t="s">
        <v>269</v>
      </c>
      <c r="AG6427" s="3" t="s">
        <v>81</v>
      </c>
      <c r="AH6427" s="11">
        <f>HYPERLINK("https://my.pitchbook.com?c=78199-30T","View Company Online")</f>
      </c>
    </row>
    <row r="6428">
      <c r="A6428" s="12" t="s">
        <v>29272</v>
      </c>
      <c r="B6428" s="12" t="s">
        <v>29273</v>
      </c>
      <c r="C6428" s="19" t="s">
        <v>36</v>
      </c>
      <c r="D6428" s="19" t="s">
        <v>36</v>
      </c>
      <c r="E6428" s="19" t="s">
        <v>36</v>
      </c>
      <c r="F6428" s="19" t="s">
        <v>36</v>
      </c>
      <c r="G6428" s="15" t="s">
        <v>326</v>
      </c>
      <c r="H6428" s="14">
        <v>23.45</v>
      </c>
      <c r="I6428" s="18">
        <v>25.64</v>
      </c>
      <c r="J6428" s="12" t="s">
        <v>521</v>
      </c>
      <c r="K6428" s="13" t="s">
        <v>36</v>
      </c>
      <c r="L6428" s="15" t="s">
        <v>36</v>
      </c>
      <c r="M6428" s="12" t="s">
        <v>36</v>
      </c>
      <c r="N6428" s="12" t="s">
        <v>36</v>
      </c>
      <c r="O6428" s="17" t="s">
        <v>36</v>
      </c>
      <c r="P6428" s="12" t="s">
        <v>36</v>
      </c>
      <c r="Q6428" s="12" t="s">
        <v>36</v>
      </c>
      <c r="R6428" s="12" t="s">
        <v>36</v>
      </c>
      <c r="S6428" s="12" t="s">
        <v>36</v>
      </c>
      <c r="T6428" s="12" t="s">
        <v>16734</v>
      </c>
      <c r="U6428" s="12" t="s">
        <v>63</v>
      </c>
      <c r="V6428" s="12" t="s">
        <v>64</v>
      </c>
      <c r="W6428" s="12" t="s">
        <v>29274</v>
      </c>
      <c r="X6428" s="16" t="s">
        <v>29275</v>
      </c>
      <c r="Y6428" s="15" t="s">
        <v>42</v>
      </c>
      <c r="Z6428" s="14">
        <v>1.21</v>
      </c>
      <c r="AA6428" s="14">
        <v>4.72</v>
      </c>
      <c r="AB6428" s="12" t="s">
        <v>56</v>
      </c>
      <c r="AC6428" s="12" t="s">
        <v>29276</v>
      </c>
      <c r="AD6428" s="13">
        <v>42681</v>
      </c>
      <c r="AE6428" s="12" t="s">
        <v>68</v>
      </c>
      <c r="AF6428" s="12" t="s">
        <v>90</v>
      </c>
      <c r="AG6428" s="12" t="s">
        <v>81</v>
      </c>
      <c r="AH6428" s="1">
        <f>HYPERLINK("https://my.pitchbook.com?c=191688-31T","View Company Online")</f>
      </c>
    </row>
    <row r="6429">
      <c r="A6429" s="3" t="s">
        <v>29277</v>
      </c>
      <c r="B6429" s="3" t="s">
        <v>29278</v>
      </c>
      <c r="C6429" s="5" t="s">
        <v>36</v>
      </c>
      <c r="D6429" s="5" t="s">
        <v>36</v>
      </c>
      <c r="E6429" s="5" t="s">
        <v>36</v>
      </c>
      <c r="F6429" s="5" t="s">
        <v>36</v>
      </c>
      <c r="G6429" s="6" t="s">
        <v>36</v>
      </c>
      <c r="H6429" s="4" t="s">
        <v>36</v>
      </c>
      <c r="I6429" s="7" t="s">
        <v>36</v>
      </c>
      <c r="J6429" s="3" t="s">
        <v>36</v>
      </c>
      <c r="K6429" s="9" t="s">
        <v>36</v>
      </c>
      <c r="L6429" s="6" t="s">
        <v>36</v>
      </c>
      <c r="M6429" s="3" t="s">
        <v>36</v>
      </c>
      <c r="N6429" s="3" t="s">
        <v>36</v>
      </c>
      <c r="O6429" s="8" t="s">
        <v>36</v>
      </c>
      <c r="P6429" s="3" t="s">
        <v>36</v>
      </c>
      <c r="Q6429" s="3" t="s">
        <v>36</v>
      </c>
      <c r="R6429" s="3" t="s">
        <v>36</v>
      </c>
      <c r="S6429" s="3" t="s">
        <v>36</v>
      </c>
      <c r="T6429" s="3" t="s">
        <v>105</v>
      </c>
      <c r="U6429" s="3" t="s">
        <v>38</v>
      </c>
      <c r="V6429" s="3" t="s">
        <v>39</v>
      </c>
      <c r="W6429" s="3" t="s">
        <v>29279</v>
      </c>
      <c r="X6429" s="10" t="s">
        <v>20907</v>
      </c>
      <c r="Y6429" s="6" t="s">
        <v>42</v>
      </c>
      <c r="Z6429" s="4" t="s">
        <v>36</v>
      </c>
      <c r="AA6429" s="4" t="s">
        <v>36</v>
      </c>
      <c r="AB6429" s="3" t="s">
        <v>43</v>
      </c>
      <c r="AC6429" s="3" t="s">
        <v>29280</v>
      </c>
      <c r="AD6429" s="9">
        <v>42680</v>
      </c>
      <c r="AE6429" s="3" t="s">
        <v>110</v>
      </c>
      <c r="AF6429" s="3" t="s">
        <v>22481</v>
      </c>
      <c r="AG6429" s="3" t="s">
        <v>81</v>
      </c>
      <c r="AH6429" s="11">
        <f>HYPERLINK("https://my.pitchbook.com?c=132639-04T","View Company Online")</f>
      </c>
    </row>
    <row r="6430">
      <c r="A6430" s="12" t="s">
        <v>29281</v>
      </c>
      <c r="B6430" s="12" t="s">
        <v>3263</v>
      </c>
      <c r="C6430" s="19">
        <v>10</v>
      </c>
      <c r="D6430" s="19">
        <v>52</v>
      </c>
      <c r="E6430" s="19">
        <v>11</v>
      </c>
      <c r="F6430" s="19">
        <v>62</v>
      </c>
      <c r="G6430" s="15" t="s">
        <v>326</v>
      </c>
      <c r="H6430" s="14">
        <v>2.77</v>
      </c>
      <c r="I6430" s="18">
        <v>67.65</v>
      </c>
      <c r="J6430" s="12" t="s">
        <v>521</v>
      </c>
      <c r="K6430" s="13" t="s">
        <v>36</v>
      </c>
      <c r="L6430" s="15" t="s">
        <v>94</v>
      </c>
      <c r="M6430" s="12" t="s">
        <v>36</v>
      </c>
      <c r="N6430" s="12" t="s">
        <v>94</v>
      </c>
      <c r="O6430" s="17" t="s">
        <v>36</v>
      </c>
      <c r="P6430" s="12" t="s">
        <v>36</v>
      </c>
      <c r="Q6430" s="12" t="s">
        <v>36</v>
      </c>
      <c r="R6430" s="12" t="s">
        <v>36</v>
      </c>
      <c r="S6430" s="12" t="s">
        <v>36</v>
      </c>
      <c r="T6430" s="12" t="s">
        <v>3264</v>
      </c>
      <c r="U6430" s="12" t="s">
        <v>96</v>
      </c>
      <c r="V6430" s="12" t="s">
        <v>52</v>
      </c>
      <c r="W6430" s="12" t="s">
        <v>3265</v>
      </c>
      <c r="X6430" s="16" t="s">
        <v>29282</v>
      </c>
      <c r="Y6430" s="15" t="s">
        <v>108</v>
      </c>
      <c r="Z6430" s="14">
        <v>17.32</v>
      </c>
      <c r="AA6430" s="14">
        <v>25.61</v>
      </c>
      <c r="AB6430" s="12" t="s">
        <v>56</v>
      </c>
      <c r="AC6430" s="12" t="s">
        <v>3267</v>
      </c>
      <c r="AD6430" s="13">
        <v>42678</v>
      </c>
      <c r="AE6430" s="12" t="s">
        <v>496</v>
      </c>
      <c r="AF6430" s="12" t="s">
        <v>159</v>
      </c>
      <c r="AG6430" s="12" t="s">
        <v>347</v>
      </c>
      <c r="AH6430" s="1">
        <f>HYPERLINK("https://my.pitchbook.com?c=78076-45T","View Company Online")</f>
      </c>
    </row>
    <row r="6431">
      <c r="A6431" s="3" t="s">
        <v>29283</v>
      </c>
      <c r="B6431" s="3" t="s">
        <v>6106</v>
      </c>
      <c r="C6431" s="5" t="s">
        <v>36</v>
      </c>
      <c r="D6431" s="5" t="s">
        <v>36</v>
      </c>
      <c r="E6431" s="5" t="s">
        <v>36</v>
      </c>
      <c r="F6431" s="5" t="s">
        <v>36</v>
      </c>
      <c r="G6431" s="6" t="s">
        <v>326</v>
      </c>
      <c r="H6431" s="4">
        <v>2.79</v>
      </c>
      <c r="I6431" s="7">
        <v>39.81</v>
      </c>
      <c r="J6431" s="3" t="s">
        <v>521</v>
      </c>
      <c r="K6431" s="9" t="s">
        <v>36</v>
      </c>
      <c r="L6431" s="6" t="s">
        <v>36</v>
      </c>
      <c r="M6431" s="3" t="s">
        <v>36</v>
      </c>
      <c r="N6431" s="3" t="s">
        <v>36</v>
      </c>
      <c r="O6431" s="8" t="s">
        <v>36</v>
      </c>
      <c r="P6431" s="3" t="s">
        <v>36</v>
      </c>
      <c r="Q6431" s="3" t="s">
        <v>36</v>
      </c>
      <c r="R6431" s="3" t="s">
        <v>36</v>
      </c>
      <c r="S6431" s="3" t="s">
        <v>36</v>
      </c>
      <c r="T6431" s="3" t="s">
        <v>6107</v>
      </c>
      <c r="U6431" s="3" t="s">
        <v>74</v>
      </c>
      <c r="V6431" s="3" t="s">
        <v>75</v>
      </c>
      <c r="W6431" s="3" t="s">
        <v>6108</v>
      </c>
      <c r="X6431" s="10" t="s">
        <v>29284</v>
      </c>
      <c r="Y6431" s="6" t="s">
        <v>108</v>
      </c>
      <c r="Z6431" s="4">
        <v>5.55</v>
      </c>
      <c r="AA6431" s="4">
        <v>7.02</v>
      </c>
      <c r="AB6431" s="3" t="s">
        <v>56</v>
      </c>
      <c r="AC6431" s="3" t="s">
        <v>6110</v>
      </c>
      <c r="AD6431" s="9">
        <v>42677</v>
      </c>
      <c r="AE6431" s="3" t="s">
        <v>975</v>
      </c>
      <c r="AF6431" s="3" t="s">
        <v>36</v>
      </c>
      <c r="AG6431" s="3" t="s">
        <v>1905</v>
      </c>
      <c r="AH6431" s="11">
        <f>HYPERLINK("https://my.pitchbook.com?c=78879-43T","View Company Online")</f>
      </c>
    </row>
    <row r="6432">
      <c r="A6432" s="12" t="s">
        <v>29285</v>
      </c>
      <c r="B6432" s="12" t="s">
        <v>19950</v>
      </c>
      <c r="C6432" s="19" t="s">
        <v>36</v>
      </c>
      <c r="D6432" s="19">
        <v>2</v>
      </c>
      <c r="E6432" s="19">
        <v>1</v>
      </c>
      <c r="F6432" s="19">
        <v>2</v>
      </c>
      <c r="G6432" s="15" t="s">
        <v>36</v>
      </c>
      <c r="H6432" s="14" t="s">
        <v>36</v>
      </c>
      <c r="I6432" s="18" t="s">
        <v>36</v>
      </c>
      <c r="J6432" s="12" t="s">
        <v>36</v>
      </c>
      <c r="K6432" s="13" t="s">
        <v>36</v>
      </c>
      <c r="L6432" s="15" t="s">
        <v>122</v>
      </c>
      <c r="M6432" s="12" t="s">
        <v>36</v>
      </c>
      <c r="N6432" s="12" t="s">
        <v>122</v>
      </c>
      <c r="O6432" s="17" t="s">
        <v>36</v>
      </c>
      <c r="P6432" s="12" t="s">
        <v>36</v>
      </c>
      <c r="Q6432" s="12" t="s">
        <v>36</v>
      </c>
      <c r="R6432" s="12" t="s">
        <v>36</v>
      </c>
      <c r="S6432" s="12" t="s">
        <v>36</v>
      </c>
      <c r="T6432" s="12" t="s">
        <v>19951</v>
      </c>
      <c r="U6432" s="12" t="s">
        <v>38</v>
      </c>
      <c r="V6432" s="12" t="s">
        <v>39</v>
      </c>
      <c r="W6432" s="12" t="s">
        <v>19952</v>
      </c>
      <c r="X6432" s="16" t="s">
        <v>29286</v>
      </c>
      <c r="Y6432" s="15" t="s">
        <v>55</v>
      </c>
      <c r="Z6432" s="14">
        <v>2.6</v>
      </c>
      <c r="AA6432" s="14" t="s">
        <v>36</v>
      </c>
      <c r="AB6432" s="12" t="s">
        <v>56</v>
      </c>
      <c r="AC6432" s="12" t="s">
        <v>19954</v>
      </c>
      <c r="AD6432" s="13">
        <v>42676</v>
      </c>
      <c r="AE6432" s="12" t="s">
        <v>1945</v>
      </c>
      <c r="AF6432" s="12" t="s">
        <v>19955</v>
      </c>
      <c r="AG6432" s="12" t="s">
        <v>81</v>
      </c>
      <c r="AH6432" s="1">
        <f>HYPERLINK("https://my.pitchbook.com?c=77955-67T","View Company Online")</f>
      </c>
    </row>
    <row r="6433">
      <c r="A6433" s="3" t="s">
        <v>29287</v>
      </c>
      <c r="B6433" s="3" t="s">
        <v>29288</v>
      </c>
      <c r="C6433" s="5" t="s">
        <v>36</v>
      </c>
      <c r="D6433" s="5" t="s">
        <v>36</v>
      </c>
      <c r="E6433" s="5" t="s">
        <v>36</v>
      </c>
      <c r="F6433" s="5" t="s">
        <v>36</v>
      </c>
      <c r="G6433" s="6" t="s">
        <v>36</v>
      </c>
      <c r="H6433" s="4" t="s">
        <v>36</v>
      </c>
      <c r="I6433" s="7" t="s">
        <v>36</v>
      </c>
      <c r="J6433" s="3" t="s">
        <v>36</v>
      </c>
      <c r="K6433" s="9" t="s">
        <v>36</v>
      </c>
      <c r="L6433" s="6" t="s">
        <v>36</v>
      </c>
      <c r="M6433" s="3" t="s">
        <v>36</v>
      </c>
      <c r="N6433" s="3" t="s">
        <v>36</v>
      </c>
      <c r="O6433" s="8" t="s">
        <v>36</v>
      </c>
      <c r="P6433" s="3" t="s">
        <v>36</v>
      </c>
      <c r="Q6433" s="3" t="s">
        <v>36</v>
      </c>
      <c r="R6433" s="3" t="s">
        <v>36</v>
      </c>
      <c r="S6433" s="3" t="s">
        <v>36</v>
      </c>
      <c r="T6433" s="3" t="s">
        <v>278</v>
      </c>
      <c r="U6433" s="3" t="s">
        <v>279</v>
      </c>
      <c r="V6433" s="3" t="s">
        <v>64</v>
      </c>
      <c r="W6433" s="3" t="s">
        <v>29289</v>
      </c>
      <c r="X6433" s="10" t="s">
        <v>29290</v>
      </c>
      <c r="Y6433" s="6" t="s">
        <v>55</v>
      </c>
      <c r="Z6433" s="4" t="s">
        <v>36</v>
      </c>
      <c r="AA6433" s="4" t="s">
        <v>36</v>
      </c>
      <c r="AB6433" s="3" t="s">
        <v>43</v>
      </c>
      <c r="AC6433" s="3" t="s">
        <v>29291</v>
      </c>
      <c r="AD6433" s="9">
        <v>42676</v>
      </c>
      <c r="AE6433" s="3" t="s">
        <v>283</v>
      </c>
      <c r="AF6433" s="3" t="s">
        <v>1077</v>
      </c>
      <c r="AG6433" s="3" t="s">
        <v>81</v>
      </c>
      <c r="AH6433" s="11">
        <f>HYPERLINK("https://my.pitchbook.com?c=79558-84T","View Company Online")</f>
      </c>
    </row>
    <row r="6434">
      <c r="A6434" s="12" t="s">
        <v>29292</v>
      </c>
      <c r="B6434" s="12" t="s">
        <v>18272</v>
      </c>
      <c r="C6434" s="19" t="s">
        <v>36</v>
      </c>
      <c r="D6434" s="19" t="s">
        <v>36</v>
      </c>
      <c r="E6434" s="19">
        <v>2</v>
      </c>
      <c r="F6434" s="19">
        <v>2</v>
      </c>
      <c r="G6434" s="15" t="s">
        <v>36</v>
      </c>
      <c r="H6434" s="14">
        <v>12.46</v>
      </c>
      <c r="I6434" s="18">
        <v>73.16</v>
      </c>
      <c r="J6434" s="12" t="s">
        <v>521</v>
      </c>
      <c r="K6434" s="13" t="s">
        <v>36</v>
      </c>
      <c r="L6434" s="15" t="s">
        <v>36</v>
      </c>
      <c r="M6434" s="12" t="s">
        <v>36</v>
      </c>
      <c r="N6434" s="12" t="s">
        <v>36</v>
      </c>
      <c r="O6434" s="17" t="s">
        <v>36</v>
      </c>
      <c r="P6434" s="12" t="s">
        <v>36</v>
      </c>
      <c r="Q6434" s="12" t="s">
        <v>36</v>
      </c>
      <c r="R6434" s="12" t="s">
        <v>36</v>
      </c>
      <c r="S6434" s="12" t="s">
        <v>36</v>
      </c>
      <c r="T6434" s="12" t="s">
        <v>881</v>
      </c>
      <c r="U6434" s="12" t="s">
        <v>51</v>
      </c>
      <c r="V6434" s="12" t="s">
        <v>52</v>
      </c>
      <c r="W6434" s="12" t="s">
        <v>18273</v>
      </c>
      <c r="X6434" s="16" t="s">
        <v>29293</v>
      </c>
      <c r="Y6434" s="15" t="s">
        <v>42</v>
      </c>
      <c r="Z6434" s="14">
        <v>3.6</v>
      </c>
      <c r="AA6434" s="14">
        <v>4.93</v>
      </c>
      <c r="AB6434" s="12" t="s">
        <v>43</v>
      </c>
      <c r="AC6434" s="12" t="s">
        <v>18275</v>
      </c>
      <c r="AD6434" s="13">
        <v>42675</v>
      </c>
      <c r="AE6434" s="12" t="s">
        <v>504</v>
      </c>
      <c r="AF6434" s="12" t="s">
        <v>9908</v>
      </c>
      <c r="AG6434" s="12" t="s">
        <v>1276</v>
      </c>
      <c r="AH6434" s="1">
        <f>HYPERLINK("https://my.pitchbook.com?c=87787-09T","View Company Online")</f>
      </c>
    </row>
    <row r="6435">
      <c r="A6435" s="3" t="s">
        <v>29294</v>
      </c>
      <c r="B6435" s="3" t="s">
        <v>23249</v>
      </c>
      <c r="C6435" s="5" t="s">
        <v>36</v>
      </c>
      <c r="D6435" s="5" t="s">
        <v>36</v>
      </c>
      <c r="E6435" s="5" t="s">
        <v>36</v>
      </c>
      <c r="F6435" s="5" t="s">
        <v>36</v>
      </c>
      <c r="G6435" s="6" t="s">
        <v>36</v>
      </c>
      <c r="H6435" s="4" t="s">
        <v>36</v>
      </c>
      <c r="I6435" s="7" t="s">
        <v>36</v>
      </c>
      <c r="J6435" s="3" t="s">
        <v>36</v>
      </c>
      <c r="K6435" s="9" t="s">
        <v>36</v>
      </c>
      <c r="L6435" s="6" t="s">
        <v>36</v>
      </c>
      <c r="M6435" s="3" t="s">
        <v>36</v>
      </c>
      <c r="N6435" s="3" t="s">
        <v>36</v>
      </c>
      <c r="O6435" s="8" t="s">
        <v>36</v>
      </c>
      <c r="P6435" s="3" t="s">
        <v>36</v>
      </c>
      <c r="Q6435" s="3" t="s">
        <v>36</v>
      </c>
      <c r="R6435" s="3" t="s">
        <v>36</v>
      </c>
      <c r="S6435" s="3" t="s">
        <v>36</v>
      </c>
      <c r="T6435" s="3" t="s">
        <v>23250</v>
      </c>
      <c r="U6435" s="3" t="s">
        <v>63</v>
      </c>
      <c r="V6435" s="3" t="s">
        <v>64</v>
      </c>
      <c r="W6435" s="3" t="s">
        <v>23251</v>
      </c>
      <c r="X6435" s="10" t="s">
        <v>20907</v>
      </c>
      <c r="Y6435" s="6" t="s">
        <v>42</v>
      </c>
      <c r="Z6435" s="4" t="s">
        <v>36</v>
      </c>
      <c r="AA6435" s="4" t="s">
        <v>36</v>
      </c>
      <c r="AB6435" s="3" t="s">
        <v>43</v>
      </c>
      <c r="AC6435" s="3" t="s">
        <v>23252</v>
      </c>
      <c r="AD6435" s="9">
        <v>42675</v>
      </c>
      <c r="AE6435" s="3" t="s">
        <v>399</v>
      </c>
      <c r="AF6435" s="3" t="s">
        <v>4270</v>
      </c>
      <c r="AG6435" s="3" t="s">
        <v>81</v>
      </c>
      <c r="AH6435" s="11">
        <f>HYPERLINK("https://my.pitchbook.com?c=132574-78T","View Company Online")</f>
      </c>
    </row>
    <row r="6436">
      <c r="A6436" s="12" t="s">
        <v>29295</v>
      </c>
      <c r="B6436" s="12" t="s">
        <v>29296</v>
      </c>
      <c r="C6436" s="19">
        <v>5</v>
      </c>
      <c r="D6436" s="19">
        <v>22</v>
      </c>
      <c r="E6436" s="19">
        <v>5</v>
      </c>
      <c r="F6436" s="19">
        <v>27</v>
      </c>
      <c r="G6436" s="15" t="s">
        <v>326</v>
      </c>
      <c r="H6436" s="14">
        <v>77.04</v>
      </c>
      <c r="I6436" s="18">
        <v>12.58</v>
      </c>
      <c r="J6436" s="12" t="s">
        <v>521</v>
      </c>
      <c r="K6436" s="13">
        <v>42005</v>
      </c>
      <c r="L6436" s="15" t="s">
        <v>122</v>
      </c>
      <c r="M6436" s="12" t="s">
        <v>36</v>
      </c>
      <c r="N6436" s="12" t="s">
        <v>122</v>
      </c>
      <c r="O6436" s="17" t="s">
        <v>36</v>
      </c>
      <c r="P6436" s="12" t="s">
        <v>36</v>
      </c>
      <c r="Q6436" s="12" t="s">
        <v>36</v>
      </c>
      <c r="R6436" s="12" t="s">
        <v>36</v>
      </c>
      <c r="S6436" s="12" t="s">
        <v>36</v>
      </c>
      <c r="T6436" s="12" t="s">
        <v>29297</v>
      </c>
      <c r="U6436" s="12" t="s">
        <v>51</v>
      </c>
      <c r="V6436" s="12" t="s">
        <v>52</v>
      </c>
      <c r="W6436" s="12" t="s">
        <v>29298</v>
      </c>
      <c r="X6436" s="16" t="s">
        <v>29299</v>
      </c>
      <c r="Y6436" s="15" t="s">
        <v>192</v>
      </c>
      <c r="Z6436" s="14">
        <v>1.04</v>
      </c>
      <c r="AA6436" s="14">
        <v>8.27</v>
      </c>
      <c r="AB6436" s="12" t="s">
        <v>56</v>
      </c>
      <c r="AC6436" s="12" t="s">
        <v>29300</v>
      </c>
      <c r="AD6436" s="13">
        <v>42675</v>
      </c>
      <c r="AE6436" s="12" t="s">
        <v>158</v>
      </c>
      <c r="AF6436" s="12" t="s">
        <v>1166</v>
      </c>
      <c r="AG6436" s="12" t="s">
        <v>144</v>
      </c>
      <c r="AH6436" s="1">
        <f>HYPERLINK("https://my.pitchbook.com?c=99440-56T","View Company Online")</f>
      </c>
    </row>
    <row r="6437">
      <c r="A6437" s="3" t="s">
        <v>29301</v>
      </c>
      <c r="B6437" s="3" t="s">
        <v>15997</v>
      </c>
      <c r="C6437" s="5" t="s">
        <v>36</v>
      </c>
      <c r="D6437" s="5" t="s">
        <v>36</v>
      </c>
      <c r="E6437" s="5" t="s">
        <v>36</v>
      </c>
      <c r="F6437" s="5" t="s">
        <v>36</v>
      </c>
      <c r="G6437" s="6" t="s">
        <v>36</v>
      </c>
      <c r="H6437" s="4" t="s">
        <v>36</v>
      </c>
      <c r="I6437" s="7" t="s">
        <v>36</v>
      </c>
      <c r="J6437" s="3" t="s">
        <v>36</v>
      </c>
      <c r="K6437" s="9" t="s">
        <v>36</v>
      </c>
      <c r="L6437" s="6" t="s">
        <v>36</v>
      </c>
      <c r="M6437" s="3" t="s">
        <v>36</v>
      </c>
      <c r="N6437" s="3" t="s">
        <v>36</v>
      </c>
      <c r="O6437" s="8" t="s">
        <v>36</v>
      </c>
      <c r="P6437" s="3" t="s">
        <v>36</v>
      </c>
      <c r="Q6437" s="3" t="s">
        <v>36</v>
      </c>
      <c r="R6437" s="3" t="s">
        <v>36</v>
      </c>
      <c r="S6437" s="3" t="s">
        <v>36</v>
      </c>
      <c r="T6437" s="3" t="s">
        <v>4529</v>
      </c>
      <c r="U6437" s="3" t="s">
        <v>38</v>
      </c>
      <c r="V6437" s="3" t="s">
        <v>39</v>
      </c>
      <c r="W6437" s="3" t="s">
        <v>15998</v>
      </c>
      <c r="X6437" s="10" t="s">
        <v>29302</v>
      </c>
      <c r="Y6437" s="6" t="s">
        <v>108</v>
      </c>
      <c r="Z6437" s="4">
        <v>1.87</v>
      </c>
      <c r="AA6437" s="4" t="s">
        <v>36</v>
      </c>
      <c r="AB6437" s="3" t="s">
        <v>43</v>
      </c>
      <c r="AC6437" s="3" t="s">
        <v>16000</v>
      </c>
      <c r="AD6437" s="9">
        <v>42675</v>
      </c>
      <c r="AE6437" s="3" t="s">
        <v>1422</v>
      </c>
      <c r="AF6437" s="3" t="s">
        <v>4842</v>
      </c>
      <c r="AG6437" s="3" t="s">
        <v>81</v>
      </c>
      <c r="AH6437" s="11">
        <f>HYPERLINK("https://my.pitchbook.com?c=114016-33T","View Company Online")</f>
      </c>
    </row>
    <row r="6438">
      <c r="A6438" s="12" t="s">
        <v>29303</v>
      </c>
      <c r="B6438" s="12" t="s">
        <v>4219</v>
      </c>
      <c r="C6438" s="19" t="s">
        <v>36</v>
      </c>
      <c r="D6438" s="19" t="s">
        <v>36</v>
      </c>
      <c r="E6438" s="19" t="s">
        <v>36</v>
      </c>
      <c r="F6438" s="19" t="s">
        <v>36</v>
      </c>
      <c r="G6438" s="15" t="s">
        <v>36</v>
      </c>
      <c r="H6438" s="14">
        <v>623.14</v>
      </c>
      <c r="I6438" s="18">
        <v>25.57</v>
      </c>
      <c r="J6438" s="12" t="s">
        <v>521</v>
      </c>
      <c r="K6438" s="13" t="s">
        <v>36</v>
      </c>
      <c r="L6438" s="15" t="s">
        <v>36</v>
      </c>
      <c r="M6438" s="12" t="s">
        <v>36</v>
      </c>
      <c r="N6438" s="12" t="s">
        <v>36</v>
      </c>
      <c r="O6438" s="17" t="s">
        <v>36</v>
      </c>
      <c r="P6438" s="12" t="s">
        <v>36</v>
      </c>
      <c r="Q6438" s="12" t="s">
        <v>36</v>
      </c>
      <c r="R6438" s="12" t="s">
        <v>36</v>
      </c>
      <c r="S6438" s="12" t="s">
        <v>36</v>
      </c>
      <c r="T6438" s="12" t="s">
        <v>472</v>
      </c>
      <c r="U6438" s="12" t="s">
        <v>38</v>
      </c>
      <c r="V6438" s="12" t="s">
        <v>39</v>
      </c>
      <c r="W6438" s="12" t="s">
        <v>4220</v>
      </c>
      <c r="X6438" s="16" t="s">
        <v>8652</v>
      </c>
      <c r="Y6438" s="15" t="s">
        <v>42</v>
      </c>
      <c r="Z6438" s="14">
        <v>1.14</v>
      </c>
      <c r="AA6438" s="14">
        <v>4.44</v>
      </c>
      <c r="AB6438" s="12" t="s">
        <v>43</v>
      </c>
      <c r="AC6438" s="12" t="s">
        <v>4222</v>
      </c>
      <c r="AD6438" s="13">
        <v>42675</v>
      </c>
      <c r="AE6438" s="12" t="s">
        <v>110</v>
      </c>
      <c r="AF6438" s="12" t="s">
        <v>176</v>
      </c>
      <c r="AG6438" s="12" t="s">
        <v>81</v>
      </c>
      <c r="AH6438" s="1">
        <f>HYPERLINK("https://my.pitchbook.com?c=121465-81T","View Company Online")</f>
      </c>
    </row>
    <row r="6439">
      <c r="A6439" s="3" t="s">
        <v>29304</v>
      </c>
      <c r="B6439" s="3" t="s">
        <v>29305</v>
      </c>
      <c r="C6439" s="5" t="s">
        <v>36</v>
      </c>
      <c r="D6439" s="5" t="s">
        <v>36</v>
      </c>
      <c r="E6439" s="5" t="s">
        <v>36</v>
      </c>
      <c r="F6439" s="5" t="s">
        <v>36</v>
      </c>
      <c r="G6439" s="6" t="s">
        <v>36</v>
      </c>
      <c r="H6439" s="4" t="s">
        <v>36</v>
      </c>
      <c r="I6439" s="7" t="s">
        <v>36</v>
      </c>
      <c r="J6439" s="3" t="s">
        <v>36</v>
      </c>
      <c r="K6439" s="9" t="s">
        <v>36</v>
      </c>
      <c r="L6439" s="6" t="s">
        <v>36</v>
      </c>
      <c r="M6439" s="3" t="s">
        <v>36</v>
      </c>
      <c r="N6439" s="3" t="s">
        <v>36</v>
      </c>
      <c r="O6439" s="8" t="s">
        <v>36</v>
      </c>
      <c r="P6439" s="3" t="s">
        <v>36</v>
      </c>
      <c r="Q6439" s="3" t="s">
        <v>36</v>
      </c>
      <c r="R6439" s="3" t="s">
        <v>36</v>
      </c>
      <c r="S6439" s="3" t="s">
        <v>36</v>
      </c>
      <c r="T6439" s="3" t="s">
        <v>2419</v>
      </c>
      <c r="U6439" s="3" t="s">
        <v>1091</v>
      </c>
      <c r="V6439" s="3" t="s">
        <v>378</v>
      </c>
      <c r="W6439" s="3" t="s">
        <v>29306</v>
      </c>
      <c r="X6439" s="10" t="s">
        <v>29307</v>
      </c>
      <c r="Y6439" s="6" t="s">
        <v>166</v>
      </c>
      <c r="Z6439" s="4" t="s">
        <v>36</v>
      </c>
      <c r="AA6439" s="4" t="s">
        <v>36</v>
      </c>
      <c r="AB6439" s="3" t="s">
        <v>56</v>
      </c>
      <c r="AC6439" s="3" t="s">
        <v>29308</v>
      </c>
      <c r="AD6439" s="9">
        <v>42675</v>
      </c>
      <c r="AE6439" s="3" t="s">
        <v>1095</v>
      </c>
      <c r="AF6439" s="3" t="s">
        <v>571</v>
      </c>
      <c r="AG6439" s="3" t="s">
        <v>16838</v>
      </c>
      <c r="AH6439" s="11">
        <f>HYPERLINK("https://my.pitchbook.com?c=211602-43T","View Company Online")</f>
      </c>
    </row>
    <row r="6440">
      <c r="A6440" s="12" t="s">
        <v>29309</v>
      </c>
      <c r="B6440" s="12" t="s">
        <v>29310</v>
      </c>
      <c r="C6440" s="19" t="s">
        <v>36</v>
      </c>
      <c r="D6440" s="19" t="s">
        <v>36</v>
      </c>
      <c r="E6440" s="19" t="s">
        <v>36</v>
      </c>
      <c r="F6440" s="19" t="s">
        <v>36</v>
      </c>
      <c r="G6440" s="15" t="s">
        <v>36</v>
      </c>
      <c r="H6440" s="14" t="s">
        <v>36</v>
      </c>
      <c r="I6440" s="18" t="s">
        <v>36</v>
      </c>
      <c r="J6440" s="12" t="s">
        <v>36</v>
      </c>
      <c r="K6440" s="13" t="s">
        <v>36</v>
      </c>
      <c r="L6440" s="15" t="s">
        <v>36</v>
      </c>
      <c r="M6440" s="12" t="s">
        <v>36</v>
      </c>
      <c r="N6440" s="12" t="s">
        <v>36</v>
      </c>
      <c r="O6440" s="17" t="s">
        <v>36</v>
      </c>
      <c r="P6440" s="12" t="s">
        <v>36</v>
      </c>
      <c r="Q6440" s="12" t="s">
        <v>36</v>
      </c>
      <c r="R6440" s="12" t="s">
        <v>36</v>
      </c>
      <c r="S6440" s="12" t="s">
        <v>36</v>
      </c>
      <c r="T6440" s="12" t="s">
        <v>29311</v>
      </c>
      <c r="U6440" s="12" t="s">
        <v>1502</v>
      </c>
      <c r="V6440" s="12" t="s">
        <v>75</v>
      </c>
      <c r="W6440" s="12" t="s">
        <v>29312</v>
      </c>
      <c r="X6440" s="16" t="s">
        <v>29313</v>
      </c>
      <c r="Y6440" s="15" t="s">
        <v>42</v>
      </c>
      <c r="Z6440" s="14">
        <v>0.55</v>
      </c>
      <c r="AA6440" s="14" t="s">
        <v>36</v>
      </c>
      <c r="AB6440" s="12" t="s">
        <v>43</v>
      </c>
      <c r="AC6440" s="12" t="s">
        <v>29314</v>
      </c>
      <c r="AD6440" s="13">
        <v>42675</v>
      </c>
      <c r="AE6440" s="12" t="s">
        <v>1506</v>
      </c>
      <c r="AF6440" s="12" t="s">
        <v>13550</v>
      </c>
      <c r="AG6440" s="12" t="s">
        <v>382</v>
      </c>
      <c r="AH6440" s="1">
        <f>HYPERLINK("https://my.pitchbook.com?c=132977-17T","View Company Online")</f>
      </c>
    </row>
    <row r="6441">
      <c r="A6441" s="3" t="s">
        <v>29315</v>
      </c>
      <c r="B6441" s="3" t="s">
        <v>29316</v>
      </c>
      <c r="C6441" s="5" t="s">
        <v>36</v>
      </c>
      <c r="D6441" s="5" t="s">
        <v>36</v>
      </c>
      <c r="E6441" s="5" t="s">
        <v>36</v>
      </c>
      <c r="F6441" s="5" t="s">
        <v>36</v>
      </c>
      <c r="G6441" s="6" t="s">
        <v>36</v>
      </c>
      <c r="H6441" s="4" t="s">
        <v>36</v>
      </c>
      <c r="I6441" s="7" t="s">
        <v>36</v>
      </c>
      <c r="J6441" s="3" t="s">
        <v>36</v>
      </c>
      <c r="K6441" s="9" t="s">
        <v>36</v>
      </c>
      <c r="L6441" s="6" t="s">
        <v>36</v>
      </c>
      <c r="M6441" s="3" t="s">
        <v>36</v>
      </c>
      <c r="N6441" s="3" t="s">
        <v>36</v>
      </c>
      <c r="O6441" s="8" t="s">
        <v>36</v>
      </c>
      <c r="P6441" s="3" t="s">
        <v>36</v>
      </c>
      <c r="Q6441" s="3" t="s">
        <v>36</v>
      </c>
      <c r="R6441" s="3" t="s">
        <v>36</v>
      </c>
      <c r="S6441" s="3" t="s">
        <v>36</v>
      </c>
      <c r="T6441" s="3" t="s">
        <v>6989</v>
      </c>
      <c r="U6441" s="3" t="s">
        <v>63</v>
      </c>
      <c r="V6441" s="3" t="s">
        <v>64</v>
      </c>
      <c r="W6441" s="3" t="s">
        <v>29317</v>
      </c>
      <c r="X6441" s="10" t="s">
        <v>20907</v>
      </c>
      <c r="Y6441" s="6" t="s">
        <v>42</v>
      </c>
      <c r="Z6441" s="4" t="s">
        <v>36</v>
      </c>
      <c r="AA6441" s="4" t="s">
        <v>36</v>
      </c>
      <c r="AB6441" s="3" t="s">
        <v>56</v>
      </c>
      <c r="AC6441" s="3" t="s">
        <v>29318</v>
      </c>
      <c r="AD6441" s="9">
        <v>42672</v>
      </c>
      <c r="AE6441" s="3" t="s">
        <v>68</v>
      </c>
      <c r="AF6441" s="3" t="s">
        <v>176</v>
      </c>
      <c r="AG6441" s="3" t="s">
        <v>81</v>
      </c>
      <c r="AH6441" s="11">
        <f>HYPERLINK("https://my.pitchbook.com?c=125346-79T","View Company Online")</f>
      </c>
    </row>
    <row r="6442">
      <c r="A6442" s="12" t="s">
        <v>29319</v>
      </c>
      <c r="B6442" s="12" t="s">
        <v>26060</v>
      </c>
      <c r="C6442" s="19" t="s">
        <v>36</v>
      </c>
      <c r="D6442" s="19" t="s">
        <v>36</v>
      </c>
      <c r="E6442" s="19" t="s">
        <v>36</v>
      </c>
      <c r="F6442" s="19" t="s">
        <v>36</v>
      </c>
      <c r="G6442" s="15" t="s">
        <v>326</v>
      </c>
      <c r="H6442" s="14">
        <v>620.19</v>
      </c>
      <c r="I6442" s="18">
        <v>17.25</v>
      </c>
      <c r="J6442" s="12" t="s">
        <v>521</v>
      </c>
      <c r="K6442" s="13" t="s">
        <v>36</v>
      </c>
      <c r="L6442" s="15" t="s">
        <v>36</v>
      </c>
      <c r="M6442" s="12" t="s">
        <v>36</v>
      </c>
      <c r="N6442" s="12" t="s">
        <v>36</v>
      </c>
      <c r="O6442" s="17" t="s">
        <v>36</v>
      </c>
      <c r="P6442" s="12" t="s">
        <v>36</v>
      </c>
      <c r="Q6442" s="12" t="s">
        <v>36</v>
      </c>
      <c r="R6442" s="12" t="s">
        <v>36</v>
      </c>
      <c r="S6442" s="12" t="s">
        <v>36</v>
      </c>
      <c r="T6442" s="12" t="s">
        <v>24032</v>
      </c>
      <c r="U6442" s="12" t="s">
        <v>279</v>
      </c>
      <c r="V6442" s="12" t="s">
        <v>64</v>
      </c>
      <c r="W6442" s="12" t="s">
        <v>26061</v>
      </c>
      <c r="X6442" s="16" t="s">
        <v>26062</v>
      </c>
      <c r="Y6442" s="15" t="s">
        <v>55</v>
      </c>
      <c r="Z6442" s="14">
        <v>2.77</v>
      </c>
      <c r="AA6442" s="14">
        <v>16.03</v>
      </c>
      <c r="AB6442" s="12" t="s">
        <v>43</v>
      </c>
      <c r="AC6442" s="12" t="s">
        <v>26063</v>
      </c>
      <c r="AD6442" s="13">
        <v>42670</v>
      </c>
      <c r="AE6442" s="12" t="s">
        <v>283</v>
      </c>
      <c r="AF6442" s="12" t="s">
        <v>815</v>
      </c>
      <c r="AG6442" s="12" t="s">
        <v>16271</v>
      </c>
      <c r="AH6442" s="1">
        <f>HYPERLINK("https://my.pitchbook.com?c=190948-42T","View Company Online")</f>
      </c>
    </row>
    <row r="6443">
      <c r="A6443" s="3" t="s">
        <v>29320</v>
      </c>
      <c r="B6443" s="3" t="s">
        <v>29321</v>
      </c>
      <c r="C6443" s="5" t="s">
        <v>36</v>
      </c>
      <c r="D6443" s="5" t="s">
        <v>36</v>
      </c>
      <c r="E6443" s="5" t="s">
        <v>36</v>
      </c>
      <c r="F6443" s="5" t="s">
        <v>36</v>
      </c>
      <c r="G6443" s="6" t="s">
        <v>36</v>
      </c>
      <c r="H6443" s="4">
        <v>51928.32</v>
      </c>
      <c r="I6443" s="7">
        <v>10.39</v>
      </c>
      <c r="J6443" s="3" t="s">
        <v>521</v>
      </c>
      <c r="K6443" s="9" t="s">
        <v>36</v>
      </c>
      <c r="L6443" s="6" t="s">
        <v>36</v>
      </c>
      <c r="M6443" s="3" t="s">
        <v>36</v>
      </c>
      <c r="N6443" s="3" t="s">
        <v>36</v>
      </c>
      <c r="O6443" s="8" t="s">
        <v>36</v>
      </c>
      <c r="P6443" s="3" t="s">
        <v>36</v>
      </c>
      <c r="Q6443" s="3" t="s">
        <v>36</v>
      </c>
      <c r="R6443" s="3" t="s">
        <v>36</v>
      </c>
      <c r="S6443" s="3" t="s">
        <v>36</v>
      </c>
      <c r="T6443" s="3" t="s">
        <v>29322</v>
      </c>
      <c r="U6443" s="3" t="s">
        <v>423</v>
      </c>
      <c r="V6443" s="3" t="s">
        <v>64</v>
      </c>
      <c r="W6443" s="3" t="s">
        <v>29323</v>
      </c>
      <c r="X6443" s="10" t="s">
        <v>20527</v>
      </c>
      <c r="Y6443" s="6" t="s">
        <v>42</v>
      </c>
      <c r="Z6443" s="4">
        <v>3.21</v>
      </c>
      <c r="AA6443" s="4">
        <v>30.85</v>
      </c>
      <c r="AB6443" s="3" t="s">
        <v>56</v>
      </c>
      <c r="AC6443" s="3" t="s">
        <v>29324</v>
      </c>
      <c r="AD6443" s="9">
        <v>42670</v>
      </c>
      <c r="AE6443" s="3" t="s">
        <v>427</v>
      </c>
      <c r="AF6443" s="3" t="s">
        <v>36</v>
      </c>
      <c r="AG6443" s="3" t="s">
        <v>382</v>
      </c>
      <c r="AH6443" s="11">
        <f>HYPERLINK("https://my.pitchbook.com?c=135217-72T","View Company Online")</f>
      </c>
    </row>
    <row r="6444">
      <c r="A6444" s="12" t="s">
        <v>29325</v>
      </c>
      <c r="B6444" s="12" t="s">
        <v>10770</v>
      </c>
      <c r="C6444" s="19">
        <v>45</v>
      </c>
      <c r="D6444" s="19">
        <v>96</v>
      </c>
      <c r="E6444" s="19">
        <v>38</v>
      </c>
      <c r="F6444" s="19">
        <v>154</v>
      </c>
      <c r="G6444" s="15" t="s">
        <v>326</v>
      </c>
      <c r="H6444" s="14">
        <v>0.2</v>
      </c>
      <c r="I6444" s="18">
        <v>73.57</v>
      </c>
      <c r="J6444" s="12" t="s">
        <v>521</v>
      </c>
      <c r="K6444" s="13">
        <v>42667</v>
      </c>
      <c r="L6444" s="15" t="s">
        <v>94</v>
      </c>
      <c r="M6444" s="12" t="s">
        <v>36</v>
      </c>
      <c r="N6444" s="12" t="s">
        <v>94</v>
      </c>
      <c r="O6444" s="17" t="s">
        <v>36</v>
      </c>
      <c r="P6444" s="12" t="s">
        <v>36</v>
      </c>
      <c r="Q6444" s="12" t="s">
        <v>36</v>
      </c>
      <c r="R6444" s="12" t="s">
        <v>36</v>
      </c>
      <c r="S6444" s="12" t="s">
        <v>36</v>
      </c>
      <c r="T6444" s="12" t="s">
        <v>10771</v>
      </c>
      <c r="U6444" s="12" t="s">
        <v>318</v>
      </c>
      <c r="V6444" s="12" t="s">
        <v>39</v>
      </c>
      <c r="W6444" s="12" t="s">
        <v>10772</v>
      </c>
      <c r="X6444" s="16" t="s">
        <v>29326</v>
      </c>
      <c r="Y6444" s="15" t="s">
        <v>55</v>
      </c>
      <c r="Z6444" s="14">
        <v>16.18</v>
      </c>
      <c r="AA6444" s="14">
        <v>21.99</v>
      </c>
      <c r="AB6444" s="12" t="s">
        <v>43</v>
      </c>
      <c r="AC6444" s="12" t="s">
        <v>10774</v>
      </c>
      <c r="AD6444" s="13">
        <v>42670</v>
      </c>
      <c r="AE6444" s="12" t="s">
        <v>763</v>
      </c>
      <c r="AF6444" s="12" t="s">
        <v>10775</v>
      </c>
      <c r="AG6444" s="12" t="s">
        <v>81</v>
      </c>
      <c r="AH6444" s="1">
        <f>HYPERLINK("https://my.pitchbook.com?c=77519-35T","View Company Online")</f>
      </c>
    </row>
    <row r="6445">
      <c r="A6445" s="3" t="s">
        <v>29327</v>
      </c>
      <c r="B6445" s="3" t="s">
        <v>20856</v>
      </c>
      <c r="C6445" s="5" t="s">
        <v>36</v>
      </c>
      <c r="D6445" s="5" t="s">
        <v>36</v>
      </c>
      <c r="E6445" s="5">
        <v>1</v>
      </c>
      <c r="F6445" s="5">
        <v>1</v>
      </c>
      <c r="G6445" s="6" t="s">
        <v>36</v>
      </c>
      <c r="H6445" s="4">
        <v>0.28</v>
      </c>
      <c r="I6445" s="7">
        <v>14.29</v>
      </c>
      <c r="J6445" s="3" t="s">
        <v>521</v>
      </c>
      <c r="K6445" s="9" t="s">
        <v>36</v>
      </c>
      <c r="L6445" s="6" t="s">
        <v>36</v>
      </c>
      <c r="M6445" s="3" t="s">
        <v>36</v>
      </c>
      <c r="N6445" s="3" t="s">
        <v>36</v>
      </c>
      <c r="O6445" s="8" t="s">
        <v>36</v>
      </c>
      <c r="P6445" s="3" t="s">
        <v>36</v>
      </c>
      <c r="Q6445" s="3" t="s">
        <v>36</v>
      </c>
      <c r="R6445" s="3" t="s">
        <v>36</v>
      </c>
      <c r="S6445" s="3" t="s">
        <v>36</v>
      </c>
      <c r="T6445" s="3" t="s">
        <v>522</v>
      </c>
      <c r="U6445" s="3" t="s">
        <v>38</v>
      </c>
      <c r="V6445" s="3" t="s">
        <v>39</v>
      </c>
      <c r="W6445" s="3" t="s">
        <v>20857</v>
      </c>
      <c r="X6445" s="10" t="s">
        <v>29328</v>
      </c>
      <c r="Y6445" s="6" t="s">
        <v>42</v>
      </c>
      <c r="Z6445" s="4">
        <v>0.5</v>
      </c>
      <c r="AA6445" s="4">
        <v>3.49</v>
      </c>
      <c r="AB6445" s="3" t="s">
        <v>43</v>
      </c>
      <c r="AC6445" s="3" t="s">
        <v>20859</v>
      </c>
      <c r="AD6445" s="9">
        <v>42669</v>
      </c>
      <c r="AE6445" s="3" t="s">
        <v>110</v>
      </c>
      <c r="AF6445" s="3" t="s">
        <v>905</v>
      </c>
      <c r="AG6445" s="3" t="s">
        <v>81</v>
      </c>
      <c r="AH6445" s="11">
        <f>HYPERLINK("https://my.pitchbook.com?c=117516-52T","View Company Online")</f>
      </c>
    </row>
    <row r="6446">
      <c r="A6446" s="12" t="s">
        <v>29329</v>
      </c>
      <c r="B6446" s="12" t="s">
        <v>29330</v>
      </c>
      <c r="C6446" s="19" t="s">
        <v>36</v>
      </c>
      <c r="D6446" s="19" t="s">
        <v>36</v>
      </c>
      <c r="E6446" s="19" t="s">
        <v>36</v>
      </c>
      <c r="F6446" s="19" t="s">
        <v>36</v>
      </c>
      <c r="G6446" s="15" t="s">
        <v>36</v>
      </c>
      <c r="H6446" s="14">
        <v>83.09</v>
      </c>
      <c r="I6446" s="18">
        <v>48.57</v>
      </c>
      <c r="J6446" s="12" t="s">
        <v>521</v>
      </c>
      <c r="K6446" s="13" t="s">
        <v>36</v>
      </c>
      <c r="L6446" s="15" t="s">
        <v>36</v>
      </c>
      <c r="M6446" s="12" t="s">
        <v>36</v>
      </c>
      <c r="N6446" s="12" t="s">
        <v>36</v>
      </c>
      <c r="O6446" s="17" t="s">
        <v>36</v>
      </c>
      <c r="P6446" s="12" t="s">
        <v>36</v>
      </c>
      <c r="Q6446" s="12" t="s">
        <v>36</v>
      </c>
      <c r="R6446" s="12" t="s">
        <v>36</v>
      </c>
      <c r="S6446" s="12" t="s">
        <v>36</v>
      </c>
      <c r="T6446" s="12" t="s">
        <v>16038</v>
      </c>
      <c r="U6446" s="12" t="s">
        <v>219</v>
      </c>
      <c r="V6446" s="12" t="s">
        <v>75</v>
      </c>
      <c r="W6446" s="12" t="s">
        <v>29331</v>
      </c>
      <c r="X6446" s="16" t="s">
        <v>17333</v>
      </c>
      <c r="Y6446" s="15" t="s">
        <v>42</v>
      </c>
      <c r="Z6446" s="14">
        <v>1.51</v>
      </c>
      <c r="AA6446" s="14">
        <v>3.1</v>
      </c>
      <c r="AB6446" s="12" t="s">
        <v>43</v>
      </c>
      <c r="AC6446" s="12" t="s">
        <v>29332</v>
      </c>
      <c r="AD6446" s="13">
        <v>42669</v>
      </c>
      <c r="AE6446" s="12" t="s">
        <v>1032</v>
      </c>
      <c r="AF6446" s="12" t="s">
        <v>29333</v>
      </c>
      <c r="AG6446" s="12" t="s">
        <v>14313</v>
      </c>
      <c r="AH6446" s="1">
        <f>HYPERLINK("https://my.pitchbook.com?c=82220-23T","View Company Online")</f>
      </c>
    </row>
    <row r="6447">
      <c r="A6447" s="3" t="s">
        <v>29334</v>
      </c>
      <c r="B6447" s="3" t="s">
        <v>20741</v>
      </c>
      <c r="C6447" s="5" t="s">
        <v>36</v>
      </c>
      <c r="D6447" s="5" t="s">
        <v>36</v>
      </c>
      <c r="E6447" s="5" t="s">
        <v>36</v>
      </c>
      <c r="F6447" s="5" t="s">
        <v>36</v>
      </c>
      <c r="G6447" s="6" t="s">
        <v>326</v>
      </c>
      <c r="H6447" s="4">
        <v>33.74</v>
      </c>
      <c r="I6447" s="7">
        <v>42.38</v>
      </c>
      <c r="J6447" s="3" t="s">
        <v>521</v>
      </c>
      <c r="K6447" s="9">
        <v>42562</v>
      </c>
      <c r="L6447" s="6" t="s">
        <v>122</v>
      </c>
      <c r="M6447" s="3" t="s">
        <v>36</v>
      </c>
      <c r="N6447" s="3" t="s">
        <v>122</v>
      </c>
      <c r="O6447" s="8" t="s">
        <v>36</v>
      </c>
      <c r="P6447" s="3" t="s">
        <v>36</v>
      </c>
      <c r="Q6447" s="3" t="s">
        <v>36</v>
      </c>
      <c r="R6447" s="3" t="s">
        <v>36</v>
      </c>
      <c r="S6447" s="3" t="s">
        <v>36</v>
      </c>
      <c r="T6447" s="3" t="s">
        <v>8394</v>
      </c>
      <c r="U6447" s="3" t="s">
        <v>85</v>
      </c>
      <c r="V6447" s="3" t="s">
        <v>64</v>
      </c>
      <c r="W6447" s="3" t="s">
        <v>20742</v>
      </c>
      <c r="X6447" s="10" t="s">
        <v>29335</v>
      </c>
      <c r="Y6447" s="6" t="s">
        <v>42</v>
      </c>
      <c r="Z6447" s="4">
        <v>16.6</v>
      </c>
      <c r="AA6447" s="4">
        <v>20.79</v>
      </c>
      <c r="AB6447" s="3" t="s">
        <v>43</v>
      </c>
      <c r="AC6447" s="3" t="s">
        <v>20744</v>
      </c>
      <c r="AD6447" s="9">
        <v>42669</v>
      </c>
      <c r="AE6447" s="3" t="s">
        <v>89</v>
      </c>
      <c r="AF6447" s="3" t="s">
        <v>20745</v>
      </c>
      <c r="AG6447" s="3" t="s">
        <v>81</v>
      </c>
      <c r="AH6447" s="11">
        <f>HYPERLINK("https://my.pitchbook.com?c=73695-25T","View Company Online")</f>
      </c>
    </row>
    <row r="6448">
      <c r="A6448" s="12" t="s">
        <v>29336</v>
      </c>
      <c r="B6448" s="12" t="s">
        <v>29337</v>
      </c>
      <c r="C6448" s="19" t="s">
        <v>36</v>
      </c>
      <c r="D6448" s="19" t="s">
        <v>36</v>
      </c>
      <c r="E6448" s="19">
        <v>1</v>
      </c>
      <c r="F6448" s="19">
        <v>1</v>
      </c>
      <c r="G6448" s="15" t="s">
        <v>326</v>
      </c>
      <c r="H6448" s="14">
        <v>6.48</v>
      </c>
      <c r="I6448" s="18">
        <v>34.25</v>
      </c>
      <c r="J6448" s="12" t="s">
        <v>521</v>
      </c>
      <c r="K6448" s="13">
        <v>42667</v>
      </c>
      <c r="L6448" s="15" t="s">
        <v>36</v>
      </c>
      <c r="M6448" s="12" t="s">
        <v>36</v>
      </c>
      <c r="N6448" s="12" t="s">
        <v>36</v>
      </c>
      <c r="O6448" s="17" t="s">
        <v>36</v>
      </c>
      <c r="P6448" s="12" t="s">
        <v>36</v>
      </c>
      <c r="Q6448" s="12" t="s">
        <v>36</v>
      </c>
      <c r="R6448" s="12" t="s">
        <v>36</v>
      </c>
      <c r="S6448" s="12" t="s">
        <v>36</v>
      </c>
      <c r="T6448" s="12" t="s">
        <v>9456</v>
      </c>
      <c r="U6448" s="12" t="s">
        <v>63</v>
      </c>
      <c r="V6448" s="12" t="s">
        <v>64</v>
      </c>
      <c r="W6448" s="12" t="s">
        <v>29338</v>
      </c>
      <c r="X6448" s="16" t="s">
        <v>29339</v>
      </c>
      <c r="Y6448" s="15" t="s">
        <v>108</v>
      </c>
      <c r="Z6448" s="14">
        <v>2.21</v>
      </c>
      <c r="AA6448" s="14">
        <v>6.46</v>
      </c>
      <c r="AB6448" s="12" t="s">
        <v>43</v>
      </c>
      <c r="AC6448" s="12" t="s">
        <v>29340</v>
      </c>
      <c r="AD6448" s="13">
        <v>42669</v>
      </c>
      <c r="AE6448" s="12" t="s">
        <v>4310</v>
      </c>
      <c r="AF6448" s="12" t="s">
        <v>1977</v>
      </c>
      <c r="AG6448" s="12" t="s">
        <v>81</v>
      </c>
      <c r="AH6448" s="1">
        <f>HYPERLINK("https://my.pitchbook.com?c=80136-46T","View Company Online")</f>
      </c>
    </row>
    <row r="6449">
      <c r="A6449" s="3" t="s">
        <v>29341</v>
      </c>
      <c r="B6449" s="3" t="s">
        <v>29342</v>
      </c>
      <c r="C6449" s="5" t="s">
        <v>36</v>
      </c>
      <c r="D6449" s="5" t="s">
        <v>36</v>
      </c>
      <c r="E6449" s="5" t="s">
        <v>36</v>
      </c>
      <c r="F6449" s="5" t="s">
        <v>36</v>
      </c>
      <c r="G6449" s="6" t="s">
        <v>36</v>
      </c>
      <c r="H6449" s="4">
        <v>2233.96</v>
      </c>
      <c r="I6449" s="7">
        <v>10.23</v>
      </c>
      <c r="J6449" s="3" t="s">
        <v>521</v>
      </c>
      <c r="K6449" s="9">
        <v>42528</v>
      </c>
      <c r="L6449" s="6" t="s">
        <v>36</v>
      </c>
      <c r="M6449" s="3" t="s">
        <v>36</v>
      </c>
      <c r="N6449" s="3" t="s">
        <v>36</v>
      </c>
      <c r="O6449" s="8" t="s">
        <v>36</v>
      </c>
      <c r="P6449" s="3" t="s">
        <v>36</v>
      </c>
      <c r="Q6449" s="3" t="s">
        <v>36</v>
      </c>
      <c r="R6449" s="3" t="s">
        <v>36</v>
      </c>
      <c r="S6449" s="3" t="s">
        <v>36</v>
      </c>
      <c r="T6449" s="3" t="s">
        <v>847</v>
      </c>
      <c r="U6449" s="3" t="s">
        <v>279</v>
      </c>
      <c r="V6449" s="3" t="s">
        <v>64</v>
      </c>
      <c r="W6449" s="3" t="s">
        <v>29343</v>
      </c>
      <c r="X6449" s="10" t="s">
        <v>29344</v>
      </c>
      <c r="Y6449" s="6" t="s">
        <v>42</v>
      </c>
      <c r="Z6449" s="4">
        <v>0.55</v>
      </c>
      <c r="AA6449" s="4">
        <v>3.7</v>
      </c>
      <c r="AB6449" s="3" t="s">
        <v>43</v>
      </c>
      <c r="AC6449" s="3" t="s">
        <v>29345</v>
      </c>
      <c r="AD6449" s="9">
        <v>42669</v>
      </c>
      <c r="AE6449" s="3" t="s">
        <v>851</v>
      </c>
      <c r="AF6449" s="3" t="s">
        <v>1077</v>
      </c>
      <c r="AG6449" s="3" t="s">
        <v>81</v>
      </c>
      <c r="AH6449" s="11">
        <f>HYPERLINK("https://my.pitchbook.com?c=105550-93T","View Company Online")</f>
      </c>
    </row>
    <row r="6450">
      <c r="A6450" s="12" t="s">
        <v>29346</v>
      </c>
      <c r="B6450" s="12" t="s">
        <v>19569</v>
      </c>
      <c r="C6450" s="19" t="s">
        <v>36</v>
      </c>
      <c r="D6450" s="19" t="s">
        <v>36</v>
      </c>
      <c r="E6450" s="19" t="s">
        <v>36</v>
      </c>
      <c r="F6450" s="19" t="s">
        <v>36</v>
      </c>
      <c r="G6450" s="15" t="s">
        <v>326</v>
      </c>
      <c r="H6450" s="14">
        <v>277.74</v>
      </c>
      <c r="I6450" s="18">
        <v>38.44</v>
      </c>
      <c r="J6450" s="12" t="s">
        <v>521</v>
      </c>
      <c r="K6450" s="13" t="s">
        <v>36</v>
      </c>
      <c r="L6450" s="15" t="s">
        <v>122</v>
      </c>
      <c r="M6450" s="12" t="s">
        <v>36</v>
      </c>
      <c r="N6450" s="12" t="s">
        <v>122</v>
      </c>
      <c r="O6450" s="17" t="s">
        <v>36</v>
      </c>
      <c r="P6450" s="12" t="s">
        <v>36</v>
      </c>
      <c r="Q6450" s="12" t="s">
        <v>36</v>
      </c>
      <c r="R6450" s="12" t="s">
        <v>36</v>
      </c>
      <c r="S6450" s="12" t="s">
        <v>36</v>
      </c>
      <c r="T6450" s="12" t="s">
        <v>7351</v>
      </c>
      <c r="U6450" s="12" t="s">
        <v>728</v>
      </c>
      <c r="V6450" s="12" t="s">
        <v>64</v>
      </c>
      <c r="W6450" s="12" t="s">
        <v>19570</v>
      </c>
      <c r="X6450" s="16" t="s">
        <v>19571</v>
      </c>
      <c r="Y6450" s="15" t="s">
        <v>108</v>
      </c>
      <c r="Z6450" s="14">
        <v>6.25</v>
      </c>
      <c r="AA6450" s="14">
        <v>16.25</v>
      </c>
      <c r="AB6450" s="12" t="s">
        <v>56</v>
      </c>
      <c r="AC6450" s="12" t="s">
        <v>19572</v>
      </c>
      <c r="AD6450" s="13">
        <v>42669</v>
      </c>
      <c r="AE6450" s="12" t="s">
        <v>1600</v>
      </c>
      <c r="AF6450" s="12" t="s">
        <v>90</v>
      </c>
      <c r="AG6450" s="12" t="s">
        <v>81</v>
      </c>
      <c r="AH6450" s="1">
        <f>HYPERLINK("https://my.pitchbook.com?c=77627-17T","View Company Online")</f>
      </c>
    </row>
    <row r="6451">
      <c r="A6451" s="3" t="s">
        <v>29347</v>
      </c>
      <c r="B6451" s="3" t="s">
        <v>12799</v>
      </c>
      <c r="C6451" s="5" t="s">
        <v>36</v>
      </c>
      <c r="D6451" s="5" t="s">
        <v>36</v>
      </c>
      <c r="E6451" s="5" t="s">
        <v>36</v>
      </c>
      <c r="F6451" s="5" t="s">
        <v>36</v>
      </c>
      <c r="G6451" s="6" t="s">
        <v>326</v>
      </c>
      <c r="H6451" s="4">
        <v>132.72</v>
      </c>
      <c r="I6451" s="7">
        <v>28.49</v>
      </c>
      <c r="J6451" s="3" t="s">
        <v>521</v>
      </c>
      <c r="K6451" s="9" t="s">
        <v>36</v>
      </c>
      <c r="L6451" s="6" t="s">
        <v>122</v>
      </c>
      <c r="M6451" s="3" t="s">
        <v>36</v>
      </c>
      <c r="N6451" s="3" t="s">
        <v>122</v>
      </c>
      <c r="O6451" s="8" t="s">
        <v>36</v>
      </c>
      <c r="P6451" s="3" t="s">
        <v>36</v>
      </c>
      <c r="Q6451" s="3" t="s">
        <v>36</v>
      </c>
      <c r="R6451" s="3" t="s">
        <v>36</v>
      </c>
      <c r="S6451" s="3" t="s">
        <v>36</v>
      </c>
      <c r="T6451" s="3" t="s">
        <v>12800</v>
      </c>
      <c r="U6451" s="3" t="s">
        <v>833</v>
      </c>
      <c r="V6451" s="3" t="s">
        <v>64</v>
      </c>
      <c r="W6451" s="3" t="s">
        <v>12801</v>
      </c>
      <c r="X6451" s="10" t="s">
        <v>29348</v>
      </c>
      <c r="Y6451" s="6" t="s">
        <v>108</v>
      </c>
      <c r="Z6451" s="4">
        <v>2.99</v>
      </c>
      <c r="AA6451" s="4">
        <v>10.49</v>
      </c>
      <c r="AB6451" s="3" t="s">
        <v>43</v>
      </c>
      <c r="AC6451" s="3" t="s">
        <v>12803</v>
      </c>
      <c r="AD6451" s="9">
        <v>42669</v>
      </c>
      <c r="AE6451" s="3" t="s">
        <v>1687</v>
      </c>
      <c r="AF6451" s="3" t="s">
        <v>90</v>
      </c>
      <c r="AG6451" s="3" t="s">
        <v>81</v>
      </c>
      <c r="AH6451" s="11">
        <f>HYPERLINK("https://my.pitchbook.com?c=77621-77T","View Company Online")</f>
      </c>
    </row>
    <row r="6452">
      <c r="A6452" s="12" t="s">
        <v>29349</v>
      </c>
      <c r="B6452" s="12" t="s">
        <v>29350</v>
      </c>
      <c r="C6452" s="19" t="s">
        <v>36</v>
      </c>
      <c r="D6452" s="19" t="s">
        <v>36</v>
      </c>
      <c r="E6452" s="19" t="s">
        <v>36</v>
      </c>
      <c r="F6452" s="19" t="s">
        <v>36</v>
      </c>
      <c r="G6452" s="15" t="s">
        <v>2497</v>
      </c>
      <c r="H6452" s="14">
        <v>12.46</v>
      </c>
      <c r="I6452" s="18">
        <v>21.08</v>
      </c>
      <c r="J6452" s="12" t="s">
        <v>521</v>
      </c>
      <c r="K6452" s="13" t="s">
        <v>36</v>
      </c>
      <c r="L6452" s="15" t="s">
        <v>36</v>
      </c>
      <c r="M6452" s="12" t="s">
        <v>36</v>
      </c>
      <c r="N6452" s="12" t="s">
        <v>36</v>
      </c>
      <c r="O6452" s="17" t="s">
        <v>36</v>
      </c>
      <c r="P6452" s="12" t="s">
        <v>36</v>
      </c>
      <c r="Q6452" s="12" t="s">
        <v>36</v>
      </c>
      <c r="R6452" s="12" t="s">
        <v>36</v>
      </c>
      <c r="S6452" s="12" t="s">
        <v>36</v>
      </c>
      <c r="T6452" s="12" t="s">
        <v>29351</v>
      </c>
      <c r="U6452" s="12" t="s">
        <v>74</v>
      </c>
      <c r="V6452" s="12" t="s">
        <v>75</v>
      </c>
      <c r="W6452" s="12" t="s">
        <v>29352</v>
      </c>
      <c r="X6452" s="16" t="s">
        <v>4499</v>
      </c>
      <c r="Y6452" s="15" t="s">
        <v>55</v>
      </c>
      <c r="Z6452" s="14">
        <v>0.46</v>
      </c>
      <c r="AA6452" s="14">
        <v>2.19</v>
      </c>
      <c r="AB6452" s="12" t="s">
        <v>43</v>
      </c>
      <c r="AC6452" s="12" t="s">
        <v>29353</v>
      </c>
      <c r="AD6452" s="13">
        <v>42669</v>
      </c>
      <c r="AE6452" s="12" t="s">
        <v>975</v>
      </c>
      <c r="AF6452" s="12" t="s">
        <v>3793</v>
      </c>
      <c r="AG6452" s="12" t="s">
        <v>1743</v>
      </c>
      <c r="AH6452" s="1">
        <f>HYPERLINK("https://my.pitchbook.com?c=116871-13T","View Company Online")</f>
      </c>
    </row>
    <row r="6453">
      <c r="A6453" s="3" t="s">
        <v>29354</v>
      </c>
      <c r="B6453" s="3" t="s">
        <v>22108</v>
      </c>
      <c r="C6453" s="5" t="s">
        <v>36</v>
      </c>
      <c r="D6453" s="5" t="s">
        <v>36</v>
      </c>
      <c r="E6453" s="5" t="s">
        <v>36</v>
      </c>
      <c r="F6453" s="5" t="s">
        <v>36</v>
      </c>
      <c r="G6453" s="6" t="s">
        <v>36</v>
      </c>
      <c r="H6453" s="4">
        <v>28.04</v>
      </c>
      <c r="I6453" s="7">
        <v>54.9</v>
      </c>
      <c r="J6453" s="3" t="s">
        <v>521</v>
      </c>
      <c r="K6453" s="9" t="s">
        <v>36</v>
      </c>
      <c r="L6453" s="6" t="s">
        <v>36</v>
      </c>
      <c r="M6453" s="3" t="s">
        <v>36</v>
      </c>
      <c r="N6453" s="3" t="s">
        <v>36</v>
      </c>
      <c r="O6453" s="8" t="s">
        <v>36</v>
      </c>
      <c r="P6453" s="3" t="s">
        <v>36</v>
      </c>
      <c r="Q6453" s="3" t="s">
        <v>36</v>
      </c>
      <c r="R6453" s="3" t="s">
        <v>36</v>
      </c>
      <c r="S6453" s="3" t="s">
        <v>36</v>
      </c>
      <c r="T6453" s="3" t="s">
        <v>522</v>
      </c>
      <c r="U6453" s="3" t="s">
        <v>38</v>
      </c>
      <c r="V6453" s="3" t="s">
        <v>39</v>
      </c>
      <c r="W6453" s="3" t="s">
        <v>22109</v>
      </c>
      <c r="X6453" s="10" t="s">
        <v>29355</v>
      </c>
      <c r="Y6453" s="6" t="s">
        <v>42</v>
      </c>
      <c r="Z6453" s="4">
        <v>2.99</v>
      </c>
      <c r="AA6453" s="4">
        <v>5.45</v>
      </c>
      <c r="AB6453" s="3" t="s">
        <v>43</v>
      </c>
      <c r="AC6453" s="3" t="s">
        <v>22111</v>
      </c>
      <c r="AD6453" s="9">
        <v>42668</v>
      </c>
      <c r="AE6453" s="3" t="s">
        <v>110</v>
      </c>
      <c r="AF6453" s="3" t="s">
        <v>1077</v>
      </c>
      <c r="AG6453" s="3" t="s">
        <v>81</v>
      </c>
      <c r="AH6453" s="11">
        <f>HYPERLINK("https://my.pitchbook.com?c=77769-19T","View Company Online")</f>
      </c>
    </row>
    <row r="6454">
      <c r="A6454" s="12" t="s">
        <v>29356</v>
      </c>
      <c r="B6454" s="12" t="s">
        <v>29357</v>
      </c>
      <c r="C6454" s="19" t="s">
        <v>36</v>
      </c>
      <c r="D6454" s="19" t="s">
        <v>36</v>
      </c>
      <c r="E6454" s="19" t="s">
        <v>36</v>
      </c>
      <c r="F6454" s="19" t="s">
        <v>36</v>
      </c>
      <c r="G6454" s="15" t="s">
        <v>36</v>
      </c>
      <c r="H6454" s="14">
        <v>741.29</v>
      </c>
      <c r="I6454" s="18">
        <v>10.85</v>
      </c>
      <c r="J6454" s="12" t="s">
        <v>327</v>
      </c>
      <c r="K6454" s="13" t="s">
        <v>36</v>
      </c>
      <c r="L6454" s="15" t="s">
        <v>36</v>
      </c>
      <c r="M6454" s="12" t="s">
        <v>36</v>
      </c>
      <c r="N6454" s="12" t="s">
        <v>36</v>
      </c>
      <c r="O6454" s="17" t="s">
        <v>36</v>
      </c>
      <c r="P6454" s="12" t="s">
        <v>36</v>
      </c>
      <c r="Q6454" s="12" t="s">
        <v>36</v>
      </c>
      <c r="R6454" s="12" t="s">
        <v>36</v>
      </c>
      <c r="S6454" s="12" t="s">
        <v>36</v>
      </c>
      <c r="T6454" s="12" t="s">
        <v>1701</v>
      </c>
      <c r="U6454" s="12" t="s">
        <v>74</v>
      </c>
      <c r="V6454" s="12" t="s">
        <v>75</v>
      </c>
      <c r="W6454" s="12" t="s">
        <v>29358</v>
      </c>
      <c r="X6454" s="16" t="s">
        <v>29359</v>
      </c>
      <c r="Y6454" s="15" t="s">
        <v>55</v>
      </c>
      <c r="Z6454" s="14">
        <v>5.09</v>
      </c>
      <c r="AA6454" s="14">
        <v>46.91</v>
      </c>
      <c r="AB6454" s="12" t="s">
        <v>56</v>
      </c>
      <c r="AC6454" s="12" t="s">
        <v>29360</v>
      </c>
      <c r="AD6454" s="13">
        <v>42667</v>
      </c>
      <c r="AE6454" s="12" t="s">
        <v>79</v>
      </c>
      <c r="AF6454" s="12" t="s">
        <v>29361</v>
      </c>
      <c r="AG6454" s="12" t="s">
        <v>382</v>
      </c>
      <c r="AH6454" s="1">
        <f>HYPERLINK("https://my.pitchbook.com?c=77562-28T","View Company Online")</f>
      </c>
    </row>
    <row r="6455">
      <c r="A6455" s="3" t="s">
        <v>29362</v>
      </c>
      <c r="B6455" s="3" t="s">
        <v>12039</v>
      </c>
      <c r="C6455" s="5">
        <v>25</v>
      </c>
      <c r="D6455" s="5">
        <v>12</v>
      </c>
      <c r="E6455" s="5">
        <v>6</v>
      </c>
      <c r="F6455" s="5">
        <v>37</v>
      </c>
      <c r="G6455" s="6" t="s">
        <v>36</v>
      </c>
      <c r="H6455" s="4">
        <v>166.17</v>
      </c>
      <c r="I6455" s="7">
        <v>31.82</v>
      </c>
      <c r="J6455" s="3" t="s">
        <v>521</v>
      </c>
      <c r="K6455" s="9">
        <v>42634</v>
      </c>
      <c r="L6455" s="6" t="s">
        <v>36</v>
      </c>
      <c r="M6455" s="3" t="s">
        <v>36</v>
      </c>
      <c r="N6455" s="3" t="s">
        <v>36</v>
      </c>
      <c r="O6455" s="8" t="s">
        <v>36</v>
      </c>
      <c r="P6455" s="3" t="s">
        <v>36</v>
      </c>
      <c r="Q6455" s="3" t="s">
        <v>36</v>
      </c>
      <c r="R6455" s="3" t="s">
        <v>36</v>
      </c>
      <c r="S6455" s="3" t="s">
        <v>36</v>
      </c>
      <c r="T6455" s="3" t="s">
        <v>881</v>
      </c>
      <c r="U6455" s="3" t="s">
        <v>51</v>
      </c>
      <c r="V6455" s="3" t="s">
        <v>52</v>
      </c>
      <c r="W6455" s="3" t="s">
        <v>12040</v>
      </c>
      <c r="X6455" s="10" t="s">
        <v>29363</v>
      </c>
      <c r="Y6455" s="6" t="s">
        <v>42</v>
      </c>
      <c r="Z6455" s="4">
        <v>2.59</v>
      </c>
      <c r="AA6455" s="4">
        <v>8.13</v>
      </c>
      <c r="AB6455" s="3" t="s">
        <v>43</v>
      </c>
      <c r="AC6455" s="3" t="s">
        <v>12042</v>
      </c>
      <c r="AD6455" s="9">
        <v>42667</v>
      </c>
      <c r="AE6455" s="3" t="s">
        <v>504</v>
      </c>
      <c r="AF6455" s="3" t="s">
        <v>3193</v>
      </c>
      <c r="AG6455" s="3" t="s">
        <v>899</v>
      </c>
      <c r="AH6455" s="11">
        <f>HYPERLINK("https://my.pitchbook.com?c=78777-73T","View Company Online")</f>
      </c>
    </row>
    <row r="6456">
      <c r="A6456" s="12" t="s">
        <v>29364</v>
      </c>
      <c r="B6456" s="12" t="s">
        <v>29365</v>
      </c>
      <c r="C6456" s="19" t="s">
        <v>36</v>
      </c>
      <c r="D6456" s="19" t="s">
        <v>36</v>
      </c>
      <c r="E6456" s="19" t="s">
        <v>36</v>
      </c>
      <c r="F6456" s="19" t="s">
        <v>36</v>
      </c>
      <c r="G6456" s="15" t="s">
        <v>36</v>
      </c>
      <c r="H6456" s="14" t="s">
        <v>36</v>
      </c>
      <c r="I6456" s="18" t="s">
        <v>36</v>
      </c>
      <c r="J6456" s="12" t="s">
        <v>36</v>
      </c>
      <c r="K6456" s="13" t="s">
        <v>36</v>
      </c>
      <c r="L6456" s="15" t="s">
        <v>36</v>
      </c>
      <c r="M6456" s="12" t="s">
        <v>36</v>
      </c>
      <c r="N6456" s="12" t="s">
        <v>36</v>
      </c>
      <c r="O6456" s="17" t="s">
        <v>36</v>
      </c>
      <c r="P6456" s="12" t="s">
        <v>36</v>
      </c>
      <c r="Q6456" s="12" t="s">
        <v>36</v>
      </c>
      <c r="R6456" s="12" t="s">
        <v>36</v>
      </c>
      <c r="S6456" s="12" t="s">
        <v>36</v>
      </c>
      <c r="T6456" s="12" t="s">
        <v>29366</v>
      </c>
      <c r="U6456" s="12" t="s">
        <v>96</v>
      </c>
      <c r="V6456" s="12" t="s">
        <v>52</v>
      </c>
      <c r="W6456" s="12" t="s">
        <v>29367</v>
      </c>
      <c r="X6456" s="16" t="s">
        <v>29368</v>
      </c>
      <c r="Y6456" s="15" t="s">
        <v>42</v>
      </c>
      <c r="Z6456" s="14">
        <v>1.11</v>
      </c>
      <c r="AA6456" s="14" t="s">
        <v>36</v>
      </c>
      <c r="AB6456" s="12" t="s">
        <v>43</v>
      </c>
      <c r="AC6456" s="12" t="s">
        <v>29369</v>
      </c>
      <c r="AD6456" s="13">
        <v>42667</v>
      </c>
      <c r="AE6456" s="12" t="s">
        <v>755</v>
      </c>
      <c r="AF6456" s="12" t="s">
        <v>29370</v>
      </c>
      <c r="AG6456" s="12" t="s">
        <v>666</v>
      </c>
      <c r="AH6456" s="1">
        <f>HYPERLINK("https://my.pitchbook.com?c=93756-70T","View Company Online")</f>
      </c>
    </row>
    <row r="6457">
      <c r="A6457" s="3" t="s">
        <v>29371</v>
      </c>
      <c r="B6457" s="3" t="s">
        <v>29372</v>
      </c>
      <c r="C6457" s="5">
        <v>2</v>
      </c>
      <c r="D6457" s="5">
        <v>8</v>
      </c>
      <c r="E6457" s="5">
        <v>6</v>
      </c>
      <c r="F6457" s="5">
        <v>11</v>
      </c>
      <c r="G6457" s="6" t="s">
        <v>326</v>
      </c>
      <c r="H6457" s="4">
        <v>68.2</v>
      </c>
      <c r="I6457" s="7">
        <v>19.54</v>
      </c>
      <c r="J6457" s="3" t="s">
        <v>521</v>
      </c>
      <c r="K6457" s="9" t="s">
        <v>36</v>
      </c>
      <c r="L6457" s="6" t="s">
        <v>36</v>
      </c>
      <c r="M6457" s="3" t="s">
        <v>36</v>
      </c>
      <c r="N6457" s="3" t="s">
        <v>36</v>
      </c>
      <c r="O6457" s="8" t="s">
        <v>36</v>
      </c>
      <c r="P6457" s="3" t="s">
        <v>36</v>
      </c>
      <c r="Q6457" s="3" t="s">
        <v>36</v>
      </c>
      <c r="R6457" s="3" t="s">
        <v>36</v>
      </c>
      <c r="S6457" s="3" t="s">
        <v>36</v>
      </c>
      <c r="T6457" s="3" t="s">
        <v>4394</v>
      </c>
      <c r="U6457" s="3" t="s">
        <v>423</v>
      </c>
      <c r="V6457" s="3" t="s">
        <v>64</v>
      </c>
      <c r="W6457" s="3" t="s">
        <v>29373</v>
      </c>
      <c r="X6457" s="10" t="s">
        <v>20907</v>
      </c>
      <c r="Y6457" s="6" t="s">
        <v>42</v>
      </c>
      <c r="Z6457" s="4">
        <v>1.89</v>
      </c>
      <c r="AA6457" s="4">
        <v>9.66</v>
      </c>
      <c r="AB6457" s="3" t="s">
        <v>43</v>
      </c>
      <c r="AC6457" s="3" t="s">
        <v>29374</v>
      </c>
      <c r="AD6457" s="9">
        <v>42666</v>
      </c>
      <c r="AE6457" s="3" t="s">
        <v>1051</v>
      </c>
      <c r="AF6457" s="3" t="s">
        <v>6718</v>
      </c>
      <c r="AG6457" s="3" t="s">
        <v>81</v>
      </c>
      <c r="AH6457" s="11">
        <f>HYPERLINK("https://my.pitchbook.com?c=126455-86T","View Company Online")</f>
      </c>
    </row>
    <row r="6458">
      <c r="A6458" s="12" t="s">
        <v>29375</v>
      </c>
      <c r="B6458" s="12" t="s">
        <v>23783</v>
      </c>
      <c r="C6458" s="19" t="s">
        <v>36</v>
      </c>
      <c r="D6458" s="19" t="s">
        <v>36</v>
      </c>
      <c r="E6458" s="19" t="s">
        <v>36</v>
      </c>
      <c r="F6458" s="19" t="s">
        <v>36</v>
      </c>
      <c r="G6458" s="15" t="s">
        <v>36</v>
      </c>
      <c r="H6458" s="14">
        <v>12.98</v>
      </c>
      <c r="I6458" s="18">
        <v>38.82</v>
      </c>
      <c r="J6458" s="12" t="s">
        <v>521</v>
      </c>
      <c r="K6458" s="13" t="s">
        <v>36</v>
      </c>
      <c r="L6458" s="15" t="s">
        <v>36</v>
      </c>
      <c r="M6458" s="12" t="s">
        <v>36</v>
      </c>
      <c r="N6458" s="12" t="s">
        <v>36</v>
      </c>
      <c r="O6458" s="17" t="s">
        <v>36</v>
      </c>
      <c r="P6458" s="12" t="s">
        <v>36</v>
      </c>
      <c r="Q6458" s="12" t="s">
        <v>36</v>
      </c>
      <c r="R6458" s="12" t="s">
        <v>36</v>
      </c>
      <c r="S6458" s="12" t="s">
        <v>36</v>
      </c>
      <c r="T6458" s="12" t="s">
        <v>23784</v>
      </c>
      <c r="U6458" s="12" t="s">
        <v>318</v>
      </c>
      <c r="V6458" s="12" t="s">
        <v>39</v>
      </c>
      <c r="W6458" s="12" t="s">
        <v>23785</v>
      </c>
      <c r="X6458" s="16" t="s">
        <v>20907</v>
      </c>
      <c r="Y6458" s="15" t="s">
        <v>42</v>
      </c>
      <c r="Z6458" s="14">
        <v>0.17</v>
      </c>
      <c r="AA6458" s="14">
        <v>0.45</v>
      </c>
      <c r="AB6458" s="12" t="s">
        <v>56</v>
      </c>
      <c r="AC6458" s="12" t="s">
        <v>23786</v>
      </c>
      <c r="AD6458" s="13">
        <v>42664</v>
      </c>
      <c r="AE6458" s="12" t="s">
        <v>323</v>
      </c>
      <c r="AF6458" s="12" t="s">
        <v>90</v>
      </c>
      <c r="AG6458" s="12" t="s">
        <v>23787</v>
      </c>
      <c r="AH6458" s="1">
        <f>HYPERLINK("https://my.pitchbook.com?c=126539-20T","View Company Online")</f>
      </c>
    </row>
    <row r="6459">
      <c r="A6459" s="3" t="s">
        <v>29376</v>
      </c>
      <c r="B6459" s="3" t="s">
        <v>26711</v>
      </c>
      <c r="C6459" s="5" t="s">
        <v>36</v>
      </c>
      <c r="D6459" s="5" t="s">
        <v>36</v>
      </c>
      <c r="E6459" s="5" t="s">
        <v>36</v>
      </c>
      <c r="F6459" s="5" t="s">
        <v>36</v>
      </c>
      <c r="G6459" s="6" t="s">
        <v>36</v>
      </c>
      <c r="H6459" s="4">
        <v>34.86</v>
      </c>
      <c r="I6459" s="7">
        <v>15.68</v>
      </c>
      <c r="J6459" s="3" t="s">
        <v>327</v>
      </c>
      <c r="K6459" s="9" t="s">
        <v>36</v>
      </c>
      <c r="L6459" s="6" t="s">
        <v>36</v>
      </c>
      <c r="M6459" s="3" t="s">
        <v>36</v>
      </c>
      <c r="N6459" s="3" t="s">
        <v>36</v>
      </c>
      <c r="O6459" s="8" t="s">
        <v>36</v>
      </c>
      <c r="P6459" s="3" t="s">
        <v>36</v>
      </c>
      <c r="Q6459" s="3" t="s">
        <v>36</v>
      </c>
      <c r="R6459" s="3" t="s">
        <v>36</v>
      </c>
      <c r="S6459" s="3" t="s">
        <v>36</v>
      </c>
      <c r="T6459" s="3" t="s">
        <v>1162</v>
      </c>
      <c r="U6459" s="3" t="s">
        <v>423</v>
      </c>
      <c r="V6459" s="3" t="s">
        <v>64</v>
      </c>
      <c r="W6459" s="3" t="s">
        <v>26712</v>
      </c>
      <c r="X6459" s="10" t="s">
        <v>29377</v>
      </c>
      <c r="Y6459" s="6" t="s">
        <v>42</v>
      </c>
      <c r="Z6459" s="4">
        <v>0.35</v>
      </c>
      <c r="AA6459" s="4">
        <v>2.22</v>
      </c>
      <c r="AB6459" s="3" t="s">
        <v>43</v>
      </c>
      <c r="AC6459" s="3" t="s">
        <v>26714</v>
      </c>
      <c r="AD6459" s="9">
        <v>42663</v>
      </c>
      <c r="AE6459" s="3" t="s">
        <v>562</v>
      </c>
      <c r="AF6459" s="3" t="s">
        <v>90</v>
      </c>
      <c r="AG6459" s="3" t="s">
        <v>81</v>
      </c>
      <c r="AH6459" s="11">
        <f>HYPERLINK("https://my.pitchbook.com?c=108692-20T","View Company Online")</f>
      </c>
    </row>
    <row r="6460">
      <c r="A6460" s="12" t="s">
        <v>29378</v>
      </c>
      <c r="B6460" s="12" t="s">
        <v>19691</v>
      </c>
      <c r="C6460" s="19" t="s">
        <v>36</v>
      </c>
      <c r="D6460" s="19" t="s">
        <v>36</v>
      </c>
      <c r="E6460" s="19" t="s">
        <v>36</v>
      </c>
      <c r="F6460" s="19" t="s">
        <v>36</v>
      </c>
      <c r="G6460" s="15" t="s">
        <v>36</v>
      </c>
      <c r="H6460" s="14">
        <v>6.89</v>
      </c>
      <c r="I6460" s="18">
        <v>29.19</v>
      </c>
      <c r="J6460" s="12" t="s">
        <v>521</v>
      </c>
      <c r="K6460" s="13" t="s">
        <v>36</v>
      </c>
      <c r="L6460" s="15" t="s">
        <v>36</v>
      </c>
      <c r="M6460" s="12" t="s">
        <v>36</v>
      </c>
      <c r="N6460" s="12" t="s">
        <v>36</v>
      </c>
      <c r="O6460" s="17" t="s">
        <v>36</v>
      </c>
      <c r="P6460" s="12" t="s">
        <v>36</v>
      </c>
      <c r="Q6460" s="12" t="s">
        <v>36</v>
      </c>
      <c r="R6460" s="12" t="s">
        <v>36</v>
      </c>
      <c r="S6460" s="12" t="s">
        <v>36</v>
      </c>
      <c r="T6460" s="12" t="s">
        <v>1260</v>
      </c>
      <c r="U6460" s="12" t="s">
        <v>38</v>
      </c>
      <c r="V6460" s="12" t="s">
        <v>39</v>
      </c>
      <c r="W6460" s="12" t="s">
        <v>19692</v>
      </c>
      <c r="X6460" s="16" t="s">
        <v>25396</v>
      </c>
      <c r="Y6460" s="15" t="s">
        <v>42</v>
      </c>
      <c r="Z6460" s="14">
        <v>1.26</v>
      </c>
      <c r="AA6460" s="14">
        <v>4.31</v>
      </c>
      <c r="AB6460" s="12" t="s">
        <v>56</v>
      </c>
      <c r="AC6460" s="12" t="s">
        <v>19694</v>
      </c>
      <c r="AD6460" s="13">
        <v>42663</v>
      </c>
      <c r="AE6460" s="12" t="s">
        <v>110</v>
      </c>
      <c r="AF6460" s="12" t="s">
        <v>4724</v>
      </c>
      <c r="AG6460" s="12" t="s">
        <v>81</v>
      </c>
      <c r="AH6460" s="1">
        <f>HYPERLINK("https://my.pitchbook.com?c=78672-07T","View Company Online")</f>
      </c>
    </row>
    <row r="6461">
      <c r="A6461" s="3" t="s">
        <v>29379</v>
      </c>
      <c r="B6461" s="3" t="s">
        <v>29380</v>
      </c>
      <c r="C6461" s="5" t="s">
        <v>36</v>
      </c>
      <c r="D6461" s="5" t="s">
        <v>36</v>
      </c>
      <c r="E6461" s="5" t="s">
        <v>36</v>
      </c>
      <c r="F6461" s="5" t="s">
        <v>36</v>
      </c>
      <c r="G6461" s="6" t="s">
        <v>326</v>
      </c>
      <c r="H6461" s="4" t="s">
        <v>36</v>
      </c>
      <c r="I6461" s="7">
        <v>19.57</v>
      </c>
      <c r="J6461" s="3" t="s">
        <v>521</v>
      </c>
      <c r="K6461" s="9" t="s">
        <v>36</v>
      </c>
      <c r="L6461" s="6" t="s">
        <v>3736</v>
      </c>
      <c r="M6461" s="3" t="s">
        <v>36</v>
      </c>
      <c r="N6461" s="3" t="s">
        <v>3736</v>
      </c>
      <c r="O6461" s="8" t="s">
        <v>36</v>
      </c>
      <c r="P6461" s="3" t="s">
        <v>36</v>
      </c>
      <c r="Q6461" s="3" t="s">
        <v>36</v>
      </c>
      <c r="R6461" s="3" t="s">
        <v>36</v>
      </c>
      <c r="S6461" s="3" t="s">
        <v>36</v>
      </c>
      <c r="T6461" s="3" t="s">
        <v>1106</v>
      </c>
      <c r="U6461" s="3" t="s">
        <v>38</v>
      </c>
      <c r="V6461" s="3" t="s">
        <v>39</v>
      </c>
      <c r="W6461" s="3" t="s">
        <v>29381</v>
      </c>
      <c r="X6461" s="10" t="s">
        <v>29382</v>
      </c>
      <c r="Y6461" s="6" t="s">
        <v>192</v>
      </c>
      <c r="Z6461" s="4">
        <v>6.12</v>
      </c>
      <c r="AA6461" s="4">
        <v>31.3</v>
      </c>
      <c r="AB6461" s="3" t="s">
        <v>56</v>
      </c>
      <c r="AC6461" s="3" t="s">
        <v>29383</v>
      </c>
      <c r="AD6461" s="9">
        <v>42663</v>
      </c>
      <c r="AE6461" s="3" t="s">
        <v>110</v>
      </c>
      <c r="AF6461" s="3" t="s">
        <v>3172</v>
      </c>
      <c r="AG6461" s="3" t="s">
        <v>652</v>
      </c>
      <c r="AH6461" s="11">
        <f>HYPERLINK("https://my.pitchbook.com?c=77447-80T","View Company Online")</f>
      </c>
    </row>
    <row r="6462">
      <c r="A6462" s="12" t="s">
        <v>29384</v>
      </c>
      <c r="B6462" s="12" t="s">
        <v>26735</v>
      </c>
      <c r="C6462" s="19" t="s">
        <v>36</v>
      </c>
      <c r="D6462" s="19" t="s">
        <v>36</v>
      </c>
      <c r="E6462" s="19" t="s">
        <v>36</v>
      </c>
      <c r="F6462" s="19" t="s">
        <v>36</v>
      </c>
      <c r="G6462" s="15" t="s">
        <v>326</v>
      </c>
      <c r="H6462" s="14">
        <v>847.41</v>
      </c>
      <c r="I6462" s="18">
        <v>18.87</v>
      </c>
      <c r="J6462" s="12" t="s">
        <v>521</v>
      </c>
      <c r="K6462" s="13" t="s">
        <v>36</v>
      </c>
      <c r="L6462" s="15" t="s">
        <v>36</v>
      </c>
      <c r="M6462" s="12" t="s">
        <v>36</v>
      </c>
      <c r="N6462" s="12" t="s">
        <v>36</v>
      </c>
      <c r="O6462" s="17" t="s">
        <v>36</v>
      </c>
      <c r="P6462" s="12" t="s">
        <v>36</v>
      </c>
      <c r="Q6462" s="12" t="s">
        <v>36</v>
      </c>
      <c r="R6462" s="12" t="s">
        <v>36</v>
      </c>
      <c r="S6462" s="12" t="s">
        <v>36</v>
      </c>
      <c r="T6462" s="12" t="s">
        <v>26736</v>
      </c>
      <c r="U6462" s="12" t="s">
        <v>289</v>
      </c>
      <c r="V6462" s="12" t="s">
        <v>64</v>
      </c>
      <c r="W6462" s="12" t="s">
        <v>26737</v>
      </c>
      <c r="X6462" s="16" t="s">
        <v>29385</v>
      </c>
      <c r="Y6462" s="15" t="s">
        <v>42</v>
      </c>
      <c r="Z6462" s="14">
        <v>6.68</v>
      </c>
      <c r="AA6462" s="14">
        <v>17.7</v>
      </c>
      <c r="AB6462" s="12" t="s">
        <v>43</v>
      </c>
      <c r="AC6462" s="12" t="s">
        <v>26738</v>
      </c>
      <c r="AD6462" s="13">
        <v>42663</v>
      </c>
      <c r="AE6462" s="12" t="s">
        <v>292</v>
      </c>
      <c r="AF6462" s="12" t="s">
        <v>733</v>
      </c>
      <c r="AG6462" s="12" t="s">
        <v>81</v>
      </c>
      <c r="AH6462" s="1">
        <f>HYPERLINK("https://my.pitchbook.com?c=77445-10T","View Company Online")</f>
      </c>
    </row>
    <row r="6463">
      <c r="A6463" s="3" t="s">
        <v>29386</v>
      </c>
      <c r="B6463" s="3" t="s">
        <v>29387</v>
      </c>
      <c r="C6463" s="5" t="s">
        <v>36</v>
      </c>
      <c r="D6463" s="5" t="s">
        <v>36</v>
      </c>
      <c r="E6463" s="5" t="s">
        <v>36</v>
      </c>
      <c r="F6463" s="5" t="s">
        <v>36</v>
      </c>
      <c r="G6463" s="6" t="s">
        <v>36</v>
      </c>
      <c r="H6463" s="4" t="s">
        <v>36</v>
      </c>
      <c r="I6463" s="7" t="s">
        <v>36</v>
      </c>
      <c r="J6463" s="3" t="s">
        <v>36</v>
      </c>
      <c r="K6463" s="9" t="s">
        <v>36</v>
      </c>
      <c r="L6463" s="6" t="s">
        <v>36</v>
      </c>
      <c r="M6463" s="3" t="s">
        <v>36</v>
      </c>
      <c r="N6463" s="3" t="s">
        <v>36</v>
      </c>
      <c r="O6463" s="8" t="s">
        <v>36</v>
      </c>
      <c r="P6463" s="3" t="s">
        <v>36</v>
      </c>
      <c r="Q6463" s="3" t="s">
        <v>36</v>
      </c>
      <c r="R6463" s="3" t="s">
        <v>36</v>
      </c>
      <c r="S6463" s="3" t="s">
        <v>36</v>
      </c>
      <c r="T6463" s="3" t="s">
        <v>16427</v>
      </c>
      <c r="U6463" s="3" t="s">
        <v>648</v>
      </c>
      <c r="V6463" s="3" t="s">
        <v>64</v>
      </c>
      <c r="W6463" s="3" t="s">
        <v>29388</v>
      </c>
      <c r="X6463" s="10" t="s">
        <v>29389</v>
      </c>
      <c r="Y6463" s="6" t="s">
        <v>42</v>
      </c>
      <c r="Z6463" s="4" t="s">
        <v>36</v>
      </c>
      <c r="AA6463" s="4" t="s">
        <v>36</v>
      </c>
      <c r="AB6463" s="3" t="s">
        <v>43</v>
      </c>
      <c r="AC6463" s="3" t="s">
        <v>29390</v>
      </c>
      <c r="AD6463" s="9">
        <v>42663</v>
      </c>
      <c r="AE6463" s="3" t="s">
        <v>651</v>
      </c>
      <c r="AF6463" s="3" t="s">
        <v>29391</v>
      </c>
      <c r="AG6463" s="3" t="s">
        <v>21727</v>
      </c>
      <c r="AH6463" s="11">
        <f>HYPERLINK("https://my.pitchbook.com?c=77494-24T","View Company Online")</f>
      </c>
    </row>
    <row r="6464">
      <c r="A6464" s="12" t="s">
        <v>29392</v>
      </c>
      <c r="B6464" s="12" t="s">
        <v>4763</v>
      </c>
      <c r="C6464" s="19">
        <v>20</v>
      </c>
      <c r="D6464" s="19">
        <v>97</v>
      </c>
      <c r="E6464" s="19">
        <v>70</v>
      </c>
      <c r="F6464" s="19">
        <v>130</v>
      </c>
      <c r="G6464" s="15" t="s">
        <v>36</v>
      </c>
      <c r="H6464" s="14" t="s">
        <v>36</v>
      </c>
      <c r="I6464" s="18">
        <v>29.38</v>
      </c>
      <c r="J6464" s="12" t="s">
        <v>521</v>
      </c>
      <c r="K6464" s="13" t="s">
        <v>36</v>
      </c>
      <c r="L6464" s="15" t="s">
        <v>122</v>
      </c>
      <c r="M6464" s="12" t="s">
        <v>36</v>
      </c>
      <c r="N6464" s="12" t="s">
        <v>122</v>
      </c>
      <c r="O6464" s="17" t="s">
        <v>36</v>
      </c>
      <c r="P6464" s="12" t="s">
        <v>36</v>
      </c>
      <c r="Q6464" s="12" t="s">
        <v>36</v>
      </c>
      <c r="R6464" s="12" t="s">
        <v>36</v>
      </c>
      <c r="S6464" s="12" t="s">
        <v>196</v>
      </c>
      <c r="T6464" s="12" t="s">
        <v>522</v>
      </c>
      <c r="U6464" s="12" t="s">
        <v>38</v>
      </c>
      <c r="V6464" s="12" t="s">
        <v>39</v>
      </c>
      <c r="W6464" s="12" t="s">
        <v>4764</v>
      </c>
      <c r="X6464" s="16" t="s">
        <v>29393</v>
      </c>
      <c r="Y6464" s="15" t="s">
        <v>108</v>
      </c>
      <c r="Z6464" s="14">
        <v>22.3</v>
      </c>
      <c r="AA6464" s="14">
        <v>71.05</v>
      </c>
      <c r="AB6464" s="12" t="s">
        <v>56</v>
      </c>
      <c r="AC6464" s="12" t="s">
        <v>4766</v>
      </c>
      <c r="AD6464" s="13">
        <v>42661</v>
      </c>
      <c r="AE6464" s="12" t="s">
        <v>110</v>
      </c>
      <c r="AF6464" s="12" t="s">
        <v>111</v>
      </c>
      <c r="AG6464" s="12" t="s">
        <v>81</v>
      </c>
      <c r="AH6464" s="1">
        <f>HYPERLINK("https://my.pitchbook.com?c=136745-02T","View Company Online")</f>
      </c>
    </row>
    <row r="6465">
      <c r="A6465" s="3" t="s">
        <v>29394</v>
      </c>
      <c r="B6465" s="3" t="s">
        <v>29395</v>
      </c>
      <c r="C6465" s="5" t="s">
        <v>36</v>
      </c>
      <c r="D6465" s="5" t="s">
        <v>36</v>
      </c>
      <c r="E6465" s="5" t="s">
        <v>36</v>
      </c>
      <c r="F6465" s="5" t="s">
        <v>36</v>
      </c>
      <c r="G6465" s="6" t="s">
        <v>36</v>
      </c>
      <c r="H6465" s="4">
        <v>16.62</v>
      </c>
      <c r="I6465" s="7">
        <v>23.26</v>
      </c>
      <c r="J6465" s="3" t="s">
        <v>521</v>
      </c>
      <c r="K6465" s="9" t="s">
        <v>36</v>
      </c>
      <c r="L6465" s="6" t="s">
        <v>36</v>
      </c>
      <c r="M6465" s="3" t="s">
        <v>36</v>
      </c>
      <c r="N6465" s="3" t="s">
        <v>36</v>
      </c>
      <c r="O6465" s="8" t="s">
        <v>36</v>
      </c>
      <c r="P6465" s="3" t="s">
        <v>36</v>
      </c>
      <c r="Q6465" s="3" t="s">
        <v>36</v>
      </c>
      <c r="R6465" s="3" t="s">
        <v>36</v>
      </c>
      <c r="S6465" s="3" t="s">
        <v>36</v>
      </c>
      <c r="T6465" s="3" t="s">
        <v>1701</v>
      </c>
      <c r="U6465" s="3" t="s">
        <v>74</v>
      </c>
      <c r="V6465" s="3" t="s">
        <v>75</v>
      </c>
      <c r="W6465" s="3" t="s">
        <v>29396</v>
      </c>
      <c r="X6465" s="10" t="s">
        <v>29397</v>
      </c>
      <c r="Y6465" s="6" t="s">
        <v>42</v>
      </c>
      <c r="Z6465" s="4">
        <v>0.95</v>
      </c>
      <c r="AA6465" s="4">
        <v>1.45</v>
      </c>
      <c r="AB6465" s="3" t="s">
        <v>43</v>
      </c>
      <c r="AC6465" s="3" t="s">
        <v>29398</v>
      </c>
      <c r="AD6465" s="9">
        <v>42661</v>
      </c>
      <c r="AE6465" s="3" t="s">
        <v>79</v>
      </c>
      <c r="AF6465" s="3" t="s">
        <v>19021</v>
      </c>
      <c r="AG6465" s="3" t="s">
        <v>102</v>
      </c>
      <c r="AH6465" s="11">
        <f>HYPERLINK("https://my.pitchbook.com?c=89261-74T","View Company Online")</f>
      </c>
    </row>
    <row r="6466">
      <c r="A6466" s="12" t="s">
        <v>29399</v>
      </c>
      <c r="B6466" s="12" t="s">
        <v>29400</v>
      </c>
      <c r="C6466" s="19" t="s">
        <v>36</v>
      </c>
      <c r="D6466" s="19" t="s">
        <v>36</v>
      </c>
      <c r="E6466" s="19" t="s">
        <v>36</v>
      </c>
      <c r="F6466" s="19" t="s">
        <v>36</v>
      </c>
      <c r="G6466" s="15" t="s">
        <v>36</v>
      </c>
      <c r="H6466" s="14">
        <v>207.71</v>
      </c>
      <c r="I6466" s="18">
        <v>29.08</v>
      </c>
      <c r="J6466" s="12" t="s">
        <v>521</v>
      </c>
      <c r="K6466" s="13">
        <v>42542</v>
      </c>
      <c r="L6466" s="15" t="s">
        <v>36</v>
      </c>
      <c r="M6466" s="12" t="s">
        <v>36</v>
      </c>
      <c r="N6466" s="12" t="s">
        <v>36</v>
      </c>
      <c r="O6466" s="17" t="s">
        <v>36</v>
      </c>
      <c r="P6466" s="12" t="s">
        <v>36</v>
      </c>
      <c r="Q6466" s="12" t="s">
        <v>36</v>
      </c>
      <c r="R6466" s="12" t="s">
        <v>36</v>
      </c>
      <c r="S6466" s="12" t="s">
        <v>36</v>
      </c>
      <c r="T6466" s="12" t="s">
        <v>29401</v>
      </c>
      <c r="U6466" s="12" t="s">
        <v>423</v>
      </c>
      <c r="V6466" s="12" t="s">
        <v>64</v>
      </c>
      <c r="W6466" s="12" t="s">
        <v>29402</v>
      </c>
      <c r="X6466" s="16" t="s">
        <v>29403</v>
      </c>
      <c r="Y6466" s="15" t="s">
        <v>42</v>
      </c>
      <c r="Z6466" s="14">
        <v>1.67</v>
      </c>
      <c r="AA6466" s="14">
        <v>3.14</v>
      </c>
      <c r="AB6466" s="12" t="s">
        <v>43</v>
      </c>
      <c r="AC6466" s="12" t="s">
        <v>29404</v>
      </c>
      <c r="AD6466" s="13">
        <v>42661</v>
      </c>
      <c r="AE6466" s="12" t="s">
        <v>427</v>
      </c>
      <c r="AF6466" s="12" t="s">
        <v>1977</v>
      </c>
      <c r="AG6466" s="12" t="s">
        <v>652</v>
      </c>
      <c r="AH6466" s="1">
        <f>HYPERLINK("https://my.pitchbook.com?c=88160-59T","View Company Online")</f>
      </c>
    </row>
    <row r="6467">
      <c r="A6467" s="3" t="s">
        <v>29405</v>
      </c>
      <c r="B6467" s="3" t="s">
        <v>29406</v>
      </c>
      <c r="C6467" s="5" t="s">
        <v>36</v>
      </c>
      <c r="D6467" s="5" t="s">
        <v>36</v>
      </c>
      <c r="E6467" s="5" t="s">
        <v>36</v>
      </c>
      <c r="F6467" s="5" t="s">
        <v>36</v>
      </c>
      <c r="G6467" s="6" t="s">
        <v>36</v>
      </c>
      <c r="H6467" s="4" t="s">
        <v>36</v>
      </c>
      <c r="I6467" s="7" t="s">
        <v>36</v>
      </c>
      <c r="J6467" s="3" t="s">
        <v>36</v>
      </c>
      <c r="K6467" s="9" t="s">
        <v>36</v>
      </c>
      <c r="L6467" s="6" t="s">
        <v>36</v>
      </c>
      <c r="M6467" s="3" t="s">
        <v>36</v>
      </c>
      <c r="N6467" s="3" t="s">
        <v>36</v>
      </c>
      <c r="O6467" s="8" t="s">
        <v>36</v>
      </c>
      <c r="P6467" s="3" t="s">
        <v>36</v>
      </c>
      <c r="Q6467" s="3" t="s">
        <v>36</v>
      </c>
      <c r="R6467" s="3" t="s">
        <v>36</v>
      </c>
      <c r="S6467" s="3" t="s">
        <v>36</v>
      </c>
      <c r="T6467" s="3" t="s">
        <v>7312</v>
      </c>
      <c r="U6467" s="3" t="s">
        <v>38</v>
      </c>
      <c r="V6467" s="3" t="s">
        <v>39</v>
      </c>
      <c r="W6467" s="3" t="s">
        <v>29407</v>
      </c>
      <c r="X6467" s="10" t="s">
        <v>29408</v>
      </c>
      <c r="Y6467" s="6" t="s">
        <v>42</v>
      </c>
      <c r="Z6467" s="4">
        <v>1.56</v>
      </c>
      <c r="AA6467" s="4" t="s">
        <v>36</v>
      </c>
      <c r="AB6467" s="3" t="s">
        <v>43</v>
      </c>
      <c r="AC6467" s="3" t="s">
        <v>29409</v>
      </c>
      <c r="AD6467" s="9">
        <v>42661</v>
      </c>
      <c r="AE6467" s="3" t="s">
        <v>7316</v>
      </c>
      <c r="AF6467" s="3" t="s">
        <v>176</v>
      </c>
      <c r="AG6467" s="3" t="s">
        <v>29410</v>
      </c>
      <c r="AH6467" s="11">
        <f>HYPERLINK("https://my.pitchbook.com?c=116756-83T","View Company Online")</f>
      </c>
    </row>
    <row r="6468">
      <c r="A6468" s="12" t="s">
        <v>29411</v>
      </c>
      <c r="B6468" s="12" t="s">
        <v>13342</v>
      </c>
      <c r="C6468" s="19" t="s">
        <v>36</v>
      </c>
      <c r="D6468" s="19" t="s">
        <v>36</v>
      </c>
      <c r="E6468" s="19" t="s">
        <v>36</v>
      </c>
      <c r="F6468" s="19" t="s">
        <v>36</v>
      </c>
      <c r="G6468" s="15" t="s">
        <v>36</v>
      </c>
      <c r="H6468" s="14">
        <v>1361.56</v>
      </c>
      <c r="I6468" s="18">
        <v>23.37</v>
      </c>
      <c r="J6468" s="12" t="s">
        <v>521</v>
      </c>
      <c r="K6468" s="13" t="s">
        <v>36</v>
      </c>
      <c r="L6468" s="15" t="s">
        <v>36</v>
      </c>
      <c r="M6468" s="12" t="s">
        <v>36</v>
      </c>
      <c r="N6468" s="12" t="s">
        <v>36</v>
      </c>
      <c r="O6468" s="17" t="s">
        <v>36</v>
      </c>
      <c r="P6468" s="12" t="s">
        <v>36</v>
      </c>
      <c r="Q6468" s="12" t="s">
        <v>36</v>
      </c>
      <c r="R6468" s="12" t="s">
        <v>36</v>
      </c>
      <c r="S6468" s="12" t="s">
        <v>6531</v>
      </c>
      <c r="T6468" s="12" t="s">
        <v>10504</v>
      </c>
      <c r="U6468" s="12" t="s">
        <v>63</v>
      </c>
      <c r="V6468" s="12" t="s">
        <v>64</v>
      </c>
      <c r="W6468" s="12" t="s">
        <v>13343</v>
      </c>
      <c r="X6468" s="16" t="s">
        <v>29412</v>
      </c>
      <c r="Y6468" s="15" t="s">
        <v>108</v>
      </c>
      <c r="Z6468" s="14">
        <v>2.23</v>
      </c>
      <c r="AA6468" s="14">
        <v>5.72</v>
      </c>
      <c r="AB6468" s="12" t="s">
        <v>43</v>
      </c>
      <c r="AC6468" s="12" t="s">
        <v>13345</v>
      </c>
      <c r="AD6468" s="13">
        <v>42661</v>
      </c>
      <c r="AE6468" s="12" t="s">
        <v>68</v>
      </c>
      <c r="AF6468" s="12" t="s">
        <v>13346</v>
      </c>
      <c r="AG6468" s="12" t="s">
        <v>81</v>
      </c>
      <c r="AH6468" s="1">
        <f>HYPERLINK("https://my.pitchbook.com?c=77289-04T","View Company Online")</f>
      </c>
    </row>
    <row r="6469">
      <c r="A6469" s="3" t="s">
        <v>29413</v>
      </c>
      <c r="B6469" s="3" t="s">
        <v>29414</v>
      </c>
      <c r="C6469" s="5" t="s">
        <v>36</v>
      </c>
      <c r="D6469" s="5" t="s">
        <v>36</v>
      </c>
      <c r="E6469" s="5" t="s">
        <v>36</v>
      </c>
      <c r="F6469" s="5" t="s">
        <v>36</v>
      </c>
      <c r="G6469" s="6" t="s">
        <v>36</v>
      </c>
      <c r="H6469" s="4" t="s">
        <v>36</v>
      </c>
      <c r="I6469" s="7" t="s">
        <v>36</v>
      </c>
      <c r="J6469" s="3" t="s">
        <v>36</v>
      </c>
      <c r="K6469" s="9" t="s">
        <v>36</v>
      </c>
      <c r="L6469" s="6" t="s">
        <v>36</v>
      </c>
      <c r="M6469" s="3" t="s">
        <v>36</v>
      </c>
      <c r="N6469" s="3" t="s">
        <v>36</v>
      </c>
      <c r="O6469" s="8" t="s">
        <v>36</v>
      </c>
      <c r="P6469" s="3" t="s">
        <v>36</v>
      </c>
      <c r="Q6469" s="3" t="s">
        <v>36</v>
      </c>
      <c r="R6469" s="3" t="s">
        <v>36</v>
      </c>
      <c r="S6469" s="3" t="s">
        <v>36</v>
      </c>
      <c r="T6469" s="3" t="s">
        <v>278</v>
      </c>
      <c r="U6469" s="3" t="s">
        <v>279</v>
      </c>
      <c r="V6469" s="3" t="s">
        <v>64</v>
      </c>
      <c r="W6469" s="3" t="s">
        <v>29415</v>
      </c>
      <c r="X6469" s="10" t="s">
        <v>20907</v>
      </c>
      <c r="Y6469" s="6" t="s">
        <v>42</v>
      </c>
      <c r="Z6469" s="4" t="s">
        <v>36</v>
      </c>
      <c r="AA6469" s="4" t="s">
        <v>36</v>
      </c>
      <c r="AB6469" s="3" t="s">
        <v>43</v>
      </c>
      <c r="AC6469" s="3" t="s">
        <v>29416</v>
      </c>
      <c r="AD6469" s="9">
        <v>42661</v>
      </c>
      <c r="AE6469" s="3" t="s">
        <v>283</v>
      </c>
      <c r="AF6469" s="3" t="s">
        <v>36</v>
      </c>
      <c r="AG6469" s="3" t="s">
        <v>81</v>
      </c>
      <c r="AH6469" s="11">
        <f>HYPERLINK("https://my.pitchbook.com?c=126543-97T","View Company Online")</f>
      </c>
    </row>
    <row r="6470">
      <c r="A6470" s="12" t="s">
        <v>29417</v>
      </c>
      <c r="B6470" s="12" t="s">
        <v>29418</v>
      </c>
      <c r="C6470" s="19" t="s">
        <v>36</v>
      </c>
      <c r="D6470" s="19" t="s">
        <v>36</v>
      </c>
      <c r="E6470" s="19" t="s">
        <v>36</v>
      </c>
      <c r="F6470" s="19" t="s">
        <v>36</v>
      </c>
      <c r="G6470" s="15" t="s">
        <v>36</v>
      </c>
      <c r="H6470" s="14">
        <v>213.63</v>
      </c>
      <c r="I6470" s="18">
        <v>18.81</v>
      </c>
      <c r="J6470" s="12" t="s">
        <v>521</v>
      </c>
      <c r="K6470" s="13" t="s">
        <v>36</v>
      </c>
      <c r="L6470" s="15" t="s">
        <v>36</v>
      </c>
      <c r="M6470" s="12" t="s">
        <v>36</v>
      </c>
      <c r="N6470" s="12" t="s">
        <v>36</v>
      </c>
      <c r="O6470" s="17" t="s">
        <v>36</v>
      </c>
      <c r="P6470" s="12" t="s">
        <v>36</v>
      </c>
      <c r="Q6470" s="12" t="s">
        <v>36</v>
      </c>
      <c r="R6470" s="12" t="s">
        <v>36</v>
      </c>
      <c r="S6470" s="12" t="s">
        <v>36</v>
      </c>
      <c r="T6470" s="12" t="s">
        <v>17694</v>
      </c>
      <c r="U6470" s="12" t="s">
        <v>38</v>
      </c>
      <c r="V6470" s="12" t="s">
        <v>39</v>
      </c>
      <c r="W6470" s="12" t="s">
        <v>29419</v>
      </c>
      <c r="X6470" s="16" t="s">
        <v>20907</v>
      </c>
      <c r="Y6470" s="15" t="s">
        <v>42</v>
      </c>
      <c r="Z6470" s="14">
        <v>0.16</v>
      </c>
      <c r="AA6470" s="14">
        <v>0.85</v>
      </c>
      <c r="AB6470" s="12" t="s">
        <v>43</v>
      </c>
      <c r="AC6470" s="12" t="s">
        <v>29420</v>
      </c>
      <c r="AD6470" s="13">
        <v>42661</v>
      </c>
      <c r="AE6470" s="12" t="s">
        <v>688</v>
      </c>
      <c r="AF6470" s="12" t="s">
        <v>36</v>
      </c>
      <c r="AG6470" s="12" t="s">
        <v>47</v>
      </c>
      <c r="AH6470" s="1">
        <f>HYPERLINK("https://my.pitchbook.com?c=125597-44T","View Company Online")</f>
      </c>
    </row>
    <row r="6471">
      <c r="A6471" s="3" t="s">
        <v>29421</v>
      </c>
      <c r="B6471" s="3" t="s">
        <v>23487</v>
      </c>
      <c r="C6471" s="5">
        <v>9</v>
      </c>
      <c r="D6471" s="5">
        <v>4</v>
      </c>
      <c r="E6471" s="5">
        <v>7</v>
      </c>
      <c r="F6471" s="5">
        <v>13</v>
      </c>
      <c r="G6471" s="6" t="s">
        <v>36</v>
      </c>
      <c r="H6471" s="4" t="s">
        <v>36</v>
      </c>
      <c r="I6471" s="7" t="s">
        <v>36</v>
      </c>
      <c r="J6471" s="3" t="s">
        <v>36</v>
      </c>
      <c r="K6471" s="9" t="s">
        <v>36</v>
      </c>
      <c r="L6471" s="6" t="s">
        <v>36</v>
      </c>
      <c r="M6471" s="3" t="s">
        <v>36</v>
      </c>
      <c r="N6471" s="3" t="s">
        <v>36</v>
      </c>
      <c r="O6471" s="8" t="s">
        <v>36</v>
      </c>
      <c r="P6471" s="3" t="s">
        <v>36</v>
      </c>
      <c r="Q6471" s="3" t="s">
        <v>36</v>
      </c>
      <c r="R6471" s="3" t="s">
        <v>36</v>
      </c>
      <c r="S6471" s="3" t="s">
        <v>36</v>
      </c>
      <c r="T6471" s="3" t="s">
        <v>7351</v>
      </c>
      <c r="U6471" s="3" t="s">
        <v>728</v>
      </c>
      <c r="V6471" s="3" t="s">
        <v>64</v>
      </c>
      <c r="W6471" s="3" t="s">
        <v>23488</v>
      </c>
      <c r="X6471" s="10" t="s">
        <v>29422</v>
      </c>
      <c r="Y6471" s="6" t="s">
        <v>42</v>
      </c>
      <c r="Z6471" s="4" t="s">
        <v>36</v>
      </c>
      <c r="AA6471" s="4" t="s">
        <v>36</v>
      </c>
      <c r="AB6471" s="3" t="s">
        <v>43</v>
      </c>
      <c r="AC6471" s="3" t="s">
        <v>23489</v>
      </c>
      <c r="AD6471" s="9">
        <v>42660</v>
      </c>
      <c r="AE6471" s="3" t="s">
        <v>1600</v>
      </c>
      <c r="AF6471" s="3" t="s">
        <v>90</v>
      </c>
      <c r="AG6471" s="3" t="s">
        <v>666</v>
      </c>
      <c r="AH6471" s="11">
        <f>HYPERLINK("https://my.pitchbook.com?c=113335-03T","View Company Online")</f>
      </c>
    </row>
    <row r="6472">
      <c r="A6472" s="12" t="s">
        <v>29423</v>
      </c>
      <c r="B6472" s="12" t="s">
        <v>25011</v>
      </c>
      <c r="C6472" s="19" t="s">
        <v>36</v>
      </c>
      <c r="D6472" s="19" t="s">
        <v>36</v>
      </c>
      <c r="E6472" s="19" t="s">
        <v>36</v>
      </c>
      <c r="F6472" s="19" t="s">
        <v>36</v>
      </c>
      <c r="G6472" s="15" t="s">
        <v>36</v>
      </c>
      <c r="H6472" s="14">
        <v>12.98</v>
      </c>
      <c r="I6472" s="18">
        <v>19.35</v>
      </c>
      <c r="J6472" s="12" t="s">
        <v>521</v>
      </c>
      <c r="K6472" s="13" t="s">
        <v>36</v>
      </c>
      <c r="L6472" s="15" t="s">
        <v>36</v>
      </c>
      <c r="M6472" s="12" t="s">
        <v>36</v>
      </c>
      <c r="N6472" s="12" t="s">
        <v>36</v>
      </c>
      <c r="O6472" s="17" t="s">
        <v>36</v>
      </c>
      <c r="P6472" s="12" t="s">
        <v>36</v>
      </c>
      <c r="Q6472" s="12" t="s">
        <v>36</v>
      </c>
      <c r="R6472" s="12" t="s">
        <v>36</v>
      </c>
      <c r="S6472" s="12" t="s">
        <v>36</v>
      </c>
      <c r="T6472" s="12" t="s">
        <v>25012</v>
      </c>
      <c r="U6472" s="12" t="s">
        <v>38</v>
      </c>
      <c r="V6472" s="12" t="s">
        <v>39</v>
      </c>
      <c r="W6472" s="12" t="s">
        <v>25013</v>
      </c>
      <c r="X6472" s="16" t="s">
        <v>29424</v>
      </c>
      <c r="Y6472" s="15" t="s">
        <v>42</v>
      </c>
      <c r="Z6472" s="14">
        <v>1.12</v>
      </c>
      <c r="AA6472" s="14">
        <v>3.46</v>
      </c>
      <c r="AB6472" s="12" t="s">
        <v>43</v>
      </c>
      <c r="AC6472" s="12" t="s">
        <v>25015</v>
      </c>
      <c r="AD6472" s="13">
        <v>42660</v>
      </c>
      <c r="AE6472" s="12" t="s">
        <v>110</v>
      </c>
      <c r="AF6472" s="12" t="s">
        <v>25016</v>
      </c>
      <c r="AG6472" s="12" t="s">
        <v>81</v>
      </c>
      <c r="AH6472" s="1">
        <f>HYPERLINK("https://my.pitchbook.com?c=77839-03T","View Company Online")</f>
      </c>
    </row>
    <row r="6473">
      <c r="A6473" s="3" t="s">
        <v>29425</v>
      </c>
      <c r="B6473" s="3" t="s">
        <v>8286</v>
      </c>
      <c r="C6473" s="5" t="s">
        <v>36</v>
      </c>
      <c r="D6473" s="5" t="s">
        <v>36</v>
      </c>
      <c r="E6473" s="5" t="s">
        <v>36</v>
      </c>
      <c r="F6473" s="5" t="s">
        <v>36</v>
      </c>
      <c r="G6473" s="6" t="s">
        <v>36</v>
      </c>
      <c r="H6473" s="4">
        <v>0.21</v>
      </c>
      <c r="I6473" s="7">
        <v>50.46</v>
      </c>
      <c r="J6473" s="3" t="s">
        <v>521</v>
      </c>
      <c r="K6473" s="9" t="s">
        <v>36</v>
      </c>
      <c r="L6473" s="6" t="s">
        <v>36</v>
      </c>
      <c r="M6473" s="3" t="s">
        <v>36</v>
      </c>
      <c r="N6473" s="3" t="s">
        <v>36</v>
      </c>
      <c r="O6473" s="8" t="s">
        <v>36</v>
      </c>
      <c r="P6473" s="3" t="s">
        <v>36</v>
      </c>
      <c r="Q6473" s="3" t="s">
        <v>36</v>
      </c>
      <c r="R6473" s="3" t="s">
        <v>36</v>
      </c>
      <c r="S6473" s="3" t="s">
        <v>36</v>
      </c>
      <c r="T6473" s="3" t="s">
        <v>8287</v>
      </c>
      <c r="U6473" s="3" t="s">
        <v>180</v>
      </c>
      <c r="V6473" s="3" t="s">
        <v>52</v>
      </c>
      <c r="W6473" s="3" t="s">
        <v>8288</v>
      </c>
      <c r="X6473" s="10" t="s">
        <v>29426</v>
      </c>
      <c r="Y6473" s="6" t="s">
        <v>321</v>
      </c>
      <c r="Z6473" s="4">
        <v>3.96</v>
      </c>
      <c r="AA6473" s="4">
        <v>6.25</v>
      </c>
      <c r="AB6473" s="3" t="s">
        <v>56</v>
      </c>
      <c r="AC6473" s="3" t="s">
        <v>8290</v>
      </c>
      <c r="AD6473" s="9">
        <v>42660</v>
      </c>
      <c r="AE6473" s="3" t="s">
        <v>8291</v>
      </c>
      <c r="AF6473" s="3" t="s">
        <v>101</v>
      </c>
      <c r="AG6473" s="3" t="s">
        <v>787</v>
      </c>
      <c r="AH6473" s="11">
        <f>HYPERLINK("https://my.pitchbook.com?c=77479-84T","View Company Online")</f>
      </c>
    </row>
    <row r="6474">
      <c r="A6474" s="12" t="s">
        <v>29427</v>
      </c>
      <c r="B6474" s="12" t="s">
        <v>29428</v>
      </c>
      <c r="C6474" s="19" t="s">
        <v>36</v>
      </c>
      <c r="D6474" s="19" t="s">
        <v>36</v>
      </c>
      <c r="E6474" s="19" t="s">
        <v>36</v>
      </c>
      <c r="F6474" s="19" t="s">
        <v>36</v>
      </c>
      <c r="G6474" s="15" t="s">
        <v>36</v>
      </c>
      <c r="H6474" s="14" t="s">
        <v>36</v>
      </c>
      <c r="I6474" s="18" t="s">
        <v>36</v>
      </c>
      <c r="J6474" s="12" t="s">
        <v>36</v>
      </c>
      <c r="K6474" s="13" t="s">
        <v>36</v>
      </c>
      <c r="L6474" s="15" t="s">
        <v>122</v>
      </c>
      <c r="M6474" s="12" t="s">
        <v>36</v>
      </c>
      <c r="N6474" s="12" t="s">
        <v>122</v>
      </c>
      <c r="O6474" s="17" t="s">
        <v>36</v>
      </c>
      <c r="P6474" s="12" t="s">
        <v>36</v>
      </c>
      <c r="Q6474" s="12" t="s">
        <v>36</v>
      </c>
      <c r="R6474" s="12" t="s">
        <v>36</v>
      </c>
      <c r="S6474" s="12" t="s">
        <v>36</v>
      </c>
      <c r="T6474" s="12" t="s">
        <v>27046</v>
      </c>
      <c r="U6474" s="12" t="s">
        <v>38</v>
      </c>
      <c r="V6474" s="12" t="s">
        <v>39</v>
      </c>
      <c r="W6474" s="12" t="s">
        <v>29429</v>
      </c>
      <c r="X6474" s="16" t="s">
        <v>29430</v>
      </c>
      <c r="Y6474" s="15" t="s">
        <v>42</v>
      </c>
      <c r="Z6474" s="14">
        <v>2.79</v>
      </c>
      <c r="AA6474" s="14" t="s">
        <v>36</v>
      </c>
      <c r="AB6474" s="12" t="s">
        <v>43</v>
      </c>
      <c r="AC6474" s="12" t="s">
        <v>29431</v>
      </c>
      <c r="AD6474" s="13">
        <v>42660</v>
      </c>
      <c r="AE6474" s="12" t="s">
        <v>45</v>
      </c>
      <c r="AF6474" s="12" t="s">
        <v>215</v>
      </c>
      <c r="AG6474" s="12" t="s">
        <v>12667</v>
      </c>
      <c r="AH6474" s="1">
        <f>HYPERLINK("https://my.pitchbook.com?c=77126-32T","View Company Online")</f>
      </c>
    </row>
    <row r="6475">
      <c r="A6475" s="3" t="s">
        <v>29432</v>
      </c>
      <c r="B6475" s="3" t="s">
        <v>21383</v>
      </c>
      <c r="C6475" s="5" t="s">
        <v>36</v>
      </c>
      <c r="D6475" s="5" t="s">
        <v>36</v>
      </c>
      <c r="E6475" s="5" t="s">
        <v>36</v>
      </c>
      <c r="F6475" s="5" t="s">
        <v>36</v>
      </c>
      <c r="G6475" s="6" t="s">
        <v>2497</v>
      </c>
      <c r="H6475" s="4">
        <v>551.48</v>
      </c>
      <c r="I6475" s="7">
        <v>10.17</v>
      </c>
      <c r="J6475" s="3" t="s">
        <v>521</v>
      </c>
      <c r="K6475" s="9" t="s">
        <v>36</v>
      </c>
      <c r="L6475" s="6" t="s">
        <v>36</v>
      </c>
      <c r="M6475" s="3" t="s">
        <v>36</v>
      </c>
      <c r="N6475" s="3" t="s">
        <v>36</v>
      </c>
      <c r="O6475" s="8" t="s">
        <v>36</v>
      </c>
      <c r="P6475" s="3" t="s">
        <v>36</v>
      </c>
      <c r="Q6475" s="3" t="s">
        <v>36</v>
      </c>
      <c r="R6475" s="3" t="s">
        <v>36</v>
      </c>
      <c r="S6475" s="3" t="s">
        <v>36</v>
      </c>
      <c r="T6475" s="3" t="s">
        <v>855</v>
      </c>
      <c r="U6475" s="3" t="s">
        <v>648</v>
      </c>
      <c r="V6475" s="3" t="s">
        <v>64</v>
      </c>
      <c r="W6475" s="3" t="s">
        <v>21384</v>
      </c>
      <c r="X6475" s="10" t="s">
        <v>11579</v>
      </c>
      <c r="Y6475" s="6" t="s">
        <v>108</v>
      </c>
      <c r="Z6475" s="4">
        <v>0.56</v>
      </c>
      <c r="AA6475" s="4">
        <v>4.44</v>
      </c>
      <c r="AB6475" s="3" t="s">
        <v>56</v>
      </c>
      <c r="AC6475" s="3" t="s">
        <v>21386</v>
      </c>
      <c r="AD6475" s="9">
        <v>42657</v>
      </c>
      <c r="AE6475" s="3" t="s">
        <v>651</v>
      </c>
      <c r="AF6475" s="3" t="s">
        <v>4552</v>
      </c>
      <c r="AG6475" s="3" t="s">
        <v>81</v>
      </c>
      <c r="AH6475" s="11">
        <f>HYPERLINK("https://my.pitchbook.com?c=84833-83T","View Company Online")</f>
      </c>
    </row>
    <row r="6476">
      <c r="A6476" s="12" t="s">
        <v>29433</v>
      </c>
      <c r="B6476" s="12" t="s">
        <v>1854</v>
      </c>
      <c r="C6476" s="19" t="s">
        <v>36</v>
      </c>
      <c r="D6476" s="19" t="s">
        <v>36</v>
      </c>
      <c r="E6476" s="19" t="s">
        <v>36</v>
      </c>
      <c r="F6476" s="19" t="s">
        <v>36</v>
      </c>
      <c r="G6476" s="15" t="s">
        <v>326</v>
      </c>
      <c r="H6476" s="14">
        <v>338.28</v>
      </c>
      <c r="I6476" s="18">
        <v>34.73</v>
      </c>
      <c r="J6476" s="12" t="s">
        <v>521</v>
      </c>
      <c r="K6476" s="13" t="s">
        <v>36</v>
      </c>
      <c r="L6476" s="15" t="s">
        <v>36</v>
      </c>
      <c r="M6476" s="12" t="s">
        <v>36</v>
      </c>
      <c r="N6476" s="12" t="s">
        <v>36</v>
      </c>
      <c r="O6476" s="17" t="s">
        <v>36</v>
      </c>
      <c r="P6476" s="12" t="s">
        <v>36</v>
      </c>
      <c r="Q6476" s="12" t="s">
        <v>36</v>
      </c>
      <c r="R6476" s="12" t="s">
        <v>36</v>
      </c>
      <c r="S6476" s="12" t="s">
        <v>36</v>
      </c>
      <c r="T6476" s="12" t="s">
        <v>1855</v>
      </c>
      <c r="U6476" s="12" t="s">
        <v>85</v>
      </c>
      <c r="V6476" s="12" t="s">
        <v>64</v>
      </c>
      <c r="W6476" s="12" t="s">
        <v>1856</v>
      </c>
      <c r="X6476" s="16" t="s">
        <v>29434</v>
      </c>
      <c r="Y6476" s="15" t="s">
        <v>42</v>
      </c>
      <c r="Z6476" s="14">
        <v>3.42</v>
      </c>
      <c r="AA6476" s="14">
        <v>5.02</v>
      </c>
      <c r="AB6476" s="12" t="s">
        <v>56</v>
      </c>
      <c r="AC6476" s="12" t="s">
        <v>1858</v>
      </c>
      <c r="AD6476" s="13">
        <v>42656</v>
      </c>
      <c r="AE6476" s="12" t="s">
        <v>89</v>
      </c>
      <c r="AF6476" s="12" t="s">
        <v>1859</v>
      </c>
      <c r="AG6476" s="12" t="s">
        <v>81</v>
      </c>
      <c r="AH6476" s="1">
        <f>HYPERLINK("https://my.pitchbook.com?c=77082-58T","View Company Online")</f>
      </c>
    </row>
    <row r="6477">
      <c r="A6477" s="3" t="s">
        <v>29435</v>
      </c>
      <c r="B6477" s="3" t="s">
        <v>29436</v>
      </c>
      <c r="C6477" s="5" t="s">
        <v>36</v>
      </c>
      <c r="D6477" s="5" t="s">
        <v>36</v>
      </c>
      <c r="E6477" s="5" t="s">
        <v>36</v>
      </c>
      <c r="F6477" s="5" t="s">
        <v>36</v>
      </c>
      <c r="G6477" s="6" t="s">
        <v>326</v>
      </c>
      <c r="H6477" s="4">
        <v>658.82</v>
      </c>
      <c r="I6477" s="7">
        <v>25.82</v>
      </c>
      <c r="J6477" s="3" t="s">
        <v>521</v>
      </c>
      <c r="K6477" s="9" t="s">
        <v>36</v>
      </c>
      <c r="L6477" s="6" t="s">
        <v>36</v>
      </c>
      <c r="M6477" s="3" t="s">
        <v>36</v>
      </c>
      <c r="N6477" s="3" t="s">
        <v>36</v>
      </c>
      <c r="O6477" s="8" t="s">
        <v>36</v>
      </c>
      <c r="P6477" s="3" t="s">
        <v>36</v>
      </c>
      <c r="Q6477" s="3" t="s">
        <v>36</v>
      </c>
      <c r="R6477" s="3" t="s">
        <v>36</v>
      </c>
      <c r="S6477" s="3" t="s">
        <v>36</v>
      </c>
      <c r="T6477" s="3" t="s">
        <v>5132</v>
      </c>
      <c r="U6477" s="3" t="s">
        <v>38</v>
      </c>
      <c r="V6477" s="3" t="s">
        <v>39</v>
      </c>
      <c r="W6477" s="3" t="s">
        <v>29437</v>
      </c>
      <c r="X6477" s="10" t="s">
        <v>29438</v>
      </c>
      <c r="Y6477" s="6" t="s">
        <v>42</v>
      </c>
      <c r="Z6477" s="4">
        <v>2.8</v>
      </c>
      <c r="AA6477" s="4">
        <v>10.83</v>
      </c>
      <c r="AB6477" s="3" t="s">
        <v>43</v>
      </c>
      <c r="AC6477" s="3" t="s">
        <v>29439</v>
      </c>
      <c r="AD6477" s="9">
        <v>42656</v>
      </c>
      <c r="AE6477" s="3" t="s">
        <v>110</v>
      </c>
      <c r="AF6477" s="3" t="s">
        <v>13299</v>
      </c>
      <c r="AG6477" s="3" t="s">
        <v>741</v>
      </c>
      <c r="AH6477" s="11">
        <f>HYPERLINK("https://my.pitchbook.com?c=129499-39T","View Company Online")</f>
      </c>
    </row>
    <row r="6478">
      <c r="A6478" s="12" t="s">
        <v>29440</v>
      </c>
      <c r="B6478" s="12" t="s">
        <v>23803</v>
      </c>
      <c r="C6478" s="19" t="s">
        <v>36</v>
      </c>
      <c r="D6478" s="19" t="s">
        <v>36</v>
      </c>
      <c r="E6478" s="19" t="s">
        <v>36</v>
      </c>
      <c r="F6478" s="19" t="s">
        <v>36</v>
      </c>
      <c r="G6478" s="15" t="s">
        <v>36</v>
      </c>
      <c r="H6478" s="14" t="s">
        <v>36</v>
      </c>
      <c r="I6478" s="18" t="s">
        <v>36</v>
      </c>
      <c r="J6478" s="12" t="s">
        <v>36</v>
      </c>
      <c r="K6478" s="13" t="s">
        <v>36</v>
      </c>
      <c r="L6478" s="15" t="s">
        <v>36</v>
      </c>
      <c r="M6478" s="12" t="s">
        <v>36</v>
      </c>
      <c r="N6478" s="12" t="s">
        <v>36</v>
      </c>
      <c r="O6478" s="17" t="s">
        <v>36</v>
      </c>
      <c r="P6478" s="12" t="s">
        <v>36</v>
      </c>
      <c r="Q6478" s="12" t="s">
        <v>36</v>
      </c>
      <c r="R6478" s="12" t="s">
        <v>36</v>
      </c>
      <c r="S6478" s="12" t="s">
        <v>36</v>
      </c>
      <c r="T6478" s="12" t="s">
        <v>647</v>
      </c>
      <c r="U6478" s="12" t="s">
        <v>648</v>
      </c>
      <c r="V6478" s="12" t="s">
        <v>64</v>
      </c>
      <c r="W6478" s="12" t="s">
        <v>23804</v>
      </c>
      <c r="X6478" s="16" t="s">
        <v>8652</v>
      </c>
      <c r="Y6478" s="15" t="s">
        <v>42</v>
      </c>
      <c r="Z6478" s="14" t="s">
        <v>36</v>
      </c>
      <c r="AA6478" s="14" t="s">
        <v>36</v>
      </c>
      <c r="AB6478" s="12" t="s">
        <v>43</v>
      </c>
      <c r="AC6478" s="12" t="s">
        <v>23806</v>
      </c>
      <c r="AD6478" s="13">
        <v>42656</v>
      </c>
      <c r="AE6478" s="12" t="s">
        <v>651</v>
      </c>
      <c r="AF6478" s="12" t="s">
        <v>4552</v>
      </c>
      <c r="AG6478" s="12" t="s">
        <v>81</v>
      </c>
      <c r="AH6478" s="1">
        <f>HYPERLINK("https://my.pitchbook.com?c=122789-71T","View Company Online")</f>
      </c>
    </row>
    <row r="6479">
      <c r="A6479" s="3" t="s">
        <v>29441</v>
      </c>
      <c r="B6479" s="3" t="s">
        <v>29442</v>
      </c>
      <c r="C6479" s="5">
        <v>4</v>
      </c>
      <c r="D6479" s="5">
        <v>12</v>
      </c>
      <c r="E6479" s="5">
        <v>4</v>
      </c>
      <c r="F6479" s="5">
        <v>16</v>
      </c>
      <c r="G6479" s="6" t="s">
        <v>326</v>
      </c>
      <c r="H6479" s="4">
        <v>95.87</v>
      </c>
      <c r="I6479" s="7">
        <v>54.77</v>
      </c>
      <c r="J6479" s="3" t="s">
        <v>327</v>
      </c>
      <c r="K6479" s="9" t="s">
        <v>36</v>
      </c>
      <c r="L6479" s="6" t="s">
        <v>36</v>
      </c>
      <c r="M6479" s="3" t="s">
        <v>36</v>
      </c>
      <c r="N6479" s="3" t="s">
        <v>36</v>
      </c>
      <c r="O6479" s="8" t="s">
        <v>36</v>
      </c>
      <c r="P6479" s="3" t="s">
        <v>36</v>
      </c>
      <c r="Q6479" s="3" t="s">
        <v>36</v>
      </c>
      <c r="R6479" s="3" t="s">
        <v>36</v>
      </c>
      <c r="S6479" s="3" t="s">
        <v>36</v>
      </c>
      <c r="T6479" s="3" t="s">
        <v>154</v>
      </c>
      <c r="U6479" s="3" t="s">
        <v>51</v>
      </c>
      <c r="V6479" s="3" t="s">
        <v>52</v>
      </c>
      <c r="W6479" s="3" t="s">
        <v>29443</v>
      </c>
      <c r="X6479" s="10" t="s">
        <v>29444</v>
      </c>
      <c r="Y6479" s="6" t="s">
        <v>108</v>
      </c>
      <c r="Z6479" s="4">
        <v>2.46</v>
      </c>
      <c r="AA6479" s="4">
        <v>4.49</v>
      </c>
      <c r="AB6479" s="3" t="s">
        <v>43</v>
      </c>
      <c r="AC6479" s="3" t="s">
        <v>29445</v>
      </c>
      <c r="AD6479" s="9">
        <v>42656</v>
      </c>
      <c r="AE6479" s="3" t="s">
        <v>158</v>
      </c>
      <c r="AF6479" s="3" t="s">
        <v>29446</v>
      </c>
      <c r="AG6479" s="3" t="s">
        <v>29447</v>
      </c>
      <c r="AH6479" s="11">
        <f>HYPERLINK("https://my.pitchbook.com?c=75146-14T","View Company Online")</f>
      </c>
    </row>
    <row r="6480">
      <c r="A6480" s="12" t="s">
        <v>29448</v>
      </c>
      <c r="B6480" s="12" t="s">
        <v>10873</v>
      </c>
      <c r="C6480" s="19" t="s">
        <v>36</v>
      </c>
      <c r="D6480" s="19" t="s">
        <v>36</v>
      </c>
      <c r="E6480" s="19" t="s">
        <v>36</v>
      </c>
      <c r="F6480" s="19" t="s">
        <v>36</v>
      </c>
      <c r="G6480" s="15" t="s">
        <v>36</v>
      </c>
      <c r="H6480" s="14" t="s">
        <v>36</v>
      </c>
      <c r="I6480" s="18" t="s">
        <v>36</v>
      </c>
      <c r="J6480" s="12" t="s">
        <v>36</v>
      </c>
      <c r="K6480" s="13" t="s">
        <v>36</v>
      </c>
      <c r="L6480" s="15" t="s">
        <v>36</v>
      </c>
      <c r="M6480" s="12" t="s">
        <v>36</v>
      </c>
      <c r="N6480" s="12" t="s">
        <v>36</v>
      </c>
      <c r="O6480" s="17" t="s">
        <v>36</v>
      </c>
      <c r="P6480" s="12" t="s">
        <v>36</v>
      </c>
      <c r="Q6480" s="12" t="s">
        <v>36</v>
      </c>
      <c r="R6480" s="12" t="s">
        <v>36</v>
      </c>
      <c r="S6480" s="12" t="s">
        <v>36</v>
      </c>
      <c r="T6480" s="12" t="s">
        <v>27443</v>
      </c>
      <c r="U6480" s="12" t="s">
        <v>74</v>
      </c>
      <c r="V6480" s="12" t="s">
        <v>75</v>
      </c>
      <c r="W6480" s="12" t="s">
        <v>27444</v>
      </c>
      <c r="X6480" s="16" t="s">
        <v>29449</v>
      </c>
      <c r="Y6480" s="15" t="s">
        <v>55</v>
      </c>
      <c r="Z6480" s="14">
        <v>11.5</v>
      </c>
      <c r="AA6480" s="14" t="s">
        <v>36</v>
      </c>
      <c r="AB6480" s="12" t="s">
        <v>56</v>
      </c>
      <c r="AC6480" s="12" t="s">
        <v>27446</v>
      </c>
      <c r="AD6480" s="13">
        <v>42656</v>
      </c>
      <c r="AE6480" s="12" t="s">
        <v>1243</v>
      </c>
      <c r="AF6480" s="12" t="s">
        <v>546</v>
      </c>
      <c r="AG6480" s="12" t="s">
        <v>81</v>
      </c>
      <c r="AH6480" s="1">
        <f>HYPERLINK("https://my.pitchbook.com?c=77082-13T","View Company Online")</f>
      </c>
    </row>
    <row r="6481">
      <c r="A6481" s="3" t="s">
        <v>29450</v>
      </c>
      <c r="B6481" s="3" t="s">
        <v>21810</v>
      </c>
      <c r="C6481" s="5" t="s">
        <v>36</v>
      </c>
      <c r="D6481" s="5">
        <v>2</v>
      </c>
      <c r="E6481" s="5">
        <v>2</v>
      </c>
      <c r="F6481" s="5">
        <v>7</v>
      </c>
      <c r="G6481" s="6" t="s">
        <v>683</v>
      </c>
      <c r="H6481" s="4">
        <v>0.24</v>
      </c>
      <c r="I6481" s="7">
        <v>7.39</v>
      </c>
      <c r="J6481" s="3" t="s">
        <v>521</v>
      </c>
      <c r="K6481" s="9" t="s">
        <v>36</v>
      </c>
      <c r="L6481" s="6" t="s">
        <v>36</v>
      </c>
      <c r="M6481" s="3" t="s">
        <v>36</v>
      </c>
      <c r="N6481" s="3" t="s">
        <v>36</v>
      </c>
      <c r="O6481" s="8" t="s">
        <v>36</v>
      </c>
      <c r="P6481" s="3" t="s">
        <v>36</v>
      </c>
      <c r="Q6481" s="3" t="s">
        <v>36</v>
      </c>
      <c r="R6481" s="3" t="s">
        <v>36</v>
      </c>
      <c r="S6481" s="3" t="s">
        <v>36</v>
      </c>
      <c r="T6481" s="3" t="s">
        <v>21811</v>
      </c>
      <c r="U6481" s="3" t="s">
        <v>1798</v>
      </c>
      <c r="V6481" s="3" t="s">
        <v>39</v>
      </c>
      <c r="W6481" s="3" t="s">
        <v>21812</v>
      </c>
      <c r="X6481" s="10" t="s">
        <v>29451</v>
      </c>
      <c r="Y6481" s="6" t="s">
        <v>166</v>
      </c>
      <c r="Z6481" s="4">
        <v>0.5</v>
      </c>
      <c r="AA6481" s="4">
        <v>6.81</v>
      </c>
      <c r="AB6481" s="3" t="s">
        <v>56</v>
      </c>
      <c r="AC6481" s="3" t="s">
        <v>21814</v>
      </c>
      <c r="AD6481" s="9">
        <v>42655</v>
      </c>
      <c r="AE6481" s="3" t="s">
        <v>4247</v>
      </c>
      <c r="AF6481" s="3" t="s">
        <v>4668</v>
      </c>
      <c r="AG6481" s="3" t="s">
        <v>21815</v>
      </c>
      <c r="AH6481" s="11">
        <f>HYPERLINK("https://my.pitchbook.com?c=129576-61T","View Company Online")</f>
      </c>
    </row>
    <row r="6482">
      <c r="A6482" s="12" t="s">
        <v>29452</v>
      </c>
      <c r="B6482" s="12" t="s">
        <v>29453</v>
      </c>
      <c r="C6482" s="19" t="s">
        <v>36</v>
      </c>
      <c r="D6482" s="19" t="s">
        <v>36</v>
      </c>
      <c r="E6482" s="19" t="s">
        <v>36</v>
      </c>
      <c r="F6482" s="19" t="s">
        <v>36</v>
      </c>
      <c r="G6482" s="15" t="s">
        <v>36</v>
      </c>
      <c r="H6482" s="14" t="s">
        <v>36</v>
      </c>
      <c r="I6482" s="18" t="s">
        <v>36</v>
      </c>
      <c r="J6482" s="12" t="s">
        <v>36</v>
      </c>
      <c r="K6482" s="13" t="s">
        <v>36</v>
      </c>
      <c r="L6482" s="15" t="s">
        <v>36</v>
      </c>
      <c r="M6482" s="12" t="s">
        <v>36</v>
      </c>
      <c r="N6482" s="12" t="s">
        <v>36</v>
      </c>
      <c r="O6482" s="17" t="s">
        <v>36</v>
      </c>
      <c r="P6482" s="12" t="s">
        <v>36</v>
      </c>
      <c r="Q6482" s="12" t="s">
        <v>36</v>
      </c>
      <c r="R6482" s="12" t="s">
        <v>36</v>
      </c>
      <c r="S6482" s="12" t="s">
        <v>36</v>
      </c>
      <c r="T6482" s="12" t="s">
        <v>395</v>
      </c>
      <c r="U6482" s="12" t="s">
        <v>63</v>
      </c>
      <c r="V6482" s="12" t="s">
        <v>64</v>
      </c>
      <c r="W6482" s="12" t="s">
        <v>29454</v>
      </c>
      <c r="X6482" s="16" t="s">
        <v>29455</v>
      </c>
      <c r="Y6482" s="15" t="s">
        <v>55</v>
      </c>
      <c r="Z6482" s="14">
        <v>1.01</v>
      </c>
      <c r="AA6482" s="14" t="s">
        <v>36</v>
      </c>
      <c r="AB6482" s="12" t="s">
        <v>56</v>
      </c>
      <c r="AC6482" s="12" t="s">
        <v>29456</v>
      </c>
      <c r="AD6482" s="13">
        <v>42654</v>
      </c>
      <c r="AE6482" s="12" t="s">
        <v>399</v>
      </c>
      <c r="AF6482" s="12" t="s">
        <v>643</v>
      </c>
      <c r="AG6482" s="12" t="s">
        <v>81</v>
      </c>
      <c r="AH6482" s="1">
        <f>HYPERLINK("https://my.pitchbook.com?c=84832-66T","View Company Online")</f>
      </c>
    </row>
    <row r="6483">
      <c r="A6483" s="3" t="s">
        <v>29457</v>
      </c>
      <c r="B6483" s="3" t="s">
        <v>24556</v>
      </c>
      <c r="C6483" s="5" t="s">
        <v>36</v>
      </c>
      <c r="D6483" s="5" t="s">
        <v>36</v>
      </c>
      <c r="E6483" s="5" t="s">
        <v>36</v>
      </c>
      <c r="F6483" s="5" t="s">
        <v>36</v>
      </c>
      <c r="G6483" s="6" t="s">
        <v>683</v>
      </c>
      <c r="H6483" s="4">
        <v>28.04</v>
      </c>
      <c r="I6483" s="7">
        <v>29.55</v>
      </c>
      <c r="J6483" s="3" t="s">
        <v>521</v>
      </c>
      <c r="K6483" s="9" t="s">
        <v>36</v>
      </c>
      <c r="L6483" s="6" t="s">
        <v>1279</v>
      </c>
      <c r="M6483" s="3" t="s">
        <v>36</v>
      </c>
      <c r="N6483" s="3" t="s">
        <v>1279</v>
      </c>
      <c r="O6483" s="8" t="s">
        <v>36</v>
      </c>
      <c r="P6483" s="3" t="s">
        <v>36</v>
      </c>
      <c r="Q6483" s="3" t="s">
        <v>36</v>
      </c>
      <c r="R6483" s="3" t="s">
        <v>36</v>
      </c>
      <c r="S6483" s="3" t="s">
        <v>36</v>
      </c>
      <c r="T6483" s="3" t="s">
        <v>5929</v>
      </c>
      <c r="U6483" s="3" t="s">
        <v>38</v>
      </c>
      <c r="V6483" s="3" t="s">
        <v>39</v>
      </c>
      <c r="W6483" s="3" t="s">
        <v>24557</v>
      </c>
      <c r="X6483" s="10" t="s">
        <v>29458</v>
      </c>
      <c r="Y6483" s="6" t="s">
        <v>55</v>
      </c>
      <c r="Z6483" s="4">
        <v>7.84</v>
      </c>
      <c r="AA6483" s="4">
        <v>15.16</v>
      </c>
      <c r="AB6483" s="3" t="s">
        <v>56</v>
      </c>
      <c r="AC6483" s="3" t="s">
        <v>24559</v>
      </c>
      <c r="AD6483" s="9">
        <v>42654</v>
      </c>
      <c r="AE6483" s="3" t="s">
        <v>110</v>
      </c>
      <c r="AF6483" s="3" t="s">
        <v>4891</v>
      </c>
      <c r="AG6483" s="3" t="s">
        <v>81</v>
      </c>
      <c r="AH6483" s="11">
        <f>HYPERLINK("https://my.pitchbook.com?c=77009-68T","View Company Online")</f>
      </c>
    </row>
    <row r="6484">
      <c r="A6484" s="12" t="s">
        <v>29459</v>
      </c>
      <c r="B6484" s="12" t="s">
        <v>29460</v>
      </c>
      <c r="C6484" s="19" t="s">
        <v>36</v>
      </c>
      <c r="D6484" s="19">
        <v>2</v>
      </c>
      <c r="E6484" s="19">
        <v>2</v>
      </c>
      <c r="F6484" s="19">
        <v>3</v>
      </c>
      <c r="G6484" s="15" t="s">
        <v>36</v>
      </c>
      <c r="H6484" s="14">
        <v>241.99</v>
      </c>
      <c r="I6484" s="18">
        <v>29.52</v>
      </c>
      <c r="J6484" s="12" t="s">
        <v>521</v>
      </c>
      <c r="K6484" s="13" t="s">
        <v>36</v>
      </c>
      <c r="L6484" s="15" t="s">
        <v>36</v>
      </c>
      <c r="M6484" s="12" t="s">
        <v>36</v>
      </c>
      <c r="N6484" s="12" t="s">
        <v>36</v>
      </c>
      <c r="O6484" s="17" t="s">
        <v>36</v>
      </c>
      <c r="P6484" s="12" t="s">
        <v>36</v>
      </c>
      <c r="Q6484" s="12" t="s">
        <v>36</v>
      </c>
      <c r="R6484" s="12" t="s">
        <v>36</v>
      </c>
      <c r="S6484" s="12" t="s">
        <v>36</v>
      </c>
      <c r="T6484" s="12" t="s">
        <v>29461</v>
      </c>
      <c r="U6484" s="12" t="s">
        <v>219</v>
      </c>
      <c r="V6484" s="12" t="s">
        <v>75</v>
      </c>
      <c r="W6484" s="12" t="s">
        <v>29462</v>
      </c>
      <c r="X6484" s="16" t="s">
        <v>29463</v>
      </c>
      <c r="Y6484" s="15" t="s">
        <v>108</v>
      </c>
      <c r="Z6484" s="14">
        <v>0.84</v>
      </c>
      <c r="AA6484" s="14">
        <v>2.84</v>
      </c>
      <c r="AB6484" s="12" t="s">
        <v>56</v>
      </c>
      <c r="AC6484" s="12" t="s">
        <v>29464</v>
      </c>
      <c r="AD6484" s="13">
        <v>42654</v>
      </c>
      <c r="AE6484" s="12" t="s">
        <v>1007</v>
      </c>
      <c r="AF6484" s="12" t="s">
        <v>29465</v>
      </c>
      <c r="AG6484" s="12" t="s">
        <v>29466</v>
      </c>
      <c r="AH6484" s="1">
        <f>HYPERLINK("https://my.pitchbook.com?c=44161-39T","View Company Online")</f>
      </c>
    </row>
    <row r="6485">
      <c r="A6485" s="3" t="s">
        <v>29467</v>
      </c>
      <c r="B6485" s="3" t="s">
        <v>29468</v>
      </c>
      <c r="C6485" s="5" t="s">
        <v>36</v>
      </c>
      <c r="D6485" s="5" t="s">
        <v>36</v>
      </c>
      <c r="E6485" s="5" t="s">
        <v>36</v>
      </c>
      <c r="F6485" s="5" t="s">
        <v>36</v>
      </c>
      <c r="G6485" s="6" t="s">
        <v>36</v>
      </c>
      <c r="H6485" s="4" t="s">
        <v>36</v>
      </c>
      <c r="I6485" s="7" t="s">
        <v>36</v>
      </c>
      <c r="J6485" s="3" t="s">
        <v>36</v>
      </c>
      <c r="K6485" s="9" t="s">
        <v>36</v>
      </c>
      <c r="L6485" s="6" t="s">
        <v>36</v>
      </c>
      <c r="M6485" s="3" t="s">
        <v>36</v>
      </c>
      <c r="N6485" s="3" t="s">
        <v>36</v>
      </c>
      <c r="O6485" s="8" t="s">
        <v>36</v>
      </c>
      <c r="P6485" s="3" t="s">
        <v>36</v>
      </c>
      <c r="Q6485" s="3" t="s">
        <v>36</v>
      </c>
      <c r="R6485" s="3" t="s">
        <v>36</v>
      </c>
      <c r="S6485" s="3" t="s">
        <v>36</v>
      </c>
      <c r="T6485" s="3" t="s">
        <v>692</v>
      </c>
      <c r="U6485" s="3" t="s">
        <v>74</v>
      </c>
      <c r="V6485" s="3" t="s">
        <v>75</v>
      </c>
      <c r="W6485" s="3" t="s">
        <v>29469</v>
      </c>
      <c r="X6485" s="10" t="s">
        <v>29470</v>
      </c>
      <c r="Y6485" s="6" t="s">
        <v>108</v>
      </c>
      <c r="Z6485" s="4">
        <v>11</v>
      </c>
      <c r="AA6485" s="4" t="s">
        <v>36</v>
      </c>
      <c r="AB6485" s="3" t="s">
        <v>43</v>
      </c>
      <c r="AC6485" s="3" t="s">
        <v>29471</v>
      </c>
      <c r="AD6485" s="9">
        <v>42654</v>
      </c>
      <c r="AE6485" s="3" t="s">
        <v>696</v>
      </c>
      <c r="AF6485" s="3" t="s">
        <v>16669</v>
      </c>
      <c r="AG6485" s="3" t="s">
        <v>81</v>
      </c>
      <c r="AH6485" s="11">
        <f>HYPERLINK("https://my.pitchbook.com?c=76944-43T","View Company Online")</f>
      </c>
    </row>
    <row r="6486">
      <c r="A6486" s="12" t="s">
        <v>29472</v>
      </c>
      <c r="B6486" s="12" t="s">
        <v>22320</v>
      </c>
      <c r="C6486" s="19" t="s">
        <v>36</v>
      </c>
      <c r="D6486" s="19" t="s">
        <v>36</v>
      </c>
      <c r="E6486" s="19" t="s">
        <v>36</v>
      </c>
      <c r="F6486" s="19" t="s">
        <v>36</v>
      </c>
      <c r="G6486" s="15" t="s">
        <v>36</v>
      </c>
      <c r="H6486" s="14" t="s">
        <v>36</v>
      </c>
      <c r="I6486" s="18">
        <v>22.02</v>
      </c>
      <c r="J6486" s="12" t="s">
        <v>327</v>
      </c>
      <c r="K6486" s="13" t="s">
        <v>36</v>
      </c>
      <c r="L6486" s="15" t="s">
        <v>122</v>
      </c>
      <c r="M6486" s="12" t="s">
        <v>36</v>
      </c>
      <c r="N6486" s="12" t="s">
        <v>122</v>
      </c>
      <c r="O6486" s="17" t="s">
        <v>36</v>
      </c>
      <c r="P6486" s="12" t="s">
        <v>36</v>
      </c>
      <c r="Q6486" s="12" t="s">
        <v>36</v>
      </c>
      <c r="R6486" s="12" t="s">
        <v>36</v>
      </c>
      <c r="S6486" s="12" t="s">
        <v>36</v>
      </c>
      <c r="T6486" s="12" t="s">
        <v>5218</v>
      </c>
      <c r="U6486" s="12" t="s">
        <v>74</v>
      </c>
      <c r="V6486" s="12" t="s">
        <v>75</v>
      </c>
      <c r="W6486" s="12" t="s">
        <v>22321</v>
      </c>
      <c r="X6486" s="16" t="s">
        <v>29473</v>
      </c>
      <c r="Y6486" s="15" t="s">
        <v>108</v>
      </c>
      <c r="Z6486" s="14">
        <v>2.24</v>
      </c>
      <c r="AA6486" s="14">
        <v>10.17</v>
      </c>
      <c r="AB6486" s="12" t="s">
        <v>43</v>
      </c>
      <c r="AC6486" s="12" t="s">
        <v>22323</v>
      </c>
      <c r="AD6486" s="13">
        <v>42654</v>
      </c>
      <c r="AE6486" s="12" t="s">
        <v>3144</v>
      </c>
      <c r="AF6486" s="12" t="s">
        <v>13299</v>
      </c>
      <c r="AG6486" s="12" t="s">
        <v>81</v>
      </c>
      <c r="AH6486" s="1">
        <f>HYPERLINK("https://my.pitchbook.com?c=121308-49T","View Company Online")</f>
      </c>
    </row>
    <row r="6487">
      <c r="A6487" s="3" t="s">
        <v>29474</v>
      </c>
      <c r="B6487" s="3" t="s">
        <v>8472</v>
      </c>
      <c r="C6487" s="5">
        <v>1</v>
      </c>
      <c r="D6487" s="5">
        <v>15</v>
      </c>
      <c r="E6487" s="5">
        <v>3</v>
      </c>
      <c r="F6487" s="5">
        <v>16</v>
      </c>
      <c r="G6487" s="6" t="s">
        <v>36</v>
      </c>
      <c r="H6487" s="4" t="s">
        <v>36</v>
      </c>
      <c r="I6487" s="7" t="s">
        <v>36</v>
      </c>
      <c r="J6487" s="3" t="s">
        <v>36</v>
      </c>
      <c r="K6487" s="9" t="s">
        <v>36</v>
      </c>
      <c r="L6487" s="6" t="s">
        <v>36</v>
      </c>
      <c r="M6487" s="3" t="s">
        <v>36</v>
      </c>
      <c r="N6487" s="3" t="s">
        <v>36</v>
      </c>
      <c r="O6487" s="8" t="s">
        <v>36</v>
      </c>
      <c r="P6487" s="3" t="s">
        <v>36</v>
      </c>
      <c r="Q6487" s="3" t="s">
        <v>36</v>
      </c>
      <c r="R6487" s="3" t="s">
        <v>36</v>
      </c>
      <c r="S6487" s="3" t="s">
        <v>36</v>
      </c>
      <c r="T6487" s="3" t="s">
        <v>1048</v>
      </c>
      <c r="U6487" s="3" t="s">
        <v>423</v>
      </c>
      <c r="V6487" s="3" t="s">
        <v>64</v>
      </c>
      <c r="W6487" s="3" t="s">
        <v>8473</v>
      </c>
      <c r="X6487" s="10" t="s">
        <v>22281</v>
      </c>
      <c r="Y6487" s="6" t="s">
        <v>42</v>
      </c>
      <c r="Z6487" s="4" t="s">
        <v>36</v>
      </c>
      <c r="AA6487" s="4" t="s">
        <v>36</v>
      </c>
      <c r="AB6487" s="3" t="s">
        <v>43</v>
      </c>
      <c r="AC6487" s="3" t="s">
        <v>8475</v>
      </c>
      <c r="AD6487" s="9">
        <v>42654</v>
      </c>
      <c r="AE6487" s="3" t="s">
        <v>1051</v>
      </c>
      <c r="AF6487" s="3" t="s">
        <v>8476</v>
      </c>
      <c r="AG6487" s="3" t="s">
        <v>81</v>
      </c>
      <c r="AH6487" s="11">
        <f>HYPERLINK("https://my.pitchbook.com?c=97094-26T","View Company Online")</f>
      </c>
    </row>
    <row r="6488">
      <c r="A6488" s="12" t="s">
        <v>29475</v>
      </c>
      <c r="B6488" s="12" t="s">
        <v>19275</v>
      </c>
      <c r="C6488" s="19" t="s">
        <v>36</v>
      </c>
      <c r="D6488" s="19" t="s">
        <v>36</v>
      </c>
      <c r="E6488" s="19" t="s">
        <v>36</v>
      </c>
      <c r="F6488" s="19" t="s">
        <v>36</v>
      </c>
      <c r="G6488" s="15" t="s">
        <v>36</v>
      </c>
      <c r="H6488" s="14" t="s">
        <v>36</v>
      </c>
      <c r="I6488" s="18" t="s">
        <v>36</v>
      </c>
      <c r="J6488" s="12" t="s">
        <v>36</v>
      </c>
      <c r="K6488" s="13" t="s">
        <v>36</v>
      </c>
      <c r="L6488" s="15" t="s">
        <v>36</v>
      </c>
      <c r="M6488" s="12" t="s">
        <v>36</v>
      </c>
      <c r="N6488" s="12" t="s">
        <v>36</v>
      </c>
      <c r="O6488" s="17" t="s">
        <v>36</v>
      </c>
      <c r="P6488" s="12" t="s">
        <v>36</v>
      </c>
      <c r="Q6488" s="12" t="s">
        <v>36</v>
      </c>
      <c r="R6488" s="12" t="s">
        <v>36</v>
      </c>
      <c r="S6488" s="12" t="s">
        <v>36</v>
      </c>
      <c r="T6488" s="12" t="s">
        <v>522</v>
      </c>
      <c r="U6488" s="12" t="s">
        <v>38</v>
      </c>
      <c r="V6488" s="12" t="s">
        <v>39</v>
      </c>
      <c r="W6488" s="12" t="s">
        <v>19276</v>
      </c>
      <c r="X6488" s="16" t="s">
        <v>29476</v>
      </c>
      <c r="Y6488" s="15" t="s">
        <v>55</v>
      </c>
      <c r="Z6488" s="14">
        <v>13.44</v>
      </c>
      <c r="AA6488" s="14" t="s">
        <v>36</v>
      </c>
      <c r="AB6488" s="12" t="s">
        <v>56</v>
      </c>
      <c r="AC6488" s="12" t="s">
        <v>19278</v>
      </c>
      <c r="AD6488" s="13">
        <v>42654</v>
      </c>
      <c r="AE6488" s="12" t="s">
        <v>110</v>
      </c>
      <c r="AF6488" s="12" t="s">
        <v>36</v>
      </c>
      <c r="AG6488" s="12" t="s">
        <v>81</v>
      </c>
      <c r="AH6488" s="1">
        <f>HYPERLINK("https://my.pitchbook.com?c=76883-05T","View Company Online")</f>
      </c>
    </row>
    <row r="6489">
      <c r="A6489" s="3" t="s">
        <v>29477</v>
      </c>
      <c r="B6489" s="3" t="s">
        <v>29478</v>
      </c>
      <c r="C6489" s="5" t="s">
        <v>36</v>
      </c>
      <c r="D6489" s="5" t="s">
        <v>36</v>
      </c>
      <c r="E6489" s="5" t="s">
        <v>36</v>
      </c>
      <c r="F6489" s="5" t="s">
        <v>36</v>
      </c>
      <c r="G6489" s="6" t="s">
        <v>36</v>
      </c>
      <c r="H6489" s="4" t="s">
        <v>36</v>
      </c>
      <c r="I6489" s="7" t="s">
        <v>36</v>
      </c>
      <c r="J6489" s="3" t="s">
        <v>36</v>
      </c>
      <c r="K6489" s="9" t="s">
        <v>36</v>
      </c>
      <c r="L6489" s="6" t="s">
        <v>36</v>
      </c>
      <c r="M6489" s="3" t="s">
        <v>36</v>
      </c>
      <c r="N6489" s="3" t="s">
        <v>36</v>
      </c>
      <c r="O6489" s="8" t="s">
        <v>36</v>
      </c>
      <c r="P6489" s="3" t="s">
        <v>36</v>
      </c>
      <c r="Q6489" s="3" t="s">
        <v>36</v>
      </c>
      <c r="R6489" s="3" t="s">
        <v>36</v>
      </c>
      <c r="S6489" s="3" t="s">
        <v>36</v>
      </c>
      <c r="T6489" s="3" t="s">
        <v>29479</v>
      </c>
      <c r="U6489" s="3" t="s">
        <v>289</v>
      </c>
      <c r="V6489" s="3" t="s">
        <v>64</v>
      </c>
      <c r="W6489" s="3" t="s">
        <v>29480</v>
      </c>
      <c r="X6489" s="10" t="s">
        <v>29481</v>
      </c>
      <c r="Y6489" s="6" t="s">
        <v>108</v>
      </c>
      <c r="Z6489" s="4" t="s">
        <v>36</v>
      </c>
      <c r="AA6489" s="4" t="s">
        <v>36</v>
      </c>
      <c r="AB6489" s="3" t="s">
        <v>56</v>
      </c>
      <c r="AC6489" s="3" t="s">
        <v>29482</v>
      </c>
      <c r="AD6489" s="9">
        <v>42654</v>
      </c>
      <c r="AE6489" s="3" t="s">
        <v>292</v>
      </c>
      <c r="AF6489" s="3" t="s">
        <v>90</v>
      </c>
      <c r="AG6489" s="3" t="s">
        <v>81</v>
      </c>
      <c r="AH6489" s="11">
        <f>HYPERLINK("https://my.pitchbook.com?c=79004-35T","View Company Online")</f>
      </c>
    </row>
    <row r="6490">
      <c r="A6490" s="12" t="s">
        <v>29483</v>
      </c>
      <c r="B6490" s="12" t="s">
        <v>14052</v>
      </c>
      <c r="C6490" s="19" t="s">
        <v>36</v>
      </c>
      <c r="D6490" s="19" t="s">
        <v>36</v>
      </c>
      <c r="E6490" s="19" t="s">
        <v>36</v>
      </c>
      <c r="F6490" s="19" t="s">
        <v>36</v>
      </c>
      <c r="G6490" s="15" t="s">
        <v>326</v>
      </c>
      <c r="H6490" s="14">
        <v>863.46</v>
      </c>
      <c r="I6490" s="18">
        <v>31.23</v>
      </c>
      <c r="J6490" s="12" t="s">
        <v>327</v>
      </c>
      <c r="K6490" s="13" t="s">
        <v>36</v>
      </c>
      <c r="L6490" s="15" t="s">
        <v>122</v>
      </c>
      <c r="M6490" s="12" t="s">
        <v>36</v>
      </c>
      <c r="N6490" s="12" t="s">
        <v>122</v>
      </c>
      <c r="O6490" s="17" t="s">
        <v>36</v>
      </c>
      <c r="P6490" s="12" t="s">
        <v>36</v>
      </c>
      <c r="Q6490" s="12" t="s">
        <v>36</v>
      </c>
      <c r="R6490" s="12" t="s">
        <v>36</v>
      </c>
      <c r="S6490" s="12" t="s">
        <v>36</v>
      </c>
      <c r="T6490" s="12" t="s">
        <v>10669</v>
      </c>
      <c r="U6490" s="12" t="s">
        <v>38</v>
      </c>
      <c r="V6490" s="12" t="s">
        <v>39</v>
      </c>
      <c r="W6490" s="12" t="s">
        <v>14053</v>
      </c>
      <c r="X6490" s="16" t="s">
        <v>29484</v>
      </c>
      <c r="Y6490" s="15" t="s">
        <v>108</v>
      </c>
      <c r="Z6490" s="14">
        <v>5.6</v>
      </c>
      <c r="AA6490" s="14">
        <v>17.93</v>
      </c>
      <c r="AB6490" s="12" t="s">
        <v>43</v>
      </c>
      <c r="AC6490" s="12" t="s">
        <v>14055</v>
      </c>
      <c r="AD6490" s="13">
        <v>42654</v>
      </c>
      <c r="AE6490" s="12" t="s">
        <v>110</v>
      </c>
      <c r="AF6490" s="12" t="s">
        <v>14056</v>
      </c>
      <c r="AG6490" s="12" t="s">
        <v>81</v>
      </c>
      <c r="AH6490" s="1">
        <f>HYPERLINK("https://my.pitchbook.com?c=76881-43T","View Company Online")</f>
      </c>
    </row>
    <row r="6491">
      <c r="A6491" s="3" t="s">
        <v>29485</v>
      </c>
      <c r="B6491" s="3" t="s">
        <v>8753</v>
      </c>
      <c r="C6491" s="5" t="s">
        <v>36</v>
      </c>
      <c r="D6491" s="5" t="s">
        <v>36</v>
      </c>
      <c r="E6491" s="5" t="s">
        <v>36</v>
      </c>
      <c r="F6491" s="5" t="s">
        <v>36</v>
      </c>
      <c r="G6491" s="6" t="s">
        <v>36</v>
      </c>
      <c r="H6491" s="4">
        <v>175.25</v>
      </c>
      <c r="I6491" s="7">
        <v>26.68</v>
      </c>
      <c r="J6491" s="3" t="s">
        <v>521</v>
      </c>
      <c r="K6491" s="9">
        <v>42633</v>
      </c>
      <c r="L6491" s="6" t="s">
        <v>36</v>
      </c>
      <c r="M6491" s="3" t="s">
        <v>36</v>
      </c>
      <c r="N6491" s="3" t="s">
        <v>36</v>
      </c>
      <c r="O6491" s="8" t="s">
        <v>36</v>
      </c>
      <c r="P6491" s="3" t="s">
        <v>36</v>
      </c>
      <c r="Q6491" s="3" t="s">
        <v>36</v>
      </c>
      <c r="R6491" s="3" t="s">
        <v>36</v>
      </c>
      <c r="S6491" s="3" t="s">
        <v>36</v>
      </c>
      <c r="T6491" s="3" t="s">
        <v>37</v>
      </c>
      <c r="U6491" s="3" t="s">
        <v>38</v>
      </c>
      <c r="V6491" s="3" t="s">
        <v>39</v>
      </c>
      <c r="W6491" s="3" t="s">
        <v>8754</v>
      </c>
      <c r="X6491" s="10" t="s">
        <v>29486</v>
      </c>
      <c r="Y6491" s="6" t="s">
        <v>42</v>
      </c>
      <c r="Z6491" s="4">
        <v>0.69</v>
      </c>
      <c r="AA6491" s="4">
        <v>2.58</v>
      </c>
      <c r="AB6491" s="3" t="s">
        <v>43</v>
      </c>
      <c r="AC6491" s="3" t="s">
        <v>8756</v>
      </c>
      <c r="AD6491" s="9">
        <v>42653</v>
      </c>
      <c r="AE6491" s="3" t="s">
        <v>45</v>
      </c>
      <c r="AF6491" s="3" t="s">
        <v>6861</v>
      </c>
      <c r="AG6491" s="3" t="s">
        <v>81</v>
      </c>
      <c r="AH6491" s="11">
        <f>HYPERLINK("https://my.pitchbook.com?c=76899-97T","View Company Online")</f>
      </c>
    </row>
    <row r="6492">
      <c r="A6492" s="12" t="s">
        <v>29487</v>
      </c>
      <c r="B6492" s="12" t="s">
        <v>8425</v>
      </c>
      <c r="C6492" s="19">
        <v>14</v>
      </c>
      <c r="D6492" s="19">
        <v>36</v>
      </c>
      <c r="E6492" s="19">
        <v>9</v>
      </c>
      <c r="F6492" s="19">
        <v>54</v>
      </c>
      <c r="G6492" s="15" t="s">
        <v>326</v>
      </c>
      <c r="H6492" s="14">
        <v>114.24</v>
      </c>
      <c r="I6492" s="18">
        <v>8.97</v>
      </c>
      <c r="J6492" s="12" t="s">
        <v>521</v>
      </c>
      <c r="K6492" s="13">
        <v>42614</v>
      </c>
      <c r="L6492" s="15" t="s">
        <v>36</v>
      </c>
      <c r="M6492" s="12" t="s">
        <v>36</v>
      </c>
      <c r="N6492" s="12" t="s">
        <v>36</v>
      </c>
      <c r="O6492" s="17" t="s">
        <v>36</v>
      </c>
      <c r="P6492" s="12" t="s">
        <v>36</v>
      </c>
      <c r="Q6492" s="12" t="s">
        <v>36</v>
      </c>
      <c r="R6492" s="12" t="s">
        <v>36</v>
      </c>
      <c r="S6492" s="12" t="s">
        <v>36</v>
      </c>
      <c r="T6492" s="12" t="s">
        <v>881</v>
      </c>
      <c r="U6492" s="12" t="s">
        <v>51</v>
      </c>
      <c r="V6492" s="12" t="s">
        <v>52</v>
      </c>
      <c r="W6492" s="12" t="s">
        <v>8426</v>
      </c>
      <c r="X6492" s="16" t="s">
        <v>29488</v>
      </c>
      <c r="Y6492" s="15" t="s">
        <v>108</v>
      </c>
      <c r="Z6492" s="14">
        <v>1</v>
      </c>
      <c r="AA6492" s="14">
        <v>11.14</v>
      </c>
      <c r="AB6492" s="12" t="s">
        <v>43</v>
      </c>
      <c r="AC6492" s="12" t="s">
        <v>8428</v>
      </c>
      <c r="AD6492" s="13">
        <v>42650</v>
      </c>
      <c r="AE6492" s="12" t="s">
        <v>504</v>
      </c>
      <c r="AF6492" s="12" t="s">
        <v>5343</v>
      </c>
      <c r="AG6492" s="12" t="s">
        <v>186</v>
      </c>
      <c r="AH6492" s="1">
        <f>HYPERLINK("https://my.pitchbook.com?c=111330-73T","View Company Online")</f>
      </c>
    </row>
    <row r="6493">
      <c r="A6493" s="3" t="s">
        <v>29489</v>
      </c>
      <c r="B6493" s="3" t="s">
        <v>29490</v>
      </c>
      <c r="C6493" s="5" t="s">
        <v>36</v>
      </c>
      <c r="D6493" s="5" t="s">
        <v>36</v>
      </c>
      <c r="E6493" s="5" t="s">
        <v>36</v>
      </c>
      <c r="F6493" s="5" t="s">
        <v>36</v>
      </c>
      <c r="G6493" s="6" t="s">
        <v>36</v>
      </c>
      <c r="H6493" s="4" t="s">
        <v>36</v>
      </c>
      <c r="I6493" s="7" t="s">
        <v>36</v>
      </c>
      <c r="J6493" s="3" t="s">
        <v>36</v>
      </c>
      <c r="K6493" s="9" t="s">
        <v>36</v>
      </c>
      <c r="L6493" s="6" t="s">
        <v>36</v>
      </c>
      <c r="M6493" s="3" t="s">
        <v>36</v>
      </c>
      <c r="N6493" s="3" t="s">
        <v>36</v>
      </c>
      <c r="O6493" s="8" t="s">
        <v>36</v>
      </c>
      <c r="P6493" s="3" t="s">
        <v>36</v>
      </c>
      <c r="Q6493" s="3" t="s">
        <v>36</v>
      </c>
      <c r="R6493" s="3" t="s">
        <v>36</v>
      </c>
      <c r="S6493" s="3" t="s">
        <v>36</v>
      </c>
      <c r="T6493" s="3" t="s">
        <v>3729</v>
      </c>
      <c r="U6493" s="3" t="s">
        <v>219</v>
      </c>
      <c r="V6493" s="3" t="s">
        <v>75</v>
      </c>
      <c r="W6493" s="3" t="s">
        <v>29491</v>
      </c>
      <c r="X6493" s="10" t="s">
        <v>29492</v>
      </c>
      <c r="Y6493" s="6" t="s">
        <v>42</v>
      </c>
      <c r="Z6493" s="4">
        <v>3.36</v>
      </c>
      <c r="AA6493" s="4" t="s">
        <v>36</v>
      </c>
      <c r="AB6493" s="3" t="s">
        <v>56</v>
      </c>
      <c r="AC6493" s="3" t="s">
        <v>29493</v>
      </c>
      <c r="AD6493" s="9">
        <v>42650</v>
      </c>
      <c r="AE6493" s="3" t="s">
        <v>1032</v>
      </c>
      <c r="AF6493" s="3" t="s">
        <v>1969</v>
      </c>
      <c r="AG6493" s="3" t="s">
        <v>29494</v>
      </c>
      <c r="AH6493" s="11">
        <f>HYPERLINK("https://my.pitchbook.com?c=77422-96T","View Company Online")</f>
      </c>
    </row>
    <row r="6494">
      <c r="A6494" s="12" t="s">
        <v>29495</v>
      </c>
      <c r="B6494" s="12" t="s">
        <v>1811</v>
      </c>
      <c r="C6494" s="19" t="s">
        <v>36</v>
      </c>
      <c r="D6494" s="19" t="s">
        <v>36</v>
      </c>
      <c r="E6494" s="19" t="s">
        <v>36</v>
      </c>
      <c r="F6494" s="19" t="s">
        <v>36</v>
      </c>
      <c r="G6494" s="15" t="s">
        <v>683</v>
      </c>
      <c r="H6494" s="14">
        <v>18.23</v>
      </c>
      <c r="I6494" s="18">
        <v>16.67</v>
      </c>
      <c r="J6494" s="12" t="s">
        <v>521</v>
      </c>
      <c r="K6494" s="13" t="s">
        <v>36</v>
      </c>
      <c r="L6494" s="15" t="s">
        <v>36</v>
      </c>
      <c r="M6494" s="12" t="s">
        <v>36</v>
      </c>
      <c r="N6494" s="12" t="s">
        <v>36</v>
      </c>
      <c r="O6494" s="17" t="s">
        <v>36</v>
      </c>
      <c r="P6494" s="12" t="s">
        <v>36</v>
      </c>
      <c r="Q6494" s="12" t="s">
        <v>36</v>
      </c>
      <c r="R6494" s="12" t="s">
        <v>36</v>
      </c>
      <c r="S6494" s="12" t="s">
        <v>36</v>
      </c>
      <c r="T6494" s="12" t="s">
        <v>1812</v>
      </c>
      <c r="U6494" s="12" t="s">
        <v>38</v>
      </c>
      <c r="V6494" s="12" t="s">
        <v>39</v>
      </c>
      <c r="W6494" s="12" t="s">
        <v>1813</v>
      </c>
      <c r="X6494" s="16" t="s">
        <v>12088</v>
      </c>
      <c r="Y6494" s="15" t="s">
        <v>108</v>
      </c>
      <c r="Z6494" s="14">
        <v>0.9</v>
      </c>
      <c r="AA6494" s="14">
        <v>5.38</v>
      </c>
      <c r="AB6494" s="12" t="s">
        <v>43</v>
      </c>
      <c r="AC6494" s="12" t="s">
        <v>1815</v>
      </c>
      <c r="AD6494" s="13">
        <v>42650</v>
      </c>
      <c r="AE6494" s="12" t="s">
        <v>110</v>
      </c>
      <c r="AF6494" s="12" t="s">
        <v>168</v>
      </c>
      <c r="AG6494" s="12" t="s">
        <v>1276</v>
      </c>
      <c r="AH6494" s="1">
        <f>HYPERLINK("https://my.pitchbook.com?c=194012-47T","View Company Online")</f>
      </c>
    </row>
    <row r="6495">
      <c r="A6495" s="3" t="s">
        <v>29496</v>
      </c>
      <c r="B6495" s="3" t="s">
        <v>29497</v>
      </c>
      <c r="C6495" s="5" t="s">
        <v>36</v>
      </c>
      <c r="D6495" s="5">
        <v>1</v>
      </c>
      <c r="E6495" s="5">
        <v>1</v>
      </c>
      <c r="F6495" s="5">
        <v>2</v>
      </c>
      <c r="G6495" s="6" t="s">
        <v>36</v>
      </c>
      <c r="H6495" s="4" t="s">
        <v>36</v>
      </c>
      <c r="I6495" s="7" t="s">
        <v>36</v>
      </c>
      <c r="J6495" s="3" t="s">
        <v>36</v>
      </c>
      <c r="K6495" s="9" t="s">
        <v>36</v>
      </c>
      <c r="L6495" s="6" t="s">
        <v>36</v>
      </c>
      <c r="M6495" s="3" t="s">
        <v>36</v>
      </c>
      <c r="N6495" s="3" t="s">
        <v>36</v>
      </c>
      <c r="O6495" s="8" t="s">
        <v>36</v>
      </c>
      <c r="P6495" s="3" t="s">
        <v>36</v>
      </c>
      <c r="Q6495" s="3" t="s">
        <v>36</v>
      </c>
      <c r="R6495" s="3" t="s">
        <v>36</v>
      </c>
      <c r="S6495" s="3" t="s">
        <v>36</v>
      </c>
      <c r="T6495" s="3" t="s">
        <v>972</v>
      </c>
      <c r="U6495" s="3" t="s">
        <v>74</v>
      </c>
      <c r="V6495" s="3" t="s">
        <v>75</v>
      </c>
      <c r="W6495" s="3" t="s">
        <v>29498</v>
      </c>
      <c r="X6495" s="10" t="s">
        <v>29499</v>
      </c>
      <c r="Y6495" s="6" t="s">
        <v>42</v>
      </c>
      <c r="Z6495" s="4">
        <v>1.12</v>
      </c>
      <c r="AA6495" s="4" t="s">
        <v>36</v>
      </c>
      <c r="AB6495" s="3" t="s">
        <v>43</v>
      </c>
      <c r="AC6495" s="3" t="s">
        <v>29500</v>
      </c>
      <c r="AD6495" s="9">
        <v>42649</v>
      </c>
      <c r="AE6495" s="3" t="s">
        <v>975</v>
      </c>
      <c r="AF6495" s="3" t="s">
        <v>118</v>
      </c>
      <c r="AG6495" s="3" t="s">
        <v>6368</v>
      </c>
      <c r="AH6495" s="11">
        <f>HYPERLINK("https://my.pitchbook.com?c=123000-40T","View Company Online")</f>
      </c>
    </row>
    <row r="6496">
      <c r="A6496" s="12" t="s">
        <v>29501</v>
      </c>
      <c r="B6496" s="12" t="s">
        <v>24356</v>
      </c>
      <c r="C6496" s="19" t="s">
        <v>36</v>
      </c>
      <c r="D6496" s="19" t="s">
        <v>36</v>
      </c>
      <c r="E6496" s="19" t="s">
        <v>36</v>
      </c>
      <c r="F6496" s="19" t="s">
        <v>36</v>
      </c>
      <c r="G6496" s="15" t="s">
        <v>36</v>
      </c>
      <c r="H6496" s="14">
        <v>107.84</v>
      </c>
      <c r="I6496" s="18">
        <v>16.42</v>
      </c>
      <c r="J6496" s="12" t="s">
        <v>521</v>
      </c>
      <c r="K6496" s="13">
        <v>42530</v>
      </c>
      <c r="L6496" s="15" t="s">
        <v>36</v>
      </c>
      <c r="M6496" s="12" t="s">
        <v>36</v>
      </c>
      <c r="N6496" s="12" t="s">
        <v>36</v>
      </c>
      <c r="O6496" s="17" t="s">
        <v>36</v>
      </c>
      <c r="P6496" s="12" t="s">
        <v>36</v>
      </c>
      <c r="Q6496" s="12" t="s">
        <v>36</v>
      </c>
      <c r="R6496" s="12" t="s">
        <v>36</v>
      </c>
      <c r="S6496" s="12" t="s">
        <v>36</v>
      </c>
      <c r="T6496" s="12" t="s">
        <v>24357</v>
      </c>
      <c r="U6496" s="12" t="s">
        <v>38</v>
      </c>
      <c r="V6496" s="12" t="s">
        <v>39</v>
      </c>
      <c r="W6496" s="12" t="s">
        <v>24358</v>
      </c>
      <c r="X6496" s="16" t="s">
        <v>29502</v>
      </c>
      <c r="Y6496" s="15" t="s">
        <v>108</v>
      </c>
      <c r="Z6496" s="14">
        <v>0.3</v>
      </c>
      <c r="AA6496" s="14">
        <v>1.85</v>
      </c>
      <c r="AB6496" s="12" t="s">
        <v>43</v>
      </c>
      <c r="AC6496" s="12" t="s">
        <v>24360</v>
      </c>
      <c r="AD6496" s="13">
        <v>42649</v>
      </c>
      <c r="AE6496" s="12" t="s">
        <v>110</v>
      </c>
      <c r="AF6496" s="12" t="s">
        <v>24361</v>
      </c>
      <c r="AG6496" s="12" t="s">
        <v>81</v>
      </c>
      <c r="AH6496" s="1">
        <f>HYPERLINK("https://my.pitchbook.com?c=117592-48T","View Company Online")</f>
      </c>
    </row>
    <row r="6497">
      <c r="A6497" s="3" t="s">
        <v>29503</v>
      </c>
      <c r="B6497" s="3" t="s">
        <v>29504</v>
      </c>
      <c r="C6497" s="5" t="s">
        <v>36</v>
      </c>
      <c r="D6497" s="5" t="s">
        <v>36</v>
      </c>
      <c r="E6497" s="5">
        <v>1</v>
      </c>
      <c r="F6497" s="5">
        <v>2</v>
      </c>
      <c r="G6497" s="6" t="s">
        <v>683</v>
      </c>
      <c r="H6497" s="4">
        <v>4.99</v>
      </c>
      <c r="I6497" s="7">
        <v>4.76</v>
      </c>
      <c r="J6497" s="3" t="s">
        <v>521</v>
      </c>
      <c r="K6497" s="9">
        <v>42625</v>
      </c>
      <c r="L6497" s="6" t="s">
        <v>36</v>
      </c>
      <c r="M6497" s="3" t="s">
        <v>36</v>
      </c>
      <c r="N6497" s="3" t="s">
        <v>36</v>
      </c>
      <c r="O6497" s="8" t="s">
        <v>36</v>
      </c>
      <c r="P6497" s="3" t="s">
        <v>36</v>
      </c>
      <c r="Q6497" s="3" t="s">
        <v>36</v>
      </c>
      <c r="R6497" s="3" t="s">
        <v>36</v>
      </c>
      <c r="S6497" s="3" t="s">
        <v>36</v>
      </c>
      <c r="T6497" s="3" t="s">
        <v>522</v>
      </c>
      <c r="U6497" s="3" t="s">
        <v>38</v>
      </c>
      <c r="V6497" s="3" t="s">
        <v>39</v>
      </c>
      <c r="W6497" s="3" t="s">
        <v>29505</v>
      </c>
      <c r="X6497" s="10" t="s">
        <v>27092</v>
      </c>
      <c r="Y6497" s="6" t="s">
        <v>108</v>
      </c>
      <c r="Z6497" s="4">
        <v>0.34</v>
      </c>
      <c r="AA6497" s="4">
        <v>7.06</v>
      </c>
      <c r="AB6497" s="3" t="s">
        <v>56</v>
      </c>
      <c r="AC6497" s="3" t="s">
        <v>29506</v>
      </c>
      <c r="AD6497" s="9">
        <v>42649</v>
      </c>
      <c r="AE6497" s="3" t="s">
        <v>110</v>
      </c>
      <c r="AF6497" s="3" t="s">
        <v>11479</v>
      </c>
      <c r="AG6497" s="3" t="s">
        <v>81</v>
      </c>
      <c r="AH6497" s="11">
        <f>HYPERLINK("https://my.pitchbook.com?c=86309-20T","View Company Online")</f>
      </c>
    </row>
    <row r="6498">
      <c r="A6498" s="12" t="s">
        <v>29507</v>
      </c>
      <c r="B6498" s="12" t="s">
        <v>29508</v>
      </c>
      <c r="C6498" s="19" t="s">
        <v>36</v>
      </c>
      <c r="D6498" s="19" t="s">
        <v>36</v>
      </c>
      <c r="E6498" s="19" t="s">
        <v>36</v>
      </c>
      <c r="F6498" s="19" t="s">
        <v>36</v>
      </c>
      <c r="G6498" s="15" t="s">
        <v>326</v>
      </c>
      <c r="H6498" s="14">
        <v>172.27</v>
      </c>
      <c r="I6498" s="18">
        <v>18.96</v>
      </c>
      <c r="J6498" s="12" t="s">
        <v>521</v>
      </c>
      <c r="K6498" s="13" t="s">
        <v>36</v>
      </c>
      <c r="L6498" s="15" t="s">
        <v>36</v>
      </c>
      <c r="M6498" s="12" t="s">
        <v>36</v>
      </c>
      <c r="N6498" s="12" t="s">
        <v>36</v>
      </c>
      <c r="O6498" s="17" t="s">
        <v>36</v>
      </c>
      <c r="P6498" s="12" t="s">
        <v>36</v>
      </c>
      <c r="Q6498" s="12" t="s">
        <v>36</v>
      </c>
      <c r="R6498" s="12" t="s">
        <v>36</v>
      </c>
      <c r="S6498" s="12" t="s">
        <v>36</v>
      </c>
      <c r="T6498" s="12" t="s">
        <v>522</v>
      </c>
      <c r="U6498" s="12" t="s">
        <v>38</v>
      </c>
      <c r="V6498" s="12" t="s">
        <v>39</v>
      </c>
      <c r="W6498" s="12" t="s">
        <v>29509</v>
      </c>
      <c r="X6498" s="16" t="s">
        <v>29510</v>
      </c>
      <c r="Y6498" s="15" t="s">
        <v>42</v>
      </c>
      <c r="Z6498" s="14">
        <v>0.66</v>
      </c>
      <c r="AA6498" s="14">
        <v>3.46</v>
      </c>
      <c r="AB6498" s="12" t="s">
        <v>56</v>
      </c>
      <c r="AC6498" s="12" t="s">
        <v>29511</v>
      </c>
      <c r="AD6498" s="13">
        <v>42649</v>
      </c>
      <c r="AE6498" s="12" t="s">
        <v>110</v>
      </c>
      <c r="AF6498" s="12" t="s">
        <v>80</v>
      </c>
      <c r="AG6498" s="12" t="s">
        <v>81</v>
      </c>
      <c r="AH6498" s="1">
        <f>HYPERLINK("https://my.pitchbook.com?c=51408-10T","View Company Online")</f>
      </c>
    </row>
    <row r="6499">
      <c r="A6499" s="3" t="s">
        <v>29512</v>
      </c>
      <c r="B6499" s="3" t="s">
        <v>13031</v>
      </c>
      <c r="C6499" s="5">
        <v>6</v>
      </c>
      <c r="D6499" s="5">
        <v>36</v>
      </c>
      <c r="E6499" s="5">
        <v>9</v>
      </c>
      <c r="F6499" s="5">
        <v>47</v>
      </c>
      <c r="G6499" s="6" t="s">
        <v>36</v>
      </c>
      <c r="H6499" s="4">
        <v>76.33</v>
      </c>
      <c r="I6499" s="7">
        <v>51.48</v>
      </c>
      <c r="J6499" s="3" t="s">
        <v>521</v>
      </c>
      <c r="K6499" s="9" t="s">
        <v>36</v>
      </c>
      <c r="L6499" s="6" t="s">
        <v>36</v>
      </c>
      <c r="M6499" s="3" t="s">
        <v>36</v>
      </c>
      <c r="N6499" s="3" t="s">
        <v>36</v>
      </c>
      <c r="O6499" s="8" t="s">
        <v>36</v>
      </c>
      <c r="P6499" s="3" t="s">
        <v>36</v>
      </c>
      <c r="Q6499" s="3" t="s">
        <v>36</v>
      </c>
      <c r="R6499" s="3" t="s">
        <v>36</v>
      </c>
      <c r="S6499" s="3" t="s">
        <v>36</v>
      </c>
      <c r="T6499" s="3" t="s">
        <v>4876</v>
      </c>
      <c r="U6499" s="3" t="s">
        <v>1357</v>
      </c>
      <c r="V6499" s="3" t="s">
        <v>52</v>
      </c>
      <c r="W6499" s="3" t="s">
        <v>13032</v>
      </c>
      <c r="X6499" s="10" t="s">
        <v>29513</v>
      </c>
      <c r="Y6499" s="6" t="s">
        <v>42</v>
      </c>
      <c r="Z6499" s="4">
        <v>17.5</v>
      </c>
      <c r="AA6499" s="4">
        <v>33.99</v>
      </c>
      <c r="AB6499" s="3" t="s">
        <v>56</v>
      </c>
      <c r="AC6499" s="3" t="s">
        <v>13034</v>
      </c>
      <c r="AD6499" s="9">
        <v>42648</v>
      </c>
      <c r="AE6499" s="3" t="s">
        <v>2808</v>
      </c>
      <c r="AF6499" s="3" t="s">
        <v>571</v>
      </c>
      <c r="AG6499" s="3" t="s">
        <v>13035</v>
      </c>
      <c r="AH6499" s="11">
        <f>HYPERLINK("https://my.pitchbook.com?c=188890-93T","View Company Online")</f>
      </c>
    </row>
    <row r="6500">
      <c r="A6500" s="12" t="s">
        <v>29514</v>
      </c>
      <c r="B6500" s="12" t="s">
        <v>21213</v>
      </c>
      <c r="C6500" s="19">
        <v>1</v>
      </c>
      <c r="D6500" s="19">
        <v>8</v>
      </c>
      <c r="E6500" s="19">
        <v>6</v>
      </c>
      <c r="F6500" s="19">
        <v>10</v>
      </c>
      <c r="G6500" s="15" t="s">
        <v>36</v>
      </c>
      <c r="H6500" s="14" t="s">
        <v>36</v>
      </c>
      <c r="I6500" s="18" t="s">
        <v>36</v>
      </c>
      <c r="J6500" s="12" t="s">
        <v>36</v>
      </c>
      <c r="K6500" s="13" t="s">
        <v>36</v>
      </c>
      <c r="L6500" s="15" t="s">
        <v>36</v>
      </c>
      <c r="M6500" s="12" t="s">
        <v>36</v>
      </c>
      <c r="N6500" s="12" t="s">
        <v>36</v>
      </c>
      <c r="O6500" s="17" t="s">
        <v>36</v>
      </c>
      <c r="P6500" s="12" t="s">
        <v>36</v>
      </c>
      <c r="Q6500" s="12" t="s">
        <v>36</v>
      </c>
      <c r="R6500" s="12" t="s">
        <v>36</v>
      </c>
      <c r="S6500" s="12" t="s">
        <v>3895</v>
      </c>
      <c r="T6500" s="12" t="s">
        <v>21214</v>
      </c>
      <c r="U6500" s="12" t="s">
        <v>38</v>
      </c>
      <c r="V6500" s="12" t="s">
        <v>39</v>
      </c>
      <c r="W6500" s="12" t="s">
        <v>21215</v>
      </c>
      <c r="X6500" s="16" t="s">
        <v>29515</v>
      </c>
      <c r="Y6500" s="15" t="s">
        <v>42</v>
      </c>
      <c r="Z6500" s="14">
        <v>11.22</v>
      </c>
      <c r="AA6500" s="14" t="s">
        <v>36</v>
      </c>
      <c r="AB6500" s="12" t="s">
        <v>43</v>
      </c>
      <c r="AC6500" s="12" t="s">
        <v>21217</v>
      </c>
      <c r="AD6500" s="13">
        <v>42648</v>
      </c>
      <c r="AE6500" s="12" t="s">
        <v>1330</v>
      </c>
      <c r="AF6500" s="12" t="s">
        <v>1380</v>
      </c>
      <c r="AG6500" s="12" t="s">
        <v>81</v>
      </c>
      <c r="AH6500" s="1">
        <f>HYPERLINK("https://my.pitchbook.com?c=89138-53T","View Company Online")</f>
      </c>
    </row>
    <row r="6501">
      <c r="A6501" s="3" t="s">
        <v>29516</v>
      </c>
      <c r="B6501" s="3" t="s">
        <v>19606</v>
      </c>
      <c r="C6501" s="5" t="s">
        <v>36</v>
      </c>
      <c r="D6501" s="5" t="s">
        <v>36</v>
      </c>
      <c r="E6501" s="5" t="s">
        <v>36</v>
      </c>
      <c r="F6501" s="5" t="s">
        <v>36</v>
      </c>
      <c r="G6501" s="6" t="s">
        <v>36</v>
      </c>
      <c r="H6501" s="4" t="s">
        <v>36</v>
      </c>
      <c r="I6501" s="7" t="s">
        <v>36</v>
      </c>
      <c r="J6501" s="3" t="s">
        <v>36</v>
      </c>
      <c r="K6501" s="9" t="s">
        <v>36</v>
      </c>
      <c r="L6501" s="6" t="s">
        <v>36</v>
      </c>
      <c r="M6501" s="3" t="s">
        <v>36</v>
      </c>
      <c r="N6501" s="3" t="s">
        <v>36</v>
      </c>
      <c r="O6501" s="8" t="s">
        <v>36</v>
      </c>
      <c r="P6501" s="3" t="s">
        <v>36</v>
      </c>
      <c r="Q6501" s="3" t="s">
        <v>36</v>
      </c>
      <c r="R6501" s="3" t="s">
        <v>36</v>
      </c>
      <c r="S6501" s="3" t="s">
        <v>36</v>
      </c>
      <c r="T6501" s="3" t="s">
        <v>1596</v>
      </c>
      <c r="U6501" s="3" t="s">
        <v>728</v>
      </c>
      <c r="V6501" s="3" t="s">
        <v>64</v>
      </c>
      <c r="W6501" s="3" t="s">
        <v>19607</v>
      </c>
      <c r="X6501" s="10" t="s">
        <v>29517</v>
      </c>
      <c r="Y6501" s="6" t="s">
        <v>42</v>
      </c>
      <c r="Z6501" s="4">
        <v>1.12</v>
      </c>
      <c r="AA6501" s="4" t="s">
        <v>36</v>
      </c>
      <c r="AB6501" s="3" t="s">
        <v>56</v>
      </c>
      <c r="AC6501" s="3" t="s">
        <v>19609</v>
      </c>
      <c r="AD6501" s="9">
        <v>42647</v>
      </c>
      <c r="AE6501" s="3" t="s">
        <v>1600</v>
      </c>
      <c r="AF6501" s="3" t="s">
        <v>36</v>
      </c>
      <c r="AG6501" s="3" t="s">
        <v>81</v>
      </c>
      <c r="AH6501" s="11">
        <f>HYPERLINK("https://my.pitchbook.com?c=136912-24T","View Company Online")</f>
      </c>
    </row>
    <row r="6502">
      <c r="A6502" s="12" t="s">
        <v>29518</v>
      </c>
      <c r="B6502" s="12" t="s">
        <v>29519</v>
      </c>
      <c r="C6502" s="19" t="s">
        <v>36</v>
      </c>
      <c r="D6502" s="19">
        <v>7</v>
      </c>
      <c r="E6502" s="19">
        <v>4</v>
      </c>
      <c r="F6502" s="19">
        <v>8</v>
      </c>
      <c r="G6502" s="15" t="s">
        <v>326</v>
      </c>
      <c r="H6502" s="14">
        <v>983.52</v>
      </c>
      <c r="I6502" s="18">
        <v>37.98</v>
      </c>
      <c r="J6502" s="12" t="s">
        <v>521</v>
      </c>
      <c r="K6502" s="13" t="s">
        <v>36</v>
      </c>
      <c r="L6502" s="15" t="s">
        <v>36</v>
      </c>
      <c r="M6502" s="12" t="s">
        <v>36</v>
      </c>
      <c r="N6502" s="12" t="s">
        <v>36</v>
      </c>
      <c r="O6502" s="17" t="s">
        <v>36</v>
      </c>
      <c r="P6502" s="12" t="s">
        <v>36</v>
      </c>
      <c r="Q6502" s="12" t="s">
        <v>36</v>
      </c>
      <c r="R6502" s="12" t="s">
        <v>36</v>
      </c>
      <c r="S6502" s="12" t="s">
        <v>36</v>
      </c>
      <c r="T6502" s="12" t="s">
        <v>29520</v>
      </c>
      <c r="U6502" s="12" t="s">
        <v>318</v>
      </c>
      <c r="V6502" s="12" t="s">
        <v>39</v>
      </c>
      <c r="W6502" s="12" t="s">
        <v>29521</v>
      </c>
      <c r="X6502" s="16" t="s">
        <v>29522</v>
      </c>
      <c r="Y6502" s="15" t="s">
        <v>108</v>
      </c>
      <c r="Z6502" s="14">
        <v>1.96</v>
      </c>
      <c r="AA6502" s="14">
        <v>5.16</v>
      </c>
      <c r="AB6502" s="12" t="s">
        <v>56</v>
      </c>
      <c r="AC6502" s="12" t="s">
        <v>29523</v>
      </c>
      <c r="AD6502" s="13">
        <v>42647</v>
      </c>
      <c r="AE6502" s="12" t="s">
        <v>763</v>
      </c>
      <c r="AF6502" s="12" t="s">
        <v>10379</v>
      </c>
      <c r="AG6502" s="12" t="s">
        <v>373</v>
      </c>
      <c r="AH6502" s="1">
        <f>HYPERLINK("https://my.pitchbook.com?c=79017-58T","View Company Online")</f>
      </c>
    </row>
    <row r="6503">
      <c r="A6503" s="3" t="s">
        <v>29524</v>
      </c>
      <c r="B6503" s="3" t="s">
        <v>18277</v>
      </c>
      <c r="C6503" s="5" t="s">
        <v>36</v>
      </c>
      <c r="D6503" s="5" t="s">
        <v>36</v>
      </c>
      <c r="E6503" s="5" t="s">
        <v>36</v>
      </c>
      <c r="F6503" s="5" t="s">
        <v>36</v>
      </c>
      <c r="G6503" s="6" t="s">
        <v>326</v>
      </c>
      <c r="H6503" s="4">
        <v>610.92</v>
      </c>
      <c r="I6503" s="7">
        <v>29.8</v>
      </c>
      <c r="J6503" s="3" t="s">
        <v>327</v>
      </c>
      <c r="K6503" s="9" t="s">
        <v>36</v>
      </c>
      <c r="L6503" s="6" t="s">
        <v>36</v>
      </c>
      <c r="M6503" s="3" t="s">
        <v>36</v>
      </c>
      <c r="N6503" s="3" t="s">
        <v>36</v>
      </c>
      <c r="O6503" s="8" t="s">
        <v>36</v>
      </c>
      <c r="P6503" s="3" t="s">
        <v>36</v>
      </c>
      <c r="Q6503" s="3" t="s">
        <v>36</v>
      </c>
      <c r="R6503" s="3" t="s">
        <v>36</v>
      </c>
      <c r="S6503" s="3" t="s">
        <v>36</v>
      </c>
      <c r="T6503" s="3" t="s">
        <v>29525</v>
      </c>
      <c r="U6503" s="3" t="s">
        <v>438</v>
      </c>
      <c r="V6503" s="3" t="s">
        <v>405</v>
      </c>
      <c r="W6503" s="3" t="s">
        <v>29526</v>
      </c>
      <c r="X6503" s="10" t="s">
        <v>29527</v>
      </c>
      <c r="Y6503" s="6" t="s">
        <v>42</v>
      </c>
      <c r="Z6503" s="4">
        <v>1.12</v>
      </c>
      <c r="AA6503" s="4">
        <v>3.76</v>
      </c>
      <c r="AB6503" s="3" t="s">
        <v>43</v>
      </c>
      <c r="AC6503" s="3" t="s">
        <v>29528</v>
      </c>
      <c r="AD6503" s="9">
        <v>42647</v>
      </c>
      <c r="AE6503" s="3" t="s">
        <v>438</v>
      </c>
      <c r="AF6503" s="3" t="s">
        <v>215</v>
      </c>
      <c r="AG6503" s="3" t="s">
        <v>81</v>
      </c>
      <c r="AH6503" s="11">
        <f>HYPERLINK("https://my.pitchbook.com?c=116203-24T","View Company Online")</f>
      </c>
    </row>
    <row r="6504">
      <c r="A6504" s="12" t="s">
        <v>29529</v>
      </c>
      <c r="B6504" s="12" t="s">
        <v>29530</v>
      </c>
      <c r="C6504" s="19" t="s">
        <v>36</v>
      </c>
      <c r="D6504" s="19" t="s">
        <v>36</v>
      </c>
      <c r="E6504" s="19" t="s">
        <v>36</v>
      </c>
      <c r="F6504" s="19" t="s">
        <v>36</v>
      </c>
      <c r="G6504" s="15" t="s">
        <v>36</v>
      </c>
      <c r="H6504" s="14" t="s">
        <v>36</v>
      </c>
      <c r="I6504" s="18" t="s">
        <v>36</v>
      </c>
      <c r="J6504" s="12" t="s">
        <v>36</v>
      </c>
      <c r="K6504" s="13" t="s">
        <v>36</v>
      </c>
      <c r="L6504" s="15" t="s">
        <v>36</v>
      </c>
      <c r="M6504" s="12" t="s">
        <v>36</v>
      </c>
      <c r="N6504" s="12" t="s">
        <v>36</v>
      </c>
      <c r="O6504" s="17" t="s">
        <v>36</v>
      </c>
      <c r="P6504" s="12" t="s">
        <v>36</v>
      </c>
      <c r="Q6504" s="12" t="s">
        <v>36</v>
      </c>
      <c r="R6504" s="12" t="s">
        <v>36</v>
      </c>
      <c r="S6504" s="12" t="s">
        <v>36</v>
      </c>
      <c r="T6504" s="12" t="s">
        <v>4827</v>
      </c>
      <c r="U6504" s="12" t="s">
        <v>648</v>
      </c>
      <c r="V6504" s="12" t="s">
        <v>64</v>
      </c>
      <c r="W6504" s="12" t="s">
        <v>29531</v>
      </c>
      <c r="X6504" s="16" t="s">
        <v>20907</v>
      </c>
      <c r="Y6504" s="15" t="s">
        <v>42</v>
      </c>
      <c r="Z6504" s="14" t="s">
        <v>36</v>
      </c>
      <c r="AA6504" s="14" t="s">
        <v>36</v>
      </c>
      <c r="AB6504" s="12" t="s">
        <v>56</v>
      </c>
      <c r="AC6504" s="12" t="s">
        <v>29532</v>
      </c>
      <c r="AD6504" s="13">
        <v>42646</v>
      </c>
      <c r="AE6504" s="12" t="s">
        <v>3988</v>
      </c>
      <c r="AF6504" s="12" t="s">
        <v>4284</v>
      </c>
      <c r="AG6504" s="12" t="s">
        <v>382</v>
      </c>
      <c r="AH6504" s="1">
        <f>HYPERLINK("https://my.pitchbook.com?c=126454-06T","View Company Online")</f>
      </c>
    </row>
    <row r="6505">
      <c r="A6505" s="3" t="s">
        <v>29533</v>
      </c>
      <c r="B6505" s="3" t="s">
        <v>21627</v>
      </c>
      <c r="C6505" s="5" t="s">
        <v>36</v>
      </c>
      <c r="D6505" s="5">
        <v>2</v>
      </c>
      <c r="E6505" s="5">
        <v>2</v>
      </c>
      <c r="F6505" s="5">
        <v>3</v>
      </c>
      <c r="G6505" s="6" t="s">
        <v>326</v>
      </c>
      <c r="H6505" s="4">
        <v>57.64</v>
      </c>
      <c r="I6505" s="7">
        <v>39.1</v>
      </c>
      <c r="J6505" s="3" t="s">
        <v>521</v>
      </c>
      <c r="K6505" s="9">
        <v>42298</v>
      </c>
      <c r="L6505" s="6" t="s">
        <v>36</v>
      </c>
      <c r="M6505" s="3" t="s">
        <v>36</v>
      </c>
      <c r="N6505" s="3" t="s">
        <v>36</v>
      </c>
      <c r="O6505" s="8" t="s">
        <v>36</v>
      </c>
      <c r="P6505" s="3" t="s">
        <v>36</v>
      </c>
      <c r="Q6505" s="3" t="s">
        <v>36</v>
      </c>
      <c r="R6505" s="3" t="s">
        <v>36</v>
      </c>
      <c r="S6505" s="3" t="s">
        <v>2699</v>
      </c>
      <c r="T6505" s="3" t="s">
        <v>13798</v>
      </c>
      <c r="U6505" s="3" t="s">
        <v>619</v>
      </c>
      <c r="V6505" s="3" t="s">
        <v>378</v>
      </c>
      <c r="W6505" s="3" t="s">
        <v>21628</v>
      </c>
      <c r="X6505" s="10" t="s">
        <v>29534</v>
      </c>
      <c r="Y6505" s="6" t="s">
        <v>108</v>
      </c>
      <c r="Z6505" s="4">
        <v>2.1</v>
      </c>
      <c r="AA6505" s="4">
        <v>4.79</v>
      </c>
      <c r="AB6505" s="3" t="s">
        <v>43</v>
      </c>
      <c r="AC6505" s="3" t="s">
        <v>21630</v>
      </c>
      <c r="AD6505" s="9">
        <v>42646</v>
      </c>
      <c r="AE6505" s="3" t="s">
        <v>2040</v>
      </c>
      <c r="AF6505" s="3" t="s">
        <v>21631</v>
      </c>
      <c r="AG6505" s="3" t="s">
        <v>21632</v>
      </c>
      <c r="AH6505" s="11">
        <f>HYPERLINK("https://my.pitchbook.com?c=81782-11T","View Company Online")</f>
      </c>
    </row>
    <row r="6506">
      <c r="A6506" s="12" t="s">
        <v>29535</v>
      </c>
      <c r="B6506" s="12" t="s">
        <v>29536</v>
      </c>
      <c r="C6506" s="19" t="s">
        <v>36</v>
      </c>
      <c r="D6506" s="19" t="s">
        <v>36</v>
      </c>
      <c r="E6506" s="19">
        <v>1</v>
      </c>
      <c r="F6506" s="19">
        <v>1</v>
      </c>
      <c r="G6506" s="15" t="s">
        <v>36</v>
      </c>
      <c r="H6506" s="14">
        <v>170.27</v>
      </c>
      <c r="I6506" s="18">
        <v>15.62</v>
      </c>
      <c r="J6506" s="12" t="s">
        <v>521</v>
      </c>
      <c r="K6506" s="13" t="s">
        <v>36</v>
      </c>
      <c r="L6506" s="15" t="s">
        <v>36</v>
      </c>
      <c r="M6506" s="12" t="s">
        <v>36</v>
      </c>
      <c r="N6506" s="12" t="s">
        <v>36</v>
      </c>
      <c r="O6506" s="17" t="s">
        <v>36</v>
      </c>
      <c r="P6506" s="12" t="s">
        <v>36</v>
      </c>
      <c r="Q6506" s="12" t="s">
        <v>36</v>
      </c>
      <c r="R6506" s="12" t="s">
        <v>36</v>
      </c>
      <c r="S6506" s="12" t="s">
        <v>36</v>
      </c>
      <c r="T6506" s="12" t="s">
        <v>105</v>
      </c>
      <c r="U6506" s="12" t="s">
        <v>38</v>
      </c>
      <c r="V6506" s="12" t="s">
        <v>39</v>
      </c>
      <c r="W6506" s="12" t="s">
        <v>29537</v>
      </c>
      <c r="X6506" s="16" t="s">
        <v>29538</v>
      </c>
      <c r="Y6506" s="15" t="s">
        <v>42</v>
      </c>
      <c r="Z6506" s="14">
        <v>2.8</v>
      </c>
      <c r="AA6506" s="14">
        <v>17.94</v>
      </c>
      <c r="AB6506" s="12" t="s">
        <v>56</v>
      </c>
      <c r="AC6506" s="12" t="s">
        <v>29539</v>
      </c>
      <c r="AD6506" s="13">
        <v>42644</v>
      </c>
      <c r="AE6506" s="12" t="s">
        <v>110</v>
      </c>
      <c r="AF6506" s="12" t="s">
        <v>111</v>
      </c>
      <c r="AG6506" s="12" t="s">
        <v>81</v>
      </c>
      <c r="AH6506" s="1">
        <f>HYPERLINK("https://my.pitchbook.com?c=111908-53T","View Company Online")</f>
      </c>
    </row>
    <row r="6507">
      <c r="A6507" s="3" t="s">
        <v>29540</v>
      </c>
      <c r="B6507" s="3" t="s">
        <v>28096</v>
      </c>
      <c r="C6507" s="5" t="s">
        <v>36</v>
      </c>
      <c r="D6507" s="5">
        <v>1</v>
      </c>
      <c r="E6507" s="5">
        <v>1</v>
      </c>
      <c r="F6507" s="5">
        <v>2</v>
      </c>
      <c r="G6507" s="6" t="s">
        <v>326</v>
      </c>
      <c r="H6507" s="4">
        <v>177.34</v>
      </c>
      <c r="I6507" s="7">
        <v>50</v>
      </c>
      <c r="J6507" s="3" t="s">
        <v>521</v>
      </c>
      <c r="K6507" s="9" t="s">
        <v>36</v>
      </c>
      <c r="L6507" s="6" t="s">
        <v>36</v>
      </c>
      <c r="M6507" s="3" t="s">
        <v>36</v>
      </c>
      <c r="N6507" s="3" t="s">
        <v>36</v>
      </c>
      <c r="O6507" s="8" t="s">
        <v>36</v>
      </c>
      <c r="P6507" s="3" t="s">
        <v>36</v>
      </c>
      <c r="Q6507" s="3" t="s">
        <v>36</v>
      </c>
      <c r="R6507" s="3" t="s">
        <v>36</v>
      </c>
      <c r="S6507" s="3" t="s">
        <v>36</v>
      </c>
      <c r="T6507" s="3" t="s">
        <v>5576</v>
      </c>
      <c r="U6507" s="3" t="s">
        <v>38</v>
      </c>
      <c r="V6507" s="3" t="s">
        <v>39</v>
      </c>
      <c r="W6507" s="3" t="s">
        <v>28097</v>
      </c>
      <c r="X6507" s="10" t="s">
        <v>29541</v>
      </c>
      <c r="Y6507" s="6" t="s">
        <v>42</v>
      </c>
      <c r="Z6507" s="4">
        <v>2.24</v>
      </c>
      <c r="AA6507" s="4">
        <v>4.48</v>
      </c>
      <c r="AB6507" s="3" t="s">
        <v>43</v>
      </c>
      <c r="AC6507" s="3" t="s">
        <v>28099</v>
      </c>
      <c r="AD6507" s="9">
        <v>42644</v>
      </c>
      <c r="AE6507" s="3" t="s">
        <v>110</v>
      </c>
      <c r="AF6507" s="3" t="s">
        <v>3974</v>
      </c>
      <c r="AG6507" s="3" t="s">
        <v>373</v>
      </c>
      <c r="AH6507" s="11">
        <f>HYPERLINK("https://my.pitchbook.com?c=136336-78T","View Company Online")</f>
      </c>
    </row>
    <row r="6508">
      <c r="A6508" s="12" t="s">
        <v>29542</v>
      </c>
      <c r="B6508" s="12" t="s">
        <v>29543</v>
      </c>
      <c r="C6508" s="19">
        <v>1</v>
      </c>
      <c r="D6508" s="19">
        <v>7</v>
      </c>
      <c r="E6508" s="19">
        <v>3</v>
      </c>
      <c r="F6508" s="19">
        <v>12</v>
      </c>
      <c r="G6508" s="15" t="s">
        <v>36</v>
      </c>
      <c r="H6508" s="14">
        <v>602.37</v>
      </c>
      <c r="I6508" s="18">
        <v>28.85</v>
      </c>
      <c r="J6508" s="12" t="s">
        <v>521</v>
      </c>
      <c r="K6508" s="13">
        <v>42643</v>
      </c>
      <c r="L6508" s="15" t="s">
        <v>36</v>
      </c>
      <c r="M6508" s="12" t="s">
        <v>36</v>
      </c>
      <c r="N6508" s="12" t="s">
        <v>36</v>
      </c>
      <c r="O6508" s="17" t="s">
        <v>36</v>
      </c>
      <c r="P6508" s="12" t="s">
        <v>36</v>
      </c>
      <c r="Q6508" s="12" t="s">
        <v>36</v>
      </c>
      <c r="R6508" s="12" t="s">
        <v>36</v>
      </c>
      <c r="S6508" s="12" t="s">
        <v>36</v>
      </c>
      <c r="T6508" s="12" t="s">
        <v>522</v>
      </c>
      <c r="U6508" s="12" t="s">
        <v>38</v>
      </c>
      <c r="V6508" s="12" t="s">
        <v>39</v>
      </c>
      <c r="W6508" s="12" t="s">
        <v>29544</v>
      </c>
      <c r="X6508" s="16" t="s">
        <v>18485</v>
      </c>
      <c r="Y6508" s="15" t="s">
        <v>42</v>
      </c>
      <c r="Z6508" s="14">
        <v>0.53</v>
      </c>
      <c r="AA6508" s="14">
        <v>1.83</v>
      </c>
      <c r="AB6508" s="12" t="s">
        <v>43</v>
      </c>
      <c r="AC6508" s="12" t="s">
        <v>29545</v>
      </c>
      <c r="AD6508" s="13">
        <v>42644</v>
      </c>
      <c r="AE6508" s="12" t="s">
        <v>110</v>
      </c>
      <c r="AF6508" s="12" t="s">
        <v>29546</v>
      </c>
      <c r="AG6508" s="12" t="s">
        <v>186</v>
      </c>
      <c r="AH6508" s="1">
        <f>HYPERLINK("https://my.pitchbook.com?c=80739-91T","View Company Online")</f>
      </c>
    </row>
    <row r="6509">
      <c r="A6509" s="3" t="s">
        <v>29547</v>
      </c>
      <c r="B6509" s="3" t="s">
        <v>29548</v>
      </c>
      <c r="C6509" s="5" t="s">
        <v>36</v>
      </c>
      <c r="D6509" s="5" t="s">
        <v>36</v>
      </c>
      <c r="E6509" s="5" t="s">
        <v>36</v>
      </c>
      <c r="F6509" s="5" t="s">
        <v>36</v>
      </c>
      <c r="G6509" s="6" t="s">
        <v>36</v>
      </c>
      <c r="H6509" s="4">
        <v>15.41</v>
      </c>
      <c r="I6509" s="7">
        <v>37.19</v>
      </c>
      <c r="J6509" s="3" t="s">
        <v>521</v>
      </c>
      <c r="K6509" s="9" t="s">
        <v>36</v>
      </c>
      <c r="L6509" s="6" t="s">
        <v>36</v>
      </c>
      <c r="M6509" s="3" t="s">
        <v>36</v>
      </c>
      <c r="N6509" s="3" t="s">
        <v>36</v>
      </c>
      <c r="O6509" s="8" t="s">
        <v>36</v>
      </c>
      <c r="P6509" s="3" t="s">
        <v>36</v>
      </c>
      <c r="Q6509" s="3" t="s">
        <v>36</v>
      </c>
      <c r="R6509" s="3" t="s">
        <v>36</v>
      </c>
      <c r="S6509" s="3" t="s">
        <v>36</v>
      </c>
      <c r="T6509" s="3" t="s">
        <v>7301</v>
      </c>
      <c r="U6509" s="3" t="s">
        <v>74</v>
      </c>
      <c r="V6509" s="3" t="s">
        <v>75</v>
      </c>
      <c r="W6509" s="3" t="s">
        <v>29549</v>
      </c>
      <c r="X6509" s="10" t="s">
        <v>29550</v>
      </c>
      <c r="Y6509" s="6" t="s">
        <v>42</v>
      </c>
      <c r="Z6509" s="4">
        <v>0.68</v>
      </c>
      <c r="AA6509" s="4">
        <v>1.84</v>
      </c>
      <c r="AB6509" s="3" t="s">
        <v>56</v>
      </c>
      <c r="AC6509" s="3" t="s">
        <v>29551</v>
      </c>
      <c r="AD6509" s="9">
        <v>42644</v>
      </c>
      <c r="AE6509" s="3" t="s">
        <v>1243</v>
      </c>
      <c r="AF6509" s="3" t="s">
        <v>546</v>
      </c>
      <c r="AG6509" s="3" t="s">
        <v>29552</v>
      </c>
      <c r="AH6509" s="11">
        <f>HYPERLINK("https://my.pitchbook.com?c=120133-99T","View Company Online")</f>
      </c>
    </row>
    <row r="6510">
      <c r="A6510" s="12" t="s">
        <v>29553</v>
      </c>
      <c r="B6510" s="12" t="s">
        <v>29554</v>
      </c>
      <c r="C6510" s="19" t="s">
        <v>36</v>
      </c>
      <c r="D6510" s="19" t="s">
        <v>36</v>
      </c>
      <c r="E6510" s="19" t="s">
        <v>36</v>
      </c>
      <c r="F6510" s="19" t="s">
        <v>36</v>
      </c>
      <c r="G6510" s="15" t="s">
        <v>36</v>
      </c>
      <c r="H6510" s="14">
        <v>103.86</v>
      </c>
      <c r="I6510" s="18">
        <v>27.97</v>
      </c>
      <c r="J6510" s="12" t="s">
        <v>521</v>
      </c>
      <c r="K6510" s="13" t="s">
        <v>36</v>
      </c>
      <c r="L6510" s="15" t="s">
        <v>36</v>
      </c>
      <c r="M6510" s="12" t="s">
        <v>36</v>
      </c>
      <c r="N6510" s="12" t="s">
        <v>36</v>
      </c>
      <c r="O6510" s="17" t="s">
        <v>36</v>
      </c>
      <c r="P6510" s="12" t="s">
        <v>36</v>
      </c>
      <c r="Q6510" s="12" t="s">
        <v>36</v>
      </c>
      <c r="R6510" s="12" t="s">
        <v>36</v>
      </c>
      <c r="S6510" s="12" t="s">
        <v>36</v>
      </c>
      <c r="T6510" s="12" t="s">
        <v>2811</v>
      </c>
      <c r="U6510" s="12" t="s">
        <v>219</v>
      </c>
      <c r="V6510" s="12" t="s">
        <v>75</v>
      </c>
      <c r="W6510" s="12" t="s">
        <v>29555</v>
      </c>
      <c r="X6510" s="16" t="s">
        <v>29556</v>
      </c>
      <c r="Y6510" s="15" t="s">
        <v>42</v>
      </c>
      <c r="Z6510" s="14">
        <v>0.45</v>
      </c>
      <c r="AA6510" s="14">
        <v>0.93</v>
      </c>
      <c r="AB6510" s="12" t="s">
        <v>43</v>
      </c>
      <c r="AC6510" s="12" t="s">
        <v>29557</v>
      </c>
      <c r="AD6510" s="13">
        <v>42644</v>
      </c>
      <c r="AE6510" s="12" t="s">
        <v>223</v>
      </c>
      <c r="AF6510" s="12" t="s">
        <v>1969</v>
      </c>
      <c r="AG6510" s="12" t="s">
        <v>12667</v>
      </c>
      <c r="AH6510" s="1">
        <f>HYPERLINK("https://my.pitchbook.com?c=86817-97T","View Company Online")</f>
      </c>
    </row>
    <row r="6511">
      <c r="A6511" s="3" t="s">
        <v>29558</v>
      </c>
      <c r="B6511" s="3" t="s">
        <v>20586</v>
      </c>
      <c r="C6511" s="5" t="s">
        <v>36</v>
      </c>
      <c r="D6511" s="5" t="s">
        <v>36</v>
      </c>
      <c r="E6511" s="5" t="s">
        <v>36</v>
      </c>
      <c r="F6511" s="5" t="s">
        <v>36</v>
      </c>
      <c r="G6511" s="6" t="s">
        <v>36</v>
      </c>
      <c r="H6511" s="4" t="s">
        <v>36</v>
      </c>
      <c r="I6511" s="7" t="s">
        <v>36</v>
      </c>
      <c r="J6511" s="3" t="s">
        <v>36</v>
      </c>
      <c r="K6511" s="9" t="s">
        <v>36</v>
      </c>
      <c r="L6511" s="6" t="s">
        <v>36</v>
      </c>
      <c r="M6511" s="3" t="s">
        <v>36</v>
      </c>
      <c r="N6511" s="3" t="s">
        <v>36</v>
      </c>
      <c r="O6511" s="8" t="s">
        <v>36</v>
      </c>
      <c r="P6511" s="3" t="s">
        <v>36</v>
      </c>
      <c r="Q6511" s="3" t="s">
        <v>36</v>
      </c>
      <c r="R6511" s="3" t="s">
        <v>36</v>
      </c>
      <c r="S6511" s="3" t="s">
        <v>36</v>
      </c>
      <c r="T6511" s="3" t="s">
        <v>20587</v>
      </c>
      <c r="U6511" s="3" t="s">
        <v>74</v>
      </c>
      <c r="V6511" s="3" t="s">
        <v>75</v>
      </c>
      <c r="W6511" s="3" t="s">
        <v>20588</v>
      </c>
      <c r="X6511" s="10" t="s">
        <v>29559</v>
      </c>
      <c r="Y6511" s="6" t="s">
        <v>42</v>
      </c>
      <c r="Z6511" s="4">
        <v>1.12</v>
      </c>
      <c r="AA6511" s="4" t="s">
        <v>36</v>
      </c>
      <c r="AB6511" s="3" t="s">
        <v>43</v>
      </c>
      <c r="AC6511" s="3" t="s">
        <v>20590</v>
      </c>
      <c r="AD6511" s="9">
        <v>42644</v>
      </c>
      <c r="AE6511" s="3" t="s">
        <v>79</v>
      </c>
      <c r="AF6511" s="3" t="s">
        <v>3904</v>
      </c>
      <c r="AG6511" s="3" t="s">
        <v>186</v>
      </c>
      <c r="AH6511" s="11">
        <f>HYPERLINK("https://my.pitchbook.com?c=120047-86T","View Company Online")</f>
      </c>
    </row>
    <row r="6512">
      <c r="A6512" s="12" t="s">
        <v>29560</v>
      </c>
      <c r="B6512" s="12" t="s">
        <v>29561</v>
      </c>
      <c r="C6512" s="19" t="s">
        <v>36</v>
      </c>
      <c r="D6512" s="19" t="s">
        <v>36</v>
      </c>
      <c r="E6512" s="19" t="s">
        <v>36</v>
      </c>
      <c r="F6512" s="19" t="s">
        <v>36</v>
      </c>
      <c r="G6512" s="15" t="s">
        <v>36</v>
      </c>
      <c r="H6512" s="14" t="s">
        <v>36</v>
      </c>
      <c r="I6512" s="18" t="s">
        <v>36</v>
      </c>
      <c r="J6512" s="12" t="s">
        <v>36</v>
      </c>
      <c r="K6512" s="13" t="s">
        <v>36</v>
      </c>
      <c r="L6512" s="15" t="s">
        <v>36</v>
      </c>
      <c r="M6512" s="12" t="s">
        <v>36</v>
      </c>
      <c r="N6512" s="12" t="s">
        <v>36</v>
      </c>
      <c r="O6512" s="17" t="s">
        <v>36</v>
      </c>
      <c r="P6512" s="12" t="s">
        <v>36</v>
      </c>
      <c r="Q6512" s="12" t="s">
        <v>36</v>
      </c>
      <c r="R6512" s="12" t="s">
        <v>36</v>
      </c>
      <c r="S6512" s="12" t="s">
        <v>36</v>
      </c>
      <c r="T6512" s="12" t="s">
        <v>29562</v>
      </c>
      <c r="U6512" s="12" t="s">
        <v>1357</v>
      </c>
      <c r="V6512" s="12" t="s">
        <v>52</v>
      </c>
      <c r="W6512" s="12" t="s">
        <v>29563</v>
      </c>
      <c r="X6512" s="16" t="s">
        <v>9680</v>
      </c>
      <c r="Y6512" s="15" t="s">
        <v>42</v>
      </c>
      <c r="Z6512" s="14" t="s">
        <v>36</v>
      </c>
      <c r="AA6512" s="14" t="s">
        <v>36</v>
      </c>
      <c r="AB6512" s="12" t="s">
        <v>43</v>
      </c>
      <c r="AC6512" s="12" t="s">
        <v>29564</v>
      </c>
      <c r="AD6512" s="13">
        <v>42644</v>
      </c>
      <c r="AE6512" s="12" t="s">
        <v>2808</v>
      </c>
      <c r="AF6512" s="12" t="s">
        <v>7086</v>
      </c>
      <c r="AG6512" s="12" t="s">
        <v>47</v>
      </c>
      <c r="AH6512" s="1">
        <f>HYPERLINK("https://my.pitchbook.com?c=76837-33T","View Company Online")</f>
      </c>
    </row>
    <row r="6513">
      <c r="A6513" s="3" t="s">
        <v>29565</v>
      </c>
      <c r="B6513" s="3" t="s">
        <v>19233</v>
      </c>
      <c r="C6513" s="5" t="s">
        <v>36</v>
      </c>
      <c r="D6513" s="5" t="s">
        <v>36</v>
      </c>
      <c r="E6513" s="5" t="s">
        <v>36</v>
      </c>
      <c r="F6513" s="5" t="s">
        <v>36</v>
      </c>
      <c r="G6513" s="6" t="s">
        <v>36</v>
      </c>
      <c r="H6513" s="4">
        <v>138.47</v>
      </c>
      <c r="I6513" s="7">
        <v>28.57</v>
      </c>
      <c r="J6513" s="3" t="s">
        <v>521</v>
      </c>
      <c r="K6513" s="9" t="s">
        <v>36</v>
      </c>
      <c r="L6513" s="6" t="s">
        <v>36</v>
      </c>
      <c r="M6513" s="3" t="s">
        <v>36</v>
      </c>
      <c r="N6513" s="3" t="s">
        <v>36</v>
      </c>
      <c r="O6513" s="8" t="s">
        <v>36</v>
      </c>
      <c r="P6513" s="3" t="s">
        <v>36</v>
      </c>
      <c r="Q6513" s="3" t="s">
        <v>36</v>
      </c>
      <c r="R6513" s="3" t="s">
        <v>36</v>
      </c>
      <c r="S6513" s="3" t="s">
        <v>36</v>
      </c>
      <c r="T6513" s="3" t="s">
        <v>19234</v>
      </c>
      <c r="U6513" s="3" t="s">
        <v>289</v>
      </c>
      <c r="V6513" s="3" t="s">
        <v>64</v>
      </c>
      <c r="W6513" s="3" t="s">
        <v>19235</v>
      </c>
      <c r="X6513" s="10" t="s">
        <v>29566</v>
      </c>
      <c r="Y6513" s="6" t="s">
        <v>42</v>
      </c>
      <c r="Z6513" s="4">
        <v>0.9</v>
      </c>
      <c r="AA6513" s="4">
        <v>3.14</v>
      </c>
      <c r="AB6513" s="3" t="s">
        <v>56</v>
      </c>
      <c r="AC6513" s="3" t="s">
        <v>19236</v>
      </c>
      <c r="AD6513" s="9">
        <v>42644</v>
      </c>
      <c r="AE6513" s="3" t="s">
        <v>3134</v>
      </c>
      <c r="AF6513" s="3" t="s">
        <v>4397</v>
      </c>
      <c r="AG6513" s="3" t="s">
        <v>81</v>
      </c>
      <c r="AH6513" s="11">
        <f>HYPERLINK("https://my.pitchbook.com?c=122947-93T","View Company Online")</f>
      </c>
    </row>
    <row r="6514">
      <c r="A6514" s="12" t="s">
        <v>29567</v>
      </c>
      <c r="B6514" s="12" t="s">
        <v>28804</v>
      </c>
      <c r="C6514" s="19" t="s">
        <v>36</v>
      </c>
      <c r="D6514" s="19" t="s">
        <v>36</v>
      </c>
      <c r="E6514" s="19" t="s">
        <v>36</v>
      </c>
      <c r="F6514" s="19" t="s">
        <v>36</v>
      </c>
      <c r="G6514" s="15" t="s">
        <v>36</v>
      </c>
      <c r="H6514" s="14">
        <v>1065.74</v>
      </c>
      <c r="I6514" s="18">
        <v>13.04</v>
      </c>
      <c r="J6514" s="12" t="s">
        <v>327</v>
      </c>
      <c r="K6514" s="13" t="s">
        <v>36</v>
      </c>
      <c r="L6514" s="15" t="s">
        <v>36</v>
      </c>
      <c r="M6514" s="12" t="s">
        <v>36</v>
      </c>
      <c r="N6514" s="12" t="s">
        <v>36</v>
      </c>
      <c r="O6514" s="17" t="s">
        <v>36</v>
      </c>
      <c r="P6514" s="12" t="s">
        <v>36</v>
      </c>
      <c r="Q6514" s="12" t="s">
        <v>36</v>
      </c>
      <c r="R6514" s="12" t="s">
        <v>36</v>
      </c>
      <c r="S6514" s="12" t="s">
        <v>36</v>
      </c>
      <c r="T6514" s="12" t="s">
        <v>2044</v>
      </c>
      <c r="U6514" s="12" t="s">
        <v>74</v>
      </c>
      <c r="V6514" s="12" t="s">
        <v>75</v>
      </c>
      <c r="W6514" s="12" t="s">
        <v>28805</v>
      </c>
      <c r="X6514" s="16" t="s">
        <v>29568</v>
      </c>
      <c r="Y6514" s="15" t="s">
        <v>42</v>
      </c>
      <c r="Z6514" s="14">
        <v>2.24</v>
      </c>
      <c r="AA6514" s="14">
        <v>17.19</v>
      </c>
      <c r="AB6514" s="12" t="s">
        <v>56</v>
      </c>
      <c r="AC6514" s="12" t="s">
        <v>28807</v>
      </c>
      <c r="AD6514" s="13">
        <v>42643</v>
      </c>
      <c r="AE6514" s="12" t="s">
        <v>79</v>
      </c>
      <c r="AF6514" s="12" t="s">
        <v>19021</v>
      </c>
      <c r="AG6514" s="12" t="s">
        <v>81</v>
      </c>
      <c r="AH6514" s="1">
        <f>HYPERLINK("https://my.pitchbook.com?c=76847-68T","View Company Online")</f>
      </c>
    </row>
    <row r="6515">
      <c r="A6515" s="3" t="s">
        <v>29569</v>
      </c>
      <c r="B6515" s="3" t="s">
        <v>29570</v>
      </c>
      <c r="C6515" s="5" t="s">
        <v>36</v>
      </c>
      <c r="D6515" s="5" t="s">
        <v>36</v>
      </c>
      <c r="E6515" s="5" t="s">
        <v>36</v>
      </c>
      <c r="F6515" s="5" t="s">
        <v>36</v>
      </c>
      <c r="G6515" s="6" t="s">
        <v>36</v>
      </c>
      <c r="H6515" s="4">
        <v>103.86</v>
      </c>
      <c r="I6515" s="7">
        <v>6.6</v>
      </c>
      <c r="J6515" s="3" t="s">
        <v>521</v>
      </c>
      <c r="K6515" s="9" t="s">
        <v>36</v>
      </c>
      <c r="L6515" s="6" t="s">
        <v>36</v>
      </c>
      <c r="M6515" s="3" t="s">
        <v>36</v>
      </c>
      <c r="N6515" s="3" t="s">
        <v>36</v>
      </c>
      <c r="O6515" s="8" t="s">
        <v>36</v>
      </c>
      <c r="P6515" s="3" t="s">
        <v>36</v>
      </c>
      <c r="Q6515" s="3" t="s">
        <v>36</v>
      </c>
      <c r="R6515" s="3" t="s">
        <v>36</v>
      </c>
      <c r="S6515" s="3" t="s">
        <v>36</v>
      </c>
      <c r="T6515" s="3" t="s">
        <v>522</v>
      </c>
      <c r="U6515" s="3" t="s">
        <v>38</v>
      </c>
      <c r="V6515" s="3" t="s">
        <v>39</v>
      </c>
      <c r="W6515" s="3" t="s">
        <v>29571</v>
      </c>
      <c r="X6515" s="10" t="s">
        <v>221</v>
      </c>
      <c r="Y6515" s="6" t="s">
        <v>42</v>
      </c>
      <c r="Z6515" s="4">
        <v>0.08</v>
      </c>
      <c r="AA6515" s="4">
        <v>1.2</v>
      </c>
      <c r="AB6515" s="3" t="s">
        <v>43</v>
      </c>
      <c r="AC6515" s="3" t="s">
        <v>29572</v>
      </c>
      <c r="AD6515" s="9">
        <v>42643</v>
      </c>
      <c r="AE6515" s="3" t="s">
        <v>110</v>
      </c>
      <c r="AF6515" s="3" t="s">
        <v>1401</v>
      </c>
      <c r="AG6515" s="3" t="s">
        <v>1843</v>
      </c>
      <c r="AH6515" s="11">
        <f>HYPERLINK("https://my.pitchbook.com?c=135251-02T","View Company Online")</f>
      </c>
    </row>
    <row r="6516">
      <c r="A6516" s="12" t="s">
        <v>29573</v>
      </c>
      <c r="B6516" s="12" t="s">
        <v>9051</v>
      </c>
      <c r="C6516" s="19" t="s">
        <v>36</v>
      </c>
      <c r="D6516" s="19" t="s">
        <v>36</v>
      </c>
      <c r="E6516" s="19" t="s">
        <v>36</v>
      </c>
      <c r="F6516" s="19" t="s">
        <v>36</v>
      </c>
      <c r="G6516" s="15" t="s">
        <v>36</v>
      </c>
      <c r="H6516" s="14">
        <v>122.55</v>
      </c>
      <c r="I6516" s="18">
        <v>5.57</v>
      </c>
      <c r="J6516" s="12" t="s">
        <v>521</v>
      </c>
      <c r="K6516" s="13" t="s">
        <v>36</v>
      </c>
      <c r="L6516" s="15" t="s">
        <v>36</v>
      </c>
      <c r="M6516" s="12" t="s">
        <v>36</v>
      </c>
      <c r="N6516" s="12" t="s">
        <v>36</v>
      </c>
      <c r="O6516" s="17" t="s">
        <v>36</v>
      </c>
      <c r="P6516" s="12" t="s">
        <v>36</v>
      </c>
      <c r="Q6516" s="12" t="s">
        <v>36</v>
      </c>
      <c r="R6516" s="12" t="s">
        <v>36</v>
      </c>
      <c r="S6516" s="12" t="s">
        <v>36</v>
      </c>
      <c r="T6516" s="12" t="s">
        <v>1701</v>
      </c>
      <c r="U6516" s="12" t="s">
        <v>74</v>
      </c>
      <c r="V6516" s="12" t="s">
        <v>75</v>
      </c>
      <c r="W6516" s="12" t="s">
        <v>9052</v>
      </c>
      <c r="X6516" s="16" t="s">
        <v>29574</v>
      </c>
      <c r="Y6516" s="15" t="s">
        <v>108</v>
      </c>
      <c r="Z6516" s="14">
        <v>0.52</v>
      </c>
      <c r="AA6516" s="14">
        <v>9.32</v>
      </c>
      <c r="AB6516" s="12" t="s">
        <v>43</v>
      </c>
      <c r="AC6516" s="12" t="s">
        <v>9054</v>
      </c>
      <c r="AD6516" s="13">
        <v>42643</v>
      </c>
      <c r="AE6516" s="12" t="s">
        <v>79</v>
      </c>
      <c r="AF6516" s="12" t="s">
        <v>6214</v>
      </c>
      <c r="AG6516" s="12" t="s">
        <v>47</v>
      </c>
      <c r="AH6516" s="1">
        <f>HYPERLINK("https://my.pitchbook.com?c=190276-57T","View Company Online")</f>
      </c>
    </row>
    <row r="6517">
      <c r="A6517" s="3" t="s">
        <v>29575</v>
      </c>
      <c r="B6517" s="3" t="s">
        <v>15283</v>
      </c>
      <c r="C6517" s="5">
        <v>1</v>
      </c>
      <c r="D6517" s="5">
        <v>14</v>
      </c>
      <c r="E6517" s="5">
        <v>11</v>
      </c>
      <c r="F6517" s="5">
        <v>28</v>
      </c>
      <c r="G6517" s="6" t="s">
        <v>36</v>
      </c>
      <c r="H6517" s="4" t="s">
        <v>36</v>
      </c>
      <c r="I6517" s="7" t="s">
        <v>36</v>
      </c>
      <c r="J6517" s="3" t="s">
        <v>36</v>
      </c>
      <c r="K6517" s="9" t="s">
        <v>36</v>
      </c>
      <c r="L6517" s="6" t="s">
        <v>1279</v>
      </c>
      <c r="M6517" s="3" t="s">
        <v>36</v>
      </c>
      <c r="N6517" s="3" t="s">
        <v>1279</v>
      </c>
      <c r="O6517" s="8" t="s">
        <v>36</v>
      </c>
      <c r="P6517" s="3" t="s">
        <v>36</v>
      </c>
      <c r="Q6517" s="3" t="s">
        <v>36</v>
      </c>
      <c r="R6517" s="3" t="s">
        <v>36</v>
      </c>
      <c r="S6517" s="3" t="s">
        <v>36</v>
      </c>
      <c r="T6517" s="3" t="s">
        <v>15284</v>
      </c>
      <c r="U6517" s="3" t="s">
        <v>96</v>
      </c>
      <c r="V6517" s="3" t="s">
        <v>52</v>
      </c>
      <c r="W6517" s="3" t="s">
        <v>15285</v>
      </c>
      <c r="X6517" s="10" t="s">
        <v>29576</v>
      </c>
      <c r="Y6517" s="6" t="s">
        <v>192</v>
      </c>
      <c r="Z6517" s="4" t="s">
        <v>36</v>
      </c>
      <c r="AA6517" s="4" t="s">
        <v>36</v>
      </c>
      <c r="AB6517" s="3" t="s">
        <v>56</v>
      </c>
      <c r="AC6517" s="3" t="s">
        <v>15287</v>
      </c>
      <c r="AD6517" s="9">
        <v>42642</v>
      </c>
      <c r="AE6517" s="3" t="s">
        <v>143</v>
      </c>
      <c r="AF6517" s="3" t="s">
        <v>5170</v>
      </c>
      <c r="AG6517" s="3" t="s">
        <v>81</v>
      </c>
      <c r="AH6517" s="11">
        <f>HYPERLINK("https://my.pitchbook.com?c=192803-50T","View Company Online")</f>
      </c>
    </row>
    <row r="6518">
      <c r="A6518" s="12" t="s">
        <v>29577</v>
      </c>
      <c r="B6518" s="12" t="s">
        <v>14461</v>
      </c>
      <c r="C6518" s="19" t="s">
        <v>36</v>
      </c>
      <c r="D6518" s="19" t="s">
        <v>36</v>
      </c>
      <c r="E6518" s="19" t="s">
        <v>36</v>
      </c>
      <c r="F6518" s="19" t="s">
        <v>36</v>
      </c>
      <c r="G6518" s="15" t="s">
        <v>326</v>
      </c>
      <c r="H6518" s="14">
        <v>25.36</v>
      </c>
      <c r="I6518" s="18">
        <v>35.88</v>
      </c>
      <c r="J6518" s="12" t="s">
        <v>521</v>
      </c>
      <c r="K6518" s="13">
        <v>42582</v>
      </c>
      <c r="L6518" s="15" t="s">
        <v>36</v>
      </c>
      <c r="M6518" s="12" t="s">
        <v>36</v>
      </c>
      <c r="N6518" s="12" t="s">
        <v>36</v>
      </c>
      <c r="O6518" s="17" t="s">
        <v>36</v>
      </c>
      <c r="P6518" s="12" t="s">
        <v>36</v>
      </c>
      <c r="Q6518" s="12" t="s">
        <v>36</v>
      </c>
      <c r="R6518" s="12" t="s">
        <v>36</v>
      </c>
      <c r="S6518" s="12" t="s">
        <v>36</v>
      </c>
      <c r="T6518" s="12" t="s">
        <v>2308</v>
      </c>
      <c r="U6518" s="12" t="s">
        <v>38</v>
      </c>
      <c r="V6518" s="12" t="s">
        <v>39</v>
      </c>
      <c r="W6518" s="12" t="s">
        <v>14462</v>
      </c>
      <c r="X6518" s="16" t="s">
        <v>29578</v>
      </c>
      <c r="Y6518" s="15" t="s">
        <v>108</v>
      </c>
      <c r="Z6518" s="14">
        <v>7.84</v>
      </c>
      <c r="AA6518" s="14">
        <v>21.86</v>
      </c>
      <c r="AB6518" s="12" t="s">
        <v>43</v>
      </c>
      <c r="AC6518" s="12" t="s">
        <v>14464</v>
      </c>
      <c r="AD6518" s="13">
        <v>42641</v>
      </c>
      <c r="AE6518" s="12" t="s">
        <v>45</v>
      </c>
      <c r="AF6518" s="12" t="s">
        <v>14465</v>
      </c>
      <c r="AG6518" s="12" t="s">
        <v>81</v>
      </c>
      <c r="AH6518" s="1">
        <f>HYPERLINK("https://my.pitchbook.com?c=76399-66T","View Company Online")</f>
      </c>
    </row>
    <row r="6519">
      <c r="A6519" s="3" t="s">
        <v>29579</v>
      </c>
      <c r="B6519" s="3" t="s">
        <v>8729</v>
      </c>
      <c r="C6519" s="5">
        <v>2</v>
      </c>
      <c r="D6519" s="5" t="s">
        <v>36</v>
      </c>
      <c r="E6519" s="5">
        <v>1</v>
      </c>
      <c r="F6519" s="5">
        <v>2</v>
      </c>
      <c r="G6519" s="6" t="s">
        <v>326</v>
      </c>
      <c r="H6519" s="4">
        <v>18.11</v>
      </c>
      <c r="I6519" s="7">
        <v>33.99</v>
      </c>
      <c r="J6519" s="3" t="s">
        <v>521</v>
      </c>
      <c r="K6519" s="9" t="s">
        <v>36</v>
      </c>
      <c r="L6519" s="6" t="s">
        <v>122</v>
      </c>
      <c r="M6519" s="3" t="s">
        <v>36</v>
      </c>
      <c r="N6519" s="3" t="s">
        <v>122</v>
      </c>
      <c r="O6519" s="8" t="s">
        <v>36</v>
      </c>
      <c r="P6519" s="3" t="s">
        <v>36</v>
      </c>
      <c r="Q6519" s="3" t="s">
        <v>36</v>
      </c>
      <c r="R6519" s="3" t="s">
        <v>36</v>
      </c>
      <c r="S6519" s="3" t="s">
        <v>36</v>
      </c>
      <c r="T6519" s="3" t="s">
        <v>1397</v>
      </c>
      <c r="U6519" s="3" t="s">
        <v>38</v>
      </c>
      <c r="V6519" s="3" t="s">
        <v>39</v>
      </c>
      <c r="W6519" s="3" t="s">
        <v>8730</v>
      </c>
      <c r="X6519" s="10" t="s">
        <v>29580</v>
      </c>
      <c r="Y6519" s="6" t="s">
        <v>108</v>
      </c>
      <c r="Z6519" s="4">
        <v>5.6</v>
      </c>
      <c r="AA6519" s="4">
        <v>10.18</v>
      </c>
      <c r="AB6519" s="3" t="s">
        <v>56</v>
      </c>
      <c r="AC6519" s="3" t="s">
        <v>8732</v>
      </c>
      <c r="AD6519" s="9">
        <v>42640</v>
      </c>
      <c r="AE6519" s="3" t="s">
        <v>110</v>
      </c>
      <c r="AF6519" s="3" t="s">
        <v>1842</v>
      </c>
      <c r="AG6519" s="3" t="s">
        <v>1525</v>
      </c>
      <c r="AH6519" s="11">
        <f>HYPERLINK("https://my.pitchbook.com?c=76334-32T","View Company Online")</f>
      </c>
    </row>
    <row r="6520">
      <c r="A6520" s="12" t="s">
        <v>29581</v>
      </c>
      <c r="B6520" s="12" t="s">
        <v>16642</v>
      </c>
      <c r="C6520" s="19">
        <v>9</v>
      </c>
      <c r="D6520" s="19">
        <v>12</v>
      </c>
      <c r="E6520" s="19">
        <v>10</v>
      </c>
      <c r="F6520" s="19">
        <v>23</v>
      </c>
      <c r="G6520" s="15" t="s">
        <v>36</v>
      </c>
      <c r="H6520" s="14">
        <v>23.58</v>
      </c>
      <c r="I6520" s="18">
        <v>29.5</v>
      </c>
      <c r="J6520" s="12" t="s">
        <v>521</v>
      </c>
      <c r="K6520" s="13" t="s">
        <v>36</v>
      </c>
      <c r="L6520" s="15" t="s">
        <v>36</v>
      </c>
      <c r="M6520" s="12" t="s">
        <v>36</v>
      </c>
      <c r="N6520" s="12" t="s">
        <v>36</v>
      </c>
      <c r="O6520" s="17" t="s">
        <v>36</v>
      </c>
      <c r="P6520" s="12" t="s">
        <v>36</v>
      </c>
      <c r="Q6520" s="12" t="s">
        <v>36</v>
      </c>
      <c r="R6520" s="12" t="s">
        <v>36</v>
      </c>
      <c r="S6520" s="12" t="s">
        <v>36</v>
      </c>
      <c r="T6520" s="12" t="s">
        <v>16643</v>
      </c>
      <c r="U6520" s="12" t="s">
        <v>387</v>
      </c>
      <c r="V6520" s="12" t="s">
        <v>367</v>
      </c>
      <c r="W6520" s="12" t="s">
        <v>16644</v>
      </c>
      <c r="X6520" s="16" t="s">
        <v>29582</v>
      </c>
      <c r="Y6520" s="15" t="s">
        <v>42</v>
      </c>
      <c r="Z6520" s="14">
        <v>1.62</v>
      </c>
      <c r="AA6520" s="14">
        <v>5.5</v>
      </c>
      <c r="AB6520" s="12" t="s">
        <v>56</v>
      </c>
      <c r="AC6520" s="12" t="s">
        <v>16646</v>
      </c>
      <c r="AD6520" s="13">
        <v>42640</v>
      </c>
      <c r="AE6520" s="12" t="s">
        <v>391</v>
      </c>
      <c r="AF6520" s="12" t="s">
        <v>16647</v>
      </c>
      <c r="AG6520" s="12" t="s">
        <v>16648</v>
      </c>
      <c r="AH6520" s="1">
        <f>HYPERLINK("https://my.pitchbook.com?c=88135-39T","View Company Online")</f>
      </c>
    </row>
    <row r="6521">
      <c r="A6521" s="3" t="s">
        <v>29583</v>
      </c>
      <c r="B6521" s="3" t="s">
        <v>4119</v>
      </c>
      <c r="C6521" s="5">
        <v>10</v>
      </c>
      <c r="D6521" s="5">
        <v>14</v>
      </c>
      <c r="E6521" s="5">
        <v>5</v>
      </c>
      <c r="F6521" s="5">
        <v>27</v>
      </c>
      <c r="G6521" s="6" t="s">
        <v>326</v>
      </c>
      <c r="H6521" s="4">
        <v>20.77</v>
      </c>
      <c r="I6521" s="7">
        <v>63.76</v>
      </c>
      <c r="J6521" s="3" t="s">
        <v>521</v>
      </c>
      <c r="K6521" s="9">
        <v>42286</v>
      </c>
      <c r="L6521" s="6" t="s">
        <v>122</v>
      </c>
      <c r="M6521" s="3" t="s">
        <v>36</v>
      </c>
      <c r="N6521" s="3" t="s">
        <v>122</v>
      </c>
      <c r="O6521" s="8" t="s">
        <v>36</v>
      </c>
      <c r="P6521" s="3" t="s">
        <v>36</v>
      </c>
      <c r="Q6521" s="3" t="s">
        <v>36</v>
      </c>
      <c r="R6521" s="3" t="s">
        <v>36</v>
      </c>
      <c r="S6521" s="3" t="s">
        <v>36</v>
      </c>
      <c r="T6521" s="3" t="s">
        <v>881</v>
      </c>
      <c r="U6521" s="3" t="s">
        <v>51</v>
      </c>
      <c r="V6521" s="3" t="s">
        <v>52</v>
      </c>
      <c r="W6521" s="3" t="s">
        <v>4120</v>
      </c>
      <c r="X6521" s="10" t="s">
        <v>29584</v>
      </c>
      <c r="Y6521" s="6" t="s">
        <v>108</v>
      </c>
      <c r="Z6521" s="4">
        <v>10.08</v>
      </c>
      <c r="AA6521" s="4">
        <v>14.84</v>
      </c>
      <c r="AB6521" s="3" t="s">
        <v>56</v>
      </c>
      <c r="AC6521" s="3" t="s">
        <v>4122</v>
      </c>
      <c r="AD6521" s="9">
        <v>42640</v>
      </c>
      <c r="AE6521" s="3" t="s">
        <v>504</v>
      </c>
      <c r="AF6521" s="3" t="s">
        <v>159</v>
      </c>
      <c r="AG6521" s="3" t="s">
        <v>81</v>
      </c>
      <c r="AH6521" s="11">
        <f>HYPERLINK("https://my.pitchbook.com?c=75670-57T","View Company Online")</f>
      </c>
    </row>
    <row r="6522">
      <c r="A6522" s="12" t="s">
        <v>29585</v>
      </c>
      <c r="B6522" s="12" t="s">
        <v>29586</v>
      </c>
      <c r="C6522" s="19" t="s">
        <v>36</v>
      </c>
      <c r="D6522" s="19" t="s">
        <v>36</v>
      </c>
      <c r="E6522" s="19" t="s">
        <v>36</v>
      </c>
      <c r="F6522" s="19" t="s">
        <v>36</v>
      </c>
      <c r="G6522" s="15" t="s">
        <v>36</v>
      </c>
      <c r="H6522" s="14">
        <v>5.74</v>
      </c>
      <c r="I6522" s="18">
        <v>13.54</v>
      </c>
      <c r="J6522" s="12" t="s">
        <v>521</v>
      </c>
      <c r="K6522" s="13" t="s">
        <v>36</v>
      </c>
      <c r="L6522" s="15" t="s">
        <v>36</v>
      </c>
      <c r="M6522" s="12" t="s">
        <v>36</v>
      </c>
      <c r="N6522" s="12" t="s">
        <v>36</v>
      </c>
      <c r="O6522" s="17" t="s">
        <v>36</v>
      </c>
      <c r="P6522" s="12" t="s">
        <v>36</v>
      </c>
      <c r="Q6522" s="12" t="s">
        <v>36</v>
      </c>
      <c r="R6522" s="12" t="s">
        <v>36</v>
      </c>
      <c r="S6522" s="12" t="s">
        <v>36</v>
      </c>
      <c r="T6522" s="12" t="s">
        <v>6159</v>
      </c>
      <c r="U6522" s="12" t="s">
        <v>648</v>
      </c>
      <c r="V6522" s="12" t="s">
        <v>64</v>
      </c>
      <c r="W6522" s="12" t="s">
        <v>29587</v>
      </c>
      <c r="X6522" s="16" t="s">
        <v>29588</v>
      </c>
      <c r="Y6522" s="15" t="s">
        <v>42</v>
      </c>
      <c r="Z6522" s="14">
        <v>3.02</v>
      </c>
      <c r="AA6522" s="14">
        <v>22.34</v>
      </c>
      <c r="AB6522" s="12" t="s">
        <v>56</v>
      </c>
      <c r="AC6522" s="12" t="s">
        <v>29589</v>
      </c>
      <c r="AD6522" s="13">
        <v>42639</v>
      </c>
      <c r="AE6522" s="12" t="s">
        <v>3988</v>
      </c>
      <c r="AF6522" s="12" t="s">
        <v>36</v>
      </c>
      <c r="AG6522" s="12" t="s">
        <v>81</v>
      </c>
      <c r="AH6522" s="1">
        <f>HYPERLINK("https://my.pitchbook.com?c=76703-32T","View Company Online")</f>
      </c>
    </row>
    <row r="6523">
      <c r="A6523" s="3" t="s">
        <v>29590</v>
      </c>
      <c r="B6523" s="3" t="s">
        <v>4243</v>
      </c>
      <c r="C6523" s="5">
        <v>31</v>
      </c>
      <c r="D6523" s="5">
        <v>81</v>
      </c>
      <c r="E6523" s="5">
        <v>43</v>
      </c>
      <c r="F6523" s="5">
        <v>136</v>
      </c>
      <c r="G6523" s="6" t="s">
        <v>36</v>
      </c>
      <c r="H6523" s="4">
        <v>2.34</v>
      </c>
      <c r="I6523" s="7">
        <v>17.5</v>
      </c>
      <c r="J6523" s="3" t="s">
        <v>327</v>
      </c>
      <c r="K6523" s="9" t="s">
        <v>36</v>
      </c>
      <c r="L6523" s="6" t="s">
        <v>36</v>
      </c>
      <c r="M6523" s="3" t="s">
        <v>36</v>
      </c>
      <c r="N6523" s="3" t="s">
        <v>36</v>
      </c>
      <c r="O6523" s="8" t="s">
        <v>36</v>
      </c>
      <c r="P6523" s="3" t="s">
        <v>36</v>
      </c>
      <c r="Q6523" s="3" t="s">
        <v>36</v>
      </c>
      <c r="R6523" s="3" t="s">
        <v>36</v>
      </c>
      <c r="S6523" s="3" t="s">
        <v>36</v>
      </c>
      <c r="T6523" s="3" t="s">
        <v>4244</v>
      </c>
      <c r="U6523" s="3" t="s">
        <v>1798</v>
      </c>
      <c r="V6523" s="3" t="s">
        <v>39</v>
      </c>
      <c r="W6523" s="3" t="s">
        <v>4245</v>
      </c>
      <c r="X6523" s="10" t="s">
        <v>29591</v>
      </c>
      <c r="Y6523" s="6" t="s">
        <v>42</v>
      </c>
      <c r="Z6523" s="4">
        <v>3.92</v>
      </c>
      <c r="AA6523" s="4">
        <v>22.4</v>
      </c>
      <c r="AB6523" s="3" t="s">
        <v>56</v>
      </c>
      <c r="AC6523" s="3" t="s">
        <v>4246</v>
      </c>
      <c r="AD6523" s="9">
        <v>42639</v>
      </c>
      <c r="AE6523" s="3" t="s">
        <v>4247</v>
      </c>
      <c r="AF6523" s="3" t="s">
        <v>4248</v>
      </c>
      <c r="AG6523" s="3" t="s">
        <v>4249</v>
      </c>
      <c r="AH6523" s="11">
        <f>HYPERLINK("https://my.pitchbook.com?c=76380-76T","View Company Online")</f>
      </c>
    </row>
    <row r="6524">
      <c r="A6524" s="12" t="s">
        <v>29592</v>
      </c>
      <c r="B6524" s="12" t="s">
        <v>29593</v>
      </c>
      <c r="C6524" s="19" t="s">
        <v>36</v>
      </c>
      <c r="D6524" s="19" t="s">
        <v>36</v>
      </c>
      <c r="E6524" s="19" t="s">
        <v>36</v>
      </c>
      <c r="F6524" s="19" t="s">
        <v>36</v>
      </c>
      <c r="G6524" s="15" t="s">
        <v>2497</v>
      </c>
      <c r="H6524" s="14">
        <v>5.52</v>
      </c>
      <c r="I6524" s="18">
        <v>28.65</v>
      </c>
      <c r="J6524" s="12" t="s">
        <v>521</v>
      </c>
      <c r="K6524" s="13" t="s">
        <v>36</v>
      </c>
      <c r="L6524" s="15" t="s">
        <v>36</v>
      </c>
      <c r="M6524" s="12" t="s">
        <v>36</v>
      </c>
      <c r="N6524" s="12" t="s">
        <v>36</v>
      </c>
      <c r="O6524" s="17" t="s">
        <v>36</v>
      </c>
      <c r="P6524" s="12" t="s">
        <v>36</v>
      </c>
      <c r="Q6524" s="12" t="s">
        <v>36</v>
      </c>
      <c r="R6524" s="12" t="s">
        <v>36</v>
      </c>
      <c r="S6524" s="12" t="s">
        <v>36</v>
      </c>
      <c r="T6524" s="12" t="s">
        <v>7207</v>
      </c>
      <c r="U6524" s="12" t="s">
        <v>404</v>
      </c>
      <c r="V6524" s="12" t="s">
        <v>405</v>
      </c>
      <c r="W6524" s="12" t="s">
        <v>29594</v>
      </c>
      <c r="X6524" s="16" t="s">
        <v>29595</v>
      </c>
      <c r="Y6524" s="15" t="s">
        <v>1067</v>
      </c>
      <c r="Z6524" s="14">
        <v>2.24</v>
      </c>
      <c r="AA6524" s="14">
        <v>7.82</v>
      </c>
      <c r="AB6524" s="12" t="s">
        <v>56</v>
      </c>
      <c r="AC6524" s="12" t="s">
        <v>29596</v>
      </c>
      <c r="AD6524" s="13">
        <v>42639</v>
      </c>
      <c r="AE6524" s="12" t="s">
        <v>3608</v>
      </c>
      <c r="AF6524" s="12" t="s">
        <v>1257</v>
      </c>
      <c r="AG6524" s="12" t="s">
        <v>47</v>
      </c>
      <c r="AH6524" s="1">
        <f>HYPERLINK("https://my.pitchbook.com?c=86633-38T","View Company Online")</f>
      </c>
    </row>
    <row r="6525">
      <c r="A6525" s="3" t="s">
        <v>29597</v>
      </c>
      <c r="B6525" s="3" t="s">
        <v>29598</v>
      </c>
      <c r="C6525" s="5" t="s">
        <v>36</v>
      </c>
      <c r="D6525" s="5" t="s">
        <v>36</v>
      </c>
      <c r="E6525" s="5" t="s">
        <v>36</v>
      </c>
      <c r="F6525" s="5" t="s">
        <v>36</v>
      </c>
      <c r="G6525" s="6" t="s">
        <v>326</v>
      </c>
      <c r="H6525" s="4">
        <v>11.28</v>
      </c>
      <c r="I6525" s="7">
        <v>24.95</v>
      </c>
      <c r="J6525" s="3" t="s">
        <v>521</v>
      </c>
      <c r="K6525" s="9" t="s">
        <v>36</v>
      </c>
      <c r="L6525" s="6" t="s">
        <v>94</v>
      </c>
      <c r="M6525" s="3" t="s">
        <v>36</v>
      </c>
      <c r="N6525" s="3" t="s">
        <v>94</v>
      </c>
      <c r="O6525" s="8" t="s">
        <v>36</v>
      </c>
      <c r="P6525" s="3" t="s">
        <v>36</v>
      </c>
      <c r="Q6525" s="3" t="s">
        <v>36</v>
      </c>
      <c r="R6525" s="3" t="s">
        <v>36</v>
      </c>
      <c r="S6525" s="3" t="s">
        <v>36</v>
      </c>
      <c r="T6525" s="3" t="s">
        <v>684</v>
      </c>
      <c r="U6525" s="3" t="s">
        <v>38</v>
      </c>
      <c r="V6525" s="3" t="s">
        <v>39</v>
      </c>
      <c r="W6525" s="3" t="s">
        <v>29599</v>
      </c>
      <c r="X6525" s="10" t="s">
        <v>29600</v>
      </c>
      <c r="Y6525" s="6" t="s">
        <v>108</v>
      </c>
      <c r="Z6525" s="4">
        <v>21.73</v>
      </c>
      <c r="AA6525" s="4">
        <v>87.12</v>
      </c>
      <c r="AB6525" s="3" t="s">
        <v>56</v>
      </c>
      <c r="AC6525" s="3" t="s">
        <v>29601</v>
      </c>
      <c r="AD6525" s="9">
        <v>42639</v>
      </c>
      <c r="AE6525" s="3" t="s">
        <v>688</v>
      </c>
      <c r="AF6525" s="3" t="s">
        <v>1077</v>
      </c>
      <c r="AG6525" s="3" t="s">
        <v>81</v>
      </c>
      <c r="AH6525" s="11">
        <f>HYPERLINK("https://my.pitchbook.com?c=76242-61T","View Company Online")</f>
      </c>
    </row>
    <row r="6526">
      <c r="A6526" s="12" t="s">
        <v>29602</v>
      </c>
      <c r="B6526" s="12" t="s">
        <v>12387</v>
      </c>
      <c r="C6526" s="19">
        <v>3</v>
      </c>
      <c r="D6526" s="19">
        <v>15</v>
      </c>
      <c r="E6526" s="19">
        <v>6</v>
      </c>
      <c r="F6526" s="19">
        <v>27</v>
      </c>
      <c r="G6526" s="15" t="s">
        <v>326</v>
      </c>
      <c r="H6526" s="14">
        <v>13.92</v>
      </c>
      <c r="I6526" s="18">
        <v>27.54</v>
      </c>
      <c r="J6526" s="12" t="s">
        <v>521</v>
      </c>
      <c r="K6526" s="13" t="s">
        <v>36</v>
      </c>
      <c r="L6526" s="15" t="s">
        <v>36</v>
      </c>
      <c r="M6526" s="12" t="s">
        <v>36</v>
      </c>
      <c r="N6526" s="12" t="s">
        <v>36</v>
      </c>
      <c r="O6526" s="17" t="s">
        <v>36</v>
      </c>
      <c r="P6526" s="12" t="s">
        <v>36</v>
      </c>
      <c r="Q6526" s="12" t="s">
        <v>36</v>
      </c>
      <c r="R6526" s="12" t="s">
        <v>36</v>
      </c>
      <c r="S6526" s="12" t="s">
        <v>36</v>
      </c>
      <c r="T6526" s="12" t="s">
        <v>12388</v>
      </c>
      <c r="U6526" s="12" t="s">
        <v>96</v>
      </c>
      <c r="V6526" s="12" t="s">
        <v>52</v>
      </c>
      <c r="W6526" s="12" t="s">
        <v>12389</v>
      </c>
      <c r="X6526" s="16" t="s">
        <v>29603</v>
      </c>
      <c r="Y6526" s="15" t="s">
        <v>108</v>
      </c>
      <c r="Z6526" s="14">
        <v>7.28</v>
      </c>
      <c r="AA6526" s="14">
        <v>15.05</v>
      </c>
      <c r="AB6526" s="12" t="s">
        <v>56</v>
      </c>
      <c r="AC6526" s="12" t="s">
        <v>12391</v>
      </c>
      <c r="AD6526" s="13">
        <v>42636</v>
      </c>
      <c r="AE6526" s="12" t="s">
        <v>12392</v>
      </c>
      <c r="AF6526" s="12" t="s">
        <v>36</v>
      </c>
      <c r="AG6526" s="12" t="s">
        <v>47</v>
      </c>
      <c r="AH6526" s="1">
        <f>HYPERLINK("https://my.pitchbook.com?c=130127-41T","View Company Online")</f>
      </c>
    </row>
    <row r="6527">
      <c r="A6527" s="3" t="s">
        <v>29604</v>
      </c>
      <c r="B6527" s="3" t="s">
        <v>11366</v>
      </c>
      <c r="C6527" s="5" t="s">
        <v>36</v>
      </c>
      <c r="D6527" s="5" t="s">
        <v>36</v>
      </c>
      <c r="E6527" s="5" t="s">
        <v>36</v>
      </c>
      <c r="F6527" s="5" t="s">
        <v>36</v>
      </c>
      <c r="G6527" s="6" t="s">
        <v>683</v>
      </c>
      <c r="H6527" s="4">
        <v>166.17</v>
      </c>
      <c r="I6527" s="7">
        <v>39.35</v>
      </c>
      <c r="J6527" s="3" t="s">
        <v>521</v>
      </c>
      <c r="K6527" s="9" t="s">
        <v>36</v>
      </c>
      <c r="L6527" s="6" t="s">
        <v>36</v>
      </c>
      <c r="M6527" s="3" t="s">
        <v>36</v>
      </c>
      <c r="N6527" s="3" t="s">
        <v>36</v>
      </c>
      <c r="O6527" s="8" t="s">
        <v>36</v>
      </c>
      <c r="P6527" s="3" t="s">
        <v>36</v>
      </c>
      <c r="Q6527" s="3" t="s">
        <v>36</v>
      </c>
      <c r="R6527" s="3" t="s">
        <v>36</v>
      </c>
      <c r="S6527" s="3" t="s">
        <v>36</v>
      </c>
      <c r="T6527" s="3" t="s">
        <v>6694</v>
      </c>
      <c r="U6527" s="3" t="s">
        <v>728</v>
      </c>
      <c r="V6527" s="3" t="s">
        <v>64</v>
      </c>
      <c r="W6527" s="3" t="s">
        <v>11367</v>
      </c>
      <c r="X6527" s="10" t="s">
        <v>1840</v>
      </c>
      <c r="Y6527" s="6" t="s">
        <v>42</v>
      </c>
      <c r="Z6527" s="4">
        <v>0.63</v>
      </c>
      <c r="AA6527" s="4">
        <v>1.59</v>
      </c>
      <c r="AB6527" s="3" t="s">
        <v>43</v>
      </c>
      <c r="AC6527" s="3" t="s">
        <v>11369</v>
      </c>
      <c r="AD6527" s="9">
        <v>42636</v>
      </c>
      <c r="AE6527" s="3" t="s">
        <v>2154</v>
      </c>
      <c r="AF6527" s="3" t="s">
        <v>90</v>
      </c>
      <c r="AG6527" s="3" t="s">
        <v>81</v>
      </c>
      <c r="AH6527" s="11">
        <f>HYPERLINK("https://my.pitchbook.com?c=201927-25T","View Company Online")</f>
      </c>
    </row>
    <row r="6528">
      <c r="A6528" s="12" t="s">
        <v>29605</v>
      </c>
      <c r="B6528" s="12" t="s">
        <v>1334</v>
      </c>
      <c r="C6528" s="19">
        <v>3</v>
      </c>
      <c r="D6528" s="19">
        <v>8</v>
      </c>
      <c r="E6528" s="19">
        <v>3</v>
      </c>
      <c r="F6528" s="19">
        <v>11</v>
      </c>
      <c r="G6528" s="15" t="s">
        <v>36</v>
      </c>
      <c r="H6528" s="14">
        <v>35.93</v>
      </c>
      <c r="I6528" s="18">
        <v>24.99</v>
      </c>
      <c r="J6528" s="12" t="s">
        <v>521</v>
      </c>
      <c r="K6528" s="13" t="s">
        <v>36</v>
      </c>
      <c r="L6528" s="15" t="s">
        <v>36</v>
      </c>
      <c r="M6528" s="12" t="s">
        <v>36</v>
      </c>
      <c r="N6528" s="12" t="s">
        <v>36</v>
      </c>
      <c r="O6528" s="17" t="s">
        <v>36</v>
      </c>
      <c r="P6528" s="12" t="s">
        <v>36</v>
      </c>
      <c r="Q6528" s="12" t="s">
        <v>36</v>
      </c>
      <c r="R6528" s="12" t="s">
        <v>36</v>
      </c>
      <c r="S6528" s="12" t="s">
        <v>595</v>
      </c>
      <c r="T6528" s="12" t="s">
        <v>1335</v>
      </c>
      <c r="U6528" s="12" t="s">
        <v>1336</v>
      </c>
      <c r="V6528" s="12" t="s">
        <v>367</v>
      </c>
      <c r="W6528" s="12" t="s">
        <v>1337</v>
      </c>
      <c r="X6528" s="16" t="s">
        <v>29606</v>
      </c>
      <c r="Y6528" s="15" t="s">
        <v>108</v>
      </c>
      <c r="Z6528" s="14">
        <v>0.9</v>
      </c>
      <c r="AA6528" s="14">
        <v>3.59</v>
      </c>
      <c r="AB6528" s="12" t="s">
        <v>56</v>
      </c>
      <c r="AC6528" s="12" t="s">
        <v>1338</v>
      </c>
      <c r="AD6528" s="13">
        <v>42635</v>
      </c>
      <c r="AE6528" s="12" t="s">
        <v>1339</v>
      </c>
      <c r="AF6528" s="12" t="s">
        <v>1340</v>
      </c>
      <c r="AG6528" s="12" t="s">
        <v>1341</v>
      </c>
      <c r="AH6528" s="1">
        <f>HYPERLINK("https://my.pitchbook.com?c=81354-52T","View Company Online")</f>
      </c>
    </row>
    <row r="6529">
      <c r="A6529" s="3" t="s">
        <v>29607</v>
      </c>
      <c r="B6529" s="3" t="s">
        <v>24825</v>
      </c>
      <c r="C6529" s="5" t="s">
        <v>36</v>
      </c>
      <c r="D6529" s="5" t="s">
        <v>36</v>
      </c>
      <c r="E6529" s="5" t="s">
        <v>36</v>
      </c>
      <c r="F6529" s="5" t="s">
        <v>36</v>
      </c>
      <c r="G6529" s="6" t="s">
        <v>36</v>
      </c>
      <c r="H6529" s="4">
        <v>270.03</v>
      </c>
      <c r="I6529" s="7">
        <v>20</v>
      </c>
      <c r="J6529" s="3" t="s">
        <v>327</v>
      </c>
      <c r="K6529" s="9" t="s">
        <v>36</v>
      </c>
      <c r="L6529" s="6" t="s">
        <v>36</v>
      </c>
      <c r="M6529" s="3" t="s">
        <v>36</v>
      </c>
      <c r="N6529" s="3" t="s">
        <v>36</v>
      </c>
      <c r="O6529" s="8" t="s">
        <v>36</v>
      </c>
      <c r="P6529" s="3" t="s">
        <v>36</v>
      </c>
      <c r="Q6529" s="3" t="s">
        <v>36</v>
      </c>
      <c r="R6529" s="3" t="s">
        <v>36</v>
      </c>
      <c r="S6529" s="3" t="s">
        <v>36</v>
      </c>
      <c r="T6529" s="3" t="s">
        <v>24826</v>
      </c>
      <c r="U6529" s="3" t="s">
        <v>38</v>
      </c>
      <c r="V6529" s="3" t="s">
        <v>39</v>
      </c>
      <c r="W6529" s="3" t="s">
        <v>24827</v>
      </c>
      <c r="X6529" s="10" t="s">
        <v>29608</v>
      </c>
      <c r="Y6529" s="6" t="s">
        <v>108</v>
      </c>
      <c r="Z6529" s="4">
        <v>0.73</v>
      </c>
      <c r="AA6529" s="4">
        <v>3.64</v>
      </c>
      <c r="AB6529" s="3" t="s">
        <v>43</v>
      </c>
      <c r="AC6529" s="3" t="s">
        <v>24828</v>
      </c>
      <c r="AD6529" s="9">
        <v>42635</v>
      </c>
      <c r="AE6529" s="3" t="s">
        <v>1330</v>
      </c>
      <c r="AF6529" s="3" t="s">
        <v>1077</v>
      </c>
      <c r="AG6529" s="3" t="s">
        <v>81</v>
      </c>
      <c r="AH6529" s="11">
        <f>HYPERLINK("https://my.pitchbook.com?c=101452-42T","View Company Online")</f>
      </c>
    </row>
    <row r="6530">
      <c r="A6530" s="12" t="s">
        <v>29609</v>
      </c>
      <c r="B6530" s="12" t="s">
        <v>20947</v>
      </c>
      <c r="C6530" s="19" t="s">
        <v>36</v>
      </c>
      <c r="D6530" s="19">
        <v>1</v>
      </c>
      <c r="E6530" s="19">
        <v>2</v>
      </c>
      <c r="F6530" s="19">
        <v>2</v>
      </c>
      <c r="G6530" s="15" t="s">
        <v>326</v>
      </c>
      <c r="H6530" s="14">
        <v>241.47</v>
      </c>
      <c r="I6530" s="18">
        <v>47.06</v>
      </c>
      <c r="J6530" s="12" t="s">
        <v>521</v>
      </c>
      <c r="K6530" s="13" t="s">
        <v>36</v>
      </c>
      <c r="L6530" s="15" t="s">
        <v>36</v>
      </c>
      <c r="M6530" s="12" t="s">
        <v>36</v>
      </c>
      <c r="N6530" s="12" t="s">
        <v>36</v>
      </c>
      <c r="O6530" s="17" t="s">
        <v>36</v>
      </c>
      <c r="P6530" s="12" t="s">
        <v>36</v>
      </c>
      <c r="Q6530" s="12" t="s">
        <v>36</v>
      </c>
      <c r="R6530" s="12" t="s">
        <v>36</v>
      </c>
      <c r="S6530" s="12" t="s">
        <v>36</v>
      </c>
      <c r="T6530" s="12" t="s">
        <v>20948</v>
      </c>
      <c r="U6530" s="12" t="s">
        <v>85</v>
      </c>
      <c r="V6530" s="12" t="s">
        <v>64</v>
      </c>
      <c r="W6530" s="12" t="s">
        <v>20949</v>
      </c>
      <c r="X6530" s="16" t="s">
        <v>21733</v>
      </c>
      <c r="Y6530" s="15" t="s">
        <v>108</v>
      </c>
      <c r="Z6530" s="14">
        <v>1.74</v>
      </c>
      <c r="AA6530" s="14">
        <v>3.69</v>
      </c>
      <c r="AB6530" s="12" t="s">
        <v>43</v>
      </c>
      <c r="AC6530" s="12" t="s">
        <v>20951</v>
      </c>
      <c r="AD6530" s="13">
        <v>42634</v>
      </c>
      <c r="AE6530" s="12" t="s">
        <v>89</v>
      </c>
      <c r="AF6530" s="12" t="s">
        <v>20952</v>
      </c>
      <c r="AG6530" s="12" t="s">
        <v>20953</v>
      </c>
      <c r="AH6530" s="1">
        <f>HYPERLINK("https://my.pitchbook.com?c=76282-57T","View Company Online")</f>
      </c>
    </row>
    <row r="6531">
      <c r="A6531" s="3" t="s">
        <v>29610</v>
      </c>
      <c r="B6531" s="3" t="s">
        <v>29611</v>
      </c>
      <c r="C6531" s="5" t="s">
        <v>36</v>
      </c>
      <c r="D6531" s="5" t="s">
        <v>36</v>
      </c>
      <c r="E6531" s="5" t="s">
        <v>36</v>
      </c>
      <c r="F6531" s="5" t="s">
        <v>36</v>
      </c>
      <c r="G6531" s="6" t="s">
        <v>36</v>
      </c>
      <c r="H6531" s="4" t="s">
        <v>36</v>
      </c>
      <c r="I6531" s="7" t="s">
        <v>36</v>
      </c>
      <c r="J6531" s="3" t="s">
        <v>36</v>
      </c>
      <c r="K6531" s="9" t="s">
        <v>36</v>
      </c>
      <c r="L6531" s="6" t="s">
        <v>122</v>
      </c>
      <c r="M6531" s="3" t="s">
        <v>36</v>
      </c>
      <c r="N6531" s="3" t="s">
        <v>122</v>
      </c>
      <c r="O6531" s="8" t="s">
        <v>36</v>
      </c>
      <c r="P6531" s="3" t="s">
        <v>36</v>
      </c>
      <c r="Q6531" s="3" t="s">
        <v>36</v>
      </c>
      <c r="R6531" s="3" t="s">
        <v>36</v>
      </c>
      <c r="S6531" s="3" t="s">
        <v>6531</v>
      </c>
      <c r="T6531" s="3" t="s">
        <v>1162</v>
      </c>
      <c r="U6531" s="3" t="s">
        <v>423</v>
      </c>
      <c r="V6531" s="3" t="s">
        <v>64</v>
      </c>
      <c r="W6531" s="3" t="s">
        <v>29612</v>
      </c>
      <c r="X6531" s="10" t="s">
        <v>29613</v>
      </c>
      <c r="Y6531" s="6" t="s">
        <v>108</v>
      </c>
      <c r="Z6531" s="4">
        <v>6.73</v>
      </c>
      <c r="AA6531" s="4" t="s">
        <v>36</v>
      </c>
      <c r="AB6531" s="3" t="s">
        <v>43</v>
      </c>
      <c r="AC6531" s="3" t="s">
        <v>29614</v>
      </c>
      <c r="AD6531" s="9">
        <v>42633</v>
      </c>
      <c r="AE6531" s="3" t="s">
        <v>562</v>
      </c>
      <c r="AF6531" s="3" t="s">
        <v>20262</v>
      </c>
      <c r="AG6531" s="3" t="s">
        <v>81</v>
      </c>
      <c r="AH6531" s="11">
        <f>HYPERLINK("https://my.pitchbook.com?c=75878-11T","View Company Online")</f>
      </c>
    </row>
    <row r="6532">
      <c r="A6532" s="12" t="s">
        <v>29615</v>
      </c>
      <c r="B6532" s="12" t="s">
        <v>11227</v>
      </c>
      <c r="C6532" s="19">
        <v>15</v>
      </c>
      <c r="D6532" s="19">
        <v>11</v>
      </c>
      <c r="E6532" s="19">
        <v>6</v>
      </c>
      <c r="F6532" s="19">
        <v>26</v>
      </c>
      <c r="G6532" s="15" t="s">
        <v>2497</v>
      </c>
      <c r="H6532" s="14">
        <v>230.79</v>
      </c>
      <c r="I6532" s="18">
        <v>45.88</v>
      </c>
      <c r="J6532" s="12" t="s">
        <v>521</v>
      </c>
      <c r="K6532" s="13">
        <v>42481</v>
      </c>
      <c r="L6532" s="15" t="s">
        <v>36</v>
      </c>
      <c r="M6532" s="12" t="s">
        <v>36</v>
      </c>
      <c r="N6532" s="12" t="s">
        <v>36</v>
      </c>
      <c r="O6532" s="17" t="s">
        <v>36</v>
      </c>
      <c r="P6532" s="12" t="s">
        <v>36</v>
      </c>
      <c r="Q6532" s="12" t="s">
        <v>36</v>
      </c>
      <c r="R6532" s="12" t="s">
        <v>36</v>
      </c>
      <c r="S6532" s="12" t="s">
        <v>36</v>
      </c>
      <c r="T6532" s="12" t="s">
        <v>618</v>
      </c>
      <c r="U6532" s="12" t="s">
        <v>619</v>
      </c>
      <c r="V6532" s="12" t="s">
        <v>378</v>
      </c>
      <c r="W6532" s="12" t="s">
        <v>11228</v>
      </c>
      <c r="X6532" s="16" t="s">
        <v>29616</v>
      </c>
      <c r="Y6532" s="15" t="s">
        <v>108</v>
      </c>
      <c r="Z6532" s="14">
        <v>1.52</v>
      </c>
      <c r="AA6532" s="14">
        <v>3.3</v>
      </c>
      <c r="AB6532" s="12" t="s">
        <v>56</v>
      </c>
      <c r="AC6532" s="12" t="s">
        <v>11230</v>
      </c>
      <c r="AD6532" s="13">
        <v>42633</v>
      </c>
      <c r="AE6532" s="12" t="s">
        <v>623</v>
      </c>
      <c r="AF6532" s="12" t="s">
        <v>2673</v>
      </c>
      <c r="AG6532" s="12" t="s">
        <v>81</v>
      </c>
      <c r="AH6532" s="1">
        <f>HYPERLINK("https://my.pitchbook.com?c=117594-91T","View Company Online")</f>
      </c>
    </row>
    <row r="6533">
      <c r="A6533" s="3" t="s">
        <v>29617</v>
      </c>
      <c r="B6533" s="3" t="s">
        <v>25325</v>
      </c>
      <c r="C6533" s="5" t="s">
        <v>36</v>
      </c>
      <c r="D6533" s="5" t="s">
        <v>36</v>
      </c>
      <c r="E6533" s="5" t="s">
        <v>36</v>
      </c>
      <c r="F6533" s="5" t="s">
        <v>36</v>
      </c>
      <c r="G6533" s="6" t="s">
        <v>36</v>
      </c>
      <c r="H6533" s="4">
        <v>10.49</v>
      </c>
      <c r="I6533" s="7">
        <v>25.26</v>
      </c>
      <c r="J6533" s="3" t="s">
        <v>521</v>
      </c>
      <c r="K6533" s="9">
        <v>42537</v>
      </c>
      <c r="L6533" s="6" t="s">
        <v>122</v>
      </c>
      <c r="M6533" s="3" t="s">
        <v>36</v>
      </c>
      <c r="N6533" s="3" t="s">
        <v>122</v>
      </c>
      <c r="O6533" s="8" t="s">
        <v>36</v>
      </c>
      <c r="P6533" s="3" t="s">
        <v>36</v>
      </c>
      <c r="Q6533" s="3" t="s">
        <v>36</v>
      </c>
      <c r="R6533" s="3" t="s">
        <v>36</v>
      </c>
      <c r="S6533" s="3" t="s">
        <v>36</v>
      </c>
      <c r="T6533" s="3" t="s">
        <v>11886</v>
      </c>
      <c r="U6533" s="3" t="s">
        <v>648</v>
      </c>
      <c r="V6533" s="3" t="s">
        <v>64</v>
      </c>
      <c r="W6533" s="3" t="s">
        <v>25326</v>
      </c>
      <c r="X6533" s="10" t="s">
        <v>29618</v>
      </c>
      <c r="Y6533" s="6" t="s">
        <v>55</v>
      </c>
      <c r="Z6533" s="4">
        <v>9.02</v>
      </c>
      <c r="AA6533" s="4">
        <v>35.69</v>
      </c>
      <c r="AB6533" s="3" t="s">
        <v>43</v>
      </c>
      <c r="AC6533" s="3" t="s">
        <v>25328</v>
      </c>
      <c r="AD6533" s="9">
        <v>42633</v>
      </c>
      <c r="AE6533" s="3" t="s">
        <v>651</v>
      </c>
      <c r="AF6533" s="3" t="s">
        <v>36</v>
      </c>
      <c r="AG6533" s="3" t="s">
        <v>81</v>
      </c>
      <c r="AH6533" s="11">
        <f>HYPERLINK("https://my.pitchbook.com?c=70131-52T","View Company Online")</f>
      </c>
    </row>
    <row r="6534">
      <c r="A6534" s="12" t="s">
        <v>29619</v>
      </c>
      <c r="B6534" s="12" t="s">
        <v>7451</v>
      </c>
      <c r="C6534" s="19" t="s">
        <v>36</v>
      </c>
      <c r="D6534" s="19" t="s">
        <v>36</v>
      </c>
      <c r="E6534" s="19" t="s">
        <v>36</v>
      </c>
      <c r="F6534" s="19" t="s">
        <v>36</v>
      </c>
      <c r="G6534" s="15" t="s">
        <v>36</v>
      </c>
      <c r="H6534" s="14">
        <v>121.07</v>
      </c>
      <c r="I6534" s="18">
        <v>28.7</v>
      </c>
      <c r="J6534" s="12" t="s">
        <v>521</v>
      </c>
      <c r="K6534" s="13" t="s">
        <v>36</v>
      </c>
      <c r="L6534" s="15" t="s">
        <v>36</v>
      </c>
      <c r="M6534" s="12" t="s">
        <v>36</v>
      </c>
      <c r="N6534" s="12" t="s">
        <v>36</v>
      </c>
      <c r="O6534" s="17" t="s">
        <v>36</v>
      </c>
      <c r="P6534" s="12" t="s">
        <v>36</v>
      </c>
      <c r="Q6534" s="12" t="s">
        <v>36</v>
      </c>
      <c r="R6534" s="12" t="s">
        <v>36</v>
      </c>
      <c r="S6534" s="12" t="s">
        <v>36</v>
      </c>
      <c r="T6534" s="12" t="s">
        <v>7452</v>
      </c>
      <c r="U6534" s="12" t="s">
        <v>38</v>
      </c>
      <c r="V6534" s="12" t="s">
        <v>39</v>
      </c>
      <c r="W6534" s="12" t="s">
        <v>7453</v>
      </c>
      <c r="X6534" s="16" t="s">
        <v>29620</v>
      </c>
      <c r="Y6534" s="15" t="s">
        <v>42</v>
      </c>
      <c r="Z6534" s="14">
        <v>0.56</v>
      </c>
      <c r="AA6534" s="14">
        <v>1.39</v>
      </c>
      <c r="AB6534" s="12" t="s">
        <v>43</v>
      </c>
      <c r="AC6534" s="12" t="s">
        <v>7455</v>
      </c>
      <c r="AD6534" s="13">
        <v>42633</v>
      </c>
      <c r="AE6534" s="12" t="s">
        <v>45</v>
      </c>
      <c r="AF6534" s="12" t="s">
        <v>4569</v>
      </c>
      <c r="AG6534" s="12" t="s">
        <v>741</v>
      </c>
      <c r="AH6534" s="1">
        <f>HYPERLINK("https://my.pitchbook.com?c=76453-57T","View Company Online")</f>
      </c>
    </row>
    <row r="6535">
      <c r="A6535" s="3" t="s">
        <v>29621</v>
      </c>
      <c r="B6535" s="3" t="s">
        <v>6676</v>
      </c>
      <c r="C6535" s="5" t="s">
        <v>36</v>
      </c>
      <c r="D6535" s="5" t="s">
        <v>36</v>
      </c>
      <c r="E6535" s="5" t="s">
        <v>36</v>
      </c>
      <c r="F6535" s="5" t="s">
        <v>36</v>
      </c>
      <c r="G6535" s="6" t="s">
        <v>326</v>
      </c>
      <c r="H6535" s="4">
        <v>5765.77</v>
      </c>
      <c r="I6535" s="7">
        <v>30.53</v>
      </c>
      <c r="J6535" s="3" t="s">
        <v>521</v>
      </c>
      <c r="K6535" s="9" t="s">
        <v>36</v>
      </c>
      <c r="L6535" s="6" t="s">
        <v>122</v>
      </c>
      <c r="M6535" s="3" t="s">
        <v>36</v>
      </c>
      <c r="N6535" s="3" t="s">
        <v>122</v>
      </c>
      <c r="O6535" s="8" t="s">
        <v>36</v>
      </c>
      <c r="P6535" s="3" t="s">
        <v>36</v>
      </c>
      <c r="Q6535" s="3" t="s">
        <v>36</v>
      </c>
      <c r="R6535" s="3" t="s">
        <v>36</v>
      </c>
      <c r="S6535" s="3" t="s">
        <v>6677</v>
      </c>
      <c r="T6535" s="3" t="s">
        <v>6288</v>
      </c>
      <c r="U6535" s="3" t="s">
        <v>85</v>
      </c>
      <c r="V6535" s="3" t="s">
        <v>64</v>
      </c>
      <c r="W6535" s="3" t="s">
        <v>6678</v>
      </c>
      <c r="X6535" s="10" t="s">
        <v>29622</v>
      </c>
      <c r="Y6535" s="6" t="s">
        <v>42</v>
      </c>
      <c r="Z6535" s="4">
        <v>3.53</v>
      </c>
      <c r="AA6535" s="4">
        <v>11.56</v>
      </c>
      <c r="AB6535" s="3" t="s">
        <v>43</v>
      </c>
      <c r="AC6535" s="3" t="s">
        <v>6680</v>
      </c>
      <c r="AD6535" s="9">
        <v>42633</v>
      </c>
      <c r="AE6535" s="3" t="s">
        <v>89</v>
      </c>
      <c r="AF6535" s="3" t="s">
        <v>6681</v>
      </c>
      <c r="AG6535" s="3" t="s">
        <v>102</v>
      </c>
      <c r="AH6535" s="11">
        <f>HYPERLINK("https://my.pitchbook.com?c=77793-67T","View Company Online")</f>
      </c>
    </row>
    <row r="6536">
      <c r="A6536" s="12" t="s">
        <v>29623</v>
      </c>
      <c r="B6536" s="12" t="s">
        <v>29624</v>
      </c>
      <c r="C6536" s="19" t="s">
        <v>36</v>
      </c>
      <c r="D6536" s="19" t="s">
        <v>36</v>
      </c>
      <c r="E6536" s="19" t="s">
        <v>36</v>
      </c>
      <c r="F6536" s="19" t="s">
        <v>36</v>
      </c>
      <c r="G6536" s="15" t="s">
        <v>36</v>
      </c>
      <c r="H6536" s="14" t="s">
        <v>36</v>
      </c>
      <c r="I6536" s="18" t="s">
        <v>36</v>
      </c>
      <c r="J6536" s="12" t="s">
        <v>36</v>
      </c>
      <c r="K6536" s="13" t="s">
        <v>36</v>
      </c>
      <c r="L6536" s="15" t="s">
        <v>36</v>
      </c>
      <c r="M6536" s="12" t="s">
        <v>36</v>
      </c>
      <c r="N6536" s="12" t="s">
        <v>36</v>
      </c>
      <c r="O6536" s="17" t="s">
        <v>36</v>
      </c>
      <c r="P6536" s="12" t="s">
        <v>36</v>
      </c>
      <c r="Q6536" s="12" t="s">
        <v>36</v>
      </c>
      <c r="R6536" s="12" t="s">
        <v>36</v>
      </c>
      <c r="S6536" s="12" t="s">
        <v>36</v>
      </c>
      <c r="T6536" s="12" t="s">
        <v>1701</v>
      </c>
      <c r="U6536" s="12" t="s">
        <v>74</v>
      </c>
      <c r="V6536" s="12" t="s">
        <v>75</v>
      </c>
      <c r="W6536" s="12" t="s">
        <v>29625</v>
      </c>
      <c r="X6536" s="16" t="s">
        <v>29626</v>
      </c>
      <c r="Y6536" s="15" t="s">
        <v>108</v>
      </c>
      <c r="Z6536" s="14">
        <v>11.21</v>
      </c>
      <c r="AA6536" s="14" t="s">
        <v>36</v>
      </c>
      <c r="AB6536" s="12" t="s">
        <v>43</v>
      </c>
      <c r="AC6536" s="12" t="s">
        <v>29627</v>
      </c>
      <c r="AD6536" s="13">
        <v>42632</v>
      </c>
      <c r="AE6536" s="12" t="s">
        <v>79</v>
      </c>
      <c r="AF6536" s="12" t="s">
        <v>2759</v>
      </c>
      <c r="AG6536" s="12" t="s">
        <v>2299</v>
      </c>
      <c r="AH6536" s="1">
        <f>HYPERLINK("https://my.pitchbook.com?c=76294-63T","View Company Online")</f>
      </c>
    </row>
    <row r="6537">
      <c r="A6537" s="3" t="s">
        <v>29628</v>
      </c>
      <c r="B6537" s="3" t="s">
        <v>29629</v>
      </c>
      <c r="C6537" s="5" t="s">
        <v>36</v>
      </c>
      <c r="D6537" s="5" t="s">
        <v>36</v>
      </c>
      <c r="E6537" s="5" t="s">
        <v>36</v>
      </c>
      <c r="F6537" s="5" t="s">
        <v>36</v>
      </c>
      <c r="G6537" s="6" t="s">
        <v>36</v>
      </c>
      <c r="H6537" s="4">
        <v>3634.98</v>
      </c>
      <c r="I6537" s="7">
        <v>30.07</v>
      </c>
      <c r="J6537" s="3" t="s">
        <v>521</v>
      </c>
      <c r="K6537" s="9">
        <v>42579</v>
      </c>
      <c r="L6537" s="6" t="s">
        <v>36</v>
      </c>
      <c r="M6537" s="3" t="s">
        <v>36</v>
      </c>
      <c r="N6537" s="3" t="s">
        <v>36</v>
      </c>
      <c r="O6537" s="8" t="s">
        <v>36</v>
      </c>
      <c r="P6537" s="3" t="s">
        <v>36</v>
      </c>
      <c r="Q6537" s="3" t="s">
        <v>36</v>
      </c>
      <c r="R6537" s="3" t="s">
        <v>36</v>
      </c>
      <c r="S6537" s="3" t="s">
        <v>36</v>
      </c>
      <c r="T6537" s="3" t="s">
        <v>3397</v>
      </c>
      <c r="U6537" s="3" t="s">
        <v>423</v>
      </c>
      <c r="V6537" s="3" t="s">
        <v>64</v>
      </c>
      <c r="W6537" s="3" t="s">
        <v>29630</v>
      </c>
      <c r="X6537" s="10" t="s">
        <v>29631</v>
      </c>
      <c r="Y6537" s="6" t="s">
        <v>42</v>
      </c>
      <c r="Z6537" s="4">
        <v>0.5</v>
      </c>
      <c r="AA6537" s="4">
        <v>1.12</v>
      </c>
      <c r="AB6537" s="3" t="s">
        <v>43</v>
      </c>
      <c r="AC6537" s="3" t="s">
        <v>29632</v>
      </c>
      <c r="AD6537" s="9">
        <v>42632</v>
      </c>
      <c r="AE6537" s="3" t="s">
        <v>562</v>
      </c>
      <c r="AF6537" s="3" t="s">
        <v>90</v>
      </c>
      <c r="AG6537" s="3" t="s">
        <v>29633</v>
      </c>
      <c r="AH6537" s="11">
        <f>HYPERLINK("https://my.pitchbook.com?c=109963-36T","View Company Online")</f>
      </c>
    </row>
    <row r="6538">
      <c r="A6538" s="12" t="s">
        <v>29634</v>
      </c>
      <c r="B6538" s="12" t="s">
        <v>21678</v>
      </c>
      <c r="C6538" s="19">
        <v>1</v>
      </c>
      <c r="D6538" s="19" t="s">
        <v>36</v>
      </c>
      <c r="E6538" s="19">
        <v>1</v>
      </c>
      <c r="F6538" s="19">
        <v>1</v>
      </c>
      <c r="G6538" s="15" t="s">
        <v>36</v>
      </c>
      <c r="H6538" s="14">
        <v>181.75</v>
      </c>
      <c r="I6538" s="18">
        <v>46.97</v>
      </c>
      <c r="J6538" s="12" t="s">
        <v>521</v>
      </c>
      <c r="K6538" s="13" t="s">
        <v>36</v>
      </c>
      <c r="L6538" s="15" t="s">
        <v>36</v>
      </c>
      <c r="M6538" s="12" t="s">
        <v>36</v>
      </c>
      <c r="N6538" s="12" t="s">
        <v>36</v>
      </c>
      <c r="O6538" s="17" t="s">
        <v>36</v>
      </c>
      <c r="P6538" s="12" t="s">
        <v>36</v>
      </c>
      <c r="Q6538" s="12" t="s">
        <v>36</v>
      </c>
      <c r="R6538" s="12" t="s">
        <v>36</v>
      </c>
      <c r="S6538" s="12" t="s">
        <v>36</v>
      </c>
      <c r="T6538" s="12" t="s">
        <v>253</v>
      </c>
      <c r="U6538" s="12" t="s">
        <v>38</v>
      </c>
      <c r="V6538" s="12" t="s">
        <v>39</v>
      </c>
      <c r="W6538" s="12" t="s">
        <v>21679</v>
      </c>
      <c r="X6538" s="16" t="s">
        <v>29635</v>
      </c>
      <c r="Y6538" s="15" t="s">
        <v>42</v>
      </c>
      <c r="Z6538" s="14">
        <v>3.48</v>
      </c>
      <c r="AA6538" s="14">
        <v>3.7</v>
      </c>
      <c r="AB6538" s="12" t="s">
        <v>56</v>
      </c>
      <c r="AC6538" s="12" t="s">
        <v>21681</v>
      </c>
      <c r="AD6538" s="13">
        <v>42632</v>
      </c>
      <c r="AE6538" s="12" t="s">
        <v>110</v>
      </c>
      <c r="AF6538" s="12" t="s">
        <v>21682</v>
      </c>
      <c r="AG6538" s="12" t="s">
        <v>382</v>
      </c>
      <c r="AH6538" s="1">
        <f>HYPERLINK("https://my.pitchbook.com?c=83111-23T","View Company Online")</f>
      </c>
    </row>
    <row r="6539">
      <c r="A6539" s="3" t="s">
        <v>29636</v>
      </c>
      <c r="B6539" s="3" t="s">
        <v>24435</v>
      </c>
      <c r="C6539" s="5" t="s">
        <v>36</v>
      </c>
      <c r="D6539" s="5" t="s">
        <v>36</v>
      </c>
      <c r="E6539" s="5" t="s">
        <v>36</v>
      </c>
      <c r="F6539" s="5" t="s">
        <v>36</v>
      </c>
      <c r="G6539" s="6" t="s">
        <v>36</v>
      </c>
      <c r="H6539" s="4">
        <v>101.16</v>
      </c>
      <c r="I6539" s="7">
        <v>36.52</v>
      </c>
      <c r="J6539" s="3" t="s">
        <v>521</v>
      </c>
      <c r="K6539" s="9">
        <v>42562</v>
      </c>
      <c r="L6539" s="6" t="s">
        <v>36</v>
      </c>
      <c r="M6539" s="3" t="s">
        <v>36</v>
      </c>
      <c r="N6539" s="3" t="s">
        <v>36</v>
      </c>
      <c r="O6539" s="8" t="s">
        <v>36</v>
      </c>
      <c r="P6539" s="3" t="s">
        <v>36</v>
      </c>
      <c r="Q6539" s="3" t="s">
        <v>36</v>
      </c>
      <c r="R6539" s="3" t="s">
        <v>36</v>
      </c>
      <c r="S6539" s="3" t="s">
        <v>36</v>
      </c>
      <c r="T6539" s="3" t="s">
        <v>24436</v>
      </c>
      <c r="U6539" s="3" t="s">
        <v>289</v>
      </c>
      <c r="V6539" s="3" t="s">
        <v>64</v>
      </c>
      <c r="W6539" s="3" t="s">
        <v>24437</v>
      </c>
      <c r="X6539" s="10" t="s">
        <v>29637</v>
      </c>
      <c r="Y6539" s="6" t="s">
        <v>42</v>
      </c>
      <c r="Z6539" s="4">
        <v>0.65</v>
      </c>
      <c r="AA6539" s="4">
        <v>1.77</v>
      </c>
      <c r="AB6539" s="3" t="s">
        <v>43</v>
      </c>
      <c r="AC6539" s="3" t="s">
        <v>24439</v>
      </c>
      <c r="AD6539" s="9">
        <v>42629</v>
      </c>
      <c r="AE6539" s="3" t="s">
        <v>292</v>
      </c>
      <c r="AF6539" s="3" t="s">
        <v>2118</v>
      </c>
      <c r="AG6539" s="3" t="s">
        <v>81</v>
      </c>
      <c r="AH6539" s="11">
        <f>HYPERLINK("https://my.pitchbook.com?c=110271-34T","View Company Online")</f>
      </c>
    </row>
    <row r="6540">
      <c r="A6540" s="12" t="s">
        <v>29638</v>
      </c>
      <c r="B6540" s="12" t="s">
        <v>29639</v>
      </c>
      <c r="C6540" s="19" t="s">
        <v>36</v>
      </c>
      <c r="D6540" s="19" t="s">
        <v>36</v>
      </c>
      <c r="E6540" s="19" t="s">
        <v>36</v>
      </c>
      <c r="F6540" s="19" t="s">
        <v>36</v>
      </c>
      <c r="G6540" s="15" t="s">
        <v>36</v>
      </c>
      <c r="H6540" s="14" t="s">
        <v>36</v>
      </c>
      <c r="I6540" s="18" t="s">
        <v>36</v>
      </c>
      <c r="J6540" s="12" t="s">
        <v>36</v>
      </c>
      <c r="K6540" s="13" t="s">
        <v>36</v>
      </c>
      <c r="L6540" s="15" t="s">
        <v>36</v>
      </c>
      <c r="M6540" s="12" t="s">
        <v>36</v>
      </c>
      <c r="N6540" s="12" t="s">
        <v>36</v>
      </c>
      <c r="O6540" s="17" t="s">
        <v>36</v>
      </c>
      <c r="P6540" s="12" t="s">
        <v>36</v>
      </c>
      <c r="Q6540" s="12" t="s">
        <v>36</v>
      </c>
      <c r="R6540" s="12" t="s">
        <v>36</v>
      </c>
      <c r="S6540" s="12" t="s">
        <v>36</v>
      </c>
      <c r="T6540" s="12" t="s">
        <v>29640</v>
      </c>
      <c r="U6540" s="12" t="s">
        <v>38</v>
      </c>
      <c r="V6540" s="12" t="s">
        <v>39</v>
      </c>
      <c r="W6540" s="12" t="s">
        <v>29641</v>
      </c>
      <c r="X6540" s="16" t="s">
        <v>29642</v>
      </c>
      <c r="Y6540" s="15" t="s">
        <v>42</v>
      </c>
      <c r="Z6540" s="14">
        <v>1.12</v>
      </c>
      <c r="AA6540" s="14" t="s">
        <v>36</v>
      </c>
      <c r="AB6540" s="12" t="s">
        <v>43</v>
      </c>
      <c r="AC6540" s="12" t="s">
        <v>29643</v>
      </c>
      <c r="AD6540" s="13">
        <v>42629</v>
      </c>
      <c r="AE6540" s="12" t="s">
        <v>339</v>
      </c>
      <c r="AF6540" s="12" t="s">
        <v>7309</v>
      </c>
      <c r="AG6540" s="12" t="s">
        <v>81</v>
      </c>
      <c r="AH6540" s="1">
        <f>HYPERLINK("https://my.pitchbook.com?c=93737-71T","View Company Online")</f>
      </c>
    </row>
    <row r="6541">
      <c r="A6541" s="3" t="s">
        <v>29644</v>
      </c>
      <c r="B6541" s="3" t="s">
        <v>29645</v>
      </c>
      <c r="C6541" s="5" t="s">
        <v>36</v>
      </c>
      <c r="D6541" s="5" t="s">
        <v>36</v>
      </c>
      <c r="E6541" s="5" t="s">
        <v>36</v>
      </c>
      <c r="F6541" s="5" t="s">
        <v>36</v>
      </c>
      <c r="G6541" s="6" t="s">
        <v>36</v>
      </c>
      <c r="H6541" s="4" t="s">
        <v>36</v>
      </c>
      <c r="I6541" s="7" t="s">
        <v>36</v>
      </c>
      <c r="J6541" s="3" t="s">
        <v>36</v>
      </c>
      <c r="K6541" s="9" t="s">
        <v>36</v>
      </c>
      <c r="L6541" s="6" t="s">
        <v>36</v>
      </c>
      <c r="M6541" s="3" t="s">
        <v>36</v>
      </c>
      <c r="N6541" s="3" t="s">
        <v>36</v>
      </c>
      <c r="O6541" s="8" t="s">
        <v>36</v>
      </c>
      <c r="P6541" s="3" t="s">
        <v>36</v>
      </c>
      <c r="Q6541" s="3" t="s">
        <v>36</v>
      </c>
      <c r="R6541" s="3" t="s">
        <v>36</v>
      </c>
      <c r="S6541" s="3" t="s">
        <v>36</v>
      </c>
      <c r="T6541" s="3" t="s">
        <v>29646</v>
      </c>
      <c r="U6541" s="3" t="s">
        <v>74</v>
      </c>
      <c r="V6541" s="3" t="s">
        <v>75</v>
      </c>
      <c r="W6541" s="3" t="s">
        <v>29647</v>
      </c>
      <c r="X6541" s="10" t="s">
        <v>29648</v>
      </c>
      <c r="Y6541" s="6" t="s">
        <v>42</v>
      </c>
      <c r="Z6541" s="4">
        <v>0.67</v>
      </c>
      <c r="AA6541" s="4" t="s">
        <v>36</v>
      </c>
      <c r="AB6541" s="3" t="s">
        <v>43</v>
      </c>
      <c r="AC6541" s="3" t="s">
        <v>29649</v>
      </c>
      <c r="AD6541" s="9">
        <v>42629</v>
      </c>
      <c r="AE6541" s="3" t="s">
        <v>2237</v>
      </c>
      <c r="AF6541" s="3" t="s">
        <v>8607</v>
      </c>
      <c r="AG6541" s="3" t="s">
        <v>81</v>
      </c>
      <c r="AH6541" s="11">
        <f>HYPERLINK("https://my.pitchbook.com?c=158146-30T","View Company Online")</f>
      </c>
    </row>
    <row r="6542">
      <c r="A6542" s="12" t="s">
        <v>29650</v>
      </c>
      <c r="B6542" s="12" t="s">
        <v>29651</v>
      </c>
      <c r="C6542" s="19" t="s">
        <v>36</v>
      </c>
      <c r="D6542" s="19" t="s">
        <v>36</v>
      </c>
      <c r="E6542" s="19" t="s">
        <v>36</v>
      </c>
      <c r="F6542" s="19" t="s">
        <v>36</v>
      </c>
      <c r="G6542" s="15" t="s">
        <v>36</v>
      </c>
      <c r="H6542" s="14" t="s">
        <v>36</v>
      </c>
      <c r="I6542" s="18" t="s">
        <v>36</v>
      </c>
      <c r="J6542" s="12" t="s">
        <v>36</v>
      </c>
      <c r="K6542" s="13" t="s">
        <v>36</v>
      </c>
      <c r="L6542" s="15" t="s">
        <v>36</v>
      </c>
      <c r="M6542" s="12" t="s">
        <v>36</v>
      </c>
      <c r="N6542" s="12" t="s">
        <v>36</v>
      </c>
      <c r="O6542" s="17" t="s">
        <v>36</v>
      </c>
      <c r="P6542" s="12" t="s">
        <v>36</v>
      </c>
      <c r="Q6542" s="12" t="s">
        <v>36</v>
      </c>
      <c r="R6542" s="12" t="s">
        <v>36</v>
      </c>
      <c r="S6542" s="12" t="s">
        <v>36</v>
      </c>
      <c r="T6542" s="12" t="s">
        <v>7330</v>
      </c>
      <c r="U6542" s="12" t="s">
        <v>728</v>
      </c>
      <c r="V6542" s="12" t="s">
        <v>64</v>
      </c>
      <c r="W6542" s="12" t="s">
        <v>29652</v>
      </c>
      <c r="X6542" s="16" t="s">
        <v>8727</v>
      </c>
      <c r="Y6542" s="15" t="s">
        <v>108</v>
      </c>
      <c r="Z6542" s="14">
        <v>3</v>
      </c>
      <c r="AA6542" s="14" t="s">
        <v>36</v>
      </c>
      <c r="AB6542" s="12" t="s">
        <v>56</v>
      </c>
      <c r="AC6542" s="12" t="s">
        <v>29653</v>
      </c>
      <c r="AD6542" s="13">
        <v>42628</v>
      </c>
      <c r="AE6542" s="12" t="s">
        <v>1600</v>
      </c>
      <c r="AF6542" s="12" t="s">
        <v>36</v>
      </c>
      <c r="AG6542" s="12" t="s">
        <v>81</v>
      </c>
      <c r="AH6542" s="1">
        <f>HYPERLINK("https://my.pitchbook.com?c=134979-40T","View Company Online")</f>
      </c>
    </row>
    <row r="6543">
      <c r="A6543" s="3" t="s">
        <v>29654</v>
      </c>
      <c r="B6543" s="3" t="s">
        <v>29655</v>
      </c>
      <c r="C6543" s="5" t="s">
        <v>36</v>
      </c>
      <c r="D6543" s="5" t="s">
        <v>36</v>
      </c>
      <c r="E6543" s="5" t="s">
        <v>36</v>
      </c>
      <c r="F6543" s="5" t="s">
        <v>36</v>
      </c>
      <c r="G6543" s="6" t="s">
        <v>326</v>
      </c>
      <c r="H6543" s="4">
        <v>34.37</v>
      </c>
      <c r="I6543" s="7">
        <v>14.16</v>
      </c>
      <c r="J6543" s="3" t="s">
        <v>521</v>
      </c>
      <c r="K6543" s="9" t="s">
        <v>36</v>
      </c>
      <c r="L6543" s="6" t="s">
        <v>1981</v>
      </c>
      <c r="M6543" s="3" t="s">
        <v>36</v>
      </c>
      <c r="N6543" s="3" t="s">
        <v>1981</v>
      </c>
      <c r="O6543" s="8" t="s">
        <v>36</v>
      </c>
      <c r="P6543" s="3" t="s">
        <v>36</v>
      </c>
      <c r="Q6543" s="3" t="s">
        <v>36</v>
      </c>
      <c r="R6543" s="3" t="s">
        <v>36</v>
      </c>
      <c r="S6543" s="3" t="s">
        <v>36</v>
      </c>
      <c r="T6543" s="3" t="s">
        <v>7415</v>
      </c>
      <c r="U6543" s="3" t="s">
        <v>38</v>
      </c>
      <c r="V6543" s="3" t="s">
        <v>39</v>
      </c>
      <c r="W6543" s="3" t="s">
        <v>29656</v>
      </c>
      <c r="X6543" s="10" t="s">
        <v>29657</v>
      </c>
      <c r="Y6543" s="6" t="s">
        <v>42</v>
      </c>
      <c r="Z6543" s="4">
        <v>0.9</v>
      </c>
      <c r="AA6543" s="4">
        <v>3.53</v>
      </c>
      <c r="AB6543" s="3" t="s">
        <v>56</v>
      </c>
      <c r="AC6543" s="3" t="s">
        <v>29658</v>
      </c>
      <c r="AD6543" s="9">
        <v>42628</v>
      </c>
      <c r="AE6543" s="3" t="s">
        <v>1422</v>
      </c>
      <c r="AF6543" s="3" t="s">
        <v>7239</v>
      </c>
      <c r="AG6543" s="3" t="s">
        <v>81</v>
      </c>
      <c r="AH6543" s="11">
        <f>HYPERLINK("https://my.pitchbook.com?c=134436-34T","View Company Online")</f>
      </c>
    </row>
    <row r="6544">
      <c r="A6544" s="12" t="s">
        <v>29659</v>
      </c>
      <c r="B6544" s="12" t="s">
        <v>13797</v>
      </c>
      <c r="C6544" s="19" t="s">
        <v>36</v>
      </c>
      <c r="D6544" s="19" t="s">
        <v>36</v>
      </c>
      <c r="E6544" s="19" t="s">
        <v>36</v>
      </c>
      <c r="F6544" s="19" t="s">
        <v>36</v>
      </c>
      <c r="G6544" s="15" t="s">
        <v>36</v>
      </c>
      <c r="H6544" s="14" t="s">
        <v>36</v>
      </c>
      <c r="I6544" s="18" t="s">
        <v>36</v>
      </c>
      <c r="J6544" s="12" t="s">
        <v>36</v>
      </c>
      <c r="K6544" s="13" t="s">
        <v>36</v>
      </c>
      <c r="L6544" s="15" t="s">
        <v>36</v>
      </c>
      <c r="M6544" s="12" t="s">
        <v>36</v>
      </c>
      <c r="N6544" s="12" t="s">
        <v>36</v>
      </c>
      <c r="O6544" s="17" t="s">
        <v>36</v>
      </c>
      <c r="P6544" s="12" t="s">
        <v>36</v>
      </c>
      <c r="Q6544" s="12" t="s">
        <v>36</v>
      </c>
      <c r="R6544" s="12" t="s">
        <v>36</v>
      </c>
      <c r="S6544" s="12" t="s">
        <v>2699</v>
      </c>
      <c r="T6544" s="12" t="s">
        <v>13798</v>
      </c>
      <c r="U6544" s="12" t="s">
        <v>619</v>
      </c>
      <c r="V6544" s="12" t="s">
        <v>378</v>
      </c>
      <c r="W6544" s="12" t="s">
        <v>13799</v>
      </c>
      <c r="X6544" s="16" t="s">
        <v>29660</v>
      </c>
      <c r="Y6544" s="15" t="s">
        <v>108</v>
      </c>
      <c r="Z6544" s="14">
        <v>8.99</v>
      </c>
      <c r="AA6544" s="14" t="s">
        <v>36</v>
      </c>
      <c r="AB6544" s="12" t="s">
        <v>43</v>
      </c>
      <c r="AC6544" s="12" t="s">
        <v>13801</v>
      </c>
      <c r="AD6544" s="13">
        <v>42628</v>
      </c>
      <c r="AE6544" s="12" t="s">
        <v>2040</v>
      </c>
      <c r="AF6544" s="12" t="s">
        <v>2369</v>
      </c>
      <c r="AG6544" s="12" t="s">
        <v>13802</v>
      </c>
      <c r="AH6544" s="1">
        <f>HYPERLINK("https://my.pitchbook.com?c=201129-67T","View Company Online")</f>
      </c>
    </row>
    <row r="6545">
      <c r="A6545" s="3" t="s">
        <v>29661</v>
      </c>
      <c r="B6545" s="3" t="s">
        <v>19424</v>
      </c>
      <c r="C6545" s="5" t="s">
        <v>36</v>
      </c>
      <c r="D6545" s="5">
        <v>14</v>
      </c>
      <c r="E6545" s="5">
        <v>5</v>
      </c>
      <c r="F6545" s="5">
        <v>19</v>
      </c>
      <c r="G6545" s="6" t="s">
        <v>36</v>
      </c>
      <c r="H6545" s="4">
        <v>2.54</v>
      </c>
      <c r="I6545" s="7">
        <v>37.05</v>
      </c>
      <c r="J6545" s="3" t="s">
        <v>521</v>
      </c>
      <c r="K6545" s="9" t="s">
        <v>36</v>
      </c>
      <c r="L6545" s="6" t="s">
        <v>36</v>
      </c>
      <c r="M6545" s="3" t="s">
        <v>36</v>
      </c>
      <c r="N6545" s="3" t="s">
        <v>36</v>
      </c>
      <c r="O6545" s="8" t="s">
        <v>36</v>
      </c>
      <c r="P6545" s="3" t="s">
        <v>36</v>
      </c>
      <c r="Q6545" s="3" t="s">
        <v>36</v>
      </c>
      <c r="R6545" s="3" t="s">
        <v>36</v>
      </c>
      <c r="S6545" s="3" t="s">
        <v>36</v>
      </c>
      <c r="T6545" s="3" t="s">
        <v>16247</v>
      </c>
      <c r="U6545" s="3" t="s">
        <v>1357</v>
      </c>
      <c r="V6545" s="3" t="s">
        <v>52</v>
      </c>
      <c r="W6545" s="3" t="s">
        <v>19425</v>
      </c>
      <c r="X6545" s="10" t="s">
        <v>29662</v>
      </c>
      <c r="Y6545" s="6" t="s">
        <v>42</v>
      </c>
      <c r="Z6545" s="4">
        <v>7.53</v>
      </c>
      <c r="AA6545" s="4">
        <v>15.47</v>
      </c>
      <c r="AB6545" s="3" t="s">
        <v>56</v>
      </c>
      <c r="AC6545" s="3" t="s">
        <v>19427</v>
      </c>
      <c r="AD6545" s="9">
        <v>42627</v>
      </c>
      <c r="AE6545" s="3" t="s">
        <v>3204</v>
      </c>
      <c r="AF6545" s="3" t="s">
        <v>19428</v>
      </c>
      <c r="AG6545" s="3" t="s">
        <v>81</v>
      </c>
      <c r="AH6545" s="11">
        <f>HYPERLINK("https://my.pitchbook.com?c=75691-45T","View Company Online")</f>
      </c>
    </row>
    <row r="6546">
      <c r="A6546" s="12" t="s">
        <v>29663</v>
      </c>
      <c r="B6546" s="12" t="s">
        <v>29664</v>
      </c>
      <c r="C6546" s="19" t="s">
        <v>36</v>
      </c>
      <c r="D6546" s="19">
        <v>7</v>
      </c>
      <c r="E6546" s="19">
        <v>1</v>
      </c>
      <c r="F6546" s="19">
        <v>8</v>
      </c>
      <c r="G6546" s="15" t="s">
        <v>36</v>
      </c>
      <c r="H6546" s="14" t="s">
        <v>36</v>
      </c>
      <c r="I6546" s="18" t="s">
        <v>36</v>
      </c>
      <c r="J6546" s="12" t="s">
        <v>36</v>
      </c>
      <c r="K6546" s="13" t="s">
        <v>36</v>
      </c>
      <c r="L6546" s="15" t="s">
        <v>122</v>
      </c>
      <c r="M6546" s="12" t="s">
        <v>36</v>
      </c>
      <c r="N6546" s="12" t="s">
        <v>122</v>
      </c>
      <c r="O6546" s="17" t="s">
        <v>36</v>
      </c>
      <c r="P6546" s="12" t="s">
        <v>36</v>
      </c>
      <c r="Q6546" s="12" t="s">
        <v>36</v>
      </c>
      <c r="R6546" s="12" t="s">
        <v>36</v>
      </c>
      <c r="S6546" s="12" t="s">
        <v>36</v>
      </c>
      <c r="T6546" s="12" t="s">
        <v>29297</v>
      </c>
      <c r="U6546" s="12" t="s">
        <v>51</v>
      </c>
      <c r="V6546" s="12" t="s">
        <v>52</v>
      </c>
      <c r="W6546" s="12" t="s">
        <v>29665</v>
      </c>
      <c r="X6546" s="16" t="s">
        <v>15887</v>
      </c>
      <c r="Y6546" s="15" t="s">
        <v>42</v>
      </c>
      <c r="Z6546" s="14">
        <v>1.12</v>
      </c>
      <c r="AA6546" s="14" t="s">
        <v>36</v>
      </c>
      <c r="AB6546" s="12" t="s">
        <v>43</v>
      </c>
      <c r="AC6546" s="12" t="s">
        <v>29666</v>
      </c>
      <c r="AD6546" s="13">
        <v>42626</v>
      </c>
      <c r="AE6546" s="12" t="s">
        <v>158</v>
      </c>
      <c r="AF6546" s="12" t="s">
        <v>159</v>
      </c>
      <c r="AG6546" s="12" t="s">
        <v>81</v>
      </c>
      <c r="AH6546" s="1">
        <f>HYPERLINK("https://my.pitchbook.com?c=75561-31T","View Company Online")</f>
      </c>
    </row>
    <row r="6547">
      <c r="A6547" s="3" t="s">
        <v>29667</v>
      </c>
      <c r="B6547" s="3" t="s">
        <v>16697</v>
      </c>
      <c r="C6547" s="5" t="s">
        <v>36</v>
      </c>
      <c r="D6547" s="5" t="s">
        <v>36</v>
      </c>
      <c r="E6547" s="5" t="s">
        <v>36</v>
      </c>
      <c r="F6547" s="5" t="s">
        <v>36</v>
      </c>
      <c r="G6547" s="6" t="s">
        <v>326</v>
      </c>
      <c r="H6547" s="4">
        <v>17.01</v>
      </c>
      <c r="I6547" s="7">
        <v>34.12</v>
      </c>
      <c r="J6547" s="3" t="s">
        <v>521</v>
      </c>
      <c r="K6547" s="9">
        <v>42551</v>
      </c>
      <c r="L6547" s="6" t="s">
        <v>94</v>
      </c>
      <c r="M6547" s="3" t="s">
        <v>36</v>
      </c>
      <c r="N6547" s="3" t="s">
        <v>94</v>
      </c>
      <c r="O6547" s="8" t="s">
        <v>36</v>
      </c>
      <c r="P6547" s="3" t="s">
        <v>36</v>
      </c>
      <c r="Q6547" s="3" t="s">
        <v>36</v>
      </c>
      <c r="R6547" s="3" t="s">
        <v>36</v>
      </c>
      <c r="S6547" s="3" t="s">
        <v>36</v>
      </c>
      <c r="T6547" s="3" t="s">
        <v>7415</v>
      </c>
      <c r="U6547" s="3" t="s">
        <v>38</v>
      </c>
      <c r="V6547" s="3" t="s">
        <v>39</v>
      </c>
      <c r="W6547" s="3" t="s">
        <v>16698</v>
      </c>
      <c r="X6547" s="10" t="s">
        <v>29668</v>
      </c>
      <c r="Y6547" s="6" t="s">
        <v>55</v>
      </c>
      <c r="Z6547" s="4">
        <v>6.74</v>
      </c>
      <c r="AA6547" s="4">
        <v>19.75</v>
      </c>
      <c r="AB6547" s="3" t="s">
        <v>56</v>
      </c>
      <c r="AC6547" s="3" t="s">
        <v>16700</v>
      </c>
      <c r="AD6547" s="9">
        <v>42626</v>
      </c>
      <c r="AE6547" s="3" t="s">
        <v>1422</v>
      </c>
      <c r="AF6547" s="3" t="s">
        <v>4842</v>
      </c>
      <c r="AG6547" s="3" t="s">
        <v>81</v>
      </c>
      <c r="AH6547" s="11">
        <f>HYPERLINK("https://my.pitchbook.com?c=75553-66T","View Company Online")</f>
      </c>
    </row>
    <row r="6548">
      <c r="A6548" s="12" t="s">
        <v>29669</v>
      </c>
      <c r="B6548" s="12" t="s">
        <v>29670</v>
      </c>
      <c r="C6548" s="19" t="s">
        <v>36</v>
      </c>
      <c r="D6548" s="19">
        <v>1</v>
      </c>
      <c r="E6548" s="19">
        <v>2</v>
      </c>
      <c r="F6548" s="19">
        <v>3</v>
      </c>
      <c r="G6548" s="15" t="s">
        <v>326</v>
      </c>
      <c r="H6548" s="14">
        <v>185.39</v>
      </c>
      <c r="I6548" s="18">
        <v>38.76</v>
      </c>
      <c r="J6548" s="12" t="s">
        <v>521</v>
      </c>
      <c r="K6548" s="13">
        <v>42421</v>
      </c>
      <c r="L6548" s="15" t="s">
        <v>94</v>
      </c>
      <c r="M6548" s="12" t="s">
        <v>36</v>
      </c>
      <c r="N6548" s="12" t="s">
        <v>94</v>
      </c>
      <c r="O6548" s="17" t="s">
        <v>36</v>
      </c>
      <c r="P6548" s="12" t="s">
        <v>36</v>
      </c>
      <c r="Q6548" s="12" t="s">
        <v>36</v>
      </c>
      <c r="R6548" s="12" t="s">
        <v>36</v>
      </c>
      <c r="S6548" s="12" t="s">
        <v>36</v>
      </c>
      <c r="T6548" s="12" t="s">
        <v>1701</v>
      </c>
      <c r="U6548" s="12" t="s">
        <v>74</v>
      </c>
      <c r="V6548" s="12" t="s">
        <v>75</v>
      </c>
      <c r="W6548" s="12" t="s">
        <v>29671</v>
      </c>
      <c r="X6548" s="16" t="s">
        <v>29672</v>
      </c>
      <c r="Y6548" s="15" t="s">
        <v>192</v>
      </c>
      <c r="Z6548" s="14">
        <v>7.2</v>
      </c>
      <c r="AA6548" s="14">
        <v>18.57</v>
      </c>
      <c r="AB6548" s="12" t="s">
        <v>56</v>
      </c>
      <c r="AC6548" s="12" t="s">
        <v>29673</v>
      </c>
      <c r="AD6548" s="13">
        <v>42625</v>
      </c>
      <c r="AE6548" s="12" t="s">
        <v>79</v>
      </c>
      <c r="AF6548" s="12" t="s">
        <v>6214</v>
      </c>
      <c r="AG6548" s="12" t="s">
        <v>81</v>
      </c>
      <c r="AH6548" s="1">
        <f>HYPERLINK("https://my.pitchbook.com?c=75548-98T","View Company Online")</f>
      </c>
    </row>
    <row r="6549">
      <c r="A6549" s="3" t="s">
        <v>29674</v>
      </c>
      <c r="B6549" s="3" t="s">
        <v>29675</v>
      </c>
      <c r="C6549" s="5" t="s">
        <v>36</v>
      </c>
      <c r="D6549" s="5" t="s">
        <v>36</v>
      </c>
      <c r="E6549" s="5" t="s">
        <v>36</v>
      </c>
      <c r="F6549" s="5" t="s">
        <v>36</v>
      </c>
      <c r="G6549" s="6" t="s">
        <v>683</v>
      </c>
      <c r="H6549" s="4">
        <v>55.51</v>
      </c>
      <c r="I6549" s="7">
        <v>7.23</v>
      </c>
      <c r="J6549" s="3" t="s">
        <v>521</v>
      </c>
      <c r="K6549" s="9">
        <v>42598</v>
      </c>
      <c r="L6549" s="6" t="s">
        <v>36</v>
      </c>
      <c r="M6549" s="3" t="s">
        <v>36</v>
      </c>
      <c r="N6549" s="3" t="s">
        <v>36</v>
      </c>
      <c r="O6549" s="8" t="s">
        <v>36</v>
      </c>
      <c r="P6549" s="3" t="s">
        <v>36</v>
      </c>
      <c r="Q6549" s="3" t="s">
        <v>36</v>
      </c>
      <c r="R6549" s="3" t="s">
        <v>36</v>
      </c>
      <c r="S6549" s="3" t="s">
        <v>36</v>
      </c>
      <c r="T6549" s="3" t="s">
        <v>5512</v>
      </c>
      <c r="U6549" s="3" t="s">
        <v>38</v>
      </c>
      <c r="V6549" s="3" t="s">
        <v>39</v>
      </c>
      <c r="W6549" s="3" t="s">
        <v>29676</v>
      </c>
      <c r="X6549" s="10" t="s">
        <v>29677</v>
      </c>
      <c r="Y6549" s="6" t="s">
        <v>55</v>
      </c>
      <c r="Z6549" s="4">
        <v>2.41</v>
      </c>
      <c r="AA6549" s="4">
        <v>33.35</v>
      </c>
      <c r="AB6549" s="3" t="s">
        <v>43</v>
      </c>
      <c r="AC6549" s="3" t="s">
        <v>29678</v>
      </c>
      <c r="AD6549" s="9">
        <v>42625</v>
      </c>
      <c r="AE6549" s="3" t="s">
        <v>45</v>
      </c>
      <c r="AF6549" s="3" t="s">
        <v>7466</v>
      </c>
      <c r="AG6549" s="3" t="s">
        <v>29679</v>
      </c>
      <c r="AH6549" s="11">
        <f>HYPERLINK("https://my.pitchbook.com?c=75528-37T","View Company Online")</f>
      </c>
    </row>
    <row r="6550">
      <c r="A6550" s="12" t="s">
        <v>29680</v>
      </c>
      <c r="B6550" s="12" t="s">
        <v>29681</v>
      </c>
      <c r="C6550" s="19" t="s">
        <v>36</v>
      </c>
      <c r="D6550" s="19" t="s">
        <v>36</v>
      </c>
      <c r="E6550" s="19" t="s">
        <v>36</v>
      </c>
      <c r="F6550" s="19" t="s">
        <v>36</v>
      </c>
      <c r="G6550" s="15" t="s">
        <v>36</v>
      </c>
      <c r="H6550" s="14">
        <v>25.96</v>
      </c>
      <c r="I6550" s="18">
        <v>37.5</v>
      </c>
      <c r="J6550" s="12" t="s">
        <v>521</v>
      </c>
      <c r="K6550" s="13" t="s">
        <v>36</v>
      </c>
      <c r="L6550" s="15" t="s">
        <v>36</v>
      </c>
      <c r="M6550" s="12" t="s">
        <v>36</v>
      </c>
      <c r="N6550" s="12" t="s">
        <v>36</v>
      </c>
      <c r="O6550" s="17" t="s">
        <v>36</v>
      </c>
      <c r="P6550" s="12" t="s">
        <v>36</v>
      </c>
      <c r="Q6550" s="12" t="s">
        <v>36</v>
      </c>
      <c r="R6550" s="12" t="s">
        <v>36</v>
      </c>
      <c r="S6550" s="12" t="s">
        <v>36</v>
      </c>
      <c r="T6550" s="12" t="s">
        <v>147</v>
      </c>
      <c r="U6550" s="12" t="s">
        <v>74</v>
      </c>
      <c r="V6550" s="12" t="s">
        <v>75</v>
      </c>
      <c r="W6550" s="12" t="s">
        <v>29682</v>
      </c>
      <c r="X6550" s="16" t="s">
        <v>29683</v>
      </c>
      <c r="Y6550" s="15" t="s">
        <v>42</v>
      </c>
      <c r="Z6550" s="14">
        <v>1.01</v>
      </c>
      <c r="AA6550" s="14">
        <v>1.8</v>
      </c>
      <c r="AB6550" s="12" t="s">
        <v>43</v>
      </c>
      <c r="AC6550" s="12" t="s">
        <v>29684</v>
      </c>
      <c r="AD6550" s="13">
        <v>42624</v>
      </c>
      <c r="AE6550" s="12" t="s">
        <v>79</v>
      </c>
      <c r="AF6550" s="12" t="s">
        <v>80</v>
      </c>
      <c r="AG6550" s="12" t="s">
        <v>741</v>
      </c>
      <c r="AH6550" s="1">
        <f>HYPERLINK("https://my.pitchbook.com?c=120386-89T","View Company Online")</f>
      </c>
    </row>
    <row r="6551">
      <c r="A6551" s="3" t="s">
        <v>29685</v>
      </c>
      <c r="B6551" s="3" t="s">
        <v>19301</v>
      </c>
      <c r="C6551" s="5" t="s">
        <v>36</v>
      </c>
      <c r="D6551" s="5" t="s">
        <v>36</v>
      </c>
      <c r="E6551" s="5" t="s">
        <v>36</v>
      </c>
      <c r="F6551" s="5" t="s">
        <v>36</v>
      </c>
      <c r="G6551" s="6" t="s">
        <v>326</v>
      </c>
      <c r="H6551" s="4" t="s">
        <v>36</v>
      </c>
      <c r="I6551" s="7">
        <v>41.76</v>
      </c>
      <c r="J6551" s="3" t="s">
        <v>327</v>
      </c>
      <c r="K6551" s="9" t="s">
        <v>36</v>
      </c>
      <c r="L6551" s="6" t="s">
        <v>94</v>
      </c>
      <c r="M6551" s="3" t="s">
        <v>36</v>
      </c>
      <c r="N6551" s="3" t="s">
        <v>94</v>
      </c>
      <c r="O6551" s="8" t="s">
        <v>36</v>
      </c>
      <c r="P6551" s="3" t="s">
        <v>36</v>
      </c>
      <c r="Q6551" s="3" t="s">
        <v>36</v>
      </c>
      <c r="R6551" s="3" t="s">
        <v>36</v>
      </c>
      <c r="S6551" s="3" t="s">
        <v>36</v>
      </c>
      <c r="T6551" s="3" t="s">
        <v>522</v>
      </c>
      <c r="U6551" s="3" t="s">
        <v>38</v>
      </c>
      <c r="V6551" s="3" t="s">
        <v>39</v>
      </c>
      <c r="W6551" s="3" t="s">
        <v>19302</v>
      </c>
      <c r="X6551" s="10" t="s">
        <v>29686</v>
      </c>
      <c r="Y6551" s="6" t="s">
        <v>55</v>
      </c>
      <c r="Z6551" s="4">
        <v>22.43</v>
      </c>
      <c r="AA6551" s="4">
        <v>53.72</v>
      </c>
      <c r="AB6551" s="3" t="s">
        <v>43</v>
      </c>
      <c r="AC6551" s="3" t="s">
        <v>19304</v>
      </c>
      <c r="AD6551" s="9">
        <v>42620</v>
      </c>
      <c r="AE6551" s="3" t="s">
        <v>110</v>
      </c>
      <c r="AF6551" s="3" t="s">
        <v>2210</v>
      </c>
      <c r="AG6551" s="3" t="s">
        <v>81</v>
      </c>
      <c r="AH6551" s="11">
        <f>HYPERLINK("https://my.pitchbook.com?c=75307-96T","View Company Online")</f>
      </c>
    </row>
    <row r="6552">
      <c r="A6552" s="12" t="s">
        <v>29687</v>
      </c>
      <c r="B6552" s="12" t="s">
        <v>29688</v>
      </c>
      <c r="C6552" s="19" t="s">
        <v>36</v>
      </c>
      <c r="D6552" s="19" t="s">
        <v>36</v>
      </c>
      <c r="E6552" s="19" t="s">
        <v>36</v>
      </c>
      <c r="F6552" s="19" t="s">
        <v>36</v>
      </c>
      <c r="G6552" s="15" t="s">
        <v>36</v>
      </c>
      <c r="H6552" s="14">
        <v>19.73</v>
      </c>
      <c r="I6552" s="18">
        <v>11.63</v>
      </c>
      <c r="J6552" s="12" t="s">
        <v>521</v>
      </c>
      <c r="K6552" s="13" t="s">
        <v>36</v>
      </c>
      <c r="L6552" s="15" t="s">
        <v>36</v>
      </c>
      <c r="M6552" s="12" t="s">
        <v>36</v>
      </c>
      <c r="N6552" s="12" t="s">
        <v>36</v>
      </c>
      <c r="O6552" s="17" t="s">
        <v>36</v>
      </c>
      <c r="P6552" s="12" t="s">
        <v>36</v>
      </c>
      <c r="Q6552" s="12" t="s">
        <v>36</v>
      </c>
      <c r="R6552" s="12" t="s">
        <v>36</v>
      </c>
      <c r="S6552" s="12" t="s">
        <v>36</v>
      </c>
      <c r="T6552" s="12" t="s">
        <v>29689</v>
      </c>
      <c r="U6552" s="12" t="s">
        <v>38</v>
      </c>
      <c r="V6552" s="12" t="s">
        <v>39</v>
      </c>
      <c r="W6552" s="12" t="s">
        <v>29690</v>
      </c>
      <c r="X6552" s="16" t="s">
        <v>1282</v>
      </c>
      <c r="Y6552" s="15" t="s">
        <v>42</v>
      </c>
      <c r="Z6552" s="14">
        <v>0.28</v>
      </c>
      <c r="AA6552" s="14">
        <v>2.41</v>
      </c>
      <c r="AB6552" s="12" t="s">
        <v>43</v>
      </c>
      <c r="AC6552" s="12" t="s">
        <v>29691</v>
      </c>
      <c r="AD6552" s="13">
        <v>42620</v>
      </c>
      <c r="AE6552" s="12" t="s">
        <v>110</v>
      </c>
      <c r="AF6552" s="12" t="s">
        <v>10147</v>
      </c>
      <c r="AG6552" s="12" t="s">
        <v>81</v>
      </c>
      <c r="AH6552" s="1">
        <f>HYPERLINK("https://my.pitchbook.com?c=75614-32T","View Company Online")</f>
      </c>
    </row>
    <row r="6553">
      <c r="A6553" s="3" t="s">
        <v>29692</v>
      </c>
      <c r="B6553" s="3" t="s">
        <v>22596</v>
      </c>
      <c r="C6553" s="5" t="s">
        <v>36</v>
      </c>
      <c r="D6553" s="5" t="s">
        <v>36</v>
      </c>
      <c r="E6553" s="5" t="s">
        <v>36</v>
      </c>
      <c r="F6553" s="5" t="s">
        <v>36</v>
      </c>
      <c r="G6553" s="6" t="s">
        <v>326</v>
      </c>
      <c r="H6553" s="4">
        <v>27.98</v>
      </c>
      <c r="I6553" s="7">
        <v>40.8</v>
      </c>
      <c r="J6553" s="3" t="s">
        <v>521</v>
      </c>
      <c r="K6553" s="9" t="s">
        <v>36</v>
      </c>
      <c r="L6553" s="6" t="s">
        <v>94</v>
      </c>
      <c r="M6553" s="3" t="s">
        <v>36</v>
      </c>
      <c r="N6553" s="3" t="s">
        <v>94</v>
      </c>
      <c r="O6553" s="8" t="s">
        <v>36</v>
      </c>
      <c r="P6553" s="3" t="s">
        <v>36</v>
      </c>
      <c r="Q6553" s="3" t="s">
        <v>36</v>
      </c>
      <c r="R6553" s="3" t="s">
        <v>36</v>
      </c>
      <c r="S6553" s="3" t="s">
        <v>36</v>
      </c>
      <c r="T6553" s="3" t="s">
        <v>22597</v>
      </c>
      <c r="U6553" s="3" t="s">
        <v>289</v>
      </c>
      <c r="V6553" s="3" t="s">
        <v>64</v>
      </c>
      <c r="W6553" s="3" t="s">
        <v>22598</v>
      </c>
      <c r="X6553" s="10" t="s">
        <v>29693</v>
      </c>
      <c r="Y6553" s="6" t="s">
        <v>55</v>
      </c>
      <c r="Z6553" s="4">
        <v>10.84</v>
      </c>
      <c r="AA6553" s="4">
        <v>26.56</v>
      </c>
      <c r="AB6553" s="3" t="s">
        <v>43</v>
      </c>
      <c r="AC6553" s="3" t="s">
        <v>22600</v>
      </c>
      <c r="AD6553" s="9">
        <v>42619</v>
      </c>
      <c r="AE6553" s="3" t="s">
        <v>3134</v>
      </c>
      <c r="AF6553" s="3" t="s">
        <v>22601</v>
      </c>
      <c r="AG6553" s="3" t="s">
        <v>81</v>
      </c>
      <c r="AH6553" s="11">
        <f>HYPERLINK("https://my.pitchbook.com?c=75265-75T","View Company Online")</f>
      </c>
    </row>
    <row r="6554">
      <c r="A6554" s="12" t="s">
        <v>29694</v>
      </c>
      <c r="B6554" s="12" t="s">
        <v>12151</v>
      </c>
      <c r="C6554" s="19" t="s">
        <v>36</v>
      </c>
      <c r="D6554" s="19">
        <v>4</v>
      </c>
      <c r="E6554" s="19">
        <v>2</v>
      </c>
      <c r="F6554" s="19">
        <v>4</v>
      </c>
      <c r="G6554" s="15" t="s">
        <v>326</v>
      </c>
      <c r="H6554" s="14">
        <v>9.87</v>
      </c>
      <c r="I6554" s="18">
        <v>7.84</v>
      </c>
      <c r="J6554" s="12" t="s">
        <v>521</v>
      </c>
      <c r="K6554" s="13">
        <v>42244</v>
      </c>
      <c r="L6554" s="15" t="s">
        <v>3736</v>
      </c>
      <c r="M6554" s="12" t="s">
        <v>36</v>
      </c>
      <c r="N6554" s="12" t="s">
        <v>3736</v>
      </c>
      <c r="O6554" s="17" t="s">
        <v>36</v>
      </c>
      <c r="P6554" s="12" t="s">
        <v>36</v>
      </c>
      <c r="Q6554" s="12" t="s">
        <v>3530</v>
      </c>
      <c r="R6554" s="12" t="s">
        <v>36</v>
      </c>
      <c r="S6554" s="12" t="s">
        <v>36</v>
      </c>
      <c r="T6554" s="12" t="s">
        <v>4692</v>
      </c>
      <c r="U6554" s="12" t="s">
        <v>85</v>
      </c>
      <c r="V6554" s="12" t="s">
        <v>64</v>
      </c>
      <c r="W6554" s="12" t="s">
        <v>12152</v>
      </c>
      <c r="X6554" s="16" t="s">
        <v>29695</v>
      </c>
      <c r="Y6554" s="15" t="s">
        <v>166</v>
      </c>
      <c r="Z6554" s="14">
        <v>135.66</v>
      </c>
      <c r="AA6554" s="14">
        <v>1405.53</v>
      </c>
      <c r="AB6554" s="12" t="s">
        <v>56</v>
      </c>
      <c r="AC6554" s="12" t="s">
        <v>12155</v>
      </c>
      <c r="AD6554" s="13">
        <v>42619</v>
      </c>
      <c r="AE6554" s="12" t="s">
        <v>89</v>
      </c>
      <c r="AF6554" s="12" t="s">
        <v>12156</v>
      </c>
      <c r="AG6554" s="12" t="s">
        <v>81</v>
      </c>
      <c r="AH6554" s="1">
        <f>HYPERLINK("https://my.pitchbook.com?c=55036-99T","View Company Online")</f>
      </c>
    </row>
    <row r="6555">
      <c r="A6555" s="3" t="s">
        <v>29696</v>
      </c>
      <c r="B6555" s="3" t="s">
        <v>29697</v>
      </c>
      <c r="C6555" s="5" t="s">
        <v>36</v>
      </c>
      <c r="D6555" s="5">
        <v>2</v>
      </c>
      <c r="E6555" s="5">
        <v>1</v>
      </c>
      <c r="F6555" s="5">
        <v>2</v>
      </c>
      <c r="G6555" s="6" t="s">
        <v>36</v>
      </c>
      <c r="H6555" s="4" t="s">
        <v>36</v>
      </c>
      <c r="I6555" s="7" t="s">
        <v>36</v>
      </c>
      <c r="J6555" s="3" t="s">
        <v>36</v>
      </c>
      <c r="K6555" s="9" t="s">
        <v>36</v>
      </c>
      <c r="L6555" s="6" t="s">
        <v>36</v>
      </c>
      <c r="M6555" s="3" t="s">
        <v>36</v>
      </c>
      <c r="N6555" s="3" t="s">
        <v>36</v>
      </c>
      <c r="O6555" s="8" t="s">
        <v>36</v>
      </c>
      <c r="P6555" s="3" t="s">
        <v>36</v>
      </c>
      <c r="Q6555" s="3" t="s">
        <v>36</v>
      </c>
      <c r="R6555" s="3" t="s">
        <v>36</v>
      </c>
      <c r="S6555" s="3" t="s">
        <v>36</v>
      </c>
      <c r="T6555" s="3" t="s">
        <v>7815</v>
      </c>
      <c r="U6555" s="3" t="s">
        <v>219</v>
      </c>
      <c r="V6555" s="3" t="s">
        <v>75</v>
      </c>
      <c r="W6555" s="3" t="s">
        <v>29698</v>
      </c>
      <c r="X6555" s="10" t="s">
        <v>29699</v>
      </c>
      <c r="Y6555" s="6" t="s">
        <v>42</v>
      </c>
      <c r="Z6555" s="4">
        <v>0.56</v>
      </c>
      <c r="AA6555" s="4" t="s">
        <v>36</v>
      </c>
      <c r="AB6555" s="3" t="s">
        <v>43</v>
      </c>
      <c r="AC6555" s="3" t="s">
        <v>29700</v>
      </c>
      <c r="AD6555" s="9">
        <v>42619</v>
      </c>
      <c r="AE6555" s="3" t="s">
        <v>7093</v>
      </c>
      <c r="AF6555" s="3" t="s">
        <v>12029</v>
      </c>
      <c r="AG6555" s="3" t="s">
        <v>29701</v>
      </c>
      <c r="AH6555" s="11">
        <f>HYPERLINK("https://my.pitchbook.com?c=81394-21T","View Company Online")</f>
      </c>
    </row>
    <row r="6556">
      <c r="A6556" s="12" t="s">
        <v>29702</v>
      </c>
      <c r="B6556" s="12" t="s">
        <v>21770</v>
      </c>
      <c r="C6556" s="19" t="s">
        <v>36</v>
      </c>
      <c r="D6556" s="19" t="s">
        <v>36</v>
      </c>
      <c r="E6556" s="19" t="s">
        <v>36</v>
      </c>
      <c r="F6556" s="19" t="s">
        <v>36</v>
      </c>
      <c r="G6556" s="15" t="s">
        <v>36</v>
      </c>
      <c r="H6556" s="14">
        <v>19.17</v>
      </c>
      <c r="I6556" s="18">
        <v>30.23</v>
      </c>
      <c r="J6556" s="12" t="s">
        <v>521</v>
      </c>
      <c r="K6556" s="13" t="s">
        <v>36</v>
      </c>
      <c r="L6556" s="15" t="s">
        <v>36</v>
      </c>
      <c r="M6556" s="12" t="s">
        <v>36</v>
      </c>
      <c r="N6556" s="12" t="s">
        <v>36</v>
      </c>
      <c r="O6556" s="17" t="s">
        <v>36</v>
      </c>
      <c r="P6556" s="12" t="s">
        <v>36</v>
      </c>
      <c r="Q6556" s="12" t="s">
        <v>36</v>
      </c>
      <c r="R6556" s="12" t="s">
        <v>36</v>
      </c>
      <c r="S6556" s="12" t="s">
        <v>36</v>
      </c>
      <c r="T6556" s="12" t="s">
        <v>1701</v>
      </c>
      <c r="U6556" s="12" t="s">
        <v>74</v>
      </c>
      <c r="V6556" s="12" t="s">
        <v>75</v>
      </c>
      <c r="W6556" s="12" t="s">
        <v>21771</v>
      </c>
      <c r="X6556" s="16" t="s">
        <v>29703</v>
      </c>
      <c r="Y6556" s="15" t="s">
        <v>42</v>
      </c>
      <c r="Z6556" s="14">
        <v>1.12</v>
      </c>
      <c r="AA6556" s="14">
        <v>1.93</v>
      </c>
      <c r="AB6556" s="12" t="s">
        <v>43</v>
      </c>
      <c r="AC6556" s="12" t="s">
        <v>21773</v>
      </c>
      <c r="AD6556" s="13">
        <v>42619</v>
      </c>
      <c r="AE6556" s="12" t="s">
        <v>79</v>
      </c>
      <c r="AF6556" s="12" t="s">
        <v>905</v>
      </c>
      <c r="AG6556" s="12" t="s">
        <v>899</v>
      </c>
      <c r="AH6556" s="1">
        <f>HYPERLINK("https://my.pitchbook.com?c=122838-58T","View Company Online")</f>
      </c>
    </row>
    <row r="6557">
      <c r="A6557" s="3" t="s">
        <v>29704</v>
      </c>
      <c r="B6557" s="3" t="s">
        <v>29705</v>
      </c>
      <c r="C6557" s="5" t="s">
        <v>36</v>
      </c>
      <c r="D6557" s="5" t="s">
        <v>36</v>
      </c>
      <c r="E6557" s="5" t="s">
        <v>36</v>
      </c>
      <c r="F6557" s="5" t="s">
        <v>36</v>
      </c>
      <c r="G6557" s="6" t="s">
        <v>326</v>
      </c>
      <c r="H6557" s="4">
        <v>18.1</v>
      </c>
      <c r="I6557" s="7">
        <v>38.47</v>
      </c>
      <c r="J6557" s="3" t="s">
        <v>521</v>
      </c>
      <c r="K6557" s="9" t="s">
        <v>36</v>
      </c>
      <c r="L6557" s="6" t="s">
        <v>36</v>
      </c>
      <c r="M6557" s="3" t="s">
        <v>36</v>
      </c>
      <c r="N6557" s="3" t="s">
        <v>36</v>
      </c>
      <c r="O6557" s="8" t="s">
        <v>36</v>
      </c>
      <c r="P6557" s="3" t="s">
        <v>36</v>
      </c>
      <c r="Q6557" s="3" t="s">
        <v>36</v>
      </c>
      <c r="R6557" s="3" t="s">
        <v>36</v>
      </c>
      <c r="S6557" s="3" t="s">
        <v>36</v>
      </c>
      <c r="T6557" s="3" t="s">
        <v>17144</v>
      </c>
      <c r="U6557" s="3" t="s">
        <v>51</v>
      </c>
      <c r="V6557" s="3" t="s">
        <v>52</v>
      </c>
      <c r="W6557" s="3" t="s">
        <v>29706</v>
      </c>
      <c r="X6557" s="10" t="s">
        <v>29707</v>
      </c>
      <c r="Y6557" s="6" t="s">
        <v>55</v>
      </c>
      <c r="Z6557" s="4">
        <v>1.4</v>
      </c>
      <c r="AA6557" s="4">
        <v>3.64</v>
      </c>
      <c r="AB6557" s="3" t="s">
        <v>56</v>
      </c>
      <c r="AC6557" s="3" t="s">
        <v>29708</v>
      </c>
      <c r="AD6557" s="9">
        <v>42619</v>
      </c>
      <c r="AE6557" s="3" t="s">
        <v>1060</v>
      </c>
      <c r="AF6557" s="3" t="s">
        <v>579</v>
      </c>
      <c r="AG6557" s="3" t="s">
        <v>741</v>
      </c>
      <c r="AH6557" s="11">
        <f>HYPERLINK("https://my.pitchbook.com?c=75804-94T","View Company Online")</f>
      </c>
    </row>
    <row r="6558">
      <c r="A6558" s="12" t="s">
        <v>29709</v>
      </c>
      <c r="B6558" s="12" t="s">
        <v>29710</v>
      </c>
      <c r="C6558" s="19" t="s">
        <v>36</v>
      </c>
      <c r="D6558" s="19" t="s">
        <v>36</v>
      </c>
      <c r="E6558" s="19" t="s">
        <v>36</v>
      </c>
      <c r="F6558" s="19" t="s">
        <v>36</v>
      </c>
      <c r="G6558" s="15" t="s">
        <v>36</v>
      </c>
      <c r="H6558" s="14">
        <v>77.89</v>
      </c>
      <c r="I6558" s="18">
        <v>32.12</v>
      </c>
      <c r="J6558" s="12" t="s">
        <v>521</v>
      </c>
      <c r="K6558" s="13" t="s">
        <v>36</v>
      </c>
      <c r="L6558" s="15" t="s">
        <v>36</v>
      </c>
      <c r="M6558" s="12" t="s">
        <v>36</v>
      </c>
      <c r="N6558" s="12" t="s">
        <v>36</v>
      </c>
      <c r="O6558" s="17" t="s">
        <v>36</v>
      </c>
      <c r="P6558" s="12" t="s">
        <v>36</v>
      </c>
      <c r="Q6558" s="12" t="s">
        <v>36</v>
      </c>
      <c r="R6558" s="12" t="s">
        <v>36</v>
      </c>
      <c r="S6558" s="12" t="s">
        <v>36</v>
      </c>
      <c r="T6558" s="12" t="s">
        <v>522</v>
      </c>
      <c r="U6558" s="12" t="s">
        <v>38</v>
      </c>
      <c r="V6558" s="12" t="s">
        <v>39</v>
      </c>
      <c r="W6558" s="12" t="s">
        <v>29711</v>
      </c>
      <c r="X6558" s="16" t="s">
        <v>29712</v>
      </c>
      <c r="Y6558" s="15" t="s">
        <v>42</v>
      </c>
      <c r="Z6558" s="14">
        <v>0.48</v>
      </c>
      <c r="AA6558" s="14">
        <v>1.5</v>
      </c>
      <c r="AB6558" s="12" t="s">
        <v>43</v>
      </c>
      <c r="AC6558" s="12" t="s">
        <v>29713</v>
      </c>
      <c r="AD6558" s="13">
        <v>42618</v>
      </c>
      <c r="AE6558" s="12" t="s">
        <v>110</v>
      </c>
      <c r="AF6558" s="12" t="s">
        <v>1401</v>
      </c>
      <c r="AG6558" s="12" t="s">
        <v>47</v>
      </c>
      <c r="AH6558" s="1">
        <f>HYPERLINK("https://my.pitchbook.com?c=192368-98T","View Company Online")</f>
      </c>
    </row>
    <row r="6559">
      <c r="A6559" s="3" t="s">
        <v>29714</v>
      </c>
      <c r="B6559" s="3" t="s">
        <v>29715</v>
      </c>
      <c r="C6559" s="5" t="s">
        <v>36</v>
      </c>
      <c r="D6559" s="5" t="s">
        <v>36</v>
      </c>
      <c r="E6559" s="5" t="s">
        <v>36</v>
      </c>
      <c r="F6559" s="5" t="s">
        <v>36</v>
      </c>
      <c r="G6559" s="6" t="s">
        <v>36</v>
      </c>
      <c r="H6559" s="4" t="s">
        <v>36</v>
      </c>
      <c r="I6559" s="7" t="s">
        <v>36</v>
      </c>
      <c r="J6559" s="3" t="s">
        <v>36</v>
      </c>
      <c r="K6559" s="9" t="s">
        <v>36</v>
      </c>
      <c r="L6559" s="6" t="s">
        <v>122</v>
      </c>
      <c r="M6559" s="3" t="s">
        <v>36</v>
      </c>
      <c r="N6559" s="3" t="s">
        <v>122</v>
      </c>
      <c r="O6559" s="8" t="s">
        <v>36</v>
      </c>
      <c r="P6559" s="3" t="s">
        <v>36</v>
      </c>
      <c r="Q6559" s="3" t="s">
        <v>36</v>
      </c>
      <c r="R6559" s="3" t="s">
        <v>36</v>
      </c>
      <c r="S6559" s="3" t="s">
        <v>36</v>
      </c>
      <c r="T6559" s="3" t="s">
        <v>647</v>
      </c>
      <c r="U6559" s="3" t="s">
        <v>648</v>
      </c>
      <c r="V6559" s="3" t="s">
        <v>64</v>
      </c>
      <c r="W6559" s="3" t="s">
        <v>29716</v>
      </c>
      <c r="X6559" s="10" t="s">
        <v>29717</v>
      </c>
      <c r="Y6559" s="6" t="s">
        <v>42</v>
      </c>
      <c r="Z6559" s="4">
        <v>1.12</v>
      </c>
      <c r="AA6559" s="4" t="s">
        <v>36</v>
      </c>
      <c r="AB6559" s="3" t="s">
        <v>56</v>
      </c>
      <c r="AC6559" s="3" t="s">
        <v>29718</v>
      </c>
      <c r="AD6559" s="9">
        <v>42618</v>
      </c>
      <c r="AE6559" s="3" t="s">
        <v>651</v>
      </c>
      <c r="AF6559" s="3" t="s">
        <v>36</v>
      </c>
      <c r="AG6559" s="3" t="s">
        <v>2088</v>
      </c>
      <c r="AH6559" s="11">
        <f>HYPERLINK("https://my.pitchbook.com?c=123864-85T","View Company Online")</f>
      </c>
    </row>
    <row r="6560">
      <c r="A6560" s="12" t="s">
        <v>29719</v>
      </c>
      <c r="B6560" s="12" t="s">
        <v>29720</v>
      </c>
      <c r="C6560" s="19" t="s">
        <v>36</v>
      </c>
      <c r="D6560" s="19" t="s">
        <v>36</v>
      </c>
      <c r="E6560" s="19" t="s">
        <v>36</v>
      </c>
      <c r="F6560" s="19" t="s">
        <v>36</v>
      </c>
      <c r="G6560" s="15" t="s">
        <v>2497</v>
      </c>
      <c r="H6560" s="14">
        <v>4.39</v>
      </c>
      <c r="I6560" s="18">
        <v>25</v>
      </c>
      <c r="J6560" s="12" t="s">
        <v>521</v>
      </c>
      <c r="K6560" s="13" t="s">
        <v>36</v>
      </c>
      <c r="L6560" s="15" t="s">
        <v>36</v>
      </c>
      <c r="M6560" s="12" t="s">
        <v>36</v>
      </c>
      <c r="N6560" s="12" t="s">
        <v>36</v>
      </c>
      <c r="O6560" s="17" t="s">
        <v>36</v>
      </c>
      <c r="P6560" s="12" t="s">
        <v>36</v>
      </c>
      <c r="Q6560" s="12" t="s">
        <v>36</v>
      </c>
      <c r="R6560" s="12" t="s">
        <v>36</v>
      </c>
      <c r="S6560" s="12" t="s">
        <v>36</v>
      </c>
      <c r="T6560" s="12" t="s">
        <v>28574</v>
      </c>
      <c r="U6560" s="12" t="s">
        <v>74</v>
      </c>
      <c r="V6560" s="12" t="s">
        <v>75</v>
      </c>
      <c r="W6560" s="12" t="s">
        <v>29721</v>
      </c>
      <c r="X6560" s="16" t="s">
        <v>29722</v>
      </c>
      <c r="Y6560" s="15" t="s">
        <v>42</v>
      </c>
      <c r="Z6560" s="14">
        <v>1.34</v>
      </c>
      <c r="AA6560" s="14">
        <v>3.37</v>
      </c>
      <c r="AB6560" s="12" t="s">
        <v>43</v>
      </c>
      <c r="AC6560" s="12" t="s">
        <v>29723</v>
      </c>
      <c r="AD6560" s="13">
        <v>42614</v>
      </c>
      <c r="AE6560" s="12" t="s">
        <v>79</v>
      </c>
      <c r="AF6560" s="12" t="s">
        <v>90</v>
      </c>
      <c r="AG6560" s="12" t="s">
        <v>81</v>
      </c>
      <c r="AH6560" s="1">
        <f>HYPERLINK("https://my.pitchbook.com?c=120461-32T","View Company Online")</f>
      </c>
    </row>
    <row r="6561">
      <c r="A6561" s="3" t="s">
        <v>29724</v>
      </c>
      <c r="B6561" s="3" t="s">
        <v>29725</v>
      </c>
      <c r="C6561" s="5" t="s">
        <v>36</v>
      </c>
      <c r="D6561" s="5" t="s">
        <v>36</v>
      </c>
      <c r="E6561" s="5" t="s">
        <v>36</v>
      </c>
      <c r="F6561" s="5" t="s">
        <v>36</v>
      </c>
      <c r="G6561" s="6" t="s">
        <v>36</v>
      </c>
      <c r="H6561" s="4" t="s">
        <v>36</v>
      </c>
      <c r="I6561" s="7" t="s">
        <v>36</v>
      </c>
      <c r="J6561" s="3" t="s">
        <v>36</v>
      </c>
      <c r="K6561" s="9" t="s">
        <v>36</v>
      </c>
      <c r="L6561" s="6" t="s">
        <v>36</v>
      </c>
      <c r="M6561" s="3" t="s">
        <v>36</v>
      </c>
      <c r="N6561" s="3" t="s">
        <v>36</v>
      </c>
      <c r="O6561" s="8" t="s">
        <v>36</v>
      </c>
      <c r="P6561" s="3" t="s">
        <v>36</v>
      </c>
      <c r="Q6561" s="3" t="s">
        <v>36</v>
      </c>
      <c r="R6561" s="3" t="s">
        <v>36</v>
      </c>
      <c r="S6561" s="3" t="s">
        <v>36</v>
      </c>
      <c r="T6561" s="3" t="s">
        <v>28260</v>
      </c>
      <c r="U6561" s="3" t="s">
        <v>74</v>
      </c>
      <c r="V6561" s="3" t="s">
        <v>75</v>
      </c>
      <c r="W6561" s="3" t="s">
        <v>29726</v>
      </c>
      <c r="X6561" s="10" t="s">
        <v>29727</v>
      </c>
      <c r="Y6561" s="6" t="s">
        <v>108</v>
      </c>
      <c r="Z6561" s="4">
        <v>5.38</v>
      </c>
      <c r="AA6561" s="4" t="s">
        <v>36</v>
      </c>
      <c r="AB6561" s="3" t="s">
        <v>56</v>
      </c>
      <c r="AC6561" s="3" t="s">
        <v>29728</v>
      </c>
      <c r="AD6561" s="9">
        <v>42614</v>
      </c>
      <c r="AE6561" s="3" t="s">
        <v>79</v>
      </c>
      <c r="AF6561" s="3" t="s">
        <v>18230</v>
      </c>
      <c r="AG6561" s="3" t="s">
        <v>14704</v>
      </c>
      <c r="AH6561" s="11">
        <f>HYPERLINK("https://my.pitchbook.com?c=87498-55T","View Company Online")</f>
      </c>
    </row>
    <row r="6562">
      <c r="A6562" s="12" t="s">
        <v>29729</v>
      </c>
      <c r="B6562" s="12" t="s">
        <v>27695</v>
      </c>
      <c r="C6562" s="19" t="s">
        <v>36</v>
      </c>
      <c r="D6562" s="19" t="s">
        <v>36</v>
      </c>
      <c r="E6562" s="19" t="s">
        <v>36</v>
      </c>
      <c r="F6562" s="19" t="s">
        <v>36</v>
      </c>
      <c r="G6562" s="15" t="s">
        <v>36</v>
      </c>
      <c r="H6562" s="14" t="s">
        <v>36</v>
      </c>
      <c r="I6562" s="18" t="s">
        <v>36</v>
      </c>
      <c r="J6562" s="12" t="s">
        <v>36</v>
      </c>
      <c r="K6562" s="13" t="s">
        <v>36</v>
      </c>
      <c r="L6562" s="15" t="s">
        <v>36</v>
      </c>
      <c r="M6562" s="12" t="s">
        <v>36</v>
      </c>
      <c r="N6562" s="12" t="s">
        <v>36</v>
      </c>
      <c r="O6562" s="17" t="s">
        <v>36</v>
      </c>
      <c r="P6562" s="12" t="s">
        <v>36</v>
      </c>
      <c r="Q6562" s="12" t="s">
        <v>36</v>
      </c>
      <c r="R6562" s="12" t="s">
        <v>36</v>
      </c>
      <c r="S6562" s="12" t="s">
        <v>36</v>
      </c>
      <c r="T6562" s="12" t="s">
        <v>422</v>
      </c>
      <c r="U6562" s="12" t="s">
        <v>423</v>
      </c>
      <c r="V6562" s="12" t="s">
        <v>64</v>
      </c>
      <c r="W6562" s="12" t="s">
        <v>27696</v>
      </c>
      <c r="X6562" s="16" t="s">
        <v>29730</v>
      </c>
      <c r="Y6562" s="15" t="s">
        <v>42</v>
      </c>
      <c r="Z6562" s="14">
        <v>0.56</v>
      </c>
      <c r="AA6562" s="14" t="s">
        <v>36</v>
      </c>
      <c r="AB6562" s="12" t="s">
        <v>43</v>
      </c>
      <c r="AC6562" s="12" t="s">
        <v>27698</v>
      </c>
      <c r="AD6562" s="13">
        <v>42614</v>
      </c>
      <c r="AE6562" s="12" t="s">
        <v>427</v>
      </c>
      <c r="AF6562" s="12" t="s">
        <v>938</v>
      </c>
      <c r="AG6562" s="12" t="s">
        <v>81</v>
      </c>
      <c r="AH6562" s="1">
        <f>HYPERLINK("https://my.pitchbook.com?c=108201-25T","View Company Online")</f>
      </c>
    </row>
    <row r="6563">
      <c r="A6563" s="3" t="s">
        <v>29731</v>
      </c>
      <c r="B6563" s="3" t="s">
        <v>25802</v>
      </c>
      <c r="C6563" s="5" t="s">
        <v>36</v>
      </c>
      <c r="D6563" s="5" t="s">
        <v>36</v>
      </c>
      <c r="E6563" s="5" t="s">
        <v>36</v>
      </c>
      <c r="F6563" s="5" t="s">
        <v>36</v>
      </c>
      <c r="G6563" s="6" t="s">
        <v>683</v>
      </c>
      <c r="H6563" s="4">
        <v>8.31</v>
      </c>
      <c r="I6563" s="7">
        <v>20.17</v>
      </c>
      <c r="J6563" s="3" t="s">
        <v>521</v>
      </c>
      <c r="K6563" s="9" t="s">
        <v>36</v>
      </c>
      <c r="L6563" s="6" t="s">
        <v>36</v>
      </c>
      <c r="M6563" s="3" t="s">
        <v>36</v>
      </c>
      <c r="N6563" s="3" t="s">
        <v>36</v>
      </c>
      <c r="O6563" s="8" t="s">
        <v>36</v>
      </c>
      <c r="P6563" s="3" t="s">
        <v>36</v>
      </c>
      <c r="Q6563" s="3" t="s">
        <v>36</v>
      </c>
      <c r="R6563" s="3" t="s">
        <v>36</v>
      </c>
      <c r="S6563" s="3" t="s">
        <v>36</v>
      </c>
      <c r="T6563" s="3" t="s">
        <v>25803</v>
      </c>
      <c r="U6563" s="3" t="s">
        <v>38</v>
      </c>
      <c r="V6563" s="3" t="s">
        <v>39</v>
      </c>
      <c r="W6563" s="3" t="s">
        <v>25804</v>
      </c>
      <c r="X6563" s="10" t="s">
        <v>25805</v>
      </c>
      <c r="Y6563" s="6" t="s">
        <v>55</v>
      </c>
      <c r="Z6563" s="4">
        <v>1.12</v>
      </c>
      <c r="AA6563" s="4">
        <v>4.11</v>
      </c>
      <c r="AB6563" s="3" t="s">
        <v>56</v>
      </c>
      <c r="AC6563" s="3" t="s">
        <v>25806</v>
      </c>
      <c r="AD6563" s="9">
        <v>42614</v>
      </c>
      <c r="AE6563" s="3" t="s">
        <v>1422</v>
      </c>
      <c r="AF6563" s="3" t="s">
        <v>4842</v>
      </c>
      <c r="AG6563" s="3" t="s">
        <v>81</v>
      </c>
      <c r="AH6563" s="11">
        <f>HYPERLINK("https://my.pitchbook.com?c=133886-26T","View Company Online")</f>
      </c>
    </row>
    <row r="6564">
      <c r="A6564" s="12" t="s">
        <v>29732</v>
      </c>
      <c r="B6564" s="12" t="s">
        <v>11835</v>
      </c>
      <c r="C6564" s="19" t="s">
        <v>36</v>
      </c>
      <c r="D6564" s="19" t="s">
        <v>36</v>
      </c>
      <c r="E6564" s="19" t="s">
        <v>36</v>
      </c>
      <c r="F6564" s="19" t="s">
        <v>36</v>
      </c>
      <c r="G6564" s="15" t="s">
        <v>36</v>
      </c>
      <c r="H6564" s="14">
        <v>604.99</v>
      </c>
      <c r="I6564" s="18">
        <v>25.56</v>
      </c>
      <c r="J6564" s="12" t="s">
        <v>327</v>
      </c>
      <c r="K6564" s="13" t="s">
        <v>36</v>
      </c>
      <c r="L6564" s="15" t="s">
        <v>36</v>
      </c>
      <c r="M6564" s="12" t="s">
        <v>36</v>
      </c>
      <c r="N6564" s="12" t="s">
        <v>36</v>
      </c>
      <c r="O6564" s="17" t="s">
        <v>36</v>
      </c>
      <c r="P6564" s="12" t="s">
        <v>36</v>
      </c>
      <c r="Q6564" s="12" t="s">
        <v>36</v>
      </c>
      <c r="R6564" s="12" t="s">
        <v>36</v>
      </c>
      <c r="S6564" s="12" t="s">
        <v>36</v>
      </c>
      <c r="T6564" s="12" t="s">
        <v>1048</v>
      </c>
      <c r="U6564" s="12" t="s">
        <v>423</v>
      </c>
      <c r="V6564" s="12" t="s">
        <v>64</v>
      </c>
      <c r="W6564" s="12" t="s">
        <v>11836</v>
      </c>
      <c r="X6564" s="16" t="s">
        <v>29733</v>
      </c>
      <c r="Y6564" s="15" t="s">
        <v>42</v>
      </c>
      <c r="Z6564" s="14">
        <v>3.36</v>
      </c>
      <c r="AA6564" s="14">
        <v>13.15</v>
      </c>
      <c r="AB6564" s="12" t="s">
        <v>43</v>
      </c>
      <c r="AC6564" s="12" t="s">
        <v>11838</v>
      </c>
      <c r="AD6564" s="13">
        <v>42614</v>
      </c>
      <c r="AE6564" s="12" t="s">
        <v>1051</v>
      </c>
      <c r="AF6564" s="12" t="s">
        <v>11839</v>
      </c>
      <c r="AG6564" s="12" t="s">
        <v>81</v>
      </c>
      <c r="AH6564" s="1">
        <f>HYPERLINK("https://my.pitchbook.com?c=75167-02T","View Company Online")</f>
      </c>
    </row>
    <row r="6565">
      <c r="A6565" s="3" t="s">
        <v>29734</v>
      </c>
      <c r="B6565" s="3" t="s">
        <v>20459</v>
      </c>
      <c r="C6565" s="5" t="s">
        <v>36</v>
      </c>
      <c r="D6565" s="5" t="s">
        <v>36</v>
      </c>
      <c r="E6565" s="5" t="s">
        <v>36</v>
      </c>
      <c r="F6565" s="5" t="s">
        <v>36</v>
      </c>
      <c r="G6565" s="6" t="s">
        <v>36</v>
      </c>
      <c r="H6565" s="4" t="s">
        <v>36</v>
      </c>
      <c r="I6565" s="7" t="s">
        <v>36</v>
      </c>
      <c r="J6565" s="3" t="s">
        <v>36</v>
      </c>
      <c r="K6565" s="9" t="s">
        <v>36</v>
      </c>
      <c r="L6565" s="6" t="s">
        <v>36</v>
      </c>
      <c r="M6565" s="3" t="s">
        <v>36</v>
      </c>
      <c r="N6565" s="3" t="s">
        <v>36</v>
      </c>
      <c r="O6565" s="8" t="s">
        <v>36</v>
      </c>
      <c r="P6565" s="3" t="s">
        <v>36</v>
      </c>
      <c r="Q6565" s="3" t="s">
        <v>36</v>
      </c>
      <c r="R6565" s="3" t="s">
        <v>36</v>
      </c>
      <c r="S6565" s="3" t="s">
        <v>36</v>
      </c>
      <c r="T6565" s="3" t="s">
        <v>20460</v>
      </c>
      <c r="U6565" s="3" t="s">
        <v>1580</v>
      </c>
      <c r="V6565" s="3" t="s">
        <v>39</v>
      </c>
      <c r="W6565" s="3" t="s">
        <v>20461</v>
      </c>
      <c r="X6565" s="10" t="s">
        <v>29735</v>
      </c>
      <c r="Y6565" s="6" t="s">
        <v>108</v>
      </c>
      <c r="Z6565" s="4">
        <v>0.04</v>
      </c>
      <c r="AA6565" s="4" t="s">
        <v>36</v>
      </c>
      <c r="AB6565" s="3" t="s">
        <v>43</v>
      </c>
      <c r="AC6565" s="3" t="s">
        <v>20463</v>
      </c>
      <c r="AD6565" s="9">
        <v>42614</v>
      </c>
      <c r="AE6565" s="3" t="s">
        <v>4086</v>
      </c>
      <c r="AF6565" s="3" t="s">
        <v>1077</v>
      </c>
      <c r="AG6565" s="3" t="s">
        <v>969</v>
      </c>
      <c r="AH6565" s="11">
        <f>HYPERLINK("https://my.pitchbook.com?c=135770-95T","View Company Online")</f>
      </c>
    </row>
    <row r="6566">
      <c r="A6566" s="12" t="s">
        <v>29736</v>
      </c>
      <c r="B6566" s="12" t="s">
        <v>20078</v>
      </c>
      <c r="C6566" s="19" t="s">
        <v>36</v>
      </c>
      <c r="D6566" s="19" t="s">
        <v>36</v>
      </c>
      <c r="E6566" s="19" t="s">
        <v>36</v>
      </c>
      <c r="F6566" s="19" t="s">
        <v>36</v>
      </c>
      <c r="G6566" s="15" t="s">
        <v>36</v>
      </c>
      <c r="H6566" s="14">
        <v>159.94</v>
      </c>
      <c r="I6566" s="18">
        <v>19.51</v>
      </c>
      <c r="J6566" s="12" t="s">
        <v>521</v>
      </c>
      <c r="K6566" s="13" t="s">
        <v>36</v>
      </c>
      <c r="L6566" s="15" t="s">
        <v>36</v>
      </c>
      <c r="M6566" s="12" t="s">
        <v>36</v>
      </c>
      <c r="N6566" s="12" t="s">
        <v>36</v>
      </c>
      <c r="O6566" s="17" t="s">
        <v>36</v>
      </c>
      <c r="P6566" s="12" t="s">
        <v>36</v>
      </c>
      <c r="Q6566" s="12" t="s">
        <v>36</v>
      </c>
      <c r="R6566" s="12" t="s">
        <v>36</v>
      </c>
      <c r="S6566" s="12" t="s">
        <v>36</v>
      </c>
      <c r="T6566" s="12" t="s">
        <v>20079</v>
      </c>
      <c r="U6566" s="12" t="s">
        <v>74</v>
      </c>
      <c r="V6566" s="12" t="s">
        <v>75</v>
      </c>
      <c r="W6566" s="12" t="s">
        <v>20080</v>
      </c>
      <c r="X6566" s="16" t="s">
        <v>29737</v>
      </c>
      <c r="Y6566" s="15" t="s">
        <v>42</v>
      </c>
      <c r="Z6566" s="14">
        <v>1.79</v>
      </c>
      <c r="AA6566" s="14">
        <v>4.59</v>
      </c>
      <c r="AB6566" s="12" t="s">
        <v>43</v>
      </c>
      <c r="AC6566" s="12" t="s">
        <v>20082</v>
      </c>
      <c r="AD6566" s="13">
        <v>42611</v>
      </c>
      <c r="AE6566" s="12" t="s">
        <v>975</v>
      </c>
      <c r="AF6566" s="12" t="s">
        <v>36</v>
      </c>
      <c r="AG6566" s="12" t="s">
        <v>102</v>
      </c>
      <c r="AH6566" s="1">
        <f>HYPERLINK("https://my.pitchbook.com?c=87006-88T","View Company Online")</f>
      </c>
    </row>
    <row r="6567">
      <c r="A6567" s="3" t="s">
        <v>29738</v>
      </c>
      <c r="B6567" s="3" t="s">
        <v>29739</v>
      </c>
      <c r="C6567" s="5" t="s">
        <v>36</v>
      </c>
      <c r="D6567" s="5" t="s">
        <v>36</v>
      </c>
      <c r="E6567" s="5" t="s">
        <v>36</v>
      </c>
      <c r="F6567" s="5" t="s">
        <v>36</v>
      </c>
      <c r="G6567" s="6" t="s">
        <v>36</v>
      </c>
      <c r="H6567" s="4">
        <v>922.25</v>
      </c>
      <c r="I6567" s="7">
        <v>6.22</v>
      </c>
      <c r="J6567" s="3" t="s">
        <v>521</v>
      </c>
      <c r="K6567" s="9" t="s">
        <v>36</v>
      </c>
      <c r="L6567" s="6" t="s">
        <v>36</v>
      </c>
      <c r="M6567" s="3" t="s">
        <v>36</v>
      </c>
      <c r="N6567" s="3" t="s">
        <v>36</v>
      </c>
      <c r="O6567" s="8" t="s">
        <v>36</v>
      </c>
      <c r="P6567" s="3" t="s">
        <v>36</v>
      </c>
      <c r="Q6567" s="3" t="s">
        <v>36</v>
      </c>
      <c r="R6567" s="3" t="s">
        <v>36</v>
      </c>
      <c r="S6567" s="3" t="s">
        <v>36</v>
      </c>
      <c r="T6567" s="3" t="s">
        <v>29740</v>
      </c>
      <c r="U6567" s="3" t="s">
        <v>74</v>
      </c>
      <c r="V6567" s="3" t="s">
        <v>75</v>
      </c>
      <c r="W6567" s="3" t="s">
        <v>29741</v>
      </c>
      <c r="X6567" s="10" t="s">
        <v>8971</v>
      </c>
      <c r="Y6567" s="6" t="s">
        <v>42</v>
      </c>
      <c r="Z6567" s="4">
        <v>0.3</v>
      </c>
      <c r="AA6567" s="4">
        <v>1.3</v>
      </c>
      <c r="AB6567" s="3" t="s">
        <v>56</v>
      </c>
      <c r="AC6567" s="3" t="s">
        <v>29742</v>
      </c>
      <c r="AD6567" s="9">
        <v>42611</v>
      </c>
      <c r="AE6567" s="3" t="s">
        <v>9215</v>
      </c>
      <c r="AF6567" s="3" t="s">
        <v>4668</v>
      </c>
      <c r="AG6567" s="3" t="s">
        <v>29743</v>
      </c>
      <c r="AH6567" s="11">
        <f>HYPERLINK("https://my.pitchbook.com?c=87477-76T","View Company Online")</f>
      </c>
    </row>
    <row r="6568">
      <c r="A6568" s="12" t="s">
        <v>29744</v>
      </c>
      <c r="B6568" s="12" t="s">
        <v>18567</v>
      </c>
      <c r="C6568" s="19" t="s">
        <v>36</v>
      </c>
      <c r="D6568" s="19" t="s">
        <v>36</v>
      </c>
      <c r="E6568" s="19" t="s">
        <v>36</v>
      </c>
      <c r="F6568" s="19" t="s">
        <v>36</v>
      </c>
      <c r="G6568" s="15" t="s">
        <v>326</v>
      </c>
      <c r="H6568" s="14">
        <v>126.74</v>
      </c>
      <c r="I6568" s="18">
        <v>32.51</v>
      </c>
      <c r="J6568" s="12" t="s">
        <v>521</v>
      </c>
      <c r="K6568" s="13">
        <v>42187</v>
      </c>
      <c r="L6568" s="15" t="s">
        <v>36</v>
      </c>
      <c r="M6568" s="12" t="s">
        <v>36</v>
      </c>
      <c r="N6568" s="12" t="s">
        <v>36</v>
      </c>
      <c r="O6568" s="17" t="s">
        <v>36</v>
      </c>
      <c r="P6568" s="12" t="s">
        <v>36</v>
      </c>
      <c r="Q6568" s="12" t="s">
        <v>36</v>
      </c>
      <c r="R6568" s="12" t="s">
        <v>36</v>
      </c>
      <c r="S6568" s="12" t="s">
        <v>36</v>
      </c>
      <c r="T6568" s="12" t="s">
        <v>611</v>
      </c>
      <c r="U6568" s="12" t="s">
        <v>38</v>
      </c>
      <c r="V6568" s="12" t="s">
        <v>39</v>
      </c>
      <c r="W6568" s="12" t="s">
        <v>18568</v>
      </c>
      <c r="X6568" s="16" t="s">
        <v>29745</v>
      </c>
      <c r="Y6568" s="15" t="s">
        <v>166</v>
      </c>
      <c r="Z6568" s="14">
        <v>41.4</v>
      </c>
      <c r="AA6568" s="14">
        <v>127.35</v>
      </c>
      <c r="AB6568" s="12" t="s">
        <v>56</v>
      </c>
      <c r="AC6568" s="12" t="s">
        <v>18570</v>
      </c>
      <c r="AD6568" s="13">
        <v>42610</v>
      </c>
      <c r="AE6568" s="12" t="s">
        <v>45</v>
      </c>
      <c r="AF6568" s="12" t="s">
        <v>331</v>
      </c>
      <c r="AG6568" s="12" t="s">
        <v>81</v>
      </c>
      <c r="AH6568" s="1">
        <f>HYPERLINK("https://my.pitchbook.com?c=52834-78T","View Company Online")</f>
      </c>
    </row>
    <row r="6569">
      <c r="A6569" s="3" t="s">
        <v>29746</v>
      </c>
      <c r="B6569" s="3" t="s">
        <v>29747</v>
      </c>
      <c r="C6569" s="5">
        <v>1</v>
      </c>
      <c r="D6569" s="5">
        <v>12</v>
      </c>
      <c r="E6569" s="5">
        <v>4</v>
      </c>
      <c r="F6569" s="5">
        <v>20</v>
      </c>
      <c r="G6569" s="6" t="s">
        <v>36</v>
      </c>
      <c r="H6569" s="4" t="s">
        <v>36</v>
      </c>
      <c r="I6569" s="7" t="s">
        <v>36</v>
      </c>
      <c r="J6569" s="3" t="s">
        <v>36</v>
      </c>
      <c r="K6569" s="9" t="s">
        <v>36</v>
      </c>
      <c r="L6569" s="6" t="s">
        <v>36</v>
      </c>
      <c r="M6569" s="3" t="s">
        <v>36</v>
      </c>
      <c r="N6569" s="3" t="s">
        <v>36</v>
      </c>
      <c r="O6569" s="8" t="s">
        <v>36</v>
      </c>
      <c r="P6569" s="3" t="s">
        <v>36</v>
      </c>
      <c r="Q6569" s="3" t="s">
        <v>36</v>
      </c>
      <c r="R6569" s="3" t="s">
        <v>36</v>
      </c>
      <c r="S6569" s="3" t="s">
        <v>36</v>
      </c>
      <c r="T6569" s="3" t="s">
        <v>3729</v>
      </c>
      <c r="U6569" s="3" t="s">
        <v>219</v>
      </c>
      <c r="V6569" s="3" t="s">
        <v>75</v>
      </c>
      <c r="W6569" s="3" t="s">
        <v>29748</v>
      </c>
      <c r="X6569" s="10" t="s">
        <v>29749</v>
      </c>
      <c r="Y6569" s="6" t="s">
        <v>42</v>
      </c>
      <c r="Z6569" s="4">
        <v>0.28</v>
      </c>
      <c r="AA6569" s="4" t="s">
        <v>36</v>
      </c>
      <c r="AB6569" s="3" t="s">
        <v>43</v>
      </c>
      <c r="AC6569" s="3" t="s">
        <v>29750</v>
      </c>
      <c r="AD6569" s="9">
        <v>42602</v>
      </c>
      <c r="AE6569" s="3" t="s">
        <v>1032</v>
      </c>
      <c r="AF6569" s="3" t="s">
        <v>29751</v>
      </c>
      <c r="AG6569" s="3" t="s">
        <v>29752</v>
      </c>
      <c r="AH6569" s="11">
        <f>HYPERLINK("https://my.pitchbook.com?c=140731-39T","View Company Online")</f>
      </c>
    </row>
    <row r="6570">
      <c r="A6570" s="12" t="s">
        <v>29753</v>
      </c>
      <c r="B6570" s="12" t="s">
        <v>29754</v>
      </c>
      <c r="C6570" s="19" t="s">
        <v>36</v>
      </c>
      <c r="D6570" s="19" t="s">
        <v>36</v>
      </c>
      <c r="E6570" s="19" t="s">
        <v>36</v>
      </c>
      <c r="F6570" s="19" t="s">
        <v>36</v>
      </c>
      <c r="G6570" s="15" t="s">
        <v>36</v>
      </c>
      <c r="H6570" s="14">
        <v>48.46</v>
      </c>
      <c r="I6570" s="18">
        <v>30</v>
      </c>
      <c r="J6570" s="12" t="s">
        <v>521</v>
      </c>
      <c r="K6570" s="13" t="s">
        <v>36</v>
      </c>
      <c r="L6570" s="15" t="s">
        <v>36</v>
      </c>
      <c r="M6570" s="12" t="s">
        <v>36</v>
      </c>
      <c r="N6570" s="12" t="s">
        <v>36</v>
      </c>
      <c r="O6570" s="17" t="s">
        <v>36</v>
      </c>
      <c r="P6570" s="12" t="s">
        <v>36</v>
      </c>
      <c r="Q6570" s="12" t="s">
        <v>36</v>
      </c>
      <c r="R6570" s="12" t="s">
        <v>36</v>
      </c>
      <c r="S6570" s="12" t="s">
        <v>36</v>
      </c>
      <c r="T6570" s="12" t="s">
        <v>29755</v>
      </c>
      <c r="U6570" s="12" t="s">
        <v>38</v>
      </c>
      <c r="V6570" s="12" t="s">
        <v>39</v>
      </c>
      <c r="W6570" s="12" t="s">
        <v>29756</v>
      </c>
      <c r="X6570" s="16" t="s">
        <v>11058</v>
      </c>
      <c r="Y6570" s="15" t="s">
        <v>42</v>
      </c>
      <c r="Z6570" s="14">
        <v>0.33</v>
      </c>
      <c r="AA6570" s="14">
        <v>1.11</v>
      </c>
      <c r="AB6570" s="12" t="s">
        <v>43</v>
      </c>
      <c r="AC6570" s="12" t="s">
        <v>29757</v>
      </c>
      <c r="AD6570" s="13">
        <v>42600</v>
      </c>
      <c r="AE6570" s="12" t="s">
        <v>110</v>
      </c>
      <c r="AF6570" s="12" t="s">
        <v>29758</v>
      </c>
      <c r="AG6570" s="12" t="s">
        <v>29759</v>
      </c>
      <c r="AH6570" s="1">
        <f>HYPERLINK("https://my.pitchbook.com?c=93587-59T","View Company Online")</f>
      </c>
    </row>
    <row r="6571">
      <c r="A6571" s="3" t="s">
        <v>29760</v>
      </c>
      <c r="B6571" s="3" t="s">
        <v>18627</v>
      </c>
      <c r="C6571" s="5" t="s">
        <v>36</v>
      </c>
      <c r="D6571" s="5" t="s">
        <v>36</v>
      </c>
      <c r="E6571" s="5" t="s">
        <v>36</v>
      </c>
      <c r="F6571" s="5" t="s">
        <v>36</v>
      </c>
      <c r="G6571" s="6" t="s">
        <v>326</v>
      </c>
      <c r="H6571" s="4">
        <v>20.48</v>
      </c>
      <c r="I6571" s="7">
        <v>15.25</v>
      </c>
      <c r="J6571" s="3" t="s">
        <v>521</v>
      </c>
      <c r="K6571" s="9" t="s">
        <v>36</v>
      </c>
      <c r="L6571" s="6" t="s">
        <v>36</v>
      </c>
      <c r="M6571" s="3" t="s">
        <v>36</v>
      </c>
      <c r="N6571" s="3" t="s">
        <v>36</v>
      </c>
      <c r="O6571" s="8" t="s">
        <v>36</v>
      </c>
      <c r="P6571" s="3" t="s">
        <v>36</v>
      </c>
      <c r="Q6571" s="3" t="s">
        <v>36</v>
      </c>
      <c r="R6571" s="3" t="s">
        <v>36</v>
      </c>
      <c r="S6571" s="3" t="s">
        <v>36</v>
      </c>
      <c r="T6571" s="3" t="s">
        <v>16734</v>
      </c>
      <c r="U6571" s="3" t="s">
        <v>63</v>
      </c>
      <c r="V6571" s="3" t="s">
        <v>64</v>
      </c>
      <c r="W6571" s="3" t="s">
        <v>18628</v>
      </c>
      <c r="X6571" s="10" t="s">
        <v>9668</v>
      </c>
      <c r="Y6571" s="6" t="s">
        <v>108</v>
      </c>
      <c r="Z6571" s="4">
        <v>0.3</v>
      </c>
      <c r="AA6571" s="4">
        <v>1.97</v>
      </c>
      <c r="AB6571" s="3" t="s">
        <v>43</v>
      </c>
      <c r="AC6571" s="3" t="s">
        <v>18629</v>
      </c>
      <c r="AD6571" s="9">
        <v>42598</v>
      </c>
      <c r="AE6571" s="3" t="s">
        <v>68</v>
      </c>
      <c r="AF6571" s="3" t="s">
        <v>18630</v>
      </c>
      <c r="AG6571" s="3" t="s">
        <v>14729</v>
      </c>
      <c r="AH6571" s="11">
        <f>HYPERLINK("https://my.pitchbook.com?c=133621-57T","View Company Online")</f>
      </c>
    </row>
    <row r="6572">
      <c r="A6572" s="12" t="s">
        <v>29761</v>
      </c>
      <c r="B6572" s="12" t="s">
        <v>29762</v>
      </c>
      <c r="C6572" s="19" t="s">
        <v>36</v>
      </c>
      <c r="D6572" s="19" t="s">
        <v>36</v>
      </c>
      <c r="E6572" s="19" t="s">
        <v>36</v>
      </c>
      <c r="F6572" s="19" t="s">
        <v>36</v>
      </c>
      <c r="G6572" s="15" t="s">
        <v>683</v>
      </c>
      <c r="H6572" s="14">
        <v>19.93</v>
      </c>
      <c r="I6572" s="18">
        <v>20</v>
      </c>
      <c r="J6572" s="12" t="s">
        <v>521</v>
      </c>
      <c r="K6572" s="13" t="s">
        <v>36</v>
      </c>
      <c r="L6572" s="15" t="s">
        <v>36</v>
      </c>
      <c r="M6572" s="12" t="s">
        <v>36</v>
      </c>
      <c r="N6572" s="12" t="s">
        <v>36</v>
      </c>
      <c r="O6572" s="17" t="s">
        <v>36</v>
      </c>
      <c r="P6572" s="12" t="s">
        <v>36</v>
      </c>
      <c r="Q6572" s="12" t="s">
        <v>36</v>
      </c>
      <c r="R6572" s="12" t="s">
        <v>36</v>
      </c>
      <c r="S6572" s="12" t="s">
        <v>36</v>
      </c>
      <c r="T6572" s="12" t="s">
        <v>522</v>
      </c>
      <c r="U6572" s="12" t="s">
        <v>38</v>
      </c>
      <c r="V6572" s="12" t="s">
        <v>39</v>
      </c>
      <c r="W6572" s="12" t="s">
        <v>29763</v>
      </c>
      <c r="X6572" s="16" t="s">
        <v>20599</v>
      </c>
      <c r="Y6572" s="15" t="s">
        <v>55</v>
      </c>
      <c r="Z6572" s="14">
        <v>0.11</v>
      </c>
      <c r="AA6572" s="14">
        <v>0.56</v>
      </c>
      <c r="AB6572" s="12" t="s">
        <v>43</v>
      </c>
      <c r="AC6572" s="12" t="s">
        <v>29764</v>
      </c>
      <c r="AD6572" s="13">
        <v>42598</v>
      </c>
      <c r="AE6572" s="12" t="s">
        <v>110</v>
      </c>
      <c r="AF6572" s="12" t="s">
        <v>2210</v>
      </c>
      <c r="AG6572" s="12" t="s">
        <v>16218</v>
      </c>
      <c r="AH6572" s="1">
        <f>HYPERLINK("https://my.pitchbook.com?c=58331-71T","View Company Online")</f>
      </c>
    </row>
    <row r="6573">
      <c r="A6573" s="3" t="s">
        <v>29765</v>
      </c>
      <c r="B6573" s="3" t="s">
        <v>29766</v>
      </c>
      <c r="C6573" s="5" t="s">
        <v>36</v>
      </c>
      <c r="D6573" s="5" t="s">
        <v>36</v>
      </c>
      <c r="E6573" s="5" t="s">
        <v>36</v>
      </c>
      <c r="F6573" s="5" t="s">
        <v>36</v>
      </c>
      <c r="G6573" s="6" t="s">
        <v>36</v>
      </c>
      <c r="H6573" s="4">
        <v>1730.98</v>
      </c>
      <c r="I6573" s="7" t="s">
        <v>36</v>
      </c>
      <c r="J6573" s="3" t="s">
        <v>521</v>
      </c>
      <c r="K6573" s="9" t="s">
        <v>36</v>
      </c>
      <c r="L6573" s="6" t="s">
        <v>36</v>
      </c>
      <c r="M6573" s="3" t="s">
        <v>36</v>
      </c>
      <c r="N6573" s="3" t="s">
        <v>36</v>
      </c>
      <c r="O6573" s="8" t="s">
        <v>36</v>
      </c>
      <c r="P6573" s="3" t="s">
        <v>36</v>
      </c>
      <c r="Q6573" s="3" t="s">
        <v>36</v>
      </c>
      <c r="R6573" s="3" t="s">
        <v>36</v>
      </c>
      <c r="S6573" s="3" t="s">
        <v>36</v>
      </c>
      <c r="T6573" s="3" t="s">
        <v>29767</v>
      </c>
      <c r="U6573" s="3" t="s">
        <v>1580</v>
      </c>
      <c r="V6573" s="3" t="s">
        <v>39</v>
      </c>
      <c r="W6573" s="3" t="s">
        <v>29768</v>
      </c>
      <c r="X6573" s="10" t="s">
        <v>29769</v>
      </c>
      <c r="Y6573" s="6" t="s">
        <v>42</v>
      </c>
      <c r="Z6573" s="4">
        <v>3.32</v>
      </c>
      <c r="AA6573" s="4">
        <v>8.63</v>
      </c>
      <c r="AB6573" s="3" t="s">
        <v>43</v>
      </c>
      <c r="AC6573" s="3" t="s">
        <v>29770</v>
      </c>
      <c r="AD6573" s="9">
        <v>42583</v>
      </c>
      <c r="AE6573" s="3" t="s">
        <v>4387</v>
      </c>
      <c r="AF6573" s="3" t="s">
        <v>20293</v>
      </c>
      <c r="AG6573" s="3" t="s">
        <v>539</v>
      </c>
      <c r="AH6573" s="11">
        <f>HYPERLINK("https://my.pitchbook.com?c=75890-80T","View Company Online")</f>
      </c>
    </row>
    <row r="6574">
      <c r="A6574" s="12" t="s">
        <v>29771</v>
      </c>
      <c r="B6574" s="12" t="s">
        <v>6640</v>
      </c>
      <c r="C6574" s="19">
        <v>42</v>
      </c>
      <c r="D6574" s="19">
        <v>54</v>
      </c>
      <c r="E6574" s="19">
        <v>49</v>
      </c>
      <c r="F6574" s="19">
        <v>99</v>
      </c>
      <c r="G6574" s="15" t="s">
        <v>326</v>
      </c>
      <c r="H6574" s="14">
        <v>1049.48</v>
      </c>
      <c r="I6574" s="18">
        <v>33.92</v>
      </c>
      <c r="J6574" s="12" t="s">
        <v>521</v>
      </c>
      <c r="K6574" s="13" t="s">
        <v>36</v>
      </c>
      <c r="L6574" s="15" t="s">
        <v>36</v>
      </c>
      <c r="M6574" s="12" t="s">
        <v>36</v>
      </c>
      <c r="N6574" s="12" t="s">
        <v>36</v>
      </c>
      <c r="O6574" s="17" t="s">
        <v>36</v>
      </c>
      <c r="P6574" s="12" t="s">
        <v>36</v>
      </c>
      <c r="Q6574" s="12" t="s">
        <v>36</v>
      </c>
      <c r="R6574" s="12" t="s">
        <v>36</v>
      </c>
      <c r="S6574" s="12" t="s">
        <v>36</v>
      </c>
      <c r="T6574" s="12" t="s">
        <v>596</v>
      </c>
      <c r="U6574" s="12" t="s">
        <v>366</v>
      </c>
      <c r="V6574" s="12" t="s">
        <v>367</v>
      </c>
      <c r="W6574" s="12" t="s">
        <v>6641</v>
      </c>
      <c r="X6574" s="16" t="s">
        <v>29772</v>
      </c>
      <c r="Y6574" s="15" t="s">
        <v>55</v>
      </c>
      <c r="Z6574" s="14">
        <v>13.58</v>
      </c>
      <c r="AA6574" s="14">
        <v>40.03</v>
      </c>
      <c r="AB6574" s="12" t="s">
        <v>56</v>
      </c>
      <c r="AC6574" s="12" t="s">
        <v>6643</v>
      </c>
      <c r="AD6574" s="13">
        <v>42583</v>
      </c>
      <c r="AE6574" s="12" t="s">
        <v>600</v>
      </c>
      <c r="AF6574" s="12" t="s">
        <v>703</v>
      </c>
      <c r="AG6574" s="12" t="s">
        <v>6644</v>
      </c>
      <c r="AH6574" s="1">
        <f>HYPERLINK("https://my.pitchbook.com?c=76065-13T","View Company Online")</f>
      </c>
    </row>
    <row r="6575">
      <c r="A6575" s="3" t="s">
        <v>29773</v>
      </c>
      <c r="B6575" s="3" t="s">
        <v>29774</v>
      </c>
      <c r="C6575" s="5" t="s">
        <v>36</v>
      </c>
      <c r="D6575" s="5" t="s">
        <v>36</v>
      </c>
      <c r="E6575" s="5" t="s">
        <v>36</v>
      </c>
      <c r="F6575" s="5" t="s">
        <v>36</v>
      </c>
      <c r="G6575" s="6" t="s">
        <v>683</v>
      </c>
      <c r="H6575" s="4">
        <v>484.28</v>
      </c>
      <c r="I6575" s="7">
        <v>11.84</v>
      </c>
      <c r="J6575" s="3" t="s">
        <v>521</v>
      </c>
      <c r="K6575" s="9" t="s">
        <v>36</v>
      </c>
      <c r="L6575" s="6" t="s">
        <v>36</v>
      </c>
      <c r="M6575" s="3" t="s">
        <v>36</v>
      </c>
      <c r="N6575" s="3" t="s">
        <v>36</v>
      </c>
      <c r="O6575" s="8" t="s">
        <v>36</v>
      </c>
      <c r="P6575" s="3" t="s">
        <v>36</v>
      </c>
      <c r="Q6575" s="3" t="s">
        <v>36</v>
      </c>
      <c r="R6575" s="3" t="s">
        <v>36</v>
      </c>
      <c r="S6575" s="3" t="s">
        <v>36</v>
      </c>
      <c r="T6575" s="3" t="s">
        <v>29775</v>
      </c>
      <c r="U6575" s="3" t="s">
        <v>219</v>
      </c>
      <c r="V6575" s="3" t="s">
        <v>75</v>
      </c>
      <c r="W6575" s="3" t="s">
        <v>29776</v>
      </c>
      <c r="X6575" s="10" t="s">
        <v>26647</v>
      </c>
      <c r="Y6575" s="6" t="s">
        <v>42</v>
      </c>
      <c r="Z6575" s="4">
        <v>0.22</v>
      </c>
      <c r="AA6575" s="4">
        <v>1.87</v>
      </c>
      <c r="AB6575" s="3" t="s">
        <v>43</v>
      </c>
      <c r="AC6575" s="3" t="s">
        <v>29777</v>
      </c>
      <c r="AD6575" s="9">
        <v>42582</v>
      </c>
      <c r="AE6575" s="3" t="s">
        <v>1007</v>
      </c>
      <c r="AF6575" s="3" t="s">
        <v>36</v>
      </c>
      <c r="AG6575" s="3" t="s">
        <v>3188</v>
      </c>
      <c r="AH6575" s="11">
        <f>HYPERLINK("https://my.pitchbook.com?c=120506-86T","View Company Online")</f>
      </c>
    </row>
    <row r="6576">
      <c r="A6576" s="12" t="s">
        <v>29778</v>
      </c>
      <c r="B6576" s="12" t="s">
        <v>12731</v>
      </c>
      <c r="C6576" s="19">
        <v>11</v>
      </c>
      <c r="D6576" s="19">
        <v>123</v>
      </c>
      <c r="E6576" s="19">
        <v>31</v>
      </c>
      <c r="F6576" s="19">
        <v>140</v>
      </c>
      <c r="G6576" s="15" t="s">
        <v>36</v>
      </c>
      <c r="H6576" s="14">
        <v>6.56</v>
      </c>
      <c r="I6576" s="18">
        <v>34.53</v>
      </c>
      <c r="J6576" s="12" t="s">
        <v>327</v>
      </c>
      <c r="K6576" s="13" t="s">
        <v>36</v>
      </c>
      <c r="L6576" s="15" t="s">
        <v>36</v>
      </c>
      <c r="M6576" s="12" t="s">
        <v>36</v>
      </c>
      <c r="N6576" s="12" t="s">
        <v>36</v>
      </c>
      <c r="O6576" s="17" t="s">
        <v>36</v>
      </c>
      <c r="P6576" s="12" t="s">
        <v>36</v>
      </c>
      <c r="Q6576" s="12" t="s">
        <v>36</v>
      </c>
      <c r="R6576" s="12" t="s">
        <v>36</v>
      </c>
      <c r="S6576" s="12" t="s">
        <v>36</v>
      </c>
      <c r="T6576" s="12" t="s">
        <v>12732</v>
      </c>
      <c r="U6576" s="12" t="s">
        <v>318</v>
      </c>
      <c r="V6576" s="12" t="s">
        <v>39</v>
      </c>
      <c r="W6576" s="12" t="s">
        <v>12733</v>
      </c>
      <c r="X6576" s="16" t="s">
        <v>29779</v>
      </c>
      <c r="Y6576" s="15" t="s">
        <v>42</v>
      </c>
      <c r="Z6576" s="14">
        <v>3.32</v>
      </c>
      <c r="AA6576" s="14">
        <v>9.61</v>
      </c>
      <c r="AB6576" s="12" t="s">
        <v>43</v>
      </c>
      <c r="AC6576" s="12" t="s">
        <v>12735</v>
      </c>
      <c r="AD6576" s="13">
        <v>42580</v>
      </c>
      <c r="AE6576" s="12" t="s">
        <v>763</v>
      </c>
      <c r="AF6576" s="12" t="s">
        <v>12736</v>
      </c>
      <c r="AG6576" s="12" t="s">
        <v>969</v>
      </c>
      <c r="AH6576" s="1">
        <f>HYPERLINK("https://my.pitchbook.com?c=73540-54T","View Company Online")</f>
      </c>
    </row>
    <row r="6577">
      <c r="A6577" s="3" t="s">
        <v>29780</v>
      </c>
      <c r="B6577" s="3" t="s">
        <v>26008</v>
      </c>
      <c r="C6577" s="5" t="s">
        <v>36</v>
      </c>
      <c r="D6577" s="5" t="s">
        <v>36</v>
      </c>
      <c r="E6577" s="5" t="s">
        <v>36</v>
      </c>
      <c r="F6577" s="5" t="s">
        <v>36</v>
      </c>
      <c r="G6577" s="6" t="s">
        <v>36</v>
      </c>
      <c r="H6577" s="4">
        <v>103.86</v>
      </c>
      <c r="I6577" s="7">
        <v>26.47</v>
      </c>
      <c r="J6577" s="3" t="s">
        <v>521</v>
      </c>
      <c r="K6577" s="9" t="s">
        <v>36</v>
      </c>
      <c r="L6577" s="6" t="s">
        <v>36</v>
      </c>
      <c r="M6577" s="3" t="s">
        <v>36</v>
      </c>
      <c r="N6577" s="3" t="s">
        <v>36</v>
      </c>
      <c r="O6577" s="8" t="s">
        <v>36</v>
      </c>
      <c r="P6577" s="3" t="s">
        <v>36</v>
      </c>
      <c r="Q6577" s="3" t="s">
        <v>36</v>
      </c>
      <c r="R6577" s="3" t="s">
        <v>36</v>
      </c>
      <c r="S6577" s="3" t="s">
        <v>36</v>
      </c>
      <c r="T6577" s="3" t="s">
        <v>26009</v>
      </c>
      <c r="U6577" s="3" t="s">
        <v>279</v>
      </c>
      <c r="V6577" s="3" t="s">
        <v>64</v>
      </c>
      <c r="W6577" s="3" t="s">
        <v>26010</v>
      </c>
      <c r="X6577" s="10" t="s">
        <v>25524</v>
      </c>
      <c r="Y6577" s="6" t="s">
        <v>42</v>
      </c>
      <c r="Z6577" s="4">
        <v>1.11</v>
      </c>
      <c r="AA6577" s="4">
        <v>3.01</v>
      </c>
      <c r="AB6577" s="3" t="s">
        <v>56</v>
      </c>
      <c r="AC6577" s="3" t="s">
        <v>26012</v>
      </c>
      <c r="AD6577" s="9">
        <v>42580</v>
      </c>
      <c r="AE6577" s="3" t="s">
        <v>11826</v>
      </c>
      <c r="AF6577" s="3" t="s">
        <v>36</v>
      </c>
      <c r="AG6577" s="3" t="s">
        <v>1905</v>
      </c>
      <c r="AH6577" s="11">
        <f>HYPERLINK("https://my.pitchbook.com?c=88700-05T","View Company Online")</f>
      </c>
    </row>
    <row r="6578">
      <c r="A6578" s="12" t="s">
        <v>29781</v>
      </c>
      <c r="B6578" s="12" t="s">
        <v>29782</v>
      </c>
      <c r="C6578" s="19" t="s">
        <v>36</v>
      </c>
      <c r="D6578" s="19" t="s">
        <v>36</v>
      </c>
      <c r="E6578" s="19" t="s">
        <v>36</v>
      </c>
      <c r="F6578" s="19" t="s">
        <v>36</v>
      </c>
      <c r="G6578" s="15" t="s">
        <v>2497</v>
      </c>
      <c r="H6578" s="14">
        <v>0.21</v>
      </c>
      <c r="I6578" s="18">
        <v>18.07</v>
      </c>
      <c r="J6578" s="12" t="s">
        <v>521</v>
      </c>
      <c r="K6578" s="13" t="s">
        <v>36</v>
      </c>
      <c r="L6578" s="15" t="s">
        <v>36</v>
      </c>
      <c r="M6578" s="12" t="s">
        <v>36</v>
      </c>
      <c r="N6578" s="12" t="s">
        <v>36</v>
      </c>
      <c r="O6578" s="17" t="s">
        <v>36</v>
      </c>
      <c r="P6578" s="12" t="s">
        <v>36</v>
      </c>
      <c r="Q6578" s="12" t="s">
        <v>36</v>
      </c>
      <c r="R6578" s="12" t="s">
        <v>36</v>
      </c>
      <c r="S6578" s="12" t="s">
        <v>36</v>
      </c>
      <c r="T6578" s="12" t="s">
        <v>1701</v>
      </c>
      <c r="U6578" s="12" t="s">
        <v>74</v>
      </c>
      <c r="V6578" s="12" t="s">
        <v>75</v>
      </c>
      <c r="W6578" s="12" t="s">
        <v>29783</v>
      </c>
      <c r="X6578" s="16" t="s">
        <v>29784</v>
      </c>
      <c r="Y6578" s="15" t="s">
        <v>108</v>
      </c>
      <c r="Z6578" s="14">
        <v>0.3</v>
      </c>
      <c r="AA6578" s="14">
        <v>1.65</v>
      </c>
      <c r="AB6578" s="12" t="s">
        <v>43</v>
      </c>
      <c r="AC6578" s="12" t="s">
        <v>29785</v>
      </c>
      <c r="AD6578" s="13">
        <v>42579</v>
      </c>
      <c r="AE6578" s="12" t="s">
        <v>79</v>
      </c>
      <c r="AF6578" s="12" t="s">
        <v>10797</v>
      </c>
      <c r="AG6578" s="12" t="s">
        <v>29786</v>
      </c>
      <c r="AH6578" s="1">
        <f>HYPERLINK("https://my.pitchbook.com?c=187879-33T","View Company Online")</f>
      </c>
    </row>
    <row r="6579">
      <c r="A6579" s="3" t="s">
        <v>29787</v>
      </c>
      <c r="B6579" s="3" t="s">
        <v>10957</v>
      </c>
      <c r="C6579" s="5">
        <v>10</v>
      </c>
      <c r="D6579" s="5">
        <v>5</v>
      </c>
      <c r="E6579" s="5">
        <v>5</v>
      </c>
      <c r="F6579" s="5">
        <v>16</v>
      </c>
      <c r="G6579" s="6" t="s">
        <v>36</v>
      </c>
      <c r="H6579" s="4">
        <v>103.86</v>
      </c>
      <c r="I6579" s="7">
        <v>80</v>
      </c>
      <c r="J6579" s="3" t="s">
        <v>521</v>
      </c>
      <c r="K6579" s="9" t="s">
        <v>36</v>
      </c>
      <c r="L6579" s="6" t="s">
        <v>122</v>
      </c>
      <c r="M6579" s="3" t="s">
        <v>36</v>
      </c>
      <c r="N6579" s="3" t="s">
        <v>122</v>
      </c>
      <c r="O6579" s="8" t="s">
        <v>36</v>
      </c>
      <c r="P6579" s="3" t="s">
        <v>36</v>
      </c>
      <c r="Q6579" s="3" t="s">
        <v>36</v>
      </c>
      <c r="R6579" s="3" t="s">
        <v>36</v>
      </c>
      <c r="S6579" s="3" t="s">
        <v>36</v>
      </c>
      <c r="T6579" s="3" t="s">
        <v>881</v>
      </c>
      <c r="U6579" s="3" t="s">
        <v>51</v>
      </c>
      <c r="V6579" s="3" t="s">
        <v>52</v>
      </c>
      <c r="W6579" s="3" t="s">
        <v>10958</v>
      </c>
      <c r="X6579" s="10" t="s">
        <v>29788</v>
      </c>
      <c r="Y6579" s="6" t="s">
        <v>42</v>
      </c>
      <c r="Z6579" s="4">
        <v>17.14</v>
      </c>
      <c r="AA6579" s="4">
        <v>11.06</v>
      </c>
      <c r="AB6579" s="3" t="s">
        <v>43</v>
      </c>
      <c r="AC6579" s="3" t="s">
        <v>10960</v>
      </c>
      <c r="AD6579" s="9">
        <v>42579</v>
      </c>
      <c r="AE6579" s="3" t="s">
        <v>504</v>
      </c>
      <c r="AF6579" s="3" t="s">
        <v>885</v>
      </c>
      <c r="AG6579" s="3" t="s">
        <v>81</v>
      </c>
      <c r="AH6579" s="11">
        <f>HYPERLINK("https://my.pitchbook.com?c=84832-30T","View Company Online")</f>
      </c>
    </row>
    <row r="6580">
      <c r="A6580" s="12" t="s">
        <v>29789</v>
      </c>
      <c r="B6580" s="12" t="s">
        <v>25943</v>
      </c>
      <c r="C6580" s="19">
        <v>2</v>
      </c>
      <c r="D6580" s="19">
        <v>4</v>
      </c>
      <c r="E6580" s="19">
        <v>2</v>
      </c>
      <c r="F6580" s="19">
        <v>7</v>
      </c>
      <c r="G6580" s="15" t="s">
        <v>326</v>
      </c>
      <c r="H6580" s="14">
        <v>62.31</v>
      </c>
      <c r="I6580" s="18">
        <v>21.74</v>
      </c>
      <c r="J6580" s="12" t="s">
        <v>327</v>
      </c>
      <c r="K6580" s="13">
        <v>42473</v>
      </c>
      <c r="L6580" s="15" t="s">
        <v>36</v>
      </c>
      <c r="M6580" s="12" t="s">
        <v>36</v>
      </c>
      <c r="N6580" s="12" t="s">
        <v>36</v>
      </c>
      <c r="O6580" s="17" t="s">
        <v>36</v>
      </c>
      <c r="P6580" s="12" t="s">
        <v>36</v>
      </c>
      <c r="Q6580" s="12" t="s">
        <v>36</v>
      </c>
      <c r="R6580" s="12" t="s">
        <v>36</v>
      </c>
      <c r="S6580" s="12" t="s">
        <v>36</v>
      </c>
      <c r="T6580" s="12" t="s">
        <v>20019</v>
      </c>
      <c r="U6580" s="12" t="s">
        <v>289</v>
      </c>
      <c r="V6580" s="12" t="s">
        <v>64</v>
      </c>
      <c r="W6580" s="12" t="s">
        <v>25944</v>
      </c>
      <c r="X6580" s="16" t="s">
        <v>29790</v>
      </c>
      <c r="Y6580" s="15" t="s">
        <v>42</v>
      </c>
      <c r="Z6580" s="14">
        <v>1.99</v>
      </c>
      <c r="AA6580" s="14">
        <v>5.09</v>
      </c>
      <c r="AB6580" s="12" t="s">
        <v>43</v>
      </c>
      <c r="AC6580" s="12" t="s">
        <v>25946</v>
      </c>
      <c r="AD6580" s="13">
        <v>42579</v>
      </c>
      <c r="AE6580" s="12" t="s">
        <v>292</v>
      </c>
      <c r="AF6580" s="12" t="s">
        <v>1077</v>
      </c>
      <c r="AG6580" s="12" t="s">
        <v>81</v>
      </c>
      <c r="AH6580" s="1">
        <f>HYPERLINK("https://my.pitchbook.com?c=69907-06T","View Company Online")</f>
      </c>
    </row>
    <row r="6581">
      <c r="A6581" s="3" t="s">
        <v>29791</v>
      </c>
      <c r="B6581" s="3" t="s">
        <v>29792</v>
      </c>
      <c r="C6581" s="5" t="s">
        <v>36</v>
      </c>
      <c r="D6581" s="5" t="s">
        <v>36</v>
      </c>
      <c r="E6581" s="5" t="s">
        <v>36</v>
      </c>
      <c r="F6581" s="5" t="s">
        <v>36</v>
      </c>
      <c r="G6581" s="6" t="s">
        <v>36</v>
      </c>
      <c r="H6581" s="4" t="s">
        <v>36</v>
      </c>
      <c r="I6581" s="7" t="s">
        <v>36</v>
      </c>
      <c r="J6581" s="3" t="s">
        <v>36</v>
      </c>
      <c r="K6581" s="9" t="s">
        <v>36</v>
      </c>
      <c r="L6581" s="6" t="s">
        <v>36</v>
      </c>
      <c r="M6581" s="3" t="s">
        <v>36</v>
      </c>
      <c r="N6581" s="3" t="s">
        <v>36</v>
      </c>
      <c r="O6581" s="8" t="s">
        <v>36</v>
      </c>
      <c r="P6581" s="3" t="s">
        <v>36</v>
      </c>
      <c r="Q6581" s="3" t="s">
        <v>36</v>
      </c>
      <c r="R6581" s="3" t="s">
        <v>36</v>
      </c>
      <c r="S6581" s="3" t="s">
        <v>36</v>
      </c>
      <c r="T6581" s="3" t="s">
        <v>29793</v>
      </c>
      <c r="U6581" s="3" t="s">
        <v>1580</v>
      </c>
      <c r="V6581" s="3" t="s">
        <v>39</v>
      </c>
      <c r="W6581" s="3" t="s">
        <v>29794</v>
      </c>
      <c r="X6581" s="10" t="s">
        <v>29795</v>
      </c>
      <c r="Y6581" s="6" t="s">
        <v>55</v>
      </c>
      <c r="Z6581" s="4">
        <v>0.17</v>
      </c>
      <c r="AA6581" s="4" t="s">
        <v>36</v>
      </c>
      <c r="AB6581" s="3" t="s">
        <v>56</v>
      </c>
      <c r="AC6581" s="3" t="s">
        <v>29796</v>
      </c>
      <c r="AD6581" s="9">
        <v>42578</v>
      </c>
      <c r="AE6581" s="3" t="s">
        <v>29797</v>
      </c>
      <c r="AF6581" s="3" t="s">
        <v>36</v>
      </c>
      <c r="AG6581" s="3" t="s">
        <v>6201</v>
      </c>
      <c r="AH6581" s="11">
        <f>HYPERLINK("https://my.pitchbook.com?c=24457-24T","View Company Online")</f>
      </c>
    </row>
    <row r="6582">
      <c r="A6582" s="12" t="s">
        <v>29798</v>
      </c>
      <c r="B6582" s="12" t="s">
        <v>29799</v>
      </c>
      <c r="C6582" s="19" t="s">
        <v>36</v>
      </c>
      <c r="D6582" s="19" t="s">
        <v>36</v>
      </c>
      <c r="E6582" s="19">
        <v>1</v>
      </c>
      <c r="F6582" s="19">
        <v>1</v>
      </c>
      <c r="G6582" s="15" t="s">
        <v>2497</v>
      </c>
      <c r="H6582" s="14">
        <v>1.04</v>
      </c>
      <c r="I6582" s="18">
        <v>83.18</v>
      </c>
      <c r="J6582" s="12" t="s">
        <v>327</v>
      </c>
      <c r="K6582" s="13" t="s">
        <v>36</v>
      </c>
      <c r="L6582" s="15" t="s">
        <v>36</v>
      </c>
      <c r="M6582" s="12" t="s">
        <v>36</v>
      </c>
      <c r="N6582" s="12" t="s">
        <v>36</v>
      </c>
      <c r="O6582" s="17" t="s">
        <v>36</v>
      </c>
      <c r="P6582" s="12" t="s">
        <v>36</v>
      </c>
      <c r="Q6582" s="12" t="s">
        <v>36</v>
      </c>
      <c r="R6582" s="12" t="s">
        <v>36</v>
      </c>
      <c r="S6582" s="12" t="s">
        <v>36</v>
      </c>
      <c r="T6582" s="12" t="s">
        <v>29800</v>
      </c>
      <c r="U6582" s="12" t="s">
        <v>423</v>
      </c>
      <c r="V6582" s="12" t="s">
        <v>64</v>
      </c>
      <c r="W6582" s="12" t="s">
        <v>29801</v>
      </c>
      <c r="X6582" s="16" t="s">
        <v>29802</v>
      </c>
      <c r="Y6582" s="15" t="s">
        <v>55</v>
      </c>
      <c r="Z6582" s="14">
        <v>1.11</v>
      </c>
      <c r="AA6582" s="14">
        <v>1.33</v>
      </c>
      <c r="AB6582" s="12" t="s">
        <v>56</v>
      </c>
      <c r="AC6582" s="12" t="s">
        <v>29803</v>
      </c>
      <c r="AD6582" s="13">
        <v>42578</v>
      </c>
      <c r="AE6582" s="12" t="s">
        <v>562</v>
      </c>
      <c r="AF6582" s="12" t="s">
        <v>5793</v>
      </c>
      <c r="AG6582" s="12" t="s">
        <v>1601</v>
      </c>
      <c r="AH6582" s="1">
        <f>HYPERLINK("https://my.pitchbook.com?c=95222-17T","View Company Online")</f>
      </c>
    </row>
    <row r="6583">
      <c r="A6583" s="3" t="s">
        <v>29804</v>
      </c>
      <c r="B6583" s="3" t="s">
        <v>29805</v>
      </c>
      <c r="C6583" s="5" t="s">
        <v>36</v>
      </c>
      <c r="D6583" s="5" t="s">
        <v>36</v>
      </c>
      <c r="E6583" s="5" t="s">
        <v>36</v>
      </c>
      <c r="F6583" s="5" t="s">
        <v>36</v>
      </c>
      <c r="G6583" s="6" t="s">
        <v>36</v>
      </c>
      <c r="H6583" s="4">
        <v>432.73</v>
      </c>
      <c r="I6583" s="7">
        <v>24.24</v>
      </c>
      <c r="J6583" s="3" t="s">
        <v>521</v>
      </c>
      <c r="K6583" s="9" t="s">
        <v>36</v>
      </c>
      <c r="L6583" s="6" t="s">
        <v>36</v>
      </c>
      <c r="M6583" s="3" t="s">
        <v>36</v>
      </c>
      <c r="N6583" s="3" t="s">
        <v>36</v>
      </c>
      <c r="O6583" s="8" t="s">
        <v>36</v>
      </c>
      <c r="P6583" s="3" t="s">
        <v>36</v>
      </c>
      <c r="Q6583" s="3" t="s">
        <v>36</v>
      </c>
      <c r="R6583" s="3" t="s">
        <v>36</v>
      </c>
      <c r="S6583" s="3" t="s">
        <v>36</v>
      </c>
      <c r="T6583" s="3" t="s">
        <v>7604</v>
      </c>
      <c r="U6583" s="3" t="s">
        <v>289</v>
      </c>
      <c r="V6583" s="3" t="s">
        <v>64</v>
      </c>
      <c r="W6583" s="3" t="s">
        <v>29806</v>
      </c>
      <c r="X6583" s="10" t="s">
        <v>29807</v>
      </c>
      <c r="Y6583" s="6" t="s">
        <v>42</v>
      </c>
      <c r="Z6583" s="4">
        <v>0.09</v>
      </c>
      <c r="AA6583" s="4">
        <v>0.36</v>
      </c>
      <c r="AB6583" s="3" t="s">
        <v>43</v>
      </c>
      <c r="AC6583" s="3" t="s">
        <v>29808</v>
      </c>
      <c r="AD6583" s="9">
        <v>42578</v>
      </c>
      <c r="AE6583" s="3" t="s">
        <v>292</v>
      </c>
      <c r="AF6583" s="3" t="s">
        <v>90</v>
      </c>
      <c r="AG6583" s="3" t="s">
        <v>644</v>
      </c>
      <c r="AH6583" s="11">
        <f>HYPERLINK("https://my.pitchbook.com?c=136856-80T","View Company Online")</f>
      </c>
    </row>
    <row r="6584">
      <c r="A6584" s="12" t="s">
        <v>29809</v>
      </c>
      <c r="B6584" s="12" t="s">
        <v>11005</v>
      </c>
      <c r="C6584" s="19" t="s">
        <v>36</v>
      </c>
      <c r="D6584" s="19" t="s">
        <v>36</v>
      </c>
      <c r="E6584" s="19" t="s">
        <v>36</v>
      </c>
      <c r="F6584" s="19" t="s">
        <v>36</v>
      </c>
      <c r="G6584" s="15" t="s">
        <v>326</v>
      </c>
      <c r="H6584" s="14">
        <v>91.81</v>
      </c>
      <c r="I6584" s="18">
        <v>21.79</v>
      </c>
      <c r="J6584" s="12" t="s">
        <v>521</v>
      </c>
      <c r="K6584" s="13" t="s">
        <v>36</v>
      </c>
      <c r="L6584" s="15" t="s">
        <v>122</v>
      </c>
      <c r="M6584" s="12" t="s">
        <v>36</v>
      </c>
      <c r="N6584" s="12" t="s">
        <v>122</v>
      </c>
      <c r="O6584" s="17" t="s">
        <v>36</v>
      </c>
      <c r="P6584" s="12" t="s">
        <v>36</v>
      </c>
      <c r="Q6584" s="12" t="s">
        <v>36</v>
      </c>
      <c r="R6584" s="12" t="s">
        <v>36</v>
      </c>
      <c r="S6584" s="12" t="s">
        <v>36</v>
      </c>
      <c r="T6584" s="12" t="s">
        <v>11006</v>
      </c>
      <c r="U6584" s="12" t="s">
        <v>279</v>
      </c>
      <c r="V6584" s="12" t="s">
        <v>64</v>
      </c>
      <c r="W6584" s="12" t="s">
        <v>11007</v>
      </c>
      <c r="X6584" s="16" t="s">
        <v>29810</v>
      </c>
      <c r="Y6584" s="15" t="s">
        <v>192</v>
      </c>
      <c r="Z6584" s="14">
        <v>1.79</v>
      </c>
      <c r="AA6584" s="14">
        <v>8.24</v>
      </c>
      <c r="AB6584" s="12" t="s">
        <v>56</v>
      </c>
      <c r="AC6584" s="12" t="s">
        <v>11009</v>
      </c>
      <c r="AD6584" s="13">
        <v>42578</v>
      </c>
      <c r="AE6584" s="12" t="s">
        <v>283</v>
      </c>
      <c r="AF6584" s="12" t="s">
        <v>11010</v>
      </c>
      <c r="AG6584" s="12" t="s">
        <v>969</v>
      </c>
      <c r="AH6584" s="1">
        <f>HYPERLINK("https://my.pitchbook.com?c=114081-76T","View Company Online")</f>
      </c>
    </row>
    <row r="6585">
      <c r="A6585" s="3" t="s">
        <v>29811</v>
      </c>
      <c r="B6585" s="3" t="s">
        <v>29812</v>
      </c>
      <c r="C6585" s="5">
        <v>17</v>
      </c>
      <c r="D6585" s="5">
        <v>53</v>
      </c>
      <c r="E6585" s="5">
        <v>13</v>
      </c>
      <c r="F6585" s="5">
        <v>75</v>
      </c>
      <c r="G6585" s="6" t="s">
        <v>683</v>
      </c>
      <c r="H6585" s="4">
        <v>38.86</v>
      </c>
      <c r="I6585" s="7">
        <v>13.11</v>
      </c>
      <c r="J6585" s="3" t="s">
        <v>521</v>
      </c>
      <c r="K6585" s="9" t="s">
        <v>36</v>
      </c>
      <c r="L6585" s="6" t="s">
        <v>36</v>
      </c>
      <c r="M6585" s="3" t="s">
        <v>36</v>
      </c>
      <c r="N6585" s="3" t="s">
        <v>36</v>
      </c>
      <c r="O6585" s="8" t="s">
        <v>36</v>
      </c>
      <c r="P6585" s="3" t="s">
        <v>36</v>
      </c>
      <c r="Q6585" s="3" t="s">
        <v>36</v>
      </c>
      <c r="R6585" s="3" t="s">
        <v>36</v>
      </c>
      <c r="S6585" s="3" t="s">
        <v>36</v>
      </c>
      <c r="T6585" s="3" t="s">
        <v>9836</v>
      </c>
      <c r="U6585" s="3" t="s">
        <v>96</v>
      </c>
      <c r="V6585" s="3" t="s">
        <v>52</v>
      </c>
      <c r="W6585" s="3" t="s">
        <v>29813</v>
      </c>
      <c r="X6585" s="10" t="s">
        <v>27744</v>
      </c>
      <c r="Y6585" s="6" t="s">
        <v>55</v>
      </c>
      <c r="Z6585" s="4">
        <v>0.73</v>
      </c>
      <c r="AA6585" s="4">
        <v>5.59</v>
      </c>
      <c r="AB6585" s="3" t="s">
        <v>43</v>
      </c>
      <c r="AC6585" s="3" t="s">
        <v>29814</v>
      </c>
      <c r="AD6585" s="9">
        <v>42577</v>
      </c>
      <c r="AE6585" s="3" t="s">
        <v>100</v>
      </c>
      <c r="AF6585" s="3" t="s">
        <v>9908</v>
      </c>
      <c r="AG6585" s="3" t="s">
        <v>81</v>
      </c>
      <c r="AH6585" s="11">
        <f>HYPERLINK("https://my.pitchbook.com?c=117765-37T","View Company Online")</f>
      </c>
    </row>
    <row r="6586">
      <c r="A6586" s="12" t="s">
        <v>29815</v>
      </c>
      <c r="B6586" s="12" t="s">
        <v>29816</v>
      </c>
      <c r="C6586" s="19" t="s">
        <v>36</v>
      </c>
      <c r="D6586" s="19" t="s">
        <v>36</v>
      </c>
      <c r="E6586" s="19" t="s">
        <v>36</v>
      </c>
      <c r="F6586" s="19" t="s">
        <v>36</v>
      </c>
      <c r="G6586" s="15" t="s">
        <v>36</v>
      </c>
      <c r="H6586" s="14">
        <v>191.57</v>
      </c>
      <c r="I6586" s="18">
        <v>20</v>
      </c>
      <c r="J6586" s="12" t="s">
        <v>521</v>
      </c>
      <c r="K6586" s="13" t="s">
        <v>36</v>
      </c>
      <c r="L6586" s="15" t="s">
        <v>36</v>
      </c>
      <c r="M6586" s="12" t="s">
        <v>36</v>
      </c>
      <c r="N6586" s="12" t="s">
        <v>36</v>
      </c>
      <c r="O6586" s="17" t="s">
        <v>36</v>
      </c>
      <c r="P6586" s="12" t="s">
        <v>36</v>
      </c>
      <c r="Q6586" s="12" t="s">
        <v>36</v>
      </c>
      <c r="R6586" s="12" t="s">
        <v>36</v>
      </c>
      <c r="S6586" s="12" t="s">
        <v>36</v>
      </c>
      <c r="T6586" s="12" t="s">
        <v>29817</v>
      </c>
      <c r="U6586" s="12" t="s">
        <v>38</v>
      </c>
      <c r="V6586" s="12" t="s">
        <v>39</v>
      </c>
      <c r="W6586" s="12" t="s">
        <v>29818</v>
      </c>
      <c r="X6586" s="16" t="s">
        <v>560</v>
      </c>
      <c r="Y6586" s="15" t="s">
        <v>42</v>
      </c>
      <c r="Z6586" s="14">
        <v>0.55</v>
      </c>
      <c r="AA6586" s="14">
        <v>2.75</v>
      </c>
      <c r="AB6586" s="12" t="s">
        <v>43</v>
      </c>
      <c r="AC6586" s="12" t="s">
        <v>29819</v>
      </c>
      <c r="AD6586" s="13">
        <v>42577</v>
      </c>
      <c r="AE6586" s="12" t="s">
        <v>110</v>
      </c>
      <c r="AF6586" s="12" t="s">
        <v>526</v>
      </c>
      <c r="AG6586" s="12" t="s">
        <v>81</v>
      </c>
      <c r="AH6586" s="1">
        <f>HYPERLINK("https://my.pitchbook.com?c=213089-05T","View Company Online")</f>
      </c>
    </row>
    <row r="6587">
      <c r="A6587" s="3" t="s">
        <v>29820</v>
      </c>
      <c r="B6587" s="3" t="s">
        <v>24141</v>
      </c>
      <c r="C6587" s="5" t="s">
        <v>36</v>
      </c>
      <c r="D6587" s="5">
        <v>2</v>
      </c>
      <c r="E6587" s="5">
        <v>1</v>
      </c>
      <c r="F6587" s="5">
        <v>2</v>
      </c>
      <c r="G6587" s="6" t="s">
        <v>36</v>
      </c>
      <c r="H6587" s="4" t="s">
        <v>36</v>
      </c>
      <c r="I6587" s="7" t="s">
        <v>36</v>
      </c>
      <c r="J6587" s="3" t="s">
        <v>36</v>
      </c>
      <c r="K6587" s="9" t="s">
        <v>36</v>
      </c>
      <c r="L6587" s="6" t="s">
        <v>36</v>
      </c>
      <c r="M6587" s="3" t="s">
        <v>36</v>
      </c>
      <c r="N6587" s="3" t="s">
        <v>36</v>
      </c>
      <c r="O6587" s="8" t="s">
        <v>36</v>
      </c>
      <c r="P6587" s="3" t="s">
        <v>36</v>
      </c>
      <c r="Q6587" s="3" t="s">
        <v>36</v>
      </c>
      <c r="R6587" s="3" t="s">
        <v>36</v>
      </c>
      <c r="S6587" s="3" t="s">
        <v>36</v>
      </c>
      <c r="T6587" s="3" t="s">
        <v>24142</v>
      </c>
      <c r="U6587" s="3" t="s">
        <v>833</v>
      </c>
      <c r="V6587" s="3" t="s">
        <v>64</v>
      </c>
      <c r="W6587" s="3" t="s">
        <v>24143</v>
      </c>
      <c r="X6587" s="10" t="s">
        <v>29821</v>
      </c>
      <c r="Y6587" s="6" t="s">
        <v>42</v>
      </c>
      <c r="Z6587" s="4">
        <v>1.33</v>
      </c>
      <c r="AA6587" s="4" t="s">
        <v>36</v>
      </c>
      <c r="AB6587" s="3" t="s">
        <v>43</v>
      </c>
      <c r="AC6587" s="3" t="s">
        <v>24145</v>
      </c>
      <c r="AD6587" s="9">
        <v>42573</v>
      </c>
      <c r="AE6587" s="3" t="s">
        <v>1769</v>
      </c>
      <c r="AF6587" s="3" t="s">
        <v>2118</v>
      </c>
      <c r="AG6587" s="3" t="s">
        <v>81</v>
      </c>
      <c r="AH6587" s="11">
        <f>HYPERLINK("https://my.pitchbook.com?c=72259-57T","View Company Online")</f>
      </c>
    </row>
    <row r="6588">
      <c r="A6588" s="12" t="s">
        <v>29822</v>
      </c>
      <c r="B6588" s="12" t="s">
        <v>27939</v>
      </c>
      <c r="C6588" s="19" t="s">
        <v>36</v>
      </c>
      <c r="D6588" s="19" t="s">
        <v>36</v>
      </c>
      <c r="E6588" s="19" t="s">
        <v>36</v>
      </c>
      <c r="F6588" s="19" t="s">
        <v>36</v>
      </c>
      <c r="G6588" s="15" t="s">
        <v>36</v>
      </c>
      <c r="H6588" s="14" t="s">
        <v>36</v>
      </c>
      <c r="I6588" s="18" t="s">
        <v>36</v>
      </c>
      <c r="J6588" s="12" t="s">
        <v>36</v>
      </c>
      <c r="K6588" s="13" t="s">
        <v>36</v>
      </c>
      <c r="L6588" s="15" t="s">
        <v>36</v>
      </c>
      <c r="M6588" s="12" t="s">
        <v>36</v>
      </c>
      <c r="N6588" s="12" t="s">
        <v>36</v>
      </c>
      <c r="O6588" s="17" t="s">
        <v>36</v>
      </c>
      <c r="P6588" s="12" t="s">
        <v>36</v>
      </c>
      <c r="Q6588" s="12" t="s">
        <v>36</v>
      </c>
      <c r="R6588" s="12" t="s">
        <v>36</v>
      </c>
      <c r="S6588" s="12" t="s">
        <v>36</v>
      </c>
      <c r="T6588" s="12" t="s">
        <v>27940</v>
      </c>
      <c r="U6588" s="12" t="s">
        <v>96</v>
      </c>
      <c r="V6588" s="12" t="s">
        <v>52</v>
      </c>
      <c r="W6588" s="12" t="s">
        <v>27941</v>
      </c>
      <c r="X6588" s="16" t="s">
        <v>29823</v>
      </c>
      <c r="Y6588" s="15" t="s">
        <v>108</v>
      </c>
      <c r="Z6588" s="14">
        <v>0.05</v>
      </c>
      <c r="AA6588" s="14" t="s">
        <v>36</v>
      </c>
      <c r="AB6588" s="12" t="s">
        <v>56</v>
      </c>
      <c r="AC6588" s="12" t="s">
        <v>27943</v>
      </c>
      <c r="AD6588" s="13">
        <v>42573</v>
      </c>
      <c r="AE6588" s="12" t="s">
        <v>12392</v>
      </c>
      <c r="AF6588" s="12" t="s">
        <v>17897</v>
      </c>
      <c r="AG6588" s="12" t="s">
        <v>27944</v>
      </c>
      <c r="AH6588" s="1">
        <f>HYPERLINK("https://my.pitchbook.com?c=138833-29T","View Company Online")</f>
      </c>
    </row>
    <row r="6589">
      <c r="A6589" s="3" t="s">
        <v>29824</v>
      </c>
      <c r="B6589" s="3" t="s">
        <v>29825</v>
      </c>
      <c r="C6589" s="5" t="s">
        <v>36</v>
      </c>
      <c r="D6589" s="5" t="s">
        <v>36</v>
      </c>
      <c r="E6589" s="5" t="s">
        <v>36</v>
      </c>
      <c r="F6589" s="5" t="s">
        <v>36</v>
      </c>
      <c r="G6589" s="6" t="s">
        <v>36</v>
      </c>
      <c r="H6589" s="4" t="s">
        <v>36</v>
      </c>
      <c r="I6589" s="7" t="s">
        <v>36</v>
      </c>
      <c r="J6589" s="3" t="s">
        <v>36</v>
      </c>
      <c r="K6589" s="9" t="s">
        <v>36</v>
      </c>
      <c r="L6589" s="6" t="s">
        <v>122</v>
      </c>
      <c r="M6589" s="3" t="s">
        <v>36</v>
      </c>
      <c r="N6589" s="3" t="s">
        <v>122</v>
      </c>
      <c r="O6589" s="8" t="s">
        <v>36</v>
      </c>
      <c r="P6589" s="3" t="s">
        <v>36</v>
      </c>
      <c r="Q6589" s="3" t="s">
        <v>36</v>
      </c>
      <c r="R6589" s="3" t="s">
        <v>36</v>
      </c>
      <c r="S6589" s="3" t="s">
        <v>36</v>
      </c>
      <c r="T6589" s="3" t="s">
        <v>26764</v>
      </c>
      <c r="U6589" s="3" t="s">
        <v>74</v>
      </c>
      <c r="V6589" s="3" t="s">
        <v>75</v>
      </c>
      <c r="W6589" s="3" t="s">
        <v>29826</v>
      </c>
      <c r="X6589" s="10" t="s">
        <v>24523</v>
      </c>
      <c r="Y6589" s="6" t="s">
        <v>108</v>
      </c>
      <c r="Z6589" s="4" t="s">
        <v>36</v>
      </c>
      <c r="AA6589" s="4" t="s">
        <v>36</v>
      </c>
      <c r="AB6589" s="3" t="s">
        <v>56</v>
      </c>
      <c r="AC6589" s="3" t="s">
        <v>29827</v>
      </c>
      <c r="AD6589" s="9">
        <v>42572</v>
      </c>
      <c r="AE6589" s="3" t="s">
        <v>79</v>
      </c>
      <c r="AF6589" s="3" t="s">
        <v>1077</v>
      </c>
      <c r="AG6589" s="3" t="s">
        <v>24531</v>
      </c>
      <c r="AH6589" s="11">
        <f>HYPERLINK("https://my.pitchbook.com?c=73255-69T","View Company Online")</f>
      </c>
    </row>
    <row r="6590">
      <c r="A6590" s="12" t="s">
        <v>29828</v>
      </c>
      <c r="B6590" s="12" t="s">
        <v>13371</v>
      </c>
      <c r="C6590" s="19" t="s">
        <v>36</v>
      </c>
      <c r="D6590" s="19" t="s">
        <v>36</v>
      </c>
      <c r="E6590" s="19" t="s">
        <v>36</v>
      </c>
      <c r="F6590" s="19" t="s">
        <v>36</v>
      </c>
      <c r="G6590" s="15" t="s">
        <v>326</v>
      </c>
      <c r="H6590" s="14">
        <v>8.61</v>
      </c>
      <c r="I6590" s="18">
        <v>50.21</v>
      </c>
      <c r="J6590" s="12" t="s">
        <v>521</v>
      </c>
      <c r="K6590" s="13">
        <v>41990</v>
      </c>
      <c r="L6590" s="15" t="s">
        <v>36</v>
      </c>
      <c r="M6590" s="12" t="s">
        <v>36</v>
      </c>
      <c r="N6590" s="12" t="s">
        <v>36</v>
      </c>
      <c r="O6590" s="17" t="s">
        <v>36</v>
      </c>
      <c r="P6590" s="12" t="s">
        <v>36</v>
      </c>
      <c r="Q6590" s="12" t="s">
        <v>36</v>
      </c>
      <c r="R6590" s="12" t="s">
        <v>36</v>
      </c>
      <c r="S6590" s="12" t="s">
        <v>36</v>
      </c>
      <c r="T6590" s="12" t="s">
        <v>13372</v>
      </c>
      <c r="U6590" s="12" t="s">
        <v>438</v>
      </c>
      <c r="V6590" s="12" t="s">
        <v>405</v>
      </c>
      <c r="W6590" s="12" t="s">
        <v>13373</v>
      </c>
      <c r="X6590" s="16" t="s">
        <v>29829</v>
      </c>
      <c r="Y6590" s="15" t="s">
        <v>55</v>
      </c>
      <c r="Z6590" s="14">
        <v>5.36</v>
      </c>
      <c r="AA6590" s="14">
        <v>10.68</v>
      </c>
      <c r="AB6590" s="12" t="s">
        <v>56</v>
      </c>
      <c r="AC6590" s="12" t="s">
        <v>13375</v>
      </c>
      <c r="AD6590" s="13">
        <v>42572</v>
      </c>
      <c r="AE6590" s="12" t="s">
        <v>442</v>
      </c>
      <c r="AF6590" s="12" t="s">
        <v>9736</v>
      </c>
      <c r="AG6590" s="12" t="s">
        <v>81</v>
      </c>
      <c r="AH6590" s="1">
        <f>HYPERLINK("https://my.pitchbook.com?c=84990-43T","View Company Online")</f>
      </c>
    </row>
    <row r="6591">
      <c r="A6591" s="3" t="s">
        <v>29830</v>
      </c>
      <c r="B6591" s="3" t="s">
        <v>29831</v>
      </c>
      <c r="C6591" s="5" t="s">
        <v>36</v>
      </c>
      <c r="D6591" s="5" t="s">
        <v>36</v>
      </c>
      <c r="E6591" s="5" t="s">
        <v>36</v>
      </c>
      <c r="F6591" s="5" t="s">
        <v>36</v>
      </c>
      <c r="G6591" s="6" t="s">
        <v>36</v>
      </c>
      <c r="H6591" s="4">
        <v>10.39</v>
      </c>
      <c r="I6591" s="7">
        <v>38.74</v>
      </c>
      <c r="J6591" s="3" t="s">
        <v>521</v>
      </c>
      <c r="K6591" s="9" t="s">
        <v>36</v>
      </c>
      <c r="L6591" s="6" t="s">
        <v>36</v>
      </c>
      <c r="M6591" s="3" t="s">
        <v>36</v>
      </c>
      <c r="N6591" s="3" t="s">
        <v>36</v>
      </c>
      <c r="O6591" s="8" t="s">
        <v>36</v>
      </c>
      <c r="P6591" s="3" t="s">
        <v>36</v>
      </c>
      <c r="Q6591" s="3" t="s">
        <v>36</v>
      </c>
      <c r="R6591" s="3" t="s">
        <v>36</v>
      </c>
      <c r="S6591" s="3" t="s">
        <v>36</v>
      </c>
      <c r="T6591" s="3" t="s">
        <v>29832</v>
      </c>
      <c r="U6591" s="3" t="s">
        <v>38</v>
      </c>
      <c r="V6591" s="3" t="s">
        <v>39</v>
      </c>
      <c r="W6591" s="3" t="s">
        <v>29833</v>
      </c>
      <c r="X6591" s="10" t="s">
        <v>657</v>
      </c>
      <c r="Y6591" s="6" t="s">
        <v>42</v>
      </c>
      <c r="Z6591" s="4">
        <v>2.1</v>
      </c>
      <c r="AA6591" s="4">
        <v>5.43</v>
      </c>
      <c r="AB6591" s="3" t="s">
        <v>56</v>
      </c>
      <c r="AC6591" s="3" t="s">
        <v>29834</v>
      </c>
      <c r="AD6591" s="9">
        <v>42571</v>
      </c>
      <c r="AE6591" s="3" t="s">
        <v>110</v>
      </c>
      <c r="AF6591" s="3" t="s">
        <v>118</v>
      </c>
      <c r="AG6591" s="3" t="s">
        <v>81</v>
      </c>
      <c r="AH6591" s="11">
        <f>HYPERLINK("https://my.pitchbook.com?c=239462-47T","View Company Online")</f>
      </c>
    </row>
    <row r="6592">
      <c r="A6592" s="12" t="s">
        <v>29835</v>
      </c>
      <c r="B6592" s="12" t="s">
        <v>29836</v>
      </c>
      <c r="C6592" s="19" t="s">
        <v>36</v>
      </c>
      <c r="D6592" s="19" t="s">
        <v>36</v>
      </c>
      <c r="E6592" s="19" t="s">
        <v>36</v>
      </c>
      <c r="F6592" s="19" t="s">
        <v>36</v>
      </c>
      <c r="G6592" s="15" t="s">
        <v>36</v>
      </c>
      <c r="H6592" s="14">
        <v>432.74</v>
      </c>
      <c r="I6592" s="18">
        <v>28.57</v>
      </c>
      <c r="J6592" s="12" t="s">
        <v>521</v>
      </c>
      <c r="K6592" s="13" t="s">
        <v>36</v>
      </c>
      <c r="L6592" s="15" t="s">
        <v>36</v>
      </c>
      <c r="M6592" s="12" t="s">
        <v>36</v>
      </c>
      <c r="N6592" s="12" t="s">
        <v>36</v>
      </c>
      <c r="O6592" s="17" t="s">
        <v>36</v>
      </c>
      <c r="P6592" s="12" t="s">
        <v>36</v>
      </c>
      <c r="Q6592" s="12" t="s">
        <v>36</v>
      </c>
      <c r="R6592" s="12" t="s">
        <v>36</v>
      </c>
      <c r="S6592" s="12" t="s">
        <v>36</v>
      </c>
      <c r="T6592" s="12" t="s">
        <v>29837</v>
      </c>
      <c r="U6592" s="12" t="s">
        <v>279</v>
      </c>
      <c r="V6592" s="12" t="s">
        <v>64</v>
      </c>
      <c r="W6592" s="12" t="s">
        <v>29838</v>
      </c>
      <c r="X6592" s="16" t="s">
        <v>29839</v>
      </c>
      <c r="Y6592" s="15" t="s">
        <v>42</v>
      </c>
      <c r="Z6592" s="14">
        <v>0.56</v>
      </c>
      <c r="AA6592" s="14">
        <v>1.94</v>
      </c>
      <c r="AB6592" s="12" t="s">
        <v>43</v>
      </c>
      <c r="AC6592" s="12" t="s">
        <v>29840</v>
      </c>
      <c r="AD6592" s="13">
        <v>42570</v>
      </c>
      <c r="AE6592" s="12" t="s">
        <v>283</v>
      </c>
      <c r="AF6592" s="12" t="s">
        <v>16771</v>
      </c>
      <c r="AG6592" s="12" t="s">
        <v>1276</v>
      </c>
      <c r="AH6592" s="1">
        <f>HYPERLINK("https://my.pitchbook.com?c=79466-32T","View Company Online")</f>
      </c>
    </row>
    <row r="6593">
      <c r="A6593" s="3" t="s">
        <v>29841</v>
      </c>
      <c r="B6593" s="3" t="s">
        <v>11440</v>
      </c>
      <c r="C6593" s="5" t="s">
        <v>36</v>
      </c>
      <c r="D6593" s="5" t="s">
        <v>36</v>
      </c>
      <c r="E6593" s="5" t="s">
        <v>36</v>
      </c>
      <c r="F6593" s="5" t="s">
        <v>36</v>
      </c>
      <c r="G6593" s="6" t="s">
        <v>36</v>
      </c>
      <c r="H6593" s="4">
        <v>155.78</v>
      </c>
      <c r="I6593" s="7">
        <v>38.14</v>
      </c>
      <c r="J6593" s="3" t="s">
        <v>521</v>
      </c>
      <c r="K6593" s="9" t="s">
        <v>36</v>
      </c>
      <c r="L6593" s="6" t="s">
        <v>36</v>
      </c>
      <c r="M6593" s="3" t="s">
        <v>36</v>
      </c>
      <c r="N6593" s="3" t="s">
        <v>36</v>
      </c>
      <c r="O6593" s="8" t="s">
        <v>36</v>
      </c>
      <c r="P6593" s="3" t="s">
        <v>36</v>
      </c>
      <c r="Q6593" s="3" t="s">
        <v>36</v>
      </c>
      <c r="R6593" s="3" t="s">
        <v>36</v>
      </c>
      <c r="S6593" s="3" t="s">
        <v>36</v>
      </c>
      <c r="T6593" s="3" t="s">
        <v>2811</v>
      </c>
      <c r="U6593" s="3" t="s">
        <v>219</v>
      </c>
      <c r="V6593" s="3" t="s">
        <v>75</v>
      </c>
      <c r="W6593" s="3" t="s">
        <v>11441</v>
      </c>
      <c r="X6593" s="10" t="s">
        <v>29842</v>
      </c>
      <c r="Y6593" s="6" t="s">
        <v>42</v>
      </c>
      <c r="Z6593" s="4">
        <v>10.28</v>
      </c>
      <c r="AA6593" s="4">
        <v>26.96</v>
      </c>
      <c r="AB6593" s="3" t="s">
        <v>56</v>
      </c>
      <c r="AC6593" s="3" t="s">
        <v>11443</v>
      </c>
      <c r="AD6593" s="9">
        <v>42569</v>
      </c>
      <c r="AE6593" s="3" t="s">
        <v>223</v>
      </c>
      <c r="AF6593" s="3" t="s">
        <v>11444</v>
      </c>
      <c r="AG6593" s="3" t="s">
        <v>644</v>
      </c>
      <c r="AH6593" s="11">
        <f>HYPERLINK("https://my.pitchbook.com?c=73172-98T","View Company Online")</f>
      </c>
    </row>
    <row r="6594">
      <c r="A6594" s="12" t="s">
        <v>29843</v>
      </c>
      <c r="B6594" s="12" t="s">
        <v>27627</v>
      </c>
      <c r="C6594" s="19" t="s">
        <v>36</v>
      </c>
      <c r="D6594" s="19" t="s">
        <v>36</v>
      </c>
      <c r="E6594" s="19" t="s">
        <v>36</v>
      </c>
      <c r="F6594" s="19" t="s">
        <v>36</v>
      </c>
      <c r="G6594" s="15" t="s">
        <v>36</v>
      </c>
      <c r="H6594" s="14" t="s">
        <v>36</v>
      </c>
      <c r="I6594" s="18" t="s">
        <v>36</v>
      </c>
      <c r="J6594" s="12" t="s">
        <v>36</v>
      </c>
      <c r="K6594" s="13" t="s">
        <v>36</v>
      </c>
      <c r="L6594" s="15" t="s">
        <v>36</v>
      </c>
      <c r="M6594" s="12" t="s">
        <v>36</v>
      </c>
      <c r="N6594" s="12" t="s">
        <v>36</v>
      </c>
      <c r="O6594" s="17" t="s">
        <v>36</v>
      </c>
      <c r="P6594" s="12" t="s">
        <v>36</v>
      </c>
      <c r="Q6594" s="12" t="s">
        <v>36</v>
      </c>
      <c r="R6594" s="12" t="s">
        <v>36</v>
      </c>
      <c r="S6594" s="12" t="s">
        <v>36</v>
      </c>
      <c r="T6594" s="12" t="s">
        <v>1941</v>
      </c>
      <c r="U6594" s="12" t="s">
        <v>38</v>
      </c>
      <c r="V6594" s="12" t="s">
        <v>39</v>
      </c>
      <c r="W6594" s="12" t="s">
        <v>27628</v>
      </c>
      <c r="X6594" s="16" t="s">
        <v>26888</v>
      </c>
      <c r="Y6594" s="15" t="s">
        <v>42</v>
      </c>
      <c r="Z6594" s="14">
        <v>0.45</v>
      </c>
      <c r="AA6594" s="14" t="s">
        <v>36</v>
      </c>
      <c r="AB6594" s="12" t="s">
        <v>43</v>
      </c>
      <c r="AC6594" s="12" t="s">
        <v>27629</v>
      </c>
      <c r="AD6594" s="13">
        <v>42566</v>
      </c>
      <c r="AE6594" s="12" t="s">
        <v>1945</v>
      </c>
      <c r="AF6594" s="12" t="s">
        <v>12054</v>
      </c>
      <c r="AG6594" s="12" t="s">
        <v>1447</v>
      </c>
      <c r="AH6594" s="1">
        <f>HYPERLINK("https://my.pitchbook.com?c=113588-11T","View Company Online")</f>
      </c>
    </row>
    <row r="6595">
      <c r="A6595" s="3" t="s">
        <v>29844</v>
      </c>
      <c r="B6595" s="3" t="s">
        <v>12358</v>
      </c>
      <c r="C6595" s="5" t="s">
        <v>36</v>
      </c>
      <c r="D6595" s="5" t="s">
        <v>36</v>
      </c>
      <c r="E6595" s="5" t="s">
        <v>36</v>
      </c>
      <c r="F6595" s="5" t="s">
        <v>36</v>
      </c>
      <c r="G6595" s="6" t="s">
        <v>326</v>
      </c>
      <c r="H6595" s="4">
        <v>1640.84</v>
      </c>
      <c r="I6595" s="7">
        <v>44.71</v>
      </c>
      <c r="J6595" s="3" t="s">
        <v>521</v>
      </c>
      <c r="K6595" s="9" t="s">
        <v>36</v>
      </c>
      <c r="L6595" s="6" t="s">
        <v>94</v>
      </c>
      <c r="M6595" s="3" t="s">
        <v>36</v>
      </c>
      <c r="N6595" s="3" t="s">
        <v>94</v>
      </c>
      <c r="O6595" s="8" t="s">
        <v>36</v>
      </c>
      <c r="P6595" s="3" t="s">
        <v>36</v>
      </c>
      <c r="Q6595" s="3" t="s">
        <v>36</v>
      </c>
      <c r="R6595" s="3" t="s">
        <v>36</v>
      </c>
      <c r="S6595" s="3" t="s">
        <v>36</v>
      </c>
      <c r="T6595" s="3" t="s">
        <v>12359</v>
      </c>
      <c r="U6595" s="3" t="s">
        <v>38</v>
      </c>
      <c r="V6595" s="3" t="s">
        <v>39</v>
      </c>
      <c r="W6595" s="3" t="s">
        <v>12360</v>
      </c>
      <c r="X6595" s="10" t="s">
        <v>29845</v>
      </c>
      <c r="Y6595" s="6" t="s">
        <v>108</v>
      </c>
      <c r="Z6595" s="4">
        <v>16.29</v>
      </c>
      <c r="AA6595" s="4">
        <v>36.44</v>
      </c>
      <c r="AB6595" s="3" t="s">
        <v>56</v>
      </c>
      <c r="AC6595" s="3" t="s">
        <v>12362</v>
      </c>
      <c r="AD6595" s="9">
        <v>42564</v>
      </c>
      <c r="AE6595" s="3" t="s">
        <v>110</v>
      </c>
      <c r="AF6595" s="3" t="s">
        <v>12363</v>
      </c>
      <c r="AG6595" s="3" t="s">
        <v>81</v>
      </c>
      <c r="AH6595" s="11">
        <f>HYPERLINK("https://my.pitchbook.com?c=76157-38T","View Company Online")</f>
      </c>
    </row>
    <row r="6596">
      <c r="A6596" s="12" t="s">
        <v>29846</v>
      </c>
      <c r="B6596" s="12" t="s">
        <v>29847</v>
      </c>
      <c r="C6596" s="19">
        <v>5</v>
      </c>
      <c r="D6596" s="19">
        <v>14</v>
      </c>
      <c r="E6596" s="19">
        <v>6</v>
      </c>
      <c r="F6596" s="19">
        <v>24</v>
      </c>
      <c r="G6596" s="15" t="s">
        <v>36</v>
      </c>
      <c r="H6596" s="14" t="s">
        <v>36</v>
      </c>
      <c r="I6596" s="18" t="s">
        <v>36</v>
      </c>
      <c r="J6596" s="12" t="s">
        <v>36</v>
      </c>
      <c r="K6596" s="13" t="s">
        <v>36</v>
      </c>
      <c r="L6596" s="15" t="s">
        <v>122</v>
      </c>
      <c r="M6596" s="12" t="s">
        <v>36</v>
      </c>
      <c r="N6596" s="12" t="s">
        <v>122</v>
      </c>
      <c r="O6596" s="17" t="s">
        <v>36</v>
      </c>
      <c r="P6596" s="12" t="s">
        <v>36</v>
      </c>
      <c r="Q6596" s="12" t="s">
        <v>36</v>
      </c>
      <c r="R6596" s="12" t="s">
        <v>36</v>
      </c>
      <c r="S6596" s="12" t="s">
        <v>36</v>
      </c>
      <c r="T6596" s="12" t="s">
        <v>661</v>
      </c>
      <c r="U6596" s="12" t="s">
        <v>51</v>
      </c>
      <c r="V6596" s="12" t="s">
        <v>52</v>
      </c>
      <c r="W6596" s="12" t="s">
        <v>29848</v>
      </c>
      <c r="X6596" s="16" t="s">
        <v>25187</v>
      </c>
      <c r="Y6596" s="15" t="s">
        <v>108</v>
      </c>
      <c r="Z6596" s="14">
        <v>1.84</v>
      </c>
      <c r="AA6596" s="14" t="s">
        <v>36</v>
      </c>
      <c r="AB6596" s="12" t="s">
        <v>43</v>
      </c>
      <c r="AC6596" s="12" t="s">
        <v>29849</v>
      </c>
      <c r="AD6596" s="13">
        <v>42563</v>
      </c>
      <c r="AE6596" s="12" t="s">
        <v>158</v>
      </c>
      <c r="AF6596" s="12" t="s">
        <v>159</v>
      </c>
      <c r="AG6596" s="12" t="s">
        <v>899</v>
      </c>
      <c r="AH6596" s="1">
        <f>HYPERLINK("https://my.pitchbook.com?c=72853-66T","View Company Online")</f>
      </c>
    </row>
    <row r="6597">
      <c r="A6597" s="3" t="s">
        <v>29850</v>
      </c>
      <c r="B6597" s="3" t="s">
        <v>29851</v>
      </c>
      <c r="C6597" s="5" t="s">
        <v>36</v>
      </c>
      <c r="D6597" s="5" t="s">
        <v>36</v>
      </c>
      <c r="E6597" s="5" t="s">
        <v>36</v>
      </c>
      <c r="F6597" s="5" t="s">
        <v>36</v>
      </c>
      <c r="G6597" s="6" t="s">
        <v>36</v>
      </c>
      <c r="H6597" s="4" t="s">
        <v>36</v>
      </c>
      <c r="I6597" s="7">
        <v>16.02</v>
      </c>
      <c r="J6597" s="3" t="s">
        <v>327</v>
      </c>
      <c r="K6597" s="9">
        <v>42522</v>
      </c>
      <c r="L6597" s="6" t="s">
        <v>122</v>
      </c>
      <c r="M6597" s="3" t="s">
        <v>36</v>
      </c>
      <c r="N6597" s="3" t="s">
        <v>122</v>
      </c>
      <c r="O6597" s="8" t="s">
        <v>36</v>
      </c>
      <c r="P6597" s="3" t="s">
        <v>36</v>
      </c>
      <c r="Q6597" s="3" t="s">
        <v>36</v>
      </c>
      <c r="R6597" s="3" t="s">
        <v>36</v>
      </c>
      <c r="S6597" s="3" t="s">
        <v>36</v>
      </c>
      <c r="T6597" s="3" t="s">
        <v>105</v>
      </c>
      <c r="U6597" s="3" t="s">
        <v>38</v>
      </c>
      <c r="V6597" s="3" t="s">
        <v>39</v>
      </c>
      <c r="W6597" s="3" t="s">
        <v>29852</v>
      </c>
      <c r="X6597" s="10" t="s">
        <v>29853</v>
      </c>
      <c r="Y6597" s="6" t="s">
        <v>42</v>
      </c>
      <c r="Z6597" s="4">
        <v>1.23</v>
      </c>
      <c r="AA6597" s="4">
        <v>7.66</v>
      </c>
      <c r="AB6597" s="3" t="s">
        <v>43</v>
      </c>
      <c r="AC6597" s="3" t="s">
        <v>29854</v>
      </c>
      <c r="AD6597" s="9">
        <v>42563</v>
      </c>
      <c r="AE6597" s="3" t="s">
        <v>110</v>
      </c>
      <c r="AF6597" s="3" t="s">
        <v>36</v>
      </c>
      <c r="AG6597" s="3" t="s">
        <v>392</v>
      </c>
      <c r="AH6597" s="11">
        <f>HYPERLINK("https://my.pitchbook.com?c=81741-34T","View Company Online")</f>
      </c>
    </row>
    <row r="6598">
      <c r="A6598" s="12" t="s">
        <v>29855</v>
      </c>
      <c r="B6598" s="12" t="s">
        <v>499</v>
      </c>
      <c r="C6598" s="19">
        <v>9</v>
      </c>
      <c r="D6598" s="19">
        <v>2</v>
      </c>
      <c r="E6598" s="19">
        <v>3</v>
      </c>
      <c r="F6598" s="19">
        <v>11</v>
      </c>
      <c r="G6598" s="15" t="s">
        <v>683</v>
      </c>
      <c r="H6598" s="14">
        <v>1246.28</v>
      </c>
      <c r="I6598" s="18">
        <v>26.17</v>
      </c>
      <c r="J6598" s="12" t="s">
        <v>521</v>
      </c>
      <c r="K6598" s="13" t="s">
        <v>36</v>
      </c>
      <c r="L6598" s="15" t="s">
        <v>122</v>
      </c>
      <c r="M6598" s="12" t="s">
        <v>36</v>
      </c>
      <c r="N6598" s="12" t="s">
        <v>122</v>
      </c>
      <c r="O6598" s="17" t="s">
        <v>36</v>
      </c>
      <c r="P6598" s="12" t="s">
        <v>36</v>
      </c>
      <c r="Q6598" s="12" t="s">
        <v>36</v>
      </c>
      <c r="R6598" s="12" t="s">
        <v>36</v>
      </c>
      <c r="S6598" s="12" t="s">
        <v>36</v>
      </c>
      <c r="T6598" s="12" t="s">
        <v>500</v>
      </c>
      <c r="U6598" s="12" t="s">
        <v>51</v>
      </c>
      <c r="V6598" s="12" t="s">
        <v>52</v>
      </c>
      <c r="W6598" s="12" t="s">
        <v>501</v>
      </c>
      <c r="X6598" s="16" t="s">
        <v>29856</v>
      </c>
      <c r="Y6598" s="15" t="s">
        <v>108</v>
      </c>
      <c r="Z6598" s="14">
        <v>4.76</v>
      </c>
      <c r="AA6598" s="14">
        <v>18.18</v>
      </c>
      <c r="AB6598" s="12" t="s">
        <v>43</v>
      </c>
      <c r="AC6598" s="12" t="s">
        <v>503</v>
      </c>
      <c r="AD6598" s="13">
        <v>42559</v>
      </c>
      <c r="AE6598" s="12" t="s">
        <v>504</v>
      </c>
      <c r="AF6598" s="12" t="s">
        <v>159</v>
      </c>
      <c r="AG6598" s="12" t="s">
        <v>81</v>
      </c>
      <c r="AH6598" s="1">
        <f>HYPERLINK("https://my.pitchbook.com?c=72613-54T","View Company Online")</f>
      </c>
    </row>
    <row r="6599">
      <c r="A6599" s="3" t="s">
        <v>29857</v>
      </c>
      <c r="B6599" s="3" t="s">
        <v>5706</v>
      </c>
      <c r="C6599" s="5" t="s">
        <v>36</v>
      </c>
      <c r="D6599" s="5" t="s">
        <v>36</v>
      </c>
      <c r="E6599" s="5" t="s">
        <v>36</v>
      </c>
      <c r="F6599" s="5" t="s">
        <v>36</v>
      </c>
      <c r="G6599" s="6" t="s">
        <v>326</v>
      </c>
      <c r="H6599" s="4">
        <v>0.72</v>
      </c>
      <c r="I6599" s="7">
        <v>27.14</v>
      </c>
      <c r="J6599" s="3" t="s">
        <v>521</v>
      </c>
      <c r="K6599" s="9">
        <v>42185</v>
      </c>
      <c r="L6599" s="6" t="s">
        <v>3736</v>
      </c>
      <c r="M6599" s="3" t="s">
        <v>36</v>
      </c>
      <c r="N6599" s="3" t="s">
        <v>3736</v>
      </c>
      <c r="O6599" s="8" t="s">
        <v>36</v>
      </c>
      <c r="P6599" s="3" t="s">
        <v>36</v>
      </c>
      <c r="Q6599" s="3" t="s">
        <v>36</v>
      </c>
      <c r="R6599" s="3" t="s">
        <v>36</v>
      </c>
      <c r="S6599" s="3" t="s">
        <v>36</v>
      </c>
      <c r="T6599" s="3" t="s">
        <v>5707</v>
      </c>
      <c r="U6599" s="3" t="s">
        <v>279</v>
      </c>
      <c r="V6599" s="3" t="s">
        <v>64</v>
      </c>
      <c r="W6599" s="3" t="s">
        <v>5708</v>
      </c>
      <c r="X6599" s="10" t="s">
        <v>29858</v>
      </c>
      <c r="Y6599" s="6" t="s">
        <v>166</v>
      </c>
      <c r="Z6599" s="4">
        <v>36.91</v>
      </c>
      <c r="AA6599" s="4">
        <v>115.38</v>
      </c>
      <c r="AB6599" s="3" t="s">
        <v>56</v>
      </c>
      <c r="AC6599" s="3" t="s">
        <v>5711</v>
      </c>
      <c r="AD6599" s="9">
        <v>42559</v>
      </c>
      <c r="AE6599" s="3" t="s">
        <v>283</v>
      </c>
      <c r="AF6599" s="3" t="s">
        <v>2363</v>
      </c>
      <c r="AG6599" s="3" t="s">
        <v>81</v>
      </c>
      <c r="AH6599" s="11">
        <f>HYPERLINK("https://my.pitchbook.com?c=56679-76T","View Company Online")</f>
      </c>
    </row>
    <row r="6600">
      <c r="A6600" s="12" t="s">
        <v>29859</v>
      </c>
      <c r="B6600" s="12" t="s">
        <v>29860</v>
      </c>
      <c r="C6600" s="19" t="s">
        <v>36</v>
      </c>
      <c r="D6600" s="19">
        <v>8</v>
      </c>
      <c r="E6600" s="19">
        <v>3</v>
      </c>
      <c r="F6600" s="19">
        <v>8</v>
      </c>
      <c r="G6600" s="15" t="s">
        <v>36</v>
      </c>
      <c r="H6600" s="14">
        <v>12.33</v>
      </c>
      <c r="I6600" s="18">
        <v>29.63</v>
      </c>
      <c r="J6600" s="12" t="s">
        <v>327</v>
      </c>
      <c r="K6600" s="13" t="s">
        <v>36</v>
      </c>
      <c r="L6600" s="15" t="s">
        <v>36</v>
      </c>
      <c r="M6600" s="12" t="s">
        <v>36</v>
      </c>
      <c r="N6600" s="12" t="s">
        <v>36</v>
      </c>
      <c r="O6600" s="17" t="s">
        <v>36</v>
      </c>
      <c r="P6600" s="12" t="s">
        <v>36</v>
      </c>
      <c r="Q6600" s="12" t="s">
        <v>36</v>
      </c>
      <c r="R6600" s="12" t="s">
        <v>36</v>
      </c>
      <c r="S6600" s="12" t="s">
        <v>11264</v>
      </c>
      <c r="T6600" s="12" t="s">
        <v>588</v>
      </c>
      <c r="U6600" s="12" t="s">
        <v>318</v>
      </c>
      <c r="V6600" s="12" t="s">
        <v>39</v>
      </c>
      <c r="W6600" s="12" t="s">
        <v>29861</v>
      </c>
      <c r="X6600" s="16" t="s">
        <v>2455</v>
      </c>
      <c r="Y6600" s="15" t="s">
        <v>42</v>
      </c>
      <c r="Z6600" s="14">
        <v>1.12</v>
      </c>
      <c r="AA6600" s="14">
        <v>3.78</v>
      </c>
      <c r="AB6600" s="12" t="s">
        <v>43</v>
      </c>
      <c r="AC6600" s="12" t="s">
        <v>29862</v>
      </c>
      <c r="AD6600" s="13">
        <v>42558</v>
      </c>
      <c r="AE6600" s="12" t="s">
        <v>417</v>
      </c>
      <c r="AF6600" s="12" t="s">
        <v>23609</v>
      </c>
      <c r="AG6600" s="12" t="s">
        <v>4172</v>
      </c>
      <c r="AH6600" s="1">
        <f>HYPERLINK("https://my.pitchbook.com?c=72823-15T","View Company Online")</f>
      </c>
    </row>
    <row r="6601">
      <c r="A6601" s="3" t="s">
        <v>29863</v>
      </c>
      <c r="B6601" s="3" t="s">
        <v>26077</v>
      </c>
      <c r="C6601" s="5" t="s">
        <v>36</v>
      </c>
      <c r="D6601" s="5" t="s">
        <v>36</v>
      </c>
      <c r="E6601" s="5" t="s">
        <v>36</v>
      </c>
      <c r="F6601" s="5" t="s">
        <v>36</v>
      </c>
      <c r="G6601" s="6" t="s">
        <v>326</v>
      </c>
      <c r="H6601" s="4">
        <v>752.96</v>
      </c>
      <c r="I6601" s="7">
        <v>26.95</v>
      </c>
      <c r="J6601" s="3" t="s">
        <v>521</v>
      </c>
      <c r="K6601" s="9">
        <v>42556</v>
      </c>
      <c r="L6601" s="6" t="s">
        <v>36</v>
      </c>
      <c r="M6601" s="3" t="s">
        <v>36</v>
      </c>
      <c r="N6601" s="3" t="s">
        <v>36</v>
      </c>
      <c r="O6601" s="8" t="s">
        <v>36</v>
      </c>
      <c r="P6601" s="3" t="s">
        <v>36</v>
      </c>
      <c r="Q6601" s="3" t="s">
        <v>36</v>
      </c>
      <c r="R6601" s="3" t="s">
        <v>36</v>
      </c>
      <c r="S6601" s="3" t="s">
        <v>36</v>
      </c>
      <c r="T6601" s="3" t="s">
        <v>522</v>
      </c>
      <c r="U6601" s="3" t="s">
        <v>38</v>
      </c>
      <c r="V6601" s="3" t="s">
        <v>39</v>
      </c>
      <c r="W6601" s="3" t="s">
        <v>26078</v>
      </c>
      <c r="X6601" s="10" t="s">
        <v>29864</v>
      </c>
      <c r="Y6601" s="6" t="s">
        <v>108</v>
      </c>
      <c r="Z6601" s="4">
        <v>2.24</v>
      </c>
      <c r="AA6601" s="4">
        <v>8.31</v>
      </c>
      <c r="AB6601" s="3" t="s">
        <v>43</v>
      </c>
      <c r="AC6601" s="3" t="s">
        <v>26080</v>
      </c>
      <c r="AD6601" s="9">
        <v>42558</v>
      </c>
      <c r="AE6601" s="3" t="s">
        <v>110</v>
      </c>
      <c r="AF6601" s="3" t="s">
        <v>26081</v>
      </c>
      <c r="AG6601" s="3" t="s">
        <v>81</v>
      </c>
      <c r="AH6601" s="11">
        <f>HYPERLINK("https://my.pitchbook.com?c=72753-22T","View Company Online")</f>
      </c>
    </row>
    <row r="6602">
      <c r="A6602" s="12" t="s">
        <v>29865</v>
      </c>
      <c r="B6602" s="12" t="s">
        <v>13723</v>
      </c>
      <c r="C6602" s="19" t="s">
        <v>36</v>
      </c>
      <c r="D6602" s="19" t="s">
        <v>36</v>
      </c>
      <c r="E6602" s="19" t="s">
        <v>36</v>
      </c>
      <c r="F6602" s="19" t="s">
        <v>36</v>
      </c>
      <c r="G6602" s="15" t="s">
        <v>36</v>
      </c>
      <c r="H6602" s="14">
        <v>61.15</v>
      </c>
      <c r="I6602" s="18">
        <v>33.56</v>
      </c>
      <c r="J6602" s="12" t="s">
        <v>521</v>
      </c>
      <c r="K6602" s="13" t="s">
        <v>36</v>
      </c>
      <c r="L6602" s="15" t="s">
        <v>122</v>
      </c>
      <c r="M6602" s="12" t="s">
        <v>36</v>
      </c>
      <c r="N6602" s="12" t="s">
        <v>122</v>
      </c>
      <c r="O6602" s="17" t="s">
        <v>36</v>
      </c>
      <c r="P6602" s="12" t="s">
        <v>36</v>
      </c>
      <c r="Q6602" s="12" t="s">
        <v>36</v>
      </c>
      <c r="R6602" s="12" t="s">
        <v>36</v>
      </c>
      <c r="S6602" s="12" t="s">
        <v>36</v>
      </c>
      <c r="T6602" s="12" t="s">
        <v>1560</v>
      </c>
      <c r="U6602" s="12" t="s">
        <v>438</v>
      </c>
      <c r="V6602" s="12" t="s">
        <v>405</v>
      </c>
      <c r="W6602" s="12" t="s">
        <v>13724</v>
      </c>
      <c r="X6602" s="16" t="s">
        <v>29866</v>
      </c>
      <c r="Y6602" s="15" t="s">
        <v>108</v>
      </c>
      <c r="Z6602" s="14">
        <v>5.6</v>
      </c>
      <c r="AA6602" s="14">
        <v>16.68</v>
      </c>
      <c r="AB6602" s="12" t="s">
        <v>56</v>
      </c>
      <c r="AC6602" s="12" t="s">
        <v>13726</v>
      </c>
      <c r="AD6602" s="13">
        <v>42558</v>
      </c>
      <c r="AE6602" s="12" t="s">
        <v>438</v>
      </c>
      <c r="AF6602" s="12" t="s">
        <v>7466</v>
      </c>
      <c r="AG6602" s="12" t="s">
        <v>81</v>
      </c>
      <c r="AH6602" s="1">
        <f>HYPERLINK("https://my.pitchbook.com?c=75425-68T","View Company Online")</f>
      </c>
    </row>
    <row r="6603">
      <c r="A6603" s="3" t="s">
        <v>29867</v>
      </c>
      <c r="B6603" s="3" t="s">
        <v>29868</v>
      </c>
      <c r="C6603" s="5" t="s">
        <v>36</v>
      </c>
      <c r="D6603" s="5" t="s">
        <v>36</v>
      </c>
      <c r="E6603" s="5" t="s">
        <v>36</v>
      </c>
      <c r="F6603" s="5" t="s">
        <v>36</v>
      </c>
      <c r="G6603" s="6" t="s">
        <v>326</v>
      </c>
      <c r="H6603" s="4">
        <v>7.27</v>
      </c>
      <c r="I6603" s="7">
        <v>24.01</v>
      </c>
      <c r="J6603" s="3" t="s">
        <v>521</v>
      </c>
      <c r="K6603" s="9" t="s">
        <v>36</v>
      </c>
      <c r="L6603" s="6" t="s">
        <v>1279</v>
      </c>
      <c r="M6603" s="3" t="s">
        <v>36</v>
      </c>
      <c r="N6603" s="3" t="s">
        <v>1279</v>
      </c>
      <c r="O6603" s="8" t="s">
        <v>36</v>
      </c>
      <c r="P6603" s="3" t="s">
        <v>36</v>
      </c>
      <c r="Q6603" s="3" t="s">
        <v>36</v>
      </c>
      <c r="R6603" s="3" t="s">
        <v>36</v>
      </c>
      <c r="S6603" s="3" t="s">
        <v>36</v>
      </c>
      <c r="T6603" s="3" t="s">
        <v>123</v>
      </c>
      <c r="U6603" s="3" t="s">
        <v>38</v>
      </c>
      <c r="V6603" s="3" t="s">
        <v>39</v>
      </c>
      <c r="W6603" s="3" t="s">
        <v>29869</v>
      </c>
      <c r="X6603" s="10" t="s">
        <v>29870</v>
      </c>
      <c r="Y6603" s="6" t="s">
        <v>166</v>
      </c>
      <c r="Z6603" s="4">
        <v>15.17</v>
      </c>
      <c r="AA6603" s="4">
        <v>63.17</v>
      </c>
      <c r="AB6603" s="3" t="s">
        <v>56</v>
      </c>
      <c r="AC6603" s="3" t="s">
        <v>29871</v>
      </c>
      <c r="AD6603" s="9">
        <v>42556</v>
      </c>
      <c r="AE6603" s="3" t="s">
        <v>110</v>
      </c>
      <c r="AF6603" s="3" t="s">
        <v>28526</v>
      </c>
      <c r="AG6603" s="3" t="s">
        <v>29872</v>
      </c>
      <c r="AH6603" s="11">
        <f>HYPERLINK("https://my.pitchbook.com?c=72502-39T","View Company Online")</f>
      </c>
    </row>
    <row r="6604">
      <c r="A6604" s="12" t="s">
        <v>29873</v>
      </c>
      <c r="B6604" s="12" t="s">
        <v>17466</v>
      </c>
      <c r="C6604" s="19" t="s">
        <v>36</v>
      </c>
      <c r="D6604" s="19">
        <v>1</v>
      </c>
      <c r="E6604" s="19">
        <v>1</v>
      </c>
      <c r="F6604" s="19">
        <v>1</v>
      </c>
      <c r="G6604" s="15" t="s">
        <v>36</v>
      </c>
      <c r="H6604" s="14">
        <v>505.08</v>
      </c>
      <c r="I6604" s="18">
        <v>28.99</v>
      </c>
      <c r="J6604" s="12" t="s">
        <v>521</v>
      </c>
      <c r="K6604" s="13" t="s">
        <v>36</v>
      </c>
      <c r="L6604" s="15" t="s">
        <v>36</v>
      </c>
      <c r="M6604" s="12" t="s">
        <v>36</v>
      </c>
      <c r="N6604" s="12" t="s">
        <v>36</v>
      </c>
      <c r="O6604" s="17" t="s">
        <v>36</v>
      </c>
      <c r="P6604" s="12" t="s">
        <v>36</v>
      </c>
      <c r="Q6604" s="12" t="s">
        <v>36</v>
      </c>
      <c r="R6604" s="12" t="s">
        <v>36</v>
      </c>
      <c r="S6604" s="12" t="s">
        <v>36</v>
      </c>
      <c r="T6604" s="12" t="s">
        <v>2195</v>
      </c>
      <c r="U6604" s="12" t="s">
        <v>279</v>
      </c>
      <c r="V6604" s="12" t="s">
        <v>64</v>
      </c>
      <c r="W6604" s="12" t="s">
        <v>17467</v>
      </c>
      <c r="X6604" s="16" t="s">
        <v>29874</v>
      </c>
      <c r="Y6604" s="15" t="s">
        <v>42</v>
      </c>
      <c r="Z6604" s="14">
        <v>0.67</v>
      </c>
      <c r="AA6604" s="14">
        <v>2.3</v>
      </c>
      <c r="AB6604" s="12" t="s">
        <v>43</v>
      </c>
      <c r="AC6604" s="12" t="s">
        <v>17469</v>
      </c>
      <c r="AD6604" s="13">
        <v>42556</v>
      </c>
      <c r="AE6604" s="12" t="s">
        <v>283</v>
      </c>
      <c r="AF6604" s="12" t="s">
        <v>15624</v>
      </c>
      <c r="AG6604" s="12" t="s">
        <v>81</v>
      </c>
      <c r="AH6604" s="1">
        <f>HYPERLINK("https://my.pitchbook.com?c=87730-84T","View Company Online")</f>
      </c>
    </row>
    <row r="6605">
      <c r="A6605" s="3" t="s">
        <v>29875</v>
      </c>
      <c r="B6605" s="3" t="s">
        <v>27451</v>
      </c>
      <c r="C6605" s="5" t="s">
        <v>36</v>
      </c>
      <c r="D6605" s="5">
        <v>13</v>
      </c>
      <c r="E6605" s="5">
        <v>2</v>
      </c>
      <c r="F6605" s="5">
        <v>14</v>
      </c>
      <c r="G6605" s="6" t="s">
        <v>326</v>
      </c>
      <c r="H6605" s="4">
        <v>414.27</v>
      </c>
      <c r="I6605" s="7">
        <v>20.74</v>
      </c>
      <c r="J6605" s="3" t="s">
        <v>521</v>
      </c>
      <c r="K6605" s="9" t="s">
        <v>36</v>
      </c>
      <c r="L6605" s="6" t="s">
        <v>36</v>
      </c>
      <c r="M6605" s="3" t="s">
        <v>36</v>
      </c>
      <c r="N6605" s="3" t="s">
        <v>36</v>
      </c>
      <c r="O6605" s="8" t="s">
        <v>36</v>
      </c>
      <c r="P6605" s="3" t="s">
        <v>36</v>
      </c>
      <c r="Q6605" s="3" t="s">
        <v>36</v>
      </c>
      <c r="R6605" s="3" t="s">
        <v>36</v>
      </c>
      <c r="S6605" s="3" t="s">
        <v>36</v>
      </c>
      <c r="T6605" s="3" t="s">
        <v>9243</v>
      </c>
      <c r="U6605" s="3" t="s">
        <v>423</v>
      </c>
      <c r="V6605" s="3" t="s">
        <v>64</v>
      </c>
      <c r="W6605" s="3" t="s">
        <v>27452</v>
      </c>
      <c r="X6605" s="10" t="s">
        <v>29876</v>
      </c>
      <c r="Y6605" s="6" t="s">
        <v>42</v>
      </c>
      <c r="Z6605" s="4">
        <v>1.68</v>
      </c>
      <c r="AA6605" s="4">
        <v>7.08</v>
      </c>
      <c r="AB6605" s="3" t="s">
        <v>56</v>
      </c>
      <c r="AC6605" s="3" t="s">
        <v>27454</v>
      </c>
      <c r="AD6605" s="9">
        <v>42555</v>
      </c>
      <c r="AE6605" s="3" t="s">
        <v>427</v>
      </c>
      <c r="AF6605" s="3" t="s">
        <v>15548</v>
      </c>
      <c r="AG6605" s="3" t="s">
        <v>186</v>
      </c>
      <c r="AH6605" s="11">
        <f>HYPERLINK("https://my.pitchbook.com?c=102518-11T","View Company Online")</f>
      </c>
    </row>
    <row r="6606">
      <c r="A6606" s="12" t="s">
        <v>29877</v>
      </c>
      <c r="B6606" s="12" t="s">
        <v>29878</v>
      </c>
      <c r="C6606" s="19" t="s">
        <v>36</v>
      </c>
      <c r="D6606" s="19" t="s">
        <v>36</v>
      </c>
      <c r="E6606" s="19" t="s">
        <v>36</v>
      </c>
      <c r="F6606" s="19" t="s">
        <v>36</v>
      </c>
      <c r="G6606" s="15" t="s">
        <v>683</v>
      </c>
      <c r="H6606" s="14">
        <v>279.37</v>
      </c>
      <c r="I6606" s="18">
        <v>23.89</v>
      </c>
      <c r="J6606" s="12" t="s">
        <v>327</v>
      </c>
      <c r="K6606" s="13">
        <v>42549</v>
      </c>
      <c r="L6606" s="15" t="s">
        <v>94</v>
      </c>
      <c r="M6606" s="12" t="s">
        <v>36</v>
      </c>
      <c r="N6606" s="12" t="s">
        <v>94</v>
      </c>
      <c r="O6606" s="17" t="s">
        <v>36</v>
      </c>
      <c r="P6606" s="12" t="s">
        <v>36</v>
      </c>
      <c r="Q6606" s="12" t="s">
        <v>36</v>
      </c>
      <c r="R6606" s="12" t="s">
        <v>36</v>
      </c>
      <c r="S6606" s="12" t="s">
        <v>36</v>
      </c>
      <c r="T6606" s="12" t="s">
        <v>13576</v>
      </c>
      <c r="U6606" s="12" t="s">
        <v>438</v>
      </c>
      <c r="V6606" s="12" t="s">
        <v>405</v>
      </c>
      <c r="W6606" s="12" t="s">
        <v>29879</v>
      </c>
      <c r="X6606" s="16" t="s">
        <v>29880</v>
      </c>
      <c r="Y6606" s="15" t="s">
        <v>108</v>
      </c>
      <c r="Z6606" s="14">
        <v>3.93</v>
      </c>
      <c r="AA6606" s="14">
        <v>13.27</v>
      </c>
      <c r="AB6606" s="12" t="s">
        <v>43</v>
      </c>
      <c r="AC6606" s="12" t="s">
        <v>29881</v>
      </c>
      <c r="AD6606" s="13">
        <v>42555</v>
      </c>
      <c r="AE6606" s="12" t="s">
        <v>442</v>
      </c>
      <c r="AF6606" s="12" t="s">
        <v>7466</v>
      </c>
      <c r="AG6606" s="12" t="s">
        <v>81</v>
      </c>
      <c r="AH6606" s="1">
        <f>HYPERLINK("https://my.pitchbook.com?c=72271-27T","View Company Online")</f>
      </c>
    </row>
    <row r="6607">
      <c r="A6607" s="3" t="s">
        <v>29882</v>
      </c>
      <c r="B6607" s="3" t="s">
        <v>14099</v>
      </c>
      <c r="C6607" s="5" t="s">
        <v>36</v>
      </c>
      <c r="D6607" s="5" t="s">
        <v>36</v>
      </c>
      <c r="E6607" s="5" t="s">
        <v>36</v>
      </c>
      <c r="F6607" s="5" t="s">
        <v>36</v>
      </c>
      <c r="G6607" s="6" t="s">
        <v>36</v>
      </c>
      <c r="H6607" s="4">
        <v>20.75</v>
      </c>
      <c r="I6607" s="7">
        <v>13.1</v>
      </c>
      <c r="J6607" s="3" t="s">
        <v>521</v>
      </c>
      <c r="K6607" s="9" t="s">
        <v>36</v>
      </c>
      <c r="L6607" s="6" t="s">
        <v>36</v>
      </c>
      <c r="M6607" s="3" t="s">
        <v>36</v>
      </c>
      <c r="N6607" s="3" t="s">
        <v>36</v>
      </c>
      <c r="O6607" s="8" t="s">
        <v>36</v>
      </c>
      <c r="P6607" s="3" t="s">
        <v>36</v>
      </c>
      <c r="Q6607" s="3" t="s">
        <v>36</v>
      </c>
      <c r="R6607" s="3" t="s">
        <v>36</v>
      </c>
      <c r="S6607" s="3" t="s">
        <v>36</v>
      </c>
      <c r="T6607" s="3" t="s">
        <v>50</v>
      </c>
      <c r="U6607" s="3" t="s">
        <v>51</v>
      </c>
      <c r="V6607" s="3" t="s">
        <v>52</v>
      </c>
      <c r="W6607" s="3" t="s">
        <v>14100</v>
      </c>
      <c r="X6607" s="10" t="s">
        <v>28858</v>
      </c>
      <c r="Y6607" s="6" t="s">
        <v>42</v>
      </c>
      <c r="Z6607" s="4">
        <v>0.5</v>
      </c>
      <c r="AA6607" s="4">
        <v>3.83</v>
      </c>
      <c r="AB6607" s="3" t="s">
        <v>43</v>
      </c>
      <c r="AC6607" s="3" t="s">
        <v>14102</v>
      </c>
      <c r="AD6607" s="9">
        <v>42552</v>
      </c>
      <c r="AE6607" s="3" t="s">
        <v>58</v>
      </c>
      <c r="AF6607" s="3" t="s">
        <v>756</v>
      </c>
      <c r="AG6607" s="3" t="s">
        <v>899</v>
      </c>
      <c r="AH6607" s="11">
        <f>HYPERLINK("https://my.pitchbook.com?c=126071-29T","View Company Online")</f>
      </c>
    </row>
    <row r="6608">
      <c r="A6608" s="12" t="s">
        <v>29883</v>
      </c>
      <c r="B6608" s="12" t="s">
        <v>23465</v>
      </c>
      <c r="C6608" s="19" t="s">
        <v>36</v>
      </c>
      <c r="D6608" s="19">
        <v>4</v>
      </c>
      <c r="E6608" s="19">
        <v>1</v>
      </c>
      <c r="F6608" s="19">
        <v>4</v>
      </c>
      <c r="G6608" s="15" t="s">
        <v>36</v>
      </c>
      <c r="H6608" s="14" t="s">
        <v>36</v>
      </c>
      <c r="I6608" s="18" t="s">
        <v>36</v>
      </c>
      <c r="J6608" s="12" t="s">
        <v>36</v>
      </c>
      <c r="K6608" s="13" t="s">
        <v>36</v>
      </c>
      <c r="L6608" s="15" t="s">
        <v>122</v>
      </c>
      <c r="M6608" s="12" t="s">
        <v>36</v>
      </c>
      <c r="N6608" s="12" t="s">
        <v>122</v>
      </c>
      <c r="O6608" s="17" t="s">
        <v>36</v>
      </c>
      <c r="P6608" s="12" t="s">
        <v>36</v>
      </c>
      <c r="Q6608" s="12" t="s">
        <v>36</v>
      </c>
      <c r="R6608" s="12" t="s">
        <v>36</v>
      </c>
      <c r="S6608" s="12" t="s">
        <v>36</v>
      </c>
      <c r="T6608" s="12" t="s">
        <v>522</v>
      </c>
      <c r="U6608" s="12" t="s">
        <v>38</v>
      </c>
      <c r="V6608" s="12" t="s">
        <v>39</v>
      </c>
      <c r="W6608" s="12" t="s">
        <v>23466</v>
      </c>
      <c r="X6608" s="16" t="s">
        <v>29884</v>
      </c>
      <c r="Y6608" s="15" t="s">
        <v>108</v>
      </c>
      <c r="Z6608" s="14">
        <v>1.69</v>
      </c>
      <c r="AA6608" s="14" t="s">
        <v>36</v>
      </c>
      <c r="AB6608" s="12" t="s">
        <v>56</v>
      </c>
      <c r="AC6608" s="12" t="s">
        <v>23468</v>
      </c>
      <c r="AD6608" s="13">
        <v>42552</v>
      </c>
      <c r="AE6608" s="12" t="s">
        <v>110</v>
      </c>
      <c r="AF6608" s="12" t="s">
        <v>905</v>
      </c>
      <c r="AG6608" s="12" t="s">
        <v>81</v>
      </c>
      <c r="AH6608" s="1">
        <f>HYPERLINK("https://my.pitchbook.com?c=120383-56T","View Company Online")</f>
      </c>
    </row>
    <row r="6609">
      <c r="A6609" s="3" t="s">
        <v>29885</v>
      </c>
      <c r="B6609" s="3" t="s">
        <v>1644</v>
      </c>
      <c r="C6609" s="5" t="s">
        <v>36</v>
      </c>
      <c r="D6609" s="5" t="s">
        <v>36</v>
      </c>
      <c r="E6609" s="5" t="s">
        <v>36</v>
      </c>
      <c r="F6609" s="5" t="s">
        <v>36</v>
      </c>
      <c r="G6609" s="6" t="s">
        <v>36</v>
      </c>
      <c r="H6609" s="4" t="s">
        <v>36</v>
      </c>
      <c r="I6609" s="7" t="s">
        <v>36</v>
      </c>
      <c r="J6609" s="3" t="s">
        <v>36</v>
      </c>
      <c r="K6609" s="9" t="s">
        <v>36</v>
      </c>
      <c r="L6609" s="6" t="s">
        <v>36</v>
      </c>
      <c r="M6609" s="3" t="s">
        <v>36</v>
      </c>
      <c r="N6609" s="3" t="s">
        <v>36</v>
      </c>
      <c r="O6609" s="8" t="s">
        <v>36</v>
      </c>
      <c r="P6609" s="3" t="s">
        <v>36</v>
      </c>
      <c r="Q6609" s="3" t="s">
        <v>36</v>
      </c>
      <c r="R6609" s="3" t="s">
        <v>36</v>
      </c>
      <c r="S6609" s="3" t="s">
        <v>36</v>
      </c>
      <c r="T6609" s="3" t="s">
        <v>1645</v>
      </c>
      <c r="U6609" s="3" t="s">
        <v>38</v>
      </c>
      <c r="V6609" s="3" t="s">
        <v>39</v>
      </c>
      <c r="W6609" s="3" t="s">
        <v>1646</v>
      </c>
      <c r="X6609" s="10" t="s">
        <v>26848</v>
      </c>
      <c r="Y6609" s="6" t="s">
        <v>42</v>
      </c>
      <c r="Z6609" s="4" t="s">
        <v>36</v>
      </c>
      <c r="AA6609" s="4" t="s">
        <v>36</v>
      </c>
      <c r="AB6609" s="3" t="s">
        <v>43</v>
      </c>
      <c r="AC6609" s="3" t="s">
        <v>1648</v>
      </c>
      <c r="AD6609" s="9">
        <v>42552</v>
      </c>
      <c r="AE6609" s="3" t="s">
        <v>110</v>
      </c>
      <c r="AF6609" s="3" t="s">
        <v>275</v>
      </c>
      <c r="AG6609" s="3" t="s">
        <v>186</v>
      </c>
      <c r="AH6609" s="11">
        <f>HYPERLINK("https://my.pitchbook.com?c=81388-00T","View Company Online")</f>
      </c>
    </row>
    <row r="6610">
      <c r="A6610" s="12" t="s">
        <v>29886</v>
      </c>
      <c r="B6610" s="12" t="s">
        <v>29887</v>
      </c>
      <c r="C6610" s="19" t="s">
        <v>36</v>
      </c>
      <c r="D6610" s="19" t="s">
        <v>36</v>
      </c>
      <c r="E6610" s="19" t="s">
        <v>36</v>
      </c>
      <c r="F6610" s="19" t="s">
        <v>36</v>
      </c>
      <c r="G6610" s="15" t="s">
        <v>36</v>
      </c>
      <c r="H6610" s="14" t="s">
        <v>36</v>
      </c>
      <c r="I6610" s="18" t="s">
        <v>36</v>
      </c>
      <c r="J6610" s="12" t="s">
        <v>36</v>
      </c>
      <c r="K6610" s="13" t="s">
        <v>36</v>
      </c>
      <c r="L6610" s="15" t="s">
        <v>122</v>
      </c>
      <c r="M6610" s="12" t="s">
        <v>36</v>
      </c>
      <c r="N6610" s="12" t="s">
        <v>122</v>
      </c>
      <c r="O6610" s="17" t="s">
        <v>36</v>
      </c>
      <c r="P6610" s="12" t="s">
        <v>36</v>
      </c>
      <c r="Q6610" s="12" t="s">
        <v>36</v>
      </c>
      <c r="R6610" s="12" t="s">
        <v>36</v>
      </c>
      <c r="S6610" s="12" t="s">
        <v>36</v>
      </c>
      <c r="T6610" s="12" t="s">
        <v>29888</v>
      </c>
      <c r="U6610" s="12" t="s">
        <v>38</v>
      </c>
      <c r="V6610" s="12" t="s">
        <v>39</v>
      </c>
      <c r="W6610" s="12" t="s">
        <v>29889</v>
      </c>
      <c r="X6610" s="16" t="s">
        <v>29890</v>
      </c>
      <c r="Y6610" s="15" t="s">
        <v>42</v>
      </c>
      <c r="Z6610" s="14">
        <v>1.12</v>
      </c>
      <c r="AA6610" s="14" t="s">
        <v>36</v>
      </c>
      <c r="AB6610" s="12" t="s">
        <v>56</v>
      </c>
      <c r="AC6610" s="12" t="s">
        <v>29891</v>
      </c>
      <c r="AD6610" s="13">
        <v>42552</v>
      </c>
      <c r="AE6610" s="12" t="s">
        <v>1422</v>
      </c>
      <c r="AF6610" s="12" t="s">
        <v>29892</v>
      </c>
      <c r="AG6610" s="12" t="s">
        <v>81</v>
      </c>
      <c r="AH6610" s="1">
        <f>HYPERLINK("https://my.pitchbook.com?c=73696-87T","View Company Online")</f>
      </c>
    </row>
    <row r="6611">
      <c r="A6611" s="3" t="s">
        <v>29893</v>
      </c>
      <c r="B6611" s="3" t="s">
        <v>24086</v>
      </c>
      <c r="C6611" s="5" t="s">
        <v>36</v>
      </c>
      <c r="D6611" s="5" t="s">
        <v>36</v>
      </c>
      <c r="E6611" s="5" t="s">
        <v>36</v>
      </c>
      <c r="F6611" s="5" t="s">
        <v>36</v>
      </c>
      <c r="G6611" s="6" t="s">
        <v>326</v>
      </c>
      <c r="H6611" s="4" t="s">
        <v>36</v>
      </c>
      <c r="I6611" s="7">
        <v>18.88</v>
      </c>
      <c r="J6611" s="3" t="s">
        <v>327</v>
      </c>
      <c r="K6611" s="9" t="s">
        <v>36</v>
      </c>
      <c r="L6611" s="6" t="s">
        <v>36</v>
      </c>
      <c r="M6611" s="3" t="s">
        <v>36</v>
      </c>
      <c r="N6611" s="3" t="s">
        <v>36</v>
      </c>
      <c r="O6611" s="8" t="s">
        <v>36</v>
      </c>
      <c r="P6611" s="3" t="s">
        <v>36</v>
      </c>
      <c r="Q6611" s="3" t="s">
        <v>36</v>
      </c>
      <c r="R6611" s="3" t="s">
        <v>36</v>
      </c>
      <c r="S6611" s="3" t="s">
        <v>36</v>
      </c>
      <c r="T6611" s="3" t="s">
        <v>189</v>
      </c>
      <c r="U6611" s="3" t="s">
        <v>180</v>
      </c>
      <c r="V6611" s="3" t="s">
        <v>52</v>
      </c>
      <c r="W6611" s="3" t="s">
        <v>24087</v>
      </c>
      <c r="X6611" s="10" t="s">
        <v>29894</v>
      </c>
      <c r="Y6611" s="6" t="s">
        <v>55</v>
      </c>
      <c r="Z6611" s="4">
        <v>5.06</v>
      </c>
      <c r="AA6611" s="4">
        <v>26.79</v>
      </c>
      <c r="AB6611" s="3" t="s">
        <v>43</v>
      </c>
      <c r="AC6611" s="3" t="s">
        <v>24089</v>
      </c>
      <c r="AD6611" s="9">
        <v>42552</v>
      </c>
      <c r="AE6611" s="3" t="s">
        <v>184</v>
      </c>
      <c r="AF6611" s="3" t="s">
        <v>3514</v>
      </c>
      <c r="AG6611" s="3" t="s">
        <v>81</v>
      </c>
      <c r="AH6611" s="11">
        <f>HYPERLINK("https://my.pitchbook.com?c=103326-67T","View Company Online")</f>
      </c>
    </row>
    <row r="6612">
      <c r="A6612" s="12" t="s">
        <v>29895</v>
      </c>
      <c r="B6612" s="12" t="s">
        <v>17443</v>
      </c>
      <c r="C6612" s="19" t="s">
        <v>36</v>
      </c>
      <c r="D6612" s="19">
        <v>2</v>
      </c>
      <c r="E6612" s="19">
        <v>1</v>
      </c>
      <c r="F6612" s="19">
        <v>2</v>
      </c>
      <c r="G6612" s="15" t="s">
        <v>326</v>
      </c>
      <c r="H6612" s="14">
        <v>1619.95</v>
      </c>
      <c r="I6612" s="18">
        <v>11.42</v>
      </c>
      <c r="J6612" s="12" t="s">
        <v>521</v>
      </c>
      <c r="K6612" s="13" t="s">
        <v>36</v>
      </c>
      <c r="L6612" s="15" t="s">
        <v>36</v>
      </c>
      <c r="M6612" s="12" t="s">
        <v>36</v>
      </c>
      <c r="N6612" s="12" t="s">
        <v>36</v>
      </c>
      <c r="O6612" s="17" t="s">
        <v>36</v>
      </c>
      <c r="P6612" s="12" t="s">
        <v>36</v>
      </c>
      <c r="Q6612" s="12" t="s">
        <v>36</v>
      </c>
      <c r="R6612" s="12" t="s">
        <v>36</v>
      </c>
      <c r="S6612" s="12" t="s">
        <v>36</v>
      </c>
      <c r="T6612" s="12" t="s">
        <v>37</v>
      </c>
      <c r="U6612" s="12" t="s">
        <v>38</v>
      </c>
      <c r="V6612" s="12" t="s">
        <v>39</v>
      </c>
      <c r="W6612" s="12" t="s">
        <v>17444</v>
      </c>
      <c r="X6612" s="16" t="s">
        <v>29896</v>
      </c>
      <c r="Y6612" s="15" t="s">
        <v>108</v>
      </c>
      <c r="Z6612" s="14">
        <v>0.9</v>
      </c>
      <c r="AA6612" s="14">
        <v>4.91</v>
      </c>
      <c r="AB6612" s="12" t="s">
        <v>43</v>
      </c>
      <c r="AC6612" s="12" t="s">
        <v>17446</v>
      </c>
      <c r="AD6612" s="13">
        <v>42552</v>
      </c>
      <c r="AE6612" s="12" t="s">
        <v>45</v>
      </c>
      <c r="AF6612" s="12" t="s">
        <v>17447</v>
      </c>
      <c r="AG6612" s="12" t="s">
        <v>2618</v>
      </c>
      <c r="AH6612" s="1">
        <f>HYPERLINK("https://my.pitchbook.com?c=76797-46T","View Company Online")</f>
      </c>
    </row>
    <row r="6613">
      <c r="A6613" s="3" t="s">
        <v>29897</v>
      </c>
      <c r="B6613" s="3" t="s">
        <v>29898</v>
      </c>
      <c r="C6613" s="5" t="s">
        <v>36</v>
      </c>
      <c r="D6613" s="5" t="s">
        <v>36</v>
      </c>
      <c r="E6613" s="5" t="s">
        <v>36</v>
      </c>
      <c r="F6613" s="5" t="s">
        <v>36</v>
      </c>
      <c r="G6613" s="6" t="s">
        <v>36</v>
      </c>
      <c r="H6613" s="4" t="s">
        <v>36</v>
      </c>
      <c r="I6613" s="7" t="s">
        <v>36</v>
      </c>
      <c r="J6613" s="3" t="s">
        <v>36</v>
      </c>
      <c r="K6613" s="9" t="s">
        <v>36</v>
      </c>
      <c r="L6613" s="6" t="s">
        <v>36</v>
      </c>
      <c r="M6613" s="3" t="s">
        <v>36</v>
      </c>
      <c r="N6613" s="3" t="s">
        <v>36</v>
      </c>
      <c r="O6613" s="8" t="s">
        <v>36</v>
      </c>
      <c r="P6613" s="3" t="s">
        <v>36</v>
      </c>
      <c r="Q6613" s="3" t="s">
        <v>36</v>
      </c>
      <c r="R6613" s="3" t="s">
        <v>36</v>
      </c>
      <c r="S6613" s="3" t="s">
        <v>36</v>
      </c>
      <c r="T6613" s="3" t="s">
        <v>10351</v>
      </c>
      <c r="U6613" s="3" t="s">
        <v>38</v>
      </c>
      <c r="V6613" s="3" t="s">
        <v>39</v>
      </c>
      <c r="W6613" s="3" t="s">
        <v>29899</v>
      </c>
      <c r="X6613" s="10" t="s">
        <v>29900</v>
      </c>
      <c r="Y6613" s="6" t="s">
        <v>42</v>
      </c>
      <c r="Z6613" s="4">
        <v>1.69</v>
      </c>
      <c r="AA6613" s="4" t="s">
        <v>36</v>
      </c>
      <c r="AB6613" s="3" t="s">
        <v>43</v>
      </c>
      <c r="AC6613" s="3" t="s">
        <v>29901</v>
      </c>
      <c r="AD6613" s="9">
        <v>42552</v>
      </c>
      <c r="AE6613" s="3" t="s">
        <v>110</v>
      </c>
      <c r="AF6613" s="3" t="s">
        <v>1636</v>
      </c>
      <c r="AG6613" s="3" t="s">
        <v>741</v>
      </c>
      <c r="AH6613" s="11">
        <f>HYPERLINK("https://my.pitchbook.com?c=80530-48T","View Company Online")</f>
      </c>
    </row>
    <row r="6614">
      <c r="A6614" s="12" t="s">
        <v>29902</v>
      </c>
      <c r="B6614" s="12" t="s">
        <v>29903</v>
      </c>
      <c r="C6614" s="19" t="s">
        <v>36</v>
      </c>
      <c r="D6614" s="19" t="s">
        <v>36</v>
      </c>
      <c r="E6614" s="19" t="s">
        <v>36</v>
      </c>
      <c r="F6614" s="19" t="s">
        <v>36</v>
      </c>
      <c r="G6614" s="15" t="s">
        <v>36</v>
      </c>
      <c r="H6614" s="14">
        <v>15.23</v>
      </c>
      <c r="I6614" s="18">
        <v>18.19</v>
      </c>
      <c r="J6614" s="12" t="s">
        <v>327</v>
      </c>
      <c r="K6614" s="13" t="s">
        <v>36</v>
      </c>
      <c r="L6614" s="15" t="s">
        <v>36</v>
      </c>
      <c r="M6614" s="12" t="s">
        <v>36</v>
      </c>
      <c r="N6614" s="12" t="s">
        <v>36</v>
      </c>
      <c r="O6614" s="17" t="s">
        <v>36</v>
      </c>
      <c r="P6614" s="12" t="s">
        <v>36</v>
      </c>
      <c r="Q6614" s="12" t="s">
        <v>36</v>
      </c>
      <c r="R6614" s="12" t="s">
        <v>36</v>
      </c>
      <c r="S6614" s="12" t="s">
        <v>36</v>
      </c>
      <c r="T6614" s="12" t="s">
        <v>29904</v>
      </c>
      <c r="U6614" s="12" t="s">
        <v>51</v>
      </c>
      <c r="V6614" s="12" t="s">
        <v>52</v>
      </c>
      <c r="W6614" s="12" t="s">
        <v>29905</v>
      </c>
      <c r="X6614" s="16" t="s">
        <v>29906</v>
      </c>
      <c r="Y6614" s="15" t="s">
        <v>42</v>
      </c>
      <c r="Z6614" s="14">
        <v>0.18</v>
      </c>
      <c r="AA6614" s="14">
        <v>0.99</v>
      </c>
      <c r="AB6614" s="12" t="s">
        <v>43</v>
      </c>
      <c r="AC6614" s="12" t="s">
        <v>29907</v>
      </c>
      <c r="AD6614" s="13">
        <v>42551</v>
      </c>
      <c r="AE6614" s="12" t="s">
        <v>158</v>
      </c>
      <c r="AF6614" s="12" t="s">
        <v>29908</v>
      </c>
      <c r="AG6614" s="12" t="s">
        <v>29909</v>
      </c>
      <c r="AH6614" s="1">
        <f>HYPERLINK("https://my.pitchbook.com?c=122282-65T","View Company Online")</f>
      </c>
    </row>
    <row r="6615">
      <c r="A6615" s="3" t="s">
        <v>29910</v>
      </c>
      <c r="B6615" s="3" t="s">
        <v>24929</v>
      </c>
      <c r="C6615" s="5" t="s">
        <v>36</v>
      </c>
      <c r="D6615" s="5" t="s">
        <v>36</v>
      </c>
      <c r="E6615" s="5" t="s">
        <v>36</v>
      </c>
      <c r="F6615" s="5" t="s">
        <v>36</v>
      </c>
      <c r="G6615" s="6" t="s">
        <v>36</v>
      </c>
      <c r="H6615" s="4">
        <v>734.49</v>
      </c>
      <c r="I6615" s="7">
        <v>44</v>
      </c>
      <c r="J6615" s="3" t="s">
        <v>327</v>
      </c>
      <c r="K6615" s="9" t="s">
        <v>36</v>
      </c>
      <c r="L6615" s="6" t="s">
        <v>36</v>
      </c>
      <c r="M6615" s="3" t="s">
        <v>36</v>
      </c>
      <c r="N6615" s="3" t="s">
        <v>36</v>
      </c>
      <c r="O6615" s="8" t="s">
        <v>36</v>
      </c>
      <c r="P6615" s="3" t="s">
        <v>36</v>
      </c>
      <c r="Q6615" s="3" t="s">
        <v>36</v>
      </c>
      <c r="R6615" s="3" t="s">
        <v>36</v>
      </c>
      <c r="S6615" s="3" t="s">
        <v>36</v>
      </c>
      <c r="T6615" s="3" t="s">
        <v>9456</v>
      </c>
      <c r="U6615" s="3" t="s">
        <v>63</v>
      </c>
      <c r="V6615" s="3" t="s">
        <v>64</v>
      </c>
      <c r="W6615" s="3" t="s">
        <v>24930</v>
      </c>
      <c r="X6615" s="10" t="s">
        <v>28296</v>
      </c>
      <c r="Y6615" s="6" t="s">
        <v>42</v>
      </c>
      <c r="Z6615" s="4">
        <v>2.81</v>
      </c>
      <c r="AA6615" s="4">
        <v>6.39</v>
      </c>
      <c r="AB6615" s="3" t="s">
        <v>43</v>
      </c>
      <c r="AC6615" s="3" t="s">
        <v>24931</v>
      </c>
      <c r="AD6615" s="9">
        <v>42551</v>
      </c>
      <c r="AE6615" s="3" t="s">
        <v>4310</v>
      </c>
      <c r="AF6615" s="3" t="s">
        <v>36</v>
      </c>
      <c r="AG6615" s="3" t="s">
        <v>24932</v>
      </c>
      <c r="AH6615" s="11">
        <f>HYPERLINK("https://my.pitchbook.com?c=90398-80T","View Company Online")</f>
      </c>
    </row>
    <row r="6616">
      <c r="A6616" s="12" t="s">
        <v>29911</v>
      </c>
      <c r="B6616" s="12" t="s">
        <v>20300</v>
      </c>
      <c r="C6616" s="19" t="s">
        <v>36</v>
      </c>
      <c r="D6616" s="19" t="s">
        <v>36</v>
      </c>
      <c r="E6616" s="19" t="s">
        <v>36</v>
      </c>
      <c r="F6616" s="19" t="s">
        <v>36</v>
      </c>
      <c r="G6616" s="15" t="s">
        <v>683</v>
      </c>
      <c r="H6616" s="14">
        <v>71.78</v>
      </c>
      <c r="I6616" s="18">
        <v>8.66</v>
      </c>
      <c r="J6616" s="12" t="s">
        <v>521</v>
      </c>
      <c r="K6616" s="13" t="s">
        <v>36</v>
      </c>
      <c r="L6616" s="15" t="s">
        <v>122</v>
      </c>
      <c r="M6616" s="12" t="s">
        <v>36</v>
      </c>
      <c r="N6616" s="12" t="s">
        <v>122</v>
      </c>
      <c r="O6616" s="17" t="s">
        <v>36</v>
      </c>
      <c r="P6616" s="12" t="s">
        <v>36</v>
      </c>
      <c r="Q6616" s="12" t="s">
        <v>36</v>
      </c>
      <c r="R6616" s="12" t="s">
        <v>36</v>
      </c>
      <c r="S6616" s="12" t="s">
        <v>36</v>
      </c>
      <c r="T6616" s="12" t="s">
        <v>522</v>
      </c>
      <c r="U6616" s="12" t="s">
        <v>38</v>
      </c>
      <c r="V6616" s="12" t="s">
        <v>39</v>
      </c>
      <c r="W6616" s="12" t="s">
        <v>20301</v>
      </c>
      <c r="X6616" s="16" t="s">
        <v>29912</v>
      </c>
      <c r="Y6616" s="15" t="s">
        <v>166</v>
      </c>
      <c r="Z6616" s="14">
        <v>1.8</v>
      </c>
      <c r="AA6616" s="14">
        <v>14.28</v>
      </c>
      <c r="AB6616" s="12" t="s">
        <v>56</v>
      </c>
      <c r="AC6616" s="12" t="s">
        <v>20303</v>
      </c>
      <c r="AD6616" s="13">
        <v>42551</v>
      </c>
      <c r="AE6616" s="12" t="s">
        <v>110</v>
      </c>
      <c r="AF6616" s="12" t="s">
        <v>6214</v>
      </c>
      <c r="AG6616" s="12" t="s">
        <v>81</v>
      </c>
      <c r="AH6616" s="1">
        <f>HYPERLINK("https://my.pitchbook.com?c=136657-63T","View Company Online")</f>
      </c>
    </row>
    <row r="6617">
      <c r="A6617" s="3" t="s">
        <v>29913</v>
      </c>
      <c r="B6617" s="3" t="s">
        <v>22058</v>
      </c>
      <c r="C6617" s="5">
        <v>5</v>
      </c>
      <c r="D6617" s="5">
        <v>24</v>
      </c>
      <c r="E6617" s="5">
        <v>19</v>
      </c>
      <c r="F6617" s="5">
        <v>59</v>
      </c>
      <c r="G6617" s="6" t="s">
        <v>36</v>
      </c>
      <c r="H6617" s="4">
        <v>219.86</v>
      </c>
      <c r="I6617" s="7">
        <v>30.69</v>
      </c>
      <c r="J6617" s="3" t="s">
        <v>521</v>
      </c>
      <c r="K6617" s="9" t="s">
        <v>36</v>
      </c>
      <c r="L6617" s="6" t="s">
        <v>36</v>
      </c>
      <c r="M6617" s="3" t="s">
        <v>36</v>
      </c>
      <c r="N6617" s="3" t="s">
        <v>36</v>
      </c>
      <c r="O6617" s="8" t="s">
        <v>36</v>
      </c>
      <c r="P6617" s="3" t="s">
        <v>36</v>
      </c>
      <c r="Q6617" s="3" t="s">
        <v>36</v>
      </c>
      <c r="R6617" s="3" t="s">
        <v>36</v>
      </c>
      <c r="S6617" s="3" t="s">
        <v>13873</v>
      </c>
      <c r="T6617" s="3" t="s">
        <v>588</v>
      </c>
      <c r="U6617" s="3" t="s">
        <v>318</v>
      </c>
      <c r="V6617" s="3" t="s">
        <v>39</v>
      </c>
      <c r="W6617" s="3" t="s">
        <v>22059</v>
      </c>
      <c r="X6617" s="10" t="s">
        <v>29914</v>
      </c>
      <c r="Y6617" s="6" t="s">
        <v>108</v>
      </c>
      <c r="Z6617" s="4">
        <v>4.78</v>
      </c>
      <c r="AA6617" s="4">
        <v>7.79</v>
      </c>
      <c r="AB6617" s="3" t="s">
        <v>56</v>
      </c>
      <c r="AC6617" s="3" t="s">
        <v>22060</v>
      </c>
      <c r="AD6617" s="9">
        <v>42551</v>
      </c>
      <c r="AE6617" s="3" t="s">
        <v>417</v>
      </c>
      <c r="AF6617" s="3" t="s">
        <v>22061</v>
      </c>
      <c r="AG6617" s="3" t="s">
        <v>22062</v>
      </c>
      <c r="AH6617" s="11">
        <f>HYPERLINK("https://my.pitchbook.com?c=88457-68T","View Company Online")</f>
      </c>
    </row>
    <row r="6618">
      <c r="A6618" s="12" t="s">
        <v>29915</v>
      </c>
      <c r="B6618" s="12" t="s">
        <v>4535</v>
      </c>
      <c r="C6618" s="19" t="s">
        <v>36</v>
      </c>
      <c r="D6618" s="19">
        <v>1</v>
      </c>
      <c r="E6618" s="19">
        <v>1</v>
      </c>
      <c r="F6618" s="19">
        <v>2</v>
      </c>
      <c r="G6618" s="15" t="s">
        <v>36</v>
      </c>
      <c r="H6618" s="14">
        <v>198.37</v>
      </c>
      <c r="I6618" s="18">
        <v>54.56</v>
      </c>
      <c r="J6618" s="12" t="s">
        <v>521</v>
      </c>
      <c r="K6618" s="13">
        <v>42366</v>
      </c>
      <c r="L6618" s="15" t="s">
        <v>36</v>
      </c>
      <c r="M6618" s="12" t="s">
        <v>36</v>
      </c>
      <c r="N6618" s="12" t="s">
        <v>36</v>
      </c>
      <c r="O6618" s="17" t="s">
        <v>36</v>
      </c>
      <c r="P6618" s="12" t="s">
        <v>36</v>
      </c>
      <c r="Q6618" s="12" t="s">
        <v>36</v>
      </c>
      <c r="R6618" s="12" t="s">
        <v>36</v>
      </c>
      <c r="S6618" s="12" t="s">
        <v>36</v>
      </c>
      <c r="T6618" s="12" t="s">
        <v>522</v>
      </c>
      <c r="U6618" s="12" t="s">
        <v>38</v>
      </c>
      <c r="V6618" s="12" t="s">
        <v>39</v>
      </c>
      <c r="W6618" s="12" t="s">
        <v>4536</v>
      </c>
      <c r="X6618" s="16" t="s">
        <v>26449</v>
      </c>
      <c r="Y6618" s="15" t="s">
        <v>42</v>
      </c>
      <c r="Z6618" s="14">
        <v>0.27</v>
      </c>
      <c r="AA6618" s="14">
        <v>0.49</v>
      </c>
      <c r="AB6618" s="12" t="s">
        <v>43</v>
      </c>
      <c r="AC6618" s="12" t="s">
        <v>4538</v>
      </c>
      <c r="AD6618" s="13">
        <v>42551</v>
      </c>
      <c r="AE6618" s="12" t="s">
        <v>110</v>
      </c>
      <c r="AF6618" s="12" t="s">
        <v>4539</v>
      </c>
      <c r="AG6618" s="12" t="s">
        <v>81</v>
      </c>
      <c r="AH6618" s="1">
        <f>HYPERLINK("https://my.pitchbook.com?c=76835-35T","View Company Online")</f>
      </c>
    </row>
    <row r="6619">
      <c r="A6619" s="3" t="s">
        <v>29916</v>
      </c>
      <c r="B6619" s="3" t="s">
        <v>29917</v>
      </c>
      <c r="C6619" s="5" t="s">
        <v>36</v>
      </c>
      <c r="D6619" s="5" t="s">
        <v>36</v>
      </c>
      <c r="E6619" s="5" t="s">
        <v>36</v>
      </c>
      <c r="F6619" s="5" t="s">
        <v>36</v>
      </c>
      <c r="G6619" s="6" t="s">
        <v>36</v>
      </c>
      <c r="H6619" s="4">
        <v>10.32</v>
      </c>
      <c r="I6619" s="7">
        <v>13.16</v>
      </c>
      <c r="J6619" s="3" t="s">
        <v>521</v>
      </c>
      <c r="K6619" s="9" t="s">
        <v>36</v>
      </c>
      <c r="L6619" s="6" t="s">
        <v>36</v>
      </c>
      <c r="M6619" s="3" t="s">
        <v>36</v>
      </c>
      <c r="N6619" s="3" t="s">
        <v>36</v>
      </c>
      <c r="O6619" s="8" t="s">
        <v>36</v>
      </c>
      <c r="P6619" s="3" t="s">
        <v>36</v>
      </c>
      <c r="Q6619" s="3" t="s">
        <v>36</v>
      </c>
      <c r="R6619" s="3" t="s">
        <v>36</v>
      </c>
      <c r="S6619" s="3" t="s">
        <v>36</v>
      </c>
      <c r="T6619" s="3" t="s">
        <v>105</v>
      </c>
      <c r="U6619" s="3" t="s">
        <v>38</v>
      </c>
      <c r="V6619" s="3" t="s">
        <v>39</v>
      </c>
      <c r="W6619" s="3" t="s">
        <v>29918</v>
      </c>
      <c r="X6619" s="10" t="s">
        <v>29919</v>
      </c>
      <c r="Y6619" s="6" t="s">
        <v>42</v>
      </c>
      <c r="Z6619" s="4">
        <v>3.72</v>
      </c>
      <c r="AA6619" s="4">
        <v>28.31</v>
      </c>
      <c r="AB6619" s="3" t="s">
        <v>56</v>
      </c>
      <c r="AC6619" s="3" t="s">
        <v>29920</v>
      </c>
      <c r="AD6619" s="9">
        <v>42551</v>
      </c>
      <c r="AE6619" s="3" t="s">
        <v>110</v>
      </c>
      <c r="AF6619" s="3" t="s">
        <v>36</v>
      </c>
      <c r="AG6619" s="3" t="s">
        <v>2760</v>
      </c>
      <c r="AH6619" s="11">
        <f>HYPERLINK("https://my.pitchbook.com?c=72349-03T","View Company Online")</f>
      </c>
    </row>
    <row r="6620">
      <c r="A6620" s="12" t="s">
        <v>29921</v>
      </c>
      <c r="B6620" s="12" t="s">
        <v>5536</v>
      </c>
      <c r="C6620" s="19">
        <v>22</v>
      </c>
      <c r="D6620" s="19">
        <v>59</v>
      </c>
      <c r="E6620" s="19">
        <v>32</v>
      </c>
      <c r="F6620" s="19">
        <v>116</v>
      </c>
      <c r="G6620" s="15" t="s">
        <v>36</v>
      </c>
      <c r="H6620" s="14" t="s">
        <v>36</v>
      </c>
      <c r="I6620" s="18" t="s">
        <v>36</v>
      </c>
      <c r="J6620" s="12" t="s">
        <v>36</v>
      </c>
      <c r="K6620" s="13" t="s">
        <v>36</v>
      </c>
      <c r="L6620" s="15" t="s">
        <v>36</v>
      </c>
      <c r="M6620" s="12" t="s">
        <v>36</v>
      </c>
      <c r="N6620" s="12" t="s">
        <v>36</v>
      </c>
      <c r="O6620" s="17" t="s">
        <v>36</v>
      </c>
      <c r="P6620" s="12" t="s">
        <v>36</v>
      </c>
      <c r="Q6620" s="12" t="s">
        <v>36</v>
      </c>
      <c r="R6620" s="12" t="s">
        <v>36</v>
      </c>
      <c r="S6620" s="12" t="s">
        <v>36</v>
      </c>
      <c r="T6620" s="12" t="s">
        <v>5537</v>
      </c>
      <c r="U6620" s="12" t="s">
        <v>96</v>
      </c>
      <c r="V6620" s="12" t="s">
        <v>52</v>
      </c>
      <c r="W6620" s="12" t="s">
        <v>5538</v>
      </c>
      <c r="X6620" s="16" t="s">
        <v>29922</v>
      </c>
      <c r="Y6620" s="15" t="s">
        <v>108</v>
      </c>
      <c r="Z6620" s="14" t="s">
        <v>36</v>
      </c>
      <c r="AA6620" s="14" t="s">
        <v>36</v>
      </c>
      <c r="AB6620" s="12" t="s">
        <v>43</v>
      </c>
      <c r="AC6620" s="12" t="s">
        <v>5540</v>
      </c>
      <c r="AD6620" s="13">
        <v>42550</v>
      </c>
      <c r="AE6620" s="12" t="s">
        <v>100</v>
      </c>
      <c r="AF6620" s="12" t="s">
        <v>5541</v>
      </c>
      <c r="AG6620" s="12" t="s">
        <v>81</v>
      </c>
      <c r="AH6620" s="1">
        <f>HYPERLINK("https://my.pitchbook.com?c=79407-01T","View Company Online")</f>
      </c>
    </row>
    <row r="6621">
      <c r="A6621" s="3" t="s">
        <v>29923</v>
      </c>
      <c r="B6621" s="3" t="s">
        <v>29924</v>
      </c>
      <c r="C6621" s="5" t="s">
        <v>36</v>
      </c>
      <c r="D6621" s="5" t="s">
        <v>36</v>
      </c>
      <c r="E6621" s="5" t="s">
        <v>36</v>
      </c>
      <c r="F6621" s="5" t="s">
        <v>36</v>
      </c>
      <c r="G6621" s="6" t="s">
        <v>683</v>
      </c>
      <c r="H6621" s="4">
        <v>3.3</v>
      </c>
      <c r="I6621" s="7">
        <v>20.1</v>
      </c>
      <c r="J6621" s="3" t="s">
        <v>521</v>
      </c>
      <c r="K6621" s="9" t="s">
        <v>36</v>
      </c>
      <c r="L6621" s="6" t="s">
        <v>36</v>
      </c>
      <c r="M6621" s="3" t="s">
        <v>36</v>
      </c>
      <c r="N6621" s="3" t="s">
        <v>36</v>
      </c>
      <c r="O6621" s="8" t="s">
        <v>36</v>
      </c>
      <c r="P6621" s="3" t="s">
        <v>36</v>
      </c>
      <c r="Q6621" s="3" t="s">
        <v>36</v>
      </c>
      <c r="R6621" s="3" t="s">
        <v>36</v>
      </c>
      <c r="S6621" s="3" t="s">
        <v>36</v>
      </c>
      <c r="T6621" s="3" t="s">
        <v>29925</v>
      </c>
      <c r="U6621" s="3" t="s">
        <v>289</v>
      </c>
      <c r="V6621" s="3" t="s">
        <v>64</v>
      </c>
      <c r="W6621" s="3" t="s">
        <v>29926</v>
      </c>
      <c r="X6621" s="10" t="s">
        <v>13518</v>
      </c>
      <c r="Y6621" s="6" t="s">
        <v>42</v>
      </c>
      <c r="Z6621" s="4">
        <v>1.35</v>
      </c>
      <c r="AA6621" s="4">
        <v>5.32</v>
      </c>
      <c r="AB6621" s="3" t="s">
        <v>43</v>
      </c>
      <c r="AC6621" s="3" t="s">
        <v>29927</v>
      </c>
      <c r="AD6621" s="9">
        <v>42550</v>
      </c>
      <c r="AE6621" s="3" t="s">
        <v>292</v>
      </c>
      <c r="AF6621" s="3" t="s">
        <v>90</v>
      </c>
      <c r="AG6621" s="3" t="s">
        <v>81</v>
      </c>
      <c r="AH6621" s="11">
        <f>HYPERLINK("https://my.pitchbook.com?c=123969-88T","View Company Online")</f>
      </c>
    </row>
    <row r="6622">
      <c r="A6622" s="12" t="s">
        <v>29928</v>
      </c>
      <c r="B6622" s="12" t="s">
        <v>24952</v>
      </c>
      <c r="C6622" s="19" t="s">
        <v>36</v>
      </c>
      <c r="D6622" s="19">
        <v>2</v>
      </c>
      <c r="E6622" s="19">
        <v>1</v>
      </c>
      <c r="F6622" s="19">
        <v>3</v>
      </c>
      <c r="G6622" s="15" t="s">
        <v>36</v>
      </c>
      <c r="H6622" s="14" t="s">
        <v>36</v>
      </c>
      <c r="I6622" s="18" t="s">
        <v>36</v>
      </c>
      <c r="J6622" s="12" t="s">
        <v>36</v>
      </c>
      <c r="K6622" s="13" t="s">
        <v>36</v>
      </c>
      <c r="L6622" s="15" t="s">
        <v>36</v>
      </c>
      <c r="M6622" s="12" t="s">
        <v>36</v>
      </c>
      <c r="N6622" s="12" t="s">
        <v>36</v>
      </c>
      <c r="O6622" s="17" t="s">
        <v>36</v>
      </c>
      <c r="P6622" s="12" t="s">
        <v>36</v>
      </c>
      <c r="Q6622" s="12" t="s">
        <v>36</v>
      </c>
      <c r="R6622" s="12" t="s">
        <v>36</v>
      </c>
      <c r="S6622" s="12" t="s">
        <v>36</v>
      </c>
      <c r="T6622" s="12" t="s">
        <v>472</v>
      </c>
      <c r="U6622" s="12" t="s">
        <v>38</v>
      </c>
      <c r="V6622" s="12" t="s">
        <v>39</v>
      </c>
      <c r="W6622" s="12" t="s">
        <v>24953</v>
      </c>
      <c r="X6622" s="16" t="s">
        <v>29929</v>
      </c>
      <c r="Y6622" s="15" t="s">
        <v>42</v>
      </c>
      <c r="Z6622" s="14" t="s">
        <v>36</v>
      </c>
      <c r="AA6622" s="14" t="s">
        <v>36</v>
      </c>
      <c r="AB6622" s="12" t="s">
        <v>43</v>
      </c>
      <c r="AC6622" s="12" t="s">
        <v>24955</v>
      </c>
      <c r="AD6622" s="13">
        <v>42550</v>
      </c>
      <c r="AE6622" s="12" t="s">
        <v>110</v>
      </c>
      <c r="AF6622" s="12" t="s">
        <v>24956</v>
      </c>
      <c r="AG6622" s="12" t="s">
        <v>102</v>
      </c>
      <c r="AH6622" s="1">
        <f>HYPERLINK("https://my.pitchbook.com?c=89388-19T","View Company Online")</f>
      </c>
    </row>
    <row r="6623">
      <c r="A6623" s="3" t="s">
        <v>29930</v>
      </c>
      <c r="B6623" s="3" t="s">
        <v>29931</v>
      </c>
      <c r="C6623" s="5" t="s">
        <v>36</v>
      </c>
      <c r="D6623" s="5" t="s">
        <v>36</v>
      </c>
      <c r="E6623" s="5" t="s">
        <v>36</v>
      </c>
      <c r="F6623" s="5" t="s">
        <v>36</v>
      </c>
      <c r="G6623" s="6" t="s">
        <v>36</v>
      </c>
      <c r="H6623" s="4">
        <v>623.14</v>
      </c>
      <c r="I6623" s="7">
        <v>11.11</v>
      </c>
      <c r="J6623" s="3" t="s">
        <v>521</v>
      </c>
      <c r="K6623" s="9" t="s">
        <v>36</v>
      </c>
      <c r="L6623" s="6" t="s">
        <v>36</v>
      </c>
      <c r="M6623" s="3" t="s">
        <v>36</v>
      </c>
      <c r="N6623" s="3" t="s">
        <v>36</v>
      </c>
      <c r="O6623" s="8" t="s">
        <v>36</v>
      </c>
      <c r="P6623" s="3" t="s">
        <v>36</v>
      </c>
      <c r="Q6623" s="3" t="s">
        <v>36</v>
      </c>
      <c r="R6623" s="3" t="s">
        <v>36</v>
      </c>
      <c r="S6623" s="3" t="s">
        <v>36</v>
      </c>
      <c r="T6623" s="3" t="s">
        <v>29932</v>
      </c>
      <c r="U6623" s="3" t="s">
        <v>648</v>
      </c>
      <c r="V6623" s="3" t="s">
        <v>64</v>
      </c>
      <c r="W6623" s="3" t="s">
        <v>29933</v>
      </c>
      <c r="X6623" s="10" t="s">
        <v>29934</v>
      </c>
      <c r="Y6623" s="6" t="s">
        <v>42</v>
      </c>
      <c r="Z6623" s="4">
        <v>0.34</v>
      </c>
      <c r="AA6623" s="4">
        <v>3.04</v>
      </c>
      <c r="AB6623" s="3" t="s">
        <v>56</v>
      </c>
      <c r="AC6623" s="3" t="s">
        <v>29935</v>
      </c>
      <c r="AD6623" s="9">
        <v>42550</v>
      </c>
      <c r="AE6623" s="3" t="s">
        <v>1897</v>
      </c>
      <c r="AF6623" s="3" t="s">
        <v>14418</v>
      </c>
      <c r="AG6623" s="3" t="s">
        <v>47</v>
      </c>
      <c r="AH6623" s="11">
        <f>HYPERLINK("https://my.pitchbook.com?c=44834-14T","View Company Online")</f>
      </c>
    </row>
    <row r="6624">
      <c r="A6624" s="12" t="s">
        <v>29936</v>
      </c>
      <c r="B6624" s="12" t="s">
        <v>29937</v>
      </c>
      <c r="C6624" s="19" t="s">
        <v>36</v>
      </c>
      <c r="D6624" s="19" t="s">
        <v>36</v>
      </c>
      <c r="E6624" s="19" t="s">
        <v>36</v>
      </c>
      <c r="F6624" s="19" t="s">
        <v>36</v>
      </c>
      <c r="G6624" s="15" t="s">
        <v>36</v>
      </c>
      <c r="H6624" s="14" t="s">
        <v>36</v>
      </c>
      <c r="I6624" s="18" t="s">
        <v>36</v>
      </c>
      <c r="J6624" s="12" t="s">
        <v>36</v>
      </c>
      <c r="K6624" s="13" t="s">
        <v>36</v>
      </c>
      <c r="L6624" s="15" t="s">
        <v>36</v>
      </c>
      <c r="M6624" s="12" t="s">
        <v>36</v>
      </c>
      <c r="N6624" s="12" t="s">
        <v>36</v>
      </c>
      <c r="O6624" s="17" t="s">
        <v>36</v>
      </c>
      <c r="P6624" s="12" t="s">
        <v>36</v>
      </c>
      <c r="Q6624" s="12" t="s">
        <v>36</v>
      </c>
      <c r="R6624" s="12" t="s">
        <v>36</v>
      </c>
      <c r="S6624" s="12" t="s">
        <v>36</v>
      </c>
      <c r="T6624" s="12" t="s">
        <v>522</v>
      </c>
      <c r="U6624" s="12" t="s">
        <v>38</v>
      </c>
      <c r="V6624" s="12" t="s">
        <v>39</v>
      </c>
      <c r="W6624" s="12" t="s">
        <v>29938</v>
      </c>
      <c r="X6624" s="16" t="s">
        <v>29939</v>
      </c>
      <c r="Y6624" s="15" t="s">
        <v>42</v>
      </c>
      <c r="Z6624" s="14">
        <v>0.79</v>
      </c>
      <c r="AA6624" s="14" t="s">
        <v>36</v>
      </c>
      <c r="AB6624" s="12" t="s">
        <v>43</v>
      </c>
      <c r="AC6624" s="12" t="s">
        <v>29940</v>
      </c>
      <c r="AD6624" s="13">
        <v>42550</v>
      </c>
      <c r="AE6624" s="12" t="s">
        <v>110</v>
      </c>
      <c r="AF6624" s="12" t="s">
        <v>2759</v>
      </c>
      <c r="AG6624" s="12" t="s">
        <v>102</v>
      </c>
      <c r="AH6624" s="1">
        <f>HYPERLINK("https://my.pitchbook.com?c=89315-29T","View Company Online")</f>
      </c>
    </row>
    <row r="6625">
      <c r="A6625" s="3" t="s">
        <v>29941</v>
      </c>
      <c r="B6625" s="3" t="s">
        <v>29942</v>
      </c>
      <c r="C6625" s="5" t="s">
        <v>36</v>
      </c>
      <c r="D6625" s="5" t="s">
        <v>36</v>
      </c>
      <c r="E6625" s="5" t="s">
        <v>36</v>
      </c>
      <c r="F6625" s="5" t="s">
        <v>36</v>
      </c>
      <c r="G6625" s="6" t="s">
        <v>36</v>
      </c>
      <c r="H6625" s="4" t="s">
        <v>36</v>
      </c>
      <c r="I6625" s="7">
        <v>8.57</v>
      </c>
      <c r="J6625" s="3" t="s">
        <v>521</v>
      </c>
      <c r="K6625" s="9" t="s">
        <v>36</v>
      </c>
      <c r="L6625" s="6" t="s">
        <v>36</v>
      </c>
      <c r="M6625" s="3" t="s">
        <v>36</v>
      </c>
      <c r="N6625" s="3" t="s">
        <v>36</v>
      </c>
      <c r="O6625" s="8" t="s">
        <v>36</v>
      </c>
      <c r="P6625" s="3" t="s">
        <v>36</v>
      </c>
      <c r="Q6625" s="3" t="s">
        <v>36</v>
      </c>
      <c r="R6625" s="3" t="s">
        <v>36</v>
      </c>
      <c r="S6625" s="3" t="s">
        <v>36</v>
      </c>
      <c r="T6625" s="3" t="s">
        <v>29943</v>
      </c>
      <c r="U6625" s="3" t="s">
        <v>85</v>
      </c>
      <c r="V6625" s="3" t="s">
        <v>64</v>
      </c>
      <c r="W6625" s="3" t="s">
        <v>29944</v>
      </c>
      <c r="X6625" s="10" t="s">
        <v>29795</v>
      </c>
      <c r="Y6625" s="6" t="s">
        <v>55</v>
      </c>
      <c r="Z6625" s="4">
        <v>2.02</v>
      </c>
      <c r="AA6625" s="4">
        <v>23.61</v>
      </c>
      <c r="AB6625" s="3" t="s">
        <v>56</v>
      </c>
      <c r="AC6625" s="3" t="s">
        <v>29945</v>
      </c>
      <c r="AD6625" s="9">
        <v>42549</v>
      </c>
      <c r="AE6625" s="3" t="s">
        <v>2823</v>
      </c>
      <c r="AF6625" s="3" t="s">
        <v>5007</v>
      </c>
      <c r="AG6625" s="3" t="s">
        <v>81</v>
      </c>
      <c r="AH6625" s="11">
        <f>HYPERLINK("https://my.pitchbook.com?c=74989-81T","View Company Online")</f>
      </c>
    </row>
    <row r="6626">
      <c r="A6626" s="12" t="s">
        <v>29946</v>
      </c>
      <c r="B6626" s="12" t="s">
        <v>29947</v>
      </c>
      <c r="C6626" s="19" t="s">
        <v>36</v>
      </c>
      <c r="D6626" s="19" t="s">
        <v>36</v>
      </c>
      <c r="E6626" s="19" t="s">
        <v>36</v>
      </c>
      <c r="F6626" s="19" t="s">
        <v>36</v>
      </c>
      <c r="G6626" s="15" t="s">
        <v>36</v>
      </c>
      <c r="H6626" s="14" t="s">
        <v>36</v>
      </c>
      <c r="I6626" s="18">
        <v>40</v>
      </c>
      <c r="J6626" s="12" t="s">
        <v>36</v>
      </c>
      <c r="K6626" s="13" t="s">
        <v>36</v>
      </c>
      <c r="L6626" s="15" t="s">
        <v>36</v>
      </c>
      <c r="M6626" s="12" t="s">
        <v>36</v>
      </c>
      <c r="N6626" s="12" t="s">
        <v>36</v>
      </c>
      <c r="O6626" s="17" t="s">
        <v>36</v>
      </c>
      <c r="P6626" s="12" t="s">
        <v>36</v>
      </c>
      <c r="Q6626" s="12" t="s">
        <v>36</v>
      </c>
      <c r="R6626" s="12" t="s">
        <v>36</v>
      </c>
      <c r="S6626" s="12" t="s">
        <v>36</v>
      </c>
      <c r="T6626" s="12" t="s">
        <v>2609</v>
      </c>
      <c r="U6626" s="12" t="s">
        <v>423</v>
      </c>
      <c r="V6626" s="12" t="s">
        <v>64</v>
      </c>
      <c r="W6626" s="12" t="s">
        <v>29948</v>
      </c>
      <c r="X6626" s="16" t="s">
        <v>29949</v>
      </c>
      <c r="Y6626" s="15" t="s">
        <v>108</v>
      </c>
      <c r="Z6626" s="14" t="s">
        <v>36</v>
      </c>
      <c r="AA6626" s="14" t="s">
        <v>36</v>
      </c>
      <c r="AB6626" s="12" t="s">
        <v>56</v>
      </c>
      <c r="AC6626" s="12" t="s">
        <v>29950</v>
      </c>
      <c r="AD6626" s="13">
        <v>42549</v>
      </c>
      <c r="AE6626" s="12" t="s">
        <v>562</v>
      </c>
      <c r="AF6626" s="12" t="s">
        <v>571</v>
      </c>
      <c r="AG6626" s="12" t="s">
        <v>2000</v>
      </c>
      <c r="AH6626" s="1">
        <f>HYPERLINK("https://my.pitchbook.com?c=72400-96T","View Company Online")</f>
      </c>
    </row>
    <row r="6627">
      <c r="A6627" s="3" t="s">
        <v>29951</v>
      </c>
      <c r="B6627" s="3" t="s">
        <v>28239</v>
      </c>
      <c r="C6627" s="5" t="s">
        <v>36</v>
      </c>
      <c r="D6627" s="5" t="s">
        <v>36</v>
      </c>
      <c r="E6627" s="5" t="s">
        <v>36</v>
      </c>
      <c r="F6627" s="5" t="s">
        <v>36</v>
      </c>
      <c r="G6627" s="6" t="s">
        <v>36</v>
      </c>
      <c r="H6627" s="4">
        <v>32.46</v>
      </c>
      <c r="I6627" s="7">
        <v>28.26</v>
      </c>
      <c r="J6627" s="3" t="s">
        <v>521</v>
      </c>
      <c r="K6627" s="9" t="s">
        <v>36</v>
      </c>
      <c r="L6627" s="6" t="s">
        <v>36</v>
      </c>
      <c r="M6627" s="3" t="s">
        <v>36</v>
      </c>
      <c r="N6627" s="3" t="s">
        <v>36</v>
      </c>
      <c r="O6627" s="8" t="s">
        <v>36</v>
      </c>
      <c r="P6627" s="3" t="s">
        <v>36</v>
      </c>
      <c r="Q6627" s="3" t="s">
        <v>36</v>
      </c>
      <c r="R6627" s="3" t="s">
        <v>36</v>
      </c>
      <c r="S6627" s="3" t="s">
        <v>36</v>
      </c>
      <c r="T6627" s="3" t="s">
        <v>1973</v>
      </c>
      <c r="U6627" s="3" t="s">
        <v>728</v>
      </c>
      <c r="V6627" s="3" t="s">
        <v>64</v>
      </c>
      <c r="W6627" s="3" t="s">
        <v>28240</v>
      </c>
      <c r="X6627" s="10" t="s">
        <v>8652</v>
      </c>
      <c r="Y6627" s="6" t="s">
        <v>42</v>
      </c>
      <c r="Z6627" s="4">
        <v>1.11</v>
      </c>
      <c r="AA6627" s="4">
        <v>3.92</v>
      </c>
      <c r="AB6627" s="3" t="s">
        <v>43</v>
      </c>
      <c r="AC6627" s="3" t="s">
        <v>28241</v>
      </c>
      <c r="AD6627" s="9">
        <v>42549</v>
      </c>
      <c r="AE6627" s="3" t="s">
        <v>1600</v>
      </c>
      <c r="AF6627" s="3" t="s">
        <v>90</v>
      </c>
      <c r="AG6627" s="3" t="s">
        <v>81</v>
      </c>
      <c r="AH6627" s="11">
        <f>HYPERLINK("https://my.pitchbook.com?c=121322-17T","View Company Online")</f>
      </c>
    </row>
    <row r="6628">
      <c r="A6628" s="12" t="s">
        <v>29952</v>
      </c>
      <c r="B6628" s="12" t="s">
        <v>29953</v>
      </c>
      <c r="C6628" s="19" t="s">
        <v>36</v>
      </c>
      <c r="D6628" s="19" t="s">
        <v>36</v>
      </c>
      <c r="E6628" s="19" t="s">
        <v>36</v>
      </c>
      <c r="F6628" s="19" t="s">
        <v>36</v>
      </c>
      <c r="G6628" s="15" t="s">
        <v>36</v>
      </c>
      <c r="H6628" s="14" t="s">
        <v>36</v>
      </c>
      <c r="I6628" s="18" t="s">
        <v>36</v>
      </c>
      <c r="J6628" s="12" t="s">
        <v>36</v>
      </c>
      <c r="K6628" s="13" t="s">
        <v>36</v>
      </c>
      <c r="L6628" s="15" t="s">
        <v>36</v>
      </c>
      <c r="M6628" s="12" t="s">
        <v>36</v>
      </c>
      <c r="N6628" s="12" t="s">
        <v>36</v>
      </c>
      <c r="O6628" s="17" t="s">
        <v>36</v>
      </c>
      <c r="P6628" s="12" t="s">
        <v>36</v>
      </c>
      <c r="Q6628" s="12" t="s">
        <v>36</v>
      </c>
      <c r="R6628" s="12" t="s">
        <v>36</v>
      </c>
      <c r="S6628" s="12" t="s">
        <v>36</v>
      </c>
      <c r="T6628" s="12" t="s">
        <v>29954</v>
      </c>
      <c r="U6628" s="12" t="s">
        <v>74</v>
      </c>
      <c r="V6628" s="12" t="s">
        <v>75</v>
      </c>
      <c r="W6628" s="12" t="s">
        <v>29955</v>
      </c>
      <c r="X6628" s="16" t="s">
        <v>29956</v>
      </c>
      <c r="Y6628" s="15" t="s">
        <v>108</v>
      </c>
      <c r="Z6628" s="14">
        <v>1.12</v>
      </c>
      <c r="AA6628" s="14" t="s">
        <v>36</v>
      </c>
      <c r="AB6628" s="12" t="s">
        <v>43</v>
      </c>
      <c r="AC6628" s="12" t="s">
        <v>29957</v>
      </c>
      <c r="AD6628" s="13">
        <v>42549</v>
      </c>
      <c r="AE6628" s="12" t="s">
        <v>696</v>
      </c>
      <c r="AF6628" s="12" t="s">
        <v>29958</v>
      </c>
      <c r="AG6628" s="12" t="s">
        <v>11767</v>
      </c>
      <c r="AH6628" s="1">
        <f>HYPERLINK("https://my.pitchbook.com?c=83005-84T","View Company Online")</f>
      </c>
    </row>
    <row r="6629">
      <c r="A6629" s="3" t="s">
        <v>29959</v>
      </c>
      <c r="B6629" s="3" t="s">
        <v>23401</v>
      </c>
      <c r="C6629" s="5">
        <v>1</v>
      </c>
      <c r="D6629" s="5">
        <v>46</v>
      </c>
      <c r="E6629" s="5">
        <v>19</v>
      </c>
      <c r="F6629" s="5">
        <v>63</v>
      </c>
      <c r="G6629" s="6" t="s">
        <v>2497</v>
      </c>
      <c r="H6629" s="4">
        <v>20.77</v>
      </c>
      <c r="I6629" s="7">
        <v>28.98</v>
      </c>
      <c r="J6629" s="3" t="s">
        <v>521</v>
      </c>
      <c r="K6629" s="9" t="s">
        <v>36</v>
      </c>
      <c r="L6629" s="6" t="s">
        <v>36</v>
      </c>
      <c r="M6629" s="3" t="s">
        <v>36</v>
      </c>
      <c r="N6629" s="3" t="s">
        <v>36</v>
      </c>
      <c r="O6629" s="8" t="s">
        <v>36</v>
      </c>
      <c r="P6629" s="3" t="s">
        <v>36</v>
      </c>
      <c r="Q6629" s="3" t="s">
        <v>36</v>
      </c>
      <c r="R6629" s="3" t="s">
        <v>36</v>
      </c>
      <c r="S6629" s="3" t="s">
        <v>36</v>
      </c>
      <c r="T6629" s="3" t="s">
        <v>105</v>
      </c>
      <c r="U6629" s="3" t="s">
        <v>38</v>
      </c>
      <c r="V6629" s="3" t="s">
        <v>39</v>
      </c>
      <c r="W6629" s="3" t="s">
        <v>23402</v>
      </c>
      <c r="X6629" s="10" t="s">
        <v>29960</v>
      </c>
      <c r="Y6629" s="6" t="s">
        <v>108</v>
      </c>
      <c r="Z6629" s="4">
        <v>0.58</v>
      </c>
      <c r="AA6629" s="4">
        <v>1.99</v>
      </c>
      <c r="AB6629" s="3" t="s">
        <v>56</v>
      </c>
      <c r="AC6629" s="3" t="s">
        <v>23404</v>
      </c>
      <c r="AD6629" s="9">
        <v>42545</v>
      </c>
      <c r="AE6629" s="3" t="s">
        <v>110</v>
      </c>
      <c r="AF6629" s="3" t="s">
        <v>23405</v>
      </c>
      <c r="AG6629" s="3" t="s">
        <v>969</v>
      </c>
      <c r="AH6629" s="11">
        <f>HYPERLINK("https://my.pitchbook.com?c=136559-71T","View Company Online")</f>
      </c>
    </row>
    <row r="6630">
      <c r="A6630" s="12" t="s">
        <v>29961</v>
      </c>
      <c r="B6630" s="12" t="s">
        <v>27159</v>
      </c>
      <c r="C6630" s="19" t="s">
        <v>36</v>
      </c>
      <c r="D6630" s="19" t="s">
        <v>36</v>
      </c>
      <c r="E6630" s="19" t="s">
        <v>36</v>
      </c>
      <c r="F6630" s="19" t="s">
        <v>36</v>
      </c>
      <c r="G6630" s="15" t="s">
        <v>683</v>
      </c>
      <c r="H6630" s="14">
        <v>48.8</v>
      </c>
      <c r="I6630" s="18">
        <v>10</v>
      </c>
      <c r="J6630" s="12" t="s">
        <v>521</v>
      </c>
      <c r="K6630" s="13" t="s">
        <v>36</v>
      </c>
      <c r="L6630" s="15" t="s">
        <v>36</v>
      </c>
      <c r="M6630" s="12" t="s">
        <v>36</v>
      </c>
      <c r="N6630" s="12" t="s">
        <v>36</v>
      </c>
      <c r="O6630" s="17" t="s">
        <v>36</v>
      </c>
      <c r="P6630" s="12" t="s">
        <v>36</v>
      </c>
      <c r="Q6630" s="12" t="s">
        <v>36</v>
      </c>
      <c r="R6630" s="12" t="s">
        <v>36</v>
      </c>
      <c r="S6630" s="12" t="s">
        <v>36</v>
      </c>
      <c r="T6630" s="12" t="s">
        <v>21464</v>
      </c>
      <c r="U6630" s="12" t="s">
        <v>289</v>
      </c>
      <c r="V6630" s="12" t="s">
        <v>64</v>
      </c>
      <c r="W6630" s="12" t="s">
        <v>27160</v>
      </c>
      <c r="X6630" s="16" t="s">
        <v>29106</v>
      </c>
      <c r="Y6630" s="15" t="s">
        <v>55</v>
      </c>
      <c r="Z6630" s="14">
        <v>0.07</v>
      </c>
      <c r="AA6630" s="14">
        <v>0.68</v>
      </c>
      <c r="AB6630" s="12" t="s">
        <v>43</v>
      </c>
      <c r="AC6630" s="12" t="s">
        <v>27162</v>
      </c>
      <c r="AD6630" s="13">
        <v>42545</v>
      </c>
      <c r="AE6630" s="12" t="s">
        <v>292</v>
      </c>
      <c r="AF6630" s="12" t="s">
        <v>90</v>
      </c>
      <c r="AG6630" s="12" t="s">
        <v>81</v>
      </c>
      <c r="AH6630" s="1">
        <f>HYPERLINK("https://my.pitchbook.com?c=187949-80T","View Company Online")</f>
      </c>
    </row>
    <row r="6631">
      <c r="A6631" s="3" t="s">
        <v>29962</v>
      </c>
      <c r="B6631" s="3" t="s">
        <v>29963</v>
      </c>
      <c r="C6631" s="5" t="s">
        <v>36</v>
      </c>
      <c r="D6631" s="5" t="s">
        <v>36</v>
      </c>
      <c r="E6631" s="5">
        <v>3</v>
      </c>
      <c r="F6631" s="5">
        <v>9</v>
      </c>
      <c r="G6631" s="6" t="s">
        <v>326</v>
      </c>
      <c r="H6631" s="4">
        <v>814.24</v>
      </c>
      <c r="I6631" s="7">
        <v>12.86</v>
      </c>
      <c r="J6631" s="3" t="s">
        <v>521</v>
      </c>
      <c r="K6631" s="9" t="s">
        <v>36</v>
      </c>
      <c r="L6631" s="6" t="s">
        <v>36</v>
      </c>
      <c r="M6631" s="3" t="s">
        <v>36</v>
      </c>
      <c r="N6631" s="3" t="s">
        <v>36</v>
      </c>
      <c r="O6631" s="8" t="s">
        <v>36</v>
      </c>
      <c r="P6631" s="3" t="s">
        <v>36</v>
      </c>
      <c r="Q6631" s="3" t="s">
        <v>36</v>
      </c>
      <c r="R6631" s="3" t="s">
        <v>36</v>
      </c>
      <c r="S6631" s="3" t="s">
        <v>36</v>
      </c>
      <c r="T6631" s="3" t="s">
        <v>522</v>
      </c>
      <c r="U6631" s="3" t="s">
        <v>38</v>
      </c>
      <c r="V6631" s="3" t="s">
        <v>39</v>
      </c>
      <c r="W6631" s="3" t="s">
        <v>29964</v>
      </c>
      <c r="X6631" s="10" t="s">
        <v>29965</v>
      </c>
      <c r="Y6631" s="6" t="s">
        <v>108</v>
      </c>
      <c r="Z6631" s="4">
        <v>1.16</v>
      </c>
      <c r="AA6631" s="4">
        <v>9.04</v>
      </c>
      <c r="AB6631" s="3" t="s">
        <v>56</v>
      </c>
      <c r="AC6631" s="3" t="s">
        <v>29966</v>
      </c>
      <c r="AD6631" s="9">
        <v>42545</v>
      </c>
      <c r="AE6631" s="3" t="s">
        <v>110</v>
      </c>
      <c r="AF6631" s="3" t="s">
        <v>9377</v>
      </c>
      <c r="AG6631" s="3" t="s">
        <v>81</v>
      </c>
      <c r="AH6631" s="11">
        <f>HYPERLINK("https://my.pitchbook.com?c=193062-07T","View Company Online")</f>
      </c>
    </row>
    <row r="6632">
      <c r="A6632" s="12" t="s">
        <v>29967</v>
      </c>
      <c r="B6632" s="12" t="s">
        <v>6131</v>
      </c>
      <c r="C6632" s="19">
        <v>180</v>
      </c>
      <c r="D6632" s="19">
        <v>606</v>
      </c>
      <c r="E6632" s="19">
        <v>197</v>
      </c>
      <c r="F6632" s="19">
        <v>860</v>
      </c>
      <c r="G6632" s="15" t="s">
        <v>2497</v>
      </c>
      <c r="H6632" s="14">
        <v>36.92</v>
      </c>
      <c r="I6632" s="18" t="s">
        <v>36</v>
      </c>
      <c r="J6632" s="12" t="s">
        <v>521</v>
      </c>
      <c r="K6632" s="13">
        <v>42173</v>
      </c>
      <c r="L6632" s="15" t="s">
        <v>94</v>
      </c>
      <c r="M6632" s="12" t="s">
        <v>36</v>
      </c>
      <c r="N6632" s="12" t="s">
        <v>94</v>
      </c>
      <c r="O6632" s="17" t="s">
        <v>36</v>
      </c>
      <c r="P6632" s="12" t="s">
        <v>36</v>
      </c>
      <c r="Q6632" s="12" t="s">
        <v>36</v>
      </c>
      <c r="R6632" s="12" t="s">
        <v>36</v>
      </c>
      <c r="S6632" s="12" t="s">
        <v>36</v>
      </c>
      <c r="T6632" s="12" t="s">
        <v>317</v>
      </c>
      <c r="U6632" s="12" t="s">
        <v>318</v>
      </c>
      <c r="V6632" s="12" t="s">
        <v>39</v>
      </c>
      <c r="W6632" s="12" t="s">
        <v>6132</v>
      </c>
      <c r="X6632" s="16" t="s">
        <v>29968</v>
      </c>
      <c r="Y6632" s="15" t="s">
        <v>108</v>
      </c>
      <c r="Z6632" s="14">
        <v>31.97</v>
      </c>
      <c r="AA6632" s="14">
        <v>39.97</v>
      </c>
      <c r="AB6632" s="12" t="s">
        <v>56</v>
      </c>
      <c r="AC6632" s="12" t="s">
        <v>6134</v>
      </c>
      <c r="AD6632" s="13">
        <v>42544</v>
      </c>
      <c r="AE6632" s="12" t="s">
        <v>323</v>
      </c>
      <c r="AF6632" s="12" t="s">
        <v>6135</v>
      </c>
      <c r="AG6632" s="12" t="s">
        <v>6136</v>
      </c>
      <c r="AH6632" s="1">
        <f>HYPERLINK("https://my.pitchbook.com?c=52088-41T","View Company Online")</f>
      </c>
    </row>
    <row r="6633">
      <c r="A6633" s="3" t="s">
        <v>29969</v>
      </c>
      <c r="B6633" s="3" t="s">
        <v>7592</v>
      </c>
      <c r="C6633" s="5" t="s">
        <v>36</v>
      </c>
      <c r="D6633" s="5" t="s">
        <v>36</v>
      </c>
      <c r="E6633" s="5" t="s">
        <v>36</v>
      </c>
      <c r="F6633" s="5" t="s">
        <v>36</v>
      </c>
      <c r="G6633" s="6" t="s">
        <v>36</v>
      </c>
      <c r="H6633" s="4">
        <v>1.84</v>
      </c>
      <c r="I6633" s="7">
        <v>41.46</v>
      </c>
      <c r="J6633" s="3" t="s">
        <v>521</v>
      </c>
      <c r="K6633" s="9" t="s">
        <v>36</v>
      </c>
      <c r="L6633" s="6" t="s">
        <v>122</v>
      </c>
      <c r="M6633" s="3" t="s">
        <v>36</v>
      </c>
      <c r="N6633" s="3" t="s">
        <v>122</v>
      </c>
      <c r="O6633" s="8" t="s">
        <v>36</v>
      </c>
      <c r="P6633" s="3" t="s">
        <v>36</v>
      </c>
      <c r="Q6633" s="3" t="s">
        <v>36</v>
      </c>
      <c r="R6633" s="3" t="s">
        <v>36</v>
      </c>
      <c r="S6633" s="3" t="s">
        <v>36</v>
      </c>
      <c r="T6633" s="3" t="s">
        <v>105</v>
      </c>
      <c r="U6633" s="3" t="s">
        <v>38</v>
      </c>
      <c r="V6633" s="3" t="s">
        <v>39</v>
      </c>
      <c r="W6633" s="3" t="s">
        <v>7593</v>
      </c>
      <c r="X6633" s="10" t="s">
        <v>29970</v>
      </c>
      <c r="Y6633" s="6" t="s">
        <v>42</v>
      </c>
      <c r="Z6633" s="4">
        <v>2.26</v>
      </c>
      <c r="AA6633" s="4">
        <v>5.45</v>
      </c>
      <c r="AB6633" s="3" t="s">
        <v>43</v>
      </c>
      <c r="AC6633" s="3" t="s">
        <v>7595</v>
      </c>
      <c r="AD6633" s="9">
        <v>42544</v>
      </c>
      <c r="AE6633" s="3" t="s">
        <v>110</v>
      </c>
      <c r="AF6633" s="3" t="s">
        <v>7596</v>
      </c>
      <c r="AG6633" s="3" t="s">
        <v>81</v>
      </c>
      <c r="AH6633" s="11">
        <f>HYPERLINK("https://my.pitchbook.com?c=72125-56T","View Company Online")</f>
      </c>
    </row>
    <row r="6634">
      <c r="A6634" s="12" t="s">
        <v>29971</v>
      </c>
      <c r="B6634" s="12" t="s">
        <v>17520</v>
      </c>
      <c r="C6634" s="19">
        <v>40</v>
      </c>
      <c r="D6634" s="19">
        <v>39</v>
      </c>
      <c r="E6634" s="19">
        <v>36</v>
      </c>
      <c r="F6634" s="19">
        <v>98</v>
      </c>
      <c r="G6634" s="15" t="s">
        <v>36</v>
      </c>
      <c r="H6634" s="14">
        <v>8.57</v>
      </c>
      <c r="I6634" s="18">
        <v>20.26</v>
      </c>
      <c r="J6634" s="12" t="s">
        <v>521</v>
      </c>
      <c r="K6634" s="13" t="s">
        <v>36</v>
      </c>
      <c r="L6634" s="15" t="s">
        <v>122</v>
      </c>
      <c r="M6634" s="12" t="s">
        <v>36</v>
      </c>
      <c r="N6634" s="12" t="s">
        <v>122</v>
      </c>
      <c r="O6634" s="17" t="s">
        <v>36</v>
      </c>
      <c r="P6634" s="12" t="s">
        <v>36</v>
      </c>
      <c r="Q6634" s="12" t="s">
        <v>36</v>
      </c>
      <c r="R6634" s="12" t="s">
        <v>36</v>
      </c>
      <c r="S6634" s="12" t="s">
        <v>36</v>
      </c>
      <c r="T6634" s="12" t="s">
        <v>751</v>
      </c>
      <c r="U6634" s="12" t="s">
        <v>96</v>
      </c>
      <c r="V6634" s="12" t="s">
        <v>52</v>
      </c>
      <c r="W6634" s="12" t="s">
        <v>17521</v>
      </c>
      <c r="X6634" s="16" t="s">
        <v>29972</v>
      </c>
      <c r="Y6634" s="15" t="s">
        <v>42</v>
      </c>
      <c r="Z6634" s="14">
        <v>3.53</v>
      </c>
      <c r="AA6634" s="14">
        <v>17.44</v>
      </c>
      <c r="AB6634" s="12" t="s">
        <v>56</v>
      </c>
      <c r="AC6634" s="12" t="s">
        <v>17523</v>
      </c>
      <c r="AD6634" s="13">
        <v>42544</v>
      </c>
      <c r="AE6634" s="12" t="s">
        <v>755</v>
      </c>
      <c r="AF6634" s="12" t="s">
        <v>13878</v>
      </c>
      <c r="AG6634" s="12" t="s">
        <v>4619</v>
      </c>
      <c r="AH6634" s="1">
        <f>HYPERLINK("https://my.pitchbook.com?c=103819-42T","View Company Online")</f>
      </c>
    </row>
    <row r="6635">
      <c r="A6635" s="3" t="s">
        <v>29973</v>
      </c>
      <c r="B6635" s="3" t="s">
        <v>29974</v>
      </c>
      <c r="C6635" s="5" t="s">
        <v>36</v>
      </c>
      <c r="D6635" s="5">
        <v>2</v>
      </c>
      <c r="E6635" s="5">
        <v>1</v>
      </c>
      <c r="F6635" s="5">
        <v>2</v>
      </c>
      <c r="G6635" s="6" t="s">
        <v>2497</v>
      </c>
      <c r="H6635" s="4">
        <v>36.35</v>
      </c>
      <c r="I6635" s="7">
        <v>27.41</v>
      </c>
      <c r="J6635" s="3" t="s">
        <v>521</v>
      </c>
      <c r="K6635" s="9" t="s">
        <v>36</v>
      </c>
      <c r="L6635" s="6" t="s">
        <v>36</v>
      </c>
      <c r="M6635" s="3" t="s">
        <v>36</v>
      </c>
      <c r="N6635" s="3" t="s">
        <v>36</v>
      </c>
      <c r="O6635" s="8" t="s">
        <v>36</v>
      </c>
      <c r="P6635" s="3" t="s">
        <v>36</v>
      </c>
      <c r="Q6635" s="3" t="s">
        <v>36</v>
      </c>
      <c r="R6635" s="3" t="s">
        <v>36</v>
      </c>
      <c r="S6635" s="3" t="s">
        <v>36</v>
      </c>
      <c r="T6635" s="3" t="s">
        <v>881</v>
      </c>
      <c r="U6635" s="3" t="s">
        <v>51</v>
      </c>
      <c r="V6635" s="3" t="s">
        <v>52</v>
      </c>
      <c r="W6635" s="3" t="s">
        <v>29975</v>
      </c>
      <c r="X6635" s="10" t="s">
        <v>7099</v>
      </c>
      <c r="Y6635" s="6" t="s">
        <v>108</v>
      </c>
      <c r="Z6635" s="4">
        <v>0.34</v>
      </c>
      <c r="AA6635" s="4">
        <v>1.23</v>
      </c>
      <c r="AB6635" s="3" t="s">
        <v>56</v>
      </c>
      <c r="AC6635" s="3" t="s">
        <v>29976</v>
      </c>
      <c r="AD6635" s="9">
        <v>42544</v>
      </c>
      <c r="AE6635" s="3" t="s">
        <v>504</v>
      </c>
      <c r="AF6635" s="3" t="s">
        <v>159</v>
      </c>
      <c r="AG6635" s="3" t="s">
        <v>969</v>
      </c>
      <c r="AH6635" s="11">
        <f>HYPERLINK("https://my.pitchbook.com?c=123581-17T","View Company Online")</f>
      </c>
    </row>
    <row r="6636">
      <c r="A6636" s="12" t="s">
        <v>29977</v>
      </c>
      <c r="B6636" s="12" t="s">
        <v>29978</v>
      </c>
      <c r="C6636" s="19" t="s">
        <v>36</v>
      </c>
      <c r="D6636" s="19" t="s">
        <v>36</v>
      </c>
      <c r="E6636" s="19" t="s">
        <v>36</v>
      </c>
      <c r="F6636" s="19" t="s">
        <v>36</v>
      </c>
      <c r="G6636" s="15" t="s">
        <v>36</v>
      </c>
      <c r="H6636" s="14">
        <v>24.55</v>
      </c>
      <c r="I6636" s="18">
        <v>40.11</v>
      </c>
      <c r="J6636" s="12" t="s">
        <v>521</v>
      </c>
      <c r="K6636" s="13">
        <v>42491</v>
      </c>
      <c r="L6636" s="15" t="s">
        <v>36</v>
      </c>
      <c r="M6636" s="12" t="s">
        <v>36</v>
      </c>
      <c r="N6636" s="12" t="s">
        <v>36</v>
      </c>
      <c r="O6636" s="17" t="s">
        <v>36</v>
      </c>
      <c r="P6636" s="12" t="s">
        <v>36</v>
      </c>
      <c r="Q6636" s="12" t="s">
        <v>36</v>
      </c>
      <c r="R6636" s="12" t="s">
        <v>36</v>
      </c>
      <c r="S6636" s="12" t="s">
        <v>36</v>
      </c>
      <c r="T6636" s="12" t="s">
        <v>9193</v>
      </c>
      <c r="U6636" s="12" t="s">
        <v>74</v>
      </c>
      <c r="V6636" s="12" t="s">
        <v>75</v>
      </c>
      <c r="W6636" s="12" t="s">
        <v>29979</v>
      </c>
      <c r="X6636" s="16" t="s">
        <v>29980</v>
      </c>
      <c r="Y6636" s="15" t="s">
        <v>42</v>
      </c>
      <c r="Z6636" s="14">
        <v>1.13</v>
      </c>
      <c r="AA6636" s="14">
        <v>2.1</v>
      </c>
      <c r="AB6636" s="12" t="s">
        <v>43</v>
      </c>
      <c r="AC6636" s="12" t="s">
        <v>29981</v>
      </c>
      <c r="AD6636" s="13">
        <v>42543</v>
      </c>
      <c r="AE6636" s="12" t="s">
        <v>79</v>
      </c>
      <c r="AF6636" s="12" t="s">
        <v>19161</v>
      </c>
      <c r="AG6636" s="12" t="s">
        <v>11582</v>
      </c>
      <c r="AH6636" s="1">
        <f>HYPERLINK("https://my.pitchbook.com?c=96150-07T","View Company Online")</f>
      </c>
    </row>
    <row r="6637">
      <c r="A6637" s="3" t="s">
        <v>29982</v>
      </c>
      <c r="B6637" s="3" t="s">
        <v>29983</v>
      </c>
      <c r="C6637" s="5" t="s">
        <v>36</v>
      </c>
      <c r="D6637" s="5" t="s">
        <v>36</v>
      </c>
      <c r="E6637" s="5" t="s">
        <v>36</v>
      </c>
      <c r="F6637" s="5" t="s">
        <v>36</v>
      </c>
      <c r="G6637" s="6" t="s">
        <v>36</v>
      </c>
      <c r="H6637" s="4">
        <v>17.9</v>
      </c>
      <c r="I6637" s="7">
        <v>18</v>
      </c>
      <c r="J6637" s="3" t="s">
        <v>521</v>
      </c>
      <c r="K6637" s="9" t="s">
        <v>36</v>
      </c>
      <c r="L6637" s="6" t="s">
        <v>36</v>
      </c>
      <c r="M6637" s="3" t="s">
        <v>36</v>
      </c>
      <c r="N6637" s="3" t="s">
        <v>36</v>
      </c>
      <c r="O6637" s="8" t="s">
        <v>36</v>
      </c>
      <c r="P6637" s="3" t="s">
        <v>36</v>
      </c>
      <c r="Q6637" s="3" t="s">
        <v>36</v>
      </c>
      <c r="R6637" s="3" t="s">
        <v>36</v>
      </c>
      <c r="S6637" s="3" t="s">
        <v>36</v>
      </c>
      <c r="T6637" s="3" t="s">
        <v>29984</v>
      </c>
      <c r="U6637" s="3" t="s">
        <v>85</v>
      </c>
      <c r="V6637" s="3" t="s">
        <v>64</v>
      </c>
      <c r="W6637" s="3" t="s">
        <v>29985</v>
      </c>
      <c r="X6637" s="10" t="s">
        <v>29986</v>
      </c>
      <c r="Y6637" s="6" t="s">
        <v>42</v>
      </c>
      <c r="Z6637" s="4">
        <v>1.69</v>
      </c>
      <c r="AA6637" s="4">
        <v>3.84</v>
      </c>
      <c r="AB6637" s="3" t="s">
        <v>56</v>
      </c>
      <c r="AC6637" s="3" t="s">
        <v>29987</v>
      </c>
      <c r="AD6637" s="9">
        <v>42543</v>
      </c>
      <c r="AE6637" s="3" t="s">
        <v>89</v>
      </c>
      <c r="AF6637" s="3" t="s">
        <v>24375</v>
      </c>
      <c r="AG6637" s="3" t="s">
        <v>2088</v>
      </c>
      <c r="AH6637" s="11">
        <f>HYPERLINK("https://my.pitchbook.com?c=75537-82T","View Company Online")</f>
      </c>
    </row>
    <row r="6638">
      <c r="A6638" s="12" t="s">
        <v>29988</v>
      </c>
      <c r="B6638" s="12" t="s">
        <v>12870</v>
      </c>
      <c r="C6638" s="19" t="s">
        <v>36</v>
      </c>
      <c r="D6638" s="19">
        <v>2</v>
      </c>
      <c r="E6638" s="19">
        <v>1</v>
      </c>
      <c r="F6638" s="19">
        <v>2</v>
      </c>
      <c r="G6638" s="15" t="s">
        <v>36</v>
      </c>
      <c r="H6638" s="14" t="s">
        <v>36</v>
      </c>
      <c r="I6638" s="18">
        <v>21.87</v>
      </c>
      <c r="J6638" s="12" t="s">
        <v>327</v>
      </c>
      <c r="K6638" s="13" t="s">
        <v>36</v>
      </c>
      <c r="L6638" s="15" t="s">
        <v>36</v>
      </c>
      <c r="M6638" s="12" t="s">
        <v>36</v>
      </c>
      <c r="N6638" s="12" t="s">
        <v>36</v>
      </c>
      <c r="O6638" s="17" t="s">
        <v>36</v>
      </c>
      <c r="P6638" s="12" t="s">
        <v>36</v>
      </c>
      <c r="Q6638" s="12" t="s">
        <v>36</v>
      </c>
      <c r="R6638" s="12" t="s">
        <v>36</v>
      </c>
      <c r="S6638" s="12" t="s">
        <v>36</v>
      </c>
      <c r="T6638" s="12" t="s">
        <v>3729</v>
      </c>
      <c r="U6638" s="12" t="s">
        <v>219</v>
      </c>
      <c r="V6638" s="12" t="s">
        <v>75</v>
      </c>
      <c r="W6638" s="12" t="s">
        <v>12871</v>
      </c>
      <c r="X6638" s="16" t="s">
        <v>29989</v>
      </c>
      <c r="Y6638" s="15" t="s">
        <v>42</v>
      </c>
      <c r="Z6638" s="14">
        <v>1.46</v>
      </c>
      <c r="AA6638" s="14">
        <v>6.69</v>
      </c>
      <c r="AB6638" s="12" t="s">
        <v>56</v>
      </c>
      <c r="AC6638" s="12" t="s">
        <v>12873</v>
      </c>
      <c r="AD6638" s="13">
        <v>42543</v>
      </c>
      <c r="AE6638" s="12" t="s">
        <v>1032</v>
      </c>
      <c r="AF6638" s="12" t="s">
        <v>1340</v>
      </c>
      <c r="AG6638" s="12" t="s">
        <v>81</v>
      </c>
      <c r="AH6638" s="1">
        <f>HYPERLINK("https://my.pitchbook.com?c=107009-92T","View Company Online")</f>
      </c>
    </row>
    <row r="6639">
      <c r="A6639" s="3" t="s">
        <v>29990</v>
      </c>
      <c r="B6639" s="3" t="s">
        <v>29991</v>
      </c>
      <c r="C6639" s="5" t="s">
        <v>36</v>
      </c>
      <c r="D6639" s="5" t="s">
        <v>36</v>
      </c>
      <c r="E6639" s="5" t="s">
        <v>36</v>
      </c>
      <c r="F6639" s="5" t="s">
        <v>36</v>
      </c>
      <c r="G6639" s="6" t="s">
        <v>36</v>
      </c>
      <c r="H6639" s="4">
        <v>124.63</v>
      </c>
      <c r="I6639" s="7">
        <v>21.85</v>
      </c>
      <c r="J6639" s="3" t="s">
        <v>521</v>
      </c>
      <c r="K6639" s="9" t="s">
        <v>36</v>
      </c>
      <c r="L6639" s="6" t="s">
        <v>36</v>
      </c>
      <c r="M6639" s="3" t="s">
        <v>36</v>
      </c>
      <c r="N6639" s="3" t="s">
        <v>36</v>
      </c>
      <c r="O6639" s="8" t="s">
        <v>36</v>
      </c>
      <c r="P6639" s="3" t="s">
        <v>36</v>
      </c>
      <c r="Q6639" s="3" t="s">
        <v>36</v>
      </c>
      <c r="R6639" s="3" t="s">
        <v>36</v>
      </c>
      <c r="S6639" s="3" t="s">
        <v>36</v>
      </c>
      <c r="T6639" s="3" t="s">
        <v>29992</v>
      </c>
      <c r="U6639" s="3" t="s">
        <v>38</v>
      </c>
      <c r="V6639" s="3" t="s">
        <v>39</v>
      </c>
      <c r="W6639" s="3" t="s">
        <v>29993</v>
      </c>
      <c r="X6639" s="10" t="s">
        <v>29994</v>
      </c>
      <c r="Y6639" s="6" t="s">
        <v>42</v>
      </c>
      <c r="Z6639" s="4">
        <v>0.38</v>
      </c>
      <c r="AA6639" s="4">
        <v>1.73</v>
      </c>
      <c r="AB6639" s="3" t="s">
        <v>56</v>
      </c>
      <c r="AC6639" s="3" t="s">
        <v>29995</v>
      </c>
      <c r="AD6639" s="9">
        <v>42543</v>
      </c>
      <c r="AE6639" s="3" t="s">
        <v>688</v>
      </c>
      <c r="AF6639" s="3" t="s">
        <v>18230</v>
      </c>
      <c r="AG6639" s="3" t="s">
        <v>81</v>
      </c>
      <c r="AH6639" s="11">
        <f>HYPERLINK("https://my.pitchbook.com?c=124063-39T","View Company Online")</f>
      </c>
    </row>
    <row r="6640">
      <c r="A6640" s="12" t="s">
        <v>29996</v>
      </c>
      <c r="B6640" s="12" t="s">
        <v>29997</v>
      </c>
      <c r="C6640" s="19" t="s">
        <v>36</v>
      </c>
      <c r="D6640" s="19" t="s">
        <v>36</v>
      </c>
      <c r="E6640" s="19" t="s">
        <v>36</v>
      </c>
      <c r="F6640" s="19" t="s">
        <v>36</v>
      </c>
      <c r="G6640" s="15" t="s">
        <v>36</v>
      </c>
      <c r="H6640" s="14" t="s">
        <v>36</v>
      </c>
      <c r="I6640" s="18">
        <v>20</v>
      </c>
      <c r="J6640" s="12" t="s">
        <v>327</v>
      </c>
      <c r="K6640" s="13" t="s">
        <v>36</v>
      </c>
      <c r="L6640" s="15" t="s">
        <v>36</v>
      </c>
      <c r="M6640" s="12" t="s">
        <v>36</v>
      </c>
      <c r="N6640" s="12" t="s">
        <v>36</v>
      </c>
      <c r="O6640" s="17" t="s">
        <v>36</v>
      </c>
      <c r="P6640" s="12" t="s">
        <v>36</v>
      </c>
      <c r="Q6640" s="12" t="s">
        <v>36</v>
      </c>
      <c r="R6640" s="12" t="s">
        <v>36</v>
      </c>
      <c r="S6640" s="12" t="s">
        <v>36</v>
      </c>
      <c r="T6640" s="12" t="s">
        <v>17338</v>
      </c>
      <c r="U6640" s="12" t="s">
        <v>279</v>
      </c>
      <c r="V6640" s="12" t="s">
        <v>64</v>
      </c>
      <c r="W6640" s="12" t="s">
        <v>29998</v>
      </c>
      <c r="X6640" s="16" t="s">
        <v>29999</v>
      </c>
      <c r="Y6640" s="15" t="s">
        <v>42</v>
      </c>
      <c r="Z6640" s="14">
        <v>0.17</v>
      </c>
      <c r="AA6640" s="14">
        <v>0.84</v>
      </c>
      <c r="AB6640" s="12" t="s">
        <v>43</v>
      </c>
      <c r="AC6640" s="12" t="s">
        <v>30000</v>
      </c>
      <c r="AD6640" s="13">
        <v>42543</v>
      </c>
      <c r="AE6640" s="12" t="s">
        <v>851</v>
      </c>
      <c r="AF6640" s="12" t="s">
        <v>118</v>
      </c>
      <c r="AG6640" s="12" t="s">
        <v>644</v>
      </c>
      <c r="AH6640" s="1">
        <f>HYPERLINK("https://my.pitchbook.com?c=136827-46T","View Company Online")</f>
      </c>
    </row>
    <row r="6641">
      <c r="A6641" s="3" t="s">
        <v>30001</v>
      </c>
      <c r="B6641" s="3" t="s">
        <v>22524</v>
      </c>
      <c r="C6641" s="5" t="s">
        <v>36</v>
      </c>
      <c r="D6641" s="5" t="s">
        <v>36</v>
      </c>
      <c r="E6641" s="5" t="s">
        <v>36</v>
      </c>
      <c r="F6641" s="5" t="s">
        <v>36</v>
      </c>
      <c r="G6641" s="6" t="s">
        <v>326</v>
      </c>
      <c r="H6641" s="4">
        <v>31.43</v>
      </c>
      <c r="I6641" s="7">
        <v>28.22</v>
      </c>
      <c r="J6641" s="3" t="s">
        <v>521</v>
      </c>
      <c r="K6641" s="9" t="s">
        <v>36</v>
      </c>
      <c r="L6641" s="6" t="s">
        <v>36</v>
      </c>
      <c r="M6641" s="3" t="s">
        <v>36</v>
      </c>
      <c r="N6641" s="3" t="s">
        <v>36</v>
      </c>
      <c r="O6641" s="8" t="s">
        <v>36</v>
      </c>
      <c r="P6641" s="3" t="s">
        <v>36</v>
      </c>
      <c r="Q6641" s="3" t="s">
        <v>36</v>
      </c>
      <c r="R6641" s="3" t="s">
        <v>36</v>
      </c>
      <c r="S6641" s="3" t="s">
        <v>36</v>
      </c>
      <c r="T6641" s="3" t="s">
        <v>1701</v>
      </c>
      <c r="U6641" s="3" t="s">
        <v>74</v>
      </c>
      <c r="V6641" s="3" t="s">
        <v>75</v>
      </c>
      <c r="W6641" s="3" t="s">
        <v>22525</v>
      </c>
      <c r="X6641" s="10" t="s">
        <v>30002</v>
      </c>
      <c r="Y6641" s="6" t="s">
        <v>55</v>
      </c>
      <c r="Z6641" s="4">
        <v>4.5</v>
      </c>
      <c r="AA6641" s="4">
        <v>8.97</v>
      </c>
      <c r="AB6641" s="3" t="s">
        <v>43</v>
      </c>
      <c r="AC6641" s="3" t="s">
        <v>22527</v>
      </c>
      <c r="AD6641" s="9">
        <v>42542</v>
      </c>
      <c r="AE6641" s="3" t="s">
        <v>79</v>
      </c>
      <c r="AF6641" s="3" t="s">
        <v>176</v>
      </c>
      <c r="AG6641" s="3" t="s">
        <v>580</v>
      </c>
      <c r="AH6641" s="11">
        <f>HYPERLINK("https://my.pitchbook.com?c=79021-72T","View Company Online")</f>
      </c>
    </row>
    <row r="6642">
      <c r="A6642" s="12" t="s">
        <v>30003</v>
      </c>
      <c r="B6642" s="12" t="s">
        <v>30004</v>
      </c>
      <c r="C6642" s="19" t="s">
        <v>36</v>
      </c>
      <c r="D6642" s="19" t="s">
        <v>36</v>
      </c>
      <c r="E6642" s="19" t="s">
        <v>36</v>
      </c>
      <c r="F6642" s="19" t="s">
        <v>36</v>
      </c>
      <c r="G6642" s="15" t="s">
        <v>36</v>
      </c>
      <c r="H6642" s="14">
        <v>611.86</v>
      </c>
      <c r="I6642" s="18">
        <v>37.62</v>
      </c>
      <c r="J6642" s="12" t="s">
        <v>521</v>
      </c>
      <c r="K6642" s="13">
        <v>42521</v>
      </c>
      <c r="L6642" s="15" t="s">
        <v>122</v>
      </c>
      <c r="M6642" s="12" t="s">
        <v>36</v>
      </c>
      <c r="N6642" s="12" t="s">
        <v>122</v>
      </c>
      <c r="O6642" s="17" t="s">
        <v>36</v>
      </c>
      <c r="P6642" s="12" t="s">
        <v>36</v>
      </c>
      <c r="Q6642" s="12" t="s">
        <v>36</v>
      </c>
      <c r="R6642" s="12" t="s">
        <v>36</v>
      </c>
      <c r="S6642" s="12" t="s">
        <v>36</v>
      </c>
      <c r="T6642" s="12" t="s">
        <v>1701</v>
      </c>
      <c r="U6642" s="12" t="s">
        <v>74</v>
      </c>
      <c r="V6642" s="12" t="s">
        <v>75</v>
      </c>
      <c r="W6642" s="12" t="s">
        <v>30005</v>
      </c>
      <c r="X6642" s="16" t="s">
        <v>30006</v>
      </c>
      <c r="Y6642" s="15" t="s">
        <v>42</v>
      </c>
      <c r="Z6642" s="14">
        <v>3.14</v>
      </c>
      <c r="AA6642" s="14">
        <v>8.36</v>
      </c>
      <c r="AB6642" s="12" t="s">
        <v>56</v>
      </c>
      <c r="AC6642" s="12" t="s">
        <v>30007</v>
      </c>
      <c r="AD6642" s="13">
        <v>42541</v>
      </c>
      <c r="AE6642" s="12" t="s">
        <v>79</v>
      </c>
      <c r="AF6642" s="12" t="s">
        <v>1401</v>
      </c>
      <c r="AG6642" s="12" t="s">
        <v>81</v>
      </c>
      <c r="AH6642" s="1">
        <f>HYPERLINK("https://my.pitchbook.com?c=78051-97T","View Company Online")</f>
      </c>
    </row>
    <row r="6643">
      <c r="A6643" s="3" t="s">
        <v>30008</v>
      </c>
      <c r="B6643" s="3" t="s">
        <v>28496</v>
      </c>
      <c r="C6643" s="5" t="s">
        <v>36</v>
      </c>
      <c r="D6643" s="5" t="s">
        <v>36</v>
      </c>
      <c r="E6643" s="5" t="s">
        <v>36</v>
      </c>
      <c r="F6643" s="5" t="s">
        <v>36</v>
      </c>
      <c r="G6643" s="6" t="s">
        <v>326</v>
      </c>
      <c r="H6643" s="4">
        <v>435.55</v>
      </c>
      <c r="I6643" s="7">
        <v>37.75</v>
      </c>
      <c r="J6643" s="3" t="s">
        <v>521</v>
      </c>
      <c r="K6643" s="9">
        <v>42453</v>
      </c>
      <c r="L6643" s="6" t="s">
        <v>36</v>
      </c>
      <c r="M6643" s="3" t="s">
        <v>36</v>
      </c>
      <c r="N6643" s="3" t="s">
        <v>36</v>
      </c>
      <c r="O6643" s="8" t="s">
        <v>36</v>
      </c>
      <c r="P6643" s="3" t="s">
        <v>36</v>
      </c>
      <c r="Q6643" s="3" t="s">
        <v>36</v>
      </c>
      <c r="R6643" s="3" t="s">
        <v>36</v>
      </c>
      <c r="S6643" s="3" t="s">
        <v>6677</v>
      </c>
      <c r="T6643" s="3" t="s">
        <v>8394</v>
      </c>
      <c r="U6643" s="3" t="s">
        <v>85</v>
      </c>
      <c r="V6643" s="3" t="s">
        <v>64</v>
      </c>
      <c r="W6643" s="3" t="s">
        <v>28497</v>
      </c>
      <c r="X6643" s="10" t="s">
        <v>30009</v>
      </c>
      <c r="Y6643" s="6" t="s">
        <v>192</v>
      </c>
      <c r="Z6643" s="4">
        <v>5.62</v>
      </c>
      <c r="AA6643" s="4">
        <v>14.73</v>
      </c>
      <c r="AB6643" s="3" t="s">
        <v>43</v>
      </c>
      <c r="AC6643" s="3" t="s">
        <v>28499</v>
      </c>
      <c r="AD6643" s="9">
        <v>42541</v>
      </c>
      <c r="AE6643" s="3" t="s">
        <v>89</v>
      </c>
      <c r="AF6643" s="3" t="s">
        <v>28500</v>
      </c>
      <c r="AG6643" s="3" t="s">
        <v>81</v>
      </c>
      <c r="AH6643" s="11">
        <f>HYPERLINK("https://my.pitchbook.com?c=116297-74T","View Company Online")</f>
      </c>
    </row>
    <row r="6644">
      <c r="A6644" s="12" t="s">
        <v>30010</v>
      </c>
      <c r="B6644" s="12" t="s">
        <v>30011</v>
      </c>
      <c r="C6644" s="19" t="s">
        <v>36</v>
      </c>
      <c r="D6644" s="19" t="s">
        <v>36</v>
      </c>
      <c r="E6644" s="19" t="s">
        <v>36</v>
      </c>
      <c r="F6644" s="19" t="s">
        <v>36</v>
      </c>
      <c r="G6644" s="15" t="s">
        <v>36</v>
      </c>
      <c r="H6644" s="14">
        <v>332.34</v>
      </c>
      <c r="I6644" s="18">
        <v>20</v>
      </c>
      <c r="J6644" s="12" t="s">
        <v>327</v>
      </c>
      <c r="K6644" s="13" t="s">
        <v>36</v>
      </c>
      <c r="L6644" s="15" t="s">
        <v>122</v>
      </c>
      <c r="M6644" s="12" t="s">
        <v>36</v>
      </c>
      <c r="N6644" s="12" t="s">
        <v>122</v>
      </c>
      <c r="O6644" s="17" t="s">
        <v>36</v>
      </c>
      <c r="P6644" s="12" t="s">
        <v>36</v>
      </c>
      <c r="Q6644" s="12" t="s">
        <v>36</v>
      </c>
      <c r="R6644" s="12" t="s">
        <v>36</v>
      </c>
      <c r="S6644" s="12" t="s">
        <v>36</v>
      </c>
      <c r="T6644" s="12" t="s">
        <v>9243</v>
      </c>
      <c r="U6644" s="12" t="s">
        <v>423</v>
      </c>
      <c r="V6644" s="12" t="s">
        <v>64</v>
      </c>
      <c r="W6644" s="12" t="s">
        <v>30012</v>
      </c>
      <c r="X6644" s="16" t="s">
        <v>30013</v>
      </c>
      <c r="Y6644" s="15" t="s">
        <v>42</v>
      </c>
      <c r="Z6644" s="14">
        <v>1.12</v>
      </c>
      <c r="AA6644" s="14">
        <v>4.49</v>
      </c>
      <c r="AB6644" s="12" t="s">
        <v>43</v>
      </c>
      <c r="AC6644" s="12" t="s">
        <v>30014</v>
      </c>
      <c r="AD6644" s="13">
        <v>42537</v>
      </c>
      <c r="AE6644" s="12" t="s">
        <v>427</v>
      </c>
      <c r="AF6644" s="12" t="s">
        <v>2363</v>
      </c>
      <c r="AG6644" s="12" t="s">
        <v>81</v>
      </c>
      <c r="AH6644" s="1">
        <f>HYPERLINK("https://my.pitchbook.com?c=73698-13T","View Company Online")</f>
      </c>
    </row>
    <row r="6645">
      <c r="A6645" s="3" t="s">
        <v>30015</v>
      </c>
      <c r="B6645" s="3" t="s">
        <v>18967</v>
      </c>
      <c r="C6645" s="5">
        <v>45</v>
      </c>
      <c r="D6645" s="5">
        <v>100</v>
      </c>
      <c r="E6645" s="5">
        <v>45</v>
      </c>
      <c r="F6645" s="5">
        <v>163</v>
      </c>
      <c r="G6645" s="6" t="s">
        <v>36</v>
      </c>
      <c r="H6645" s="4" t="s">
        <v>36</v>
      </c>
      <c r="I6645" s="7" t="s">
        <v>36</v>
      </c>
      <c r="J6645" s="3" t="s">
        <v>327</v>
      </c>
      <c r="K6645" s="9" t="s">
        <v>36</v>
      </c>
      <c r="L6645" s="6" t="s">
        <v>36</v>
      </c>
      <c r="M6645" s="3" t="s">
        <v>36</v>
      </c>
      <c r="N6645" s="3" t="s">
        <v>36</v>
      </c>
      <c r="O6645" s="8" t="s">
        <v>36</v>
      </c>
      <c r="P6645" s="3" t="s">
        <v>36</v>
      </c>
      <c r="Q6645" s="3" t="s">
        <v>36</v>
      </c>
      <c r="R6645" s="3" t="s">
        <v>36</v>
      </c>
      <c r="S6645" s="3" t="s">
        <v>36</v>
      </c>
      <c r="T6645" s="3" t="s">
        <v>1725</v>
      </c>
      <c r="U6645" s="3" t="s">
        <v>318</v>
      </c>
      <c r="V6645" s="3" t="s">
        <v>39</v>
      </c>
      <c r="W6645" s="3" t="s">
        <v>18968</v>
      </c>
      <c r="X6645" s="10" t="s">
        <v>30016</v>
      </c>
      <c r="Y6645" s="6" t="s">
        <v>108</v>
      </c>
      <c r="Z6645" s="4">
        <v>2.92</v>
      </c>
      <c r="AA6645" s="4">
        <v>10.55</v>
      </c>
      <c r="AB6645" s="3" t="s">
        <v>43</v>
      </c>
      <c r="AC6645" s="3" t="s">
        <v>18970</v>
      </c>
      <c r="AD6645" s="9">
        <v>42536</v>
      </c>
      <c r="AE6645" s="3" t="s">
        <v>763</v>
      </c>
      <c r="AF6645" s="3" t="s">
        <v>111</v>
      </c>
      <c r="AG6645" s="3" t="s">
        <v>969</v>
      </c>
      <c r="AH6645" s="11">
        <f>HYPERLINK("https://my.pitchbook.com?c=75312-55T","View Company Online")</f>
      </c>
    </row>
    <row r="6646">
      <c r="A6646" s="12" t="s">
        <v>30017</v>
      </c>
      <c r="B6646" s="12" t="s">
        <v>9586</v>
      </c>
      <c r="C6646" s="19">
        <v>18</v>
      </c>
      <c r="D6646" s="19">
        <v>85</v>
      </c>
      <c r="E6646" s="19">
        <v>26</v>
      </c>
      <c r="F6646" s="19">
        <v>111</v>
      </c>
      <c r="G6646" s="15" t="s">
        <v>36</v>
      </c>
      <c r="H6646" s="14" t="s">
        <v>36</v>
      </c>
      <c r="I6646" s="18">
        <v>35.39</v>
      </c>
      <c r="J6646" s="12" t="s">
        <v>327</v>
      </c>
      <c r="K6646" s="13">
        <v>42370</v>
      </c>
      <c r="L6646" s="15" t="s">
        <v>36</v>
      </c>
      <c r="M6646" s="12" t="s">
        <v>36</v>
      </c>
      <c r="N6646" s="12" t="s">
        <v>36</v>
      </c>
      <c r="O6646" s="17" t="s">
        <v>36</v>
      </c>
      <c r="P6646" s="12" t="s">
        <v>36</v>
      </c>
      <c r="Q6646" s="12" t="s">
        <v>36</v>
      </c>
      <c r="R6646" s="12" t="s">
        <v>36</v>
      </c>
      <c r="S6646" s="12" t="s">
        <v>36</v>
      </c>
      <c r="T6646" s="12" t="s">
        <v>9587</v>
      </c>
      <c r="U6646" s="12" t="s">
        <v>1580</v>
      </c>
      <c r="V6646" s="12" t="s">
        <v>39</v>
      </c>
      <c r="W6646" s="12" t="s">
        <v>9588</v>
      </c>
      <c r="X6646" s="16" t="s">
        <v>30018</v>
      </c>
      <c r="Y6646" s="15" t="s">
        <v>192</v>
      </c>
      <c r="Z6646" s="14">
        <v>2.17</v>
      </c>
      <c r="AA6646" s="14">
        <v>6.14</v>
      </c>
      <c r="AB6646" s="12" t="s">
        <v>43</v>
      </c>
      <c r="AC6646" s="12" t="s">
        <v>9590</v>
      </c>
      <c r="AD6646" s="13">
        <v>42536</v>
      </c>
      <c r="AE6646" s="12" t="s">
        <v>9591</v>
      </c>
      <c r="AF6646" s="12" t="s">
        <v>571</v>
      </c>
      <c r="AG6646" s="12" t="s">
        <v>1078</v>
      </c>
      <c r="AH6646" s="1">
        <f>HYPERLINK("https://my.pitchbook.com?c=86622-49T","View Company Online")</f>
      </c>
    </row>
    <row r="6647">
      <c r="A6647" s="3" t="s">
        <v>30019</v>
      </c>
      <c r="B6647" s="3" t="s">
        <v>14020</v>
      </c>
      <c r="C6647" s="5" t="s">
        <v>36</v>
      </c>
      <c r="D6647" s="5" t="s">
        <v>36</v>
      </c>
      <c r="E6647" s="5" t="s">
        <v>36</v>
      </c>
      <c r="F6647" s="5" t="s">
        <v>36</v>
      </c>
      <c r="G6647" s="6" t="s">
        <v>683</v>
      </c>
      <c r="H6647" s="4" t="s">
        <v>36</v>
      </c>
      <c r="I6647" s="7">
        <v>19.24</v>
      </c>
      <c r="J6647" s="3" t="s">
        <v>327</v>
      </c>
      <c r="K6647" s="9" t="s">
        <v>36</v>
      </c>
      <c r="L6647" s="6" t="s">
        <v>36</v>
      </c>
      <c r="M6647" s="3" t="s">
        <v>36</v>
      </c>
      <c r="N6647" s="3" t="s">
        <v>36</v>
      </c>
      <c r="O6647" s="8" t="s">
        <v>36</v>
      </c>
      <c r="P6647" s="3" t="s">
        <v>36</v>
      </c>
      <c r="Q6647" s="3" t="s">
        <v>36</v>
      </c>
      <c r="R6647" s="3" t="s">
        <v>36</v>
      </c>
      <c r="S6647" s="3" t="s">
        <v>36</v>
      </c>
      <c r="T6647" s="3" t="s">
        <v>1893</v>
      </c>
      <c r="U6647" s="3" t="s">
        <v>648</v>
      </c>
      <c r="V6647" s="3" t="s">
        <v>64</v>
      </c>
      <c r="W6647" s="3" t="s">
        <v>14021</v>
      </c>
      <c r="X6647" s="10" t="s">
        <v>30020</v>
      </c>
      <c r="Y6647" s="6" t="s">
        <v>108</v>
      </c>
      <c r="Z6647" s="4">
        <v>1.62</v>
      </c>
      <c r="AA6647" s="4">
        <v>8.41</v>
      </c>
      <c r="AB6647" s="3" t="s">
        <v>56</v>
      </c>
      <c r="AC6647" s="3" t="s">
        <v>14023</v>
      </c>
      <c r="AD6647" s="9">
        <v>42536</v>
      </c>
      <c r="AE6647" s="3" t="s">
        <v>1897</v>
      </c>
      <c r="AF6647" s="3" t="s">
        <v>36</v>
      </c>
      <c r="AG6647" s="3" t="s">
        <v>47</v>
      </c>
      <c r="AH6647" s="11">
        <f>HYPERLINK("https://my.pitchbook.com?c=86276-89T","View Company Online")</f>
      </c>
    </row>
    <row r="6648">
      <c r="A6648" s="12" t="s">
        <v>30021</v>
      </c>
      <c r="B6648" s="12" t="s">
        <v>30022</v>
      </c>
      <c r="C6648" s="19" t="s">
        <v>36</v>
      </c>
      <c r="D6648" s="19" t="s">
        <v>36</v>
      </c>
      <c r="E6648" s="19" t="s">
        <v>36</v>
      </c>
      <c r="F6648" s="19" t="s">
        <v>36</v>
      </c>
      <c r="G6648" s="15" t="s">
        <v>326</v>
      </c>
      <c r="H6648" s="14">
        <v>15.87</v>
      </c>
      <c r="I6648" s="18">
        <v>36.52</v>
      </c>
      <c r="J6648" s="12" t="s">
        <v>521</v>
      </c>
      <c r="K6648" s="13" t="s">
        <v>36</v>
      </c>
      <c r="L6648" s="15" t="s">
        <v>36</v>
      </c>
      <c r="M6648" s="12" t="s">
        <v>36</v>
      </c>
      <c r="N6648" s="12" t="s">
        <v>36</v>
      </c>
      <c r="O6648" s="17" t="s">
        <v>36</v>
      </c>
      <c r="P6648" s="12" t="s">
        <v>36</v>
      </c>
      <c r="Q6648" s="12" t="s">
        <v>36</v>
      </c>
      <c r="R6648" s="12" t="s">
        <v>36</v>
      </c>
      <c r="S6648" s="12" t="s">
        <v>36</v>
      </c>
      <c r="T6648" s="12" t="s">
        <v>1596</v>
      </c>
      <c r="U6648" s="12" t="s">
        <v>728</v>
      </c>
      <c r="V6648" s="12" t="s">
        <v>64</v>
      </c>
      <c r="W6648" s="12" t="s">
        <v>30023</v>
      </c>
      <c r="X6648" s="16" t="s">
        <v>30024</v>
      </c>
      <c r="Y6648" s="15" t="s">
        <v>42</v>
      </c>
      <c r="Z6648" s="14">
        <v>0.87</v>
      </c>
      <c r="AA6648" s="14">
        <v>2.39</v>
      </c>
      <c r="AB6648" s="12" t="s">
        <v>43</v>
      </c>
      <c r="AC6648" s="12" t="s">
        <v>30025</v>
      </c>
      <c r="AD6648" s="13">
        <v>42536</v>
      </c>
      <c r="AE6648" s="12" t="s">
        <v>1600</v>
      </c>
      <c r="AF6648" s="12" t="s">
        <v>2118</v>
      </c>
      <c r="AG6648" s="12" t="s">
        <v>81</v>
      </c>
      <c r="AH6648" s="1">
        <f>HYPERLINK("https://my.pitchbook.com?c=72606-43T","View Company Online")</f>
      </c>
    </row>
    <row r="6649">
      <c r="A6649" s="3" t="s">
        <v>30026</v>
      </c>
      <c r="B6649" s="3" t="s">
        <v>20459</v>
      </c>
      <c r="C6649" s="5" t="s">
        <v>36</v>
      </c>
      <c r="D6649" s="5" t="s">
        <v>36</v>
      </c>
      <c r="E6649" s="5" t="s">
        <v>36</v>
      </c>
      <c r="F6649" s="5" t="s">
        <v>36</v>
      </c>
      <c r="G6649" s="6" t="s">
        <v>36</v>
      </c>
      <c r="H6649" s="4">
        <v>748.96</v>
      </c>
      <c r="I6649" s="7">
        <v>26.14</v>
      </c>
      <c r="J6649" s="3" t="s">
        <v>521</v>
      </c>
      <c r="K6649" s="9" t="s">
        <v>36</v>
      </c>
      <c r="L6649" s="6" t="s">
        <v>36</v>
      </c>
      <c r="M6649" s="3" t="s">
        <v>36</v>
      </c>
      <c r="N6649" s="3" t="s">
        <v>36</v>
      </c>
      <c r="O6649" s="8" t="s">
        <v>36</v>
      </c>
      <c r="P6649" s="3" t="s">
        <v>36</v>
      </c>
      <c r="Q6649" s="3" t="s">
        <v>36</v>
      </c>
      <c r="R6649" s="3" t="s">
        <v>36</v>
      </c>
      <c r="S6649" s="3" t="s">
        <v>36</v>
      </c>
      <c r="T6649" s="3" t="s">
        <v>20460</v>
      </c>
      <c r="U6649" s="3" t="s">
        <v>1580</v>
      </c>
      <c r="V6649" s="3" t="s">
        <v>39</v>
      </c>
      <c r="W6649" s="3" t="s">
        <v>20461</v>
      </c>
      <c r="X6649" s="10" t="s">
        <v>27377</v>
      </c>
      <c r="Y6649" s="6" t="s">
        <v>42</v>
      </c>
      <c r="Z6649" s="4">
        <v>0.3</v>
      </c>
      <c r="AA6649" s="4">
        <v>1.14</v>
      </c>
      <c r="AB6649" s="3" t="s">
        <v>43</v>
      </c>
      <c r="AC6649" s="3" t="s">
        <v>20463</v>
      </c>
      <c r="AD6649" s="9">
        <v>42536</v>
      </c>
      <c r="AE6649" s="3" t="s">
        <v>4086</v>
      </c>
      <c r="AF6649" s="3" t="s">
        <v>1077</v>
      </c>
      <c r="AG6649" s="3" t="s">
        <v>969</v>
      </c>
      <c r="AH6649" s="11">
        <f>HYPERLINK("https://my.pitchbook.com?c=120104-74T","View Company Online")</f>
      </c>
    </row>
    <row r="6650">
      <c r="A6650" s="12" t="s">
        <v>30027</v>
      </c>
      <c r="B6650" s="12" t="s">
        <v>30028</v>
      </c>
      <c r="C6650" s="19" t="s">
        <v>36</v>
      </c>
      <c r="D6650" s="19" t="s">
        <v>36</v>
      </c>
      <c r="E6650" s="19" t="s">
        <v>36</v>
      </c>
      <c r="F6650" s="19" t="s">
        <v>36</v>
      </c>
      <c r="G6650" s="15" t="s">
        <v>36</v>
      </c>
      <c r="H6650" s="14" t="s">
        <v>36</v>
      </c>
      <c r="I6650" s="18" t="s">
        <v>36</v>
      </c>
      <c r="J6650" s="12" t="s">
        <v>36</v>
      </c>
      <c r="K6650" s="13">
        <v>42491</v>
      </c>
      <c r="L6650" s="15" t="s">
        <v>36</v>
      </c>
      <c r="M6650" s="12" t="s">
        <v>36</v>
      </c>
      <c r="N6650" s="12" t="s">
        <v>36</v>
      </c>
      <c r="O6650" s="17" t="s">
        <v>36</v>
      </c>
      <c r="P6650" s="12" t="s">
        <v>36</v>
      </c>
      <c r="Q6650" s="12" t="s">
        <v>36</v>
      </c>
      <c r="R6650" s="12" t="s">
        <v>36</v>
      </c>
      <c r="S6650" s="12" t="s">
        <v>36</v>
      </c>
      <c r="T6650" s="12" t="s">
        <v>23158</v>
      </c>
      <c r="U6650" s="12" t="s">
        <v>63</v>
      </c>
      <c r="V6650" s="12" t="s">
        <v>64</v>
      </c>
      <c r="W6650" s="12" t="s">
        <v>30029</v>
      </c>
      <c r="X6650" s="16" t="s">
        <v>30030</v>
      </c>
      <c r="Y6650" s="15" t="s">
        <v>42</v>
      </c>
      <c r="Z6650" s="14">
        <v>1.12</v>
      </c>
      <c r="AA6650" s="14" t="s">
        <v>36</v>
      </c>
      <c r="AB6650" s="12" t="s">
        <v>43</v>
      </c>
      <c r="AC6650" s="12" t="s">
        <v>30031</v>
      </c>
      <c r="AD6650" s="13">
        <v>42535</v>
      </c>
      <c r="AE6650" s="12" t="s">
        <v>68</v>
      </c>
      <c r="AF6650" s="12" t="s">
        <v>36</v>
      </c>
      <c r="AG6650" s="12" t="s">
        <v>81</v>
      </c>
      <c r="AH6650" s="1">
        <f>HYPERLINK("https://my.pitchbook.com?c=92691-64T","View Company Online")</f>
      </c>
    </row>
    <row r="6651">
      <c r="A6651" s="3" t="s">
        <v>30032</v>
      </c>
      <c r="B6651" s="3" t="s">
        <v>21258</v>
      </c>
      <c r="C6651" s="5" t="s">
        <v>36</v>
      </c>
      <c r="D6651" s="5" t="s">
        <v>36</v>
      </c>
      <c r="E6651" s="5" t="s">
        <v>36</v>
      </c>
      <c r="F6651" s="5" t="s">
        <v>36</v>
      </c>
      <c r="G6651" s="6" t="s">
        <v>326</v>
      </c>
      <c r="H6651" s="4">
        <v>6.1</v>
      </c>
      <c r="I6651" s="7">
        <v>21.75</v>
      </c>
      <c r="J6651" s="3" t="s">
        <v>521</v>
      </c>
      <c r="K6651" s="9">
        <v>42474</v>
      </c>
      <c r="L6651" s="6" t="s">
        <v>36</v>
      </c>
      <c r="M6651" s="3" t="s">
        <v>36</v>
      </c>
      <c r="N6651" s="3" t="s">
        <v>36</v>
      </c>
      <c r="O6651" s="8" t="s">
        <v>36</v>
      </c>
      <c r="P6651" s="3" t="s">
        <v>36</v>
      </c>
      <c r="Q6651" s="3" t="s">
        <v>36</v>
      </c>
      <c r="R6651" s="3" t="s">
        <v>36</v>
      </c>
      <c r="S6651" s="3" t="s">
        <v>36</v>
      </c>
      <c r="T6651" s="3" t="s">
        <v>8186</v>
      </c>
      <c r="U6651" s="3" t="s">
        <v>38</v>
      </c>
      <c r="V6651" s="3" t="s">
        <v>39</v>
      </c>
      <c r="W6651" s="3" t="s">
        <v>21259</v>
      </c>
      <c r="X6651" s="10" t="s">
        <v>30033</v>
      </c>
      <c r="Y6651" s="6" t="s">
        <v>108</v>
      </c>
      <c r="Z6651" s="4">
        <v>3.37</v>
      </c>
      <c r="AA6651" s="4">
        <v>15.5</v>
      </c>
      <c r="AB6651" s="3" t="s">
        <v>43</v>
      </c>
      <c r="AC6651" s="3" t="s">
        <v>21261</v>
      </c>
      <c r="AD6651" s="9">
        <v>42535</v>
      </c>
      <c r="AE6651" s="3" t="s">
        <v>1945</v>
      </c>
      <c r="AF6651" s="3" t="s">
        <v>1115</v>
      </c>
      <c r="AG6651" s="3" t="s">
        <v>81</v>
      </c>
      <c r="AH6651" s="11">
        <f>HYPERLINK("https://my.pitchbook.com?c=97462-36T","View Company Online")</f>
      </c>
    </row>
    <row r="6652">
      <c r="A6652" s="12" t="s">
        <v>30034</v>
      </c>
      <c r="B6652" s="12" t="s">
        <v>30035</v>
      </c>
      <c r="C6652" s="19" t="s">
        <v>36</v>
      </c>
      <c r="D6652" s="19" t="s">
        <v>36</v>
      </c>
      <c r="E6652" s="19" t="s">
        <v>36</v>
      </c>
      <c r="F6652" s="19" t="s">
        <v>36</v>
      </c>
      <c r="G6652" s="15" t="s">
        <v>326</v>
      </c>
      <c r="H6652" s="14">
        <v>13.5</v>
      </c>
      <c r="I6652" s="18">
        <v>25.11</v>
      </c>
      <c r="J6652" s="12" t="s">
        <v>521</v>
      </c>
      <c r="K6652" s="13">
        <v>42516</v>
      </c>
      <c r="L6652" s="15" t="s">
        <v>36</v>
      </c>
      <c r="M6652" s="12" t="s">
        <v>36</v>
      </c>
      <c r="N6652" s="12" t="s">
        <v>36</v>
      </c>
      <c r="O6652" s="17" t="s">
        <v>36</v>
      </c>
      <c r="P6652" s="12" t="s">
        <v>36</v>
      </c>
      <c r="Q6652" s="12" t="s">
        <v>36</v>
      </c>
      <c r="R6652" s="12" t="s">
        <v>36</v>
      </c>
      <c r="S6652" s="12" t="s">
        <v>36</v>
      </c>
      <c r="T6652" s="12" t="s">
        <v>3125</v>
      </c>
      <c r="U6652" s="12" t="s">
        <v>279</v>
      </c>
      <c r="V6652" s="12" t="s">
        <v>64</v>
      </c>
      <c r="W6652" s="12" t="s">
        <v>30036</v>
      </c>
      <c r="X6652" s="16" t="s">
        <v>30037</v>
      </c>
      <c r="Y6652" s="15" t="s">
        <v>108</v>
      </c>
      <c r="Z6652" s="14">
        <v>2.25</v>
      </c>
      <c r="AA6652" s="14">
        <v>4.52</v>
      </c>
      <c r="AB6652" s="12" t="s">
        <v>43</v>
      </c>
      <c r="AC6652" s="12" t="s">
        <v>30038</v>
      </c>
      <c r="AD6652" s="13">
        <v>42535</v>
      </c>
      <c r="AE6652" s="12" t="s">
        <v>283</v>
      </c>
      <c r="AF6652" s="12" t="s">
        <v>1636</v>
      </c>
      <c r="AG6652" s="12" t="s">
        <v>47</v>
      </c>
      <c r="AH6652" s="1">
        <f>HYPERLINK("https://my.pitchbook.com?c=71607-16T","View Company Online")</f>
      </c>
    </row>
    <row r="6653">
      <c r="A6653" s="3" t="s">
        <v>30039</v>
      </c>
      <c r="B6653" s="3" t="s">
        <v>9315</v>
      </c>
      <c r="C6653" s="5" t="s">
        <v>36</v>
      </c>
      <c r="D6653" s="5">
        <v>13</v>
      </c>
      <c r="E6653" s="5">
        <v>3</v>
      </c>
      <c r="F6653" s="5">
        <v>13</v>
      </c>
      <c r="G6653" s="6" t="s">
        <v>326</v>
      </c>
      <c r="H6653" s="4">
        <v>11374.77</v>
      </c>
      <c r="I6653" s="7">
        <v>17.5</v>
      </c>
      <c r="J6653" s="3" t="s">
        <v>521</v>
      </c>
      <c r="K6653" s="9" t="s">
        <v>36</v>
      </c>
      <c r="L6653" s="6" t="s">
        <v>36</v>
      </c>
      <c r="M6653" s="3" t="s">
        <v>36</v>
      </c>
      <c r="N6653" s="3" t="s">
        <v>36</v>
      </c>
      <c r="O6653" s="8" t="s">
        <v>36</v>
      </c>
      <c r="P6653" s="3" t="s">
        <v>36</v>
      </c>
      <c r="Q6653" s="3" t="s">
        <v>36</v>
      </c>
      <c r="R6653" s="3" t="s">
        <v>36</v>
      </c>
      <c r="S6653" s="3" t="s">
        <v>36</v>
      </c>
      <c r="T6653" s="3" t="s">
        <v>529</v>
      </c>
      <c r="U6653" s="3" t="s">
        <v>38</v>
      </c>
      <c r="V6653" s="3" t="s">
        <v>39</v>
      </c>
      <c r="W6653" s="3" t="s">
        <v>9316</v>
      </c>
      <c r="X6653" s="10" t="s">
        <v>11579</v>
      </c>
      <c r="Y6653" s="6" t="s">
        <v>108</v>
      </c>
      <c r="Z6653" s="4">
        <v>1.12</v>
      </c>
      <c r="AA6653" s="4">
        <v>6.4</v>
      </c>
      <c r="AB6653" s="3" t="s">
        <v>56</v>
      </c>
      <c r="AC6653" s="3" t="s">
        <v>9318</v>
      </c>
      <c r="AD6653" s="9">
        <v>42535</v>
      </c>
      <c r="AE6653" s="3" t="s">
        <v>134</v>
      </c>
      <c r="AF6653" s="3" t="s">
        <v>9319</v>
      </c>
      <c r="AG6653" s="3" t="s">
        <v>652</v>
      </c>
      <c r="AH6653" s="11">
        <f>HYPERLINK("https://my.pitchbook.com?c=87085-09T","View Company Online")</f>
      </c>
    </row>
    <row r="6654">
      <c r="A6654" s="12" t="s">
        <v>30040</v>
      </c>
      <c r="B6654" s="12" t="s">
        <v>30041</v>
      </c>
      <c r="C6654" s="19" t="s">
        <v>36</v>
      </c>
      <c r="D6654" s="19">
        <v>7</v>
      </c>
      <c r="E6654" s="19">
        <v>5</v>
      </c>
      <c r="F6654" s="19">
        <v>14</v>
      </c>
      <c r="G6654" s="15" t="s">
        <v>326</v>
      </c>
      <c r="H6654" s="14">
        <v>647.03</v>
      </c>
      <c r="I6654" s="18">
        <v>51.33</v>
      </c>
      <c r="J6654" s="12" t="s">
        <v>521</v>
      </c>
      <c r="K6654" s="13" t="s">
        <v>36</v>
      </c>
      <c r="L6654" s="15" t="s">
        <v>36</v>
      </c>
      <c r="M6654" s="12" t="s">
        <v>36</v>
      </c>
      <c r="N6654" s="12" t="s">
        <v>36</v>
      </c>
      <c r="O6654" s="17" t="s">
        <v>36</v>
      </c>
      <c r="P6654" s="12" t="s">
        <v>36</v>
      </c>
      <c r="Q6654" s="12" t="s">
        <v>36</v>
      </c>
      <c r="R6654" s="12" t="s">
        <v>36</v>
      </c>
      <c r="S6654" s="12" t="s">
        <v>36</v>
      </c>
      <c r="T6654" s="12" t="s">
        <v>30042</v>
      </c>
      <c r="U6654" s="12" t="s">
        <v>74</v>
      </c>
      <c r="V6654" s="12" t="s">
        <v>75</v>
      </c>
      <c r="W6654" s="12" t="s">
        <v>30043</v>
      </c>
      <c r="X6654" s="16" t="s">
        <v>30044</v>
      </c>
      <c r="Y6654" s="15" t="s">
        <v>108</v>
      </c>
      <c r="Z6654" s="14">
        <v>1.07</v>
      </c>
      <c r="AA6654" s="14">
        <v>2.08</v>
      </c>
      <c r="AB6654" s="12" t="s">
        <v>56</v>
      </c>
      <c r="AC6654" s="12" t="s">
        <v>30045</v>
      </c>
      <c r="AD6654" s="13">
        <v>42534</v>
      </c>
      <c r="AE6654" s="12" t="s">
        <v>975</v>
      </c>
      <c r="AF6654" s="12" t="s">
        <v>36</v>
      </c>
      <c r="AG6654" s="12" t="s">
        <v>144</v>
      </c>
      <c r="AH6654" s="1">
        <f>HYPERLINK("https://my.pitchbook.com?c=86628-16T","View Company Online")</f>
      </c>
    </row>
    <row r="6655">
      <c r="A6655" s="3" t="s">
        <v>30046</v>
      </c>
      <c r="B6655" s="3" t="s">
        <v>27130</v>
      </c>
      <c r="C6655" s="5" t="s">
        <v>36</v>
      </c>
      <c r="D6655" s="5" t="s">
        <v>36</v>
      </c>
      <c r="E6655" s="5" t="s">
        <v>36</v>
      </c>
      <c r="F6655" s="5" t="s">
        <v>36</v>
      </c>
      <c r="G6655" s="6" t="s">
        <v>326</v>
      </c>
      <c r="H6655" s="4">
        <v>25.76</v>
      </c>
      <c r="I6655" s="7">
        <v>43.14</v>
      </c>
      <c r="J6655" s="3" t="s">
        <v>521</v>
      </c>
      <c r="K6655" s="9" t="s">
        <v>36</v>
      </c>
      <c r="L6655" s="6" t="s">
        <v>36</v>
      </c>
      <c r="M6655" s="3" t="s">
        <v>36</v>
      </c>
      <c r="N6655" s="3" t="s">
        <v>36</v>
      </c>
      <c r="O6655" s="8" t="s">
        <v>36</v>
      </c>
      <c r="P6655" s="3" t="s">
        <v>36</v>
      </c>
      <c r="Q6655" s="3" t="s">
        <v>36</v>
      </c>
      <c r="R6655" s="3" t="s">
        <v>36</v>
      </c>
      <c r="S6655" s="3" t="s">
        <v>36</v>
      </c>
      <c r="T6655" s="3" t="s">
        <v>596</v>
      </c>
      <c r="U6655" s="3" t="s">
        <v>366</v>
      </c>
      <c r="V6655" s="3" t="s">
        <v>367</v>
      </c>
      <c r="W6655" s="3" t="s">
        <v>27131</v>
      </c>
      <c r="X6655" s="10" t="s">
        <v>29117</v>
      </c>
      <c r="Y6655" s="6" t="s">
        <v>55</v>
      </c>
      <c r="Z6655" s="4">
        <v>1.12</v>
      </c>
      <c r="AA6655" s="4">
        <v>1.72</v>
      </c>
      <c r="AB6655" s="3" t="s">
        <v>56</v>
      </c>
      <c r="AC6655" s="3" t="s">
        <v>27133</v>
      </c>
      <c r="AD6655" s="9">
        <v>42534</v>
      </c>
      <c r="AE6655" s="3" t="s">
        <v>600</v>
      </c>
      <c r="AF6655" s="3" t="s">
        <v>931</v>
      </c>
      <c r="AG6655" s="3" t="s">
        <v>12928</v>
      </c>
      <c r="AH6655" s="11">
        <f>HYPERLINK("https://my.pitchbook.com?c=123462-19T","View Company Online")</f>
      </c>
    </row>
    <row r="6656">
      <c r="A6656" s="12" t="s">
        <v>30047</v>
      </c>
      <c r="B6656" s="12" t="s">
        <v>30048</v>
      </c>
      <c r="C6656" s="19" t="s">
        <v>36</v>
      </c>
      <c r="D6656" s="19" t="s">
        <v>36</v>
      </c>
      <c r="E6656" s="19" t="s">
        <v>36</v>
      </c>
      <c r="F6656" s="19" t="s">
        <v>36</v>
      </c>
      <c r="G6656" s="15" t="s">
        <v>683</v>
      </c>
      <c r="H6656" s="14">
        <v>18.11</v>
      </c>
      <c r="I6656" s="18">
        <v>12.91</v>
      </c>
      <c r="J6656" s="12" t="s">
        <v>521</v>
      </c>
      <c r="K6656" s="13" t="s">
        <v>36</v>
      </c>
      <c r="L6656" s="15" t="s">
        <v>36</v>
      </c>
      <c r="M6656" s="12" t="s">
        <v>36</v>
      </c>
      <c r="N6656" s="12" t="s">
        <v>36</v>
      </c>
      <c r="O6656" s="17" t="s">
        <v>36</v>
      </c>
      <c r="P6656" s="12" t="s">
        <v>36</v>
      </c>
      <c r="Q6656" s="12" t="s">
        <v>36</v>
      </c>
      <c r="R6656" s="12" t="s">
        <v>36</v>
      </c>
      <c r="S6656" s="12" t="s">
        <v>36</v>
      </c>
      <c r="T6656" s="12" t="s">
        <v>30049</v>
      </c>
      <c r="U6656" s="12" t="s">
        <v>728</v>
      </c>
      <c r="V6656" s="12" t="s">
        <v>64</v>
      </c>
      <c r="W6656" s="12" t="s">
        <v>30050</v>
      </c>
      <c r="X6656" s="16" t="s">
        <v>19209</v>
      </c>
      <c r="Y6656" s="15" t="s">
        <v>192</v>
      </c>
      <c r="Z6656" s="14">
        <v>5.62</v>
      </c>
      <c r="AA6656" s="14">
        <v>43.53</v>
      </c>
      <c r="AB6656" s="12" t="s">
        <v>43</v>
      </c>
      <c r="AC6656" s="12" t="s">
        <v>30051</v>
      </c>
      <c r="AD6656" s="13">
        <v>42533</v>
      </c>
      <c r="AE6656" s="12" t="s">
        <v>2154</v>
      </c>
      <c r="AF6656" s="12" t="s">
        <v>2118</v>
      </c>
      <c r="AG6656" s="12" t="s">
        <v>81</v>
      </c>
      <c r="AH6656" s="1">
        <f>HYPERLINK("https://my.pitchbook.com?c=129563-74T","View Company Online")</f>
      </c>
    </row>
    <row r="6657">
      <c r="A6657" s="3" t="s">
        <v>30052</v>
      </c>
      <c r="B6657" s="3" t="s">
        <v>11869</v>
      </c>
      <c r="C6657" s="5" t="s">
        <v>36</v>
      </c>
      <c r="D6657" s="5" t="s">
        <v>36</v>
      </c>
      <c r="E6657" s="5" t="s">
        <v>36</v>
      </c>
      <c r="F6657" s="5" t="s">
        <v>36</v>
      </c>
      <c r="G6657" s="6" t="s">
        <v>2497</v>
      </c>
      <c r="H6657" s="4">
        <v>4.57</v>
      </c>
      <c r="I6657" s="7">
        <v>24.99</v>
      </c>
      <c r="J6657" s="3" t="s">
        <v>521</v>
      </c>
      <c r="K6657" s="9" t="s">
        <v>36</v>
      </c>
      <c r="L6657" s="6" t="s">
        <v>36</v>
      </c>
      <c r="M6657" s="3" t="s">
        <v>36</v>
      </c>
      <c r="N6657" s="3" t="s">
        <v>36</v>
      </c>
      <c r="O6657" s="8" t="s">
        <v>36</v>
      </c>
      <c r="P6657" s="3" t="s">
        <v>36</v>
      </c>
      <c r="Q6657" s="3" t="s">
        <v>36</v>
      </c>
      <c r="R6657" s="3" t="s">
        <v>36</v>
      </c>
      <c r="S6657" s="3" t="s">
        <v>36</v>
      </c>
      <c r="T6657" s="3" t="s">
        <v>542</v>
      </c>
      <c r="U6657" s="3" t="s">
        <v>74</v>
      </c>
      <c r="V6657" s="3" t="s">
        <v>75</v>
      </c>
      <c r="W6657" s="3" t="s">
        <v>11870</v>
      </c>
      <c r="X6657" s="10" t="s">
        <v>30053</v>
      </c>
      <c r="Y6657" s="6" t="s">
        <v>108</v>
      </c>
      <c r="Z6657" s="4">
        <v>0.34</v>
      </c>
      <c r="AA6657" s="4">
        <v>0.87</v>
      </c>
      <c r="AB6657" s="3" t="s">
        <v>43</v>
      </c>
      <c r="AC6657" s="3" t="s">
        <v>11872</v>
      </c>
      <c r="AD6657" s="9">
        <v>42532</v>
      </c>
      <c r="AE6657" s="3" t="s">
        <v>362</v>
      </c>
      <c r="AF6657" s="3" t="s">
        <v>2087</v>
      </c>
      <c r="AG6657" s="3" t="s">
        <v>2618</v>
      </c>
      <c r="AH6657" s="11">
        <f>HYPERLINK("https://my.pitchbook.com?c=174903-67T","View Company Online")</f>
      </c>
    </row>
    <row r="6658">
      <c r="A6658" s="12" t="s">
        <v>30054</v>
      </c>
      <c r="B6658" s="12" t="s">
        <v>17243</v>
      </c>
      <c r="C6658" s="19" t="s">
        <v>36</v>
      </c>
      <c r="D6658" s="19" t="s">
        <v>36</v>
      </c>
      <c r="E6658" s="19" t="s">
        <v>36</v>
      </c>
      <c r="F6658" s="19" t="s">
        <v>36</v>
      </c>
      <c r="G6658" s="15" t="s">
        <v>326</v>
      </c>
      <c r="H6658" s="14">
        <v>250.05</v>
      </c>
      <c r="I6658" s="18">
        <v>33.59</v>
      </c>
      <c r="J6658" s="12" t="s">
        <v>521</v>
      </c>
      <c r="K6658" s="13" t="s">
        <v>36</v>
      </c>
      <c r="L6658" s="15" t="s">
        <v>122</v>
      </c>
      <c r="M6658" s="12" t="s">
        <v>36</v>
      </c>
      <c r="N6658" s="12" t="s">
        <v>122</v>
      </c>
      <c r="O6658" s="17" t="s">
        <v>36</v>
      </c>
      <c r="P6658" s="12" t="s">
        <v>36</v>
      </c>
      <c r="Q6658" s="12" t="s">
        <v>36</v>
      </c>
      <c r="R6658" s="12" t="s">
        <v>36</v>
      </c>
      <c r="S6658" s="12" t="s">
        <v>36</v>
      </c>
      <c r="T6658" s="12" t="s">
        <v>17244</v>
      </c>
      <c r="U6658" s="12" t="s">
        <v>233</v>
      </c>
      <c r="V6658" s="12" t="s">
        <v>39</v>
      </c>
      <c r="W6658" s="12" t="s">
        <v>17245</v>
      </c>
      <c r="X6658" s="16" t="s">
        <v>30055</v>
      </c>
      <c r="Y6658" s="15" t="s">
        <v>108</v>
      </c>
      <c r="Z6658" s="14">
        <v>4.55</v>
      </c>
      <c r="AA6658" s="14">
        <v>13.55</v>
      </c>
      <c r="AB6658" s="12" t="s">
        <v>43</v>
      </c>
      <c r="AC6658" s="12" t="s">
        <v>17247</v>
      </c>
      <c r="AD6658" s="13">
        <v>42531</v>
      </c>
      <c r="AE6658" s="12" t="s">
        <v>12061</v>
      </c>
      <c r="AF6658" s="12" t="s">
        <v>3860</v>
      </c>
      <c r="AG6658" s="12" t="s">
        <v>81</v>
      </c>
      <c r="AH6658" s="1">
        <f>HYPERLINK("https://my.pitchbook.com?c=71485-57T","View Company Online")</f>
      </c>
    </row>
    <row r="6659">
      <c r="A6659" s="3" t="s">
        <v>30056</v>
      </c>
      <c r="B6659" s="3" t="s">
        <v>28825</v>
      </c>
      <c r="C6659" s="5" t="s">
        <v>36</v>
      </c>
      <c r="D6659" s="5" t="s">
        <v>36</v>
      </c>
      <c r="E6659" s="5" t="s">
        <v>36</v>
      </c>
      <c r="F6659" s="5" t="s">
        <v>36</v>
      </c>
      <c r="G6659" s="6" t="s">
        <v>36</v>
      </c>
      <c r="H6659" s="4">
        <v>3.67</v>
      </c>
      <c r="I6659" s="7">
        <v>11.76</v>
      </c>
      <c r="J6659" s="3" t="s">
        <v>521</v>
      </c>
      <c r="K6659" s="9" t="s">
        <v>36</v>
      </c>
      <c r="L6659" s="6" t="s">
        <v>36</v>
      </c>
      <c r="M6659" s="3" t="s">
        <v>36</v>
      </c>
      <c r="N6659" s="3" t="s">
        <v>36</v>
      </c>
      <c r="O6659" s="8" t="s">
        <v>36</v>
      </c>
      <c r="P6659" s="3" t="s">
        <v>36</v>
      </c>
      <c r="Q6659" s="3" t="s">
        <v>36</v>
      </c>
      <c r="R6659" s="3" t="s">
        <v>36</v>
      </c>
      <c r="S6659" s="3" t="s">
        <v>36</v>
      </c>
      <c r="T6659" s="3" t="s">
        <v>1701</v>
      </c>
      <c r="U6659" s="3" t="s">
        <v>74</v>
      </c>
      <c r="V6659" s="3" t="s">
        <v>75</v>
      </c>
      <c r="W6659" s="3" t="s">
        <v>28826</v>
      </c>
      <c r="X6659" s="10" t="s">
        <v>30057</v>
      </c>
      <c r="Y6659" s="6" t="s">
        <v>55</v>
      </c>
      <c r="Z6659" s="4">
        <v>2.25</v>
      </c>
      <c r="AA6659" s="4">
        <v>19.13</v>
      </c>
      <c r="AB6659" s="3" t="s">
        <v>43</v>
      </c>
      <c r="AC6659" s="3" t="s">
        <v>28827</v>
      </c>
      <c r="AD6659" s="9">
        <v>42531</v>
      </c>
      <c r="AE6659" s="3" t="s">
        <v>79</v>
      </c>
      <c r="AF6659" s="3" t="s">
        <v>80</v>
      </c>
      <c r="AG6659" s="3" t="s">
        <v>765</v>
      </c>
      <c r="AH6659" s="11">
        <f>HYPERLINK("https://my.pitchbook.com?c=71478-10T","View Company Online")</f>
      </c>
    </row>
    <row r="6660">
      <c r="A6660" s="12" t="s">
        <v>30058</v>
      </c>
      <c r="B6660" s="12" t="s">
        <v>30059</v>
      </c>
      <c r="C6660" s="19" t="s">
        <v>36</v>
      </c>
      <c r="D6660" s="19">
        <v>2</v>
      </c>
      <c r="E6660" s="19">
        <v>1</v>
      </c>
      <c r="F6660" s="19">
        <v>2</v>
      </c>
      <c r="G6660" s="15" t="s">
        <v>36</v>
      </c>
      <c r="H6660" s="14">
        <v>1557.85</v>
      </c>
      <c r="I6660" s="18">
        <v>25</v>
      </c>
      <c r="J6660" s="12" t="s">
        <v>521</v>
      </c>
      <c r="K6660" s="13" t="s">
        <v>36</v>
      </c>
      <c r="L6660" s="15" t="s">
        <v>36</v>
      </c>
      <c r="M6660" s="12" t="s">
        <v>36</v>
      </c>
      <c r="N6660" s="12" t="s">
        <v>36</v>
      </c>
      <c r="O6660" s="17" t="s">
        <v>36</v>
      </c>
      <c r="P6660" s="12" t="s">
        <v>36</v>
      </c>
      <c r="Q6660" s="12" t="s">
        <v>36</v>
      </c>
      <c r="R6660" s="12" t="s">
        <v>36</v>
      </c>
      <c r="S6660" s="12" t="s">
        <v>36</v>
      </c>
      <c r="T6660" s="12" t="s">
        <v>6020</v>
      </c>
      <c r="U6660" s="12" t="s">
        <v>833</v>
      </c>
      <c r="V6660" s="12" t="s">
        <v>64</v>
      </c>
      <c r="W6660" s="12" t="s">
        <v>30060</v>
      </c>
      <c r="X6660" s="16" t="s">
        <v>11058</v>
      </c>
      <c r="Y6660" s="15" t="s">
        <v>42</v>
      </c>
      <c r="Z6660" s="14">
        <v>0.17</v>
      </c>
      <c r="AA6660" s="14">
        <v>0.67</v>
      </c>
      <c r="AB6660" s="12" t="s">
        <v>43</v>
      </c>
      <c r="AC6660" s="12" t="s">
        <v>30061</v>
      </c>
      <c r="AD6660" s="13">
        <v>42531</v>
      </c>
      <c r="AE6660" s="12" t="s">
        <v>3615</v>
      </c>
      <c r="AF6660" s="12" t="s">
        <v>36</v>
      </c>
      <c r="AG6660" s="12" t="s">
        <v>30062</v>
      </c>
      <c r="AH6660" s="1">
        <f>HYPERLINK("https://my.pitchbook.com?c=204690-07T","View Company Online")</f>
      </c>
    </row>
    <row r="6661">
      <c r="A6661" s="3" t="s">
        <v>30063</v>
      </c>
      <c r="B6661" s="3" t="s">
        <v>30064</v>
      </c>
      <c r="C6661" s="5" t="s">
        <v>36</v>
      </c>
      <c r="D6661" s="5" t="s">
        <v>36</v>
      </c>
      <c r="E6661" s="5" t="s">
        <v>36</v>
      </c>
      <c r="F6661" s="5" t="s">
        <v>36</v>
      </c>
      <c r="G6661" s="6" t="s">
        <v>36</v>
      </c>
      <c r="H6661" s="4" t="s">
        <v>36</v>
      </c>
      <c r="I6661" s="7" t="s">
        <v>36</v>
      </c>
      <c r="J6661" s="3" t="s">
        <v>36</v>
      </c>
      <c r="K6661" s="9" t="s">
        <v>36</v>
      </c>
      <c r="L6661" s="6" t="s">
        <v>36</v>
      </c>
      <c r="M6661" s="3" t="s">
        <v>36</v>
      </c>
      <c r="N6661" s="3" t="s">
        <v>36</v>
      </c>
      <c r="O6661" s="8" t="s">
        <v>36</v>
      </c>
      <c r="P6661" s="3" t="s">
        <v>36</v>
      </c>
      <c r="Q6661" s="3" t="s">
        <v>36</v>
      </c>
      <c r="R6661" s="3" t="s">
        <v>36</v>
      </c>
      <c r="S6661" s="3" t="s">
        <v>36</v>
      </c>
      <c r="T6661" s="3" t="s">
        <v>30065</v>
      </c>
      <c r="U6661" s="3" t="s">
        <v>63</v>
      </c>
      <c r="V6661" s="3" t="s">
        <v>64</v>
      </c>
      <c r="W6661" s="3" t="s">
        <v>30066</v>
      </c>
      <c r="X6661" s="10" t="s">
        <v>30067</v>
      </c>
      <c r="Y6661" s="6" t="s">
        <v>42</v>
      </c>
      <c r="Z6661" s="4" t="s">
        <v>36</v>
      </c>
      <c r="AA6661" s="4" t="s">
        <v>36</v>
      </c>
      <c r="AB6661" s="3" t="s">
        <v>43</v>
      </c>
      <c r="AC6661" s="3" t="s">
        <v>30068</v>
      </c>
      <c r="AD6661" s="9">
        <v>42531</v>
      </c>
      <c r="AE6661" s="3" t="s">
        <v>642</v>
      </c>
      <c r="AF6661" s="3" t="s">
        <v>36</v>
      </c>
      <c r="AG6661" s="3" t="s">
        <v>47</v>
      </c>
      <c r="AH6661" s="11">
        <f>HYPERLINK("https://my.pitchbook.com?c=127515-34T","View Company Online")</f>
      </c>
    </row>
    <row r="6662">
      <c r="A6662" s="12" t="s">
        <v>30069</v>
      </c>
      <c r="B6662" s="12" t="s">
        <v>18918</v>
      </c>
      <c r="C6662" s="19" t="s">
        <v>36</v>
      </c>
      <c r="D6662" s="19" t="s">
        <v>36</v>
      </c>
      <c r="E6662" s="19" t="s">
        <v>36</v>
      </c>
      <c r="F6662" s="19" t="s">
        <v>36</v>
      </c>
      <c r="G6662" s="15" t="s">
        <v>36</v>
      </c>
      <c r="H6662" s="14" t="s">
        <v>36</v>
      </c>
      <c r="I6662" s="18" t="s">
        <v>36</v>
      </c>
      <c r="J6662" s="12" t="s">
        <v>36</v>
      </c>
      <c r="K6662" s="13" t="s">
        <v>36</v>
      </c>
      <c r="L6662" s="15" t="s">
        <v>36</v>
      </c>
      <c r="M6662" s="12" t="s">
        <v>36</v>
      </c>
      <c r="N6662" s="12" t="s">
        <v>36</v>
      </c>
      <c r="O6662" s="17" t="s">
        <v>36</v>
      </c>
      <c r="P6662" s="12" t="s">
        <v>36</v>
      </c>
      <c r="Q6662" s="12" t="s">
        <v>36</v>
      </c>
      <c r="R6662" s="12" t="s">
        <v>36</v>
      </c>
      <c r="S6662" s="12" t="s">
        <v>36</v>
      </c>
      <c r="T6662" s="12" t="s">
        <v>1299</v>
      </c>
      <c r="U6662" s="12" t="s">
        <v>38</v>
      </c>
      <c r="V6662" s="12" t="s">
        <v>39</v>
      </c>
      <c r="W6662" s="12" t="s">
        <v>18919</v>
      </c>
      <c r="X6662" s="16" t="s">
        <v>30070</v>
      </c>
      <c r="Y6662" s="15" t="s">
        <v>108</v>
      </c>
      <c r="Z6662" s="14">
        <v>2.25</v>
      </c>
      <c r="AA6662" s="14" t="s">
        <v>36</v>
      </c>
      <c r="AB6662" s="12" t="s">
        <v>43</v>
      </c>
      <c r="AC6662" s="12" t="s">
        <v>18921</v>
      </c>
      <c r="AD6662" s="13">
        <v>42531</v>
      </c>
      <c r="AE6662" s="12" t="s">
        <v>110</v>
      </c>
      <c r="AF6662" s="12" t="s">
        <v>1401</v>
      </c>
      <c r="AG6662" s="12" t="s">
        <v>81</v>
      </c>
      <c r="AH6662" s="1">
        <f>HYPERLINK("https://my.pitchbook.com?c=71479-99T","View Company Online")</f>
      </c>
    </row>
    <row r="6663">
      <c r="A6663" s="3" t="s">
        <v>30071</v>
      </c>
      <c r="B6663" s="3" t="s">
        <v>30072</v>
      </c>
      <c r="C6663" s="5">
        <v>1</v>
      </c>
      <c r="D6663" s="5">
        <v>6</v>
      </c>
      <c r="E6663" s="5">
        <v>2</v>
      </c>
      <c r="F6663" s="5">
        <v>7</v>
      </c>
      <c r="G6663" s="6" t="s">
        <v>2497</v>
      </c>
      <c r="H6663" s="4">
        <v>121.51</v>
      </c>
      <c r="I6663" s="7">
        <v>9.65</v>
      </c>
      <c r="J6663" s="3" t="s">
        <v>521</v>
      </c>
      <c r="K6663" s="9" t="s">
        <v>36</v>
      </c>
      <c r="L6663" s="6" t="s">
        <v>36</v>
      </c>
      <c r="M6663" s="3" t="s">
        <v>36</v>
      </c>
      <c r="N6663" s="3" t="s">
        <v>36</v>
      </c>
      <c r="O6663" s="8" t="s">
        <v>36</v>
      </c>
      <c r="P6663" s="3" t="s">
        <v>36</v>
      </c>
      <c r="Q6663" s="3" t="s">
        <v>36</v>
      </c>
      <c r="R6663" s="3" t="s">
        <v>36</v>
      </c>
      <c r="S6663" s="3" t="s">
        <v>36</v>
      </c>
      <c r="T6663" s="3" t="s">
        <v>751</v>
      </c>
      <c r="U6663" s="3" t="s">
        <v>96</v>
      </c>
      <c r="V6663" s="3" t="s">
        <v>52</v>
      </c>
      <c r="W6663" s="3" t="s">
        <v>30073</v>
      </c>
      <c r="X6663" s="10" t="s">
        <v>30074</v>
      </c>
      <c r="Y6663" s="6" t="s">
        <v>108</v>
      </c>
      <c r="Z6663" s="4">
        <v>0.17</v>
      </c>
      <c r="AA6663" s="4">
        <v>0.87</v>
      </c>
      <c r="AB6663" s="3" t="s">
        <v>43</v>
      </c>
      <c r="AC6663" s="3" t="s">
        <v>30075</v>
      </c>
      <c r="AD6663" s="9">
        <v>42530</v>
      </c>
      <c r="AE6663" s="3" t="s">
        <v>755</v>
      </c>
      <c r="AF6663" s="3" t="s">
        <v>101</v>
      </c>
      <c r="AG6663" s="3" t="s">
        <v>186</v>
      </c>
      <c r="AH6663" s="11">
        <f>HYPERLINK("https://my.pitchbook.com?c=77911-75T","View Company Online")</f>
      </c>
    </row>
    <row r="6664">
      <c r="A6664" s="12" t="s">
        <v>30076</v>
      </c>
      <c r="B6664" s="12" t="s">
        <v>30077</v>
      </c>
      <c r="C6664" s="19" t="s">
        <v>36</v>
      </c>
      <c r="D6664" s="19" t="s">
        <v>36</v>
      </c>
      <c r="E6664" s="19" t="s">
        <v>36</v>
      </c>
      <c r="F6664" s="19" t="s">
        <v>36</v>
      </c>
      <c r="G6664" s="15" t="s">
        <v>36</v>
      </c>
      <c r="H6664" s="14">
        <v>1749.98</v>
      </c>
      <c r="I6664" s="18">
        <v>30.07</v>
      </c>
      <c r="J6664" s="12" t="s">
        <v>521</v>
      </c>
      <c r="K6664" s="13" t="s">
        <v>36</v>
      </c>
      <c r="L6664" s="15" t="s">
        <v>36</v>
      </c>
      <c r="M6664" s="12" t="s">
        <v>36</v>
      </c>
      <c r="N6664" s="12" t="s">
        <v>36</v>
      </c>
      <c r="O6664" s="17" t="s">
        <v>36</v>
      </c>
      <c r="P6664" s="12" t="s">
        <v>36</v>
      </c>
      <c r="Q6664" s="12" t="s">
        <v>36</v>
      </c>
      <c r="R6664" s="12" t="s">
        <v>36</v>
      </c>
      <c r="S6664" s="12" t="s">
        <v>36</v>
      </c>
      <c r="T6664" s="12" t="s">
        <v>2044</v>
      </c>
      <c r="U6664" s="12" t="s">
        <v>74</v>
      </c>
      <c r="V6664" s="12" t="s">
        <v>75</v>
      </c>
      <c r="W6664" s="12" t="s">
        <v>30078</v>
      </c>
      <c r="X6664" s="16" t="s">
        <v>30079</v>
      </c>
      <c r="Y6664" s="15" t="s">
        <v>42</v>
      </c>
      <c r="Z6664" s="14">
        <v>0.34</v>
      </c>
      <c r="AA6664" s="14">
        <v>1.12</v>
      </c>
      <c r="AB6664" s="12" t="s">
        <v>43</v>
      </c>
      <c r="AC6664" s="12" t="s">
        <v>30080</v>
      </c>
      <c r="AD6664" s="13">
        <v>42528</v>
      </c>
      <c r="AE6664" s="12" t="s">
        <v>79</v>
      </c>
      <c r="AF6664" s="12" t="s">
        <v>1115</v>
      </c>
      <c r="AG6664" s="12" t="s">
        <v>102</v>
      </c>
      <c r="AH6664" s="1">
        <f>HYPERLINK("https://my.pitchbook.com?c=140156-11T","View Company Online")</f>
      </c>
    </row>
    <row r="6665">
      <c r="A6665" s="3" t="s">
        <v>30081</v>
      </c>
      <c r="B6665" s="3" t="s">
        <v>24753</v>
      </c>
      <c r="C6665" s="5" t="s">
        <v>36</v>
      </c>
      <c r="D6665" s="5" t="s">
        <v>36</v>
      </c>
      <c r="E6665" s="5" t="s">
        <v>36</v>
      </c>
      <c r="F6665" s="5" t="s">
        <v>36</v>
      </c>
      <c r="G6665" s="6" t="s">
        <v>36</v>
      </c>
      <c r="H6665" s="4">
        <v>684.82</v>
      </c>
      <c r="I6665" s="7">
        <v>24.77</v>
      </c>
      <c r="J6665" s="3" t="s">
        <v>521</v>
      </c>
      <c r="K6665" s="9" t="s">
        <v>36</v>
      </c>
      <c r="L6665" s="6" t="s">
        <v>36</v>
      </c>
      <c r="M6665" s="3" t="s">
        <v>36</v>
      </c>
      <c r="N6665" s="3" t="s">
        <v>36</v>
      </c>
      <c r="O6665" s="8" t="s">
        <v>36</v>
      </c>
      <c r="P6665" s="3" t="s">
        <v>36</v>
      </c>
      <c r="Q6665" s="3" t="s">
        <v>36</v>
      </c>
      <c r="R6665" s="3" t="s">
        <v>36</v>
      </c>
      <c r="S6665" s="3" t="s">
        <v>36</v>
      </c>
      <c r="T6665" s="3" t="s">
        <v>4692</v>
      </c>
      <c r="U6665" s="3" t="s">
        <v>85</v>
      </c>
      <c r="V6665" s="3" t="s">
        <v>64</v>
      </c>
      <c r="W6665" s="3" t="s">
        <v>24754</v>
      </c>
      <c r="X6665" s="10" t="s">
        <v>24755</v>
      </c>
      <c r="Y6665" s="6" t="s">
        <v>42</v>
      </c>
      <c r="Z6665" s="4">
        <v>1.13</v>
      </c>
      <c r="AA6665" s="4">
        <v>2.96</v>
      </c>
      <c r="AB6665" s="3" t="s">
        <v>43</v>
      </c>
      <c r="AC6665" s="3" t="s">
        <v>24756</v>
      </c>
      <c r="AD6665" s="9">
        <v>42528</v>
      </c>
      <c r="AE6665" s="3" t="s">
        <v>89</v>
      </c>
      <c r="AF6665" s="3" t="s">
        <v>36</v>
      </c>
      <c r="AG6665" s="3" t="s">
        <v>81</v>
      </c>
      <c r="AH6665" s="11">
        <f>HYPERLINK("https://my.pitchbook.com?c=118602-55T","View Company Online")</f>
      </c>
    </row>
    <row r="6666">
      <c r="A6666" s="12" t="s">
        <v>30082</v>
      </c>
      <c r="B6666" s="12" t="s">
        <v>12501</v>
      </c>
      <c r="C6666" s="19" t="s">
        <v>36</v>
      </c>
      <c r="D6666" s="19" t="s">
        <v>36</v>
      </c>
      <c r="E6666" s="19">
        <v>1</v>
      </c>
      <c r="F6666" s="19">
        <v>1</v>
      </c>
      <c r="G6666" s="15" t="s">
        <v>36</v>
      </c>
      <c r="H6666" s="14" t="s">
        <v>36</v>
      </c>
      <c r="I6666" s="18" t="s">
        <v>36</v>
      </c>
      <c r="J6666" s="12" t="s">
        <v>36</v>
      </c>
      <c r="K6666" s="13" t="s">
        <v>36</v>
      </c>
      <c r="L6666" s="15" t="s">
        <v>122</v>
      </c>
      <c r="M6666" s="12" t="s">
        <v>36</v>
      </c>
      <c r="N6666" s="12" t="s">
        <v>122</v>
      </c>
      <c r="O6666" s="17" t="s">
        <v>36</v>
      </c>
      <c r="P6666" s="12" t="s">
        <v>36</v>
      </c>
      <c r="Q6666" s="12" t="s">
        <v>36</v>
      </c>
      <c r="R6666" s="12" t="s">
        <v>36</v>
      </c>
      <c r="S6666" s="12" t="s">
        <v>36</v>
      </c>
      <c r="T6666" s="12" t="s">
        <v>9159</v>
      </c>
      <c r="U6666" s="12" t="s">
        <v>74</v>
      </c>
      <c r="V6666" s="12" t="s">
        <v>75</v>
      </c>
      <c r="W6666" s="12" t="s">
        <v>12502</v>
      </c>
      <c r="X6666" s="16" t="s">
        <v>30083</v>
      </c>
      <c r="Y6666" s="15" t="s">
        <v>42</v>
      </c>
      <c r="Z6666" s="14">
        <v>2.48</v>
      </c>
      <c r="AA6666" s="14" t="s">
        <v>36</v>
      </c>
      <c r="AB6666" s="12" t="s">
        <v>43</v>
      </c>
      <c r="AC6666" s="12" t="s">
        <v>12504</v>
      </c>
      <c r="AD6666" s="13">
        <v>42528</v>
      </c>
      <c r="AE6666" s="12" t="s">
        <v>3144</v>
      </c>
      <c r="AF6666" s="12" t="s">
        <v>12505</v>
      </c>
      <c r="AG6666" s="12" t="s">
        <v>102</v>
      </c>
      <c r="AH6666" s="1">
        <f>HYPERLINK("https://my.pitchbook.com?c=73607-41T","View Company Online")</f>
      </c>
    </row>
    <row r="6667">
      <c r="A6667" s="3" t="s">
        <v>30084</v>
      </c>
      <c r="B6667" s="3" t="s">
        <v>8798</v>
      </c>
      <c r="C6667" s="5">
        <v>1</v>
      </c>
      <c r="D6667" s="5">
        <v>2</v>
      </c>
      <c r="E6667" s="5">
        <v>1</v>
      </c>
      <c r="F6667" s="5">
        <v>3</v>
      </c>
      <c r="G6667" s="6" t="s">
        <v>326</v>
      </c>
      <c r="H6667" s="4">
        <v>70.62</v>
      </c>
      <c r="I6667" s="7">
        <v>15.79</v>
      </c>
      <c r="J6667" s="3" t="s">
        <v>521</v>
      </c>
      <c r="K6667" s="9">
        <v>42435</v>
      </c>
      <c r="L6667" s="6" t="s">
        <v>36</v>
      </c>
      <c r="M6667" s="3" t="s">
        <v>36</v>
      </c>
      <c r="N6667" s="3" t="s">
        <v>36</v>
      </c>
      <c r="O6667" s="8" t="s">
        <v>36</v>
      </c>
      <c r="P6667" s="3" t="s">
        <v>36</v>
      </c>
      <c r="Q6667" s="3" t="s">
        <v>36</v>
      </c>
      <c r="R6667" s="3" t="s">
        <v>36</v>
      </c>
      <c r="S6667" s="3" t="s">
        <v>36</v>
      </c>
      <c r="T6667" s="3" t="s">
        <v>8799</v>
      </c>
      <c r="U6667" s="3" t="s">
        <v>51</v>
      </c>
      <c r="V6667" s="3" t="s">
        <v>52</v>
      </c>
      <c r="W6667" s="3" t="s">
        <v>8800</v>
      </c>
      <c r="X6667" s="10" t="s">
        <v>30085</v>
      </c>
      <c r="Y6667" s="6" t="s">
        <v>108</v>
      </c>
      <c r="Z6667" s="4">
        <v>0.34</v>
      </c>
      <c r="AA6667" s="4">
        <v>2.14</v>
      </c>
      <c r="AB6667" s="3" t="s">
        <v>43</v>
      </c>
      <c r="AC6667" s="3" t="s">
        <v>8802</v>
      </c>
      <c r="AD6667" s="9">
        <v>42528</v>
      </c>
      <c r="AE6667" s="3" t="s">
        <v>158</v>
      </c>
      <c r="AF6667" s="3" t="s">
        <v>1275</v>
      </c>
      <c r="AG6667" s="3" t="s">
        <v>1341</v>
      </c>
      <c r="AH6667" s="11">
        <f>HYPERLINK("https://my.pitchbook.com?c=86606-92T","View Company Online")</f>
      </c>
    </row>
    <row r="6668">
      <c r="A6668" s="12" t="s">
        <v>30086</v>
      </c>
      <c r="B6668" s="12" t="s">
        <v>24677</v>
      </c>
      <c r="C6668" s="19">
        <v>1</v>
      </c>
      <c r="D6668" s="19">
        <v>2</v>
      </c>
      <c r="E6668" s="19">
        <v>1</v>
      </c>
      <c r="F6668" s="19">
        <v>3</v>
      </c>
      <c r="G6668" s="15" t="s">
        <v>36</v>
      </c>
      <c r="H6668" s="14">
        <v>439.31</v>
      </c>
      <c r="I6668" s="18">
        <v>27.8</v>
      </c>
      <c r="J6668" s="12" t="s">
        <v>521</v>
      </c>
      <c r="K6668" s="13" t="s">
        <v>36</v>
      </c>
      <c r="L6668" s="15" t="s">
        <v>36</v>
      </c>
      <c r="M6668" s="12" t="s">
        <v>36</v>
      </c>
      <c r="N6668" s="12" t="s">
        <v>36</v>
      </c>
      <c r="O6668" s="17" t="s">
        <v>36</v>
      </c>
      <c r="P6668" s="12" t="s">
        <v>36</v>
      </c>
      <c r="Q6668" s="12" t="s">
        <v>36</v>
      </c>
      <c r="R6668" s="12" t="s">
        <v>36</v>
      </c>
      <c r="S6668" s="12" t="s">
        <v>36</v>
      </c>
      <c r="T6668" s="12" t="s">
        <v>1305</v>
      </c>
      <c r="U6668" s="12" t="s">
        <v>38</v>
      </c>
      <c r="V6668" s="12" t="s">
        <v>39</v>
      </c>
      <c r="W6668" s="12" t="s">
        <v>24678</v>
      </c>
      <c r="X6668" s="16" t="s">
        <v>2414</v>
      </c>
      <c r="Y6668" s="15" t="s">
        <v>42</v>
      </c>
      <c r="Z6668" s="14">
        <v>0.55</v>
      </c>
      <c r="AA6668" s="14">
        <v>1.98</v>
      </c>
      <c r="AB6668" s="12" t="s">
        <v>43</v>
      </c>
      <c r="AC6668" s="12" t="s">
        <v>24680</v>
      </c>
      <c r="AD6668" s="13">
        <v>42528</v>
      </c>
      <c r="AE6668" s="12" t="s">
        <v>110</v>
      </c>
      <c r="AF6668" s="12" t="s">
        <v>24681</v>
      </c>
      <c r="AG6668" s="12" t="s">
        <v>382</v>
      </c>
      <c r="AH6668" s="1">
        <f>HYPERLINK("https://my.pitchbook.com?c=79402-24T","View Company Online")</f>
      </c>
    </row>
    <row r="6669">
      <c r="A6669" s="3" t="s">
        <v>30087</v>
      </c>
      <c r="B6669" s="3" t="s">
        <v>19313</v>
      </c>
      <c r="C6669" s="5" t="s">
        <v>36</v>
      </c>
      <c r="D6669" s="5" t="s">
        <v>36</v>
      </c>
      <c r="E6669" s="5" t="s">
        <v>36</v>
      </c>
      <c r="F6669" s="5" t="s">
        <v>36</v>
      </c>
      <c r="G6669" s="6" t="s">
        <v>36</v>
      </c>
      <c r="H6669" s="4">
        <v>33.75</v>
      </c>
      <c r="I6669" s="7">
        <v>28.62</v>
      </c>
      <c r="J6669" s="3" t="s">
        <v>521</v>
      </c>
      <c r="K6669" s="9" t="s">
        <v>36</v>
      </c>
      <c r="L6669" s="6" t="s">
        <v>36</v>
      </c>
      <c r="M6669" s="3" t="s">
        <v>36</v>
      </c>
      <c r="N6669" s="3" t="s">
        <v>36</v>
      </c>
      <c r="O6669" s="8" t="s">
        <v>36</v>
      </c>
      <c r="P6669" s="3" t="s">
        <v>36</v>
      </c>
      <c r="Q6669" s="3" t="s">
        <v>36</v>
      </c>
      <c r="R6669" s="3" t="s">
        <v>36</v>
      </c>
      <c r="S6669" s="3" t="s">
        <v>36</v>
      </c>
      <c r="T6669" s="3" t="s">
        <v>1227</v>
      </c>
      <c r="U6669" s="3" t="s">
        <v>74</v>
      </c>
      <c r="V6669" s="3" t="s">
        <v>75</v>
      </c>
      <c r="W6669" s="3" t="s">
        <v>19314</v>
      </c>
      <c r="X6669" s="10" t="s">
        <v>30088</v>
      </c>
      <c r="Y6669" s="6" t="s">
        <v>108</v>
      </c>
      <c r="Z6669" s="4">
        <v>0.96</v>
      </c>
      <c r="AA6669" s="4">
        <v>3.36</v>
      </c>
      <c r="AB6669" s="3" t="s">
        <v>56</v>
      </c>
      <c r="AC6669" s="3" t="s">
        <v>19315</v>
      </c>
      <c r="AD6669" s="9">
        <v>42528</v>
      </c>
      <c r="AE6669" s="3" t="s">
        <v>570</v>
      </c>
      <c r="AF6669" s="3" t="s">
        <v>982</v>
      </c>
      <c r="AG6669" s="3" t="s">
        <v>512</v>
      </c>
      <c r="AH6669" s="11">
        <f>HYPERLINK("https://my.pitchbook.com?c=77614-57T","View Company Online")</f>
      </c>
    </row>
    <row r="6670">
      <c r="A6670" s="12" t="s">
        <v>30089</v>
      </c>
      <c r="B6670" s="12" t="s">
        <v>30090</v>
      </c>
      <c r="C6670" s="19" t="s">
        <v>36</v>
      </c>
      <c r="D6670" s="19" t="s">
        <v>36</v>
      </c>
      <c r="E6670" s="19" t="s">
        <v>36</v>
      </c>
      <c r="F6670" s="19" t="s">
        <v>36</v>
      </c>
      <c r="G6670" s="15" t="s">
        <v>326</v>
      </c>
      <c r="H6670" s="14">
        <v>52.55</v>
      </c>
      <c r="I6670" s="18">
        <v>12.12</v>
      </c>
      <c r="J6670" s="12" t="s">
        <v>521</v>
      </c>
      <c r="K6670" s="13">
        <v>42479</v>
      </c>
      <c r="L6670" s="15" t="s">
        <v>36</v>
      </c>
      <c r="M6670" s="12" t="s">
        <v>36</v>
      </c>
      <c r="N6670" s="12" t="s">
        <v>36</v>
      </c>
      <c r="O6670" s="17" t="s">
        <v>36</v>
      </c>
      <c r="P6670" s="12" t="s">
        <v>36</v>
      </c>
      <c r="Q6670" s="12" t="s">
        <v>36</v>
      </c>
      <c r="R6670" s="12" t="s">
        <v>36</v>
      </c>
      <c r="S6670" s="12" t="s">
        <v>36</v>
      </c>
      <c r="T6670" s="12" t="s">
        <v>30091</v>
      </c>
      <c r="U6670" s="12" t="s">
        <v>833</v>
      </c>
      <c r="V6670" s="12" t="s">
        <v>64</v>
      </c>
      <c r="W6670" s="12" t="s">
        <v>30092</v>
      </c>
      <c r="X6670" s="16" t="s">
        <v>30093</v>
      </c>
      <c r="Y6670" s="15" t="s">
        <v>42</v>
      </c>
      <c r="Z6670" s="14">
        <v>0.32</v>
      </c>
      <c r="AA6670" s="14">
        <v>2.67</v>
      </c>
      <c r="AB6670" s="12" t="s">
        <v>43</v>
      </c>
      <c r="AC6670" s="12" t="s">
        <v>30094</v>
      </c>
      <c r="AD6670" s="13">
        <v>42524</v>
      </c>
      <c r="AE6670" s="12" t="s">
        <v>1069</v>
      </c>
      <c r="AF6670" s="12" t="s">
        <v>1636</v>
      </c>
      <c r="AG6670" s="12" t="s">
        <v>969</v>
      </c>
      <c r="AH6670" s="1">
        <f>HYPERLINK("https://my.pitchbook.com?c=78146-38T","View Company Online")</f>
      </c>
    </row>
    <row r="6671">
      <c r="A6671" s="3" t="s">
        <v>30095</v>
      </c>
      <c r="B6671" s="3" t="s">
        <v>30096</v>
      </c>
      <c r="C6671" s="5" t="s">
        <v>36</v>
      </c>
      <c r="D6671" s="5">
        <v>3</v>
      </c>
      <c r="E6671" s="5">
        <v>2</v>
      </c>
      <c r="F6671" s="5">
        <v>4</v>
      </c>
      <c r="G6671" s="6" t="s">
        <v>36</v>
      </c>
      <c r="H6671" s="4">
        <v>104.51</v>
      </c>
      <c r="I6671" s="7">
        <v>15.36</v>
      </c>
      <c r="J6671" s="3" t="s">
        <v>521</v>
      </c>
      <c r="K6671" s="9" t="s">
        <v>36</v>
      </c>
      <c r="L6671" s="6" t="s">
        <v>36</v>
      </c>
      <c r="M6671" s="3" t="s">
        <v>36</v>
      </c>
      <c r="N6671" s="3" t="s">
        <v>36</v>
      </c>
      <c r="O6671" s="8" t="s">
        <v>36</v>
      </c>
      <c r="P6671" s="3" t="s">
        <v>36</v>
      </c>
      <c r="Q6671" s="3" t="s">
        <v>36</v>
      </c>
      <c r="R6671" s="3" t="s">
        <v>36</v>
      </c>
      <c r="S6671" s="3" t="s">
        <v>36</v>
      </c>
      <c r="T6671" s="3" t="s">
        <v>27568</v>
      </c>
      <c r="U6671" s="3" t="s">
        <v>318</v>
      </c>
      <c r="V6671" s="3" t="s">
        <v>39</v>
      </c>
      <c r="W6671" s="3" t="s">
        <v>30097</v>
      </c>
      <c r="X6671" s="10" t="s">
        <v>13670</v>
      </c>
      <c r="Y6671" s="6" t="s">
        <v>42</v>
      </c>
      <c r="Z6671" s="4">
        <v>0.07</v>
      </c>
      <c r="AA6671" s="4">
        <v>0.47</v>
      </c>
      <c r="AB6671" s="3" t="s">
        <v>43</v>
      </c>
      <c r="AC6671" s="3" t="s">
        <v>30098</v>
      </c>
      <c r="AD6671" s="9">
        <v>42524</v>
      </c>
      <c r="AE6671" s="3" t="s">
        <v>417</v>
      </c>
      <c r="AF6671" s="3" t="s">
        <v>27077</v>
      </c>
      <c r="AG6671" s="3" t="s">
        <v>12667</v>
      </c>
      <c r="AH6671" s="11">
        <f>HYPERLINK("https://my.pitchbook.com?c=116519-23T","View Company Online")</f>
      </c>
    </row>
    <row r="6672">
      <c r="A6672" s="12" t="s">
        <v>30099</v>
      </c>
      <c r="B6672" s="12" t="s">
        <v>30100</v>
      </c>
      <c r="C6672" s="19" t="s">
        <v>36</v>
      </c>
      <c r="D6672" s="19" t="s">
        <v>36</v>
      </c>
      <c r="E6672" s="19" t="s">
        <v>36</v>
      </c>
      <c r="F6672" s="19" t="s">
        <v>36</v>
      </c>
      <c r="G6672" s="15" t="s">
        <v>36</v>
      </c>
      <c r="H6672" s="14">
        <v>76.39</v>
      </c>
      <c r="I6672" s="18">
        <v>43.83</v>
      </c>
      <c r="J6672" s="12" t="s">
        <v>521</v>
      </c>
      <c r="K6672" s="13" t="s">
        <v>36</v>
      </c>
      <c r="L6672" s="15" t="s">
        <v>36</v>
      </c>
      <c r="M6672" s="12" t="s">
        <v>36</v>
      </c>
      <c r="N6672" s="12" t="s">
        <v>36</v>
      </c>
      <c r="O6672" s="17" t="s">
        <v>36</v>
      </c>
      <c r="P6672" s="12" t="s">
        <v>36</v>
      </c>
      <c r="Q6672" s="12" t="s">
        <v>36</v>
      </c>
      <c r="R6672" s="12" t="s">
        <v>36</v>
      </c>
      <c r="S6672" s="12" t="s">
        <v>36</v>
      </c>
      <c r="T6672" s="12" t="s">
        <v>522</v>
      </c>
      <c r="U6672" s="12" t="s">
        <v>38</v>
      </c>
      <c r="V6672" s="12" t="s">
        <v>39</v>
      </c>
      <c r="W6672" s="12" t="s">
        <v>30101</v>
      </c>
      <c r="X6672" s="16" t="s">
        <v>30102</v>
      </c>
      <c r="Y6672" s="15" t="s">
        <v>108</v>
      </c>
      <c r="Z6672" s="14">
        <v>5.63</v>
      </c>
      <c r="AA6672" s="14">
        <v>8.8</v>
      </c>
      <c r="AB6672" s="12" t="s">
        <v>43</v>
      </c>
      <c r="AC6672" s="12" t="s">
        <v>30103</v>
      </c>
      <c r="AD6672" s="13">
        <v>42524</v>
      </c>
      <c r="AE6672" s="12" t="s">
        <v>110</v>
      </c>
      <c r="AF6672" s="12" t="s">
        <v>30104</v>
      </c>
      <c r="AG6672" s="12" t="s">
        <v>81</v>
      </c>
      <c r="AH6672" s="1">
        <f>HYPERLINK("https://my.pitchbook.com?c=95515-48T","View Company Online")</f>
      </c>
    </row>
    <row r="6673">
      <c r="A6673" s="3" t="s">
        <v>30105</v>
      </c>
      <c r="B6673" s="3" t="s">
        <v>17566</v>
      </c>
      <c r="C6673" s="5">
        <v>3</v>
      </c>
      <c r="D6673" s="5">
        <v>15</v>
      </c>
      <c r="E6673" s="5">
        <v>4</v>
      </c>
      <c r="F6673" s="5">
        <v>18</v>
      </c>
      <c r="G6673" s="6" t="s">
        <v>36</v>
      </c>
      <c r="H6673" s="4">
        <v>259.64</v>
      </c>
      <c r="I6673" s="7">
        <v>16.67</v>
      </c>
      <c r="J6673" s="3" t="s">
        <v>521</v>
      </c>
      <c r="K6673" s="9">
        <v>42502</v>
      </c>
      <c r="L6673" s="6" t="s">
        <v>36</v>
      </c>
      <c r="M6673" s="3" t="s">
        <v>36</v>
      </c>
      <c r="N6673" s="3" t="s">
        <v>36</v>
      </c>
      <c r="O6673" s="8" t="s">
        <v>36</v>
      </c>
      <c r="P6673" s="3" t="s">
        <v>36</v>
      </c>
      <c r="Q6673" s="3" t="s">
        <v>36</v>
      </c>
      <c r="R6673" s="3" t="s">
        <v>36</v>
      </c>
      <c r="S6673" s="3" t="s">
        <v>36</v>
      </c>
      <c r="T6673" s="3" t="s">
        <v>17567</v>
      </c>
      <c r="U6673" s="3" t="s">
        <v>318</v>
      </c>
      <c r="V6673" s="3" t="s">
        <v>39</v>
      </c>
      <c r="W6673" s="3" t="s">
        <v>17568</v>
      </c>
      <c r="X6673" s="10" t="s">
        <v>2414</v>
      </c>
      <c r="Y6673" s="6" t="s">
        <v>42</v>
      </c>
      <c r="Z6673" s="4">
        <v>1.13</v>
      </c>
      <c r="AA6673" s="4">
        <v>6.76</v>
      </c>
      <c r="AB6673" s="3" t="s">
        <v>43</v>
      </c>
      <c r="AC6673" s="3" t="s">
        <v>17569</v>
      </c>
      <c r="AD6673" s="9">
        <v>42523</v>
      </c>
      <c r="AE6673" s="3" t="s">
        <v>417</v>
      </c>
      <c r="AF6673" s="3" t="s">
        <v>1179</v>
      </c>
      <c r="AG6673" s="3" t="s">
        <v>144</v>
      </c>
      <c r="AH6673" s="11">
        <f>HYPERLINK("https://my.pitchbook.com?c=85608-28T","View Company Online")</f>
      </c>
    </row>
    <row r="6674">
      <c r="A6674" s="12" t="s">
        <v>30106</v>
      </c>
      <c r="B6674" s="12" t="s">
        <v>30107</v>
      </c>
      <c r="C6674" s="19" t="s">
        <v>36</v>
      </c>
      <c r="D6674" s="19" t="s">
        <v>36</v>
      </c>
      <c r="E6674" s="19" t="s">
        <v>36</v>
      </c>
      <c r="F6674" s="19" t="s">
        <v>36</v>
      </c>
      <c r="G6674" s="15" t="s">
        <v>36</v>
      </c>
      <c r="H6674" s="14" t="s">
        <v>36</v>
      </c>
      <c r="I6674" s="18" t="s">
        <v>36</v>
      </c>
      <c r="J6674" s="12" t="s">
        <v>36</v>
      </c>
      <c r="K6674" s="13" t="s">
        <v>36</v>
      </c>
      <c r="L6674" s="15" t="s">
        <v>36</v>
      </c>
      <c r="M6674" s="12" t="s">
        <v>36</v>
      </c>
      <c r="N6674" s="12" t="s">
        <v>36</v>
      </c>
      <c r="O6674" s="17" t="s">
        <v>36</v>
      </c>
      <c r="P6674" s="12" t="s">
        <v>36</v>
      </c>
      <c r="Q6674" s="12" t="s">
        <v>36</v>
      </c>
      <c r="R6674" s="12" t="s">
        <v>36</v>
      </c>
      <c r="S6674" s="12" t="s">
        <v>36</v>
      </c>
      <c r="T6674" s="12" t="s">
        <v>5271</v>
      </c>
      <c r="U6674" s="12" t="s">
        <v>619</v>
      </c>
      <c r="V6674" s="12" t="s">
        <v>378</v>
      </c>
      <c r="W6674" s="12" t="s">
        <v>30108</v>
      </c>
      <c r="X6674" s="16" t="s">
        <v>25299</v>
      </c>
      <c r="Y6674" s="15" t="s">
        <v>42</v>
      </c>
      <c r="Z6674" s="14" t="s">
        <v>36</v>
      </c>
      <c r="AA6674" s="14" t="s">
        <v>36</v>
      </c>
      <c r="AB6674" s="12" t="s">
        <v>56</v>
      </c>
      <c r="AC6674" s="12" t="s">
        <v>30109</v>
      </c>
      <c r="AD6674" s="13">
        <v>42522</v>
      </c>
      <c r="AE6674" s="12" t="s">
        <v>623</v>
      </c>
      <c r="AF6674" s="12" t="s">
        <v>2703</v>
      </c>
      <c r="AG6674" s="12" t="s">
        <v>22062</v>
      </c>
      <c r="AH6674" s="1">
        <f>HYPERLINK("https://my.pitchbook.com?c=57866-32T","View Company Online")</f>
      </c>
    </row>
    <row r="6675">
      <c r="A6675" s="3" t="s">
        <v>30110</v>
      </c>
      <c r="B6675" s="3" t="s">
        <v>30111</v>
      </c>
      <c r="C6675" s="5" t="s">
        <v>36</v>
      </c>
      <c r="D6675" s="5" t="s">
        <v>36</v>
      </c>
      <c r="E6675" s="5" t="s">
        <v>36</v>
      </c>
      <c r="F6675" s="5" t="s">
        <v>36</v>
      </c>
      <c r="G6675" s="6" t="s">
        <v>326</v>
      </c>
      <c r="H6675" s="4">
        <v>10.39</v>
      </c>
      <c r="I6675" s="7">
        <v>24.02</v>
      </c>
      <c r="J6675" s="3" t="s">
        <v>521</v>
      </c>
      <c r="K6675" s="9" t="s">
        <v>36</v>
      </c>
      <c r="L6675" s="6" t="s">
        <v>36</v>
      </c>
      <c r="M6675" s="3" t="s">
        <v>36</v>
      </c>
      <c r="N6675" s="3" t="s">
        <v>36</v>
      </c>
      <c r="O6675" s="8" t="s">
        <v>36</v>
      </c>
      <c r="P6675" s="3" t="s">
        <v>36</v>
      </c>
      <c r="Q6675" s="3" t="s">
        <v>36</v>
      </c>
      <c r="R6675" s="3" t="s">
        <v>36</v>
      </c>
      <c r="S6675" s="3" t="s">
        <v>36</v>
      </c>
      <c r="T6675" s="3" t="s">
        <v>1286</v>
      </c>
      <c r="U6675" s="3" t="s">
        <v>728</v>
      </c>
      <c r="V6675" s="3" t="s">
        <v>64</v>
      </c>
      <c r="W6675" s="3" t="s">
        <v>30112</v>
      </c>
      <c r="X6675" s="10" t="s">
        <v>2130</v>
      </c>
      <c r="Y6675" s="6" t="s">
        <v>42</v>
      </c>
      <c r="Z6675" s="4">
        <v>1.18</v>
      </c>
      <c r="AA6675" s="4">
        <v>4.9</v>
      </c>
      <c r="AB6675" s="3" t="s">
        <v>43</v>
      </c>
      <c r="AC6675" s="3" t="s">
        <v>30113</v>
      </c>
      <c r="AD6675" s="9">
        <v>42522</v>
      </c>
      <c r="AE6675" s="3" t="s">
        <v>732</v>
      </c>
      <c r="AF6675" s="3" t="s">
        <v>17430</v>
      </c>
      <c r="AG6675" s="3" t="s">
        <v>81</v>
      </c>
      <c r="AH6675" s="11">
        <f>HYPERLINK("https://my.pitchbook.com?c=75891-07T","View Company Online")</f>
      </c>
    </row>
    <row r="6676">
      <c r="A6676" s="12" t="s">
        <v>30114</v>
      </c>
      <c r="B6676" s="12" t="s">
        <v>22436</v>
      </c>
      <c r="C6676" s="19" t="s">
        <v>36</v>
      </c>
      <c r="D6676" s="19" t="s">
        <v>36</v>
      </c>
      <c r="E6676" s="19" t="s">
        <v>36</v>
      </c>
      <c r="F6676" s="19" t="s">
        <v>36</v>
      </c>
      <c r="G6676" s="15" t="s">
        <v>326</v>
      </c>
      <c r="H6676" s="14">
        <v>934.71</v>
      </c>
      <c r="I6676" s="18">
        <v>25.04</v>
      </c>
      <c r="J6676" s="12" t="s">
        <v>521</v>
      </c>
      <c r="K6676" s="13" t="s">
        <v>36</v>
      </c>
      <c r="L6676" s="15" t="s">
        <v>36</v>
      </c>
      <c r="M6676" s="12" t="s">
        <v>36</v>
      </c>
      <c r="N6676" s="12" t="s">
        <v>36</v>
      </c>
      <c r="O6676" s="17" t="s">
        <v>36</v>
      </c>
      <c r="P6676" s="12" t="s">
        <v>36</v>
      </c>
      <c r="Q6676" s="12" t="s">
        <v>36</v>
      </c>
      <c r="R6676" s="12" t="s">
        <v>36</v>
      </c>
      <c r="S6676" s="12" t="s">
        <v>36</v>
      </c>
      <c r="T6676" s="12" t="s">
        <v>6557</v>
      </c>
      <c r="U6676" s="12" t="s">
        <v>648</v>
      </c>
      <c r="V6676" s="12" t="s">
        <v>64</v>
      </c>
      <c r="W6676" s="12" t="s">
        <v>22437</v>
      </c>
      <c r="X6676" s="16" t="s">
        <v>30115</v>
      </c>
      <c r="Y6676" s="15" t="s">
        <v>108</v>
      </c>
      <c r="Z6676" s="14">
        <v>0.68</v>
      </c>
      <c r="AA6676" s="14">
        <v>1.35</v>
      </c>
      <c r="AB6676" s="12" t="s">
        <v>43</v>
      </c>
      <c r="AC6676" s="12" t="s">
        <v>22438</v>
      </c>
      <c r="AD6676" s="13">
        <v>42522</v>
      </c>
      <c r="AE6676" s="12" t="s">
        <v>1897</v>
      </c>
      <c r="AF6676" s="12" t="s">
        <v>1115</v>
      </c>
      <c r="AG6676" s="12" t="s">
        <v>22439</v>
      </c>
      <c r="AH6676" s="1">
        <f>HYPERLINK("https://my.pitchbook.com?c=115960-06T","View Company Online")</f>
      </c>
    </row>
    <row r="6677">
      <c r="A6677" s="3" t="s">
        <v>30116</v>
      </c>
      <c r="B6677" s="3" t="s">
        <v>2035</v>
      </c>
      <c r="C6677" s="5" t="s">
        <v>36</v>
      </c>
      <c r="D6677" s="5" t="s">
        <v>36</v>
      </c>
      <c r="E6677" s="5" t="s">
        <v>36</v>
      </c>
      <c r="F6677" s="5" t="s">
        <v>36</v>
      </c>
      <c r="G6677" s="6" t="s">
        <v>36</v>
      </c>
      <c r="H6677" s="4" t="s">
        <v>36</v>
      </c>
      <c r="I6677" s="7" t="s">
        <v>36</v>
      </c>
      <c r="J6677" s="3" t="s">
        <v>36</v>
      </c>
      <c r="K6677" s="9" t="s">
        <v>36</v>
      </c>
      <c r="L6677" s="6" t="s">
        <v>36</v>
      </c>
      <c r="M6677" s="3" t="s">
        <v>36</v>
      </c>
      <c r="N6677" s="3" t="s">
        <v>36</v>
      </c>
      <c r="O6677" s="8" t="s">
        <v>36</v>
      </c>
      <c r="P6677" s="3" t="s">
        <v>36</v>
      </c>
      <c r="Q6677" s="3" t="s">
        <v>36</v>
      </c>
      <c r="R6677" s="3" t="s">
        <v>36</v>
      </c>
      <c r="S6677" s="3" t="s">
        <v>36</v>
      </c>
      <c r="T6677" s="3" t="s">
        <v>2036</v>
      </c>
      <c r="U6677" s="3" t="s">
        <v>619</v>
      </c>
      <c r="V6677" s="3" t="s">
        <v>378</v>
      </c>
      <c r="W6677" s="3" t="s">
        <v>2037</v>
      </c>
      <c r="X6677" s="10" t="s">
        <v>30117</v>
      </c>
      <c r="Y6677" s="6" t="s">
        <v>42</v>
      </c>
      <c r="Z6677" s="4" t="s">
        <v>36</v>
      </c>
      <c r="AA6677" s="4" t="s">
        <v>36</v>
      </c>
      <c r="AB6677" s="3" t="s">
        <v>56</v>
      </c>
      <c r="AC6677" s="3" t="s">
        <v>2039</v>
      </c>
      <c r="AD6677" s="9">
        <v>42522</v>
      </c>
      <c r="AE6677" s="3" t="s">
        <v>2040</v>
      </c>
      <c r="AF6677" s="3" t="s">
        <v>36</v>
      </c>
      <c r="AG6677" s="3" t="s">
        <v>2041</v>
      </c>
      <c r="AH6677" s="11">
        <f>HYPERLINK("https://my.pitchbook.com?c=57871-54T","View Company Online")</f>
      </c>
    </row>
    <row r="6678">
      <c r="A6678" s="12" t="s">
        <v>30118</v>
      </c>
      <c r="B6678" s="12" t="s">
        <v>11184</v>
      </c>
      <c r="C6678" s="19" t="s">
        <v>36</v>
      </c>
      <c r="D6678" s="19">
        <v>5</v>
      </c>
      <c r="E6678" s="19">
        <v>4</v>
      </c>
      <c r="F6678" s="19">
        <v>7</v>
      </c>
      <c r="G6678" s="15" t="s">
        <v>36</v>
      </c>
      <c r="H6678" s="14">
        <v>114.73</v>
      </c>
      <c r="I6678" s="18">
        <v>38.19</v>
      </c>
      <c r="J6678" s="12" t="s">
        <v>521</v>
      </c>
      <c r="K6678" s="13" t="s">
        <v>36</v>
      </c>
      <c r="L6678" s="15" t="s">
        <v>36</v>
      </c>
      <c r="M6678" s="12" t="s">
        <v>36</v>
      </c>
      <c r="N6678" s="12" t="s">
        <v>36</v>
      </c>
      <c r="O6678" s="17" t="s">
        <v>36</v>
      </c>
      <c r="P6678" s="12" t="s">
        <v>36</v>
      </c>
      <c r="Q6678" s="12" t="s">
        <v>36</v>
      </c>
      <c r="R6678" s="12" t="s">
        <v>36</v>
      </c>
      <c r="S6678" s="12" t="s">
        <v>36</v>
      </c>
      <c r="T6678" s="12" t="s">
        <v>596</v>
      </c>
      <c r="U6678" s="12" t="s">
        <v>366</v>
      </c>
      <c r="V6678" s="12" t="s">
        <v>367</v>
      </c>
      <c r="W6678" s="12" t="s">
        <v>11185</v>
      </c>
      <c r="X6678" s="16" t="s">
        <v>30119</v>
      </c>
      <c r="Y6678" s="15" t="s">
        <v>108</v>
      </c>
      <c r="Z6678" s="14">
        <v>3.67</v>
      </c>
      <c r="AA6678" s="14">
        <v>9.6</v>
      </c>
      <c r="AB6678" s="12" t="s">
        <v>56</v>
      </c>
      <c r="AC6678" s="12" t="s">
        <v>11187</v>
      </c>
      <c r="AD6678" s="13">
        <v>42522</v>
      </c>
      <c r="AE6678" s="12" t="s">
        <v>600</v>
      </c>
      <c r="AF6678" s="12" t="s">
        <v>11188</v>
      </c>
      <c r="AG6678" s="12" t="s">
        <v>81</v>
      </c>
      <c r="AH6678" s="1">
        <f>HYPERLINK("https://my.pitchbook.com?c=73055-26T","View Company Online")</f>
      </c>
    </row>
    <row r="6679">
      <c r="A6679" s="3" t="s">
        <v>30120</v>
      </c>
      <c r="B6679" s="3" t="s">
        <v>30121</v>
      </c>
      <c r="C6679" s="5" t="s">
        <v>36</v>
      </c>
      <c r="D6679" s="5" t="s">
        <v>36</v>
      </c>
      <c r="E6679" s="5" t="s">
        <v>36</v>
      </c>
      <c r="F6679" s="5" t="s">
        <v>36</v>
      </c>
      <c r="G6679" s="6" t="s">
        <v>36</v>
      </c>
      <c r="H6679" s="4">
        <v>727</v>
      </c>
      <c r="I6679" s="7">
        <v>33.33</v>
      </c>
      <c r="J6679" s="3" t="s">
        <v>521</v>
      </c>
      <c r="K6679" s="9" t="s">
        <v>36</v>
      </c>
      <c r="L6679" s="6" t="s">
        <v>36</v>
      </c>
      <c r="M6679" s="3" t="s">
        <v>36</v>
      </c>
      <c r="N6679" s="3" t="s">
        <v>36</v>
      </c>
      <c r="O6679" s="8" t="s">
        <v>36</v>
      </c>
      <c r="P6679" s="3" t="s">
        <v>36</v>
      </c>
      <c r="Q6679" s="3" t="s">
        <v>36</v>
      </c>
      <c r="R6679" s="3" t="s">
        <v>36</v>
      </c>
      <c r="S6679" s="3" t="s">
        <v>36</v>
      </c>
      <c r="T6679" s="3" t="s">
        <v>11092</v>
      </c>
      <c r="U6679" s="3" t="s">
        <v>74</v>
      </c>
      <c r="V6679" s="3" t="s">
        <v>75</v>
      </c>
      <c r="W6679" s="3" t="s">
        <v>30122</v>
      </c>
      <c r="X6679" s="10" t="s">
        <v>30123</v>
      </c>
      <c r="Y6679" s="6" t="s">
        <v>42</v>
      </c>
      <c r="Z6679" s="4">
        <v>0.79</v>
      </c>
      <c r="AA6679" s="4">
        <v>2.37</v>
      </c>
      <c r="AB6679" s="3" t="s">
        <v>43</v>
      </c>
      <c r="AC6679" s="3" t="s">
        <v>30124</v>
      </c>
      <c r="AD6679" s="9">
        <v>42522</v>
      </c>
      <c r="AE6679" s="3" t="s">
        <v>1888</v>
      </c>
      <c r="AF6679" s="3" t="s">
        <v>30125</v>
      </c>
      <c r="AG6679" s="3" t="s">
        <v>30126</v>
      </c>
      <c r="AH6679" s="11">
        <f>HYPERLINK("https://my.pitchbook.com?c=75229-12T","View Company Online")</f>
      </c>
    </row>
    <row r="6680">
      <c r="A6680" s="12" t="s">
        <v>30127</v>
      </c>
      <c r="B6680" s="12" t="s">
        <v>30128</v>
      </c>
      <c r="C6680" s="19" t="s">
        <v>36</v>
      </c>
      <c r="D6680" s="19" t="s">
        <v>36</v>
      </c>
      <c r="E6680" s="19" t="s">
        <v>36</v>
      </c>
      <c r="F6680" s="19" t="s">
        <v>36</v>
      </c>
      <c r="G6680" s="15" t="s">
        <v>36</v>
      </c>
      <c r="H6680" s="14" t="s">
        <v>36</v>
      </c>
      <c r="I6680" s="18" t="s">
        <v>36</v>
      </c>
      <c r="J6680" s="12" t="s">
        <v>36</v>
      </c>
      <c r="K6680" s="13" t="s">
        <v>36</v>
      </c>
      <c r="L6680" s="15" t="s">
        <v>36</v>
      </c>
      <c r="M6680" s="12" t="s">
        <v>36</v>
      </c>
      <c r="N6680" s="12" t="s">
        <v>36</v>
      </c>
      <c r="O6680" s="17" t="s">
        <v>36</v>
      </c>
      <c r="P6680" s="12" t="s">
        <v>36</v>
      </c>
      <c r="Q6680" s="12" t="s">
        <v>36</v>
      </c>
      <c r="R6680" s="12" t="s">
        <v>36</v>
      </c>
      <c r="S6680" s="12" t="s">
        <v>36</v>
      </c>
      <c r="T6680" s="12" t="s">
        <v>30129</v>
      </c>
      <c r="U6680" s="12" t="s">
        <v>619</v>
      </c>
      <c r="V6680" s="12" t="s">
        <v>378</v>
      </c>
      <c r="W6680" s="12" t="s">
        <v>30130</v>
      </c>
      <c r="X6680" s="16" t="s">
        <v>25299</v>
      </c>
      <c r="Y6680" s="15" t="s">
        <v>42</v>
      </c>
      <c r="Z6680" s="14" t="s">
        <v>36</v>
      </c>
      <c r="AA6680" s="14" t="s">
        <v>36</v>
      </c>
      <c r="AB6680" s="12" t="s">
        <v>56</v>
      </c>
      <c r="AC6680" s="12" t="s">
        <v>30131</v>
      </c>
      <c r="AD6680" s="13">
        <v>42522</v>
      </c>
      <c r="AE6680" s="12" t="s">
        <v>623</v>
      </c>
      <c r="AF6680" s="12" t="s">
        <v>2703</v>
      </c>
      <c r="AG6680" s="12" t="s">
        <v>30132</v>
      </c>
      <c r="AH6680" s="1">
        <f>HYPERLINK("https://my.pitchbook.com?c=57955-96T","View Company Online")</f>
      </c>
    </row>
    <row r="6681">
      <c r="A6681" s="3" t="s">
        <v>30133</v>
      </c>
      <c r="B6681" s="3" t="s">
        <v>30134</v>
      </c>
      <c r="C6681" s="5" t="s">
        <v>36</v>
      </c>
      <c r="D6681" s="5" t="s">
        <v>36</v>
      </c>
      <c r="E6681" s="5" t="s">
        <v>36</v>
      </c>
      <c r="F6681" s="5" t="s">
        <v>36</v>
      </c>
      <c r="G6681" s="6" t="s">
        <v>36</v>
      </c>
      <c r="H6681" s="4">
        <v>151.36</v>
      </c>
      <c r="I6681" s="7">
        <v>26.3</v>
      </c>
      <c r="J6681" s="3" t="s">
        <v>521</v>
      </c>
      <c r="K6681" s="9" t="s">
        <v>36</v>
      </c>
      <c r="L6681" s="6" t="s">
        <v>36</v>
      </c>
      <c r="M6681" s="3" t="s">
        <v>36</v>
      </c>
      <c r="N6681" s="3" t="s">
        <v>36</v>
      </c>
      <c r="O6681" s="8" t="s">
        <v>36</v>
      </c>
      <c r="P6681" s="3" t="s">
        <v>36</v>
      </c>
      <c r="Q6681" s="3" t="s">
        <v>36</v>
      </c>
      <c r="R6681" s="3" t="s">
        <v>36</v>
      </c>
      <c r="S6681" s="3" t="s">
        <v>36</v>
      </c>
      <c r="T6681" s="3" t="s">
        <v>30135</v>
      </c>
      <c r="U6681" s="3" t="s">
        <v>38</v>
      </c>
      <c r="V6681" s="3" t="s">
        <v>39</v>
      </c>
      <c r="W6681" s="3" t="s">
        <v>30136</v>
      </c>
      <c r="X6681" s="10" t="s">
        <v>30137</v>
      </c>
      <c r="Y6681" s="6" t="s">
        <v>42</v>
      </c>
      <c r="Z6681" s="4">
        <v>0.59</v>
      </c>
      <c r="AA6681" s="4">
        <v>2.23</v>
      </c>
      <c r="AB6681" s="3" t="s">
        <v>43</v>
      </c>
      <c r="AC6681" s="3" t="s">
        <v>30138</v>
      </c>
      <c r="AD6681" s="9">
        <v>42522</v>
      </c>
      <c r="AE6681" s="3" t="s">
        <v>110</v>
      </c>
      <c r="AF6681" s="3" t="s">
        <v>5001</v>
      </c>
      <c r="AG6681" s="3" t="s">
        <v>81</v>
      </c>
      <c r="AH6681" s="11">
        <f>HYPERLINK("https://my.pitchbook.com?c=130171-96T","View Company Online")</f>
      </c>
    </row>
    <row r="6682">
      <c r="A6682" s="12" t="s">
        <v>30139</v>
      </c>
      <c r="B6682" s="12" t="s">
        <v>30140</v>
      </c>
      <c r="C6682" s="19" t="s">
        <v>36</v>
      </c>
      <c r="D6682" s="19" t="s">
        <v>36</v>
      </c>
      <c r="E6682" s="19" t="s">
        <v>36</v>
      </c>
      <c r="F6682" s="19" t="s">
        <v>36</v>
      </c>
      <c r="G6682" s="15" t="s">
        <v>36</v>
      </c>
      <c r="H6682" s="14" t="s">
        <v>36</v>
      </c>
      <c r="I6682" s="18" t="s">
        <v>36</v>
      </c>
      <c r="J6682" s="12" t="s">
        <v>521</v>
      </c>
      <c r="K6682" s="13" t="s">
        <v>36</v>
      </c>
      <c r="L6682" s="15" t="s">
        <v>36</v>
      </c>
      <c r="M6682" s="12" t="s">
        <v>36</v>
      </c>
      <c r="N6682" s="12" t="s">
        <v>36</v>
      </c>
      <c r="O6682" s="17" t="s">
        <v>36</v>
      </c>
      <c r="P6682" s="12" t="s">
        <v>36</v>
      </c>
      <c r="Q6682" s="12" t="s">
        <v>36</v>
      </c>
      <c r="R6682" s="12" t="s">
        <v>36</v>
      </c>
      <c r="S6682" s="12" t="s">
        <v>36</v>
      </c>
      <c r="T6682" s="12" t="s">
        <v>7582</v>
      </c>
      <c r="U6682" s="12" t="s">
        <v>63</v>
      </c>
      <c r="V6682" s="12" t="s">
        <v>64</v>
      </c>
      <c r="W6682" s="12" t="s">
        <v>30141</v>
      </c>
      <c r="X6682" s="16" t="s">
        <v>30142</v>
      </c>
      <c r="Y6682" s="15" t="s">
        <v>42</v>
      </c>
      <c r="Z6682" s="14">
        <v>0.34</v>
      </c>
      <c r="AA6682" s="14">
        <v>0.34</v>
      </c>
      <c r="AB6682" s="12" t="s">
        <v>43</v>
      </c>
      <c r="AC6682" s="12" t="s">
        <v>30143</v>
      </c>
      <c r="AD6682" s="13">
        <v>42522</v>
      </c>
      <c r="AE6682" s="12" t="s">
        <v>68</v>
      </c>
      <c r="AF6682" s="12" t="s">
        <v>4270</v>
      </c>
      <c r="AG6682" s="12" t="s">
        <v>30144</v>
      </c>
      <c r="AH6682" s="1">
        <f>HYPERLINK("https://my.pitchbook.com?c=113398-93T","View Company Online")</f>
      </c>
    </row>
    <row r="6683">
      <c r="A6683" s="3" t="s">
        <v>30145</v>
      </c>
      <c r="B6683" s="3" t="s">
        <v>5313</v>
      </c>
      <c r="C6683" s="5" t="s">
        <v>36</v>
      </c>
      <c r="D6683" s="5" t="s">
        <v>36</v>
      </c>
      <c r="E6683" s="5" t="s">
        <v>36</v>
      </c>
      <c r="F6683" s="5" t="s">
        <v>36</v>
      </c>
      <c r="G6683" s="6" t="s">
        <v>36</v>
      </c>
      <c r="H6683" s="4" t="s">
        <v>36</v>
      </c>
      <c r="I6683" s="7" t="s">
        <v>36</v>
      </c>
      <c r="J6683" s="3" t="s">
        <v>36</v>
      </c>
      <c r="K6683" s="9" t="s">
        <v>36</v>
      </c>
      <c r="L6683" s="6" t="s">
        <v>36</v>
      </c>
      <c r="M6683" s="3" t="s">
        <v>36</v>
      </c>
      <c r="N6683" s="3" t="s">
        <v>36</v>
      </c>
      <c r="O6683" s="8" t="s">
        <v>36</v>
      </c>
      <c r="P6683" s="3" t="s">
        <v>36</v>
      </c>
      <c r="Q6683" s="3" t="s">
        <v>36</v>
      </c>
      <c r="R6683" s="3" t="s">
        <v>36</v>
      </c>
      <c r="S6683" s="3" t="s">
        <v>36</v>
      </c>
      <c r="T6683" s="3" t="s">
        <v>596</v>
      </c>
      <c r="U6683" s="3" t="s">
        <v>366</v>
      </c>
      <c r="V6683" s="3" t="s">
        <v>367</v>
      </c>
      <c r="W6683" s="3" t="s">
        <v>5314</v>
      </c>
      <c r="X6683" s="10" t="s">
        <v>11964</v>
      </c>
      <c r="Y6683" s="6" t="s">
        <v>108</v>
      </c>
      <c r="Z6683" s="4">
        <v>2.25</v>
      </c>
      <c r="AA6683" s="4" t="s">
        <v>36</v>
      </c>
      <c r="AB6683" s="3" t="s">
        <v>43</v>
      </c>
      <c r="AC6683" s="3" t="s">
        <v>5316</v>
      </c>
      <c r="AD6683" s="9">
        <v>42522</v>
      </c>
      <c r="AE6683" s="3" t="s">
        <v>600</v>
      </c>
      <c r="AF6683" s="3" t="s">
        <v>982</v>
      </c>
      <c r="AG6683" s="3" t="s">
        <v>5317</v>
      </c>
      <c r="AH6683" s="11">
        <f>HYPERLINK("https://my.pitchbook.com?c=107966-26T","View Company Online")</f>
      </c>
    </row>
    <row r="6684">
      <c r="A6684" s="12" t="s">
        <v>30146</v>
      </c>
      <c r="B6684" s="12" t="s">
        <v>30147</v>
      </c>
      <c r="C6684" s="19" t="s">
        <v>36</v>
      </c>
      <c r="D6684" s="19" t="s">
        <v>36</v>
      </c>
      <c r="E6684" s="19" t="s">
        <v>36</v>
      </c>
      <c r="F6684" s="19" t="s">
        <v>36</v>
      </c>
      <c r="G6684" s="15" t="s">
        <v>326</v>
      </c>
      <c r="H6684" s="14">
        <v>46.74</v>
      </c>
      <c r="I6684" s="18">
        <v>14.33</v>
      </c>
      <c r="J6684" s="12" t="s">
        <v>521</v>
      </c>
      <c r="K6684" s="13" t="s">
        <v>36</v>
      </c>
      <c r="L6684" s="15" t="s">
        <v>122</v>
      </c>
      <c r="M6684" s="12" t="s">
        <v>36</v>
      </c>
      <c r="N6684" s="12" t="s">
        <v>122</v>
      </c>
      <c r="O6684" s="17" t="s">
        <v>36</v>
      </c>
      <c r="P6684" s="12" t="s">
        <v>36</v>
      </c>
      <c r="Q6684" s="12" t="s">
        <v>36</v>
      </c>
      <c r="R6684" s="12" t="s">
        <v>36</v>
      </c>
      <c r="S6684" s="12" t="s">
        <v>36</v>
      </c>
      <c r="T6684" s="12" t="s">
        <v>1253</v>
      </c>
      <c r="U6684" s="12" t="s">
        <v>38</v>
      </c>
      <c r="V6684" s="12" t="s">
        <v>39</v>
      </c>
      <c r="W6684" s="12" t="s">
        <v>30148</v>
      </c>
      <c r="X6684" s="16" t="s">
        <v>30149</v>
      </c>
      <c r="Y6684" s="15" t="s">
        <v>55</v>
      </c>
      <c r="Z6684" s="14">
        <v>1.89</v>
      </c>
      <c r="AA6684" s="14">
        <v>13.22</v>
      </c>
      <c r="AB6684" s="12" t="s">
        <v>43</v>
      </c>
      <c r="AC6684" s="12" t="s">
        <v>30150</v>
      </c>
      <c r="AD6684" s="13">
        <v>42522</v>
      </c>
      <c r="AE6684" s="12" t="s">
        <v>45</v>
      </c>
      <c r="AF6684" s="12" t="s">
        <v>5816</v>
      </c>
      <c r="AG6684" s="12" t="s">
        <v>81</v>
      </c>
      <c r="AH6684" s="1">
        <f>HYPERLINK("https://my.pitchbook.com?c=177891-76T","View Company Online")</f>
      </c>
    </row>
    <row r="6685">
      <c r="A6685" s="3" t="s">
        <v>30151</v>
      </c>
      <c r="B6685" s="3" t="s">
        <v>30152</v>
      </c>
      <c r="C6685" s="5" t="s">
        <v>36</v>
      </c>
      <c r="D6685" s="5">
        <v>5</v>
      </c>
      <c r="E6685" s="5">
        <v>2</v>
      </c>
      <c r="F6685" s="5">
        <v>7</v>
      </c>
      <c r="G6685" s="6" t="s">
        <v>36</v>
      </c>
      <c r="H6685" s="4">
        <v>4.84</v>
      </c>
      <c r="I6685" s="7">
        <v>32.2</v>
      </c>
      <c r="J6685" s="3" t="s">
        <v>521</v>
      </c>
      <c r="K6685" s="9" t="s">
        <v>36</v>
      </c>
      <c r="L6685" s="6" t="s">
        <v>36</v>
      </c>
      <c r="M6685" s="3" t="s">
        <v>36</v>
      </c>
      <c r="N6685" s="3" t="s">
        <v>36</v>
      </c>
      <c r="O6685" s="8" t="s">
        <v>36</v>
      </c>
      <c r="P6685" s="3" t="s">
        <v>36</v>
      </c>
      <c r="Q6685" s="3" t="s">
        <v>36</v>
      </c>
      <c r="R6685" s="3" t="s">
        <v>36</v>
      </c>
      <c r="S6685" s="3" t="s">
        <v>36</v>
      </c>
      <c r="T6685" s="3" t="s">
        <v>1701</v>
      </c>
      <c r="U6685" s="3" t="s">
        <v>74</v>
      </c>
      <c r="V6685" s="3" t="s">
        <v>75</v>
      </c>
      <c r="W6685" s="3" t="s">
        <v>30153</v>
      </c>
      <c r="X6685" s="10" t="s">
        <v>30154</v>
      </c>
      <c r="Y6685" s="6" t="s">
        <v>166</v>
      </c>
      <c r="Z6685" s="4">
        <v>4.48</v>
      </c>
      <c r="AA6685" s="4">
        <v>10.68</v>
      </c>
      <c r="AB6685" s="3" t="s">
        <v>56</v>
      </c>
      <c r="AC6685" s="3" t="s">
        <v>30155</v>
      </c>
      <c r="AD6685" s="9">
        <v>42522</v>
      </c>
      <c r="AE6685" s="3" t="s">
        <v>79</v>
      </c>
      <c r="AF6685" s="3" t="s">
        <v>30156</v>
      </c>
      <c r="AG6685" s="3" t="s">
        <v>652</v>
      </c>
      <c r="AH6685" s="11">
        <f>HYPERLINK("https://my.pitchbook.com?c=93414-07T","View Company Online")</f>
      </c>
    </row>
    <row r="6686">
      <c r="A6686" s="12" t="s">
        <v>30157</v>
      </c>
      <c r="B6686" s="12" t="s">
        <v>28992</v>
      </c>
      <c r="C6686" s="19">
        <v>2</v>
      </c>
      <c r="D6686" s="19">
        <v>4</v>
      </c>
      <c r="E6686" s="19">
        <v>2</v>
      </c>
      <c r="F6686" s="19">
        <v>8</v>
      </c>
      <c r="G6686" s="15" t="s">
        <v>683</v>
      </c>
      <c r="H6686" s="14">
        <v>65.12</v>
      </c>
      <c r="I6686" s="18">
        <v>12.66</v>
      </c>
      <c r="J6686" s="12" t="s">
        <v>521</v>
      </c>
      <c r="K6686" s="13" t="s">
        <v>36</v>
      </c>
      <c r="L6686" s="15" t="s">
        <v>36</v>
      </c>
      <c r="M6686" s="12" t="s">
        <v>36</v>
      </c>
      <c r="N6686" s="12" t="s">
        <v>36</v>
      </c>
      <c r="O6686" s="17" t="s">
        <v>36</v>
      </c>
      <c r="P6686" s="12" t="s">
        <v>36</v>
      </c>
      <c r="Q6686" s="12" t="s">
        <v>36</v>
      </c>
      <c r="R6686" s="12" t="s">
        <v>36</v>
      </c>
      <c r="S6686" s="12" t="s">
        <v>36</v>
      </c>
      <c r="T6686" s="12" t="s">
        <v>588</v>
      </c>
      <c r="U6686" s="12" t="s">
        <v>318</v>
      </c>
      <c r="V6686" s="12" t="s">
        <v>39</v>
      </c>
      <c r="W6686" s="12" t="s">
        <v>28993</v>
      </c>
      <c r="X6686" s="16" t="s">
        <v>28994</v>
      </c>
      <c r="Y6686" s="15" t="s">
        <v>108</v>
      </c>
      <c r="Z6686" s="14">
        <v>1.21</v>
      </c>
      <c r="AA6686" s="14">
        <v>8.9</v>
      </c>
      <c r="AB6686" s="12" t="s">
        <v>43</v>
      </c>
      <c r="AC6686" s="12" t="s">
        <v>28995</v>
      </c>
      <c r="AD6686" s="13">
        <v>42522</v>
      </c>
      <c r="AE6686" s="12" t="s">
        <v>417</v>
      </c>
      <c r="AF6686" s="12" t="s">
        <v>28996</v>
      </c>
      <c r="AG6686" s="12" t="s">
        <v>969</v>
      </c>
      <c r="AH6686" s="1">
        <f>HYPERLINK("https://my.pitchbook.com?c=114368-23T","View Company Online")</f>
      </c>
    </row>
    <row r="6687">
      <c r="A6687" s="3" t="s">
        <v>30158</v>
      </c>
      <c r="B6687" s="3" t="s">
        <v>19005</v>
      </c>
      <c r="C6687" s="5" t="s">
        <v>36</v>
      </c>
      <c r="D6687" s="5" t="s">
        <v>36</v>
      </c>
      <c r="E6687" s="5" t="s">
        <v>36</v>
      </c>
      <c r="F6687" s="5" t="s">
        <v>36</v>
      </c>
      <c r="G6687" s="6" t="s">
        <v>36</v>
      </c>
      <c r="H6687" s="4" t="s">
        <v>36</v>
      </c>
      <c r="I6687" s="7">
        <v>21.9</v>
      </c>
      <c r="J6687" s="3" t="s">
        <v>327</v>
      </c>
      <c r="K6687" s="9" t="s">
        <v>36</v>
      </c>
      <c r="L6687" s="6" t="s">
        <v>36</v>
      </c>
      <c r="M6687" s="3" t="s">
        <v>36</v>
      </c>
      <c r="N6687" s="3" t="s">
        <v>36</v>
      </c>
      <c r="O6687" s="8" t="s">
        <v>36</v>
      </c>
      <c r="P6687" s="3" t="s">
        <v>36</v>
      </c>
      <c r="Q6687" s="3" t="s">
        <v>36</v>
      </c>
      <c r="R6687" s="3" t="s">
        <v>36</v>
      </c>
      <c r="S6687" s="3" t="s">
        <v>36</v>
      </c>
      <c r="T6687" s="3" t="s">
        <v>3141</v>
      </c>
      <c r="U6687" s="3" t="s">
        <v>74</v>
      </c>
      <c r="V6687" s="3" t="s">
        <v>75</v>
      </c>
      <c r="W6687" s="3" t="s">
        <v>19006</v>
      </c>
      <c r="X6687" s="10" t="s">
        <v>11154</v>
      </c>
      <c r="Y6687" s="6" t="s">
        <v>42</v>
      </c>
      <c r="Z6687" s="4">
        <v>0.68</v>
      </c>
      <c r="AA6687" s="4">
        <v>3.09</v>
      </c>
      <c r="AB6687" s="3" t="s">
        <v>43</v>
      </c>
      <c r="AC6687" s="3" t="s">
        <v>19007</v>
      </c>
      <c r="AD6687" s="9">
        <v>42522</v>
      </c>
      <c r="AE6687" s="3" t="s">
        <v>3144</v>
      </c>
      <c r="AF6687" s="3" t="s">
        <v>9411</v>
      </c>
      <c r="AG6687" s="3" t="s">
        <v>4514</v>
      </c>
      <c r="AH6687" s="11">
        <f>HYPERLINK("https://my.pitchbook.com?c=140365-72T","View Company Online")</f>
      </c>
    </row>
    <row r="6688">
      <c r="A6688" s="12" t="s">
        <v>30159</v>
      </c>
      <c r="B6688" s="12" t="s">
        <v>9264</v>
      </c>
      <c r="C6688" s="19">
        <v>17</v>
      </c>
      <c r="D6688" s="19">
        <v>24</v>
      </c>
      <c r="E6688" s="19">
        <v>14</v>
      </c>
      <c r="F6688" s="19">
        <v>43</v>
      </c>
      <c r="G6688" s="15" t="s">
        <v>683</v>
      </c>
      <c r="H6688" s="14">
        <v>441.6</v>
      </c>
      <c r="I6688" s="18">
        <v>30.77</v>
      </c>
      <c r="J6688" s="12" t="s">
        <v>521</v>
      </c>
      <c r="K6688" s="13" t="s">
        <v>36</v>
      </c>
      <c r="L6688" s="15" t="s">
        <v>122</v>
      </c>
      <c r="M6688" s="12" t="s">
        <v>36</v>
      </c>
      <c r="N6688" s="12" t="s">
        <v>122</v>
      </c>
      <c r="O6688" s="17" t="s">
        <v>36</v>
      </c>
      <c r="P6688" s="12" t="s">
        <v>36</v>
      </c>
      <c r="Q6688" s="12" t="s">
        <v>36</v>
      </c>
      <c r="R6688" s="12" t="s">
        <v>36</v>
      </c>
      <c r="S6688" s="12" t="s">
        <v>36</v>
      </c>
      <c r="T6688" s="12" t="s">
        <v>9265</v>
      </c>
      <c r="U6688" s="12" t="s">
        <v>423</v>
      </c>
      <c r="V6688" s="12" t="s">
        <v>64</v>
      </c>
      <c r="W6688" s="12" t="s">
        <v>9266</v>
      </c>
      <c r="X6688" s="16" t="s">
        <v>30160</v>
      </c>
      <c r="Y6688" s="15" t="s">
        <v>42</v>
      </c>
      <c r="Z6688" s="14">
        <v>3.95</v>
      </c>
      <c r="AA6688" s="14">
        <v>7.2</v>
      </c>
      <c r="AB6688" s="12" t="s">
        <v>43</v>
      </c>
      <c r="AC6688" s="12" t="s">
        <v>9268</v>
      </c>
      <c r="AD6688" s="13">
        <v>42521</v>
      </c>
      <c r="AE6688" s="12" t="s">
        <v>562</v>
      </c>
      <c r="AF6688" s="12" t="s">
        <v>1612</v>
      </c>
      <c r="AG6688" s="12" t="s">
        <v>81</v>
      </c>
      <c r="AH6688" s="1">
        <f>HYPERLINK("https://my.pitchbook.com?c=71006-41T","View Company Online")</f>
      </c>
    </row>
    <row r="6689">
      <c r="A6689" s="3" t="s">
        <v>30161</v>
      </c>
      <c r="B6689" s="3" t="s">
        <v>26721</v>
      </c>
      <c r="C6689" s="5" t="s">
        <v>36</v>
      </c>
      <c r="D6689" s="5" t="s">
        <v>36</v>
      </c>
      <c r="E6689" s="5" t="s">
        <v>36</v>
      </c>
      <c r="F6689" s="5" t="s">
        <v>36</v>
      </c>
      <c r="G6689" s="6" t="s">
        <v>36</v>
      </c>
      <c r="H6689" s="4">
        <v>623.14</v>
      </c>
      <c r="I6689" s="7">
        <v>25.01</v>
      </c>
      <c r="J6689" s="3" t="s">
        <v>521</v>
      </c>
      <c r="K6689" s="9">
        <v>42447</v>
      </c>
      <c r="L6689" s="6" t="s">
        <v>36</v>
      </c>
      <c r="M6689" s="3" t="s">
        <v>36</v>
      </c>
      <c r="N6689" s="3" t="s">
        <v>36</v>
      </c>
      <c r="O6689" s="8" t="s">
        <v>36</v>
      </c>
      <c r="P6689" s="3" t="s">
        <v>36</v>
      </c>
      <c r="Q6689" s="3" t="s">
        <v>36</v>
      </c>
      <c r="R6689" s="3" t="s">
        <v>36</v>
      </c>
      <c r="S6689" s="3" t="s">
        <v>36</v>
      </c>
      <c r="T6689" s="3" t="s">
        <v>1701</v>
      </c>
      <c r="U6689" s="3" t="s">
        <v>74</v>
      </c>
      <c r="V6689" s="3" t="s">
        <v>75</v>
      </c>
      <c r="W6689" s="3" t="s">
        <v>26722</v>
      </c>
      <c r="X6689" s="10" t="s">
        <v>10887</v>
      </c>
      <c r="Y6689" s="6" t="s">
        <v>42</v>
      </c>
      <c r="Z6689" s="4">
        <v>0.45</v>
      </c>
      <c r="AA6689" s="4">
        <v>1.81</v>
      </c>
      <c r="AB6689" s="3" t="s">
        <v>43</v>
      </c>
      <c r="AC6689" s="3" t="s">
        <v>26723</v>
      </c>
      <c r="AD6689" s="9">
        <v>42521</v>
      </c>
      <c r="AE6689" s="3" t="s">
        <v>79</v>
      </c>
      <c r="AF6689" s="3" t="s">
        <v>526</v>
      </c>
      <c r="AG6689" s="3" t="s">
        <v>81</v>
      </c>
      <c r="AH6689" s="11">
        <f>HYPERLINK("https://my.pitchbook.com?c=81783-46T","View Company Online")</f>
      </c>
    </row>
    <row r="6690">
      <c r="A6690" s="12" t="s">
        <v>30162</v>
      </c>
      <c r="B6690" s="12" t="s">
        <v>30163</v>
      </c>
      <c r="C6690" s="19" t="s">
        <v>36</v>
      </c>
      <c r="D6690" s="19" t="s">
        <v>36</v>
      </c>
      <c r="E6690" s="19" t="s">
        <v>36</v>
      </c>
      <c r="F6690" s="19" t="s">
        <v>36</v>
      </c>
      <c r="G6690" s="15" t="s">
        <v>36</v>
      </c>
      <c r="H6690" s="14">
        <v>41.4</v>
      </c>
      <c r="I6690" s="18">
        <v>34.65</v>
      </c>
      <c r="J6690" s="12" t="s">
        <v>521</v>
      </c>
      <c r="K6690" s="13" t="s">
        <v>36</v>
      </c>
      <c r="L6690" s="15" t="s">
        <v>36</v>
      </c>
      <c r="M6690" s="12" t="s">
        <v>36</v>
      </c>
      <c r="N6690" s="12" t="s">
        <v>36</v>
      </c>
      <c r="O6690" s="17" t="s">
        <v>36</v>
      </c>
      <c r="P6690" s="12" t="s">
        <v>36</v>
      </c>
      <c r="Q6690" s="12" t="s">
        <v>36</v>
      </c>
      <c r="R6690" s="12" t="s">
        <v>36</v>
      </c>
      <c r="S6690" s="12" t="s">
        <v>36</v>
      </c>
      <c r="T6690" s="12" t="s">
        <v>30164</v>
      </c>
      <c r="U6690" s="12" t="s">
        <v>74</v>
      </c>
      <c r="V6690" s="12" t="s">
        <v>75</v>
      </c>
      <c r="W6690" s="12" t="s">
        <v>30165</v>
      </c>
      <c r="X6690" s="16" t="s">
        <v>30166</v>
      </c>
      <c r="Y6690" s="15" t="s">
        <v>108</v>
      </c>
      <c r="Z6690" s="14">
        <v>1.35</v>
      </c>
      <c r="AA6690" s="14">
        <v>2.72</v>
      </c>
      <c r="AB6690" s="12" t="s">
        <v>43</v>
      </c>
      <c r="AC6690" s="12" t="s">
        <v>30167</v>
      </c>
      <c r="AD6690" s="13">
        <v>42521</v>
      </c>
      <c r="AE6690" s="12" t="s">
        <v>79</v>
      </c>
      <c r="AF6690" s="12" t="s">
        <v>20871</v>
      </c>
      <c r="AG6690" s="12" t="s">
        <v>1276</v>
      </c>
      <c r="AH6690" s="1">
        <f>HYPERLINK("https://my.pitchbook.com?c=89656-21T","View Company Online")</f>
      </c>
    </row>
    <row r="6691">
      <c r="A6691" s="3" t="s">
        <v>30168</v>
      </c>
      <c r="B6691" s="3" t="s">
        <v>16879</v>
      </c>
      <c r="C6691" s="5" t="s">
        <v>36</v>
      </c>
      <c r="D6691" s="5" t="s">
        <v>36</v>
      </c>
      <c r="E6691" s="5" t="s">
        <v>36</v>
      </c>
      <c r="F6691" s="5" t="s">
        <v>36</v>
      </c>
      <c r="G6691" s="6" t="s">
        <v>36</v>
      </c>
      <c r="H6691" s="4" t="s">
        <v>36</v>
      </c>
      <c r="I6691" s="7" t="s">
        <v>36</v>
      </c>
      <c r="J6691" s="3" t="s">
        <v>36</v>
      </c>
      <c r="K6691" s="9" t="s">
        <v>36</v>
      </c>
      <c r="L6691" s="6" t="s">
        <v>36</v>
      </c>
      <c r="M6691" s="3" t="s">
        <v>36</v>
      </c>
      <c r="N6691" s="3" t="s">
        <v>36</v>
      </c>
      <c r="O6691" s="8" t="s">
        <v>36</v>
      </c>
      <c r="P6691" s="3" t="s">
        <v>36</v>
      </c>
      <c r="Q6691" s="3" t="s">
        <v>36</v>
      </c>
      <c r="R6691" s="3" t="s">
        <v>36</v>
      </c>
      <c r="S6691" s="3" t="s">
        <v>36</v>
      </c>
      <c r="T6691" s="3" t="s">
        <v>522</v>
      </c>
      <c r="U6691" s="3" t="s">
        <v>38</v>
      </c>
      <c r="V6691" s="3" t="s">
        <v>39</v>
      </c>
      <c r="W6691" s="3" t="s">
        <v>16880</v>
      </c>
      <c r="X6691" s="10" t="s">
        <v>30169</v>
      </c>
      <c r="Y6691" s="6" t="s">
        <v>42</v>
      </c>
      <c r="Z6691" s="4" t="s">
        <v>36</v>
      </c>
      <c r="AA6691" s="4" t="s">
        <v>36</v>
      </c>
      <c r="AB6691" s="3" t="s">
        <v>56</v>
      </c>
      <c r="AC6691" s="3" t="s">
        <v>16882</v>
      </c>
      <c r="AD6691" s="9">
        <v>42520</v>
      </c>
      <c r="AE6691" s="3" t="s">
        <v>110</v>
      </c>
      <c r="AF6691" s="3" t="s">
        <v>36</v>
      </c>
      <c r="AG6691" s="3" t="s">
        <v>144</v>
      </c>
      <c r="AH6691" s="11">
        <f>HYPERLINK("https://my.pitchbook.com?c=93506-68T","View Company Online")</f>
      </c>
    </row>
    <row r="6692">
      <c r="A6692" s="12" t="s">
        <v>30170</v>
      </c>
      <c r="B6692" s="12" t="s">
        <v>14315</v>
      </c>
      <c r="C6692" s="19">
        <v>2</v>
      </c>
      <c r="D6692" s="19">
        <v>40</v>
      </c>
      <c r="E6692" s="19">
        <v>5</v>
      </c>
      <c r="F6692" s="19">
        <v>50</v>
      </c>
      <c r="G6692" s="15" t="s">
        <v>36</v>
      </c>
      <c r="H6692" s="14">
        <v>94.51</v>
      </c>
      <c r="I6692" s="18">
        <v>25.38</v>
      </c>
      <c r="J6692" s="12" t="s">
        <v>521</v>
      </c>
      <c r="K6692" s="13" t="s">
        <v>36</v>
      </c>
      <c r="L6692" s="15" t="s">
        <v>122</v>
      </c>
      <c r="M6692" s="12" t="s">
        <v>36</v>
      </c>
      <c r="N6692" s="12" t="s">
        <v>122</v>
      </c>
      <c r="O6692" s="17" t="s">
        <v>36</v>
      </c>
      <c r="P6692" s="12" t="s">
        <v>36</v>
      </c>
      <c r="Q6692" s="12" t="s">
        <v>36</v>
      </c>
      <c r="R6692" s="12" t="s">
        <v>36</v>
      </c>
      <c r="S6692" s="12" t="s">
        <v>36</v>
      </c>
      <c r="T6692" s="12" t="s">
        <v>881</v>
      </c>
      <c r="U6692" s="12" t="s">
        <v>51</v>
      </c>
      <c r="V6692" s="12" t="s">
        <v>52</v>
      </c>
      <c r="W6692" s="12" t="s">
        <v>14316</v>
      </c>
      <c r="X6692" s="16" t="s">
        <v>30171</v>
      </c>
      <c r="Y6692" s="15" t="s">
        <v>108</v>
      </c>
      <c r="Z6692" s="14">
        <v>6.8</v>
      </c>
      <c r="AA6692" s="14">
        <v>20.08</v>
      </c>
      <c r="AB6692" s="12" t="s">
        <v>43</v>
      </c>
      <c r="AC6692" s="12" t="s">
        <v>14318</v>
      </c>
      <c r="AD6692" s="13">
        <v>42517</v>
      </c>
      <c r="AE6692" s="12" t="s">
        <v>504</v>
      </c>
      <c r="AF6692" s="12" t="s">
        <v>885</v>
      </c>
      <c r="AG6692" s="12" t="s">
        <v>186</v>
      </c>
      <c r="AH6692" s="1">
        <f>HYPERLINK("https://my.pitchbook.com?c=70973-20T","View Company Online")</f>
      </c>
    </row>
    <row r="6693">
      <c r="A6693" s="3" t="s">
        <v>30172</v>
      </c>
      <c r="B6693" s="3" t="s">
        <v>24863</v>
      </c>
      <c r="C6693" s="5" t="s">
        <v>36</v>
      </c>
      <c r="D6693" s="5">
        <v>4</v>
      </c>
      <c r="E6693" s="5">
        <v>1</v>
      </c>
      <c r="F6693" s="5">
        <v>4</v>
      </c>
      <c r="G6693" s="6" t="s">
        <v>36</v>
      </c>
      <c r="H6693" s="4" t="s">
        <v>36</v>
      </c>
      <c r="I6693" s="7" t="s">
        <v>36</v>
      </c>
      <c r="J6693" s="3" t="s">
        <v>36</v>
      </c>
      <c r="K6693" s="9" t="s">
        <v>36</v>
      </c>
      <c r="L6693" s="6" t="s">
        <v>36</v>
      </c>
      <c r="M6693" s="3" t="s">
        <v>36</v>
      </c>
      <c r="N6693" s="3" t="s">
        <v>36</v>
      </c>
      <c r="O6693" s="8" t="s">
        <v>36</v>
      </c>
      <c r="P6693" s="3" t="s">
        <v>36</v>
      </c>
      <c r="Q6693" s="3" t="s">
        <v>36</v>
      </c>
      <c r="R6693" s="3" t="s">
        <v>36</v>
      </c>
      <c r="S6693" s="3" t="s">
        <v>36</v>
      </c>
      <c r="T6693" s="3" t="s">
        <v>2321</v>
      </c>
      <c r="U6693" s="3" t="s">
        <v>51</v>
      </c>
      <c r="V6693" s="3" t="s">
        <v>52</v>
      </c>
      <c r="W6693" s="3" t="s">
        <v>24864</v>
      </c>
      <c r="X6693" s="10" t="s">
        <v>30173</v>
      </c>
      <c r="Y6693" s="6" t="s">
        <v>42</v>
      </c>
      <c r="Z6693" s="4">
        <v>9.06</v>
      </c>
      <c r="AA6693" s="4" t="s">
        <v>36</v>
      </c>
      <c r="AB6693" s="3" t="s">
        <v>43</v>
      </c>
      <c r="AC6693" s="3" t="s">
        <v>24866</v>
      </c>
      <c r="AD6693" s="9">
        <v>42517</v>
      </c>
      <c r="AE6693" s="3" t="s">
        <v>504</v>
      </c>
      <c r="AF6693" s="3" t="s">
        <v>159</v>
      </c>
      <c r="AG6693" s="3" t="s">
        <v>144</v>
      </c>
      <c r="AH6693" s="11">
        <f>HYPERLINK("https://my.pitchbook.com?c=70820-29T","View Company Online")</f>
      </c>
    </row>
    <row r="6694">
      <c r="A6694" s="12" t="s">
        <v>30174</v>
      </c>
      <c r="B6694" s="12" t="s">
        <v>27827</v>
      </c>
      <c r="C6694" s="19" t="s">
        <v>36</v>
      </c>
      <c r="D6694" s="19">
        <v>42</v>
      </c>
      <c r="E6694" s="19">
        <v>5</v>
      </c>
      <c r="F6694" s="19">
        <v>48</v>
      </c>
      <c r="G6694" s="15" t="s">
        <v>36</v>
      </c>
      <c r="H6694" s="14" t="s">
        <v>36</v>
      </c>
      <c r="I6694" s="18" t="s">
        <v>36</v>
      </c>
      <c r="J6694" s="12" t="s">
        <v>36</v>
      </c>
      <c r="K6694" s="13" t="s">
        <v>36</v>
      </c>
      <c r="L6694" s="15" t="s">
        <v>36</v>
      </c>
      <c r="M6694" s="12" t="s">
        <v>36</v>
      </c>
      <c r="N6694" s="12" t="s">
        <v>36</v>
      </c>
      <c r="O6694" s="17" t="s">
        <v>36</v>
      </c>
      <c r="P6694" s="12" t="s">
        <v>36</v>
      </c>
      <c r="Q6694" s="12" t="s">
        <v>36</v>
      </c>
      <c r="R6694" s="12" t="s">
        <v>36</v>
      </c>
      <c r="S6694" s="12" t="s">
        <v>36</v>
      </c>
      <c r="T6694" s="12" t="s">
        <v>27828</v>
      </c>
      <c r="U6694" s="12" t="s">
        <v>387</v>
      </c>
      <c r="V6694" s="12" t="s">
        <v>367</v>
      </c>
      <c r="W6694" s="12" t="s">
        <v>27829</v>
      </c>
      <c r="X6694" s="16" t="s">
        <v>30175</v>
      </c>
      <c r="Y6694" s="15" t="s">
        <v>192</v>
      </c>
      <c r="Z6694" s="14">
        <v>3.4</v>
      </c>
      <c r="AA6694" s="14" t="s">
        <v>36</v>
      </c>
      <c r="AB6694" s="12" t="s">
        <v>56</v>
      </c>
      <c r="AC6694" s="12" t="s">
        <v>27831</v>
      </c>
      <c r="AD6694" s="13">
        <v>42515</v>
      </c>
      <c r="AE6694" s="12" t="s">
        <v>391</v>
      </c>
      <c r="AF6694" s="12" t="s">
        <v>7368</v>
      </c>
      <c r="AG6694" s="12" t="s">
        <v>8850</v>
      </c>
      <c r="AH6694" s="1">
        <f>HYPERLINK("https://my.pitchbook.com?c=70906-51T","View Company Online")</f>
      </c>
    </row>
    <row r="6695">
      <c r="A6695" s="3" t="s">
        <v>30176</v>
      </c>
      <c r="B6695" s="3" t="s">
        <v>30177</v>
      </c>
      <c r="C6695" s="5" t="s">
        <v>36</v>
      </c>
      <c r="D6695" s="5" t="s">
        <v>36</v>
      </c>
      <c r="E6695" s="5" t="s">
        <v>36</v>
      </c>
      <c r="F6695" s="5" t="s">
        <v>36</v>
      </c>
      <c r="G6695" s="6" t="s">
        <v>326</v>
      </c>
      <c r="H6695" s="4">
        <v>283.88</v>
      </c>
      <c r="I6695" s="7">
        <v>25.87</v>
      </c>
      <c r="J6695" s="3" t="s">
        <v>521</v>
      </c>
      <c r="K6695" s="9" t="s">
        <v>36</v>
      </c>
      <c r="L6695" s="6" t="s">
        <v>36</v>
      </c>
      <c r="M6695" s="3" t="s">
        <v>36</v>
      </c>
      <c r="N6695" s="3" t="s">
        <v>36</v>
      </c>
      <c r="O6695" s="8" t="s">
        <v>36</v>
      </c>
      <c r="P6695" s="3" t="s">
        <v>36</v>
      </c>
      <c r="Q6695" s="3" t="s">
        <v>36</v>
      </c>
      <c r="R6695" s="3" t="s">
        <v>36</v>
      </c>
      <c r="S6695" s="3" t="s">
        <v>36</v>
      </c>
      <c r="T6695" s="3" t="s">
        <v>522</v>
      </c>
      <c r="U6695" s="3" t="s">
        <v>38</v>
      </c>
      <c r="V6695" s="3" t="s">
        <v>39</v>
      </c>
      <c r="W6695" s="3" t="s">
        <v>30178</v>
      </c>
      <c r="X6695" s="10" t="s">
        <v>30179</v>
      </c>
      <c r="Y6695" s="6" t="s">
        <v>108</v>
      </c>
      <c r="Z6695" s="4">
        <v>1.98</v>
      </c>
      <c r="AA6695" s="4">
        <v>7.65</v>
      </c>
      <c r="AB6695" s="3" t="s">
        <v>56</v>
      </c>
      <c r="AC6695" s="3" t="s">
        <v>30180</v>
      </c>
      <c r="AD6695" s="9">
        <v>42515</v>
      </c>
      <c r="AE6695" s="3" t="s">
        <v>110</v>
      </c>
      <c r="AF6695" s="3" t="s">
        <v>30181</v>
      </c>
      <c r="AG6695" s="3" t="s">
        <v>81</v>
      </c>
      <c r="AH6695" s="11">
        <f>HYPERLINK("https://my.pitchbook.com?c=74367-91T","View Company Online")</f>
      </c>
    </row>
    <row r="6696">
      <c r="A6696" s="12" t="s">
        <v>30182</v>
      </c>
      <c r="B6696" s="12" t="s">
        <v>30183</v>
      </c>
      <c r="C6696" s="19" t="s">
        <v>36</v>
      </c>
      <c r="D6696" s="19">
        <v>1</v>
      </c>
      <c r="E6696" s="19">
        <v>1</v>
      </c>
      <c r="F6696" s="19">
        <v>2</v>
      </c>
      <c r="G6696" s="15" t="s">
        <v>36</v>
      </c>
      <c r="H6696" s="14">
        <v>24.93</v>
      </c>
      <c r="I6696" s="18">
        <v>36.17</v>
      </c>
      <c r="J6696" s="12" t="s">
        <v>521</v>
      </c>
      <c r="K6696" s="13">
        <v>42499</v>
      </c>
      <c r="L6696" s="15" t="s">
        <v>36</v>
      </c>
      <c r="M6696" s="12" t="s">
        <v>36</v>
      </c>
      <c r="N6696" s="12" t="s">
        <v>36</v>
      </c>
      <c r="O6696" s="17" t="s">
        <v>36</v>
      </c>
      <c r="P6696" s="12" t="s">
        <v>36</v>
      </c>
      <c r="Q6696" s="12" t="s">
        <v>36</v>
      </c>
      <c r="R6696" s="12" t="s">
        <v>36</v>
      </c>
      <c r="S6696" s="12" t="s">
        <v>36</v>
      </c>
      <c r="T6696" s="12" t="s">
        <v>1266</v>
      </c>
      <c r="U6696" s="12" t="s">
        <v>74</v>
      </c>
      <c r="V6696" s="12" t="s">
        <v>75</v>
      </c>
      <c r="W6696" s="12" t="s">
        <v>30184</v>
      </c>
      <c r="X6696" s="16" t="s">
        <v>17937</v>
      </c>
      <c r="Y6696" s="15" t="s">
        <v>42</v>
      </c>
      <c r="Z6696" s="14">
        <v>0.77</v>
      </c>
      <c r="AA6696" s="14">
        <v>2.13</v>
      </c>
      <c r="AB6696" s="12" t="s">
        <v>56</v>
      </c>
      <c r="AC6696" s="12" t="s">
        <v>30185</v>
      </c>
      <c r="AD6696" s="13">
        <v>42514</v>
      </c>
      <c r="AE6696" s="12" t="s">
        <v>79</v>
      </c>
      <c r="AF6696" s="12" t="s">
        <v>17722</v>
      </c>
      <c r="AG6696" s="12" t="s">
        <v>12608</v>
      </c>
      <c r="AH6696" s="1">
        <f>HYPERLINK("https://my.pitchbook.com?c=81741-79T","View Company Online")</f>
      </c>
    </row>
    <row r="6697">
      <c r="A6697" s="3" t="s">
        <v>30186</v>
      </c>
      <c r="B6697" s="3" t="s">
        <v>21615</v>
      </c>
      <c r="C6697" s="5" t="s">
        <v>36</v>
      </c>
      <c r="D6697" s="5" t="s">
        <v>36</v>
      </c>
      <c r="E6697" s="5" t="s">
        <v>36</v>
      </c>
      <c r="F6697" s="5" t="s">
        <v>36</v>
      </c>
      <c r="G6697" s="6" t="s">
        <v>36</v>
      </c>
      <c r="H6697" s="4" t="s">
        <v>36</v>
      </c>
      <c r="I6697" s="7" t="s">
        <v>36</v>
      </c>
      <c r="J6697" s="3" t="s">
        <v>36</v>
      </c>
      <c r="K6697" s="9" t="s">
        <v>36</v>
      </c>
      <c r="L6697" s="6" t="s">
        <v>36</v>
      </c>
      <c r="M6697" s="3" t="s">
        <v>36</v>
      </c>
      <c r="N6697" s="3" t="s">
        <v>36</v>
      </c>
      <c r="O6697" s="8" t="s">
        <v>36</v>
      </c>
      <c r="P6697" s="3" t="s">
        <v>36</v>
      </c>
      <c r="Q6697" s="3" t="s">
        <v>36</v>
      </c>
      <c r="R6697" s="3" t="s">
        <v>36</v>
      </c>
      <c r="S6697" s="3" t="s">
        <v>2699</v>
      </c>
      <c r="T6697" s="3" t="s">
        <v>21616</v>
      </c>
      <c r="U6697" s="3" t="s">
        <v>619</v>
      </c>
      <c r="V6697" s="3" t="s">
        <v>378</v>
      </c>
      <c r="W6697" s="3" t="s">
        <v>21617</v>
      </c>
      <c r="X6697" s="10" t="s">
        <v>30187</v>
      </c>
      <c r="Y6697" s="6" t="s">
        <v>42</v>
      </c>
      <c r="Z6697" s="4" t="s">
        <v>36</v>
      </c>
      <c r="AA6697" s="4" t="s">
        <v>36</v>
      </c>
      <c r="AB6697" s="3" t="s">
        <v>43</v>
      </c>
      <c r="AC6697" s="3" t="s">
        <v>21619</v>
      </c>
      <c r="AD6697" s="9">
        <v>42514</v>
      </c>
      <c r="AE6697" s="3" t="s">
        <v>3891</v>
      </c>
      <c r="AF6697" s="3" t="s">
        <v>3892</v>
      </c>
      <c r="AG6697" s="3" t="s">
        <v>5504</v>
      </c>
      <c r="AH6697" s="11">
        <f>HYPERLINK("https://my.pitchbook.com?c=73143-82T","View Company Online")</f>
      </c>
    </row>
    <row r="6698">
      <c r="A6698" s="12" t="s">
        <v>30188</v>
      </c>
      <c r="B6698" s="12" t="s">
        <v>10976</v>
      </c>
      <c r="C6698" s="19">
        <v>4</v>
      </c>
      <c r="D6698" s="19" t="s">
        <v>36</v>
      </c>
      <c r="E6698" s="19">
        <v>4</v>
      </c>
      <c r="F6698" s="19">
        <v>7</v>
      </c>
      <c r="G6698" s="15" t="s">
        <v>326</v>
      </c>
      <c r="H6698" s="14">
        <v>52.27</v>
      </c>
      <c r="I6698" s="18">
        <v>27.37</v>
      </c>
      <c r="J6698" s="12" t="s">
        <v>521</v>
      </c>
      <c r="K6698" s="13" t="s">
        <v>36</v>
      </c>
      <c r="L6698" s="15" t="s">
        <v>36</v>
      </c>
      <c r="M6698" s="12" t="s">
        <v>36</v>
      </c>
      <c r="N6698" s="12" t="s">
        <v>36</v>
      </c>
      <c r="O6698" s="17" t="s">
        <v>36</v>
      </c>
      <c r="P6698" s="12" t="s">
        <v>36</v>
      </c>
      <c r="Q6698" s="12" t="s">
        <v>36</v>
      </c>
      <c r="R6698" s="12" t="s">
        <v>36</v>
      </c>
      <c r="S6698" s="12" t="s">
        <v>36</v>
      </c>
      <c r="T6698" s="12" t="s">
        <v>10977</v>
      </c>
      <c r="U6698" s="12" t="s">
        <v>74</v>
      </c>
      <c r="V6698" s="12" t="s">
        <v>75</v>
      </c>
      <c r="W6698" s="12" t="s">
        <v>10978</v>
      </c>
      <c r="X6698" s="16" t="s">
        <v>30189</v>
      </c>
      <c r="Y6698" s="15" t="s">
        <v>42</v>
      </c>
      <c r="Z6698" s="14">
        <v>1.59</v>
      </c>
      <c r="AA6698" s="14">
        <v>5.03</v>
      </c>
      <c r="AB6698" s="12" t="s">
        <v>43</v>
      </c>
      <c r="AC6698" s="12" t="s">
        <v>10980</v>
      </c>
      <c r="AD6698" s="13">
        <v>42514</v>
      </c>
      <c r="AE6698" s="12" t="s">
        <v>362</v>
      </c>
      <c r="AF6698" s="12" t="s">
        <v>468</v>
      </c>
      <c r="AG6698" s="12" t="s">
        <v>392</v>
      </c>
      <c r="AH6698" s="1">
        <f>HYPERLINK("https://my.pitchbook.com?c=72484-30T","View Company Online")</f>
      </c>
    </row>
    <row r="6699">
      <c r="A6699" s="3" t="s">
        <v>30190</v>
      </c>
      <c r="B6699" s="3" t="s">
        <v>30191</v>
      </c>
      <c r="C6699" s="5" t="s">
        <v>36</v>
      </c>
      <c r="D6699" s="5" t="s">
        <v>36</v>
      </c>
      <c r="E6699" s="5" t="s">
        <v>36</v>
      </c>
      <c r="F6699" s="5" t="s">
        <v>36</v>
      </c>
      <c r="G6699" s="6" t="s">
        <v>36</v>
      </c>
      <c r="H6699" s="4">
        <v>49.81</v>
      </c>
      <c r="I6699" s="7">
        <v>13.1</v>
      </c>
      <c r="J6699" s="3" t="s">
        <v>521</v>
      </c>
      <c r="K6699" s="9" t="s">
        <v>36</v>
      </c>
      <c r="L6699" s="6" t="s">
        <v>36</v>
      </c>
      <c r="M6699" s="3" t="s">
        <v>36</v>
      </c>
      <c r="N6699" s="3" t="s">
        <v>36</v>
      </c>
      <c r="O6699" s="8" t="s">
        <v>36</v>
      </c>
      <c r="P6699" s="3" t="s">
        <v>36</v>
      </c>
      <c r="Q6699" s="3" t="s">
        <v>36</v>
      </c>
      <c r="R6699" s="3" t="s">
        <v>36</v>
      </c>
      <c r="S6699" s="3" t="s">
        <v>36</v>
      </c>
      <c r="T6699" s="3" t="s">
        <v>422</v>
      </c>
      <c r="U6699" s="3" t="s">
        <v>423</v>
      </c>
      <c r="V6699" s="3" t="s">
        <v>64</v>
      </c>
      <c r="W6699" s="3" t="s">
        <v>30192</v>
      </c>
      <c r="X6699" s="10" t="s">
        <v>30193</v>
      </c>
      <c r="Y6699" s="6" t="s">
        <v>55</v>
      </c>
      <c r="Z6699" s="4">
        <v>2.27</v>
      </c>
      <c r="AA6699" s="4">
        <v>17.31</v>
      </c>
      <c r="AB6699" s="3" t="s">
        <v>56</v>
      </c>
      <c r="AC6699" s="3" t="s">
        <v>30194</v>
      </c>
      <c r="AD6699" s="9">
        <v>42514</v>
      </c>
      <c r="AE6699" s="3" t="s">
        <v>427</v>
      </c>
      <c r="AF6699" s="3" t="s">
        <v>938</v>
      </c>
      <c r="AG6699" s="3" t="s">
        <v>30195</v>
      </c>
      <c r="AH6699" s="11">
        <f>HYPERLINK("https://my.pitchbook.com?c=188341-84T","View Company Online")</f>
      </c>
    </row>
    <row r="6700">
      <c r="A6700" s="12" t="s">
        <v>30196</v>
      </c>
      <c r="B6700" s="12" t="s">
        <v>30197</v>
      </c>
      <c r="C6700" s="19" t="s">
        <v>36</v>
      </c>
      <c r="D6700" s="19" t="s">
        <v>36</v>
      </c>
      <c r="E6700" s="19" t="s">
        <v>36</v>
      </c>
      <c r="F6700" s="19" t="s">
        <v>36</v>
      </c>
      <c r="G6700" s="15" t="s">
        <v>36</v>
      </c>
      <c r="H6700" s="14">
        <v>14.33</v>
      </c>
      <c r="I6700" s="18">
        <v>20</v>
      </c>
      <c r="J6700" s="12" t="s">
        <v>521</v>
      </c>
      <c r="K6700" s="13" t="s">
        <v>36</v>
      </c>
      <c r="L6700" s="15" t="s">
        <v>36</v>
      </c>
      <c r="M6700" s="12" t="s">
        <v>36</v>
      </c>
      <c r="N6700" s="12" t="s">
        <v>36</v>
      </c>
      <c r="O6700" s="17" t="s">
        <v>36</v>
      </c>
      <c r="P6700" s="12" t="s">
        <v>36</v>
      </c>
      <c r="Q6700" s="12" t="s">
        <v>36</v>
      </c>
      <c r="R6700" s="12" t="s">
        <v>36</v>
      </c>
      <c r="S6700" s="12" t="s">
        <v>36</v>
      </c>
      <c r="T6700" s="12" t="s">
        <v>189</v>
      </c>
      <c r="U6700" s="12" t="s">
        <v>180</v>
      </c>
      <c r="V6700" s="12" t="s">
        <v>52</v>
      </c>
      <c r="W6700" s="12" t="s">
        <v>30198</v>
      </c>
      <c r="X6700" s="16" t="s">
        <v>30199</v>
      </c>
      <c r="Y6700" s="15" t="s">
        <v>42</v>
      </c>
      <c r="Z6700" s="14">
        <v>0.23</v>
      </c>
      <c r="AA6700" s="14">
        <v>1.13</v>
      </c>
      <c r="AB6700" s="12" t="s">
        <v>43</v>
      </c>
      <c r="AC6700" s="12" t="s">
        <v>30200</v>
      </c>
      <c r="AD6700" s="13">
        <v>42513</v>
      </c>
      <c r="AE6700" s="12" t="s">
        <v>184</v>
      </c>
      <c r="AF6700" s="12" t="s">
        <v>30201</v>
      </c>
      <c r="AG6700" s="12" t="s">
        <v>186</v>
      </c>
      <c r="AH6700" s="1">
        <f>HYPERLINK("https://my.pitchbook.com?c=193253-32T","View Company Online")</f>
      </c>
    </row>
    <row r="6701">
      <c r="A6701" s="3" t="s">
        <v>30202</v>
      </c>
      <c r="B6701" s="3" t="s">
        <v>30203</v>
      </c>
      <c r="C6701" s="5">
        <v>1</v>
      </c>
      <c r="D6701" s="5">
        <v>2</v>
      </c>
      <c r="E6701" s="5">
        <v>2</v>
      </c>
      <c r="F6701" s="5">
        <v>6</v>
      </c>
      <c r="G6701" s="6" t="s">
        <v>36</v>
      </c>
      <c r="H6701" s="4" t="s">
        <v>36</v>
      </c>
      <c r="I6701" s="7" t="s">
        <v>36</v>
      </c>
      <c r="J6701" s="3" t="s">
        <v>36</v>
      </c>
      <c r="K6701" s="9">
        <v>42145</v>
      </c>
      <c r="L6701" s="6" t="s">
        <v>36</v>
      </c>
      <c r="M6701" s="3" t="s">
        <v>36</v>
      </c>
      <c r="N6701" s="3" t="s">
        <v>36</v>
      </c>
      <c r="O6701" s="8" t="s">
        <v>36</v>
      </c>
      <c r="P6701" s="3" t="s">
        <v>36</v>
      </c>
      <c r="Q6701" s="3" t="s">
        <v>36</v>
      </c>
      <c r="R6701" s="3" t="s">
        <v>36</v>
      </c>
      <c r="S6701" s="3" t="s">
        <v>26763</v>
      </c>
      <c r="T6701" s="3" t="s">
        <v>23517</v>
      </c>
      <c r="U6701" s="3" t="s">
        <v>318</v>
      </c>
      <c r="V6701" s="3" t="s">
        <v>39</v>
      </c>
      <c r="W6701" s="3" t="s">
        <v>30204</v>
      </c>
      <c r="X6701" s="10" t="s">
        <v>30205</v>
      </c>
      <c r="Y6701" s="6" t="s">
        <v>42</v>
      </c>
      <c r="Z6701" s="4">
        <v>5.5</v>
      </c>
      <c r="AA6701" s="4" t="s">
        <v>36</v>
      </c>
      <c r="AB6701" s="3" t="s">
        <v>43</v>
      </c>
      <c r="AC6701" s="3" t="s">
        <v>30206</v>
      </c>
      <c r="AD6701" s="9">
        <v>42511</v>
      </c>
      <c r="AE6701" s="3" t="s">
        <v>763</v>
      </c>
      <c r="AF6701" s="3" t="s">
        <v>30207</v>
      </c>
      <c r="AG6701" s="3" t="s">
        <v>2618</v>
      </c>
      <c r="AH6701" s="11">
        <f>HYPERLINK("https://my.pitchbook.com?c=50869-36T","View Company Online")</f>
      </c>
    </row>
    <row r="6702">
      <c r="A6702" s="12" t="s">
        <v>30208</v>
      </c>
      <c r="B6702" s="12" t="s">
        <v>30209</v>
      </c>
      <c r="C6702" s="19" t="s">
        <v>36</v>
      </c>
      <c r="D6702" s="19" t="s">
        <v>36</v>
      </c>
      <c r="E6702" s="19" t="s">
        <v>36</v>
      </c>
      <c r="F6702" s="19" t="s">
        <v>36</v>
      </c>
      <c r="G6702" s="15" t="s">
        <v>326</v>
      </c>
      <c r="H6702" s="14" t="s">
        <v>36</v>
      </c>
      <c r="I6702" s="18">
        <v>28.28</v>
      </c>
      <c r="J6702" s="12" t="s">
        <v>327</v>
      </c>
      <c r="K6702" s="13" t="s">
        <v>36</v>
      </c>
      <c r="L6702" s="15" t="s">
        <v>36</v>
      </c>
      <c r="M6702" s="12" t="s">
        <v>36</v>
      </c>
      <c r="N6702" s="12" t="s">
        <v>36</v>
      </c>
      <c r="O6702" s="17" t="s">
        <v>36</v>
      </c>
      <c r="P6702" s="12" t="s">
        <v>36</v>
      </c>
      <c r="Q6702" s="12" t="s">
        <v>36</v>
      </c>
      <c r="R6702" s="12" t="s">
        <v>36</v>
      </c>
      <c r="S6702" s="12" t="s">
        <v>36</v>
      </c>
      <c r="T6702" s="12" t="s">
        <v>7809</v>
      </c>
      <c r="U6702" s="12" t="s">
        <v>648</v>
      </c>
      <c r="V6702" s="12" t="s">
        <v>64</v>
      </c>
      <c r="W6702" s="12" t="s">
        <v>30210</v>
      </c>
      <c r="X6702" s="16" t="s">
        <v>11438</v>
      </c>
      <c r="Y6702" s="15" t="s">
        <v>42</v>
      </c>
      <c r="Z6702" s="14">
        <v>1.13</v>
      </c>
      <c r="AA6702" s="14">
        <v>4.01</v>
      </c>
      <c r="AB6702" s="12" t="s">
        <v>43</v>
      </c>
      <c r="AC6702" s="12" t="s">
        <v>30211</v>
      </c>
      <c r="AD6702" s="13">
        <v>42510</v>
      </c>
      <c r="AE6702" s="12" t="s">
        <v>1897</v>
      </c>
      <c r="AF6702" s="12" t="s">
        <v>23998</v>
      </c>
      <c r="AG6702" s="12" t="s">
        <v>81</v>
      </c>
      <c r="AH6702" s="1">
        <f>HYPERLINK("https://my.pitchbook.com?c=81716-23T","View Company Online")</f>
      </c>
    </row>
    <row r="6703">
      <c r="A6703" s="3" t="s">
        <v>30212</v>
      </c>
      <c r="B6703" s="3" t="s">
        <v>30213</v>
      </c>
      <c r="C6703" s="5" t="s">
        <v>36</v>
      </c>
      <c r="D6703" s="5" t="s">
        <v>36</v>
      </c>
      <c r="E6703" s="5" t="s">
        <v>36</v>
      </c>
      <c r="F6703" s="5" t="s">
        <v>36</v>
      </c>
      <c r="G6703" s="6" t="s">
        <v>36</v>
      </c>
      <c r="H6703" s="4">
        <v>255.69</v>
      </c>
      <c r="I6703" s="7">
        <v>27.27</v>
      </c>
      <c r="J6703" s="3" t="s">
        <v>521</v>
      </c>
      <c r="K6703" s="9" t="s">
        <v>36</v>
      </c>
      <c r="L6703" s="6" t="s">
        <v>36</v>
      </c>
      <c r="M6703" s="3" t="s">
        <v>36</v>
      </c>
      <c r="N6703" s="3" t="s">
        <v>36</v>
      </c>
      <c r="O6703" s="8" t="s">
        <v>36</v>
      </c>
      <c r="P6703" s="3" t="s">
        <v>36</v>
      </c>
      <c r="Q6703" s="3" t="s">
        <v>36</v>
      </c>
      <c r="R6703" s="3" t="s">
        <v>36</v>
      </c>
      <c r="S6703" s="3" t="s">
        <v>36</v>
      </c>
      <c r="T6703" s="3" t="s">
        <v>30214</v>
      </c>
      <c r="U6703" s="3" t="s">
        <v>219</v>
      </c>
      <c r="V6703" s="3" t="s">
        <v>75</v>
      </c>
      <c r="W6703" s="3" t="s">
        <v>30215</v>
      </c>
      <c r="X6703" s="10" t="s">
        <v>21733</v>
      </c>
      <c r="Y6703" s="6" t="s">
        <v>42</v>
      </c>
      <c r="Z6703" s="4">
        <v>1.82</v>
      </c>
      <c r="AA6703" s="4">
        <v>6.66</v>
      </c>
      <c r="AB6703" s="3" t="s">
        <v>43</v>
      </c>
      <c r="AC6703" s="3" t="s">
        <v>30216</v>
      </c>
      <c r="AD6703" s="9">
        <v>42509</v>
      </c>
      <c r="AE6703" s="3" t="s">
        <v>1007</v>
      </c>
      <c r="AF6703" s="3" t="s">
        <v>1619</v>
      </c>
      <c r="AG6703" s="3" t="s">
        <v>30217</v>
      </c>
      <c r="AH6703" s="11">
        <f>HYPERLINK("https://my.pitchbook.com?c=70607-62T","View Company Online")</f>
      </c>
    </row>
    <row r="6704">
      <c r="A6704" s="12" t="s">
        <v>30218</v>
      </c>
      <c r="B6704" s="12" t="s">
        <v>16525</v>
      </c>
      <c r="C6704" s="19" t="s">
        <v>36</v>
      </c>
      <c r="D6704" s="19" t="s">
        <v>36</v>
      </c>
      <c r="E6704" s="19" t="s">
        <v>36</v>
      </c>
      <c r="F6704" s="19" t="s">
        <v>36</v>
      </c>
      <c r="G6704" s="15" t="s">
        <v>326</v>
      </c>
      <c r="H6704" s="14">
        <v>13.66</v>
      </c>
      <c r="I6704" s="18">
        <v>32.38</v>
      </c>
      <c r="J6704" s="12" t="s">
        <v>521</v>
      </c>
      <c r="K6704" s="13" t="s">
        <v>36</v>
      </c>
      <c r="L6704" s="15" t="s">
        <v>122</v>
      </c>
      <c r="M6704" s="12" t="s">
        <v>36</v>
      </c>
      <c r="N6704" s="12" t="s">
        <v>122</v>
      </c>
      <c r="O6704" s="17" t="s">
        <v>36</v>
      </c>
      <c r="P6704" s="12" t="s">
        <v>36</v>
      </c>
      <c r="Q6704" s="12" t="s">
        <v>36</v>
      </c>
      <c r="R6704" s="12" t="s">
        <v>36</v>
      </c>
      <c r="S6704" s="12" t="s">
        <v>36</v>
      </c>
      <c r="T6704" s="12" t="s">
        <v>1253</v>
      </c>
      <c r="U6704" s="12" t="s">
        <v>38</v>
      </c>
      <c r="V6704" s="12" t="s">
        <v>39</v>
      </c>
      <c r="W6704" s="12" t="s">
        <v>16526</v>
      </c>
      <c r="X6704" s="16" t="s">
        <v>30219</v>
      </c>
      <c r="Y6704" s="15" t="s">
        <v>108</v>
      </c>
      <c r="Z6704" s="14">
        <v>9.65</v>
      </c>
      <c r="AA6704" s="14">
        <v>29.8</v>
      </c>
      <c r="AB6704" s="12" t="s">
        <v>43</v>
      </c>
      <c r="AC6704" s="12" t="s">
        <v>16528</v>
      </c>
      <c r="AD6704" s="13">
        <v>42509</v>
      </c>
      <c r="AE6704" s="12" t="s">
        <v>45</v>
      </c>
      <c r="AF6704" s="12" t="s">
        <v>16529</v>
      </c>
      <c r="AG6704" s="12" t="s">
        <v>81</v>
      </c>
      <c r="AH6704" s="1">
        <f>HYPERLINK("https://my.pitchbook.com?c=70395-76T","View Company Online")</f>
      </c>
    </row>
    <row r="6705">
      <c r="A6705" s="3" t="s">
        <v>30220</v>
      </c>
      <c r="B6705" s="3" t="s">
        <v>30221</v>
      </c>
      <c r="C6705" s="5" t="s">
        <v>36</v>
      </c>
      <c r="D6705" s="5" t="s">
        <v>36</v>
      </c>
      <c r="E6705" s="5" t="s">
        <v>36</v>
      </c>
      <c r="F6705" s="5" t="s">
        <v>36</v>
      </c>
      <c r="G6705" s="6" t="s">
        <v>36</v>
      </c>
      <c r="H6705" s="4" t="s">
        <v>36</v>
      </c>
      <c r="I6705" s="7" t="s">
        <v>36</v>
      </c>
      <c r="J6705" s="3" t="s">
        <v>36</v>
      </c>
      <c r="K6705" s="9" t="s">
        <v>36</v>
      </c>
      <c r="L6705" s="6" t="s">
        <v>36</v>
      </c>
      <c r="M6705" s="3" t="s">
        <v>36</v>
      </c>
      <c r="N6705" s="3" t="s">
        <v>36</v>
      </c>
      <c r="O6705" s="8" t="s">
        <v>36</v>
      </c>
      <c r="P6705" s="3" t="s">
        <v>36</v>
      </c>
      <c r="Q6705" s="3" t="s">
        <v>36</v>
      </c>
      <c r="R6705" s="3" t="s">
        <v>36</v>
      </c>
      <c r="S6705" s="3" t="s">
        <v>36</v>
      </c>
      <c r="T6705" s="3" t="s">
        <v>3168</v>
      </c>
      <c r="U6705" s="3" t="s">
        <v>289</v>
      </c>
      <c r="V6705" s="3" t="s">
        <v>64</v>
      </c>
      <c r="W6705" s="3" t="s">
        <v>30222</v>
      </c>
      <c r="X6705" s="10" t="s">
        <v>17804</v>
      </c>
      <c r="Y6705" s="6" t="s">
        <v>42</v>
      </c>
      <c r="Z6705" s="4">
        <v>1.14</v>
      </c>
      <c r="AA6705" s="4" t="s">
        <v>36</v>
      </c>
      <c r="AB6705" s="3" t="s">
        <v>56</v>
      </c>
      <c r="AC6705" s="3" t="s">
        <v>30223</v>
      </c>
      <c r="AD6705" s="9">
        <v>42508</v>
      </c>
      <c r="AE6705" s="3" t="s">
        <v>3134</v>
      </c>
      <c r="AF6705" s="3" t="s">
        <v>2118</v>
      </c>
      <c r="AG6705" s="3" t="s">
        <v>144</v>
      </c>
      <c r="AH6705" s="11">
        <f>HYPERLINK("https://my.pitchbook.com?c=80089-84T","View Company Online")</f>
      </c>
    </row>
    <row r="6706">
      <c r="A6706" s="12" t="s">
        <v>30224</v>
      </c>
      <c r="B6706" s="12" t="s">
        <v>6693</v>
      </c>
      <c r="C6706" s="19" t="s">
        <v>36</v>
      </c>
      <c r="D6706" s="19" t="s">
        <v>36</v>
      </c>
      <c r="E6706" s="19" t="s">
        <v>36</v>
      </c>
      <c r="F6706" s="19" t="s">
        <v>36</v>
      </c>
      <c r="G6706" s="15" t="s">
        <v>36</v>
      </c>
      <c r="H6706" s="14">
        <v>1.04</v>
      </c>
      <c r="I6706" s="18">
        <v>19.98</v>
      </c>
      <c r="J6706" s="12" t="s">
        <v>521</v>
      </c>
      <c r="K6706" s="13" t="s">
        <v>36</v>
      </c>
      <c r="L6706" s="15" t="s">
        <v>122</v>
      </c>
      <c r="M6706" s="12" t="s">
        <v>36</v>
      </c>
      <c r="N6706" s="12" t="s">
        <v>122</v>
      </c>
      <c r="O6706" s="17" t="s">
        <v>36</v>
      </c>
      <c r="P6706" s="12" t="s">
        <v>36</v>
      </c>
      <c r="Q6706" s="12" t="s">
        <v>36</v>
      </c>
      <c r="R6706" s="12" t="s">
        <v>36</v>
      </c>
      <c r="S6706" s="12" t="s">
        <v>36</v>
      </c>
      <c r="T6706" s="12" t="s">
        <v>6694</v>
      </c>
      <c r="U6706" s="12" t="s">
        <v>728</v>
      </c>
      <c r="V6706" s="12" t="s">
        <v>64</v>
      </c>
      <c r="W6706" s="12" t="s">
        <v>6695</v>
      </c>
      <c r="X6706" s="16" t="s">
        <v>17804</v>
      </c>
      <c r="Y6706" s="15" t="s">
        <v>55</v>
      </c>
      <c r="Z6706" s="14">
        <v>2.27</v>
      </c>
      <c r="AA6706" s="14">
        <v>10.69</v>
      </c>
      <c r="AB6706" s="12" t="s">
        <v>43</v>
      </c>
      <c r="AC6706" s="12" t="s">
        <v>6697</v>
      </c>
      <c r="AD6706" s="13">
        <v>42508</v>
      </c>
      <c r="AE6706" s="12" t="s">
        <v>2154</v>
      </c>
      <c r="AF6706" s="12" t="s">
        <v>2118</v>
      </c>
      <c r="AG6706" s="12" t="s">
        <v>81</v>
      </c>
      <c r="AH6706" s="1">
        <f>HYPERLINK("https://my.pitchbook.com?c=134806-96T","View Company Online")</f>
      </c>
    </row>
    <row r="6707">
      <c r="A6707" s="3" t="s">
        <v>30225</v>
      </c>
      <c r="B6707" s="3" t="s">
        <v>30226</v>
      </c>
      <c r="C6707" s="5" t="s">
        <v>36</v>
      </c>
      <c r="D6707" s="5">
        <v>7</v>
      </c>
      <c r="E6707" s="5">
        <v>1</v>
      </c>
      <c r="F6707" s="5">
        <v>9</v>
      </c>
      <c r="G6707" s="6" t="s">
        <v>36</v>
      </c>
      <c r="H6707" s="4">
        <v>11.81</v>
      </c>
      <c r="I6707" s="7">
        <v>41.87</v>
      </c>
      <c r="J6707" s="3" t="s">
        <v>521</v>
      </c>
      <c r="K6707" s="9" t="s">
        <v>36</v>
      </c>
      <c r="L6707" s="6" t="s">
        <v>36</v>
      </c>
      <c r="M6707" s="3" t="s">
        <v>36</v>
      </c>
      <c r="N6707" s="3" t="s">
        <v>36</v>
      </c>
      <c r="O6707" s="8" t="s">
        <v>36</v>
      </c>
      <c r="P6707" s="3" t="s">
        <v>36</v>
      </c>
      <c r="Q6707" s="3" t="s">
        <v>36</v>
      </c>
      <c r="R6707" s="3" t="s">
        <v>36</v>
      </c>
      <c r="S6707" s="3" t="s">
        <v>36</v>
      </c>
      <c r="T6707" s="3" t="s">
        <v>1725</v>
      </c>
      <c r="U6707" s="3" t="s">
        <v>318</v>
      </c>
      <c r="V6707" s="3" t="s">
        <v>39</v>
      </c>
      <c r="W6707" s="3" t="s">
        <v>30227</v>
      </c>
      <c r="X6707" s="10" t="s">
        <v>30228</v>
      </c>
      <c r="Y6707" s="6" t="s">
        <v>42</v>
      </c>
      <c r="Z6707" s="4">
        <v>1.25</v>
      </c>
      <c r="AA6707" s="4">
        <v>2.22</v>
      </c>
      <c r="AB6707" s="3" t="s">
        <v>43</v>
      </c>
      <c r="AC6707" s="3" t="s">
        <v>30229</v>
      </c>
      <c r="AD6707" s="9">
        <v>42503</v>
      </c>
      <c r="AE6707" s="3" t="s">
        <v>763</v>
      </c>
      <c r="AF6707" s="3" t="s">
        <v>30230</v>
      </c>
      <c r="AG6707" s="3" t="s">
        <v>81</v>
      </c>
      <c r="AH6707" s="11">
        <f>HYPERLINK("https://my.pitchbook.com?c=81660-07T","View Company Online")</f>
      </c>
    </row>
    <row r="6708">
      <c r="A6708" s="12" t="s">
        <v>30231</v>
      </c>
      <c r="B6708" s="12" t="s">
        <v>19677</v>
      </c>
      <c r="C6708" s="19" t="s">
        <v>36</v>
      </c>
      <c r="D6708" s="19" t="s">
        <v>36</v>
      </c>
      <c r="E6708" s="19" t="s">
        <v>36</v>
      </c>
      <c r="F6708" s="19" t="s">
        <v>36</v>
      </c>
      <c r="G6708" s="15" t="s">
        <v>2497</v>
      </c>
      <c r="H6708" s="14">
        <v>38.23</v>
      </c>
      <c r="I6708" s="18">
        <v>14.18</v>
      </c>
      <c r="J6708" s="12" t="s">
        <v>521</v>
      </c>
      <c r="K6708" s="13" t="s">
        <v>36</v>
      </c>
      <c r="L6708" s="15" t="s">
        <v>36</v>
      </c>
      <c r="M6708" s="12" t="s">
        <v>36</v>
      </c>
      <c r="N6708" s="12" t="s">
        <v>36</v>
      </c>
      <c r="O6708" s="17" t="s">
        <v>36</v>
      </c>
      <c r="P6708" s="12" t="s">
        <v>36</v>
      </c>
      <c r="Q6708" s="12" t="s">
        <v>36</v>
      </c>
      <c r="R6708" s="12" t="s">
        <v>36</v>
      </c>
      <c r="S6708" s="12" t="s">
        <v>36</v>
      </c>
      <c r="T6708" s="12" t="s">
        <v>30232</v>
      </c>
      <c r="U6708" s="12" t="s">
        <v>404</v>
      </c>
      <c r="V6708" s="12" t="s">
        <v>405</v>
      </c>
      <c r="W6708" s="12" t="s">
        <v>30233</v>
      </c>
      <c r="X6708" s="16" t="s">
        <v>30234</v>
      </c>
      <c r="Y6708" s="15" t="s">
        <v>108</v>
      </c>
      <c r="Z6708" s="14">
        <v>0.39</v>
      </c>
      <c r="AA6708" s="14">
        <v>2.73</v>
      </c>
      <c r="AB6708" s="12" t="s">
        <v>43</v>
      </c>
      <c r="AC6708" s="12" t="s">
        <v>30235</v>
      </c>
      <c r="AD6708" s="13">
        <v>42502</v>
      </c>
      <c r="AE6708" s="12" t="s">
        <v>409</v>
      </c>
      <c r="AF6708" s="12" t="s">
        <v>36</v>
      </c>
      <c r="AG6708" s="12" t="s">
        <v>81</v>
      </c>
      <c r="AH6708" s="1">
        <f>HYPERLINK("https://my.pitchbook.com?c=170662-87T","View Company Online")</f>
      </c>
    </row>
    <row r="6709">
      <c r="A6709" s="3" t="s">
        <v>30236</v>
      </c>
      <c r="B6709" s="3" t="s">
        <v>9800</v>
      </c>
      <c r="C6709" s="5" t="s">
        <v>36</v>
      </c>
      <c r="D6709" s="5" t="s">
        <v>36</v>
      </c>
      <c r="E6709" s="5" t="s">
        <v>36</v>
      </c>
      <c r="F6709" s="5" t="s">
        <v>36</v>
      </c>
      <c r="G6709" s="6" t="s">
        <v>326</v>
      </c>
      <c r="H6709" s="4">
        <v>1930.08</v>
      </c>
      <c r="I6709" s="7">
        <v>19.46</v>
      </c>
      <c r="J6709" s="3" t="s">
        <v>521</v>
      </c>
      <c r="K6709" s="9" t="s">
        <v>36</v>
      </c>
      <c r="L6709" s="6" t="s">
        <v>1279</v>
      </c>
      <c r="M6709" s="3" t="s">
        <v>36</v>
      </c>
      <c r="N6709" s="3" t="s">
        <v>1279</v>
      </c>
      <c r="O6709" s="8" t="s">
        <v>36</v>
      </c>
      <c r="P6709" s="3" t="s">
        <v>36</v>
      </c>
      <c r="Q6709" s="3" t="s">
        <v>36</v>
      </c>
      <c r="R6709" s="3" t="s">
        <v>36</v>
      </c>
      <c r="S6709" s="3" t="s">
        <v>36</v>
      </c>
      <c r="T6709" s="3" t="s">
        <v>115</v>
      </c>
      <c r="U6709" s="3" t="s">
        <v>63</v>
      </c>
      <c r="V6709" s="3" t="s">
        <v>64</v>
      </c>
      <c r="W6709" s="3" t="s">
        <v>9801</v>
      </c>
      <c r="X6709" s="10" t="s">
        <v>30237</v>
      </c>
      <c r="Y6709" s="6" t="s">
        <v>55</v>
      </c>
      <c r="Z6709" s="4">
        <v>20.95</v>
      </c>
      <c r="AA6709" s="4">
        <v>63.4</v>
      </c>
      <c r="AB6709" s="3" t="s">
        <v>56</v>
      </c>
      <c r="AC6709" s="3" t="s">
        <v>9803</v>
      </c>
      <c r="AD6709" s="9">
        <v>42502</v>
      </c>
      <c r="AE6709" s="3" t="s">
        <v>68</v>
      </c>
      <c r="AF6709" s="3" t="s">
        <v>176</v>
      </c>
      <c r="AG6709" s="3" t="s">
        <v>81</v>
      </c>
      <c r="AH6709" s="11">
        <f>HYPERLINK("https://my.pitchbook.com?c=70131-43T","View Company Online")</f>
      </c>
    </row>
    <row r="6710">
      <c r="A6710" s="12" t="s">
        <v>30238</v>
      </c>
      <c r="B6710" s="12" t="s">
        <v>24099</v>
      </c>
      <c r="C6710" s="19" t="s">
        <v>36</v>
      </c>
      <c r="D6710" s="19" t="s">
        <v>36</v>
      </c>
      <c r="E6710" s="19">
        <v>8</v>
      </c>
      <c r="F6710" s="19">
        <v>8</v>
      </c>
      <c r="G6710" s="15" t="s">
        <v>36</v>
      </c>
      <c r="H6710" s="14">
        <v>2596.42</v>
      </c>
      <c r="I6710" s="18">
        <v>18.03</v>
      </c>
      <c r="J6710" s="12" t="s">
        <v>521</v>
      </c>
      <c r="K6710" s="13" t="s">
        <v>36</v>
      </c>
      <c r="L6710" s="15" t="s">
        <v>36</v>
      </c>
      <c r="M6710" s="12" t="s">
        <v>36</v>
      </c>
      <c r="N6710" s="12" t="s">
        <v>36</v>
      </c>
      <c r="O6710" s="17" t="s">
        <v>36</v>
      </c>
      <c r="P6710" s="12" t="s">
        <v>36</v>
      </c>
      <c r="Q6710" s="12" t="s">
        <v>36</v>
      </c>
      <c r="R6710" s="12" t="s">
        <v>36</v>
      </c>
      <c r="S6710" s="12" t="s">
        <v>36</v>
      </c>
      <c r="T6710" s="12" t="s">
        <v>1935</v>
      </c>
      <c r="U6710" s="12" t="s">
        <v>38</v>
      </c>
      <c r="V6710" s="12" t="s">
        <v>39</v>
      </c>
      <c r="W6710" s="12" t="s">
        <v>24100</v>
      </c>
      <c r="X6710" s="16" t="s">
        <v>30239</v>
      </c>
      <c r="Y6710" s="15" t="s">
        <v>42</v>
      </c>
      <c r="Z6710" s="14">
        <v>0.62</v>
      </c>
      <c r="AA6710" s="14">
        <v>3.46</v>
      </c>
      <c r="AB6710" s="12" t="s">
        <v>43</v>
      </c>
      <c r="AC6710" s="12" t="s">
        <v>24102</v>
      </c>
      <c r="AD6710" s="13">
        <v>42502</v>
      </c>
      <c r="AE6710" s="12" t="s">
        <v>45</v>
      </c>
      <c r="AF6710" s="12" t="s">
        <v>24103</v>
      </c>
      <c r="AG6710" s="12" t="s">
        <v>1479</v>
      </c>
      <c r="AH6710" s="1">
        <f>HYPERLINK("https://my.pitchbook.com?c=71334-91T","View Company Online")</f>
      </c>
    </row>
    <row r="6711">
      <c r="A6711" s="3" t="s">
        <v>30240</v>
      </c>
      <c r="B6711" s="3" t="s">
        <v>30241</v>
      </c>
      <c r="C6711" s="5" t="s">
        <v>36</v>
      </c>
      <c r="D6711" s="5">
        <v>1</v>
      </c>
      <c r="E6711" s="5">
        <v>1</v>
      </c>
      <c r="F6711" s="5">
        <v>2</v>
      </c>
      <c r="G6711" s="6" t="s">
        <v>36</v>
      </c>
      <c r="H6711" s="4">
        <v>0.16</v>
      </c>
      <c r="I6711" s="7">
        <v>43.76</v>
      </c>
      <c r="J6711" s="3" t="s">
        <v>521</v>
      </c>
      <c r="K6711" s="9" t="s">
        <v>36</v>
      </c>
      <c r="L6711" s="6" t="s">
        <v>36</v>
      </c>
      <c r="M6711" s="3" t="s">
        <v>36</v>
      </c>
      <c r="N6711" s="3" t="s">
        <v>36</v>
      </c>
      <c r="O6711" s="8" t="s">
        <v>36</v>
      </c>
      <c r="P6711" s="3" t="s">
        <v>36</v>
      </c>
      <c r="Q6711" s="3" t="s">
        <v>36</v>
      </c>
      <c r="R6711" s="3" t="s">
        <v>36</v>
      </c>
      <c r="S6711" s="3" t="s">
        <v>36</v>
      </c>
      <c r="T6711" s="3" t="s">
        <v>30242</v>
      </c>
      <c r="U6711" s="3" t="s">
        <v>233</v>
      </c>
      <c r="V6711" s="3" t="s">
        <v>39</v>
      </c>
      <c r="W6711" s="3" t="s">
        <v>30243</v>
      </c>
      <c r="X6711" s="10" t="s">
        <v>30244</v>
      </c>
      <c r="Y6711" s="6" t="s">
        <v>55</v>
      </c>
      <c r="Z6711" s="4">
        <v>2.7</v>
      </c>
      <c r="AA6711" s="4">
        <v>6.17</v>
      </c>
      <c r="AB6711" s="3" t="s">
        <v>56</v>
      </c>
      <c r="AC6711" s="3" t="s">
        <v>30245</v>
      </c>
      <c r="AD6711" s="9">
        <v>42502</v>
      </c>
      <c r="AE6711" s="3" t="s">
        <v>236</v>
      </c>
      <c r="AF6711" s="3" t="s">
        <v>1636</v>
      </c>
      <c r="AG6711" s="3" t="s">
        <v>741</v>
      </c>
      <c r="AH6711" s="11">
        <f>HYPERLINK("https://my.pitchbook.com?c=92164-60T","View Company Online")</f>
      </c>
    </row>
    <row r="6712">
      <c r="A6712" s="12" t="s">
        <v>30246</v>
      </c>
      <c r="B6712" s="12" t="s">
        <v>30247</v>
      </c>
      <c r="C6712" s="19" t="s">
        <v>36</v>
      </c>
      <c r="D6712" s="19" t="s">
        <v>36</v>
      </c>
      <c r="E6712" s="19" t="s">
        <v>36</v>
      </c>
      <c r="F6712" s="19" t="s">
        <v>36</v>
      </c>
      <c r="G6712" s="15" t="s">
        <v>36</v>
      </c>
      <c r="H6712" s="14">
        <v>19.47</v>
      </c>
      <c r="I6712" s="18">
        <v>25</v>
      </c>
      <c r="J6712" s="12" t="s">
        <v>521</v>
      </c>
      <c r="K6712" s="13" t="s">
        <v>36</v>
      </c>
      <c r="L6712" s="15" t="s">
        <v>36</v>
      </c>
      <c r="M6712" s="12" t="s">
        <v>36</v>
      </c>
      <c r="N6712" s="12" t="s">
        <v>36</v>
      </c>
      <c r="O6712" s="17" t="s">
        <v>36</v>
      </c>
      <c r="P6712" s="12" t="s">
        <v>36</v>
      </c>
      <c r="Q6712" s="12" t="s">
        <v>36</v>
      </c>
      <c r="R6712" s="12" t="s">
        <v>36</v>
      </c>
      <c r="S6712" s="12" t="s">
        <v>36</v>
      </c>
      <c r="T6712" s="12" t="s">
        <v>105</v>
      </c>
      <c r="U6712" s="12" t="s">
        <v>38</v>
      </c>
      <c r="V6712" s="12" t="s">
        <v>39</v>
      </c>
      <c r="W6712" s="12" t="s">
        <v>30248</v>
      </c>
      <c r="X6712" s="16" t="s">
        <v>11058</v>
      </c>
      <c r="Y6712" s="15" t="s">
        <v>42</v>
      </c>
      <c r="Z6712" s="14">
        <v>0.57</v>
      </c>
      <c r="AA6712" s="14">
        <v>2.27</v>
      </c>
      <c r="AB6712" s="12" t="s">
        <v>43</v>
      </c>
      <c r="AC6712" s="12" t="s">
        <v>30249</v>
      </c>
      <c r="AD6712" s="13">
        <v>42500</v>
      </c>
      <c r="AE6712" s="12" t="s">
        <v>110</v>
      </c>
      <c r="AF6712" s="12" t="s">
        <v>4552</v>
      </c>
      <c r="AG6712" s="12" t="s">
        <v>382</v>
      </c>
      <c r="AH6712" s="1">
        <f>HYPERLINK("https://my.pitchbook.com?c=89399-98T","View Company Online")</f>
      </c>
    </row>
    <row r="6713">
      <c r="A6713" s="3" t="s">
        <v>30250</v>
      </c>
      <c r="B6713" s="3" t="s">
        <v>30251</v>
      </c>
      <c r="C6713" s="5" t="s">
        <v>36</v>
      </c>
      <c r="D6713" s="5" t="s">
        <v>36</v>
      </c>
      <c r="E6713" s="5" t="s">
        <v>36</v>
      </c>
      <c r="F6713" s="5" t="s">
        <v>36</v>
      </c>
      <c r="G6713" s="6" t="s">
        <v>36</v>
      </c>
      <c r="H6713" s="4" t="s">
        <v>36</v>
      </c>
      <c r="I6713" s="7" t="s">
        <v>36</v>
      </c>
      <c r="J6713" s="3" t="s">
        <v>36</v>
      </c>
      <c r="K6713" s="9" t="s">
        <v>36</v>
      </c>
      <c r="L6713" s="6" t="s">
        <v>36</v>
      </c>
      <c r="M6713" s="3" t="s">
        <v>36</v>
      </c>
      <c r="N6713" s="3" t="s">
        <v>36</v>
      </c>
      <c r="O6713" s="8" t="s">
        <v>36</v>
      </c>
      <c r="P6713" s="3" t="s">
        <v>36</v>
      </c>
      <c r="Q6713" s="3" t="s">
        <v>36</v>
      </c>
      <c r="R6713" s="3" t="s">
        <v>36</v>
      </c>
      <c r="S6713" s="3" t="s">
        <v>36</v>
      </c>
      <c r="T6713" s="3" t="s">
        <v>30252</v>
      </c>
      <c r="U6713" s="3" t="s">
        <v>74</v>
      </c>
      <c r="V6713" s="3" t="s">
        <v>75</v>
      </c>
      <c r="W6713" s="3" t="s">
        <v>30253</v>
      </c>
      <c r="X6713" s="10" t="s">
        <v>5892</v>
      </c>
      <c r="Y6713" s="6" t="s">
        <v>42</v>
      </c>
      <c r="Z6713" s="4" t="s">
        <v>36</v>
      </c>
      <c r="AA6713" s="4" t="s">
        <v>36</v>
      </c>
      <c r="AB6713" s="3" t="s">
        <v>43</v>
      </c>
      <c r="AC6713" s="3" t="s">
        <v>30254</v>
      </c>
      <c r="AD6713" s="9">
        <v>42496</v>
      </c>
      <c r="AE6713" s="3" t="s">
        <v>30255</v>
      </c>
      <c r="AF6713" s="3" t="s">
        <v>4668</v>
      </c>
      <c r="AG6713" s="3" t="s">
        <v>8217</v>
      </c>
      <c r="AH6713" s="11">
        <f>HYPERLINK("https://my.pitchbook.com?c=75803-23T","View Company Online")</f>
      </c>
    </row>
    <row r="6714">
      <c r="A6714" s="12" t="s">
        <v>30256</v>
      </c>
      <c r="B6714" s="12" t="s">
        <v>22025</v>
      </c>
      <c r="C6714" s="19" t="s">
        <v>36</v>
      </c>
      <c r="D6714" s="19" t="s">
        <v>36</v>
      </c>
      <c r="E6714" s="19" t="s">
        <v>36</v>
      </c>
      <c r="F6714" s="19" t="s">
        <v>36</v>
      </c>
      <c r="G6714" s="15" t="s">
        <v>2497</v>
      </c>
      <c r="H6714" s="14">
        <v>155.52</v>
      </c>
      <c r="I6714" s="18">
        <v>53.01</v>
      </c>
      <c r="J6714" s="12" t="s">
        <v>521</v>
      </c>
      <c r="K6714" s="13" t="s">
        <v>36</v>
      </c>
      <c r="L6714" s="15" t="s">
        <v>36</v>
      </c>
      <c r="M6714" s="12" t="s">
        <v>36</v>
      </c>
      <c r="N6714" s="12" t="s">
        <v>36</v>
      </c>
      <c r="O6714" s="17" t="s">
        <v>36</v>
      </c>
      <c r="P6714" s="12" t="s">
        <v>36</v>
      </c>
      <c r="Q6714" s="12" t="s">
        <v>36</v>
      </c>
      <c r="R6714" s="12" t="s">
        <v>36</v>
      </c>
      <c r="S6714" s="12" t="s">
        <v>36</v>
      </c>
      <c r="T6714" s="12" t="s">
        <v>22026</v>
      </c>
      <c r="U6714" s="12" t="s">
        <v>38</v>
      </c>
      <c r="V6714" s="12" t="s">
        <v>39</v>
      </c>
      <c r="W6714" s="12" t="s">
        <v>22027</v>
      </c>
      <c r="X6714" s="16" t="s">
        <v>30257</v>
      </c>
      <c r="Y6714" s="15" t="s">
        <v>108</v>
      </c>
      <c r="Z6714" s="14">
        <v>2.95</v>
      </c>
      <c r="AA6714" s="14">
        <v>3.86</v>
      </c>
      <c r="AB6714" s="12" t="s">
        <v>56</v>
      </c>
      <c r="AC6714" s="12" t="s">
        <v>22029</v>
      </c>
      <c r="AD6714" s="13">
        <v>42495</v>
      </c>
      <c r="AE6714" s="12" t="s">
        <v>110</v>
      </c>
      <c r="AF6714" s="12" t="s">
        <v>118</v>
      </c>
      <c r="AG6714" s="12" t="s">
        <v>924</v>
      </c>
      <c r="AH6714" s="1">
        <f>HYPERLINK("https://my.pitchbook.com?c=69859-45T","View Company Online")</f>
      </c>
    </row>
    <row r="6715">
      <c r="A6715" s="3" t="s">
        <v>30258</v>
      </c>
      <c r="B6715" s="3" t="s">
        <v>27472</v>
      </c>
      <c r="C6715" s="5" t="s">
        <v>36</v>
      </c>
      <c r="D6715" s="5" t="s">
        <v>36</v>
      </c>
      <c r="E6715" s="5" t="s">
        <v>36</v>
      </c>
      <c r="F6715" s="5" t="s">
        <v>36</v>
      </c>
      <c r="G6715" s="6" t="s">
        <v>36</v>
      </c>
      <c r="H6715" s="4">
        <v>9.11</v>
      </c>
      <c r="I6715" s="7">
        <v>32.07</v>
      </c>
      <c r="J6715" s="3" t="s">
        <v>327</v>
      </c>
      <c r="K6715" s="9" t="s">
        <v>36</v>
      </c>
      <c r="L6715" s="6" t="s">
        <v>36</v>
      </c>
      <c r="M6715" s="3" t="s">
        <v>36</v>
      </c>
      <c r="N6715" s="3" t="s">
        <v>36</v>
      </c>
      <c r="O6715" s="8" t="s">
        <v>36</v>
      </c>
      <c r="P6715" s="3" t="s">
        <v>36</v>
      </c>
      <c r="Q6715" s="3" t="s">
        <v>36</v>
      </c>
      <c r="R6715" s="3" t="s">
        <v>36</v>
      </c>
      <c r="S6715" s="3" t="s">
        <v>36</v>
      </c>
      <c r="T6715" s="3" t="s">
        <v>550</v>
      </c>
      <c r="U6715" s="3" t="s">
        <v>38</v>
      </c>
      <c r="V6715" s="3" t="s">
        <v>39</v>
      </c>
      <c r="W6715" s="3" t="s">
        <v>27473</v>
      </c>
      <c r="X6715" s="10" t="s">
        <v>30259</v>
      </c>
      <c r="Y6715" s="6" t="s">
        <v>42</v>
      </c>
      <c r="Z6715" s="4">
        <v>0.9</v>
      </c>
      <c r="AA6715" s="4">
        <v>2.81</v>
      </c>
      <c r="AB6715" s="3" t="s">
        <v>43</v>
      </c>
      <c r="AC6715" s="3" t="s">
        <v>27475</v>
      </c>
      <c r="AD6715" s="9">
        <v>42494</v>
      </c>
      <c r="AE6715" s="3" t="s">
        <v>554</v>
      </c>
      <c r="AF6715" s="3" t="s">
        <v>24643</v>
      </c>
      <c r="AG6715" s="3" t="s">
        <v>81</v>
      </c>
      <c r="AH6715" s="11">
        <f>HYPERLINK("https://my.pitchbook.com?c=109022-23T","View Company Online")</f>
      </c>
    </row>
    <row r="6716">
      <c r="A6716" s="12" t="s">
        <v>30260</v>
      </c>
      <c r="B6716" s="12" t="s">
        <v>30261</v>
      </c>
      <c r="C6716" s="19" t="s">
        <v>36</v>
      </c>
      <c r="D6716" s="19" t="s">
        <v>36</v>
      </c>
      <c r="E6716" s="19" t="s">
        <v>36</v>
      </c>
      <c r="F6716" s="19" t="s">
        <v>36</v>
      </c>
      <c r="G6716" s="15" t="s">
        <v>36</v>
      </c>
      <c r="H6716" s="14">
        <v>269.52</v>
      </c>
      <c r="I6716" s="18">
        <v>24.44</v>
      </c>
      <c r="J6716" s="12" t="s">
        <v>327</v>
      </c>
      <c r="K6716" s="13" t="s">
        <v>36</v>
      </c>
      <c r="L6716" s="15" t="s">
        <v>36</v>
      </c>
      <c r="M6716" s="12" t="s">
        <v>36</v>
      </c>
      <c r="N6716" s="12" t="s">
        <v>36</v>
      </c>
      <c r="O6716" s="17" t="s">
        <v>36</v>
      </c>
      <c r="P6716" s="12" t="s">
        <v>36</v>
      </c>
      <c r="Q6716" s="12" t="s">
        <v>36</v>
      </c>
      <c r="R6716" s="12" t="s">
        <v>36</v>
      </c>
      <c r="S6716" s="12" t="s">
        <v>36</v>
      </c>
      <c r="T6716" s="12" t="s">
        <v>1701</v>
      </c>
      <c r="U6716" s="12" t="s">
        <v>74</v>
      </c>
      <c r="V6716" s="12" t="s">
        <v>75</v>
      </c>
      <c r="W6716" s="12" t="s">
        <v>30262</v>
      </c>
      <c r="X6716" s="16" t="s">
        <v>9741</v>
      </c>
      <c r="Y6716" s="15" t="s">
        <v>42</v>
      </c>
      <c r="Z6716" s="14">
        <v>1.7</v>
      </c>
      <c r="AA6716" s="14">
        <v>6.81</v>
      </c>
      <c r="AB6716" s="12" t="s">
        <v>56</v>
      </c>
      <c r="AC6716" s="12" t="s">
        <v>30263</v>
      </c>
      <c r="AD6716" s="13">
        <v>42493</v>
      </c>
      <c r="AE6716" s="12" t="s">
        <v>79</v>
      </c>
      <c r="AF6716" s="12" t="s">
        <v>24433</v>
      </c>
      <c r="AG6716" s="12" t="s">
        <v>81</v>
      </c>
      <c r="AH6716" s="1">
        <f>HYPERLINK("https://my.pitchbook.com?c=72921-88T","View Company Online")</f>
      </c>
    </row>
    <row r="6717">
      <c r="A6717" s="3" t="s">
        <v>30264</v>
      </c>
      <c r="B6717" s="3" t="s">
        <v>27721</v>
      </c>
      <c r="C6717" s="5" t="s">
        <v>36</v>
      </c>
      <c r="D6717" s="5" t="s">
        <v>36</v>
      </c>
      <c r="E6717" s="5" t="s">
        <v>36</v>
      </c>
      <c r="F6717" s="5" t="s">
        <v>36</v>
      </c>
      <c r="G6717" s="6" t="s">
        <v>326</v>
      </c>
      <c r="H6717" s="4">
        <v>55.02</v>
      </c>
      <c r="I6717" s="7">
        <v>34.32</v>
      </c>
      <c r="J6717" s="3" t="s">
        <v>521</v>
      </c>
      <c r="K6717" s="9">
        <v>41760</v>
      </c>
      <c r="L6717" s="6" t="s">
        <v>94</v>
      </c>
      <c r="M6717" s="3" t="s">
        <v>36</v>
      </c>
      <c r="N6717" s="3" t="s">
        <v>94</v>
      </c>
      <c r="O6717" s="8" t="s">
        <v>36</v>
      </c>
      <c r="P6717" s="3" t="s">
        <v>36</v>
      </c>
      <c r="Q6717" s="3" t="s">
        <v>36</v>
      </c>
      <c r="R6717" s="3" t="s">
        <v>36</v>
      </c>
      <c r="S6717" s="3" t="s">
        <v>36</v>
      </c>
      <c r="T6717" s="3" t="s">
        <v>10338</v>
      </c>
      <c r="U6717" s="3" t="s">
        <v>648</v>
      </c>
      <c r="V6717" s="3" t="s">
        <v>64</v>
      </c>
      <c r="W6717" s="3" t="s">
        <v>27722</v>
      </c>
      <c r="X6717" s="10" t="s">
        <v>30265</v>
      </c>
      <c r="Y6717" s="6" t="s">
        <v>192</v>
      </c>
      <c r="Z6717" s="4">
        <v>7.92</v>
      </c>
      <c r="AA6717" s="4">
        <v>23.09</v>
      </c>
      <c r="AB6717" s="3" t="s">
        <v>43</v>
      </c>
      <c r="AC6717" s="3" t="s">
        <v>27724</v>
      </c>
      <c r="AD6717" s="9">
        <v>42493</v>
      </c>
      <c r="AE6717" s="3" t="s">
        <v>651</v>
      </c>
      <c r="AF6717" s="3" t="s">
        <v>2118</v>
      </c>
      <c r="AG6717" s="3" t="s">
        <v>81</v>
      </c>
      <c r="AH6717" s="11">
        <f>HYPERLINK("https://my.pitchbook.com?c=86025-79T","View Company Online")</f>
      </c>
    </row>
    <row r="6718">
      <c r="A6718" s="12" t="s">
        <v>30266</v>
      </c>
      <c r="B6718" s="12" t="s">
        <v>30267</v>
      </c>
      <c r="C6718" s="19">
        <v>1</v>
      </c>
      <c r="D6718" s="19" t="s">
        <v>36</v>
      </c>
      <c r="E6718" s="19">
        <v>1</v>
      </c>
      <c r="F6718" s="19">
        <v>1</v>
      </c>
      <c r="G6718" s="15" t="s">
        <v>36</v>
      </c>
      <c r="H6718" s="14">
        <v>20.94</v>
      </c>
      <c r="I6718" s="18">
        <v>27.04</v>
      </c>
      <c r="J6718" s="12" t="s">
        <v>521</v>
      </c>
      <c r="K6718" s="13">
        <v>42490</v>
      </c>
      <c r="L6718" s="15" t="s">
        <v>36</v>
      </c>
      <c r="M6718" s="12" t="s">
        <v>36</v>
      </c>
      <c r="N6718" s="12" t="s">
        <v>36</v>
      </c>
      <c r="O6718" s="17" t="s">
        <v>36</v>
      </c>
      <c r="P6718" s="12" t="s">
        <v>36</v>
      </c>
      <c r="Q6718" s="12" t="s">
        <v>36</v>
      </c>
      <c r="R6718" s="12" t="s">
        <v>36</v>
      </c>
      <c r="S6718" s="12" t="s">
        <v>36</v>
      </c>
      <c r="T6718" s="12" t="s">
        <v>105</v>
      </c>
      <c r="U6718" s="12" t="s">
        <v>38</v>
      </c>
      <c r="V6718" s="12" t="s">
        <v>39</v>
      </c>
      <c r="W6718" s="12" t="s">
        <v>30268</v>
      </c>
      <c r="X6718" s="16" t="s">
        <v>30269</v>
      </c>
      <c r="Y6718" s="15" t="s">
        <v>42</v>
      </c>
      <c r="Z6718" s="14">
        <v>1.7</v>
      </c>
      <c r="AA6718" s="14">
        <v>4.2</v>
      </c>
      <c r="AB6718" s="12" t="s">
        <v>43</v>
      </c>
      <c r="AC6718" s="12" t="s">
        <v>30270</v>
      </c>
      <c r="AD6718" s="13">
        <v>42491</v>
      </c>
      <c r="AE6718" s="12" t="s">
        <v>110</v>
      </c>
      <c r="AF6718" s="12" t="s">
        <v>18740</v>
      </c>
      <c r="AG6718" s="12" t="s">
        <v>14704</v>
      </c>
      <c r="AH6718" s="1">
        <f>HYPERLINK("https://my.pitchbook.com?c=116544-70T","View Company Online")</f>
      </c>
    </row>
    <row r="6719">
      <c r="A6719" s="3" t="s">
        <v>30271</v>
      </c>
      <c r="B6719" s="3" t="s">
        <v>30272</v>
      </c>
      <c r="C6719" s="5" t="s">
        <v>36</v>
      </c>
      <c r="D6719" s="5">
        <v>1</v>
      </c>
      <c r="E6719" s="5">
        <v>1</v>
      </c>
      <c r="F6719" s="5">
        <v>2</v>
      </c>
      <c r="G6719" s="6" t="s">
        <v>36</v>
      </c>
      <c r="H6719" s="4" t="s">
        <v>36</v>
      </c>
      <c r="I6719" s="7" t="s">
        <v>36</v>
      </c>
      <c r="J6719" s="3" t="s">
        <v>36</v>
      </c>
      <c r="K6719" s="9" t="s">
        <v>36</v>
      </c>
      <c r="L6719" s="6" t="s">
        <v>36</v>
      </c>
      <c r="M6719" s="3" t="s">
        <v>36</v>
      </c>
      <c r="N6719" s="3" t="s">
        <v>36</v>
      </c>
      <c r="O6719" s="8" t="s">
        <v>36</v>
      </c>
      <c r="P6719" s="3" t="s">
        <v>36</v>
      </c>
      <c r="Q6719" s="3" t="s">
        <v>36</v>
      </c>
      <c r="R6719" s="3" t="s">
        <v>36</v>
      </c>
      <c r="S6719" s="3" t="s">
        <v>36</v>
      </c>
      <c r="T6719" s="3" t="s">
        <v>30273</v>
      </c>
      <c r="U6719" s="3" t="s">
        <v>833</v>
      </c>
      <c r="V6719" s="3" t="s">
        <v>64</v>
      </c>
      <c r="W6719" s="3" t="s">
        <v>30274</v>
      </c>
      <c r="X6719" s="10" t="s">
        <v>30275</v>
      </c>
      <c r="Y6719" s="6" t="s">
        <v>42</v>
      </c>
      <c r="Z6719" s="4" t="s">
        <v>36</v>
      </c>
      <c r="AA6719" s="4" t="s">
        <v>36</v>
      </c>
      <c r="AB6719" s="3" t="s">
        <v>43</v>
      </c>
      <c r="AC6719" s="3" t="s">
        <v>30276</v>
      </c>
      <c r="AD6719" s="9">
        <v>42491</v>
      </c>
      <c r="AE6719" s="3" t="s">
        <v>1069</v>
      </c>
      <c r="AF6719" s="3" t="s">
        <v>36</v>
      </c>
      <c r="AG6719" s="3" t="s">
        <v>81</v>
      </c>
      <c r="AH6719" s="11">
        <f>HYPERLINK("https://my.pitchbook.com?c=85977-46T","View Company Online")</f>
      </c>
    </row>
    <row r="6720">
      <c r="A6720" s="12" t="s">
        <v>30277</v>
      </c>
      <c r="B6720" s="12" t="s">
        <v>30278</v>
      </c>
      <c r="C6720" s="19" t="s">
        <v>36</v>
      </c>
      <c r="D6720" s="19" t="s">
        <v>36</v>
      </c>
      <c r="E6720" s="19" t="s">
        <v>36</v>
      </c>
      <c r="F6720" s="19" t="s">
        <v>36</v>
      </c>
      <c r="G6720" s="15" t="s">
        <v>36</v>
      </c>
      <c r="H6720" s="14" t="s">
        <v>36</v>
      </c>
      <c r="I6720" s="18" t="s">
        <v>36</v>
      </c>
      <c r="J6720" s="12" t="s">
        <v>36</v>
      </c>
      <c r="K6720" s="13" t="s">
        <v>36</v>
      </c>
      <c r="L6720" s="15" t="s">
        <v>36</v>
      </c>
      <c r="M6720" s="12" t="s">
        <v>36</v>
      </c>
      <c r="N6720" s="12" t="s">
        <v>36</v>
      </c>
      <c r="O6720" s="17" t="s">
        <v>36</v>
      </c>
      <c r="P6720" s="12" t="s">
        <v>36</v>
      </c>
      <c r="Q6720" s="12" t="s">
        <v>36</v>
      </c>
      <c r="R6720" s="12" t="s">
        <v>36</v>
      </c>
      <c r="S6720" s="12" t="s">
        <v>36</v>
      </c>
      <c r="T6720" s="12" t="s">
        <v>30279</v>
      </c>
      <c r="U6720" s="12" t="s">
        <v>219</v>
      </c>
      <c r="V6720" s="12" t="s">
        <v>75</v>
      </c>
      <c r="W6720" s="12" t="s">
        <v>30280</v>
      </c>
      <c r="X6720" s="16" t="s">
        <v>30281</v>
      </c>
      <c r="Y6720" s="15" t="s">
        <v>42</v>
      </c>
      <c r="Z6720" s="14" t="s">
        <v>36</v>
      </c>
      <c r="AA6720" s="14" t="s">
        <v>36</v>
      </c>
      <c r="AB6720" s="12" t="s">
        <v>56</v>
      </c>
      <c r="AC6720" s="12" t="s">
        <v>30282</v>
      </c>
      <c r="AD6720" s="13">
        <v>42491</v>
      </c>
      <c r="AE6720" s="12" t="s">
        <v>1032</v>
      </c>
      <c r="AF6720" s="12" t="s">
        <v>1969</v>
      </c>
      <c r="AG6720" s="12" t="s">
        <v>30283</v>
      </c>
      <c r="AH6720" s="1">
        <f>HYPERLINK("https://my.pitchbook.com?c=33350-86T","View Company Online")</f>
      </c>
    </row>
    <row r="6721">
      <c r="A6721" s="3" t="s">
        <v>30284</v>
      </c>
      <c r="B6721" s="3" t="s">
        <v>27500</v>
      </c>
      <c r="C6721" s="5">
        <v>10</v>
      </c>
      <c r="D6721" s="5">
        <v>39</v>
      </c>
      <c r="E6721" s="5">
        <v>6</v>
      </c>
      <c r="F6721" s="5">
        <v>49</v>
      </c>
      <c r="G6721" s="6" t="s">
        <v>683</v>
      </c>
      <c r="H6721" s="4">
        <v>44.53</v>
      </c>
      <c r="I6721" s="7">
        <v>28.57</v>
      </c>
      <c r="J6721" s="3" t="s">
        <v>521</v>
      </c>
      <c r="K6721" s="9">
        <v>42481</v>
      </c>
      <c r="L6721" s="6" t="s">
        <v>122</v>
      </c>
      <c r="M6721" s="3" t="s">
        <v>36</v>
      </c>
      <c r="N6721" s="3" t="s">
        <v>122</v>
      </c>
      <c r="O6721" s="8" t="s">
        <v>36</v>
      </c>
      <c r="P6721" s="3" t="s">
        <v>36</v>
      </c>
      <c r="Q6721" s="3" t="s">
        <v>36</v>
      </c>
      <c r="R6721" s="3" t="s">
        <v>36</v>
      </c>
      <c r="S6721" s="3" t="s">
        <v>36</v>
      </c>
      <c r="T6721" s="3" t="s">
        <v>27501</v>
      </c>
      <c r="U6721" s="3" t="s">
        <v>423</v>
      </c>
      <c r="V6721" s="3" t="s">
        <v>64</v>
      </c>
      <c r="W6721" s="3" t="s">
        <v>27502</v>
      </c>
      <c r="X6721" s="10" t="s">
        <v>30285</v>
      </c>
      <c r="Y6721" s="6" t="s">
        <v>55</v>
      </c>
      <c r="Z6721" s="4">
        <v>2.6</v>
      </c>
      <c r="AA6721" s="4">
        <v>3.18</v>
      </c>
      <c r="AB6721" s="3" t="s">
        <v>43</v>
      </c>
      <c r="AC6721" s="3" t="s">
        <v>27504</v>
      </c>
      <c r="AD6721" s="9">
        <v>42490</v>
      </c>
      <c r="AE6721" s="3" t="s">
        <v>1051</v>
      </c>
      <c r="AF6721" s="3" t="s">
        <v>27505</v>
      </c>
      <c r="AG6721" s="3" t="s">
        <v>2618</v>
      </c>
      <c r="AH6721" s="11">
        <f>HYPERLINK("https://my.pitchbook.com?c=64064-35T","View Company Online")</f>
      </c>
    </row>
    <row r="6722">
      <c r="A6722" s="12" t="s">
        <v>30286</v>
      </c>
      <c r="B6722" s="12" t="s">
        <v>5443</v>
      </c>
      <c r="C6722" s="19">
        <v>1</v>
      </c>
      <c r="D6722" s="19">
        <v>4</v>
      </c>
      <c r="E6722" s="19">
        <v>1</v>
      </c>
      <c r="F6722" s="19">
        <v>5</v>
      </c>
      <c r="G6722" s="15" t="s">
        <v>36</v>
      </c>
      <c r="H6722" s="14">
        <v>62.31</v>
      </c>
      <c r="I6722" s="18">
        <v>19.15</v>
      </c>
      <c r="J6722" s="12" t="s">
        <v>521</v>
      </c>
      <c r="K6722" s="13" t="s">
        <v>36</v>
      </c>
      <c r="L6722" s="15" t="s">
        <v>36</v>
      </c>
      <c r="M6722" s="12" t="s">
        <v>36</v>
      </c>
      <c r="N6722" s="12" t="s">
        <v>36</v>
      </c>
      <c r="O6722" s="17" t="s">
        <v>36</v>
      </c>
      <c r="P6722" s="12" t="s">
        <v>36</v>
      </c>
      <c r="Q6722" s="12" t="s">
        <v>36</v>
      </c>
      <c r="R6722" s="12" t="s">
        <v>36</v>
      </c>
      <c r="S6722" s="12" t="s">
        <v>36</v>
      </c>
      <c r="T6722" s="12" t="s">
        <v>386</v>
      </c>
      <c r="U6722" s="12" t="s">
        <v>387</v>
      </c>
      <c r="V6722" s="12" t="s">
        <v>367</v>
      </c>
      <c r="W6722" s="12" t="s">
        <v>5444</v>
      </c>
      <c r="X6722" s="16" t="s">
        <v>11058</v>
      </c>
      <c r="Y6722" s="15" t="s">
        <v>42</v>
      </c>
      <c r="Z6722" s="14">
        <v>0.35</v>
      </c>
      <c r="AA6722" s="14">
        <v>1.82</v>
      </c>
      <c r="AB6722" s="12" t="s">
        <v>43</v>
      </c>
      <c r="AC6722" s="12" t="s">
        <v>5446</v>
      </c>
      <c r="AD6722" s="13">
        <v>42489</v>
      </c>
      <c r="AE6722" s="12" t="s">
        <v>391</v>
      </c>
      <c r="AF6722" s="12" t="s">
        <v>5447</v>
      </c>
      <c r="AG6722" s="12" t="s">
        <v>102</v>
      </c>
      <c r="AH6722" s="1">
        <f>HYPERLINK("https://my.pitchbook.com?c=89375-95T","View Company Online")</f>
      </c>
    </row>
    <row r="6723">
      <c r="A6723" s="3" t="s">
        <v>30287</v>
      </c>
      <c r="B6723" s="3" t="s">
        <v>30288</v>
      </c>
      <c r="C6723" s="5" t="s">
        <v>36</v>
      </c>
      <c r="D6723" s="5" t="s">
        <v>36</v>
      </c>
      <c r="E6723" s="5" t="s">
        <v>36</v>
      </c>
      <c r="F6723" s="5" t="s">
        <v>36</v>
      </c>
      <c r="G6723" s="6" t="s">
        <v>326</v>
      </c>
      <c r="H6723" s="4">
        <v>32.87</v>
      </c>
      <c r="I6723" s="7">
        <v>30.53</v>
      </c>
      <c r="J6723" s="3" t="s">
        <v>521</v>
      </c>
      <c r="K6723" s="9" t="s">
        <v>36</v>
      </c>
      <c r="L6723" s="6" t="s">
        <v>122</v>
      </c>
      <c r="M6723" s="3" t="s">
        <v>36</v>
      </c>
      <c r="N6723" s="3" t="s">
        <v>122</v>
      </c>
      <c r="O6723" s="8" t="s">
        <v>36</v>
      </c>
      <c r="P6723" s="3" t="s">
        <v>36</v>
      </c>
      <c r="Q6723" s="3" t="s">
        <v>36</v>
      </c>
      <c r="R6723" s="3" t="s">
        <v>36</v>
      </c>
      <c r="S6723" s="3" t="s">
        <v>36</v>
      </c>
      <c r="T6723" s="3" t="s">
        <v>105</v>
      </c>
      <c r="U6723" s="3" t="s">
        <v>38</v>
      </c>
      <c r="V6723" s="3" t="s">
        <v>39</v>
      </c>
      <c r="W6723" s="3" t="s">
        <v>30289</v>
      </c>
      <c r="X6723" s="10" t="s">
        <v>30290</v>
      </c>
      <c r="Y6723" s="6" t="s">
        <v>108</v>
      </c>
      <c r="Z6723" s="4">
        <v>1.13</v>
      </c>
      <c r="AA6723" s="4">
        <v>3.71</v>
      </c>
      <c r="AB6723" s="3" t="s">
        <v>43</v>
      </c>
      <c r="AC6723" s="3" t="s">
        <v>30291</v>
      </c>
      <c r="AD6723" s="9">
        <v>42488</v>
      </c>
      <c r="AE6723" s="3" t="s">
        <v>110</v>
      </c>
      <c r="AF6723" s="3" t="s">
        <v>30292</v>
      </c>
      <c r="AG6723" s="3" t="s">
        <v>969</v>
      </c>
      <c r="AH6723" s="11">
        <f>HYPERLINK("https://my.pitchbook.com?c=75800-08T","View Company Online")</f>
      </c>
    </row>
    <row r="6724">
      <c r="A6724" s="12" t="s">
        <v>30293</v>
      </c>
      <c r="B6724" s="12" t="s">
        <v>30294</v>
      </c>
      <c r="C6724" s="19" t="s">
        <v>36</v>
      </c>
      <c r="D6724" s="19" t="s">
        <v>36</v>
      </c>
      <c r="E6724" s="19" t="s">
        <v>36</v>
      </c>
      <c r="F6724" s="19" t="s">
        <v>36</v>
      </c>
      <c r="G6724" s="15" t="s">
        <v>36</v>
      </c>
      <c r="H6724" s="14" t="s">
        <v>36</v>
      </c>
      <c r="I6724" s="18">
        <v>22.47</v>
      </c>
      <c r="J6724" s="12" t="s">
        <v>327</v>
      </c>
      <c r="K6724" s="13" t="s">
        <v>36</v>
      </c>
      <c r="L6724" s="15" t="s">
        <v>1279</v>
      </c>
      <c r="M6724" s="12" t="s">
        <v>36</v>
      </c>
      <c r="N6724" s="12" t="s">
        <v>1279</v>
      </c>
      <c r="O6724" s="17" t="s">
        <v>36</v>
      </c>
      <c r="P6724" s="12" t="s">
        <v>36</v>
      </c>
      <c r="Q6724" s="12" t="s">
        <v>36</v>
      </c>
      <c r="R6724" s="12" t="s">
        <v>36</v>
      </c>
      <c r="S6724" s="12" t="s">
        <v>6677</v>
      </c>
      <c r="T6724" s="12" t="s">
        <v>6288</v>
      </c>
      <c r="U6724" s="12" t="s">
        <v>85</v>
      </c>
      <c r="V6724" s="12" t="s">
        <v>64</v>
      </c>
      <c r="W6724" s="12" t="s">
        <v>30295</v>
      </c>
      <c r="X6724" s="16" t="s">
        <v>30296</v>
      </c>
      <c r="Y6724" s="15" t="s">
        <v>192</v>
      </c>
      <c r="Z6724" s="14">
        <v>39.67</v>
      </c>
      <c r="AA6724" s="14">
        <v>176.55</v>
      </c>
      <c r="AB6724" s="12" t="s">
        <v>56</v>
      </c>
      <c r="AC6724" s="12" t="s">
        <v>30297</v>
      </c>
      <c r="AD6724" s="13">
        <v>42488</v>
      </c>
      <c r="AE6724" s="12" t="s">
        <v>89</v>
      </c>
      <c r="AF6724" s="12" t="s">
        <v>30298</v>
      </c>
      <c r="AG6724" s="12" t="s">
        <v>81</v>
      </c>
      <c r="AH6724" s="1">
        <f>HYPERLINK("https://my.pitchbook.com?c=69519-97T","View Company Online")</f>
      </c>
    </row>
    <row r="6725">
      <c r="A6725" s="3" t="s">
        <v>30299</v>
      </c>
      <c r="B6725" s="3" t="s">
        <v>30300</v>
      </c>
      <c r="C6725" s="5" t="s">
        <v>36</v>
      </c>
      <c r="D6725" s="5" t="s">
        <v>36</v>
      </c>
      <c r="E6725" s="5" t="s">
        <v>36</v>
      </c>
      <c r="F6725" s="5" t="s">
        <v>36</v>
      </c>
      <c r="G6725" s="6" t="s">
        <v>36</v>
      </c>
      <c r="H6725" s="4">
        <v>62.31</v>
      </c>
      <c r="I6725" s="7">
        <v>25</v>
      </c>
      <c r="J6725" s="3" t="s">
        <v>521</v>
      </c>
      <c r="K6725" s="9">
        <v>42471</v>
      </c>
      <c r="L6725" s="6" t="s">
        <v>36</v>
      </c>
      <c r="M6725" s="3" t="s">
        <v>36</v>
      </c>
      <c r="N6725" s="3" t="s">
        <v>36</v>
      </c>
      <c r="O6725" s="8" t="s">
        <v>36</v>
      </c>
      <c r="P6725" s="3" t="s">
        <v>36</v>
      </c>
      <c r="Q6725" s="3" t="s">
        <v>36</v>
      </c>
      <c r="R6725" s="3" t="s">
        <v>36</v>
      </c>
      <c r="S6725" s="3" t="s">
        <v>36</v>
      </c>
      <c r="T6725" s="3" t="s">
        <v>17704</v>
      </c>
      <c r="U6725" s="3" t="s">
        <v>833</v>
      </c>
      <c r="V6725" s="3" t="s">
        <v>64</v>
      </c>
      <c r="W6725" s="3" t="s">
        <v>30301</v>
      </c>
      <c r="X6725" s="10" t="s">
        <v>30302</v>
      </c>
      <c r="Y6725" s="6" t="s">
        <v>42</v>
      </c>
      <c r="Z6725" s="4">
        <v>1.13</v>
      </c>
      <c r="AA6725" s="4">
        <v>4.53</v>
      </c>
      <c r="AB6725" s="3" t="s">
        <v>43</v>
      </c>
      <c r="AC6725" s="3" t="s">
        <v>30303</v>
      </c>
      <c r="AD6725" s="9">
        <v>42488</v>
      </c>
      <c r="AE6725" s="3" t="s">
        <v>1069</v>
      </c>
      <c r="AF6725" s="3" t="s">
        <v>30304</v>
      </c>
      <c r="AG6725" s="3" t="s">
        <v>81</v>
      </c>
      <c r="AH6725" s="11">
        <f>HYPERLINK("https://my.pitchbook.com?c=108622-81T","View Company Online")</f>
      </c>
    </row>
    <row r="6726">
      <c r="A6726" s="12" t="s">
        <v>30305</v>
      </c>
      <c r="B6726" s="12" t="s">
        <v>30306</v>
      </c>
      <c r="C6726" s="19" t="s">
        <v>36</v>
      </c>
      <c r="D6726" s="19" t="s">
        <v>36</v>
      </c>
      <c r="E6726" s="19" t="s">
        <v>36</v>
      </c>
      <c r="F6726" s="19" t="s">
        <v>36</v>
      </c>
      <c r="G6726" s="15" t="s">
        <v>2497</v>
      </c>
      <c r="H6726" s="14">
        <v>96.07</v>
      </c>
      <c r="I6726" s="18">
        <v>25.87</v>
      </c>
      <c r="J6726" s="12" t="s">
        <v>521</v>
      </c>
      <c r="K6726" s="13" t="s">
        <v>36</v>
      </c>
      <c r="L6726" s="15" t="s">
        <v>36</v>
      </c>
      <c r="M6726" s="12" t="s">
        <v>36</v>
      </c>
      <c r="N6726" s="12" t="s">
        <v>36</v>
      </c>
      <c r="O6726" s="17" t="s">
        <v>36</v>
      </c>
      <c r="P6726" s="12" t="s">
        <v>36</v>
      </c>
      <c r="Q6726" s="12" t="s">
        <v>36</v>
      </c>
      <c r="R6726" s="12" t="s">
        <v>36</v>
      </c>
      <c r="S6726" s="12" t="s">
        <v>36</v>
      </c>
      <c r="T6726" s="12" t="s">
        <v>1260</v>
      </c>
      <c r="U6726" s="12" t="s">
        <v>38</v>
      </c>
      <c r="V6726" s="12" t="s">
        <v>39</v>
      </c>
      <c r="W6726" s="12" t="s">
        <v>30307</v>
      </c>
      <c r="X6726" s="16" t="s">
        <v>30308</v>
      </c>
      <c r="Y6726" s="15" t="s">
        <v>166</v>
      </c>
      <c r="Z6726" s="14">
        <v>1.13</v>
      </c>
      <c r="AA6726" s="14">
        <v>4.38</v>
      </c>
      <c r="AB6726" s="12" t="s">
        <v>56</v>
      </c>
      <c r="AC6726" s="12" t="s">
        <v>30309</v>
      </c>
      <c r="AD6726" s="13">
        <v>42488</v>
      </c>
      <c r="AE6726" s="12" t="s">
        <v>110</v>
      </c>
      <c r="AF6726" s="12" t="s">
        <v>1159</v>
      </c>
      <c r="AG6726" s="12" t="s">
        <v>30310</v>
      </c>
      <c r="AH6726" s="1">
        <f>HYPERLINK("https://my.pitchbook.com?c=122930-65T","View Company Online")</f>
      </c>
    </row>
    <row r="6727">
      <c r="A6727" s="3" t="s">
        <v>30311</v>
      </c>
      <c r="B6727" s="3" t="s">
        <v>30312</v>
      </c>
      <c r="C6727" s="5">
        <v>1</v>
      </c>
      <c r="D6727" s="5">
        <v>1</v>
      </c>
      <c r="E6727" s="5">
        <v>1</v>
      </c>
      <c r="F6727" s="5">
        <v>3</v>
      </c>
      <c r="G6727" s="6" t="s">
        <v>36</v>
      </c>
      <c r="H6727" s="4">
        <v>31.16</v>
      </c>
      <c r="I6727" s="7">
        <v>20.35</v>
      </c>
      <c r="J6727" s="3" t="s">
        <v>521</v>
      </c>
      <c r="K6727" s="9">
        <v>42473</v>
      </c>
      <c r="L6727" s="6" t="s">
        <v>36</v>
      </c>
      <c r="M6727" s="3" t="s">
        <v>36</v>
      </c>
      <c r="N6727" s="3" t="s">
        <v>36</v>
      </c>
      <c r="O6727" s="8" t="s">
        <v>36</v>
      </c>
      <c r="P6727" s="3" t="s">
        <v>36</v>
      </c>
      <c r="Q6727" s="3" t="s">
        <v>36</v>
      </c>
      <c r="R6727" s="3" t="s">
        <v>36</v>
      </c>
      <c r="S6727" s="3" t="s">
        <v>36</v>
      </c>
      <c r="T6727" s="3" t="s">
        <v>6032</v>
      </c>
      <c r="U6727" s="3" t="s">
        <v>318</v>
      </c>
      <c r="V6727" s="3" t="s">
        <v>39</v>
      </c>
      <c r="W6727" s="3" t="s">
        <v>30313</v>
      </c>
      <c r="X6727" s="10" t="s">
        <v>30314</v>
      </c>
      <c r="Y6727" s="6" t="s">
        <v>42</v>
      </c>
      <c r="Z6727" s="4">
        <v>0.26</v>
      </c>
      <c r="AA6727" s="4">
        <v>1.28</v>
      </c>
      <c r="AB6727" s="3" t="s">
        <v>43</v>
      </c>
      <c r="AC6727" s="3" t="s">
        <v>30315</v>
      </c>
      <c r="AD6727" s="9">
        <v>42487</v>
      </c>
      <c r="AE6727" s="3" t="s">
        <v>417</v>
      </c>
      <c r="AF6727" s="3" t="s">
        <v>20763</v>
      </c>
      <c r="AG6727" s="3" t="s">
        <v>81</v>
      </c>
      <c r="AH6727" s="11">
        <f>HYPERLINK("https://my.pitchbook.com?c=80149-24T","View Company Online")</f>
      </c>
    </row>
    <row r="6728">
      <c r="A6728" s="12" t="s">
        <v>30316</v>
      </c>
      <c r="B6728" s="12" t="s">
        <v>12746</v>
      </c>
      <c r="C6728" s="19" t="s">
        <v>36</v>
      </c>
      <c r="D6728" s="19" t="s">
        <v>36</v>
      </c>
      <c r="E6728" s="19" t="s">
        <v>36</v>
      </c>
      <c r="F6728" s="19" t="s">
        <v>36</v>
      </c>
      <c r="G6728" s="15" t="s">
        <v>36</v>
      </c>
      <c r="H6728" s="14">
        <v>4.3</v>
      </c>
      <c r="I6728" s="18">
        <v>19.46</v>
      </c>
      <c r="J6728" s="12" t="s">
        <v>521</v>
      </c>
      <c r="K6728" s="13" t="s">
        <v>36</v>
      </c>
      <c r="L6728" s="15" t="s">
        <v>36</v>
      </c>
      <c r="M6728" s="12" t="s">
        <v>36</v>
      </c>
      <c r="N6728" s="12" t="s">
        <v>36</v>
      </c>
      <c r="O6728" s="17" t="s">
        <v>36</v>
      </c>
      <c r="P6728" s="12" t="s">
        <v>36</v>
      </c>
      <c r="Q6728" s="12" t="s">
        <v>3530</v>
      </c>
      <c r="R6728" s="12" t="s">
        <v>36</v>
      </c>
      <c r="S6728" s="12" t="s">
        <v>36</v>
      </c>
      <c r="T6728" s="12" t="s">
        <v>12747</v>
      </c>
      <c r="U6728" s="12" t="s">
        <v>648</v>
      </c>
      <c r="V6728" s="12" t="s">
        <v>64</v>
      </c>
      <c r="W6728" s="12" t="s">
        <v>12748</v>
      </c>
      <c r="X6728" s="16" t="s">
        <v>30317</v>
      </c>
      <c r="Y6728" s="15" t="s">
        <v>42</v>
      </c>
      <c r="Z6728" s="14">
        <v>0.57</v>
      </c>
      <c r="AA6728" s="14">
        <v>2.91</v>
      </c>
      <c r="AB6728" s="12" t="s">
        <v>43</v>
      </c>
      <c r="AC6728" s="12" t="s">
        <v>12750</v>
      </c>
      <c r="AD6728" s="13">
        <v>42487</v>
      </c>
      <c r="AE6728" s="12" t="s">
        <v>651</v>
      </c>
      <c r="AF6728" s="12" t="s">
        <v>546</v>
      </c>
      <c r="AG6728" s="12" t="s">
        <v>12751</v>
      </c>
      <c r="AH6728" s="1">
        <f>HYPERLINK("https://my.pitchbook.com?c=116906-59T","View Company Online")</f>
      </c>
    </row>
    <row r="6729">
      <c r="A6729" s="3" t="s">
        <v>30318</v>
      </c>
      <c r="B6729" s="3" t="s">
        <v>16170</v>
      </c>
      <c r="C6729" s="5">
        <v>9</v>
      </c>
      <c r="D6729" s="5">
        <v>31</v>
      </c>
      <c r="E6729" s="5">
        <v>10</v>
      </c>
      <c r="F6729" s="5">
        <v>41</v>
      </c>
      <c r="G6729" s="6" t="s">
        <v>36</v>
      </c>
      <c r="H6729" s="4">
        <v>218.1</v>
      </c>
      <c r="I6729" s="7">
        <v>36.37</v>
      </c>
      <c r="J6729" s="3" t="s">
        <v>521</v>
      </c>
      <c r="K6729" s="9">
        <v>42454</v>
      </c>
      <c r="L6729" s="6" t="s">
        <v>36</v>
      </c>
      <c r="M6729" s="3" t="s">
        <v>36</v>
      </c>
      <c r="N6729" s="3" t="s">
        <v>36</v>
      </c>
      <c r="O6729" s="8" t="s">
        <v>36</v>
      </c>
      <c r="P6729" s="3" t="s">
        <v>36</v>
      </c>
      <c r="Q6729" s="3" t="s">
        <v>36</v>
      </c>
      <c r="R6729" s="3" t="s">
        <v>36</v>
      </c>
      <c r="S6729" s="3" t="s">
        <v>36</v>
      </c>
      <c r="T6729" s="3" t="s">
        <v>16171</v>
      </c>
      <c r="U6729" s="3" t="s">
        <v>318</v>
      </c>
      <c r="V6729" s="3" t="s">
        <v>39</v>
      </c>
      <c r="W6729" s="3" t="s">
        <v>16172</v>
      </c>
      <c r="X6729" s="10" t="s">
        <v>30319</v>
      </c>
      <c r="Y6729" s="6" t="s">
        <v>42</v>
      </c>
      <c r="Z6729" s="4">
        <v>1.36</v>
      </c>
      <c r="AA6729" s="4">
        <v>3.74</v>
      </c>
      <c r="AB6729" s="3" t="s">
        <v>43</v>
      </c>
      <c r="AC6729" s="3" t="s">
        <v>16174</v>
      </c>
      <c r="AD6729" s="9">
        <v>42486</v>
      </c>
      <c r="AE6729" s="3" t="s">
        <v>763</v>
      </c>
      <c r="AF6729" s="3" t="s">
        <v>16175</v>
      </c>
      <c r="AG6729" s="3" t="s">
        <v>81</v>
      </c>
      <c r="AH6729" s="11">
        <f>HYPERLINK("https://my.pitchbook.com?c=69551-20T","View Company Online")</f>
      </c>
    </row>
    <row r="6730">
      <c r="A6730" s="12" t="s">
        <v>30320</v>
      </c>
      <c r="B6730" s="12" t="s">
        <v>30321</v>
      </c>
      <c r="C6730" s="19" t="s">
        <v>36</v>
      </c>
      <c r="D6730" s="19" t="s">
        <v>36</v>
      </c>
      <c r="E6730" s="19" t="s">
        <v>36</v>
      </c>
      <c r="F6730" s="19" t="s">
        <v>36</v>
      </c>
      <c r="G6730" s="15" t="s">
        <v>326</v>
      </c>
      <c r="H6730" s="14">
        <v>164.56</v>
      </c>
      <c r="I6730" s="18">
        <v>24.05</v>
      </c>
      <c r="J6730" s="12" t="s">
        <v>521</v>
      </c>
      <c r="K6730" s="13" t="s">
        <v>36</v>
      </c>
      <c r="L6730" s="15" t="s">
        <v>36</v>
      </c>
      <c r="M6730" s="12" t="s">
        <v>36</v>
      </c>
      <c r="N6730" s="12" t="s">
        <v>36</v>
      </c>
      <c r="O6730" s="17" t="s">
        <v>36</v>
      </c>
      <c r="P6730" s="12" t="s">
        <v>36</v>
      </c>
      <c r="Q6730" s="12" t="s">
        <v>36</v>
      </c>
      <c r="R6730" s="12" t="s">
        <v>36</v>
      </c>
      <c r="S6730" s="12" t="s">
        <v>36</v>
      </c>
      <c r="T6730" s="12" t="s">
        <v>21195</v>
      </c>
      <c r="U6730" s="12" t="s">
        <v>38</v>
      </c>
      <c r="V6730" s="12" t="s">
        <v>39</v>
      </c>
      <c r="W6730" s="12" t="s">
        <v>30322</v>
      </c>
      <c r="X6730" s="16" t="s">
        <v>30323</v>
      </c>
      <c r="Y6730" s="15" t="s">
        <v>108</v>
      </c>
      <c r="Z6730" s="14">
        <v>0.36</v>
      </c>
      <c r="AA6730" s="14">
        <v>1.51</v>
      </c>
      <c r="AB6730" s="12" t="s">
        <v>43</v>
      </c>
      <c r="AC6730" s="12" t="s">
        <v>30324</v>
      </c>
      <c r="AD6730" s="13">
        <v>42486</v>
      </c>
      <c r="AE6730" s="12" t="s">
        <v>688</v>
      </c>
      <c r="AF6730" s="12" t="s">
        <v>1077</v>
      </c>
      <c r="AG6730" s="12" t="s">
        <v>2662</v>
      </c>
      <c r="AH6730" s="1">
        <f>HYPERLINK("https://my.pitchbook.com?c=55292-05T","View Company Online")</f>
      </c>
    </row>
    <row r="6731">
      <c r="A6731" s="3" t="s">
        <v>30325</v>
      </c>
      <c r="B6731" s="3" t="s">
        <v>30326</v>
      </c>
      <c r="C6731" s="5" t="s">
        <v>36</v>
      </c>
      <c r="D6731" s="5" t="s">
        <v>36</v>
      </c>
      <c r="E6731" s="5" t="s">
        <v>36</v>
      </c>
      <c r="F6731" s="5" t="s">
        <v>36</v>
      </c>
      <c r="G6731" s="6" t="s">
        <v>326</v>
      </c>
      <c r="H6731" s="4">
        <v>280.41</v>
      </c>
      <c r="I6731" s="7">
        <v>29.12</v>
      </c>
      <c r="J6731" s="3" t="s">
        <v>521</v>
      </c>
      <c r="K6731" s="9" t="s">
        <v>36</v>
      </c>
      <c r="L6731" s="6" t="s">
        <v>122</v>
      </c>
      <c r="M6731" s="3" t="s">
        <v>36</v>
      </c>
      <c r="N6731" s="3" t="s">
        <v>122</v>
      </c>
      <c r="O6731" s="8" t="s">
        <v>36</v>
      </c>
      <c r="P6731" s="3" t="s">
        <v>36</v>
      </c>
      <c r="Q6731" s="3" t="s">
        <v>36</v>
      </c>
      <c r="R6731" s="3" t="s">
        <v>36</v>
      </c>
      <c r="S6731" s="3" t="s">
        <v>36</v>
      </c>
      <c r="T6731" s="3" t="s">
        <v>27664</v>
      </c>
      <c r="U6731" s="3" t="s">
        <v>648</v>
      </c>
      <c r="V6731" s="3" t="s">
        <v>64</v>
      </c>
      <c r="W6731" s="3" t="s">
        <v>30327</v>
      </c>
      <c r="X6731" s="10" t="s">
        <v>30328</v>
      </c>
      <c r="Y6731" s="6" t="s">
        <v>108</v>
      </c>
      <c r="Z6731" s="4">
        <v>1.96</v>
      </c>
      <c r="AA6731" s="4">
        <v>6.73</v>
      </c>
      <c r="AB6731" s="3" t="s">
        <v>43</v>
      </c>
      <c r="AC6731" s="3" t="s">
        <v>30329</v>
      </c>
      <c r="AD6731" s="9">
        <v>42486</v>
      </c>
      <c r="AE6731" s="3" t="s">
        <v>651</v>
      </c>
      <c r="AF6731" s="3" t="s">
        <v>1077</v>
      </c>
      <c r="AG6731" s="3" t="s">
        <v>81</v>
      </c>
      <c r="AH6731" s="11">
        <f>HYPERLINK("https://my.pitchbook.com?c=69556-06T","View Company Online")</f>
      </c>
    </row>
    <row r="6732">
      <c r="A6732" s="12" t="s">
        <v>30330</v>
      </c>
      <c r="B6732" s="12" t="s">
        <v>9166</v>
      </c>
      <c r="C6732" s="19" t="s">
        <v>36</v>
      </c>
      <c r="D6732" s="19" t="s">
        <v>36</v>
      </c>
      <c r="E6732" s="19" t="s">
        <v>36</v>
      </c>
      <c r="F6732" s="19" t="s">
        <v>36</v>
      </c>
      <c r="G6732" s="15" t="s">
        <v>326</v>
      </c>
      <c r="H6732" s="14">
        <v>262.62</v>
      </c>
      <c r="I6732" s="18">
        <v>23.42</v>
      </c>
      <c r="J6732" s="12" t="s">
        <v>521</v>
      </c>
      <c r="K6732" s="13" t="s">
        <v>36</v>
      </c>
      <c r="L6732" s="15" t="s">
        <v>94</v>
      </c>
      <c r="M6732" s="12" t="s">
        <v>36</v>
      </c>
      <c r="N6732" s="12" t="s">
        <v>94</v>
      </c>
      <c r="O6732" s="17" t="s">
        <v>36</v>
      </c>
      <c r="P6732" s="12" t="s">
        <v>36</v>
      </c>
      <c r="Q6732" s="12" t="s">
        <v>36</v>
      </c>
      <c r="R6732" s="12" t="s">
        <v>36</v>
      </c>
      <c r="S6732" s="12" t="s">
        <v>36</v>
      </c>
      <c r="T6732" s="12" t="s">
        <v>1560</v>
      </c>
      <c r="U6732" s="12" t="s">
        <v>438</v>
      </c>
      <c r="V6732" s="12" t="s">
        <v>405</v>
      </c>
      <c r="W6732" s="12" t="s">
        <v>9167</v>
      </c>
      <c r="X6732" s="16" t="s">
        <v>30331</v>
      </c>
      <c r="Y6732" s="15" t="s">
        <v>55</v>
      </c>
      <c r="Z6732" s="14">
        <v>14.35</v>
      </c>
      <c r="AA6732" s="14">
        <v>61.29</v>
      </c>
      <c r="AB6732" s="12" t="s">
        <v>43</v>
      </c>
      <c r="AC6732" s="12" t="s">
        <v>9169</v>
      </c>
      <c r="AD6732" s="13">
        <v>42486</v>
      </c>
      <c r="AE6732" s="12" t="s">
        <v>438</v>
      </c>
      <c r="AF6732" s="12" t="s">
        <v>215</v>
      </c>
      <c r="AG6732" s="12" t="s">
        <v>81</v>
      </c>
      <c r="AH6732" s="1">
        <f>HYPERLINK("https://my.pitchbook.com?c=69398-02T","View Company Online")</f>
      </c>
    </row>
    <row r="6733">
      <c r="A6733" s="3" t="s">
        <v>30332</v>
      </c>
      <c r="B6733" s="3" t="s">
        <v>30333</v>
      </c>
      <c r="C6733" s="5" t="s">
        <v>36</v>
      </c>
      <c r="D6733" s="5" t="s">
        <v>36</v>
      </c>
      <c r="E6733" s="5" t="s">
        <v>36</v>
      </c>
      <c r="F6733" s="5" t="s">
        <v>36</v>
      </c>
      <c r="G6733" s="6" t="s">
        <v>326</v>
      </c>
      <c r="H6733" s="4">
        <v>2.6</v>
      </c>
      <c r="I6733" s="7">
        <v>15.62</v>
      </c>
      <c r="J6733" s="3" t="s">
        <v>521</v>
      </c>
      <c r="K6733" s="9" t="s">
        <v>36</v>
      </c>
      <c r="L6733" s="6" t="s">
        <v>36</v>
      </c>
      <c r="M6733" s="3" t="s">
        <v>36</v>
      </c>
      <c r="N6733" s="3" t="s">
        <v>36</v>
      </c>
      <c r="O6733" s="8" t="s">
        <v>36</v>
      </c>
      <c r="P6733" s="3" t="s">
        <v>36</v>
      </c>
      <c r="Q6733" s="3" t="s">
        <v>36</v>
      </c>
      <c r="R6733" s="3" t="s">
        <v>36</v>
      </c>
      <c r="S6733" s="3" t="s">
        <v>36</v>
      </c>
      <c r="T6733" s="3" t="s">
        <v>4692</v>
      </c>
      <c r="U6733" s="3" t="s">
        <v>85</v>
      </c>
      <c r="V6733" s="3" t="s">
        <v>64</v>
      </c>
      <c r="W6733" s="3" t="s">
        <v>30334</v>
      </c>
      <c r="X6733" s="10" t="s">
        <v>11058</v>
      </c>
      <c r="Y6733" s="6" t="s">
        <v>42</v>
      </c>
      <c r="Z6733" s="4">
        <v>0.11</v>
      </c>
      <c r="AA6733" s="4">
        <v>0.72</v>
      </c>
      <c r="AB6733" s="3" t="s">
        <v>43</v>
      </c>
      <c r="AC6733" s="3" t="s">
        <v>30335</v>
      </c>
      <c r="AD6733" s="9">
        <v>42482</v>
      </c>
      <c r="AE6733" s="3" t="s">
        <v>89</v>
      </c>
      <c r="AF6733" s="3" t="s">
        <v>571</v>
      </c>
      <c r="AG6733" s="3" t="s">
        <v>30336</v>
      </c>
      <c r="AH6733" s="11">
        <f>HYPERLINK("https://my.pitchbook.com?c=208756-36T","View Company Online")</f>
      </c>
    </row>
    <row r="6734">
      <c r="A6734" s="12" t="s">
        <v>30337</v>
      </c>
      <c r="B6734" s="12" t="s">
        <v>5760</v>
      </c>
      <c r="C6734" s="19">
        <v>48</v>
      </c>
      <c r="D6734" s="19">
        <v>52</v>
      </c>
      <c r="E6734" s="19">
        <v>20</v>
      </c>
      <c r="F6734" s="19">
        <v>109</v>
      </c>
      <c r="G6734" s="15" t="s">
        <v>326</v>
      </c>
      <c r="H6734" s="14">
        <v>5.9</v>
      </c>
      <c r="I6734" s="18">
        <v>23.13</v>
      </c>
      <c r="J6734" s="12" t="s">
        <v>327</v>
      </c>
      <c r="K6734" s="13" t="s">
        <v>36</v>
      </c>
      <c r="L6734" s="15" t="s">
        <v>1279</v>
      </c>
      <c r="M6734" s="12" t="s">
        <v>36</v>
      </c>
      <c r="N6734" s="12" t="s">
        <v>1279</v>
      </c>
      <c r="O6734" s="17" t="s">
        <v>36</v>
      </c>
      <c r="P6734" s="12" t="s">
        <v>36</v>
      </c>
      <c r="Q6734" s="12" t="s">
        <v>36</v>
      </c>
      <c r="R6734" s="12" t="s">
        <v>36</v>
      </c>
      <c r="S6734" s="12" t="s">
        <v>36</v>
      </c>
      <c r="T6734" s="12" t="s">
        <v>881</v>
      </c>
      <c r="U6734" s="12" t="s">
        <v>51</v>
      </c>
      <c r="V6734" s="12" t="s">
        <v>52</v>
      </c>
      <c r="W6734" s="12" t="s">
        <v>5761</v>
      </c>
      <c r="X6734" s="16" t="s">
        <v>30338</v>
      </c>
      <c r="Y6734" s="15" t="s">
        <v>192</v>
      </c>
      <c r="Z6734" s="14">
        <v>16.4</v>
      </c>
      <c r="AA6734" s="14">
        <v>70.9</v>
      </c>
      <c r="AB6734" s="12" t="s">
        <v>56</v>
      </c>
      <c r="AC6734" s="12" t="s">
        <v>5763</v>
      </c>
      <c r="AD6734" s="13">
        <v>42480</v>
      </c>
      <c r="AE6734" s="12" t="s">
        <v>504</v>
      </c>
      <c r="AF6734" s="12" t="s">
        <v>665</v>
      </c>
      <c r="AG6734" s="12" t="s">
        <v>81</v>
      </c>
      <c r="AH6734" s="1">
        <f>HYPERLINK("https://my.pitchbook.com?c=69140-17T","View Company Online")</f>
      </c>
    </row>
    <row r="6735">
      <c r="A6735" s="3" t="s">
        <v>30339</v>
      </c>
      <c r="B6735" s="3" t="s">
        <v>2860</v>
      </c>
      <c r="C6735" s="5" t="s">
        <v>36</v>
      </c>
      <c r="D6735" s="5" t="s">
        <v>36</v>
      </c>
      <c r="E6735" s="5" t="s">
        <v>36</v>
      </c>
      <c r="F6735" s="5" t="s">
        <v>36</v>
      </c>
      <c r="G6735" s="6" t="s">
        <v>326</v>
      </c>
      <c r="H6735" s="4">
        <v>7.91</v>
      </c>
      <c r="I6735" s="7">
        <v>5.29</v>
      </c>
      <c r="J6735" s="3" t="s">
        <v>521</v>
      </c>
      <c r="K6735" s="9" t="s">
        <v>36</v>
      </c>
      <c r="L6735" s="6" t="s">
        <v>36</v>
      </c>
      <c r="M6735" s="3" t="s">
        <v>36</v>
      </c>
      <c r="N6735" s="3" t="s">
        <v>36</v>
      </c>
      <c r="O6735" s="8" t="s">
        <v>36</v>
      </c>
      <c r="P6735" s="3" t="s">
        <v>36</v>
      </c>
      <c r="Q6735" s="3" t="s">
        <v>36</v>
      </c>
      <c r="R6735" s="3" t="s">
        <v>36</v>
      </c>
      <c r="S6735" s="3" t="s">
        <v>36</v>
      </c>
      <c r="T6735" s="3" t="s">
        <v>2861</v>
      </c>
      <c r="U6735" s="3" t="s">
        <v>74</v>
      </c>
      <c r="V6735" s="3" t="s">
        <v>75</v>
      </c>
      <c r="W6735" s="3" t="s">
        <v>2862</v>
      </c>
      <c r="X6735" s="10" t="s">
        <v>30340</v>
      </c>
      <c r="Y6735" s="6" t="s">
        <v>42</v>
      </c>
      <c r="Z6735" s="4">
        <v>0.1</v>
      </c>
      <c r="AA6735" s="4">
        <v>1.92</v>
      </c>
      <c r="AB6735" s="3" t="s">
        <v>43</v>
      </c>
      <c r="AC6735" s="3" t="s">
        <v>2864</v>
      </c>
      <c r="AD6735" s="9">
        <v>42480</v>
      </c>
      <c r="AE6735" s="3" t="s">
        <v>362</v>
      </c>
      <c r="AF6735" s="3" t="s">
        <v>250</v>
      </c>
      <c r="AG6735" s="3" t="s">
        <v>81</v>
      </c>
      <c r="AH6735" s="11">
        <f>HYPERLINK("https://my.pitchbook.com?c=118292-68T","View Company Online")</f>
      </c>
    </row>
    <row r="6736">
      <c r="A6736" s="12" t="s">
        <v>30341</v>
      </c>
      <c r="B6736" s="12" t="s">
        <v>30342</v>
      </c>
      <c r="C6736" s="19" t="s">
        <v>36</v>
      </c>
      <c r="D6736" s="19">
        <v>7</v>
      </c>
      <c r="E6736" s="19">
        <v>2</v>
      </c>
      <c r="F6736" s="19">
        <v>8</v>
      </c>
      <c r="G6736" s="15" t="s">
        <v>36</v>
      </c>
      <c r="H6736" s="14">
        <v>54.16</v>
      </c>
      <c r="I6736" s="18">
        <v>43.87</v>
      </c>
      <c r="J6736" s="12" t="s">
        <v>521</v>
      </c>
      <c r="K6736" s="13">
        <v>41407</v>
      </c>
      <c r="L6736" s="15" t="s">
        <v>36</v>
      </c>
      <c r="M6736" s="12" t="s">
        <v>36</v>
      </c>
      <c r="N6736" s="12" t="s">
        <v>36</v>
      </c>
      <c r="O6736" s="17" t="s">
        <v>36</v>
      </c>
      <c r="P6736" s="12" t="s">
        <v>36</v>
      </c>
      <c r="Q6736" s="12" t="s">
        <v>36</v>
      </c>
      <c r="R6736" s="12" t="s">
        <v>36</v>
      </c>
      <c r="S6736" s="12" t="s">
        <v>36</v>
      </c>
      <c r="T6736" s="12" t="s">
        <v>335</v>
      </c>
      <c r="U6736" s="12" t="s">
        <v>38</v>
      </c>
      <c r="V6736" s="12" t="s">
        <v>39</v>
      </c>
      <c r="W6736" s="12" t="s">
        <v>30343</v>
      </c>
      <c r="X6736" s="16" t="s">
        <v>30344</v>
      </c>
      <c r="Y6736" s="15" t="s">
        <v>42</v>
      </c>
      <c r="Z6736" s="14">
        <v>1.41</v>
      </c>
      <c r="AA6736" s="14">
        <v>3.22</v>
      </c>
      <c r="AB6736" s="12" t="s">
        <v>43</v>
      </c>
      <c r="AC6736" s="12" t="s">
        <v>30345</v>
      </c>
      <c r="AD6736" s="13">
        <v>42479</v>
      </c>
      <c r="AE6736" s="12" t="s">
        <v>339</v>
      </c>
      <c r="AF6736" s="12" t="s">
        <v>176</v>
      </c>
      <c r="AG6736" s="12" t="s">
        <v>21815</v>
      </c>
      <c r="AH6736" s="1">
        <f>HYPERLINK("https://my.pitchbook.com?c=87200-02T","View Company Online")</f>
      </c>
    </row>
    <row r="6737">
      <c r="A6737" s="3" t="s">
        <v>30346</v>
      </c>
      <c r="B6737" s="3" t="s">
        <v>30347</v>
      </c>
      <c r="C6737" s="5" t="s">
        <v>36</v>
      </c>
      <c r="D6737" s="5" t="s">
        <v>36</v>
      </c>
      <c r="E6737" s="5" t="s">
        <v>36</v>
      </c>
      <c r="F6737" s="5" t="s">
        <v>36</v>
      </c>
      <c r="G6737" s="6" t="s">
        <v>36</v>
      </c>
      <c r="H6737" s="4" t="s">
        <v>36</v>
      </c>
      <c r="I6737" s="7" t="s">
        <v>36</v>
      </c>
      <c r="J6737" s="3" t="s">
        <v>36</v>
      </c>
      <c r="K6737" s="9" t="s">
        <v>36</v>
      </c>
      <c r="L6737" s="6" t="s">
        <v>122</v>
      </c>
      <c r="M6737" s="3" t="s">
        <v>36</v>
      </c>
      <c r="N6737" s="3" t="s">
        <v>122</v>
      </c>
      <c r="O6737" s="8" t="s">
        <v>36</v>
      </c>
      <c r="P6737" s="3" t="s">
        <v>36</v>
      </c>
      <c r="Q6737" s="3" t="s">
        <v>36</v>
      </c>
      <c r="R6737" s="3" t="s">
        <v>36</v>
      </c>
      <c r="S6737" s="3" t="s">
        <v>36</v>
      </c>
      <c r="T6737" s="3" t="s">
        <v>522</v>
      </c>
      <c r="U6737" s="3" t="s">
        <v>38</v>
      </c>
      <c r="V6737" s="3" t="s">
        <v>39</v>
      </c>
      <c r="W6737" s="3" t="s">
        <v>30348</v>
      </c>
      <c r="X6737" s="10" t="s">
        <v>30349</v>
      </c>
      <c r="Y6737" s="6" t="s">
        <v>108</v>
      </c>
      <c r="Z6737" s="4">
        <v>2.26</v>
      </c>
      <c r="AA6737" s="4" t="s">
        <v>36</v>
      </c>
      <c r="AB6737" s="3" t="s">
        <v>43</v>
      </c>
      <c r="AC6737" s="3" t="s">
        <v>30350</v>
      </c>
      <c r="AD6737" s="9">
        <v>42479</v>
      </c>
      <c r="AE6737" s="3" t="s">
        <v>110</v>
      </c>
      <c r="AF6737" s="3" t="s">
        <v>1842</v>
      </c>
      <c r="AG6737" s="3" t="s">
        <v>81</v>
      </c>
      <c r="AH6737" s="11">
        <f>HYPERLINK("https://my.pitchbook.com?c=69174-46T","View Company Online")</f>
      </c>
    </row>
    <row r="6738">
      <c r="A6738" s="12" t="s">
        <v>30351</v>
      </c>
      <c r="B6738" s="12" t="s">
        <v>2320</v>
      </c>
      <c r="C6738" s="19">
        <v>1</v>
      </c>
      <c r="D6738" s="19">
        <v>36</v>
      </c>
      <c r="E6738" s="19">
        <v>20</v>
      </c>
      <c r="F6738" s="19">
        <v>49</v>
      </c>
      <c r="G6738" s="15" t="s">
        <v>326</v>
      </c>
      <c r="H6738" s="14">
        <v>1306.37</v>
      </c>
      <c r="I6738" s="18">
        <v>4.41</v>
      </c>
      <c r="J6738" s="12" t="s">
        <v>521</v>
      </c>
      <c r="K6738" s="13" t="s">
        <v>36</v>
      </c>
      <c r="L6738" s="15" t="s">
        <v>36</v>
      </c>
      <c r="M6738" s="12" t="s">
        <v>36</v>
      </c>
      <c r="N6738" s="12" t="s">
        <v>36</v>
      </c>
      <c r="O6738" s="17" t="s">
        <v>36</v>
      </c>
      <c r="P6738" s="12" t="s">
        <v>36</v>
      </c>
      <c r="Q6738" s="12" t="s">
        <v>36</v>
      </c>
      <c r="R6738" s="12" t="s">
        <v>36</v>
      </c>
      <c r="S6738" s="12" t="s">
        <v>36</v>
      </c>
      <c r="T6738" s="12" t="s">
        <v>2321</v>
      </c>
      <c r="U6738" s="12" t="s">
        <v>51</v>
      </c>
      <c r="V6738" s="12" t="s">
        <v>52</v>
      </c>
      <c r="W6738" s="12" t="s">
        <v>2322</v>
      </c>
      <c r="X6738" s="16" t="s">
        <v>12088</v>
      </c>
      <c r="Y6738" s="15" t="s">
        <v>192</v>
      </c>
      <c r="Z6738" s="14">
        <v>0.68</v>
      </c>
      <c r="AA6738" s="14">
        <v>15.38</v>
      </c>
      <c r="AB6738" s="12" t="s">
        <v>56</v>
      </c>
      <c r="AC6738" s="12" t="s">
        <v>2324</v>
      </c>
      <c r="AD6738" s="13">
        <v>42478</v>
      </c>
      <c r="AE6738" s="12" t="s">
        <v>504</v>
      </c>
      <c r="AF6738" s="12" t="s">
        <v>159</v>
      </c>
      <c r="AG6738" s="12" t="s">
        <v>1276</v>
      </c>
      <c r="AH6738" s="1">
        <f>HYPERLINK("https://my.pitchbook.com?c=68989-51T","View Company Online")</f>
      </c>
    </row>
    <row r="6739">
      <c r="A6739" s="3" t="s">
        <v>30352</v>
      </c>
      <c r="B6739" s="3" t="s">
        <v>26798</v>
      </c>
      <c r="C6739" s="5">
        <v>1</v>
      </c>
      <c r="D6739" s="5" t="s">
        <v>36</v>
      </c>
      <c r="E6739" s="5">
        <v>1</v>
      </c>
      <c r="F6739" s="5">
        <v>1</v>
      </c>
      <c r="G6739" s="6" t="s">
        <v>36</v>
      </c>
      <c r="H6739" s="4" t="s">
        <v>36</v>
      </c>
      <c r="I6739" s="7" t="s">
        <v>36</v>
      </c>
      <c r="J6739" s="3" t="s">
        <v>36</v>
      </c>
      <c r="K6739" s="9" t="s">
        <v>36</v>
      </c>
      <c r="L6739" s="6" t="s">
        <v>36</v>
      </c>
      <c r="M6739" s="3" t="s">
        <v>36</v>
      </c>
      <c r="N6739" s="3" t="s">
        <v>36</v>
      </c>
      <c r="O6739" s="8" t="s">
        <v>36</v>
      </c>
      <c r="P6739" s="3" t="s">
        <v>36</v>
      </c>
      <c r="Q6739" s="3" t="s">
        <v>36</v>
      </c>
      <c r="R6739" s="3" t="s">
        <v>36</v>
      </c>
      <c r="S6739" s="3" t="s">
        <v>36</v>
      </c>
      <c r="T6739" s="3" t="s">
        <v>26799</v>
      </c>
      <c r="U6739" s="3" t="s">
        <v>38</v>
      </c>
      <c r="V6739" s="3" t="s">
        <v>39</v>
      </c>
      <c r="W6739" s="3" t="s">
        <v>26800</v>
      </c>
      <c r="X6739" s="10" t="s">
        <v>30353</v>
      </c>
      <c r="Y6739" s="6" t="s">
        <v>42</v>
      </c>
      <c r="Z6739" s="4">
        <v>0.57</v>
      </c>
      <c r="AA6739" s="4" t="s">
        <v>36</v>
      </c>
      <c r="AB6739" s="3" t="s">
        <v>43</v>
      </c>
      <c r="AC6739" s="3" t="s">
        <v>26802</v>
      </c>
      <c r="AD6739" s="9">
        <v>42475</v>
      </c>
      <c r="AE6739" s="3" t="s">
        <v>134</v>
      </c>
      <c r="AF6739" s="3" t="s">
        <v>26803</v>
      </c>
      <c r="AG6739" s="3" t="s">
        <v>899</v>
      </c>
      <c r="AH6739" s="11">
        <f>HYPERLINK("https://my.pitchbook.com?c=120619-54T","View Company Online")</f>
      </c>
    </row>
    <row r="6740">
      <c r="A6740" s="12" t="s">
        <v>30354</v>
      </c>
      <c r="B6740" s="12" t="s">
        <v>30355</v>
      </c>
      <c r="C6740" s="19" t="s">
        <v>36</v>
      </c>
      <c r="D6740" s="19" t="s">
        <v>36</v>
      </c>
      <c r="E6740" s="19" t="s">
        <v>36</v>
      </c>
      <c r="F6740" s="19" t="s">
        <v>36</v>
      </c>
      <c r="G6740" s="15" t="s">
        <v>326</v>
      </c>
      <c r="H6740" s="14">
        <v>385.11</v>
      </c>
      <c r="I6740" s="18">
        <v>10.41</v>
      </c>
      <c r="J6740" s="12" t="s">
        <v>521</v>
      </c>
      <c r="K6740" s="13" t="s">
        <v>36</v>
      </c>
      <c r="L6740" s="15" t="s">
        <v>36</v>
      </c>
      <c r="M6740" s="12" t="s">
        <v>36</v>
      </c>
      <c r="N6740" s="12" t="s">
        <v>36</v>
      </c>
      <c r="O6740" s="17" t="s">
        <v>36</v>
      </c>
      <c r="P6740" s="12" t="s">
        <v>36</v>
      </c>
      <c r="Q6740" s="12" t="s">
        <v>36</v>
      </c>
      <c r="R6740" s="12" t="s">
        <v>36</v>
      </c>
      <c r="S6740" s="12" t="s">
        <v>36</v>
      </c>
      <c r="T6740" s="12" t="s">
        <v>30356</v>
      </c>
      <c r="U6740" s="12" t="s">
        <v>38</v>
      </c>
      <c r="V6740" s="12" t="s">
        <v>39</v>
      </c>
      <c r="W6740" s="12" t="s">
        <v>30357</v>
      </c>
      <c r="X6740" s="16" t="s">
        <v>30358</v>
      </c>
      <c r="Y6740" s="15" t="s">
        <v>42</v>
      </c>
      <c r="Z6740" s="14">
        <v>0.51</v>
      </c>
      <c r="AA6740" s="14">
        <v>2.88</v>
      </c>
      <c r="AB6740" s="12" t="s">
        <v>43</v>
      </c>
      <c r="AC6740" s="12" t="s">
        <v>30359</v>
      </c>
      <c r="AD6740" s="13">
        <v>42475</v>
      </c>
      <c r="AE6740" s="12" t="s">
        <v>688</v>
      </c>
      <c r="AF6740" s="12" t="s">
        <v>1636</v>
      </c>
      <c r="AG6740" s="12" t="s">
        <v>144</v>
      </c>
      <c r="AH6740" s="1">
        <f>HYPERLINK("https://my.pitchbook.com?c=98661-34T","View Company Online")</f>
      </c>
    </row>
    <row r="6741">
      <c r="A6741" s="3" t="s">
        <v>30360</v>
      </c>
      <c r="B6741" s="3" t="s">
        <v>30361</v>
      </c>
      <c r="C6741" s="5" t="s">
        <v>36</v>
      </c>
      <c r="D6741" s="5" t="s">
        <v>36</v>
      </c>
      <c r="E6741" s="5" t="s">
        <v>36</v>
      </c>
      <c r="F6741" s="5" t="s">
        <v>36</v>
      </c>
      <c r="G6741" s="6" t="s">
        <v>36</v>
      </c>
      <c r="H6741" s="4">
        <v>227.19</v>
      </c>
      <c r="I6741" s="7">
        <v>30</v>
      </c>
      <c r="J6741" s="3" t="s">
        <v>521</v>
      </c>
      <c r="K6741" s="9">
        <v>42470</v>
      </c>
      <c r="L6741" s="6" t="s">
        <v>36</v>
      </c>
      <c r="M6741" s="3" t="s">
        <v>36</v>
      </c>
      <c r="N6741" s="3" t="s">
        <v>36</v>
      </c>
      <c r="O6741" s="8" t="s">
        <v>36</v>
      </c>
      <c r="P6741" s="3" t="s">
        <v>36</v>
      </c>
      <c r="Q6741" s="3" t="s">
        <v>36</v>
      </c>
      <c r="R6741" s="3" t="s">
        <v>36</v>
      </c>
      <c r="S6741" s="3" t="s">
        <v>36</v>
      </c>
      <c r="T6741" s="3" t="s">
        <v>1701</v>
      </c>
      <c r="U6741" s="3" t="s">
        <v>74</v>
      </c>
      <c r="V6741" s="3" t="s">
        <v>75</v>
      </c>
      <c r="W6741" s="3" t="s">
        <v>30362</v>
      </c>
      <c r="X6741" s="10" t="s">
        <v>30363</v>
      </c>
      <c r="Y6741" s="6" t="s">
        <v>42</v>
      </c>
      <c r="Z6741" s="4">
        <v>4.24</v>
      </c>
      <c r="AA6741" s="4">
        <v>14.13</v>
      </c>
      <c r="AB6741" s="3" t="s">
        <v>43</v>
      </c>
      <c r="AC6741" s="3" t="s">
        <v>30364</v>
      </c>
      <c r="AD6741" s="9">
        <v>42474</v>
      </c>
      <c r="AE6741" s="3" t="s">
        <v>79</v>
      </c>
      <c r="AF6741" s="3" t="s">
        <v>30365</v>
      </c>
      <c r="AG6741" s="3" t="s">
        <v>81</v>
      </c>
      <c r="AH6741" s="11">
        <f>HYPERLINK("https://my.pitchbook.com?c=68922-64T","View Company Online")</f>
      </c>
    </row>
    <row r="6742">
      <c r="A6742" s="12" t="s">
        <v>30366</v>
      </c>
      <c r="B6742" s="12" t="s">
        <v>30367</v>
      </c>
      <c r="C6742" s="19" t="s">
        <v>36</v>
      </c>
      <c r="D6742" s="19" t="s">
        <v>36</v>
      </c>
      <c r="E6742" s="19" t="s">
        <v>36</v>
      </c>
      <c r="F6742" s="19" t="s">
        <v>36</v>
      </c>
      <c r="G6742" s="15" t="s">
        <v>36</v>
      </c>
      <c r="H6742" s="14" t="s">
        <v>36</v>
      </c>
      <c r="I6742" s="18" t="s">
        <v>36</v>
      </c>
      <c r="J6742" s="12" t="s">
        <v>36</v>
      </c>
      <c r="K6742" s="13" t="s">
        <v>36</v>
      </c>
      <c r="L6742" s="15" t="s">
        <v>122</v>
      </c>
      <c r="M6742" s="12" t="s">
        <v>36</v>
      </c>
      <c r="N6742" s="12" t="s">
        <v>122</v>
      </c>
      <c r="O6742" s="17" t="s">
        <v>36</v>
      </c>
      <c r="P6742" s="12" t="s">
        <v>36</v>
      </c>
      <c r="Q6742" s="12" t="s">
        <v>36</v>
      </c>
      <c r="R6742" s="12" t="s">
        <v>36</v>
      </c>
      <c r="S6742" s="12" t="s">
        <v>36</v>
      </c>
      <c r="T6742" s="12" t="s">
        <v>1280</v>
      </c>
      <c r="U6742" s="12" t="s">
        <v>38</v>
      </c>
      <c r="V6742" s="12" t="s">
        <v>39</v>
      </c>
      <c r="W6742" s="12" t="s">
        <v>30368</v>
      </c>
      <c r="X6742" s="16" t="s">
        <v>30369</v>
      </c>
      <c r="Y6742" s="15" t="s">
        <v>108</v>
      </c>
      <c r="Z6742" s="14">
        <v>3.95</v>
      </c>
      <c r="AA6742" s="14" t="s">
        <v>36</v>
      </c>
      <c r="AB6742" s="12" t="s">
        <v>43</v>
      </c>
      <c r="AC6742" s="12" t="s">
        <v>30370</v>
      </c>
      <c r="AD6742" s="13">
        <v>42472</v>
      </c>
      <c r="AE6742" s="12" t="s">
        <v>45</v>
      </c>
      <c r="AF6742" s="12" t="s">
        <v>17475</v>
      </c>
      <c r="AG6742" s="12" t="s">
        <v>19091</v>
      </c>
      <c r="AH6742" s="1">
        <f>HYPERLINK("https://my.pitchbook.com?c=71516-80T","View Company Online")</f>
      </c>
    </row>
    <row r="6743">
      <c r="A6743" s="3" t="s">
        <v>30371</v>
      </c>
      <c r="B6743" s="3" t="s">
        <v>24131</v>
      </c>
      <c r="C6743" s="5" t="s">
        <v>36</v>
      </c>
      <c r="D6743" s="5" t="s">
        <v>36</v>
      </c>
      <c r="E6743" s="5" t="s">
        <v>36</v>
      </c>
      <c r="F6743" s="5" t="s">
        <v>36</v>
      </c>
      <c r="G6743" s="6" t="s">
        <v>36</v>
      </c>
      <c r="H6743" s="4" t="s">
        <v>36</v>
      </c>
      <c r="I6743" s="7" t="s">
        <v>36</v>
      </c>
      <c r="J6743" s="3" t="s">
        <v>36</v>
      </c>
      <c r="K6743" s="9" t="s">
        <v>36</v>
      </c>
      <c r="L6743" s="6" t="s">
        <v>36</v>
      </c>
      <c r="M6743" s="3" t="s">
        <v>36</v>
      </c>
      <c r="N6743" s="3" t="s">
        <v>36</v>
      </c>
      <c r="O6743" s="8" t="s">
        <v>36</v>
      </c>
      <c r="P6743" s="3" t="s">
        <v>36</v>
      </c>
      <c r="Q6743" s="3" t="s">
        <v>36</v>
      </c>
      <c r="R6743" s="3" t="s">
        <v>36</v>
      </c>
      <c r="S6743" s="3" t="s">
        <v>36</v>
      </c>
      <c r="T6743" s="3" t="s">
        <v>24132</v>
      </c>
      <c r="U6743" s="3" t="s">
        <v>279</v>
      </c>
      <c r="V6743" s="3" t="s">
        <v>64</v>
      </c>
      <c r="W6743" s="3" t="s">
        <v>24133</v>
      </c>
      <c r="X6743" s="10" t="s">
        <v>30372</v>
      </c>
      <c r="Y6743" s="6" t="s">
        <v>108</v>
      </c>
      <c r="Z6743" s="4">
        <v>4.52</v>
      </c>
      <c r="AA6743" s="4" t="s">
        <v>36</v>
      </c>
      <c r="AB6743" s="3" t="s">
        <v>43</v>
      </c>
      <c r="AC6743" s="3" t="s">
        <v>24135</v>
      </c>
      <c r="AD6743" s="9">
        <v>42472</v>
      </c>
      <c r="AE6743" s="3" t="s">
        <v>283</v>
      </c>
      <c r="AF6743" s="3" t="s">
        <v>23998</v>
      </c>
      <c r="AG6743" s="3" t="s">
        <v>81</v>
      </c>
      <c r="AH6743" s="11">
        <f>HYPERLINK("https://my.pitchbook.com?c=68791-15T","View Company Online")</f>
      </c>
    </row>
    <row r="6744">
      <c r="A6744" s="12" t="s">
        <v>30373</v>
      </c>
      <c r="B6744" s="12" t="s">
        <v>30374</v>
      </c>
      <c r="C6744" s="19">
        <v>2</v>
      </c>
      <c r="D6744" s="19">
        <v>2</v>
      </c>
      <c r="E6744" s="19">
        <v>3</v>
      </c>
      <c r="F6744" s="19">
        <v>7</v>
      </c>
      <c r="G6744" s="15" t="s">
        <v>36</v>
      </c>
      <c r="H6744" s="14">
        <v>712.46</v>
      </c>
      <c r="I6744" s="18">
        <v>45.41</v>
      </c>
      <c r="J6744" s="12" t="s">
        <v>521</v>
      </c>
      <c r="K6744" s="13" t="s">
        <v>36</v>
      </c>
      <c r="L6744" s="15" t="s">
        <v>36</v>
      </c>
      <c r="M6744" s="12" t="s">
        <v>36</v>
      </c>
      <c r="N6744" s="12" t="s">
        <v>36</v>
      </c>
      <c r="O6744" s="17" t="s">
        <v>36</v>
      </c>
      <c r="P6744" s="12" t="s">
        <v>36</v>
      </c>
      <c r="Q6744" s="12" t="s">
        <v>36</v>
      </c>
      <c r="R6744" s="12" t="s">
        <v>36</v>
      </c>
      <c r="S6744" s="12" t="s">
        <v>36</v>
      </c>
      <c r="T6744" s="12" t="s">
        <v>596</v>
      </c>
      <c r="U6744" s="12" t="s">
        <v>366</v>
      </c>
      <c r="V6744" s="12" t="s">
        <v>367</v>
      </c>
      <c r="W6744" s="12" t="s">
        <v>30375</v>
      </c>
      <c r="X6744" s="16" t="s">
        <v>30376</v>
      </c>
      <c r="Y6744" s="15" t="s">
        <v>42</v>
      </c>
      <c r="Z6744" s="14">
        <v>1.81</v>
      </c>
      <c r="AA6744" s="14">
        <v>2.84</v>
      </c>
      <c r="AB6744" s="12" t="s">
        <v>43</v>
      </c>
      <c r="AC6744" s="12" t="s">
        <v>30377</v>
      </c>
      <c r="AD6744" s="13">
        <v>42472</v>
      </c>
      <c r="AE6744" s="12" t="s">
        <v>600</v>
      </c>
      <c r="AF6744" s="12" t="s">
        <v>931</v>
      </c>
      <c r="AG6744" s="12" t="s">
        <v>3733</v>
      </c>
      <c r="AH6744" s="1">
        <f>HYPERLINK("https://my.pitchbook.com?c=80049-07T","View Company Online")</f>
      </c>
    </row>
    <row r="6745">
      <c r="A6745" s="3" t="s">
        <v>30378</v>
      </c>
      <c r="B6745" s="3" t="s">
        <v>25335</v>
      </c>
      <c r="C6745" s="5">
        <v>11</v>
      </c>
      <c r="D6745" s="5">
        <v>6</v>
      </c>
      <c r="E6745" s="5">
        <v>8</v>
      </c>
      <c r="F6745" s="5">
        <v>25</v>
      </c>
      <c r="G6745" s="6" t="s">
        <v>36</v>
      </c>
      <c r="H6745" s="4">
        <v>21.05</v>
      </c>
      <c r="I6745" s="7">
        <v>39.96</v>
      </c>
      <c r="J6745" s="3" t="s">
        <v>521</v>
      </c>
      <c r="K6745" s="9" t="s">
        <v>36</v>
      </c>
      <c r="L6745" s="6" t="s">
        <v>122</v>
      </c>
      <c r="M6745" s="3" t="s">
        <v>36</v>
      </c>
      <c r="N6745" s="3" t="s">
        <v>122</v>
      </c>
      <c r="O6745" s="8" t="s">
        <v>36</v>
      </c>
      <c r="P6745" s="3" t="s">
        <v>36</v>
      </c>
      <c r="Q6745" s="3" t="s">
        <v>36</v>
      </c>
      <c r="R6745" s="3" t="s">
        <v>36</v>
      </c>
      <c r="S6745" s="3" t="s">
        <v>36</v>
      </c>
      <c r="T6745" s="3" t="s">
        <v>1863</v>
      </c>
      <c r="U6745" s="3" t="s">
        <v>96</v>
      </c>
      <c r="V6745" s="3" t="s">
        <v>52</v>
      </c>
      <c r="W6745" s="3" t="s">
        <v>25336</v>
      </c>
      <c r="X6745" s="10" t="s">
        <v>30379</v>
      </c>
      <c r="Y6745" s="6" t="s">
        <v>42</v>
      </c>
      <c r="Z6745" s="4">
        <v>4.06</v>
      </c>
      <c r="AA6745" s="4">
        <v>7.62</v>
      </c>
      <c r="AB6745" s="3" t="s">
        <v>43</v>
      </c>
      <c r="AC6745" s="3" t="s">
        <v>25338</v>
      </c>
      <c r="AD6745" s="9">
        <v>42471</v>
      </c>
      <c r="AE6745" s="3" t="s">
        <v>1414</v>
      </c>
      <c r="AF6745" s="3" t="s">
        <v>25339</v>
      </c>
      <c r="AG6745" s="3" t="s">
        <v>81</v>
      </c>
      <c r="AH6745" s="11">
        <f>HYPERLINK("https://my.pitchbook.com?c=70027-39T","View Company Online")</f>
      </c>
    </row>
    <row r="6746">
      <c r="A6746" s="12" t="s">
        <v>30380</v>
      </c>
      <c r="B6746" s="12" t="s">
        <v>25071</v>
      </c>
      <c r="C6746" s="19" t="s">
        <v>36</v>
      </c>
      <c r="D6746" s="19" t="s">
        <v>36</v>
      </c>
      <c r="E6746" s="19" t="s">
        <v>36</v>
      </c>
      <c r="F6746" s="19" t="s">
        <v>36</v>
      </c>
      <c r="G6746" s="15" t="s">
        <v>36</v>
      </c>
      <c r="H6746" s="14">
        <v>33.75</v>
      </c>
      <c r="I6746" s="18">
        <v>21.21</v>
      </c>
      <c r="J6746" s="12" t="s">
        <v>521</v>
      </c>
      <c r="K6746" s="13">
        <v>42458</v>
      </c>
      <c r="L6746" s="15" t="s">
        <v>122</v>
      </c>
      <c r="M6746" s="12" t="s">
        <v>36</v>
      </c>
      <c r="N6746" s="12" t="s">
        <v>122</v>
      </c>
      <c r="O6746" s="17" t="s">
        <v>36</v>
      </c>
      <c r="P6746" s="12" t="s">
        <v>36</v>
      </c>
      <c r="Q6746" s="12" t="s">
        <v>36</v>
      </c>
      <c r="R6746" s="12" t="s">
        <v>36</v>
      </c>
      <c r="S6746" s="12" t="s">
        <v>36</v>
      </c>
      <c r="T6746" s="12" t="s">
        <v>2084</v>
      </c>
      <c r="U6746" s="12" t="s">
        <v>74</v>
      </c>
      <c r="V6746" s="12" t="s">
        <v>75</v>
      </c>
      <c r="W6746" s="12" t="s">
        <v>25072</v>
      </c>
      <c r="X6746" s="16" t="s">
        <v>30381</v>
      </c>
      <c r="Y6746" s="15" t="s">
        <v>42</v>
      </c>
      <c r="Z6746" s="14">
        <v>0.39</v>
      </c>
      <c r="AA6746" s="14">
        <v>1.86</v>
      </c>
      <c r="AB6746" s="12" t="s">
        <v>43</v>
      </c>
      <c r="AC6746" s="12" t="s">
        <v>25074</v>
      </c>
      <c r="AD6746" s="13">
        <v>42471</v>
      </c>
      <c r="AE6746" s="12" t="s">
        <v>362</v>
      </c>
      <c r="AF6746" s="12" t="s">
        <v>250</v>
      </c>
      <c r="AG6746" s="12" t="s">
        <v>81</v>
      </c>
      <c r="AH6746" s="1">
        <f>HYPERLINK("https://my.pitchbook.com?c=68488-93T","View Company Online")</f>
      </c>
    </row>
    <row r="6747">
      <c r="A6747" s="3" t="s">
        <v>30382</v>
      </c>
      <c r="B6747" s="3" t="s">
        <v>30383</v>
      </c>
      <c r="C6747" s="5" t="s">
        <v>36</v>
      </c>
      <c r="D6747" s="5" t="s">
        <v>36</v>
      </c>
      <c r="E6747" s="5" t="s">
        <v>36</v>
      </c>
      <c r="F6747" s="5" t="s">
        <v>36</v>
      </c>
      <c r="G6747" s="6" t="s">
        <v>326</v>
      </c>
      <c r="H6747" s="4">
        <v>355.2</v>
      </c>
      <c r="I6747" s="7">
        <v>15.56</v>
      </c>
      <c r="J6747" s="3" t="s">
        <v>521</v>
      </c>
      <c r="K6747" s="9" t="s">
        <v>36</v>
      </c>
      <c r="L6747" s="6" t="s">
        <v>36</v>
      </c>
      <c r="M6747" s="3" t="s">
        <v>36</v>
      </c>
      <c r="N6747" s="3" t="s">
        <v>36</v>
      </c>
      <c r="O6747" s="8" t="s">
        <v>36</v>
      </c>
      <c r="P6747" s="3" t="s">
        <v>36</v>
      </c>
      <c r="Q6747" s="3" t="s">
        <v>36</v>
      </c>
      <c r="R6747" s="3" t="s">
        <v>36</v>
      </c>
      <c r="S6747" s="3" t="s">
        <v>453</v>
      </c>
      <c r="T6747" s="3" t="s">
        <v>4608</v>
      </c>
      <c r="U6747" s="3" t="s">
        <v>455</v>
      </c>
      <c r="V6747" s="3" t="s">
        <v>367</v>
      </c>
      <c r="W6747" s="3" t="s">
        <v>30384</v>
      </c>
      <c r="X6747" s="10" t="s">
        <v>30385</v>
      </c>
      <c r="Y6747" s="6" t="s">
        <v>108</v>
      </c>
      <c r="Z6747" s="4">
        <v>2.99</v>
      </c>
      <c r="AA6747" s="4">
        <v>19.22</v>
      </c>
      <c r="AB6747" s="3" t="s">
        <v>56</v>
      </c>
      <c r="AC6747" s="3" t="s">
        <v>30386</v>
      </c>
      <c r="AD6747" s="9">
        <v>42471</v>
      </c>
      <c r="AE6747" s="3" t="s">
        <v>459</v>
      </c>
      <c r="AF6747" s="3" t="s">
        <v>10834</v>
      </c>
      <c r="AG6747" s="3" t="s">
        <v>30387</v>
      </c>
      <c r="AH6747" s="11">
        <f>HYPERLINK("https://my.pitchbook.com?c=94001-68T","View Company Online")</f>
      </c>
    </row>
    <row r="6748">
      <c r="A6748" s="12" t="s">
        <v>30388</v>
      </c>
      <c r="B6748" s="12" t="s">
        <v>21372</v>
      </c>
      <c r="C6748" s="19" t="s">
        <v>36</v>
      </c>
      <c r="D6748" s="19" t="s">
        <v>36</v>
      </c>
      <c r="E6748" s="19" t="s">
        <v>36</v>
      </c>
      <c r="F6748" s="19" t="s">
        <v>36</v>
      </c>
      <c r="G6748" s="15" t="s">
        <v>36</v>
      </c>
      <c r="H6748" s="14" t="s">
        <v>36</v>
      </c>
      <c r="I6748" s="18" t="s">
        <v>36</v>
      </c>
      <c r="J6748" s="12" t="s">
        <v>36</v>
      </c>
      <c r="K6748" s="13" t="s">
        <v>36</v>
      </c>
      <c r="L6748" s="15" t="s">
        <v>122</v>
      </c>
      <c r="M6748" s="12" t="s">
        <v>36</v>
      </c>
      <c r="N6748" s="12" t="s">
        <v>122</v>
      </c>
      <c r="O6748" s="17" t="s">
        <v>36</v>
      </c>
      <c r="P6748" s="12" t="s">
        <v>36</v>
      </c>
      <c r="Q6748" s="12" t="s">
        <v>36</v>
      </c>
      <c r="R6748" s="12" t="s">
        <v>36</v>
      </c>
      <c r="S6748" s="12" t="s">
        <v>36</v>
      </c>
      <c r="T6748" s="12" t="s">
        <v>522</v>
      </c>
      <c r="U6748" s="12" t="s">
        <v>38</v>
      </c>
      <c r="V6748" s="12" t="s">
        <v>39</v>
      </c>
      <c r="W6748" s="12" t="s">
        <v>21373</v>
      </c>
      <c r="X6748" s="16" t="s">
        <v>30389</v>
      </c>
      <c r="Y6748" s="15" t="s">
        <v>55</v>
      </c>
      <c r="Z6748" s="14">
        <v>1.13</v>
      </c>
      <c r="AA6748" s="14" t="s">
        <v>36</v>
      </c>
      <c r="AB6748" s="12" t="s">
        <v>56</v>
      </c>
      <c r="AC6748" s="12" t="s">
        <v>21375</v>
      </c>
      <c r="AD6748" s="13">
        <v>42471</v>
      </c>
      <c r="AE6748" s="12" t="s">
        <v>110</v>
      </c>
      <c r="AF6748" s="12" t="s">
        <v>176</v>
      </c>
      <c r="AG6748" s="12" t="s">
        <v>741</v>
      </c>
      <c r="AH6748" s="1">
        <f>HYPERLINK("https://my.pitchbook.com?c=70028-83T","View Company Online")</f>
      </c>
    </row>
    <row r="6749">
      <c r="A6749" s="3" t="s">
        <v>30390</v>
      </c>
      <c r="B6749" s="3" t="s">
        <v>21693</v>
      </c>
      <c r="C6749" s="5">
        <v>16</v>
      </c>
      <c r="D6749" s="5">
        <v>81</v>
      </c>
      <c r="E6749" s="5">
        <v>15</v>
      </c>
      <c r="F6749" s="5">
        <v>104</v>
      </c>
      <c r="G6749" s="6" t="s">
        <v>36</v>
      </c>
      <c r="H6749" s="4">
        <v>72.7</v>
      </c>
      <c r="I6749" s="7">
        <v>55.7</v>
      </c>
      <c r="J6749" s="3" t="s">
        <v>521</v>
      </c>
      <c r="K6749" s="9" t="s">
        <v>36</v>
      </c>
      <c r="L6749" s="6" t="s">
        <v>122</v>
      </c>
      <c r="M6749" s="3" t="s">
        <v>36</v>
      </c>
      <c r="N6749" s="3" t="s">
        <v>122</v>
      </c>
      <c r="O6749" s="8" t="s">
        <v>36</v>
      </c>
      <c r="P6749" s="3" t="s">
        <v>36</v>
      </c>
      <c r="Q6749" s="3" t="s">
        <v>36</v>
      </c>
      <c r="R6749" s="3" t="s">
        <v>36</v>
      </c>
      <c r="S6749" s="3" t="s">
        <v>36</v>
      </c>
      <c r="T6749" s="3" t="s">
        <v>3264</v>
      </c>
      <c r="U6749" s="3" t="s">
        <v>96</v>
      </c>
      <c r="V6749" s="3" t="s">
        <v>52</v>
      </c>
      <c r="W6749" s="3" t="s">
        <v>21694</v>
      </c>
      <c r="X6749" s="10" t="s">
        <v>30391</v>
      </c>
      <c r="Y6749" s="6" t="s">
        <v>42</v>
      </c>
      <c r="Z6749" s="4">
        <v>5.64</v>
      </c>
      <c r="AA6749" s="4">
        <v>8.91</v>
      </c>
      <c r="AB6749" s="3" t="s">
        <v>43</v>
      </c>
      <c r="AC6749" s="3" t="s">
        <v>21696</v>
      </c>
      <c r="AD6749" s="9">
        <v>42471</v>
      </c>
      <c r="AE6749" s="3" t="s">
        <v>496</v>
      </c>
      <c r="AF6749" s="3" t="s">
        <v>21697</v>
      </c>
      <c r="AG6749" s="3" t="s">
        <v>6368</v>
      </c>
      <c r="AH6749" s="11">
        <f>HYPERLINK("https://my.pitchbook.com?c=68761-54T","View Company Online")</f>
      </c>
    </row>
    <row r="6750">
      <c r="A6750" s="12" t="s">
        <v>30392</v>
      </c>
      <c r="B6750" s="12" t="s">
        <v>30393</v>
      </c>
      <c r="C6750" s="19">
        <v>1</v>
      </c>
      <c r="D6750" s="19">
        <v>11</v>
      </c>
      <c r="E6750" s="19">
        <v>4</v>
      </c>
      <c r="F6750" s="19">
        <v>25</v>
      </c>
      <c r="G6750" s="15" t="s">
        <v>326</v>
      </c>
      <c r="H6750" s="14">
        <v>8.25</v>
      </c>
      <c r="I6750" s="18">
        <v>26.96</v>
      </c>
      <c r="J6750" s="12" t="s">
        <v>521</v>
      </c>
      <c r="K6750" s="13" t="s">
        <v>36</v>
      </c>
      <c r="L6750" s="15" t="s">
        <v>94</v>
      </c>
      <c r="M6750" s="12" t="s">
        <v>36</v>
      </c>
      <c r="N6750" s="12" t="s">
        <v>94</v>
      </c>
      <c r="O6750" s="17" t="s">
        <v>36</v>
      </c>
      <c r="P6750" s="12" t="s">
        <v>36</v>
      </c>
      <c r="Q6750" s="12" t="s">
        <v>36</v>
      </c>
      <c r="R6750" s="12" t="s">
        <v>36</v>
      </c>
      <c r="S6750" s="12" t="s">
        <v>36</v>
      </c>
      <c r="T6750" s="12" t="s">
        <v>9709</v>
      </c>
      <c r="U6750" s="12" t="s">
        <v>51</v>
      </c>
      <c r="V6750" s="12" t="s">
        <v>52</v>
      </c>
      <c r="W6750" s="12" t="s">
        <v>30394</v>
      </c>
      <c r="X6750" s="16" t="s">
        <v>30395</v>
      </c>
      <c r="Y6750" s="15" t="s">
        <v>108</v>
      </c>
      <c r="Z6750" s="14">
        <v>38.53</v>
      </c>
      <c r="AA6750" s="14">
        <v>142.88</v>
      </c>
      <c r="AB6750" s="12" t="s">
        <v>43</v>
      </c>
      <c r="AC6750" s="12" t="s">
        <v>30396</v>
      </c>
      <c r="AD6750" s="13">
        <v>42468</v>
      </c>
      <c r="AE6750" s="12" t="s">
        <v>158</v>
      </c>
      <c r="AF6750" s="12" t="s">
        <v>159</v>
      </c>
      <c r="AG6750" s="12" t="s">
        <v>81</v>
      </c>
      <c r="AH6750" s="1">
        <f>HYPERLINK("https://my.pitchbook.com?c=68690-62T","View Company Online")</f>
      </c>
    </row>
    <row r="6751">
      <c r="A6751" s="3" t="s">
        <v>30397</v>
      </c>
      <c r="B6751" s="3" t="s">
        <v>30398</v>
      </c>
      <c r="C6751" s="5" t="s">
        <v>36</v>
      </c>
      <c r="D6751" s="5" t="s">
        <v>36</v>
      </c>
      <c r="E6751" s="5" t="s">
        <v>36</v>
      </c>
      <c r="F6751" s="5" t="s">
        <v>36</v>
      </c>
      <c r="G6751" s="6" t="s">
        <v>36</v>
      </c>
      <c r="H6751" s="4">
        <v>5.03</v>
      </c>
      <c r="I6751" s="7">
        <v>25.64</v>
      </c>
      <c r="J6751" s="3" t="s">
        <v>521</v>
      </c>
      <c r="K6751" s="9">
        <v>42460</v>
      </c>
      <c r="L6751" s="6" t="s">
        <v>36</v>
      </c>
      <c r="M6751" s="3" t="s">
        <v>36</v>
      </c>
      <c r="N6751" s="3" t="s">
        <v>36</v>
      </c>
      <c r="O6751" s="8" t="s">
        <v>36</v>
      </c>
      <c r="P6751" s="3" t="s">
        <v>36</v>
      </c>
      <c r="Q6751" s="3" t="s">
        <v>36</v>
      </c>
      <c r="R6751" s="3" t="s">
        <v>36</v>
      </c>
      <c r="S6751" s="3" t="s">
        <v>36</v>
      </c>
      <c r="T6751" s="3" t="s">
        <v>4997</v>
      </c>
      <c r="U6751" s="3" t="s">
        <v>38</v>
      </c>
      <c r="V6751" s="3" t="s">
        <v>39</v>
      </c>
      <c r="W6751" s="3" t="s">
        <v>30399</v>
      </c>
      <c r="X6751" s="10" t="s">
        <v>30400</v>
      </c>
      <c r="Y6751" s="6" t="s">
        <v>42</v>
      </c>
      <c r="Z6751" s="4">
        <v>0.52</v>
      </c>
      <c r="AA6751" s="4">
        <v>2.03</v>
      </c>
      <c r="AB6751" s="3" t="s">
        <v>43</v>
      </c>
      <c r="AC6751" s="3" t="s">
        <v>30401</v>
      </c>
      <c r="AD6751" s="9">
        <v>42467</v>
      </c>
      <c r="AE6751" s="3" t="s">
        <v>1945</v>
      </c>
      <c r="AF6751" s="3" t="s">
        <v>1077</v>
      </c>
      <c r="AG6751" s="3" t="s">
        <v>81</v>
      </c>
      <c r="AH6751" s="11">
        <f>HYPERLINK("https://my.pitchbook.com?c=68962-51T","View Company Online")</f>
      </c>
    </row>
    <row r="6752">
      <c r="A6752" s="12" t="s">
        <v>30402</v>
      </c>
      <c r="B6752" s="12" t="s">
        <v>23429</v>
      </c>
      <c r="C6752" s="19" t="s">
        <v>36</v>
      </c>
      <c r="D6752" s="19">
        <v>2</v>
      </c>
      <c r="E6752" s="19">
        <v>1</v>
      </c>
      <c r="F6752" s="19">
        <v>3</v>
      </c>
      <c r="G6752" s="15" t="s">
        <v>36</v>
      </c>
      <c r="H6752" s="14" t="s">
        <v>36</v>
      </c>
      <c r="I6752" s="18">
        <v>38.24</v>
      </c>
      <c r="J6752" s="12" t="s">
        <v>327</v>
      </c>
      <c r="K6752" s="13" t="s">
        <v>36</v>
      </c>
      <c r="L6752" s="15" t="s">
        <v>122</v>
      </c>
      <c r="M6752" s="12" t="s">
        <v>36</v>
      </c>
      <c r="N6752" s="12" t="s">
        <v>122</v>
      </c>
      <c r="O6752" s="17" t="s">
        <v>36</v>
      </c>
      <c r="P6752" s="12" t="s">
        <v>36</v>
      </c>
      <c r="Q6752" s="12" t="s">
        <v>36</v>
      </c>
      <c r="R6752" s="12" t="s">
        <v>36</v>
      </c>
      <c r="S6752" s="12" t="s">
        <v>36</v>
      </c>
      <c r="T6752" s="12" t="s">
        <v>8394</v>
      </c>
      <c r="U6752" s="12" t="s">
        <v>85</v>
      </c>
      <c r="V6752" s="12" t="s">
        <v>64</v>
      </c>
      <c r="W6752" s="12" t="s">
        <v>23430</v>
      </c>
      <c r="X6752" s="16" t="s">
        <v>30403</v>
      </c>
      <c r="Y6752" s="15" t="s">
        <v>55</v>
      </c>
      <c r="Z6752" s="14">
        <v>6.86</v>
      </c>
      <c r="AA6752" s="14">
        <v>17.94</v>
      </c>
      <c r="AB6752" s="12" t="s">
        <v>43</v>
      </c>
      <c r="AC6752" s="12" t="s">
        <v>23432</v>
      </c>
      <c r="AD6752" s="13">
        <v>42467</v>
      </c>
      <c r="AE6752" s="12" t="s">
        <v>89</v>
      </c>
      <c r="AF6752" s="12" t="s">
        <v>12865</v>
      </c>
      <c r="AG6752" s="12" t="s">
        <v>81</v>
      </c>
      <c r="AH6752" s="1">
        <f>HYPERLINK("https://my.pitchbook.com?c=70126-93T","View Company Online")</f>
      </c>
    </row>
    <row r="6753">
      <c r="A6753" s="3" t="s">
        <v>30404</v>
      </c>
      <c r="B6753" s="3" t="s">
        <v>30405</v>
      </c>
      <c r="C6753" s="5" t="s">
        <v>36</v>
      </c>
      <c r="D6753" s="5">
        <v>1</v>
      </c>
      <c r="E6753" s="5">
        <v>1</v>
      </c>
      <c r="F6753" s="5">
        <v>1</v>
      </c>
      <c r="G6753" s="6" t="s">
        <v>36</v>
      </c>
      <c r="H6753" s="4" t="s">
        <v>36</v>
      </c>
      <c r="I6753" s="7" t="s">
        <v>36</v>
      </c>
      <c r="J6753" s="3" t="s">
        <v>36</v>
      </c>
      <c r="K6753" s="9" t="s">
        <v>36</v>
      </c>
      <c r="L6753" s="6" t="s">
        <v>36</v>
      </c>
      <c r="M6753" s="3" t="s">
        <v>36</v>
      </c>
      <c r="N6753" s="3" t="s">
        <v>36</v>
      </c>
      <c r="O6753" s="8" t="s">
        <v>36</v>
      </c>
      <c r="P6753" s="3" t="s">
        <v>36</v>
      </c>
      <c r="Q6753" s="3" t="s">
        <v>36</v>
      </c>
      <c r="R6753" s="3" t="s">
        <v>36</v>
      </c>
      <c r="S6753" s="3" t="s">
        <v>36</v>
      </c>
      <c r="T6753" s="3" t="s">
        <v>30406</v>
      </c>
      <c r="U6753" s="3" t="s">
        <v>74</v>
      </c>
      <c r="V6753" s="3" t="s">
        <v>75</v>
      </c>
      <c r="W6753" s="3" t="s">
        <v>30407</v>
      </c>
      <c r="X6753" s="10" t="s">
        <v>30408</v>
      </c>
      <c r="Y6753" s="6" t="s">
        <v>108</v>
      </c>
      <c r="Z6753" s="4">
        <v>1.57</v>
      </c>
      <c r="AA6753" s="4" t="s">
        <v>36</v>
      </c>
      <c r="AB6753" s="3" t="s">
        <v>56</v>
      </c>
      <c r="AC6753" s="3" t="s">
        <v>30409</v>
      </c>
      <c r="AD6753" s="9">
        <v>42466</v>
      </c>
      <c r="AE6753" s="3" t="s">
        <v>975</v>
      </c>
      <c r="AF6753" s="3" t="s">
        <v>30410</v>
      </c>
      <c r="AG6753" s="3" t="s">
        <v>787</v>
      </c>
      <c r="AH6753" s="11">
        <f>HYPERLINK("https://my.pitchbook.com?c=82708-30T","View Company Online")</f>
      </c>
    </row>
    <row r="6754">
      <c r="A6754" s="12" t="s">
        <v>30411</v>
      </c>
      <c r="B6754" s="12" t="s">
        <v>30412</v>
      </c>
      <c r="C6754" s="19" t="s">
        <v>36</v>
      </c>
      <c r="D6754" s="19">
        <v>2</v>
      </c>
      <c r="E6754" s="19">
        <v>2</v>
      </c>
      <c r="F6754" s="19">
        <v>5</v>
      </c>
      <c r="G6754" s="15" t="s">
        <v>36</v>
      </c>
      <c r="H6754" s="14">
        <v>2.7</v>
      </c>
      <c r="I6754" s="18">
        <v>26.4</v>
      </c>
      <c r="J6754" s="12" t="s">
        <v>521</v>
      </c>
      <c r="K6754" s="13" t="s">
        <v>36</v>
      </c>
      <c r="L6754" s="15" t="s">
        <v>36</v>
      </c>
      <c r="M6754" s="12" t="s">
        <v>36</v>
      </c>
      <c r="N6754" s="12" t="s">
        <v>36</v>
      </c>
      <c r="O6754" s="17" t="s">
        <v>36</v>
      </c>
      <c r="P6754" s="12" t="s">
        <v>36</v>
      </c>
      <c r="Q6754" s="12" t="s">
        <v>36</v>
      </c>
      <c r="R6754" s="12" t="s">
        <v>36</v>
      </c>
      <c r="S6754" s="12" t="s">
        <v>36</v>
      </c>
      <c r="T6754" s="12" t="s">
        <v>30413</v>
      </c>
      <c r="U6754" s="12" t="s">
        <v>38</v>
      </c>
      <c r="V6754" s="12" t="s">
        <v>39</v>
      </c>
      <c r="W6754" s="12" t="s">
        <v>30414</v>
      </c>
      <c r="X6754" s="16" t="s">
        <v>18390</v>
      </c>
      <c r="Y6754" s="15" t="s">
        <v>42</v>
      </c>
      <c r="Z6754" s="14">
        <v>0.53</v>
      </c>
      <c r="AA6754" s="14">
        <v>2</v>
      </c>
      <c r="AB6754" s="12" t="s">
        <v>43</v>
      </c>
      <c r="AC6754" s="12" t="s">
        <v>30415</v>
      </c>
      <c r="AD6754" s="13">
        <v>42466</v>
      </c>
      <c r="AE6754" s="12" t="s">
        <v>110</v>
      </c>
      <c r="AF6754" s="12" t="s">
        <v>30416</v>
      </c>
      <c r="AG6754" s="12" t="s">
        <v>1193</v>
      </c>
      <c r="AH6754" s="1">
        <f>HYPERLINK("https://my.pitchbook.com?c=67407-76T","View Company Online")</f>
      </c>
    </row>
    <row r="6755">
      <c r="A6755" s="3" t="s">
        <v>30417</v>
      </c>
      <c r="B6755" s="3" t="s">
        <v>28232</v>
      </c>
      <c r="C6755" s="5" t="s">
        <v>36</v>
      </c>
      <c r="D6755" s="5" t="s">
        <v>36</v>
      </c>
      <c r="E6755" s="5" t="s">
        <v>36</v>
      </c>
      <c r="F6755" s="5" t="s">
        <v>36</v>
      </c>
      <c r="G6755" s="6" t="s">
        <v>36</v>
      </c>
      <c r="H6755" s="4">
        <v>1.59</v>
      </c>
      <c r="I6755" s="7">
        <v>5.26</v>
      </c>
      <c r="J6755" s="3" t="s">
        <v>521</v>
      </c>
      <c r="K6755" s="9" t="s">
        <v>36</v>
      </c>
      <c r="L6755" s="6" t="s">
        <v>36</v>
      </c>
      <c r="M6755" s="3" t="s">
        <v>36</v>
      </c>
      <c r="N6755" s="3" t="s">
        <v>36</v>
      </c>
      <c r="O6755" s="8" t="s">
        <v>36</v>
      </c>
      <c r="P6755" s="3" t="s">
        <v>36</v>
      </c>
      <c r="Q6755" s="3" t="s">
        <v>36</v>
      </c>
      <c r="R6755" s="3" t="s">
        <v>36</v>
      </c>
      <c r="S6755" s="3" t="s">
        <v>36</v>
      </c>
      <c r="T6755" s="3" t="s">
        <v>28233</v>
      </c>
      <c r="U6755" s="3" t="s">
        <v>63</v>
      </c>
      <c r="V6755" s="3" t="s">
        <v>64</v>
      </c>
      <c r="W6755" s="3" t="s">
        <v>28234</v>
      </c>
      <c r="X6755" s="10" t="s">
        <v>30418</v>
      </c>
      <c r="Y6755" s="6" t="s">
        <v>42</v>
      </c>
      <c r="Z6755" s="4">
        <v>0.22</v>
      </c>
      <c r="AA6755" s="4">
        <v>4.27</v>
      </c>
      <c r="AB6755" s="3" t="s">
        <v>56</v>
      </c>
      <c r="AC6755" s="3" t="s">
        <v>28236</v>
      </c>
      <c r="AD6755" s="9">
        <v>42466</v>
      </c>
      <c r="AE6755" s="3" t="s">
        <v>28237</v>
      </c>
      <c r="AF6755" s="3" t="s">
        <v>36</v>
      </c>
      <c r="AG6755" s="3" t="s">
        <v>102</v>
      </c>
      <c r="AH6755" s="11">
        <f>HYPERLINK("https://my.pitchbook.com?c=120982-78T","View Company Online")</f>
      </c>
    </row>
    <row r="6756">
      <c r="A6756" s="12" t="s">
        <v>30419</v>
      </c>
      <c r="B6756" s="12" t="s">
        <v>30420</v>
      </c>
      <c r="C6756" s="19" t="s">
        <v>36</v>
      </c>
      <c r="D6756" s="19" t="s">
        <v>36</v>
      </c>
      <c r="E6756" s="19" t="s">
        <v>36</v>
      </c>
      <c r="F6756" s="19" t="s">
        <v>36</v>
      </c>
      <c r="G6756" s="15" t="s">
        <v>36</v>
      </c>
      <c r="H6756" s="14" t="s">
        <v>36</v>
      </c>
      <c r="I6756" s="18" t="s">
        <v>36</v>
      </c>
      <c r="J6756" s="12" t="s">
        <v>36</v>
      </c>
      <c r="K6756" s="13" t="s">
        <v>36</v>
      </c>
      <c r="L6756" s="15" t="s">
        <v>36</v>
      </c>
      <c r="M6756" s="12" t="s">
        <v>36</v>
      </c>
      <c r="N6756" s="12" t="s">
        <v>36</v>
      </c>
      <c r="O6756" s="17" t="s">
        <v>36</v>
      </c>
      <c r="P6756" s="12" t="s">
        <v>36</v>
      </c>
      <c r="Q6756" s="12" t="s">
        <v>36</v>
      </c>
      <c r="R6756" s="12" t="s">
        <v>36</v>
      </c>
      <c r="S6756" s="12" t="s">
        <v>36</v>
      </c>
      <c r="T6756" s="12" t="s">
        <v>8342</v>
      </c>
      <c r="U6756" s="12" t="s">
        <v>85</v>
      </c>
      <c r="V6756" s="12" t="s">
        <v>64</v>
      </c>
      <c r="W6756" s="12" t="s">
        <v>30421</v>
      </c>
      <c r="X6756" s="16" t="s">
        <v>30422</v>
      </c>
      <c r="Y6756" s="15" t="s">
        <v>108</v>
      </c>
      <c r="Z6756" s="14" t="s">
        <v>36</v>
      </c>
      <c r="AA6756" s="14" t="s">
        <v>36</v>
      </c>
      <c r="AB6756" s="12" t="s">
        <v>56</v>
      </c>
      <c r="AC6756" s="12" t="s">
        <v>30423</v>
      </c>
      <c r="AD6756" s="13">
        <v>42466</v>
      </c>
      <c r="AE6756" s="12" t="s">
        <v>2823</v>
      </c>
      <c r="AF6756" s="12" t="s">
        <v>22175</v>
      </c>
      <c r="AG6756" s="12" t="s">
        <v>81</v>
      </c>
      <c r="AH6756" s="1">
        <f>HYPERLINK("https://my.pitchbook.com?c=74614-78T","View Company Online")</f>
      </c>
    </row>
    <row r="6757">
      <c r="A6757" s="3" t="s">
        <v>30424</v>
      </c>
      <c r="B6757" s="3" t="s">
        <v>25735</v>
      </c>
      <c r="C6757" s="5" t="s">
        <v>36</v>
      </c>
      <c r="D6757" s="5" t="s">
        <v>36</v>
      </c>
      <c r="E6757" s="5" t="s">
        <v>36</v>
      </c>
      <c r="F6757" s="5" t="s">
        <v>36</v>
      </c>
      <c r="G6757" s="6" t="s">
        <v>36</v>
      </c>
      <c r="H6757" s="4">
        <v>19.98</v>
      </c>
      <c r="I6757" s="7">
        <v>32.05</v>
      </c>
      <c r="J6757" s="3" t="s">
        <v>521</v>
      </c>
      <c r="K6757" s="9">
        <v>42458</v>
      </c>
      <c r="L6757" s="6" t="s">
        <v>122</v>
      </c>
      <c r="M6757" s="3" t="s">
        <v>36</v>
      </c>
      <c r="N6757" s="3" t="s">
        <v>122</v>
      </c>
      <c r="O6757" s="8" t="s">
        <v>36</v>
      </c>
      <c r="P6757" s="3" t="s">
        <v>36</v>
      </c>
      <c r="Q6757" s="3" t="s">
        <v>36</v>
      </c>
      <c r="R6757" s="3" t="s">
        <v>36</v>
      </c>
      <c r="S6757" s="3" t="s">
        <v>36</v>
      </c>
      <c r="T6757" s="3" t="s">
        <v>1701</v>
      </c>
      <c r="U6757" s="3" t="s">
        <v>74</v>
      </c>
      <c r="V6757" s="3" t="s">
        <v>75</v>
      </c>
      <c r="W6757" s="3" t="s">
        <v>25736</v>
      </c>
      <c r="X6757" s="10" t="s">
        <v>30425</v>
      </c>
      <c r="Y6757" s="6" t="s">
        <v>55</v>
      </c>
      <c r="Z6757" s="4">
        <v>1.47</v>
      </c>
      <c r="AA6757" s="4">
        <v>4.6</v>
      </c>
      <c r="AB6757" s="3" t="s">
        <v>56</v>
      </c>
      <c r="AC6757" s="3" t="s">
        <v>25738</v>
      </c>
      <c r="AD6757" s="9">
        <v>42465</v>
      </c>
      <c r="AE6757" s="3" t="s">
        <v>79</v>
      </c>
      <c r="AF6757" s="3" t="s">
        <v>256</v>
      </c>
      <c r="AG6757" s="3" t="s">
        <v>81</v>
      </c>
      <c r="AH6757" s="11">
        <f>HYPERLINK("https://my.pitchbook.com?c=70082-47T","View Company Online")</f>
      </c>
    </row>
    <row r="6758">
      <c r="A6758" s="12" t="s">
        <v>30426</v>
      </c>
      <c r="B6758" s="12" t="s">
        <v>24917</v>
      </c>
      <c r="C6758" s="19" t="s">
        <v>36</v>
      </c>
      <c r="D6758" s="19" t="s">
        <v>36</v>
      </c>
      <c r="E6758" s="19" t="s">
        <v>36</v>
      </c>
      <c r="F6758" s="19" t="s">
        <v>36</v>
      </c>
      <c r="G6758" s="15" t="s">
        <v>36</v>
      </c>
      <c r="H6758" s="14">
        <v>78.51</v>
      </c>
      <c r="I6758" s="18">
        <v>28.41</v>
      </c>
      <c r="J6758" s="12" t="s">
        <v>327</v>
      </c>
      <c r="K6758" s="13">
        <v>42460</v>
      </c>
      <c r="L6758" s="15" t="s">
        <v>36</v>
      </c>
      <c r="M6758" s="12" t="s">
        <v>36</v>
      </c>
      <c r="N6758" s="12" t="s">
        <v>36</v>
      </c>
      <c r="O6758" s="17" t="s">
        <v>36</v>
      </c>
      <c r="P6758" s="12" t="s">
        <v>36</v>
      </c>
      <c r="Q6758" s="12" t="s">
        <v>36</v>
      </c>
      <c r="R6758" s="12" t="s">
        <v>36</v>
      </c>
      <c r="S6758" s="12" t="s">
        <v>36</v>
      </c>
      <c r="T6758" s="12" t="s">
        <v>13447</v>
      </c>
      <c r="U6758" s="12" t="s">
        <v>74</v>
      </c>
      <c r="V6758" s="12" t="s">
        <v>75</v>
      </c>
      <c r="W6758" s="12" t="s">
        <v>24918</v>
      </c>
      <c r="X6758" s="16" t="s">
        <v>5892</v>
      </c>
      <c r="Y6758" s="15" t="s">
        <v>42</v>
      </c>
      <c r="Z6758" s="14">
        <v>0.67</v>
      </c>
      <c r="AA6758" s="14">
        <v>2.37</v>
      </c>
      <c r="AB6758" s="12" t="s">
        <v>43</v>
      </c>
      <c r="AC6758" s="12" t="s">
        <v>24920</v>
      </c>
      <c r="AD6758" s="13">
        <v>42465</v>
      </c>
      <c r="AE6758" s="12" t="s">
        <v>79</v>
      </c>
      <c r="AF6758" s="12" t="s">
        <v>36</v>
      </c>
      <c r="AG6758" s="12" t="s">
        <v>81</v>
      </c>
      <c r="AH6758" s="1">
        <f>HYPERLINK("https://my.pitchbook.com?c=75793-60T","View Company Online")</f>
      </c>
    </row>
    <row r="6759">
      <c r="A6759" s="3" t="s">
        <v>30427</v>
      </c>
      <c r="B6759" s="3" t="s">
        <v>30428</v>
      </c>
      <c r="C6759" s="5" t="s">
        <v>36</v>
      </c>
      <c r="D6759" s="5" t="s">
        <v>36</v>
      </c>
      <c r="E6759" s="5" t="s">
        <v>36</v>
      </c>
      <c r="F6759" s="5" t="s">
        <v>36</v>
      </c>
      <c r="G6759" s="6" t="s">
        <v>36</v>
      </c>
      <c r="H6759" s="4" t="s">
        <v>36</v>
      </c>
      <c r="I6759" s="7" t="s">
        <v>36</v>
      </c>
      <c r="J6759" s="3" t="s">
        <v>36</v>
      </c>
      <c r="K6759" s="9" t="s">
        <v>36</v>
      </c>
      <c r="L6759" s="6" t="s">
        <v>122</v>
      </c>
      <c r="M6759" s="3" t="s">
        <v>36</v>
      </c>
      <c r="N6759" s="3" t="s">
        <v>122</v>
      </c>
      <c r="O6759" s="8" t="s">
        <v>36</v>
      </c>
      <c r="P6759" s="3" t="s">
        <v>36</v>
      </c>
      <c r="Q6759" s="3" t="s">
        <v>36</v>
      </c>
      <c r="R6759" s="3" t="s">
        <v>36</v>
      </c>
      <c r="S6759" s="3" t="s">
        <v>6677</v>
      </c>
      <c r="T6759" s="3" t="s">
        <v>30429</v>
      </c>
      <c r="U6759" s="3" t="s">
        <v>38</v>
      </c>
      <c r="V6759" s="3" t="s">
        <v>39</v>
      </c>
      <c r="W6759" s="3" t="s">
        <v>30430</v>
      </c>
      <c r="X6759" s="10" t="s">
        <v>30431</v>
      </c>
      <c r="Y6759" s="6" t="s">
        <v>42</v>
      </c>
      <c r="Z6759" s="4">
        <v>23.56</v>
      </c>
      <c r="AA6759" s="4" t="s">
        <v>36</v>
      </c>
      <c r="AB6759" s="3" t="s">
        <v>56</v>
      </c>
      <c r="AC6759" s="3" t="s">
        <v>30432</v>
      </c>
      <c r="AD6759" s="9">
        <v>42465</v>
      </c>
      <c r="AE6759" s="3" t="s">
        <v>110</v>
      </c>
      <c r="AF6759" s="3" t="s">
        <v>30433</v>
      </c>
      <c r="AG6759" s="3" t="s">
        <v>81</v>
      </c>
      <c r="AH6759" s="11">
        <f>HYPERLINK("https://my.pitchbook.com?c=68799-25T","View Company Online")</f>
      </c>
    </row>
    <row r="6760">
      <c r="A6760" s="12" t="s">
        <v>30434</v>
      </c>
      <c r="B6760" s="12" t="s">
        <v>30435</v>
      </c>
      <c r="C6760" s="19" t="s">
        <v>36</v>
      </c>
      <c r="D6760" s="19">
        <v>2</v>
      </c>
      <c r="E6760" s="19">
        <v>1</v>
      </c>
      <c r="F6760" s="19">
        <v>4</v>
      </c>
      <c r="G6760" s="15" t="s">
        <v>326</v>
      </c>
      <c r="H6760" s="14">
        <v>282.49</v>
      </c>
      <c r="I6760" s="18">
        <v>14.29</v>
      </c>
      <c r="J6760" s="12" t="s">
        <v>521</v>
      </c>
      <c r="K6760" s="13">
        <v>42360</v>
      </c>
      <c r="L6760" s="15" t="s">
        <v>36</v>
      </c>
      <c r="M6760" s="12" t="s">
        <v>36</v>
      </c>
      <c r="N6760" s="12" t="s">
        <v>36</v>
      </c>
      <c r="O6760" s="17" t="s">
        <v>36</v>
      </c>
      <c r="P6760" s="12" t="s">
        <v>36</v>
      </c>
      <c r="Q6760" s="12" t="s">
        <v>36</v>
      </c>
      <c r="R6760" s="12" t="s">
        <v>36</v>
      </c>
      <c r="S6760" s="12" t="s">
        <v>36</v>
      </c>
      <c r="T6760" s="12" t="s">
        <v>596</v>
      </c>
      <c r="U6760" s="12" t="s">
        <v>366</v>
      </c>
      <c r="V6760" s="12" t="s">
        <v>367</v>
      </c>
      <c r="W6760" s="12" t="s">
        <v>30436</v>
      </c>
      <c r="X6760" s="16" t="s">
        <v>30437</v>
      </c>
      <c r="Y6760" s="15" t="s">
        <v>42</v>
      </c>
      <c r="Z6760" s="14">
        <v>1.46</v>
      </c>
      <c r="AA6760" s="14">
        <v>3.93</v>
      </c>
      <c r="AB6760" s="12" t="s">
        <v>43</v>
      </c>
      <c r="AC6760" s="12" t="s">
        <v>30438</v>
      </c>
      <c r="AD6760" s="13">
        <v>42465</v>
      </c>
      <c r="AE6760" s="12" t="s">
        <v>600</v>
      </c>
      <c r="AF6760" s="12" t="s">
        <v>1340</v>
      </c>
      <c r="AG6760" s="12" t="s">
        <v>5895</v>
      </c>
      <c r="AH6760" s="1">
        <f>HYPERLINK("https://my.pitchbook.com?c=116087-23T","View Company Online")</f>
      </c>
    </row>
    <row r="6761">
      <c r="A6761" s="3" t="s">
        <v>30439</v>
      </c>
      <c r="B6761" s="3" t="s">
        <v>25465</v>
      </c>
      <c r="C6761" s="5" t="s">
        <v>36</v>
      </c>
      <c r="D6761" s="5" t="s">
        <v>36</v>
      </c>
      <c r="E6761" s="5" t="s">
        <v>36</v>
      </c>
      <c r="F6761" s="5" t="s">
        <v>36</v>
      </c>
      <c r="G6761" s="6" t="s">
        <v>683</v>
      </c>
      <c r="H6761" s="4">
        <v>268.59</v>
      </c>
      <c r="I6761" s="7">
        <v>11.11</v>
      </c>
      <c r="J6761" s="3" t="s">
        <v>521</v>
      </c>
      <c r="K6761" s="9" t="s">
        <v>36</v>
      </c>
      <c r="L6761" s="6" t="s">
        <v>36</v>
      </c>
      <c r="M6761" s="3" t="s">
        <v>36</v>
      </c>
      <c r="N6761" s="3" t="s">
        <v>36</v>
      </c>
      <c r="O6761" s="8" t="s">
        <v>36</v>
      </c>
      <c r="P6761" s="3" t="s">
        <v>36</v>
      </c>
      <c r="Q6761" s="3" t="s">
        <v>36</v>
      </c>
      <c r="R6761" s="3" t="s">
        <v>36</v>
      </c>
      <c r="S6761" s="3" t="s">
        <v>36</v>
      </c>
      <c r="T6761" s="3" t="s">
        <v>16221</v>
      </c>
      <c r="U6761" s="3" t="s">
        <v>38</v>
      </c>
      <c r="V6761" s="3" t="s">
        <v>39</v>
      </c>
      <c r="W6761" s="3" t="s">
        <v>25466</v>
      </c>
      <c r="X6761" s="10" t="s">
        <v>30440</v>
      </c>
      <c r="Y6761" s="6" t="s">
        <v>108</v>
      </c>
      <c r="Z6761" s="4">
        <v>0.56</v>
      </c>
      <c r="AA6761" s="4">
        <v>5.04</v>
      </c>
      <c r="AB6761" s="3" t="s">
        <v>43</v>
      </c>
      <c r="AC6761" s="3" t="s">
        <v>25468</v>
      </c>
      <c r="AD6761" s="9">
        <v>42463</v>
      </c>
      <c r="AE6761" s="3" t="s">
        <v>110</v>
      </c>
      <c r="AF6761" s="3" t="s">
        <v>4552</v>
      </c>
      <c r="AG6761" s="3" t="s">
        <v>81</v>
      </c>
      <c r="AH6761" s="11">
        <f>HYPERLINK("https://my.pitchbook.com?c=211221-01T","View Company Online")</f>
      </c>
    </row>
    <row r="6762">
      <c r="A6762" s="12" t="s">
        <v>30441</v>
      </c>
      <c r="B6762" s="12" t="s">
        <v>30442</v>
      </c>
      <c r="C6762" s="19" t="s">
        <v>36</v>
      </c>
      <c r="D6762" s="19">
        <v>5</v>
      </c>
      <c r="E6762" s="19">
        <v>4</v>
      </c>
      <c r="F6762" s="19">
        <v>14</v>
      </c>
      <c r="G6762" s="15" t="s">
        <v>326</v>
      </c>
      <c r="H6762" s="14">
        <v>31.16</v>
      </c>
      <c r="I6762" s="18">
        <v>13.32</v>
      </c>
      <c r="J6762" s="12" t="s">
        <v>521</v>
      </c>
      <c r="K6762" s="13" t="s">
        <v>36</v>
      </c>
      <c r="L6762" s="15" t="s">
        <v>36</v>
      </c>
      <c r="M6762" s="12" t="s">
        <v>36</v>
      </c>
      <c r="N6762" s="12" t="s">
        <v>36</v>
      </c>
      <c r="O6762" s="17" t="s">
        <v>36</v>
      </c>
      <c r="P6762" s="12" t="s">
        <v>36</v>
      </c>
      <c r="Q6762" s="12" t="s">
        <v>36</v>
      </c>
      <c r="R6762" s="12" t="s">
        <v>36</v>
      </c>
      <c r="S6762" s="12" t="s">
        <v>36</v>
      </c>
      <c r="T6762" s="12" t="s">
        <v>30443</v>
      </c>
      <c r="U6762" s="12" t="s">
        <v>51</v>
      </c>
      <c r="V6762" s="12" t="s">
        <v>52</v>
      </c>
      <c r="W6762" s="12" t="s">
        <v>30444</v>
      </c>
      <c r="X6762" s="16" t="s">
        <v>730</v>
      </c>
      <c r="Y6762" s="15" t="s">
        <v>55</v>
      </c>
      <c r="Z6762" s="14">
        <v>0.5</v>
      </c>
      <c r="AA6762" s="14">
        <v>3.73</v>
      </c>
      <c r="AB6762" s="12" t="s">
        <v>43</v>
      </c>
      <c r="AC6762" s="12" t="s">
        <v>30445</v>
      </c>
      <c r="AD6762" s="13">
        <v>42461</v>
      </c>
      <c r="AE6762" s="12" t="s">
        <v>158</v>
      </c>
      <c r="AF6762" s="12" t="s">
        <v>30446</v>
      </c>
      <c r="AG6762" s="12" t="s">
        <v>5504</v>
      </c>
      <c r="AH6762" s="1">
        <f>HYPERLINK("https://my.pitchbook.com?c=252164-44T","View Company Online")</f>
      </c>
    </row>
    <row r="6763">
      <c r="A6763" s="3" t="s">
        <v>30447</v>
      </c>
      <c r="B6763" s="3" t="s">
        <v>30448</v>
      </c>
      <c r="C6763" s="5" t="s">
        <v>36</v>
      </c>
      <c r="D6763" s="5" t="s">
        <v>36</v>
      </c>
      <c r="E6763" s="5" t="s">
        <v>36</v>
      </c>
      <c r="F6763" s="5" t="s">
        <v>36</v>
      </c>
      <c r="G6763" s="6" t="s">
        <v>36</v>
      </c>
      <c r="H6763" s="4" t="s">
        <v>36</v>
      </c>
      <c r="I6763" s="7" t="s">
        <v>36</v>
      </c>
      <c r="J6763" s="3" t="s">
        <v>36</v>
      </c>
      <c r="K6763" s="9" t="s">
        <v>36</v>
      </c>
      <c r="L6763" s="6" t="s">
        <v>122</v>
      </c>
      <c r="M6763" s="3" t="s">
        <v>36</v>
      </c>
      <c r="N6763" s="3" t="s">
        <v>122</v>
      </c>
      <c r="O6763" s="8" t="s">
        <v>36</v>
      </c>
      <c r="P6763" s="3" t="s">
        <v>36</v>
      </c>
      <c r="Q6763" s="3" t="s">
        <v>36</v>
      </c>
      <c r="R6763" s="3" t="s">
        <v>36</v>
      </c>
      <c r="S6763" s="3" t="s">
        <v>36</v>
      </c>
      <c r="T6763" s="3" t="s">
        <v>26391</v>
      </c>
      <c r="U6763" s="3" t="s">
        <v>38</v>
      </c>
      <c r="V6763" s="3" t="s">
        <v>39</v>
      </c>
      <c r="W6763" s="3" t="s">
        <v>30449</v>
      </c>
      <c r="X6763" s="10" t="s">
        <v>30450</v>
      </c>
      <c r="Y6763" s="6" t="s">
        <v>42</v>
      </c>
      <c r="Z6763" s="4">
        <v>3.35</v>
      </c>
      <c r="AA6763" s="4" t="s">
        <v>36</v>
      </c>
      <c r="AB6763" s="3" t="s">
        <v>43</v>
      </c>
      <c r="AC6763" s="3" t="s">
        <v>30451</v>
      </c>
      <c r="AD6763" s="9">
        <v>42461</v>
      </c>
      <c r="AE6763" s="3" t="s">
        <v>339</v>
      </c>
      <c r="AF6763" s="3" t="s">
        <v>176</v>
      </c>
      <c r="AG6763" s="3" t="s">
        <v>81</v>
      </c>
      <c r="AH6763" s="11">
        <f>HYPERLINK("https://my.pitchbook.com?c=74296-90T","View Company Online")</f>
      </c>
    </row>
    <row r="6764">
      <c r="A6764" s="12" t="s">
        <v>30452</v>
      </c>
      <c r="B6764" s="12" t="s">
        <v>30453</v>
      </c>
      <c r="C6764" s="19" t="s">
        <v>36</v>
      </c>
      <c r="D6764" s="19" t="s">
        <v>36</v>
      </c>
      <c r="E6764" s="19" t="s">
        <v>36</v>
      </c>
      <c r="F6764" s="19" t="s">
        <v>36</v>
      </c>
      <c r="G6764" s="15" t="s">
        <v>36</v>
      </c>
      <c r="H6764" s="14" t="s">
        <v>36</v>
      </c>
      <c r="I6764" s="18" t="s">
        <v>36</v>
      </c>
      <c r="J6764" s="12" t="s">
        <v>36</v>
      </c>
      <c r="K6764" s="13" t="s">
        <v>36</v>
      </c>
      <c r="L6764" s="15" t="s">
        <v>36</v>
      </c>
      <c r="M6764" s="12" t="s">
        <v>36</v>
      </c>
      <c r="N6764" s="12" t="s">
        <v>36</v>
      </c>
      <c r="O6764" s="17" t="s">
        <v>36</v>
      </c>
      <c r="P6764" s="12" t="s">
        <v>36</v>
      </c>
      <c r="Q6764" s="12" t="s">
        <v>36</v>
      </c>
      <c r="R6764" s="12" t="s">
        <v>36</v>
      </c>
      <c r="S6764" s="12" t="s">
        <v>36</v>
      </c>
      <c r="T6764" s="12" t="s">
        <v>30454</v>
      </c>
      <c r="U6764" s="12" t="s">
        <v>233</v>
      </c>
      <c r="V6764" s="12" t="s">
        <v>39</v>
      </c>
      <c r="W6764" s="12" t="s">
        <v>30455</v>
      </c>
      <c r="X6764" s="16" t="s">
        <v>19209</v>
      </c>
      <c r="Y6764" s="15" t="s">
        <v>42</v>
      </c>
      <c r="Z6764" s="14" t="s">
        <v>36</v>
      </c>
      <c r="AA6764" s="14" t="s">
        <v>36</v>
      </c>
      <c r="AB6764" s="12" t="s">
        <v>43</v>
      </c>
      <c r="AC6764" s="12" t="s">
        <v>30456</v>
      </c>
      <c r="AD6764" s="13">
        <v>42461</v>
      </c>
      <c r="AE6764" s="12" t="s">
        <v>12061</v>
      </c>
      <c r="AF6764" s="12" t="s">
        <v>176</v>
      </c>
      <c r="AG6764" s="12" t="s">
        <v>81</v>
      </c>
      <c r="AH6764" s="1">
        <f>HYPERLINK("https://my.pitchbook.com?c=120287-53T","View Company Online")</f>
      </c>
    </row>
    <row r="6765">
      <c r="A6765" s="3" t="s">
        <v>30457</v>
      </c>
      <c r="B6765" s="3" t="s">
        <v>30458</v>
      </c>
      <c r="C6765" s="5" t="s">
        <v>36</v>
      </c>
      <c r="D6765" s="5" t="s">
        <v>36</v>
      </c>
      <c r="E6765" s="5" t="s">
        <v>36</v>
      </c>
      <c r="F6765" s="5" t="s">
        <v>36</v>
      </c>
      <c r="G6765" s="6" t="s">
        <v>36</v>
      </c>
      <c r="H6765" s="4">
        <v>2170.6</v>
      </c>
      <c r="I6765" s="7">
        <v>15.98</v>
      </c>
      <c r="J6765" s="3" t="s">
        <v>521</v>
      </c>
      <c r="K6765" s="9" t="s">
        <v>36</v>
      </c>
      <c r="L6765" s="6" t="s">
        <v>36</v>
      </c>
      <c r="M6765" s="3" t="s">
        <v>36</v>
      </c>
      <c r="N6765" s="3" t="s">
        <v>36</v>
      </c>
      <c r="O6765" s="8" t="s">
        <v>36</v>
      </c>
      <c r="P6765" s="3" t="s">
        <v>36</v>
      </c>
      <c r="Q6765" s="3" t="s">
        <v>36</v>
      </c>
      <c r="R6765" s="3" t="s">
        <v>36</v>
      </c>
      <c r="S6765" s="3" t="s">
        <v>36</v>
      </c>
      <c r="T6765" s="3" t="s">
        <v>30459</v>
      </c>
      <c r="U6765" s="3" t="s">
        <v>38</v>
      </c>
      <c r="V6765" s="3" t="s">
        <v>39</v>
      </c>
      <c r="W6765" s="3" t="s">
        <v>30460</v>
      </c>
      <c r="X6765" s="10" t="s">
        <v>1840</v>
      </c>
      <c r="Y6765" s="6" t="s">
        <v>108</v>
      </c>
      <c r="Z6765" s="4">
        <v>1.12</v>
      </c>
      <c r="AA6765" s="4">
        <v>3.27</v>
      </c>
      <c r="AB6765" s="3" t="s">
        <v>43</v>
      </c>
      <c r="AC6765" s="3" t="s">
        <v>30461</v>
      </c>
      <c r="AD6765" s="9">
        <v>42461</v>
      </c>
      <c r="AE6765" s="3" t="s">
        <v>688</v>
      </c>
      <c r="AF6765" s="3" t="s">
        <v>1636</v>
      </c>
      <c r="AG6765" s="3" t="s">
        <v>47</v>
      </c>
      <c r="AH6765" s="11">
        <f>HYPERLINK("https://my.pitchbook.com?c=74016-28T","View Company Online")</f>
      </c>
    </row>
    <row r="6766">
      <c r="A6766" s="12" t="s">
        <v>30462</v>
      </c>
      <c r="B6766" s="12" t="s">
        <v>30463</v>
      </c>
      <c r="C6766" s="19" t="s">
        <v>36</v>
      </c>
      <c r="D6766" s="19" t="s">
        <v>36</v>
      </c>
      <c r="E6766" s="19" t="s">
        <v>36</v>
      </c>
      <c r="F6766" s="19" t="s">
        <v>36</v>
      </c>
      <c r="G6766" s="15" t="s">
        <v>326</v>
      </c>
      <c r="H6766" s="14">
        <v>240.64</v>
      </c>
      <c r="I6766" s="18">
        <v>17.01</v>
      </c>
      <c r="J6766" s="12" t="s">
        <v>521</v>
      </c>
      <c r="K6766" s="13" t="s">
        <v>36</v>
      </c>
      <c r="L6766" s="15" t="s">
        <v>36</v>
      </c>
      <c r="M6766" s="12" t="s">
        <v>36</v>
      </c>
      <c r="N6766" s="12" t="s">
        <v>36</v>
      </c>
      <c r="O6766" s="17" t="s">
        <v>36</v>
      </c>
      <c r="P6766" s="12" t="s">
        <v>36</v>
      </c>
      <c r="Q6766" s="12" t="s">
        <v>36</v>
      </c>
      <c r="R6766" s="12" t="s">
        <v>36</v>
      </c>
      <c r="S6766" s="12" t="s">
        <v>36</v>
      </c>
      <c r="T6766" s="12" t="s">
        <v>9288</v>
      </c>
      <c r="U6766" s="12" t="s">
        <v>51</v>
      </c>
      <c r="V6766" s="12" t="s">
        <v>52</v>
      </c>
      <c r="W6766" s="12" t="s">
        <v>30464</v>
      </c>
      <c r="X6766" s="16" t="s">
        <v>30465</v>
      </c>
      <c r="Y6766" s="15" t="s">
        <v>108</v>
      </c>
      <c r="Z6766" s="14">
        <v>1</v>
      </c>
      <c r="AA6766" s="14">
        <v>5.9</v>
      </c>
      <c r="AB6766" s="12" t="s">
        <v>43</v>
      </c>
      <c r="AC6766" s="12" t="s">
        <v>30466</v>
      </c>
      <c r="AD6766" s="13">
        <v>42461</v>
      </c>
      <c r="AE6766" s="12" t="s">
        <v>504</v>
      </c>
      <c r="AF6766" s="12" t="s">
        <v>36</v>
      </c>
      <c r="AG6766" s="12" t="s">
        <v>30467</v>
      </c>
      <c r="AH6766" s="1">
        <f>HYPERLINK("https://my.pitchbook.com?c=88168-24T","View Company Online")</f>
      </c>
    </row>
    <row r="6767">
      <c r="A6767" s="3" t="s">
        <v>30468</v>
      </c>
      <c r="B6767" s="3" t="s">
        <v>15953</v>
      </c>
      <c r="C6767" s="5" t="s">
        <v>36</v>
      </c>
      <c r="D6767" s="5" t="s">
        <v>36</v>
      </c>
      <c r="E6767" s="5" t="s">
        <v>36</v>
      </c>
      <c r="F6767" s="5" t="s">
        <v>36</v>
      </c>
      <c r="G6767" s="6" t="s">
        <v>36</v>
      </c>
      <c r="H6767" s="4" t="s">
        <v>36</v>
      </c>
      <c r="I6767" s="7" t="s">
        <v>36</v>
      </c>
      <c r="J6767" s="3" t="s">
        <v>36</v>
      </c>
      <c r="K6767" s="9" t="s">
        <v>36</v>
      </c>
      <c r="L6767" s="6" t="s">
        <v>94</v>
      </c>
      <c r="M6767" s="3" t="s">
        <v>36</v>
      </c>
      <c r="N6767" s="3" t="s">
        <v>94</v>
      </c>
      <c r="O6767" s="8" t="s">
        <v>36</v>
      </c>
      <c r="P6767" s="3" t="s">
        <v>36</v>
      </c>
      <c r="Q6767" s="3" t="s">
        <v>36</v>
      </c>
      <c r="R6767" s="3" t="s">
        <v>36</v>
      </c>
      <c r="S6767" s="3" t="s">
        <v>36</v>
      </c>
      <c r="T6767" s="3" t="s">
        <v>3168</v>
      </c>
      <c r="U6767" s="3" t="s">
        <v>289</v>
      </c>
      <c r="V6767" s="3" t="s">
        <v>64</v>
      </c>
      <c r="W6767" s="3" t="s">
        <v>15954</v>
      </c>
      <c r="X6767" s="10" t="s">
        <v>30469</v>
      </c>
      <c r="Y6767" s="6" t="s">
        <v>108</v>
      </c>
      <c r="Z6767" s="4">
        <v>14.49</v>
      </c>
      <c r="AA6767" s="4" t="s">
        <v>36</v>
      </c>
      <c r="AB6767" s="3" t="s">
        <v>43</v>
      </c>
      <c r="AC6767" s="3" t="s">
        <v>15956</v>
      </c>
      <c r="AD6767" s="9">
        <v>42460</v>
      </c>
      <c r="AE6767" s="3" t="s">
        <v>3134</v>
      </c>
      <c r="AF6767" s="3" t="s">
        <v>90</v>
      </c>
      <c r="AG6767" s="3" t="s">
        <v>81</v>
      </c>
      <c r="AH6767" s="11">
        <f>HYPERLINK("https://my.pitchbook.com?c=68458-78T","View Company Online")</f>
      </c>
    </row>
    <row r="6768">
      <c r="A6768" s="12" t="s">
        <v>30470</v>
      </c>
      <c r="B6768" s="12" t="s">
        <v>30471</v>
      </c>
      <c r="C6768" s="19">
        <v>2</v>
      </c>
      <c r="D6768" s="19">
        <v>42</v>
      </c>
      <c r="E6768" s="19">
        <v>22</v>
      </c>
      <c r="F6768" s="19">
        <v>102</v>
      </c>
      <c r="G6768" s="15" t="s">
        <v>36</v>
      </c>
      <c r="H6768" s="14" t="s">
        <v>36</v>
      </c>
      <c r="I6768" s="18" t="s">
        <v>36</v>
      </c>
      <c r="J6768" s="12" t="s">
        <v>36</v>
      </c>
      <c r="K6768" s="13" t="s">
        <v>36</v>
      </c>
      <c r="L6768" s="15" t="s">
        <v>36</v>
      </c>
      <c r="M6768" s="12" t="s">
        <v>36</v>
      </c>
      <c r="N6768" s="12" t="s">
        <v>36</v>
      </c>
      <c r="O6768" s="17" t="s">
        <v>36</v>
      </c>
      <c r="P6768" s="12" t="s">
        <v>36</v>
      </c>
      <c r="Q6768" s="12" t="s">
        <v>36</v>
      </c>
      <c r="R6768" s="12" t="s">
        <v>36</v>
      </c>
      <c r="S6768" s="12" t="s">
        <v>36</v>
      </c>
      <c r="T6768" s="12" t="s">
        <v>4082</v>
      </c>
      <c r="U6768" s="12" t="s">
        <v>1580</v>
      </c>
      <c r="V6768" s="12" t="s">
        <v>39</v>
      </c>
      <c r="W6768" s="12" t="s">
        <v>30472</v>
      </c>
      <c r="X6768" s="16" t="s">
        <v>30473</v>
      </c>
      <c r="Y6768" s="15" t="s">
        <v>475</v>
      </c>
      <c r="Z6768" s="14">
        <v>3.34</v>
      </c>
      <c r="AA6768" s="14" t="s">
        <v>36</v>
      </c>
      <c r="AB6768" s="12" t="s">
        <v>56</v>
      </c>
      <c r="AC6768" s="12" t="s">
        <v>30474</v>
      </c>
      <c r="AD6768" s="13">
        <v>42459</v>
      </c>
      <c r="AE6768" s="12" t="s">
        <v>4086</v>
      </c>
      <c r="AF6768" s="12" t="s">
        <v>1636</v>
      </c>
      <c r="AG6768" s="12" t="s">
        <v>81</v>
      </c>
      <c r="AH6768" s="1">
        <f>HYPERLINK("https://my.pitchbook.com?c=68335-93T","View Company Online")</f>
      </c>
    </row>
    <row r="6769">
      <c r="A6769" s="3" t="s">
        <v>30475</v>
      </c>
      <c r="B6769" s="3" t="s">
        <v>30476</v>
      </c>
      <c r="C6769" s="5" t="s">
        <v>36</v>
      </c>
      <c r="D6769" s="5" t="s">
        <v>36</v>
      </c>
      <c r="E6769" s="5" t="s">
        <v>36</v>
      </c>
      <c r="F6769" s="5" t="s">
        <v>36</v>
      </c>
      <c r="G6769" s="6" t="s">
        <v>36</v>
      </c>
      <c r="H6769" s="4" t="s">
        <v>36</v>
      </c>
      <c r="I6769" s="7" t="s">
        <v>36</v>
      </c>
      <c r="J6769" s="3" t="s">
        <v>36</v>
      </c>
      <c r="K6769" s="9" t="s">
        <v>36</v>
      </c>
      <c r="L6769" s="6" t="s">
        <v>36</v>
      </c>
      <c r="M6769" s="3" t="s">
        <v>36</v>
      </c>
      <c r="N6769" s="3" t="s">
        <v>36</v>
      </c>
      <c r="O6769" s="8" t="s">
        <v>36</v>
      </c>
      <c r="P6769" s="3" t="s">
        <v>36</v>
      </c>
      <c r="Q6769" s="3" t="s">
        <v>36</v>
      </c>
      <c r="R6769" s="3" t="s">
        <v>36</v>
      </c>
      <c r="S6769" s="3" t="s">
        <v>36</v>
      </c>
      <c r="T6769" s="3" t="s">
        <v>22764</v>
      </c>
      <c r="U6769" s="3" t="s">
        <v>74</v>
      </c>
      <c r="V6769" s="3" t="s">
        <v>75</v>
      </c>
      <c r="W6769" s="3" t="s">
        <v>30477</v>
      </c>
      <c r="X6769" s="10" t="s">
        <v>30478</v>
      </c>
      <c r="Y6769" s="6" t="s">
        <v>42</v>
      </c>
      <c r="Z6769" s="4">
        <v>1.11</v>
      </c>
      <c r="AA6769" s="4" t="s">
        <v>36</v>
      </c>
      <c r="AB6769" s="3" t="s">
        <v>56</v>
      </c>
      <c r="AC6769" s="3" t="s">
        <v>30479</v>
      </c>
      <c r="AD6769" s="9">
        <v>42454</v>
      </c>
      <c r="AE6769" s="3" t="s">
        <v>3144</v>
      </c>
      <c r="AF6769" s="3" t="s">
        <v>176</v>
      </c>
      <c r="AG6769" s="3" t="s">
        <v>81</v>
      </c>
      <c r="AH6769" s="11">
        <f>HYPERLINK("https://my.pitchbook.com?c=126091-54T","View Company Online")</f>
      </c>
    </row>
    <row r="6770">
      <c r="A6770" s="12" t="s">
        <v>30480</v>
      </c>
      <c r="B6770" s="12" t="s">
        <v>22249</v>
      </c>
      <c r="C6770" s="19" t="s">
        <v>36</v>
      </c>
      <c r="D6770" s="19">
        <v>7</v>
      </c>
      <c r="E6770" s="19">
        <v>3</v>
      </c>
      <c r="F6770" s="19">
        <v>10</v>
      </c>
      <c r="G6770" s="15" t="s">
        <v>326</v>
      </c>
      <c r="H6770" s="14">
        <v>363.5</v>
      </c>
      <c r="I6770" s="18">
        <v>14.41</v>
      </c>
      <c r="J6770" s="12" t="s">
        <v>521</v>
      </c>
      <c r="K6770" s="13" t="s">
        <v>36</v>
      </c>
      <c r="L6770" s="15" t="s">
        <v>36</v>
      </c>
      <c r="M6770" s="12" t="s">
        <v>36</v>
      </c>
      <c r="N6770" s="12" t="s">
        <v>36</v>
      </c>
      <c r="O6770" s="17" t="s">
        <v>36</v>
      </c>
      <c r="P6770" s="12" t="s">
        <v>36</v>
      </c>
      <c r="Q6770" s="12" t="s">
        <v>36</v>
      </c>
      <c r="R6770" s="12" t="s">
        <v>36</v>
      </c>
      <c r="S6770" s="12" t="s">
        <v>36</v>
      </c>
      <c r="T6770" s="12" t="s">
        <v>1863</v>
      </c>
      <c r="U6770" s="12" t="s">
        <v>96</v>
      </c>
      <c r="V6770" s="12" t="s">
        <v>52</v>
      </c>
      <c r="W6770" s="12" t="s">
        <v>22250</v>
      </c>
      <c r="X6770" s="16" t="s">
        <v>18485</v>
      </c>
      <c r="Y6770" s="15" t="s">
        <v>108</v>
      </c>
      <c r="Z6770" s="14">
        <v>0.33</v>
      </c>
      <c r="AA6770" s="14">
        <v>2.26</v>
      </c>
      <c r="AB6770" s="12" t="s">
        <v>56</v>
      </c>
      <c r="AC6770" s="12" t="s">
        <v>22252</v>
      </c>
      <c r="AD6770" s="13">
        <v>42452</v>
      </c>
      <c r="AE6770" s="12" t="s">
        <v>1414</v>
      </c>
      <c r="AF6770" s="12" t="s">
        <v>571</v>
      </c>
      <c r="AG6770" s="12" t="s">
        <v>22253</v>
      </c>
      <c r="AH6770" s="1">
        <f>HYPERLINK("https://my.pitchbook.com?c=187562-44T","View Company Online")</f>
      </c>
    </row>
    <row r="6771">
      <c r="A6771" s="3" t="s">
        <v>30481</v>
      </c>
      <c r="B6771" s="3" t="s">
        <v>30482</v>
      </c>
      <c r="C6771" s="5" t="s">
        <v>36</v>
      </c>
      <c r="D6771" s="5" t="s">
        <v>36</v>
      </c>
      <c r="E6771" s="5" t="s">
        <v>36</v>
      </c>
      <c r="F6771" s="5" t="s">
        <v>36</v>
      </c>
      <c r="G6771" s="6" t="s">
        <v>36</v>
      </c>
      <c r="H6771" s="4" t="s">
        <v>36</v>
      </c>
      <c r="I6771" s="7" t="s">
        <v>36</v>
      </c>
      <c r="J6771" s="3" t="s">
        <v>36</v>
      </c>
      <c r="K6771" s="9" t="s">
        <v>36</v>
      </c>
      <c r="L6771" s="6" t="s">
        <v>36</v>
      </c>
      <c r="M6771" s="3" t="s">
        <v>36</v>
      </c>
      <c r="N6771" s="3" t="s">
        <v>36</v>
      </c>
      <c r="O6771" s="8" t="s">
        <v>36</v>
      </c>
      <c r="P6771" s="3" t="s">
        <v>36</v>
      </c>
      <c r="Q6771" s="3" t="s">
        <v>36</v>
      </c>
      <c r="R6771" s="3" t="s">
        <v>36</v>
      </c>
      <c r="S6771" s="3" t="s">
        <v>36</v>
      </c>
      <c r="T6771" s="3" t="s">
        <v>30483</v>
      </c>
      <c r="U6771" s="3" t="s">
        <v>74</v>
      </c>
      <c r="V6771" s="3" t="s">
        <v>75</v>
      </c>
      <c r="W6771" s="3" t="s">
        <v>30484</v>
      </c>
      <c r="X6771" s="10" t="s">
        <v>30485</v>
      </c>
      <c r="Y6771" s="6" t="s">
        <v>42</v>
      </c>
      <c r="Z6771" s="4">
        <v>2.91</v>
      </c>
      <c r="AA6771" s="4" t="s">
        <v>36</v>
      </c>
      <c r="AB6771" s="3" t="s">
        <v>56</v>
      </c>
      <c r="AC6771" s="3" t="s">
        <v>30486</v>
      </c>
      <c r="AD6771" s="9">
        <v>42452</v>
      </c>
      <c r="AE6771" s="3" t="s">
        <v>696</v>
      </c>
      <c r="AF6771" s="3" t="s">
        <v>36</v>
      </c>
      <c r="AG6771" s="3" t="s">
        <v>30487</v>
      </c>
      <c r="AH6771" s="11">
        <f>HYPERLINK("https://my.pitchbook.com?c=68329-36T","View Company Online")</f>
      </c>
    </row>
    <row r="6772">
      <c r="A6772" s="12" t="s">
        <v>30488</v>
      </c>
      <c r="B6772" s="12" t="s">
        <v>18083</v>
      </c>
      <c r="C6772" s="19">
        <v>24</v>
      </c>
      <c r="D6772" s="19">
        <v>68</v>
      </c>
      <c r="E6772" s="19">
        <v>14</v>
      </c>
      <c r="F6772" s="19">
        <v>98</v>
      </c>
      <c r="G6772" s="15" t="s">
        <v>36</v>
      </c>
      <c r="H6772" s="14">
        <v>28.97</v>
      </c>
      <c r="I6772" s="18">
        <v>47.16</v>
      </c>
      <c r="J6772" s="12" t="s">
        <v>521</v>
      </c>
      <c r="K6772" s="13" t="s">
        <v>36</v>
      </c>
      <c r="L6772" s="15" t="s">
        <v>122</v>
      </c>
      <c r="M6772" s="12" t="s">
        <v>36</v>
      </c>
      <c r="N6772" s="12" t="s">
        <v>122</v>
      </c>
      <c r="O6772" s="17" t="s">
        <v>36</v>
      </c>
      <c r="P6772" s="12" t="s">
        <v>36</v>
      </c>
      <c r="Q6772" s="12" t="s">
        <v>36</v>
      </c>
      <c r="R6772" s="12" t="s">
        <v>36</v>
      </c>
      <c r="S6772" s="12" t="s">
        <v>36</v>
      </c>
      <c r="T6772" s="12" t="s">
        <v>881</v>
      </c>
      <c r="U6772" s="12" t="s">
        <v>51</v>
      </c>
      <c r="V6772" s="12" t="s">
        <v>52</v>
      </c>
      <c r="W6772" s="12" t="s">
        <v>18084</v>
      </c>
      <c r="X6772" s="16" t="s">
        <v>30489</v>
      </c>
      <c r="Y6772" s="15" t="s">
        <v>55</v>
      </c>
      <c r="Z6772" s="14">
        <v>11.34</v>
      </c>
      <c r="AA6772" s="14">
        <v>12.32</v>
      </c>
      <c r="AB6772" s="12" t="s">
        <v>43</v>
      </c>
      <c r="AC6772" s="12" t="s">
        <v>18086</v>
      </c>
      <c r="AD6772" s="13">
        <v>42451</v>
      </c>
      <c r="AE6772" s="12" t="s">
        <v>504</v>
      </c>
      <c r="AF6772" s="12" t="s">
        <v>665</v>
      </c>
      <c r="AG6772" s="12" t="s">
        <v>47</v>
      </c>
      <c r="AH6772" s="1">
        <f>HYPERLINK("https://my.pitchbook.com?c=68374-63T","View Company Online")</f>
      </c>
    </row>
    <row r="6773">
      <c r="A6773" s="3" t="s">
        <v>30490</v>
      </c>
      <c r="B6773" s="3" t="s">
        <v>30491</v>
      </c>
      <c r="C6773" s="5" t="s">
        <v>36</v>
      </c>
      <c r="D6773" s="5" t="s">
        <v>36</v>
      </c>
      <c r="E6773" s="5" t="s">
        <v>36</v>
      </c>
      <c r="F6773" s="5" t="s">
        <v>36</v>
      </c>
      <c r="G6773" s="6" t="s">
        <v>36</v>
      </c>
      <c r="H6773" s="4" t="s">
        <v>36</v>
      </c>
      <c r="I6773" s="7" t="s">
        <v>36</v>
      </c>
      <c r="J6773" s="3" t="s">
        <v>36</v>
      </c>
      <c r="K6773" s="9" t="s">
        <v>36</v>
      </c>
      <c r="L6773" s="6" t="s">
        <v>36</v>
      </c>
      <c r="M6773" s="3" t="s">
        <v>36</v>
      </c>
      <c r="N6773" s="3" t="s">
        <v>36</v>
      </c>
      <c r="O6773" s="8" t="s">
        <v>36</v>
      </c>
      <c r="P6773" s="3" t="s">
        <v>36</v>
      </c>
      <c r="Q6773" s="3" t="s">
        <v>36</v>
      </c>
      <c r="R6773" s="3" t="s">
        <v>36</v>
      </c>
      <c r="S6773" s="3" t="s">
        <v>36</v>
      </c>
      <c r="T6773" s="3" t="s">
        <v>8394</v>
      </c>
      <c r="U6773" s="3" t="s">
        <v>85</v>
      </c>
      <c r="V6773" s="3" t="s">
        <v>64</v>
      </c>
      <c r="W6773" s="3" t="s">
        <v>30492</v>
      </c>
      <c r="X6773" s="10" t="s">
        <v>30493</v>
      </c>
      <c r="Y6773" s="6" t="s">
        <v>108</v>
      </c>
      <c r="Z6773" s="4" t="s">
        <v>36</v>
      </c>
      <c r="AA6773" s="4" t="s">
        <v>36</v>
      </c>
      <c r="AB6773" s="3" t="s">
        <v>43</v>
      </c>
      <c r="AC6773" s="3" t="s">
        <v>30494</v>
      </c>
      <c r="AD6773" s="9">
        <v>42450</v>
      </c>
      <c r="AE6773" s="3" t="s">
        <v>89</v>
      </c>
      <c r="AF6773" s="3" t="s">
        <v>11647</v>
      </c>
      <c r="AG6773" s="3" t="s">
        <v>81</v>
      </c>
      <c r="AH6773" s="11">
        <f>HYPERLINK("https://my.pitchbook.com?c=71219-44T","View Company Online")</f>
      </c>
    </row>
    <row r="6774">
      <c r="A6774" s="12" t="s">
        <v>30495</v>
      </c>
      <c r="B6774" s="12" t="s">
        <v>30496</v>
      </c>
      <c r="C6774" s="19" t="s">
        <v>36</v>
      </c>
      <c r="D6774" s="19" t="s">
        <v>36</v>
      </c>
      <c r="E6774" s="19" t="s">
        <v>36</v>
      </c>
      <c r="F6774" s="19" t="s">
        <v>36</v>
      </c>
      <c r="G6774" s="15" t="s">
        <v>36</v>
      </c>
      <c r="H6774" s="14">
        <v>7.43</v>
      </c>
      <c r="I6774" s="18">
        <v>25.5</v>
      </c>
      <c r="J6774" s="12" t="s">
        <v>521</v>
      </c>
      <c r="K6774" s="13">
        <v>42446</v>
      </c>
      <c r="L6774" s="15" t="s">
        <v>36</v>
      </c>
      <c r="M6774" s="12" t="s">
        <v>36</v>
      </c>
      <c r="N6774" s="12" t="s">
        <v>36</v>
      </c>
      <c r="O6774" s="17" t="s">
        <v>36</v>
      </c>
      <c r="P6774" s="12" t="s">
        <v>36</v>
      </c>
      <c r="Q6774" s="12" t="s">
        <v>36</v>
      </c>
      <c r="R6774" s="12" t="s">
        <v>36</v>
      </c>
      <c r="S6774" s="12" t="s">
        <v>36</v>
      </c>
      <c r="T6774" s="12" t="s">
        <v>3397</v>
      </c>
      <c r="U6774" s="12" t="s">
        <v>423</v>
      </c>
      <c r="V6774" s="12" t="s">
        <v>64</v>
      </c>
      <c r="W6774" s="12" t="s">
        <v>30497</v>
      </c>
      <c r="X6774" s="16" t="s">
        <v>30498</v>
      </c>
      <c r="Y6774" s="15" t="s">
        <v>42</v>
      </c>
      <c r="Z6774" s="14">
        <v>0.56</v>
      </c>
      <c r="AA6774" s="14">
        <v>2.21</v>
      </c>
      <c r="AB6774" s="12" t="s">
        <v>43</v>
      </c>
      <c r="AC6774" s="12" t="s">
        <v>30499</v>
      </c>
      <c r="AD6774" s="13">
        <v>42449</v>
      </c>
      <c r="AE6774" s="12" t="s">
        <v>562</v>
      </c>
      <c r="AF6774" s="12" t="s">
        <v>2118</v>
      </c>
      <c r="AG6774" s="12" t="s">
        <v>81</v>
      </c>
      <c r="AH6774" s="1">
        <f>HYPERLINK("https://my.pitchbook.com?c=69008-86T","View Company Online")</f>
      </c>
    </row>
    <row r="6775">
      <c r="A6775" s="3" t="s">
        <v>30500</v>
      </c>
      <c r="B6775" s="3" t="s">
        <v>25096</v>
      </c>
      <c r="C6775" s="5">
        <v>1</v>
      </c>
      <c r="D6775" s="5">
        <v>5</v>
      </c>
      <c r="E6775" s="5">
        <v>2</v>
      </c>
      <c r="F6775" s="5">
        <v>9</v>
      </c>
      <c r="G6775" s="6" t="s">
        <v>36</v>
      </c>
      <c r="H6775" s="4">
        <v>38.43</v>
      </c>
      <c r="I6775" s="7">
        <v>30.24</v>
      </c>
      <c r="J6775" s="3" t="s">
        <v>521</v>
      </c>
      <c r="K6775" s="9" t="s">
        <v>36</v>
      </c>
      <c r="L6775" s="6" t="s">
        <v>36</v>
      </c>
      <c r="M6775" s="3" t="s">
        <v>36</v>
      </c>
      <c r="N6775" s="3" t="s">
        <v>36</v>
      </c>
      <c r="O6775" s="8" t="s">
        <v>36</v>
      </c>
      <c r="P6775" s="3" t="s">
        <v>36</v>
      </c>
      <c r="Q6775" s="3" t="s">
        <v>36</v>
      </c>
      <c r="R6775" s="3" t="s">
        <v>36</v>
      </c>
      <c r="S6775" s="3" t="s">
        <v>36</v>
      </c>
      <c r="T6775" s="3" t="s">
        <v>25097</v>
      </c>
      <c r="U6775" s="3" t="s">
        <v>96</v>
      </c>
      <c r="V6775" s="3" t="s">
        <v>52</v>
      </c>
      <c r="W6775" s="3" t="s">
        <v>25098</v>
      </c>
      <c r="X6775" s="10" t="s">
        <v>20888</v>
      </c>
      <c r="Y6775" s="6" t="s">
        <v>42</v>
      </c>
      <c r="Z6775" s="4">
        <v>1.1</v>
      </c>
      <c r="AA6775" s="4">
        <v>3.65</v>
      </c>
      <c r="AB6775" s="3" t="s">
        <v>43</v>
      </c>
      <c r="AC6775" s="3" t="s">
        <v>25099</v>
      </c>
      <c r="AD6775" s="9">
        <v>42444</v>
      </c>
      <c r="AE6775" s="3" t="s">
        <v>755</v>
      </c>
      <c r="AF6775" s="3" t="s">
        <v>101</v>
      </c>
      <c r="AG6775" s="3" t="s">
        <v>3823</v>
      </c>
      <c r="AH6775" s="11">
        <f>HYPERLINK("https://my.pitchbook.com?c=69069-79T","View Company Online")</f>
      </c>
    </row>
    <row r="6776">
      <c r="A6776" s="12" t="s">
        <v>30501</v>
      </c>
      <c r="B6776" s="12" t="s">
        <v>1830</v>
      </c>
      <c r="C6776" s="19">
        <v>1</v>
      </c>
      <c r="D6776" s="19">
        <v>30</v>
      </c>
      <c r="E6776" s="19">
        <v>9</v>
      </c>
      <c r="F6776" s="19">
        <v>32</v>
      </c>
      <c r="G6776" s="15" t="s">
        <v>326</v>
      </c>
      <c r="H6776" s="14">
        <v>5.19</v>
      </c>
      <c r="I6776" s="18">
        <v>14.32</v>
      </c>
      <c r="J6776" s="12" t="s">
        <v>521</v>
      </c>
      <c r="K6776" s="13" t="s">
        <v>36</v>
      </c>
      <c r="L6776" s="15" t="s">
        <v>122</v>
      </c>
      <c r="M6776" s="12" t="s">
        <v>36</v>
      </c>
      <c r="N6776" s="12" t="s">
        <v>122</v>
      </c>
      <c r="O6776" s="17" t="s">
        <v>36</v>
      </c>
      <c r="P6776" s="12" t="s">
        <v>36</v>
      </c>
      <c r="Q6776" s="12" t="s">
        <v>36</v>
      </c>
      <c r="R6776" s="12" t="s">
        <v>36</v>
      </c>
      <c r="S6776" s="12" t="s">
        <v>36</v>
      </c>
      <c r="T6776" s="12" t="s">
        <v>1831</v>
      </c>
      <c r="U6776" s="12" t="s">
        <v>387</v>
      </c>
      <c r="V6776" s="12" t="s">
        <v>367</v>
      </c>
      <c r="W6776" s="12" t="s">
        <v>1832</v>
      </c>
      <c r="X6776" s="16" t="s">
        <v>30502</v>
      </c>
      <c r="Y6776" s="15" t="s">
        <v>42</v>
      </c>
      <c r="Z6776" s="14">
        <v>1.1</v>
      </c>
      <c r="AA6776" s="14">
        <v>7.67</v>
      </c>
      <c r="AB6776" s="12" t="s">
        <v>43</v>
      </c>
      <c r="AC6776" s="12" t="s">
        <v>1834</v>
      </c>
      <c r="AD6776" s="13">
        <v>42444</v>
      </c>
      <c r="AE6776" s="12" t="s">
        <v>391</v>
      </c>
      <c r="AF6776" s="12" t="s">
        <v>982</v>
      </c>
      <c r="AG6776" s="12" t="s">
        <v>1835</v>
      </c>
      <c r="AH6776" s="1">
        <f>HYPERLINK("https://my.pitchbook.com?c=189906-94T","View Company Online")</f>
      </c>
    </row>
    <row r="6777">
      <c r="A6777" s="3" t="s">
        <v>30503</v>
      </c>
      <c r="B6777" s="3" t="s">
        <v>29598</v>
      </c>
      <c r="C6777" s="5" t="s">
        <v>36</v>
      </c>
      <c r="D6777" s="5" t="s">
        <v>36</v>
      </c>
      <c r="E6777" s="5" t="s">
        <v>36</v>
      </c>
      <c r="F6777" s="5" t="s">
        <v>36</v>
      </c>
      <c r="G6777" s="6" t="s">
        <v>326</v>
      </c>
      <c r="H6777" s="4">
        <v>3.58</v>
      </c>
      <c r="I6777" s="7">
        <v>42.85</v>
      </c>
      <c r="J6777" s="3" t="s">
        <v>521</v>
      </c>
      <c r="K6777" s="9" t="s">
        <v>36</v>
      </c>
      <c r="L6777" s="6" t="s">
        <v>122</v>
      </c>
      <c r="M6777" s="3" t="s">
        <v>36</v>
      </c>
      <c r="N6777" s="3" t="s">
        <v>122</v>
      </c>
      <c r="O6777" s="8" t="s">
        <v>36</v>
      </c>
      <c r="P6777" s="3" t="s">
        <v>36</v>
      </c>
      <c r="Q6777" s="3" t="s">
        <v>36</v>
      </c>
      <c r="R6777" s="3" t="s">
        <v>36</v>
      </c>
      <c r="S6777" s="3" t="s">
        <v>36</v>
      </c>
      <c r="T6777" s="3" t="s">
        <v>684</v>
      </c>
      <c r="U6777" s="3" t="s">
        <v>38</v>
      </c>
      <c r="V6777" s="3" t="s">
        <v>39</v>
      </c>
      <c r="W6777" s="3" t="s">
        <v>29599</v>
      </c>
      <c r="X6777" s="10" t="s">
        <v>30504</v>
      </c>
      <c r="Y6777" s="6" t="s">
        <v>42</v>
      </c>
      <c r="Z6777" s="4">
        <v>8.78</v>
      </c>
      <c r="AA6777" s="4">
        <v>20.49</v>
      </c>
      <c r="AB6777" s="3" t="s">
        <v>56</v>
      </c>
      <c r="AC6777" s="3" t="s">
        <v>29601</v>
      </c>
      <c r="AD6777" s="9">
        <v>42443</v>
      </c>
      <c r="AE6777" s="3" t="s">
        <v>688</v>
      </c>
      <c r="AF6777" s="3" t="s">
        <v>1077</v>
      </c>
      <c r="AG6777" s="3" t="s">
        <v>81</v>
      </c>
      <c r="AH6777" s="11">
        <f>HYPERLINK("https://my.pitchbook.com?c=67309-57T","View Company Online")</f>
      </c>
    </row>
    <row r="6778">
      <c r="A6778" s="12" t="s">
        <v>30505</v>
      </c>
      <c r="B6778" s="12" t="s">
        <v>15933</v>
      </c>
      <c r="C6778" s="19">
        <v>2</v>
      </c>
      <c r="D6778" s="19">
        <v>5</v>
      </c>
      <c r="E6778" s="19">
        <v>2</v>
      </c>
      <c r="F6778" s="19">
        <v>8</v>
      </c>
      <c r="G6778" s="15" t="s">
        <v>36</v>
      </c>
      <c r="H6778" s="14">
        <v>13.85</v>
      </c>
      <c r="I6778" s="18">
        <v>42.86</v>
      </c>
      <c r="J6778" s="12" t="s">
        <v>521</v>
      </c>
      <c r="K6778" s="13" t="s">
        <v>36</v>
      </c>
      <c r="L6778" s="15" t="s">
        <v>36</v>
      </c>
      <c r="M6778" s="12" t="s">
        <v>36</v>
      </c>
      <c r="N6778" s="12" t="s">
        <v>36</v>
      </c>
      <c r="O6778" s="17" t="s">
        <v>36</v>
      </c>
      <c r="P6778" s="12" t="s">
        <v>36</v>
      </c>
      <c r="Q6778" s="12" t="s">
        <v>36</v>
      </c>
      <c r="R6778" s="12" t="s">
        <v>36</v>
      </c>
      <c r="S6778" s="12" t="s">
        <v>36</v>
      </c>
      <c r="T6778" s="12" t="s">
        <v>15934</v>
      </c>
      <c r="U6778" s="12" t="s">
        <v>833</v>
      </c>
      <c r="V6778" s="12" t="s">
        <v>64</v>
      </c>
      <c r="W6778" s="12" t="s">
        <v>15935</v>
      </c>
      <c r="X6778" s="16" t="s">
        <v>15936</v>
      </c>
      <c r="Y6778" s="15" t="s">
        <v>42</v>
      </c>
      <c r="Z6778" s="14">
        <v>0.44</v>
      </c>
      <c r="AA6778" s="14">
        <v>1.03</v>
      </c>
      <c r="AB6778" s="12" t="s">
        <v>43</v>
      </c>
      <c r="AC6778" s="12" t="s">
        <v>15937</v>
      </c>
      <c r="AD6778" s="13">
        <v>42440</v>
      </c>
      <c r="AE6778" s="12" t="s">
        <v>1769</v>
      </c>
      <c r="AF6778" s="12" t="s">
        <v>36</v>
      </c>
      <c r="AG6778" s="12" t="s">
        <v>6814</v>
      </c>
      <c r="AH6778" s="1">
        <f>HYPERLINK("https://my.pitchbook.com?c=117962-02T","View Company Online")</f>
      </c>
    </row>
    <row r="6779">
      <c r="A6779" s="3" t="s">
        <v>30506</v>
      </c>
      <c r="B6779" s="3" t="s">
        <v>30507</v>
      </c>
      <c r="C6779" s="5">
        <v>4</v>
      </c>
      <c r="D6779" s="5">
        <v>60</v>
      </c>
      <c r="E6779" s="5">
        <v>32</v>
      </c>
      <c r="F6779" s="5">
        <v>94</v>
      </c>
      <c r="G6779" s="6" t="s">
        <v>36</v>
      </c>
      <c r="H6779" s="4">
        <v>94.28</v>
      </c>
      <c r="I6779" s="7">
        <v>5.66</v>
      </c>
      <c r="J6779" s="3" t="s">
        <v>521</v>
      </c>
      <c r="K6779" s="9" t="s">
        <v>36</v>
      </c>
      <c r="L6779" s="6" t="s">
        <v>36</v>
      </c>
      <c r="M6779" s="3" t="s">
        <v>36</v>
      </c>
      <c r="N6779" s="3" t="s">
        <v>36</v>
      </c>
      <c r="O6779" s="8" t="s">
        <v>36</v>
      </c>
      <c r="P6779" s="3" t="s">
        <v>36</v>
      </c>
      <c r="Q6779" s="3" t="s">
        <v>36</v>
      </c>
      <c r="R6779" s="3" t="s">
        <v>36</v>
      </c>
      <c r="S6779" s="3" t="s">
        <v>36</v>
      </c>
      <c r="T6779" s="3" t="s">
        <v>3729</v>
      </c>
      <c r="U6779" s="3" t="s">
        <v>219</v>
      </c>
      <c r="V6779" s="3" t="s">
        <v>75</v>
      </c>
      <c r="W6779" s="3" t="s">
        <v>30508</v>
      </c>
      <c r="X6779" s="10" t="s">
        <v>7099</v>
      </c>
      <c r="Y6779" s="6" t="s">
        <v>42</v>
      </c>
      <c r="Z6779" s="4">
        <v>2.6</v>
      </c>
      <c r="AA6779" s="4">
        <v>45.85</v>
      </c>
      <c r="AB6779" s="3" t="s">
        <v>56</v>
      </c>
      <c r="AC6779" s="3" t="s">
        <v>30509</v>
      </c>
      <c r="AD6779" s="9">
        <v>42440</v>
      </c>
      <c r="AE6779" s="3" t="s">
        <v>1032</v>
      </c>
      <c r="AF6779" s="3" t="s">
        <v>7632</v>
      </c>
      <c r="AG6779" s="3" t="s">
        <v>1705</v>
      </c>
      <c r="AH6779" s="11">
        <f>HYPERLINK("https://my.pitchbook.com?c=204575-41T","View Company Online")</f>
      </c>
    </row>
    <row r="6780">
      <c r="A6780" s="12" t="s">
        <v>30510</v>
      </c>
      <c r="B6780" s="12" t="s">
        <v>25948</v>
      </c>
      <c r="C6780" s="19" t="s">
        <v>36</v>
      </c>
      <c r="D6780" s="19" t="s">
        <v>36</v>
      </c>
      <c r="E6780" s="19" t="s">
        <v>36</v>
      </c>
      <c r="F6780" s="19" t="s">
        <v>36</v>
      </c>
      <c r="G6780" s="15" t="s">
        <v>36</v>
      </c>
      <c r="H6780" s="14">
        <v>493.32</v>
      </c>
      <c r="I6780" s="18">
        <v>16.95</v>
      </c>
      <c r="J6780" s="12" t="s">
        <v>327</v>
      </c>
      <c r="K6780" s="13">
        <v>42404</v>
      </c>
      <c r="L6780" s="15" t="s">
        <v>36</v>
      </c>
      <c r="M6780" s="12" t="s">
        <v>36</v>
      </c>
      <c r="N6780" s="12" t="s">
        <v>36</v>
      </c>
      <c r="O6780" s="17" t="s">
        <v>36</v>
      </c>
      <c r="P6780" s="12" t="s">
        <v>36</v>
      </c>
      <c r="Q6780" s="12" t="s">
        <v>36</v>
      </c>
      <c r="R6780" s="12" t="s">
        <v>36</v>
      </c>
      <c r="S6780" s="12" t="s">
        <v>36</v>
      </c>
      <c r="T6780" s="12" t="s">
        <v>2044</v>
      </c>
      <c r="U6780" s="12" t="s">
        <v>74</v>
      </c>
      <c r="V6780" s="12" t="s">
        <v>75</v>
      </c>
      <c r="W6780" s="12" t="s">
        <v>25949</v>
      </c>
      <c r="X6780" s="16" t="s">
        <v>30511</v>
      </c>
      <c r="Y6780" s="15" t="s">
        <v>42</v>
      </c>
      <c r="Z6780" s="14">
        <v>2.21</v>
      </c>
      <c r="AA6780" s="14">
        <v>4.66</v>
      </c>
      <c r="AB6780" s="12" t="s">
        <v>56</v>
      </c>
      <c r="AC6780" s="12" t="s">
        <v>25951</v>
      </c>
      <c r="AD6780" s="13">
        <v>42440</v>
      </c>
      <c r="AE6780" s="12" t="s">
        <v>79</v>
      </c>
      <c r="AF6780" s="12" t="s">
        <v>19161</v>
      </c>
      <c r="AG6780" s="12" t="s">
        <v>81</v>
      </c>
      <c r="AH6780" s="1">
        <f>HYPERLINK("https://my.pitchbook.com?c=102250-00T","View Company Online")</f>
      </c>
    </row>
    <row r="6781">
      <c r="A6781" s="3" t="s">
        <v>30512</v>
      </c>
      <c r="B6781" s="3" t="s">
        <v>30513</v>
      </c>
      <c r="C6781" s="5">
        <v>1</v>
      </c>
      <c r="D6781" s="5">
        <v>2</v>
      </c>
      <c r="E6781" s="5">
        <v>1</v>
      </c>
      <c r="F6781" s="5">
        <v>3</v>
      </c>
      <c r="G6781" s="6" t="s">
        <v>36</v>
      </c>
      <c r="H6781" s="4">
        <v>1038.57</v>
      </c>
      <c r="I6781" s="7">
        <v>25.74</v>
      </c>
      <c r="J6781" s="3" t="s">
        <v>521</v>
      </c>
      <c r="K6781" s="9" t="s">
        <v>36</v>
      </c>
      <c r="L6781" s="6" t="s">
        <v>36</v>
      </c>
      <c r="M6781" s="3" t="s">
        <v>36</v>
      </c>
      <c r="N6781" s="3" t="s">
        <v>36</v>
      </c>
      <c r="O6781" s="8" t="s">
        <v>36</v>
      </c>
      <c r="P6781" s="3" t="s">
        <v>36</v>
      </c>
      <c r="Q6781" s="3" t="s">
        <v>36</v>
      </c>
      <c r="R6781" s="3" t="s">
        <v>36</v>
      </c>
      <c r="S6781" s="3" t="s">
        <v>36</v>
      </c>
      <c r="T6781" s="3" t="s">
        <v>30514</v>
      </c>
      <c r="U6781" s="3" t="s">
        <v>219</v>
      </c>
      <c r="V6781" s="3" t="s">
        <v>75</v>
      </c>
      <c r="W6781" s="3" t="s">
        <v>30515</v>
      </c>
      <c r="X6781" s="10" t="s">
        <v>11058</v>
      </c>
      <c r="Y6781" s="6" t="s">
        <v>42</v>
      </c>
      <c r="Z6781" s="4">
        <v>0.58</v>
      </c>
      <c r="AA6781" s="4">
        <v>2.23</v>
      </c>
      <c r="AB6781" s="3" t="s">
        <v>56</v>
      </c>
      <c r="AC6781" s="3" t="s">
        <v>30516</v>
      </c>
      <c r="AD6781" s="9">
        <v>42438</v>
      </c>
      <c r="AE6781" s="3" t="s">
        <v>1912</v>
      </c>
      <c r="AF6781" s="3" t="s">
        <v>30517</v>
      </c>
      <c r="AG6781" s="3" t="s">
        <v>30518</v>
      </c>
      <c r="AH6781" s="11">
        <f>HYPERLINK("https://my.pitchbook.com?c=203291-56T","View Company Online")</f>
      </c>
    </row>
    <row r="6782">
      <c r="A6782" s="12" t="s">
        <v>30519</v>
      </c>
      <c r="B6782" s="12" t="s">
        <v>27891</v>
      </c>
      <c r="C6782" s="19" t="s">
        <v>36</v>
      </c>
      <c r="D6782" s="19" t="s">
        <v>36</v>
      </c>
      <c r="E6782" s="19" t="s">
        <v>36</v>
      </c>
      <c r="F6782" s="19" t="s">
        <v>36</v>
      </c>
      <c r="G6782" s="15" t="s">
        <v>36</v>
      </c>
      <c r="H6782" s="14" t="s">
        <v>36</v>
      </c>
      <c r="I6782" s="18" t="s">
        <v>36</v>
      </c>
      <c r="J6782" s="12" t="s">
        <v>36</v>
      </c>
      <c r="K6782" s="13" t="s">
        <v>36</v>
      </c>
      <c r="L6782" s="15" t="s">
        <v>36</v>
      </c>
      <c r="M6782" s="12" t="s">
        <v>36</v>
      </c>
      <c r="N6782" s="12" t="s">
        <v>36</v>
      </c>
      <c r="O6782" s="17" t="s">
        <v>36</v>
      </c>
      <c r="P6782" s="12" t="s">
        <v>36</v>
      </c>
      <c r="Q6782" s="12" t="s">
        <v>36</v>
      </c>
      <c r="R6782" s="12" t="s">
        <v>36</v>
      </c>
      <c r="S6782" s="12" t="s">
        <v>36</v>
      </c>
      <c r="T6782" s="12" t="s">
        <v>27892</v>
      </c>
      <c r="U6782" s="12" t="s">
        <v>38</v>
      </c>
      <c r="V6782" s="12" t="s">
        <v>39</v>
      </c>
      <c r="W6782" s="12" t="s">
        <v>27893</v>
      </c>
      <c r="X6782" s="16" t="s">
        <v>23893</v>
      </c>
      <c r="Y6782" s="15" t="s">
        <v>55</v>
      </c>
      <c r="Z6782" s="14">
        <v>0.66</v>
      </c>
      <c r="AA6782" s="14" t="s">
        <v>36</v>
      </c>
      <c r="AB6782" s="12" t="s">
        <v>43</v>
      </c>
      <c r="AC6782" s="12" t="s">
        <v>27895</v>
      </c>
      <c r="AD6782" s="13">
        <v>42438</v>
      </c>
      <c r="AE6782" s="12" t="s">
        <v>339</v>
      </c>
      <c r="AF6782" s="12" t="s">
        <v>16414</v>
      </c>
      <c r="AG6782" s="12" t="s">
        <v>434</v>
      </c>
      <c r="AH6782" s="1">
        <f>HYPERLINK("https://my.pitchbook.com?c=67930-12T","View Company Online")</f>
      </c>
    </row>
    <row r="6783">
      <c r="A6783" s="3" t="s">
        <v>30520</v>
      </c>
      <c r="B6783" s="3" t="s">
        <v>24315</v>
      </c>
      <c r="C6783" s="5">
        <v>5</v>
      </c>
      <c r="D6783" s="5">
        <v>30</v>
      </c>
      <c r="E6783" s="5">
        <v>9</v>
      </c>
      <c r="F6783" s="5">
        <v>37</v>
      </c>
      <c r="G6783" s="6" t="s">
        <v>36</v>
      </c>
      <c r="H6783" s="4" t="s">
        <v>36</v>
      </c>
      <c r="I6783" s="7" t="s">
        <v>36</v>
      </c>
      <c r="J6783" s="3" t="s">
        <v>36</v>
      </c>
      <c r="K6783" s="9" t="s">
        <v>36</v>
      </c>
      <c r="L6783" s="6" t="s">
        <v>1279</v>
      </c>
      <c r="M6783" s="3" t="s">
        <v>36</v>
      </c>
      <c r="N6783" s="3" t="s">
        <v>1279</v>
      </c>
      <c r="O6783" s="8" t="s">
        <v>36</v>
      </c>
      <c r="P6783" s="3" t="s">
        <v>36</v>
      </c>
      <c r="Q6783" s="3" t="s">
        <v>36</v>
      </c>
      <c r="R6783" s="3" t="s">
        <v>36</v>
      </c>
      <c r="S6783" s="3" t="s">
        <v>36</v>
      </c>
      <c r="T6783" s="3" t="s">
        <v>253</v>
      </c>
      <c r="U6783" s="3" t="s">
        <v>38</v>
      </c>
      <c r="V6783" s="3" t="s">
        <v>39</v>
      </c>
      <c r="W6783" s="3" t="s">
        <v>24316</v>
      </c>
      <c r="X6783" s="10" t="s">
        <v>30521</v>
      </c>
      <c r="Y6783" s="6" t="s">
        <v>192</v>
      </c>
      <c r="Z6783" s="4">
        <v>10</v>
      </c>
      <c r="AA6783" s="4" t="s">
        <v>36</v>
      </c>
      <c r="AB6783" s="3" t="s">
        <v>56</v>
      </c>
      <c r="AC6783" s="3" t="s">
        <v>24318</v>
      </c>
      <c r="AD6783" s="9">
        <v>42437</v>
      </c>
      <c r="AE6783" s="3" t="s">
        <v>110</v>
      </c>
      <c r="AF6783" s="3" t="s">
        <v>24319</v>
      </c>
      <c r="AG6783" s="3" t="s">
        <v>81</v>
      </c>
      <c r="AH6783" s="11">
        <f>HYPERLINK("https://my.pitchbook.com?c=67453-03T","View Company Online")</f>
      </c>
    </row>
    <row r="6784">
      <c r="A6784" s="12" t="s">
        <v>30522</v>
      </c>
      <c r="B6784" s="12" t="s">
        <v>18562</v>
      </c>
      <c r="C6784" s="19" t="s">
        <v>36</v>
      </c>
      <c r="D6784" s="19" t="s">
        <v>36</v>
      </c>
      <c r="E6784" s="19" t="s">
        <v>36</v>
      </c>
      <c r="F6784" s="19" t="s">
        <v>36</v>
      </c>
      <c r="G6784" s="15" t="s">
        <v>683</v>
      </c>
      <c r="H6784" s="14">
        <v>249.26</v>
      </c>
      <c r="I6784" s="18">
        <v>21.83</v>
      </c>
      <c r="J6784" s="12" t="s">
        <v>521</v>
      </c>
      <c r="K6784" s="13" t="s">
        <v>36</v>
      </c>
      <c r="L6784" s="15" t="s">
        <v>36</v>
      </c>
      <c r="M6784" s="12" t="s">
        <v>36</v>
      </c>
      <c r="N6784" s="12" t="s">
        <v>36</v>
      </c>
      <c r="O6784" s="17" t="s">
        <v>36</v>
      </c>
      <c r="P6784" s="12" t="s">
        <v>36</v>
      </c>
      <c r="Q6784" s="12" t="s">
        <v>36</v>
      </c>
      <c r="R6784" s="12" t="s">
        <v>36</v>
      </c>
      <c r="S6784" s="12" t="s">
        <v>36</v>
      </c>
      <c r="T6784" s="12" t="s">
        <v>6614</v>
      </c>
      <c r="U6784" s="12" t="s">
        <v>279</v>
      </c>
      <c r="V6784" s="12" t="s">
        <v>64</v>
      </c>
      <c r="W6784" s="12" t="s">
        <v>18563</v>
      </c>
      <c r="X6784" s="16" t="s">
        <v>18564</v>
      </c>
      <c r="Y6784" s="15" t="s">
        <v>108</v>
      </c>
      <c r="Z6784" s="14">
        <v>0.9</v>
      </c>
      <c r="AA6784" s="14">
        <v>4.11</v>
      </c>
      <c r="AB6784" s="12" t="s">
        <v>56</v>
      </c>
      <c r="AC6784" s="12" t="s">
        <v>18565</v>
      </c>
      <c r="AD6784" s="13">
        <v>42437</v>
      </c>
      <c r="AE6784" s="12" t="s">
        <v>740</v>
      </c>
      <c r="AF6784" s="12" t="s">
        <v>1380</v>
      </c>
      <c r="AG6784" s="12" t="s">
        <v>741</v>
      </c>
      <c r="AH6784" s="1">
        <f>HYPERLINK("https://my.pitchbook.com?c=186581-44T","View Company Online")</f>
      </c>
    </row>
    <row r="6785">
      <c r="A6785" s="3" t="s">
        <v>30523</v>
      </c>
      <c r="B6785" s="3" t="s">
        <v>30524</v>
      </c>
      <c r="C6785" s="5">
        <v>1</v>
      </c>
      <c r="D6785" s="5">
        <v>7</v>
      </c>
      <c r="E6785" s="5">
        <v>2</v>
      </c>
      <c r="F6785" s="5">
        <v>9</v>
      </c>
      <c r="G6785" s="6" t="s">
        <v>2497</v>
      </c>
      <c r="H6785" s="4">
        <v>0.12</v>
      </c>
      <c r="I6785" s="7">
        <v>15.42</v>
      </c>
      <c r="J6785" s="3" t="s">
        <v>521</v>
      </c>
      <c r="K6785" s="9" t="s">
        <v>36</v>
      </c>
      <c r="L6785" s="6" t="s">
        <v>36</v>
      </c>
      <c r="M6785" s="3" t="s">
        <v>36</v>
      </c>
      <c r="N6785" s="3" t="s">
        <v>36</v>
      </c>
      <c r="O6785" s="8" t="s">
        <v>36</v>
      </c>
      <c r="P6785" s="3" t="s">
        <v>36</v>
      </c>
      <c r="Q6785" s="3" t="s">
        <v>36</v>
      </c>
      <c r="R6785" s="3" t="s">
        <v>36</v>
      </c>
      <c r="S6785" s="3" t="s">
        <v>36</v>
      </c>
      <c r="T6785" s="3" t="s">
        <v>30525</v>
      </c>
      <c r="U6785" s="3" t="s">
        <v>279</v>
      </c>
      <c r="V6785" s="3" t="s">
        <v>64</v>
      </c>
      <c r="W6785" s="3" t="s">
        <v>30526</v>
      </c>
      <c r="X6785" s="10" t="s">
        <v>30527</v>
      </c>
      <c r="Y6785" s="6" t="s">
        <v>108</v>
      </c>
      <c r="Z6785" s="4">
        <v>0.22</v>
      </c>
      <c r="AA6785" s="4">
        <v>1.4</v>
      </c>
      <c r="AB6785" s="3" t="s">
        <v>56</v>
      </c>
      <c r="AC6785" s="3" t="s">
        <v>30528</v>
      </c>
      <c r="AD6785" s="9">
        <v>42436</v>
      </c>
      <c r="AE6785" s="3" t="s">
        <v>283</v>
      </c>
      <c r="AF6785" s="3" t="s">
        <v>2350</v>
      </c>
      <c r="AG6785" s="3" t="s">
        <v>81</v>
      </c>
      <c r="AH6785" s="11">
        <f>HYPERLINK("https://my.pitchbook.com?c=190650-34T","View Company Online")</f>
      </c>
    </row>
    <row r="6786">
      <c r="A6786" s="12" t="s">
        <v>30529</v>
      </c>
      <c r="B6786" s="12" t="s">
        <v>30530</v>
      </c>
      <c r="C6786" s="19" t="s">
        <v>36</v>
      </c>
      <c r="D6786" s="19">
        <v>2</v>
      </c>
      <c r="E6786" s="19">
        <v>1</v>
      </c>
      <c r="F6786" s="19">
        <v>3</v>
      </c>
      <c r="G6786" s="15" t="s">
        <v>36</v>
      </c>
      <c r="H6786" s="14">
        <v>20.77</v>
      </c>
      <c r="I6786" s="18">
        <v>52.38</v>
      </c>
      <c r="J6786" s="12" t="s">
        <v>521</v>
      </c>
      <c r="K6786" s="13" t="s">
        <v>36</v>
      </c>
      <c r="L6786" s="15" t="s">
        <v>36</v>
      </c>
      <c r="M6786" s="12" t="s">
        <v>36</v>
      </c>
      <c r="N6786" s="12" t="s">
        <v>36</v>
      </c>
      <c r="O6786" s="17" t="s">
        <v>36</v>
      </c>
      <c r="P6786" s="12" t="s">
        <v>36</v>
      </c>
      <c r="Q6786" s="12" t="s">
        <v>36</v>
      </c>
      <c r="R6786" s="12" t="s">
        <v>36</v>
      </c>
      <c r="S6786" s="12" t="s">
        <v>36</v>
      </c>
      <c r="T6786" s="12" t="s">
        <v>3843</v>
      </c>
      <c r="U6786" s="12" t="s">
        <v>180</v>
      </c>
      <c r="V6786" s="12" t="s">
        <v>52</v>
      </c>
      <c r="W6786" s="12" t="s">
        <v>30531</v>
      </c>
      <c r="X6786" s="16" t="s">
        <v>11058</v>
      </c>
      <c r="Y6786" s="15" t="s">
        <v>42</v>
      </c>
      <c r="Z6786" s="14">
        <v>0.24</v>
      </c>
      <c r="AA6786" s="14">
        <v>0.47</v>
      </c>
      <c r="AB6786" s="12" t="s">
        <v>43</v>
      </c>
      <c r="AC6786" s="12" t="s">
        <v>30532</v>
      </c>
      <c r="AD6786" s="13">
        <v>42432</v>
      </c>
      <c r="AE6786" s="12" t="s">
        <v>3847</v>
      </c>
      <c r="AF6786" s="12" t="s">
        <v>4552</v>
      </c>
      <c r="AG6786" s="12" t="s">
        <v>3406</v>
      </c>
      <c r="AH6786" s="1">
        <f>HYPERLINK("https://my.pitchbook.com?c=89264-26T","View Company Online")</f>
      </c>
    </row>
    <row r="6787">
      <c r="A6787" s="3" t="s">
        <v>30533</v>
      </c>
      <c r="B6787" s="3" t="s">
        <v>30534</v>
      </c>
      <c r="C6787" s="5" t="s">
        <v>36</v>
      </c>
      <c r="D6787" s="5" t="s">
        <v>36</v>
      </c>
      <c r="E6787" s="5" t="s">
        <v>36</v>
      </c>
      <c r="F6787" s="5" t="s">
        <v>36</v>
      </c>
      <c r="G6787" s="6" t="s">
        <v>36</v>
      </c>
      <c r="H6787" s="4" t="s">
        <v>36</v>
      </c>
      <c r="I6787" s="7" t="s">
        <v>36</v>
      </c>
      <c r="J6787" s="3" t="s">
        <v>36</v>
      </c>
      <c r="K6787" s="9" t="s">
        <v>36</v>
      </c>
      <c r="L6787" s="6" t="s">
        <v>36</v>
      </c>
      <c r="M6787" s="3" t="s">
        <v>36</v>
      </c>
      <c r="N6787" s="3" t="s">
        <v>36</v>
      </c>
      <c r="O6787" s="8" t="s">
        <v>36</v>
      </c>
      <c r="P6787" s="3" t="s">
        <v>36</v>
      </c>
      <c r="Q6787" s="3" t="s">
        <v>36</v>
      </c>
      <c r="R6787" s="3" t="s">
        <v>36</v>
      </c>
      <c r="S6787" s="3" t="s">
        <v>36</v>
      </c>
      <c r="T6787" s="3" t="s">
        <v>22355</v>
      </c>
      <c r="U6787" s="3" t="s">
        <v>63</v>
      </c>
      <c r="V6787" s="3" t="s">
        <v>64</v>
      </c>
      <c r="W6787" s="3" t="s">
        <v>30535</v>
      </c>
      <c r="X6787" s="10" t="s">
        <v>30536</v>
      </c>
      <c r="Y6787" s="6" t="s">
        <v>42</v>
      </c>
      <c r="Z6787" s="4">
        <v>0.75</v>
      </c>
      <c r="AA6787" s="4" t="s">
        <v>36</v>
      </c>
      <c r="AB6787" s="3" t="s">
        <v>43</v>
      </c>
      <c r="AC6787" s="3" t="s">
        <v>30537</v>
      </c>
      <c r="AD6787" s="9">
        <v>42432</v>
      </c>
      <c r="AE6787" s="3" t="s">
        <v>68</v>
      </c>
      <c r="AF6787" s="3" t="s">
        <v>15576</v>
      </c>
      <c r="AG6787" s="3" t="s">
        <v>70</v>
      </c>
      <c r="AH6787" s="11">
        <f>HYPERLINK("https://my.pitchbook.com?c=67341-52T","View Company Online")</f>
      </c>
    </row>
    <row r="6788">
      <c r="A6788" s="12" t="s">
        <v>30538</v>
      </c>
      <c r="B6788" s="12" t="s">
        <v>28227</v>
      </c>
      <c r="C6788" s="19" t="s">
        <v>36</v>
      </c>
      <c r="D6788" s="19" t="s">
        <v>36</v>
      </c>
      <c r="E6788" s="19" t="s">
        <v>36</v>
      </c>
      <c r="F6788" s="19" t="s">
        <v>36</v>
      </c>
      <c r="G6788" s="15" t="s">
        <v>36</v>
      </c>
      <c r="H6788" s="14" t="s">
        <v>36</v>
      </c>
      <c r="I6788" s="18" t="s">
        <v>36</v>
      </c>
      <c r="J6788" s="12" t="s">
        <v>36</v>
      </c>
      <c r="K6788" s="13" t="s">
        <v>36</v>
      </c>
      <c r="L6788" s="15" t="s">
        <v>36</v>
      </c>
      <c r="M6788" s="12" t="s">
        <v>36</v>
      </c>
      <c r="N6788" s="12" t="s">
        <v>36</v>
      </c>
      <c r="O6788" s="17" t="s">
        <v>36</v>
      </c>
      <c r="P6788" s="12" t="s">
        <v>36</v>
      </c>
      <c r="Q6788" s="12" t="s">
        <v>36</v>
      </c>
      <c r="R6788" s="12" t="s">
        <v>36</v>
      </c>
      <c r="S6788" s="12" t="s">
        <v>36</v>
      </c>
      <c r="T6788" s="12" t="s">
        <v>942</v>
      </c>
      <c r="U6788" s="12" t="s">
        <v>38</v>
      </c>
      <c r="V6788" s="12" t="s">
        <v>39</v>
      </c>
      <c r="W6788" s="12" t="s">
        <v>28228</v>
      </c>
      <c r="X6788" s="16" t="s">
        <v>30539</v>
      </c>
      <c r="Y6788" s="15" t="s">
        <v>42</v>
      </c>
      <c r="Z6788" s="14" t="s">
        <v>36</v>
      </c>
      <c r="AA6788" s="14" t="s">
        <v>36</v>
      </c>
      <c r="AB6788" s="12" t="s">
        <v>43</v>
      </c>
      <c r="AC6788" s="12" t="s">
        <v>28230</v>
      </c>
      <c r="AD6788" s="13">
        <v>42431</v>
      </c>
      <c r="AE6788" s="12" t="s">
        <v>45</v>
      </c>
      <c r="AF6788" s="12" t="s">
        <v>615</v>
      </c>
      <c r="AG6788" s="12" t="s">
        <v>12125</v>
      </c>
      <c r="AH6788" s="1">
        <f>HYPERLINK("https://my.pitchbook.com?c=69007-33T","View Company Online")</f>
      </c>
    </row>
    <row r="6789">
      <c r="A6789" s="3" t="s">
        <v>30540</v>
      </c>
      <c r="B6789" s="3" t="s">
        <v>23763</v>
      </c>
      <c r="C6789" s="5" t="s">
        <v>36</v>
      </c>
      <c r="D6789" s="5" t="s">
        <v>36</v>
      </c>
      <c r="E6789" s="5" t="s">
        <v>36</v>
      </c>
      <c r="F6789" s="5" t="s">
        <v>36</v>
      </c>
      <c r="G6789" s="6" t="s">
        <v>2497</v>
      </c>
      <c r="H6789" s="4" t="s">
        <v>36</v>
      </c>
      <c r="I6789" s="7" t="s">
        <v>36</v>
      </c>
      <c r="J6789" s="3" t="s">
        <v>521</v>
      </c>
      <c r="K6789" s="9">
        <v>42378</v>
      </c>
      <c r="L6789" s="6" t="s">
        <v>36</v>
      </c>
      <c r="M6789" s="3" t="s">
        <v>36</v>
      </c>
      <c r="N6789" s="3" t="s">
        <v>36</v>
      </c>
      <c r="O6789" s="8" t="s">
        <v>36</v>
      </c>
      <c r="P6789" s="3" t="s">
        <v>36</v>
      </c>
      <c r="Q6789" s="3" t="s">
        <v>36</v>
      </c>
      <c r="R6789" s="3" t="s">
        <v>36</v>
      </c>
      <c r="S6789" s="3" t="s">
        <v>36</v>
      </c>
      <c r="T6789" s="3" t="s">
        <v>2096</v>
      </c>
      <c r="U6789" s="3" t="s">
        <v>85</v>
      </c>
      <c r="V6789" s="3" t="s">
        <v>64</v>
      </c>
      <c r="W6789" s="3" t="s">
        <v>23764</v>
      </c>
      <c r="X6789" s="10" t="s">
        <v>30541</v>
      </c>
      <c r="Y6789" s="6" t="s">
        <v>42</v>
      </c>
      <c r="Z6789" s="4">
        <v>3.33</v>
      </c>
      <c r="AA6789" s="4">
        <v>5.17</v>
      </c>
      <c r="AB6789" s="3" t="s">
        <v>43</v>
      </c>
      <c r="AC6789" s="3" t="s">
        <v>23766</v>
      </c>
      <c r="AD6789" s="9">
        <v>42431</v>
      </c>
      <c r="AE6789" s="3" t="s">
        <v>89</v>
      </c>
      <c r="AF6789" s="3" t="s">
        <v>90</v>
      </c>
      <c r="AG6789" s="3" t="s">
        <v>7647</v>
      </c>
      <c r="AH6789" s="11">
        <f>HYPERLINK("https://my.pitchbook.com?c=69008-41T","View Company Online")</f>
      </c>
    </row>
    <row r="6790">
      <c r="A6790" s="12" t="s">
        <v>30542</v>
      </c>
      <c r="B6790" s="12" t="s">
        <v>30543</v>
      </c>
      <c r="C6790" s="19" t="s">
        <v>36</v>
      </c>
      <c r="D6790" s="19">
        <v>14</v>
      </c>
      <c r="E6790" s="19">
        <v>4</v>
      </c>
      <c r="F6790" s="19">
        <v>15</v>
      </c>
      <c r="G6790" s="15" t="s">
        <v>36</v>
      </c>
      <c r="H6790" s="14" t="s">
        <v>36</v>
      </c>
      <c r="I6790" s="18" t="s">
        <v>36</v>
      </c>
      <c r="J6790" s="12" t="s">
        <v>36</v>
      </c>
      <c r="K6790" s="13" t="s">
        <v>36</v>
      </c>
      <c r="L6790" s="15" t="s">
        <v>36</v>
      </c>
      <c r="M6790" s="12" t="s">
        <v>36</v>
      </c>
      <c r="N6790" s="12" t="s">
        <v>36</v>
      </c>
      <c r="O6790" s="17" t="s">
        <v>36</v>
      </c>
      <c r="P6790" s="12" t="s">
        <v>36</v>
      </c>
      <c r="Q6790" s="12" t="s">
        <v>36</v>
      </c>
      <c r="R6790" s="12" t="s">
        <v>36</v>
      </c>
      <c r="S6790" s="12" t="s">
        <v>36</v>
      </c>
      <c r="T6790" s="12" t="s">
        <v>8309</v>
      </c>
      <c r="U6790" s="12" t="s">
        <v>387</v>
      </c>
      <c r="V6790" s="12" t="s">
        <v>367</v>
      </c>
      <c r="W6790" s="12" t="s">
        <v>30544</v>
      </c>
      <c r="X6790" s="16" t="s">
        <v>4499</v>
      </c>
      <c r="Y6790" s="15" t="s">
        <v>42</v>
      </c>
      <c r="Z6790" s="14" t="s">
        <v>36</v>
      </c>
      <c r="AA6790" s="14" t="s">
        <v>36</v>
      </c>
      <c r="AB6790" s="12" t="s">
        <v>56</v>
      </c>
      <c r="AC6790" s="12" t="s">
        <v>30545</v>
      </c>
      <c r="AD6790" s="13">
        <v>42431</v>
      </c>
      <c r="AE6790" s="12" t="s">
        <v>391</v>
      </c>
      <c r="AF6790" s="12" t="s">
        <v>5977</v>
      </c>
      <c r="AG6790" s="12" t="s">
        <v>81</v>
      </c>
      <c r="AH6790" s="1">
        <f>HYPERLINK("https://my.pitchbook.com?c=67186-99T","View Company Online")</f>
      </c>
    </row>
    <row r="6791">
      <c r="A6791" s="3" t="s">
        <v>30546</v>
      </c>
      <c r="B6791" s="3" t="s">
        <v>15489</v>
      </c>
      <c r="C6791" s="5" t="s">
        <v>36</v>
      </c>
      <c r="D6791" s="5" t="s">
        <v>36</v>
      </c>
      <c r="E6791" s="5" t="s">
        <v>36</v>
      </c>
      <c r="F6791" s="5" t="s">
        <v>36</v>
      </c>
      <c r="G6791" s="6" t="s">
        <v>36</v>
      </c>
      <c r="H6791" s="4" t="s">
        <v>36</v>
      </c>
      <c r="I6791" s="7" t="s">
        <v>36</v>
      </c>
      <c r="J6791" s="3" t="s">
        <v>36</v>
      </c>
      <c r="K6791" s="9" t="s">
        <v>36</v>
      </c>
      <c r="L6791" s="6" t="s">
        <v>36</v>
      </c>
      <c r="M6791" s="3" t="s">
        <v>36</v>
      </c>
      <c r="N6791" s="3" t="s">
        <v>36</v>
      </c>
      <c r="O6791" s="8" t="s">
        <v>36</v>
      </c>
      <c r="P6791" s="3" t="s">
        <v>36</v>
      </c>
      <c r="Q6791" s="3" t="s">
        <v>36</v>
      </c>
      <c r="R6791" s="3" t="s">
        <v>36</v>
      </c>
      <c r="S6791" s="3" t="s">
        <v>36</v>
      </c>
      <c r="T6791" s="3" t="s">
        <v>684</v>
      </c>
      <c r="U6791" s="3" t="s">
        <v>38</v>
      </c>
      <c r="V6791" s="3" t="s">
        <v>39</v>
      </c>
      <c r="W6791" s="3" t="s">
        <v>15490</v>
      </c>
      <c r="X6791" s="10" t="s">
        <v>30547</v>
      </c>
      <c r="Y6791" s="6" t="s">
        <v>42</v>
      </c>
      <c r="Z6791" s="4" t="s">
        <v>36</v>
      </c>
      <c r="AA6791" s="4" t="s">
        <v>36</v>
      </c>
      <c r="AB6791" s="3" t="s">
        <v>43</v>
      </c>
      <c r="AC6791" s="3" t="s">
        <v>15492</v>
      </c>
      <c r="AD6791" s="9">
        <v>42431</v>
      </c>
      <c r="AE6791" s="3" t="s">
        <v>688</v>
      </c>
      <c r="AF6791" s="3" t="s">
        <v>15493</v>
      </c>
      <c r="AG6791" s="3" t="s">
        <v>81</v>
      </c>
      <c r="AH6791" s="11">
        <f>HYPERLINK("https://my.pitchbook.com?c=69009-67T","View Company Online")</f>
      </c>
    </row>
    <row r="6792">
      <c r="A6792" s="12" t="s">
        <v>30548</v>
      </c>
      <c r="B6792" s="12" t="s">
        <v>30549</v>
      </c>
      <c r="C6792" s="19" t="s">
        <v>36</v>
      </c>
      <c r="D6792" s="19" t="s">
        <v>36</v>
      </c>
      <c r="E6792" s="19" t="s">
        <v>36</v>
      </c>
      <c r="F6792" s="19" t="s">
        <v>36</v>
      </c>
      <c r="G6792" s="15" t="s">
        <v>36</v>
      </c>
      <c r="H6792" s="14" t="s">
        <v>36</v>
      </c>
      <c r="I6792" s="18" t="s">
        <v>36</v>
      </c>
      <c r="J6792" s="12" t="s">
        <v>36</v>
      </c>
      <c r="K6792" s="13" t="s">
        <v>36</v>
      </c>
      <c r="L6792" s="15" t="s">
        <v>122</v>
      </c>
      <c r="M6792" s="12" t="s">
        <v>36</v>
      </c>
      <c r="N6792" s="12" t="s">
        <v>122</v>
      </c>
      <c r="O6792" s="17" t="s">
        <v>36</v>
      </c>
      <c r="P6792" s="12" t="s">
        <v>36</v>
      </c>
      <c r="Q6792" s="12" t="s">
        <v>36</v>
      </c>
      <c r="R6792" s="12" t="s">
        <v>36</v>
      </c>
      <c r="S6792" s="12" t="s">
        <v>36</v>
      </c>
      <c r="T6792" s="12" t="s">
        <v>4056</v>
      </c>
      <c r="U6792" s="12" t="s">
        <v>38</v>
      </c>
      <c r="V6792" s="12" t="s">
        <v>39</v>
      </c>
      <c r="W6792" s="12" t="s">
        <v>30550</v>
      </c>
      <c r="X6792" s="16" t="s">
        <v>30551</v>
      </c>
      <c r="Y6792" s="15" t="s">
        <v>55</v>
      </c>
      <c r="Z6792" s="14">
        <v>3.4</v>
      </c>
      <c r="AA6792" s="14" t="s">
        <v>36</v>
      </c>
      <c r="AB6792" s="12" t="s">
        <v>56</v>
      </c>
      <c r="AC6792" s="12" t="s">
        <v>30552</v>
      </c>
      <c r="AD6792" s="13">
        <v>42430</v>
      </c>
      <c r="AE6792" s="12" t="s">
        <v>1945</v>
      </c>
      <c r="AF6792" s="12" t="s">
        <v>30553</v>
      </c>
      <c r="AG6792" s="12" t="s">
        <v>81</v>
      </c>
      <c r="AH6792" s="1">
        <f>HYPERLINK("https://my.pitchbook.com?c=67114-72T","View Company Online")</f>
      </c>
    </row>
    <row r="6793">
      <c r="A6793" s="3" t="s">
        <v>30554</v>
      </c>
      <c r="B6793" s="3" t="s">
        <v>30555</v>
      </c>
      <c r="C6793" s="5" t="s">
        <v>36</v>
      </c>
      <c r="D6793" s="5" t="s">
        <v>36</v>
      </c>
      <c r="E6793" s="5" t="s">
        <v>36</v>
      </c>
      <c r="F6793" s="5" t="s">
        <v>36</v>
      </c>
      <c r="G6793" s="6" t="s">
        <v>326</v>
      </c>
      <c r="H6793" s="4">
        <v>63.35</v>
      </c>
      <c r="I6793" s="7">
        <v>57.58</v>
      </c>
      <c r="J6793" s="3" t="s">
        <v>521</v>
      </c>
      <c r="K6793" s="9">
        <v>42309</v>
      </c>
      <c r="L6793" s="6" t="s">
        <v>36</v>
      </c>
      <c r="M6793" s="3" t="s">
        <v>36</v>
      </c>
      <c r="N6793" s="3" t="s">
        <v>36</v>
      </c>
      <c r="O6793" s="8" t="s">
        <v>36</v>
      </c>
      <c r="P6793" s="3" t="s">
        <v>36</v>
      </c>
      <c r="Q6793" s="3" t="s">
        <v>36</v>
      </c>
      <c r="R6793" s="3" t="s">
        <v>36</v>
      </c>
      <c r="S6793" s="3" t="s">
        <v>36</v>
      </c>
      <c r="T6793" s="3" t="s">
        <v>1048</v>
      </c>
      <c r="U6793" s="3" t="s">
        <v>423</v>
      </c>
      <c r="V6793" s="3" t="s">
        <v>64</v>
      </c>
      <c r="W6793" s="3" t="s">
        <v>30556</v>
      </c>
      <c r="X6793" s="10" t="s">
        <v>6406</v>
      </c>
      <c r="Y6793" s="6" t="s">
        <v>55</v>
      </c>
      <c r="Z6793" s="4">
        <v>1.49</v>
      </c>
      <c r="AA6793" s="4">
        <v>2.59</v>
      </c>
      <c r="AB6793" s="3" t="s">
        <v>43</v>
      </c>
      <c r="AC6793" s="3" t="s">
        <v>30557</v>
      </c>
      <c r="AD6793" s="9">
        <v>42430</v>
      </c>
      <c r="AE6793" s="3" t="s">
        <v>1051</v>
      </c>
      <c r="AF6793" s="3" t="s">
        <v>11839</v>
      </c>
      <c r="AG6793" s="3" t="s">
        <v>47</v>
      </c>
      <c r="AH6793" s="11">
        <f>HYPERLINK("https://my.pitchbook.com?c=76290-76T","View Company Online")</f>
      </c>
    </row>
    <row r="6794">
      <c r="A6794" s="12" t="s">
        <v>30558</v>
      </c>
      <c r="B6794" s="12" t="s">
        <v>30559</v>
      </c>
      <c r="C6794" s="19" t="s">
        <v>36</v>
      </c>
      <c r="D6794" s="19" t="s">
        <v>36</v>
      </c>
      <c r="E6794" s="19" t="s">
        <v>36</v>
      </c>
      <c r="F6794" s="19" t="s">
        <v>36</v>
      </c>
      <c r="G6794" s="15" t="s">
        <v>36</v>
      </c>
      <c r="H6794" s="14" t="s">
        <v>36</v>
      </c>
      <c r="I6794" s="18" t="s">
        <v>36</v>
      </c>
      <c r="J6794" s="12" t="s">
        <v>36</v>
      </c>
      <c r="K6794" s="13" t="s">
        <v>36</v>
      </c>
      <c r="L6794" s="15" t="s">
        <v>36</v>
      </c>
      <c r="M6794" s="12" t="s">
        <v>36</v>
      </c>
      <c r="N6794" s="12" t="s">
        <v>36</v>
      </c>
      <c r="O6794" s="17" t="s">
        <v>36</v>
      </c>
      <c r="P6794" s="12" t="s">
        <v>36</v>
      </c>
      <c r="Q6794" s="12" t="s">
        <v>36</v>
      </c>
      <c r="R6794" s="12" t="s">
        <v>36</v>
      </c>
      <c r="S6794" s="12" t="s">
        <v>36</v>
      </c>
      <c r="T6794" s="12" t="s">
        <v>1162</v>
      </c>
      <c r="U6794" s="12" t="s">
        <v>423</v>
      </c>
      <c r="V6794" s="12" t="s">
        <v>64</v>
      </c>
      <c r="W6794" s="12" t="s">
        <v>30560</v>
      </c>
      <c r="X6794" s="16" t="s">
        <v>5661</v>
      </c>
      <c r="Y6794" s="15" t="s">
        <v>42</v>
      </c>
      <c r="Z6794" s="14" t="s">
        <v>36</v>
      </c>
      <c r="AA6794" s="14" t="s">
        <v>36</v>
      </c>
      <c r="AB6794" s="12" t="s">
        <v>43</v>
      </c>
      <c r="AC6794" s="12" t="s">
        <v>30561</v>
      </c>
      <c r="AD6794" s="13">
        <v>42430</v>
      </c>
      <c r="AE6794" s="12" t="s">
        <v>562</v>
      </c>
      <c r="AF6794" s="12" t="s">
        <v>36</v>
      </c>
      <c r="AG6794" s="12" t="s">
        <v>30562</v>
      </c>
      <c r="AH6794" s="1">
        <f>HYPERLINK("https://my.pitchbook.com?c=120493-72T","View Company Online")</f>
      </c>
    </row>
    <row r="6795">
      <c r="A6795" s="3" t="s">
        <v>30563</v>
      </c>
      <c r="B6795" s="3" t="s">
        <v>15893</v>
      </c>
      <c r="C6795" s="5" t="s">
        <v>36</v>
      </c>
      <c r="D6795" s="5" t="s">
        <v>36</v>
      </c>
      <c r="E6795" s="5" t="s">
        <v>36</v>
      </c>
      <c r="F6795" s="5" t="s">
        <v>36</v>
      </c>
      <c r="G6795" s="6" t="s">
        <v>36</v>
      </c>
      <c r="H6795" s="4" t="s">
        <v>36</v>
      </c>
      <c r="I6795" s="7" t="s">
        <v>36</v>
      </c>
      <c r="J6795" s="3" t="s">
        <v>36</v>
      </c>
      <c r="K6795" s="9" t="s">
        <v>36</v>
      </c>
      <c r="L6795" s="6" t="s">
        <v>36</v>
      </c>
      <c r="M6795" s="3" t="s">
        <v>36</v>
      </c>
      <c r="N6795" s="3" t="s">
        <v>36</v>
      </c>
      <c r="O6795" s="8" t="s">
        <v>36</v>
      </c>
      <c r="P6795" s="3" t="s">
        <v>36</v>
      </c>
      <c r="Q6795" s="3" t="s">
        <v>36</v>
      </c>
      <c r="R6795" s="3" t="s">
        <v>36</v>
      </c>
      <c r="S6795" s="3" t="s">
        <v>36</v>
      </c>
      <c r="T6795" s="3" t="s">
        <v>1701</v>
      </c>
      <c r="U6795" s="3" t="s">
        <v>74</v>
      </c>
      <c r="V6795" s="3" t="s">
        <v>75</v>
      </c>
      <c r="W6795" s="3" t="s">
        <v>15894</v>
      </c>
      <c r="X6795" s="10" t="s">
        <v>30564</v>
      </c>
      <c r="Y6795" s="6" t="s">
        <v>108</v>
      </c>
      <c r="Z6795" s="4" t="s">
        <v>36</v>
      </c>
      <c r="AA6795" s="4" t="s">
        <v>36</v>
      </c>
      <c r="AB6795" s="3" t="s">
        <v>43</v>
      </c>
      <c r="AC6795" s="3" t="s">
        <v>15896</v>
      </c>
      <c r="AD6795" s="9">
        <v>42430</v>
      </c>
      <c r="AE6795" s="3" t="s">
        <v>79</v>
      </c>
      <c r="AF6795" s="3" t="s">
        <v>80</v>
      </c>
      <c r="AG6795" s="3" t="s">
        <v>47</v>
      </c>
      <c r="AH6795" s="11">
        <f>HYPERLINK("https://my.pitchbook.com?c=123958-00T","View Company Online")</f>
      </c>
    </row>
    <row r="6796">
      <c r="A6796" s="12" t="s">
        <v>30565</v>
      </c>
      <c r="B6796" s="12" t="s">
        <v>30566</v>
      </c>
      <c r="C6796" s="19" t="s">
        <v>36</v>
      </c>
      <c r="D6796" s="19" t="s">
        <v>36</v>
      </c>
      <c r="E6796" s="19">
        <v>2</v>
      </c>
      <c r="F6796" s="19">
        <v>3</v>
      </c>
      <c r="G6796" s="15" t="s">
        <v>36</v>
      </c>
      <c r="H6796" s="14">
        <v>1557.85</v>
      </c>
      <c r="I6796" s="18">
        <v>37.61</v>
      </c>
      <c r="J6796" s="12" t="s">
        <v>521</v>
      </c>
      <c r="K6796" s="13" t="s">
        <v>36</v>
      </c>
      <c r="L6796" s="15" t="s">
        <v>36</v>
      </c>
      <c r="M6796" s="12" t="s">
        <v>36</v>
      </c>
      <c r="N6796" s="12" t="s">
        <v>36</v>
      </c>
      <c r="O6796" s="17" t="s">
        <v>36</v>
      </c>
      <c r="P6796" s="12" t="s">
        <v>36</v>
      </c>
      <c r="Q6796" s="12" t="s">
        <v>36</v>
      </c>
      <c r="R6796" s="12" t="s">
        <v>36</v>
      </c>
      <c r="S6796" s="12" t="s">
        <v>36</v>
      </c>
      <c r="T6796" s="12" t="s">
        <v>6002</v>
      </c>
      <c r="U6796" s="12" t="s">
        <v>619</v>
      </c>
      <c r="V6796" s="12" t="s">
        <v>378</v>
      </c>
      <c r="W6796" s="12" t="s">
        <v>30567</v>
      </c>
      <c r="X6796" s="16" t="s">
        <v>30568</v>
      </c>
      <c r="Y6796" s="15" t="s">
        <v>42</v>
      </c>
      <c r="Z6796" s="14">
        <v>1.33</v>
      </c>
      <c r="AA6796" s="14">
        <v>2.73</v>
      </c>
      <c r="AB6796" s="12" t="s">
        <v>43</v>
      </c>
      <c r="AC6796" s="12" t="s">
        <v>30569</v>
      </c>
      <c r="AD6796" s="13">
        <v>42430</v>
      </c>
      <c r="AE6796" s="12" t="s">
        <v>623</v>
      </c>
      <c r="AF6796" s="12" t="s">
        <v>15624</v>
      </c>
      <c r="AG6796" s="12" t="s">
        <v>13364</v>
      </c>
      <c r="AH6796" s="1">
        <f>HYPERLINK("https://my.pitchbook.com?c=89357-59T","View Company Online")</f>
      </c>
    </row>
    <row r="6797">
      <c r="A6797" s="3" t="s">
        <v>30570</v>
      </c>
      <c r="B6797" s="3" t="s">
        <v>24321</v>
      </c>
      <c r="C6797" s="5" t="s">
        <v>36</v>
      </c>
      <c r="D6797" s="5" t="s">
        <v>36</v>
      </c>
      <c r="E6797" s="5" t="s">
        <v>36</v>
      </c>
      <c r="F6797" s="5" t="s">
        <v>36</v>
      </c>
      <c r="G6797" s="6" t="s">
        <v>36</v>
      </c>
      <c r="H6797" s="4" t="s">
        <v>36</v>
      </c>
      <c r="I6797" s="7" t="s">
        <v>36</v>
      </c>
      <c r="J6797" s="3" t="s">
        <v>36</v>
      </c>
      <c r="K6797" s="9" t="s">
        <v>36</v>
      </c>
      <c r="L6797" s="6" t="s">
        <v>36</v>
      </c>
      <c r="M6797" s="3" t="s">
        <v>36</v>
      </c>
      <c r="N6797" s="3" t="s">
        <v>36</v>
      </c>
      <c r="O6797" s="8" t="s">
        <v>36</v>
      </c>
      <c r="P6797" s="3" t="s">
        <v>36</v>
      </c>
      <c r="Q6797" s="3" t="s">
        <v>36</v>
      </c>
      <c r="R6797" s="3" t="s">
        <v>36</v>
      </c>
      <c r="S6797" s="3" t="s">
        <v>36</v>
      </c>
      <c r="T6797" s="3" t="s">
        <v>17704</v>
      </c>
      <c r="U6797" s="3" t="s">
        <v>833</v>
      </c>
      <c r="V6797" s="3" t="s">
        <v>64</v>
      </c>
      <c r="W6797" s="3" t="s">
        <v>24322</v>
      </c>
      <c r="X6797" s="10" t="s">
        <v>28632</v>
      </c>
      <c r="Y6797" s="6" t="s">
        <v>42</v>
      </c>
      <c r="Z6797" s="4" t="s">
        <v>36</v>
      </c>
      <c r="AA6797" s="4" t="s">
        <v>36</v>
      </c>
      <c r="AB6797" s="3" t="s">
        <v>43</v>
      </c>
      <c r="AC6797" s="3" t="s">
        <v>24323</v>
      </c>
      <c r="AD6797" s="9">
        <v>42430</v>
      </c>
      <c r="AE6797" s="3" t="s">
        <v>1069</v>
      </c>
      <c r="AF6797" s="3" t="s">
        <v>24324</v>
      </c>
      <c r="AG6797" s="3" t="s">
        <v>47</v>
      </c>
      <c r="AH6797" s="11">
        <f>HYPERLINK("https://my.pitchbook.com?c=115935-76T","View Company Online")</f>
      </c>
    </row>
    <row r="6798">
      <c r="A6798" s="12" t="s">
        <v>30571</v>
      </c>
      <c r="B6798" s="12" t="s">
        <v>2083</v>
      </c>
      <c r="C6798" s="19" t="s">
        <v>36</v>
      </c>
      <c r="D6798" s="19" t="s">
        <v>36</v>
      </c>
      <c r="E6798" s="19" t="s">
        <v>36</v>
      </c>
      <c r="F6798" s="19" t="s">
        <v>36</v>
      </c>
      <c r="G6798" s="15" t="s">
        <v>36</v>
      </c>
      <c r="H6798" s="14" t="s">
        <v>36</v>
      </c>
      <c r="I6798" s="18" t="s">
        <v>36</v>
      </c>
      <c r="J6798" s="12" t="s">
        <v>36</v>
      </c>
      <c r="K6798" s="13">
        <v>42005</v>
      </c>
      <c r="L6798" s="15" t="s">
        <v>36</v>
      </c>
      <c r="M6798" s="12" t="s">
        <v>36</v>
      </c>
      <c r="N6798" s="12" t="s">
        <v>36</v>
      </c>
      <c r="O6798" s="17" t="s">
        <v>36</v>
      </c>
      <c r="P6798" s="12" t="s">
        <v>36</v>
      </c>
      <c r="Q6798" s="12" t="s">
        <v>36</v>
      </c>
      <c r="R6798" s="12" t="s">
        <v>36</v>
      </c>
      <c r="S6798" s="12" t="s">
        <v>36</v>
      </c>
      <c r="T6798" s="12" t="s">
        <v>2084</v>
      </c>
      <c r="U6798" s="12" t="s">
        <v>74</v>
      </c>
      <c r="V6798" s="12" t="s">
        <v>75</v>
      </c>
      <c r="W6798" s="12" t="s">
        <v>2085</v>
      </c>
      <c r="X6798" s="16" t="s">
        <v>26944</v>
      </c>
      <c r="Y6798" s="15" t="s">
        <v>42</v>
      </c>
      <c r="Z6798" s="14">
        <v>2.06</v>
      </c>
      <c r="AA6798" s="14" t="s">
        <v>36</v>
      </c>
      <c r="AB6798" s="12" t="s">
        <v>43</v>
      </c>
      <c r="AC6798" s="12" t="s">
        <v>2086</v>
      </c>
      <c r="AD6798" s="13">
        <v>42430</v>
      </c>
      <c r="AE6798" s="12" t="s">
        <v>362</v>
      </c>
      <c r="AF6798" s="12" t="s">
        <v>2087</v>
      </c>
      <c r="AG6798" s="12" t="s">
        <v>2088</v>
      </c>
      <c r="AH6798" s="1">
        <f>HYPERLINK("https://my.pitchbook.com?c=107564-05T","View Company Online")</f>
      </c>
    </row>
    <row r="6799">
      <c r="A6799" s="3" t="s">
        <v>30572</v>
      </c>
      <c r="B6799" s="3" t="s">
        <v>20336</v>
      </c>
      <c r="C6799" s="5" t="s">
        <v>36</v>
      </c>
      <c r="D6799" s="5" t="s">
        <v>36</v>
      </c>
      <c r="E6799" s="5" t="s">
        <v>36</v>
      </c>
      <c r="F6799" s="5" t="s">
        <v>36</v>
      </c>
      <c r="G6799" s="6" t="s">
        <v>36</v>
      </c>
      <c r="H6799" s="4" t="s">
        <v>36</v>
      </c>
      <c r="I6799" s="7">
        <v>41.18</v>
      </c>
      <c r="J6799" s="3" t="s">
        <v>327</v>
      </c>
      <c r="K6799" s="9" t="s">
        <v>36</v>
      </c>
      <c r="L6799" s="6" t="s">
        <v>36</v>
      </c>
      <c r="M6799" s="3" t="s">
        <v>36</v>
      </c>
      <c r="N6799" s="3" t="s">
        <v>36</v>
      </c>
      <c r="O6799" s="8" t="s">
        <v>36</v>
      </c>
      <c r="P6799" s="3" t="s">
        <v>36</v>
      </c>
      <c r="Q6799" s="3" t="s">
        <v>36</v>
      </c>
      <c r="R6799" s="3" t="s">
        <v>36</v>
      </c>
      <c r="S6799" s="3" t="s">
        <v>36</v>
      </c>
      <c r="T6799" s="3" t="s">
        <v>8394</v>
      </c>
      <c r="U6799" s="3" t="s">
        <v>85</v>
      </c>
      <c r="V6799" s="3" t="s">
        <v>64</v>
      </c>
      <c r="W6799" s="3" t="s">
        <v>20337</v>
      </c>
      <c r="X6799" s="10" t="s">
        <v>1840</v>
      </c>
      <c r="Y6799" s="6" t="s">
        <v>42</v>
      </c>
      <c r="Z6799" s="4">
        <v>1.66</v>
      </c>
      <c r="AA6799" s="4">
        <v>4.04</v>
      </c>
      <c r="AB6799" s="3" t="s">
        <v>43</v>
      </c>
      <c r="AC6799" s="3" t="s">
        <v>20338</v>
      </c>
      <c r="AD6799" s="9">
        <v>42430</v>
      </c>
      <c r="AE6799" s="3" t="s">
        <v>89</v>
      </c>
      <c r="AF6799" s="3" t="s">
        <v>20339</v>
      </c>
      <c r="AG6799" s="3" t="s">
        <v>20340</v>
      </c>
      <c r="AH6799" s="11">
        <f>HYPERLINK("https://my.pitchbook.com?c=127597-33T","View Company Online")</f>
      </c>
    </row>
    <row r="6800">
      <c r="A6800" s="12" t="s">
        <v>30573</v>
      </c>
      <c r="B6800" s="12" t="s">
        <v>30574</v>
      </c>
      <c r="C6800" s="19" t="s">
        <v>36</v>
      </c>
      <c r="D6800" s="19" t="s">
        <v>36</v>
      </c>
      <c r="E6800" s="19" t="s">
        <v>36</v>
      </c>
      <c r="F6800" s="19" t="s">
        <v>36</v>
      </c>
      <c r="G6800" s="15" t="s">
        <v>36</v>
      </c>
      <c r="H6800" s="14">
        <v>103.86</v>
      </c>
      <c r="I6800" s="18">
        <v>16.67</v>
      </c>
      <c r="J6800" s="12" t="s">
        <v>521</v>
      </c>
      <c r="K6800" s="13" t="s">
        <v>36</v>
      </c>
      <c r="L6800" s="15" t="s">
        <v>36</v>
      </c>
      <c r="M6800" s="12" t="s">
        <v>36</v>
      </c>
      <c r="N6800" s="12" t="s">
        <v>36</v>
      </c>
      <c r="O6800" s="17" t="s">
        <v>36</v>
      </c>
      <c r="P6800" s="12" t="s">
        <v>36</v>
      </c>
      <c r="Q6800" s="12" t="s">
        <v>36</v>
      </c>
      <c r="R6800" s="12" t="s">
        <v>36</v>
      </c>
      <c r="S6800" s="12" t="s">
        <v>36</v>
      </c>
      <c r="T6800" s="12" t="s">
        <v>30575</v>
      </c>
      <c r="U6800" s="12" t="s">
        <v>74</v>
      </c>
      <c r="V6800" s="12" t="s">
        <v>75</v>
      </c>
      <c r="W6800" s="12" t="s">
        <v>30576</v>
      </c>
      <c r="X6800" s="16" t="s">
        <v>30577</v>
      </c>
      <c r="Y6800" s="15" t="s">
        <v>42</v>
      </c>
      <c r="Z6800" s="14">
        <v>0.11</v>
      </c>
      <c r="AA6800" s="14">
        <v>0.67</v>
      </c>
      <c r="AB6800" s="12" t="s">
        <v>56</v>
      </c>
      <c r="AC6800" s="12" t="s">
        <v>30578</v>
      </c>
      <c r="AD6800" s="13">
        <v>42429</v>
      </c>
      <c r="AE6800" s="12" t="s">
        <v>362</v>
      </c>
      <c r="AF6800" s="12" t="s">
        <v>546</v>
      </c>
      <c r="AG6800" s="12" t="s">
        <v>9121</v>
      </c>
      <c r="AH6800" s="1">
        <f>HYPERLINK("https://my.pitchbook.com?c=82663-93T","View Company Online")</f>
      </c>
    </row>
    <row r="6801">
      <c r="A6801" s="3" t="s">
        <v>30579</v>
      </c>
      <c r="B6801" s="3" t="s">
        <v>30580</v>
      </c>
      <c r="C6801" s="5">
        <v>13</v>
      </c>
      <c r="D6801" s="5">
        <v>17</v>
      </c>
      <c r="E6801" s="5">
        <v>10</v>
      </c>
      <c r="F6801" s="5">
        <v>33</v>
      </c>
      <c r="G6801" s="6" t="s">
        <v>36</v>
      </c>
      <c r="H6801" s="4">
        <v>2.08</v>
      </c>
      <c r="I6801" s="7">
        <v>41.11</v>
      </c>
      <c r="J6801" s="3" t="s">
        <v>521</v>
      </c>
      <c r="K6801" s="9">
        <v>42410</v>
      </c>
      <c r="L6801" s="6" t="s">
        <v>36</v>
      </c>
      <c r="M6801" s="3" t="s">
        <v>36</v>
      </c>
      <c r="N6801" s="3" t="s">
        <v>36</v>
      </c>
      <c r="O6801" s="8" t="s">
        <v>36</v>
      </c>
      <c r="P6801" s="3" t="s">
        <v>36</v>
      </c>
      <c r="Q6801" s="3" t="s">
        <v>36</v>
      </c>
      <c r="R6801" s="3" t="s">
        <v>36</v>
      </c>
      <c r="S6801" s="3" t="s">
        <v>36</v>
      </c>
      <c r="T6801" s="3" t="s">
        <v>2213</v>
      </c>
      <c r="U6801" s="3" t="s">
        <v>219</v>
      </c>
      <c r="V6801" s="3" t="s">
        <v>75</v>
      </c>
      <c r="W6801" s="3" t="s">
        <v>30581</v>
      </c>
      <c r="X6801" s="10" t="s">
        <v>30582</v>
      </c>
      <c r="Y6801" s="6" t="s">
        <v>108</v>
      </c>
      <c r="Z6801" s="4">
        <v>1.3</v>
      </c>
      <c r="AA6801" s="4">
        <v>3.16</v>
      </c>
      <c r="AB6801" s="3" t="s">
        <v>43</v>
      </c>
      <c r="AC6801" s="3" t="s">
        <v>30583</v>
      </c>
      <c r="AD6801" s="9">
        <v>42428</v>
      </c>
      <c r="AE6801" s="3" t="s">
        <v>1912</v>
      </c>
      <c r="AF6801" s="3" t="s">
        <v>29333</v>
      </c>
      <c r="AG6801" s="3" t="s">
        <v>1078</v>
      </c>
      <c r="AH6801" s="11">
        <f>HYPERLINK("https://my.pitchbook.com?c=66872-62T","View Company Online")</f>
      </c>
    </row>
    <row r="6802">
      <c r="A6802" s="12" t="s">
        <v>30584</v>
      </c>
      <c r="B6802" s="12" t="s">
        <v>19363</v>
      </c>
      <c r="C6802" s="19" t="s">
        <v>36</v>
      </c>
      <c r="D6802" s="19" t="s">
        <v>36</v>
      </c>
      <c r="E6802" s="19" t="s">
        <v>36</v>
      </c>
      <c r="F6802" s="19" t="s">
        <v>36</v>
      </c>
      <c r="G6802" s="15" t="s">
        <v>326</v>
      </c>
      <c r="H6802" s="14" t="s">
        <v>36</v>
      </c>
      <c r="I6802" s="18">
        <v>28.34</v>
      </c>
      <c r="J6802" s="12" t="s">
        <v>327</v>
      </c>
      <c r="K6802" s="13" t="s">
        <v>36</v>
      </c>
      <c r="L6802" s="15" t="s">
        <v>36</v>
      </c>
      <c r="M6802" s="12" t="s">
        <v>36</v>
      </c>
      <c r="N6802" s="12" t="s">
        <v>36</v>
      </c>
      <c r="O6802" s="17" t="s">
        <v>36</v>
      </c>
      <c r="P6802" s="12" t="s">
        <v>36</v>
      </c>
      <c r="Q6802" s="12" t="s">
        <v>36</v>
      </c>
      <c r="R6802" s="12" t="s">
        <v>36</v>
      </c>
      <c r="S6802" s="12" t="s">
        <v>36</v>
      </c>
      <c r="T6802" s="12" t="s">
        <v>19364</v>
      </c>
      <c r="U6802" s="12" t="s">
        <v>833</v>
      </c>
      <c r="V6802" s="12" t="s">
        <v>64</v>
      </c>
      <c r="W6802" s="12" t="s">
        <v>19365</v>
      </c>
      <c r="X6802" s="16" t="s">
        <v>30585</v>
      </c>
      <c r="Y6802" s="15" t="s">
        <v>42</v>
      </c>
      <c r="Z6802" s="14">
        <v>2.99</v>
      </c>
      <c r="AA6802" s="14">
        <v>10.56</v>
      </c>
      <c r="AB6802" s="12" t="s">
        <v>56</v>
      </c>
      <c r="AC6802" s="12" t="s">
        <v>19367</v>
      </c>
      <c r="AD6802" s="13">
        <v>42426</v>
      </c>
      <c r="AE6802" s="12" t="s">
        <v>1769</v>
      </c>
      <c r="AF6802" s="12" t="s">
        <v>1619</v>
      </c>
      <c r="AG6802" s="12" t="s">
        <v>81</v>
      </c>
      <c r="AH6802" s="1">
        <f>HYPERLINK("https://my.pitchbook.com?c=62717-50T","View Company Online")</f>
      </c>
    </row>
    <row r="6803">
      <c r="A6803" s="3" t="s">
        <v>30586</v>
      </c>
      <c r="B6803" s="3" t="s">
        <v>1089</v>
      </c>
      <c r="C6803" s="5">
        <v>10</v>
      </c>
      <c r="D6803" s="5">
        <v>6</v>
      </c>
      <c r="E6803" s="5">
        <v>6</v>
      </c>
      <c r="F6803" s="5">
        <v>16</v>
      </c>
      <c r="G6803" s="6" t="s">
        <v>36</v>
      </c>
      <c r="H6803" s="4" t="s">
        <v>36</v>
      </c>
      <c r="I6803" s="7">
        <v>39.52</v>
      </c>
      <c r="J6803" s="3" t="s">
        <v>327</v>
      </c>
      <c r="K6803" s="9" t="s">
        <v>36</v>
      </c>
      <c r="L6803" s="6" t="s">
        <v>36</v>
      </c>
      <c r="M6803" s="3" t="s">
        <v>36</v>
      </c>
      <c r="N6803" s="3" t="s">
        <v>36</v>
      </c>
      <c r="O6803" s="8" t="s">
        <v>36</v>
      </c>
      <c r="P6803" s="3" t="s">
        <v>36</v>
      </c>
      <c r="Q6803" s="3" t="s">
        <v>36</v>
      </c>
      <c r="R6803" s="3" t="s">
        <v>36</v>
      </c>
      <c r="S6803" s="3" t="s">
        <v>565</v>
      </c>
      <c r="T6803" s="3" t="s">
        <v>1090</v>
      </c>
      <c r="U6803" s="3" t="s">
        <v>1091</v>
      </c>
      <c r="V6803" s="3" t="s">
        <v>378</v>
      </c>
      <c r="W6803" s="3" t="s">
        <v>1092</v>
      </c>
      <c r="X6803" s="10" t="s">
        <v>30587</v>
      </c>
      <c r="Y6803" s="6" t="s">
        <v>42</v>
      </c>
      <c r="Z6803" s="4">
        <v>1.33</v>
      </c>
      <c r="AA6803" s="4">
        <v>3.37</v>
      </c>
      <c r="AB6803" s="3" t="s">
        <v>43</v>
      </c>
      <c r="AC6803" s="3" t="s">
        <v>1094</v>
      </c>
      <c r="AD6803" s="9">
        <v>42426</v>
      </c>
      <c r="AE6803" s="3" t="s">
        <v>1095</v>
      </c>
      <c r="AF6803" s="3" t="s">
        <v>1096</v>
      </c>
      <c r="AG6803" s="3" t="s">
        <v>1097</v>
      </c>
      <c r="AH6803" s="11">
        <f>HYPERLINK("https://my.pitchbook.com?c=69013-72T","View Company Online")</f>
      </c>
    </row>
    <row r="6804">
      <c r="A6804" s="12" t="s">
        <v>30588</v>
      </c>
      <c r="B6804" s="12" t="s">
        <v>30589</v>
      </c>
      <c r="C6804" s="19" t="s">
        <v>36</v>
      </c>
      <c r="D6804" s="19" t="s">
        <v>36</v>
      </c>
      <c r="E6804" s="19" t="s">
        <v>36</v>
      </c>
      <c r="F6804" s="19" t="s">
        <v>36</v>
      </c>
      <c r="G6804" s="15" t="s">
        <v>683</v>
      </c>
      <c r="H6804" s="14">
        <v>150.59</v>
      </c>
      <c r="I6804" s="18">
        <v>10.79</v>
      </c>
      <c r="J6804" s="12" t="s">
        <v>521</v>
      </c>
      <c r="K6804" s="13" t="s">
        <v>36</v>
      </c>
      <c r="L6804" s="15" t="s">
        <v>36</v>
      </c>
      <c r="M6804" s="12" t="s">
        <v>36</v>
      </c>
      <c r="N6804" s="12" t="s">
        <v>36</v>
      </c>
      <c r="O6804" s="17" t="s">
        <v>36</v>
      </c>
      <c r="P6804" s="12" t="s">
        <v>36</v>
      </c>
      <c r="Q6804" s="12" t="s">
        <v>36</v>
      </c>
      <c r="R6804" s="12" t="s">
        <v>36</v>
      </c>
      <c r="S6804" s="12" t="s">
        <v>36</v>
      </c>
      <c r="T6804" s="12" t="s">
        <v>30590</v>
      </c>
      <c r="U6804" s="12" t="s">
        <v>38</v>
      </c>
      <c r="V6804" s="12" t="s">
        <v>39</v>
      </c>
      <c r="W6804" s="12" t="s">
        <v>30591</v>
      </c>
      <c r="X6804" s="16" t="s">
        <v>7099</v>
      </c>
      <c r="Y6804" s="15" t="s">
        <v>108</v>
      </c>
      <c r="Z6804" s="14">
        <v>0.08</v>
      </c>
      <c r="AA6804" s="14">
        <v>0.78</v>
      </c>
      <c r="AB6804" s="12" t="s">
        <v>56</v>
      </c>
      <c r="AC6804" s="12" t="s">
        <v>30592</v>
      </c>
      <c r="AD6804" s="13">
        <v>42426</v>
      </c>
      <c r="AE6804" s="12" t="s">
        <v>110</v>
      </c>
      <c r="AF6804" s="12" t="s">
        <v>1842</v>
      </c>
      <c r="AG6804" s="12" t="s">
        <v>6528</v>
      </c>
      <c r="AH6804" s="1">
        <f>HYPERLINK("https://my.pitchbook.com?c=204569-38T","View Company Online")</f>
      </c>
    </row>
    <row r="6805">
      <c r="A6805" s="3" t="s">
        <v>30593</v>
      </c>
      <c r="B6805" s="3" t="s">
        <v>30594</v>
      </c>
      <c r="C6805" s="5" t="s">
        <v>36</v>
      </c>
      <c r="D6805" s="5" t="s">
        <v>36</v>
      </c>
      <c r="E6805" s="5" t="s">
        <v>36</v>
      </c>
      <c r="F6805" s="5" t="s">
        <v>36</v>
      </c>
      <c r="G6805" s="6" t="s">
        <v>36</v>
      </c>
      <c r="H6805" s="4">
        <v>218.79</v>
      </c>
      <c r="I6805" s="7">
        <v>16.67</v>
      </c>
      <c r="J6805" s="3" t="s">
        <v>521</v>
      </c>
      <c r="K6805" s="9" t="s">
        <v>36</v>
      </c>
      <c r="L6805" s="6" t="s">
        <v>36</v>
      </c>
      <c r="M6805" s="3" t="s">
        <v>36</v>
      </c>
      <c r="N6805" s="3" t="s">
        <v>36</v>
      </c>
      <c r="O6805" s="8" t="s">
        <v>36</v>
      </c>
      <c r="P6805" s="3" t="s">
        <v>36</v>
      </c>
      <c r="Q6805" s="3" t="s">
        <v>36</v>
      </c>
      <c r="R6805" s="3" t="s">
        <v>36</v>
      </c>
      <c r="S6805" s="3" t="s">
        <v>36</v>
      </c>
      <c r="T6805" s="3" t="s">
        <v>30595</v>
      </c>
      <c r="U6805" s="3" t="s">
        <v>38</v>
      </c>
      <c r="V6805" s="3" t="s">
        <v>39</v>
      </c>
      <c r="W6805" s="3" t="s">
        <v>30596</v>
      </c>
      <c r="X6805" s="10" t="s">
        <v>29451</v>
      </c>
      <c r="Y6805" s="6" t="s">
        <v>42</v>
      </c>
      <c r="Z6805" s="4">
        <v>0.33</v>
      </c>
      <c r="AA6805" s="4">
        <v>2</v>
      </c>
      <c r="AB6805" s="3" t="s">
        <v>56</v>
      </c>
      <c r="AC6805" s="3" t="s">
        <v>30597</v>
      </c>
      <c r="AD6805" s="9">
        <v>42425</v>
      </c>
      <c r="AE6805" s="3" t="s">
        <v>110</v>
      </c>
      <c r="AF6805" s="3" t="s">
        <v>19996</v>
      </c>
      <c r="AG6805" s="3" t="s">
        <v>186</v>
      </c>
      <c r="AH6805" s="11">
        <f>HYPERLINK("https://my.pitchbook.com?c=133196-32T","View Company Online")</f>
      </c>
    </row>
    <row r="6806">
      <c r="A6806" s="12" t="s">
        <v>30598</v>
      </c>
      <c r="B6806" s="12" t="s">
        <v>30599</v>
      </c>
      <c r="C6806" s="19" t="s">
        <v>36</v>
      </c>
      <c r="D6806" s="19">
        <v>4</v>
      </c>
      <c r="E6806" s="19">
        <v>2</v>
      </c>
      <c r="F6806" s="19">
        <v>5</v>
      </c>
      <c r="G6806" s="15" t="s">
        <v>36</v>
      </c>
      <c r="H6806" s="14">
        <v>36.35</v>
      </c>
      <c r="I6806" s="18">
        <v>33.62</v>
      </c>
      <c r="J6806" s="12" t="s">
        <v>521</v>
      </c>
      <c r="K6806" s="13">
        <v>41985</v>
      </c>
      <c r="L6806" s="15" t="s">
        <v>122</v>
      </c>
      <c r="M6806" s="12" t="s">
        <v>36</v>
      </c>
      <c r="N6806" s="12" t="s">
        <v>122</v>
      </c>
      <c r="O6806" s="17" t="s">
        <v>36</v>
      </c>
      <c r="P6806" s="12" t="s">
        <v>36</v>
      </c>
      <c r="Q6806" s="12" t="s">
        <v>36</v>
      </c>
      <c r="R6806" s="12" t="s">
        <v>36</v>
      </c>
      <c r="S6806" s="12" t="s">
        <v>36</v>
      </c>
      <c r="T6806" s="12" t="s">
        <v>30600</v>
      </c>
      <c r="U6806" s="12" t="s">
        <v>51</v>
      </c>
      <c r="V6806" s="12" t="s">
        <v>52</v>
      </c>
      <c r="W6806" s="12" t="s">
        <v>30601</v>
      </c>
      <c r="X6806" s="16" t="s">
        <v>30602</v>
      </c>
      <c r="Y6806" s="15" t="s">
        <v>192</v>
      </c>
      <c r="Z6806" s="14">
        <v>5.54</v>
      </c>
      <c r="AA6806" s="14">
        <v>16.49</v>
      </c>
      <c r="AB6806" s="12" t="s">
        <v>56</v>
      </c>
      <c r="AC6806" s="12" t="s">
        <v>30603</v>
      </c>
      <c r="AD6806" s="13">
        <v>42425</v>
      </c>
      <c r="AE6806" s="12" t="s">
        <v>158</v>
      </c>
      <c r="AF6806" s="12" t="s">
        <v>1216</v>
      </c>
      <c r="AG6806" s="12" t="s">
        <v>28696</v>
      </c>
      <c r="AH6806" s="1">
        <f>HYPERLINK("https://my.pitchbook.com?c=44086-78T","View Company Online")</f>
      </c>
    </row>
    <row r="6807">
      <c r="A6807" s="3" t="s">
        <v>30604</v>
      </c>
      <c r="B6807" s="3" t="s">
        <v>30605</v>
      </c>
      <c r="C6807" s="5" t="s">
        <v>36</v>
      </c>
      <c r="D6807" s="5" t="s">
        <v>36</v>
      </c>
      <c r="E6807" s="5" t="s">
        <v>36</v>
      </c>
      <c r="F6807" s="5" t="s">
        <v>36</v>
      </c>
      <c r="G6807" s="6" t="s">
        <v>36</v>
      </c>
      <c r="H6807" s="4">
        <v>21.81</v>
      </c>
      <c r="I6807" s="7">
        <v>70.78</v>
      </c>
      <c r="J6807" s="3" t="s">
        <v>521</v>
      </c>
      <c r="K6807" s="9" t="s">
        <v>36</v>
      </c>
      <c r="L6807" s="6" t="s">
        <v>36</v>
      </c>
      <c r="M6807" s="3" t="s">
        <v>36</v>
      </c>
      <c r="N6807" s="3" t="s">
        <v>36</v>
      </c>
      <c r="O6807" s="8" t="s">
        <v>36</v>
      </c>
      <c r="P6807" s="3" t="s">
        <v>36</v>
      </c>
      <c r="Q6807" s="3" t="s">
        <v>36</v>
      </c>
      <c r="R6807" s="3" t="s">
        <v>36</v>
      </c>
      <c r="S6807" s="3" t="s">
        <v>36</v>
      </c>
      <c r="T6807" s="3" t="s">
        <v>2483</v>
      </c>
      <c r="U6807" s="3" t="s">
        <v>63</v>
      </c>
      <c r="V6807" s="3" t="s">
        <v>64</v>
      </c>
      <c r="W6807" s="3" t="s">
        <v>30606</v>
      </c>
      <c r="X6807" s="10" t="s">
        <v>30607</v>
      </c>
      <c r="Y6807" s="6" t="s">
        <v>42</v>
      </c>
      <c r="Z6807" s="4">
        <v>0.87</v>
      </c>
      <c r="AA6807" s="4">
        <v>1.23</v>
      </c>
      <c r="AB6807" s="3" t="s">
        <v>56</v>
      </c>
      <c r="AC6807" s="3" t="s">
        <v>30608</v>
      </c>
      <c r="AD6807" s="9">
        <v>42422</v>
      </c>
      <c r="AE6807" s="3" t="s">
        <v>399</v>
      </c>
      <c r="AF6807" s="3" t="s">
        <v>938</v>
      </c>
      <c r="AG6807" s="3" t="s">
        <v>81</v>
      </c>
      <c r="AH6807" s="11">
        <f>HYPERLINK("https://my.pitchbook.com?c=71519-95T","View Company Online")</f>
      </c>
    </row>
    <row r="6808">
      <c r="A6808" s="12" t="s">
        <v>30609</v>
      </c>
      <c r="B6808" s="12" t="s">
        <v>30610</v>
      </c>
      <c r="C6808" s="19" t="s">
        <v>36</v>
      </c>
      <c r="D6808" s="19" t="s">
        <v>36</v>
      </c>
      <c r="E6808" s="19" t="s">
        <v>36</v>
      </c>
      <c r="F6808" s="19" t="s">
        <v>36</v>
      </c>
      <c r="G6808" s="15" t="s">
        <v>36</v>
      </c>
      <c r="H6808" s="14" t="s">
        <v>36</v>
      </c>
      <c r="I6808" s="18" t="s">
        <v>36</v>
      </c>
      <c r="J6808" s="12" t="s">
        <v>36</v>
      </c>
      <c r="K6808" s="13" t="s">
        <v>36</v>
      </c>
      <c r="L6808" s="15" t="s">
        <v>122</v>
      </c>
      <c r="M6808" s="12" t="s">
        <v>36</v>
      </c>
      <c r="N6808" s="12" t="s">
        <v>122</v>
      </c>
      <c r="O6808" s="17" t="s">
        <v>36</v>
      </c>
      <c r="P6808" s="12" t="s">
        <v>36</v>
      </c>
      <c r="Q6808" s="12" t="s">
        <v>36</v>
      </c>
      <c r="R6808" s="12" t="s">
        <v>36</v>
      </c>
      <c r="S6808" s="12" t="s">
        <v>36</v>
      </c>
      <c r="T6808" s="12" t="s">
        <v>123</v>
      </c>
      <c r="U6808" s="12" t="s">
        <v>38</v>
      </c>
      <c r="V6808" s="12" t="s">
        <v>39</v>
      </c>
      <c r="W6808" s="12" t="s">
        <v>30611</v>
      </c>
      <c r="X6808" s="16" t="s">
        <v>30612</v>
      </c>
      <c r="Y6808" s="15" t="s">
        <v>108</v>
      </c>
      <c r="Z6808" s="14">
        <v>2.77</v>
      </c>
      <c r="AA6808" s="14" t="s">
        <v>36</v>
      </c>
      <c r="AB6808" s="12" t="s">
        <v>56</v>
      </c>
      <c r="AC6808" s="12" t="s">
        <v>30613</v>
      </c>
      <c r="AD6808" s="13">
        <v>42422</v>
      </c>
      <c r="AE6808" s="12" t="s">
        <v>110</v>
      </c>
      <c r="AF6808" s="12" t="s">
        <v>4552</v>
      </c>
      <c r="AG6808" s="12" t="s">
        <v>81</v>
      </c>
      <c r="AH6808" s="1">
        <f>HYPERLINK("https://my.pitchbook.com?c=66746-08T","View Company Online")</f>
      </c>
    </row>
    <row r="6809">
      <c r="A6809" s="3" t="s">
        <v>30614</v>
      </c>
      <c r="B6809" s="3" t="s">
        <v>2883</v>
      </c>
      <c r="C6809" s="5" t="s">
        <v>36</v>
      </c>
      <c r="D6809" s="5" t="s">
        <v>36</v>
      </c>
      <c r="E6809" s="5" t="s">
        <v>36</v>
      </c>
      <c r="F6809" s="5" t="s">
        <v>36</v>
      </c>
      <c r="G6809" s="6" t="s">
        <v>36</v>
      </c>
      <c r="H6809" s="4">
        <v>424.83</v>
      </c>
      <c r="I6809" s="7">
        <v>26.83</v>
      </c>
      <c r="J6809" s="3" t="s">
        <v>327</v>
      </c>
      <c r="K6809" s="9">
        <v>42362</v>
      </c>
      <c r="L6809" s="6" t="s">
        <v>36</v>
      </c>
      <c r="M6809" s="3" t="s">
        <v>36</v>
      </c>
      <c r="N6809" s="3" t="s">
        <v>36</v>
      </c>
      <c r="O6809" s="8" t="s">
        <v>36</v>
      </c>
      <c r="P6809" s="3" t="s">
        <v>36</v>
      </c>
      <c r="Q6809" s="3" t="s">
        <v>36</v>
      </c>
      <c r="R6809" s="3" t="s">
        <v>36</v>
      </c>
      <c r="S6809" s="3" t="s">
        <v>36</v>
      </c>
      <c r="T6809" s="3" t="s">
        <v>522</v>
      </c>
      <c r="U6809" s="3" t="s">
        <v>38</v>
      </c>
      <c r="V6809" s="3" t="s">
        <v>39</v>
      </c>
      <c r="W6809" s="3" t="s">
        <v>2884</v>
      </c>
      <c r="X6809" s="10" t="s">
        <v>26808</v>
      </c>
      <c r="Y6809" s="6" t="s">
        <v>42</v>
      </c>
      <c r="Z6809" s="4">
        <v>1.65</v>
      </c>
      <c r="AA6809" s="4">
        <v>6.17</v>
      </c>
      <c r="AB6809" s="3" t="s">
        <v>56</v>
      </c>
      <c r="AC6809" s="3" t="s">
        <v>2886</v>
      </c>
      <c r="AD6809" s="9">
        <v>42418</v>
      </c>
      <c r="AE6809" s="3" t="s">
        <v>110</v>
      </c>
      <c r="AF6809" s="3" t="s">
        <v>1401</v>
      </c>
      <c r="AG6809" s="3" t="s">
        <v>81</v>
      </c>
      <c r="AH6809" s="11">
        <f>HYPERLINK("https://my.pitchbook.com?c=66944-53T","View Company Online")</f>
      </c>
    </row>
    <row r="6810">
      <c r="A6810" s="12" t="s">
        <v>30615</v>
      </c>
      <c r="B6810" s="12" t="s">
        <v>30616</v>
      </c>
      <c r="C6810" s="19" t="s">
        <v>36</v>
      </c>
      <c r="D6810" s="19" t="s">
        <v>36</v>
      </c>
      <c r="E6810" s="19">
        <v>1</v>
      </c>
      <c r="F6810" s="19">
        <v>1</v>
      </c>
      <c r="G6810" s="15" t="s">
        <v>326</v>
      </c>
      <c r="H6810" s="14">
        <v>284.57</v>
      </c>
      <c r="I6810" s="18">
        <v>24.48</v>
      </c>
      <c r="J6810" s="12" t="s">
        <v>521</v>
      </c>
      <c r="K6810" s="13" t="s">
        <v>36</v>
      </c>
      <c r="L6810" s="15" t="s">
        <v>36</v>
      </c>
      <c r="M6810" s="12" t="s">
        <v>36</v>
      </c>
      <c r="N6810" s="12" t="s">
        <v>36</v>
      </c>
      <c r="O6810" s="17" t="s">
        <v>36</v>
      </c>
      <c r="P6810" s="12" t="s">
        <v>36</v>
      </c>
      <c r="Q6810" s="12" t="s">
        <v>36</v>
      </c>
      <c r="R6810" s="12" t="s">
        <v>36</v>
      </c>
      <c r="S6810" s="12" t="s">
        <v>36</v>
      </c>
      <c r="T6810" s="12" t="s">
        <v>1701</v>
      </c>
      <c r="U6810" s="12" t="s">
        <v>74</v>
      </c>
      <c r="V6810" s="12" t="s">
        <v>75</v>
      </c>
      <c r="W6810" s="12" t="s">
        <v>30617</v>
      </c>
      <c r="X6810" s="16" t="s">
        <v>30618</v>
      </c>
      <c r="Y6810" s="15" t="s">
        <v>42</v>
      </c>
      <c r="Z6810" s="14">
        <v>1.43</v>
      </c>
      <c r="AA6810" s="14">
        <v>5.86</v>
      </c>
      <c r="AB6810" s="12" t="s">
        <v>43</v>
      </c>
      <c r="AC6810" s="12" t="s">
        <v>30619</v>
      </c>
      <c r="AD6810" s="13">
        <v>42418</v>
      </c>
      <c r="AE6810" s="12" t="s">
        <v>79</v>
      </c>
      <c r="AF6810" s="12" t="s">
        <v>30620</v>
      </c>
      <c r="AG6810" s="12" t="s">
        <v>81</v>
      </c>
      <c r="AH6810" s="1">
        <f>HYPERLINK("https://my.pitchbook.com?c=63390-52T","View Company Online")</f>
      </c>
    </row>
    <row r="6811">
      <c r="A6811" s="3" t="s">
        <v>30621</v>
      </c>
      <c r="B6811" s="3" t="s">
        <v>29504</v>
      </c>
      <c r="C6811" s="5" t="s">
        <v>36</v>
      </c>
      <c r="D6811" s="5" t="s">
        <v>36</v>
      </c>
      <c r="E6811" s="5">
        <v>1</v>
      </c>
      <c r="F6811" s="5">
        <v>2</v>
      </c>
      <c r="G6811" s="6" t="s">
        <v>36</v>
      </c>
      <c r="H6811" s="4">
        <v>4.99</v>
      </c>
      <c r="I6811" s="7">
        <v>14.29</v>
      </c>
      <c r="J6811" s="3" t="s">
        <v>521</v>
      </c>
      <c r="K6811" s="9">
        <v>42005</v>
      </c>
      <c r="L6811" s="6" t="s">
        <v>36</v>
      </c>
      <c r="M6811" s="3" t="s">
        <v>36</v>
      </c>
      <c r="N6811" s="3" t="s">
        <v>36</v>
      </c>
      <c r="O6811" s="8" t="s">
        <v>36</v>
      </c>
      <c r="P6811" s="3" t="s">
        <v>36</v>
      </c>
      <c r="Q6811" s="3" t="s">
        <v>36</v>
      </c>
      <c r="R6811" s="3" t="s">
        <v>36</v>
      </c>
      <c r="S6811" s="3" t="s">
        <v>36</v>
      </c>
      <c r="T6811" s="3" t="s">
        <v>522</v>
      </c>
      <c r="U6811" s="3" t="s">
        <v>38</v>
      </c>
      <c r="V6811" s="3" t="s">
        <v>39</v>
      </c>
      <c r="W6811" s="3" t="s">
        <v>29505</v>
      </c>
      <c r="X6811" s="10" t="s">
        <v>30622</v>
      </c>
      <c r="Y6811" s="6" t="s">
        <v>42</v>
      </c>
      <c r="Z6811" s="4">
        <v>1.1</v>
      </c>
      <c r="AA6811" s="4">
        <v>7.72</v>
      </c>
      <c r="AB6811" s="3" t="s">
        <v>56</v>
      </c>
      <c r="AC6811" s="3" t="s">
        <v>29506</v>
      </c>
      <c r="AD6811" s="9">
        <v>42418</v>
      </c>
      <c r="AE6811" s="3" t="s">
        <v>110</v>
      </c>
      <c r="AF6811" s="3" t="s">
        <v>11479</v>
      </c>
      <c r="AG6811" s="3" t="s">
        <v>81</v>
      </c>
      <c r="AH6811" s="11">
        <f>HYPERLINK("https://my.pitchbook.com?c=86310-19T","View Company Online")</f>
      </c>
    </row>
    <row r="6812">
      <c r="A6812" s="12" t="s">
        <v>30623</v>
      </c>
      <c r="B6812" s="12" t="s">
        <v>27508</v>
      </c>
      <c r="C6812" s="19" t="s">
        <v>36</v>
      </c>
      <c r="D6812" s="19" t="s">
        <v>36</v>
      </c>
      <c r="E6812" s="19" t="s">
        <v>36</v>
      </c>
      <c r="F6812" s="19" t="s">
        <v>36</v>
      </c>
      <c r="G6812" s="15" t="s">
        <v>36</v>
      </c>
      <c r="H6812" s="14" t="s">
        <v>36</v>
      </c>
      <c r="I6812" s="18" t="s">
        <v>36</v>
      </c>
      <c r="J6812" s="12" t="s">
        <v>36</v>
      </c>
      <c r="K6812" s="13" t="s">
        <v>36</v>
      </c>
      <c r="L6812" s="15" t="s">
        <v>36</v>
      </c>
      <c r="M6812" s="12" t="s">
        <v>36</v>
      </c>
      <c r="N6812" s="12" t="s">
        <v>36</v>
      </c>
      <c r="O6812" s="17" t="s">
        <v>36</v>
      </c>
      <c r="P6812" s="12" t="s">
        <v>36</v>
      </c>
      <c r="Q6812" s="12" t="s">
        <v>36</v>
      </c>
      <c r="R6812" s="12" t="s">
        <v>36</v>
      </c>
      <c r="S6812" s="12" t="s">
        <v>36</v>
      </c>
      <c r="T6812" s="12" t="s">
        <v>6159</v>
      </c>
      <c r="U6812" s="12" t="s">
        <v>648</v>
      </c>
      <c r="V6812" s="12" t="s">
        <v>64</v>
      </c>
      <c r="W6812" s="12" t="s">
        <v>27509</v>
      </c>
      <c r="X6812" s="16" t="s">
        <v>30624</v>
      </c>
      <c r="Y6812" s="15" t="s">
        <v>42</v>
      </c>
      <c r="Z6812" s="14">
        <v>0.88</v>
      </c>
      <c r="AA6812" s="14" t="s">
        <v>36</v>
      </c>
      <c r="AB6812" s="12" t="s">
        <v>43</v>
      </c>
      <c r="AC6812" s="12" t="s">
        <v>27511</v>
      </c>
      <c r="AD6812" s="13">
        <v>42418</v>
      </c>
      <c r="AE6812" s="12" t="s">
        <v>3988</v>
      </c>
      <c r="AF6812" s="12" t="s">
        <v>4284</v>
      </c>
      <c r="AG6812" s="12" t="s">
        <v>81</v>
      </c>
      <c r="AH6812" s="1">
        <f>HYPERLINK("https://my.pitchbook.com?c=106208-74T","View Company Online")</f>
      </c>
    </row>
    <row r="6813">
      <c r="A6813" s="3" t="s">
        <v>30625</v>
      </c>
      <c r="B6813" s="3" t="s">
        <v>30626</v>
      </c>
      <c r="C6813" s="5" t="s">
        <v>36</v>
      </c>
      <c r="D6813" s="5" t="s">
        <v>36</v>
      </c>
      <c r="E6813" s="5" t="s">
        <v>36</v>
      </c>
      <c r="F6813" s="5" t="s">
        <v>36</v>
      </c>
      <c r="G6813" s="6" t="s">
        <v>36</v>
      </c>
      <c r="H6813" s="4" t="s">
        <v>36</v>
      </c>
      <c r="I6813" s="7" t="s">
        <v>36</v>
      </c>
      <c r="J6813" s="3" t="s">
        <v>36</v>
      </c>
      <c r="K6813" s="9" t="s">
        <v>36</v>
      </c>
      <c r="L6813" s="6" t="s">
        <v>36</v>
      </c>
      <c r="M6813" s="3" t="s">
        <v>36</v>
      </c>
      <c r="N6813" s="3" t="s">
        <v>36</v>
      </c>
      <c r="O6813" s="8" t="s">
        <v>36</v>
      </c>
      <c r="P6813" s="3" t="s">
        <v>36</v>
      </c>
      <c r="Q6813" s="3" t="s">
        <v>36</v>
      </c>
      <c r="R6813" s="3" t="s">
        <v>36</v>
      </c>
      <c r="S6813" s="3" t="s">
        <v>36</v>
      </c>
      <c r="T6813" s="3" t="s">
        <v>7582</v>
      </c>
      <c r="U6813" s="3" t="s">
        <v>63</v>
      </c>
      <c r="V6813" s="3" t="s">
        <v>64</v>
      </c>
      <c r="W6813" s="3" t="s">
        <v>30627</v>
      </c>
      <c r="X6813" s="10" t="s">
        <v>30628</v>
      </c>
      <c r="Y6813" s="6" t="s">
        <v>108</v>
      </c>
      <c r="Z6813" s="4">
        <v>5.52</v>
      </c>
      <c r="AA6813" s="4" t="s">
        <v>36</v>
      </c>
      <c r="AB6813" s="3" t="s">
        <v>56</v>
      </c>
      <c r="AC6813" s="3" t="s">
        <v>30629</v>
      </c>
      <c r="AD6813" s="9">
        <v>42418</v>
      </c>
      <c r="AE6813" s="3" t="s">
        <v>68</v>
      </c>
      <c r="AF6813" s="3" t="s">
        <v>1077</v>
      </c>
      <c r="AG6813" s="3" t="s">
        <v>81</v>
      </c>
      <c r="AH6813" s="11">
        <f>HYPERLINK("https://my.pitchbook.com?c=104547-79T","View Company Online")</f>
      </c>
    </row>
    <row r="6814">
      <c r="A6814" s="12" t="s">
        <v>30630</v>
      </c>
      <c r="B6814" s="12" t="s">
        <v>30631</v>
      </c>
      <c r="C6814" s="19" t="s">
        <v>36</v>
      </c>
      <c r="D6814" s="19" t="s">
        <v>36</v>
      </c>
      <c r="E6814" s="19" t="s">
        <v>36</v>
      </c>
      <c r="F6814" s="19" t="s">
        <v>36</v>
      </c>
      <c r="G6814" s="15" t="s">
        <v>326</v>
      </c>
      <c r="H6814" s="14">
        <v>5507.81</v>
      </c>
      <c r="I6814" s="18">
        <v>29.98</v>
      </c>
      <c r="J6814" s="12" t="s">
        <v>521</v>
      </c>
      <c r="K6814" s="13" t="s">
        <v>36</v>
      </c>
      <c r="L6814" s="15" t="s">
        <v>94</v>
      </c>
      <c r="M6814" s="12" t="s">
        <v>36</v>
      </c>
      <c r="N6814" s="12" t="s">
        <v>94</v>
      </c>
      <c r="O6814" s="17" t="s">
        <v>36</v>
      </c>
      <c r="P6814" s="12" t="s">
        <v>36</v>
      </c>
      <c r="Q6814" s="12" t="s">
        <v>36</v>
      </c>
      <c r="R6814" s="12" t="s">
        <v>36</v>
      </c>
      <c r="S6814" s="12" t="s">
        <v>36</v>
      </c>
      <c r="T6814" s="12" t="s">
        <v>676</v>
      </c>
      <c r="U6814" s="12" t="s">
        <v>438</v>
      </c>
      <c r="V6814" s="12" t="s">
        <v>405</v>
      </c>
      <c r="W6814" s="12" t="s">
        <v>30632</v>
      </c>
      <c r="X6814" s="16" t="s">
        <v>30633</v>
      </c>
      <c r="Y6814" s="15" t="s">
        <v>55</v>
      </c>
      <c r="Z6814" s="14">
        <v>5.81</v>
      </c>
      <c r="AA6814" s="14">
        <v>19.38</v>
      </c>
      <c r="AB6814" s="12" t="s">
        <v>56</v>
      </c>
      <c r="AC6814" s="12" t="s">
        <v>30634</v>
      </c>
      <c r="AD6814" s="13">
        <v>42412</v>
      </c>
      <c r="AE6814" s="12" t="s">
        <v>438</v>
      </c>
      <c r="AF6814" s="12" t="s">
        <v>7466</v>
      </c>
      <c r="AG6814" s="12" t="s">
        <v>81</v>
      </c>
      <c r="AH6814" s="1">
        <f>HYPERLINK("https://my.pitchbook.com?c=66346-48T","View Company Online")</f>
      </c>
    </row>
    <row r="6815">
      <c r="A6815" s="3" t="s">
        <v>30635</v>
      </c>
      <c r="B6815" s="3" t="s">
        <v>21838</v>
      </c>
      <c r="C6815" s="5" t="s">
        <v>36</v>
      </c>
      <c r="D6815" s="5" t="s">
        <v>36</v>
      </c>
      <c r="E6815" s="5" t="s">
        <v>36</v>
      </c>
      <c r="F6815" s="5" t="s">
        <v>36</v>
      </c>
      <c r="G6815" s="6" t="s">
        <v>36</v>
      </c>
      <c r="H6815" s="4" t="s">
        <v>36</v>
      </c>
      <c r="I6815" s="7" t="s">
        <v>36</v>
      </c>
      <c r="J6815" s="3" t="s">
        <v>36</v>
      </c>
      <c r="K6815" s="9" t="s">
        <v>36</v>
      </c>
      <c r="L6815" s="6" t="s">
        <v>94</v>
      </c>
      <c r="M6815" s="3" t="s">
        <v>36</v>
      </c>
      <c r="N6815" s="3" t="s">
        <v>94</v>
      </c>
      <c r="O6815" s="8" t="s">
        <v>36</v>
      </c>
      <c r="P6815" s="3" t="s">
        <v>36</v>
      </c>
      <c r="Q6815" s="3" t="s">
        <v>36</v>
      </c>
      <c r="R6815" s="3" t="s">
        <v>36</v>
      </c>
      <c r="S6815" s="3" t="s">
        <v>36</v>
      </c>
      <c r="T6815" s="3" t="s">
        <v>7415</v>
      </c>
      <c r="U6815" s="3" t="s">
        <v>38</v>
      </c>
      <c r="V6815" s="3" t="s">
        <v>39</v>
      </c>
      <c r="W6815" s="3" t="s">
        <v>21839</v>
      </c>
      <c r="X6815" s="10" t="s">
        <v>30636</v>
      </c>
      <c r="Y6815" s="6" t="s">
        <v>108</v>
      </c>
      <c r="Z6815" s="4">
        <v>15.35</v>
      </c>
      <c r="AA6815" s="4" t="s">
        <v>36</v>
      </c>
      <c r="AB6815" s="3" t="s">
        <v>56</v>
      </c>
      <c r="AC6815" s="3" t="s">
        <v>21841</v>
      </c>
      <c r="AD6815" s="9">
        <v>42411</v>
      </c>
      <c r="AE6815" s="3" t="s">
        <v>1422</v>
      </c>
      <c r="AF6815" s="3" t="s">
        <v>7239</v>
      </c>
      <c r="AG6815" s="3" t="s">
        <v>47</v>
      </c>
      <c r="AH6815" s="11">
        <f>HYPERLINK("https://my.pitchbook.com?c=66196-45T","View Company Online")</f>
      </c>
    </row>
    <row r="6816">
      <c r="A6816" s="12" t="s">
        <v>30637</v>
      </c>
      <c r="B6816" s="12" t="s">
        <v>24970</v>
      </c>
      <c r="C6816" s="19" t="s">
        <v>36</v>
      </c>
      <c r="D6816" s="19">
        <v>3</v>
      </c>
      <c r="E6816" s="19">
        <v>1</v>
      </c>
      <c r="F6816" s="19">
        <v>4</v>
      </c>
      <c r="G6816" s="15" t="s">
        <v>2497</v>
      </c>
      <c r="H6816" s="14">
        <v>53.15</v>
      </c>
      <c r="I6816" s="18">
        <v>37.53</v>
      </c>
      <c r="J6816" s="12" t="s">
        <v>521</v>
      </c>
      <c r="K6816" s="13" t="s">
        <v>36</v>
      </c>
      <c r="L6816" s="15" t="s">
        <v>36</v>
      </c>
      <c r="M6816" s="12" t="s">
        <v>36</v>
      </c>
      <c r="N6816" s="12" t="s">
        <v>36</v>
      </c>
      <c r="O6816" s="17" t="s">
        <v>36</v>
      </c>
      <c r="P6816" s="12" t="s">
        <v>36</v>
      </c>
      <c r="Q6816" s="12" t="s">
        <v>36</v>
      </c>
      <c r="R6816" s="12" t="s">
        <v>36</v>
      </c>
      <c r="S6816" s="12" t="s">
        <v>36</v>
      </c>
      <c r="T6816" s="12" t="s">
        <v>2992</v>
      </c>
      <c r="U6816" s="12" t="s">
        <v>96</v>
      </c>
      <c r="V6816" s="12" t="s">
        <v>52</v>
      </c>
      <c r="W6816" s="12" t="s">
        <v>24971</v>
      </c>
      <c r="X6816" s="16" t="s">
        <v>30638</v>
      </c>
      <c r="Y6816" s="15" t="s">
        <v>55</v>
      </c>
      <c r="Z6816" s="14">
        <v>3.29</v>
      </c>
      <c r="AA6816" s="14">
        <v>8.02</v>
      </c>
      <c r="AB6816" s="12" t="s">
        <v>56</v>
      </c>
      <c r="AC6816" s="12" t="s">
        <v>24973</v>
      </c>
      <c r="AD6816" s="13">
        <v>42411</v>
      </c>
      <c r="AE6816" s="12" t="s">
        <v>100</v>
      </c>
      <c r="AF6816" s="12" t="s">
        <v>15704</v>
      </c>
      <c r="AG6816" s="12" t="s">
        <v>991</v>
      </c>
      <c r="AH6816" s="1">
        <f>HYPERLINK("https://my.pitchbook.com?c=77615-65T","View Company Online")</f>
      </c>
    </row>
    <row r="6817">
      <c r="A6817" s="3" t="s">
        <v>30639</v>
      </c>
      <c r="B6817" s="3" t="s">
        <v>27039</v>
      </c>
      <c r="C6817" s="5" t="s">
        <v>36</v>
      </c>
      <c r="D6817" s="5" t="s">
        <v>36</v>
      </c>
      <c r="E6817" s="5" t="s">
        <v>36</v>
      </c>
      <c r="F6817" s="5" t="s">
        <v>36</v>
      </c>
      <c r="G6817" s="6" t="s">
        <v>36</v>
      </c>
      <c r="H6817" s="4">
        <v>415.43</v>
      </c>
      <c r="I6817" s="7">
        <v>20</v>
      </c>
      <c r="J6817" s="3" t="s">
        <v>521</v>
      </c>
      <c r="K6817" s="9" t="s">
        <v>36</v>
      </c>
      <c r="L6817" s="6" t="s">
        <v>36</v>
      </c>
      <c r="M6817" s="3" t="s">
        <v>36</v>
      </c>
      <c r="N6817" s="3" t="s">
        <v>36</v>
      </c>
      <c r="O6817" s="8" t="s">
        <v>36</v>
      </c>
      <c r="P6817" s="3" t="s">
        <v>36</v>
      </c>
      <c r="Q6817" s="3" t="s">
        <v>36</v>
      </c>
      <c r="R6817" s="3" t="s">
        <v>36</v>
      </c>
      <c r="S6817" s="3" t="s">
        <v>36</v>
      </c>
      <c r="T6817" s="3" t="s">
        <v>4911</v>
      </c>
      <c r="U6817" s="3" t="s">
        <v>63</v>
      </c>
      <c r="V6817" s="3" t="s">
        <v>64</v>
      </c>
      <c r="W6817" s="3" t="s">
        <v>27040</v>
      </c>
      <c r="X6817" s="10" t="s">
        <v>30640</v>
      </c>
      <c r="Y6817" s="6" t="s">
        <v>55</v>
      </c>
      <c r="Z6817" s="4">
        <v>0.55</v>
      </c>
      <c r="AA6817" s="4">
        <v>2.74</v>
      </c>
      <c r="AB6817" s="3" t="s">
        <v>43</v>
      </c>
      <c r="AC6817" s="3" t="s">
        <v>27042</v>
      </c>
      <c r="AD6817" s="9">
        <v>42411</v>
      </c>
      <c r="AE6817" s="3" t="s">
        <v>399</v>
      </c>
      <c r="AF6817" s="3" t="s">
        <v>36</v>
      </c>
      <c r="AG6817" s="3" t="s">
        <v>27043</v>
      </c>
      <c r="AH6817" s="11">
        <f>HYPERLINK("https://my.pitchbook.com?c=242487-37T","View Company Online")</f>
      </c>
    </row>
    <row r="6818">
      <c r="A6818" s="12" t="s">
        <v>30641</v>
      </c>
      <c r="B6818" s="12" t="s">
        <v>30642</v>
      </c>
      <c r="C6818" s="19" t="s">
        <v>36</v>
      </c>
      <c r="D6818" s="19">
        <v>3</v>
      </c>
      <c r="E6818" s="19">
        <v>2</v>
      </c>
      <c r="F6818" s="19">
        <v>8</v>
      </c>
      <c r="G6818" s="15" t="s">
        <v>326</v>
      </c>
      <c r="H6818" s="14">
        <v>4.07</v>
      </c>
      <c r="I6818" s="18">
        <v>40.96</v>
      </c>
      <c r="J6818" s="12" t="s">
        <v>521</v>
      </c>
      <c r="K6818" s="13" t="s">
        <v>36</v>
      </c>
      <c r="L6818" s="15" t="s">
        <v>122</v>
      </c>
      <c r="M6818" s="12" t="s">
        <v>36</v>
      </c>
      <c r="N6818" s="12" t="s">
        <v>122</v>
      </c>
      <c r="O6818" s="17" t="s">
        <v>36</v>
      </c>
      <c r="P6818" s="12" t="s">
        <v>36</v>
      </c>
      <c r="Q6818" s="12" t="s">
        <v>36</v>
      </c>
      <c r="R6818" s="12" t="s">
        <v>36</v>
      </c>
      <c r="S6818" s="12" t="s">
        <v>36</v>
      </c>
      <c r="T6818" s="12" t="s">
        <v>105</v>
      </c>
      <c r="U6818" s="12" t="s">
        <v>38</v>
      </c>
      <c r="V6818" s="12" t="s">
        <v>39</v>
      </c>
      <c r="W6818" s="12" t="s">
        <v>30643</v>
      </c>
      <c r="X6818" s="16" t="s">
        <v>30644</v>
      </c>
      <c r="Y6818" s="15" t="s">
        <v>166</v>
      </c>
      <c r="Z6818" s="14">
        <v>4.6</v>
      </c>
      <c r="AA6818" s="14">
        <v>6.26</v>
      </c>
      <c r="AB6818" s="12" t="s">
        <v>43</v>
      </c>
      <c r="AC6818" s="12" t="s">
        <v>30645</v>
      </c>
      <c r="AD6818" s="13">
        <v>42410</v>
      </c>
      <c r="AE6818" s="12" t="s">
        <v>110</v>
      </c>
      <c r="AF6818" s="12" t="s">
        <v>30156</v>
      </c>
      <c r="AG6818" s="12" t="s">
        <v>81</v>
      </c>
      <c r="AH6818" s="1">
        <f>HYPERLINK("https://my.pitchbook.com?c=66134-62T","View Company Online")</f>
      </c>
    </row>
    <row r="6819">
      <c r="A6819" s="3" t="s">
        <v>30646</v>
      </c>
      <c r="B6819" s="3" t="s">
        <v>21746</v>
      </c>
      <c r="C6819" s="5" t="s">
        <v>36</v>
      </c>
      <c r="D6819" s="5" t="s">
        <v>36</v>
      </c>
      <c r="E6819" s="5" t="s">
        <v>36</v>
      </c>
      <c r="F6819" s="5" t="s">
        <v>36</v>
      </c>
      <c r="G6819" s="6" t="s">
        <v>326</v>
      </c>
      <c r="H6819" s="4">
        <v>949.25</v>
      </c>
      <c r="I6819" s="7">
        <v>25.02</v>
      </c>
      <c r="J6819" s="3" t="s">
        <v>521</v>
      </c>
      <c r="K6819" s="9" t="s">
        <v>36</v>
      </c>
      <c r="L6819" s="6" t="s">
        <v>36</v>
      </c>
      <c r="M6819" s="3" t="s">
        <v>36</v>
      </c>
      <c r="N6819" s="3" t="s">
        <v>36</v>
      </c>
      <c r="O6819" s="8" t="s">
        <v>36</v>
      </c>
      <c r="P6819" s="3" t="s">
        <v>36</v>
      </c>
      <c r="Q6819" s="3" t="s">
        <v>36</v>
      </c>
      <c r="R6819" s="3" t="s">
        <v>36</v>
      </c>
      <c r="S6819" s="3" t="s">
        <v>36</v>
      </c>
      <c r="T6819" s="3" t="s">
        <v>21747</v>
      </c>
      <c r="U6819" s="3" t="s">
        <v>833</v>
      </c>
      <c r="V6819" s="3" t="s">
        <v>64</v>
      </c>
      <c r="W6819" s="3" t="s">
        <v>21748</v>
      </c>
      <c r="X6819" s="10" t="s">
        <v>4355</v>
      </c>
      <c r="Y6819" s="6" t="s">
        <v>108</v>
      </c>
      <c r="Z6819" s="4">
        <v>3.29</v>
      </c>
      <c r="AA6819" s="4">
        <v>13.13</v>
      </c>
      <c r="AB6819" s="3" t="s">
        <v>56</v>
      </c>
      <c r="AC6819" s="3" t="s">
        <v>21750</v>
      </c>
      <c r="AD6819" s="9">
        <v>42409</v>
      </c>
      <c r="AE6819" s="3" t="s">
        <v>3615</v>
      </c>
      <c r="AF6819" s="3" t="s">
        <v>571</v>
      </c>
      <c r="AG6819" s="3" t="s">
        <v>21751</v>
      </c>
      <c r="AH6819" s="11">
        <f>HYPERLINK("https://my.pitchbook.com?c=169399-99T","View Company Online")</f>
      </c>
    </row>
    <row r="6820">
      <c r="A6820" s="12" t="s">
        <v>30647</v>
      </c>
      <c r="B6820" s="12" t="s">
        <v>23219</v>
      </c>
      <c r="C6820" s="19" t="s">
        <v>36</v>
      </c>
      <c r="D6820" s="19" t="s">
        <v>36</v>
      </c>
      <c r="E6820" s="19" t="s">
        <v>36</v>
      </c>
      <c r="F6820" s="19" t="s">
        <v>36</v>
      </c>
      <c r="G6820" s="15" t="s">
        <v>2497</v>
      </c>
      <c r="H6820" s="14">
        <v>366.61</v>
      </c>
      <c r="I6820" s="18">
        <v>23.67</v>
      </c>
      <c r="J6820" s="12" t="s">
        <v>521</v>
      </c>
      <c r="K6820" s="13">
        <v>42156</v>
      </c>
      <c r="L6820" s="15" t="s">
        <v>36</v>
      </c>
      <c r="M6820" s="12" t="s">
        <v>36</v>
      </c>
      <c r="N6820" s="12" t="s">
        <v>36</v>
      </c>
      <c r="O6820" s="17" t="s">
        <v>36</v>
      </c>
      <c r="P6820" s="12" t="s">
        <v>36</v>
      </c>
      <c r="Q6820" s="12" t="s">
        <v>36</v>
      </c>
      <c r="R6820" s="12" t="s">
        <v>36</v>
      </c>
      <c r="S6820" s="12" t="s">
        <v>36</v>
      </c>
      <c r="T6820" s="12" t="s">
        <v>647</v>
      </c>
      <c r="U6820" s="12" t="s">
        <v>648</v>
      </c>
      <c r="V6820" s="12" t="s">
        <v>64</v>
      </c>
      <c r="W6820" s="12" t="s">
        <v>23220</v>
      </c>
      <c r="X6820" s="16" t="s">
        <v>30648</v>
      </c>
      <c r="Y6820" s="15" t="s">
        <v>108</v>
      </c>
      <c r="Z6820" s="14">
        <v>1.53</v>
      </c>
      <c r="AA6820" s="14">
        <v>6.45</v>
      </c>
      <c r="AB6820" s="12" t="s">
        <v>43</v>
      </c>
      <c r="AC6820" s="12" t="s">
        <v>23221</v>
      </c>
      <c r="AD6820" s="13">
        <v>42406</v>
      </c>
      <c r="AE6820" s="12" t="s">
        <v>651</v>
      </c>
      <c r="AF6820" s="12" t="s">
        <v>1636</v>
      </c>
      <c r="AG6820" s="12" t="s">
        <v>741</v>
      </c>
      <c r="AH6820" s="1">
        <f>HYPERLINK("https://my.pitchbook.com?c=81768-79T","View Company Online")</f>
      </c>
    </row>
    <row r="6821">
      <c r="A6821" s="3" t="s">
        <v>30649</v>
      </c>
      <c r="B6821" s="3" t="s">
        <v>22861</v>
      </c>
      <c r="C6821" s="5" t="s">
        <v>36</v>
      </c>
      <c r="D6821" s="5" t="s">
        <v>36</v>
      </c>
      <c r="E6821" s="5" t="s">
        <v>36</v>
      </c>
      <c r="F6821" s="5" t="s">
        <v>36</v>
      </c>
      <c r="G6821" s="6" t="s">
        <v>36</v>
      </c>
      <c r="H6821" s="4" t="s">
        <v>36</v>
      </c>
      <c r="I6821" s="7">
        <v>37.93</v>
      </c>
      <c r="J6821" s="3" t="s">
        <v>327</v>
      </c>
      <c r="K6821" s="9" t="s">
        <v>36</v>
      </c>
      <c r="L6821" s="6" t="s">
        <v>36</v>
      </c>
      <c r="M6821" s="3" t="s">
        <v>36</v>
      </c>
      <c r="N6821" s="3" t="s">
        <v>36</v>
      </c>
      <c r="O6821" s="8" t="s">
        <v>36</v>
      </c>
      <c r="P6821" s="3" t="s">
        <v>36</v>
      </c>
      <c r="Q6821" s="3" t="s">
        <v>36</v>
      </c>
      <c r="R6821" s="3" t="s">
        <v>36</v>
      </c>
      <c r="S6821" s="3" t="s">
        <v>36</v>
      </c>
      <c r="T6821" s="3" t="s">
        <v>22862</v>
      </c>
      <c r="U6821" s="3" t="s">
        <v>648</v>
      </c>
      <c r="V6821" s="3" t="s">
        <v>64</v>
      </c>
      <c r="W6821" s="3" t="s">
        <v>22863</v>
      </c>
      <c r="X6821" s="10" t="s">
        <v>16667</v>
      </c>
      <c r="Y6821" s="6" t="s">
        <v>42</v>
      </c>
      <c r="Z6821" s="4">
        <v>2.18</v>
      </c>
      <c r="AA6821" s="4">
        <v>5.75</v>
      </c>
      <c r="AB6821" s="3" t="s">
        <v>56</v>
      </c>
      <c r="AC6821" s="3" t="s">
        <v>22864</v>
      </c>
      <c r="AD6821" s="9">
        <v>42405</v>
      </c>
      <c r="AE6821" s="3" t="s">
        <v>651</v>
      </c>
      <c r="AF6821" s="3" t="s">
        <v>14380</v>
      </c>
      <c r="AG6821" s="3" t="s">
        <v>10429</v>
      </c>
      <c r="AH6821" s="11">
        <f>HYPERLINK("https://my.pitchbook.com?c=168597-28T","View Company Online")</f>
      </c>
    </row>
    <row r="6822">
      <c r="A6822" s="12" t="s">
        <v>30650</v>
      </c>
      <c r="B6822" s="12" t="s">
        <v>30651</v>
      </c>
      <c r="C6822" s="19" t="s">
        <v>36</v>
      </c>
      <c r="D6822" s="19" t="s">
        <v>36</v>
      </c>
      <c r="E6822" s="19" t="s">
        <v>36</v>
      </c>
      <c r="F6822" s="19" t="s">
        <v>36</v>
      </c>
      <c r="G6822" s="15" t="s">
        <v>36</v>
      </c>
      <c r="H6822" s="14">
        <v>26.92</v>
      </c>
      <c r="I6822" s="18">
        <v>10.03</v>
      </c>
      <c r="J6822" s="12" t="s">
        <v>521</v>
      </c>
      <c r="K6822" s="13" t="s">
        <v>36</v>
      </c>
      <c r="L6822" s="15" t="s">
        <v>36</v>
      </c>
      <c r="M6822" s="12" t="s">
        <v>36</v>
      </c>
      <c r="N6822" s="12" t="s">
        <v>36</v>
      </c>
      <c r="O6822" s="17" t="s">
        <v>36</v>
      </c>
      <c r="P6822" s="12" t="s">
        <v>36</v>
      </c>
      <c r="Q6822" s="12" t="s">
        <v>36</v>
      </c>
      <c r="R6822" s="12" t="s">
        <v>36</v>
      </c>
      <c r="S6822" s="12" t="s">
        <v>36</v>
      </c>
      <c r="T6822" s="12" t="s">
        <v>30652</v>
      </c>
      <c r="U6822" s="12" t="s">
        <v>74</v>
      </c>
      <c r="V6822" s="12" t="s">
        <v>75</v>
      </c>
      <c r="W6822" s="12" t="s">
        <v>30653</v>
      </c>
      <c r="X6822" s="16" t="s">
        <v>30654</v>
      </c>
      <c r="Y6822" s="15" t="s">
        <v>42</v>
      </c>
      <c r="Z6822" s="14">
        <v>0.09</v>
      </c>
      <c r="AA6822" s="14">
        <v>0.87</v>
      </c>
      <c r="AB6822" s="12" t="s">
        <v>56</v>
      </c>
      <c r="AC6822" s="12" t="s">
        <v>30655</v>
      </c>
      <c r="AD6822" s="13">
        <v>42405</v>
      </c>
      <c r="AE6822" s="12" t="s">
        <v>1243</v>
      </c>
      <c r="AF6822" s="12" t="s">
        <v>372</v>
      </c>
      <c r="AG6822" s="12" t="s">
        <v>30656</v>
      </c>
      <c r="AH6822" s="1">
        <f>HYPERLINK("https://my.pitchbook.com?c=242831-44T","View Company Online")</f>
      </c>
    </row>
    <row r="6823">
      <c r="A6823" s="3" t="s">
        <v>30657</v>
      </c>
      <c r="B6823" s="3" t="s">
        <v>30658</v>
      </c>
      <c r="C6823" s="5" t="s">
        <v>36</v>
      </c>
      <c r="D6823" s="5" t="s">
        <v>36</v>
      </c>
      <c r="E6823" s="5" t="s">
        <v>36</v>
      </c>
      <c r="F6823" s="5" t="s">
        <v>36</v>
      </c>
      <c r="G6823" s="6" t="s">
        <v>36</v>
      </c>
      <c r="H6823" s="4" t="s">
        <v>36</v>
      </c>
      <c r="I6823" s="7">
        <v>25.01</v>
      </c>
      <c r="J6823" s="3" t="s">
        <v>327</v>
      </c>
      <c r="K6823" s="9" t="s">
        <v>36</v>
      </c>
      <c r="L6823" s="6" t="s">
        <v>36</v>
      </c>
      <c r="M6823" s="3" t="s">
        <v>36</v>
      </c>
      <c r="N6823" s="3" t="s">
        <v>36</v>
      </c>
      <c r="O6823" s="8" t="s">
        <v>36</v>
      </c>
      <c r="P6823" s="3" t="s">
        <v>36</v>
      </c>
      <c r="Q6823" s="3" t="s">
        <v>36</v>
      </c>
      <c r="R6823" s="3" t="s">
        <v>36</v>
      </c>
      <c r="S6823" s="3" t="s">
        <v>36</v>
      </c>
      <c r="T6823" s="3" t="s">
        <v>30659</v>
      </c>
      <c r="U6823" s="3" t="s">
        <v>318</v>
      </c>
      <c r="V6823" s="3" t="s">
        <v>39</v>
      </c>
      <c r="W6823" s="3" t="s">
        <v>30660</v>
      </c>
      <c r="X6823" s="10" t="s">
        <v>30661</v>
      </c>
      <c r="Y6823" s="6" t="s">
        <v>42</v>
      </c>
      <c r="Z6823" s="4">
        <v>0.44</v>
      </c>
      <c r="AA6823" s="4">
        <v>1.74</v>
      </c>
      <c r="AB6823" s="3" t="s">
        <v>43</v>
      </c>
      <c r="AC6823" s="3" t="s">
        <v>30662</v>
      </c>
      <c r="AD6823" s="9">
        <v>42404</v>
      </c>
      <c r="AE6823" s="3" t="s">
        <v>417</v>
      </c>
      <c r="AF6823" s="3" t="s">
        <v>12243</v>
      </c>
      <c r="AG6823" s="3" t="s">
        <v>81</v>
      </c>
      <c r="AH6823" s="11">
        <f>HYPERLINK("https://my.pitchbook.com?c=64353-97T","View Company Online")</f>
      </c>
    </row>
    <row r="6824">
      <c r="A6824" s="12" t="s">
        <v>30663</v>
      </c>
      <c r="B6824" s="12" t="s">
        <v>30664</v>
      </c>
      <c r="C6824" s="19" t="s">
        <v>36</v>
      </c>
      <c r="D6824" s="19" t="s">
        <v>36</v>
      </c>
      <c r="E6824" s="19" t="s">
        <v>36</v>
      </c>
      <c r="F6824" s="19" t="s">
        <v>36</v>
      </c>
      <c r="G6824" s="15" t="s">
        <v>36</v>
      </c>
      <c r="H6824" s="14" t="s">
        <v>36</v>
      </c>
      <c r="I6824" s="18" t="s">
        <v>36</v>
      </c>
      <c r="J6824" s="12" t="s">
        <v>36</v>
      </c>
      <c r="K6824" s="13" t="s">
        <v>36</v>
      </c>
      <c r="L6824" s="15" t="s">
        <v>36</v>
      </c>
      <c r="M6824" s="12" t="s">
        <v>36</v>
      </c>
      <c r="N6824" s="12" t="s">
        <v>36</v>
      </c>
      <c r="O6824" s="17" t="s">
        <v>36</v>
      </c>
      <c r="P6824" s="12" t="s">
        <v>36</v>
      </c>
      <c r="Q6824" s="12" t="s">
        <v>36</v>
      </c>
      <c r="R6824" s="12" t="s">
        <v>36</v>
      </c>
      <c r="S6824" s="12" t="s">
        <v>27587</v>
      </c>
      <c r="T6824" s="12" t="s">
        <v>37</v>
      </c>
      <c r="U6824" s="12" t="s">
        <v>38</v>
      </c>
      <c r="V6824" s="12" t="s">
        <v>39</v>
      </c>
      <c r="W6824" s="12" t="s">
        <v>30665</v>
      </c>
      <c r="X6824" s="16" t="s">
        <v>30666</v>
      </c>
      <c r="Y6824" s="15" t="s">
        <v>42</v>
      </c>
      <c r="Z6824" s="14" t="s">
        <v>36</v>
      </c>
      <c r="AA6824" s="14" t="s">
        <v>36</v>
      </c>
      <c r="AB6824" s="12" t="s">
        <v>43</v>
      </c>
      <c r="AC6824" s="12" t="s">
        <v>30667</v>
      </c>
      <c r="AD6824" s="13">
        <v>42404</v>
      </c>
      <c r="AE6824" s="12" t="s">
        <v>45</v>
      </c>
      <c r="AF6824" s="12" t="s">
        <v>1115</v>
      </c>
      <c r="AG6824" s="12" t="s">
        <v>81</v>
      </c>
      <c r="AH6824" s="1">
        <f>HYPERLINK("https://my.pitchbook.com?c=116486-02T","View Company Online")</f>
      </c>
    </row>
    <row r="6825">
      <c r="A6825" s="3" t="s">
        <v>30668</v>
      </c>
      <c r="B6825" s="3" t="s">
        <v>30669</v>
      </c>
      <c r="C6825" s="5" t="s">
        <v>36</v>
      </c>
      <c r="D6825" s="5" t="s">
        <v>36</v>
      </c>
      <c r="E6825" s="5" t="s">
        <v>36</v>
      </c>
      <c r="F6825" s="5" t="s">
        <v>36</v>
      </c>
      <c r="G6825" s="6" t="s">
        <v>326</v>
      </c>
      <c r="H6825" s="4" t="s">
        <v>36</v>
      </c>
      <c r="I6825" s="7">
        <v>7.68</v>
      </c>
      <c r="J6825" s="3" t="s">
        <v>327</v>
      </c>
      <c r="K6825" s="9" t="s">
        <v>36</v>
      </c>
      <c r="L6825" s="6" t="s">
        <v>122</v>
      </c>
      <c r="M6825" s="3" t="s">
        <v>36</v>
      </c>
      <c r="N6825" s="3" t="s">
        <v>122</v>
      </c>
      <c r="O6825" s="8" t="s">
        <v>36</v>
      </c>
      <c r="P6825" s="3" t="s">
        <v>36</v>
      </c>
      <c r="Q6825" s="3" t="s">
        <v>36</v>
      </c>
      <c r="R6825" s="3" t="s">
        <v>36</v>
      </c>
      <c r="S6825" s="3" t="s">
        <v>36</v>
      </c>
      <c r="T6825" s="3" t="s">
        <v>30670</v>
      </c>
      <c r="U6825" s="3" t="s">
        <v>648</v>
      </c>
      <c r="V6825" s="3" t="s">
        <v>64</v>
      </c>
      <c r="W6825" s="3" t="s">
        <v>30671</v>
      </c>
      <c r="X6825" s="10" t="s">
        <v>30672</v>
      </c>
      <c r="Y6825" s="6" t="s">
        <v>55</v>
      </c>
      <c r="Z6825" s="4">
        <v>1.46</v>
      </c>
      <c r="AA6825" s="4">
        <v>19</v>
      </c>
      <c r="AB6825" s="3" t="s">
        <v>43</v>
      </c>
      <c r="AC6825" s="3" t="s">
        <v>30673</v>
      </c>
      <c r="AD6825" s="9">
        <v>42404</v>
      </c>
      <c r="AE6825" s="3" t="s">
        <v>651</v>
      </c>
      <c r="AF6825" s="3" t="s">
        <v>30674</v>
      </c>
      <c r="AG6825" s="3" t="s">
        <v>2299</v>
      </c>
      <c r="AH6825" s="11">
        <f>HYPERLINK("https://my.pitchbook.com?c=65811-34T","View Company Online")</f>
      </c>
    </row>
    <row r="6826">
      <c r="A6826" s="12" t="s">
        <v>30675</v>
      </c>
      <c r="B6826" s="12" t="s">
        <v>28078</v>
      </c>
      <c r="C6826" s="19" t="s">
        <v>36</v>
      </c>
      <c r="D6826" s="19" t="s">
        <v>36</v>
      </c>
      <c r="E6826" s="19" t="s">
        <v>36</v>
      </c>
      <c r="F6826" s="19" t="s">
        <v>36</v>
      </c>
      <c r="G6826" s="15" t="s">
        <v>36</v>
      </c>
      <c r="H6826" s="14">
        <v>329.74</v>
      </c>
      <c r="I6826" s="18">
        <v>27.6</v>
      </c>
      <c r="J6826" s="12" t="s">
        <v>521</v>
      </c>
      <c r="K6826" s="13" t="s">
        <v>36</v>
      </c>
      <c r="L6826" s="15" t="s">
        <v>36</v>
      </c>
      <c r="M6826" s="12" t="s">
        <v>36</v>
      </c>
      <c r="N6826" s="12" t="s">
        <v>36</v>
      </c>
      <c r="O6826" s="17" t="s">
        <v>36</v>
      </c>
      <c r="P6826" s="12" t="s">
        <v>36</v>
      </c>
      <c r="Q6826" s="12" t="s">
        <v>36</v>
      </c>
      <c r="R6826" s="12" t="s">
        <v>36</v>
      </c>
      <c r="S6826" s="12" t="s">
        <v>36</v>
      </c>
      <c r="T6826" s="12" t="s">
        <v>62</v>
      </c>
      <c r="U6826" s="12" t="s">
        <v>63</v>
      </c>
      <c r="V6826" s="12" t="s">
        <v>64</v>
      </c>
      <c r="W6826" s="12" t="s">
        <v>28079</v>
      </c>
      <c r="X6826" s="16" t="s">
        <v>30676</v>
      </c>
      <c r="Y6826" s="15" t="s">
        <v>42</v>
      </c>
      <c r="Z6826" s="14">
        <v>1.66</v>
      </c>
      <c r="AA6826" s="14">
        <v>6.02</v>
      </c>
      <c r="AB6826" s="12" t="s">
        <v>43</v>
      </c>
      <c r="AC6826" s="12" t="s">
        <v>28081</v>
      </c>
      <c r="AD6826" s="13">
        <v>42404</v>
      </c>
      <c r="AE6826" s="12" t="s">
        <v>68</v>
      </c>
      <c r="AF6826" s="12" t="s">
        <v>6417</v>
      </c>
      <c r="AG6826" s="12" t="s">
        <v>81</v>
      </c>
      <c r="AH6826" s="1">
        <f>HYPERLINK("https://my.pitchbook.com?c=65810-62T","View Company Online")</f>
      </c>
    </row>
    <row r="6827">
      <c r="A6827" s="3" t="s">
        <v>30677</v>
      </c>
      <c r="B6827" s="3" t="s">
        <v>4707</v>
      </c>
      <c r="C6827" s="5">
        <v>46</v>
      </c>
      <c r="D6827" s="5">
        <v>28</v>
      </c>
      <c r="E6827" s="5">
        <v>18</v>
      </c>
      <c r="F6827" s="5">
        <v>82</v>
      </c>
      <c r="G6827" s="6" t="s">
        <v>326</v>
      </c>
      <c r="H6827" s="4">
        <v>174.48</v>
      </c>
      <c r="I6827" s="7">
        <v>78</v>
      </c>
      <c r="J6827" s="3" t="s">
        <v>521</v>
      </c>
      <c r="K6827" s="9" t="s">
        <v>36</v>
      </c>
      <c r="L6827" s="6" t="s">
        <v>122</v>
      </c>
      <c r="M6827" s="3" t="s">
        <v>36</v>
      </c>
      <c r="N6827" s="3" t="s">
        <v>122</v>
      </c>
      <c r="O6827" s="8" t="s">
        <v>36</v>
      </c>
      <c r="P6827" s="3" t="s">
        <v>36</v>
      </c>
      <c r="Q6827" s="3" t="s">
        <v>36</v>
      </c>
      <c r="R6827" s="3" t="s">
        <v>36</v>
      </c>
      <c r="S6827" s="3" t="s">
        <v>36</v>
      </c>
      <c r="T6827" s="3" t="s">
        <v>881</v>
      </c>
      <c r="U6827" s="3" t="s">
        <v>51</v>
      </c>
      <c r="V6827" s="3" t="s">
        <v>52</v>
      </c>
      <c r="W6827" s="3" t="s">
        <v>4708</v>
      </c>
      <c r="X6827" s="10" t="s">
        <v>30678</v>
      </c>
      <c r="Y6827" s="6" t="s">
        <v>108</v>
      </c>
      <c r="Z6827" s="4">
        <v>23.93</v>
      </c>
      <c r="AA6827" s="4">
        <v>28.13</v>
      </c>
      <c r="AB6827" s="3" t="s">
        <v>43</v>
      </c>
      <c r="AC6827" s="3" t="s">
        <v>4710</v>
      </c>
      <c r="AD6827" s="9">
        <v>42403</v>
      </c>
      <c r="AE6827" s="3" t="s">
        <v>504</v>
      </c>
      <c r="AF6827" s="3" t="s">
        <v>885</v>
      </c>
      <c r="AG6827" s="3" t="s">
        <v>47</v>
      </c>
      <c r="AH6827" s="11">
        <f>HYPERLINK("https://my.pitchbook.com?c=65654-83T","View Company Online")</f>
      </c>
    </row>
    <row r="6828">
      <c r="A6828" s="12" t="s">
        <v>30679</v>
      </c>
      <c r="B6828" s="12" t="s">
        <v>6840</v>
      </c>
      <c r="C6828" s="19" t="s">
        <v>36</v>
      </c>
      <c r="D6828" s="19" t="s">
        <v>36</v>
      </c>
      <c r="E6828" s="19" t="s">
        <v>36</v>
      </c>
      <c r="F6828" s="19" t="s">
        <v>36</v>
      </c>
      <c r="G6828" s="15" t="s">
        <v>36</v>
      </c>
      <c r="H6828" s="14">
        <v>4.78</v>
      </c>
      <c r="I6828" s="18">
        <v>30.3</v>
      </c>
      <c r="J6828" s="12" t="s">
        <v>327</v>
      </c>
      <c r="K6828" s="13" t="s">
        <v>36</v>
      </c>
      <c r="L6828" s="15" t="s">
        <v>36</v>
      </c>
      <c r="M6828" s="12" t="s">
        <v>36</v>
      </c>
      <c r="N6828" s="12" t="s">
        <v>36</v>
      </c>
      <c r="O6828" s="17" t="s">
        <v>36</v>
      </c>
      <c r="P6828" s="12" t="s">
        <v>36</v>
      </c>
      <c r="Q6828" s="12" t="s">
        <v>36</v>
      </c>
      <c r="R6828" s="12" t="s">
        <v>36</v>
      </c>
      <c r="S6828" s="12" t="s">
        <v>36</v>
      </c>
      <c r="T6828" s="12" t="s">
        <v>522</v>
      </c>
      <c r="U6828" s="12" t="s">
        <v>38</v>
      </c>
      <c r="V6828" s="12" t="s">
        <v>39</v>
      </c>
      <c r="W6828" s="12" t="s">
        <v>6841</v>
      </c>
      <c r="X6828" s="16" t="s">
        <v>1840</v>
      </c>
      <c r="Y6828" s="15" t="s">
        <v>42</v>
      </c>
      <c r="Z6828" s="14">
        <v>0.22</v>
      </c>
      <c r="AA6828" s="14">
        <v>0.72</v>
      </c>
      <c r="AB6828" s="12" t="s">
        <v>43</v>
      </c>
      <c r="AC6828" s="12" t="s">
        <v>6843</v>
      </c>
      <c r="AD6828" s="13">
        <v>42401</v>
      </c>
      <c r="AE6828" s="12" t="s">
        <v>110</v>
      </c>
      <c r="AF6828" s="12" t="s">
        <v>3860</v>
      </c>
      <c r="AG6828" s="12" t="s">
        <v>47</v>
      </c>
      <c r="AH6828" s="1">
        <f>HYPERLINK("https://my.pitchbook.com?c=116949-43T","View Company Online")</f>
      </c>
    </row>
    <row r="6829">
      <c r="A6829" s="3" t="s">
        <v>30680</v>
      </c>
      <c r="B6829" s="3" t="s">
        <v>30681</v>
      </c>
      <c r="C6829" s="5">
        <v>3</v>
      </c>
      <c r="D6829" s="5">
        <v>30</v>
      </c>
      <c r="E6829" s="5">
        <v>12</v>
      </c>
      <c r="F6829" s="5">
        <v>40</v>
      </c>
      <c r="G6829" s="6" t="s">
        <v>326</v>
      </c>
      <c r="H6829" s="4" t="s">
        <v>36</v>
      </c>
      <c r="I6829" s="7">
        <v>35.56</v>
      </c>
      <c r="J6829" s="3" t="s">
        <v>521</v>
      </c>
      <c r="K6829" s="9" t="s">
        <v>36</v>
      </c>
      <c r="L6829" s="6" t="s">
        <v>36</v>
      </c>
      <c r="M6829" s="3" t="s">
        <v>36</v>
      </c>
      <c r="N6829" s="3" t="s">
        <v>36</v>
      </c>
      <c r="O6829" s="8" t="s">
        <v>36</v>
      </c>
      <c r="P6829" s="3" t="s">
        <v>36</v>
      </c>
      <c r="Q6829" s="3" t="s">
        <v>36</v>
      </c>
      <c r="R6829" s="3" t="s">
        <v>36</v>
      </c>
      <c r="S6829" s="3" t="s">
        <v>36</v>
      </c>
      <c r="T6829" s="3" t="s">
        <v>3729</v>
      </c>
      <c r="U6829" s="3" t="s">
        <v>219</v>
      </c>
      <c r="V6829" s="3" t="s">
        <v>75</v>
      </c>
      <c r="W6829" s="3" t="s">
        <v>30682</v>
      </c>
      <c r="X6829" s="10" t="s">
        <v>30683</v>
      </c>
      <c r="Y6829" s="6" t="s">
        <v>108</v>
      </c>
      <c r="Z6829" s="4">
        <v>2.17</v>
      </c>
      <c r="AA6829" s="4">
        <v>6.11</v>
      </c>
      <c r="AB6829" s="3" t="s">
        <v>56</v>
      </c>
      <c r="AC6829" s="3" t="s">
        <v>30684</v>
      </c>
      <c r="AD6829" s="9">
        <v>42401</v>
      </c>
      <c r="AE6829" s="3" t="s">
        <v>1032</v>
      </c>
      <c r="AF6829" s="3" t="s">
        <v>10212</v>
      </c>
      <c r="AG6829" s="3" t="s">
        <v>30685</v>
      </c>
      <c r="AH6829" s="11">
        <f>HYPERLINK("https://my.pitchbook.com?c=133540-84T","View Company Online")</f>
      </c>
    </row>
    <row r="6830">
      <c r="A6830" s="12" t="s">
        <v>30686</v>
      </c>
      <c r="B6830" s="12" t="s">
        <v>27933</v>
      </c>
      <c r="C6830" s="19" t="s">
        <v>36</v>
      </c>
      <c r="D6830" s="19" t="s">
        <v>36</v>
      </c>
      <c r="E6830" s="19" t="s">
        <v>36</v>
      </c>
      <c r="F6830" s="19" t="s">
        <v>36</v>
      </c>
      <c r="G6830" s="15" t="s">
        <v>36</v>
      </c>
      <c r="H6830" s="14">
        <v>68.55</v>
      </c>
      <c r="I6830" s="18">
        <v>10.49</v>
      </c>
      <c r="J6830" s="12" t="s">
        <v>521</v>
      </c>
      <c r="K6830" s="13">
        <v>42349</v>
      </c>
      <c r="L6830" s="15" t="s">
        <v>36</v>
      </c>
      <c r="M6830" s="12" t="s">
        <v>36</v>
      </c>
      <c r="N6830" s="12" t="s">
        <v>36</v>
      </c>
      <c r="O6830" s="17" t="s">
        <v>36</v>
      </c>
      <c r="P6830" s="12" t="s">
        <v>36</v>
      </c>
      <c r="Q6830" s="12" t="s">
        <v>36</v>
      </c>
      <c r="R6830" s="12" t="s">
        <v>36</v>
      </c>
      <c r="S6830" s="12" t="s">
        <v>36</v>
      </c>
      <c r="T6830" s="12" t="s">
        <v>27934</v>
      </c>
      <c r="U6830" s="12" t="s">
        <v>423</v>
      </c>
      <c r="V6830" s="12" t="s">
        <v>64</v>
      </c>
      <c r="W6830" s="12" t="s">
        <v>27935</v>
      </c>
      <c r="X6830" s="16" t="s">
        <v>30687</v>
      </c>
      <c r="Y6830" s="15" t="s">
        <v>42</v>
      </c>
      <c r="Z6830" s="14">
        <v>1.3</v>
      </c>
      <c r="AA6830" s="14">
        <v>4.35</v>
      </c>
      <c r="AB6830" s="12" t="s">
        <v>56</v>
      </c>
      <c r="AC6830" s="12" t="s">
        <v>27937</v>
      </c>
      <c r="AD6830" s="13">
        <v>42401</v>
      </c>
      <c r="AE6830" s="12" t="s">
        <v>1051</v>
      </c>
      <c r="AF6830" s="12" t="s">
        <v>4397</v>
      </c>
      <c r="AG6830" s="12" t="s">
        <v>81</v>
      </c>
      <c r="AH6830" s="1">
        <f>HYPERLINK("https://my.pitchbook.com?c=116760-61T","View Company Online")</f>
      </c>
    </row>
    <row r="6831">
      <c r="A6831" s="3" t="s">
        <v>30688</v>
      </c>
      <c r="B6831" s="3" t="s">
        <v>30689</v>
      </c>
      <c r="C6831" s="5" t="s">
        <v>36</v>
      </c>
      <c r="D6831" s="5" t="s">
        <v>36</v>
      </c>
      <c r="E6831" s="5" t="s">
        <v>36</v>
      </c>
      <c r="F6831" s="5" t="s">
        <v>36</v>
      </c>
      <c r="G6831" s="6" t="s">
        <v>36</v>
      </c>
      <c r="H6831" s="4" t="s">
        <v>36</v>
      </c>
      <c r="I6831" s="7" t="s">
        <v>36</v>
      </c>
      <c r="J6831" s="3" t="s">
        <v>36</v>
      </c>
      <c r="K6831" s="9" t="s">
        <v>36</v>
      </c>
      <c r="L6831" s="6" t="s">
        <v>36</v>
      </c>
      <c r="M6831" s="3" t="s">
        <v>36</v>
      </c>
      <c r="N6831" s="3" t="s">
        <v>36</v>
      </c>
      <c r="O6831" s="8" t="s">
        <v>36</v>
      </c>
      <c r="P6831" s="3" t="s">
        <v>36</v>
      </c>
      <c r="Q6831" s="3" t="s">
        <v>36</v>
      </c>
      <c r="R6831" s="3" t="s">
        <v>36</v>
      </c>
      <c r="S6831" s="3" t="s">
        <v>36</v>
      </c>
      <c r="T6831" s="3" t="s">
        <v>105</v>
      </c>
      <c r="U6831" s="3" t="s">
        <v>38</v>
      </c>
      <c r="V6831" s="3" t="s">
        <v>39</v>
      </c>
      <c r="W6831" s="3" t="s">
        <v>30690</v>
      </c>
      <c r="X6831" s="10" t="s">
        <v>30691</v>
      </c>
      <c r="Y6831" s="6" t="s">
        <v>42</v>
      </c>
      <c r="Z6831" s="4" t="s">
        <v>36</v>
      </c>
      <c r="AA6831" s="4" t="s">
        <v>36</v>
      </c>
      <c r="AB6831" s="3" t="s">
        <v>56</v>
      </c>
      <c r="AC6831" s="3" t="s">
        <v>30692</v>
      </c>
      <c r="AD6831" s="9">
        <v>42401</v>
      </c>
      <c r="AE6831" s="3" t="s">
        <v>110</v>
      </c>
      <c r="AF6831" s="3" t="s">
        <v>30693</v>
      </c>
      <c r="AG6831" s="3" t="s">
        <v>382</v>
      </c>
      <c r="AH6831" s="11">
        <f>HYPERLINK("https://my.pitchbook.com?c=49781-71T","View Company Online")</f>
      </c>
    </row>
    <row r="6832">
      <c r="A6832" s="12" t="s">
        <v>30694</v>
      </c>
      <c r="B6832" s="12" t="s">
        <v>30695</v>
      </c>
      <c r="C6832" s="19" t="s">
        <v>36</v>
      </c>
      <c r="D6832" s="19" t="s">
        <v>36</v>
      </c>
      <c r="E6832" s="19" t="s">
        <v>36</v>
      </c>
      <c r="F6832" s="19" t="s">
        <v>36</v>
      </c>
      <c r="G6832" s="15" t="s">
        <v>36</v>
      </c>
      <c r="H6832" s="14" t="s">
        <v>36</v>
      </c>
      <c r="I6832" s="18" t="s">
        <v>36</v>
      </c>
      <c r="J6832" s="12" t="s">
        <v>36</v>
      </c>
      <c r="K6832" s="13" t="s">
        <v>36</v>
      </c>
      <c r="L6832" s="15" t="s">
        <v>36</v>
      </c>
      <c r="M6832" s="12" t="s">
        <v>36</v>
      </c>
      <c r="N6832" s="12" t="s">
        <v>36</v>
      </c>
      <c r="O6832" s="17" t="s">
        <v>36</v>
      </c>
      <c r="P6832" s="12" t="s">
        <v>36</v>
      </c>
      <c r="Q6832" s="12" t="s">
        <v>36</v>
      </c>
      <c r="R6832" s="12" t="s">
        <v>36</v>
      </c>
      <c r="S6832" s="12" t="s">
        <v>36</v>
      </c>
      <c r="T6832" s="12" t="s">
        <v>855</v>
      </c>
      <c r="U6832" s="12" t="s">
        <v>648</v>
      </c>
      <c r="V6832" s="12" t="s">
        <v>64</v>
      </c>
      <c r="W6832" s="12" t="s">
        <v>30696</v>
      </c>
      <c r="X6832" s="16" t="s">
        <v>17134</v>
      </c>
      <c r="Y6832" s="15" t="s">
        <v>42</v>
      </c>
      <c r="Z6832" s="14">
        <v>0.03</v>
      </c>
      <c r="AA6832" s="14" t="s">
        <v>36</v>
      </c>
      <c r="AB6832" s="12" t="s">
        <v>43</v>
      </c>
      <c r="AC6832" s="12" t="s">
        <v>30697</v>
      </c>
      <c r="AD6832" s="13">
        <v>42401</v>
      </c>
      <c r="AE6832" s="12" t="s">
        <v>651</v>
      </c>
      <c r="AF6832" s="12" t="s">
        <v>12243</v>
      </c>
      <c r="AG6832" s="12" t="s">
        <v>81</v>
      </c>
      <c r="AH6832" s="1">
        <f>HYPERLINK("https://my.pitchbook.com?c=129303-01T","View Company Online")</f>
      </c>
    </row>
    <row r="6833">
      <c r="A6833" s="3" t="s">
        <v>30698</v>
      </c>
      <c r="B6833" s="3" t="s">
        <v>30699</v>
      </c>
      <c r="C6833" s="5" t="s">
        <v>36</v>
      </c>
      <c r="D6833" s="5" t="s">
        <v>36</v>
      </c>
      <c r="E6833" s="5">
        <v>2</v>
      </c>
      <c r="F6833" s="5">
        <v>3</v>
      </c>
      <c r="G6833" s="6" t="s">
        <v>36</v>
      </c>
      <c r="H6833" s="4">
        <v>14.48</v>
      </c>
      <c r="I6833" s="7">
        <v>29.27</v>
      </c>
      <c r="J6833" s="3" t="s">
        <v>521</v>
      </c>
      <c r="K6833" s="9" t="s">
        <v>36</v>
      </c>
      <c r="L6833" s="6" t="s">
        <v>36</v>
      </c>
      <c r="M6833" s="3" t="s">
        <v>36</v>
      </c>
      <c r="N6833" s="3" t="s">
        <v>36</v>
      </c>
      <c r="O6833" s="8" t="s">
        <v>36</v>
      </c>
      <c r="P6833" s="3" t="s">
        <v>36</v>
      </c>
      <c r="Q6833" s="3" t="s">
        <v>36</v>
      </c>
      <c r="R6833" s="3" t="s">
        <v>36</v>
      </c>
      <c r="S6833" s="3" t="s">
        <v>36</v>
      </c>
      <c r="T6833" s="3" t="s">
        <v>3850</v>
      </c>
      <c r="U6833" s="3" t="s">
        <v>1580</v>
      </c>
      <c r="V6833" s="3" t="s">
        <v>39</v>
      </c>
      <c r="W6833" s="3" t="s">
        <v>30700</v>
      </c>
      <c r="X6833" s="10" t="s">
        <v>30701</v>
      </c>
      <c r="Y6833" s="6" t="s">
        <v>42</v>
      </c>
      <c r="Z6833" s="4">
        <v>1.63</v>
      </c>
      <c r="AA6833" s="4">
        <v>5.57</v>
      </c>
      <c r="AB6833" s="3" t="s">
        <v>43</v>
      </c>
      <c r="AC6833" s="3" t="s">
        <v>30702</v>
      </c>
      <c r="AD6833" s="9">
        <v>42399</v>
      </c>
      <c r="AE6833" s="3" t="s">
        <v>3854</v>
      </c>
      <c r="AF6833" s="3" t="s">
        <v>10379</v>
      </c>
      <c r="AG6833" s="3" t="s">
        <v>7160</v>
      </c>
      <c r="AH6833" s="11">
        <f>HYPERLINK("https://my.pitchbook.com?c=73170-01T","View Company Online")</f>
      </c>
    </row>
    <row r="6834">
      <c r="A6834" s="12" t="s">
        <v>30703</v>
      </c>
      <c r="B6834" s="12" t="s">
        <v>7048</v>
      </c>
      <c r="C6834" s="19" t="s">
        <v>36</v>
      </c>
      <c r="D6834" s="19">
        <v>14</v>
      </c>
      <c r="E6834" s="19">
        <v>3</v>
      </c>
      <c r="F6834" s="19">
        <v>14</v>
      </c>
      <c r="G6834" s="15" t="s">
        <v>326</v>
      </c>
      <c r="H6834" s="14" t="s">
        <v>36</v>
      </c>
      <c r="I6834" s="18">
        <v>12.98</v>
      </c>
      <c r="J6834" s="12" t="s">
        <v>327</v>
      </c>
      <c r="K6834" s="13" t="s">
        <v>36</v>
      </c>
      <c r="L6834" s="15" t="s">
        <v>122</v>
      </c>
      <c r="M6834" s="12" t="s">
        <v>36</v>
      </c>
      <c r="N6834" s="12" t="s">
        <v>122</v>
      </c>
      <c r="O6834" s="17" t="s">
        <v>36</v>
      </c>
      <c r="P6834" s="12" t="s">
        <v>36</v>
      </c>
      <c r="Q6834" s="12" t="s">
        <v>36</v>
      </c>
      <c r="R6834" s="12" t="s">
        <v>36</v>
      </c>
      <c r="S6834" s="12" t="s">
        <v>7049</v>
      </c>
      <c r="T6834" s="12" t="s">
        <v>7050</v>
      </c>
      <c r="U6834" s="12" t="s">
        <v>833</v>
      </c>
      <c r="V6834" s="12" t="s">
        <v>64</v>
      </c>
      <c r="W6834" s="12" t="s">
        <v>7051</v>
      </c>
      <c r="X6834" s="16" t="s">
        <v>30704</v>
      </c>
      <c r="Y6834" s="15" t="s">
        <v>108</v>
      </c>
      <c r="Z6834" s="14">
        <v>2.72</v>
      </c>
      <c r="AA6834" s="14">
        <v>20.93</v>
      </c>
      <c r="AB6834" s="12" t="s">
        <v>56</v>
      </c>
      <c r="AC6834" s="12" t="s">
        <v>7053</v>
      </c>
      <c r="AD6834" s="13">
        <v>42398</v>
      </c>
      <c r="AE6834" s="12" t="s">
        <v>1069</v>
      </c>
      <c r="AF6834" s="12" t="s">
        <v>7054</v>
      </c>
      <c r="AG6834" s="12" t="s">
        <v>1978</v>
      </c>
      <c r="AH6834" s="1">
        <f>HYPERLINK("https://my.pitchbook.com?c=72114-22T","View Company Online")</f>
      </c>
    </row>
    <row r="6835">
      <c r="A6835" s="3" t="s">
        <v>30705</v>
      </c>
      <c r="B6835" s="3" t="s">
        <v>21712</v>
      </c>
      <c r="C6835" s="5" t="s">
        <v>36</v>
      </c>
      <c r="D6835" s="5" t="s">
        <v>36</v>
      </c>
      <c r="E6835" s="5" t="s">
        <v>36</v>
      </c>
      <c r="F6835" s="5" t="s">
        <v>36</v>
      </c>
      <c r="G6835" s="6" t="s">
        <v>36</v>
      </c>
      <c r="H6835" s="4" t="s">
        <v>36</v>
      </c>
      <c r="I6835" s="7" t="s">
        <v>36</v>
      </c>
      <c r="J6835" s="3" t="s">
        <v>36</v>
      </c>
      <c r="K6835" s="9" t="s">
        <v>36</v>
      </c>
      <c r="L6835" s="6" t="s">
        <v>36</v>
      </c>
      <c r="M6835" s="3" t="s">
        <v>36</v>
      </c>
      <c r="N6835" s="3" t="s">
        <v>36</v>
      </c>
      <c r="O6835" s="8" t="s">
        <v>36</v>
      </c>
      <c r="P6835" s="3" t="s">
        <v>36</v>
      </c>
      <c r="Q6835" s="3" t="s">
        <v>36</v>
      </c>
      <c r="R6835" s="3" t="s">
        <v>36</v>
      </c>
      <c r="S6835" s="3" t="s">
        <v>36</v>
      </c>
      <c r="T6835" s="3" t="s">
        <v>522</v>
      </c>
      <c r="U6835" s="3" t="s">
        <v>38</v>
      </c>
      <c r="V6835" s="3" t="s">
        <v>39</v>
      </c>
      <c r="W6835" s="3" t="s">
        <v>21713</v>
      </c>
      <c r="X6835" s="10" t="s">
        <v>30706</v>
      </c>
      <c r="Y6835" s="6" t="s">
        <v>42</v>
      </c>
      <c r="Z6835" s="4">
        <v>0.54</v>
      </c>
      <c r="AA6835" s="4" t="s">
        <v>36</v>
      </c>
      <c r="AB6835" s="3" t="s">
        <v>43</v>
      </c>
      <c r="AC6835" s="3" t="s">
        <v>21715</v>
      </c>
      <c r="AD6835" s="9">
        <v>42398</v>
      </c>
      <c r="AE6835" s="3" t="s">
        <v>110</v>
      </c>
      <c r="AF6835" s="3" t="s">
        <v>3172</v>
      </c>
      <c r="AG6835" s="3" t="s">
        <v>652</v>
      </c>
      <c r="AH6835" s="11">
        <f>HYPERLINK("https://my.pitchbook.com?c=66321-55T","View Company Online")</f>
      </c>
    </row>
    <row r="6836">
      <c r="A6836" s="12" t="s">
        <v>30707</v>
      </c>
      <c r="B6836" s="12" t="s">
        <v>30708</v>
      </c>
      <c r="C6836" s="19" t="s">
        <v>36</v>
      </c>
      <c r="D6836" s="19" t="s">
        <v>36</v>
      </c>
      <c r="E6836" s="19" t="s">
        <v>36</v>
      </c>
      <c r="F6836" s="19" t="s">
        <v>36</v>
      </c>
      <c r="G6836" s="15" t="s">
        <v>326</v>
      </c>
      <c r="H6836" s="14">
        <v>259.64</v>
      </c>
      <c r="I6836" s="18">
        <v>3.23</v>
      </c>
      <c r="J6836" s="12" t="s">
        <v>521</v>
      </c>
      <c r="K6836" s="13" t="s">
        <v>36</v>
      </c>
      <c r="L6836" s="15" t="s">
        <v>36</v>
      </c>
      <c r="M6836" s="12" t="s">
        <v>36</v>
      </c>
      <c r="N6836" s="12" t="s">
        <v>36</v>
      </c>
      <c r="O6836" s="17" t="s">
        <v>36</v>
      </c>
      <c r="P6836" s="12" t="s">
        <v>36</v>
      </c>
      <c r="Q6836" s="12" t="s">
        <v>36</v>
      </c>
      <c r="R6836" s="12" t="s">
        <v>36</v>
      </c>
      <c r="S6836" s="12" t="s">
        <v>36</v>
      </c>
      <c r="T6836" s="12" t="s">
        <v>30709</v>
      </c>
      <c r="U6836" s="12" t="s">
        <v>2279</v>
      </c>
      <c r="V6836" s="12" t="s">
        <v>378</v>
      </c>
      <c r="W6836" s="12" t="s">
        <v>30710</v>
      </c>
      <c r="X6836" s="16" t="s">
        <v>30711</v>
      </c>
      <c r="Y6836" s="15" t="s">
        <v>108</v>
      </c>
      <c r="Z6836" s="14">
        <v>0.54</v>
      </c>
      <c r="AA6836" s="14">
        <v>16.85</v>
      </c>
      <c r="AB6836" s="12" t="s">
        <v>43</v>
      </c>
      <c r="AC6836" s="12" t="s">
        <v>30712</v>
      </c>
      <c r="AD6836" s="13">
        <v>42397</v>
      </c>
      <c r="AE6836" s="12" t="s">
        <v>30713</v>
      </c>
      <c r="AF6836" s="12" t="s">
        <v>7368</v>
      </c>
      <c r="AG6836" s="12" t="s">
        <v>81</v>
      </c>
      <c r="AH6836" s="1">
        <f>HYPERLINK("https://my.pitchbook.com?c=65477-89T","View Company Online")</f>
      </c>
    </row>
    <row r="6837">
      <c r="A6837" s="3" t="s">
        <v>30714</v>
      </c>
      <c r="B6837" s="3" t="s">
        <v>25382</v>
      </c>
      <c r="C6837" s="5" t="s">
        <v>36</v>
      </c>
      <c r="D6837" s="5" t="s">
        <v>36</v>
      </c>
      <c r="E6837" s="5" t="s">
        <v>36</v>
      </c>
      <c r="F6837" s="5" t="s">
        <v>36</v>
      </c>
      <c r="G6837" s="6" t="s">
        <v>36</v>
      </c>
      <c r="H6837" s="4">
        <v>8.31</v>
      </c>
      <c r="I6837" s="7">
        <v>38.14</v>
      </c>
      <c r="J6837" s="3" t="s">
        <v>521</v>
      </c>
      <c r="K6837" s="9" t="s">
        <v>36</v>
      </c>
      <c r="L6837" s="6" t="s">
        <v>36</v>
      </c>
      <c r="M6837" s="3" t="s">
        <v>36</v>
      </c>
      <c r="N6837" s="3" t="s">
        <v>36</v>
      </c>
      <c r="O6837" s="8" t="s">
        <v>36</v>
      </c>
      <c r="P6837" s="3" t="s">
        <v>36</v>
      </c>
      <c r="Q6837" s="3" t="s">
        <v>36</v>
      </c>
      <c r="R6837" s="3" t="s">
        <v>36</v>
      </c>
      <c r="S6837" s="3" t="s">
        <v>36</v>
      </c>
      <c r="T6837" s="3" t="s">
        <v>6299</v>
      </c>
      <c r="U6837" s="3" t="s">
        <v>728</v>
      </c>
      <c r="V6837" s="3" t="s">
        <v>64</v>
      </c>
      <c r="W6837" s="3" t="s">
        <v>25383</v>
      </c>
      <c r="X6837" s="10" t="s">
        <v>30024</v>
      </c>
      <c r="Y6837" s="6" t="s">
        <v>108</v>
      </c>
      <c r="Z6837" s="4">
        <v>2.98</v>
      </c>
      <c r="AA6837" s="4">
        <v>7.1</v>
      </c>
      <c r="AB6837" s="3" t="s">
        <v>56</v>
      </c>
      <c r="AC6837" s="3" t="s">
        <v>25385</v>
      </c>
      <c r="AD6837" s="9">
        <v>42397</v>
      </c>
      <c r="AE6837" s="3" t="s">
        <v>1600</v>
      </c>
      <c r="AF6837" s="3" t="s">
        <v>90</v>
      </c>
      <c r="AG6837" s="3" t="s">
        <v>81</v>
      </c>
      <c r="AH6837" s="11">
        <f>HYPERLINK("https://my.pitchbook.com?c=70708-51T","View Company Online")</f>
      </c>
    </row>
    <row r="6838">
      <c r="A6838" s="12" t="s">
        <v>30715</v>
      </c>
      <c r="B6838" s="12" t="s">
        <v>5364</v>
      </c>
      <c r="C6838" s="19">
        <v>20</v>
      </c>
      <c r="D6838" s="19">
        <v>106</v>
      </c>
      <c r="E6838" s="19">
        <v>18</v>
      </c>
      <c r="F6838" s="19">
        <v>132</v>
      </c>
      <c r="G6838" s="15" t="s">
        <v>36</v>
      </c>
      <c r="H6838" s="14">
        <v>138.03</v>
      </c>
      <c r="I6838" s="18">
        <v>62.58</v>
      </c>
      <c r="J6838" s="12" t="s">
        <v>521</v>
      </c>
      <c r="K6838" s="13" t="s">
        <v>36</v>
      </c>
      <c r="L6838" s="15" t="s">
        <v>122</v>
      </c>
      <c r="M6838" s="12" t="s">
        <v>36</v>
      </c>
      <c r="N6838" s="12" t="s">
        <v>122</v>
      </c>
      <c r="O6838" s="17" t="s">
        <v>36</v>
      </c>
      <c r="P6838" s="12" t="s">
        <v>36</v>
      </c>
      <c r="Q6838" s="12" t="s">
        <v>36</v>
      </c>
      <c r="R6838" s="12" t="s">
        <v>36</v>
      </c>
      <c r="S6838" s="12" t="s">
        <v>36</v>
      </c>
      <c r="T6838" s="12" t="s">
        <v>4225</v>
      </c>
      <c r="U6838" s="12" t="s">
        <v>96</v>
      </c>
      <c r="V6838" s="12" t="s">
        <v>52</v>
      </c>
      <c r="W6838" s="12" t="s">
        <v>5365</v>
      </c>
      <c r="X6838" s="16" t="s">
        <v>30716</v>
      </c>
      <c r="Y6838" s="15" t="s">
        <v>42</v>
      </c>
      <c r="Z6838" s="14">
        <v>6.97</v>
      </c>
      <c r="AA6838" s="14">
        <v>11.14</v>
      </c>
      <c r="AB6838" s="12" t="s">
        <v>56</v>
      </c>
      <c r="AC6838" s="12" t="s">
        <v>5366</v>
      </c>
      <c r="AD6838" s="13">
        <v>42397</v>
      </c>
      <c r="AE6838" s="12" t="s">
        <v>143</v>
      </c>
      <c r="AF6838" s="12" t="s">
        <v>159</v>
      </c>
      <c r="AG6838" s="12" t="s">
        <v>3406</v>
      </c>
      <c r="AH6838" s="1">
        <f>HYPERLINK("https://my.pitchbook.com?c=68000-68T","View Company Online")</f>
      </c>
    </row>
    <row r="6839">
      <c r="A6839" s="3" t="s">
        <v>30717</v>
      </c>
      <c r="B6839" s="3" t="s">
        <v>30718</v>
      </c>
      <c r="C6839" s="5" t="s">
        <v>36</v>
      </c>
      <c r="D6839" s="5" t="s">
        <v>36</v>
      </c>
      <c r="E6839" s="5" t="s">
        <v>36</v>
      </c>
      <c r="F6839" s="5" t="s">
        <v>36</v>
      </c>
      <c r="G6839" s="6" t="s">
        <v>326</v>
      </c>
      <c r="H6839" s="4">
        <v>12.96</v>
      </c>
      <c r="I6839" s="7">
        <v>35.89</v>
      </c>
      <c r="J6839" s="3" t="s">
        <v>521</v>
      </c>
      <c r="K6839" s="9" t="s">
        <v>36</v>
      </c>
      <c r="L6839" s="6" t="s">
        <v>94</v>
      </c>
      <c r="M6839" s="3" t="s">
        <v>36</v>
      </c>
      <c r="N6839" s="3" t="s">
        <v>94</v>
      </c>
      <c r="O6839" s="8" t="s">
        <v>36</v>
      </c>
      <c r="P6839" s="3" t="s">
        <v>36</v>
      </c>
      <c r="Q6839" s="3" t="s">
        <v>36</v>
      </c>
      <c r="R6839" s="3" t="s">
        <v>36</v>
      </c>
      <c r="S6839" s="3" t="s">
        <v>36</v>
      </c>
      <c r="T6839" s="3" t="s">
        <v>27816</v>
      </c>
      <c r="U6839" s="3" t="s">
        <v>38</v>
      </c>
      <c r="V6839" s="3" t="s">
        <v>39</v>
      </c>
      <c r="W6839" s="3" t="s">
        <v>30719</v>
      </c>
      <c r="X6839" s="10" t="s">
        <v>30720</v>
      </c>
      <c r="Y6839" s="6" t="s">
        <v>108</v>
      </c>
      <c r="Z6839" s="4">
        <v>1.63</v>
      </c>
      <c r="AA6839" s="4">
        <v>2.93</v>
      </c>
      <c r="AB6839" s="3" t="s">
        <v>43</v>
      </c>
      <c r="AC6839" s="3" t="s">
        <v>30721</v>
      </c>
      <c r="AD6839" s="9">
        <v>42395</v>
      </c>
      <c r="AE6839" s="3" t="s">
        <v>110</v>
      </c>
      <c r="AF6839" s="3" t="s">
        <v>13004</v>
      </c>
      <c r="AG6839" s="3" t="s">
        <v>81</v>
      </c>
      <c r="AH6839" s="11">
        <f>HYPERLINK("https://my.pitchbook.com?c=67482-64T","View Company Online")</f>
      </c>
    </row>
    <row r="6840">
      <c r="A6840" s="12" t="s">
        <v>30722</v>
      </c>
      <c r="B6840" s="12" t="s">
        <v>30723</v>
      </c>
      <c r="C6840" s="19" t="s">
        <v>36</v>
      </c>
      <c r="D6840" s="19" t="s">
        <v>36</v>
      </c>
      <c r="E6840" s="19">
        <v>1</v>
      </c>
      <c r="F6840" s="19">
        <v>1</v>
      </c>
      <c r="G6840" s="15" t="s">
        <v>36</v>
      </c>
      <c r="H6840" s="14">
        <v>186.94</v>
      </c>
      <c r="I6840" s="18">
        <v>33.82</v>
      </c>
      <c r="J6840" s="12" t="s">
        <v>521</v>
      </c>
      <c r="K6840" s="13">
        <v>42296</v>
      </c>
      <c r="L6840" s="15" t="s">
        <v>36</v>
      </c>
      <c r="M6840" s="12" t="s">
        <v>36</v>
      </c>
      <c r="N6840" s="12" t="s">
        <v>36</v>
      </c>
      <c r="O6840" s="17" t="s">
        <v>36</v>
      </c>
      <c r="P6840" s="12" t="s">
        <v>36</v>
      </c>
      <c r="Q6840" s="12" t="s">
        <v>36</v>
      </c>
      <c r="R6840" s="12" t="s">
        <v>36</v>
      </c>
      <c r="S6840" s="12" t="s">
        <v>36</v>
      </c>
      <c r="T6840" s="12" t="s">
        <v>30724</v>
      </c>
      <c r="U6840" s="12" t="s">
        <v>38</v>
      </c>
      <c r="V6840" s="12" t="s">
        <v>39</v>
      </c>
      <c r="W6840" s="12" t="s">
        <v>30725</v>
      </c>
      <c r="X6840" s="16" t="s">
        <v>30726</v>
      </c>
      <c r="Y6840" s="15" t="s">
        <v>42</v>
      </c>
      <c r="Z6840" s="14">
        <v>2.5</v>
      </c>
      <c r="AA6840" s="14">
        <v>7.39</v>
      </c>
      <c r="AB6840" s="12" t="s">
        <v>43</v>
      </c>
      <c r="AC6840" s="12" t="s">
        <v>30727</v>
      </c>
      <c r="AD6840" s="13">
        <v>42394</v>
      </c>
      <c r="AE6840" s="12" t="s">
        <v>110</v>
      </c>
      <c r="AF6840" s="12" t="s">
        <v>30728</v>
      </c>
      <c r="AG6840" s="12" t="s">
        <v>81</v>
      </c>
      <c r="AH6840" s="1">
        <f>HYPERLINK("https://my.pitchbook.com?c=70519-78T","View Company Online")</f>
      </c>
    </row>
    <row r="6841">
      <c r="A6841" s="3" t="s">
        <v>30729</v>
      </c>
      <c r="B6841" s="3" t="s">
        <v>30730</v>
      </c>
      <c r="C6841" s="5" t="s">
        <v>36</v>
      </c>
      <c r="D6841" s="5" t="s">
        <v>36</v>
      </c>
      <c r="E6841" s="5" t="s">
        <v>36</v>
      </c>
      <c r="F6841" s="5" t="s">
        <v>36</v>
      </c>
      <c r="G6841" s="6" t="s">
        <v>36</v>
      </c>
      <c r="H6841" s="4" t="s">
        <v>36</v>
      </c>
      <c r="I6841" s="7" t="s">
        <v>36</v>
      </c>
      <c r="J6841" s="3" t="s">
        <v>36</v>
      </c>
      <c r="K6841" s="9" t="s">
        <v>36</v>
      </c>
      <c r="L6841" s="6" t="s">
        <v>36</v>
      </c>
      <c r="M6841" s="3" t="s">
        <v>36</v>
      </c>
      <c r="N6841" s="3" t="s">
        <v>36</v>
      </c>
      <c r="O6841" s="8" t="s">
        <v>36</v>
      </c>
      <c r="P6841" s="3" t="s">
        <v>36</v>
      </c>
      <c r="Q6841" s="3" t="s">
        <v>36</v>
      </c>
      <c r="R6841" s="3" t="s">
        <v>36</v>
      </c>
      <c r="S6841" s="3" t="s">
        <v>36</v>
      </c>
      <c r="T6841" s="3" t="s">
        <v>105</v>
      </c>
      <c r="U6841" s="3" t="s">
        <v>38</v>
      </c>
      <c r="V6841" s="3" t="s">
        <v>39</v>
      </c>
      <c r="W6841" s="3" t="s">
        <v>30731</v>
      </c>
      <c r="X6841" s="10" t="s">
        <v>30732</v>
      </c>
      <c r="Y6841" s="6" t="s">
        <v>55</v>
      </c>
      <c r="Z6841" s="4">
        <v>2.17</v>
      </c>
      <c r="AA6841" s="4" t="s">
        <v>36</v>
      </c>
      <c r="AB6841" s="3" t="s">
        <v>56</v>
      </c>
      <c r="AC6841" s="3" t="s">
        <v>30733</v>
      </c>
      <c r="AD6841" s="9">
        <v>42394</v>
      </c>
      <c r="AE6841" s="3" t="s">
        <v>110</v>
      </c>
      <c r="AF6841" s="3" t="s">
        <v>1636</v>
      </c>
      <c r="AG6841" s="3" t="s">
        <v>81</v>
      </c>
      <c r="AH6841" s="11">
        <f>HYPERLINK("https://my.pitchbook.com?c=82872-01T","View Company Online")</f>
      </c>
    </row>
    <row r="6842">
      <c r="A6842" s="12" t="s">
        <v>30734</v>
      </c>
      <c r="B6842" s="12" t="s">
        <v>8643</v>
      </c>
      <c r="C6842" s="19" t="s">
        <v>36</v>
      </c>
      <c r="D6842" s="19" t="s">
        <v>36</v>
      </c>
      <c r="E6842" s="19" t="s">
        <v>36</v>
      </c>
      <c r="F6842" s="19" t="s">
        <v>36</v>
      </c>
      <c r="G6842" s="15" t="s">
        <v>36</v>
      </c>
      <c r="H6842" s="14" t="s">
        <v>36</v>
      </c>
      <c r="I6842" s="18">
        <v>42.08</v>
      </c>
      <c r="J6842" s="12" t="s">
        <v>327</v>
      </c>
      <c r="K6842" s="13" t="s">
        <v>36</v>
      </c>
      <c r="L6842" s="15" t="s">
        <v>36</v>
      </c>
      <c r="M6842" s="12" t="s">
        <v>36</v>
      </c>
      <c r="N6842" s="12" t="s">
        <v>36</v>
      </c>
      <c r="O6842" s="17" t="s">
        <v>36</v>
      </c>
      <c r="P6842" s="12" t="s">
        <v>36</v>
      </c>
      <c r="Q6842" s="12" t="s">
        <v>36</v>
      </c>
      <c r="R6842" s="12" t="s">
        <v>36</v>
      </c>
      <c r="S6842" s="12" t="s">
        <v>36</v>
      </c>
      <c r="T6842" s="12" t="s">
        <v>37</v>
      </c>
      <c r="U6842" s="12" t="s">
        <v>38</v>
      </c>
      <c r="V6842" s="12" t="s">
        <v>39</v>
      </c>
      <c r="W6842" s="12" t="s">
        <v>8644</v>
      </c>
      <c r="X6842" s="16" t="s">
        <v>30735</v>
      </c>
      <c r="Y6842" s="15" t="s">
        <v>108</v>
      </c>
      <c r="Z6842" s="14">
        <v>0.7</v>
      </c>
      <c r="AA6842" s="14">
        <v>1.65</v>
      </c>
      <c r="AB6842" s="12" t="s">
        <v>43</v>
      </c>
      <c r="AC6842" s="12" t="s">
        <v>8646</v>
      </c>
      <c r="AD6842" s="13">
        <v>42394</v>
      </c>
      <c r="AE6842" s="12" t="s">
        <v>45</v>
      </c>
      <c r="AF6842" s="12" t="s">
        <v>5901</v>
      </c>
      <c r="AG6842" s="12" t="s">
        <v>4796</v>
      </c>
      <c r="AH6842" s="1">
        <f>HYPERLINK("https://my.pitchbook.com?c=89701-57T","View Company Online")</f>
      </c>
    </row>
    <row r="6843">
      <c r="A6843" s="3" t="s">
        <v>30736</v>
      </c>
      <c r="B6843" s="3" t="s">
        <v>24779</v>
      </c>
      <c r="C6843" s="5" t="s">
        <v>36</v>
      </c>
      <c r="D6843" s="5" t="s">
        <v>36</v>
      </c>
      <c r="E6843" s="5" t="s">
        <v>36</v>
      </c>
      <c r="F6843" s="5" t="s">
        <v>36</v>
      </c>
      <c r="G6843" s="6" t="s">
        <v>36</v>
      </c>
      <c r="H6843" s="4">
        <v>1.51</v>
      </c>
      <c r="I6843" s="7">
        <v>27.54</v>
      </c>
      <c r="J6843" s="3" t="s">
        <v>521</v>
      </c>
      <c r="K6843" s="9" t="s">
        <v>36</v>
      </c>
      <c r="L6843" s="6" t="s">
        <v>36</v>
      </c>
      <c r="M6843" s="3" t="s">
        <v>36</v>
      </c>
      <c r="N6843" s="3" t="s">
        <v>36</v>
      </c>
      <c r="O6843" s="8" t="s">
        <v>36</v>
      </c>
      <c r="P6843" s="3" t="s">
        <v>36</v>
      </c>
      <c r="Q6843" s="3" t="s">
        <v>36</v>
      </c>
      <c r="R6843" s="3" t="s">
        <v>36</v>
      </c>
      <c r="S6843" s="3" t="s">
        <v>36</v>
      </c>
      <c r="T6843" s="3" t="s">
        <v>8394</v>
      </c>
      <c r="U6843" s="3" t="s">
        <v>85</v>
      </c>
      <c r="V6843" s="3" t="s">
        <v>64</v>
      </c>
      <c r="W6843" s="3" t="s">
        <v>24780</v>
      </c>
      <c r="X6843" s="10" t="s">
        <v>30737</v>
      </c>
      <c r="Y6843" s="6" t="s">
        <v>108</v>
      </c>
      <c r="Z6843" s="4">
        <v>0.71</v>
      </c>
      <c r="AA6843" s="4">
        <v>1.58</v>
      </c>
      <c r="AB6843" s="3" t="s">
        <v>43</v>
      </c>
      <c r="AC6843" s="3" t="s">
        <v>24781</v>
      </c>
      <c r="AD6843" s="9">
        <v>42391</v>
      </c>
      <c r="AE6843" s="3" t="s">
        <v>89</v>
      </c>
      <c r="AF6843" s="3" t="s">
        <v>5398</v>
      </c>
      <c r="AG6843" s="3" t="s">
        <v>24782</v>
      </c>
      <c r="AH6843" s="11">
        <f>HYPERLINK("https://my.pitchbook.com?c=117595-72T","View Company Online")</f>
      </c>
    </row>
    <row r="6844">
      <c r="A6844" s="12" t="s">
        <v>30738</v>
      </c>
      <c r="B6844" s="12" t="s">
        <v>30739</v>
      </c>
      <c r="C6844" s="19" t="s">
        <v>36</v>
      </c>
      <c r="D6844" s="19" t="s">
        <v>36</v>
      </c>
      <c r="E6844" s="19" t="s">
        <v>36</v>
      </c>
      <c r="F6844" s="19" t="s">
        <v>36</v>
      </c>
      <c r="G6844" s="15" t="s">
        <v>36</v>
      </c>
      <c r="H6844" s="14" t="s">
        <v>36</v>
      </c>
      <c r="I6844" s="18" t="s">
        <v>36</v>
      </c>
      <c r="J6844" s="12" t="s">
        <v>36</v>
      </c>
      <c r="K6844" s="13" t="s">
        <v>36</v>
      </c>
      <c r="L6844" s="15" t="s">
        <v>36</v>
      </c>
      <c r="M6844" s="12" t="s">
        <v>36</v>
      </c>
      <c r="N6844" s="12" t="s">
        <v>36</v>
      </c>
      <c r="O6844" s="17" t="s">
        <v>36</v>
      </c>
      <c r="P6844" s="12" t="s">
        <v>36</v>
      </c>
      <c r="Q6844" s="12" t="s">
        <v>36</v>
      </c>
      <c r="R6844" s="12" t="s">
        <v>36</v>
      </c>
      <c r="S6844" s="12" t="s">
        <v>36</v>
      </c>
      <c r="T6844" s="12" t="s">
        <v>7057</v>
      </c>
      <c r="U6844" s="12" t="s">
        <v>74</v>
      </c>
      <c r="V6844" s="12" t="s">
        <v>75</v>
      </c>
      <c r="W6844" s="12" t="s">
        <v>30740</v>
      </c>
      <c r="X6844" s="16" t="s">
        <v>30741</v>
      </c>
      <c r="Y6844" s="15" t="s">
        <v>108</v>
      </c>
      <c r="Z6844" s="14">
        <v>0.65</v>
      </c>
      <c r="AA6844" s="14" t="s">
        <v>36</v>
      </c>
      <c r="AB6844" s="12" t="s">
        <v>56</v>
      </c>
      <c r="AC6844" s="12" t="s">
        <v>30742</v>
      </c>
      <c r="AD6844" s="13">
        <v>42390</v>
      </c>
      <c r="AE6844" s="12" t="s">
        <v>1243</v>
      </c>
      <c r="AF6844" s="12" t="s">
        <v>546</v>
      </c>
      <c r="AG6844" s="12" t="s">
        <v>81</v>
      </c>
      <c r="AH6844" s="1">
        <f>HYPERLINK("https://my.pitchbook.com?c=65142-64T","View Company Online")</f>
      </c>
    </row>
    <row r="6845">
      <c r="A6845" s="3" t="s">
        <v>30743</v>
      </c>
      <c r="B6845" s="3" t="s">
        <v>22529</v>
      </c>
      <c r="C6845" s="5" t="s">
        <v>36</v>
      </c>
      <c r="D6845" s="5" t="s">
        <v>36</v>
      </c>
      <c r="E6845" s="5" t="s">
        <v>36</v>
      </c>
      <c r="F6845" s="5" t="s">
        <v>36</v>
      </c>
      <c r="G6845" s="6" t="s">
        <v>326</v>
      </c>
      <c r="H6845" s="4" t="s">
        <v>36</v>
      </c>
      <c r="I6845" s="7">
        <v>27.46</v>
      </c>
      <c r="J6845" s="3" t="s">
        <v>327</v>
      </c>
      <c r="K6845" s="9" t="s">
        <v>36</v>
      </c>
      <c r="L6845" s="6" t="s">
        <v>122</v>
      </c>
      <c r="M6845" s="3" t="s">
        <v>36</v>
      </c>
      <c r="N6845" s="3" t="s">
        <v>122</v>
      </c>
      <c r="O6845" s="8" t="s">
        <v>36</v>
      </c>
      <c r="P6845" s="3" t="s">
        <v>36</v>
      </c>
      <c r="Q6845" s="3" t="s">
        <v>36</v>
      </c>
      <c r="R6845" s="3" t="s">
        <v>36</v>
      </c>
      <c r="S6845" s="3" t="s">
        <v>36</v>
      </c>
      <c r="T6845" s="3" t="s">
        <v>22530</v>
      </c>
      <c r="U6845" s="3" t="s">
        <v>38</v>
      </c>
      <c r="V6845" s="3" t="s">
        <v>39</v>
      </c>
      <c r="W6845" s="3" t="s">
        <v>22531</v>
      </c>
      <c r="X6845" s="10" t="s">
        <v>30744</v>
      </c>
      <c r="Y6845" s="6" t="s">
        <v>42</v>
      </c>
      <c r="Z6845" s="4">
        <v>1.09</v>
      </c>
      <c r="AA6845" s="4">
        <v>3.97</v>
      </c>
      <c r="AB6845" s="3" t="s">
        <v>43</v>
      </c>
      <c r="AC6845" s="3" t="s">
        <v>22533</v>
      </c>
      <c r="AD6845" s="9">
        <v>42390</v>
      </c>
      <c r="AE6845" s="3" t="s">
        <v>339</v>
      </c>
      <c r="AF6845" s="3" t="s">
        <v>2350</v>
      </c>
      <c r="AG6845" s="3" t="s">
        <v>81</v>
      </c>
      <c r="AH6845" s="11">
        <f>HYPERLINK("https://my.pitchbook.com?c=82138-51T","View Company Online")</f>
      </c>
    </row>
    <row r="6846">
      <c r="A6846" s="12" t="s">
        <v>30745</v>
      </c>
      <c r="B6846" s="12" t="s">
        <v>30746</v>
      </c>
      <c r="C6846" s="19" t="s">
        <v>36</v>
      </c>
      <c r="D6846" s="19" t="s">
        <v>36</v>
      </c>
      <c r="E6846" s="19" t="s">
        <v>36</v>
      </c>
      <c r="F6846" s="19" t="s">
        <v>36</v>
      </c>
      <c r="G6846" s="15" t="s">
        <v>36</v>
      </c>
      <c r="H6846" s="14">
        <v>27.7</v>
      </c>
      <c r="I6846" s="18">
        <v>36.09</v>
      </c>
      <c r="J6846" s="12" t="s">
        <v>521</v>
      </c>
      <c r="K6846" s="13" t="s">
        <v>36</v>
      </c>
      <c r="L6846" s="15" t="s">
        <v>36</v>
      </c>
      <c r="M6846" s="12" t="s">
        <v>36</v>
      </c>
      <c r="N6846" s="12" t="s">
        <v>36</v>
      </c>
      <c r="O6846" s="17" t="s">
        <v>36</v>
      </c>
      <c r="P6846" s="12" t="s">
        <v>36</v>
      </c>
      <c r="Q6846" s="12" t="s">
        <v>36</v>
      </c>
      <c r="R6846" s="12" t="s">
        <v>36</v>
      </c>
      <c r="S6846" s="12" t="s">
        <v>36</v>
      </c>
      <c r="T6846" s="12" t="s">
        <v>3754</v>
      </c>
      <c r="U6846" s="12" t="s">
        <v>1357</v>
      </c>
      <c r="V6846" s="12" t="s">
        <v>52</v>
      </c>
      <c r="W6846" s="12" t="s">
        <v>30747</v>
      </c>
      <c r="X6846" s="16" t="s">
        <v>30748</v>
      </c>
      <c r="Y6846" s="15" t="s">
        <v>42</v>
      </c>
      <c r="Z6846" s="14">
        <v>1.31</v>
      </c>
      <c r="AA6846" s="14">
        <v>3.62</v>
      </c>
      <c r="AB6846" s="12" t="s">
        <v>43</v>
      </c>
      <c r="AC6846" s="12" t="s">
        <v>30749</v>
      </c>
      <c r="AD6846" s="13">
        <v>42390</v>
      </c>
      <c r="AE6846" s="12" t="s">
        <v>3204</v>
      </c>
      <c r="AF6846" s="12" t="s">
        <v>1636</v>
      </c>
      <c r="AG6846" s="12" t="s">
        <v>1570</v>
      </c>
      <c r="AH6846" s="1">
        <f>HYPERLINK("https://my.pitchbook.com?c=65215-18T","View Company Online")</f>
      </c>
    </row>
    <row r="6847">
      <c r="A6847" s="3" t="s">
        <v>30750</v>
      </c>
      <c r="B6847" s="3" t="s">
        <v>30751</v>
      </c>
      <c r="C6847" s="5">
        <v>1</v>
      </c>
      <c r="D6847" s="5">
        <v>4</v>
      </c>
      <c r="E6847" s="5">
        <v>5</v>
      </c>
      <c r="F6847" s="5">
        <v>8</v>
      </c>
      <c r="G6847" s="6" t="s">
        <v>36</v>
      </c>
      <c r="H6847" s="4">
        <v>6830.88</v>
      </c>
      <c r="I6847" s="7">
        <v>6.08</v>
      </c>
      <c r="J6847" s="3" t="s">
        <v>521</v>
      </c>
      <c r="K6847" s="9">
        <v>42380</v>
      </c>
      <c r="L6847" s="6" t="s">
        <v>36</v>
      </c>
      <c r="M6847" s="3" t="s">
        <v>36</v>
      </c>
      <c r="N6847" s="3" t="s">
        <v>36</v>
      </c>
      <c r="O6847" s="8" t="s">
        <v>36</v>
      </c>
      <c r="P6847" s="3" t="s">
        <v>36</v>
      </c>
      <c r="Q6847" s="3" t="s">
        <v>36</v>
      </c>
      <c r="R6847" s="3" t="s">
        <v>36</v>
      </c>
      <c r="S6847" s="3" t="s">
        <v>36</v>
      </c>
      <c r="T6847" s="3" t="s">
        <v>2910</v>
      </c>
      <c r="U6847" s="3" t="s">
        <v>219</v>
      </c>
      <c r="V6847" s="3" t="s">
        <v>75</v>
      </c>
      <c r="W6847" s="3" t="s">
        <v>30752</v>
      </c>
      <c r="X6847" s="10" t="s">
        <v>30753</v>
      </c>
      <c r="Y6847" s="6" t="s">
        <v>42</v>
      </c>
      <c r="Z6847" s="4">
        <v>3.27</v>
      </c>
      <c r="AA6847" s="4">
        <v>53.74</v>
      </c>
      <c r="AB6847" s="3" t="s">
        <v>56</v>
      </c>
      <c r="AC6847" s="3" t="s">
        <v>30754</v>
      </c>
      <c r="AD6847" s="9">
        <v>42390</v>
      </c>
      <c r="AE6847" s="3" t="s">
        <v>2914</v>
      </c>
      <c r="AF6847" s="3" t="s">
        <v>30755</v>
      </c>
      <c r="AG6847" s="3" t="s">
        <v>30756</v>
      </c>
      <c r="AH6847" s="11">
        <f>HYPERLINK("https://my.pitchbook.com?c=81174-07T","View Company Online")</f>
      </c>
    </row>
    <row r="6848">
      <c r="A6848" s="12" t="s">
        <v>30757</v>
      </c>
      <c r="B6848" s="12" t="s">
        <v>15538</v>
      </c>
      <c r="C6848" s="19" t="s">
        <v>36</v>
      </c>
      <c r="D6848" s="19" t="s">
        <v>36</v>
      </c>
      <c r="E6848" s="19" t="s">
        <v>36</v>
      </c>
      <c r="F6848" s="19" t="s">
        <v>36</v>
      </c>
      <c r="G6848" s="15" t="s">
        <v>36</v>
      </c>
      <c r="H6848" s="14">
        <v>348.75</v>
      </c>
      <c r="I6848" s="18">
        <v>44.05</v>
      </c>
      <c r="J6848" s="12" t="s">
        <v>521</v>
      </c>
      <c r="K6848" s="13">
        <v>42383</v>
      </c>
      <c r="L6848" s="15" t="s">
        <v>122</v>
      </c>
      <c r="M6848" s="12" t="s">
        <v>36</v>
      </c>
      <c r="N6848" s="12" t="s">
        <v>122</v>
      </c>
      <c r="O6848" s="17" t="s">
        <v>36</v>
      </c>
      <c r="P6848" s="12" t="s">
        <v>36</v>
      </c>
      <c r="Q6848" s="12" t="s">
        <v>36</v>
      </c>
      <c r="R6848" s="12" t="s">
        <v>36</v>
      </c>
      <c r="S6848" s="12" t="s">
        <v>36</v>
      </c>
      <c r="T6848" s="12" t="s">
        <v>522</v>
      </c>
      <c r="U6848" s="12" t="s">
        <v>38</v>
      </c>
      <c r="V6848" s="12" t="s">
        <v>39</v>
      </c>
      <c r="W6848" s="12" t="s">
        <v>15539</v>
      </c>
      <c r="X6848" s="16" t="s">
        <v>30758</v>
      </c>
      <c r="Y6848" s="15" t="s">
        <v>42</v>
      </c>
      <c r="Z6848" s="14">
        <v>7.2</v>
      </c>
      <c r="AA6848" s="14">
        <v>16.35</v>
      </c>
      <c r="AB6848" s="12" t="s">
        <v>56</v>
      </c>
      <c r="AC6848" s="12" t="s">
        <v>15541</v>
      </c>
      <c r="AD6848" s="13">
        <v>42389</v>
      </c>
      <c r="AE6848" s="12" t="s">
        <v>110</v>
      </c>
      <c r="AF6848" s="12" t="s">
        <v>176</v>
      </c>
      <c r="AG6848" s="12" t="s">
        <v>81</v>
      </c>
      <c r="AH6848" s="1">
        <f>HYPERLINK("https://my.pitchbook.com?c=65035-99T","View Company Online")</f>
      </c>
    </row>
    <row r="6849">
      <c r="A6849" s="3" t="s">
        <v>30759</v>
      </c>
      <c r="B6849" s="3" t="s">
        <v>30760</v>
      </c>
      <c r="C6849" s="5">
        <v>2</v>
      </c>
      <c r="D6849" s="5">
        <v>2</v>
      </c>
      <c r="E6849" s="5">
        <v>1</v>
      </c>
      <c r="F6849" s="5">
        <v>4</v>
      </c>
      <c r="G6849" s="6" t="s">
        <v>36</v>
      </c>
      <c r="H6849" s="4" t="s">
        <v>36</v>
      </c>
      <c r="I6849" s="7" t="s">
        <v>36</v>
      </c>
      <c r="J6849" s="3" t="s">
        <v>36</v>
      </c>
      <c r="K6849" s="9" t="s">
        <v>36</v>
      </c>
      <c r="L6849" s="6" t="s">
        <v>12462</v>
      </c>
      <c r="M6849" s="3" t="s">
        <v>36</v>
      </c>
      <c r="N6849" s="3" t="s">
        <v>12462</v>
      </c>
      <c r="O6849" s="8" t="s">
        <v>36</v>
      </c>
      <c r="P6849" s="3" t="s">
        <v>36</v>
      </c>
      <c r="Q6849" s="3" t="s">
        <v>36</v>
      </c>
      <c r="R6849" s="3" t="s">
        <v>36</v>
      </c>
      <c r="S6849" s="3" t="s">
        <v>36</v>
      </c>
      <c r="T6849" s="3" t="s">
        <v>550</v>
      </c>
      <c r="U6849" s="3" t="s">
        <v>38</v>
      </c>
      <c r="V6849" s="3" t="s">
        <v>39</v>
      </c>
      <c r="W6849" s="3" t="s">
        <v>30761</v>
      </c>
      <c r="X6849" s="10" t="s">
        <v>30762</v>
      </c>
      <c r="Y6849" s="6" t="s">
        <v>1120</v>
      </c>
      <c r="Z6849" s="4">
        <v>108.95</v>
      </c>
      <c r="AA6849" s="4" t="s">
        <v>36</v>
      </c>
      <c r="AB6849" s="3" t="s">
        <v>56</v>
      </c>
      <c r="AC6849" s="3" t="s">
        <v>30763</v>
      </c>
      <c r="AD6849" s="9">
        <v>42389</v>
      </c>
      <c r="AE6849" s="3" t="s">
        <v>554</v>
      </c>
      <c r="AF6849" s="3" t="s">
        <v>18230</v>
      </c>
      <c r="AG6849" s="3" t="s">
        <v>81</v>
      </c>
      <c r="AH6849" s="11">
        <f>HYPERLINK("https://my.pitchbook.com?c=64933-57T","View Company Online")</f>
      </c>
    </row>
    <row r="6850">
      <c r="A6850" s="12" t="s">
        <v>30764</v>
      </c>
      <c r="B6850" s="12" t="s">
        <v>30765</v>
      </c>
      <c r="C6850" s="19" t="s">
        <v>36</v>
      </c>
      <c r="D6850" s="19" t="s">
        <v>36</v>
      </c>
      <c r="E6850" s="19" t="s">
        <v>36</v>
      </c>
      <c r="F6850" s="19" t="s">
        <v>36</v>
      </c>
      <c r="G6850" s="15" t="s">
        <v>326</v>
      </c>
      <c r="H6850" s="14" t="s">
        <v>36</v>
      </c>
      <c r="I6850" s="18">
        <v>9.5</v>
      </c>
      <c r="J6850" s="12" t="s">
        <v>327</v>
      </c>
      <c r="K6850" s="13" t="s">
        <v>36</v>
      </c>
      <c r="L6850" s="15" t="s">
        <v>36</v>
      </c>
      <c r="M6850" s="12" t="s">
        <v>36</v>
      </c>
      <c r="N6850" s="12" t="s">
        <v>36</v>
      </c>
      <c r="O6850" s="17" t="s">
        <v>36</v>
      </c>
      <c r="P6850" s="12" t="s">
        <v>36</v>
      </c>
      <c r="Q6850" s="12" t="s">
        <v>36</v>
      </c>
      <c r="R6850" s="12" t="s">
        <v>36</v>
      </c>
      <c r="S6850" s="12" t="s">
        <v>36</v>
      </c>
      <c r="T6850" s="12" t="s">
        <v>30766</v>
      </c>
      <c r="U6850" s="12" t="s">
        <v>289</v>
      </c>
      <c r="V6850" s="12" t="s">
        <v>64</v>
      </c>
      <c r="W6850" s="12" t="s">
        <v>30767</v>
      </c>
      <c r="X6850" s="16" t="s">
        <v>30768</v>
      </c>
      <c r="Y6850" s="15" t="s">
        <v>108</v>
      </c>
      <c r="Z6850" s="14">
        <v>0.54</v>
      </c>
      <c r="AA6850" s="14">
        <v>5.73</v>
      </c>
      <c r="AB6850" s="12" t="s">
        <v>56</v>
      </c>
      <c r="AC6850" s="12" t="s">
        <v>30769</v>
      </c>
      <c r="AD6850" s="13">
        <v>42387</v>
      </c>
      <c r="AE6850" s="12" t="s">
        <v>292</v>
      </c>
      <c r="AF6850" s="12" t="s">
        <v>90</v>
      </c>
      <c r="AG6850" s="12" t="s">
        <v>2534</v>
      </c>
      <c r="AH6850" s="1">
        <f>HYPERLINK("https://my.pitchbook.com?c=212864-05T","View Company Online")</f>
      </c>
    </row>
    <row r="6851">
      <c r="A6851" s="3" t="s">
        <v>30770</v>
      </c>
      <c r="B6851" s="3" t="s">
        <v>30771</v>
      </c>
      <c r="C6851" s="5" t="s">
        <v>36</v>
      </c>
      <c r="D6851" s="5" t="s">
        <v>36</v>
      </c>
      <c r="E6851" s="5" t="s">
        <v>36</v>
      </c>
      <c r="F6851" s="5" t="s">
        <v>36</v>
      </c>
      <c r="G6851" s="6" t="s">
        <v>36</v>
      </c>
      <c r="H6851" s="4" t="s">
        <v>36</v>
      </c>
      <c r="I6851" s="7" t="s">
        <v>36</v>
      </c>
      <c r="J6851" s="3" t="s">
        <v>36</v>
      </c>
      <c r="K6851" s="9" t="s">
        <v>36</v>
      </c>
      <c r="L6851" s="6" t="s">
        <v>36</v>
      </c>
      <c r="M6851" s="3" t="s">
        <v>36</v>
      </c>
      <c r="N6851" s="3" t="s">
        <v>36</v>
      </c>
      <c r="O6851" s="8" t="s">
        <v>36</v>
      </c>
      <c r="P6851" s="3" t="s">
        <v>36</v>
      </c>
      <c r="Q6851" s="3" t="s">
        <v>36</v>
      </c>
      <c r="R6851" s="3" t="s">
        <v>36</v>
      </c>
      <c r="S6851" s="3" t="s">
        <v>36</v>
      </c>
      <c r="T6851" s="3" t="s">
        <v>20823</v>
      </c>
      <c r="U6851" s="3" t="s">
        <v>63</v>
      </c>
      <c r="V6851" s="3" t="s">
        <v>64</v>
      </c>
      <c r="W6851" s="3" t="s">
        <v>30772</v>
      </c>
      <c r="X6851" s="10" t="s">
        <v>5661</v>
      </c>
      <c r="Y6851" s="6" t="s">
        <v>42</v>
      </c>
      <c r="Z6851" s="4" t="s">
        <v>36</v>
      </c>
      <c r="AA6851" s="4" t="s">
        <v>36</v>
      </c>
      <c r="AB6851" s="3" t="s">
        <v>43</v>
      </c>
      <c r="AC6851" s="3" t="s">
        <v>30773</v>
      </c>
      <c r="AD6851" s="9">
        <v>42385</v>
      </c>
      <c r="AE6851" s="3" t="s">
        <v>4310</v>
      </c>
      <c r="AF6851" s="3" t="s">
        <v>36</v>
      </c>
      <c r="AG6851" s="3" t="s">
        <v>1823</v>
      </c>
      <c r="AH6851" s="11">
        <f>HYPERLINK("https://my.pitchbook.com?c=120494-98T","View Company Online")</f>
      </c>
    </row>
    <row r="6852">
      <c r="A6852" s="12" t="s">
        <v>30774</v>
      </c>
      <c r="B6852" s="12" t="s">
        <v>25233</v>
      </c>
      <c r="C6852" s="19" t="s">
        <v>36</v>
      </c>
      <c r="D6852" s="19" t="s">
        <v>36</v>
      </c>
      <c r="E6852" s="19" t="s">
        <v>36</v>
      </c>
      <c r="F6852" s="19" t="s">
        <v>36</v>
      </c>
      <c r="G6852" s="15" t="s">
        <v>36</v>
      </c>
      <c r="H6852" s="14">
        <v>218.64</v>
      </c>
      <c r="I6852" s="18">
        <v>23.38</v>
      </c>
      <c r="J6852" s="12" t="s">
        <v>521</v>
      </c>
      <c r="K6852" s="13">
        <v>42380</v>
      </c>
      <c r="L6852" s="15" t="s">
        <v>36</v>
      </c>
      <c r="M6852" s="12" t="s">
        <v>36</v>
      </c>
      <c r="N6852" s="12" t="s">
        <v>36</v>
      </c>
      <c r="O6852" s="17" t="s">
        <v>36</v>
      </c>
      <c r="P6852" s="12" t="s">
        <v>36</v>
      </c>
      <c r="Q6852" s="12" t="s">
        <v>36</v>
      </c>
      <c r="R6852" s="12" t="s">
        <v>36</v>
      </c>
      <c r="S6852" s="12" t="s">
        <v>36</v>
      </c>
      <c r="T6852" s="12" t="s">
        <v>25234</v>
      </c>
      <c r="U6852" s="12" t="s">
        <v>38</v>
      </c>
      <c r="V6852" s="12" t="s">
        <v>39</v>
      </c>
      <c r="W6852" s="12" t="s">
        <v>25235</v>
      </c>
      <c r="X6852" s="16" t="s">
        <v>30775</v>
      </c>
      <c r="Y6852" s="15" t="s">
        <v>42</v>
      </c>
      <c r="Z6852" s="14">
        <v>0.77</v>
      </c>
      <c r="AA6852" s="14">
        <v>3.29</v>
      </c>
      <c r="AB6852" s="12" t="s">
        <v>43</v>
      </c>
      <c r="AC6852" s="12" t="s">
        <v>25236</v>
      </c>
      <c r="AD6852" s="13">
        <v>42384</v>
      </c>
      <c r="AE6852" s="12" t="s">
        <v>1330</v>
      </c>
      <c r="AF6852" s="12" t="s">
        <v>1115</v>
      </c>
      <c r="AG6852" s="12" t="s">
        <v>25237</v>
      </c>
      <c r="AH6852" s="1">
        <f>HYPERLINK("https://my.pitchbook.com?c=64698-49T","View Company Online")</f>
      </c>
    </row>
    <row r="6853">
      <c r="A6853" s="3" t="s">
        <v>30776</v>
      </c>
      <c r="B6853" s="3" t="s">
        <v>9703</v>
      </c>
      <c r="C6853" s="5" t="s">
        <v>36</v>
      </c>
      <c r="D6853" s="5" t="s">
        <v>36</v>
      </c>
      <c r="E6853" s="5" t="s">
        <v>36</v>
      </c>
      <c r="F6853" s="5" t="s">
        <v>36</v>
      </c>
      <c r="G6853" s="6" t="s">
        <v>36</v>
      </c>
      <c r="H6853" s="4">
        <v>2.78</v>
      </c>
      <c r="I6853" s="7">
        <v>30.39</v>
      </c>
      <c r="J6853" s="3" t="s">
        <v>521</v>
      </c>
      <c r="K6853" s="9">
        <v>42356</v>
      </c>
      <c r="L6853" s="6" t="s">
        <v>122</v>
      </c>
      <c r="M6853" s="3" t="s">
        <v>36</v>
      </c>
      <c r="N6853" s="3" t="s">
        <v>122</v>
      </c>
      <c r="O6853" s="8" t="s">
        <v>36</v>
      </c>
      <c r="P6853" s="3" t="s">
        <v>36</v>
      </c>
      <c r="Q6853" s="3" t="s">
        <v>36</v>
      </c>
      <c r="R6853" s="3" t="s">
        <v>36</v>
      </c>
      <c r="S6853" s="3" t="s">
        <v>36</v>
      </c>
      <c r="T6853" s="3" t="s">
        <v>2359</v>
      </c>
      <c r="U6853" s="3" t="s">
        <v>279</v>
      </c>
      <c r="V6853" s="3" t="s">
        <v>64</v>
      </c>
      <c r="W6853" s="3" t="s">
        <v>9704</v>
      </c>
      <c r="X6853" s="10" t="s">
        <v>30777</v>
      </c>
      <c r="Y6853" s="6" t="s">
        <v>42</v>
      </c>
      <c r="Z6853" s="4">
        <v>2.18</v>
      </c>
      <c r="AA6853" s="4">
        <v>5.53</v>
      </c>
      <c r="AB6853" s="3" t="s">
        <v>43</v>
      </c>
      <c r="AC6853" s="3" t="s">
        <v>9706</v>
      </c>
      <c r="AD6853" s="9">
        <v>42383</v>
      </c>
      <c r="AE6853" s="3" t="s">
        <v>283</v>
      </c>
      <c r="AF6853" s="3" t="s">
        <v>36</v>
      </c>
      <c r="AG6853" s="3" t="s">
        <v>81</v>
      </c>
      <c r="AH6853" s="11">
        <f>HYPERLINK("https://my.pitchbook.com?c=65276-47T","View Company Online")</f>
      </c>
    </row>
    <row r="6854">
      <c r="A6854" s="12" t="s">
        <v>30778</v>
      </c>
      <c r="B6854" s="12" t="s">
        <v>30779</v>
      </c>
      <c r="C6854" s="19" t="s">
        <v>36</v>
      </c>
      <c r="D6854" s="19" t="s">
        <v>36</v>
      </c>
      <c r="E6854" s="19" t="s">
        <v>36</v>
      </c>
      <c r="F6854" s="19" t="s">
        <v>36</v>
      </c>
      <c r="G6854" s="15" t="s">
        <v>36</v>
      </c>
      <c r="H6854" s="14" t="s">
        <v>36</v>
      </c>
      <c r="I6854" s="18" t="s">
        <v>36</v>
      </c>
      <c r="J6854" s="12" t="s">
        <v>36</v>
      </c>
      <c r="K6854" s="13" t="s">
        <v>36</v>
      </c>
      <c r="L6854" s="15" t="s">
        <v>36</v>
      </c>
      <c r="M6854" s="12" t="s">
        <v>36</v>
      </c>
      <c r="N6854" s="12" t="s">
        <v>36</v>
      </c>
      <c r="O6854" s="17" t="s">
        <v>36</v>
      </c>
      <c r="P6854" s="12" t="s">
        <v>36</v>
      </c>
      <c r="Q6854" s="12" t="s">
        <v>36</v>
      </c>
      <c r="R6854" s="12" t="s">
        <v>36</v>
      </c>
      <c r="S6854" s="12" t="s">
        <v>36</v>
      </c>
      <c r="T6854" s="12" t="s">
        <v>1560</v>
      </c>
      <c r="U6854" s="12" t="s">
        <v>438</v>
      </c>
      <c r="V6854" s="12" t="s">
        <v>405</v>
      </c>
      <c r="W6854" s="12" t="s">
        <v>30780</v>
      </c>
      <c r="X6854" s="16" t="s">
        <v>21624</v>
      </c>
      <c r="Y6854" s="15" t="s">
        <v>42</v>
      </c>
      <c r="Z6854" s="14">
        <v>1.09</v>
      </c>
      <c r="AA6854" s="14" t="s">
        <v>36</v>
      </c>
      <c r="AB6854" s="12" t="s">
        <v>43</v>
      </c>
      <c r="AC6854" s="12" t="s">
        <v>30781</v>
      </c>
      <c r="AD6854" s="13">
        <v>42383</v>
      </c>
      <c r="AE6854" s="12" t="s">
        <v>438</v>
      </c>
      <c r="AF6854" s="12" t="s">
        <v>7466</v>
      </c>
      <c r="AG6854" s="12" t="s">
        <v>81</v>
      </c>
      <c r="AH6854" s="1">
        <f>HYPERLINK("https://my.pitchbook.com?c=78153-13T","View Company Online")</f>
      </c>
    </row>
    <row r="6855">
      <c r="A6855" s="3" t="s">
        <v>30782</v>
      </c>
      <c r="B6855" s="3" t="s">
        <v>17924</v>
      </c>
      <c r="C6855" s="5" t="s">
        <v>36</v>
      </c>
      <c r="D6855" s="5" t="s">
        <v>36</v>
      </c>
      <c r="E6855" s="5" t="s">
        <v>36</v>
      </c>
      <c r="F6855" s="5" t="s">
        <v>36</v>
      </c>
      <c r="G6855" s="6" t="s">
        <v>326</v>
      </c>
      <c r="H6855" s="4" t="s">
        <v>36</v>
      </c>
      <c r="I6855" s="7">
        <v>14.04</v>
      </c>
      <c r="J6855" s="3" t="s">
        <v>521</v>
      </c>
      <c r="K6855" s="9" t="s">
        <v>36</v>
      </c>
      <c r="L6855" s="6" t="s">
        <v>36</v>
      </c>
      <c r="M6855" s="3" t="s">
        <v>36</v>
      </c>
      <c r="N6855" s="3" t="s">
        <v>36</v>
      </c>
      <c r="O6855" s="8" t="s">
        <v>36</v>
      </c>
      <c r="P6855" s="3" t="s">
        <v>36</v>
      </c>
      <c r="Q6855" s="3" t="s">
        <v>36</v>
      </c>
      <c r="R6855" s="3" t="s">
        <v>36</v>
      </c>
      <c r="S6855" s="3" t="s">
        <v>36</v>
      </c>
      <c r="T6855" s="3" t="s">
        <v>3545</v>
      </c>
      <c r="U6855" s="3" t="s">
        <v>38</v>
      </c>
      <c r="V6855" s="3" t="s">
        <v>39</v>
      </c>
      <c r="W6855" s="3" t="s">
        <v>17925</v>
      </c>
      <c r="X6855" s="10" t="s">
        <v>25231</v>
      </c>
      <c r="Y6855" s="6" t="s">
        <v>55</v>
      </c>
      <c r="Z6855" s="4">
        <v>0.54</v>
      </c>
      <c r="AA6855" s="4">
        <v>3.88</v>
      </c>
      <c r="AB6855" s="3" t="s">
        <v>56</v>
      </c>
      <c r="AC6855" s="3" t="s">
        <v>17926</v>
      </c>
      <c r="AD6855" s="9">
        <v>42383</v>
      </c>
      <c r="AE6855" s="3" t="s">
        <v>1945</v>
      </c>
      <c r="AF6855" s="3" t="s">
        <v>36</v>
      </c>
      <c r="AG6855" s="3" t="s">
        <v>741</v>
      </c>
      <c r="AH6855" s="11">
        <f>HYPERLINK("https://my.pitchbook.com?c=117766-72T","View Company Online")</f>
      </c>
    </row>
    <row r="6856">
      <c r="A6856" s="12" t="s">
        <v>30783</v>
      </c>
      <c r="B6856" s="12" t="s">
        <v>30784</v>
      </c>
      <c r="C6856" s="19" t="s">
        <v>36</v>
      </c>
      <c r="D6856" s="19" t="s">
        <v>36</v>
      </c>
      <c r="E6856" s="19" t="s">
        <v>36</v>
      </c>
      <c r="F6856" s="19" t="s">
        <v>36</v>
      </c>
      <c r="G6856" s="15" t="s">
        <v>36</v>
      </c>
      <c r="H6856" s="14" t="s">
        <v>36</v>
      </c>
      <c r="I6856" s="18" t="s">
        <v>36</v>
      </c>
      <c r="J6856" s="12" t="s">
        <v>36</v>
      </c>
      <c r="K6856" s="13" t="s">
        <v>36</v>
      </c>
      <c r="L6856" s="15" t="s">
        <v>36</v>
      </c>
      <c r="M6856" s="12" t="s">
        <v>36</v>
      </c>
      <c r="N6856" s="12" t="s">
        <v>36</v>
      </c>
      <c r="O6856" s="17" t="s">
        <v>36</v>
      </c>
      <c r="P6856" s="12" t="s">
        <v>36</v>
      </c>
      <c r="Q6856" s="12" t="s">
        <v>36</v>
      </c>
      <c r="R6856" s="12" t="s">
        <v>36</v>
      </c>
      <c r="S6856" s="12" t="s">
        <v>36</v>
      </c>
      <c r="T6856" s="12" t="s">
        <v>596</v>
      </c>
      <c r="U6856" s="12" t="s">
        <v>366</v>
      </c>
      <c r="V6856" s="12" t="s">
        <v>367</v>
      </c>
      <c r="W6856" s="12" t="s">
        <v>30785</v>
      </c>
      <c r="X6856" s="16" t="s">
        <v>30786</v>
      </c>
      <c r="Y6856" s="15" t="s">
        <v>475</v>
      </c>
      <c r="Z6856" s="14">
        <v>5.66</v>
      </c>
      <c r="AA6856" s="14" t="s">
        <v>36</v>
      </c>
      <c r="AB6856" s="12" t="s">
        <v>56</v>
      </c>
      <c r="AC6856" s="12" t="s">
        <v>30787</v>
      </c>
      <c r="AD6856" s="13">
        <v>42383</v>
      </c>
      <c r="AE6856" s="12" t="s">
        <v>600</v>
      </c>
      <c r="AF6856" s="12" t="s">
        <v>2019</v>
      </c>
      <c r="AG6856" s="12" t="s">
        <v>2246</v>
      </c>
      <c r="AH6856" s="1">
        <f>HYPERLINK("https://my.pitchbook.com?c=64687-87T","View Company Online")</f>
      </c>
    </row>
    <row r="6857">
      <c r="A6857" s="3" t="s">
        <v>30788</v>
      </c>
      <c r="B6857" s="3" t="s">
        <v>30789</v>
      </c>
      <c r="C6857" s="5" t="s">
        <v>36</v>
      </c>
      <c r="D6857" s="5" t="s">
        <v>36</v>
      </c>
      <c r="E6857" s="5" t="s">
        <v>36</v>
      </c>
      <c r="F6857" s="5" t="s">
        <v>36</v>
      </c>
      <c r="G6857" s="6" t="s">
        <v>326</v>
      </c>
      <c r="H6857" s="4">
        <v>60.48</v>
      </c>
      <c r="I6857" s="7">
        <v>29.17</v>
      </c>
      <c r="J6857" s="3" t="s">
        <v>521</v>
      </c>
      <c r="K6857" s="9">
        <v>42355</v>
      </c>
      <c r="L6857" s="6" t="s">
        <v>122</v>
      </c>
      <c r="M6857" s="3" t="s">
        <v>36</v>
      </c>
      <c r="N6857" s="3" t="s">
        <v>122</v>
      </c>
      <c r="O6857" s="8" t="s">
        <v>36</v>
      </c>
      <c r="P6857" s="3" t="s">
        <v>36</v>
      </c>
      <c r="Q6857" s="3" t="s">
        <v>36</v>
      </c>
      <c r="R6857" s="3" t="s">
        <v>36</v>
      </c>
      <c r="S6857" s="3" t="s">
        <v>36</v>
      </c>
      <c r="T6857" s="3" t="s">
        <v>30790</v>
      </c>
      <c r="U6857" s="3" t="s">
        <v>63</v>
      </c>
      <c r="V6857" s="3" t="s">
        <v>64</v>
      </c>
      <c r="W6857" s="3" t="s">
        <v>30791</v>
      </c>
      <c r="X6857" s="10" t="s">
        <v>30792</v>
      </c>
      <c r="Y6857" s="6" t="s">
        <v>108</v>
      </c>
      <c r="Z6857" s="4">
        <v>16.35</v>
      </c>
      <c r="AA6857" s="4">
        <v>50.45</v>
      </c>
      <c r="AB6857" s="3" t="s">
        <v>56</v>
      </c>
      <c r="AC6857" s="3" t="s">
        <v>30793</v>
      </c>
      <c r="AD6857" s="9">
        <v>42381</v>
      </c>
      <c r="AE6857" s="3" t="s">
        <v>68</v>
      </c>
      <c r="AF6857" s="3" t="s">
        <v>36</v>
      </c>
      <c r="AG6857" s="3" t="s">
        <v>81</v>
      </c>
      <c r="AH6857" s="11">
        <f>HYPERLINK("https://my.pitchbook.com?c=64509-04T","View Company Online")</f>
      </c>
    </row>
    <row r="6858">
      <c r="A6858" s="12" t="s">
        <v>30794</v>
      </c>
      <c r="B6858" s="12" t="s">
        <v>30795</v>
      </c>
      <c r="C6858" s="19" t="s">
        <v>36</v>
      </c>
      <c r="D6858" s="19">
        <v>3</v>
      </c>
      <c r="E6858" s="19">
        <v>4</v>
      </c>
      <c r="F6858" s="19">
        <v>8</v>
      </c>
      <c r="G6858" s="15" t="s">
        <v>683</v>
      </c>
      <c r="H6858" s="14">
        <v>28.25</v>
      </c>
      <c r="I6858" s="18">
        <v>17.84</v>
      </c>
      <c r="J6858" s="12" t="s">
        <v>521</v>
      </c>
      <c r="K6858" s="13" t="s">
        <v>36</v>
      </c>
      <c r="L6858" s="15" t="s">
        <v>36</v>
      </c>
      <c r="M6858" s="12" t="s">
        <v>36</v>
      </c>
      <c r="N6858" s="12" t="s">
        <v>36</v>
      </c>
      <c r="O6858" s="17" t="s">
        <v>36</v>
      </c>
      <c r="P6858" s="12" t="s">
        <v>36</v>
      </c>
      <c r="Q6858" s="12" t="s">
        <v>36</v>
      </c>
      <c r="R6858" s="12" t="s">
        <v>36</v>
      </c>
      <c r="S6858" s="12" t="s">
        <v>36</v>
      </c>
      <c r="T6858" s="12" t="s">
        <v>30796</v>
      </c>
      <c r="U6858" s="12" t="s">
        <v>74</v>
      </c>
      <c r="V6858" s="12" t="s">
        <v>75</v>
      </c>
      <c r="W6858" s="12" t="s">
        <v>30797</v>
      </c>
      <c r="X6858" s="16" t="s">
        <v>29117</v>
      </c>
      <c r="Y6858" s="15" t="s">
        <v>42</v>
      </c>
      <c r="Z6858" s="14">
        <v>0.58</v>
      </c>
      <c r="AA6858" s="14">
        <v>3.24</v>
      </c>
      <c r="AB6858" s="12" t="s">
        <v>56</v>
      </c>
      <c r="AC6858" s="12" t="s">
        <v>30798</v>
      </c>
      <c r="AD6858" s="13">
        <v>42380</v>
      </c>
      <c r="AE6858" s="12" t="s">
        <v>975</v>
      </c>
      <c r="AF6858" s="12" t="s">
        <v>26350</v>
      </c>
      <c r="AG6858" s="12" t="s">
        <v>18987</v>
      </c>
      <c r="AH6858" s="1">
        <f>HYPERLINK("https://my.pitchbook.com?c=190681-48T","View Company Online")</f>
      </c>
    </row>
    <row r="6859">
      <c r="A6859" s="3" t="s">
        <v>30799</v>
      </c>
      <c r="B6859" s="3" t="s">
        <v>30800</v>
      </c>
      <c r="C6859" s="5" t="s">
        <v>36</v>
      </c>
      <c r="D6859" s="5" t="s">
        <v>36</v>
      </c>
      <c r="E6859" s="5" t="s">
        <v>36</v>
      </c>
      <c r="F6859" s="5" t="s">
        <v>36</v>
      </c>
      <c r="G6859" s="6" t="s">
        <v>36</v>
      </c>
      <c r="H6859" s="4">
        <v>149.55</v>
      </c>
      <c r="I6859" s="7">
        <v>33.39</v>
      </c>
      <c r="J6859" s="3" t="s">
        <v>327</v>
      </c>
      <c r="K6859" s="9" t="s">
        <v>36</v>
      </c>
      <c r="L6859" s="6" t="s">
        <v>36</v>
      </c>
      <c r="M6859" s="3" t="s">
        <v>36</v>
      </c>
      <c r="N6859" s="3" t="s">
        <v>36</v>
      </c>
      <c r="O6859" s="8" t="s">
        <v>36</v>
      </c>
      <c r="P6859" s="3" t="s">
        <v>36</v>
      </c>
      <c r="Q6859" s="3" t="s">
        <v>36</v>
      </c>
      <c r="R6859" s="3" t="s">
        <v>36</v>
      </c>
      <c r="S6859" s="3" t="s">
        <v>36</v>
      </c>
      <c r="T6859" s="3" t="s">
        <v>2961</v>
      </c>
      <c r="U6859" s="3" t="s">
        <v>74</v>
      </c>
      <c r="V6859" s="3" t="s">
        <v>75</v>
      </c>
      <c r="W6859" s="3" t="s">
        <v>30801</v>
      </c>
      <c r="X6859" s="10" t="s">
        <v>30802</v>
      </c>
      <c r="Y6859" s="6" t="s">
        <v>42</v>
      </c>
      <c r="Z6859" s="4">
        <v>1.31</v>
      </c>
      <c r="AA6859" s="4">
        <v>2.07</v>
      </c>
      <c r="AB6859" s="3" t="s">
        <v>43</v>
      </c>
      <c r="AC6859" s="3" t="s">
        <v>30803</v>
      </c>
      <c r="AD6859" s="9">
        <v>42377</v>
      </c>
      <c r="AE6859" s="3" t="s">
        <v>975</v>
      </c>
      <c r="AF6859" s="3" t="s">
        <v>11479</v>
      </c>
      <c r="AG6859" s="3" t="s">
        <v>81</v>
      </c>
      <c r="AH6859" s="11">
        <f>HYPERLINK("https://my.pitchbook.com?c=46007-29T","View Company Online")</f>
      </c>
    </row>
    <row r="6860">
      <c r="A6860" s="12" t="s">
        <v>30804</v>
      </c>
      <c r="B6860" s="12" t="s">
        <v>30805</v>
      </c>
      <c r="C6860" s="19" t="s">
        <v>36</v>
      </c>
      <c r="D6860" s="19">
        <v>26</v>
      </c>
      <c r="E6860" s="19">
        <v>14</v>
      </c>
      <c r="F6860" s="19">
        <v>34</v>
      </c>
      <c r="G6860" s="15" t="s">
        <v>683</v>
      </c>
      <c r="H6860" s="14">
        <v>10.39</v>
      </c>
      <c r="I6860" s="18">
        <v>6.74</v>
      </c>
      <c r="J6860" s="12" t="s">
        <v>521</v>
      </c>
      <c r="K6860" s="13" t="s">
        <v>36</v>
      </c>
      <c r="L6860" s="15" t="s">
        <v>36</v>
      </c>
      <c r="M6860" s="12" t="s">
        <v>36</v>
      </c>
      <c r="N6860" s="12" t="s">
        <v>36</v>
      </c>
      <c r="O6860" s="17" t="s">
        <v>36</v>
      </c>
      <c r="P6860" s="12" t="s">
        <v>36</v>
      </c>
      <c r="Q6860" s="12" t="s">
        <v>36</v>
      </c>
      <c r="R6860" s="12" t="s">
        <v>36</v>
      </c>
      <c r="S6860" s="12" t="s">
        <v>36</v>
      </c>
      <c r="T6860" s="12" t="s">
        <v>30806</v>
      </c>
      <c r="U6860" s="12" t="s">
        <v>1580</v>
      </c>
      <c r="V6860" s="12" t="s">
        <v>39</v>
      </c>
      <c r="W6860" s="12" t="s">
        <v>30807</v>
      </c>
      <c r="X6860" s="16" t="s">
        <v>30808</v>
      </c>
      <c r="Y6860" s="15" t="s">
        <v>55</v>
      </c>
      <c r="Z6860" s="14">
        <v>0.22</v>
      </c>
      <c r="AA6860" s="14">
        <v>3.24</v>
      </c>
      <c r="AB6860" s="12" t="s">
        <v>43</v>
      </c>
      <c r="AC6860" s="12" t="s">
        <v>30809</v>
      </c>
      <c r="AD6860" s="13">
        <v>42377</v>
      </c>
      <c r="AE6860" s="12" t="s">
        <v>4086</v>
      </c>
      <c r="AF6860" s="12" t="s">
        <v>30810</v>
      </c>
      <c r="AG6860" s="12" t="s">
        <v>30811</v>
      </c>
      <c r="AH6860" s="1">
        <f>HYPERLINK("https://my.pitchbook.com?c=207991-18T","View Company Online")</f>
      </c>
    </row>
    <row r="6861">
      <c r="A6861" s="3" t="s">
        <v>30812</v>
      </c>
      <c r="B6861" s="3" t="s">
        <v>27385</v>
      </c>
      <c r="C6861" s="5" t="s">
        <v>36</v>
      </c>
      <c r="D6861" s="5" t="s">
        <v>36</v>
      </c>
      <c r="E6861" s="5" t="s">
        <v>36</v>
      </c>
      <c r="F6861" s="5" t="s">
        <v>36</v>
      </c>
      <c r="G6861" s="6" t="s">
        <v>36</v>
      </c>
      <c r="H6861" s="4" t="s">
        <v>36</v>
      </c>
      <c r="I6861" s="7" t="s">
        <v>36</v>
      </c>
      <c r="J6861" s="3" t="s">
        <v>36</v>
      </c>
      <c r="K6861" s="9" t="s">
        <v>36</v>
      </c>
      <c r="L6861" s="6" t="s">
        <v>36</v>
      </c>
      <c r="M6861" s="3" t="s">
        <v>36</v>
      </c>
      <c r="N6861" s="3" t="s">
        <v>36</v>
      </c>
      <c r="O6861" s="8" t="s">
        <v>36</v>
      </c>
      <c r="P6861" s="3" t="s">
        <v>36</v>
      </c>
      <c r="Q6861" s="3" t="s">
        <v>36</v>
      </c>
      <c r="R6861" s="3" t="s">
        <v>36</v>
      </c>
      <c r="S6861" s="3" t="s">
        <v>36</v>
      </c>
      <c r="T6861" s="3" t="s">
        <v>335</v>
      </c>
      <c r="U6861" s="3" t="s">
        <v>38</v>
      </c>
      <c r="V6861" s="3" t="s">
        <v>39</v>
      </c>
      <c r="W6861" s="3" t="s">
        <v>27386</v>
      </c>
      <c r="X6861" s="10" t="s">
        <v>30813</v>
      </c>
      <c r="Y6861" s="6" t="s">
        <v>42</v>
      </c>
      <c r="Z6861" s="4">
        <v>0.33</v>
      </c>
      <c r="AA6861" s="4" t="s">
        <v>36</v>
      </c>
      <c r="AB6861" s="3" t="s">
        <v>43</v>
      </c>
      <c r="AC6861" s="3" t="s">
        <v>27388</v>
      </c>
      <c r="AD6861" s="9">
        <v>42376</v>
      </c>
      <c r="AE6861" s="3" t="s">
        <v>339</v>
      </c>
      <c r="AF6861" s="3" t="s">
        <v>1842</v>
      </c>
      <c r="AG6861" s="3" t="s">
        <v>47</v>
      </c>
      <c r="AH6861" s="11">
        <f>HYPERLINK("https://my.pitchbook.com?c=78876-91T","View Company Online")</f>
      </c>
    </row>
    <row r="6862">
      <c r="A6862" s="12" t="s">
        <v>30814</v>
      </c>
      <c r="B6862" s="12" t="s">
        <v>12598</v>
      </c>
      <c r="C6862" s="19">
        <v>5</v>
      </c>
      <c r="D6862" s="19">
        <v>43</v>
      </c>
      <c r="E6862" s="19">
        <v>10</v>
      </c>
      <c r="F6862" s="19">
        <v>56</v>
      </c>
      <c r="G6862" s="15" t="s">
        <v>36</v>
      </c>
      <c r="H6862" s="14" t="s">
        <v>36</v>
      </c>
      <c r="I6862" s="18">
        <v>11.02</v>
      </c>
      <c r="J6862" s="12" t="s">
        <v>327</v>
      </c>
      <c r="K6862" s="13" t="s">
        <v>36</v>
      </c>
      <c r="L6862" s="15" t="s">
        <v>122</v>
      </c>
      <c r="M6862" s="12" t="s">
        <v>36</v>
      </c>
      <c r="N6862" s="12" t="s">
        <v>122</v>
      </c>
      <c r="O6862" s="17" t="s">
        <v>36</v>
      </c>
      <c r="P6862" s="12" t="s">
        <v>36</v>
      </c>
      <c r="Q6862" s="12" t="s">
        <v>36</v>
      </c>
      <c r="R6862" s="12" t="s">
        <v>36</v>
      </c>
      <c r="S6862" s="12" t="s">
        <v>36</v>
      </c>
      <c r="T6862" s="12" t="s">
        <v>12599</v>
      </c>
      <c r="U6862" s="12" t="s">
        <v>51</v>
      </c>
      <c r="V6862" s="12" t="s">
        <v>52</v>
      </c>
      <c r="W6862" s="12" t="s">
        <v>12600</v>
      </c>
      <c r="X6862" s="16" t="s">
        <v>30815</v>
      </c>
      <c r="Y6862" s="15" t="s">
        <v>42</v>
      </c>
      <c r="Z6862" s="14">
        <v>2.18</v>
      </c>
      <c r="AA6862" s="14">
        <v>19.79</v>
      </c>
      <c r="AB6862" s="12" t="s">
        <v>56</v>
      </c>
      <c r="AC6862" s="12" t="s">
        <v>12602</v>
      </c>
      <c r="AD6862" s="13">
        <v>42376</v>
      </c>
      <c r="AE6862" s="12" t="s">
        <v>158</v>
      </c>
      <c r="AF6862" s="12" t="s">
        <v>159</v>
      </c>
      <c r="AG6862" s="12" t="s">
        <v>144</v>
      </c>
      <c r="AH6862" s="1">
        <f>HYPERLINK("https://my.pitchbook.com?c=85828-06T","View Company Online")</f>
      </c>
    </row>
    <row r="6863">
      <c r="A6863" s="3" t="s">
        <v>30816</v>
      </c>
      <c r="B6863" s="3" t="s">
        <v>30817</v>
      </c>
      <c r="C6863" s="5" t="s">
        <v>36</v>
      </c>
      <c r="D6863" s="5" t="s">
        <v>36</v>
      </c>
      <c r="E6863" s="5" t="s">
        <v>36</v>
      </c>
      <c r="F6863" s="5" t="s">
        <v>36</v>
      </c>
      <c r="G6863" s="6" t="s">
        <v>36</v>
      </c>
      <c r="H6863" s="4">
        <v>37.63</v>
      </c>
      <c r="I6863" s="7">
        <v>21.59</v>
      </c>
      <c r="J6863" s="3" t="s">
        <v>521</v>
      </c>
      <c r="K6863" s="9" t="s">
        <v>36</v>
      </c>
      <c r="L6863" s="6" t="s">
        <v>94</v>
      </c>
      <c r="M6863" s="3" t="s">
        <v>36</v>
      </c>
      <c r="N6863" s="3" t="s">
        <v>94</v>
      </c>
      <c r="O6863" s="8" t="s">
        <v>36</v>
      </c>
      <c r="P6863" s="3" t="s">
        <v>36</v>
      </c>
      <c r="Q6863" s="3" t="s">
        <v>36</v>
      </c>
      <c r="R6863" s="3" t="s">
        <v>36</v>
      </c>
      <c r="S6863" s="3" t="s">
        <v>36</v>
      </c>
      <c r="T6863" s="3" t="s">
        <v>4608</v>
      </c>
      <c r="U6863" s="3" t="s">
        <v>455</v>
      </c>
      <c r="V6863" s="3" t="s">
        <v>367</v>
      </c>
      <c r="W6863" s="3" t="s">
        <v>30818</v>
      </c>
      <c r="X6863" s="10" t="s">
        <v>30819</v>
      </c>
      <c r="Y6863" s="6" t="s">
        <v>108</v>
      </c>
      <c r="Z6863" s="4">
        <v>3.31</v>
      </c>
      <c r="AA6863" s="4">
        <v>15.33</v>
      </c>
      <c r="AB6863" s="3" t="s">
        <v>43</v>
      </c>
      <c r="AC6863" s="3" t="s">
        <v>30820</v>
      </c>
      <c r="AD6863" s="9">
        <v>42375</v>
      </c>
      <c r="AE6863" s="3" t="s">
        <v>459</v>
      </c>
      <c r="AF6863" s="3" t="s">
        <v>90</v>
      </c>
      <c r="AG6863" s="3" t="s">
        <v>81</v>
      </c>
      <c r="AH6863" s="11">
        <f>HYPERLINK("https://my.pitchbook.com?c=64702-72T","View Company Online")</f>
      </c>
    </row>
    <row r="6864">
      <c r="A6864" s="12" t="s">
        <v>30821</v>
      </c>
      <c r="B6864" s="12" t="s">
        <v>7700</v>
      </c>
      <c r="C6864" s="19" t="s">
        <v>36</v>
      </c>
      <c r="D6864" s="19" t="s">
        <v>36</v>
      </c>
      <c r="E6864" s="19" t="s">
        <v>36</v>
      </c>
      <c r="F6864" s="19" t="s">
        <v>36</v>
      </c>
      <c r="G6864" s="15" t="s">
        <v>36</v>
      </c>
      <c r="H6864" s="14" t="s">
        <v>36</v>
      </c>
      <c r="I6864" s="18">
        <v>18.74</v>
      </c>
      <c r="J6864" s="12" t="s">
        <v>327</v>
      </c>
      <c r="K6864" s="13" t="s">
        <v>36</v>
      </c>
      <c r="L6864" s="15" t="s">
        <v>36</v>
      </c>
      <c r="M6864" s="12" t="s">
        <v>36</v>
      </c>
      <c r="N6864" s="12" t="s">
        <v>36</v>
      </c>
      <c r="O6864" s="17" t="s">
        <v>36</v>
      </c>
      <c r="P6864" s="12" t="s">
        <v>36</v>
      </c>
      <c r="Q6864" s="12" t="s">
        <v>36</v>
      </c>
      <c r="R6864" s="12" t="s">
        <v>36</v>
      </c>
      <c r="S6864" s="12" t="s">
        <v>36</v>
      </c>
      <c r="T6864" s="12" t="s">
        <v>7701</v>
      </c>
      <c r="U6864" s="12" t="s">
        <v>833</v>
      </c>
      <c r="V6864" s="12" t="s">
        <v>64</v>
      </c>
      <c r="W6864" s="12" t="s">
        <v>7702</v>
      </c>
      <c r="X6864" s="16" t="s">
        <v>14386</v>
      </c>
      <c r="Y6864" s="15" t="s">
        <v>42</v>
      </c>
      <c r="Z6864" s="14">
        <v>2.18</v>
      </c>
      <c r="AA6864" s="14">
        <v>11.63</v>
      </c>
      <c r="AB6864" s="12" t="s">
        <v>43</v>
      </c>
      <c r="AC6864" s="12" t="s">
        <v>7703</v>
      </c>
      <c r="AD6864" s="13">
        <v>42375</v>
      </c>
      <c r="AE6864" s="12" t="s">
        <v>1069</v>
      </c>
      <c r="AF6864" s="12" t="s">
        <v>7704</v>
      </c>
      <c r="AG6864" s="12" t="s">
        <v>7705</v>
      </c>
      <c r="AH6864" s="1">
        <f>HYPERLINK("https://my.pitchbook.com?c=64208-26T","View Company Online")</f>
      </c>
    </row>
    <row r="6865">
      <c r="A6865" s="3" t="s">
        <v>30822</v>
      </c>
      <c r="B6865" s="3" t="s">
        <v>26333</v>
      </c>
      <c r="C6865" s="5" t="s">
        <v>36</v>
      </c>
      <c r="D6865" s="5" t="s">
        <v>36</v>
      </c>
      <c r="E6865" s="5" t="s">
        <v>36</v>
      </c>
      <c r="F6865" s="5" t="s">
        <v>36</v>
      </c>
      <c r="G6865" s="6" t="s">
        <v>36</v>
      </c>
      <c r="H6865" s="4" t="s">
        <v>36</v>
      </c>
      <c r="I6865" s="7" t="s">
        <v>36</v>
      </c>
      <c r="J6865" s="3" t="s">
        <v>36</v>
      </c>
      <c r="K6865" s="9" t="s">
        <v>36</v>
      </c>
      <c r="L6865" s="6" t="s">
        <v>36</v>
      </c>
      <c r="M6865" s="3" t="s">
        <v>36</v>
      </c>
      <c r="N6865" s="3" t="s">
        <v>36</v>
      </c>
      <c r="O6865" s="8" t="s">
        <v>36</v>
      </c>
      <c r="P6865" s="3" t="s">
        <v>36</v>
      </c>
      <c r="Q6865" s="3" t="s">
        <v>36</v>
      </c>
      <c r="R6865" s="3" t="s">
        <v>36</v>
      </c>
      <c r="S6865" s="3" t="s">
        <v>36</v>
      </c>
      <c r="T6865" s="3" t="s">
        <v>1048</v>
      </c>
      <c r="U6865" s="3" t="s">
        <v>423</v>
      </c>
      <c r="V6865" s="3" t="s">
        <v>64</v>
      </c>
      <c r="W6865" s="3" t="s">
        <v>26334</v>
      </c>
      <c r="X6865" s="10" t="s">
        <v>28296</v>
      </c>
      <c r="Y6865" s="6" t="s">
        <v>108</v>
      </c>
      <c r="Z6865" s="4">
        <v>0.98</v>
      </c>
      <c r="AA6865" s="4" t="s">
        <v>36</v>
      </c>
      <c r="AB6865" s="3" t="s">
        <v>43</v>
      </c>
      <c r="AC6865" s="3" t="s">
        <v>26336</v>
      </c>
      <c r="AD6865" s="9">
        <v>42374</v>
      </c>
      <c r="AE6865" s="3" t="s">
        <v>1051</v>
      </c>
      <c r="AF6865" s="3" t="s">
        <v>22133</v>
      </c>
      <c r="AG6865" s="3" t="s">
        <v>81</v>
      </c>
      <c r="AH6865" s="11">
        <f>HYPERLINK("https://my.pitchbook.com?c=90397-09T","View Company Online")</f>
      </c>
    </row>
    <row r="6866">
      <c r="A6866" s="12" t="s">
        <v>30823</v>
      </c>
      <c r="B6866" s="12" t="s">
        <v>30824</v>
      </c>
      <c r="C6866" s="19" t="s">
        <v>36</v>
      </c>
      <c r="D6866" s="19" t="s">
        <v>36</v>
      </c>
      <c r="E6866" s="19" t="s">
        <v>36</v>
      </c>
      <c r="F6866" s="19" t="s">
        <v>36</v>
      </c>
      <c r="G6866" s="15" t="s">
        <v>2497</v>
      </c>
      <c r="H6866" s="14">
        <v>207.71</v>
      </c>
      <c r="I6866" s="18">
        <v>12.64</v>
      </c>
      <c r="J6866" s="12" t="s">
        <v>521</v>
      </c>
      <c r="K6866" s="13" t="s">
        <v>36</v>
      </c>
      <c r="L6866" s="15" t="s">
        <v>36</v>
      </c>
      <c r="M6866" s="12" t="s">
        <v>36</v>
      </c>
      <c r="N6866" s="12" t="s">
        <v>36</v>
      </c>
      <c r="O6866" s="17" t="s">
        <v>36</v>
      </c>
      <c r="P6866" s="12" t="s">
        <v>36</v>
      </c>
      <c r="Q6866" s="12" t="s">
        <v>36</v>
      </c>
      <c r="R6866" s="12" t="s">
        <v>36</v>
      </c>
      <c r="S6866" s="12" t="s">
        <v>36</v>
      </c>
      <c r="T6866" s="12" t="s">
        <v>6647</v>
      </c>
      <c r="U6866" s="12" t="s">
        <v>233</v>
      </c>
      <c r="V6866" s="12" t="s">
        <v>39</v>
      </c>
      <c r="W6866" s="12" t="s">
        <v>30825</v>
      </c>
      <c r="X6866" s="16" t="s">
        <v>1399</v>
      </c>
      <c r="Y6866" s="15" t="s">
        <v>192</v>
      </c>
      <c r="Z6866" s="14">
        <v>0.08</v>
      </c>
      <c r="AA6866" s="14">
        <v>0.6</v>
      </c>
      <c r="AB6866" s="12" t="s">
        <v>56</v>
      </c>
      <c r="AC6866" s="12" t="s">
        <v>30826</v>
      </c>
      <c r="AD6866" s="13">
        <v>42373</v>
      </c>
      <c r="AE6866" s="12" t="s">
        <v>236</v>
      </c>
      <c r="AF6866" s="12" t="s">
        <v>36</v>
      </c>
      <c r="AG6866" s="12" t="s">
        <v>26116</v>
      </c>
      <c r="AH6866" s="1">
        <f>HYPERLINK("https://my.pitchbook.com?c=218674-81T","View Company Online")</f>
      </c>
    </row>
    <row r="6867">
      <c r="A6867" s="3" t="s">
        <v>30827</v>
      </c>
      <c r="B6867" s="3" t="s">
        <v>30828</v>
      </c>
      <c r="C6867" s="5" t="s">
        <v>36</v>
      </c>
      <c r="D6867" s="5">
        <v>12</v>
      </c>
      <c r="E6867" s="5">
        <v>13</v>
      </c>
      <c r="F6867" s="5">
        <v>44</v>
      </c>
      <c r="G6867" s="6" t="s">
        <v>36</v>
      </c>
      <c r="H6867" s="4">
        <v>1342.09</v>
      </c>
      <c r="I6867" s="7">
        <v>22.12</v>
      </c>
      <c r="J6867" s="3" t="s">
        <v>521</v>
      </c>
      <c r="K6867" s="9">
        <v>42371</v>
      </c>
      <c r="L6867" s="6" t="s">
        <v>36</v>
      </c>
      <c r="M6867" s="3" t="s">
        <v>36</v>
      </c>
      <c r="N6867" s="3" t="s">
        <v>36</v>
      </c>
      <c r="O6867" s="8" t="s">
        <v>36</v>
      </c>
      <c r="P6867" s="3" t="s">
        <v>36</v>
      </c>
      <c r="Q6867" s="3" t="s">
        <v>36</v>
      </c>
      <c r="R6867" s="3" t="s">
        <v>36</v>
      </c>
      <c r="S6867" s="3" t="s">
        <v>36</v>
      </c>
      <c r="T6867" s="3" t="s">
        <v>529</v>
      </c>
      <c r="U6867" s="3" t="s">
        <v>38</v>
      </c>
      <c r="V6867" s="3" t="s">
        <v>39</v>
      </c>
      <c r="W6867" s="3" t="s">
        <v>30829</v>
      </c>
      <c r="X6867" s="10" t="s">
        <v>30830</v>
      </c>
      <c r="Y6867" s="6" t="s">
        <v>42</v>
      </c>
      <c r="Z6867" s="4">
        <v>0.4</v>
      </c>
      <c r="AA6867" s="4">
        <v>1.81</v>
      </c>
      <c r="AB6867" s="3" t="s">
        <v>43</v>
      </c>
      <c r="AC6867" s="3" t="s">
        <v>30831</v>
      </c>
      <c r="AD6867" s="9">
        <v>42372</v>
      </c>
      <c r="AE6867" s="3" t="s">
        <v>134</v>
      </c>
      <c r="AF6867" s="3" t="s">
        <v>1636</v>
      </c>
      <c r="AG6867" s="3" t="s">
        <v>81</v>
      </c>
      <c r="AH6867" s="11">
        <f>HYPERLINK("https://my.pitchbook.com?c=80152-12T","View Company Online")</f>
      </c>
    </row>
    <row r="6868">
      <c r="A6868" s="12" t="s">
        <v>30832</v>
      </c>
      <c r="B6868" s="12" t="s">
        <v>30833</v>
      </c>
      <c r="C6868" s="19" t="s">
        <v>36</v>
      </c>
      <c r="D6868" s="19" t="s">
        <v>36</v>
      </c>
      <c r="E6868" s="19" t="s">
        <v>36</v>
      </c>
      <c r="F6868" s="19" t="s">
        <v>36</v>
      </c>
      <c r="G6868" s="15" t="s">
        <v>36</v>
      </c>
      <c r="H6868" s="14" t="s">
        <v>36</v>
      </c>
      <c r="I6868" s="18" t="s">
        <v>36</v>
      </c>
      <c r="J6868" s="12" t="s">
        <v>36</v>
      </c>
      <c r="K6868" s="13" t="s">
        <v>36</v>
      </c>
      <c r="L6868" s="15" t="s">
        <v>36</v>
      </c>
      <c r="M6868" s="12" t="s">
        <v>36</v>
      </c>
      <c r="N6868" s="12" t="s">
        <v>36</v>
      </c>
      <c r="O6868" s="17" t="s">
        <v>36</v>
      </c>
      <c r="P6868" s="12" t="s">
        <v>36</v>
      </c>
      <c r="Q6868" s="12" t="s">
        <v>36</v>
      </c>
      <c r="R6868" s="12" t="s">
        <v>36</v>
      </c>
      <c r="S6868" s="12" t="s">
        <v>36</v>
      </c>
      <c r="T6868" s="12" t="s">
        <v>18811</v>
      </c>
      <c r="U6868" s="12" t="s">
        <v>233</v>
      </c>
      <c r="V6868" s="12" t="s">
        <v>39</v>
      </c>
      <c r="W6868" s="12" t="s">
        <v>30834</v>
      </c>
      <c r="X6868" s="16" t="s">
        <v>12123</v>
      </c>
      <c r="Y6868" s="15" t="s">
        <v>42</v>
      </c>
      <c r="Z6868" s="14" t="s">
        <v>36</v>
      </c>
      <c r="AA6868" s="14" t="s">
        <v>36</v>
      </c>
      <c r="AB6868" s="12" t="s">
        <v>56</v>
      </c>
      <c r="AC6868" s="12" t="s">
        <v>30835</v>
      </c>
      <c r="AD6868" s="13">
        <v>42370</v>
      </c>
      <c r="AE6868" s="12" t="s">
        <v>236</v>
      </c>
      <c r="AF6868" s="12" t="s">
        <v>2752</v>
      </c>
      <c r="AG6868" s="12" t="s">
        <v>2088</v>
      </c>
      <c r="AH6868" s="1">
        <f>HYPERLINK("https://my.pitchbook.com?c=167183-02T","View Company Online")</f>
      </c>
    </row>
    <row r="6869">
      <c r="A6869" s="3" t="s">
        <v>30836</v>
      </c>
      <c r="B6869" s="3" t="s">
        <v>30837</v>
      </c>
      <c r="C6869" s="5" t="s">
        <v>36</v>
      </c>
      <c r="D6869" s="5" t="s">
        <v>36</v>
      </c>
      <c r="E6869" s="5" t="s">
        <v>36</v>
      </c>
      <c r="F6869" s="5" t="s">
        <v>36</v>
      </c>
      <c r="G6869" s="6" t="s">
        <v>36</v>
      </c>
      <c r="H6869" s="4" t="s">
        <v>36</v>
      </c>
      <c r="I6869" s="7" t="s">
        <v>36</v>
      </c>
      <c r="J6869" s="3" t="s">
        <v>36</v>
      </c>
      <c r="K6869" s="9" t="s">
        <v>36</v>
      </c>
      <c r="L6869" s="6" t="s">
        <v>36</v>
      </c>
      <c r="M6869" s="3" t="s">
        <v>36</v>
      </c>
      <c r="N6869" s="3" t="s">
        <v>36</v>
      </c>
      <c r="O6869" s="8" t="s">
        <v>36</v>
      </c>
      <c r="P6869" s="3" t="s">
        <v>36</v>
      </c>
      <c r="Q6869" s="3" t="s">
        <v>36</v>
      </c>
      <c r="R6869" s="3" t="s">
        <v>36</v>
      </c>
      <c r="S6869" s="3" t="s">
        <v>36</v>
      </c>
      <c r="T6869" s="3" t="s">
        <v>26499</v>
      </c>
      <c r="U6869" s="3" t="s">
        <v>74</v>
      </c>
      <c r="V6869" s="3" t="s">
        <v>75</v>
      </c>
      <c r="W6869" s="3" t="s">
        <v>30838</v>
      </c>
      <c r="X6869" s="10" t="s">
        <v>4115</v>
      </c>
      <c r="Y6869" s="6" t="s">
        <v>42</v>
      </c>
      <c r="Z6869" s="4" t="s">
        <v>36</v>
      </c>
      <c r="AA6869" s="4" t="s">
        <v>36</v>
      </c>
      <c r="AB6869" s="3" t="s">
        <v>56</v>
      </c>
      <c r="AC6869" s="3" t="s">
        <v>30839</v>
      </c>
      <c r="AD6869" s="9">
        <v>42370</v>
      </c>
      <c r="AE6869" s="3" t="s">
        <v>79</v>
      </c>
      <c r="AF6869" s="3" t="s">
        <v>80</v>
      </c>
      <c r="AG6869" s="3" t="s">
        <v>30840</v>
      </c>
      <c r="AH6869" s="11">
        <f>HYPERLINK("https://my.pitchbook.com?c=274274-20T","View Company Online")</f>
      </c>
    </row>
    <row r="6870">
      <c r="A6870" s="12" t="s">
        <v>30841</v>
      </c>
      <c r="B6870" s="12" t="s">
        <v>24014</v>
      </c>
      <c r="C6870" s="19" t="s">
        <v>36</v>
      </c>
      <c r="D6870" s="19" t="s">
        <v>36</v>
      </c>
      <c r="E6870" s="19" t="s">
        <v>36</v>
      </c>
      <c r="F6870" s="19" t="s">
        <v>36</v>
      </c>
      <c r="G6870" s="15" t="s">
        <v>36</v>
      </c>
      <c r="H6870" s="14" t="s">
        <v>36</v>
      </c>
      <c r="I6870" s="18" t="s">
        <v>36</v>
      </c>
      <c r="J6870" s="12" t="s">
        <v>36</v>
      </c>
      <c r="K6870" s="13" t="s">
        <v>36</v>
      </c>
      <c r="L6870" s="15" t="s">
        <v>36</v>
      </c>
      <c r="M6870" s="12" t="s">
        <v>36</v>
      </c>
      <c r="N6870" s="12" t="s">
        <v>36</v>
      </c>
      <c r="O6870" s="17" t="s">
        <v>36</v>
      </c>
      <c r="P6870" s="12" t="s">
        <v>36</v>
      </c>
      <c r="Q6870" s="12" t="s">
        <v>36</v>
      </c>
      <c r="R6870" s="12" t="s">
        <v>36</v>
      </c>
      <c r="S6870" s="12" t="s">
        <v>36</v>
      </c>
      <c r="T6870" s="12" t="s">
        <v>24015</v>
      </c>
      <c r="U6870" s="12" t="s">
        <v>279</v>
      </c>
      <c r="V6870" s="12" t="s">
        <v>64</v>
      </c>
      <c r="W6870" s="12" t="s">
        <v>24016</v>
      </c>
      <c r="X6870" s="16" t="s">
        <v>26686</v>
      </c>
      <c r="Y6870" s="15" t="s">
        <v>42</v>
      </c>
      <c r="Z6870" s="14" t="s">
        <v>36</v>
      </c>
      <c r="AA6870" s="14" t="s">
        <v>36</v>
      </c>
      <c r="AB6870" s="12" t="s">
        <v>43</v>
      </c>
      <c r="AC6870" s="12" t="s">
        <v>24018</v>
      </c>
      <c r="AD6870" s="13">
        <v>42370</v>
      </c>
      <c r="AE6870" s="12" t="s">
        <v>851</v>
      </c>
      <c r="AF6870" s="12" t="s">
        <v>36</v>
      </c>
      <c r="AG6870" s="12" t="s">
        <v>2760</v>
      </c>
      <c r="AH6870" s="1">
        <f>HYPERLINK("https://my.pitchbook.com?c=120288-16T","View Company Online")</f>
      </c>
    </row>
    <row r="6871">
      <c r="A6871" s="3" t="s">
        <v>30842</v>
      </c>
      <c r="B6871" s="3" t="s">
        <v>27875</v>
      </c>
      <c r="C6871" s="5" t="s">
        <v>36</v>
      </c>
      <c r="D6871" s="5" t="s">
        <v>36</v>
      </c>
      <c r="E6871" s="5" t="s">
        <v>36</v>
      </c>
      <c r="F6871" s="5" t="s">
        <v>36</v>
      </c>
      <c r="G6871" s="6" t="s">
        <v>36</v>
      </c>
      <c r="H6871" s="4">
        <v>6.23</v>
      </c>
      <c r="I6871" s="7">
        <v>25</v>
      </c>
      <c r="J6871" s="3" t="s">
        <v>521</v>
      </c>
      <c r="K6871" s="9" t="s">
        <v>36</v>
      </c>
      <c r="L6871" s="6" t="s">
        <v>36</v>
      </c>
      <c r="M6871" s="3" t="s">
        <v>36</v>
      </c>
      <c r="N6871" s="3" t="s">
        <v>36</v>
      </c>
      <c r="O6871" s="8" t="s">
        <v>36</v>
      </c>
      <c r="P6871" s="3" t="s">
        <v>36</v>
      </c>
      <c r="Q6871" s="3" t="s">
        <v>36</v>
      </c>
      <c r="R6871" s="3" t="s">
        <v>36</v>
      </c>
      <c r="S6871" s="3" t="s">
        <v>36</v>
      </c>
      <c r="T6871" s="3" t="s">
        <v>12057</v>
      </c>
      <c r="U6871" s="3" t="s">
        <v>233</v>
      </c>
      <c r="V6871" s="3" t="s">
        <v>39</v>
      </c>
      <c r="W6871" s="3" t="s">
        <v>27876</v>
      </c>
      <c r="X6871" s="10" t="s">
        <v>29451</v>
      </c>
      <c r="Y6871" s="6" t="s">
        <v>42</v>
      </c>
      <c r="Z6871" s="4">
        <v>0.54</v>
      </c>
      <c r="AA6871" s="4">
        <v>2.18</v>
      </c>
      <c r="AB6871" s="3" t="s">
        <v>43</v>
      </c>
      <c r="AC6871" s="3" t="s">
        <v>27878</v>
      </c>
      <c r="AD6871" s="9">
        <v>42370</v>
      </c>
      <c r="AE6871" s="3" t="s">
        <v>12061</v>
      </c>
      <c r="AF6871" s="3" t="s">
        <v>1636</v>
      </c>
      <c r="AG6871" s="3" t="s">
        <v>81</v>
      </c>
      <c r="AH6871" s="11">
        <f>HYPERLINK("https://my.pitchbook.com?c=95357-53T","View Company Online")</f>
      </c>
    </row>
    <row r="6872">
      <c r="A6872" s="12" t="s">
        <v>30843</v>
      </c>
      <c r="B6872" s="12" t="s">
        <v>30844</v>
      </c>
      <c r="C6872" s="19" t="s">
        <v>36</v>
      </c>
      <c r="D6872" s="19">
        <v>13</v>
      </c>
      <c r="E6872" s="19">
        <v>3</v>
      </c>
      <c r="F6872" s="19">
        <v>14</v>
      </c>
      <c r="G6872" s="15" t="s">
        <v>36</v>
      </c>
      <c r="H6872" s="14" t="s">
        <v>36</v>
      </c>
      <c r="I6872" s="18" t="s">
        <v>36</v>
      </c>
      <c r="J6872" s="12" t="s">
        <v>36</v>
      </c>
      <c r="K6872" s="13" t="s">
        <v>36</v>
      </c>
      <c r="L6872" s="15" t="s">
        <v>36</v>
      </c>
      <c r="M6872" s="12" t="s">
        <v>36</v>
      </c>
      <c r="N6872" s="12" t="s">
        <v>36</v>
      </c>
      <c r="O6872" s="17" t="s">
        <v>36</v>
      </c>
      <c r="P6872" s="12" t="s">
        <v>36</v>
      </c>
      <c r="Q6872" s="12" t="s">
        <v>36</v>
      </c>
      <c r="R6872" s="12" t="s">
        <v>36</v>
      </c>
      <c r="S6872" s="12" t="s">
        <v>36</v>
      </c>
      <c r="T6872" s="12" t="s">
        <v>2213</v>
      </c>
      <c r="U6872" s="12" t="s">
        <v>219</v>
      </c>
      <c r="V6872" s="12" t="s">
        <v>75</v>
      </c>
      <c r="W6872" s="12" t="s">
        <v>30845</v>
      </c>
      <c r="X6872" s="16" t="s">
        <v>30846</v>
      </c>
      <c r="Y6872" s="15" t="s">
        <v>108</v>
      </c>
      <c r="Z6872" s="14" t="s">
        <v>36</v>
      </c>
      <c r="AA6872" s="14" t="s">
        <v>36</v>
      </c>
      <c r="AB6872" s="12" t="s">
        <v>56</v>
      </c>
      <c r="AC6872" s="12" t="s">
        <v>30847</v>
      </c>
      <c r="AD6872" s="13">
        <v>42370</v>
      </c>
      <c r="AE6872" s="12" t="s">
        <v>1912</v>
      </c>
      <c r="AF6872" s="12" t="s">
        <v>30848</v>
      </c>
      <c r="AG6872" s="12" t="s">
        <v>30849</v>
      </c>
      <c r="AH6872" s="1">
        <f>HYPERLINK("https://my.pitchbook.com?c=194530-06T","View Company Online")</f>
      </c>
    </row>
    <row r="6873">
      <c r="A6873" s="3" t="s">
        <v>30850</v>
      </c>
      <c r="B6873" s="3" t="s">
        <v>23823</v>
      </c>
      <c r="C6873" s="5">
        <v>4</v>
      </c>
      <c r="D6873" s="5">
        <v>26</v>
      </c>
      <c r="E6873" s="5">
        <v>7</v>
      </c>
      <c r="F6873" s="5">
        <v>42</v>
      </c>
      <c r="G6873" s="6" t="s">
        <v>36</v>
      </c>
      <c r="H6873" s="4">
        <v>127.74</v>
      </c>
      <c r="I6873" s="7">
        <v>42.95</v>
      </c>
      <c r="J6873" s="3" t="s">
        <v>521</v>
      </c>
      <c r="K6873" s="9" t="s">
        <v>36</v>
      </c>
      <c r="L6873" s="6" t="s">
        <v>122</v>
      </c>
      <c r="M6873" s="3" t="s">
        <v>36</v>
      </c>
      <c r="N6873" s="3" t="s">
        <v>122</v>
      </c>
      <c r="O6873" s="8" t="s">
        <v>36</v>
      </c>
      <c r="P6873" s="3" t="s">
        <v>36</v>
      </c>
      <c r="Q6873" s="3" t="s">
        <v>36</v>
      </c>
      <c r="R6873" s="3" t="s">
        <v>36</v>
      </c>
      <c r="S6873" s="3" t="s">
        <v>36</v>
      </c>
      <c r="T6873" s="3" t="s">
        <v>881</v>
      </c>
      <c r="U6873" s="3" t="s">
        <v>51</v>
      </c>
      <c r="V6873" s="3" t="s">
        <v>52</v>
      </c>
      <c r="W6873" s="3" t="s">
        <v>23824</v>
      </c>
      <c r="X6873" s="10" t="s">
        <v>30851</v>
      </c>
      <c r="Y6873" s="6" t="s">
        <v>42</v>
      </c>
      <c r="Z6873" s="4">
        <v>10.88</v>
      </c>
      <c r="AA6873" s="4">
        <v>18.48</v>
      </c>
      <c r="AB6873" s="3" t="s">
        <v>56</v>
      </c>
      <c r="AC6873" s="3" t="s">
        <v>23826</v>
      </c>
      <c r="AD6873" s="9">
        <v>42370</v>
      </c>
      <c r="AE6873" s="3" t="s">
        <v>504</v>
      </c>
      <c r="AF6873" s="3" t="s">
        <v>665</v>
      </c>
      <c r="AG6873" s="3" t="s">
        <v>899</v>
      </c>
      <c r="AH6873" s="11">
        <f>HYPERLINK("https://my.pitchbook.com?c=187876-72T","View Company Online")</f>
      </c>
    </row>
    <row r="6874">
      <c r="A6874" s="12" t="s">
        <v>30852</v>
      </c>
      <c r="B6874" s="12" t="s">
        <v>30853</v>
      </c>
      <c r="C6874" s="19" t="s">
        <v>36</v>
      </c>
      <c r="D6874" s="19" t="s">
        <v>36</v>
      </c>
      <c r="E6874" s="19" t="s">
        <v>36</v>
      </c>
      <c r="F6874" s="19" t="s">
        <v>36</v>
      </c>
      <c r="G6874" s="15" t="s">
        <v>36</v>
      </c>
      <c r="H6874" s="14" t="s">
        <v>36</v>
      </c>
      <c r="I6874" s="18" t="s">
        <v>36</v>
      </c>
      <c r="J6874" s="12" t="s">
        <v>36</v>
      </c>
      <c r="K6874" s="13" t="s">
        <v>36</v>
      </c>
      <c r="L6874" s="15" t="s">
        <v>36</v>
      </c>
      <c r="M6874" s="12" t="s">
        <v>36</v>
      </c>
      <c r="N6874" s="12" t="s">
        <v>36</v>
      </c>
      <c r="O6874" s="17" t="s">
        <v>36</v>
      </c>
      <c r="P6874" s="12" t="s">
        <v>36</v>
      </c>
      <c r="Q6874" s="12" t="s">
        <v>36</v>
      </c>
      <c r="R6874" s="12" t="s">
        <v>36</v>
      </c>
      <c r="S6874" s="12" t="s">
        <v>36</v>
      </c>
      <c r="T6874" s="12" t="s">
        <v>30854</v>
      </c>
      <c r="U6874" s="12" t="s">
        <v>38</v>
      </c>
      <c r="V6874" s="12" t="s">
        <v>39</v>
      </c>
      <c r="W6874" s="12" t="s">
        <v>30855</v>
      </c>
      <c r="X6874" s="16" t="s">
        <v>30856</v>
      </c>
      <c r="Y6874" s="15" t="s">
        <v>42</v>
      </c>
      <c r="Z6874" s="14">
        <v>0.35</v>
      </c>
      <c r="AA6874" s="14" t="s">
        <v>36</v>
      </c>
      <c r="AB6874" s="12" t="s">
        <v>43</v>
      </c>
      <c r="AC6874" s="12" t="s">
        <v>30857</v>
      </c>
      <c r="AD6874" s="13">
        <v>42370</v>
      </c>
      <c r="AE6874" s="12" t="s">
        <v>1945</v>
      </c>
      <c r="AF6874" s="12" t="s">
        <v>9377</v>
      </c>
      <c r="AG6874" s="12" t="s">
        <v>102</v>
      </c>
      <c r="AH6874" s="1">
        <f>HYPERLINK("https://my.pitchbook.com?c=89322-40T","View Company Online")</f>
      </c>
    </row>
    <row r="6875">
      <c r="A6875" s="3" t="s">
        <v>30858</v>
      </c>
      <c r="B6875" s="3" t="s">
        <v>17962</v>
      </c>
      <c r="C6875" s="5" t="s">
        <v>36</v>
      </c>
      <c r="D6875" s="5" t="s">
        <v>36</v>
      </c>
      <c r="E6875" s="5" t="s">
        <v>36</v>
      </c>
      <c r="F6875" s="5" t="s">
        <v>36</v>
      </c>
      <c r="G6875" s="6" t="s">
        <v>36</v>
      </c>
      <c r="H6875" s="4" t="s">
        <v>36</v>
      </c>
      <c r="I6875" s="7" t="s">
        <v>36</v>
      </c>
      <c r="J6875" s="3" t="s">
        <v>36</v>
      </c>
      <c r="K6875" s="9" t="s">
        <v>36</v>
      </c>
      <c r="L6875" s="6" t="s">
        <v>36</v>
      </c>
      <c r="M6875" s="3" t="s">
        <v>36</v>
      </c>
      <c r="N6875" s="3" t="s">
        <v>36</v>
      </c>
      <c r="O6875" s="8" t="s">
        <v>36</v>
      </c>
      <c r="P6875" s="3" t="s">
        <v>36</v>
      </c>
      <c r="Q6875" s="3" t="s">
        <v>36</v>
      </c>
      <c r="R6875" s="3" t="s">
        <v>36</v>
      </c>
      <c r="S6875" s="3" t="s">
        <v>36</v>
      </c>
      <c r="T6875" s="3" t="s">
        <v>365</v>
      </c>
      <c r="U6875" s="3" t="s">
        <v>366</v>
      </c>
      <c r="V6875" s="3" t="s">
        <v>367</v>
      </c>
      <c r="W6875" s="3" t="s">
        <v>17963</v>
      </c>
      <c r="X6875" s="10" t="s">
        <v>21450</v>
      </c>
      <c r="Y6875" s="6" t="s">
        <v>42</v>
      </c>
      <c r="Z6875" s="4">
        <v>1.03</v>
      </c>
      <c r="AA6875" s="4" t="s">
        <v>36</v>
      </c>
      <c r="AB6875" s="3" t="s">
        <v>56</v>
      </c>
      <c r="AC6875" s="3" t="s">
        <v>17965</v>
      </c>
      <c r="AD6875" s="9">
        <v>42370</v>
      </c>
      <c r="AE6875" s="3" t="s">
        <v>371</v>
      </c>
      <c r="AF6875" s="3" t="s">
        <v>982</v>
      </c>
      <c r="AG6875" s="3" t="s">
        <v>17966</v>
      </c>
      <c r="AH6875" s="11">
        <f>HYPERLINK("https://my.pitchbook.com?c=88173-28T","View Company Online")</f>
      </c>
    </row>
    <row r="6876">
      <c r="A6876" s="12" t="s">
        <v>30859</v>
      </c>
      <c r="B6876" s="12" t="s">
        <v>30860</v>
      </c>
      <c r="C6876" s="19" t="s">
        <v>36</v>
      </c>
      <c r="D6876" s="19" t="s">
        <v>36</v>
      </c>
      <c r="E6876" s="19" t="s">
        <v>36</v>
      </c>
      <c r="F6876" s="19" t="s">
        <v>36</v>
      </c>
      <c r="G6876" s="15" t="s">
        <v>36</v>
      </c>
      <c r="H6876" s="14" t="s">
        <v>36</v>
      </c>
      <c r="I6876" s="18" t="s">
        <v>36</v>
      </c>
      <c r="J6876" s="12" t="s">
        <v>36</v>
      </c>
      <c r="K6876" s="13" t="s">
        <v>36</v>
      </c>
      <c r="L6876" s="15" t="s">
        <v>36</v>
      </c>
      <c r="M6876" s="12" t="s">
        <v>36</v>
      </c>
      <c r="N6876" s="12" t="s">
        <v>36</v>
      </c>
      <c r="O6876" s="17" t="s">
        <v>36</v>
      </c>
      <c r="P6876" s="12" t="s">
        <v>36</v>
      </c>
      <c r="Q6876" s="12" t="s">
        <v>36</v>
      </c>
      <c r="R6876" s="12" t="s">
        <v>36</v>
      </c>
      <c r="S6876" s="12" t="s">
        <v>36</v>
      </c>
      <c r="T6876" s="12" t="s">
        <v>30861</v>
      </c>
      <c r="U6876" s="12" t="s">
        <v>38</v>
      </c>
      <c r="V6876" s="12" t="s">
        <v>39</v>
      </c>
      <c r="W6876" s="12" t="s">
        <v>30862</v>
      </c>
      <c r="X6876" s="16" t="s">
        <v>30863</v>
      </c>
      <c r="Y6876" s="15" t="s">
        <v>42</v>
      </c>
      <c r="Z6876" s="14" t="s">
        <v>36</v>
      </c>
      <c r="AA6876" s="14" t="s">
        <v>36</v>
      </c>
      <c r="AB6876" s="12" t="s">
        <v>43</v>
      </c>
      <c r="AC6876" s="12" t="s">
        <v>30864</v>
      </c>
      <c r="AD6876" s="13">
        <v>42370</v>
      </c>
      <c r="AE6876" s="12" t="s">
        <v>554</v>
      </c>
      <c r="AF6876" s="12" t="s">
        <v>30865</v>
      </c>
      <c r="AG6876" s="12" t="s">
        <v>81</v>
      </c>
      <c r="AH6876" s="1">
        <f>HYPERLINK("https://my.pitchbook.com?c=127693-00T","View Company Online")</f>
      </c>
    </row>
    <row r="6877">
      <c r="A6877" s="3" t="s">
        <v>30866</v>
      </c>
      <c r="B6877" s="3" t="s">
        <v>30867</v>
      </c>
      <c r="C6877" s="5" t="s">
        <v>36</v>
      </c>
      <c r="D6877" s="5" t="s">
        <v>36</v>
      </c>
      <c r="E6877" s="5" t="s">
        <v>36</v>
      </c>
      <c r="F6877" s="5" t="s">
        <v>36</v>
      </c>
      <c r="G6877" s="6" t="s">
        <v>36</v>
      </c>
      <c r="H6877" s="4" t="s">
        <v>36</v>
      </c>
      <c r="I6877" s="7" t="s">
        <v>36</v>
      </c>
      <c r="J6877" s="3" t="s">
        <v>36</v>
      </c>
      <c r="K6877" s="9" t="s">
        <v>36</v>
      </c>
      <c r="L6877" s="6" t="s">
        <v>36</v>
      </c>
      <c r="M6877" s="3" t="s">
        <v>36</v>
      </c>
      <c r="N6877" s="3" t="s">
        <v>36</v>
      </c>
      <c r="O6877" s="8" t="s">
        <v>36</v>
      </c>
      <c r="P6877" s="3" t="s">
        <v>36</v>
      </c>
      <c r="Q6877" s="3" t="s">
        <v>36</v>
      </c>
      <c r="R6877" s="3" t="s">
        <v>36</v>
      </c>
      <c r="S6877" s="3" t="s">
        <v>36</v>
      </c>
      <c r="T6877" s="3" t="s">
        <v>30868</v>
      </c>
      <c r="U6877" s="3" t="s">
        <v>833</v>
      </c>
      <c r="V6877" s="3" t="s">
        <v>64</v>
      </c>
      <c r="W6877" s="3" t="s">
        <v>30869</v>
      </c>
      <c r="X6877" s="10" t="s">
        <v>30870</v>
      </c>
      <c r="Y6877" s="6" t="s">
        <v>42</v>
      </c>
      <c r="Z6877" s="4" t="s">
        <v>36</v>
      </c>
      <c r="AA6877" s="4" t="s">
        <v>36</v>
      </c>
      <c r="AB6877" s="3" t="s">
        <v>43</v>
      </c>
      <c r="AC6877" s="3" t="s">
        <v>30871</v>
      </c>
      <c r="AD6877" s="9">
        <v>42370</v>
      </c>
      <c r="AE6877" s="3" t="s">
        <v>3615</v>
      </c>
      <c r="AF6877" s="3" t="s">
        <v>27571</v>
      </c>
      <c r="AG6877" s="3" t="s">
        <v>81</v>
      </c>
      <c r="AH6877" s="11">
        <f>HYPERLINK("https://my.pitchbook.com?c=85547-44T","View Company Online")</f>
      </c>
    </row>
    <row r="6878">
      <c r="A6878" s="12" t="s">
        <v>30872</v>
      </c>
      <c r="B6878" s="12" t="s">
        <v>30873</v>
      </c>
      <c r="C6878" s="19" t="s">
        <v>36</v>
      </c>
      <c r="D6878" s="19" t="s">
        <v>36</v>
      </c>
      <c r="E6878" s="19" t="s">
        <v>36</v>
      </c>
      <c r="F6878" s="19" t="s">
        <v>36</v>
      </c>
      <c r="G6878" s="15" t="s">
        <v>36</v>
      </c>
      <c r="H6878" s="14" t="s">
        <v>36</v>
      </c>
      <c r="I6878" s="18" t="s">
        <v>36</v>
      </c>
      <c r="J6878" s="12" t="s">
        <v>36</v>
      </c>
      <c r="K6878" s="13" t="s">
        <v>36</v>
      </c>
      <c r="L6878" s="15" t="s">
        <v>36</v>
      </c>
      <c r="M6878" s="12" t="s">
        <v>36</v>
      </c>
      <c r="N6878" s="12" t="s">
        <v>36</v>
      </c>
      <c r="O6878" s="17" t="s">
        <v>36</v>
      </c>
      <c r="P6878" s="12" t="s">
        <v>36</v>
      </c>
      <c r="Q6878" s="12" t="s">
        <v>36</v>
      </c>
      <c r="R6878" s="12" t="s">
        <v>36</v>
      </c>
      <c r="S6878" s="12" t="s">
        <v>36</v>
      </c>
      <c r="T6878" s="12" t="s">
        <v>10778</v>
      </c>
      <c r="U6878" s="12" t="s">
        <v>423</v>
      </c>
      <c r="V6878" s="12" t="s">
        <v>64</v>
      </c>
      <c r="W6878" s="12" t="s">
        <v>30874</v>
      </c>
      <c r="X6878" s="16" t="s">
        <v>30875</v>
      </c>
      <c r="Y6878" s="15" t="s">
        <v>55</v>
      </c>
      <c r="Z6878" s="14">
        <v>2.83</v>
      </c>
      <c r="AA6878" s="14" t="s">
        <v>36</v>
      </c>
      <c r="AB6878" s="12" t="s">
        <v>56</v>
      </c>
      <c r="AC6878" s="12" t="s">
        <v>30876</v>
      </c>
      <c r="AD6878" s="13">
        <v>42370</v>
      </c>
      <c r="AE6878" s="12" t="s">
        <v>427</v>
      </c>
      <c r="AF6878" s="12" t="s">
        <v>36</v>
      </c>
      <c r="AG6878" s="12" t="s">
        <v>30877</v>
      </c>
      <c r="AH6878" s="1">
        <f>HYPERLINK("https://my.pitchbook.com?c=27594-82T","View Company Online")</f>
      </c>
    </row>
    <row r="6879">
      <c r="A6879" s="3" t="s">
        <v>30878</v>
      </c>
      <c r="B6879" s="3" t="s">
        <v>30879</v>
      </c>
      <c r="C6879" s="5" t="s">
        <v>36</v>
      </c>
      <c r="D6879" s="5" t="s">
        <v>36</v>
      </c>
      <c r="E6879" s="5" t="s">
        <v>36</v>
      </c>
      <c r="F6879" s="5" t="s">
        <v>36</v>
      </c>
      <c r="G6879" s="6" t="s">
        <v>36</v>
      </c>
      <c r="H6879" s="4" t="s">
        <v>36</v>
      </c>
      <c r="I6879" s="7" t="s">
        <v>36</v>
      </c>
      <c r="J6879" s="3" t="s">
        <v>36</v>
      </c>
      <c r="K6879" s="9" t="s">
        <v>36</v>
      </c>
      <c r="L6879" s="6" t="s">
        <v>36</v>
      </c>
      <c r="M6879" s="3" t="s">
        <v>36</v>
      </c>
      <c r="N6879" s="3" t="s">
        <v>36</v>
      </c>
      <c r="O6879" s="8" t="s">
        <v>36</v>
      </c>
      <c r="P6879" s="3" t="s">
        <v>36</v>
      </c>
      <c r="Q6879" s="3" t="s">
        <v>36</v>
      </c>
      <c r="R6879" s="3" t="s">
        <v>36</v>
      </c>
      <c r="S6879" s="3" t="s">
        <v>36</v>
      </c>
      <c r="T6879" s="3" t="s">
        <v>3270</v>
      </c>
      <c r="U6879" s="3" t="s">
        <v>1336</v>
      </c>
      <c r="V6879" s="3" t="s">
        <v>367</v>
      </c>
      <c r="W6879" s="3" t="s">
        <v>30880</v>
      </c>
      <c r="X6879" s="10" t="s">
        <v>30881</v>
      </c>
      <c r="Y6879" s="6" t="s">
        <v>42</v>
      </c>
      <c r="Z6879" s="4">
        <v>0.28</v>
      </c>
      <c r="AA6879" s="4" t="s">
        <v>36</v>
      </c>
      <c r="AB6879" s="3" t="s">
        <v>43</v>
      </c>
      <c r="AC6879" s="3" t="s">
        <v>30882</v>
      </c>
      <c r="AD6879" s="9">
        <v>42370</v>
      </c>
      <c r="AE6879" s="3" t="s">
        <v>2464</v>
      </c>
      <c r="AF6879" s="3" t="s">
        <v>36</v>
      </c>
      <c r="AG6879" s="3" t="s">
        <v>102</v>
      </c>
      <c r="AH6879" s="11">
        <f>HYPERLINK("https://my.pitchbook.com?c=89349-76T","View Company Online")</f>
      </c>
    </row>
    <row r="6880">
      <c r="A6880" s="12" t="s">
        <v>30883</v>
      </c>
      <c r="B6880" s="12" t="s">
        <v>30884</v>
      </c>
      <c r="C6880" s="19" t="s">
        <v>36</v>
      </c>
      <c r="D6880" s="19" t="s">
        <v>36</v>
      </c>
      <c r="E6880" s="19" t="s">
        <v>36</v>
      </c>
      <c r="F6880" s="19" t="s">
        <v>36</v>
      </c>
      <c r="G6880" s="15" t="s">
        <v>36</v>
      </c>
      <c r="H6880" s="14">
        <v>946.76</v>
      </c>
      <c r="I6880" s="18">
        <v>72.39</v>
      </c>
      <c r="J6880" s="12" t="s">
        <v>521</v>
      </c>
      <c r="K6880" s="13" t="s">
        <v>36</v>
      </c>
      <c r="L6880" s="15" t="s">
        <v>36</v>
      </c>
      <c r="M6880" s="12" t="s">
        <v>36</v>
      </c>
      <c r="N6880" s="12" t="s">
        <v>36</v>
      </c>
      <c r="O6880" s="17" t="s">
        <v>36</v>
      </c>
      <c r="P6880" s="12" t="s">
        <v>36</v>
      </c>
      <c r="Q6880" s="12" t="s">
        <v>36</v>
      </c>
      <c r="R6880" s="12" t="s">
        <v>36</v>
      </c>
      <c r="S6880" s="12" t="s">
        <v>36</v>
      </c>
      <c r="T6880" s="12" t="s">
        <v>26391</v>
      </c>
      <c r="U6880" s="12" t="s">
        <v>38</v>
      </c>
      <c r="V6880" s="12" t="s">
        <v>39</v>
      </c>
      <c r="W6880" s="12" t="s">
        <v>30885</v>
      </c>
      <c r="X6880" s="16" t="s">
        <v>857</v>
      </c>
      <c r="Y6880" s="15" t="s">
        <v>42</v>
      </c>
      <c r="Z6880" s="14">
        <v>2.12</v>
      </c>
      <c r="AA6880" s="14">
        <v>2.93</v>
      </c>
      <c r="AB6880" s="12" t="s">
        <v>43</v>
      </c>
      <c r="AC6880" s="12" t="s">
        <v>30886</v>
      </c>
      <c r="AD6880" s="13">
        <v>42370</v>
      </c>
      <c r="AE6880" s="12" t="s">
        <v>339</v>
      </c>
      <c r="AF6880" s="12" t="s">
        <v>1077</v>
      </c>
      <c r="AG6880" s="12" t="s">
        <v>899</v>
      </c>
      <c r="AH6880" s="1">
        <f>HYPERLINK("https://my.pitchbook.com?c=80874-37T","View Company Online")</f>
      </c>
    </row>
    <row r="6881">
      <c r="A6881" s="3" t="s">
        <v>30887</v>
      </c>
      <c r="B6881" s="3" t="s">
        <v>30888</v>
      </c>
      <c r="C6881" s="5" t="s">
        <v>36</v>
      </c>
      <c r="D6881" s="5">
        <v>1</v>
      </c>
      <c r="E6881" s="5">
        <v>1</v>
      </c>
      <c r="F6881" s="5">
        <v>2</v>
      </c>
      <c r="G6881" s="6" t="s">
        <v>36</v>
      </c>
      <c r="H6881" s="4" t="s">
        <v>36</v>
      </c>
      <c r="I6881" s="7" t="s">
        <v>36</v>
      </c>
      <c r="J6881" s="3" t="s">
        <v>36</v>
      </c>
      <c r="K6881" s="9" t="s">
        <v>36</v>
      </c>
      <c r="L6881" s="6" t="s">
        <v>36</v>
      </c>
      <c r="M6881" s="3" t="s">
        <v>36</v>
      </c>
      <c r="N6881" s="3" t="s">
        <v>36</v>
      </c>
      <c r="O6881" s="8" t="s">
        <v>36</v>
      </c>
      <c r="P6881" s="3" t="s">
        <v>36</v>
      </c>
      <c r="Q6881" s="3" t="s">
        <v>36</v>
      </c>
      <c r="R6881" s="3" t="s">
        <v>36</v>
      </c>
      <c r="S6881" s="3" t="s">
        <v>36</v>
      </c>
      <c r="T6881" s="3" t="s">
        <v>105</v>
      </c>
      <c r="U6881" s="3" t="s">
        <v>38</v>
      </c>
      <c r="V6881" s="3" t="s">
        <v>39</v>
      </c>
      <c r="W6881" s="3" t="s">
        <v>30889</v>
      </c>
      <c r="X6881" s="10" t="s">
        <v>30890</v>
      </c>
      <c r="Y6881" s="6" t="s">
        <v>192</v>
      </c>
      <c r="Z6881" s="4" t="s">
        <v>36</v>
      </c>
      <c r="AA6881" s="4" t="s">
        <v>36</v>
      </c>
      <c r="AB6881" s="3" t="s">
        <v>56</v>
      </c>
      <c r="AC6881" s="3" t="s">
        <v>30891</v>
      </c>
      <c r="AD6881" s="9">
        <v>42370</v>
      </c>
      <c r="AE6881" s="3" t="s">
        <v>110</v>
      </c>
      <c r="AF6881" s="3" t="s">
        <v>275</v>
      </c>
      <c r="AG6881" s="3" t="s">
        <v>652</v>
      </c>
      <c r="AH6881" s="11">
        <f>HYPERLINK("https://my.pitchbook.com?c=65041-93T","View Company Online")</f>
      </c>
    </row>
    <row r="6882">
      <c r="A6882" s="12" t="s">
        <v>30892</v>
      </c>
      <c r="B6882" s="12" t="s">
        <v>30893</v>
      </c>
      <c r="C6882" s="19" t="s">
        <v>36</v>
      </c>
      <c r="D6882" s="19" t="s">
        <v>36</v>
      </c>
      <c r="E6882" s="19" t="s">
        <v>36</v>
      </c>
      <c r="F6882" s="19" t="s">
        <v>36</v>
      </c>
      <c r="G6882" s="15" t="s">
        <v>36</v>
      </c>
      <c r="H6882" s="14" t="s">
        <v>36</v>
      </c>
      <c r="I6882" s="18" t="s">
        <v>36</v>
      </c>
      <c r="J6882" s="12" t="s">
        <v>36</v>
      </c>
      <c r="K6882" s="13" t="s">
        <v>36</v>
      </c>
      <c r="L6882" s="15" t="s">
        <v>36</v>
      </c>
      <c r="M6882" s="12" t="s">
        <v>36</v>
      </c>
      <c r="N6882" s="12" t="s">
        <v>36</v>
      </c>
      <c r="O6882" s="17" t="s">
        <v>36</v>
      </c>
      <c r="P6882" s="12" t="s">
        <v>36</v>
      </c>
      <c r="Q6882" s="12" t="s">
        <v>36</v>
      </c>
      <c r="R6882" s="12" t="s">
        <v>36</v>
      </c>
      <c r="S6882" s="12" t="s">
        <v>36</v>
      </c>
      <c r="T6882" s="12" t="s">
        <v>30894</v>
      </c>
      <c r="U6882" s="12" t="s">
        <v>1798</v>
      </c>
      <c r="V6882" s="12" t="s">
        <v>39</v>
      </c>
      <c r="W6882" s="12" t="s">
        <v>30895</v>
      </c>
      <c r="X6882" s="16" t="s">
        <v>30896</v>
      </c>
      <c r="Y6882" s="15" t="s">
        <v>42</v>
      </c>
      <c r="Z6882" s="14">
        <v>4.35</v>
      </c>
      <c r="AA6882" s="14" t="s">
        <v>36</v>
      </c>
      <c r="AB6882" s="12" t="s">
        <v>56</v>
      </c>
      <c r="AC6882" s="12" t="s">
        <v>30897</v>
      </c>
      <c r="AD6882" s="13">
        <v>42370</v>
      </c>
      <c r="AE6882" s="12" t="s">
        <v>1802</v>
      </c>
      <c r="AF6882" s="12" t="s">
        <v>24285</v>
      </c>
      <c r="AG6882" s="12" t="s">
        <v>30898</v>
      </c>
      <c r="AH6882" s="1">
        <f>HYPERLINK("https://my.pitchbook.com?c=101733-13T","View Company Online")</f>
      </c>
    </row>
    <row r="6883">
      <c r="A6883" s="3" t="s">
        <v>30899</v>
      </c>
      <c r="B6883" s="3" t="s">
        <v>1752</v>
      </c>
      <c r="C6883" s="5">
        <v>2</v>
      </c>
      <c r="D6883" s="5">
        <v>31</v>
      </c>
      <c r="E6883" s="5">
        <v>11</v>
      </c>
      <c r="F6883" s="5">
        <v>36</v>
      </c>
      <c r="G6883" s="6" t="s">
        <v>36</v>
      </c>
      <c r="H6883" s="4">
        <v>155.78</v>
      </c>
      <c r="I6883" s="7">
        <v>8.81</v>
      </c>
      <c r="J6883" s="3" t="s">
        <v>521</v>
      </c>
      <c r="K6883" s="9" t="s">
        <v>36</v>
      </c>
      <c r="L6883" s="6" t="s">
        <v>36</v>
      </c>
      <c r="M6883" s="3" t="s">
        <v>36</v>
      </c>
      <c r="N6883" s="3" t="s">
        <v>36</v>
      </c>
      <c r="O6883" s="8" t="s">
        <v>36</v>
      </c>
      <c r="P6883" s="3" t="s">
        <v>36</v>
      </c>
      <c r="Q6883" s="3" t="s">
        <v>36</v>
      </c>
      <c r="R6883" s="3" t="s">
        <v>36</v>
      </c>
      <c r="S6883" s="3" t="s">
        <v>36</v>
      </c>
      <c r="T6883" s="3" t="s">
        <v>596</v>
      </c>
      <c r="U6883" s="3" t="s">
        <v>366</v>
      </c>
      <c r="V6883" s="3" t="s">
        <v>367</v>
      </c>
      <c r="W6883" s="3" t="s">
        <v>1753</v>
      </c>
      <c r="X6883" s="10" t="s">
        <v>2455</v>
      </c>
      <c r="Y6883" s="6" t="s">
        <v>42</v>
      </c>
      <c r="Z6883" s="4">
        <v>1.58</v>
      </c>
      <c r="AA6883" s="4">
        <v>17.89</v>
      </c>
      <c r="AB6883" s="3" t="s">
        <v>56</v>
      </c>
      <c r="AC6883" s="3" t="s">
        <v>1755</v>
      </c>
      <c r="AD6883" s="9">
        <v>42370</v>
      </c>
      <c r="AE6883" s="3" t="s">
        <v>600</v>
      </c>
      <c r="AF6883" s="3" t="s">
        <v>1756</v>
      </c>
      <c r="AG6883" s="3" t="s">
        <v>800</v>
      </c>
      <c r="AH6883" s="11">
        <f>HYPERLINK("https://my.pitchbook.com?c=107273-26T","View Company Online")</f>
      </c>
    </row>
    <row r="6884">
      <c r="A6884" s="12" t="s">
        <v>30900</v>
      </c>
      <c r="B6884" s="12" t="s">
        <v>30901</v>
      </c>
      <c r="C6884" s="19" t="s">
        <v>36</v>
      </c>
      <c r="D6884" s="19" t="s">
        <v>36</v>
      </c>
      <c r="E6884" s="19" t="s">
        <v>36</v>
      </c>
      <c r="F6884" s="19" t="s">
        <v>36</v>
      </c>
      <c r="G6884" s="15" t="s">
        <v>36</v>
      </c>
      <c r="H6884" s="14" t="s">
        <v>36</v>
      </c>
      <c r="I6884" s="18" t="s">
        <v>36</v>
      </c>
      <c r="J6884" s="12" t="s">
        <v>36</v>
      </c>
      <c r="K6884" s="13" t="s">
        <v>36</v>
      </c>
      <c r="L6884" s="15" t="s">
        <v>36</v>
      </c>
      <c r="M6884" s="12" t="s">
        <v>36</v>
      </c>
      <c r="N6884" s="12" t="s">
        <v>36</v>
      </c>
      <c r="O6884" s="17" t="s">
        <v>36</v>
      </c>
      <c r="P6884" s="12" t="s">
        <v>36</v>
      </c>
      <c r="Q6884" s="12" t="s">
        <v>36</v>
      </c>
      <c r="R6884" s="12" t="s">
        <v>36</v>
      </c>
      <c r="S6884" s="12" t="s">
        <v>36</v>
      </c>
      <c r="T6884" s="12" t="s">
        <v>1162</v>
      </c>
      <c r="U6884" s="12" t="s">
        <v>423</v>
      </c>
      <c r="V6884" s="12" t="s">
        <v>64</v>
      </c>
      <c r="W6884" s="12" t="s">
        <v>30902</v>
      </c>
      <c r="X6884" s="16" t="s">
        <v>5661</v>
      </c>
      <c r="Y6884" s="15" t="s">
        <v>42</v>
      </c>
      <c r="Z6884" s="14" t="s">
        <v>36</v>
      </c>
      <c r="AA6884" s="14" t="s">
        <v>36</v>
      </c>
      <c r="AB6884" s="12" t="s">
        <v>43</v>
      </c>
      <c r="AC6884" s="12" t="s">
        <v>30903</v>
      </c>
      <c r="AD6884" s="13">
        <v>42370</v>
      </c>
      <c r="AE6884" s="12" t="s">
        <v>562</v>
      </c>
      <c r="AF6884" s="12" t="s">
        <v>36</v>
      </c>
      <c r="AG6884" s="12" t="s">
        <v>30904</v>
      </c>
      <c r="AH6884" s="1">
        <f>HYPERLINK("https://my.pitchbook.com?c=120494-35T","View Company Online")</f>
      </c>
    </row>
    <row r="6885">
      <c r="A6885" s="3" t="s">
        <v>30905</v>
      </c>
      <c r="B6885" s="3" t="s">
        <v>30906</v>
      </c>
      <c r="C6885" s="5" t="s">
        <v>36</v>
      </c>
      <c r="D6885" s="5" t="s">
        <v>36</v>
      </c>
      <c r="E6885" s="5">
        <v>3</v>
      </c>
      <c r="F6885" s="5">
        <v>3</v>
      </c>
      <c r="G6885" s="6" t="s">
        <v>36</v>
      </c>
      <c r="H6885" s="4" t="s">
        <v>36</v>
      </c>
      <c r="I6885" s="7" t="s">
        <v>36</v>
      </c>
      <c r="J6885" s="3" t="s">
        <v>36</v>
      </c>
      <c r="K6885" s="9" t="s">
        <v>36</v>
      </c>
      <c r="L6885" s="6" t="s">
        <v>36</v>
      </c>
      <c r="M6885" s="3" t="s">
        <v>36</v>
      </c>
      <c r="N6885" s="3" t="s">
        <v>36</v>
      </c>
      <c r="O6885" s="8" t="s">
        <v>36</v>
      </c>
      <c r="P6885" s="3" t="s">
        <v>36</v>
      </c>
      <c r="Q6885" s="3" t="s">
        <v>36</v>
      </c>
      <c r="R6885" s="3" t="s">
        <v>36</v>
      </c>
      <c r="S6885" s="3" t="s">
        <v>36</v>
      </c>
      <c r="T6885" s="3" t="s">
        <v>30065</v>
      </c>
      <c r="U6885" s="3" t="s">
        <v>63</v>
      </c>
      <c r="V6885" s="3" t="s">
        <v>64</v>
      </c>
      <c r="W6885" s="3" t="s">
        <v>30907</v>
      </c>
      <c r="X6885" s="10" t="s">
        <v>2869</v>
      </c>
      <c r="Y6885" s="6" t="s">
        <v>42</v>
      </c>
      <c r="Z6885" s="4" t="s">
        <v>36</v>
      </c>
      <c r="AA6885" s="4" t="s">
        <v>36</v>
      </c>
      <c r="AB6885" s="3" t="s">
        <v>56</v>
      </c>
      <c r="AC6885" s="3" t="s">
        <v>30908</v>
      </c>
      <c r="AD6885" s="9">
        <v>42370</v>
      </c>
      <c r="AE6885" s="3" t="s">
        <v>642</v>
      </c>
      <c r="AF6885" s="3" t="s">
        <v>36</v>
      </c>
      <c r="AG6885" s="3" t="s">
        <v>30909</v>
      </c>
      <c r="AH6885" s="11">
        <f>HYPERLINK("https://my.pitchbook.com?c=226082-80T","View Company Online")</f>
      </c>
    </row>
    <row r="6886">
      <c r="A6886" s="12" t="s">
        <v>30910</v>
      </c>
      <c r="B6886" s="12" t="s">
        <v>24838</v>
      </c>
      <c r="C6886" s="19" t="s">
        <v>36</v>
      </c>
      <c r="D6886" s="19" t="s">
        <v>36</v>
      </c>
      <c r="E6886" s="19" t="s">
        <v>36</v>
      </c>
      <c r="F6886" s="19" t="s">
        <v>36</v>
      </c>
      <c r="G6886" s="15" t="s">
        <v>36</v>
      </c>
      <c r="H6886" s="14" t="s">
        <v>36</v>
      </c>
      <c r="I6886" s="18" t="s">
        <v>36</v>
      </c>
      <c r="J6886" s="12" t="s">
        <v>36</v>
      </c>
      <c r="K6886" s="13" t="s">
        <v>36</v>
      </c>
      <c r="L6886" s="15" t="s">
        <v>36</v>
      </c>
      <c r="M6886" s="12" t="s">
        <v>36</v>
      </c>
      <c r="N6886" s="12" t="s">
        <v>36</v>
      </c>
      <c r="O6886" s="17" t="s">
        <v>36</v>
      </c>
      <c r="P6886" s="12" t="s">
        <v>36</v>
      </c>
      <c r="Q6886" s="12" t="s">
        <v>36</v>
      </c>
      <c r="R6886" s="12" t="s">
        <v>36</v>
      </c>
      <c r="S6886" s="12" t="s">
        <v>36</v>
      </c>
      <c r="T6886" s="12" t="s">
        <v>5302</v>
      </c>
      <c r="U6886" s="12" t="s">
        <v>74</v>
      </c>
      <c r="V6886" s="12" t="s">
        <v>75</v>
      </c>
      <c r="W6886" s="12" t="s">
        <v>24839</v>
      </c>
      <c r="X6886" s="16" t="s">
        <v>30911</v>
      </c>
      <c r="Y6886" s="15" t="s">
        <v>55</v>
      </c>
      <c r="Z6886" s="14" t="s">
        <v>36</v>
      </c>
      <c r="AA6886" s="14" t="s">
        <v>36</v>
      </c>
      <c r="AB6886" s="12" t="s">
        <v>43</v>
      </c>
      <c r="AC6886" s="12" t="s">
        <v>24840</v>
      </c>
      <c r="AD6886" s="13">
        <v>42370</v>
      </c>
      <c r="AE6886" s="12" t="s">
        <v>362</v>
      </c>
      <c r="AF6886" s="12" t="s">
        <v>24841</v>
      </c>
      <c r="AG6886" s="12" t="s">
        <v>81</v>
      </c>
      <c r="AH6886" s="1">
        <f>HYPERLINK("https://my.pitchbook.com?c=126855-10T","View Company Online")</f>
      </c>
    </row>
    <row r="6887">
      <c r="A6887" s="3" t="s">
        <v>30912</v>
      </c>
      <c r="B6887" s="3" t="s">
        <v>30913</v>
      </c>
      <c r="C6887" s="5" t="s">
        <v>36</v>
      </c>
      <c r="D6887" s="5" t="s">
        <v>36</v>
      </c>
      <c r="E6887" s="5" t="s">
        <v>36</v>
      </c>
      <c r="F6887" s="5" t="s">
        <v>36</v>
      </c>
      <c r="G6887" s="6" t="s">
        <v>36</v>
      </c>
      <c r="H6887" s="4" t="s">
        <v>36</v>
      </c>
      <c r="I6887" s="7" t="s">
        <v>36</v>
      </c>
      <c r="J6887" s="3" t="s">
        <v>36</v>
      </c>
      <c r="K6887" s="9" t="s">
        <v>36</v>
      </c>
      <c r="L6887" s="6" t="s">
        <v>36</v>
      </c>
      <c r="M6887" s="3" t="s">
        <v>36</v>
      </c>
      <c r="N6887" s="3" t="s">
        <v>36</v>
      </c>
      <c r="O6887" s="8" t="s">
        <v>36</v>
      </c>
      <c r="P6887" s="3" t="s">
        <v>36</v>
      </c>
      <c r="Q6887" s="3" t="s">
        <v>36</v>
      </c>
      <c r="R6887" s="3" t="s">
        <v>36</v>
      </c>
      <c r="S6887" s="3" t="s">
        <v>36</v>
      </c>
      <c r="T6887" s="3" t="s">
        <v>3850</v>
      </c>
      <c r="U6887" s="3" t="s">
        <v>1580</v>
      </c>
      <c r="V6887" s="3" t="s">
        <v>39</v>
      </c>
      <c r="W6887" s="3" t="s">
        <v>30914</v>
      </c>
      <c r="X6887" s="10" t="s">
        <v>2130</v>
      </c>
      <c r="Y6887" s="6" t="s">
        <v>108</v>
      </c>
      <c r="Z6887" s="4">
        <v>10.43</v>
      </c>
      <c r="AA6887" s="4" t="s">
        <v>36</v>
      </c>
      <c r="AB6887" s="3" t="s">
        <v>56</v>
      </c>
      <c r="AC6887" s="3" t="s">
        <v>30915</v>
      </c>
      <c r="AD6887" s="9">
        <v>42370</v>
      </c>
      <c r="AE6887" s="3" t="s">
        <v>3854</v>
      </c>
      <c r="AF6887" s="3" t="s">
        <v>1636</v>
      </c>
      <c r="AG6887" s="3" t="s">
        <v>81</v>
      </c>
      <c r="AH6887" s="11">
        <f>HYPERLINK("https://my.pitchbook.com?c=126964-72T","View Company Online")</f>
      </c>
    </row>
    <row r="6888">
      <c r="A6888" s="12" t="s">
        <v>30916</v>
      </c>
      <c r="B6888" s="12" t="s">
        <v>30917</v>
      </c>
      <c r="C6888" s="19" t="s">
        <v>36</v>
      </c>
      <c r="D6888" s="19" t="s">
        <v>36</v>
      </c>
      <c r="E6888" s="19" t="s">
        <v>36</v>
      </c>
      <c r="F6888" s="19" t="s">
        <v>36</v>
      </c>
      <c r="G6888" s="15" t="s">
        <v>36</v>
      </c>
      <c r="H6888" s="14" t="s">
        <v>36</v>
      </c>
      <c r="I6888" s="18" t="s">
        <v>36</v>
      </c>
      <c r="J6888" s="12" t="s">
        <v>36</v>
      </c>
      <c r="K6888" s="13" t="s">
        <v>36</v>
      </c>
      <c r="L6888" s="15" t="s">
        <v>36</v>
      </c>
      <c r="M6888" s="12" t="s">
        <v>36</v>
      </c>
      <c r="N6888" s="12" t="s">
        <v>36</v>
      </c>
      <c r="O6888" s="17" t="s">
        <v>36</v>
      </c>
      <c r="P6888" s="12" t="s">
        <v>36</v>
      </c>
      <c r="Q6888" s="12" t="s">
        <v>36</v>
      </c>
      <c r="R6888" s="12" t="s">
        <v>36</v>
      </c>
      <c r="S6888" s="12" t="s">
        <v>196</v>
      </c>
      <c r="T6888" s="12" t="s">
        <v>1560</v>
      </c>
      <c r="U6888" s="12" t="s">
        <v>438</v>
      </c>
      <c r="V6888" s="12" t="s">
        <v>405</v>
      </c>
      <c r="W6888" s="12" t="s">
        <v>30918</v>
      </c>
      <c r="X6888" s="16" t="s">
        <v>9668</v>
      </c>
      <c r="Y6888" s="15" t="s">
        <v>42</v>
      </c>
      <c r="Z6888" s="14">
        <v>1.09</v>
      </c>
      <c r="AA6888" s="14" t="s">
        <v>36</v>
      </c>
      <c r="AB6888" s="12" t="s">
        <v>43</v>
      </c>
      <c r="AC6888" s="12" t="s">
        <v>30919</v>
      </c>
      <c r="AD6888" s="13">
        <v>42370</v>
      </c>
      <c r="AE6888" s="12" t="s">
        <v>438</v>
      </c>
      <c r="AF6888" s="12" t="s">
        <v>215</v>
      </c>
      <c r="AG6888" s="12" t="s">
        <v>81</v>
      </c>
      <c r="AH6888" s="1">
        <f>HYPERLINK("https://my.pitchbook.com?c=133428-97T","View Company Online")</f>
      </c>
    </row>
    <row r="6889">
      <c r="A6889" s="3" t="s">
        <v>30920</v>
      </c>
      <c r="B6889" s="3" t="s">
        <v>470</v>
      </c>
      <c r="C6889" s="5" t="s">
        <v>36</v>
      </c>
      <c r="D6889" s="5" t="s">
        <v>36</v>
      </c>
      <c r="E6889" s="5" t="s">
        <v>36</v>
      </c>
      <c r="F6889" s="5" t="s">
        <v>36</v>
      </c>
      <c r="G6889" s="6" t="s">
        <v>36</v>
      </c>
      <c r="H6889" s="4">
        <v>4.28</v>
      </c>
      <c r="I6889" s="7">
        <v>33.02</v>
      </c>
      <c r="J6889" s="3" t="s">
        <v>521</v>
      </c>
      <c r="K6889" s="9" t="s">
        <v>36</v>
      </c>
      <c r="L6889" s="6" t="s">
        <v>36</v>
      </c>
      <c r="M6889" s="3" t="s">
        <v>36</v>
      </c>
      <c r="N6889" s="3" t="s">
        <v>36</v>
      </c>
      <c r="O6889" s="8" t="s">
        <v>36</v>
      </c>
      <c r="P6889" s="3" t="s">
        <v>36</v>
      </c>
      <c r="Q6889" s="3" t="s">
        <v>36</v>
      </c>
      <c r="R6889" s="3" t="s">
        <v>36</v>
      </c>
      <c r="S6889" s="3" t="s">
        <v>36</v>
      </c>
      <c r="T6889" s="3" t="s">
        <v>472</v>
      </c>
      <c r="U6889" s="3" t="s">
        <v>38</v>
      </c>
      <c r="V6889" s="3" t="s">
        <v>39</v>
      </c>
      <c r="W6889" s="3" t="s">
        <v>473</v>
      </c>
      <c r="X6889" s="10" t="s">
        <v>30921</v>
      </c>
      <c r="Y6889" s="6" t="s">
        <v>42</v>
      </c>
      <c r="Z6889" s="4">
        <v>2.18</v>
      </c>
      <c r="AA6889" s="4">
        <v>4.94</v>
      </c>
      <c r="AB6889" s="3" t="s">
        <v>43</v>
      </c>
      <c r="AC6889" s="3" t="s">
        <v>476</v>
      </c>
      <c r="AD6889" s="9">
        <v>42370</v>
      </c>
      <c r="AE6889" s="3" t="s">
        <v>110</v>
      </c>
      <c r="AF6889" s="3" t="s">
        <v>477</v>
      </c>
      <c r="AG6889" s="3" t="s">
        <v>81</v>
      </c>
      <c r="AH6889" s="11">
        <f>HYPERLINK("https://my.pitchbook.com?c=80149-42T","View Company Online")</f>
      </c>
    </row>
    <row r="6890">
      <c r="A6890" s="12" t="s">
        <v>30922</v>
      </c>
      <c r="B6890" s="12" t="s">
        <v>30923</v>
      </c>
      <c r="C6890" s="19" t="s">
        <v>36</v>
      </c>
      <c r="D6890" s="19" t="s">
        <v>36</v>
      </c>
      <c r="E6890" s="19" t="s">
        <v>36</v>
      </c>
      <c r="F6890" s="19" t="s">
        <v>36</v>
      </c>
      <c r="G6890" s="15" t="s">
        <v>36</v>
      </c>
      <c r="H6890" s="14" t="s">
        <v>36</v>
      </c>
      <c r="I6890" s="18" t="s">
        <v>36</v>
      </c>
      <c r="J6890" s="12" t="s">
        <v>36</v>
      </c>
      <c r="K6890" s="13" t="s">
        <v>36</v>
      </c>
      <c r="L6890" s="15" t="s">
        <v>36</v>
      </c>
      <c r="M6890" s="12" t="s">
        <v>36</v>
      </c>
      <c r="N6890" s="12" t="s">
        <v>36</v>
      </c>
      <c r="O6890" s="17" t="s">
        <v>36</v>
      </c>
      <c r="P6890" s="12" t="s">
        <v>36</v>
      </c>
      <c r="Q6890" s="12" t="s">
        <v>36</v>
      </c>
      <c r="R6890" s="12" t="s">
        <v>36</v>
      </c>
      <c r="S6890" s="12" t="s">
        <v>36</v>
      </c>
      <c r="T6890" s="12" t="s">
        <v>22034</v>
      </c>
      <c r="U6890" s="12" t="s">
        <v>833</v>
      </c>
      <c r="V6890" s="12" t="s">
        <v>64</v>
      </c>
      <c r="W6890" s="12" t="s">
        <v>30924</v>
      </c>
      <c r="X6890" s="16" t="s">
        <v>28384</v>
      </c>
      <c r="Y6890" s="15" t="s">
        <v>192</v>
      </c>
      <c r="Z6890" s="14" t="s">
        <v>36</v>
      </c>
      <c r="AA6890" s="14" t="s">
        <v>36</v>
      </c>
      <c r="AB6890" s="12" t="s">
        <v>56</v>
      </c>
      <c r="AC6890" s="12" t="s">
        <v>30925</v>
      </c>
      <c r="AD6890" s="13">
        <v>42370</v>
      </c>
      <c r="AE6890" s="12" t="s">
        <v>1069</v>
      </c>
      <c r="AF6890" s="12" t="s">
        <v>4200</v>
      </c>
      <c r="AG6890" s="12" t="s">
        <v>2618</v>
      </c>
      <c r="AH6890" s="1">
        <f>HYPERLINK("https://my.pitchbook.com?c=107324-29T","View Company Online")</f>
      </c>
    </row>
    <row r="6891">
      <c r="A6891" s="3" t="s">
        <v>30926</v>
      </c>
      <c r="B6891" s="3" t="s">
        <v>30927</v>
      </c>
      <c r="C6891" s="5" t="s">
        <v>36</v>
      </c>
      <c r="D6891" s="5" t="s">
        <v>36</v>
      </c>
      <c r="E6891" s="5" t="s">
        <v>36</v>
      </c>
      <c r="F6891" s="5" t="s">
        <v>36</v>
      </c>
      <c r="G6891" s="6" t="s">
        <v>36</v>
      </c>
      <c r="H6891" s="4" t="s">
        <v>36</v>
      </c>
      <c r="I6891" s="7" t="s">
        <v>36</v>
      </c>
      <c r="J6891" s="3" t="s">
        <v>36</v>
      </c>
      <c r="K6891" s="9" t="s">
        <v>36</v>
      </c>
      <c r="L6891" s="6" t="s">
        <v>36</v>
      </c>
      <c r="M6891" s="3" t="s">
        <v>36</v>
      </c>
      <c r="N6891" s="3" t="s">
        <v>36</v>
      </c>
      <c r="O6891" s="8" t="s">
        <v>36</v>
      </c>
      <c r="P6891" s="3" t="s">
        <v>36</v>
      </c>
      <c r="Q6891" s="3" t="s">
        <v>36</v>
      </c>
      <c r="R6891" s="3" t="s">
        <v>36</v>
      </c>
      <c r="S6891" s="3" t="s">
        <v>36</v>
      </c>
      <c r="T6891" s="3" t="s">
        <v>232</v>
      </c>
      <c r="U6891" s="3" t="s">
        <v>233</v>
      </c>
      <c r="V6891" s="3" t="s">
        <v>39</v>
      </c>
      <c r="W6891" s="3" t="s">
        <v>30928</v>
      </c>
      <c r="X6891" s="10" t="s">
        <v>17638</v>
      </c>
      <c r="Y6891" s="6" t="s">
        <v>42</v>
      </c>
      <c r="Z6891" s="4" t="s">
        <v>36</v>
      </c>
      <c r="AA6891" s="4" t="s">
        <v>36</v>
      </c>
      <c r="AB6891" s="3" t="s">
        <v>43</v>
      </c>
      <c r="AC6891" s="3" t="s">
        <v>30929</v>
      </c>
      <c r="AD6891" s="9">
        <v>42370</v>
      </c>
      <c r="AE6891" s="3" t="s">
        <v>236</v>
      </c>
      <c r="AF6891" s="3" t="s">
        <v>2593</v>
      </c>
      <c r="AG6891" s="3" t="s">
        <v>47</v>
      </c>
      <c r="AH6891" s="11">
        <f>HYPERLINK("https://my.pitchbook.com?c=205327-90T","View Company Online")</f>
      </c>
    </row>
    <row r="6892">
      <c r="A6892" s="12" t="s">
        <v>30930</v>
      </c>
      <c r="B6892" s="12" t="s">
        <v>18690</v>
      </c>
      <c r="C6892" s="19">
        <v>5</v>
      </c>
      <c r="D6892" s="19">
        <v>36</v>
      </c>
      <c r="E6892" s="19">
        <v>11</v>
      </c>
      <c r="F6892" s="19">
        <v>46</v>
      </c>
      <c r="G6892" s="15" t="s">
        <v>36</v>
      </c>
      <c r="H6892" s="14">
        <v>43.62</v>
      </c>
      <c r="I6892" s="18">
        <v>15.87</v>
      </c>
      <c r="J6892" s="12" t="s">
        <v>521</v>
      </c>
      <c r="K6892" s="13">
        <v>41359</v>
      </c>
      <c r="L6892" s="15" t="s">
        <v>36</v>
      </c>
      <c r="M6892" s="12" t="s">
        <v>36</v>
      </c>
      <c r="N6892" s="12" t="s">
        <v>36</v>
      </c>
      <c r="O6892" s="17" t="s">
        <v>36</v>
      </c>
      <c r="P6892" s="12" t="s">
        <v>36</v>
      </c>
      <c r="Q6892" s="12" t="s">
        <v>36</v>
      </c>
      <c r="R6892" s="12" t="s">
        <v>36</v>
      </c>
      <c r="S6892" s="12" t="s">
        <v>36</v>
      </c>
      <c r="T6892" s="12" t="s">
        <v>18691</v>
      </c>
      <c r="U6892" s="12" t="s">
        <v>219</v>
      </c>
      <c r="V6892" s="12" t="s">
        <v>75</v>
      </c>
      <c r="W6892" s="12" t="s">
        <v>18692</v>
      </c>
      <c r="X6892" s="16" t="s">
        <v>30931</v>
      </c>
      <c r="Y6892" s="15" t="s">
        <v>42</v>
      </c>
      <c r="Z6892" s="14">
        <v>2.19</v>
      </c>
      <c r="AA6892" s="14">
        <v>6.91</v>
      </c>
      <c r="AB6892" s="12" t="s">
        <v>56</v>
      </c>
      <c r="AC6892" s="12" t="s">
        <v>18693</v>
      </c>
      <c r="AD6892" s="13">
        <v>42370</v>
      </c>
      <c r="AE6892" s="12" t="s">
        <v>223</v>
      </c>
      <c r="AF6892" s="12" t="s">
        <v>36</v>
      </c>
      <c r="AG6892" s="12" t="s">
        <v>18694</v>
      </c>
      <c r="AH6892" s="1">
        <f>HYPERLINK("https://my.pitchbook.com?c=25524-37T","View Company Online")</f>
      </c>
    </row>
    <row r="6893">
      <c r="A6893" s="3" t="s">
        <v>30932</v>
      </c>
      <c r="B6893" s="3" t="s">
        <v>19862</v>
      </c>
      <c r="C6893" s="5" t="s">
        <v>36</v>
      </c>
      <c r="D6893" s="5" t="s">
        <v>36</v>
      </c>
      <c r="E6893" s="5" t="s">
        <v>36</v>
      </c>
      <c r="F6893" s="5" t="s">
        <v>36</v>
      </c>
      <c r="G6893" s="6" t="s">
        <v>36</v>
      </c>
      <c r="H6893" s="4" t="s">
        <v>36</v>
      </c>
      <c r="I6893" s="7" t="s">
        <v>36</v>
      </c>
      <c r="J6893" s="3" t="s">
        <v>36</v>
      </c>
      <c r="K6893" s="9" t="s">
        <v>36</v>
      </c>
      <c r="L6893" s="6" t="s">
        <v>36</v>
      </c>
      <c r="M6893" s="3" t="s">
        <v>36</v>
      </c>
      <c r="N6893" s="3" t="s">
        <v>36</v>
      </c>
      <c r="O6893" s="8" t="s">
        <v>36</v>
      </c>
      <c r="P6893" s="3" t="s">
        <v>36</v>
      </c>
      <c r="Q6893" s="3" t="s">
        <v>36</v>
      </c>
      <c r="R6893" s="3" t="s">
        <v>36</v>
      </c>
      <c r="S6893" s="3" t="s">
        <v>36</v>
      </c>
      <c r="T6893" s="3" t="s">
        <v>11829</v>
      </c>
      <c r="U6893" s="3" t="s">
        <v>38</v>
      </c>
      <c r="V6893" s="3" t="s">
        <v>39</v>
      </c>
      <c r="W6893" s="3" t="s">
        <v>19863</v>
      </c>
      <c r="X6893" s="10" t="s">
        <v>30933</v>
      </c>
      <c r="Y6893" s="6" t="s">
        <v>55</v>
      </c>
      <c r="Z6893" s="4" t="s">
        <v>36</v>
      </c>
      <c r="AA6893" s="4" t="s">
        <v>36</v>
      </c>
      <c r="AB6893" s="3" t="s">
        <v>56</v>
      </c>
      <c r="AC6893" s="3" t="s">
        <v>19865</v>
      </c>
      <c r="AD6893" s="9">
        <v>42370</v>
      </c>
      <c r="AE6893" s="3" t="s">
        <v>110</v>
      </c>
      <c r="AF6893" s="3" t="s">
        <v>19866</v>
      </c>
      <c r="AG6893" s="3" t="s">
        <v>741</v>
      </c>
      <c r="AH6893" s="11">
        <f>HYPERLINK("https://my.pitchbook.com?c=93952-00T","View Company Online")</f>
      </c>
    </row>
    <row r="6894">
      <c r="A6894" s="12" t="s">
        <v>30934</v>
      </c>
      <c r="B6894" s="12" t="s">
        <v>30935</v>
      </c>
      <c r="C6894" s="19">
        <v>2</v>
      </c>
      <c r="D6894" s="19" t="s">
        <v>36</v>
      </c>
      <c r="E6894" s="19">
        <v>4</v>
      </c>
      <c r="F6894" s="19">
        <v>5</v>
      </c>
      <c r="G6894" s="15" t="s">
        <v>36</v>
      </c>
      <c r="H6894" s="14" t="s">
        <v>36</v>
      </c>
      <c r="I6894" s="18" t="s">
        <v>36</v>
      </c>
      <c r="J6894" s="12" t="s">
        <v>36</v>
      </c>
      <c r="K6894" s="13" t="s">
        <v>36</v>
      </c>
      <c r="L6894" s="15" t="s">
        <v>36</v>
      </c>
      <c r="M6894" s="12" t="s">
        <v>36</v>
      </c>
      <c r="N6894" s="12" t="s">
        <v>36</v>
      </c>
      <c r="O6894" s="17" t="s">
        <v>36</v>
      </c>
      <c r="P6894" s="12" t="s">
        <v>36</v>
      </c>
      <c r="Q6894" s="12" t="s">
        <v>36</v>
      </c>
      <c r="R6894" s="12" t="s">
        <v>36</v>
      </c>
      <c r="S6894" s="12" t="s">
        <v>36</v>
      </c>
      <c r="T6894" s="12" t="s">
        <v>588</v>
      </c>
      <c r="U6894" s="12" t="s">
        <v>318</v>
      </c>
      <c r="V6894" s="12" t="s">
        <v>39</v>
      </c>
      <c r="W6894" s="12" t="s">
        <v>30936</v>
      </c>
      <c r="X6894" s="16" t="s">
        <v>11058</v>
      </c>
      <c r="Y6894" s="15" t="s">
        <v>42</v>
      </c>
      <c r="Z6894" s="14">
        <v>0.54</v>
      </c>
      <c r="AA6894" s="14" t="s">
        <v>36</v>
      </c>
      <c r="AB6894" s="12" t="s">
        <v>56</v>
      </c>
      <c r="AC6894" s="12" t="s">
        <v>36</v>
      </c>
      <c r="AD6894" s="13">
        <v>42370</v>
      </c>
      <c r="AE6894" s="12" t="s">
        <v>417</v>
      </c>
      <c r="AF6894" s="12" t="s">
        <v>30937</v>
      </c>
      <c r="AG6894" s="12" t="s">
        <v>30938</v>
      </c>
      <c r="AH6894" s="1">
        <f>HYPERLINK("https://my.pitchbook.com?c=89317-36T","View Company Online")</f>
      </c>
    </row>
    <row r="6895">
      <c r="A6895" s="3" t="s">
        <v>30939</v>
      </c>
      <c r="B6895" s="3" t="s">
        <v>30940</v>
      </c>
      <c r="C6895" s="5" t="s">
        <v>36</v>
      </c>
      <c r="D6895" s="5" t="s">
        <v>36</v>
      </c>
      <c r="E6895" s="5" t="s">
        <v>36</v>
      </c>
      <c r="F6895" s="5" t="s">
        <v>36</v>
      </c>
      <c r="G6895" s="6" t="s">
        <v>36</v>
      </c>
      <c r="H6895" s="4" t="s">
        <v>36</v>
      </c>
      <c r="I6895" s="7" t="s">
        <v>36</v>
      </c>
      <c r="J6895" s="3" t="s">
        <v>36</v>
      </c>
      <c r="K6895" s="9" t="s">
        <v>36</v>
      </c>
      <c r="L6895" s="6" t="s">
        <v>36</v>
      </c>
      <c r="M6895" s="3" t="s">
        <v>36</v>
      </c>
      <c r="N6895" s="3" t="s">
        <v>36</v>
      </c>
      <c r="O6895" s="8" t="s">
        <v>36</v>
      </c>
      <c r="P6895" s="3" t="s">
        <v>36</v>
      </c>
      <c r="Q6895" s="3" t="s">
        <v>36</v>
      </c>
      <c r="R6895" s="3" t="s">
        <v>36</v>
      </c>
      <c r="S6895" s="3" t="s">
        <v>36</v>
      </c>
      <c r="T6895" s="3" t="s">
        <v>13540</v>
      </c>
      <c r="U6895" s="3" t="s">
        <v>279</v>
      </c>
      <c r="V6895" s="3" t="s">
        <v>64</v>
      </c>
      <c r="W6895" s="3" t="s">
        <v>30941</v>
      </c>
      <c r="X6895" s="10" t="s">
        <v>30942</v>
      </c>
      <c r="Y6895" s="6" t="s">
        <v>42</v>
      </c>
      <c r="Z6895" s="4">
        <v>0.63</v>
      </c>
      <c r="AA6895" s="4" t="s">
        <v>36</v>
      </c>
      <c r="AB6895" s="3" t="s">
        <v>43</v>
      </c>
      <c r="AC6895" s="3" t="s">
        <v>30943</v>
      </c>
      <c r="AD6895" s="9">
        <v>42370</v>
      </c>
      <c r="AE6895" s="3" t="s">
        <v>851</v>
      </c>
      <c r="AF6895" s="3" t="s">
        <v>1077</v>
      </c>
      <c r="AG6895" s="3" t="s">
        <v>332</v>
      </c>
      <c r="AH6895" s="11">
        <f>HYPERLINK("https://my.pitchbook.com?c=109809-64T","View Company Online")</f>
      </c>
    </row>
    <row r="6896">
      <c r="A6896" s="12" t="s">
        <v>30944</v>
      </c>
      <c r="B6896" s="12" t="s">
        <v>30945</v>
      </c>
      <c r="C6896" s="19" t="s">
        <v>36</v>
      </c>
      <c r="D6896" s="19" t="s">
        <v>36</v>
      </c>
      <c r="E6896" s="19" t="s">
        <v>36</v>
      </c>
      <c r="F6896" s="19" t="s">
        <v>36</v>
      </c>
      <c r="G6896" s="15" t="s">
        <v>36</v>
      </c>
      <c r="H6896" s="14" t="s">
        <v>36</v>
      </c>
      <c r="I6896" s="18" t="s">
        <v>36</v>
      </c>
      <c r="J6896" s="12" t="s">
        <v>36</v>
      </c>
      <c r="K6896" s="13" t="s">
        <v>36</v>
      </c>
      <c r="L6896" s="15" t="s">
        <v>36</v>
      </c>
      <c r="M6896" s="12" t="s">
        <v>36</v>
      </c>
      <c r="N6896" s="12" t="s">
        <v>36</v>
      </c>
      <c r="O6896" s="17" t="s">
        <v>36</v>
      </c>
      <c r="P6896" s="12" t="s">
        <v>36</v>
      </c>
      <c r="Q6896" s="12" t="s">
        <v>36</v>
      </c>
      <c r="R6896" s="12" t="s">
        <v>36</v>
      </c>
      <c r="S6896" s="12" t="s">
        <v>36</v>
      </c>
      <c r="T6896" s="12" t="s">
        <v>30946</v>
      </c>
      <c r="U6896" s="12" t="s">
        <v>7149</v>
      </c>
      <c r="V6896" s="12" t="s">
        <v>378</v>
      </c>
      <c r="W6896" s="12" t="s">
        <v>30947</v>
      </c>
      <c r="X6896" s="16" t="s">
        <v>5661</v>
      </c>
      <c r="Y6896" s="15" t="s">
        <v>42</v>
      </c>
      <c r="Z6896" s="14" t="s">
        <v>36</v>
      </c>
      <c r="AA6896" s="14" t="s">
        <v>36</v>
      </c>
      <c r="AB6896" s="12" t="s">
        <v>56</v>
      </c>
      <c r="AC6896" s="12" t="s">
        <v>30948</v>
      </c>
      <c r="AD6896" s="13">
        <v>42370</v>
      </c>
      <c r="AE6896" s="12" t="s">
        <v>9635</v>
      </c>
      <c r="AF6896" s="12" t="s">
        <v>36</v>
      </c>
      <c r="AG6896" s="12" t="s">
        <v>30949</v>
      </c>
      <c r="AH6896" s="1">
        <f>HYPERLINK("https://my.pitchbook.com?c=82846-72T","View Company Online")</f>
      </c>
    </row>
    <row r="6897">
      <c r="A6897" s="3" t="s">
        <v>30950</v>
      </c>
      <c r="B6897" s="3" t="s">
        <v>30951</v>
      </c>
      <c r="C6897" s="5">
        <v>2</v>
      </c>
      <c r="D6897" s="5">
        <v>58</v>
      </c>
      <c r="E6897" s="5">
        <v>29</v>
      </c>
      <c r="F6897" s="5">
        <v>64</v>
      </c>
      <c r="G6897" s="6" t="s">
        <v>36</v>
      </c>
      <c r="H6897" s="4" t="s">
        <v>36</v>
      </c>
      <c r="I6897" s="7" t="s">
        <v>36</v>
      </c>
      <c r="J6897" s="3" t="s">
        <v>36</v>
      </c>
      <c r="K6897" s="9">
        <v>42254</v>
      </c>
      <c r="L6897" s="6" t="s">
        <v>36</v>
      </c>
      <c r="M6897" s="3" t="s">
        <v>36</v>
      </c>
      <c r="N6897" s="3" t="s">
        <v>36</v>
      </c>
      <c r="O6897" s="8" t="s">
        <v>36</v>
      </c>
      <c r="P6897" s="3" t="s">
        <v>36</v>
      </c>
      <c r="Q6897" s="3" t="s">
        <v>36</v>
      </c>
      <c r="R6897" s="3" t="s">
        <v>36</v>
      </c>
      <c r="S6897" s="3" t="s">
        <v>36</v>
      </c>
      <c r="T6897" s="3" t="s">
        <v>30952</v>
      </c>
      <c r="U6897" s="3" t="s">
        <v>1580</v>
      </c>
      <c r="V6897" s="3" t="s">
        <v>39</v>
      </c>
      <c r="W6897" s="3" t="s">
        <v>30953</v>
      </c>
      <c r="X6897" s="10" t="s">
        <v>14857</v>
      </c>
      <c r="Y6897" s="6" t="s">
        <v>108</v>
      </c>
      <c r="Z6897" s="4" t="s">
        <v>36</v>
      </c>
      <c r="AA6897" s="4" t="s">
        <v>36</v>
      </c>
      <c r="AB6897" s="3" t="s">
        <v>43</v>
      </c>
      <c r="AC6897" s="3" t="s">
        <v>30954</v>
      </c>
      <c r="AD6897" s="9">
        <v>42369</v>
      </c>
      <c r="AE6897" s="3" t="s">
        <v>3854</v>
      </c>
      <c r="AF6897" s="3" t="s">
        <v>30955</v>
      </c>
      <c r="AG6897" s="3" t="s">
        <v>81</v>
      </c>
      <c r="AH6897" s="11">
        <f>HYPERLINK("https://my.pitchbook.com?c=60291-91T","View Company Online")</f>
      </c>
    </row>
    <row r="6898">
      <c r="A6898" s="12" t="s">
        <v>30956</v>
      </c>
      <c r="B6898" s="12" t="s">
        <v>21898</v>
      </c>
      <c r="C6898" s="19" t="s">
        <v>36</v>
      </c>
      <c r="D6898" s="19" t="s">
        <v>36</v>
      </c>
      <c r="E6898" s="19" t="s">
        <v>36</v>
      </c>
      <c r="F6898" s="19" t="s">
        <v>36</v>
      </c>
      <c r="G6898" s="15" t="s">
        <v>36</v>
      </c>
      <c r="H6898" s="14">
        <v>467.82</v>
      </c>
      <c r="I6898" s="18">
        <v>39.98</v>
      </c>
      <c r="J6898" s="12" t="s">
        <v>521</v>
      </c>
      <c r="K6898" s="13" t="s">
        <v>36</v>
      </c>
      <c r="L6898" s="15" t="s">
        <v>36</v>
      </c>
      <c r="M6898" s="12" t="s">
        <v>36</v>
      </c>
      <c r="N6898" s="12" t="s">
        <v>36</v>
      </c>
      <c r="O6898" s="17" t="s">
        <v>36</v>
      </c>
      <c r="P6898" s="12" t="s">
        <v>36</v>
      </c>
      <c r="Q6898" s="12" t="s">
        <v>36</v>
      </c>
      <c r="R6898" s="12" t="s">
        <v>36</v>
      </c>
      <c r="S6898" s="12" t="s">
        <v>36</v>
      </c>
      <c r="T6898" s="12" t="s">
        <v>1560</v>
      </c>
      <c r="U6898" s="12" t="s">
        <v>438</v>
      </c>
      <c r="V6898" s="12" t="s">
        <v>405</v>
      </c>
      <c r="W6898" s="12" t="s">
        <v>21899</v>
      </c>
      <c r="X6898" s="16" t="s">
        <v>20563</v>
      </c>
      <c r="Y6898" s="15" t="s">
        <v>42</v>
      </c>
      <c r="Z6898" s="14">
        <v>0.65</v>
      </c>
      <c r="AA6898" s="14">
        <v>1.63</v>
      </c>
      <c r="AB6898" s="12" t="s">
        <v>43</v>
      </c>
      <c r="AC6898" s="12" t="s">
        <v>21900</v>
      </c>
      <c r="AD6898" s="13">
        <v>42368</v>
      </c>
      <c r="AE6898" s="12" t="s">
        <v>438</v>
      </c>
      <c r="AF6898" s="12" t="s">
        <v>215</v>
      </c>
      <c r="AG6898" s="12" t="s">
        <v>652</v>
      </c>
      <c r="AH6898" s="1">
        <f>HYPERLINK("https://my.pitchbook.com?c=121576-42T","View Company Online")</f>
      </c>
    </row>
    <row r="6899">
      <c r="A6899" s="3" t="s">
        <v>30957</v>
      </c>
      <c r="B6899" s="3" t="s">
        <v>30958</v>
      </c>
      <c r="C6899" s="5" t="s">
        <v>36</v>
      </c>
      <c r="D6899" s="5" t="s">
        <v>36</v>
      </c>
      <c r="E6899" s="5" t="s">
        <v>36</v>
      </c>
      <c r="F6899" s="5" t="s">
        <v>36</v>
      </c>
      <c r="G6899" s="6" t="s">
        <v>36</v>
      </c>
      <c r="H6899" s="4" t="s">
        <v>36</v>
      </c>
      <c r="I6899" s="7" t="s">
        <v>36</v>
      </c>
      <c r="J6899" s="3" t="s">
        <v>36</v>
      </c>
      <c r="K6899" s="9" t="s">
        <v>36</v>
      </c>
      <c r="L6899" s="6" t="s">
        <v>4010</v>
      </c>
      <c r="M6899" s="3" t="s">
        <v>36</v>
      </c>
      <c r="N6899" s="3" t="s">
        <v>4010</v>
      </c>
      <c r="O6899" s="8" t="s">
        <v>36</v>
      </c>
      <c r="P6899" s="3" t="s">
        <v>36</v>
      </c>
      <c r="Q6899" s="3" t="s">
        <v>36</v>
      </c>
      <c r="R6899" s="3" t="s">
        <v>36</v>
      </c>
      <c r="S6899" s="3" t="s">
        <v>36</v>
      </c>
      <c r="T6899" s="3" t="s">
        <v>522</v>
      </c>
      <c r="U6899" s="3" t="s">
        <v>38</v>
      </c>
      <c r="V6899" s="3" t="s">
        <v>39</v>
      </c>
      <c r="W6899" s="3" t="s">
        <v>30959</v>
      </c>
      <c r="X6899" s="10" t="s">
        <v>30960</v>
      </c>
      <c r="Y6899" s="6" t="s">
        <v>42</v>
      </c>
      <c r="Z6899" s="4">
        <v>1.09</v>
      </c>
      <c r="AA6899" s="4" t="s">
        <v>36</v>
      </c>
      <c r="AB6899" s="3" t="s">
        <v>43</v>
      </c>
      <c r="AC6899" s="3" t="s">
        <v>30961</v>
      </c>
      <c r="AD6899" s="9">
        <v>42368</v>
      </c>
      <c r="AE6899" s="3" t="s">
        <v>110</v>
      </c>
      <c r="AF6899" s="3" t="s">
        <v>23176</v>
      </c>
      <c r="AG6899" s="3" t="s">
        <v>81</v>
      </c>
      <c r="AH6899" s="11">
        <f>HYPERLINK("https://my.pitchbook.com?c=81775-36T","View Company Online")</f>
      </c>
    </row>
    <row r="6900">
      <c r="A6900" s="12" t="s">
        <v>30962</v>
      </c>
      <c r="B6900" s="12" t="s">
        <v>18421</v>
      </c>
      <c r="C6900" s="19">
        <v>9</v>
      </c>
      <c r="D6900" s="19">
        <v>26</v>
      </c>
      <c r="E6900" s="19">
        <v>8</v>
      </c>
      <c r="F6900" s="19">
        <v>37</v>
      </c>
      <c r="G6900" s="15" t="s">
        <v>36</v>
      </c>
      <c r="H6900" s="14">
        <v>53.75</v>
      </c>
      <c r="I6900" s="18">
        <v>41.92</v>
      </c>
      <c r="J6900" s="12" t="s">
        <v>521</v>
      </c>
      <c r="K6900" s="13" t="s">
        <v>36</v>
      </c>
      <c r="L6900" s="15" t="s">
        <v>36</v>
      </c>
      <c r="M6900" s="12" t="s">
        <v>36</v>
      </c>
      <c r="N6900" s="12" t="s">
        <v>36</v>
      </c>
      <c r="O6900" s="17" t="s">
        <v>36</v>
      </c>
      <c r="P6900" s="12" t="s">
        <v>36</v>
      </c>
      <c r="Q6900" s="12" t="s">
        <v>36</v>
      </c>
      <c r="R6900" s="12" t="s">
        <v>36</v>
      </c>
      <c r="S6900" s="12" t="s">
        <v>36</v>
      </c>
      <c r="T6900" s="12" t="s">
        <v>7773</v>
      </c>
      <c r="U6900" s="12" t="s">
        <v>96</v>
      </c>
      <c r="V6900" s="12" t="s">
        <v>52</v>
      </c>
      <c r="W6900" s="12" t="s">
        <v>18422</v>
      </c>
      <c r="X6900" s="16" t="s">
        <v>30963</v>
      </c>
      <c r="Y6900" s="15" t="s">
        <v>42</v>
      </c>
      <c r="Z6900" s="14">
        <v>2.66</v>
      </c>
      <c r="AA6900" s="14">
        <v>6.34</v>
      </c>
      <c r="AB6900" s="12" t="s">
        <v>43</v>
      </c>
      <c r="AC6900" s="12" t="s">
        <v>18424</v>
      </c>
      <c r="AD6900" s="13">
        <v>42367</v>
      </c>
      <c r="AE6900" s="12" t="s">
        <v>143</v>
      </c>
      <c r="AF6900" s="12" t="s">
        <v>36</v>
      </c>
      <c r="AG6900" s="12" t="s">
        <v>2088</v>
      </c>
      <c r="AH6900" s="1">
        <f>HYPERLINK("https://my.pitchbook.com?c=80796-16T","View Company Online")</f>
      </c>
    </row>
    <row r="6901">
      <c r="A6901" s="3" t="s">
        <v>30964</v>
      </c>
      <c r="B6901" s="3" t="s">
        <v>30965</v>
      </c>
      <c r="C6901" s="5" t="s">
        <v>36</v>
      </c>
      <c r="D6901" s="5" t="s">
        <v>36</v>
      </c>
      <c r="E6901" s="5" t="s">
        <v>36</v>
      </c>
      <c r="F6901" s="5" t="s">
        <v>36</v>
      </c>
      <c r="G6901" s="6" t="s">
        <v>36</v>
      </c>
      <c r="H6901" s="4">
        <v>2.25</v>
      </c>
      <c r="I6901" s="7">
        <v>15.03</v>
      </c>
      <c r="J6901" s="3" t="s">
        <v>521</v>
      </c>
      <c r="K6901" s="9" t="s">
        <v>36</v>
      </c>
      <c r="L6901" s="6" t="s">
        <v>36</v>
      </c>
      <c r="M6901" s="3" t="s">
        <v>36</v>
      </c>
      <c r="N6901" s="3" t="s">
        <v>36</v>
      </c>
      <c r="O6901" s="8" t="s">
        <v>36</v>
      </c>
      <c r="P6901" s="3" t="s">
        <v>36</v>
      </c>
      <c r="Q6901" s="3" t="s">
        <v>36</v>
      </c>
      <c r="R6901" s="3" t="s">
        <v>36</v>
      </c>
      <c r="S6901" s="3" t="s">
        <v>36</v>
      </c>
      <c r="T6901" s="3" t="s">
        <v>588</v>
      </c>
      <c r="U6901" s="3" t="s">
        <v>318</v>
      </c>
      <c r="V6901" s="3" t="s">
        <v>39</v>
      </c>
      <c r="W6901" s="3" t="s">
        <v>30966</v>
      </c>
      <c r="X6901" s="10" t="s">
        <v>30967</v>
      </c>
      <c r="Y6901" s="6" t="s">
        <v>42</v>
      </c>
      <c r="Z6901" s="4">
        <v>0.02</v>
      </c>
      <c r="AA6901" s="4">
        <v>0.14</v>
      </c>
      <c r="AB6901" s="3" t="s">
        <v>43</v>
      </c>
      <c r="AC6901" s="3" t="s">
        <v>30968</v>
      </c>
      <c r="AD6901" s="9">
        <v>42362</v>
      </c>
      <c r="AE6901" s="3" t="s">
        <v>417</v>
      </c>
      <c r="AF6901" s="3" t="s">
        <v>12607</v>
      </c>
      <c r="AG6901" s="3" t="s">
        <v>81</v>
      </c>
      <c r="AH6901" s="11">
        <f>HYPERLINK("https://my.pitchbook.com?c=191971-99T","View Company Online")</f>
      </c>
    </row>
    <row r="6902">
      <c r="A6902" s="12" t="s">
        <v>30969</v>
      </c>
      <c r="B6902" s="12" t="s">
        <v>30970</v>
      </c>
      <c r="C6902" s="19" t="s">
        <v>36</v>
      </c>
      <c r="D6902" s="19" t="s">
        <v>36</v>
      </c>
      <c r="E6902" s="19" t="s">
        <v>36</v>
      </c>
      <c r="F6902" s="19" t="s">
        <v>36</v>
      </c>
      <c r="G6902" s="15" t="s">
        <v>36</v>
      </c>
      <c r="H6902" s="14" t="s">
        <v>36</v>
      </c>
      <c r="I6902" s="18" t="s">
        <v>36</v>
      </c>
      <c r="J6902" s="12" t="s">
        <v>36</v>
      </c>
      <c r="K6902" s="13" t="s">
        <v>36</v>
      </c>
      <c r="L6902" s="15" t="s">
        <v>36</v>
      </c>
      <c r="M6902" s="12" t="s">
        <v>36</v>
      </c>
      <c r="N6902" s="12" t="s">
        <v>36</v>
      </c>
      <c r="O6902" s="17" t="s">
        <v>36</v>
      </c>
      <c r="P6902" s="12" t="s">
        <v>36</v>
      </c>
      <c r="Q6902" s="12" t="s">
        <v>36</v>
      </c>
      <c r="R6902" s="12" t="s">
        <v>36</v>
      </c>
      <c r="S6902" s="12" t="s">
        <v>36</v>
      </c>
      <c r="T6902" s="12" t="s">
        <v>30971</v>
      </c>
      <c r="U6902" s="12" t="s">
        <v>423</v>
      </c>
      <c r="V6902" s="12" t="s">
        <v>64</v>
      </c>
      <c r="W6902" s="12" t="s">
        <v>30972</v>
      </c>
      <c r="X6902" s="16" t="s">
        <v>221</v>
      </c>
      <c r="Y6902" s="15" t="s">
        <v>42</v>
      </c>
      <c r="Z6902" s="14" t="s">
        <v>36</v>
      </c>
      <c r="AA6902" s="14" t="s">
        <v>36</v>
      </c>
      <c r="AB6902" s="12" t="s">
        <v>43</v>
      </c>
      <c r="AC6902" s="12" t="s">
        <v>30973</v>
      </c>
      <c r="AD6902" s="13">
        <v>42362</v>
      </c>
      <c r="AE6902" s="12" t="s">
        <v>1051</v>
      </c>
      <c r="AF6902" s="12" t="s">
        <v>2118</v>
      </c>
      <c r="AG6902" s="12" t="s">
        <v>81</v>
      </c>
      <c r="AH6902" s="1">
        <f>HYPERLINK("https://my.pitchbook.com?c=67311-19T","View Company Online")</f>
      </c>
    </row>
    <row r="6903">
      <c r="A6903" s="3" t="s">
        <v>30974</v>
      </c>
      <c r="B6903" s="3" t="s">
        <v>30975</v>
      </c>
      <c r="C6903" s="5" t="s">
        <v>36</v>
      </c>
      <c r="D6903" s="5" t="s">
        <v>36</v>
      </c>
      <c r="E6903" s="5" t="s">
        <v>36</v>
      </c>
      <c r="F6903" s="5" t="s">
        <v>36</v>
      </c>
      <c r="G6903" s="6" t="s">
        <v>36</v>
      </c>
      <c r="H6903" s="4">
        <v>41.54</v>
      </c>
      <c r="I6903" s="7">
        <v>11.11</v>
      </c>
      <c r="J6903" s="3" t="s">
        <v>521</v>
      </c>
      <c r="K6903" s="9" t="s">
        <v>36</v>
      </c>
      <c r="L6903" s="6" t="s">
        <v>36</v>
      </c>
      <c r="M6903" s="3" t="s">
        <v>36</v>
      </c>
      <c r="N6903" s="3" t="s">
        <v>36</v>
      </c>
      <c r="O6903" s="8" t="s">
        <v>36</v>
      </c>
      <c r="P6903" s="3" t="s">
        <v>36</v>
      </c>
      <c r="Q6903" s="3" t="s">
        <v>36</v>
      </c>
      <c r="R6903" s="3" t="s">
        <v>36</v>
      </c>
      <c r="S6903" s="3" t="s">
        <v>36</v>
      </c>
      <c r="T6903" s="3" t="s">
        <v>3754</v>
      </c>
      <c r="U6903" s="3" t="s">
        <v>1357</v>
      </c>
      <c r="V6903" s="3" t="s">
        <v>52</v>
      </c>
      <c r="W6903" s="3" t="s">
        <v>30976</v>
      </c>
      <c r="X6903" s="10" t="s">
        <v>17134</v>
      </c>
      <c r="Y6903" s="6" t="s">
        <v>42</v>
      </c>
      <c r="Z6903" s="4">
        <v>0.11</v>
      </c>
      <c r="AA6903" s="4">
        <v>0.97</v>
      </c>
      <c r="AB6903" s="3" t="s">
        <v>43</v>
      </c>
      <c r="AC6903" s="3" t="s">
        <v>30977</v>
      </c>
      <c r="AD6903" s="9">
        <v>42361</v>
      </c>
      <c r="AE6903" s="3" t="s">
        <v>3204</v>
      </c>
      <c r="AF6903" s="3" t="s">
        <v>917</v>
      </c>
      <c r="AG6903" s="3" t="s">
        <v>652</v>
      </c>
      <c r="AH6903" s="11">
        <f>HYPERLINK("https://my.pitchbook.com?c=122951-08T","View Company Online")</f>
      </c>
    </row>
    <row r="6904">
      <c r="A6904" s="12" t="s">
        <v>30978</v>
      </c>
      <c r="B6904" s="12" t="s">
        <v>30979</v>
      </c>
      <c r="C6904" s="19" t="s">
        <v>36</v>
      </c>
      <c r="D6904" s="19" t="s">
        <v>36</v>
      </c>
      <c r="E6904" s="19" t="s">
        <v>36</v>
      </c>
      <c r="F6904" s="19" t="s">
        <v>36</v>
      </c>
      <c r="G6904" s="15" t="s">
        <v>36</v>
      </c>
      <c r="H6904" s="14">
        <v>727</v>
      </c>
      <c r="I6904" s="18">
        <v>31.37</v>
      </c>
      <c r="J6904" s="12" t="s">
        <v>521</v>
      </c>
      <c r="K6904" s="13" t="s">
        <v>36</v>
      </c>
      <c r="L6904" s="15" t="s">
        <v>36</v>
      </c>
      <c r="M6904" s="12" t="s">
        <v>36</v>
      </c>
      <c r="N6904" s="12" t="s">
        <v>36</v>
      </c>
      <c r="O6904" s="17" t="s">
        <v>36</v>
      </c>
      <c r="P6904" s="12" t="s">
        <v>36</v>
      </c>
      <c r="Q6904" s="12" t="s">
        <v>36</v>
      </c>
      <c r="R6904" s="12" t="s">
        <v>36</v>
      </c>
      <c r="S6904" s="12" t="s">
        <v>36</v>
      </c>
      <c r="T6904" s="12" t="s">
        <v>1106</v>
      </c>
      <c r="U6904" s="12" t="s">
        <v>38</v>
      </c>
      <c r="V6904" s="12" t="s">
        <v>39</v>
      </c>
      <c r="W6904" s="12" t="s">
        <v>30980</v>
      </c>
      <c r="X6904" s="16" t="s">
        <v>10887</v>
      </c>
      <c r="Y6904" s="15" t="s">
        <v>42</v>
      </c>
      <c r="Z6904" s="14">
        <v>0.35</v>
      </c>
      <c r="AA6904" s="14">
        <v>1.1</v>
      </c>
      <c r="AB6904" s="12" t="s">
        <v>43</v>
      </c>
      <c r="AC6904" s="12" t="s">
        <v>30981</v>
      </c>
      <c r="AD6904" s="13">
        <v>42361</v>
      </c>
      <c r="AE6904" s="12" t="s">
        <v>110</v>
      </c>
      <c r="AF6904" s="12" t="s">
        <v>4552</v>
      </c>
      <c r="AG6904" s="12" t="s">
        <v>741</v>
      </c>
      <c r="AH6904" s="1">
        <f>HYPERLINK("https://my.pitchbook.com?c=82882-90T","View Company Online")</f>
      </c>
    </row>
    <row r="6905">
      <c r="A6905" s="3" t="s">
        <v>30982</v>
      </c>
      <c r="B6905" s="3" t="s">
        <v>30983</v>
      </c>
      <c r="C6905" s="5">
        <v>1</v>
      </c>
      <c r="D6905" s="5">
        <v>3</v>
      </c>
      <c r="E6905" s="5">
        <v>1</v>
      </c>
      <c r="F6905" s="5">
        <v>4</v>
      </c>
      <c r="G6905" s="6" t="s">
        <v>36</v>
      </c>
      <c r="H6905" s="4">
        <v>415.43</v>
      </c>
      <c r="I6905" s="7">
        <v>11.11</v>
      </c>
      <c r="J6905" s="3" t="s">
        <v>521</v>
      </c>
      <c r="K6905" s="9" t="s">
        <v>36</v>
      </c>
      <c r="L6905" s="6" t="s">
        <v>36</v>
      </c>
      <c r="M6905" s="3" t="s">
        <v>36</v>
      </c>
      <c r="N6905" s="3" t="s">
        <v>36</v>
      </c>
      <c r="O6905" s="8" t="s">
        <v>36</v>
      </c>
      <c r="P6905" s="3" t="s">
        <v>36</v>
      </c>
      <c r="Q6905" s="3" t="s">
        <v>36</v>
      </c>
      <c r="R6905" s="3" t="s">
        <v>36</v>
      </c>
      <c r="S6905" s="3" t="s">
        <v>36</v>
      </c>
      <c r="T6905" s="3" t="s">
        <v>1935</v>
      </c>
      <c r="U6905" s="3" t="s">
        <v>38</v>
      </c>
      <c r="V6905" s="3" t="s">
        <v>39</v>
      </c>
      <c r="W6905" s="3" t="s">
        <v>30984</v>
      </c>
      <c r="X6905" s="10" t="s">
        <v>30985</v>
      </c>
      <c r="Y6905" s="6" t="s">
        <v>42</v>
      </c>
      <c r="Z6905" s="4">
        <v>0.73</v>
      </c>
      <c r="AA6905" s="4">
        <v>4.86</v>
      </c>
      <c r="AB6905" s="3" t="s">
        <v>43</v>
      </c>
      <c r="AC6905" s="3" t="s">
        <v>30986</v>
      </c>
      <c r="AD6905" s="9">
        <v>42360</v>
      </c>
      <c r="AE6905" s="3" t="s">
        <v>45</v>
      </c>
      <c r="AF6905" s="3" t="s">
        <v>5816</v>
      </c>
      <c r="AG6905" s="3" t="s">
        <v>2457</v>
      </c>
      <c r="AH6905" s="11">
        <f>HYPERLINK("https://my.pitchbook.com?c=70562-53T","View Company Online")</f>
      </c>
    </row>
    <row r="6906">
      <c r="A6906" s="12" t="s">
        <v>30987</v>
      </c>
      <c r="B6906" s="12" t="s">
        <v>9226</v>
      </c>
      <c r="C6906" s="19">
        <v>2</v>
      </c>
      <c r="D6906" s="19">
        <v>3</v>
      </c>
      <c r="E6906" s="19">
        <v>2</v>
      </c>
      <c r="F6906" s="19">
        <v>5</v>
      </c>
      <c r="G6906" s="15" t="s">
        <v>683</v>
      </c>
      <c r="H6906" s="14">
        <v>31.95</v>
      </c>
      <c r="I6906" s="18">
        <v>5.76</v>
      </c>
      <c r="J6906" s="12" t="s">
        <v>521</v>
      </c>
      <c r="K6906" s="13" t="s">
        <v>36</v>
      </c>
      <c r="L6906" s="15" t="s">
        <v>36</v>
      </c>
      <c r="M6906" s="12" t="s">
        <v>36</v>
      </c>
      <c r="N6906" s="12" t="s">
        <v>36</v>
      </c>
      <c r="O6906" s="17" t="s">
        <v>36</v>
      </c>
      <c r="P6906" s="12" t="s">
        <v>36</v>
      </c>
      <c r="Q6906" s="12" t="s">
        <v>36</v>
      </c>
      <c r="R6906" s="12" t="s">
        <v>36</v>
      </c>
      <c r="S6906" s="12" t="s">
        <v>36</v>
      </c>
      <c r="T6906" s="12" t="s">
        <v>9227</v>
      </c>
      <c r="U6906" s="12" t="s">
        <v>318</v>
      </c>
      <c r="V6906" s="12" t="s">
        <v>39</v>
      </c>
      <c r="W6906" s="12" t="s">
        <v>9228</v>
      </c>
      <c r="X6906" s="16" t="s">
        <v>30988</v>
      </c>
      <c r="Y6906" s="15" t="s">
        <v>321</v>
      </c>
      <c r="Z6906" s="14">
        <v>0.24</v>
      </c>
      <c r="AA6906" s="14">
        <v>4.12</v>
      </c>
      <c r="AB6906" s="12" t="s">
        <v>56</v>
      </c>
      <c r="AC6906" s="12" t="s">
        <v>9230</v>
      </c>
      <c r="AD6906" s="13">
        <v>42360</v>
      </c>
      <c r="AE6906" s="12" t="s">
        <v>763</v>
      </c>
      <c r="AF6906" s="12" t="s">
        <v>2815</v>
      </c>
      <c r="AG6906" s="12" t="s">
        <v>4172</v>
      </c>
      <c r="AH6906" s="1">
        <f>HYPERLINK("https://my.pitchbook.com?c=140135-95T","View Company Online")</f>
      </c>
    </row>
    <row r="6907">
      <c r="A6907" s="3" t="s">
        <v>30989</v>
      </c>
      <c r="B6907" s="3" t="s">
        <v>30990</v>
      </c>
      <c r="C6907" s="5" t="s">
        <v>36</v>
      </c>
      <c r="D6907" s="5" t="s">
        <v>36</v>
      </c>
      <c r="E6907" s="5" t="s">
        <v>36</v>
      </c>
      <c r="F6907" s="5" t="s">
        <v>36</v>
      </c>
      <c r="G6907" s="6" t="s">
        <v>326</v>
      </c>
      <c r="H6907" s="4">
        <v>6.63</v>
      </c>
      <c r="I6907" s="7">
        <v>7.29</v>
      </c>
      <c r="J6907" s="3" t="s">
        <v>521</v>
      </c>
      <c r="K6907" s="9" t="s">
        <v>36</v>
      </c>
      <c r="L6907" s="6" t="s">
        <v>36</v>
      </c>
      <c r="M6907" s="3" t="s">
        <v>36</v>
      </c>
      <c r="N6907" s="3" t="s">
        <v>36</v>
      </c>
      <c r="O6907" s="8" t="s">
        <v>36</v>
      </c>
      <c r="P6907" s="3" t="s">
        <v>36</v>
      </c>
      <c r="Q6907" s="3" t="s">
        <v>36</v>
      </c>
      <c r="R6907" s="3" t="s">
        <v>36</v>
      </c>
      <c r="S6907" s="3" t="s">
        <v>36</v>
      </c>
      <c r="T6907" s="3" t="s">
        <v>30991</v>
      </c>
      <c r="U6907" s="3" t="s">
        <v>279</v>
      </c>
      <c r="V6907" s="3" t="s">
        <v>64</v>
      </c>
      <c r="W6907" s="3" t="s">
        <v>30992</v>
      </c>
      <c r="X6907" s="10" t="s">
        <v>30993</v>
      </c>
      <c r="Y6907" s="6" t="s">
        <v>108</v>
      </c>
      <c r="Z6907" s="4">
        <v>0.63</v>
      </c>
      <c r="AA6907" s="4">
        <v>8.71</v>
      </c>
      <c r="AB6907" s="3" t="s">
        <v>56</v>
      </c>
      <c r="AC6907" s="3" t="s">
        <v>30994</v>
      </c>
      <c r="AD6907" s="9">
        <v>42356</v>
      </c>
      <c r="AE6907" s="3" t="s">
        <v>851</v>
      </c>
      <c r="AF6907" s="3" t="s">
        <v>4284</v>
      </c>
      <c r="AG6907" s="3" t="s">
        <v>47</v>
      </c>
      <c r="AH6907" s="11">
        <f>HYPERLINK("https://my.pitchbook.com?c=188341-21T","View Company Online")</f>
      </c>
    </row>
    <row r="6908">
      <c r="A6908" s="12" t="s">
        <v>30995</v>
      </c>
      <c r="B6908" s="12" t="s">
        <v>14224</v>
      </c>
      <c r="C6908" s="19">
        <v>3</v>
      </c>
      <c r="D6908" s="19">
        <v>12</v>
      </c>
      <c r="E6908" s="19">
        <v>2</v>
      </c>
      <c r="F6908" s="19">
        <v>17</v>
      </c>
      <c r="G6908" s="15" t="s">
        <v>36</v>
      </c>
      <c r="H6908" s="14">
        <v>4.47</v>
      </c>
      <c r="I6908" s="18">
        <v>18.77</v>
      </c>
      <c r="J6908" s="12" t="s">
        <v>521</v>
      </c>
      <c r="K6908" s="13" t="s">
        <v>36</v>
      </c>
      <c r="L6908" s="15" t="s">
        <v>36</v>
      </c>
      <c r="M6908" s="12" t="s">
        <v>36</v>
      </c>
      <c r="N6908" s="12" t="s">
        <v>36</v>
      </c>
      <c r="O6908" s="17" t="s">
        <v>36</v>
      </c>
      <c r="P6908" s="12" t="s">
        <v>36</v>
      </c>
      <c r="Q6908" s="12" t="s">
        <v>36</v>
      </c>
      <c r="R6908" s="12" t="s">
        <v>36</v>
      </c>
      <c r="S6908" s="12" t="s">
        <v>36</v>
      </c>
      <c r="T6908" s="12" t="s">
        <v>14225</v>
      </c>
      <c r="U6908" s="12" t="s">
        <v>96</v>
      </c>
      <c r="V6908" s="12" t="s">
        <v>52</v>
      </c>
      <c r="W6908" s="12" t="s">
        <v>14226</v>
      </c>
      <c r="X6908" s="16" t="s">
        <v>30996</v>
      </c>
      <c r="Y6908" s="15" t="s">
        <v>42</v>
      </c>
      <c r="Z6908" s="14">
        <v>0.32</v>
      </c>
      <c r="AA6908" s="14">
        <v>1.68</v>
      </c>
      <c r="AB6908" s="12" t="s">
        <v>43</v>
      </c>
      <c r="AC6908" s="12" t="s">
        <v>14228</v>
      </c>
      <c r="AD6908" s="13">
        <v>42355</v>
      </c>
      <c r="AE6908" s="12" t="s">
        <v>1414</v>
      </c>
      <c r="AF6908" s="12" t="s">
        <v>101</v>
      </c>
      <c r="AG6908" s="12" t="s">
        <v>652</v>
      </c>
      <c r="AH6908" s="1">
        <f>HYPERLINK("https://my.pitchbook.com?c=78993-91T","View Company Online")</f>
      </c>
    </row>
    <row r="6909">
      <c r="A6909" s="3" t="s">
        <v>30997</v>
      </c>
      <c r="B6909" s="3" t="s">
        <v>30998</v>
      </c>
      <c r="C6909" s="5" t="s">
        <v>36</v>
      </c>
      <c r="D6909" s="5" t="s">
        <v>36</v>
      </c>
      <c r="E6909" s="5" t="s">
        <v>36</v>
      </c>
      <c r="F6909" s="5" t="s">
        <v>36</v>
      </c>
      <c r="G6909" s="6" t="s">
        <v>36</v>
      </c>
      <c r="H6909" s="4">
        <v>165.34</v>
      </c>
      <c r="I6909" s="7">
        <v>41.42</v>
      </c>
      <c r="J6909" s="3" t="s">
        <v>521</v>
      </c>
      <c r="K6909" s="9" t="s">
        <v>36</v>
      </c>
      <c r="L6909" s="6" t="s">
        <v>36</v>
      </c>
      <c r="M6909" s="3" t="s">
        <v>36</v>
      </c>
      <c r="N6909" s="3" t="s">
        <v>36</v>
      </c>
      <c r="O6909" s="8" t="s">
        <v>36</v>
      </c>
      <c r="P6909" s="3" t="s">
        <v>36</v>
      </c>
      <c r="Q6909" s="3" t="s">
        <v>36</v>
      </c>
      <c r="R6909" s="3" t="s">
        <v>36</v>
      </c>
      <c r="S6909" s="3" t="s">
        <v>36</v>
      </c>
      <c r="T6909" s="3" t="s">
        <v>30999</v>
      </c>
      <c r="U6909" s="3" t="s">
        <v>318</v>
      </c>
      <c r="V6909" s="3" t="s">
        <v>39</v>
      </c>
      <c r="W6909" s="3" t="s">
        <v>31000</v>
      </c>
      <c r="X6909" s="10" t="s">
        <v>31001</v>
      </c>
      <c r="Y6909" s="6" t="s">
        <v>42</v>
      </c>
      <c r="Z6909" s="4">
        <v>1.94</v>
      </c>
      <c r="AA6909" s="4">
        <v>4.7</v>
      </c>
      <c r="AB6909" s="3" t="s">
        <v>56</v>
      </c>
      <c r="AC6909" s="3" t="s">
        <v>31002</v>
      </c>
      <c r="AD6909" s="9">
        <v>42354</v>
      </c>
      <c r="AE6909" s="3" t="s">
        <v>763</v>
      </c>
      <c r="AF6909" s="3" t="s">
        <v>7294</v>
      </c>
      <c r="AG6909" s="3" t="s">
        <v>9471</v>
      </c>
      <c r="AH6909" s="11">
        <f>HYPERLINK("https://my.pitchbook.com?c=188165-35T","View Company Online")</f>
      </c>
    </row>
    <row r="6910">
      <c r="A6910" s="12" t="s">
        <v>31003</v>
      </c>
      <c r="B6910" s="12" t="s">
        <v>31004</v>
      </c>
      <c r="C6910" s="19" t="s">
        <v>36</v>
      </c>
      <c r="D6910" s="19" t="s">
        <v>36</v>
      </c>
      <c r="E6910" s="19" t="s">
        <v>36</v>
      </c>
      <c r="F6910" s="19" t="s">
        <v>36</v>
      </c>
      <c r="G6910" s="15" t="s">
        <v>36</v>
      </c>
      <c r="H6910" s="14">
        <v>31.16</v>
      </c>
      <c r="I6910" s="18">
        <v>28.57</v>
      </c>
      <c r="J6910" s="12" t="s">
        <v>521</v>
      </c>
      <c r="K6910" s="13" t="s">
        <v>36</v>
      </c>
      <c r="L6910" s="15" t="s">
        <v>36</v>
      </c>
      <c r="M6910" s="12" t="s">
        <v>36</v>
      </c>
      <c r="N6910" s="12" t="s">
        <v>36</v>
      </c>
      <c r="O6910" s="17" t="s">
        <v>36</v>
      </c>
      <c r="P6910" s="12" t="s">
        <v>36</v>
      </c>
      <c r="Q6910" s="12" t="s">
        <v>36</v>
      </c>
      <c r="R6910" s="12" t="s">
        <v>36</v>
      </c>
      <c r="S6910" s="12" t="s">
        <v>36</v>
      </c>
      <c r="T6910" s="12" t="s">
        <v>2096</v>
      </c>
      <c r="U6910" s="12" t="s">
        <v>85</v>
      </c>
      <c r="V6910" s="12" t="s">
        <v>64</v>
      </c>
      <c r="W6910" s="12" t="s">
        <v>31005</v>
      </c>
      <c r="X6910" s="16" t="s">
        <v>31006</v>
      </c>
      <c r="Y6910" s="15" t="s">
        <v>42</v>
      </c>
      <c r="Z6910" s="14">
        <v>0.65</v>
      </c>
      <c r="AA6910" s="14">
        <v>2.26</v>
      </c>
      <c r="AB6910" s="12" t="s">
        <v>43</v>
      </c>
      <c r="AC6910" s="12" t="s">
        <v>31007</v>
      </c>
      <c r="AD6910" s="13">
        <v>42353</v>
      </c>
      <c r="AE6910" s="12" t="s">
        <v>89</v>
      </c>
      <c r="AF6910" s="12" t="s">
        <v>1507</v>
      </c>
      <c r="AG6910" s="12" t="s">
        <v>31008</v>
      </c>
      <c r="AH6910" s="1">
        <f>HYPERLINK("https://my.pitchbook.com?c=80145-55T","View Company Online")</f>
      </c>
    </row>
    <row r="6911">
      <c r="A6911" s="3" t="s">
        <v>31009</v>
      </c>
      <c r="B6911" s="3" t="s">
        <v>31010</v>
      </c>
      <c r="C6911" s="5" t="s">
        <v>36</v>
      </c>
      <c r="D6911" s="5" t="s">
        <v>36</v>
      </c>
      <c r="E6911" s="5" t="s">
        <v>36</v>
      </c>
      <c r="F6911" s="5" t="s">
        <v>36</v>
      </c>
      <c r="G6911" s="6" t="s">
        <v>36</v>
      </c>
      <c r="H6911" s="4">
        <v>13.52</v>
      </c>
      <c r="I6911" s="7">
        <v>32.26</v>
      </c>
      <c r="J6911" s="3" t="s">
        <v>521</v>
      </c>
      <c r="K6911" s="9" t="s">
        <v>36</v>
      </c>
      <c r="L6911" s="6" t="s">
        <v>36</v>
      </c>
      <c r="M6911" s="3" t="s">
        <v>36</v>
      </c>
      <c r="N6911" s="3" t="s">
        <v>36</v>
      </c>
      <c r="O6911" s="8" t="s">
        <v>36</v>
      </c>
      <c r="P6911" s="3" t="s">
        <v>36</v>
      </c>
      <c r="Q6911" s="3" t="s">
        <v>36</v>
      </c>
      <c r="R6911" s="3" t="s">
        <v>36</v>
      </c>
      <c r="S6911" s="3" t="s">
        <v>36</v>
      </c>
      <c r="T6911" s="3" t="s">
        <v>4827</v>
      </c>
      <c r="U6911" s="3" t="s">
        <v>648</v>
      </c>
      <c r="V6911" s="3" t="s">
        <v>64</v>
      </c>
      <c r="W6911" s="3" t="s">
        <v>31011</v>
      </c>
      <c r="X6911" s="10" t="s">
        <v>23669</v>
      </c>
      <c r="Y6911" s="6" t="s">
        <v>42</v>
      </c>
      <c r="Z6911" s="4">
        <v>0.54</v>
      </c>
      <c r="AA6911" s="4">
        <v>1.67</v>
      </c>
      <c r="AB6911" s="3" t="s">
        <v>56</v>
      </c>
      <c r="AC6911" s="3" t="s">
        <v>31012</v>
      </c>
      <c r="AD6911" s="9">
        <v>42353</v>
      </c>
      <c r="AE6911" s="3" t="s">
        <v>3988</v>
      </c>
      <c r="AF6911" s="3" t="s">
        <v>4284</v>
      </c>
      <c r="AG6911" s="3" t="s">
        <v>969</v>
      </c>
      <c r="AH6911" s="11">
        <f>HYPERLINK("https://my.pitchbook.com?c=227277-64T","View Company Online")</f>
      </c>
    </row>
    <row r="6912">
      <c r="A6912" s="12" t="s">
        <v>31013</v>
      </c>
      <c r="B6912" s="12" t="s">
        <v>15460</v>
      </c>
      <c r="C6912" s="19">
        <v>1</v>
      </c>
      <c r="D6912" s="19">
        <v>14</v>
      </c>
      <c r="E6912" s="19">
        <v>6</v>
      </c>
      <c r="F6912" s="19">
        <v>20</v>
      </c>
      <c r="G6912" s="15" t="s">
        <v>36</v>
      </c>
      <c r="H6912" s="14" t="s">
        <v>36</v>
      </c>
      <c r="I6912" s="18" t="s">
        <v>36</v>
      </c>
      <c r="J6912" s="12" t="s">
        <v>36</v>
      </c>
      <c r="K6912" s="13" t="s">
        <v>36</v>
      </c>
      <c r="L6912" s="15" t="s">
        <v>94</v>
      </c>
      <c r="M6912" s="12" t="s">
        <v>36</v>
      </c>
      <c r="N6912" s="12" t="s">
        <v>94</v>
      </c>
      <c r="O6912" s="17" t="s">
        <v>36</v>
      </c>
      <c r="P6912" s="12" t="s">
        <v>36</v>
      </c>
      <c r="Q6912" s="12" t="s">
        <v>36</v>
      </c>
      <c r="R6912" s="12" t="s">
        <v>36</v>
      </c>
      <c r="S6912" s="12" t="s">
        <v>36</v>
      </c>
      <c r="T6912" s="12" t="s">
        <v>2321</v>
      </c>
      <c r="U6912" s="12" t="s">
        <v>51</v>
      </c>
      <c r="V6912" s="12" t="s">
        <v>52</v>
      </c>
      <c r="W6912" s="12" t="s">
        <v>15461</v>
      </c>
      <c r="X6912" s="16" t="s">
        <v>31014</v>
      </c>
      <c r="Y6912" s="15" t="s">
        <v>55</v>
      </c>
      <c r="Z6912" s="14">
        <v>16.14</v>
      </c>
      <c r="AA6912" s="14" t="s">
        <v>36</v>
      </c>
      <c r="AB6912" s="12" t="s">
        <v>43</v>
      </c>
      <c r="AC6912" s="12" t="s">
        <v>15463</v>
      </c>
      <c r="AD6912" s="13">
        <v>42353</v>
      </c>
      <c r="AE6912" s="12" t="s">
        <v>504</v>
      </c>
      <c r="AF6912" s="12" t="s">
        <v>665</v>
      </c>
      <c r="AG6912" s="12" t="s">
        <v>144</v>
      </c>
      <c r="AH6912" s="1">
        <f>HYPERLINK("https://my.pitchbook.com?c=63138-79T","View Company Online")</f>
      </c>
    </row>
    <row r="6913">
      <c r="A6913" s="3" t="s">
        <v>31015</v>
      </c>
      <c r="B6913" s="3" t="s">
        <v>24315</v>
      </c>
      <c r="C6913" s="5">
        <v>5</v>
      </c>
      <c r="D6913" s="5">
        <v>30</v>
      </c>
      <c r="E6913" s="5">
        <v>9</v>
      </c>
      <c r="F6913" s="5">
        <v>37</v>
      </c>
      <c r="G6913" s="6" t="s">
        <v>36</v>
      </c>
      <c r="H6913" s="4" t="s">
        <v>36</v>
      </c>
      <c r="I6913" s="7" t="s">
        <v>36</v>
      </c>
      <c r="J6913" s="3" t="s">
        <v>36</v>
      </c>
      <c r="K6913" s="9" t="s">
        <v>36</v>
      </c>
      <c r="L6913" s="6" t="s">
        <v>36</v>
      </c>
      <c r="M6913" s="3" t="s">
        <v>36</v>
      </c>
      <c r="N6913" s="3" t="s">
        <v>36</v>
      </c>
      <c r="O6913" s="8" t="s">
        <v>36</v>
      </c>
      <c r="P6913" s="3" t="s">
        <v>36</v>
      </c>
      <c r="Q6913" s="3" t="s">
        <v>36</v>
      </c>
      <c r="R6913" s="3" t="s">
        <v>36</v>
      </c>
      <c r="S6913" s="3" t="s">
        <v>36</v>
      </c>
      <c r="T6913" s="3" t="s">
        <v>253</v>
      </c>
      <c r="U6913" s="3" t="s">
        <v>38</v>
      </c>
      <c r="V6913" s="3" t="s">
        <v>39</v>
      </c>
      <c r="W6913" s="3" t="s">
        <v>24316</v>
      </c>
      <c r="X6913" s="10" t="s">
        <v>31016</v>
      </c>
      <c r="Y6913" s="6" t="s">
        <v>55</v>
      </c>
      <c r="Z6913" s="4" t="s">
        <v>36</v>
      </c>
      <c r="AA6913" s="4" t="s">
        <v>36</v>
      </c>
      <c r="AB6913" s="3" t="s">
        <v>56</v>
      </c>
      <c r="AC6913" s="3" t="s">
        <v>24318</v>
      </c>
      <c r="AD6913" s="9">
        <v>42353</v>
      </c>
      <c r="AE6913" s="3" t="s">
        <v>110</v>
      </c>
      <c r="AF6913" s="3" t="s">
        <v>24319</v>
      </c>
      <c r="AG6913" s="3" t="s">
        <v>81</v>
      </c>
      <c r="AH6913" s="11">
        <f>HYPERLINK("https://my.pitchbook.com?c=63322-75T","View Company Online")</f>
      </c>
    </row>
    <row r="6914">
      <c r="A6914" s="12" t="s">
        <v>31017</v>
      </c>
      <c r="B6914" s="12" t="s">
        <v>31018</v>
      </c>
      <c r="C6914" s="19" t="s">
        <v>36</v>
      </c>
      <c r="D6914" s="19" t="s">
        <v>36</v>
      </c>
      <c r="E6914" s="19" t="s">
        <v>36</v>
      </c>
      <c r="F6914" s="19" t="s">
        <v>36</v>
      </c>
      <c r="G6914" s="15" t="s">
        <v>326</v>
      </c>
      <c r="H6914" s="14">
        <v>31.88</v>
      </c>
      <c r="I6914" s="18">
        <v>8.57</v>
      </c>
      <c r="J6914" s="12" t="s">
        <v>521</v>
      </c>
      <c r="K6914" s="13" t="s">
        <v>36</v>
      </c>
      <c r="L6914" s="15" t="s">
        <v>36</v>
      </c>
      <c r="M6914" s="12" t="s">
        <v>36</v>
      </c>
      <c r="N6914" s="12" t="s">
        <v>36</v>
      </c>
      <c r="O6914" s="17" t="s">
        <v>36</v>
      </c>
      <c r="P6914" s="12" t="s">
        <v>36</v>
      </c>
      <c r="Q6914" s="12" t="s">
        <v>36</v>
      </c>
      <c r="R6914" s="12" t="s">
        <v>36</v>
      </c>
      <c r="S6914" s="12" t="s">
        <v>36</v>
      </c>
      <c r="T6914" s="12" t="s">
        <v>3505</v>
      </c>
      <c r="U6914" s="12" t="s">
        <v>85</v>
      </c>
      <c r="V6914" s="12" t="s">
        <v>64</v>
      </c>
      <c r="W6914" s="12" t="s">
        <v>31019</v>
      </c>
      <c r="X6914" s="16" t="s">
        <v>31020</v>
      </c>
      <c r="Y6914" s="15" t="s">
        <v>55</v>
      </c>
      <c r="Z6914" s="14">
        <v>0.22</v>
      </c>
      <c r="AA6914" s="14">
        <v>2.59</v>
      </c>
      <c r="AB6914" s="12" t="s">
        <v>56</v>
      </c>
      <c r="AC6914" s="12" t="s">
        <v>31021</v>
      </c>
      <c r="AD6914" s="13">
        <v>42353</v>
      </c>
      <c r="AE6914" s="12" t="s">
        <v>89</v>
      </c>
      <c r="AF6914" s="12" t="s">
        <v>372</v>
      </c>
      <c r="AG6914" s="12" t="s">
        <v>31022</v>
      </c>
      <c r="AH6914" s="1">
        <f>HYPERLINK("https://my.pitchbook.com?c=188342-02T","View Company Online")</f>
      </c>
    </row>
    <row r="6915">
      <c r="A6915" s="3" t="s">
        <v>31023</v>
      </c>
      <c r="B6915" s="3" t="s">
        <v>6174</v>
      </c>
      <c r="C6915" s="5" t="s">
        <v>36</v>
      </c>
      <c r="D6915" s="5" t="s">
        <v>36</v>
      </c>
      <c r="E6915" s="5" t="s">
        <v>36</v>
      </c>
      <c r="F6915" s="5" t="s">
        <v>36</v>
      </c>
      <c r="G6915" s="6" t="s">
        <v>36</v>
      </c>
      <c r="H6915" s="4">
        <v>6.36</v>
      </c>
      <c r="I6915" s="7">
        <v>40.11</v>
      </c>
      <c r="J6915" s="3" t="s">
        <v>521</v>
      </c>
      <c r="K6915" s="9" t="s">
        <v>36</v>
      </c>
      <c r="L6915" s="6" t="s">
        <v>36</v>
      </c>
      <c r="M6915" s="3" t="s">
        <v>36</v>
      </c>
      <c r="N6915" s="3" t="s">
        <v>36</v>
      </c>
      <c r="O6915" s="8" t="s">
        <v>36</v>
      </c>
      <c r="P6915" s="3" t="s">
        <v>36</v>
      </c>
      <c r="Q6915" s="3" t="s">
        <v>36</v>
      </c>
      <c r="R6915" s="3" t="s">
        <v>36</v>
      </c>
      <c r="S6915" s="3" t="s">
        <v>36</v>
      </c>
      <c r="T6915" s="3" t="s">
        <v>1260</v>
      </c>
      <c r="U6915" s="3" t="s">
        <v>38</v>
      </c>
      <c r="V6915" s="3" t="s">
        <v>39</v>
      </c>
      <c r="W6915" s="3" t="s">
        <v>6175</v>
      </c>
      <c r="X6915" s="10" t="s">
        <v>31024</v>
      </c>
      <c r="Y6915" s="6" t="s">
        <v>42</v>
      </c>
      <c r="Z6915" s="4">
        <v>1.29</v>
      </c>
      <c r="AA6915" s="4">
        <v>2.2</v>
      </c>
      <c r="AB6915" s="3" t="s">
        <v>43</v>
      </c>
      <c r="AC6915" s="3" t="s">
        <v>6177</v>
      </c>
      <c r="AD6915" s="9">
        <v>42353</v>
      </c>
      <c r="AE6915" s="3" t="s">
        <v>110</v>
      </c>
      <c r="AF6915" s="3" t="s">
        <v>6178</v>
      </c>
      <c r="AG6915" s="3" t="s">
        <v>392</v>
      </c>
      <c r="AH6915" s="11">
        <f>HYPERLINK("https://my.pitchbook.com?c=71664-13T","View Company Online")</f>
      </c>
    </row>
    <row r="6916">
      <c r="A6916" s="12" t="s">
        <v>31025</v>
      </c>
      <c r="B6916" s="12" t="s">
        <v>13539</v>
      </c>
      <c r="C6916" s="19" t="s">
        <v>36</v>
      </c>
      <c r="D6916" s="19" t="s">
        <v>36</v>
      </c>
      <c r="E6916" s="19" t="s">
        <v>36</v>
      </c>
      <c r="F6916" s="19" t="s">
        <v>36</v>
      </c>
      <c r="G6916" s="15" t="s">
        <v>683</v>
      </c>
      <c r="H6916" s="14">
        <v>379.08</v>
      </c>
      <c r="I6916" s="18">
        <v>8.79</v>
      </c>
      <c r="J6916" s="12" t="s">
        <v>521</v>
      </c>
      <c r="K6916" s="13" t="s">
        <v>36</v>
      </c>
      <c r="L6916" s="15" t="s">
        <v>36</v>
      </c>
      <c r="M6916" s="12" t="s">
        <v>36</v>
      </c>
      <c r="N6916" s="12" t="s">
        <v>36</v>
      </c>
      <c r="O6916" s="17" t="s">
        <v>36</v>
      </c>
      <c r="P6916" s="12" t="s">
        <v>36</v>
      </c>
      <c r="Q6916" s="12" t="s">
        <v>36</v>
      </c>
      <c r="R6916" s="12" t="s">
        <v>36</v>
      </c>
      <c r="S6916" s="12" t="s">
        <v>36</v>
      </c>
      <c r="T6916" s="12" t="s">
        <v>13540</v>
      </c>
      <c r="U6916" s="12" t="s">
        <v>279</v>
      </c>
      <c r="V6916" s="12" t="s">
        <v>64</v>
      </c>
      <c r="W6916" s="12" t="s">
        <v>13541</v>
      </c>
      <c r="X6916" s="16" t="s">
        <v>31026</v>
      </c>
      <c r="Y6916" s="15" t="s">
        <v>55</v>
      </c>
      <c r="Z6916" s="14">
        <v>0.67</v>
      </c>
      <c r="AA6916" s="14">
        <v>7.67</v>
      </c>
      <c r="AB6916" s="12" t="s">
        <v>56</v>
      </c>
      <c r="AC6916" s="12" t="s">
        <v>13543</v>
      </c>
      <c r="AD6916" s="13">
        <v>42352</v>
      </c>
      <c r="AE6916" s="12" t="s">
        <v>851</v>
      </c>
      <c r="AF6916" s="12" t="s">
        <v>1077</v>
      </c>
      <c r="AG6916" s="12" t="s">
        <v>81</v>
      </c>
      <c r="AH6916" s="1">
        <f>HYPERLINK("https://my.pitchbook.com?c=196443-28T","View Company Online")</f>
      </c>
    </row>
    <row r="6917">
      <c r="A6917" s="3" t="s">
        <v>31027</v>
      </c>
      <c r="B6917" s="3" t="s">
        <v>13872</v>
      </c>
      <c r="C6917" s="5">
        <v>17</v>
      </c>
      <c r="D6917" s="5">
        <v>68</v>
      </c>
      <c r="E6917" s="5">
        <v>22</v>
      </c>
      <c r="F6917" s="5">
        <v>88</v>
      </c>
      <c r="G6917" s="6" t="s">
        <v>326</v>
      </c>
      <c r="H6917" s="4">
        <v>38.88</v>
      </c>
      <c r="I6917" s="7">
        <v>37.09</v>
      </c>
      <c r="J6917" s="3" t="s">
        <v>327</v>
      </c>
      <c r="K6917" s="9">
        <v>42186</v>
      </c>
      <c r="L6917" s="6" t="s">
        <v>122</v>
      </c>
      <c r="M6917" s="3" t="s">
        <v>36</v>
      </c>
      <c r="N6917" s="3" t="s">
        <v>122</v>
      </c>
      <c r="O6917" s="8" t="s">
        <v>36</v>
      </c>
      <c r="P6917" s="3" t="s">
        <v>36</v>
      </c>
      <c r="Q6917" s="3" t="s">
        <v>36</v>
      </c>
      <c r="R6917" s="3" t="s">
        <v>36</v>
      </c>
      <c r="S6917" s="3" t="s">
        <v>13873</v>
      </c>
      <c r="T6917" s="3" t="s">
        <v>13874</v>
      </c>
      <c r="U6917" s="3" t="s">
        <v>96</v>
      </c>
      <c r="V6917" s="3" t="s">
        <v>52</v>
      </c>
      <c r="W6917" s="3" t="s">
        <v>13875</v>
      </c>
      <c r="X6917" s="10" t="s">
        <v>31028</v>
      </c>
      <c r="Y6917" s="6" t="s">
        <v>108</v>
      </c>
      <c r="Z6917" s="4">
        <v>4.29</v>
      </c>
      <c r="AA6917" s="4">
        <v>11.58</v>
      </c>
      <c r="AB6917" s="3" t="s">
        <v>43</v>
      </c>
      <c r="AC6917" s="3" t="s">
        <v>13877</v>
      </c>
      <c r="AD6917" s="9">
        <v>42350</v>
      </c>
      <c r="AE6917" s="3" t="s">
        <v>143</v>
      </c>
      <c r="AF6917" s="3" t="s">
        <v>13878</v>
      </c>
      <c r="AG6917" s="3" t="s">
        <v>81</v>
      </c>
      <c r="AH6917" s="11">
        <f>HYPERLINK("https://my.pitchbook.com?c=59325-76T","View Company Online")</f>
      </c>
    </row>
    <row r="6918">
      <c r="A6918" s="12" t="s">
        <v>31029</v>
      </c>
      <c r="B6918" s="12" t="s">
        <v>11213</v>
      </c>
      <c r="C6918" s="19" t="s">
        <v>36</v>
      </c>
      <c r="D6918" s="19" t="s">
        <v>36</v>
      </c>
      <c r="E6918" s="19" t="s">
        <v>36</v>
      </c>
      <c r="F6918" s="19" t="s">
        <v>36</v>
      </c>
      <c r="G6918" s="15" t="s">
        <v>326</v>
      </c>
      <c r="H6918" s="14">
        <v>43.83</v>
      </c>
      <c r="I6918" s="18">
        <v>16.91</v>
      </c>
      <c r="J6918" s="12" t="s">
        <v>521</v>
      </c>
      <c r="K6918" s="13">
        <v>41942</v>
      </c>
      <c r="L6918" s="15" t="s">
        <v>36</v>
      </c>
      <c r="M6918" s="12" t="s">
        <v>36</v>
      </c>
      <c r="N6918" s="12" t="s">
        <v>36</v>
      </c>
      <c r="O6918" s="17" t="s">
        <v>36</v>
      </c>
      <c r="P6918" s="12" t="s">
        <v>36</v>
      </c>
      <c r="Q6918" s="12" t="s">
        <v>36</v>
      </c>
      <c r="R6918" s="12" t="s">
        <v>36</v>
      </c>
      <c r="S6918" s="12" t="s">
        <v>36</v>
      </c>
      <c r="T6918" s="12" t="s">
        <v>11214</v>
      </c>
      <c r="U6918" s="12" t="s">
        <v>38</v>
      </c>
      <c r="V6918" s="12" t="s">
        <v>39</v>
      </c>
      <c r="W6918" s="12" t="s">
        <v>11215</v>
      </c>
      <c r="X6918" s="16" t="s">
        <v>31030</v>
      </c>
      <c r="Y6918" s="15" t="s">
        <v>55</v>
      </c>
      <c r="Z6918" s="14">
        <v>1.33</v>
      </c>
      <c r="AA6918" s="14">
        <v>7.88</v>
      </c>
      <c r="AB6918" s="12" t="s">
        <v>43</v>
      </c>
      <c r="AC6918" s="12" t="s">
        <v>11217</v>
      </c>
      <c r="AD6918" s="13">
        <v>42349</v>
      </c>
      <c r="AE6918" s="12" t="s">
        <v>1422</v>
      </c>
      <c r="AF6918" s="12" t="s">
        <v>7239</v>
      </c>
      <c r="AG6918" s="12" t="s">
        <v>2618</v>
      </c>
      <c r="AH6918" s="1">
        <f>HYPERLINK("https://my.pitchbook.com?c=39047-41T","View Company Online")</f>
      </c>
    </row>
    <row r="6919">
      <c r="A6919" s="3" t="s">
        <v>31031</v>
      </c>
      <c r="B6919" s="3" t="s">
        <v>8778</v>
      </c>
      <c r="C6919" s="5">
        <v>8</v>
      </c>
      <c r="D6919" s="5">
        <v>54</v>
      </c>
      <c r="E6919" s="5">
        <v>24</v>
      </c>
      <c r="F6919" s="5">
        <v>62</v>
      </c>
      <c r="G6919" s="6" t="s">
        <v>36</v>
      </c>
      <c r="H6919" s="4" t="s">
        <v>36</v>
      </c>
      <c r="I6919" s="7" t="s">
        <v>36</v>
      </c>
      <c r="J6919" s="3" t="s">
        <v>36</v>
      </c>
      <c r="K6919" s="9" t="s">
        <v>36</v>
      </c>
      <c r="L6919" s="6" t="s">
        <v>36</v>
      </c>
      <c r="M6919" s="3" t="s">
        <v>36</v>
      </c>
      <c r="N6919" s="3" t="s">
        <v>36</v>
      </c>
      <c r="O6919" s="8" t="s">
        <v>36</v>
      </c>
      <c r="P6919" s="3" t="s">
        <v>36</v>
      </c>
      <c r="Q6919" s="3" t="s">
        <v>36</v>
      </c>
      <c r="R6919" s="3" t="s">
        <v>36</v>
      </c>
      <c r="S6919" s="3" t="s">
        <v>36</v>
      </c>
      <c r="T6919" s="3" t="s">
        <v>3208</v>
      </c>
      <c r="U6919" s="3" t="s">
        <v>1798</v>
      </c>
      <c r="V6919" s="3" t="s">
        <v>39</v>
      </c>
      <c r="W6919" s="3" t="s">
        <v>8779</v>
      </c>
      <c r="X6919" s="10" t="s">
        <v>31032</v>
      </c>
      <c r="Y6919" s="6" t="s">
        <v>42</v>
      </c>
      <c r="Z6919" s="4" t="s">
        <v>36</v>
      </c>
      <c r="AA6919" s="4" t="s">
        <v>36</v>
      </c>
      <c r="AB6919" s="3" t="s">
        <v>43</v>
      </c>
      <c r="AC6919" s="3" t="s">
        <v>8781</v>
      </c>
      <c r="AD6919" s="9">
        <v>42349</v>
      </c>
      <c r="AE6919" s="3" t="s">
        <v>1802</v>
      </c>
      <c r="AF6919" s="3" t="s">
        <v>8782</v>
      </c>
      <c r="AG6919" s="3" t="s">
        <v>765</v>
      </c>
      <c r="AH6919" s="11">
        <f>HYPERLINK("https://my.pitchbook.com?c=76429-72T","View Company Online")</f>
      </c>
    </row>
    <row r="6920">
      <c r="A6920" s="12" t="s">
        <v>31033</v>
      </c>
      <c r="B6920" s="12" t="s">
        <v>20229</v>
      </c>
      <c r="C6920" s="19" t="s">
        <v>36</v>
      </c>
      <c r="D6920" s="19">
        <v>1</v>
      </c>
      <c r="E6920" s="19">
        <v>1</v>
      </c>
      <c r="F6920" s="19">
        <v>1</v>
      </c>
      <c r="G6920" s="15" t="s">
        <v>326</v>
      </c>
      <c r="H6920" s="14">
        <v>39.25</v>
      </c>
      <c r="I6920" s="18">
        <v>27.12</v>
      </c>
      <c r="J6920" s="12" t="s">
        <v>521</v>
      </c>
      <c r="K6920" s="13" t="s">
        <v>36</v>
      </c>
      <c r="L6920" s="15" t="s">
        <v>122</v>
      </c>
      <c r="M6920" s="12" t="s">
        <v>36</v>
      </c>
      <c r="N6920" s="12" t="s">
        <v>122</v>
      </c>
      <c r="O6920" s="17" t="s">
        <v>36</v>
      </c>
      <c r="P6920" s="12" t="s">
        <v>36</v>
      </c>
      <c r="Q6920" s="12" t="s">
        <v>36</v>
      </c>
      <c r="R6920" s="12" t="s">
        <v>36</v>
      </c>
      <c r="S6920" s="12" t="s">
        <v>36</v>
      </c>
      <c r="T6920" s="12" t="s">
        <v>9281</v>
      </c>
      <c r="U6920" s="12" t="s">
        <v>38</v>
      </c>
      <c r="V6920" s="12" t="s">
        <v>39</v>
      </c>
      <c r="W6920" s="12" t="s">
        <v>20230</v>
      </c>
      <c r="X6920" s="16" t="s">
        <v>31034</v>
      </c>
      <c r="Y6920" s="15" t="s">
        <v>108</v>
      </c>
      <c r="Z6920" s="14">
        <v>5.9</v>
      </c>
      <c r="AA6920" s="14">
        <v>21.76</v>
      </c>
      <c r="AB6920" s="12" t="s">
        <v>43</v>
      </c>
      <c r="AC6920" s="12" t="s">
        <v>20232</v>
      </c>
      <c r="AD6920" s="13">
        <v>42348</v>
      </c>
      <c r="AE6920" s="12" t="s">
        <v>1945</v>
      </c>
      <c r="AF6920" s="12" t="s">
        <v>7844</v>
      </c>
      <c r="AG6920" s="12" t="s">
        <v>81</v>
      </c>
      <c r="AH6920" s="1">
        <f>HYPERLINK("https://my.pitchbook.com?c=62881-39T","View Company Online")</f>
      </c>
    </row>
    <row r="6921">
      <c r="A6921" s="3" t="s">
        <v>31035</v>
      </c>
      <c r="B6921" s="3" t="s">
        <v>31036</v>
      </c>
      <c r="C6921" s="5" t="s">
        <v>36</v>
      </c>
      <c r="D6921" s="5" t="s">
        <v>36</v>
      </c>
      <c r="E6921" s="5" t="s">
        <v>36</v>
      </c>
      <c r="F6921" s="5" t="s">
        <v>36</v>
      </c>
      <c r="G6921" s="6" t="s">
        <v>36</v>
      </c>
      <c r="H6921" s="4">
        <v>970.02</v>
      </c>
      <c r="I6921" s="7">
        <v>29.97</v>
      </c>
      <c r="J6921" s="3" t="s">
        <v>521</v>
      </c>
      <c r="K6921" s="9" t="s">
        <v>36</v>
      </c>
      <c r="L6921" s="6" t="s">
        <v>36</v>
      </c>
      <c r="M6921" s="3" t="s">
        <v>36</v>
      </c>
      <c r="N6921" s="3" t="s">
        <v>36</v>
      </c>
      <c r="O6921" s="8" t="s">
        <v>36</v>
      </c>
      <c r="P6921" s="3" t="s">
        <v>36</v>
      </c>
      <c r="Q6921" s="3" t="s">
        <v>36</v>
      </c>
      <c r="R6921" s="3" t="s">
        <v>36</v>
      </c>
      <c r="S6921" s="3" t="s">
        <v>36</v>
      </c>
      <c r="T6921" s="3" t="s">
        <v>6647</v>
      </c>
      <c r="U6921" s="3" t="s">
        <v>233</v>
      </c>
      <c r="V6921" s="3" t="s">
        <v>39</v>
      </c>
      <c r="W6921" s="3" t="s">
        <v>31037</v>
      </c>
      <c r="X6921" s="10" t="s">
        <v>31038</v>
      </c>
      <c r="Y6921" s="6" t="s">
        <v>42</v>
      </c>
      <c r="Z6921" s="4">
        <v>0.21</v>
      </c>
      <c r="AA6921" s="4">
        <v>0.72</v>
      </c>
      <c r="AB6921" s="3" t="s">
        <v>43</v>
      </c>
      <c r="AC6921" s="3" t="s">
        <v>31039</v>
      </c>
      <c r="AD6921" s="9">
        <v>42347</v>
      </c>
      <c r="AE6921" s="3" t="s">
        <v>236</v>
      </c>
      <c r="AF6921" s="3" t="s">
        <v>36</v>
      </c>
      <c r="AG6921" s="3" t="s">
        <v>1637</v>
      </c>
      <c r="AH6921" s="11">
        <f>HYPERLINK("https://my.pitchbook.com?c=173305-36T","View Company Online")</f>
      </c>
    </row>
    <row r="6922">
      <c r="A6922" s="12" t="s">
        <v>31040</v>
      </c>
      <c r="B6922" s="12" t="s">
        <v>21130</v>
      </c>
      <c r="C6922" s="19" t="s">
        <v>36</v>
      </c>
      <c r="D6922" s="19" t="s">
        <v>36</v>
      </c>
      <c r="E6922" s="19" t="s">
        <v>36</v>
      </c>
      <c r="F6922" s="19" t="s">
        <v>36</v>
      </c>
      <c r="G6922" s="15" t="s">
        <v>36</v>
      </c>
      <c r="H6922" s="14">
        <v>112.39</v>
      </c>
      <c r="I6922" s="18">
        <v>33.63</v>
      </c>
      <c r="J6922" s="12" t="s">
        <v>521</v>
      </c>
      <c r="K6922" s="13" t="s">
        <v>36</v>
      </c>
      <c r="L6922" s="15" t="s">
        <v>36</v>
      </c>
      <c r="M6922" s="12" t="s">
        <v>36</v>
      </c>
      <c r="N6922" s="12" t="s">
        <v>36</v>
      </c>
      <c r="O6922" s="17" t="s">
        <v>36</v>
      </c>
      <c r="P6922" s="12" t="s">
        <v>36</v>
      </c>
      <c r="Q6922" s="12" t="s">
        <v>36</v>
      </c>
      <c r="R6922" s="12" t="s">
        <v>36</v>
      </c>
      <c r="S6922" s="12" t="s">
        <v>36</v>
      </c>
      <c r="T6922" s="12" t="s">
        <v>6288</v>
      </c>
      <c r="U6922" s="12" t="s">
        <v>85</v>
      </c>
      <c r="V6922" s="12" t="s">
        <v>64</v>
      </c>
      <c r="W6922" s="12" t="s">
        <v>21131</v>
      </c>
      <c r="X6922" s="16" t="s">
        <v>8584</v>
      </c>
      <c r="Y6922" s="15" t="s">
        <v>42</v>
      </c>
      <c r="Z6922" s="14">
        <v>0.65</v>
      </c>
      <c r="AA6922" s="14">
        <v>1.94</v>
      </c>
      <c r="AB6922" s="12" t="s">
        <v>43</v>
      </c>
      <c r="AC6922" s="12" t="s">
        <v>21133</v>
      </c>
      <c r="AD6922" s="13">
        <v>42346</v>
      </c>
      <c r="AE6922" s="12" t="s">
        <v>89</v>
      </c>
      <c r="AF6922" s="12" t="s">
        <v>5529</v>
      </c>
      <c r="AG6922" s="12" t="s">
        <v>81</v>
      </c>
      <c r="AH6922" s="1">
        <f>HYPERLINK("https://my.pitchbook.com?c=88138-00T","View Company Online")</f>
      </c>
    </row>
    <row r="6923">
      <c r="A6923" s="3" t="s">
        <v>31041</v>
      </c>
      <c r="B6923" s="3" t="s">
        <v>31042</v>
      </c>
      <c r="C6923" s="5" t="s">
        <v>36</v>
      </c>
      <c r="D6923" s="5" t="s">
        <v>36</v>
      </c>
      <c r="E6923" s="5" t="s">
        <v>36</v>
      </c>
      <c r="F6923" s="5" t="s">
        <v>36</v>
      </c>
      <c r="G6923" s="6" t="s">
        <v>326</v>
      </c>
      <c r="H6923" s="4">
        <v>310.53</v>
      </c>
      <c r="I6923" s="7">
        <v>27.01</v>
      </c>
      <c r="J6923" s="3" t="s">
        <v>521</v>
      </c>
      <c r="K6923" s="9" t="s">
        <v>36</v>
      </c>
      <c r="L6923" s="6" t="s">
        <v>36</v>
      </c>
      <c r="M6923" s="3" t="s">
        <v>36</v>
      </c>
      <c r="N6923" s="3" t="s">
        <v>36</v>
      </c>
      <c r="O6923" s="8" t="s">
        <v>36</v>
      </c>
      <c r="P6923" s="3" t="s">
        <v>36</v>
      </c>
      <c r="Q6923" s="3" t="s">
        <v>36</v>
      </c>
      <c r="R6923" s="3" t="s">
        <v>36</v>
      </c>
      <c r="S6923" s="3" t="s">
        <v>6677</v>
      </c>
      <c r="T6923" s="3" t="s">
        <v>6288</v>
      </c>
      <c r="U6923" s="3" t="s">
        <v>85</v>
      </c>
      <c r="V6923" s="3" t="s">
        <v>64</v>
      </c>
      <c r="W6923" s="3" t="s">
        <v>31043</v>
      </c>
      <c r="X6923" s="10" t="s">
        <v>31044</v>
      </c>
      <c r="Y6923" s="6" t="s">
        <v>108</v>
      </c>
      <c r="Z6923" s="4">
        <v>3.65</v>
      </c>
      <c r="AA6923" s="4">
        <v>7.35</v>
      </c>
      <c r="AB6923" s="3" t="s">
        <v>56</v>
      </c>
      <c r="AC6923" s="3" t="s">
        <v>31045</v>
      </c>
      <c r="AD6923" s="9">
        <v>42342</v>
      </c>
      <c r="AE6923" s="3" t="s">
        <v>89</v>
      </c>
      <c r="AF6923" s="3" t="s">
        <v>26900</v>
      </c>
      <c r="AG6923" s="3" t="s">
        <v>81</v>
      </c>
      <c r="AH6923" s="11">
        <f>HYPERLINK("https://my.pitchbook.com?c=62576-74T","View Company Online")</f>
      </c>
    </row>
    <row r="6924">
      <c r="A6924" s="12" t="s">
        <v>31046</v>
      </c>
      <c r="B6924" s="12" t="s">
        <v>31047</v>
      </c>
      <c r="C6924" s="19" t="s">
        <v>36</v>
      </c>
      <c r="D6924" s="19" t="s">
        <v>36</v>
      </c>
      <c r="E6924" s="19" t="s">
        <v>36</v>
      </c>
      <c r="F6924" s="19" t="s">
        <v>36</v>
      </c>
      <c r="G6924" s="15" t="s">
        <v>683</v>
      </c>
      <c r="H6924" s="14" t="s">
        <v>36</v>
      </c>
      <c r="I6924" s="18">
        <v>23.38</v>
      </c>
      <c r="J6924" s="12" t="s">
        <v>327</v>
      </c>
      <c r="K6924" s="13" t="s">
        <v>36</v>
      </c>
      <c r="L6924" s="15" t="s">
        <v>122</v>
      </c>
      <c r="M6924" s="12" t="s">
        <v>36</v>
      </c>
      <c r="N6924" s="12" t="s">
        <v>122</v>
      </c>
      <c r="O6924" s="17" t="s">
        <v>36</v>
      </c>
      <c r="P6924" s="12" t="s">
        <v>36</v>
      </c>
      <c r="Q6924" s="12" t="s">
        <v>36</v>
      </c>
      <c r="R6924" s="12" t="s">
        <v>36</v>
      </c>
      <c r="S6924" s="12" t="s">
        <v>36</v>
      </c>
      <c r="T6924" s="12" t="s">
        <v>4758</v>
      </c>
      <c r="U6924" s="12" t="s">
        <v>38</v>
      </c>
      <c r="V6924" s="12" t="s">
        <v>39</v>
      </c>
      <c r="W6924" s="12" t="s">
        <v>31048</v>
      </c>
      <c r="X6924" s="16" t="s">
        <v>24669</v>
      </c>
      <c r="Y6924" s="15" t="s">
        <v>108</v>
      </c>
      <c r="Z6924" s="14">
        <v>1.61</v>
      </c>
      <c r="AA6924" s="14">
        <v>6.89</v>
      </c>
      <c r="AB6924" s="12" t="s">
        <v>43</v>
      </c>
      <c r="AC6924" s="12" t="s">
        <v>31049</v>
      </c>
      <c r="AD6924" s="13">
        <v>42342</v>
      </c>
      <c r="AE6924" s="12" t="s">
        <v>1330</v>
      </c>
      <c r="AF6924" s="12" t="s">
        <v>30620</v>
      </c>
      <c r="AG6924" s="12" t="s">
        <v>81</v>
      </c>
      <c r="AH6924" s="1">
        <f>HYPERLINK("https://my.pitchbook.com?c=62527-33T","View Company Online")</f>
      </c>
    </row>
    <row r="6925">
      <c r="A6925" s="3" t="s">
        <v>31050</v>
      </c>
      <c r="B6925" s="3" t="s">
        <v>31051</v>
      </c>
      <c r="C6925" s="5" t="s">
        <v>36</v>
      </c>
      <c r="D6925" s="5" t="s">
        <v>36</v>
      </c>
      <c r="E6925" s="5" t="s">
        <v>36</v>
      </c>
      <c r="F6925" s="5" t="s">
        <v>36</v>
      </c>
      <c r="G6925" s="6" t="s">
        <v>36</v>
      </c>
      <c r="H6925" s="4" t="s">
        <v>36</v>
      </c>
      <c r="I6925" s="7" t="s">
        <v>36</v>
      </c>
      <c r="J6925" s="3" t="s">
        <v>36</v>
      </c>
      <c r="K6925" s="9" t="s">
        <v>36</v>
      </c>
      <c r="L6925" s="6" t="s">
        <v>36</v>
      </c>
      <c r="M6925" s="3" t="s">
        <v>36</v>
      </c>
      <c r="N6925" s="3" t="s">
        <v>36</v>
      </c>
      <c r="O6925" s="8" t="s">
        <v>36</v>
      </c>
      <c r="P6925" s="3" t="s">
        <v>36</v>
      </c>
      <c r="Q6925" s="3" t="s">
        <v>36</v>
      </c>
      <c r="R6925" s="3" t="s">
        <v>36</v>
      </c>
      <c r="S6925" s="3" t="s">
        <v>36</v>
      </c>
      <c r="T6925" s="3" t="s">
        <v>31052</v>
      </c>
      <c r="U6925" s="3" t="s">
        <v>318</v>
      </c>
      <c r="V6925" s="3" t="s">
        <v>39</v>
      </c>
      <c r="W6925" s="3" t="s">
        <v>31053</v>
      </c>
      <c r="X6925" s="10" t="s">
        <v>730</v>
      </c>
      <c r="Y6925" s="6" t="s">
        <v>42</v>
      </c>
      <c r="Z6925" s="4">
        <v>1.82</v>
      </c>
      <c r="AA6925" s="4" t="s">
        <v>36</v>
      </c>
      <c r="AB6925" s="3" t="s">
        <v>56</v>
      </c>
      <c r="AC6925" s="3" t="s">
        <v>31054</v>
      </c>
      <c r="AD6925" s="9">
        <v>42342</v>
      </c>
      <c r="AE6925" s="3" t="s">
        <v>323</v>
      </c>
      <c r="AF6925" s="3" t="s">
        <v>571</v>
      </c>
      <c r="AG6925" s="3" t="s">
        <v>14360</v>
      </c>
      <c r="AH6925" s="11">
        <f>HYPERLINK("https://my.pitchbook.com?c=120355-48T","View Company Online")</f>
      </c>
    </row>
    <row r="6926">
      <c r="A6926" s="12" t="s">
        <v>31055</v>
      </c>
      <c r="B6926" s="12" t="s">
        <v>22177</v>
      </c>
      <c r="C6926" s="19" t="s">
        <v>36</v>
      </c>
      <c r="D6926" s="19" t="s">
        <v>36</v>
      </c>
      <c r="E6926" s="19" t="s">
        <v>36</v>
      </c>
      <c r="F6926" s="19" t="s">
        <v>36</v>
      </c>
      <c r="G6926" s="15" t="s">
        <v>36</v>
      </c>
      <c r="H6926" s="14" t="s">
        <v>36</v>
      </c>
      <c r="I6926" s="18" t="s">
        <v>36</v>
      </c>
      <c r="J6926" s="12" t="s">
        <v>36</v>
      </c>
      <c r="K6926" s="13" t="s">
        <v>36</v>
      </c>
      <c r="L6926" s="15" t="s">
        <v>36</v>
      </c>
      <c r="M6926" s="12" t="s">
        <v>36</v>
      </c>
      <c r="N6926" s="12" t="s">
        <v>36</v>
      </c>
      <c r="O6926" s="17" t="s">
        <v>36</v>
      </c>
      <c r="P6926" s="12" t="s">
        <v>36</v>
      </c>
      <c r="Q6926" s="12" t="s">
        <v>36</v>
      </c>
      <c r="R6926" s="12" t="s">
        <v>36</v>
      </c>
      <c r="S6926" s="12" t="s">
        <v>36</v>
      </c>
      <c r="T6926" s="12" t="s">
        <v>1350</v>
      </c>
      <c r="U6926" s="12" t="s">
        <v>38</v>
      </c>
      <c r="V6926" s="12" t="s">
        <v>39</v>
      </c>
      <c r="W6926" s="12" t="s">
        <v>22178</v>
      </c>
      <c r="X6926" s="16" t="s">
        <v>31056</v>
      </c>
      <c r="Y6926" s="15" t="s">
        <v>42</v>
      </c>
      <c r="Z6926" s="14">
        <v>2.15</v>
      </c>
      <c r="AA6926" s="14" t="s">
        <v>36</v>
      </c>
      <c r="AB6926" s="12" t="s">
        <v>43</v>
      </c>
      <c r="AC6926" s="12" t="s">
        <v>22180</v>
      </c>
      <c r="AD6926" s="13">
        <v>42341</v>
      </c>
      <c r="AE6926" s="12" t="s">
        <v>785</v>
      </c>
      <c r="AF6926" s="12" t="s">
        <v>6214</v>
      </c>
      <c r="AG6926" s="12" t="s">
        <v>81</v>
      </c>
      <c r="AH6926" s="1">
        <f>HYPERLINK("https://my.pitchbook.com?c=106491-34T","View Company Online")</f>
      </c>
    </row>
    <row r="6927">
      <c r="A6927" s="3" t="s">
        <v>31057</v>
      </c>
      <c r="B6927" s="3" t="s">
        <v>31058</v>
      </c>
      <c r="C6927" s="5" t="s">
        <v>36</v>
      </c>
      <c r="D6927" s="5" t="s">
        <v>36</v>
      </c>
      <c r="E6927" s="5" t="s">
        <v>36</v>
      </c>
      <c r="F6927" s="5" t="s">
        <v>36</v>
      </c>
      <c r="G6927" s="6" t="s">
        <v>36</v>
      </c>
      <c r="H6927" s="4">
        <v>367.75</v>
      </c>
      <c r="I6927" s="7">
        <v>21.31</v>
      </c>
      <c r="J6927" s="3" t="s">
        <v>521</v>
      </c>
      <c r="K6927" s="9" t="s">
        <v>36</v>
      </c>
      <c r="L6927" s="6" t="s">
        <v>36</v>
      </c>
      <c r="M6927" s="3" t="s">
        <v>36</v>
      </c>
      <c r="N6927" s="3" t="s">
        <v>36</v>
      </c>
      <c r="O6927" s="8" t="s">
        <v>36</v>
      </c>
      <c r="P6927" s="3" t="s">
        <v>36</v>
      </c>
      <c r="Q6927" s="3" t="s">
        <v>36</v>
      </c>
      <c r="R6927" s="3" t="s">
        <v>36</v>
      </c>
      <c r="S6927" s="3" t="s">
        <v>36</v>
      </c>
      <c r="T6927" s="3" t="s">
        <v>2483</v>
      </c>
      <c r="U6927" s="3" t="s">
        <v>63</v>
      </c>
      <c r="V6927" s="3" t="s">
        <v>64</v>
      </c>
      <c r="W6927" s="3" t="s">
        <v>31059</v>
      </c>
      <c r="X6927" s="10" t="s">
        <v>15311</v>
      </c>
      <c r="Y6927" s="6" t="s">
        <v>42</v>
      </c>
      <c r="Z6927" s="4">
        <v>0.14</v>
      </c>
      <c r="AA6927" s="4">
        <v>0.64</v>
      </c>
      <c r="AB6927" s="3" t="s">
        <v>43</v>
      </c>
      <c r="AC6927" s="3" t="s">
        <v>31060</v>
      </c>
      <c r="AD6927" s="9">
        <v>42341</v>
      </c>
      <c r="AE6927" s="3" t="s">
        <v>399</v>
      </c>
      <c r="AF6927" s="3" t="s">
        <v>36</v>
      </c>
      <c r="AG6927" s="3" t="s">
        <v>332</v>
      </c>
      <c r="AH6927" s="11">
        <f>HYPERLINK("https://my.pitchbook.com?c=108188-02T","View Company Online")</f>
      </c>
    </row>
    <row r="6928">
      <c r="A6928" s="12" t="s">
        <v>31061</v>
      </c>
      <c r="B6928" s="12" t="s">
        <v>16451</v>
      </c>
      <c r="C6928" s="19" t="s">
        <v>36</v>
      </c>
      <c r="D6928" s="19" t="s">
        <v>36</v>
      </c>
      <c r="E6928" s="19" t="s">
        <v>36</v>
      </c>
      <c r="F6928" s="19" t="s">
        <v>36</v>
      </c>
      <c r="G6928" s="15" t="s">
        <v>36</v>
      </c>
      <c r="H6928" s="14">
        <v>467.35</v>
      </c>
      <c r="I6928" s="18">
        <v>25.14</v>
      </c>
      <c r="J6928" s="12" t="s">
        <v>521</v>
      </c>
      <c r="K6928" s="13">
        <v>42309</v>
      </c>
      <c r="L6928" s="15" t="s">
        <v>36</v>
      </c>
      <c r="M6928" s="12" t="s">
        <v>36</v>
      </c>
      <c r="N6928" s="12" t="s">
        <v>36</v>
      </c>
      <c r="O6928" s="17" t="s">
        <v>36</v>
      </c>
      <c r="P6928" s="12" t="s">
        <v>36</v>
      </c>
      <c r="Q6928" s="12" t="s">
        <v>36</v>
      </c>
      <c r="R6928" s="12" t="s">
        <v>36</v>
      </c>
      <c r="S6928" s="12" t="s">
        <v>6677</v>
      </c>
      <c r="T6928" s="12" t="s">
        <v>6288</v>
      </c>
      <c r="U6928" s="12" t="s">
        <v>85</v>
      </c>
      <c r="V6928" s="12" t="s">
        <v>64</v>
      </c>
      <c r="W6928" s="12" t="s">
        <v>16452</v>
      </c>
      <c r="X6928" s="16" t="s">
        <v>31062</v>
      </c>
      <c r="Y6928" s="15" t="s">
        <v>42</v>
      </c>
      <c r="Z6928" s="14">
        <v>1.62</v>
      </c>
      <c r="AA6928" s="14">
        <v>6.45</v>
      </c>
      <c r="AB6928" s="12" t="s">
        <v>43</v>
      </c>
      <c r="AC6928" s="12" t="s">
        <v>16454</v>
      </c>
      <c r="AD6928" s="13">
        <v>42341</v>
      </c>
      <c r="AE6928" s="12" t="s">
        <v>89</v>
      </c>
      <c r="AF6928" s="12" t="s">
        <v>16455</v>
      </c>
      <c r="AG6928" s="12" t="s">
        <v>81</v>
      </c>
      <c r="AH6928" s="1">
        <f>HYPERLINK("https://my.pitchbook.com?c=75410-65T","View Company Online")</f>
      </c>
    </row>
    <row r="6929">
      <c r="A6929" s="3" t="s">
        <v>31063</v>
      </c>
      <c r="B6929" s="3" t="s">
        <v>31064</v>
      </c>
      <c r="C6929" s="5" t="s">
        <v>36</v>
      </c>
      <c r="D6929" s="5" t="s">
        <v>36</v>
      </c>
      <c r="E6929" s="5">
        <v>2</v>
      </c>
      <c r="F6929" s="5">
        <v>4</v>
      </c>
      <c r="G6929" s="6" t="s">
        <v>36</v>
      </c>
      <c r="H6929" s="4">
        <v>114.24</v>
      </c>
      <c r="I6929" s="7">
        <v>7.43</v>
      </c>
      <c r="J6929" s="3" t="s">
        <v>521</v>
      </c>
      <c r="K6929" s="9" t="s">
        <v>36</v>
      </c>
      <c r="L6929" s="6" t="s">
        <v>36</v>
      </c>
      <c r="M6929" s="3" t="s">
        <v>36</v>
      </c>
      <c r="N6929" s="3" t="s">
        <v>36</v>
      </c>
      <c r="O6929" s="8" t="s">
        <v>36</v>
      </c>
      <c r="P6929" s="3" t="s">
        <v>36</v>
      </c>
      <c r="Q6929" s="3" t="s">
        <v>36</v>
      </c>
      <c r="R6929" s="3" t="s">
        <v>36</v>
      </c>
      <c r="S6929" s="3" t="s">
        <v>36</v>
      </c>
      <c r="T6929" s="3" t="s">
        <v>31065</v>
      </c>
      <c r="U6929" s="3" t="s">
        <v>219</v>
      </c>
      <c r="V6929" s="3" t="s">
        <v>75</v>
      </c>
      <c r="W6929" s="3" t="s">
        <v>31066</v>
      </c>
      <c r="X6929" s="10" t="s">
        <v>31067</v>
      </c>
      <c r="Y6929" s="6" t="s">
        <v>42</v>
      </c>
      <c r="Z6929" s="4">
        <v>0.19</v>
      </c>
      <c r="AA6929" s="4">
        <v>2.53</v>
      </c>
      <c r="AB6929" s="3" t="s">
        <v>43</v>
      </c>
      <c r="AC6929" s="3" t="s">
        <v>31068</v>
      </c>
      <c r="AD6929" s="9">
        <v>42340</v>
      </c>
      <c r="AE6929" s="3" t="s">
        <v>1912</v>
      </c>
      <c r="AF6929" s="3" t="s">
        <v>36</v>
      </c>
      <c r="AG6929" s="3" t="s">
        <v>81</v>
      </c>
      <c r="AH6929" s="11">
        <f>HYPERLINK("https://my.pitchbook.com?c=114155-20T","View Company Online")</f>
      </c>
    </row>
    <row r="6930">
      <c r="A6930" s="12" t="s">
        <v>31069</v>
      </c>
      <c r="B6930" s="12" t="s">
        <v>31070</v>
      </c>
      <c r="C6930" s="19" t="s">
        <v>36</v>
      </c>
      <c r="D6930" s="19">
        <v>11</v>
      </c>
      <c r="E6930" s="19">
        <v>4</v>
      </c>
      <c r="F6930" s="19">
        <v>19</v>
      </c>
      <c r="G6930" s="15" t="s">
        <v>36</v>
      </c>
      <c r="H6930" s="14" t="s">
        <v>36</v>
      </c>
      <c r="I6930" s="18" t="s">
        <v>36</v>
      </c>
      <c r="J6930" s="12" t="s">
        <v>36</v>
      </c>
      <c r="K6930" s="13" t="s">
        <v>36</v>
      </c>
      <c r="L6930" s="15" t="s">
        <v>36</v>
      </c>
      <c r="M6930" s="12" t="s">
        <v>36</v>
      </c>
      <c r="N6930" s="12" t="s">
        <v>36</v>
      </c>
      <c r="O6930" s="17" t="s">
        <v>36</v>
      </c>
      <c r="P6930" s="12" t="s">
        <v>36</v>
      </c>
      <c r="Q6930" s="12" t="s">
        <v>36</v>
      </c>
      <c r="R6930" s="12" t="s">
        <v>36</v>
      </c>
      <c r="S6930" s="12" t="s">
        <v>36</v>
      </c>
      <c r="T6930" s="12" t="s">
        <v>2213</v>
      </c>
      <c r="U6930" s="12" t="s">
        <v>219</v>
      </c>
      <c r="V6930" s="12" t="s">
        <v>75</v>
      </c>
      <c r="W6930" s="12" t="s">
        <v>31071</v>
      </c>
      <c r="X6930" s="16" t="s">
        <v>31072</v>
      </c>
      <c r="Y6930" s="15" t="s">
        <v>55</v>
      </c>
      <c r="Z6930" s="14" t="s">
        <v>36</v>
      </c>
      <c r="AA6930" s="14" t="s">
        <v>36</v>
      </c>
      <c r="AB6930" s="12" t="s">
        <v>56</v>
      </c>
      <c r="AC6930" s="12" t="s">
        <v>31073</v>
      </c>
      <c r="AD6930" s="13">
        <v>42339</v>
      </c>
      <c r="AE6930" s="12" t="s">
        <v>1912</v>
      </c>
      <c r="AF6930" s="12" t="s">
        <v>571</v>
      </c>
      <c r="AG6930" s="12" t="s">
        <v>3406</v>
      </c>
      <c r="AH6930" s="1">
        <f>HYPERLINK("https://my.pitchbook.com?c=117799-84T","View Company Online")</f>
      </c>
    </row>
    <row r="6931">
      <c r="A6931" s="3" t="s">
        <v>31074</v>
      </c>
      <c r="B6931" s="3" t="s">
        <v>8852</v>
      </c>
      <c r="C6931" s="5" t="s">
        <v>36</v>
      </c>
      <c r="D6931" s="5" t="s">
        <v>36</v>
      </c>
      <c r="E6931" s="5" t="s">
        <v>36</v>
      </c>
      <c r="F6931" s="5" t="s">
        <v>36</v>
      </c>
      <c r="G6931" s="6" t="s">
        <v>36</v>
      </c>
      <c r="H6931" s="4">
        <v>83.09</v>
      </c>
      <c r="I6931" s="7">
        <v>20</v>
      </c>
      <c r="J6931" s="3" t="s">
        <v>521</v>
      </c>
      <c r="K6931" s="9" t="s">
        <v>36</v>
      </c>
      <c r="L6931" s="6" t="s">
        <v>36</v>
      </c>
      <c r="M6931" s="3" t="s">
        <v>36</v>
      </c>
      <c r="N6931" s="3" t="s">
        <v>36</v>
      </c>
      <c r="O6931" s="8" t="s">
        <v>36</v>
      </c>
      <c r="P6931" s="3" t="s">
        <v>36</v>
      </c>
      <c r="Q6931" s="3" t="s">
        <v>36</v>
      </c>
      <c r="R6931" s="3" t="s">
        <v>36</v>
      </c>
      <c r="S6931" s="3" t="s">
        <v>36</v>
      </c>
      <c r="T6931" s="3" t="s">
        <v>342</v>
      </c>
      <c r="U6931" s="3" t="s">
        <v>38</v>
      </c>
      <c r="V6931" s="3" t="s">
        <v>39</v>
      </c>
      <c r="W6931" s="3" t="s">
        <v>8853</v>
      </c>
      <c r="X6931" s="10" t="s">
        <v>31075</v>
      </c>
      <c r="Y6931" s="6" t="s">
        <v>42</v>
      </c>
      <c r="Z6931" s="4">
        <v>0.42</v>
      </c>
      <c r="AA6931" s="4">
        <v>1.08</v>
      </c>
      <c r="AB6931" s="3" t="s">
        <v>43</v>
      </c>
      <c r="AC6931" s="3" t="s">
        <v>8855</v>
      </c>
      <c r="AD6931" s="9">
        <v>42339</v>
      </c>
      <c r="AE6931" s="3" t="s">
        <v>110</v>
      </c>
      <c r="AF6931" s="3" t="s">
        <v>4552</v>
      </c>
      <c r="AG6931" s="3" t="s">
        <v>47</v>
      </c>
      <c r="AH6931" s="11">
        <f>HYPERLINK("https://my.pitchbook.com?c=101500-57T","View Company Online")</f>
      </c>
    </row>
    <row r="6932">
      <c r="A6932" s="12" t="s">
        <v>31076</v>
      </c>
      <c r="B6932" s="12" t="s">
        <v>31077</v>
      </c>
      <c r="C6932" s="19" t="s">
        <v>36</v>
      </c>
      <c r="D6932" s="19" t="s">
        <v>36</v>
      </c>
      <c r="E6932" s="19" t="s">
        <v>36</v>
      </c>
      <c r="F6932" s="19" t="s">
        <v>36</v>
      </c>
      <c r="G6932" s="15" t="s">
        <v>36</v>
      </c>
      <c r="H6932" s="14">
        <v>11.94</v>
      </c>
      <c r="I6932" s="18">
        <v>22.56</v>
      </c>
      <c r="J6932" s="12" t="s">
        <v>521</v>
      </c>
      <c r="K6932" s="13" t="s">
        <v>36</v>
      </c>
      <c r="L6932" s="15" t="s">
        <v>36</v>
      </c>
      <c r="M6932" s="12" t="s">
        <v>36</v>
      </c>
      <c r="N6932" s="12" t="s">
        <v>36</v>
      </c>
      <c r="O6932" s="17" t="s">
        <v>36</v>
      </c>
      <c r="P6932" s="12" t="s">
        <v>36</v>
      </c>
      <c r="Q6932" s="12" t="s">
        <v>36</v>
      </c>
      <c r="R6932" s="12" t="s">
        <v>36</v>
      </c>
      <c r="S6932" s="12" t="s">
        <v>36</v>
      </c>
      <c r="T6932" s="12" t="s">
        <v>24891</v>
      </c>
      <c r="U6932" s="12" t="s">
        <v>38</v>
      </c>
      <c r="V6932" s="12" t="s">
        <v>39</v>
      </c>
      <c r="W6932" s="12" t="s">
        <v>31078</v>
      </c>
      <c r="X6932" s="16" t="s">
        <v>31079</v>
      </c>
      <c r="Y6932" s="15" t="s">
        <v>42</v>
      </c>
      <c r="Z6932" s="14">
        <v>1.51</v>
      </c>
      <c r="AA6932" s="14">
        <v>3.48</v>
      </c>
      <c r="AB6932" s="12" t="s">
        <v>43</v>
      </c>
      <c r="AC6932" s="12" t="s">
        <v>31080</v>
      </c>
      <c r="AD6932" s="13">
        <v>42339</v>
      </c>
      <c r="AE6932" s="12" t="s">
        <v>1330</v>
      </c>
      <c r="AF6932" s="12" t="s">
        <v>1465</v>
      </c>
      <c r="AG6932" s="12" t="s">
        <v>31081</v>
      </c>
      <c r="AH6932" s="1">
        <f>HYPERLINK("https://my.pitchbook.com?c=89697-43T","View Company Online")</f>
      </c>
    </row>
    <row r="6933">
      <c r="A6933" s="3" t="s">
        <v>31082</v>
      </c>
      <c r="B6933" s="3" t="s">
        <v>21570</v>
      </c>
      <c r="C6933" s="5" t="s">
        <v>36</v>
      </c>
      <c r="D6933" s="5" t="s">
        <v>36</v>
      </c>
      <c r="E6933" s="5" t="s">
        <v>36</v>
      </c>
      <c r="F6933" s="5" t="s">
        <v>36</v>
      </c>
      <c r="G6933" s="6" t="s">
        <v>36</v>
      </c>
      <c r="H6933" s="4">
        <v>5.4</v>
      </c>
      <c r="I6933" s="7">
        <v>32.79</v>
      </c>
      <c r="J6933" s="3" t="s">
        <v>521</v>
      </c>
      <c r="K6933" s="9" t="s">
        <v>36</v>
      </c>
      <c r="L6933" s="6" t="s">
        <v>36</v>
      </c>
      <c r="M6933" s="3" t="s">
        <v>36</v>
      </c>
      <c r="N6933" s="3" t="s">
        <v>36</v>
      </c>
      <c r="O6933" s="8" t="s">
        <v>36</v>
      </c>
      <c r="P6933" s="3" t="s">
        <v>36</v>
      </c>
      <c r="Q6933" s="3" t="s">
        <v>36</v>
      </c>
      <c r="R6933" s="3" t="s">
        <v>36</v>
      </c>
      <c r="S6933" s="3" t="s">
        <v>36</v>
      </c>
      <c r="T6933" s="3" t="s">
        <v>21571</v>
      </c>
      <c r="U6933" s="3" t="s">
        <v>74</v>
      </c>
      <c r="V6933" s="3" t="s">
        <v>75</v>
      </c>
      <c r="W6933" s="3" t="s">
        <v>21572</v>
      </c>
      <c r="X6933" s="10" t="s">
        <v>16977</v>
      </c>
      <c r="Y6933" s="6" t="s">
        <v>42</v>
      </c>
      <c r="Z6933" s="4">
        <v>0.75</v>
      </c>
      <c r="AA6933" s="4">
        <v>1.31</v>
      </c>
      <c r="AB6933" s="3" t="s">
        <v>43</v>
      </c>
      <c r="AC6933" s="3" t="s">
        <v>21574</v>
      </c>
      <c r="AD6933" s="9">
        <v>42339</v>
      </c>
      <c r="AE6933" s="3" t="s">
        <v>79</v>
      </c>
      <c r="AF6933" s="3" t="s">
        <v>21575</v>
      </c>
      <c r="AG6933" s="3" t="s">
        <v>144</v>
      </c>
      <c r="AH6933" s="11">
        <f>HYPERLINK("https://my.pitchbook.com?c=85565-35T","View Company Online")</f>
      </c>
    </row>
    <row r="6934">
      <c r="A6934" s="12" t="s">
        <v>31083</v>
      </c>
      <c r="B6934" s="12" t="s">
        <v>21372</v>
      </c>
      <c r="C6934" s="19" t="s">
        <v>36</v>
      </c>
      <c r="D6934" s="19" t="s">
        <v>36</v>
      </c>
      <c r="E6934" s="19" t="s">
        <v>36</v>
      </c>
      <c r="F6934" s="19" t="s">
        <v>36</v>
      </c>
      <c r="G6934" s="15" t="s">
        <v>326</v>
      </c>
      <c r="H6934" s="14">
        <v>893.89</v>
      </c>
      <c r="I6934" s="18">
        <v>29</v>
      </c>
      <c r="J6934" s="12" t="s">
        <v>521</v>
      </c>
      <c r="K6934" s="13" t="s">
        <v>36</v>
      </c>
      <c r="L6934" s="15" t="s">
        <v>36</v>
      </c>
      <c r="M6934" s="12" t="s">
        <v>36</v>
      </c>
      <c r="N6934" s="12" t="s">
        <v>36</v>
      </c>
      <c r="O6934" s="17" t="s">
        <v>36</v>
      </c>
      <c r="P6934" s="12" t="s">
        <v>36</v>
      </c>
      <c r="Q6934" s="12" t="s">
        <v>36</v>
      </c>
      <c r="R6934" s="12" t="s">
        <v>36</v>
      </c>
      <c r="S6934" s="12" t="s">
        <v>36</v>
      </c>
      <c r="T6934" s="12" t="s">
        <v>522</v>
      </c>
      <c r="U6934" s="12" t="s">
        <v>38</v>
      </c>
      <c r="V6934" s="12" t="s">
        <v>39</v>
      </c>
      <c r="W6934" s="12" t="s">
        <v>21373</v>
      </c>
      <c r="X6934" s="16" t="s">
        <v>31084</v>
      </c>
      <c r="Y6934" s="15" t="s">
        <v>108</v>
      </c>
      <c r="Z6934" s="14">
        <v>2.69</v>
      </c>
      <c r="AA6934" s="14">
        <v>7.04</v>
      </c>
      <c r="AB6934" s="12" t="s">
        <v>56</v>
      </c>
      <c r="AC6934" s="12" t="s">
        <v>21375</v>
      </c>
      <c r="AD6934" s="13">
        <v>42339</v>
      </c>
      <c r="AE6934" s="12" t="s">
        <v>110</v>
      </c>
      <c r="AF6934" s="12" t="s">
        <v>176</v>
      </c>
      <c r="AG6934" s="12" t="s">
        <v>741</v>
      </c>
      <c r="AH6934" s="1">
        <f>HYPERLINK("https://my.pitchbook.com?c=70027-93T","View Company Online")</f>
      </c>
    </row>
    <row r="6935">
      <c r="A6935" s="3" t="s">
        <v>31085</v>
      </c>
      <c r="B6935" s="3" t="s">
        <v>2352</v>
      </c>
      <c r="C6935" s="5" t="s">
        <v>36</v>
      </c>
      <c r="D6935" s="5" t="s">
        <v>36</v>
      </c>
      <c r="E6935" s="5" t="s">
        <v>36</v>
      </c>
      <c r="F6935" s="5" t="s">
        <v>36</v>
      </c>
      <c r="G6935" s="6" t="s">
        <v>683</v>
      </c>
      <c r="H6935" s="4">
        <v>37.52</v>
      </c>
      <c r="I6935" s="7">
        <v>49.65</v>
      </c>
      <c r="J6935" s="3" t="s">
        <v>521</v>
      </c>
      <c r="K6935" s="9" t="s">
        <v>36</v>
      </c>
      <c r="L6935" s="6" t="s">
        <v>36</v>
      </c>
      <c r="M6935" s="3" t="s">
        <v>36</v>
      </c>
      <c r="N6935" s="3" t="s">
        <v>36</v>
      </c>
      <c r="O6935" s="8" t="s">
        <v>36</v>
      </c>
      <c r="P6935" s="3" t="s">
        <v>36</v>
      </c>
      <c r="Q6935" s="3" t="s">
        <v>36</v>
      </c>
      <c r="R6935" s="3" t="s">
        <v>36</v>
      </c>
      <c r="S6935" s="3" t="s">
        <v>36</v>
      </c>
      <c r="T6935" s="3" t="s">
        <v>522</v>
      </c>
      <c r="U6935" s="3" t="s">
        <v>38</v>
      </c>
      <c r="V6935" s="3" t="s">
        <v>39</v>
      </c>
      <c r="W6935" s="3" t="s">
        <v>2353</v>
      </c>
      <c r="X6935" s="10" t="s">
        <v>31086</v>
      </c>
      <c r="Y6935" s="6" t="s">
        <v>108</v>
      </c>
      <c r="Z6935" s="4">
        <v>3.86</v>
      </c>
      <c r="AA6935" s="4">
        <v>7.77</v>
      </c>
      <c r="AB6935" s="3" t="s">
        <v>43</v>
      </c>
      <c r="AC6935" s="3" t="s">
        <v>2355</v>
      </c>
      <c r="AD6935" s="9">
        <v>42339</v>
      </c>
      <c r="AE6935" s="3" t="s">
        <v>110</v>
      </c>
      <c r="AF6935" s="3" t="s">
        <v>2356</v>
      </c>
      <c r="AG6935" s="3" t="s">
        <v>741</v>
      </c>
      <c r="AH6935" s="11">
        <f>HYPERLINK("https://my.pitchbook.com?c=62403-58T","View Company Online")</f>
      </c>
    </row>
    <row r="6936">
      <c r="A6936" s="12" t="s">
        <v>31087</v>
      </c>
      <c r="B6936" s="12" t="s">
        <v>31088</v>
      </c>
      <c r="C6936" s="19" t="s">
        <v>36</v>
      </c>
      <c r="D6936" s="19" t="s">
        <v>36</v>
      </c>
      <c r="E6936" s="19" t="s">
        <v>36</v>
      </c>
      <c r="F6936" s="19" t="s">
        <v>36</v>
      </c>
      <c r="G6936" s="15" t="s">
        <v>36</v>
      </c>
      <c r="H6936" s="14">
        <v>69.14</v>
      </c>
      <c r="I6936" s="18">
        <v>27.89</v>
      </c>
      <c r="J6936" s="12" t="s">
        <v>521</v>
      </c>
      <c r="K6936" s="13" t="s">
        <v>36</v>
      </c>
      <c r="L6936" s="15" t="s">
        <v>36</v>
      </c>
      <c r="M6936" s="12" t="s">
        <v>36</v>
      </c>
      <c r="N6936" s="12" t="s">
        <v>36</v>
      </c>
      <c r="O6936" s="17" t="s">
        <v>36</v>
      </c>
      <c r="P6936" s="12" t="s">
        <v>36</v>
      </c>
      <c r="Q6936" s="12" t="s">
        <v>36</v>
      </c>
      <c r="R6936" s="12" t="s">
        <v>36</v>
      </c>
      <c r="S6936" s="12" t="s">
        <v>36</v>
      </c>
      <c r="T6936" s="12" t="s">
        <v>31089</v>
      </c>
      <c r="U6936" s="12" t="s">
        <v>38</v>
      </c>
      <c r="V6936" s="12" t="s">
        <v>39</v>
      </c>
      <c r="W6936" s="12" t="s">
        <v>31090</v>
      </c>
      <c r="X6936" s="16" t="s">
        <v>31091</v>
      </c>
      <c r="Y6936" s="15" t="s">
        <v>42</v>
      </c>
      <c r="Z6936" s="14">
        <v>0.55</v>
      </c>
      <c r="AA6936" s="14">
        <v>1.98</v>
      </c>
      <c r="AB6936" s="12" t="s">
        <v>43</v>
      </c>
      <c r="AC6936" s="12" t="s">
        <v>31092</v>
      </c>
      <c r="AD6936" s="13">
        <v>42339</v>
      </c>
      <c r="AE6936" s="12" t="s">
        <v>1330</v>
      </c>
      <c r="AF6936" s="12" t="s">
        <v>31093</v>
      </c>
      <c r="AG6936" s="12" t="s">
        <v>81</v>
      </c>
      <c r="AH6936" s="1">
        <f>HYPERLINK("https://my.pitchbook.com?c=108621-46T","View Company Online")</f>
      </c>
    </row>
    <row r="6937">
      <c r="A6937" s="3" t="s">
        <v>31094</v>
      </c>
      <c r="B6937" s="3" t="s">
        <v>31095</v>
      </c>
      <c r="C6937" s="5" t="s">
        <v>36</v>
      </c>
      <c r="D6937" s="5" t="s">
        <v>36</v>
      </c>
      <c r="E6937" s="5" t="s">
        <v>36</v>
      </c>
      <c r="F6937" s="5" t="s">
        <v>36</v>
      </c>
      <c r="G6937" s="6" t="s">
        <v>36</v>
      </c>
      <c r="H6937" s="4" t="s">
        <v>36</v>
      </c>
      <c r="I6937" s="7" t="s">
        <v>36</v>
      </c>
      <c r="J6937" s="3" t="s">
        <v>36</v>
      </c>
      <c r="K6937" s="9" t="s">
        <v>36</v>
      </c>
      <c r="L6937" s="6" t="s">
        <v>36</v>
      </c>
      <c r="M6937" s="3" t="s">
        <v>36</v>
      </c>
      <c r="N6937" s="3" t="s">
        <v>36</v>
      </c>
      <c r="O6937" s="8" t="s">
        <v>36</v>
      </c>
      <c r="P6937" s="3" t="s">
        <v>36</v>
      </c>
      <c r="Q6937" s="3" t="s">
        <v>36</v>
      </c>
      <c r="R6937" s="3" t="s">
        <v>36</v>
      </c>
      <c r="S6937" s="3" t="s">
        <v>36</v>
      </c>
      <c r="T6937" s="3" t="s">
        <v>522</v>
      </c>
      <c r="U6937" s="3" t="s">
        <v>38</v>
      </c>
      <c r="V6937" s="3" t="s">
        <v>39</v>
      </c>
      <c r="W6937" s="3" t="s">
        <v>31096</v>
      </c>
      <c r="X6937" s="10" t="s">
        <v>31097</v>
      </c>
      <c r="Y6937" s="6" t="s">
        <v>108</v>
      </c>
      <c r="Z6937" s="4">
        <v>0.7</v>
      </c>
      <c r="AA6937" s="4" t="s">
        <v>36</v>
      </c>
      <c r="AB6937" s="3" t="s">
        <v>43</v>
      </c>
      <c r="AC6937" s="3" t="s">
        <v>31098</v>
      </c>
      <c r="AD6937" s="9">
        <v>42339</v>
      </c>
      <c r="AE6937" s="3" t="s">
        <v>110</v>
      </c>
      <c r="AF6937" s="3" t="s">
        <v>6214</v>
      </c>
      <c r="AG6937" s="3" t="s">
        <v>11675</v>
      </c>
      <c r="AH6937" s="11">
        <f>HYPERLINK("https://my.pitchbook.com?c=64702-90T","View Company Online")</f>
      </c>
    </row>
    <row r="6938">
      <c r="A6938" s="12" t="s">
        <v>31099</v>
      </c>
      <c r="B6938" s="12" t="s">
        <v>31100</v>
      </c>
      <c r="C6938" s="19" t="s">
        <v>36</v>
      </c>
      <c r="D6938" s="19" t="s">
        <v>36</v>
      </c>
      <c r="E6938" s="19">
        <v>1</v>
      </c>
      <c r="F6938" s="19">
        <v>1</v>
      </c>
      <c r="G6938" s="15" t="s">
        <v>36</v>
      </c>
      <c r="H6938" s="14" t="s">
        <v>36</v>
      </c>
      <c r="I6938" s="18" t="s">
        <v>36</v>
      </c>
      <c r="J6938" s="12" t="s">
        <v>36</v>
      </c>
      <c r="K6938" s="13" t="s">
        <v>36</v>
      </c>
      <c r="L6938" s="15" t="s">
        <v>36</v>
      </c>
      <c r="M6938" s="12" t="s">
        <v>36</v>
      </c>
      <c r="N6938" s="12" t="s">
        <v>36</v>
      </c>
      <c r="O6938" s="17" t="s">
        <v>36</v>
      </c>
      <c r="P6938" s="12" t="s">
        <v>36</v>
      </c>
      <c r="Q6938" s="12" t="s">
        <v>36</v>
      </c>
      <c r="R6938" s="12" t="s">
        <v>36</v>
      </c>
      <c r="S6938" s="12" t="s">
        <v>36</v>
      </c>
      <c r="T6938" s="12" t="s">
        <v>31101</v>
      </c>
      <c r="U6938" s="12" t="s">
        <v>423</v>
      </c>
      <c r="V6938" s="12" t="s">
        <v>64</v>
      </c>
      <c r="W6938" s="12" t="s">
        <v>31102</v>
      </c>
      <c r="X6938" s="16" t="s">
        <v>12372</v>
      </c>
      <c r="Y6938" s="15" t="s">
        <v>42</v>
      </c>
      <c r="Z6938" s="14" t="s">
        <v>36</v>
      </c>
      <c r="AA6938" s="14" t="s">
        <v>36</v>
      </c>
      <c r="AB6938" s="12" t="s">
        <v>56</v>
      </c>
      <c r="AC6938" s="12" t="s">
        <v>31103</v>
      </c>
      <c r="AD6938" s="13">
        <v>42339</v>
      </c>
      <c r="AE6938" s="12" t="s">
        <v>562</v>
      </c>
      <c r="AF6938" s="12" t="s">
        <v>2118</v>
      </c>
      <c r="AG6938" s="12" t="s">
        <v>6013</v>
      </c>
      <c r="AH6938" s="1">
        <f>HYPERLINK("https://my.pitchbook.com?c=76275-19T","View Company Online")</f>
      </c>
    </row>
    <row r="6939">
      <c r="A6939" s="3" t="s">
        <v>31104</v>
      </c>
      <c r="B6939" s="3" t="s">
        <v>31105</v>
      </c>
      <c r="C6939" s="5" t="s">
        <v>36</v>
      </c>
      <c r="D6939" s="5" t="s">
        <v>36</v>
      </c>
      <c r="E6939" s="5" t="s">
        <v>36</v>
      </c>
      <c r="F6939" s="5" t="s">
        <v>36</v>
      </c>
      <c r="G6939" s="6" t="s">
        <v>36</v>
      </c>
      <c r="H6939" s="4">
        <v>1453.99</v>
      </c>
      <c r="I6939" s="7">
        <v>26.47</v>
      </c>
      <c r="J6939" s="3" t="s">
        <v>521</v>
      </c>
      <c r="K6939" s="9" t="s">
        <v>36</v>
      </c>
      <c r="L6939" s="6" t="s">
        <v>36</v>
      </c>
      <c r="M6939" s="3" t="s">
        <v>36</v>
      </c>
      <c r="N6939" s="3" t="s">
        <v>36</v>
      </c>
      <c r="O6939" s="8" t="s">
        <v>36</v>
      </c>
      <c r="P6939" s="3" t="s">
        <v>36</v>
      </c>
      <c r="Q6939" s="3" t="s">
        <v>36</v>
      </c>
      <c r="R6939" s="3" t="s">
        <v>36</v>
      </c>
      <c r="S6939" s="3" t="s">
        <v>36</v>
      </c>
      <c r="T6939" s="3" t="s">
        <v>31106</v>
      </c>
      <c r="U6939" s="3" t="s">
        <v>833</v>
      </c>
      <c r="V6939" s="3" t="s">
        <v>64</v>
      </c>
      <c r="W6939" s="3" t="s">
        <v>31107</v>
      </c>
      <c r="X6939" s="10" t="s">
        <v>31108</v>
      </c>
      <c r="Y6939" s="6" t="s">
        <v>42</v>
      </c>
      <c r="Z6939" s="4">
        <v>0.54</v>
      </c>
      <c r="AA6939" s="4">
        <v>1.02</v>
      </c>
      <c r="AB6939" s="3" t="s">
        <v>43</v>
      </c>
      <c r="AC6939" s="3" t="s">
        <v>31109</v>
      </c>
      <c r="AD6939" s="9">
        <v>42339</v>
      </c>
      <c r="AE6939" s="3" t="s">
        <v>1687</v>
      </c>
      <c r="AF6939" s="3" t="s">
        <v>10379</v>
      </c>
      <c r="AG6939" s="3" t="s">
        <v>31110</v>
      </c>
      <c r="AH6939" s="11">
        <f>HYPERLINK("https://my.pitchbook.com?c=88185-97T","View Company Online")</f>
      </c>
    </row>
    <row r="6940">
      <c r="A6940" s="12" t="s">
        <v>31111</v>
      </c>
      <c r="B6940" s="12" t="s">
        <v>20029</v>
      </c>
      <c r="C6940" s="19">
        <v>9</v>
      </c>
      <c r="D6940" s="19">
        <v>41</v>
      </c>
      <c r="E6940" s="19">
        <v>9</v>
      </c>
      <c r="F6940" s="19">
        <v>51</v>
      </c>
      <c r="G6940" s="15" t="s">
        <v>326</v>
      </c>
      <c r="H6940" s="14">
        <v>85.16</v>
      </c>
      <c r="I6940" s="18">
        <v>22.5</v>
      </c>
      <c r="J6940" s="12" t="s">
        <v>521</v>
      </c>
      <c r="K6940" s="13" t="s">
        <v>36</v>
      </c>
      <c r="L6940" s="15" t="s">
        <v>36</v>
      </c>
      <c r="M6940" s="12" t="s">
        <v>36</v>
      </c>
      <c r="N6940" s="12" t="s">
        <v>36</v>
      </c>
      <c r="O6940" s="17" t="s">
        <v>36</v>
      </c>
      <c r="P6940" s="12" t="s">
        <v>36</v>
      </c>
      <c r="Q6940" s="12" t="s">
        <v>36</v>
      </c>
      <c r="R6940" s="12" t="s">
        <v>36</v>
      </c>
      <c r="S6940" s="12" t="s">
        <v>36</v>
      </c>
      <c r="T6940" s="12" t="s">
        <v>20030</v>
      </c>
      <c r="U6940" s="12" t="s">
        <v>1082</v>
      </c>
      <c r="V6940" s="12" t="s">
        <v>378</v>
      </c>
      <c r="W6940" s="12" t="s">
        <v>20031</v>
      </c>
      <c r="X6940" s="16" t="s">
        <v>31112</v>
      </c>
      <c r="Y6940" s="15" t="s">
        <v>108</v>
      </c>
      <c r="Z6940" s="14">
        <v>0.75</v>
      </c>
      <c r="AA6940" s="14">
        <v>1.91</v>
      </c>
      <c r="AB6940" s="12" t="s">
        <v>56</v>
      </c>
      <c r="AC6940" s="12" t="s">
        <v>20033</v>
      </c>
      <c r="AD6940" s="13">
        <v>42338</v>
      </c>
      <c r="AE6940" s="12" t="s">
        <v>20034</v>
      </c>
      <c r="AF6940" s="12" t="s">
        <v>36</v>
      </c>
      <c r="AG6940" s="12" t="s">
        <v>741</v>
      </c>
      <c r="AH6940" s="1">
        <f>HYPERLINK("https://my.pitchbook.com?c=81794-26T","View Company Online")</f>
      </c>
    </row>
    <row r="6941">
      <c r="A6941" s="3" t="s">
        <v>31113</v>
      </c>
      <c r="B6941" s="3" t="s">
        <v>20417</v>
      </c>
      <c r="C6941" s="5" t="s">
        <v>36</v>
      </c>
      <c r="D6941" s="5" t="s">
        <v>36</v>
      </c>
      <c r="E6941" s="5" t="s">
        <v>36</v>
      </c>
      <c r="F6941" s="5" t="s">
        <v>36</v>
      </c>
      <c r="G6941" s="6" t="s">
        <v>36</v>
      </c>
      <c r="H6941" s="4" t="s">
        <v>36</v>
      </c>
      <c r="I6941" s="7" t="s">
        <v>36</v>
      </c>
      <c r="J6941" s="3" t="s">
        <v>36</v>
      </c>
      <c r="K6941" s="9" t="s">
        <v>36</v>
      </c>
      <c r="L6941" s="6" t="s">
        <v>36</v>
      </c>
      <c r="M6941" s="3" t="s">
        <v>36</v>
      </c>
      <c r="N6941" s="3" t="s">
        <v>36</v>
      </c>
      <c r="O6941" s="8" t="s">
        <v>36</v>
      </c>
      <c r="P6941" s="3" t="s">
        <v>36</v>
      </c>
      <c r="Q6941" s="3" t="s">
        <v>36</v>
      </c>
      <c r="R6941" s="3" t="s">
        <v>36</v>
      </c>
      <c r="S6941" s="3" t="s">
        <v>36</v>
      </c>
      <c r="T6941" s="3" t="s">
        <v>5929</v>
      </c>
      <c r="U6941" s="3" t="s">
        <v>38</v>
      </c>
      <c r="V6941" s="3" t="s">
        <v>39</v>
      </c>
      <c r="W6941" s="3" t="s">
        <v>20418</v>
      </c>
      <c r="X6941" s="10" t="s">
        <v>28650</v>
      </c>
      <c r="Y6941" s="6" t="s">
        <v>108</v>
      </c>
      <c r="Z6941" s="4">
        <v>0.52</v>
      </c>
      <c r="AA6941" s="4" t="s">
        <v>36</v>
      </c>
      <c r="AB6941" s="3" t="s">
        <v>43</v>
      </c>
      <c r="AC6941" s="3" t="s">
        <v>20420</v>
      </c>
      <c r="AD6941" s="9">
        <v>42338</v>
      </c>
      <c r="AE6941" s="3" t="s">
        <v>110</v>
      </c>
      <c r="AF6941" s="3" t="s">
        <v>3076</v>
      </c>
      <c r="AG6941" s="3" t="s">
        <v>81</v>
      </c>
      <c r="AH6941" s="11">
        <f>HYPERLINK("https://my.pitchbook.com?c=81700-84T","View Company Online")</f>
      </c>
    </row>
    <row r="6942">
      <c r="A6942" s="12" t="s">
        <v>31114</v>
      </c>
      <c r="B6942" s="12" t="s">
        <v>31115</v>
      </c>
      <c r="C6942" s="19" t="s">
        <v>36</v>
      </c>
      <c r="D6942" s="19" t="s">
        <v>36</v>
      </c>
      <c r="E6942" s="19" t="s">
        <v>36</v>
      </c>
      <c r="F6942" s="19" t="s">
        <v>36</v>
      </c>
      <c r="G6942" s="15" t="s">
        <v>36</v>
      </c>
      <c r="H6942" s="14">
        <v>28.46</v>
      </c>
      <c r="I6942" s="18">
        <v>21.49</v>
      </c>
      <c r="J6942" s="12" t="s">
        <v>521</v>
      </c>
      <c r="K6942" s="13" t="s">
        <v>36</v>
      </c>
      <c r="L6942" s="15" t="s">
        <v>36</v>
      </c>
      <c r="M6942" s="12" t="s">
        <v>36</v>
      </c>
      <c r="N6942" s="12" t="s">
        <v>36</v>
      </c>
      <c r="O6942" s="17" t="s">
        <v>36</v>
      </c>
      <c r="P6942" s="12" t="s">
        <v>36</v>
      </c>
      <c r="Q6942" s="12" t="s">
        <v>36</v>
      </c>
      <c r="R6942" s="12" t="s">
        <v>36</v>
      </c>
      <c r="S6942" s="12" t="s">
        <v>36</v>
      </c>
      <c r="T6942" s="12" t="s">
        <v>31116</v>
      </c>
      <c r="U6942" s="12" t="s">
        <v>279</v>
      </c>
      <c r="V6942" s="12" t="s">
        <v>64</v>
      </c>
      <c r="W6942" s="12" t="s">
        <v>31117</v>
      </c>
      <c r="X6942" s="16" t="s">
        <v>1872</v>
      </c>
      <c r="Y6942" s="15" t="s">
        <v>42</v>
      </c>
      <c r="Z6942" s="14">
        <v>0.08</v>
      </c>
      <c r="AA6942" s="14">
        <v>0.38</v>
      </c>
      <c r="AB6942" s="12" t="s">
        <v>56</v>
      </c>
      <c r="AC6942" s="12" t="s">
        <v>31118</v>
      </c>
      <c r="AD6942" s="13">
        <v>42337</v>
      </c>
      <c r="AE6942" s="12" t="s">
        <v>283</v>
      </c>
      <c r="AF6942" s="12" t="s">
        <v>1977</v>
      </c>
      <c r="AG6942" s="12" t="s">
        <v>7333</v>
      </c>
      <c r="AH6942" s="1">
        <f>HYPERLINK("https://my.pitchbook.com?c=93813-67T","View Company Online")</f>
      </c>
    </row>
    <row r="6943">
      <c r="A6943" s="3" t="s">
        <v>31119</v>
      </c>
      <c r="B6943" s="3" t="s">
        <v>31120</v>
      </c>
      <c r="C6943" s="5" t="s">
        <v>36</v>
      </c>
      <c r="D6943" s="5" t="s">
        <v>36</v>
      </c>
      <c r="E6943" s="5" t="s">
        <v>36</v>
      </c>
      <c r="F6943" s="5" t="s">
        <v>36</v>
      </c>
      <c r="G6943" s="6" t="s">
        <v>36</v>
      </c>
      <c r="H6943" s="4">
        <v>173.13</v>
      </c>
      <c r="I6943" s="7">
        <v>28.5</v>
      </c>
      <c r="J6943" s="3" t="s">
        <v>521</v>
      </c>
      <c r="K6943" s="9" t="s">
        <v>36</v>
      </c>
      <c r="L6943" s="6" t="s">
        <v>36</v>
      </c>
      <c r="M6943" s="3" t="s">
        <v>36</v>
      </c>
      <c r="N6943" s="3" t="s">
        <v>36</v>
      </c>
      <c r="O6943" s="8" t="s">
        <v>36</v>
      </c>
      <c r="P6943" s="3" t="s">
        <v>36</v>
      </c>
      <c r="Q6943" s="3" t="s">
        <v>36</v>
      </c>
      <c r="R6943" s="3" t="s">
        <v>36</v>
      </c>
      <c r="S6943" s="3" t="s">
        <v>36</v>
      </c>
      <c r="T6943" s="3" t="s">
        <v>31121</v>
      </c>
      <c r="U6943" s="3" t="s">
        <v>648</v>
      </c>
      <c r="V6943" s="3" t="s">
        <v>64</v>
      </c>
      <c r="W6943" s="3" t="s">
        <v>31122</v>
      </c>
      <c r="X6943" s="10" t="s">
        <v>31123</v>
      </c>
      <c r="Y6943" s="6" t="s">
        <v>42</v>
      </c>
      <c r="Z6943" s="4">
        <v>0.8</v>
      </c>
      <c r="AA6943" s="4">
        <v>2.8</v>
      </c>
      <c r="AB6943" s="3" t="s">
        <v>56</v>
      </c>
      <c r="AC6943" s="3" t="s">
        <v>31124</v>
      </c>
      <c r="AD6943" s="9">
        <v>42335</v>
      </c>
      <c r="AE6943" s="3" t="s">
        <v>651</v>
      </c>
      <c r="AF6943" s="3" t="s">
        <v>31125</v>
      </c>
      <c r="AG6943" s="3" t="s">
        <v>31126</v>
      </c>
      <c r="AH6943" s="11">
        <f>HYPERLINK("https://my.pitchbook.com?c=87770-35T","View Company Online")</f>
      </c>
    </row>
    <row r="6944">
      <c r="A6944" s="12" t="s">
        <v>31127</v>
      </c>
      <c r="B6944" s="12" t="s">
        <v>3610</v>
      </c>
      <c r="C6944" s="19" t="s">
        <v>36</v>
      </c>
      <c r="D6944" s="19" t="s">
        <v>36</v>
      </c>
      <c r="E6944" s="19" t="s">
        <v>36</v>
      </c>
      <c r="F6944" s="19" t="s">
        <v>36</v>
      </c>
      <c r="G6944" s="15" t="s">
        <v>326</v>
      </c>
      <c r="H6944" s="14">
        <v>82.87</v>
      </c>
      <c r="I6944" s="18">
        <v>41.96</v>
      </c>
      <c r="J6944" s="12" t="s">
        <v>327</v>
      </c>
      <c r="K6944" s="13" t="s">
        <v>36</v>
      </c>
      <c r="L6944" s="15" t="s">
        <v>122</v>
      </c>
      <c r="M6944" s="12" t="s">
        <v>36</v>
      </c>
      <c r="N6944" s="12" t="s">
        <v>122</v>
      </c>
      <c r="O6944" s="17" t="s">
        <v>36</v>
      </c>
      <c r="P6944" s="12" t="s">
        <v>36</v>
      </c>
      <c r="Q6944" s="12" t="s">
        <v>36</v>
      </c>
      <c r="R6944" s="12" t="s">
        <v>36</v>
      </c>
      <c r="S6944" s="12" t="s">
        <v>36</v>
      </c>
      <c r="T6944" s="12" t="s">
        <v>3611</v>
      </c>
      <c r="U6944" s="12" t="s">
        <v>833</v>
      </c>
      <c r="V6944" s="12" t="s">
        <v>64</v>
      </c>
      <c r="W6944" s="12" t="s">
        <v>3612</v>
      </c>
      <c r="X6944" s="16" t="s">
        <v>31128</v>
      </c>
      <c r="Y6944" s="15" t="s">
        <v>108</v>
      </c>
      <c r="Z6944" s="14">
        <v>2.7</v>
      </c>
      <c r="AA6944" s="14">
        <v>6.43</v>
      </c>
      <c r="AB6944" s="12" t="s">
        <v>56</v>
      </c>
      <c r="AC6944" s="12" t="s">
        <v>3614</v>
      </c>
      <c r="AD6944" s="13">
        <v>42335</v>
      </c>
      <c r="AE6944" s="12" t="s">
        <v>3615</v>
      </c>
      <c r="AF6944" s="12" t="s">
        <v>2118</v>
      </c>
      <c r="AG6944" s="12" t="s">
        <v>3616</v>
      </c>
      <c r="AH6944" s="1">
        <f>HYPERLINK("https://my.pitchbook.com?c=62125-75T","View Company Online")</f>
      </c>
    </row>
    <row r="6945">
      <c r="A6945" s="3" t="s">
        <v>31129</v>
      </c>
      <c r="B6945" s="3" t="s">
        <v>22564</v>
      </c>
      <c r="C6945" s="5" t="s">
        <v>36</v>
      </c>
      <c r="D6945" s="5" t="s">
        <v>36</v>
      </c>
      <c r="E6945" s="5" t="s">
        <v>36</v>
      </c>
      <c r="F6945" s="5" t="s">
        <v>36</v>
      </c>
      <c r="G6945" s="6" t="s">
        <v>36</v>
      </c>
      <c r="H6945" s="4" t="s">
        <v>36</v>
      </c>
      <c r="I6945" s="7" t="s">
        <v>36</v>
      </c>
      <c r="J6945" s="3" t="s">
        <v>36</v>
      </c>
      <c r="K6945" s="9" t="s">
        <v>36</v>
      </c>
      <c r="L6945" s="6" t="s">
        <v>1279</v>
      </c>
      <c r="M6945" s="3" t="s">
        <v>36</v>
      </c>
      <c r="N6945" s="3" t="s">
        <v>1279</v>
      </c>
      <c r="O6945" s="8" t="s">
        <v>36</v>
      </c>
      <c r="P6945" s="3" t="s">
        <v>36</v>
      </c>
      <c r="Q6945" s="3" t="s">
        <v>36</v>
      </c>
      <c r="R6945" s="3" t="s">
        <v>36</v>
      </c>
      <c r="S6945" s="3" t="s">
        <v>36</v>
      </c>
      <c r="T6945" s="3" t="s">
        <v>3907</v>
      </c>
      <c r="U6945" s="3" t="s">
        <v>279</v>
      </c>
      <c r="V6945" s="3" t="s">
        <v>64</v>
      </c>
      <c r="W6945" s="3" t="s">
        <v>22565</v>
      </c>
      <c r="X6945" s="10" t="s">
        <v>31130</v>
      </c>
      <c r="Y6945" s="6" t="s">
        <v>108</v>
      </c>
      <c r="Z6945" s="4">
        <v>11.35</v>
      </c>
      <c r="AA6945" s="4" t="s">
        <v>36</v>
      </c>
      <c r="AB6945" s="3" t="s">
        <v>56</v>
      </c>
      <c r="AC6945" s="3" t="s">
        <v>22567</v>
      </c>
      <c r="AD6945" s="9">
        <v>42334</v>
      </c>
      <c r="AE6945" s="3" t="s">
        <v>851</v>
      </c>
      <c r="AF6945" s="3" t="s">
        <v>3904</v>
      </c>
      <c r="AG6945" s="3" t="s">
        <v>22568</v>
      </c>
      <c r="AH6945" s="11">
        <f>HYPERLINK("https://my.pitchbook.com?c=62145-46T","View Company Online")</f>
      </c>
    </row>
    <row r="6946">
      <c r="A6946" s="12" t="s">
        <v>31131</v>
      </c>
      <c r="B6946" s="12" t="s">
        <v>25994</v>
      </c>
      <c r="C6946" s="19" t="s">
        <v>36</v>
      </c>
      <c r="D6946" s="19" t="s">
        <v>36</v>
      </c>
      <c r="E6946" s="19" t="s">
        <v>36</v>
      </c>
      <c r="F6946" s="19" t="s">
        <v>36</v>
      </c>
      <c r="G6946" s="15" t="s">
        <v>36</v>
      </c>
      <c r="H6946" s="14" t="s">
        <v>36</v>
      </c>
      <c r="I6946" s="18" t="s">
        <v>36</v>
      </c>
      <c r="J6946" s="12" t="s">
        <v>36</v>
      </c>
      <c r="K6946" s="13" t="s">
        <v>36</v>
      </c>
      <c r="L6946" s="15" t="s">
        <v>36</v>
      </c>
      <c r="M6946" s="12" t="s">
        <v>36</v>
      </c>
      <c r="N6946" s="12" t="s">
        <v>36</v>
      </c>
      <c r="O6946" s="17" t="s">
        <v>36</v>
      </c>
      <c r="P6946" s="12" t="s">
        <v>36</v>
      </c>
      <c r="Q6946" s="12" t="s">
        <v>36</v>
      </c>
      <c r="R6946" s="12" t="s">
        <v>36</v>
      </c>
      <c r="S6946" s="12" t="s">
        <v>36</v>
      </c>
      <c r="T6946" s="12" t="s">
        <v>25995</v>
      </c>
      <c r="U6946" s="12" t="s">
        <v>38</v>
      </c>
      <c r="V6946" s="12" t="s">
        <v>39</v>
      </c>
      <c r="W6946" s="12" t="s">
        <v>25996</v>
      </c>
      <c r="X6946" s="16" t="s">
        <v>11438</v>
      </c>
      <c r="Y6946" s="15" t="s">
        <v>42</v>
      </c>
      <c r="Z6946" s="14">
        <v>1.84</v>
      </c>
      <c r="AA6946" s="14" t="s">
        <v>36</v>
      </c>
      <c r="AB6946" s="12" t="s">
        <v>43</v>
      </c>
      <c r="AC6946" s="12" t="s">
        <v>25998</v>
      </c>
      <c r="AD6946" s="13">
        <v>42333</v>
      </c>
      <c r="AE6946" s="12" t="s">
        <v>688</v>
      </c>
      <c r="AF6946" s="12" t="s">
        <v>1077</v>
      </c>
      <c r="AG6946" s="12" t="s">
        <v>419</v>
      </c>
      <c r="AH6946" s="1">
        <f>HYPERLINK("https://my.pitchbook.com?c=86991-85T","View Company Online")</f>
      </c>
    </row>
    <row r="6947">
      <c r="A6947" s="3" t="s">
        <v>31132</v>
      </c>
      <c r="B6947" s="3" t="s">
        <v>24249</v>
      </c>
      <c r="C6947" s="5" t="s">
        <v>36</v>
      </c>
      <c r="D6947" s="5" t="s">
        <v>36</v>
      </c>
      <c r="E6947" s="5" t="s">
        <v>36</v>
      </c>
      <c r="F6947" s="5" t="s">
        <v>36</v>
      </c>
      <c r="G6947" s="6" t="s">
        <v>36</v>
      </c>
      <c r="H6947" s="4">
        <v>124.94</v>
      </c>
      <c r="I6947" s="7">
        <v>10.16</v>
      </c>
      <c r="J6947" s="3" t="s">
        <v>521</v>
      </c>
      <c r="K6947" s="9" t="s">
        <v>36</v>
      </c>
      <c r="L6947" s="6" t="s">
        <v>36</v>
      </c>
      <c r="M6947" s="3" t="s">
        <v>36</v>
      </c>
      <c r="N6947" s="3" t="s">
        <v>36</v>
      </c>
      <c r="O6947" s="8" t="s">
        <v>36</v>
      </c>
      <c r="P6947" s="3" t="s">
        <v>36</v>
      </c>
      <c r="Q6947" s="3" t="s">
        <v>36</v>
      </c>
      <c r="R6947" s="3" t="s">
        <v>36</v>
      </c>
      <c r="S6947" s="3" t="s">
        <v>36</v>
      </c>
      <c r="T6947" s="3" t="s">
        <v>522</v>
      </c>
      <c r="U6947" s="3" t="s">
        <v>38</v>
      </c>
      <c r="V6947" s="3" t="s">
        <v>39</v>
      </c>
      <c r="W6947" s="3" t="s">
        <v>24250</v>
      </c>
      <c r="X6947" s="10" t="s">
        <v>31133</v>
      </c>
      <c r="Y6947" s="6" t="s">
        <v>42</v>
      </c>
      <c r="Z6947" s="4">
        <v>0.14</v>
      </c>
      <c r="AA6947" s="4">
        <v>1.39</v>
      </c>
      <c r="AB6947" s="3" t="s">
        <v>43</v>
      </c>
      <c r="AC6947" s="3" t="s">
        <v>24252</v>
      </c>
      <c r="AD6947" s="9">
        <v>42333</v>
      </c>
      <c r="AE6947" s="3" t="s">
        <v>110</v>
      </c>
      <c r="AF6947" s="3" t="s">
        <v>18103</v>
      </c>
      <c r="AG6947" s="3" t="s">
        <v>2760</v>
      </c>
      <c r="AH6947" s="11">
        <f>HYPERLINK("https://my.pitchbook.com?c=114090-94T","View Company Online")</f>
      </c>
    </row>
    <row r="6948">
      <c r="A6948" s="12" t="s">
        <v>31134</v>
      </c>
      <c r="B6948" s="12" t="s">
        <v>31135</v>
      </c>
      <c r="C6948" s="19" t="s">
        <v>36</v>
      </c>
      <c r="D6948" s="19">
        <v>4</v>
      </c>
      <c r="E6948" s="19">
        <v>1</v>
      </c>
      <c r="F6948" s="19">
        <v>4</v>
      </c>
      <c r="G6948" s="15" t="s">
        <v>683</v>
      </c>
      <c r="H6948" s="14">
        <v>29.51</v>
      </c>
      <c r="I6948" s="18">
        <v>25.53</v>
      </c>
      <c r="J6948" s="12" t="s">
        <v>521</v>
      </c>
      <c r="K6948" s="13" t="s">
        <v>36</v>
      </c>
      <c r="L6948" s="15" t="s">
        <v>36</v>
      </c>
      <c r="M6948" s="12" t="s">
        <v>36</v>
      </c>
      <c r="N6948" s="12" t="s">
        <v>36</v>
      </c>
      <c r="O6948" s="17" t="s">
        <v>36</v>
      </c>
      <c r="P6948" s="12" t="s">
        <v>36</v>
      </c>
      <c r="Q6948" s="12" t="s">
        <v>36</v>
      </c>
      <c r="R6948" s="12" t="s">
        <v>36</v>
      </c>
      <c r="S6948" s="12" t="s">
        <v>36</v>
      </c>
      <c r="T6948" s="12" t="s">
        <v>31136</v>
      </c>
      <c r="U6948" s="12" t="s">
        <v>74</v>
      </c>
      <c r="V6948" s="12" t="s">
        <v>75</v>
      </c>
      <c r="W6948" s="12" t="s">
        <v>31137</v>
      </c>
      <c r="X6948" s="16" t="s">
        <v>31138</v>
      </c>
      <c r="Y6948" s="15" t="s">
        <v>108</v>
      </c>
      <c r="Z6948" s="14">
        <v>0.63</v>
      </c>
      <c r="AA6948" s="14">
        <v>2.47</v>
      </c>
      <c r="AB6948" s="12" t="s">
        <v>43</v>
      </c>
      <c r="AC6948" s="12" t="s">
        <v>31139</v>
      </c>
      <c r="AD6948" s="13">
        <v>42332</v>
      </c>
      <c r="AE6948" s="12" t="s">
        <v>30255</v>
      </c>
      <c r="AF6948" s="12" t="s">
        <v>4668</v>
      </c>
      <c r="AG6948" s="12" t="s">
        <v>1978</v>
      </c>
      <c r="AH6948" s="1">
        <f>HYPERLINK("https://my.pitchbook.com?c=64356-04T","View Company Online")</f>
      </c>
    </row>
    <row r="6949">
      <c r="A6949" s="3" t="s">
        <v>31140</v>
      </c>
      <c r="B6949" s="3" t="s">
        <v>17477</v>
      </c>
      <c r="C6949" s="5" t="s">
        <v>36</v>
      </c>
      <c r="D6949" s="5" t="s">
        <v>36</v>
      </c>
      <c r="E6949" s="5">
        <v>1</v>
      </c>
      <c r="F6949" s="5">
        <v>1</v>
      </c>
      <c r="G6949" s="6" t="s">
        <v>36</v>
      </c>
      <c r="H6949" s="4">
        <v>16.62</v>
      </c>
      <c r="I6949" s="7">
        <v>25.7</v>
      </c>
      <c r="J6949" s="3" t="s">
        <v>521</v>
      </c>
      <c r="K6949" s="9" t="s">
        <v>36</v>
      </c>
      <c r="L6949" s="6" t="s">
        <v>36</v>
      </c>
      <c r="M6949" s="3" t="s">
        <v>36</v>
      </c>
      <c r="N6949" s="3" t="s">
        <v>36</v>
      </c>
      <c r="O6949" s="8" t="s">
        <v>36</v>
      </c>
      <c r="P6949" s="3" t="s">
        <v>36</v>
      </c>
      <c r="Q6949" s="3" t="s">
        <v>36</v>
      </c>
      <c r="R6949" s="3" t="s">
        <v>36</v>
      </c>
      <c r="S6949" s="3" t="s">
        <v>36</v>
      </c>
      <c r="T6949" s="3" t="s">
        <v>17478</v>
      </c>
      <c r="U6949" s="3" t="s">
        <v>38</v>
      </c>
      <c r="V6949" s="3" t="s">
        <v>39</v>
      </c>
      <c r="W6949" s="3" t="s">
        <v>17479</v>
      </c>
      <c r="X6949" s="10" t="s">
        <v>30400</v>
      </c>
      <c r="Y6949" s="6" t="s">
        <v>42</v>
      </c>
      <c r="Z6949" s="4">
        <v>0.66</v>
      </c>
      <c r="AA6949" s="4">
        <v>2.56</v>
      </c>
      <c r="AB6949" s="3" t="s">
        <v>43</v>
      </c>
      <c r="AC6949" s="3" t="s">
        <v>17481</v>
      </c>
      <c r="AD6949" s="9">
        <v>42327</v>
      </c>
      <c r="AE6949" s="3" t="s">
        <v>110</v>
      </c>
      <c r="AF6949" s="3" t="s">
        <v>1115</v>
      </c>
      <c r="AG6949" s="3" t="s">
        <v>81</v>
      </c>
      <c r="AH6949" s="11">
        <f>HYPERLINK("https://my.pitchbook.com?c=118036-18T","View Company Online")</f>
      </c>
    </row>
    <row r="6950">
      <c r="A6950" s="12" t="s">
        <v>31141</v>
      </c>
      <c r="B6950" s="12" t="s">
        <v>31142</v>
      </c>
      <c r="C6950" s="19" t="s">
        <v>36</v>
      </c>
      <c r="D6950" s="19" t="s">
        <v>36</v>
      </c>
      <c r="E6950" s="19" t="s">
        <v>36</v>
      </c>
      <c r="F6950" s="19" t="s">
        <v>36</v>
      </c>
      <c r="G6950" s="15" t="s">
        <v>36</v>
      </c>
      <c r="H6950" s="14" t="s">
        <v>36</v>
      </c>
      <c r="I6950" s="18" t="s">
        <v>36</v>
      </c>
      <c r="J6950" s="12" t="s">
        <v>36</v>
      </c>
      <c r="K6950" s="13" t="s">
        <v>36</v>
      </c>
      <c r="L6950" s="15" t="s">
        <v>36</v>
      </c>
      <c r="M6950" s="12" t="s">
        <v>36</v>
      </c>
      <c r="N6950" s="12" t="s">
        <v>36</v>
      </c>
      <c r="O6950" s="17" t="s">
        <v>36</v>
      </c>
      <c r="P6950" s="12" t="s">
        <v>36</v>
      </c>
      <c r="Q6950" s="12" t="s">
        <v>36</v>
      </c>
      <c r="R6950" s="12" t="s">
        <v>36</v>
      </c>
      <c r="S6950" s="12" t="s">
        <v>36</v>
      </c>
      <c r="T6950" s="12" t="s">
        <v>7415</v>
      </c>
      <c r="U6950" s="12" t="s">
        <v>38</v>
      </c>
      <c r="V6950" s="12" t="s">
        <v>39</v>
      </c>
      <c r="W6950" s="12" t="s">
        <v>31143</v>
      </c>
      <c r="X6950" s="16" t="s">
        <v>31144</v>
      </c>
      <c r="Y6950" s="15" t="s">
        <v>42</v>
      </c>
      <c r="Z6950" s="14">
        <v>0.22</v>
      </c>
      <c r="AA6950" s="14" t="s">
        <v>36</v>
      </c>
      <c r="AB6950" s="12" t="s">
        <v>43</v>
      </c>
      <c r="AC6950" s="12" t="s">
        <v>31145</v>
      </c>
      <c r="AD6950" s="13">
        <v>42327</v>
      </c>
      <c r="AE6950" s="12" t="s">
        <v>1422</v>
      </c>
      <c r="AF6950" s="12" t="s">
        <v>31146</v>
      </c>
      <c r="AG6950" s="12" t="s">
        <v>31147</v>
      </c>
      <c r="AH6950" s="1">
        <f>HYPERLINK("https://my.pitchbook.com?c=83202-67T","View Company Online")</f>
      </c>
    </row>
    <row r="6951">
      <c r="A6951" s="3" t="s">
        <v>31148</v>
      </c>
      <c r="B6951" s="3" t="s">
        <v>31149</v>
      </c>
      <c r="C6951" s="5" t="s">
        <v>36</v>
      </c>
      <c r="D6951" s="5" t="s">
        <v>36</v>
      </c>
      <c r="E6951" s="5" t="s">
        <v>36</v>
      </c>
      <c r="F6951" s="5" t="s">
        <v>36</v>
      </c>
      <c r="G6951" s="6" t="s">
        <v>36</v>
      </c>
      <c r="H6951" s="4" t="s">
        <v>36</v>
      </c>
      <c r="I6951" s="7" t="s">
        <v>36</v>
      </c>
      <c r="J6951" s="3" t="s">
        <v>36</v>
      </c>
      <c r="K6951" s="9" t="s">
        <v>36</v>
      </c>
      <c r="L6951" s="6" t="s">
        <v>36</v>
      </c>
      <c r="M6951" s="3" t="s">
        <v>36</v>
      </c>
      <c r="N6951" s="3" t="s">
        <v>36</v>
      </c>
      <c r="O6951" s="8" t="s">
        <v>36</v>
      </c>
      <c r="P6951" s="3" t="s">
        <v>36</v>
      </c>
      <c r="Q6951" s="3" t="s">
        <v>36</v>
      </c>
      <c r="R6951" s="3" t="s">
        <v>36</v>
      </c>
      <c r="S6951" s="3" t="s">
        <v>36</v>
      </c>
      <c r="T6951" s="3" t="s">
        <v>31150</v>
      </c>
      <c r="U6951" s="3" t="s">
        <v>74</v>
      </c>
      <c r="V6951" s="3" t="s">
        <v>75</v>
      </c>
      <c r="W6951" s="3" t="s">
        <v>31151</v>
      </c>
      <c r="X6951" s="10" t="s">
        <v>20563</v>
      </c>
      <c r="Y6951" s="6" t="s">
        <v>108</v>
      </c>
      <c r="Z6951" s="4">
        <v>0.44</v>
      </c>
      <c r="AA6951" s="4" t="s">
        <v>36</v>
      </c>
      <c r="AB6951" s="3" t="s">
        <v>56</v>
      </c>
      <c r="AC6951" s="3" t="s">
        <v>31152</v>
      </c>
      <c r="AD6951" s="9">
        <v>42326</v>
      </c>
      <c r="AE6951" s="3" t="s">
        <v>1243</v>
      </c>
      <c r="AF6951" s="3" t="s">
        <v>18230</v>
      </c>
      <c r="AG6951" s="3" t="s">
        <v>31153</v>
      </c>
      <c r="AH6951" s="11">
        <f>HYPERLINK("https://my.pitchbook.com?c=95694-85T","View Company Online")</f>
      </c>
    </row>
    <row r="6952">
      <c r="A6952" s="12" t="s">
        <v>31154</v>
      </c>
      <c r="B6952" s="12" t="s">
        <v>31155</v>
      </c>
      <c r="C6952" s="19" t="s">
        <v>36</v>
      </c>
      <c r="D6952" s="19" t="s">
        <v>36</v>
      </c>
      <c r="E6952" s="19" t="s">
        <v>36</v>
      </c>
      <c r="F6952" s="19" t="s">
        <v>36</v>
      </c>
      <c r="G6952" s="15" t="s">
        <v>36</v>
      </c>
      <c r="H6952" s="14" t="s">
        <v>36</v>
      </c>
      <c r="I6952" s="18" t="s">
        <v>36</v>
      </c>
      <c r="J6952" s="12" t="s">
        <v>36</v>
      </c>
      <c r="K6952" s="13" t="s">
        <v>36</v>
      </c>
      <c r="L6952" s="15" t="s">
        <v>122</v>
      </c>
      <c r="M6952" s="12" t="s">
        <v>36</v>
      </c>
      <c r="N6952" s="12" t="s">
        <v>122</v>
      </c>
      <c r="O6952" s="17" t="s">
        <v>36</v>
      </c>
      <c r="P6952" s="12" t="s">
        <v>36</v>
      </c>
      <c r="Q6952" s="12" t="s">
        <v>36</v>
      </c>
      <c r="R6952" s="12" t="s">
        <v>36</v>
      </c>
      <c r="S6952" s="12" t="s">
        <v>36</v>
      </c>
      <c r="T6952" s="12" t="s">
        <v>472</v>
      </c>
      <c r="U6952" s="12" t="s">
        <v>38</v>
      </c>
      <c r="V6952" s="12" t="s">
        <v>39</v>
      </c>
      <c r="W6952" s="12" t="s">
        <v>31156</v>
      </c>
      <c r="X6952" s="16" t="s">
        <v>31157</v>
      </c>
      <c r="Y6952" s="15" t="s">
        <v>108</v>
      </c>
      <c r="Z6952" s="14">
        <v>24.15</v>
      </c>
      <c r="AA6952" s="14" t="s">
        <v>36</v>
      </c>
      <c r="AB6952" s="12" t="s">
        <v>43</v>
      </c>
      <c r="AC6952" s="12" t="s">
        <v>31158</v>
      </c>
      <c r="AD6952" s="13">
        <v>42326</v>
      </c>
      <c r="AE6952" s="12" t="s">
        <v>110</v>
      </c>
      <c r="AF6952" s="12" t="s">
        <v>25016</v>
      </c>
      <c r="AG6952" s="12" t="s">
        <v>81</v>
      </c>
      <c r="AH6952" s="1">
        <f>HYPERLINK("https://my.pitchbook.com?c=61340-68T","View Company Online")</f>
      </c>
    </row>
    <row r="6953">
      <c r="A6953" s="3" t="s">
        <v>31159</v>
      </c>
      <c r="B6953" s="3" t="s">
        <v>31160</v>
      </c>
      <c r="C6953" s="5" t="s">
        <v>36</v>
      </c>
      <c r="D6953" s="5" t="s">
        <v>36</v>
      </c>
      <c r="E6953" s="5" t="s">
        <v>36</v>
      </c>
      <c r="F6953" s="5" t="s">
        <v>36</v>
      </c>
      <c r="G6953" s="6" t="s">
        <v>36</v>
      </c>
      <c r="H6953" s="4">
        <v>7.93</v>
      </c>
      <c r="I6953" s="7">
        <v>31.24</v>
      </c>
      <c r="J6953" s="3" t="s">
        <v>521</v>
      </c>
      <c r="K6953" s="9" t="s">
        <v>36</v>
      </c>
      <c r="L6953" s="6" t="s">
        <v>36</v>
      </c>
      <c r="M6953" s="3" t="s">
        <v>36</v>
      </c>
      <c r="N6953" s="3" t="s">
        <v>36</v>
      </c>
      <c r="O6953" s="8" t="s">
        <v>36</v>
      </c>
      <c r="P6953" s="3" t="s">
        <v>36</v>
      </c>
      <c r="Q6953" s="3" t="s">
        <v>36</v>
      </c>
      <c r="R6953" s="3" t="s">
        <v>36</v>
      </c>
      <c r="S6953" s="3" t="s">
        <v>36</v>
      </c>
      <c r="T6953" s="3" t="s">
        <v>105</v>
      </c>
      <c r="U6953" s="3" t="s">
        <v>38</v>
      </c>
      <c r="V6953" s="3" t="s">
        <v>39</v>
      </c>
      <c r="W6953" s="3" t="s">
        <v>31161</v>
      </c>
      <c r="X6953" s="10" t="s">
        <v>18390</v>
      </c>
      <c r="Y6953" s="6" t="s">
        <v>42</v>
      </c>
      <c r="Z6953" s="4">
        <v>0.31</v>
      </c>
      <c r="AA6953" s="4">
        <v>0.99</v>
      </c>
      <c r="AB6953" s="3" t="s">
        <v>43</v>
      </c>
      <c r="AC6953" s="3" t="s">
        <v>31162</v>
      </c>
      <c r="AD6953" s="9">
        <v>42320</v>
      </c>
      <c r="AE6953" s="3" t="s">
        <v>110</v>
      </c>
      <c r="AF6953" s="3" t="s">
        <v>1636</v>
      </c>
      <c r="AG6953" s="3" t="s">
        <v>6668</v>
      </c>
      <c r="AH6953" s="11">
        <f>HYPERLINK("https://my.pitchbook.com?c=67413-61T","View Company Online")</f>
      </c>
    </row>
    <row r="6954">
      <c r="A6954" s="12" t="s">
        <v>31163</v>
      </c>
      <c r="B6954" s="12" t="s">
        <v>26060</v>
      </c>
      <c r="C6954" s="19" t="s">
        <v>36</v>
      </c>
      <c r="D6954" s="19" t="s">
        <v>36</v>
      </c>
      <c r="E6954" s="19" t="s">
        <v>36</v>
      </c>
      <c r="F6954" s="19" t="s">
        <v>36</v>
      </c>
      <c r="G6954" s="15" t="s">
        <v>2497</v>
      </c>
      <c r="H6954" s="14" t="s">
        <v>36</v>
      </c>
      <c r="I6954" s="18">
        <v>20</v>
      </c>
      <c r="J6954" s="12" t="s">
        <v>327</v>
      </c>
      <c r="K6954" s="13" t="s">
        <v>36</v>
      </c>
      <c r="L6954" s="15" t="s">
        <v>36</v>
      </c>
      <c r="M6954" s="12" t="s">
        <v>36</v>
      </c>
      <c r="N6954" s="12" t="s">
        <v>36</v>
      </c>
      <c r="O6954" s="17" t="s">
        <v>36</v>
      </c>
      <c r="P6954" s="12" t="s">
        <v>36</v>
      </c>
      <c r="Q6954" s="12" t="s">
        <v>36</v>
      </c>
      <c r="R6954" s="12" t="s">
        <v>36</v>
      </c>
      <c r="S6954" s="12" t="s">
        <v>36</v>
      </c>
      <c r="T6954" s="12" t="s">
        <v>24032</v>
      </c>
      <c r="U6954" s="12" t="s">
        <v>279</v>
      </c>
      <c r="V6954" s="12" t="s">
        <v>64</v>
      </c>
      <c r="W6954" s="12" t="s">
        <v>26061</v>
      </c>
      <c r="X6954" s="16" t="s">
        <v>29048</v>
      </c>
      <c r="Y6954" s="15" t="s">
        <v>108</v>
      </c>
      <c r="Z6954" s="14">
        <v>1.88</v>
      </c>
      <c r="AA6954" s="14">
        <v>9.42</v>
      </c>
      <c r="AB6954" s="12" t="s">
        <v>43</v>
      </c>
      <c r="AC6954" s="12" t="s">
        <v>26063</v>
      </c>
      <c r="AD6954" s="13">
        <v>42320</v>
      </c>
      <c r="AE6954" s="12" t="s">
        <v>283</v>
      </c>
      <c r="AF6954" s="12" t="s">
        <v>815</v>
      </c>
      <c r="AG6954" s="12" t="s">
        <v>16271</v>
      </c>
      <c r="AH6954" s="1">
        <f>HYPERLINK("https://my.pitchbook.com?c=79887-97T","View Company Online")</f>
      </c>
    </row>
    <row r="6955">
      <c r="A6955" s="3" t="s">
        <v>31164</v>
      </c>
      <c r="B6955" s="3" t="s">
        <v>31165</v>
      </c>
      <c r="C6955" s="5" t="s">
        <v>36</v>
      </c>
      <c r="D6955" s="5" t="s">
        <v>36</v>
      </c>
      <c r="E6955" s="5" t="s">
        <v>36</v>
      </c>
      <c r="F6955" s="5" t="s">
        <v>36</v>
      </c>
      <c r="G6955" s="6" t="s">
        <v>36</v>
      </c>
      <c r="H6955" s="4">
        <v>260.17</v>
      </c>
      <c r="I6955" s="7">
        <v>28.1</v>
      </c>
      <c r="J6955" s="3" t="s">
        <v>521</v>
      </c>
      <c r="K6955" s="9">
        <v>42305</v>
      </c>
      <c r="L6955" s="6" t="s">
        <v>122</v>
      </c>
      <c r="M6955" s="3" t="s">
        <v>36</v>
      </c>
      <c r="N6955" s="3" t="s">
        <v>122</v>
      </c>
      <c r="O6955" s="8" t="s">
        <v>36</v>
      </c>
      <c r="P6955" s="3" t="s">
        <v>36</v>
      </c>
      <c r="Q6955" s="3" t="s">
        <v>36</v>
      </c>
      <c r="R6955" s="3" t="s">
        <v>36</v>
      </c>
      <c r="S6955" s="3" t="s">
        <v>36</v>
      </c>
      <c r="T6955" s="3" t="s">
        <v>31166</v>
      </c>
      <c r="U6955" s="3" t="s">
        <v>38</v>
      </c>
      <c r="V6955" s="3" t="s">
        <v>39</v>
      </c>
      <c r="W6955" s="3" t="s">
        <v>31167</v>
      </c>
      <c r="X6955" s="10" t="s">
        <v>31168</v>
      </c>
      <c r="Y6955" s="6" t="s">
        <v>108</v>
      </c>
      <c r="Z6955" s="4">
        <v>1.67</v>
      </c>
      <c r="AA6955" s="4">
        <v>5.95</v>
      </c>
      <c r="AB6955" s="3" t="s">
        <v>43</v>
      </c>
      <c r="AC6955" s="3" t="s">
        <v>31169</v>
      </c>
      <c r="AD6955" s="9">
        <v>42319</v>
      </c>
      <c r="AE6955" s="3" t="s">
        <v>1422</v>
      </c>
      <c r="AF6955" s="3" t="s">
        <v>15204</v>
      </c>
      <c r="AG6955" s="3" t="s">
        <v>652</v>
      </c>
      <c r="AH6955" s="11">
        <f>HYPERLINK("https://my.pitchbook.com?c=60909-49T","View Company Online")</f>
      </c>
    </row>
    <row r="6956">
      <c r="A6956" s="12" t="s">
        <v>31170</v>
      </c>
      <c r="B6956" s="12" t="s">
        <v>31171</v>
      </c>
      <c r="C6956" s="19" t="s">
        <v>36</v>
      </c>
      <c r="D6956" s="19" t="s">
        <v>36</v>
      </c>
      <c r="E6956" s="19" t="s">
        <v>36</v>
      </c>
      <c r="F6956" s="19" t="s">
        <v>36</v>
      </c>
      <c r="G6956" s="15" t="s">
        <v>36</v>
      </c>
      <c r="H6956" s="14">
        <v>155.12</v>
      </c>
      <c r="I6956" s="18">
        <v>14.29</v>
      </c>
      <c r="J6956" s="12" t="s">
        <v>521</v>
      </c>
      <c r="K6956" s="13" t="s">
        <v>36</v>
      </c>
      <c r="L6956" s="15" t="s">
        <v>36</v>
      </c>
      <c r="M6956" s="12" t="s">
        <v>36</v>
      </c>
      <c r="N6956" s="12" t="s">
        <v>36</v>
      </c>
      <c r="O6956" s="17" t="s">
        <v>36</v>
      </c>
      <c r="P6956" s="12" t="s">
        <v>36</v>
      </c>
      <c r="Q6956" s="12" t="s">
        <v>36</v>
      </c>
      <c r="R6956" s="12" t="s">
        <v>36</v>
      </c>
      <c r="S6956" s="12" t="s">
        <v>36</v>
      </c>
      <c r="T6956" s="12" t="s">
        <v>7415</v>
      </c>
      <c r="U6956" s="12" t="s">
        <v>38</v>
      </c>
      <c r="V6956" s="12" t="s">
        <v>39</v>
      </c>
      <c r="W6956" s="12" t="s">
        <v>31172</v>
      </c>
      <c r="X6956" s="16" t="s">
        <v>31173</v>
      </c>
      <c r="Y6956" s="15" t="s">
        <v>42</v>
      </c>
      <c r="Z6956" s="14">
        <v>0.28</v>
      </c>
      <c r="AA6956" s="14">
        <v>1.94</v>
      </c>
      <c r="AB6956" s="12" t="s">
        <v>43</v>
      </c>
      <c r="AC6956" s="12" t="s">
        <v>31174</v>
      </c>
      <c r="AD6956" s="13">
        <v>42319</v>
      </c>
      <c r="AE6956" s="12" t="s">
        <v>1422</v>
      </c>
      <c r="AF6956" s="12" t="s">
        <v>10927</v>
      </c>
      <c r="AG6956" s="12" t="s">
        <v>81</v>
      </c>
      <c r="AH6956" s="1">
        <f>HYPERLINK("https://my.pitchbook.com?c=75723-04T","View Company Online")</f>
      </c>
    </row>
    <row r="6957">
      <c r="A6957" s="3" t="s">
        <v>31175</v>
      </c>
      <c r="B6957" s="3" t="s">
        <v>31176</v>
      </c>
      <c r="C6957" s="5" t="s">
        <v>36</v>
      </c>
      <c r="D6957" s="5" t="s">
        <v>36</v>
      </c>
      <c r="E6957" s="5" t="s">
        <v>36</v>
      </c>
      <c r="F6957" s="5" t="s">
        <v>36</v>
      </c>
      <c r="G6957" s="6" t="s">
        <v>36</v>
      </c>
      <c r="H6957" s="4" t="s">
        <v>36</v>
      </c>
      <c r="I6957" s="7" t="s">
        <v>36</v>
      </c>
      <c r="J6957" s="3" t="s">
        <v>36</v>
      </c>
      <c r="K6957" s="9" t="s">
        <v>36</v>
      </c>
      <c r="L6957" s="6" t="s">
        <v>36</v>
      </c>
      <c r="M6957" s="3" t="s">
        <v>36</v>
      </c>
      <c r="N6957" s="3" t="s">
        <v>36</v>
      </c>
      <c r="O6957" s="8" t="s">
        <v>36</v>
      </c>
      <c r="P6957" s="3" t="s">
        <v>36</v>
      </c>
      <c r="Q6957" s="3" t="s">
        <v>36</v>
      </c>
      <c r="R6957" s="3" t="s">
        <v>36</v>
      </c>
      <c r="S6957" s="3" t="s">
        <v>36</v>
      </c>
      <c r="T6957" s="3" t="s">
        <v>31177</v>
      </c>
      <c r="U6957" s="3" t="s">
        <v>318</v>
      </c>
      <c r="V6957" s="3" t="s">
        <v>39</v>
      </c>
      <c r="W6957" s="3" t="s">
        <v>31178</v>
      </c>
      <c r="X6957" s="10" t="s">
        <v>31179</v>
      </c>
      <c r="Y6957" s="6" t="s">
        <v>42</v>
      </c>
      <c r="Z6957" s="4" t="s">
        <v>36</v>
      </c>
      <c r="AA6957" s="4" t="s">
        <v>36</v>
      </c>
      <c r="AB6957" s="3" t="s">
        <v>43</v>
      </c>
      <c r="AC6957" s="3" t="s">
        <v>31180</v>
      </c>
      <c r="AD6957" s="9">
        <v>42318</v>
      </c>
      <c r="AE6957" s="3" t="s">
        <v>763</v>
      </c>
      <c r="AF6957" s="3" t="s">
        <v>6234</v>
      </c>
      <c r="AG6957" s="3" t="s">
        <v>81</v>
      </c>
      <c r="AH6957" s="11">
        <f>HYPERLINK("https://my.pitchbook.com?c=134547-49T","View Company Online")</f>
      </c>
    </row>
    <row r="6958">
      <c r="A6958" s="12" t="s">
        <v>31181</v>
      </c>
      <c r="B6958" s="12" t="s">
        <v>12382</v>
      </c>
      <c r="C6958" s="19" t="s">
        <v>36</v>
      </c>
      <c r="D6958" s="19" t="s">
        <v>36</v>
      </c>
      <c r="E6958" s="19" t="s">
        <v>36</v>
      </c>
      <c r="F6958" s="19" t="s">
        <v>36</v>
      </c>
      <c r="G6958" s="15" t="s">
        <v>36</v>
      </c>
      <c r="H6958" s="14">
        <v>1.63</v>
      </c>
      <c r="I6958" s="18">
        <v>29.3</v>
      </c>
      <c r="J6958" s="12" t="s">
        <v>327</v>
      </c>
      <c r="K6958" s="13" t="s">
        <v>36</v>
      </c>
      <c r="L6958" s="15" t="s">
        <v>36</v>
      </c>
      <c r="M6958" s="12" t="s">
        <v>36</v>
      </c>
      <c r="N6958" s="12" t="s">
        <v>36</v>
      </c>
      <c r="O6958" s="17" t="s">
        <v>36</v>
      </c>
      <c r="P6958" s="12" t="s">
        <v>36</v>
      </c>
      <c r="Q6958" s="12" t="s">
        <v>36</v>
      </c>
      <c r="R6958" s="12" t="s">
        <v>36</v>
      </c>
      <c r="S6958" s="12" t="s">
        <v>36</v>
      </c>
      <c r="T6958" s="12" t="s">
        <v>1188</v>
      </c>
      <c r="U6958" s="12" t="s">
        <v>180</v>
      </c>
      <c r="V6958" s="12" t="s">
        <v>52</v>
      </c>
      <c r="W6958" s="12" t="s">
        <v>12383</v>
      </c>
      <c r="X6958" s="16" t="s">
        <v>31182</v>
      </c>
      <c r="Y6958" s="15" t="s">
        <v>108</v>
      </c>
      <c r="Z6958" s="14">
        <v>0.67</v>
      </c>
      <c r="AA6958" s="14">
        <v>2.28</v>
      </c>
      <c r="AB6958" s="12" t="s">
        <v>43</v>
      </c>
      <c r="AC6958" s="12" t="s">
        <v>12385</v>
      </c>
      <c r="AD6958" s="13">
        <v>42318</v>
      </c>
      <c r="AE6958" s="12" t="s">
        <v>1192</v>
      </c>
      <c r="AF6958" s="12" t="s">
        <v>6907</v>
      </c>
      <c r="AG6958" s="12" t="s">
        <v>924</v>
      </c>
      <c r="AH6958" s="1">
        <f>HYPERLINK("https://my.pitchbook.com?c=60993-01T","View Company Online")</f>
      </c>
    </row>
    <row r="6959">
      <c r="A6959" s="3" t="s">
        <v>31183</v>
      </c>
      <c r="B6959" s="3" t="s">
        <v>16063</v>
      </c>
      <c r="C6959" s="5" t="s">
        <v>36</v>
      </c>
      <c r="D6959" s="5" t="s">
        <v>36</v>
      </c>
      <c r="E6959" s="5" t="s">
        <v>36</v>
      </c>
      <c r="F6959" s="5" t="s">
        <v>36</v>
      </c>
      <c r="G6959" s="6" t="s">
        <v>36</v>
      </c>
      <c r="H6959" s="4">
        <v>218.35</v>
      </c>
      <c r="I6959" s="7">
        <v>36.83</v>
      </c>
      <c r="J6959" s="3" t="s">
        <v>521</v>
      </c>
      <c r="K6959" s="9" t="s">
        <v>36</v>
      </c>
      <c r="L6959" s="6" t="s">
        <v>36</v>
      </c>
      <c r="M6959" s="3" t="s">
        <v>36</v>
      </c>
      <c r="N6959" s="3" t="s">
        <v>36</v>
      </c>
      <c r="O6959" s="8" t="s">
        <v>36</v>
      </c>
      <c r="P6959" s="3" t="s">
        <v>36</v>
      </c>
      <c r="Q6959" s="3" t="s">
        <v>36</v>
      </c>
      <c r="R6959" s="3" t="s">
        <v>36</v>
      </c>
      <c r="S6959" s="3" t="s">
        <v>36</v>
      </c>
      <c r="T6959" s="3" t="s">
        <v>522</v>
      </c>
      <c r="U6959" s="3" t="s">
        <v>38</v>
      </c>
      <c r="V6959" s="3" t="s">
        <v>39</v>
      </c>
      <c r="W6959" s="3" t="s">
        <v>16064</v>
      </c>
      <c r="X6959" s="10" t="s">
        <v>31184</v>
      </c>
      <c r="Y6959" s="6" t="s">
        <v>55</v>
      </c>
      <c r="Z6959" s="4">
        <v>6.71</v>
      </c>
      <c r="AA6959" s="4">
        <v>18.22</v>
      </c>
      <c r="AB6959" s="3" t="s">
        <v>43</v>
      </c>
      <c r="AC6959" s="3" t="s">
        <v>16066</v>
      </c>
      <c r="AD6959" s="9">
        <v>42312</v>
      </c>
      <c r="AE6959" s="3" t="s">
        <v>110</v>
      </c>
      <c r="AF6959" s="3" t="s">
        <v>16067</v>
      </c>
      <c r="AG6959" s="3" t="s">
        <v>81</v>
      </c>
      <c r="AH6959" s="11">
        <f>HYPERLINK("https://my.pitchbook.com?c=60408-01T","View Company Online")</f>
      </c>
    </row>
    <row r="6960">
      <c r="A6960" s="12" t="s">
        <v>31185</v>
      </c>
      <c r="B6960" s="12" t="s">
        <v>31186</v>
      </c>
      <c r="C6960" s="19">
        <v>2</v>
      </c>
      <c r="D6960" s="19">
        <v>11</v>
      </c>
      <c r="E6960" s="19">
        <v>3</v>
      </c>
      <c r="F6960" s="19">
        <v>18</v>
      </c>
      <c r="G6960" s="15" t="s">
        <v>36</v>
      </c>
      <c r="H6960" s="14" t="s">
        <v>36</v>
      </c>
      <c r="I6960" s="18" t="s">
        <v>36</v>
      </c>
      <c r="J6960" s="12" t="s">
        <v>36</v>
      </c>
      <c r="K6960" s="13">
        <v>42311</v>
      </c>
      <c r="L6960" s="15" t="s">
        <v>36</v>
      </c>
      <c r="M6960" s="12" t="s">
        <v>36</v>
      </c>
      <c r="N6960" s="12" t="s">
        <v>36</v>
      </c>
      <c r="O6960" s="17" t="s">
        <v>36</v>
      </c>
      <c r="P6960" s="12" t="s">
        <v>36</v>
      </c>
      <c r="Q6960" s="12" t="s">
        <v>36</v>
      </c>
      <c r="R6960" s="12" t="s">
        <v>36</v>
      </c>
      <c r="S6960" s="12" t="s">
        <v>36</v>
      </c>
      <c r="T6960" s="12" t="s">
        <v>9709</v>
      </c>
      <c r="U6960" s="12" t="s">
        <v>51</v>
      </c>
      <c r="V6960" s="12" t="s">
        <v>52</v>
      </c>
      <c r="W6960" s="12" t="s">
        <v>31187</v>
      </c>
      <c r="X6960" s="16" t="s">
        <v>31188</v>
      </c>
      <c r="Y6960" s="15" t="s">
        <v>108</v>
      </c>
      <c r="Z6960" s="14">
        <v>3.02</v>
      </c>
      <c r="AA6960" s="14" t="s">
        <v>36</v>
      </c>
      <c r="AB6960" s="12" t="s">
        <v>43</v>
      </c>
      <c r="AC6960" s="12" t="s">
        <v>31189</v>
      </c>
      <c r="AD6960" s="13">
        <v>42311</v>
      </c>
      <c r="AE6960" s="12" t="s">
        <v>158</v>
      </c>
      <c r="AF6960" s="12" t="s">
        <v>665</v>
      </c>
      <c r="AG6960" s="12" t="s">
        <v>47</v>
      </c>
      <c r="AH6960" s="1">
        <f>HYPERLINK("https://my.pitchbook.com?c=61382-44T","View Company Online")</f>
      </c>
    </row>
    <row r="6961">
      <c r="A6961" s="3" t="s">
        <v>31190</v>
      </c>
      <c r="B6961" s="3" t="s">
        <v>6911</v>
      </c>
      <c r="C6961" s="5" t="s">
        <v>36</v>
      </c>
      <c r="D6961" s="5">
        <v>2</v>
      </c>
      <c r="E6961" s="5">
        <v>1</v>
      </c>
      <c r="F6961" s="5">
        <v>2</v>
      </c>
      <c r="G6961" s="6" t="s">
        <v>326</v>
      </c>
      <c r="H6961" s="4">
        <v>1796.82</v>
      </c>
      <c r="I6961" s="7">
        <v>25.06</v>
      </c>
      <c r="J6961" s="3" t="s">
        <v>521</v>
      </c>
      <c r="K6961" s="9">
        <v>42215</v>
      </c>
      <c r="L6961" s="6" t="s">
        <v>36</v>
      </c>
      <c r="M6961" s="3" t="s">
        <v>36</v>
      </c>
      <c r="N6961" s="3" t="s">
        <v>36</v>
      </c>
      <c r="O6961" s="8" t="s">
        <v>36</v>
      </c>
      <c r="P6961" s="3" t="s">
        <v>36</v>
      </c>
      <c r="Q6961" s="3" t="s">
        <v>36</v>
      </c>
      <c r="R6961" s="3" t="s">
        <v>36</v>
      </c>
      <c r="S6961" s="3" t="s">
        <v>36</v>
      </c>
      <c r="T6961" s="3" t="s">
        <v>1701</v>
      </c>
      <c r="U6961" s="3" t="s">
        <v>74</v>
      </c>
      <c r="V6961" s="3" t="s">
        <v>75</v>
      </c>
      <c r="W6961" s="3" t="s">
        <v>6912</v>
      </c>
      <c r="X6961" s="10" t="s">
        <v>31191</v>
      </c>
      <c r="Y6961" s="6" t="s">
        <v>108</v>
      </c>
      <c r="Z6961" s="4">
        <v>0.56</v>
      </c>
      <c r="AA6961" s="4">
        <v>2.24</v>
      </c>
      <c r="AB6961" s="3" t="s">
        <v>56</v>
      </c>
      <c r="AC6961" s="3" t="s">
        <v>6914</v>
      </c>
      <c r="AD6961" s="9">
        <v>42310</v>
      </c>
      <c r="AE6961" s="3" t="s">
        <v>79</v>
      </c>
      <c r="AF6961" s="3" t="s">
        <v>4552</v>
      </c>
      <c r="AG6961" s="3" t="s">
        <v>81</v>
      </c>
      <c r="AH6961" s="11">
        <f>HYPERLINK("https://my.pitchbook.com?c=60264-73T","View Company Online")</f>
      </c>
    </row>
    <row r="6962">
      <c r="A6962" s="12" t="s">
        <v>31192</v>
      </c>
      <c r="B6962" s="12" t="s">
        <v>13481</v>
      </c>
      <c r="C6962" s="19" t="s">
        <v>36</v>
      </c>
      <c r="D6962" s="19">
        <v>1</v>
      </c>
      <c r="E6962" s="19">
        <v>1</v>
      </c>
      <c r="F6962" s="19">
        <v>4</v>
      </c>
      <c r="G6962" s="15" t="s">
        <v>326</v>
      </c>
      <c r="H6962" s="14">
        <v>22.02</v>
      </c>
      <c r="I6962" s="18">
        <v>48.78</v>
      </c>
      <c r="J6962" s="12" t="s">
        <v>521</v>
      </c>
      <c r="K6962" s="13">
        <v>41928</v>
      </c>
      <c r="L6962" s="15" t="s">
        <v>122</v>
      </c>
      <c r="M6962" s="12" t="s">
        <v>36</v>
      </c>
      <c r="N6962" s="12" t="s">
        <v>122</v>
      </c>
      <c r="O6962" s="17" t="s">
        <v>36</v>
      </c>
      <c r="P6962" s="12" t="s">
        <v>36</v>
      </c>
      <c r="Q6962" s="12" t="s">
        <v>36</v>
      </c>
      <c r="R6962" s="12" t="s">
        <v>36</v>
      </c>
      <c r="S6962" s="12" t="s">
        <v>36</v>
      </c>
      <c r="T6962" s="12" t="s">
        <v>13482</v>
      </c>
      <c r="U6962" s="12" t="s">
        <v>38</v>
      </c>
      <c r="V6962" s="12" t="s">
        <v>39</v>
      </c>
      <c r="W6962" s="12" t="s">
        <v>13483</v>
      </c>
      <c r="X6962" s="16" t="s">
        <v>31193</v>
      </c>
      <c r="Y6962" s="15" t="s">
        <v>42</v>
      </c>
      <c r="Z6962" s="14">
        <v>4.48</v>
      </c>
      <c r="AA6962" s="14">
        <v>9.13</v>
      </c>
      <c r="AB6962" s="12" t="s">
        <v>43</v>
      </c>
      <c r="AC6962" s="12" t="s">
        <v>13485</v>
      </c>
      <c r="AD6962" s="13">
        <v>42310</v>
      </c>
      <c r="AE6962" s="12" t="s">
        <v>110</v>
      </c>
      <c r="AF6962" s="12" t="s">
        <v>176</v>
      </c>
      <c r="AG6962" s="12" t="s">
        <v>81</v>
      </c>
      <c r="AH6962" s="1">
        <f>HYPERLINK("https://my.pitchbook.com?c=44020-09T","View Company Online")</f>
      </c>
    </row>
    <row r="6963">
      <c r="A6963" s="3" t="s">
        <v>31194</v>
      </c>
      <c r="B6963" s="3" t="s">
        <v>31195</v>
      </c>
      <c r="C6963" s="5" t="s">
        <v>36</v>
      </c>
      <c r="D6963" s="5">
        <v>3</v>
      </c>
      <c r="E6963" s="5">
        <v>2</v>
      </c>
      <c r="F6963" s="5">
        <v>9</v>
      </c>
      <c r="G6963" s="6" t="s">
        <v>36</v>
      </c>
      <c r="H6963" s="4" t="s">
        <v>36</v>
      </c>
      <c r="I6963" s="7" t="s">
        <v>36</v>
      </c>
      <c r="J6963" s="3" t="s">
        <v>36</v>
      </c>
      <c r="K6963" s="9" t="s">
        <v>36</v>
      </c>
      <c r="L6963" s="6" t="s">
        <v>122</v>
      </c>
      <c r="M6963" s="3" t="s">
        <v>36</v>
      </c>
      <c r="N6963" s="3" t="s">
        <v>122</v>
      </c>
      <c r="O6963" s="8" t="s">
        <v>36</v>
      </c>
      <c r="P6963" s="3" t="s">
        <v>36</v>
      </c>
      <c r="Q6963" s="3" t="s">
        <v>36</v>
      </c>
      <c r="R6963" s="3" t="s">
        <v>36</v>
      </c>
      <c r="S6963" s="3" t="s">
        <v>36</v>
      </c>
      <c r="T6963" s="3" t="s">
        <v>31196</v>
      </c>
      <c r="U6963" s="3" t="s">
        <v>219</v>
      </c>
      <c r="V6963" s="3" t="s">
        <v>75</v>
      </c>
      <c r="W6963" s="3" t="s">
        <v>31197</v>
      </c>
      <c r="X6963" s="10" t="s">
        <v>31198</v>
      </c>
      <c r="Y6963" s="6" t="s">
        <v>42</v>
      </c>
      <c r="Z6963" s="4">
        <v>2.24</v>
      </c>
      <c r="AA6963" s="4" t="s">
        <v>36</v>
      </c>
      <c r="AB6963" s="3" t="s">
        <v>43</v>
      </c>
      <c r="AC6963" s="3" t="s">
        <v>31199</v>
      </c>
      <c r="AD6963" s="9">
        <v>42310</v>
      </c>
      <c r="AE6963" s="3" t="s">
        <v>1912</v>
      </c>
      <c r="AF6963" s="3" t="s">
        <v>31200</v>
      </c>
      <c r="AG6963" s="3" t="s">
        <v>31201</v>
      </c>
      <c r="AH6963" s="11">
        <f>HYPERLINK("https://my.pitchbook.com?c=86175-10T","View Company Online")</f>
      </c>
    </row>
    <row r="6964">
      <c r="A6964" s="12" t="s">
        <v>31202</v>
      </c>
      <c r="B6964" s="12" t="s">
        <v>31203</v>
      </c>
      <c r="C6964" s="19">
        <v>11</v>
      </c>
      <c r="D6964" s="19">
        <v>50</v>
      </c>
      <c r="E6964" s="19">
        <v>28</v>
      </c>
      <c r="F6964" s="19">
        <v>79</v>
      </c>
      <c r="G6964" s="15" t="s">
        <v>36</v>
      </c>
      <c r="H6964" s="14" t="s">
        <v>36</v>
      </c>
      <c r="I6964" s="18" t="s">
        <v>36</v>
      </c>
      <c r="J6964" s="12" t="s">
        <v>36</v>
      </c>
      <c r="K6964" s="13" t="s">
        <v>36</v>
      </c>
      <c r="L6964" s="15" t="s">
        <v>94</v>
      </c>
      <c r="M6964" s="12" t="s">
        <v>36</v>
      </c>
      <c r="N6964" s="12" t="s">
        <v>94</v>
      </c>
      <c r="O6964" s="17" t="s">
        <v>36</v>
      </c>
      <c r="P6964" s="12" t="s">
        <v>36</v>
      </c>
      <c r="Q6964" s="12" t="s">
        <v>36</v>
      </c>
      <c r="R6964" s="12" t="s">
        <v>36</v>
      </c>
      <c r="S6964" s="12" t="s">
        <v>36</v>
      </c>
      <c r="T6964" s="12" t="s">
        <v>7701</v>
      </c>
      <c r="U6964" s="12" t="s">
        <v>833</v>
      </c>
      <c r="V6964" s="12" t="s">
        <v>64</v>
      </c>
      <c r="W6964" s="12" t="s">
        <v>31204</v>
      </c>
      <c r="X6964" s="16" t="s">
        <v>31205</v>
      </c>
      <c r="Y6964" s="15" t="s">
        <v>108</v>
      </c>
      <c r="Z6964" s="14">
        <v>33.61</v>
      </c>
      <c r="AA6964" s="14" t="s">
        <v>36</v>
      </c>
      <c r="AB6964" s="12" t="s">
        <v>43</v>
      </c>
      <c r="AC6964" s="12" t="s">
        <v>31206</v>
      </c>
      <c r="AD6964" s="13">
        <v>42309</v>
      </c>
      <c r="AE6964" s="12" t="s">
        <v>1069</v>
      </c>
      <c r="AF6964" s="12" t="s">
        <v>31207</v>
      </c>
      <c r="AG6964" s="12" t="s">
        <v>2760</v>
      </c>
      <c r="AH6964" s="1">
        <f>HYPERLINK("https://my.pitchbook.com?c=60610-33T","View Company Online")</f>
      </c>
    </row>
    <row r="6965">
      <c r="A6965" s="3" t="s">
        <v>31208</v>
      </c>
      <c r="B6965" s="3" t="s">
        <v>31209</v>
      </c>
      <c r="C6965" s="5" t="s">
        <v>36</v>
      </c>
      <c r="D6965" s="5" t="s">
        <v>36</v>
      </c>
      <c r="E6965" s="5" t="s">
        <v>36</v>
      </c>
      <c r="F6965" s="5" t="s">
        <v>36</v>
      </c>
      <c r="G6965" s="6" t="s">
        <v>36</v>
      </c>
      <c r="H6965" s="4" t="s">
        <v>36</v>
      </c>
      <c r="I6965" s="7" t="s">
        <v>36</v>
      </c>
      <c r="J6965" s="3" t="s">
        <v>36</v>
      </c>
      <c r="K6965" s="9" t="s">
        <v>36</v>
      </c>
      <c r="L6965" s="6" t="s">
        <v>36</v>
      </c>
      <c r="M6965" s="3" t="s">
        <v>36</v>
      </c>
      <c r="N6965" s="3" t="s">
        <v>36</v>
      </c>
      <c r="O6965" s="8" t="s">
        <v>36</v>
      </c>
      <c r="P6965" s="3" t="s">
        <v>36</v>
      </c>
      <c r="Q6965" s="3" t="s">
        <v>36</v>
      </c>
      <c r="R6965" s="3" t="s">
        <v>36</v>
      </c>
      <c r="S6965" s="3" t="s">
        <v>36</v>
      </c>
      <c r="T6965" s="3" t="s">
        <v>4827</v>
      </c>
      <c r="U6965" s="3" t="s">
        <v>648</v>
      </c>
      <c r="V6965" s="3" t="s">
        <v>64</v>
      </c>
      <c r="W6965" s="3" t="s">
        <v>31210</v>
      </c>
      <c r="X6965" s="10" t="s">
        <v>5539</v>
      </c>
      <c r="Y6965" s="6" t="s">
        <v>42</v>
      </c>
      <c r="Z6965" s="4">
        <v>6.73</v>
      </c>
      <c r="AA6965" s="4" t="s">
        <v>36</v>
      </c>
      <c r="AB6965" s="3" t="s">
        <v>43</v>
      </c>
      <c r="AC6965" s="3" t="s">
        <v>31211</v>
      </c>
      <c r="AD6965" s="9">
        <v>42306</v>
      </c>
      <c r="AE6965" s="3" t="s">
        <v>3988</v>
      </c>
      <c r="AF6965" s="3" t="s">
        <v>4357</v>
      </c>
      <c r="AG6965" s="3" t="s">
        <v>81</v>
      </c>
      <c r="AH6965" s="11">
        <f>HYPERLINK("https://my.pitchbook.com?c=61662-52T","View Company Online")</f>
      </c>
    </row>
    <row r="6966">
      <c r="A6966" s="12" t="s">
        <v>31212</v>
      </c>
      <c r="B6966" s="12" t="s">
        <v>15060</v>
      </c>
      <c r="C6966" s="19">
        <v>2</v>
      </c>
      <c r="D6966" s="19">
        <v>24</v>
      </c>
      <c r="E6966" s="19">
        <v>7</v>
      </c>
      <c r="F6966" s="19">
        <v>32</v>
      </c>
      <c r="G6966" s="15" t="s">
        <v>326</v>
      </c>
      <c r="H6966" s="14">
        <v>191.1</v>
      </c>
      <c r="I6966" s="18">
        <v>39.55</v>
      </c>
      <c r="J6966" s="12" t="s">
        <v>521</v>
      </c>
      <c r="K6966" s="13">
        <v>42291</v>
      </c>
      <c r="L6966" s="15" t="s">
        <v>36</v>
      </c>
      <c r="M6966" s="12" t="s">
        <v>36</v>
      </c>
      <c r="N6966" s="12" t="s">
        <v>36</v>
      </c>
      <c r="O6966" s="17" t="s">
        <v>36</v>
      </c>
      <c r="P6966" s="12" t="s">
        <v>36</v>
      </c>
      <c r="Q6966" s="12" t="s">
        <v>36</v>
      </c>
      <c r="R6966" s="12" t="s">
        <v>36</v>
      </c>
      <c r="S6966" s="12" t="s">
        <v>36</v>
      </c>
      <c r="T6966" s="12" t="s">
        <v>139</v>
      </c>
      <c r="U6966" s="12" t="s">
        <v>96</v>
      </c>
      <c r="V6966" s="12" t="s">
        <v>52</v>
      </c>
      <c r="W6966" s="12" t="s">
        <v>15061</v>
      </c>
      <c r="X6966" s="16" t="s">
        <v>31213</v>
      </c>
      <c r="Y6966" s="15" t="s">
        <v>108</v>
      </c>
      <c r="Z6966" s="14">
        <v>2.11</v>
      </c>
      <c r="AA6966" s="14">
        <v>5.34</v>
      </c>
      <c r="AB6966" s="12" t="s">
        <v>43</v>
      </c>
      <c r="AC6966" s="12" t="s">
        <v>15062</v>
      </c>
      <c r="AD6966" s="13">
        <v>42306</v>
      </c>
      <c r="AE6966" s="12" t="s">
        <v>143</v>
      </c>
      <c r="AF6966" s="12" t="s">
        <v>159</v>
      </c>
      <c r="AG6966" s="12" t="s">
        <v>1276</v>
      </c>
      <c r="AH6966" s="1">
        <f>HYPERLINK("https://my.pitchbook.com?c=100036-99T","View Company Online")</f>
      </c>
    </row>
    <row r="6967">
      <c r="A6967" s="3" t="s">
        <v>31214</v>
      </c>
      <c r="B6967" s="3" t="s">
        <v>23116</v>
      </c>
      <c r="C6967" s="5" t="s">
        <v>36</v>
      </c>
      <c r="D6967" s="5" t="s">
        <v>36</v>
      </c>
      <c r="E6967" s="5" t="s">
        <v>36</v>
      </c>
      <c r="F6967" s="5" t="s">
        <v>36</v>
      </c>
      <c r="G6967" s="6" t="s">
        <v>36</v>
      </c>
      <c r="H6967" s="4">
        <v>8.62</v>
      </c>
      <c r="I6967" s="7">
        <v>15.4</v>
      </c>
      <c r="J6967" s="3" t="s">
        <v>521</v>
      </c>
      <c r="K6967" s="9" t="s">
        <v>36</v>
      </c>
      <c r="L6967" s="6" t="s">
        <v>36</v>
      </c>
      <c r="M6967" s="3" t="s">
        <v>36</v>
      </c>
      <c r="N6967" s="3" t="s">
        <v>36</v>
      </c>
      <c r="O6967" s="8" t="s">
        <v>36</v>
      </c>
      <c r="P6967" s="3" t="s">
        <v>36</v>
      </c>
      <c r="Q6967" s="3" t="s">
        <v>36</v>
      </c>
      <c r="R6967" s="3" t="s">
        <v>36</v>
      </c>
      <c r="S6967" s="3" t="s">
        <v>36</v>
      </c>
      <c r="T6967" s="3" t="s">
        <v>105</v>
      </c>
      <c r="U6967" s="3" t="s">
        <v>38</v>
      </c>
      <c r="V6967" s="3" t="s">
        <v>39</v>
      </c>
      <c r="W6967" s="3" t="s">
        <v>23117</v>
      </c>
      <c r="X6967" s="10" t="s">
        <v>31215</v>
      </c>
      <c r="Y6967" s="6" t="s">
        <v>55</v>
      </c>
      <c r="Z6967" s="4">
        <v>3.13</v>
      </c>
      <c r="AA6967" s="4">
        <v>20.32</v>
      </c>
      <c r="AB6967" s="3" t="s">
        <v>56</v>
      </c>
      <c r="AC6967" s="3" t="s">
        <v>23119</v>
      </c>
      <c r="AD6967" s="9">
        <v>42306</v>
      </c>
      <c r="AE6967" s="3" t="s">
        <v>110</v>
      </c>
      <c r="AF6967" s="3" t="s">
        <v>5001</v>
      </c>
      <c r="AG6967" s="3" t="s">
        <v>81</v>
      </c>
      <c r="AH6967" s="11">
        <f>HYPERLINK("https://my.pitchbook.com?c=55962-10T","View Company Online")</f>
      </c>
    </row>
    <row r="6968">
      <c r="A6968" s="12" t="s">
        <v>31216</v>
      </c>
      <c r="B6968" s="12" t="s">
        <v>24235</v>
      </c>
      <c r="C6968" s="19" t="s">
        <v>36</v>
      </c>
      <c r="D6968" s="19" t="s">
        <v>36</v>
      </c>
      <c r="E6968" s="19" t="s">
        <v>36</v>
      </c>
      <c r="F6968" s="19" t="s">
        <v>36</v>
      </c>
      <c r="G6968" s="15" t="s">
        <v>326</v>
      </c>
      <c r="H6968" s="14">
        <v>151.8</v>
      </c>
      <c r="I6968" s="18">
        <v>13</v>
      </c>
      <c r="J6968" s="12" t="s">
        <v>521</v>
      </c>
      <c r="K6968" s="13" t="s">
        <v>36</v>
      </c>
      <c r="L6968" s="15" t="s">
        <v>36</v>
      </c>
      <c r="M6968" s="12" t="s">
        <v>36</v>
      </c>
      <c r="N6968" s="12" t="s">
        <v>36</v>
      </c>
      <c r="O6968" s="17" t="s">
        <v>36</v>
      </c>
      <c r="P6968" s="12" t="s">
        <v>36</v>
      </c>
      <c r="Q6968" s="12" t="s">
        <v>36</v>
      </c>
      <c r="R6968" s="12" t="s">
        <v>36</v>
      </c>
      <c r="S6968" s="12" t="s">
        <v>36</v>
      </c>
      <c r="T6968" s="12" t="s">
        <v>24236</v>
      </c>
      <c r="U6968" s="12" t="s">
        <v>63</v>
      </c>
      <c r="V6968" s="12" t="s">
        <v>64</v>
      </c>
      <c r="W6968" s="12" t="s">
        <v>24237</v>
      </c>
      <c r="X6968" s="16" t="s">
        <v>31217</v>
      </c>
      <c r="Y6968" s="15" t="s">
        <v>42</v>
      </c>
      <c r="Z6968" s="14">
        <v>0.58</v>
      </c>
      <c r="AA6968" s="14">
        <v>4.49</v>
      </c>
      <c r="AB6968" s="12" t="s">
        <v>43</v>
      </c>
      <c r="AC6968" s="12" t="s">
        <v>24239</v>
      </c>
      <c r="AD6968" s="13">
        <v>42306</v>
      </c>
      <c r="AE6968" s="12" t="s">
        <v>4310</v>
      </c>
      <c r="AF6968" s="12" t="s">
        <v>1296</v>
      </c>
      <c r="AG6968" s="12" t="s">
        <v>102</v>
      </c>
      <c r="AH6968" s="1">
        <f>HYPERLINK("https://my.pitchbook.com?c=116129-44T","View Company Online")</f>
      </c>
    </row>
    <row r="6969">
      <c r="A6969" s="3" t="s">
        <v>31218</v>
      </c>
      <c r="B6969" s="3" t="s">
        <v>11899</v>
      </c>
      <c r="C6969" s="5" t="s">
        <v>36</v>
      </c>
      <c r="D6969" s="5" t="s">
        <v>36</v>
      </c>
      <c r="E6969" s="5" t="s">
        <v>36</v>
      </c>
      <c r="F6969" s="5" t="s">
        <v>36</v>
      </c>
      <c r="G6969" s="6" t="s">
        <v>36</v>
      </c>
      <c r="H6969" s="4">
        <v>1841.79</v>
      </c>
      <c r="I6969" s="7">
        <v>31</v>
      </c>
      <c r="J6969" s="3" t="s">
        <v>521</v>
      </c>
      <c r="K6969" s="9" t="s">
        <v>36</v>
      </c>
      <c r="L6969" s="6" t="s">
        <v>122</v>
      </c>
      <c r="M6969" s="3" t="s">
        <v>36</v>
      </c>
      <c r="N6969" s="3" t="s">
        <v>122</v>
      </c>
      <c r="O6969" s="8" t="s">
        <v>36</v>
      </c>
      <c r="P6969" s="3" t="s">
        <v>36</v>
      </c>
      <c r="Q6969" s="3" t="s">
        <v>36</v>
      </c>
      <c r="R6969" s="3" t="s">
        <v>36</v>
      </c>
      <c r="S6969" s="3" t="s">
        <v>11900</v>
      </c>
      <c r="T6969" s="3" t="s">
        <v>1260</v>
      </c>
      <c r="U6969" s="3" t="s">
        <v>38</v>
      </c>
      <c r="V6969" s="3" t="s">
        <v>39</v>
      </c>
      <c r="W6969" s="3" t="s">
        <v>11901</v>
      </c>
      <c r="X6969" s="10" t="s">
        <v>31219</v>
      </c>
      <c r="Y6969" s="6" t="s">
        <v>42</v>
      </c>
      <c r="Z6969" s="4">
        <v>1.24</v>
      </c>
      <c r="AA6969" s="4">
        <v>3.27</v>
      </c>
      <c r="AB6969" s="3" t="s">
        <v>43</v>
      </c>
      <c r="AC6969" s="3" t="s">
        <v>11903</v>
      </c>
      <c r="AD6969" s="9">
        <v>42305</v>
      </c>
      <c r="AE6969" s="3" t="s">
        <v>110</v>
      </c>
      <c r="AF6969" s="3" t="s">
        <v>3040</v>
      </c>
      <c r="AG6969" s="3" t="s">
        <v>81</v>
      </c>
      <c r="AH6969" s="11">
        <f>HYPERLINK("https://my.pitchbook.com?c=60695-92T","View Company Online")</f>
      </c>
    </row>
    <row r="6970">
      <c r="A6970" s="12" t="s">
        <v>31220</v>
      </c>
      <c r="B6970" s="12" t="s">
        <v>31221</v>
      </c>
      <c r="C6970" s="19">
        <v>1</v>
      </c>
      <c r="D6970" s="19" t="s">
        <v>36</v>
      </c>
      <c r="E6970" s="19">
        <v>2</v>
      </c>
      <c r="F6970" s="19">
        <v>3</v>
      </c>
      <c r="G6970" s="15" t="s">
        <v>326</v>
      </c>
      <c r="H6970" s="14">
        <v>41.54</v>
      </c>
      <c r="I6970" s="18">
        <v>7.62</v>
      </c>
      <c r="J6970" s="12" t="s">
        <v>521</v>
      </c>
      <c r="K6970" s="13" t="s">
        <v>36</v>
      </c>
      <c r="L6970" s="15" t="s">
        <v>36</v>
      </c>
      <c r="M6970" s="12" t="s">
        <v>36</v>
      </c>
      <c r="N6970" s="12" t="s">
        <v>36</v>
      </c>
      <c r="O6970" s="17" t="s">
        <v>36</v>
      </c>
      <c r="P6970" s="12" t="s">
        <v>36</v>
      </c>
      <c r="Q6970" s="12" t="s">
        <v>36</v>
      </c>
      <c r="R6970" s="12" t="s">
        <v>36</v>
      </c>
      <c r="S6970" s="12" t="s">
        <v>36</v>
      </c>
      <c r="T6970" s="12" t="s">
        <v>31222</v>
      </c>
      <c r="U6970" s="12" t="s">
        <v>74</v>
      </c>
      <c r="V6970" s="12" t="s">
        <v>75</v>
      </c>
      <c r="W6970" s="12" t="s">
        <v>31223</v>
      </c>
      <c r="X6970" s="16" t="s">
        <v>18390</v>
      </c>
      <c r="Y6970" s="15" t="s">
        <v>42</v>
      </c>
      <c r="Z6970" s="14">
        <v>0.35</v>
      </c>
      <c r="AA6970" s="14">
        <v>4.58</v>
      </c>
      <c r="AB6970" s="12" t="s">
        <v>56</v>
      </c>
      <c r="AC6970" s="12" t="s">
        <v>31224</v>
      </c>
      <c r="AD6970" s="13">
        <v>42305</v>
      </c>
      <c r="AE6970" s="12" t="s">
        <v>79</v>
      </c>
      <c r="AF6970" s="12" t="s">
        <v>1636</v>
      </c>
      <c r="AG6970" s="12" t="s">
        <v>81</v>
      </c>
      <c r="AH6970" s="1">
        <f>HYPERLINK("https://my.pitchbook.com?c=80147-80T","View Company Online")</f>
      </c>
    </row>
    <row r="6971">
      <c r="A6971" s="3" t="s">
        <v>31225</v>
      </c>
      <c r="B6971" s="3" t="s">
        <v>23576</v>
      </c>
      <c r="C6971" s="5" t="s">
        <v>36</v>
      </c>
      <c r="D6971" s="5" t="s">
        <v>36</v>
      </c>
      <c r="E6971" s="5" t="s">
        <v>36</v>
      </c>
      <c r="F6971" s="5" t="s">
        <v>36</v>
      </c>
      <c r="G6971" s="6" t="s">
        <v>36</v>
      </c>
      <c r="H6971" s="4" t="s">
        <v>36</v>
      </c>
      <c r="I6971" s="7" t="s">
        <v>36</v>
      </c>
      <c r="J6971" s="3" t="s">
        <v>36</v>
      </c>
      <c r="K6971" s="9" t="s">
        <v>36</v>
      </c>
      <c r="L6971" s="6" t="s">
        <v>36</v>
      </c>
      <c r="M6971" s="3" t="s">
        <v>36</v>
      </c>
      <c r="N6971" s="3" t="s">
        <v>36</v>
      </c>
      <c r="O6971" s="8" t="s">
        <v>36</v>
      </c>
      <c r="P6971" s="3" t="s">
        <v>36</v>
      </c>
      <c r="Q6971" s="3" t="s">
        <v>36</v>
      </c>
      <c r="R6971" s="3" t="s">
        <v>36</v>
      </c>
      <c r="S6971" s="3" t="s">
        <v>36</v>
      </c>
      <c r="T6971" s="3" t="s">
        <v>464</v>
      </c>
      <c r="U6971" s="3" t="s">
        <v>38</v>
      </c>
      <c r="V6971" s="3" t="s">
        <v>39</v>
      </c>
      <c r="W6971" s="3" t="s">
        <v>23577</v>
      </c>
      <c r="X6971" s="10" t="s">
        <v>31226</v>
      </c>
      <c r="Y6971" s="6" t="s">
        <v>166</v>
      </c>
      <c r="Z6971" s="4">
        <v>28.11</v>
      </c>
      <c r="AA6971" s="4" t="s">
        <v>36</v>
      </c>
      <c r="AB6971" s="3" t="s">
        <v>56</v>
      </c>
      <c r="AC6971" s="3" t="s">
        <v>23579</v>
      </c>
      <c r="AD6971" s="9">
        <v>42304</v>
      </c>
      <c r="AE6971" s="3" t="s">
        <v>110</v>
      </c>
      <c r="AF6971" s="3" t="s">
        <v>19562</v>
      </c>
      <c r="AG6971" s="3" t="s">
        <v>2760</v>
      </c>
      <c r="AH6971" s="11">
        <f>HYPERLINK("https://my.pitchbook.com?c=59869-00T","View Company Online")</f>
      </c>
    </row>
    <row r="6972">
      <c r="A6972" s="12" t="s">
        <v>31227</v>
      </c>
      <c r="B6972" s="12" t="s">
        <v>31228</v>
      </c>
      <c r="C6972" s="19" t="s">
        <v>36</v>
      </c>
      <c r="D6972" s="19">
        <v>1</v>
      </c>
      <c r="E6972" s="19">
        <v>2</v>
      </c>
      <c r="F6972" s="19">
        <v>4</v>
      </c>
      <c r="G6972" s="15" t="s">
        <v>36</v>
      </c>
      <c r="H6972" s="14" t="s">
        <v>36</v>
      </c>
      <c r="I6972" s="18" t="s">
        <v>36</v>
      </c>
      <c r="J6972" s="12" t="s">
        <v>36</v>
      </c>
      <c r="K6972" s="13" t="s">
        <v>36</v>
      </c>
      <c r="L6972" s="15" t="s">
        <v>36</v>
      </c>
      <c r="M6972" s="12" t="s">
        <v>36</v>
      </c>
      <c r="N6972" s="12" t="s">
        <v>36</v>
      </c>
      <c r="O6972" s="17" t="s">
        <v>36</v>
      </c>
      <c r="P6972" s="12" t="s">
        <v>36</v>
      </c>
      <c r="Q6972" s="12" t="s">
        <v>36</v>
      </c>
      <c r="R6972" s="12" t="s">
        <v>36</v>
      </c>
      <c r="S6972" s="12" t="s">
        <v>36</v>
      </c>
      <c r="T6972" s="12" t="s">
        <v>22674</v>
      </c>
      <c r="U6972" s="12" t="s">
        <v>833</v>
      </c>
      <c r="V6972" s="12" t="s">
        <v>64</v>
      </c>
      <c r="W6972" s="12" t="s">
        <v>31229</v>
      </c>
      <c r="X6972" s="16" t="s">
        <v>31230</v>
      </c>
      <c r="Y6972" s="15" t="s">
        <v>42</v>
      </c>
      <c r="Z6972" s="14">
        <v>2.82</v>
      </c>
      <c r="AA6972" s="14" t="s">
        <v>36</v>
      </c>
      <c r="AB6972" s="12" t="s">
        <v>43</v>
      </c>
      <c r="AC6972" s="12" t="s">
        <v>31231</v>
      </c>
      <c r="AD6972" s="13">
        <v>42301</v>
      </c>
      <c r="AE6972" s="12" t="s">
        <v>837</v>
      </c>
      <c r="AF6972" s="12" t="s">
        <v>10379</v>
      </c>
      <c r="AG6972" s="12" t="s">
        <v>1078</v>
      </c>
      <c r="AH6972" s="1">
        <f>HYPERLINK("https://my.pitchbook.com?c=73890-64T","View Company Online")</f>
      </c>
    </row>
    <row r="6973">
      <c r="A6973" s="3" t="s">
        <v>31232</v>
      </c>
      <c r="B6973" s="3" t="s">
        <v>30765</v>
      </c>
      <c r="C6973" s="5" t="s">
        <v>36</v>
      </c>
      <c r="D6973" s="5" t="s">
        <v>36</v>
      </c>
      <c r="E6973" s="5" t="s">
        <v>36</v>
      </c>
      <c r="F6973" s="5" t="s">
        <v>36</v>
      </c>
      <c r="G6973" s="6" t="s">
        <v>36</v>
      </c>
      <c r="H6973" s="4">
        <v>2265.97</v>
      </c>
      <c r="I6973" s="7">
        <v>18.32</v>
      </c>
      <c r="J6973" s="3" t="s">
        <v>521</v>
      </c>
      <c r="K6973" s="9" t="s">
        <v>36</v>
      </c>
      <c r="L6973" s="6" t="s">
        <v>94</v>
      </c>
      <c r="M6973" s="3" t="s">
        <v>36</v>
      </c>
      <c r="N6973" s="3" t="s">
        <v>94</v>
      </c>
      <c r="O6973" s="8" t="s">
        <v>36</v>
      </c>
      <c r="P6973" s="3" t="s">
        <v>36</v>
      </c>
      <c r="Q6973" s="3" t="s">
        <v>36</v>
      </c>
      <c r="R6973" s="3" t="s">
        <v>36</v>
      </c>
      <c r="S6973" s="3" t="s">
        <v>36</v>
      </c>
      <c r="T6973" s="3" t="s">
        <v>30766</v>
      </c>
      <c r="U6973" s="3" t="s">
        <v>289</v>
      </c>
      <c r="V6973" s="3" t="s">
        <v>64</v>
      </c>
      <c r="W6973" s="3" t="s">
        <v>30767</v>
      </c>
      <c r="X6973" s="10" t="s">
        <v>31233</v>
      </c>
      <c r="Y6973" s="6" t="s">
        <v>42</v>
      </c>
      <c r="Z6973" s="4">
        <v>0.39</v>
      </c>
      <c r="AA6973" s="4">
        <v>2.11</v>
      </c>
      <c r="AB6973" s="3" t="s">
        <v>43</v>
      </c>
      <c r="AC6973" s="3" t="s">
        <v>30769</v>
      </c>
      <c r="AD6973" s="9">
        <v>42300</v>
      </c>
      <c r="AE6973" s="3" t="s">
        <v>292</v>
      </c>
      <c r="AF6973" s="3" t="s">
        <v>90</v>
      </c>
      <c r="AG6973" s="3" t="s">
        <v>2534</v>
      </c>
      <c r="AH6973" s="11">
        <f>HYPERLINK("https://my.pitchbook.com?c=81477-37T","View Company Online")</f>
      </c>
    </row>
    <row r="6974">
      <c r="A6974" s="12" t="s">
        <v>31234</v>
      </c>
      <c r="B6974" s="12" t="s">
        <v>13545</v>
      </c>
      <c r="C6974" s="19">
        <v>2</v>
      </c>
      <c r="D6974" s="19">
        <v>2</v>
      </c>
      <c r="E6974" s="19">
        <v>4</v>
      </c>
      <c r="F6974" s="19">
        <v>6</v>
      </c>
      <c r="G6974" s="15" t="s">
        <v>326</v>
      </c>
      <c r="H6974" s="14">
        <v>20.28</v>
      </c>
      <c r="I6974" s="18">
        <v>17</v>
      </c>
      <c r="J6974" s="12" t="s">
        <v>521</v>
      </c>
      <c r="K6974" s="13" t="s">
        <v>36</v>
      </c>
      <c r="L6974" s="15" t="s">
        <v>36</v>
      </c>
      <c r="M6974" s="12" t="s">
        <v>36</v>
      </c>
      <c r="N6974" s="12" t="s">
        <v>36</v>
      </c>
      <c r="O6974" s="17" t="s">
        <v>36</v>
      </c>
      <c r="P6974" s="12" t="s">
        <v>36</v>
      </c>
      <c r="Q6974" s="12" t="s">
        <v>36</v>
      </c>
      <c r="R6974" s="12" t="s">
        <v>36</v>
      </c>
      <c r="S6974" s="12" t="s">
        <v>36</v>
      </c>
      <c r="T6974" s="12" t="s">
        <v>13546</v>
      </c>
      <c r="U6974" s="12" t="s">
        <v>85</v>
      </c>
      <c r="V6974" s="12" t="s">
        <v>64</v>
      </c>
      <c r="W6974" s="12" t="s">
        <v>13547</v>
      </c>
      <c r="X6974" s="16" t="s">
        <v>8584</v>
      </c>
      <c r="Y6974" s="15" t="s">
        <v>42</v>
      </c>
      <c r="Z6974" s="14">
        <v>1.13</v>
      </c>
      <c r="AA6974" s="14">
        <v>6.63</v>
      </c>
      <c r="AB6974" s="12" t="s">
        <v>56</v>
      </c>
      <c r="AC6974" s="12" t="s">
        <v>13549</v>
      </c>
      <c r="AD6974" s="13">
        <v>42300</v>
      </c>
      <c r="AE6974" s="12" t="s">
        <v>89</v>
      </c>
      <c r="AF6974" s="12" t="s">
        <v>13550</v>
      </c>
      <c r="AG6974" s="12" t="s">
        <v>81</v>
      </c>
      <c r="AH6974" s="1">
        <f>HYPERLINK("https://my.pitchbook.com?c=193227-67T","View Company Online")</f>
      </c>
    </row>
    <row r="6975">
      <c r="A6975" s="3" t="s">
        <v>31235</v>
      </c>
      <c r="B6975" s="3" t="s">
        <v>31236</v>
      </c>
      <c r="C6975" s="5">
        <v>1</v>
      </c>
      <c r="D6975" s="5">
        <v>8</v>
      </c>
      <c r="E6975" s="5">
        <v>6</v>
      </c>
      <c r="F6975" s="5">
        <v>22</v>
      </c>
      <c r="G6975" s="6" t="s">
        <v>36</v>
      </c>
      <c r="H6975" s="4">
        <v>13.89</v>
      </c>
      <c r="I6975" s="7">
        <v>22.8</v>
      </c>
      <c r="J6975" s="3" t="s">
        <v>521</v>
      </c>
      <c r="K6975" s="9">
        <v>42036</v>
      </c>
      <c r="L6975" s="6" t="s">
        <v>36</v>
      </c>
      <c r="M6975" s="3" t="s">
        <v>36</v>
      </c>
      <c r="N6975" s="3" t="s">
        <v>36</v>
      </c>
      <c r="O6975" s="8" t="s">
        <v>36</v>
      </c>
      <c r="P6975" s="3" t="s">
        <v>36</v>
      </c>
      <c r="Q6975" s="3" t="s">
        <v>36</v>
      </c>
      <c r="R6975" s="3" t="s">
        <v>36</v>
      </c>
      <c r="S6975" s="3" t="s">
        <v>36</v>
      </c>
      <c r="T6975" s="3" t="s">
        <v>2213</v>
      </c>
      <c r="U6975" s="3" t="s">
        <v>219</v>
      </c>
      <c r="V6975" s="3" t="s">
        <v>75</v>
      </c>
      <c r="W6975" s="3" t="s">
        <v>31237</v>
      </c>
      <c r="X6975" s="10" t="s">
        <v>31238</v>
      </c>
      <c r="Y6975" s="6" t="s">
        <v>108</v>
      </c>
      <c r="Z6975" s="4">
        <v>1.45</v>
      </c>
      <c r="AA6975" s="4">
        <v>6.38</v>
      </c>
      <c r="AB6975" s="3" t="s">
        <v>56</v>
      </c>
      <c r="AC6975" s="3" t="s">
        <v>31239</v>
      </c>
      <c r="AD6975" s="9">
        <v>42300</v>
      </c>
      <c r="AE6975" s="3" t="s">
        <v>1912</v>
      </c>
      <c r="AF6975" s="3" t="s">
        <v>31240</v>
      </c>
      <c r="AG6975" s="3" t="s">
        <v>652</v>
      </c>
      <c r="AH6975" s="11">
        <f>HYPERLINK("https://my.pitchbook.com?c=46152-64T","View Company Online")</f>
      </c>
    </row>
    <row r="6976">
      <c r="A6976" s="12" t="s">
        <v>31241</v>
      </c>
      <c r="B6976" s="12" t="s">
        <v>31242</v>
      </c>
      <c r="C6976" s="19" t="s">
        <v>36</v>
      </c>
      <c r="D6976" s="19" t="s">
        <v>36</v>
      </c>
      <c r="E6976" s="19" t="s">
        <v>36</v>
      </c>
      <c r="F6976" s="19" t="s">
        <v>36</v>
      </c>
      <c r="G6976" s="15" t="s">
        <v>683</v>
      </c>
      <c r="H6976" s="14">
        <v>22.85</v>
      </c>
      <c r="I6976" s="18">
        <v>23.57</v>
      </c>
      <c r="J6976" s="12" t="s">
        <v>521</v>
      </c>
      <c r="K6976" s="13" t="s">
        <v>36</v>
      </c>
      <c r="L6976" s="15" t="s">
        <v>36</v>
      </c>
      <c r="M6976" s="12" t="s">
        <v>36</v>
      </c>
      <c r="N6976" s="12" t="s">
        <v>36</v>
      </c>
      <c r="O6976" s="17" t="s">
        <v>36</v>
      </c>
      <c r="P6976" s="12" t="s">
        <v>36</v>
      </c>
      <c r="Q6976" s="12" t="s">
        <v>36</v>
      </c>
      <c r="R6976" s="12" t="s">
        <v>36</v>
      </c>
      <c r="S6976" s="12" t="s">
        <v>36</v>
      </c>
      <c r="T6976" s="12" t="s">
        <v>31243</v>
      </c>
      <c r="U6976" s="12" t="s">
        <v>74</v>
      </c>
      <c r="V6976" s="12" t="s">
        <v>75</v>
      </c>
      <c r="W6976" s="12" t="s">
        <v>31244</v>
      </c>
      <c r="X6976" s="16" t="s">
        <v>8727</v>
      </c>
      <c r="Y6976" s="15" t="s">
        <v>108</v>
      </c>
      <c r="Z6976" s="14">
        <v>0.43</v>
      </c>
      <c r="AA6976" s="14">
        <v>1.82</v>
      </c>
      <c r="AB6976" s="12" t="s">
        <v>56</v>
      </c>
      <c r="AC6976" s="12" t="s">
        <v>31245</v>
      </c>
      <c r="AD6976" s="13">
        <v>42299</v>
      </c>
      <c r="AE6976" s="12" t="s">
        <v>79</v>
      </c>
      <c r="AF6976" s="12" t="s">
        <v>1969</v>
      </c>
      <c r="AG6976" s="12" t="s">
        <v>4172</v>
      </c>
      <c r="AH6976" s="1">
        <f>HYPERLINK("https://my.pitchbook.com?c=187944-04T","View Company Online")</f>
      </c>
    </row>
    <row r="6977">
      <c r="A6977" s="3" t="s">
        <v>31246</v>
      </c>
      <c r="B6977" s="3" t="s">
        <v>31247</v>
      </c>
      <c r="C6977" s="5" t="s">
        <v>36</v>
      </c>
      <c r="D6977" s="5" t="s">
        <v>36</v>
      </c>
      <c r="E6977" s="5" t="s">
        <v>36</v>
      </c>
      <c r="F6977" s="5" t="s">
        <v>36</v>
      </c>
      <c r="G6977" s="6" t="s">
        <v>36</v>
      </c>
      <c r="H6977" s="4" t="s">
        <v>36</v>
      </c>
      <c r="I6977" s="7" t="s">
        <v>36</v>
      </c>
      <c r="J6977" s="3" t="s">
        <v>36</v>
      </c>
      <c r="K6977" s="9" t="s">
        <v>36</v>
      </c>
      <c r="L6977" s="6" t="s">
        <v>36</v>
      </c>
      <c r="M6977" s="3" t="s">
        <v>36</v>
      </c>
      <c r="N6977" s="3" t="s">
        <v>36</v>
      </c>
      <c r="O6977" s="8" t="s">
        <v>36</v>
      </c>
      <c r="P6977" s="3" t="s">
        <v>36</v>
      </c>
      <c r="Q6977" s="3" t="s">
        <v>36</v>
      </c>
      <c r="R6977" s="3" t="s">
        <v>36</v>
      </c>
      <c r="S6977" s="3" t="s">
        <v>36</v>
      </c>
      <c r="T6977" s="3" t="s">
        <v>2114</v>
      </c>
      <c r="U6977" s="3" t="s">
        <v>289</v>
      </c>
      <c r="V6977" s="3" t="s">
        <v>64</v>
      </c>
      <c r="W6977" s="3" t="s">
        <v>31248</v>
      </c>
      <c r="X6977" s="10" t="s">
        <v>31249</v>
      </c>
      <c r="Y6977" s="6" t="s">
        <v>108</v>
      </c>
      <c r="Z6977" s="4">
        <v>5.03</v>
      </c>
      <c r="AA6977" s="4" t="s">
        <v>36</v>
      </c>
      <c r="AB6977" s="3" t="s">
        <v>56</v>
      </c>
      <c r="AC6977" s="3" t="s">
        <v>31250</v>
      </c>
      <c r="AD6977" s="9">
        <v>42299</v>
      </c>
      <c r="AE6977" s="3" t="s">
        <v>292</v>
      </c>
      <c r="AF6977" s="3" t="s">
        <v>90</v>
      </c>
      <c r="AG6977" s="3" t="s">
        <v>144</v>
      </c>
      <c r="AH6977" s="11">
        <f>HYPERLINK("https://my.pitchbook.com?c=67795-66T","View Company Online")</f>
      </c>
    </row>
    <row r="6978">
      <c r="A6978" s="12" t="s">
        <v>31251</v>
      </c>
      <c r="B6978" s="12" t="s">
        <v>25076</v>
      </c>
      <c r="C6978" s="19" t="s">
        <v>36</v>
      </c>
      <c r="D6978" s="19" t="s">
        <v>36</v>
      </c>
      <c r="E6978" s="19" t="s">
        <v>36</v>
      </c>
      <c r="F6978" s="19" t="s">
        <v>36</v>
      </c>
      <c r="G6978" s="15" t="s">
        <v>326</v>
      </c>
      <c r="H6978" s="14">
        <v>52.97</v>
      </c>
      <c r="I6978" s="18">
        <v>3.47</v>
      </c>
      <c r="J6978" s="12" t="s">
        <v>327</v>
      </c>
      <c r="K6978" s="13">
        <v>42076</v>
      </c>
      <c r="L6978" s="15" t="s">
        <v>36</v>
      </c>
      <c r="M6978" s="12" t="s">
        <v>36</v>
      </c>
      <c r="N6978" s="12" t="s">
        <v>36</v>
      </c>
      <c r="O6978" s="17" t="s">
        <v>36</v>
      </c>
      <c r="P6978" s="12" t="s">
        <v>36</v>
      </c>
      <c r="Q6978" s="12" t="s">
        <v>36</v>
      </c>
      <c r="R6978" s="12" t="s">
        <v>36</v>
      </c>
      <c r="S6978" s="12" t="s">
        <v>36</v>
      </c>
      <c r="T6978" s="12" t="s">
        <v>16221</v>
      </c>
      <c r="U6978" s="12" t="s">
        <v>38</v>
      </c>
      <c r="V6978" s="12" t="s">
        <v>39</v>
      </c>
      <c r="W6978" s="12" t="s">
        <v>25077</v>
      </c>
      <c r="X6978" s="16" t="s">
        <v>21850</v>
      </c>
      <c r="Y6978" s="15" t="s">
        <v>108</v>
      </c>
      <c r="Z6978" s="14">
        <v>0.52</v>
      </c>
      <c r="AA6978" s="14">
        <v>3.26</v>
      </c>
      <c r="AB6978" s="12" t="s">
        <v>43</v>
      </c>
      <c r="AC6978" s="12" t="s">
        <v>25079</v>
      </c>
      <c r="AD6978" s="13">
        <v>42298</v>
      </c>
      <c r="AE6978" s="12" t="s">
        <v>110</v>
      </c>
      <c r="AF6978" s="12" t="s">
        <v>25080</v>
      </c>
      <c r="AG6978" s="12" t="s">
        <v>25081</v>
      </c>
      <c r="AH6978" s="1">
        <f>HYPERLINK("https://my.pitchbook.com?c=113810-95T","View Company Online")</f>
      </c>
    </row>
    <row r="6979">
      <c r="A6979" s="3" t="s">
        <v>31252</v>
      </c>
      <c r="B6979" s="3" t="s">
        <v>26060</v>
      </c>
      <c r="C6979" s="5" t="s">
        <v>36</v>
      </c>
      <c r="D6979" s="5" t="s">
        <v>36</v>
      </c>
      <c r="E6979" s="5" t="s">
        <v>36</v>
      </c>
      <c r="F6979" s="5" t="s">
        <v>36</v>
      </c>
      <c r="G6979" s="6" t="s">
        <v>326</v>
      </c>
      <c r="H6979" s="4">
        <v>396.4</v>
      </c>
      <c r="I6979" s="7">
        <v>21.77</v>
      </c>
      <c r="J6979" s="3" t="s">
        <v>521</v>
      </c>
      <c r="K6979" s="9" t="s">
        <v>36</v>
      </c>
      <c r="L6979" s="6" t="s">
        <v>36</v>
      </c>
      <c r="M6979" s="3" t="s">
        <v>36</v>
      </c>
      <c r="N6979" s="3" t="s">
        <v>36</v>
      </c>
      <c r="O6979" s="8" t="s">
        <v>36</v>
      </c>
      <c r="P6979" s="3" t="s">
        <v>36</v>
      </c>
      <c r="Q6979" s="3" t="s">
        <v>36</v>
      </c>
      <c r="R6979" s="3" t="s">
        <v>36</v>
      </c>
      <c r="S6979" s="3" t="s">
        <v>36</v>
      </c>
      <c r="T6979" s="3" t="s">
        <v>24032</v>
      </c>
      <c r="U6979" s="3" t="s">
        <v>279</v>
      </c>
      <c r="V6979" s="3" t="s">
        <v>64</v>
      </c>
      <c r="W6979" s="3" t="s">
        <v>26061</v>
      </c>
      <c r="X6979" s="10" t="s">
        <v>26062</v>
      </c>
      <c r="Y6979" s="6" t="s">
        <v>42</v>
      </c>
      <c r="Z6979" s="4">
        <v>1.88</v>
      </c>
      <c r="AA6979" s="4">
        <v>8.65</v>
      </c>
      <c r="AB6979" s="3" t="s">
        <v>43</v>
      </c>
      <c r="AC6979" s="3" t="s">
        <v>26063</v>
      </c>
      <c r="AD6979" s="9">
        <v>42297</v>
      </c>
      <c r="AE6979" s="3" t="s">
        <v>283</v>
      </c>
      <c r="AF6979" s="3" t="s">
        <v>815</v>
      </c>
      <c r="AG6979" s="3" t="s">
        <v>16271</v>
      </c>
      <c r="AH6979" s="11">
        <f>HYPERLINK("https://my.pitchbook.com?c=190947-97T","View Company Online")</f>
      </c>
    </row>
    <row r="6980">
      <c r="A6980" s="12" t="s">
        <v>31253</v>
      </c>
      <c r="B6980" s="12" t="s">
        <v>31249</v>
      </c>
      <c r="C6980" s="19" t="s">
        <v>36</v>
      </c>
      <c r="D6980" s="19" t="s">
        <v>36</v>
      </c>
      <c r="E6980" s="19" t="s">
        <v>36</v>
      </c>
      <c r="F6980" s="19" t="s">
        <v>36</v>
      </c>
      <c r="G6980" s="15" t="s">
        <v>36</v>
      </c>
      <c r="H6980" s="14" t="s">
        <v>36</v>
      </c>
      <c r="I6980" s="18" t="s">
        <v>36</v>
      </c>
      <c r="J6980" s="12" t="s">
        <v>36</v>
      </c>
      <c r="K6980" s="13" t="s">
        <v>36</v>
      </c>
      <c r="L6980" s="15" t="s">
        <v>36</v>
      </c>
      <c r="M6980" s="12" t="s">
        <v>36</v>
      </c>
      <c r="N6980" s="12" t="s">
        <v>36</v>
      </c>
      <c r="O6980" s="17" t="s">
        <v>36</v>
      </c>
      <c r="P6980" s="12" t="s">
        <v>36</v>
      </c>
      <c r="Q6980" s="12" t="s">
        <v>36</v>
      </c>
      <c r="R6980" s="12" t="s">
        <v>36</v>
      </c>
      <c r="S6980" s="12" t="s">
        <v>36</v>
      </c>
      <c r="T6980" s="12" t="s">
        <v>31254</v>
      </c>
      <c r="U6980" s="12" t="s">
        <v>648</v>
      </c>
      <c r="V6980" s="12" t="s">
        <v>64</v>
      </c>
      <c r="W6980" s="12" t="s">
        <v>31255</v>
      </c>
      <c r="X6980" s="16" t="s">
        <v>31256</v>
      </c>
      <c r="Y6980" s="15" t="s">
        <v>108</v>
      </c>
      <c r="Z6980" s="14">
        <v>19.16</v>
      </c>
      <c r="AA6980" s="14" t="s">
        <v>36</v>
      </c>
      <c r="AB6980" s="12" t="s">
        <v>43</v>
      </c>
      <c r="AC6980" s="12" t="s">
        <v>31257</v>
      </c>
      <c r="AD6980" s="13">
        <v>42296</v>
      </c>
      <c r="AE6980" s="12" t="s">
        <v>651</v>
      </c>
      <c r="AF6980" s="12" t="s">
        <v>22393</v>
      </c>
      <c r="AG6980" s="12" t="s">
        <v>31258</v>
      </c>
      <c r="AH6980" s="1">
        <f>HYPERLINK("https://my.pitchbook.com?c=50479-57T","View Company Online")</f>
      </c>
    </row>
    <row r="6981">
      <c r="A6981" s="3" t="s">
        <v>31259</v>
      </c>
      <c r="B6981" s="3" t="s">
        <v>31260</v>
      </c>
      <c r="C6981" s="5">
        <v>1</v>
      </c>
      <c r="D6981" s="5" t="s">
        <v>36</v>
      </c>
      <c r="E6981" s="5">
        <v>1</v>
      </c>
      <c r="F6981" s="5">
        <v>4</v>
      </c>
      <c r="G6981" s="6" t="s">
        <v>36</v>
      </c>
      <c r="H6981" s="4" t="s">
        <v>36</v>
      </c>
      <c r="I6981" s="7" t="s">
        <v>36</v>
      </c>
      <c r="J6981" s="3" t="s">
        <v>36</v>
      </c>
      <c r="K6981" s="9" t="s">
        <v>36</v>
      </c>
      <c r="L6981" s="6" t="s">
        <v>36</v>
      </c>
      <c r="M6981" s="3" t="s">
        <v>36</v>
      </c>
      <c r="N6981" s="3" t="s">
        <v>36</v>
      </c>
      <c r="O6981" s="8" t="s">
        <v>36</v>
      </c>
      <c r="P6981" s="3" t="s">
        <v>36</v>
      </c>
      <c r="Q6981" s="3" t="s">
        <v>36</v>
      </c>
      <c r="R6981" s="3" t="s">
        <v>36</v>
      </c>
      <c r="S6981" s="3" t="s">
        <v>36</v>
      </c>
      <c r="T6981" s="3" t="s">
        <v>26693</v>
      </c>
      <c r="U6981" s="3" t="s">
        <v>728</v>
      </c>
      <c r="V6981" s="3" t="s">
        <v>64</v>
      </c>
      <c r="W6981" s="3" t="s">
        <v>31261</v>
      </c>
      <c r="X6981" s="10" t="s">
        <v>31262</v>
      </c>
      <c r="Y6981" s="6" t="s">
        <v>108</v>
      </c>
      <c r="Z6981" s="4" t="s">
        <v>36</v>
      </c>
      <c r="AA6981" s="4" t="s">
        <v>36</v>
      </c>
      <c r="AB6981" s="3" t="s">
        <v>56</v>
      </c>
      <c r="AC6981" s="3" t="s">
        <v>31263</v>
      </c>
      <c r="AD6981" s="9">
        <v>42294</v>
      </c>
      <c r="AE6981" s="3" t="s">
        <v>2154</v>
      </c>
      <c r="AF6981" s="3" t="s">
        <v>36</v>
      </c>
      <c r="AG6981" s="3" t="s">
        <v>81</v>
      </c>
      <c r="AH6981" s="11">
        <f>HYPERLINK("https://my.pitchbook.com?c=131657-50T","View Company Online")</f>
      </c>
    </row>
    <row r="6982">
      <c r="A6982" s="12" t="s">
        <v>31264</v>
      </c>
      <c r="B6982" s="12" t="s">
        <v>31265</v>
      </c>
      <c r="C6982" s="19">
        <v>5</v>
      </c>
      <c r="D6982" s="19">
        <v>35</v>
      </c>
      <c r="E6982" s="19">
        <v>13</v>
      </c>
      <c r="F6982" s="19">
        <v>51</v>
      </c>
      <c r="G6982" s="15" t="s">
        <v>326</v>
      </c>
      <c r="H6982" s="14">
        <v>1.17</v>
      </c>
      <c r="I6982" s="18">
        <v>6.5</v>
      </c>
      <c r="J6982" s="12" t="s">
        <v>521</v>
      </c>
      <c r="K6982" s="13" t="s">
        <v>36</v>
      </c>
      <c r="L6982" s="15" t="s">
        <v>36</v>
      </c>
      <c r="M6982" s="12" t="s">
        <v>36</v>
      </c>
      <c r="N6982" s="12" t="s">
        <v>36</v>
      </c>
      <c r="O6982" s="17" t="s">
        <v>36</v>
      </c>
      <c r="P6982" s="12" t="s">
        <v>36</v>
      </c>
      <c r="Q6982" s="12" t="s">
        <v>36</v>
      </c>
      <c r="R6982" s="12" t="s">
        <v>36</v>
      </c>
      <c r="S6982" s="12" t="s">
        <v>36</v>
      </c>
      <c r="T6982" s="12" t="s">
        <v>31266</v>
      </c>
      <c r="U6982" s="12" t="s">
        <v>1580</v>
      </c>
      <c r="V6982" s="12" t="s">
        <v>39</v>
      </c>
      <c r="W6982" s="12" t="s">
        <v>31267</v>
      </c>
      <c r="X6982" s="16" t="s">
        <v>31268</v>
      </c>
      <c r="Y6982" s="15" t="s">
        <v>108</v>
      </c>
      <c r="Z6982" s="14">
        <v>0.37</v>
      </c>
      <c r="AA6982" s="14">
        <v>5.63</v>
      </c>
      <c r="AB6982" s="12" t="s">
        <v>56</v>
      </c>
      <c r="AC6982" s="12" t="s">
        <v>31269</v>
      </c>
      <c r="AD6982" s="13">
        <v>42293</v>
      </c>
      <c r="AE6982" s="12" t="s">
        <v>4086</v>
      </c>
      <c r="AF6982" s="12" t="s">
        <v>18965</v>
      </c>
      <c r="AG6982" s="12" t="s">
        <v>81</v>
      </c>
      <c r="AH6982" s="1">
        <f>HYPERLINK("https://my.pitchbook.com?c=92727-37T","View Company Online")</f>
      </c>
    </row>
    <row r="6983">
      <c r="A6983" s="3" t="s">
        <v>31270</v>
      </c>
      <c r="B6983" s="3" t="s">
        <v>27833</v>
      </c>
      <c r="C6983" s="5" t="s">
        <v>36</v>
      </c>
      <c r="D6983" s="5" t="s">
        <v>36</v>
      </c>
      <c r="E6983" s="5" t="s">
        <v>36</v>
      </c>
      <c r="F6983" s="5" t="s">
        <v>36</v>
      </c>
      <c r="G6983" s="6" t="s">
        <v>326</v>
      </c>
      <c r="H6983" s="4">
        <v>4.33</v>
      </c>
      <c r="I6983" s="7">
        <v>27.39</v>
      </c>
      <c r="J6983" s="3" t="s">
        <v>521</v>
      </c>
      <c r="K6983" s="9">
        <v>41913</v>
      </c>
      <c r="L6983" s="6" t="s">
        <v>36</v>
      </c>
      <c r="M6983" s="3" t="s">
        <v>36</v>
      </c>
      <c r="N6983" s="3" t="s">
        <v>36</v>
      </c>
      <c r="O6983" s="8" t="s">
        <v>36</v>
      </c>
      <c r="P6983" s="3" t="s">
        <v>36</v>
      </c>
      <c r="Q6983" s="3" t="s">
        <v>36</v>
      </c>
      <c r="R6983" s="3" t="s">
        <v>36</v>
      </c>
      <c r="S6983" s="3" t="s">
        <v>36</v>
      </c>
      <c r="T6983" s="3" t="s">
        <v>5302</v>
      </c>
      <c r="U6983" s="3" t="s">
        <v>74</v>
      </c>
      <c r="V6983" s="3" t="s">
        <v>75</v>
      </c>
      <c r="W6983" s="3" t="s">
        <v>27834</v>
      </c>
      <c r="X6983" s="10" t="s">
        <v>26950</v>
      </c>
      <c r="Y6983" s="6" t="s">
        <v>108</v>
      </c>
      <c r="Z6983" s="4">
        <v>2.81</v>
      </c>
      <c r="AA6983" s="4">
        <v>10.25</v>
      </c>
      <c r="AB6983" s="3" t="s">
        <v>43</v>
      </c>
      <c r="AC6983" s="3" t="s">
        <v>27836</v>
      </c>
      <c r="AD6983" s="9">
        <v>42291</v>
      </c>
      <c r="AE6983" s="3" t="s">
        <v>362</v>
      </c>
      <c r="AF6983" s="3" t="s">
        <v>27837</v>
      </c>
      <c r="AG6983" s="3" t="s">
        <v>81</v>
      </c>
      <c r="AH6983" s="11">
        <f>HYPERLINK("https://my.pitchbook.com?c=59288-14T","View Company Online")</f>
      </c>
    </row>
    <row r="6984">
      <c r="A6984" s="12" t="s">
        <v>31271</v>
      </c>
      <c r="B6984" s="12" t="s">
        <v>31272</v>
      </c>
      <c r="C6984" s="19">
        <v>1</v>
      </c>
      <c r="D6984" s="19">
        <v>9</v>
      </c>
      <c r="E6984" s="19">
        <v>4</v>
      </c>
      <c r="F6984" s="19">
        <v>12</v>
      </c>
      <c r="G6984" s="15" t="s">
        <v>36</v>
      </c>
      <c r="H6984" s="14" t="s">
        <v>36</v>
      </c>
      <c r="I6984" s="18">
        <v>19.01</v>
      </c>
      <c r="J6984" s="12" t="s">
        <v>327</v>
      </c>
      <c r="K6984" s="13" t="s">
        <v>36</v>
      </c>
      <c r="L6984" s="15" t="s">
        <v>36</v>
      </c>
      <c r="M6984" s="12" t="s">
        <v>36</v>
      </c>
      <c r="N6984" s="12" t="s">
        <v>36</v>
      </c>
      <c r="O6984" s="17" t="s">
        <v>36</v>
      </c>
      <c r="P6984" s="12" t="s">
        <v>36</v>
      </c>
      <c r="Q6984" s="12" t="s">
        <v>36</v>
      </c>
      <c r="R6984" s="12" t="s">
        <v>36</v>
      </c>
      <c r="S6984" s="12" t="s">
        <v>36</v>
      </c>
      <c r="T6984" s="12" t="s">
        <v>31273</v>
      </c>
      <c r="U6984" s="12" t="s">
        <v>38</v>
      </c>
      <c r="V6984" s="12" t="s">
        <v>39</v>
      </c>
      <c r="W6984" s="12" t="s">
        <v>31274</v>
      </c>
      <c r="X6984" s="16" t="s">
        <v>31275</v>
      </c>
      <c r="Y6984" s="15" t="s">
        <v>42</v>
      </c>
      <c r="Z6984" s="14">
        <v>0.9</v>
      </c>
      <c r="AA6984" s="14">
        <v>4.73</v>
      </c>
      <c r="AB6984" s="12" t="s">
        <v>56</v>
      </c>
      <c r="AC6984" s="12" t="s">
        <v>31276</v>
      </c>
      <c r="AD6984" s="13">
        <v>42290</v>
      </c>
      <c r="AE6984" s="12" t="s">
        <v>110</v>
      </c>
      <c r="AF6984" s="12" t="s">
        <v>16414</v>
      </c>
      <c r="AG6984" s="12" t="s">
        <v>652</v>
      </c>
      <c r="AH6984" s="1">
        <f>HYPERLINK("https://my.pitchbook.com?c=30271-33T","View Company Online")</f>
      </c>
    </row>
    <row r="6985">
      <c r="A6985" s="3" t="s">
        <v>31277</v>
      </c>
      <c r="B6985" s="3" t="s">
        <v>14052</v>
      </c>
      <c r="C6985" s="5" t="s">
        <v>36</v>
      </c>
      <c r="D6985" s="5" t="s">
        <v>36</v>
      </c>
      <c r="E6985" s="5" t="s">
        <v>36</v>
      </c>
      <c r="F6985" s="5" t="s">
        <v>36</v>
      </c>
      <c r="G6985" s="6" t="s">
        <v>36</v>
      </c>
      <c r="H6985" s="4">
        <v>161.22</v>
      </c>
      <c r="I6985" s="7">
        <v>24.32</v>
      </c>
      <c r="J6985" s="3" t="s">
        <v>327</v>
      </c>
      <c r="K6985" s="9" t="s">
        <v>36</v>
      </c>
      <c r="L6985" s="6" t="s">
        <v>36</v>
      </c>
      <c r="M6985" s="3" t="s">
        <v>36</v>
      </c>
      <c r="N6985" s="3" t="s">
        <v>36</v>
      </c>
      <c r="O6985" s="8" t="s">
        <v>36</v>
      </c>
      <c r="P6985" s="3" t="s">
        <v>36</v>
      </c>
      <c r="Q6985" s="3" t="s">
        <v>36</v>
      </c>
      <c r="R6985" s="3" t="s">
        <v>36</v>
      </c>
      <c r="S6985" s="3" t="s">
        <v>36</v>
      </c>
      <c r="T6985" s="3" t="s">
        <v>10669</v>
      </c>
      <c r="U6985" s="3" t="s">
        <v>38</v>
      </c>
      <c r="V6985" s="3" t="s">
        <v>39</v>
      </c>
      <c r="W6985" s="3" t="s">
        <v>14053</v>
      </c>
      <c r="X6985" s="10" t="s">
        <v>31278</v>
      </c>
      <c r="Y6985" s="6" t="s">
        <v>42</v>
      </c>
      <c r="Z6985" s="4">
        <v>0.56</v>
      </c>
      <c r="AA6985" s="4">
        <v>2.31</v>
      </c>
      <c r="AB6985" s="3" t="s">
        <v>43</v>
      </c>
      <c r="AC6985" s="3" t="s">
        <v>14055</v>
      </c>
      <c r="AD6985" s="9">
        <v>42290</v>
      </c>
      <c r="AE6985" s="3" t="s">
        <v>110</v>
      </c>
      <c r="AF6985" s="3" t="s">
        <v>14056</v>
      </c>
      <c r="AG6985" s="3" t="s">
        <v>81</v>
      </c>
      <c r="AH6985" s="11">
        <f>HYPERLINK("https://my.pitchbook.com?c=67282-93T","View Company Online")</f>
      </c>
    </row>
    <row r="6986">
      <c r="A6986" s="12" t="s">
        <v>31279</v>
      </c>
      <c r="B6986" s="12" t="s">
        <v>30708</v>
      </c>
      <c r="C6986" s="19" t="s">
        <v>36</v>
      </c>
      <c r="D6986" s="19" t="s">
        <v>36</v>
      </c>
      <c r="E6986" s="19" t="s">
        <v>36</v>
      </c>
      <c r="F6986" s="19" t="s">
        <v>36</v>
      </c>
      <c r="G6986" s="15" t="s">
        <v>36</v>
      </c>
      <c r="H6986" s="14">
        <v>103.86</v>
      </c>
      <c r="I6986" s="18">
        <v>50</v>
      </c>
      <c r="J6986" s="12" t="s">
        <v>521</v>
      </c>
      <c r="K6986" s="13" t="s">
        <v>36</v>
      </c>
      <c r="L6986" s="15" t="s">
        <v>36</v>
      </c>
      <c r="M6986" s="12" t="s">
        <v>36</v>
      </c>
      <c r="N6986" s="12" t="s">
        <v>36</v>
      </c>
      <c r="O6986" s="17" t="s">
        <v>36</v>
      </c>
      <c r="P6986" s="12" t="s">
        <v>36</v>
      </c>
      <c r="Q6986" s="12" t="s">
        <v>36</v>
      </c>
      <c r="R6986" s="12" t="s">
        <v>36</v>
      </c>
      <c r="S6986" s="12" t="s">
        <v>36</v>
      </c>
      <c r="T6986" s="12" t="s">
        <v>30709</v>
      </c>
      <c r="U6986" s="12" t="s">
        <v>2279</v>
      </c>
      <c r="V6986" s="12" t="s">
        <v>378</v>
      </c>
      <c r="W6986" s="12" t="s">
        <v>30710</v>
      </c>
      <c r="X6986" s="16" t="s">
        <v>31280</v>
      </c>
      <c r="Y6986" s="15" t="s">
        <v>42</v>
      </c>
      <c r="Z6986" s="14">
        <v>3.37</v>
      </c>
      <c r="AA6986" s="14">
        <v>6.74</v>
      </c>
      <c r="AB6986" s="12" t="s">
        <v>43</v>
      </c>
      <c r="AC6986" s="12" t="s">
        <v>30712</v>
      </c>
      <c r="AD6986" s="13">
        <v>42289</v>
      </c>
      <c r="AE6986" s="12" t="s">
        <v>30713</v>
      </c>
      <c r="AF6986" s="12" t="s">
        <v>7368</v>
      </c>
      <c r="AG6986" s="12" t="s">
        <v>81</v>
      </c>
      <c r="AH6986" s="1">
        <f>HYPERLINK("https://my.pitchbook.com?c=194695-48T","View Company Online")</f>
      </c>
    </row>
    <row r="6987">
      <c r="A6987" s="3" t="s">
        <v>31281</v>
      </c>
      <c r="B6987" s="3" t="s">
        <v>31282</v>
      </c>
      <c r="C6987" s="5" t="s">
        <v>36</v>
      </c>
      <c r="D6987" s="5" t="s">
        <v>36</v>
      </c>
      <c r="E6987" s="5" t="s">
        <v>36</v>
      </c>
      <c r="F6987" s="5" t="s">
        <v>36</v>
      </c>
      <c r="G6987" s="6" t="s">
        <v>36</v>
      </c>
      <c r="H6987" s="4" t="s">
        <v>36</v>
      </c>
      <c r="I6987" s="7" t="s">
        <v>36</v>
      </c>
      <c r="J6987" s="3" t="s">
        <v>36</v>
      </c>
      <c r="K6987" s="9" t="s">
        <v>36</v>
      </c>
      <c r="L6987" s="6" t="s">
        <v>36</v>
      </c>
      <c r="M6987" s="3" t="s">
        <v>36</v>
      </c>
      <c r="N6987" s="3" t="s">
        <v>36</v>
      </c>
      <c r="O6987" s="8" t="s">
        <v>36</v>
      </c>
      <c r="P6987" s="3" t="s">
        <v>36</v>
      </c>
      <c r="Q6987" s="3" t="s">
        <v>36</v>
      </c>
      <c r="R6987" s="3" t="s">
        <v>36</v>
      </c>
      <c r="S6987" s="3" t="s">
        <v>36</v>
      </c>
      <c r="T6987" s="3" t="s">
        <v>31283</v>
      </c>
      <c r="U6987" s="3" t="s">
        <v>85</v>
      </c>
      <c r="V6987" s="3" t="s">
        <v>64</v>
      </c>
      <c r="W6987" s="3" t="s">
        <v>31284</v>
      </c>
      <c r="X6987" s="10" t="s">
        <v>31285</v>
      </c>
      <c r="Y6987" s="6" t="s">
        <v>55</v>
      </c>
      <c r="Z6987" s="4">
        <v>0.18</v>
      </c>
      <c r="AA6987" s="4" t="s">
        <v>36</v>
      </c>
      <c r="AB6987" s="3" t="s">
        <v>43</v>
      </c>
      <c r="AC6987" s="3" t="s">
        <v>31286</v>
      </c>
      <c r="AD6987" s="9">
        <v>42289</v>
      </c>
      <c r="AE6987" s="3" t="s">
        <v>89</v>
      </c>
      <c r="AF6987" s="3" t="s">
        <v>31287</v>
      </c>
      <c r="AG6987" s="3" t="s">
        <v>81</v>
      </c>
      <c r="AH6987" s="11">
        <f>HYPERLINK("https://my.pitchbook.com?c=60275-17T","View Company Online")</f>
      </c>
    </row>
    <row r="6988">
      <c r="A6988" s="12" t="s">
        <v>31288</v>
      </c>
      <c r="B6988" s="12" t="s">
        <v>13797</v>
      </c>
      <c r="C6988" s="19" t="s">
        <v>36</v>
      </c>
      <c r="D6988" s="19" t="s">
        <v>36</v>
      </c>
      <c r="E6988" s="19" t="s">
        <v>36</v>
      </c>
      <c r="F6988" s="19" t="s">
        <v>36</v>
      </c>
      <c r="G6988" s="15" t="s">
        <v>36</v>
      </c>
      <c r="H6988" s="14">
        <v>61.36</v>
      </c>
      <c r="I6988" s="18">
        <v>20</v>
      </c>
      <c r="J6988" s="12" t="s">
        <v>521</v>
      </c>
      <c r="K6988" s="13" t="s">
        <v>36</v>
      </c>
      <c r="L6988" s="15" t="s">
        <v>36</v>
      </c>
      <c r="M6988" s="12" t="s">
        <v>36</v>
      </c>
      <c r="N6988" s="12" t="s">
        <v>36</v>
      </c>
      <c r="O6988" s="17" t="s">
        <v>36</v>
      </c>
      <c r="P6988" s="12" t="s">
        <v>36</v>
      </c>
      <c r="Q6988" s="12" t="s">
        <v>36</v>
      </c>
      <c r="R6988" s="12" t="s">
        <v>36</v>
      </c>
      <c r="S6988" s="12" t="s">
        <v>2699</v>
      </c>
      <c r="T6988" s="12" t="s">
        <v>13798</v>
      </c>
      <c r="U6988" s="12" t="s">
        <v>619</v>
      </c>
      <c r="V6988" s="12" t="s">
        <v>378</v>
      </c>
      <c r="W6988" s="12" t="s">
        <v>13799</v>
      </c>
      <c r="X6988" s="16" t="s">
        <v>13800</v>
      </c>
      <c r="Y6988" s="15" t="s">
        <v>42</v>
      </c>
      <c r="Z6988" s="14">
        <v>0.34</v>
      </c>
      <c r="AA6988" s="14">
        <v>1.68</v>
      </c>
      <c r="AB6988" s="12" t="s">
        <v>43</v>
      </c>
      <c r="AC6988" s="12" t="s">
        <v>13801</v>
      </c>
      <c r="AD6988" s="13">
        <v>42286</v>
      </c>
      <c r="AE6988" s="12" t="s">
        <v>2040</v>
      </c>
      <c r="AF6988" s="12" t="s">
        <v>2369</v>
      </c>
      <c r="AG6988" s="12" t="s">
        <v>13802</v>
      </c>
      <c r="AH6988" s="1">
        <f>HYPERLINK("https://my.pitchbook.com?c=210469-33T","View Company Online")</f>
      </c>
    </row>
    <row r="6989">
      <c r="A6989" s="3" t="s">
        <v>31289</v>
      </c>
      <c r="B6989" s="3" t="s">
        <v>31290</v>
      </c>
      <c r="C6989" s="5" t="s">
        <v>36</v>
      </c>
      <c r="D6989" s="5" t="s">
        <v>36</v>
      </c>
      <c r="E6989" s="5" t="s">
        <v>36</v>
      </c>
      <c r="F6989" s="5" t="s">
        <v>36</v>
      </c>
      <c r="G6989" s="6" t="s">
        <v>36</v>
      </c>
      <c r="H6989" s="4" t="s">
        <v>36</v>
      </c>
      <c r="I6989" s="7" t="s">
        <v>36</v>
      </c>
      <c r="J6989" s="3" t="s">
        <v>36</v>
      </c>
      <c r="K6989" s="9" t="s">
        <v>36</v>
      </c>
      <c r="L6989" s="6" t="s">
        <v>36</v>
      </c>
      <c r="M6989" s="3" t="s">
        <v>36</v>
      </c>
      <c r="N6989" s="3" t="s">
        <v>36</v>
      </c>
      <c r="O6989" s="8" t="s">
        <v>36</v>
      </c>
      <c r="P6989" s="3" t="s">
        <v>36</v>
      </c>
      <c r="Q6989" s="3" t="s">
        <v>36</v>
      </c>
      <c r="R6989" s="3" t="s">
        <v>36</v>
      </c>
      <c r="S6989" s="3" t="s">
        <v>36</v>
      </c>
      <c r="T6989" s="3" t="s">
        <v>522</v>
      </c>
      <c r="U6989" s="3" t="s">
        <v>38</v>
      </c>
      <c r="V6989" s="3" t="s">
        <v>39</v>
      </c>
      <c r="W6989" s="3" t="s">
        <v>31291</v>
      </c>
      <c r="X6989" s="10" t="s">
        <v>31292</v>
      </c>
      <c r="Y6989" s="6" t="s">
        <v>42</v>
      </c>
      <c r="Z6989" s="4">
        <v>0.84</v>
      </c>
      <c r="AA6989" s="4" t="s">
        <v>36</v>
      </c>
      <c r="AB6989" s="3" t="s">
        <v>43</v>
      </c>
      <c r="AC6989" s="3" t="s">
        <v>31293</v>
      </c>
      <c r="AD6989" s="9">
        <v>42286</v>
      </c>
      <c r="AE6989" s="3" t="s">
        <v>110</v>
      </c>
      <c r="AF6989" s="3" t="s">
        <v>176</v>
      </c>
      <c r="AG6989" s="3" t="s">
        <v>81</v>
      </c>
      <c r="AH6989" s="11">
        <f>HYPERLINK("https://my.pitchbook.com?c=67282-66T","View Company Online")</f>
      </c>
    </row>
    <row r="6990">
      <c r="A6990" s="12" t="s">
        <v>31294</v>
      </c>
      <c r="B6990" s="12" t="s">
        <v>31295</v>
      </c>
      <c r="C6990" s="19" t="s">
        <v>36</v>
      </c>
      <c r="D6990" s="19" t="s">
        <v>36</v>
      </c>
      <c r="E6990" s="19" t="s">
        <v>36</v>
      </c>
      <c r="F6990" s="19" t="s">
        <v>36</v>
      </c>
      <c r="G6990" s="15" t="s">
        <v>36</v>
      </c>
      <c r="H6990" s="14" t="s">
        <v>36</v>
      </c>
      <c r="I6990" s="18" t="s">
        <v>36</v>
      </c>
      <c r="J6990" s="12" t="s">
        <v>36</v>
      </c>
      <c r="K6990" s="13" t="s">
        <v>36</v>
      </c>
      <c r="L6990" s="15" t="s">
        <v>36</v>
      </c>
      <c r="M6990" s="12" t="s">
        <v>36</v>
      </c>
      <c r="N6990" s="12" t="s">
        <v>36</v>
      </c>
      <c r="O6990" s="17" t="s">
        <v>36</v>
      </c>
      <c r="P6990" s="12" t="s">
        <v>36</v>
      </c>
      <c r="Q6990" s="12" t="s">
        <v>36</v>
      </c>
      <c r="R6990" s="12" t="s">
        <v>36</v>
      </c>
      <c r="S6990" s="12" t="s">
        <v>36</v>
      </c>
      <c r="T6990" s="12" t="s">
        <v>23957</v>
      </c>
      <c r="U6990" s="12" t="s">
        <v>423</v>
      </c>
      <c r="V6990" s="12" t="s">
        <v>64</v>
      </c>
      <c r="W6990" s="12" t="s">
        <v>31296</v>
      </c>
      <c r="X6990" s="16" t="s">
        <v>12796</v>
      </c>
      <c r="Y6990" s="15" t="s">
        <v>42</v>
      </c>
      <c r="Z6990" s="14">
        <v>1.12</v>
      </c>
      <c r="AA6990" s="14" t="s">
        <v>36</v>
      </c>
      <c r="AB6990" s="12" t="s">
        <v>43</v>
      </c>
      <c r="AC6990" s="12" t="s">
        <v>31297</v>
      </c>
      <c r="AD6990" s="13">
        <v>42285</v>
      </c>
      <c r="AE6990" s="12" t="s">
        <v>427</v>
      </c>
      <c r="AF6990" s="12" t="s">
        <v>4270</v>
      </c>
      <c r="AG6990" s="12" t="s">
        <v>81</v>
      </c>
      <c r="AH6990" s="1">
        <f>HYPERLINK("https://my.pitchbook.com?c=74414-71T","View Company Online")</f>
      </c>
    </row>
    <row r="6991">
      <c r="A6991" s="3" t="s">
        <v>31298</v>
      </c>
      <c r="B6991" s="3" t="s">
        <v>18001</v>
      </c>
      <c r="C6991" s="5">
        <v>7</v>
      </c>
      <c r="D6991" s="5">
        <v>65</v>
      </c>
      <c r="E6991" s="5">
        <v>10</v>
      </c>
      <c r="F6991" s="5">
        <v>76</v>
      </c>
      <c r="G6991" s="6" t="s">
        <v>36</v>
      </c>
      <c r="H6991" s="4" t="s">
        <v>36</v>
      </c>
      <c r="I6991" s="7" t="s">
        <v>36</v>
      </c>
      <c r="J6991" s="3" t="s">
        <v>36</v>
      </c>
      <c r="K6991" s="9" t="s">
        <v>36</v>
      </c>
      <c r="L6991" s="6" t="s">
        <v>36</v>
      </c>
      <c r="M6991" s="3" t="s">
        <v>36</v>
      </c>
      <c r="N6991" s="3" t="s">
        <v>36</v>
      </c>
      <c r="O6991" s="8" t="s">
        <v>36</v>
      </c>
      <c r="P6991" s="3" t="s">
        <v>36</v>
      </c>
      <c r="Q6991" s="3" t="s">
        <v>36</v>
      </c>
      <c r="R6991" s="3" t="s">
        <v>36</v>
      </c>
      <c r="S6991" s="3" t="s">
        <v>36</v>
      </c>
      <c r="T6991" s="3" t="s">
        <v>154</v>
      </c>
      <c r="U6991" s="3" t="s">
        <v>51</v>
      </c>
      <c r="V6991" s="3" t="s">
        <v>52</v>
      </c>
      <c r="W6991" s="3" t="s">
        <v>18002</v>
      </c>
      <c r="X6991" s="10" t="s">
        <v>31299</v>
      </c>
      <c r="Y6991" s="6" t="s">
        <v>108</v>
      </c>
      <c r="Z6991" s="4">
        <v>1.85</v>
      </c>
      <c r="AA6991" s="4" t="s">
        <v>36</v>
      </c>
      <c r="AB6991" s="3" t="s">
        <v>43</v>
      </c>
      <c r="AC6991" s="3" t="s">
        <v>18004</v>
      </c>
      <c r="AD6991" s="9">
        <v>42283</v>
      </c>
      <c r="AE6991" s="3" t="s">
        <v>158</v>
      </c>
      <c r="AF6991" s="3" t="s">
        <v>5503</v>
      </c>
      <c r="AG6991" s="3" t="s">
        <v>373</v>
      </c>
      <c r="AH6991" s="11">
        <f>HYPERLINK("https://my.pitchbook.com?c=88187-77T","View Company Online")</f>
      </c>
    </row>
    <row r="6992">
      <c r="A6992" s="12" t="s">
        <v>31300</v>
      </c>
      <c r="B6992" s="12" t="s">
        <v>13160</v>
      </c>
      <c r="C6992" s="19" t="s">
        <v>36</v>
      </c>
      <c r="D6992" s="19" t="s">
        <v>36</v>
      </c>
      <c r="E6992" s="19" t="s">
        <v>36</v>
      </c>
      <c r="F6992" s="19" t="s">
        <v>36</v>
      </c>
      <c r="G6992" s="15" t="s">
        <v>326</v>
      </c>
      <c r="H6992" s="14">
        <v>833.53</v>
      </c>
      <c r="I6992" s="18">
        <v>29.34</v>
      </c>
      <c r="J6992" s="12" t="s">
        <v>521</v>
      </c>
      <c r="K6992" s="13" t="s">
        <v>36</v>
      </c>
      <c r="L6992" s="15" t="s">
        <v>94</v>
      </c>
      <c r="M6992" s="12" t="s">
        <v>36</v>
      </c>
      <c r="N6992" s="12" t="s">
        <v>94</v>
      </c>
      <c r="O6992" s="17" t="s">
        <v>36</v>
      </c>
      <c r="P6992" s="12" t="s">
        <v>36</v>
      </c>
      <c r="Q6992" s="12" t="s">
        <v>36</v>
      </c>
      <c r="R6992" s="12" t="s">
        <v>36</v>
      </c>
      <c r="S6992" s="12" t="s">
        <v>36</v>
      </c>
      <c r="T6992" s="12" t="s">
        <v>189</v>
      </c>
      <c r="U6992" s="12" t="s">
        <v>180</v>
      </c>
      <c r="V6992" s="12" t="s">
        <v>52</v>
      </c>
      <c r="W6992" s="12" t="s">
        <v>13161</v>
      </c>
      <c r="X6992" s="16" t="s">
        <v>31301</v>
      </c>
      <c r="Y6992" s="15" t="s">
        <v>55</v>
      </c>
      <c r="Z6992" s="14">
        <v>31.67</v>
      </c>
      <c r="AA6992" s="14">
        <v>107.95</v>
      </c>
      <c r="AB6992" s="12" t="s">
        <v>43</v>
      </c>
      <c r="AC6992" s="12" t="s">
        <v>13163</v>
      </c>
      <c r="AD6992" s="13">
        <v>42283</v>
      </c>
      <c r="AE6992" s="12" t="s">
        <v>184</v>
      </c>
      <c r="AF6992" s="12" t="s">
        <v>7086</v>
      </c>
      <c r="AG6992" s="12" t="s">
        <v>2088</v>
      </c>
      <c r="AH6992" s="1">
        <f>HYPERLINK("https://my.pitchbook.com?c=59151-79T","View Company Online")</f>
      </c>
    </row>
    <row r="6993">
      <c r="A6993" s="3" t="s">
        <v>31302</v>
      </c>
      <c r="B6993" s="3" t="s">
        <v>29005</v>
      </c>
      <c r="C6993" s="5" t="s">
        <v>36</v>
      </c>
      <c r="D6993" s="5" t="s">
        <v>36</v>
      </c>
      <c r="E6993" s="5" t="s">
        <v>36</v>
      </c>
      <c r="F6993" s="5" t="s">
        <v>36</v>
      </c>
      <c r="G6993" s="6" t="s">
        <v>36</v>
      </c>
      <c r="H6993" s="4" t="s">
        <v>36</v>
      </c>
      <c r="I6993" s="7" t="s">
        <v>36</v>
      </c>
      <c r="J6993" s="3" t="s">
        <v>36</v>
      </c>
      <c r="K6993" s="9" t="s">
        <v>36</v>
      </c>
      <c r="L6993" s="6" t="s">
        <v>36</v>
      </c>
      <c r="M6993" s="3" t="s">
        <v>36</v>
      </c>
      <c r="N6993" s="3" t="s">
        <v>36</v>
      </c>
      <c r="O6993" s="8" t="s">
        <v>36</v>
      </c>
      <c r="P6993" s="3" t="s">
        <v>36</v>
      </c>
      <c r="Q6993" s="3" t="s">
        <v>36</v>
      </c>
      <c r="R6993" s="3" t="s">
        <v>36</v>
      </c>
      <c r="S6993" s="3" t="s">
        <v>36</v>
      </c>
      <c r="T6993" s="3" t="s">
        <v>29006</v>
      </c>
      <c r="U6993" s="3" t="s">
        <v>289</v>
      </c>
      <c r="V6993" s="3" t="s">
        <v>64</v>
      </c>
      <c r="W6993" s="3" t="s">
        <v>29007</v>
      </c>
      <c r="X6993" s="10" t="s">
        <v>31303</v>
      </c>
      <c r="Y6993" s="6" t="s">
        <v>55</v>
      </c>
      <c r="Z6993" s="4">
        <v>2.25</v>
      </c>
      <c r="AA6993" s="4" t="s">
        <v>36</v>
      </c>
      <c r="AB6993" s="3" t="s">
        <v>43</v>
      </c>
      <c r="AC6993" s="3" t="s">
        <v>29009</v>
      </c>
      <c r="AD6993" s="9">
        <v>42282</v>
      </c>
      <c r="AE6993" s="3" t="s">
        <v>292</v>
      </c>
      <c r="AF6993" s="3" t="s">
        <v>2343</v>
      </c>
      <c r="AG6993" s="3" t="s">
        <v>81</v>
      </c>
      <c r="AH6993" s="11">
        <f>HYPERLINK("https://my.pitchbook.com?c=102622-42T","View Company Online")</f>
      </c>
    </row>
    <row r="6994">
      <c r="A6994" s="12" t="s">
        <v>31304</v>
      </c>
      <c r="B6994" s="12" t="s">
        <v>24875</v>
      </c>
      <c r="C6994" s="19" t="s">
        <v>36</v>
      </c>
      <c r="D6994" s="19" t="s">
        <v>36</v>
      </c>
      <c r="E6994" s="19" t="s">
        <v>36</v>
      </c>
      <c r="F6994" s="19" t="s">
        <v>36</v>
      </c>
      <c r="G6994" s="15" t="s">
        <v>326</v>
      </c>
      <c r="H6994" s="14">
        <v>175.33</v>
      </c>
      <c r="I6994" s="18">
        <v>29.37</v>
      </c>
      <c r="J6994" s="12" t="s">
        <v>521</v>
      </c>
      <c r="K6994" s="13" t="s">
        <v>36</v>
      </c>
      <c r="L6994" s="15" t="s">
        <v>36</v>
      </c>
      <c r="M6994" s="12" t="s">
        <v>36</v>
      </c>
      <c r="N6994" s="12" t="s">
        <v>36</v>
      </c>
      <c r="O6994" s="17" t="s">
        <v>36</v>
      </c>
      <c r="P6994" s="12" t="s">
        <v>36</v>
      </c>
      <c r="Q6994" s="12" t="s">
        <v>36</v>
      </c>
      <c r="R6994" s="12" t="s">
        <v>36</v>
      </c>
      <c r="S6994" s="12" t="s">
        <v>36</v>
      </c>
      <c r="T6994" s="12" t="s">
        <v>5490</v>
      </c>
      <c r="U6994" s="12" t="s">
        <v>648</v>
      </c>
      <c r="V6994" s="12" t="s">
        <v>64</v>
      </c>
      <c r="W6994" s="12" t="s">
        <v>24876</v>
      </c>
      <c r="X6994" s="16" t="s">
        <v>31305</v>
      </c>
      <c r="Y6994" s="15" t="s">
        <v>108</v>
      </c>
      <c r="Z6994" s="14">
        <v>1.33</v>
      </c>
      <c r="AA6994" s="14">
        <v>4.54</v>
      </c>
      <c r="AB6994" s="12" t="s">
        <v>43</v>
      </c>
      <c r="AC6994" s="12" t="s">
        <v>24878</v>
      </c>
      <c r="AD6994" s="13">
        <v>42281</v>
      </c>
      <c r="AE6994" s="12" t="s">
        <v>3988</v>
      </c>
      <c r="AF6994" s="12" t="s">
        <v>24879</v>
      </c>
      <c r="AG6994" s="12" t="s">
        <v>81</v>
      </c>
      <c r="AH6994" s="1">
        <f>HYPERLINK("https://my.pitchbook.com?c=35816-14T","View Company Online")</f>
      </c>
    </row>
    <row r="6995">
      <c r="A6995" s="3" t="s">
        <v>31306</v>
      </c>
      <c r="B6995" s="3" t="s">
        <v>31307</v>
      </c>
      <c r="C6995" s="5">
        <v>3</v>
      </c>
      <c r="D6995" s="5">
        <v>4</v>
      </c>
      <c r="E6995" s="5">
        <v>3</v>
      </c>
      <c r="F6995" s="5">
        <v>10</v>
      </c>
      <c r="G6995" s="6" t="s">
        <v>36</v>
      </c>
      <c r="H6995" s="4" t="s">
        <v>36</v>
      </c>
      <c r="I6995" s="7" t="s">
        <v>36</v>
      </c>
      <c r="J6995" s="3" t="s">
        <v>36</v>
      </c>
      <c r="K6995" s="9" t="s">
        <v>36</v>
      </c>
      <c r="L6995" s="6" t="s">
        <v>36</v>
      </c>
      <c r="M6995" s="3" t="s">
        <v>36</v>
      </c>
      <c r="N6995" s="3" t="s">
        <v>36</v>
      </c>
      <c r="O6995" s="8" t="s">
        <v>36</v>
      </c>
      <c r="P6995" s="3" t="s">
        <v>36</v>
      </c>
      <c r="Q6995" s="3" t="s">
        <v>36</v>
      </c>
      <c r="R6995" s="3" t="s">
        <v>36</v>
      </c>
      <c r="S6995" s="3" t="s">
        <v>36</v>
      </c>
      <c r="T6995" s="3" t="s">
        <v>189</v>
      </c>
      <c r="U6995" s="3" t="s">
        <v>180</v>
      </c>
      <c r="V6995" s="3" t="s">
        <v>52</v>
      </c>
      <c r="W6995" s="3" t="s">
        <v>31308</v>
      </c>
      <c r="X6995" s="10" t="s">
        <v>26848</v>
      </c>
      <c r="Y6995" s="6" t="s">
        <v>42</v>
      </c>
      <c r="Z6995" s="4">
        <v>0.34</v>
      </c>
      <c r="AA6995" s="4" t="s">
        <v>36</v>
      </c>
      <c r="AB6995" s="3" t="s">
        <v>43</v>
      </c>
      <c r="AC6995" s="3" t="s">
        <v>31309</v>
      </c>
      <c r="AD6995" s="9">
        <v>42279</v>
      </c>
      <c r="AE6995" s="3" t="s">
        <v>184</v>
      </c>
      <c r="AF6995" s="3" t="s">
        <v>31310</v>
      </c>
      <c r="AG6995" s="3" t="s">
        <v>969</v>
      </c>
      <c r="AH6995" s="11">
        <f>HYPERLINK("https://my.pitchbook.com?c=78873-76T","View Company Online")</f>
      </c>
    </row>
    <row r="6996">
      <c r="A6996" s="12" t="s">
        <v>31311</v>
      </c>
      <c r="B6996" s="12" t="s">
        <v>31312</v>
      </c>
      <c r="C6996" s="19" t="s">
        <v>36</v>
      </c>
      <c r="D6996" s="19" t="s">
        <v>36</v>
      </c>
      <c r="E6996" s="19" t="s">
        <v>36</v>
      </c>
      <c r="F6996" s="19" t="s">
        <v>36</v>
      </c>
      <c r="G6996" s="15" t="s">
        <v>36</v>
      </c>
      <c r="H6996" s="14" t="s">
        <v>36</v>
      </c>
      <c r="I6996" s="18">
        <v>39.3</v>
      </c>
      <c r="J6996" s="12" t="s">
        <v>36</v>
      </c>
      <c r="K6996" s="13" t="s">
        <v>36</v>
      </c>
      <c r="L6996" s="15" t="s">
        <v>36</v>
      </c>
      <c r="M6996" s="12" t="s">
        <v>36</v>
      </c>
      <c r="N6996" s="12" t="s">
        <v>36</v>
      </c>
      <c r="O6996" s="17" t="s">
        <v>36</v>
      </c>
      <c r="P6996" s="12" t="s">
        <v>36</v>
      </c>
      <c r="Q6996" s="12" t="s">
        <v>36</v>
      </c>
      <c r="R6996" s="12" t="s">
        <v>36</v>
      </c>
      <c r="S6996" s="12" t="s">
        <v>36</v>
      </c>
      <c r="T6996" s="12" t="s">
        <v>6614</v>
      </c>
      <c r="U6996" s="12" t="s">
        <v>279</v>
      </c>
      <c r="V6996" s="12" t="s">
        <v>64</v>
      </c>
      <c r="W6996" s="12" t="s">
        <v>31313</v>
      </c>
      <c r="X6996" s="16" t="s">
        <v>31314</v>
      </c>
      <c r="Y6996" s="15" t="s">
        <v>166</v>
      </c>
      <c r="Z6996" s="14" t="s">
        <v>36</v>
      </c>
      <c r="AA6996" s="14" t="s">
        <v>36</v>
      </c>
      <c r="AB6996" s="12" t="s">
        <v>56</v>
      </c>
      <c r="AC6996" s="12" t="s">
        <v>31315</v>
      </c>
      <c r="AD6996" s="13">
        <v>42278</v>
      </c>
      <c r="AE6996" s="12" t="s">
        <v>740</v>
      </c>
      <c r="AF6996" s="12" t="s">
        <v>1636</v>
      </c>
      <c r="AG6996" s="12" t="s">
        <v>81</v>
      </c>
      <c r="AH6996" s="1">
        <f>HYPERLINK("https://my.pitchbook.com?c=248824-63T","View Company Online")</f>
      </c>
    </row>
    <row r="6997">
      <c r="A6997" s="3" t="s">
        <v>31316</v>
      </c>
      <c r="B6997" s="3" t="s">
        <v>31317</v>
      </c>
      <c r="C6997" s="5" t="s">
        <v>36</v>
      </c>
      <c r="D6997" s="5" t="s">
        <v>36</v>
      </c>
      <c r="E6997" s="5" t="s">
        <v>36</v>
      </c>
      <c r="F6997" s="5" t="s">
        <v>36</v>
      </c>
      <c r="G6997" s="6" t="s">
        <v>36</v>
      </c>
      <c r="H6997" s="4" t="s">
        <v>36</v>
      </c>
      <c r="I6997" s="7" t="s">
        <v>36</v>
      </c>
      <c r="J6997" s="3" t="s">
        <v>36</v>
      </c>
      <c r="K6997" s="9" t="s">
        <v>36</v>
      </c>
      <c r="L6997" s="6" t="s">
        <v>36</v>
      </c>
      <c r="M6997" s="3" t="s">
        <v>36</v>
      </c>
      <c r="N6997" s="3" t="s">
        <v>36</v>
      </c>
      <c r="O6997" s="8" t="s">
        <v>36</v>
      </c>
      <c r="P6997" s="3" t="s">
        <v>36</v>
      </c>
      <c r="Q6997" s="3" t="s">
        <v>36</v>
      </c>
      <c r="R6997" s="3" t="s">
        <v>36</v>
      </c>
      <c r="S6997" s="3" t="s">
        <v>36</v>
      </c>
      <c r="T6997" s="3" t="s">
        <v>1838</v>
      </c>
      <c r="U6997" s="3" t="s">
        <v>38</v>
      </c>
      <c r="V6997" s="3" t="s">
        <v>39</v>
      </c>
      <c r="W6997" s="3" t="s">
        <v>31318</v>
      </c>
      <c r="X6997" s="10" t="s">
        <v>31319</v>
      </c>
      <c r="Y6997" s="6" t="s">
        <v>42</v>
      </c>
      <c r="Z6997" s="4" t="s">
        <v>36</v>
      </c>
      <c r="AA6997" s="4" t="s">
        <v>36</v>
      </c>
      <c r="AB6997" s="3" t="s">
        <v>43</v>
      </c>
      <c r="AC6997" s="3" t="s">
        <v>31320</v>
      </c>
      <c r="AD6997" s="9">
        <v>42278</v>
      </c>
      <c r="AE6997" s="3" t="s">
        <v>110</v>
      </c>
      <c r="AF6997" s="3" t="s">
        <v>4552</v>
      </c>
      <c r="AG6997" s="3" t="s">
        <v>11675</v>
      </c>
      <c r="AH6997" s="11">
        <f>HYPERLINK("https://my.pitchbook.com?c=77293-72T","View Company Online")</f>
      </c>
    </row>
    <row r="6998">
      <c r="A6998" s="12" t="s">
        <v>31321</v>
      </c>
      <c r="B6998" s="12" t="s">
        <v>31322</v>
      </c>
      <c r="C6998" s="19" t="s">
        <v>36</v>
      </c>
      <c r="D6998" s="19" t="s">
        <v>36</v>
      </c>
      <c r="E6998" s="19" t="s">
        <v>36</v>
      </c>
      <c r="F6998" s="19" t="s">
        <v>36</v>
      </c>
      <c r="G6998" s="15" t="s">
        <v>683</v>
      </c>
      <c r="H6998" s="14">
        <v>9.24</v>
      </c>
      <c r="I6998" s="18">
        <v>7.1</v>
      </c>
      <c r="J6998" s="12" t="s">
        <v>521</v>
      </c>
      <c r="K6998" s="13" t="s">
        <v>36</v>
      </c>
      <c r="L6998" s="15" t="s">
        <v>36</v>
      </c>
      <c r="M6998" s="12" t="s">
        <v>36</v>
      </c>
      <c r="N6998" s="12" t="s">
        <v>36</v>
      </c>
      <c r="O6998" s="17" t="s">
        <v>36</v>
      </c>
      <c r="P6998" s="12" t="s">
        <v>36</v>
      </c>
      <c r="Q6998" s="12" t="s">
        <v>36</v>
      </c>
      <c r="R6998" s="12" t="s">
        <v>36</v>
      </c>
      <c r="S6998" s="12" t="s">
        <v>36</v>
      </c>
      <c r="T6998" s="12" t="s">
        <v>31323</v>
      </c>
      <c r="U6998" s="12" t="s">
        <v>728</v>
      </c>
      <c r="V6998" s="12" t="s">
        <v>64</v>
      </c>
      <c r="W6998" s="12" t="s">
        <v>31324</v>
      </c>
      <c r="X6998" s="16" t="s">
        <v>31325</v>
      </c>
      <c r="Y6998" s="15" t="s">
        <v>192</v>
      </c>
      <c r="Z6998" s="14">
        <v>0.27</v>
      </c>
      <c r="AA6998" s="14">
        <v>3.76</v>
      </c>
      <c r="AB6998" s="12" t="s">
        <v>56</v>
      </c>
      <c r="AC6998" s="12" t="s">
        <v>31326</v>
      </c>
      <c r="AD6998" s="13">
        <v>42277</v>
      </c>
      <c r="AE6998" s="12" t="s">
        <v>2154</v>
      </c>
      <c r="AF6998" s="12" t="s">
        <v>2118</v>
      </c>
      <c r="AG6998" s="12" t="s">
        <v>969</v>
      </c>
      <c r="AH6998" s="1">
        <f>HYPERLINK("https://my.pitchbook.com?c=200129-23T","View Company Online")</f>
      </c>
    </row>
    <row r="6999">
      <c r="A6999" s="3" t="s">
        <v>31327</v>
      </c>
      <c r="B6999" s="3" t="s">
        <v>31328</v>
      </c>
      <c r="C6999" s="5" t="s">
        <v>36</v>
      </c>
      <c r="D6999" s="5" t="s">
        <v>36</v>
      </c>
      <c r="E6999" s="5" t="s">
        <v>36</v>
      </c>
      <c r="F6999" s="5" t="s">
        <v>36</v>
      </c>
      <c r="G6999" s="6" t="s">
        <v>36</v>
      </c>
      <c r="H6999" s="4">
        <v>836.87</v>
      </c>
      <c r="I6999" s="7">
        <v>35.48</v>
      </c>
      <c r="J6999" s="3" t="s">
        <v>521</v>
      </c>
      <c r="K6999" s="9" t="s">
        <v>36</v>
      </c>
      <c r="L6999" s="6" t="s">
        <v>36</v>
      </c>
      <c r="M6999" s="3" t="s">
        <v>36</v>
      </c>
      <c r="N6999" s="3" t="s">
        <v>36</v>
      </c>
      <c r="O6999" s="8" t="s">
        <v>36</v>
      </c>
      <c r="P6999" s="3" t="s">
        <v>36</v>
      </c>
      <c r="Q6999" s="3" t="s">
        <v>36</v>
      </c>
      <c r="R6999" s="3" t="s">
        <v>36</v>
      </c>
      <c r="S6999" s="3" t="s">
        <v>36</v>
      </c>
      <c r="T6999" s="3" t="s">
        <v>31329</v>
      </c>
      <c r="U6999" s="3" t="s">
        <v>74</v>
      </c>
      <c r="V6999" s="3" t="s">
        <v>75</v>
      </c>
      <c r="W6999" s="3" t="s">
        <v>31330</v>
      </c>
      <c r="X6999" s="10" t="s">
        <v>11438</v>
      </c>
      <c r="Y6999" s="6" t="s">
        <v>42</v>
      </c>
      <c r="Z6999" s="4">
        <v>4.99</v>
      </c>
      <c r="AA6999" s="4">
        <v>14.06</v>
      </c>
      <c r="AB6999" s="3" t="s">
        <v>43</v>
      </c>
      <c r="AC6999" s="3" t="s">
        <v>31331</v>
      </c>
      <c r="AD6999" s="9">
        <v>42277</v>
      </c>
      <c r="AE6999" s="3" t="s">
        <v>696</v>
      </c>
      <c r="AF6999" s="3" t="s">
        <v>4284</v>
      </c>
      <c r="AG6999" s="3" t="s">
        <v>81</v>
      </c>
      <c r="AH6999" s="11">
        <f>HYPERLINK("https://my.pitchbook.com?c=59651-47T","View Company Online")</f>
      </c>
    </row>
    <row r="7000">
      <c r="A7000" s="12" t="s">
        <v>31332</v>
      </c>
      <c r="B7000" s="12" t="s">
        <v>24715</v>
      </c>
      <c r="C7000" s="19" t="s">
        <v>36</v>
      </c>
      <c r="D7000" s="19">
        <v>1</v>
      </c>
      <c r="E7000" s="19">
        <v>1</v>
      </c>
      <c r="F7000" s="19">
        <v>2</v>
      </c>
      <c r="G7000" s="15" t="s">
        <v>2497</v>
      </c>
      <c r="H7000" s="14">
        <v>20.23</v>
      </c>
      <c r="I7000" s="18">
        <v>7.78</v>
      </c>
      <c r="J7000" s="12" t="s">
        <v>521</v>
      </c>
      <c r="K7000" s="13" t="s">
        <v>36</v>
      </c>
      <c r="L7000" s="15" t="s">
        <v>36</v>
      </c>
      <c r="M7000" s="12" t="s">
        <v>36</v>
      </c>
      <c r="N7000" s="12" t="s">
        <v>36</v>
      </c>
      <c r="O7000" s="17" t="s">
        <v>36</v>
      </c>
      <c r="P7000" s="12" t="s">
        <v>36</v>
      </c>
      <c r="Q7000" s="12" t="s">
        <v>36</v>
      </c>
      <c r="R7000" s="12" t="s">
        <v>36</v>
      </c>
      <c r="S7000" s="12" t="s">
        <v>36</v>
      </c>
      <c r="T7000" s="12" t="s">
        <v>630</v>
      </c>
      <c r="U7000" s="12" t="s">
        <v>38</v>
      </c>
      <c r="V7000" s="12" t="s">
        <v>39</v>
      </c>
      <c r="W7000" s="12" t="s">
        <v>24716</v>
      </c>
      <c r="X7000" s="16" t="s">
        <v>31333</v>
      </c>
      <c r="Y7000" s="15" t="s">
        <v>192</v>
      </c>
      <c r="Z7000" s="14">
        <v>2.78</v>
      </c>
      <c r="AA7000" s="14">
        <v>35.8</v>
      </c>
      <c r="AB7000" s="12" t="s">
        <v>56</v>
      </c>
      <c r="AC7000" s="12" t="s">
        <v>24718</v>
      </c>
      <c r="AD7000" s="13">
        <v>42276</v>
      </c>
      <c r="AE7000" s="12" t="s">
        <v>110</v>
      </c>
      <c r="AF7000" s="12" t="s">
        <v>2118</v>
      </c>
      <c r="AG7000" s="12" t="s">
        <v>81</v>
      </c>
      <c r="AH7000" s="1">
        <f>HYPERLINK("https://my.pitchbook.com?c=28329-40T","View Company Online")</f>
      </c>
    </row>
    <row r="7001">
      <c r="A7001" s="3" t="s">
        <v>31334</v>
      </c>
      <c r="B7001" s="3" t="s">
        <v>31335</v>
      </c>
      <c r="C7001" s="5">
        <v>5</v>
      </c>
      <c r="D7001" s="5">
        <v>12</v>
      </c>
      <c r="E7001" s="5">
        <v>8</v>
      </c>
      <c r="F7001" s="5">
        <v>27</v>
      </c>
      <c r="G7001" s="6" t="s">
        <v>36</v>
      </c>
      <c r="H7001" s="4" t="s">
        <v>36</v>
      </c>
      <c r="I7001" s="7" t="s">
        <v>36</v>
      </c>
      <c r="J7001" s="3" t="s">
        <v>36</v>
      </c>
      <c r="K7001" s="9" t="s">
        <v>36</v>
      </c>
      <c r="L7001" s="6" t="s">
        <v>36</v>
      </c>
      <c r="M7001" s="3" t="s">
        <v>36</v>
      </c>
      <c r="N7001" s="3" t="s">
        <v>36</v>
      </c>
      <c r="O7001" s="8" t="s">
        <v>36</v>
      </c>
      <c r="P7001" s="3" t="s">
        <v>36</v>
      </c>
      <c r="Q7001" s="3" t="s">
        <v>36</v>
      </c>
      <c r="R7001" s="3" t="s">
        <v>36</v>
      </c>
      <c r="S7001" s="3" t="s">
        <v>36</v>
      </c>
      <c r="T7001" s="3" t="s">
        <v>31336</v>
      </c>
      <c r="U7001" s="3" t="s">
        <v>51</v>
      </c>
      <c r="V7001" s="3" t="s">
        <v>52</v>
      </c>
      <c r="W7001" s="3" t="s">
        <v>31337</v>
      </c>
      <c r="X7001" s="10" t="s">
        <v>1840</v>
      </c>
      <c r="Y7001" s="6" t="s">
        <v>55</v>
      </c>
      <c r="Z7001" s="4">
        <v>1.01</v>
      </c>
      <c r="AA7001" s="4" t="s">
        <v>36</v>
      </c>
      <c r="AB7001" s="3" t="s">
        <v>56</v>
      </c>
      <c r="AC7001" s="3" t="s">
        <v>31338</v>
      </c>
      <c r="AD7001" s="9">
        <v>42274</v>
      </c>
      <c r="AE7001" s="3" t="s">
        <v>158</v>
      </c>
      <c r="AF7001" s="3" t="s">
        <v>159</v>
      </c>
      <c r="AG7001" s="3" t="s">
        <v>14890</v>
      </c>
      <c r="AH7001" s="11">
        <f>HYPERLINK("https://my.pitchbook.com?c=93493-18T","View Company Online")</f>
      </c>
    </row>
    <row r="7002">
      <c r="A7002" s="12" t="s">
        <v>31339</v>
      </c>
      <c r="B7002" s="12" t="s">
        <v>18225</v>
      </c>
      <c r="C7002" s="19">
        <v>1</v>
      </c>
      <c r="D7002" s="19">
        <v>13</v>
      </c>
      <c r="E7002" s="19">
        <v>7</v>
      </c>
      <c r="F7002" s="19">
        <v>17</v>
      </c>
      <c r="G7002" s="15" t="s">
        <v>36</v>
      </c>
      <c r="H7002" s="14" t="s">
        <v>36</v>
      </c>
      <c r="I7002" s="18" t="s">
        <v>36</v>
      </c>
      <c r="J7002" s="12" t="s">
        <v>36</v>
      </c>
      <c r="K7002" s="13" t="s">
        <v>36</v>
      </c>
      <c r="L7002" s="15" t="s">
        <v>36</v>
      </c>
      <c r="M7002" s="12" t="s">
        <v>36</v>
      </c>
      <c r="N7002" s="12" t="s">
        <v>36</v>
      </c>
      <c r="O7002" s="17" t="s">
        <v>36</v>
      </c>
      <c r="P7002" s="12" t="s">
        <v>36</v>
      </c>
      <c r="Q7002" s="12" t="s">
        <v>36</v>
      </c>
      <c r="R7002" s="12" t="s">
        <v>36</v>
      </c>
      <c r="S7002" s="12" t="s">
        <v>36</v>
      </c>
      <c r="T7002" s="12" t="s">
        <v>18226</v>
      </c>
      <c r="U7002" s="12" t="s">
        <v>833</v>
      </c>
      <c r="V7002" s="12" t="s">
        <v>64</v>
      </c>
      <c r="W7002" s="12" t="s">
        <v>18227</v>
      </c>
      <c r="X7002" s="16" t="s">
        <v>31340</v>
      </c>
      <c r="Y7002" s="15" t="s">
        <v>42</v>
      </c>
      <c r="Z7002" s="14">
        <v>0.71</v>
      </c>
      <c r="AA7002" s="14" t="s">
        <v>36</v>
      </c>
      <c r="AB7002" s="12" t="s">
        <v>56</v>
      </c>
      <c r="AC7002" s="12" t="s">
        <v>18229</v>
      </c>
      <c r="AD7002" s="13">
        <v>42272</v>
      </c>
      <c r="AE7002" s="12" t="s">
        <v>1069</v>
      </c>
      <c r="AF7002" s="12" t="s">
        <v>18230</v>
      </c>
      <c r="AG7002" s="12" t="s">
        <v>18231</v>
      </c>
      <c r="AH7002" s="1">
        <f>HYPERLINK("https://my.pitchbook.com?c=82775-71T","View Company Online")</f>
      </c>
    </row>
    <row r="7003">
      <c r="A7003" s="3" t="s">
        <v>31341</v>
      </c>
      <c r="B7003" s="3" t="s">
        <v>31342</v>
      </c>
      <c r="C7003" s="5" t="s">
        <v>36</v>
      </c>
      <c r="D7003" s="5" t="s">
        <v>36</v>
      </c>
      <c r="E7003" s="5" t="s">
        <v>36</v>
      </c>
      <c r="F7003" s="5" t="s">
        <v>36</v>
      </c>
      <c r="G7003" s="6" t="s">
        <v>326</v>
      </c>
      <c r="H7003" s="4">
        <v>253.49</v>
      </c>
      <c r="I7003" s="7">
        <v>34</v>
      </c>
      <c r="J7003" s="3" t="s">
        <v>521</v>
      </c>
      <c r="K7003" s="9" t="s">
        <v>36</v>
      </c>
      <c r="L7003" s="6" t="s">
        <v>36</v>
      </c>
      <c r="M7003" s="3" t="s">
        <v>36</v>
      </c>
      <c r="N7003" s="3" t="s">
        <v>36</v>
      </c>
      <c r="O7003" s="8" t="s">
        <v>36</v>
      </c>
      <c r="P7003" s="3" t="s">
        <v>36</v>
      </c>
      <c r="Q7003" s="3" t="s">
        <v>36</v>
      </c>
      <c r="R7003" s="3" t="s">
        <v>36</v>
      </c>
      <c r="S7003" s="3" t="s">
        <v>36</v>
      </c>
      <c r="T7003" s="3" t="s">
        <v>31343</v>
      </c>
      <c r="U7003" s="3" t="s">
        <v>74</v>
      </c>
      <c r="V7003" s="3" t="s">
        <v>75</v>
      </c>
      <c r="W7003" s="3" t="s">
        <v>31344</v>
      </c>
      <c r="X7003" s="10" t="s">
        <v>11438</v>
      </c>
      <c r="Y7003" s="6" t="s">
        <v>42</v>
      </c>
      <c r="Z7003" s="4">
        <v>1.91</v>
      </c>
      <c r="AA7003" s="4">
        <v>5.62</v>
      </c>
      <c r="AB7003" s="3" t="s">
        <v>43</v>
      </c>
      <c r="AC7003" s="3" t="s">
        <v>31345</v>
      </c>
      <c r="AD7003" s="9">
        <v>42272</v>
      </c>
      <c r="AE7003" s="3" t="s">
        <v>79</v>
      </c>
      <c r="AF7003" s="3" t="s">
        <v>1077</v>
      </c>
      <c r="AG7003" s="3" t="s">
        <v>81</v>
      </c>
      <c r="AH7003" s="11">
        <f>HYPERLINK("https://my.pitchbook.com?c=86993-11T","View Company Online")</f>
      </c>
    </row>
    <row r="7004">
      <c r="A7004" s="12" t="s">
        <v>31346</v>
      </c>
      <c r="B7004" s="12" t="s">
        <v>26231</v>
      </c>
      <c r="C7004" s="19" t="s">
        <v>36</v>
      </c>
      <c r="D7004" s="19" t="s">
        <v>36</v>
      </c>
      <c r="E7004" s="19" t="s">
        <v>36</v>
      </c>
      <c r="F7004" s="19" t="s">
        <v>36</v>
      </c>
      <c r="G7004" s="15" t="s">
        <v>36</v>
      </c>
      <c r="H7004" s="14">
        <v>3.34</v>
      </c>
      <c r="I7004" s="18">
        <v>32.72</v>
      </c>
      <c r="J7004" s="12" t="s">
        <v>521</v>
      </c>
      <c r="K7004" s="13">
        <v>42186</v>
      </c>
      <c r="L7004" s="15" t="s">
        <v>36</v>
      </c>
      <c r="M7004" s="12" t="s">
        <v>36</v>
      </c>
      <c r="N7004" s="12" t="s">
        <v>36</v>
      </c>
      <c r="O7004" s="17" t="s">
        <v>36</v>
      </c>
      <c r="P7004" s="12" t="s">
        <v>36</v>
      </c>
      <c r="Q7004" s="12" t="s">
        <v>36</v>
      </c>
      <c r="R7004" s="12" t="s">
        <v>36</v>
      </c>
      <c r="S7004" s="12" t="s">
        <v>36</v>
      </c>
      <c r="T7004" s="12" t="s">
        <v>26232</v>
      </c>
      <c r="U7004" s="12" t="s">
        <v>38</v>
      </c>
      <c r="V7004" s="12" t="s">
        <v>39</v>
      </c>
      <c r="W7004" s="12" t="s">
        <v>26233</v>
      </c>
      <c r="X7004" s="16" t="s">
        <v>31347</v>
      </c>
      <c r="Y7004" s="15" t="s">
        <v>42</v>
      </c>
      <c r="Z7004" s="14">
        <v>1.07</v>
      </c>
      <c r="AA7004" s="14">
        <v>3.26</v>
      </c>
      <c r="AB7004" s="12" t="s">
        <v>43</v>
      </c>
      <c r="AC7004" s="12" t="s">
        <v>26235</v>
      </c>
      <c r="AD7004" s="13">
        <v>42272</v>
      </c>
      <c r="AE7004" s="12" t="s">
        <v>1945</v>
      </c>
      <c r="AF7004" s="12" t="s">
        <v>1636</v>
      </c>
      <c r="AG7004" s="12" t="s">
        <v>572</v>
      </c>
      <c r="AH7004" s="1">
        <f>HYPERLINK("https://my.pitchbook.com?c=62401-06T","View Company Online")</f>
      </c>
    </row>
    <row r="7005">
      <c r="A7005" s="3" t="s">
        <v>31348</v>
      </c>
      <c r="B7005" s="3" t="s">
        <v>31349</v>
      </c>
      <c r="C7005" s="5" t="s">
        <v>36</v>
      </c>
      <c r="D7005" s="5" t="s">
        <v>36</v>
      </c>
      <c r="E7005" s="5">
        <v>3</v>
      </c>
      <c r="F7005" s="5">
        <v>3</v>
      </c>
      <c r="G7005" s="6" t="s">
        <v>36</v>
      </c>
      <c r="H7005" s="4" t="s">
        <v>36</v>
      </c>
      <c r="I7005" s="7" t="s">
        <v>36</v>
      </c>
      <c r="J7005" s="3" t="s">
        <v>36</v>
      </c>
      <c r="K7005" s="9" t="s">
        <v>36</v>
      </c>
      <c r="L7005" s="6" t="s">
        <v>36</v>
      </c>
      <c r="M7005" s="3" t="s">
        <v>36</v>
      </c>
      <c r="N7005" s="3" t="s">
        <v>36</v>
      </c>
      <c r="O7005" s="8" t="s">
        <v>36</v>
      </c>
      <c r="P7005" s="3" t="s">
        <v>36</v>
      </c>
      <c r="Q7005" s="3" t="s">
        <v>36</v>
      </c>
      <c r="R7005" s="3" t="s">
        <v>36</v>
      </c>
      <c r="S7005" s="3" t="s">
        <v>36</v>
      </c>
      <c r="T7005" s="3" t="s">
        <v>31350</v>
      </c>
      <c r="U7005" s="3" t="s">
        <v>38</v>
      </c>
      <c r="V7005" s="3" t="s">
        <v>39</v>
      </c>
      <c r="W7005" s="3" t="s">
        <v>31351</v>
      </c>
      <c r="X7005" s="10" t="s">
        <v>31352</v>
      </c>
      <c r="Y7005" s="6" t="s">
        <v>108</v>
      </c>
      <c r="Z7005" s="4">
        <v>5.62</v>
      </c>
      <c r="AA7005" s="4" t="s">
        <v>36</v>
      </c>
      <c r="AB7005" s="3" t="s">
        <v>56</v>
      </c>
      <c r="AC7005" s="3" t="s">
        <v>31353</v>
      </c>
      <c r="AD7005" s="9">
        <v>42271</v>
      </c>
      <c r="AE7005" s="3" t="s">
        <v>554</v>
      </c>
      <c r="AF7005" s="3" t="s">
        <v>4552</v>
      </c>
      <c r="AG7005" s="3" t="s">
        <v>81</v>
      </c>
      <c r="AH7005" s="11">
        <f>HYPERLINK("https://my.pitchbook.com?c=24560-02T","View Company Online")</f>
      </c>
    </row>
    <row r="7006">
      <c r="A7006" s="12" t="s">
        <v>31354</v>
      </c>
      <c r="B7006" s="12" t="s">
        <v>18737</v>
      </c>
      <c r="C7006" s="19" t="s">
        <v>36</v>
      </c>
      <c r="D7006" s="19" t="s">
        <v>36</v>
      </c>
      <c r="E7006" s="19" t="s">
        <v>36</v>
      </c>
      <c r="F7006" s="19" t="s">
        <v>36</v>
      </c>
      <c r="G7006" s="15" t="s">
        <v>36</v>
      </c>
      <c r="H7006" s="14" t="s">
        <v>36</v>
      </c>
      <c r="I7006" s="18" t="s">
        <v>36</v>
      </c>
      <c r="J7006" s="12" t="s">
        <v>36</v>
      </c>
      <c r="K7006" s="13" t="s">
        <v>36</v>
      </c>
      <c r="L7006" s="15" t="s">
        <v>122</v>
      </c>
      <c r="M7006" s="12" t="s">
        <v>36</v>
      </c>
      <c r="N7006" s="12" t="s">
        <v>122</v>
      </c>
      <c r="O7006" s="17" t="s">
        <v>36</v>
      </c>
      <c r="P7006" s="12" t="s">
        <v>36</v>
      </c>
      <c r="Q7006" s="12" t="s">
        <v>36</v>
      </c>
      <c r="R7006" s="12" t="s">
        <v>36</v>
      </c>
      <c r="S7006" s="12" t="s">
        <v>36</v>
      </c>
      <c r="T7006" s="12" t="s">
        <v>768</v>
      </c>
      <c r="U7006" s="12" t="s">
        <v>233</v>
      </c>
      <c r="V7006" s="12" t="s">
        <v>39</v>
      </c>
      <c r="W7006" s="12" t="s">
        <v>18738</v>
      </c>
      <c r="X7006" s="16" t="s">
        <v>31355</v>
      </c>
      <c r="Y7006" s="15" t="s">
        <v>42</v>
      </c>
      <c r="Z7006" s="14">
        <v>5.62</v>
      </c>
      <c r="AA7006" s="14" t="s">
        <v>36</v>
      </c>
      <c r="AB7006" s="12" t="s">
        <v>56</v>
      </c>
      <c r="AC7006" s="12" t="s">
        <v>18739</v>
      </c>
      <c r="AD7006" s="13">
        <v>42271</v>
      </c>
      <c r="AE7006" s="12" t="s">
        <v>236</v>
      </c>
      <c r="AF7006" s="12" t="s">
        <v>18740</v>
      </c>
      <c r="AG7006" s="12" t="s">
        <v>81</v>
      </c>
      <c r="AH7006" s="1">
        <f>HYPERLINK("https://my.pitchbook.com?c=58043-53T","View Company Online")</f>
      </c>
    </row>
    <row r="7007">
      <c r="A7007" s="3" t="s">
        <v>31356</v>
      </c>
      <c r="B7007" s="3" t="s">
        <v>31357</v>
      </c>
      <c r="C7007" s="5" t="s">
        <v>36</v>
      </c>
      <c r="D7007" s="5" t="s">
        <v>36</v>
      </c>
      <c r="E7007" s="5" t="s">
        <v>36</v>
      </c>
      <c r="F7007" s="5" t="s">
        <v>36</v>
      </c>
      <c r="G7007" s="6" t="s">
        <v>36</v>
      </c>
      <c r="H7007" s="4" t="s">
        <v>36</v>
      </c>
      <c r="I7007" s="7" t="s">
        <v>36</v>
      </c>
      <c r="J7007" s="3" t="s">
        <v>36</v>
      </c>
      <c r="K7007" s="9" t="s">
        <v>36</v>
      </c>
      <c r="L7007" s="6" t="s">
        <v>36</v>
      </c>
      <c r="M7007" s="3" t="s">
        <v>36</v>
      </c>
      <c r="N7007" s="3" t="s">
        <v>36</v>
      </c>
      <c r="O7007" s="8" t="s">
        <v>36</v>
      </c>
      <c r="P7007" s="3" t="s">
        <v>36</v>
      </c>
      <c r="Q7007" s="3" t="s">
        <v>36</v>
      </c>
      <c r="R7007" s="3" t="s">
        <v>36</v>
      </c>
      <c r="S7007" s="3" t="s">
        <v>36</v>
      </c>
      <c r="T7007" s="3" t="s">
        <v>31358</v>
      </c>
      <c r="U7007" s="3" t="s">
        <v>74</v>
      </c>
      <c r="V7007" s="3" t="s">
        <v>75</v>
      </c>
      <c r="W7007" s="3" t="s">
        <v>31359</v>
      </c>
      <c r="X7007" s="10" t="s">
        <v>31360</v>
      </c>
      <c r="Y7007" s="6" t="s">
        <v>42</v>
      </c>
      <c r="Z7007" s="4">
        <v>2.14</v>
      </c>
      <c r="AA7007" s="4" t="s">
        <v>36</v>
      </c>
      <c r="AB7007" s="3" t="s">
        <v>43</v>
      </c>
      <c r="AC7007" s="3" t="s">
        <v>31361</v>
      </c>
      <c r="AD7007" s="9">
        <v>42270</v>
      </c>
      <c r="AE7007" s="3" t="s">
        <v>696</v>
      </c>
      <c r="AF7007" s="3" t="s">
        <v>13004</v>
      </c>
      <c r="AG7007" s="3" t="s">
        <v>31362</v>
      </c>
      <c r="AH7007" s="11">
        <f>HYPERLINK("https://my.pitchbook.com?c=40743-73T","View Company Online")</f>
      </c>
    </row>
    <row r="7008">
      <c r="A7008" s="12" t="s">
        <v>31363</v>
      </c>
      <c r="B7008" s="12" t="s">
        <v>31364</v>
      </c>
      <c r="C7008" s="19" t="s">
        <v>36</v>
      </c>
      <c r="D7008" s="19" t="s">
        <v>36</v>
      </c>
      <c r="E7008" s="19" t="s">
        <v>36</v>
      </c>
      <c r="F7008" s="19" t="s">
        <v>36</v>
      </c>
      <c r="G7008" s="15" t="s">
        <v>36</v>
      </c>
      <c r="H7008" s="14">
        <v>221.75</v>
      </c>
      <c r="I7008" s="18">
        <v>18.21</v>
      </c>
      <c r="J7008" s="12" t="s">
        <v>521</v>
      </c>
      <c r="K7008" s="13">
        <v>42193</v>
      </c>
      <c r="L7008" s="15" t="s">
        <v>36</v>
      </c>
      <c r="M7008" s="12" t="s">
        <v>36</v>
      </c>
      <c r="N7008" s="12" t="s">
        <v>36</v>
      </c>
      <c r="O7008" s="17" t="s">
        <v>36</v>
      </c>
      <c r="P7008" s="12" t="s">
        <v>36</v>
      </c>
      <c r="Q7008" s="12" t="s">
        <v>36</v>
      </c>
      <c r="R7008" s="12" t="s">
        <v>36</v>
      </c>
      <c r="S7008" s="12" t="s">
        <v>36</v>
      </c>
      <c r="T7008" s="12" t="s">
        <v>7351</v>
      </c>
      <c r="U7008" s="12" t="s">
        <v>728</v>
      </c>
      <c r="V7008" s="12" t="s">
        <v>64</v>
      </c>
      <c r="W7008" s="12" t="s">
        <v>31365</v>
      </c>
      <c r="X7008" s="16" t="s">
        <v>11579</v>
      </c>
      <c r="Y7008" s="15" t="s">
        <v>42</v>
      </c>
      <c r="Z7008" s="14">
        <v>0.88</v>
      </c>
      <c r="AA7008" s="14">
        <v>4.81</v>
      </c>
      <c r="AB7008" s="12" t="s">
        <v>43</v>
      </c>
      <c r="AC7008" s="12" t="s">
        <v>31366</v>
      </c>
      <c r="AD7008" s="13">
        <v>42270</v>
      </c>
      <c r="AE7008" s="12" t="s">
        <v>1600</v>
      </c>
      <c r="AF7008" s="12" t="s">
        <v>2118</v>
      </c>
      <c r="AG7008" s="12" t="s">
        <v>81</v>
      </c>
      <c r="AH7008" s="1">
        <f>HYPERLINK("https://my.pitchbook.com?c=86606-11T","View Company Online")</f>
      </c>
    </row>
    <row r="7009">
      <c r="A7009" s="3" t="s">
        <v>31367</v>
      </c>
      <c r="B7009" s="3" t="s">
        <v>30471</v>
      </c>
      <c r="C7009" s="5">
        <v>2</v>
      </c>
      <c r="D7009" s="5">
        <v>42</v>
      </c>
      <c r="E7009" s="5">
        <v>22</v>
      </c>
      <c r="F7009" s="5">
        <v>102</v>
      </c>
      <c r="G7009" s="6" t="s">
        <v>36</v>
      </c>
      <c r="H7009" s="4" t="s">
        <v>36</v>
      </c>
      <c r="I7009" s="7" t="s">
        <v>36</v>
      </c>
      <c r="J7009" s="3" t="s">
        <v>36</v>
      </c>
      <c r="K7009" s="9" t="s">
        <v>36</v>
      </c>
      <c r="L7009" s="6" t="s">
        <v>36</v>
      </c>
      <c r="M7009" s="3" t="s">
        <v>36</v>
      </c>
      <c r="N7009" s="3" t="s">
        <v>36</v>
      </c>
      <c r="O7009" s="8" t="s">
        <v>36</v>
      </c>
      <c r="P7009" s="3" t="s">
        <v>36</v>
      </c>
      <c r="Q7009" s="3" t="s">
        <v>36</v>
      </c>
      <c r="R7009" s="3" t="s">
        <v>36</v>
      </c>
      <c r="S7009" s="3" t="s">
        <v>36</v>
      </c>
      <c r="T7009" s="3" t="s">
        <v>4082</v>
      </c>
      <c r="U7009" s="3" t="s">
        <v>1580</v>
      </c>
      <c r="V7009" s="3" t="s">
        <v>39</v>
      </c>
      <c r="W7009" s="3" t="s">
        <v>30472</v>
      </c>
      <c r="X7009" s="10" t="s">
        <v>31368</v>
      </c>
      <c r="Y7009" s="6" t="s">
        <v>321</v>
      </c>
      <c r="Z7009" s="4">
        <v>3.3</v>
      </c>
      <c r="AA7009" s="4" t="s">
        <v>36</v>
      </c>
      <c r="AB7009" s="3" t="s">
        <v>56</v>
      </c>
      <c r="AC7009" s="3" t="s">
        <v>30474</v>
      </c>
      <c r="AD7009" s="9">
        <v>42269</v>
      </c>
      <c r="AE7009" s="3" t="s">
        <v>4086</v>
      </c>
      <c r="AF7009" s="3" t="s">
        <v>1636</v>
      </c>
      <c r="AG7009" s="3" t="s">
        <v>81</v>
      </c>
      <c r="AH7009" s="11">
        <f>HYPERLINK("https://my.pitchbook.com?c=57930-94T","View Company Online")</f>
      </c>
    </row>
    <row r="7010">
      <c r="A7010" s="12" t="s">
        <v>31369</v>
      </c>
      <c r="B7010" s="12" t="s">
        <v>26995</v>
      </c>
      <c r="C7010" s="19" t="s">
        <v>36</v>
      </c>
      <c r="D7010" s="19" t="s">
        <v>36</v>
      </c>
      <c r="E7010" s="19" t="s">
        <v>36</v>
      </c>
      <c r="F7010" s="19" t="s">
        <v>36</v>
      </c>
      <c r="G7010" s="15" t="s">
        <v>326</v>
      </c>
      <c r="H7010" s="14">
        <v>14.53</v>
      </c>
      <c r="I7010" s="18">
        <v>33.06</v>
      </c>
      <c r="J7010" s="12" t="s">
        <v>521</v>
      </c>
      <c r="K7010" s="13" t="s">
        <v>36</v>
      </c>
      <c r="L7010" s="15" t="s">
        <v>94</v>
      </c>
      <c r="M7010" s="12" t="s">
        <v>36</v>
      </c>
      <c r="N7010" s="12" t="s">
        <v>94</v>
      </c>
      <c r="O7010" s="17" t="s">
        <v>36</v>
      </c>
      <c r="P7010" s="12" t="s">
        <v>36</v>
      </c>
      <c r="Q7010" s="12" t="s">
        <v>36</v>
      </c>
      <c r="R7010" s="12" t="s">
        <v>36</v>
      </c>
      <c r="S7010" s="12" t="s">
        <v>196</v>
      </c>
      <c r="T7010" s="12" t="s">
        <v>1397</v>
      </c>
      <c r="U7010" s="12" t="s">
        <v>38</v>
      </c>
      <c r="V7010" s="12" t="s">
        <v>39</v>
      </c>
      <c r="W7010" s="12" t="s">
        <v>26996</v>
      </c>
      <c r="X7010" s="16" t="s">
        <v>31370</v>
      </c>
      <c r="Y7010" s="15" t="s">
        <v>192</v>
      </c>
      <c r="Z7010" s="14">
        <v>15.73</v>
      </c>
      <c r="AA7010" s="14">
        <v>40.78</v>
      </c>
      <c r="AB7010" s="12" t="s">
        <v>56</v>
      </c>
      <c r="AC7010" s="12" t="s">
        <v>26998</v>
      </c>
      <c r="AD7010" s="13">
        <v>42268</v>
      </c>
      <c r="AE7010" s="12" t="s">
        <v>110</v>
      </c>
      <c r="AF7010" s="12" t="s">
        <v>4552</v>
      </c>
      <c r="AG7010" s="12" t="s">
        <v>186</v>
      </c>
      <c r="AH7010" s="1">
        <f>HYPERLINK("https://my.pitchbook.com?c=57863-62T","View Company Online")</f>
      </c>
    </row>
    <row r="7011">
      <c r="A7011" s="3" t="s">
        <v>31371</v>
      </c>
      <c r="B7011" s="3" t="s">
        <v>16685</v>
      </c>
      <c r="C7011" s="5" t="s">
        <v>36</v>
      </c>
      <c r="D7011" s="5" t="s">
        <v>36</v>
      </c>
      <c r="E7011" s="5" t="s">
        <v>36</v>
      </c>
      <c r="F7011" s="5" t="s">
        <v>36</v>
      </c>
      <c r="G7011" s="6" t="s">
        <v>36</v>
      </c>
      <c r="H7011" s="4">
        <v>872.4</v>
      </c>
      <c r="I7011" s="7">
        <v>32.27</v>
      </c>
      <c r="J7011" s="3" t="s">
        <v>521</v>
      </c>
      <c r="K7011" s="9">
        <v>42258</v>
      </c>
      <c r="L7011" s="6" t="s">
        <v>36</v>
      </c>
      <c r="M7011" s="3" t="s">
        <v>36</v>
      </c>
      <c r="N7011" s="3" t="s">
        <v>36</v>
      </c>
      <c r="O7011" s="8" t="s">
        <v>36</v>
      </c>
      <c r="P7011" s="3" t="s">
        <v>36</v>
      </c>
      <c r="Q7011" s="3" t="s">
        <v>36</v>
      </c>
      <c r="R7011" s="3" t="s">
        <v>36</v>
      </c>
      <c r="S7011" s="3" t="s">
        <v>36</v>
      </c>
      <c r="T7011" s="3" t="s">
        <v>11657</v>
      </c>
      <c r="U7011" s="3" t="s">
        <v>289</v>
      </c>
      <c r="V7011" s="3" t="s">
        <v>64</v>
      </c>
      <c r="W7011" s="3" t="s">
        <v>16686</v>
      </c>
      <c r="X7011" s="10" t="s">
        <v>11579</v>
      </c>
      <c r="Y7011" s="6" t="s">
        <v>42</v>
      </c>
      <c r="Z7011" s="4">
        <v>1.12</v>
      </c>
      <c r="AA7011" s="4">
        <v>3.48</v>
      </c>
      <c r="AB7011" s="3" t="s">
        <v>56</v>
      </c>
      <c r="AC7011" s="3" t="s">
        <v>16688</v>
      </c>
      <c r="AD7011" s="9">
        <v>42268</v>
      </c>
      <c r="AE7011" s="3" t="s">
        <v>292</v>
      </c>
      <c r="AF7011" s="3" t="s">
        <v>90</v>
      </c>
      <c r="AG7011" s="3" t="s">
        <v>16689</v>
      </c>
      <c r="AH7011" s="11">
        <f>HYPERLINK("https://my.pitchbook.com?c=85136-05T","View Company Online")</f>
      </c>
    </row>
    <row r="7012">
      <c r="A7012" s="12" t="s">
        <v>31372</v>
      </c>
      <c r="B7012" s="12" t="s">
        <v>17459</v>
      </c>
      <c r="C7012" s="19">
        <v>1</v>
      </c>
      <c r="D7012" s="19">
        <v>4</v>
      </c>
      <c r="E7012" s="19">
        <v>3</v>
      </c>
      <c r="F7012" s="19">
        <v>7</v>
      </c>
      <c r="G7012" s="15" t="s">
        <v>326</v>
      </c>
      <c r="H7012" s="14">
        <v>8.5</v>
      </c>
      <c r="I7012" s="18">
        <v>56.62</v>
      </c>
      <c r="J7012" s="12" t="s">
        <v>521</v>
      </c>
      <c r="K7012" s="13" t="s">
        <v>36</v>
      </c>
      <c r="L7012" s="15" t="s">
        <v>122</v>
      </c>
      <c r="M7012" s="12" t="s">
        <v>36</v>
      </c>
      <c r="N7012" s="12" t="s">
        <v>122</v>
      </c>
      <c r="O7012" s="17" t="s">
        <v>36</v>
      </c>
      <c r="P7012" s="12" t="s">
        <v>36</v>
      </c>
      <c r="Q7012" s="12" t="s">
        <v>36</v>
      </c>
      <c r="R7012" s="12" t="s">
        <v>36</v>
      </c>
      <c r="S7012" s="12" t="s">
        <v>36</v>
      </c>
      <c r="T7012" s="12" t="s">
        <v>5525</v>
      </c>
      <c r="U7012" s="12" t="s">
        <v>38</v>
      </c>
      <c r="V7012" s="12" t="s">
        <v>39</v>
      </c>
      <c r="W7012" s="12" t="s">
        <v>17460</v>
      </c>
      <c r="X7012" s="16" t="s">
        <v>31373</v>
      </c>
      <c r="Y7012" s="15" t="s">
        <v>192</v>
      </c>
      <c r="Z7012" s="14">
        <v>9.44</v>
      </c>
      <c r="AA7012" s="14">
        <v>15.19</v>
      </c>
      <c r="AB7012" s="12" t="s">
        <v>56</v>
      </c>
      <c r="AC7012" s="12" t="s">
        <v>17462</v>
      </c>
      <c r="AD7012" s="13">
        <v>42268</v>
      </c>
      <c r="AE7012" s="12" t="s">
        <v>110</v>
      </c>
      <c r="AF7012" s="12" t="s">
        <v>7107</v>
      </c>
      <c r="AG7012" s="12" t="s">
        <v>924</v>
      </c>
      <c r="AH7012" s="1">
        <f>HYPERLINK("https://my.pitchbook.com?c=57841-30T","View Company Online")</f>
      </c>
    </row>
    <row r="7013">
      <c r="A7013" s="3" t="s">
        <v>31374</v>
      </c>
      <c r="B7013" s="3" t="s">
        <v>15926</v>
      </c>
      <c r="C7013" s="5" t="s">
        <v>36</v>
      </c>
      <c r="D7013" s="5" t="s">
        <v>36</v>
      </c>
      <c r="E7013" s="5" t="s">
        <v>36</v>
      </c>
      <c r="F7013" s="5" t="s">
        <v>36</v>
      </c>
      <c r="G7013" s="6" t="s">
        <v>36</v>
      </c>
      <c r="H7013" s="4">
        <v>103.82</v>
      </c>
      <c r="I7013" s="7">
        <v>14.23</v>
      </c>
      <c r="J7013" s="3" t="s">
        <v>521</v>
      </c>
      <c r="K7013" s="9" t="s">
        <v>36</v>
      </c>
      <c r="L7013" s="6" t="s">
        <v>36</v>
      </c>
      <c r="M7013" s="3" t="s">
        <v>36</v>
      </c>
      <c r="N7013" s="3" t="s">
        <v>36</v>
      </c>
      <c r="O7013" s="8" t="s">
        <v>36</v>
      </c>
      <c r="P7013" s="3" t="s">
        <v>36</v>
      </c>
      <c r="Q7013" s="3" t="s">
        <v>36</v>
      </c>
      <c r="R7013" s="3" t="s">
        <v>36</v>
      </c>
      <c r="S7013" s="3" t="s">
        <v>36</v>
      </c>
      <c r="T7013" s="3" t="s">
        <v>7256</v>
      </c>
      <c r="U7013" s="3" t="s">
        <v>74</v>
      </c>
      <c r="V7013" s="3" t="s">
        <v>75</v>
      </c>
      <c r="W7013" s="3" t="s">
        <v>15927</v>
      </c>
      <c r="X7013" s="10" t="s">
        <v>31375</v>
      </c>
      <c r="Y7013" s="6" t="s">
        <v>42</v>
      </c>
      <c r="Z7013" s="4">
        <v>5.62</v>
      </c>
      <c r="AA7013" s="4">
        <v>25.28</v>
      </c>
      <c r="AB7013" s="3" t="s">
        <v>56</v>
      </c>
      <c r="AC7013" s="3" t="s">
        <v>15929</v>
      </c>
      <c r="AD7013" s="9">
        <v>42268</v>
      </c>
      <c r="AE7013" s="3" t="s">
        <v>79</v>
      </c>
      <c r="AF7013" s="3" t="s">
        <v>15930</v>
      </c>
      <c r="AG7013" s="3" t="s">
        <v>15931</v>
      </c>
      <c r="AH7013" s="11">
        <f>HYPERLINK("https://my.pitchbook.com?c=120654-55T","View Company Online")</f>
      </c>
    </row>
    <row r="7014">
      <c r="A7014" s="12" t="s">
        <v>31376</v>
      </c>
      <c r="B7014" s="12" t="s">
        <v>31377</v>
      </c>
      <c r="C7014" s="19" t="s">
        <v>36</v>
      </c>
      <c r="D7014" s="19">
        <v>1</v>
      </c>
      <c r="E7014" s="19">
        <v>2</v>
      </c>
      <c r="F7014" s="19">
        <v>3</v>
      </c>
      <c r="G7014" s="15" t="s">
        <v>36</v>
      </c>
      <c r="H7014" s="14">
        <v>5.16</v>
      </c>
      <c r="I7014" s="18">
        <v>45.98</v>
      </c>
      <c r="J7014" s="12" t="s">
        <v>521</v>
      </c>
      <c r="K7014" s="13" t="s">
        <v>36</v>
      </c>
      <c r="L7014" s="15" t="s">
        <v>36</v>
      </c>
      <c r="M7014" s="12" t="s">
        <v>36</v>
      </c>
      <c r="N7014" s="12" t="s">
        <v>36</v>
      </c>
      <c r="O7014" s="17" t="s">
        <v>36</v>
      </c>
      <c r="P7014" s="12" t="s">
        <v>36</v>
      </c>
      <c r="Q7014" s="12" t="s">
        <v>36</v>
      </c>
      <c r="R7014" s="12" t="s">
        <v>36</v>
      </c>
      <c r="S7014" s="12" t="s">
        <v>36</v>
      </c>
      <c r="T7014" s="12" t="s">
        <v>31378</v>
      </c>
      <c r="U7014" s="12" t="s">
        <v>833</v>
      </c>
      <c r="V7014" s="12" t="s">
        <v>64</v>
      </c>
      <c r="W7014" s="12" t="s">
        <v>31379</v>
      </c>
      <c r="X7014" s="16" t="s">
        <v>31380</v>
      </c>
      <c r="Y7014" s="15" t="s">
        <v>42</v>
      </c>
      <c r="Z7014" s="14">
        <v>1.42</v>
      </c>
      <c r="AA7014" s="14">
        <v>3.09</v>
      </c>
      <c r="AB7014" s="12" t="s">
        <v>56</v>
      </c>
      <c r="AC7014" s="12" t="s">
        <v>31381</v>
      </c>
      <c r="AD7014" s="13">
        <v>42264</v>
      </c>
      <c r="AE7014" s="12" t="s">
        <v>1687</v>
      </c>
      <c r="AF7014" s="12" t="s">
        <v>571</v>
      </c>
      <c r="AG7014" s="12" t="s">
        <v>31382</v>
      </c>
      <c r="AH7014" s="1">
        <f>HYPERLINK("https://my.pitchbook.com?c=27608-23T","View Company Online")</f>
      </c>
    </row>
    <row r="7015">
      <c r="A7015" s="3" t="s">
        <v>31383</v>
      </c>
      <c r="B7015" s="3" t="s">
        <v>29611</v>
      </c>
      <c r="C7015" s="5" t="s">
        <v>36</v>
      </c>
      <c r="D7015" s="5" t="s">
        <v>36</v>
      </c>
      <c r="E7015" s="5" t="s">
        <v>36</v>
      </c>
      <c r="F7015" s="5" t="s">
        <v>36</v>
      </c>
      <c r="G7015" s="6" t="s">
        <v>36</v>
      </c>
      <c r="H7015" s="4">
        <v>3.53</v>
      </c>
      <c r="I7015" s="7">
        <v>36.45</v>
      </c>
      <c r="J7015" s="3" t="s">
        <v>521</v>
      </c>
      <c r="K7015" s="9">
        <v>42005</v>
      </c>
      <c r="L7015" s="6" t="s">
        <v>36</v>
      </c>
      <c r="M7015" s="3" t="s">
        <v>36</v>
      </c>
      <c r="N7015" s="3" t="s">
        <v>36</v>
      </c>
      <c r="O7015" s="8" t="s">
        <v>36</v>
      </c>
      <c r="P7015" s="3" t="s">
        <v>36</v>
      </c>
      <c r="Q7015" s="3" t="s">
        <v>36</v>
      </c>
      <c r="R7015" s="3" t="s">
        <v>36</v>
      </c>
      <c r="S7015" s="3" t="s">
        <v>6531</v>
      </c>
      <c r="T7015" s="3" t="s">
        <v>1162</v>
      </c>
      <c r="U7015" s="3" t="s">
        <v>423</v>
      </c>
      <c r="V7015" s="3" t="s">
        <v>64</v>
      </c>
      <c r="W7015" s="3" t="s">
        <v>29612</v>
      </c>
      <c r="X7015" s="10" t="s">
        <v>31384</v>
      </c>
      <c r="Y7015" s="6" t="s">
        <v>42</v>
      </c>
      <c r="Z7015" s="4">
        <v>1.09</v>
      </c>
      <c r="AA7015" s="4">
        <v>3</v>
      </c>
      <c r="AB7015" s="3" t="s">
        <v>43</v>
      </c>
      <c r="AC7015" s="3" t="s">
        <v>29614</v>
      </c>
      <c r="AD7015" s="9">
        <v>42264</v>
      </c>
      <c r="AE7015" s="3" t="s">
        <v>562</v>
      </c>
      <c r="AF7015" s="3" t="s">
        <v>20262</v>
      </c>
      <c r="AG7015" s="3" t="s">
        <v>81</v>
      </c>
      <c r="AH7015" s="11">
        <f>HYPERLINK("https://my.pitchbook.com?c=60350-86T","View Company Online")</f>
      </c>
    </row>
    <row r="7016">
      <c r="A7016" s="12" t="s">
        <v>31385</v>
      </c>
      <c r="B7016" s="12" t="s">
        <v>25866</v>
      </c>
      <c r="C7016" s="19" t="s">
        <v>36</v>
      </c>
      <c r="D7016" s="19" t="s">
        <v>36</v>
      </c>
      <c r="E7016" s="19" t="s">
        <v>36</v>
      </c>
      <c r="F7016" s="19" t="s">
        <v>36</v>
      </c>
      <c r="G7016" s="15" t="s">
        <v>326</v>
      </c>
      <c r="H7016" s="14">
        <v>4.57</v>
      </c>
      <c r="I7016" s="18">
        <v>32.74</v>
      </c>
      <c r="J7016" s="12" t="s">
        <v>521</v>
      </c>
      <c r="K7016" s="13" t="s">
        <v>36</v>
      </c>
      <c r="L7016" s="15" t="s">
        <v>36</v>
      </c>
      <c r="M7016" s="12" t="s">
        <v>36</v>
      </c>
      <c r="N7016" s="12" t="s">
        <v>36</v>
      </c>
      <c r="O7016" s="17" t="s">
        <v>36</v>
      </c>
      <c r="P7016" s="12" t="s">
        <v>36</v>
      </c>
      <c r="Q7016" s="12" t="s">
        <v>36</v>
      </c>
      <c r="R7016" s="12" t="s">
        <v>36</v>
      </c>
      <c r="S7016" s="12" t="s">
        <v>36</v>
      </c>
      <c r="T7016" s="12" t="s">
        <v>1701</v>
      </c>
      <c r="U7016" s="12" t="s">
        <v>74</v>
      </c>
      <c r="V7016" s="12" t="s">
        <v>75</v>
      </c>
      <c r="W7016" s="12" t="s">
        <v>25867</v>
      </c>
      <c r="X7016" s="16" t="s">
        <v>31386</v>
      </c>
      <c r="Y7016" s="15" t="s">
        <v>192</v>
      </c>
      <c r="Z7016" s="14">
        <v>11.2</v>
      </c>
      <c r="AA7016" s="14">
        <v>25.15</v>
      </c>
      <c r="AB7016" s="12" t="s">
        <v>56</v>
      </c>
      <c r="AC7016" s="12" t="s">
        <v>25869</v>
      </c>
      <c r="AD7016" s="13">
        <v>42263</v>
      </c>
      <c r="AE7016" s="12" t="s">
        <v>79</v>
      </c>
      <c r="AF7016" s="12" t="s">
        <v>4099</v>
      </c>
      <c r="AG7016" s="12" t="s">
        <v>47</v>
      </c>
      <c r="AH7016" s="1">
        <f>HYPERLINK("https://my.pitchbook.com?c=57750-49T","View Company Online")</f>
      </c>
    </row>
    <row r="7017">
      <c r="A7017" s="3" t="s">
        <v>31387</v>
      </c>
      <c r="B7017" s="3" t="s">
        <v>10770</v>
      </c>
      <c r="C7017" s="5">
        <v>45</v>
      </c>
      <c r="D7017" s="5">
        <v>96</v>
      </c>
      <c r="E7017" s="5">
        <v>38</v>
      </c>
      <c r="F7017" s="5">
        <v>154</v>
      </c>
      <c r="G7017" s="6" t="s">
        <v>326</v>
      </c>
      <c r="H7017" s="4">
        <v>0.14</v>
      </c>
      <c r="I7017" s="7">
        <v>21.32</v>
      </c>
      <c r="J7017" s="3" t="s">
        <v>521</v>
      </c>
      <c r="K7017" s="9">
        <v>42215</v>
      </c>
      <c r="L7017" s="6" t="s">
        <v>122</v>
      </c>
      <c r="M7017" s="3" t="s">
        <v>36</v>
      </c>
      <c r="N7017" s="3" t="s">
        <v>122</v>
      </c>
      <c r="O7017" s="8" t="s">
        <v>36</v>
      </c>
      <c r="P7017" s="3" t="s">
        <v>36</v>
      </c>
      <c r="Q7017" s="3" t="s">
        <v>36</v>
      </c>
      <c r="R7017" s="3" t="s">
        <v>36</v>
      </c>
      <c r="S7017" s="3" t="s">
        <v>36</v>
      </c>
      <c r="T7017" s="3" t="s">
        <v>10771</v>
      </c>
      <c r="U7017" s="3" t="s">
        <v>318</v>
      </c>
      <c r="V7017" s="3" t="s">
        <v>39</v>
      </c>
      <c r="W7017" s="3" t="s">
        <v>10772</v>
      </c>
      <c r="X7017" s="10" t="s">
        <v>31388</v>
      </c>
      <c r="Y7017" s="6" t="s">
        <v>108</v>
      </c>
      <c r="Z7017" s="4">
        <v>0.84</v>
      </c>
      <c r="AA7017" s="4">
        <v>3.94</v>
      </c>
      <c r="AB7017" s="3" t="s">
        <v>43</v>
      </c>
      <c r="AC7017" s="3" t="s">
        <v>10774</v>
      </c>
      <c r="AD7017" s="9">
        <v>42263</v>
      </c>
      <c r="AE7017" s="3" t="s">
        <v>763</v>
      </c>
      <c r="AF7017" s="3" t="s">
        <v>10775</v>
      </c>
      <c r="AG7017" s="3" t="s">
        <v>81</v>
      </c>
      <c r="AH7017" s="11">
        <f>HYPERLINK("https://my.pitchbook.com?c=116589-43T","View Company Online")</f>
      </c>
    </row>
    <row r="7018">
      <c r="A7018" s="12" t="s">
        <v>31389</v>
      </c>
      <c r="B7018" s="12" t="s">
        <v>26829</v>
      </c>
      <c r="C7018" s="19" t="s">
        <v>36</v>
      </c>
      <c r="D7018" s="19">
        <v>3</v>
      </c>
      <c r="E7018" s="19">
        <v>1</v>
      </c>
      <c r="F7018" s="19">
        <v>4</v>
      </c>
      <c r="G7018" s="15" t="s">
        <v>36</v>
      </c>
      <c r="H7018" s="14" t="s">
        <v>36</v>
      </c>
      <c r="I7018" s="18" t="s">
        <v>36</v>
      </c>
      <c r="J7018" s="12" t="s">
        <v>36</v>
      </c>
      <c r="K7018" s="13" t="s">
        <v>36</v>
      </c>
      <c r="L7018" s="15" t="s">
        <v>36</v>
      </c>
      <c r="M7018" s="12" t="s">
        <v>36</v>
      </c>
      <c r="N7018" s="12" t="s">
        <v>36</v>
      </c>
      <c r="O7018" s="17" t="s">
        <v>36</v>
      </c>
      <c r="P7018" s="12" t="s">
        <v>36</v>
      </c>
      <c r="Q7018" s="12" t="s">
        <v>36</v>
      </c>
      <c r="R7018" s="12" t="s">
        <v>36</v>
      </c>
      <c r="S7018" s="12" t="s">
        <v>36</v>
      </c>
      <c r="T7018" s="12" t="s">
        <v>26830</v>
      </c>
      <c r="U7018" s="12" t="s">
        <v>38</v>
      </c>
      <c r="V7018" s="12" t="s">
        <v>39</v>
      </c>
      <c r="W7018" s="12" t="s">
        <v>26831</v>
      </c>
      <c r="X7018" s="16" t="s">
        <v>31390</v>
      </c>
      <c r="Y7018" s="15" t="s">
        <v>108</v>
      </c>
      <c r="Z7018" s="14">
        <v>0.94</v>
      </c>
      <c r="AA7018" s="14" t="s">
        <v>36</v>
      </c>
      <c r="AB7018" s="12" t="s">
        <v>43</v>
      </c>
      <c r="AC7018" s="12" t="s">
        <v>26833</v>
      </c>
      <c r="AD7018" s="13">
        <v>42262</v>
      </c>
      <c r="AE7018" s="12" t="s">
        <v>110</v>
      </c>
      <c r="AF7018" s="12" t="s">
        <v>1331</v>
      </c>
      <c r="AG7018" s="12" t="s">
        <v>81</v>
      </c>
      <c r="AH7018" s="1">
        <f>HYPERLINK("https://my.pitchbook.com?c=66473-20T","View Company Online")</f>
      </c>
    </row>
    <row r="7019">
      <c r="A7019" s="3" t="s">
        <v>31391</v>
      </c>
      <c r="B7019" s="3" t="s">
        <v>20399</v>
      </c>
      <c r="C7019" s="5" t="s">
        <v>36</v>
      </c>
      <c r="D7019" s="5">
        <v>27</v>
      </c>
      <c r="E7019" s="5">
        <v>4</v>
      </c>
      <c r="F7019" s="5">
        <v>30</v>
      </c>
      <c r="G7019" s="6" t="s">
        <v>326</v>
      </c>
      <c r="H7019" s="4">
        <v>24.75</v>
      </c>
      <c r="I7019" s="7">
        <v>60.94</v>
      </c>
      <c r="J7019" s="3" t="s">
        <v>521</v>
      </c>
      <c r="K7019" s="9" t="s">
        <v>36</v>
      </c>
      <c r="L7019" s="6" t="s">
        <v>36</v>
      </c>
      <c r="M7019" s="3" t="s">
        <v>36</v>
      </c>
      <c r="N7019" s="3" t="s">
        <v>36</v>
      </c>
      <c r="O7019" s="8" t="s">
        <v>36</v>
      </c>
      <c r="P7019" s="3" t="s">
        <v>36</v>
      </c>
      <c r="Q7019" s="3" t="s">
        <v>36</v>
      </c>
      <c r="R7019" s="3" t="s">
        <v>36</v>
      </c>
      <c r="S7019" s="3" t="s">
        <v>36</v>
      </c>
      <c r="T7019" s="3" t="s">
        <v>105</v>
      </c>
      <c r="U7019" s="3" t="s">
        <v>38</v>
      </c>
      <c r="V7019" s="3" t="s">
        <v>39</v>
      </c>
      <c r="W7019" s="3" t="s">
        <v>20400</v>
      </c>
      <c r="X7019" s="10" t="s">
        <v>31392</v>
      </c>
      <c r="Y7019" s="6" t="s">
        <v>108</v>
      </c>
      <c r="Z7019" s="4">
        <v>4.35</v>
      </c>
      <c r="AA7019" s="4">
        <v>7.13</v>
      </c>
      <c r="AB7019" s="3" t="s">
        <v>43</v>
      </c>
      <c r="AC7019" s="3" t="s">
        <v>20402</v>
      </c>
      <c r="AD7019" s="9">
        <v>42262</v>
      </c>
      <c r="AE7019" s="3" t="s">
        <v>110</v>
      </c>
      <c r="AF7019" s="3" t="s">
        <v>4552</v>
      </c>
      <c r="AG7019" s="3" t="s">
        <v>2542</v>
      </c>
      <c r="AH7019" s="11">
        <f>HYPERLINK("https://my.pitchbook.com?c=75084-85T","View Company Online")</f>
      </c>
    </row>
    <row r="7020">
      <c r="A7020" s="12" t="s">
        <v>31393</v>
      </c>
      <c r="B7020" s="12" t="s">
        <v>24883</v>
      </c>
      <c r="C7020" s="19" t="s">
        <v>36</v>
      </c>
      <c r="D7020" s="19">
        <v>5</v>
      </c>
      <c r="E7020" s="19">
        <v>6</v>
      </c>
      <c r="F7020" s="19">
        <v>6</v>
      </c>
      <c r="G7020" s="15" t="s">
        <v>36</v>
      </c>
      <c r="H7020" s="14">
        <v>1648.2</v>
      </c>
      <c r="I7020" s="18">
        <v>19.04</v>
      </c>
      <c r="J7020" s="12" t="s">
        <v>521</v>
      </c>
      <c r="K7020" s="13" t="s">
        <v>36</v>
      </c>
      <c r="L7020" s="15" t="s">
        <v>36</v>
      </c>
      <c r="M7020" s="12" t="s">
        <v>36</v>
      </c>
      <c r="N7020" s="12" t="s">
        <v>36</v>
      </c>
      <c r="O7020" s="17" t="s">
        <v>36</v>
      </c>
      <c r="P7020" s="12" t="s">
        <v>36</v>
      </c>
      <c r="Q7020" s="12" t="s">
        <v>36</v>
      </c>
      <c r="R7020" s="12" t="s">
        <v>36</v>
      </c>
      <c r="S7020" s="12" t="s">
        <v>36</v>
      </c>
      <c r="T7020" s="12" t="s">
        <v>1973</v>
      </c>
      <c r="U7020" s="12" t="s">
        <v>728</v>
      </c>
      <c r="V7020" s="12" t="s">
        <v>64</v>
      </c>
      <c r="W7020" s="12" t="s">
        <v>24884</v>
      </c>
      <c r="X7020" s="16" t="s">
        <v>31394</v>
      </c>
      <c r="Y7020" s="15" t="s">
        <v>42</v>
      </c>
      <c r="Z7020" s="14">
        <v>1.12</v>
      </c>
      <c r="AA7020" s="14">
        <v>5.88</v>
      </c>
      <c r="AB7020" s="12" t="s">
        <v>56</v>
      </c>
      <c r="AC7020" s="12" t="s">
        <v>24886</v>
      </c>
      <c r="AD7020" s="13">
        <v>42262</v>
      </c>
      <c r="AE7020" s="12" t="s">
        <v>1600</v>
      </c>
      <c r="AF7020" s="12" t="s">
        <v>90</v>
      </c>
      <c r="AG7020" s="12" t="s">
        <v>81</v>
      </c>
      <c r="AH7020" s="1">
        <f>HYPERLINK("https://my.pitchbook.com?c=109720-90T","View Company Online")</f>
      </c>
    </row>
    <row r="7021">
      <c r="A7021" s="3" t="s">
        <v>31395</v>
      </c>
      <c r="B7021" s="3" t="s">
        <v>27981</v>
      </c>
      <c r="C7021" s="5">
        <v>1</v>
      </c>
      <c r="D7021" s="5">
        <v>12</v>
      </c>
      <c r="E7021" s="5">
        <v>6</v>
      </c>
      <c r="F7021" s="5">
        <v>21</v>
      </c>
      <c r="G7021" s="6" t="s">
        <v>36</v>
      </c>
      <c r="H7021" s="4" t="s">
        <v>36</v>
      </c>
      <c r="I7021" s="7" t="s">
        <v>36</v>
      </c>
      <c r="J7021" s="3" t="s">
        <v>36</v>
      </c>
      <c r="K7021" s="9">
        <v>42076</v>
      </c>
      <c r="L7021" s="6" t="s">
        <v>36</v>
      </c>
      <c r="M7021" s="3" t="s">
        <v>36</v>
      </c>
      <c r="N7021" s="3" t="s">
        <v>36</v>
      </c>
      <c r="O7021" s="8" t="s">
        <v>36</v>
      </c>
      <c r="P7021" s="3" t="s">
        <v>36</v>
      </c>
      <c r="Q7021" s="3" t="s">
        <v>36</v>
      </c>
      <c r="R7021" s="3" t="s">
        <v>36</v>
      </c>
      <c r="S7021" s="3" t="s">
        <v>36</v>
      </c>
      <c r="T7021" s="3" t="s">
        <v>661</v>
      </c>
      <c r="U7021" s="3" t="s">
        <v>51</v>
      </c>
      <c r="V7021" s="3" t="s">
        <v>52</v>
      </c>
      <c r="W7021" s="3" t="s">
        <v>27982</v>
      </c>
      <c r="X7021" s="10" t="s">
        <v>31396</v>
      </c>
      <c r="Y7021" s="6" t="s">
        <v>55</v>
      </c>
      <c r="Z7021" s="4">
        <v>0.22</v>
      </c>
      <c r="AA7021" s="4" t="s">
        <v>36</v>
      </c>
      <c r="AB7021" s="3" t="s">
        <v>56</v>
      </c>
      <c r="AC7021" s="3" t="s">
        <v>27984</v>
      </c>
      <c r="AD7021" s="9">
        <v>42262</v>
      </c>
      <c r="AE7021" s="3" t="s">
        <v>158</v>
      </c>
      <c r="AF7021" s="3" t="s">
        <v>665</v>
      </c>
      <c r="AG7021" s="3" t="s">
        <v>14541</v>
      </c>
      <c r="AH7021" s="11">
        <f>HYPERLINK("https://my.pitchbook.com?c=51795-28T","View Company Online")</f>
      </c>
    </row>
    <row r="7022">
      <c r="A7022" s="12" t="s">
        <v>31397</v>
      </c>
      <c r="B7022" s="12" t="s">
        <v>28770</v>
      </c>
      <c r="C7022" s="19" t="s">
        <v>36</v>
      </c>
      <c r="D7022" s="19" t="s">
        <v>36</v>
      </c>
      <c r="E7022" s="19" t="s">
        <v>36</v>
      </c>
      <c r="F7022" s="19" t="s">
        <v>36</v>
      </c>
      <c r="G7022" s="15" t="s">
        <v>326</v>
      </c>
      <c r="H7022" s="14">
        <v>112.8</v>
      </c>
      <c r="I7022" s="18">
        <v>22.89</v>
      </c>
      <c r="J7022" s="12" t="s">
        <v>521</v>
      </c>
      <c r="K7022" s="13" t="s">
        <v>36</v>
      </c>
      <c r="L7022" s="15" t="s">
        <v>36</v>
      </c>
      <c r="M7022" s="12" t="s">
        <v>36</v>
      </c>
      <c r="N7022" s="12" t="s">
        <v>36</v>
      </c>
      <c r="O7022" s="17" t="s">
        <v>36</v>
      </c>
      <c r="P7022" s="12" t="s">
        <v>36</v>
      </c>
      <c r="Q7022" s="12" t="s">
        <v>36</v>
      </c>
      <c r="R7022" s="12" t="s">
        <v>36</v>
      </c>
      <c r="S7022" s="12" t="s">
        <v>36</v>
      </c>
      <c r="T7022" s="12" t="s">
        <v>28771</v>
      </c>
      <c r="U7022" s="12" t="s">
        <v>38</v>
      </c>
      <c r="V7022" s="12" t="s">
        <v>39</v>
      </c>
      <c r="W7022" s="12" t="s">
        <v>28772</v>
      </c>
      <c r="X7022" s="16" t="s">
        <v>31398</v>
      </c>
      <c r="Y7022" s="15" t="s">
        <v>192</v>
      </c>
      <c r="Z7022" s="14">
        <v>18.65</v>
      </c>
      <c r="AA7022" s="14">
        <v>81.5</v>
      </c>
      <c r="AB7022" s="12" t="s">
        <v>43</v>
      </c>
      <c r="AC7022" s="12" t="s">
        <v>28773</v>
      </c>
      <c r="AD7022" s="13">
        <v>42262</v>
      </c>
      <c r="AE7022" s="12" t="s">
        <v>45</v>
      </c>
      <c r="AF7022" s="12" t="s">
        <v>28774</v>
      </c>
      <c r="AG7022" s="12" t="s">
        <v>28775</v>
      </c>
      <c r="AH7022" s="1">
        <f>HYPERLINK("https://my.pitchbook.com?c=57503-98T","View Company Online")</f>
      </c>
    </row>
    <row r="7023">
      <c r="A7023" s="3" t="s">
        <v>31399</v>
      </c>
      <c r="B7023" s="3" t="s">
        <v>21194</v>
      </c>
      <c r="C7023" s="5" t="s">
        <v>36</v>
      </c>
      <c r="D7023" s="5" t="s">
        <v>36</v>
      </c>
      <c r="E7023" s="5" t="s">
        <v>36</v>
      </c>
      <c r="F7023" s="5" t="s">
        <v>36</v>
      </c>
      <c r="G7023" s="6" t="s">
        <v>326</v>
      </c>
      <c r="H7023" s="4" t="s">
        <v>36</v>
      </c>
      <c r="I7023" s="7">
        <v>28.91</v>
      </c>
      <c r="J7023" s="3" t="s">
        <v>327</v>
      </c>
      <c r="K7023" s="9" t="s">
        <v>36</v>
      </c>
      <c r="L7023" s="6" t="s">
        <v>94</v>
      </c>
      <c r="M7023" s="3" t="s">
        <v>36</v>
      </c>
      <c r="N7023" s="3" t="s">
        <v>94</v>
      </c>
      <c r="O7023" s="8" t="s">
        <v>36</v>
      </c>
      <c r="P7023" s="3" t="s">
        <v>36</v>
      </c>
      <c r="Q7023" s="3" t="s">
        <v>36</v>
      </c>
      <c r="R7023" s="3" t="s">
        <v>36</v>
      </c>
      <c r="S7023" s="3" t="s">
        <v>36</v>
      </c>
      <c r="T7023" s="3" t="s">
        <v>21195</v>
      </c>
      <c r="U7023" s="3" t="s">
        <v>38</v>
      </c>
      <c r="V7023" s="3" t="s">
        <v>39</v>
      </c>
      <c r="W7023" s="3" t="s">
        <v>21196</v>
      </c>
      <c r="X7023" s="10" t="s">
        <v>31400</v>
      </c>
      <c r="Y7023" s="6" t="s">
        <v>55</v>
      </c>
      <c r="Z7023" s="4">
        <v>13.84</v>
      </c>
      <c r="AA7023" s="4">
        <v>47.88</v>
      </c>
      <c r="AB7023" s="3" t="s">
        <v>43</v>
      </c>
      <c r="AC7023" s="3" t="s">
        <v>21198</v>
      </c>
      <c r="AD7023" s="9">
        <v>42261</v>
      </c>
      <c r="AE7023" s="3" t="s">
        <v>688</v>
      </c>
      <c r="AF7023" s="3" t="s">
        <v>815</v>
      </c>
      <c r="AG7023" s="3" t="s">
        <v>81</v>
      </c>
      <c r="AH7023" s="11">
        <f>HYPERLINK("https://my.pitchbook.com?c=58423-24T","View Company Online")</f>
      </c>
    </row>
    <row r="7024">
      <c r="A7024" s="12" t="s">
        <v>31401</v>
      </c>
      <c r="B7024" s="12" t="s">
        <v>21283</v>
      </c>
      <c r="C7024" s="19" t="s">
        <v>36</v>
      </c>
      <c r="D7024" s="19">
        <v>4</v>
      </c>
      <c r="E7024" s="19">
        <v>2</v>
      </c>
      <c r="F7024" s="19">
        <v>7</v>
      </c>
      <c r="G7024" s="15" t="s">
        <v>36</v>
      </c>
      <c r="H7024" s="14" t="s">
        <v>36</v>
      </c>
      <c r="I7024" s="18" t="s">
        <v>36</v>
      </c>
      <c r="J7024" s="12" t="s">
        <v>36</v>
      </c>
      <c r="K7024" s="13" t="s">
        <v>36</v>
      </c>
      <c r="L7024" s="15" t="s">
        <v>36</v>
      </c>
      <c r="M7024" s="12" t="s">
        <v>36</v>
      </c>
      <c r="N7024" s="12" t="s">
        <v>36</v>
      </c>
      <c r="O7024" s="17" t="s">
        <v>36</v>
      </c>
      <c r="P7024" s="12" t="s">
        <v>36</v>
      </c>
      <c r="Q7024" s="12" t="s">
        <v>36</v>
      </c>
      <c r="R7024" s="12" t="s">
        <v>36</v>
      </c>
      <c r="S7024" s="12" t="s">
        <v>36</v>
      </c>
      <c r="T7024" s="12" t="s">
        <v>522</v>
      </c>
      <c r="U7024" s="12" t="s">
        <v>38</v>
      </c>
      <c r="V7024" s="12" t="s">
        <v>39</v>
      </c>
      <c r="W7024" s="12" t="s">
        <v>21284</v>
      </c>
      <c r="X7024" s="16" t="s">
        <v>31402</v>
      </c>
      <c r="Y7024" s="15" t="s">
        <v>108</v>
      </c>
      <c r="Z7024" s="14">
        <v>11.82</v>
      </c>
      <c r="AA7024" s="14" t="s">
        <v>36</v>
      </c>
      <c r="AB7024" s="12" t="s">
        <v>56</v>
      </c>
      <c r="AC7024" s="12" t="s">
        <v>21286</v>
      </c>
      <c r="AD7024" s="13">
        <v>42257</v>
      </c>
      <c r="AE7024" s="12" t="s">
        <v>110</v>
      </c>
      <c r="AF7024" s="12" t="s">
        <v>21287</v>
      </c>
      <c r="AG7024" s="12" t="s">
        <v>81</v>
      </c>
      <c r="AH7024" s="1">
        <f>HYPERLINK("https://my.pitchbook.com?c=57283-57T","View Company Online")</f>
      </c>
    </row>
    <row r="7025">
      <c r="A7025" s="3" t="s">
        <v>31403</v>
      </c>
      <c r="B7025" s="3" t="s">
        <v>31404</v>
      </c>
      <c r="C7025" s="5" t="s">
        <v>36</v>
      </c>
      <c r="D7025" s="5" t="s">
        <v>36</v>
      </c>
      <c r="E7025" s="5" t="s">
        <v>36</v>
      </c>
      <c r="F7025" s="5" t="s">
        <v>36</v>
      </c>
      <c r="G7025" s="6" t="s">
        <v>326</v>
      </c>
      <c r="H7025" s="4">
        <v>4492.84</v>
      </c>
      <c r="I7025" s="7">
        <v>42.11</v>
      </c>
      <c r="J7025" s="3" t="s">
        <v>521</v>
      </c>
      <c r="K7025" s="9" t="s">
        <v>36</v>
      </c>
      <c r="L7025" s="6" t="s">
        <v>36</v>
      </c>
      <c r="M7025" s="3" t="s">
        <v>36</v>
      </c>
      <c r="N7025" s="3" t="s">
        <v>36</v>
      </c>
      <c r="O7025" s="8" t="s">
        <v>36</v>
      </c>
      <c r="P7025" s="3" t="s">
        <v>36</v>
      </c>
      <c r="Q7025" s="3" t="s">
        <v>36</v>
      </c>
      <c r="R7025" s="3" t="s">
        <v>36</v>
      </c>
      <c r="S7025" s="3" t="s">
        <v>36</v>
      </c>
      <c r="T7025" s="3" t="s">
        <v>8202</v>
      </c>
      <c r="U7025" s="3" t="s">
        <v>38</v>
      </c>
      <c r="V7025" s="3" t="s">
        <v>39</v>
      </c>
      <c r="W7025" s="3" t="s">
        <v>31405</v>
      </c>
      <c r="X7025" s="10" t="s">
        <v>31406</v>
      </c>
      <c r="Y7025" s="6" t="s">
        <v>108</v>
      </c>
      <c r="Z7025" s="4">
        <v>4.87</v>
      </c>
      <c r="AA7025" s="4">
        <v>11.56</v>
      </c>
      <c r="AB7025" s="3" t="s">
        <v>43</v>
      </c>
      <c r="AC7025" s="3" t="s">
        <v>31407</v>
      </c>
      <c r="AD7025" s="9">
        <v>42257</v>
      </c>
      <c r="AE7025" s="3" t="s">
        <v>45</v>
      </c>
      <c r="AF7025" s="3" t="s">
        <v>21031</v>
      </c>
      <c r="AG7025" s="3" t="s">
        <v>81</v>
      </c>
      <c r="AH7025" s="11">
        <f>HYPERLINK("https://my.pitchbook.com?c=86992-84T","View Company Online")</f>
      </c>
    </row>
    <row r="7026">
      <c r="A7026" s="12" t="s">
        <v>31408</v>
      </c>
      <c r="B7026" s="12" t="s">
        <v>7376</v>
      </c>
      <c r="C7026" s="19" t="s">
        <v>36</v>
      </c>
      <c r="D7026" s="19" t="s">
        <v>36</v>
      </c>
      <c r="E7026" s="19" t="s">
        <v>36</v>
      </c>
      <c r="F7026" s="19" t="s">
        <v>36</v>
      </c>
      <c r="G7026" s="15" t="s">
        <v>36</v>
      </c>
      <c r="H7026" s="14">
        <v>16.44</v>
      </c>
      <c r="I7026" s="18">
        <v>16.43</v>
      </c>
      <c r="J7026" s="12" t="s">
        <v>521</v>
      </c>
      <c r="K7026" s="13" t="s">
        <v>36</v>
      </c>
      <c r="L7026" s="15" t="s">
        <v>36</v>
      </c>
      <c r="M7026" s="12" t="s">
        <v>36</v>
      </c>
      <c r="N7026" s="12" t="s">
        <v>36</v>
      </c>
      <c r="O7026" s="17" t="s">
        <v>36</v>
      </c>
      <c r="P7026" s="12" t="s">
        <v>36</v>
      </c>
      <c r="Q7026" s="12" t="s">
        <v>36</v>
      </c>
      <c r="R7026" s="12" t="s">
        <v>36</v>
      </c>
      <c r="S7026" s="12" t="s">
        <v>36</v>
      </c>
      <c r="T7026" s="12" t="s">
        <v>596</v>
      </c>
      <c r="U7026" s="12" t="s">
        <v>366</v>
      </c>
      <c r="V7026" s="12" t="s">
        <v>367</v>
      </c>
      <c r="W7026" s="12" t="s">
        <v>7377</v>
      </c>
      <c r="X7026" s="16" t="s">
        <v>31409</v>
      </c>
      <c r="Y7026" s="15" t="s">
        <v>166</v>
      </c>
      <c r="Z7026" s="14">
        <v>1.34</v>
      </c>
      <c r="AA7026" s="14">
        <v>6.23</v>
      </c>
      <c r="AB7026" s="12" t="s">
        <v>56</v>
      </c>
      <c r="AC7026" s="12" t="s">
        <v>7378</v>
      </c>
      <c r="AD7026" s="13">
        <v>42257</v>
      </c>
      <c r="AE7026" s="12" t="s">
        <v>600</v>
      </c>
      <c r="AF7026" s="12" t="s">
        <v>7379</v>
      </c>
      <c r="AG7026" s="12" t="s">
        <v>2180</v>
      </c>
      <c r="AH7026" s="1">
        <f>HYPERLINK("https://my.pitchbook.com?c=168859-54T","View Company Online")</f>
      </c>
    </row>
    <row r="7027">
      <c r="A7027" s="3" t="s">
        <v>31410</v>
      </c>
      <c r="B7027" s="3" t="s">
        <v>31411</v>
      </c>
      <c r="C7027" s="5" t="s">
        <v>36</v>
      </c>
      <c r="D7027" s="5" t="s">
        <v>36</v>
      </c>
      <c r="E7027" s="5" t="s">
        <v>36</v>
      </c>
      <c r="F7027" s="5" t="s">
        <v>36</v>
      </c>
      <c r="G7027" s="6" t="s">
        <v>2497</v>
      </c>
      <c r="H7027" s="4">
        <v>17.45</v>
      </c>
      <c r="I7027" s="7">
        <v>87.78</v>
      </c>
      <c r="J7027" s="3" t="s">
        <v>521</v>
      </c>
      <c r="K7027" s="9" t="s">
        <v>36</v>
      </c>
      <c r="L7027" s="6" t="s">
        <v>1279</v>
      </c>
      <c r="M7027" s="3" t="s">
        <v>36</v>
      </c>
      <c r="N7027" s="3" t="s">
        <v>1279</v>
      </c>
      <c r="O7027" s="8" t="s">
        <v>36</v>
      </c>
      <c r="P7027" s="3" t="s">
        <v>36</v>
      </c>
      <c r="Q7027" s="3" t="s">
        <v>36</v>
      </c>
      <c r="R7027" s="3" t="s">
        <v>36</v>
      </c>
      <c r="S7027" s="3" t="s">
        <v>36</v>
      </c>
      <c r="T7027" s="3" t="s">
        <v>31412</v>
      </c>
      <c r="U7027" s="3" t="s">
        <v>51</v>
      </c>
      <c r="V7027" s="3" t="s">
        <v>52</v>
      </c>
      <c r="W7027" s="3" t="s">
        <v>31413</v>
      </c>
      <c r="X7027" s="10" t="s">
        <v>31414</v>
      </c>
      <c r="Y7027" s="6" t="s">
        <v>166</v>
      </c>
      <c r="Z7027" s="4">
        <v>36</v>
      </c>
      <c r="AA7027" s="4">
        <v>41.02</v>
      </c>
      <c r="AB7027" s="3" t="s">
        <v>56</v>
      </c>
      <c r="AC7027" s="3" t="s">
        <v>31415</v>
      </c>
      <c r="AD7027" s="9">
        <v>42256</v>
      </c>
      <c r="AE7027" s="3" t="s">
        <v>158</v>
      </c>
      <c r="AF7027" s="3" t="s">
        <v>1166</v>
      </c>
      <c r="AG7027" s="3" t="s">
        <v>8669</v>
      </c>
      <c r="AH7027" s="11">
        <f>HYPERLINK("https://my.pitchbook.com?c=57209-50T","View Company Online")</f>
      </c>
    </row>
    <row r="7028">
      <c r="A7028" s="12" t="s">
        <v>31416</v>
      </c>
      <c r="B7028" s="12" t="s">
        <v>31417</v>
      </c>
      <c r="C7028" s="19" t="s">
        <v>36</v>
      </c>
      <c r="D7028" s="19" t="s">
        <v>36</v>
      </c>
      <c r="E7028" s="19" t="s">
        <v>36</v>
      </c>
      <c r="F7028" s="19" t="s">
        <v>36</v>
      </c>
      <c r="G7028" s="15" t="s">
        <v>36</v>
      </c>
      <c r="H7028" s="14" t="s">
        <v>36</v>
      </c>
      <c r="I7028" s="18" t="s">
        <v>36</v>
      </c>
      <c r="J7028" s="12" t="s">
        <v>36</v>
      </c>
      <c r="K7028" s="13" t="s">
        <v>36</v>
      </c>
      <c r="L7028" s="15" t="s">
        <v>36</v>
      </c>
      <c r="M7028" s="12" t="s">
        <v>36</v>
      </c>
      <c r="N7028" s="12" t="s">
        <v>36</v>
      </c>
      <c r="O7028" s="17" t="s">
        <v>36</v>
      </c>
      <c r="P7028" s="12" t="s">
        <v>36</v>
      </c>
      <c r="Q7028" s="12" t="s">
        <v>36</v>
      </c>
      <c r="R7028" s="12" t="s">
        <v>36</v>
      </c>
      <c r="S7028" s="12" t="s">
        <v>36</v>
      </c>
      <c r="T7028" s="12" t="s">
        <v>31418</v>
      </c>
      <c r="U7028" s="12" t="s">
        <v>38</v>
      </c>
      <c r="V7028" s="12" t="s">
        <v>39</v>
      </c>
      <c r="W7028" s="12" t="s">
        <v>31419</v>
      </c>
      <c r="X7028" s="16" t="s">
        <v>31420</v>
      </c>
      <c r="Y7028" s="15" t="s">
        <v>42</v>
      </c>
      <c r="Z7028" s="14">
        <v>1.5</v>
      </c>
      <c r="AA7028" s="14" t="s">
        <v>36</v>
      </c>
      <c r="AB7028" s="12" t="s">
        <v>56</v>
      </c>
      <c r="AC7028" s="12" t="s">
        <v>31421</v>
      </c>
      <c r="AD7028" s="13">
        <v>42255</v>
      </c>
      <c r="AE7028" s="12" t="s">
        <v>110</v>
      </c>
      <c r="AF7028" s="12" t="s">
        <v>1077</v>
      </c>
      <c r="AG7028" s="12" t="s">
        <v>102</v>
      </c>
      <c r="AH7028" s="1">
        <f>HYPERLINK("https://my.pitchbook.com?c=58709-53T","View Company Online")</f>
      </c>
    </row>
    <row r="7029">
      <c r="A7029" s="3" t="s">
        <v>31422</v>
      </c>
      <c r="B7029" s="3" t="s">
        <v>31423</v>
      </c>
      <c r="C7029" s="5" t="s">
        <v>36</v>
      </c>
      <c r="D7029" s="5" t="s">
        <v>36</v>
      </c>
      <c r="E7029" s="5" t="s">
        <v>36</v>
      </c>
      <c r="F7029" s="5" t="s">
        <v>36</v>
      </c>
      <c r="G7029" s="6" t="s">
        <v>326</v>
      </c>
      <c r="H7029" s="4">
        <v>16.23</v>
      </c>
      <c r="I7029" s="7">
        <v>32.76</v>
      </c>
      <c r="J7029" s="3" t="s">
        <v>521</v>
      </c>
      <c r="K7029" s="9" t="s">
        <v>36</v>
      </c>
      <c r="L7029" s="6" t="s">
        <v>36</v>
      </c>
      <c r="M7029" s="3" t="s">
        <v>36</v>
      </c>
      <c r="N7029" s="3" t="s">
        <v>36</v>
      </c>
      <c r="O7029" s="8" t="s">
        <v>36</v>
      </c>
      <c r="P7029" s="3" t="s">
        <v>36</v>
      </c>
      <c r="Q7029" s="3" t="s">
        <v>36</v>
      </c>
      <c r="R7029" s="3" t="s">
        <v>36</v>
      </c>
      <c r="S7029" s="3" t="s">
        <v>36</v>
      </c>
      <c r="T7029" s="3" t="s">
        <v>31424</v>
      </c>
      <c r="U7029" s="3" t="s">
        <v>38</v>
      </c>
      <c r="V7029" s="3" t="s">
        <v>39</v>
      </c>
      <c r="W7029" s="3" t="s">
        <v>31425</v>
      </c>
      <c r="X7029" s="10" t="s">
        <v>29057</v>
      </c>
      <c r="Y7029" s="6" t="s">
        <v>42</v>
      </c>
      <c r="Z7029" s="4">
        <v>1.51</v>
      </c>
      <c r="AA7029" s="4">
        <v>4.6</v>
      </c>
      <c r="AB7029" s="3" t="s">
        <v>43</v>
      </c>
      <c r="AC7029" s="3" t="s">
        <v>31426</v>
      </c>
      <c r="AD7029" s="9">
        <v>42255</v>
      </c>
      <c r="AE7029" s="3" t="s">
        <v>688</v>
      </c>
      <c r="AF7029" s="3" t="s">
        <v>1636</v>
      </c>
      <c r="AG7029" s="3" t="s">
        <v>1369</v>
      </c>
      <c r="AH7029" s="11">
        <f>HYPERLINK("https://my.pitchbook.com?c=57178-18T","View Company Online")</f>
      </c>
    </row>
    <row r="7030">
      <c r="A7030" s="12" t="s">
        <v>31427</v>
      </c>
      <c r="B7030" s="12" t="s">
        <v>31428</v>
      </c>
      <c r="C7030" s="19">
        <v>1</v>
      </c>
      <c r="D7030" s="19">
        <v>2</v>
      </c>
      <c r="E7030" s="19">
        <v>1</v>
      </c>
      <c r="F7030" s="19">
        <v>3</v>
      </c>
      <c r="G7030" s="15" t="s">
        <v>36</v>
      </c>
      <c r="H7030" s="14" t="s">
        <v>36</v>
      </c>
      <c r="I7030" s="18" t="s">
        <v>36</v>
      </c>
      <c r="J7030" s="12" t="s">
        <v>36</v>
      </c>
      <c r="K7030" s="13" t="s">
        <v>36</v>
      </c>
      <c r="L7030" s="15" t="s">
        <v>36</v>
      </c>
      <c r="M7030" s="12" t="s">
        <v>36</v>
      </c>
      <c r="N7030" s="12" t="s">
        <v>36</v>
      </c>
      <c r="O7030" s="17" t="s">
        <v>36</v>
      </c>
      <c r="P7030" s="12" t="s">
        <v>36</v>
      </c>
      <c r="Q7030" s="12" t="s">
        <v>36</v>
      </c>
      <c r="R7030" s="12" t="s">
        <v>36</v>
      </c>
      <c r="S7030" s="12" t="s">
        <v>36</v>
      </c>
      <c r="T7030" s="12" t="s">
        <v>522</v>
      </c>
      <c r="U7030" s="12" t="s">
        <v>38</v>
      </c>
      <c r="V7030" s="12" t="s">
        <v>39</v>
      </c>
      <c r="W7030" s="12" t="s">
        <v>31429</v>
      </c>
      <c r="X7030" s="16" t="s">
        <v>31430</v>
      </c>
      <c r="Y7030" s="15" t="s">
        <v>192</v>
      </c>
      <c r="Z7030" s="14">
        <v>1.11</v>
      </c>
      <c r="AA7030" s="14" t="s">
        <v>36</v>
      </c>
      <c r="AB7030" s="12" t="s">
        <v>43</v>
      </c>
      <c r="AC7030" s="12" t="s">
        <v>31431</v>
      </c>
      <c r="AD7030" s="13">
        <v>42255</v>
      </c>
      <c r="AE7030" s="12" t="s">
        <v>110</v>
      </c>
      <c r="AF7030" s="12" t="s">
        <v>6214</v>
      </c>
      <c r="AG7030" s="12" t="s">
        <v>81</v>
      </c>
      <c r="AH7030" s="1">
        <f>HYPERLINK("https://my.pitchbook.com?c=61501-60T","View Company Online")</f>
      </c>
    </row>
    <row r="7031">
      <c r="A7031" s="3" t="s">
        <v>31432</v>
      </c>
      <c r="B7031" s="3" t="s">
        <v>31433</v>
      </c>
      <c r="C7031" s="5" t="s">
        <v>36</v>
      </c>
      <c r="D7031" s="5" t="s">
        <v>36</v>
      </c>
      <c r="E7031" s="5" t="s">
        <v>36</v>
      </c>
      <c r="F7031" s="5" t="s">
        <v>36</v>
      </c>
      <c r="G7031" s="6" t="s">
        <v>36</v>
      </c>
      <c r="H7031" s="4" t="s">
        <v>36</v>
      </c>
      <c r="I7031" s="7" t="s">
        <v>36</v>
      </c>
      <c r="J7031" s="3" t="s">
        <v>36</v>
      </c>
      <c r="K7031" s="9" t="s">
        <v>36</v>
      </c>
      <c r="L7031" s="6" t="s">
        <v>1279</v>
      </c>
      <c r="M7031" s="3" t="s">
        <v>36</v>
      </c>
      <c r="N7031" s="3" t="s">
        <v>1279</v>
      </c>
      <c r="O7031" s="8" t="s">
        <v>36</v>
      </c>
      <c r="P7031" s="3" t="s">
        <v>36</v>
      </c>
      <c r="Q7031" s="3" t="s">
        <v>36</v>
      </c>
      <c r="R7031" s="3" t="s">
        <v>36</v>
      </c>
      <c r="S7031" s="3" t="s">
        <v>36</v>
      </c>
      <c r="T7031" s="3" t="s">
        <v>123</v>
      </c>
      <c r="U7031" s="3" t="s">
        <v>38</v>
      </c>
      <c r="V7031" s="3" t="s">
        <v>39</v>
      </c>
      <c r="W7031" s="3" t="s">
        <v>31434</v>
      </c>
      <c r="X7031" s="10" t="s">
        <v>31435</v>
      </c>
      <c r="Y7031" s="6" t="s">
        <v>192</v>
      </c>
      <c r="Z7031" s="4">
        <v>30</v>
      </c>
      <c r="AA7031" s="4" t="s">
        <v>36</v>
      </c>
      <c r="AB7031" s="3" t="s">
        <v>56</v>
      </c>
      <c r="AC7031" s="3" t="s">
        <v>31436</v>
      </c>
      <c r="AD7031" s="9">
        <v>42254</v>
      </c>
      <c r="AE7031" s="3" t="s">
        <v>110</v>
      </c>
      <c r="AF7031" s="3" t="s">
        <v>19562</v>
      </c>
      <c r="AG7031" s="3" t="s">
        <v>81</v>
      </c>
      <c r="AH7031" s="11">
        <f>HYPERLINK("https://my.pitchbook.com?c=58454-56T","View Company Online")</f>
      </c>
    </row>
    <row r="7032">
      <c r="A7032" s="12" t="s">
        <v>31437</v>
      </c>
      <c r="B7032" s="12" t="s">
        <v>31438</v>
      </c>
      <c r="C7032" s="19" t="s">
        <v>36</v>
      </c>
      <c r="D7032" s="19">
        <v>2</v>
      </c>
      <c r="E7032" s="19">
        <v>1</v>
      </c>
      <c r="F7032" s="19">
        <v>2</v>
      </c>
      <c r="G7032" s="15" t="s">
        <v>36</v>
      </c>
      <c r="H7032" s="14">
        <v>1403.47</v>
      </c>
      <c r="I7032" s="18">
        <v>30.35</v>
      </c>
      <c r="J7032" s="12" t="s">
        <v>521</v>
      </c>
      <c r="K7032" s="13">
        <v>42157</v>
      </c>
      <c r="L7032" s="15" t="s">
        <v>122</v>
      </c>
      <c r="M7032" s="12" t="s">
        <v>36</v>
      </c>
      <c r="N7032" s="12" t="s">
        <v>122</v>
      </c>
      <c r="O7032" s="17" t="s">
        <v>36</v>
      </c>
      <c r="P7032" s="12" t="s">
        <v>36</v>
      </c>
      <c r="Q7032" s="12" t="s">
        <v>36</v>
      </c>
      <c r="R7032" s="12" t="s">
        <v>36</v>
      </c>
      <c r="S7032" s="12" t="s">
        <v>36</v>
      </c>
      <c r="T7032" s="12" t="s">
        <v>37</v>
      </c>
      <c r="U7032" s="12" t="s">
        <v>38</v>
      </c>
      <c r="V7032" s="12" t="s">
        <v>39</v>
      </c>
      <c r="W7032" s="12" t="s">
        <v>31439</v>
      </c>
      <c r="X7032" s="16" t="s">
        <v>31440</v>
      </c>
      <c r="Y7032" s="15" t="s">
        <v>108</v>
      </c>
      <c r="Z7032" s="14">
        <v>0.97</v>
      </c>
      <c r="AA7032" s="14">
        <v>3.19</v>
      </c>
      <c r="AB7032" s="12" t="s">
        <v>43</v>
      </c>
      <c r="AC7032" s="12" t="s">
        <v>31441</v>
      </c>
      <c r="AD7032" s="13">
        <v>42249</v>
      </c>
      <c r="AE7032" s="12" t="s">
        <v>45</v>
      </c>
      <c r="AF7032" s="12" t="s">
        <v>3334</v>
      </c>
      <c r="AG7032" s="12" t="s">
        <v>2760</v>
      </c>
      <c r="AH7032" s="1">
        <f>HYPERLINK("https://my.pitchbook.com?c=56704-24T","View Company Online")</f>
      </c>
    </row>
    <row r="7033">
      <c r="A7033" s="3" t="s">
        <v>31442</v>
      </c>
      <c r="B7033" s="3" t="s">
        <v>17877</v>
      </c>
      <c r="C7033" s="5" t="s">
        <v>36</v>
      </c>
      <c r="D7033" s="5" t="s">
        <v>36</v>
      </c>
      <c r="E7033" s="5" t="s">
        <v>36</v>
      </c>
      <c r="F7033" s="5" t="s">
        <v>36</v>
      </c>
      <c r="G7033" s="6" t="s">
        <v>36</v>
      </c>
      <c r="H7033" s="4">
        <v>7267.89</v>
      </c>
      <c r="I7033" s="7">
        <v>41.66</v>
      </c>
      <c r="J7033" s="3" t="s">
        <v>521</v>
      </c>
      <c r="K7033" s="9" t="s">
        <v>36</v>
      </c>
      <c r="L7033" s="6" t="s">
        <v>36</v>
      </c>
      <c r="M7033" s="3" t="s">
        <v>36</v>
      </c>
      <c r="N7033" s="3" t="s">
        <v>36</v>
      </c>
      <c r="O7033" s="8" t="s">
        <v>36</v>
      </c>
      <c r="P7033" s="3" t="s">
        <v>36</v>
      </c>
      <c r="Q7033" s="3" t="s">
        <v>36</v>
      </c>
      <c r="R7033" s="3" t="s">
        <v>36</v>
      </c>
      <c r="S7033" s="3" t="s">
        <v>36</v>
      </c>
      <c r="T7033" s="3" t="s">
        <v>16221</v>
      </c>
      <c r="U7033" s="3" t="s">
        <v>38</v>
      </c>
      <c r="V7033" s="3" t="s">
        <v>39</v>
      </c>
      <c r="W7033" s="3" t="s">
        <v>17878</v>
      </c>
      <c r="X7033" s="10" t="s">
        <v>31443</v>
      </c>
      <c r="Y7033" s="6" t="s">
        <v>42</v>
      </c>
      <c r="Z7033" s="4">
        <v>5.55</v>
      </c>
      <c r="AA7033" s="4">
        <v>6.67</v>
      </c>
      <c r="AB7033" s="3" t="s">
        <v>43</v>
      </c>
      <c r="AC7033" s="3" t="s">
        <v>17879</v>
      </c>
      <c r="AD7033" s="9">
        <v>42249</v>
      </c>
      <c r="AE7033" s="3" t="s">
        <v>110</v>
      </c>
      <c r="AF7033" s="3" t="s">
        <v>7533</v>
      </c>
      <c r="AG7033" s="3" t="s">
        <v>81</v>
      </c>
      <c r="AH7033" s="11">
        <f>HYPERLINK("https://my.pitchbook.com?c=56620-72T","View Company Online")</f>
      </c>
    </row>
    <row r="7034">
      <c r="A7034" s="12" t="s">
        <v>31444</v>
      </c>
      <c r="B7034" s="12" t="s">
        <v>21383</v>
      </c>
      <c r="C7034" s="19" t="s">
        <v>36</v>
      </c>
      <c r="D7034" s="19" t="s">
        <v>36</v>
      </c>
      <c r="E7034" s="19" t="s">
        <v>36</v>
      </c>
      <c r="F7034" s="19" t="s">
        <v>36</v>
      </c>
      <c r="G7034" s="15" t="s">
        <v>36</v>
      </c>
      <c r="H7034" s="14">
        <v>3116.74</v>
      </c>
      <c r="I7034" s="18">
        <v>3.47</v>
      </c>
      <c r="J7034" s="12" t="s">
        <v>521</v>
      </c>
      <c r="K7034" s="13">
        <v>42173</v>
      </c>
      <c r="L7034" s="15" t="s">
        <v>36</v>
      </c>
      <c r="M7034" s="12" t="s">
        <v>36</v>
      </c>
      <c r="N7034" s="12" t="s">
        <v>36</v>
      </c>
      <c r="O7034" s="17" t="s">
        <v>36</v>
      </c>
      <c r="P7034" s="12" t="s">
        <v>36</v>
      </c>
      <c r="Q7034" s="12" t="s">
        <v>36</v>
      </c>
      <c r="R7034" s="12" t="s">
        <v>36</v>
      </c>
      <c r="S7034" s="12" t="s">
        <v>36</v>
      </c>
      <c r="T7034" s="12" t="s">
        <v>855</v>
      </c>
      <c r="U7034" s="12" t="s">
        <v>648</v>
      </c>
      <c r="V7034" s="12" t="s">
        <v>64</v>
      </c>
      <c r="W7034" s="12" t="s">
        <v>21384</v>
      </c>
      <c r="X7034" s="16" t="s">
        <v>31445</v>
      </c>
      <c r="Y7034" s="15" t="s">
        <v>42</v>
      </c>
      <c r="Z7034" s="14">
        <v>0.78</v>
      </c>
      <c r="AA7034" s="14">
        <v>17.72</v>
      </c>
      <c r="AB7034" s="12" t="s">
        <v>56</v>
      </c>
      <c r="AC7034" s="12" t="s">
        <v>21386</v>
      </c>
      <c r="AD7034" s="13">
        <v>42248</v>
      </c>
      <c r="AE7034" s="12" t="s">
        <v>651</v>
      </c>
      <c r="AF7034" s="12" t="s">
        <v>4552</v>
      </c>
      <c r="AG7034" s="12" t="s">
        <v>81</v>
      </c>
      <c r="AH7034" s="1">
        <f>HYPERLINK("https://my.pitchbook.com?c=84834-37T","View Company Online")</f>
      </c>
    </row>
    <row r="7035">
      <c r="A7035" s="3" t="s">
        <v>31446</v>
      </c>
      <c r="B7035" s="3" t="s">
        <v>31447</v>
      </c>
      <c r="C7035" s="5" t="s">
        <v>36</v>
      </c>
      <c r="D7035" s="5" t="s">
        <v>36</v>
      </c>
      <c r="E7035" s="5" t="s">
        <v>36</v>
      </c>
      <c r="F7035" s="5" t="s">
        <v>36</v>
      </c>
      <c r="G7035" s="6" t="s">
        <v>36</v>
      </c>
      <c r="H7035" s="4">
        <v>223.99</v>
      </c>
      <c r="I7035" s="7">
        <v>45.31</v>
      </c>
      <c r="J7035" s="3" t="s">
        <v>521</v>
      </c>
      <c r="K7035" s="9" t="s">
        <v>36</v>
      </c>
      <c r="L7035" s="6" t="s">
        <v>36</v>
      </c>
      <c r="M7035" s="3" t="s">
        <v>36</v>
      </c>
      <c r="N7035" s="3" t="s">
        <v>36</v>
      </c>
      <c r="O7035" s="8" t="s">
        <v>36</v>
      </c>
      <c r="P7035" s="3" t="s">
        <v>36</v>
      </c>
      <c r="Q7035" s="3" t="s">
        <v>36</v>
      </c>
      <c r="R7035" s="3" t="s">
        <v>36</v>
      </c>
      <c r="S7035" s="3" t="s">
        <v>36</v>
      </c>
      <c r="T7035" s="3" t="s">
        <v>2213</v>
      </c>
      <c r="U7035" s="3" t="s">
        <v>219</v>
      </c>
      <c r="V7035" s="3" t="s">
        <v>75</v>
      </c>
      <c r="W7035" s="3" t="s">
        <v>31448</v>
      </c>
      <c r="X7035" s="10" t="s">
        <v>31449</v>
      </c>
      <c r="Y7035" s="6" t="s">
        <v>42</v>
      </c>
      <c r="Z7035" s="4">
        <v>1.22</v>
      </c>
      <c r="AA7035" s="4">
        <v>1.62</v>
      </c>
      <c r="AB7035" s="3" t="s">
        <v>43</v>
      </c>
      <c r="AC7035" s="3" t="s">
        <v>31450</v>
      </c>
      <c r="AD7035" s="9">
        <v>42248</v>
      </c>
      <c r="AE7035" s="3" t="s">
        <v>1912</v>
      </c>
      <c r="AF7035" s="3" t="s">
        <v>1969</v>
      </c>
      <c r="AG7035" s="3" t="s">
        <v>31451</v>
      </c>
      <c r="AH7035" s="11">
        <f>HYPERLINK("https://my.pitchbook.com?c=73399-42T","View Company Online")</f>
      </c>
    </row>
    <row r="7036">
      <c r="A7036" s="12" t="s">
        <v>31452</v>
      </c>
      <c r="B7036" s="12" t="s">
        <v>31453</v>
      </c>
      <c r="C7036" s="19" t="s">
        <v>36</v>
      </c>
      <c r="D7036" s="19" t="s">
        <v>36</v>
      </c>
      <c r="E7036" s="19" t="s">
        <v>36</v>
      </c>
      <c r="F7036" s="19" t="s">
        <v>36</v>
      </c>
      <c r="G7036" s="15" t="s">
        <v>36</v>
      </c>
      <c r="H7036" s="14">
        <v>1.04</v>
      </c>
      <c r="I7036" s="18">
        <v>19.71</v>
      </c>
      <c r="J7036" s="12" t="s">
        <v>521</v>
      </c>
      <c r="K7036" s="13" t="s">
        <v>36</v>
      </c>
      <c r="L7036" s="15" t="s">
        <v>36</v>
      </c>
      <c r="M7036" s="12" t="s">
        <v>36</v>
      </c>
      <c r="N7036" s="12" t="s">
        <v>36</v>
      </c>
      <c r="O7036" s="17" t="s">
        <v>36</v>
      </c>
      <c r="P7036" s="12" t="s">
        <v>36</v>
      </c>
      <c r="Q7036" s="12" t="s">
        <v>36</v>
      </c>
      <c r="R7036" s="12" t="s">
        <v>36</v>
      </c>
      <c r="S7036" s="12" t="s">
        <v>36</v>
      </c>
      <c r="T7036" s="12" t="s">
        <v>6989</v>
      </c>
      <c r="U7036" s="12" t="s">
        <v>63</v>
      </c>
      <c r="V7036" s="12" t="s">
        <v>64</v>
      </c>
      <c r="W7036" s="12" t="s">
        <v>31454</v>
      </c>
      <c r="X7036" s="16" t="s">
        <v>2455</v>
      </c>
      <c r="Y7036" s="15" t="s">
        <v>42</v>
      </c>
      <c r="Z7036" s="14">
        <v>0.67</v>
      </c>
      <c r="AA7036" s="14">
        <v>2.55</v>
      </c>
      <c r="AB7036" s="12" t="s">
        <v>56</v>
      </c>
      <c r="AC7036" s="12" t="s">
        <v>31455</v>
      </c>
      <c r="AD7036" s="13">
        <v>42248</v>
      </c>
      <c r="AE7036" s="12" t="s">
        <v>68</v>
      </c>
      <c r="AF7036" s="12" t="s">
        <v>36</v>
      </c>
      <c r="AG7036" s="12" t="s">
        <v>81</v>
      </c>
      <c r="AH7036" s="1">
        <f>HYPERLINK("https://my.pitchbook.com?c=107327-89T","View Company Online")</f>
      </c>
    </row>
    <row r="7037">
      <c r="A7037" s="3" t="s">
        <v>31456</v>
      </c>
      <c r="B7037" s="3" t="s">
        <v>23833</v>
      </c>
      <c r="C7037" s="5">
        <v>1</v>
      </c>
      <c r="D7037" s="5">
        <v>1</v>
      </c>
      <c r="E7037" s="5">
        <v>2</v>
      </c>
      <c r="F7037" s="5">
        <v>4</v>
      </c>
      <c r="G7037" s="6" t="s">
        <v>36</v>
      </c>
      <c r="H7037" s="4" t="s">
        <v>36</v>
      </c>
      <c r="I7037" s="7" t="s">
        <v>36</v>
      </c>
      <c r="J7037" s="3" t="s">
        <v>36</v>
      </c>
      <c r="K7037" s="9" t="s">
        <v>36</v>
      </c>
      <c r="L7037" s="6" t="s">
        <v>36</v>
      </c>
      <c r="M7037" s="3" t="s">
        <v>36</v>
      </c>
      <c r="N7037" s="3" t="s">
        <v>36</v>
      </c>
      <c r="O7037" s="8" t="s">
        <v>36</v>
      </c>
      <c r="P7037" s="3" t="s">
        <v>36</v>
      </c>
      <c r="Q7037" s="3" t="s">
        <v>36</v>
      </c>
      <c r="R7037" s="3" t="s">
        <v>36</v>
      </c>
      <c r="S7037" s="3" t="s">
        <v>36</v>
      </c>
      <c r="T7037" s="3" t="s">
        <v>22034</v>
      </c>
      <c r="U7037" s="3" t="s">
        <v>833</v>
      </c>
      <c r="V7037" s="3" t="s">
        <v>64</v>
      </c>
      <c r="W7037" s="3" t="s">
        <v>23834</v>
      </c>
      <c r="X7037" s="10" t="s">
        <v>31457</v>
      </c>
      <c r="Y7037" s="6" t="s">
        <v>108</v>
      </c>
      <c r="Z7037" s="4">
        <v>0.28</v>
      </c>
      <c r="AA7037" s="4" t="s">
        <v>36</v>
      </c>
      <c r="AB7037" s="3" t="s">
        <v>43</v>
      </c>
      <c r="AC7037" s="3" t="s">
        <v>23836</v>
      </c>
      <c r="AD7037" s="9">
        <v>42248</v>
      </c>
      <c r="AE7037" s="3" t="s">
        <v>1069</v>
      </c>
      <c r="AF7037" s="3" t="s">
        <v>4842</v>
      </c>
      <c r="AG7037" s="3" t="s">
        <v>23837</v>
      </c>
      <c r="AH7037" s="11">
        <f>HYPERLINK("https://my.pitchbook.com?c=58627-63T","View Company Online")</f>
      </c>
    </row>
    <row r="7038">
      <c r="A7038" s="12" t="s">
        <v>31458</v>
      </c>
      <c r="B7038" s="12" t="s">
        <v>31459</v>
      </c>
      <c r="C7038" s="19" t="s">
        <v>36</v>
      </c>
      <c r="D7038" s="19" t="s">
        <v>36</v>
      </c>
      <c r="E7038" s="19" t="s">
        <v>36</v>
      </c>
      <c r="F7038" s="19" t="s">
        <v>36</v>
      </c>
      <c r="G7038" s="15" t="s">
        <v>36</v>
      </c>
      <c r="H7038" s="14" t="s">
        <v>36</v>
      </c>
      <c r="I7038" s="18" t="s">
        <v>36</v>
      </c>
      <c r="J7038" s="12" t="s">
        <v>36</v>
      </c>
      <c r="K7038" s="13" t="s">
        <v>36</v>
      </c>
      <c r="L7038" s="15" t="s">
        <v>36</v>
      </c>
      <c r="M7038" s="12" t="s">
        <v>36</v>
      </c>
      <c r="N7038" s="12" t="s">
        <v>36</v>
      </c>
      <c r="O7038" s="17" t="s">
        <v>36</v>
      </c>
      <c r="P7038" s="12" t="s">
        <v>36</v>
      </c>
      <c r="Q7038" s="12" t="s">
        <v>36</v>
      </c>
      <c r="R7038" s="12" t="s">
        <v>36</v>
      </c>
      <c r="S7038" s="12" t="s">
        <v>36</v>
      </c>
      <c r="T7038" s="12" t="s">
        <v>21419</v>
      </c>
      <c r="U7038" s="12" t="s">
        <v>956</v>
      </c>
      <c r="V7038" s="12" t="s">
        <v>405</v>
      </c>
      <c r="W7038" s="12" t="s">
        <v>31460</v>
      </c>
      <c r="X7038" s="16" t="s">
        <v>31461</v>
      </c>
      <c r="Y7038" s="15" t="s">
        <v>42</v>
      </c>
      <c r="Z7038" s="14" t="s">
        <v>36</v>
      </c>
      <c r="AA7038" s="14" t="s">
        <v>36</v>
      </c>
      <c r="AB7038" s="12" t="s">
        <v>56</v>
      </c>
      <c r="AC7038" s="12" t="s">
        <v>31462</v>
      </c>
      <c r="AD7038" s="13">
        <v>42248</v>
      </c>
      <c r="AE7038" s="12" t="s">
        <v>14526</v>
      </c>
      <c r="AF7038" s="12" t="s">
        <v>36</v>
      </c>
      <c r="AG7038" s="12" t="s">
        <v>1202</v>
      </c>
      <c r="AH7038" s="1">
        <f>HYPERLINK("https://my.pitchbook.com?c=109813-24T","View Company Online")</f>
      </c>
    </row>
    <row r="7039">
      <c r="A7039" s="3" t="s">
        <v>31463</v>
      </c>
      <c r="B7039" s="3" t="s">
        <v>21830</v>
      </c>
      <c r="C7039" s="5" t="s">
        <v>36</v>
      </c>
      <c r="D7039" s="5" t="s">
        <v>36</v>
      </c>
      <c r="E7039" s="5" t="s">
        <v>36</v>
      </c>
      <c r="F7039" s="5" t="s">
        <v>36</v>
      </c>
      <c r="G7039" s="6" t="s">
        <v>36</v>
      </c>
      <c r="H7039" s="4">
        <v>3.82</v>
      </c>
      <c r="I7039" s="7">
        <v>47.33</v>
      </c>
      <c r="J7039" s="3" t="s">
        <v>521</v>
      </c>
      <c r="K7039" s="9" t="s">
        <v>36</v>
      </c>
      <c r="L7039" s="6" t="s">
        <v>36</v>
      </c>
      <c r="M7039" s="3" t="s">
        <v>36</v>
      </c>
      <c r="N7039" s="3" t="s">
        <v>36</v>
      </c>
      <c r="O7039" s="8" t="s">
        <v>36</v>
      </c>
      <c r="P7039" s="3" t="s">
        <v>36</v>
      </c>
      <c r="Q7039" s="3" t="s">
        <v>36</v>
      </c>
      <c r="R7039" s="3" t="s">
        <v>36</v>
      </c>
      <c r="S7039" s="3" t="s">
        <v>36</v>
      </c>
      <c r="T7039" s="3" t="s">
        <v>21831</v>
      </c>
      <c r="U7039" s="3" t="s">
        <v>38</v>
      </c>
      <c r="V7039" s="3" t="s">
        <v>39</v>
      </c>
      <c r="W7039" s="3" t="s">
        <v>21832</v>
      </c>
      <c r="X7039" s="10" t="s">
        <v>31464</v>
      </c>
      <c r="Y7039" s="6" t="s">
        <v>42</v>
      </c>
      <c r="Z7039" s="4">
        <v>2.22</v>
      </c>
      <c r="AA7039" s="4">
        <v>4.28</v>
      </c>
      <c r="AB7039" s="3" t="s">
        <v>43</v>
      </c>
      <c r="AC7039" s="3" t="s">
        <v>21834</v>
      </c>
      <c r="AD7039" s="9">
        <v>42247</v>
      </c>
      <c r="AE7039" s="3" t="s">
        <v>110</v>
      </c>
      <c r="AF7039" s="3" t="s">
        <v>4552</v>
      </c>
      <c r="AG7039" s="3" t="s">
        <v>765</v>
      </c>
      <c r="AH7039" s="11">
        <f>HYPERLINK("https://my.pitchbook.com?c=56666-44T","View Company Online")</f>
      </c>
    </row>
    <row r="7040">
      <c r="A7040" s="12" t="s">
        <v>31465</v>
      </c>
      <c r="B7040" s="12" t="s">
        <v>30642</v>
      </c>
      <c r="C7040" s="19" t="s">
        <v>36</v>
      </c>
      <c r="D7040" s="19">
        <v>3</v>
      </c>
      <c r="E7040" s="19">
        <v>2</v>
      </c>
      <c r="F7040" s="19">
        <v>8</v>
      </c>
      <c r="G7040" s="15" t="s">
        <v>326</v>
      </c>
      <c r="H7040" s="14">
        <v>2.95</v>
      </c>
      <c r="I7040" s="18">
        <v>23.11</v>
      </c>
      <c r="J7040" s="12" t="s">
        <v>521</v>
      </c>
      <c r="K7040" s="13">
        <v>41807</v>
      </c>
      <c r="L7040" s="15" t="s">
        <v>36</v>
      </c>
      <c r="M7040" s="12" t="s">
        <v>36</v>
      </c>
      <c r="N7040" s="12" t="s">
        <v>36</v>
      </c>
      <c r="O7040" s="17" t="s">
        <v>36</v>
      </c>
      <c r="P7040" s="12" t="s">
        <v>36</v>
      </c>
      <c r="Q7040" s="12" t="s">
        <v>36</v>
      </c>
      <c r="R7040" s="12" t="s">
        <v>36</v>
      </c>
      <c r="S7040" s="12" t="s">
        <v>36</v>
      </c>
      <c r="T7040" s="12" t="s">
        <v>105</v>
      </c>
      <c r="U7040" s="12" t="s">
        <v>38</v>
      </c>
      <c r="V7040" s="12" t="s">
        <v>39</v>
      </c>
      <c r="W7040" s="12" t="s">
        <v>30643</v>
      </c>
      <c r="X7040" s="16" t="s">
        <v>19433</v>
      </c>
      <c r="Y7040" s="15" t="s">
        <v>192</v>
      </c>
      <c r="Z7040" s="14">
        <v>0.73</v>
      </c>
      <c r="AA7040" s="14">
        <v>2.58</v>
      </c>
      <c r="AB7040" s="12" t="s">
        <v>43</v>
      </c>
      <c r="AC7040" s="12" t="s">
        <v>30645</v>
      </c>
      <c r="AD7040" s="13">
        <v>42246</v>
      </c>
      <c r="AE7040" s="12" t="s">
        <v>110</v>
      </c>
      <c r="AF7040" s="12" t="s">
        <v>30156</v>
      </c>
      <c r="AG7040" s="12" t="s">
        <v>81</v>
      </c>
      <c r="AH7040" s="1">
        <f>HYPERLINK("https://my.pitchbook.com?c=38170-27T","View Company Online")</f>
      </c>
    </row>
    <row r="7041">
      <c r="A7041" s="3" t="s">
        <v>31466</v>
      </c>
      <c r="B7041" s="3" t="s">
        <v>31467</v>
      </c>
      <c r="C7041" s="5">
        <v>2</v>
      </c>
      <c r="D7041" s="5" t="s">
        <v>36</v>
      </c>
      <c r="E7041" s="5">
        <v>3</v>
      </c>
      <c r="F7041" s="5">
        <v>3</v>
      </c>
      <c r="G7041" s="6" t="s">
        <v>36</v>
      </c>
      <c r="H7041" s="4" t="s">
        <v>36</v>
      </c>
      <c r="I7041" s="7" t="s">
        <v>36</v>
      </c>
      <c r="J7041" s="3" t="s">
        <v>36</v>
      </c>
      <c r="K7041" s="9" t="s">
        <v>36</v>
      </c>
      <c r="L7041" s="6" t="s">
        <v>36</v>
      </c>
      <c r="M7041" s="3" t="s">
        <v>36</v>
      </c>
      <c r="N7041" s="3" t="s">
        <v>36</v>
      </c>
      <c r="O7041" s="8" t="s">
        <v>36</v>
      </c>
      <c r="P7041" s="3" t="s">
        <v>36</v>
      </c>
      <c r="Q7041" s="3" t="s">
        <v>36</v>
      </c>
      <c r="R7041" s="3" t="s">
        <v>36</v>
      </c>
      <c r="S7041" s="3" t="s">
        <v>36</v>
      </c>
      <c r="T7041" s="3" t="s">
        <v>4056</v>
      </c>
      <c r="U7041" s="3" t="s">
        <v>38</v>
      </c>
      <c r="V7041" s="3" t="s">
        <v>39</v>
      </c>
      <c r="W7041" s="3" t="s">
        <v>31468</v>
      </c>
      <c r="X7041" s="10" t="s">
        <v>31469</v>
      </c>
      <c r="Y7041" s="6" t="s">
        <v>42</v>
      </c>
      <c r="Z7041" s="4">
        <v>1</v>
      </c>
      <c r="AA7041" s="4" t="s">
        <v>36</v>
      </c>
      <c r="AB7041" s="3" t="s">
        <v>43</v>
      </c>
      <c r="AC7041" s="3" t="s">
        <v>31470</v>
      </c>
      <c r="AD7041" s="9">
        <v>42243</v>
      </c>
      <c r="AE7041" s="3" t="s">
        <v>1945</v>
      </c>
      <c r="AF7041" s="3" t="s">
        <v>1077</v>
      </c>
      <c r="AG7041" s="3" t="s">
        <v>81</v>
      </c>
      <c r="AH7041" s="11">
        <f>HYPERLINK("https://my.pitchbook.com?c=61485-13T","View Company Online")</f>
      </c>
    </row>
    <row r="7042">
      <c r="A7042" s="12" t="s">
        <v>31471</v>
      </c>
      <c r="B7042" s="12" t="s">
        <v>15178</v>
      </c>
      <c r="C7042" s="19" t="s">
        <v>36</v>
      </c>
      <c r="D7042" s="19" t="s">
        <v>36</v>
      </c>
      <c r="E7042" s="19" t="s">
        <v>36</v>
      </c>
      <c r="F7042" s="19" t="s">
        <v>36</v>
      </c>
      <c r="G7042" s="15" t="s">
        <v>36</v>
      </c>
      <c r="H7042" s="14">
        <v>13.81</v>
      </c>
      <c r="I7042" s="18">
        <v>32.03</v>
      </c>
      <c r="J7042" s="12" t="s">
        <v>521</v>
      </c>
      <c r="K7042" s="13" t="s">
        <v>36</v>
      </c>
      <c r="L7042" s="15" t="s">
        <v>36</v>
      </c>
      <c r="M7042" s="12" t="s">
        <v>36</v>
      </c>
      <c r="N7042" s="12" t="s">
        <v>36</v>
      </c>
      <c r="O7042" s="17" t="s">
        <v>36</v>
      </c>
      <c r="P7042" s="12" t="s">
        <v>36</v>
      </c>
      <c r="Q7042" s="12" t="s">
        <v>36</v>
      </c>
      <c r="R7042" s="12" t="s">
        <v>36</v>
      </c>
      <c r="S7042" s="12" t="s">
        <v>36</v>
      </c>
      <c r="T7042" s="12" t="s">
        <v>123</v>
      </c>
      <c r="U7042" s="12" t="s">
        <v>38</v>
      </c>
      <c r="V7042" s="12" t="s">
        <v>39</v>
      </c>
      <c r="W7042" s="12" t="s">
        <v>15179</v>
      </c>
      <c r="X7042" s="16" t="s">
        <v>31472</v>
      </c>
      <c r="Y7042" s="15" t="s">
        <v>42</v>
      </c>
      <c r="Z7042" s="14">
        <v>0.42</v>
      </c>
      <c r="AA7042" s="14">
        <v>1.3</v>
      </c>
      <c r="AB7042" s="12" t="s">
        <v>43</v>
      </c>
      <c r="AC7042" s="12" t="s">
        <v>15180</v>
      </c>
      <c r="AD7042" s="13">
        <v>42241</v>
      </c>
      <c r="AE7042" s="12" t="s">
        <v>110</v>
      </c>
      <c r="AF7042" s="12" t="s">
        <v>15181</v>
      </c>
      <c r="AG7042" s="12" t="s">
        <v>102</v>
      </c>
      <c r="AH7042" s="1">
        <f>HYPERLINK("https://my.pitchbook.com?c=204712-21T","View Company Online")</f>
      </c>
    </row>
    <row r="7043">
      <c r="A7043" s="3" t="s">
        <v>31473</v>
      </c>
      <c r="B7043" s="3" t="s">
        <v>15406</v>
      </c>
      <c r="C7043" s="5" t="s">
        <v>36</v>
      </c>
      <c r="D7043" s="5" t="s">
        <v>36</v>
      </c>
      <c r="E7043" s="5" t="s">
        <v>36</v>
      </c>
      <c r="F7043" s="5" t="s">
        <v>36</v>
      </c>
      <c r="G7043" s="6" t="s">
        <v>36</v>
      </c>
      <c r="H7043" s="4">
        <v>2.23</v>
      </c>
      <c r="I7043" s="7">
        <v>10</v>
      </c>
      <c r="J7043" s="3" t="s">
        <v>521</v>
      </c>
      <c r="K7043" s="9">
        <v>42200</v>
      </c>
      <c r="L7043" s="6" t="s">
        <v>36</v>
      </c>
      <c r="M7043" s="3" t="s">
        <v>36</v>
      </c>
      <c r="N7043" s="3" t="s">
        <v>36</v>
      </c>
      <c r="O7043" s="8" t="s">
        <v>36</v>
      </c>
      <c r="P7043" s="3" t="s">
        <v>36</v>
      </c>
      <c r="Q7043" s="3" t="s">
        <v>36</v>
      </c>
      <c r="R7043" s="3" t="s">
        <v>36</v>
      </c>
      <c r="S7043" s="3" t="s">
        <v>36</v>
      </c>
      <c r="T7043" s="3" t="s">
        <v>522</v>
      </c>
      <c r="U7043" s="3" t="s">
        <v>38</v>
      </c>
      <c r="V7043" s="3" t="s">
        <v>39</v>
      </c>
      <c r="W7043" s="3" t="s">
        <v>15407</v>
      </c>
      <c r="X7043" s="10" t="s">
        <v>9668</v>
      </c>
      <c r="Y7043" s="6" t="s">
        <v>42</v>
      </c>
      <c r="Z7043" s="4">
        <v>0.11</v>
      </c>
      <c r="AA7043" s="4">
        <v>1.1</v>
      </c>
      <c r="AB7043" s="3" t="s">
        <v>43</v>
      </c>
      <c r="AC7043" s="3" t="s">
        <v>15409</v>
      </c>
      <c r="AD7043" s="9">
        <v>42236</v>
      </c>
      <c r="AE7043" s="3" t="s">
        <v>110</v>
      </c>
      <c r="AF7043" s="3" t="s">
        <v>1401</v>
      </c>
      <c r="AG7043" s="3" t="s">
        <v>81</v>
      </c>
      <c r="AH7043" s="11">
        <f>HYPERLINK("https://my.pitchbook.com?c=119740-96T","View Company Online")</f>
      </c>
    </row>
    <row r="7044">
      <c r="A7044" s="12" t="s">
        <v>31474</v>
      </c>
      <c r="B7044" s="12" t="s">
        <v>28580</v>
      </c>
      <c r="C7044" s="19" t="s">
        <v>36</v>
      </c>
      <c r="D7044" s="19" t="s">
        <v>36</v>
      </c>
      <c r="E7044" s="19" t="s">
        <v>36</v>
      </c>
      <c r="F7044" s="19" t="s">
        <v>36</v>
      </c>
      <c r="G7044" s="15" t="s">
        <v>326</v>
      </c>
      <c r="H7044" s="14">
        <v>39.29</v>
      </c>
      <c r="I7044" s="18">
        <v>18</v>
      </c>
      <c r="J7044" s="12" t="s">
        <v>521</v>
      </c>
      <c r="K7044" s="13" t="s">
        <v>36</v>
      </c>
      <c r="L7044" s="15" t="s">
        <v>36</v>
      </c>
      <c r="M7044" s="12" t="s">
        <v>36</v>
      </c>
      <c r="N7044" s="12" t="s">
        <v>36</v>
      </c>
      <c r="O7044" s="17" t="s">
        <v>36</v>
      </c>
      <c r="P7044" s="12" t="s">
        <v>36</v>
      </c>
      <c r="Q7044" s="12" t="s">
        <v>36</v>
      </c>
      <c r="R7044" s="12" t="s">
        <v>36</v>
      </c>
      <c r="S7044" s="12" t="s">
        <v>36</v>
      </c>
      <c r="T7044" s="12" t="s">
        <v>647</v>
      </c>
      <c r="U7044" s="12" t="s">
        <v>648</v>
      </c>
      <c r="V7044" s="12" t="s">
        <v>64</v>
      </c>
      <c r="W7044" s="12" t="s">
        <v>28581</v>
      </c>
      <c r="X7044" s="16" t="s">
        <v>31475</v>
      </c>
      <c r="Y7044" s="15" t="s">
        <v>55</v>
      </c>
      <c r="Z7044" s="14">
        <v>1.71</v>
      </c>
      <c r="AA7044" s="14">
        <v>9.5</v>
      </c>
      <c r="AB7044" s="12" t="s">
        <v>56</v>
      </c>
      <c r="AC7044" s="12" t="s">
        <v>28583</v>
      </c>
      <c r="AD7044" s="13">
        <v>42236</v>
      </c>
      <c r="AE7044" s="12" t="s">
        <v>651</v>
      </c>
      <c r="AF7044" s="12" t="s">
        <v>36</v>
      </c>
      <c r="AG7044" s="12" t="s">
        <v>81</v>
      </c>
      <c r="AH7044" s="1">
        <f>HYPERLINK("https://my.pitchbook.com?c=109238-05T","View Company Online")</f>
      </c>
    </row>
    <row r="7045">
      <c r="A7045" s="3" t="s">
        <v>31476</v>
      </c>
      <c r="B7045" s="3" t="s">
        <v>28496</v>
      </c>
      <c r="C7045" s="5" t="s">
        <v>36</v>
      </c>
      <c r="D7045" s="5" t="s">
        <v>36</v>
      </c>
      <c r="E7045" s="5" t="s">
        <v>36</v>
      </c>
      <c r="F7045" s="5" t="s">
        <v>36</v>
      </c>
      <c r="G7045" s="6" t="s">
        <v>36</v>
      </c>
      <c r="H7045" s="4">
        <v>154.2</v>
      </c>
      <c r="I7045" s="7">
        <v>17.92</v>
      </c>
      <c r="J7045" s="3" t="s">
        <v>521</v>
      </c>
      <c r="K7045" s="9" t="s">
        <v>36</v>
      </c>
      <c r="L7045" s="6" t="s">
        <v>36</v>
      </c>
      <c r="M7045" s="3" t="s">
        <v>36</v>
      </c>
      <c r="N7045" s="3" t="s">
        <v>36</v>
      </c>
      <c r="O7045" s="8" t="s">
        <v>36</v>
      </c>
      <c r="P7045" s="3" t="s">
        <v>36</v>
      </c>
      <c r="Q7045" s="3" t="s">
        <v>36</v>
      </c>
      <c r="R7045" s="3" t="s">
        <v>36</v>
      </c>
      <c r="S7045" s="3" t="s">
        <v>6677</v>
      </c>
      <c r="T7045" s="3" t="s">
        <v>8394</v>
      </c>
      <c r="U7045" s="3" t="s">
        <v>85</v>
      </c>
      <c r="V7045" s="3" t="s">
        <v>64</v>
      </c>
      <c r="W7045" s="3" t="s">
        <v>28497</v>
      </c>
      <c r="X7045" s="10" t="s">
        <v>31477</v>
      </c>
      <c r="Y7045" s="6" t="s">
        <v>55</v>
      </c>
      <c r="Z7045" s="4">
        <v>0.57</v>
      </c>
      <c r="AA7045" s="4">
        <v>3.15</v>
      </c>
      <c r="AB7045" s="3" t="s">
        <v>43</v>
      </c>
      <c r="AC7045" s="3" t="s">
        <v>28499</v>
      </c>
      <c r="AD7045" s="9">
        <v>42236</v>
      </c>
      <c r="AE7045" s="3" t="s">
        <v>89</v>
      </c>
      <c r="AF7045" s="3" t="s">
        <v>28500</v>
      </c>
      <c r="AG7045" s="3" t="s">
        <v>81</v>
      </c>
      <c r="AH7045" s="11">
        <f>HYPERLINK("https://my.pitchbook.com?c=116812-90T","View Company Online")</f>
      </c>
    </row>
    <row r="7046">
      <c r="A7046" s="12" t="s">
        <v>31478</v>
      </c>
      <c r="B7046" s="12" t="s">
        <v>27614</v>
      </c>
      <c r="C7046" s="19" t="s">
        <v>36</v>
      </c>
      <c r="D7046" s="19" t="s">
        <v>36</v>
      </c>
      <c r="E7046" s="19" t="s">
        <v>36</v>
      </c>
      <c r="F7046" s="19" t="s">
        <v>36</v>
      </c>
      <c r="G7046" s="15" t="s">
        <v>326</v>
      </c>
      <c r="H7046" s="14">
        <v>11.13</v>
      </c>
      <c r="I7046" s="18">
        <v>36.05</v>
      </c>
      <c r="J7046" s="12" t="s">
        <v>521</v>
      </c>
      <c r="K7046" s="13">
        <v>42216</v>
      </c>
      <c r="L7046" s="15" t="s">
        <v>94</v>
      </c>
      <c r="M7046" s="12" t="s">
        <v>36</v>
      </c>
      <c r="N7046" s="12" t="s">
        <v>94</v>
      </c>
      <c r="O7046" s="17" t="s">
        <v>36</v>
      </c>
      <c r="P7046" s="12" t="s">
        <v>36</v>
      </c>
      <c r="Q7046" s="12" t="s">
        <v>36</v>
      </c>
      <c r="R7046" s="12" t="s">
        <v>36</v>
      </c>
      <c r="S7046" s="12" t="s">
        <v>36</v>
      </c>
      <c r="T7046" s="12" t="s">
        <v>522</v>
      </c>
      <c r="U7046" s="12" t="s">
        <v>38</v>
      </c>
      <c r="V7046" s="12" t="s">
        <v>39</v>
      </c>
      <c r="W7046" s="12" t="s">
        <v>27615</v>
      </c>
      <c r="X7046" s="16" t="s">
        <v>31479</v>
      </c>
      <c r="Y7046" s="15" t="s">
        <v>55</v>
      </c>
      <c r="Z7046" s="14">
        <v>10.98</v>
      </c>
      <c r="AA7046" s="14">
        <v>28.95</v>
      </c>
      <c r="AB7046" s="12" t="s">
        <v>56</v>
      </c>
      <c r="AC7046" s="12" t="s">
        <v>27617</v>
      </c>
      <c r="AD7046" s="13">
        <v>42226</v>
      </c>
      <c r="AE7046" s="12" t="s">
        <v>110</v>
      </c>
      <c r="AF7046" s="12" t="s">
        <v>3172</v>
      </c>
      <c r="AG7046" s="12" t="s">
        <v>186</v>
      </c>
      <c r="AH7046" s="1">
        <f>HYPERLINK("https://my.pitchbook.com?c=56619-28T","View Company Online")</f>
      </c>
    </row>
    <row r="7047">
      <c r="A7047" s="3" t="s">
        <v>31480</v>
      </c>
      <c r="B7047" s="3" t="s">
        <v>31481</v>
      </c>
      <c r="C7047" s="5" t="s">
        <v>36</v>
      </c>
      <c r="D7047" s="5" t="s">
        <v>36</v>
      </c>
      <c r="E7047" s="5" t="s">
        <v>36</v>
      </c>
      <c r="F7047" s="5" t="s">
        <v>36</v>
      </c>
      <c r="G7047" s="6" t="s">
        <v>36</v>
      </c>
      <c r="H7047" s="4" t="s">
        <v>36</v>
      </c>
      <c r="I7047" s="7" t="s">
        <v>36</v>
      </c>
      <c r="J7047" s="3" t="s">
        <v>36</v>
      </c>
      <c r="K7047" s="9" t="s">
        <v>36</v>
      </c>
      <c r="L7047" s="6" t="s">
        <v>36</v>
      </c>
      <c r="M7047" s="3" t="s">
        <v>36</v>
      </c>
      <c r="N7047" s="3" t="s">
        <v>36</v>
      </c>
      <c r="O7047" s="8" t="s">
        <v>36</v>
      </c>
      <c r="P7047" s="3" t="s">
        <v>36</v>
      </c>
      <c r="Q7047" s="3" t="s">
        <v>36</v>
      </c>
      <c r="R7047" s="3" t="s">
        <v>36</v>
      </c>
      <c r="S7047" s="3" t="s">
        <v>36</v>
      </c>
      <c r="T7047" s="3" t="s">
        <v>31482</v>
      </c>
      <c r="U7047" s="3" t="s">
        <v>833</v>
      </c>
      <c r="V7047" s="3" t="s">
        <v>64</v>
      </c>
      <c r="W7047" s="3" t="s">
        <v>31483</v>
      </c>
      <c r="X7047" s="10" t="s">
        <v>20260</v>
      </c>
      <c r="Y7047" s="6" t="s">
        <v>42</v>
      </c>
      <c r="Z7047" s="4">
        <v>0.19</v>
      </c>
      <c r="AA7047" s="4" t="s">
        <v>36</v>
      </c>
      <c r="AB7047" s="3" t="s">
        <v>43</v>
      </c>
      <c r="AC7047" s="3" t="s">
        <v>31484</v>
      </c>
      <c r="AD7047" s="9">
        <v>42221</v>
      </c>
      <c r="AE7047" s="3" t="s">
        <v>1687</v>
      </c>
      <c r="AF7047" s="3" t="s">
        <v>36</v>
      </c>
      <c r="AG7047" s="3" t="s">
        <v>81</v>
      </c>
      <c r="AH7047" s="11">
        <f>HYPERLINK("https://my.pitchbook.com?c=171849-61T","View Company Online")</f>
      </c>
    </row>
    <row r="7048">
      <c r="A7048" s="12" t="s">
        <v>31485</v>
      </c>
      <c r="B7048" s="12" t="s">
        <v>31486</v>
      </c>
      <c r="C7048" s="19" t="s">
        <v>36</v>
      </c>
      <c r="D7048" s="19" t="s">
        <v>36</v>
      </c>
      <c r="E7048" s="19" t="s">
        <v>36</v>
      </c>
      <c r="F7048" s="19" t="s">
        <v>36</v>
      </c>
      <c r="G7048" s="15" t="s">
        <v>326</v>
      </c>
      <c r="H7048" s="14">
        <v>3894.62</v>
      </c>
      <c r="I7048" s="18">
        <v>7.86</v>
      </c>
      <c r="J7048" s="12" t="s">
        <v>521</v>
      </c>
      <c r="K7048" s="13" t="s">
        <v>36</v>
      </c>
      <c r="L7048" s="15" t="s">
        <v>36</v>
      </c>
      <c r="M7048" s="12" t="s">
        <v>36</v>
      </c>
      <c r="N7048" s="12" t="s">
        <v>36</v>
      </c>
      <c r="O7048" s="17" t="s">
        <v>36</v>
      </c>
      <c r="P7048" s="12" t="s">
        <v>36</v>
      </c>
      <c r="Q7048" s="12" t="s">
        <v>36</v>
      </c>
      <c r="R7048" s="12" t="s">
        <v>36</v>
      </c>
      <c r="S7048" s="12" t="s">
        <v>36</v>
      </c>
      <c r="T7048" s="12" t="s">
        <v>3397</v>
      </c>
      <c r="U7048" s="12" t="s">
        <v>423</v>
      </c>
      <c r="V7048" s="12" t="s">
        <v>64</v>
      </c>
      <c r="W7048" s="12" t="s">
        <v>31487</v>
      </c>
      <c r="X7048" s="16" t="s">
        <v>22406</v>
      </c>
      <c r="Y7048" s="15" t="s">
        <v>42</v>
      </c>
      <c r="Z7048" s="14">
        <v>0.17</v>
      </c>
      <c r="AA7048" s="14">
        <v>2.1</v>
      </c>
      <c r="AB7048" s="12" t="s">
        <v>56</v>
      </c>
      <c r="AC7048" s="12" t="s">
        <v>31488</v>
      </c>
      <c r="AD7048" s="13">
        <v>42219</v>
      </c>
      <c r="AE7048" s="12" t="s">
        <v>562</v>
      </c>
      <c r="AF7048" s="12" t="s">
        <v>2118</v>
      </c>
      <c r="AG7048" s="12" t="s">
        <v>8217</v>
      </c>
      <c r="AH7048" s="1">
        <f>HYPERLINK("https://my.pitchbook.com?c=84978-91T","View Company Online")</f>
      </c>
    </row>
    <row r="7049">
      <c r="A7049" s="3" t="s">
        <v>31489</v>
      </c>
      <c r="B7049" s="3" t="s">
        <v>31490</v>
      </c>
      <c r="C7049" s="5" t="s">
        <v>36</v>
      </c>
      <c r="D7049" s="5" t="s">
        <v>36</v>
      </c>
      <c r="E7049" s="5" t="s">
        <v>36</v>
      </c>
      <c r="F7049" s="5" t="s">
        <v>36</v>
      </c>
      <c r="G7049" s="6" t="s">
        <v>36</v>
      </c>
      <c r="H7049" s="4" t="s">
        <v>36</v>
      </c>
      <c r="I7049" s="7" t="s">
        <v>36</v>
      </c>
      <c r="J7049" s="3" t="s">
        <v>36</v>
      </c>
      <c r="K7049" s="9" t="s">
        <v>36</v>
      </c>
      <c r="L7049" s="6" t="s">
        <v>36</v>
      </c>
      <c r="M7049" s="3" t="s">
        <v>36</v>
      </c>
      <c r="N7049" s="3" t="s">
        <v>36</v>
      </c>
      <c r="O7049" s="8" t="s">
        <v>36</v>
      </c>
      <c r="P7049" s="3" t="s">
        <v>36</v>
      </c>
      <c r="Q7049" s="3" t="s">
        <v>36</v>
      </c>
      <c r="R7049" s="3" t="s">
        <v>36</v>
      </c>
      <c r="S7049" s="3" t="s">
        <v>36</v>
      </c>
      <c r="T7049" s="3" t="s">
        <v>3175</v>
      </c>
      <c r="U7049" s="3" t="s">
        <v>74</v>
      </c>
      <c r="V7049" s="3" t="s">
        <v>75</v>
      </c>
      <c r="W7049" s="3" t="s">
        <v>31491</v>
      </c>
      <c r="X7049" s="10" t="s">
        <v>31492</v>
      </c>
      <c r="Y7049" s="6" t="s">
        <v>42</v>
      </c>
      <c r="Z7049" s="4" t="s">
        <v>36</v>
      </c>
      <c r="AA7049" s="4" t="s">
        <v>36</v>
      </c>
      <c r="AB7049" s="3" t="s">
        <v>43</v>
      </c>
      <c r="AC7049" s="3" t="s">
        <v>31493</v>
      </c>
      <c r="AD7049" s="9">
        <v>42217</v>
      </c>
      <c r="AE7049" s="3" t="s">
        <v>975</v>
      </c>
      <c r="AF7049" s="3" t="s">
        <v>22942</v>
      </c>
      <c r="AG7049" s="3" t="s">
        <v>47</v>
      </c>
      <c r="AH7049" s="11">
        <f>HYPERLINK("https://my.pitchbook.com?c=36340-03T","View Company Online")</f>
      </c>
    </row>
    <row r="7050">
      <c r="A7050" s="12" t="s">
        <v>31494</v>
      </c>
      <c r="B7050" s="12" t="s">
        <v>31495</v>
      </c>
      <c r="C7050" s="19" t="s">
        <v>36</v>
      </c>
      <c r="D7050" s="19" t="s">
        <v>36</v>
      </c>
      <c r="E7050" s="19" t="s">
        <v>36</v>
      </c>
      <c r="F7050" s="19" t="s">
        <v>36</v>
      </c>
      <c r="G7050" s="15" t="s">
        <v>36</v>
      </c>
      <c r="H7050" s="14" t="s">
        <v>36</v>
      </c>
      <c r="I7050" s="18" t="s">
        <v>36</v>
      </c>
      <c r="J7050" s="12" t="s">
        <v>36</v>
      </c>
      <c r="K7050" s="13" t="s">
        <v>36</v>
      </c>
      <c r="L7050" s="15" t="s">
        <v>36</v>
      </c>
      <c r="M7050" s="12" t="s">
        <v>36</v>
      </c>
      <c r="N7050" s="12" t="s">
        <v>36</v>
      </c>
      <c r="O7050" s="17" t="s">
        <v>36</v>
      </c>
      <c r="P7050" s="12" t="s">
        <v>36</v>
      </c>
      <c r="Q7050" s="12" t="s">
        <v>36</v>
      </c>
      <c r="R7050" s="12" t="s">
        <v>36</v>
      </c>
      <c r="S7050" s="12" t="s">
        <v>36</v>
      </c>
      <c r="T7050" s="12" t="s">
        <v>22878</v>
      </c>
      <c r="U7050" s="12" t="s">
        <v>404</v>
      </c>
      <c r="V7050" s="12" t="s">
        <v>405</v>
      </c>
      <c r="W7050" s="12" t="s">
        <v>31496</v>
      </c>
      <c r="X7050" s="16" t="s">
        <v>26808</v>
      </c>
      <c r="Y7050" s="15" t="s">
        <v>42</v>
      </c>
      <c r="Z7050" s="14" t="s">
        <v>36</v>
      </c>
      <c r="AA7050" s="14" t="s">
        <v>36</v>
      </c>
      <c r="AB7050" s="12" t="s">
        <v>43</v>
      </c>
      <c r="AC7050" s="12" t="s">
        <v>31497</v>
      </c>
      <c r="AD7050" s="13">
        <v>42217</v>
      </c>
      <c r="AE7050" s="12" t="s">
        <v>9685</v>
      </c>
      <c r="AF7050" s="12" t="s">
        <v>36</v>
      </c>
      <c r="AG7050" s="12" t="s">
        <v>81</v>
      </c>
      <c r="AH7050" s="1">
        <f>HYPERLINK("https://my.pitchbook.com?c=36391-33T","View Company Online")</f>
      </c>
    </row>
    <row r="7051">
      <c r="A7051" s="3" t="s">
        <v>31498</v>
      </c>
      <c r="B7051" s="3" t="s">
        <v>31499</v>
      </c>
      <c r="C7051" s="5" t="s">
        <v>36</v>
      </c>
      <c r="D7051" s="5" t="s">
        <v>36</v>
      </c>
      <c r="E7051" s="5" t="s">
        <v>36</v>
      </c>
      <c r="F7051" s="5" t="s">
        <v>36</v>
      </c>
      <c r="G7051" s="6" t="s">
        <v>36</v>
      </c>
      <c r="H7051" s="4" t="s">
        <v>36</v>
      </c>
      <c r="I7051" s="7" t="s">
        <v>36</v>
      </c>
      <c r="J7051" s="3" t="s">
        <v>36</v>
      </c>
      <c r="K7051" s="9" t="s">
        <v>36</v>
      </c>
      <c r="L7051" s="6" t="s">
        <v>36</v>
      </c>
      <c r="M7051" s="3" t="s">
        <v>36</v>
      </c>
      <c r="N7051" s="3" t="s">
        <v>36</v>
      </c>
      <c r="O7051" s="8" t="s">
        <v>36</v>
      </c>
      <c r="P7051" s="3" t="s">
        <v>36</v>
      </c>
      <c r="Q7051" s="3" t="s">
        <v>36</v>
      </c>
      <c r="R7051" s="3" t="s">
        <v>36</v>
      </c>
      <c r="S7051" s="3" t="s">
        <v>36</v>
      </c>
      <c r="T7051" s="3" t="s">
        <v>3945</v>
      </c>
      <c r="U7051" s="3" t="s">
        <v>366</v>
      </c>
      <c r="V7051" s="3" t="s">
        <v>367</v>
      </c>
      <c r="W7051" s="3" t="s">
        <v>31500</v>
      </c>
      <c r="X7051" s="10" t="s">
        <v>26808</v>
      </c>
      <c r="Y7051" s="6" t="s">
        <v>42</v>
      </c>
      <c r="Z7051" s="4" t="s">
        <v>36</v>
      </c>
      <c r="AA7051" s="4" t="s">
        <v>36</v>
      </c>
      <c r="AB7051" s="3" t="s">
        <v>43</v>
      </c>
      <c r="AC7051" s="3" t="s">
        <v>31501</v>
      </c>
      <c r="AD7051" s="9">
        <v>42217</v>
      </c>
      <c r="AE7051" s="3" t="s">
        <v>600</v>
      </c>
      <c r="AF7051" s="3" t="s">
        <v>571</v>
      </c>
      <c r="AG7051" s="3" t="s">
        <v>81</v>
      </c>
      <c r="AH7051" s="11">
        <f>HYPERLINK("https://my.pitchbook.com?c=36413-74T","View Company Online")</f>
      </c>
    </row>
    <row r="7052">
      <c r="A7052" s="12" t="s">
        <v>31502</v>
      </c>
      <c r="B7052" s="12" t="s">
        <v>29305</v>
      </c>
      <c r="C7052" s="19" t="s">
        <v>36</v>
      </c>
      <c r="D7052" s="19" t="s">
        <v>36</v>
      </c>
      <c r="E7052" s="19" t="s">
        <v>36</v>
      </c>
      <c r="F7052" s="19" t="s">
        <v>36</v>
      </c>
      <c r="G7052" s="15" t="s">
        <v>36</v>
      </c>
      <c r="H7052" s="14" t="s">
        <v>36</v>
      </c>
      <c r="I7052" s="18" t="s">
        <v>36</v>
      </c>
      <c r="J7052" s="12" t="s">
        <v>36</v>
      </c>
      <c r="K7052" s="13" t="s">
        <v>36</v>
      </c>
      <c r="L7052" s="15" t="s">
        <v>36</v>
      </c>
      <c r="M7052" s="12" t="s">
        <v>36</v>
      </c>
      <c r="N7052" s="12" t="s">
        <v>36</v>
      </c>
      <c r="O7052" s="17" t="s">
        <v>36</v>
      </c>
      <c r="P7052" s="12" t="s">
        <v>36</v>
      </c>
      <c r="Q7052" s="12" t="s">
        <v>36</v>
      </c>
      <c r="R7052" s="12" t="s">
        <v>36</v>
      </c>
      <c r="S7052" s="12" t="s">
        <v>36</v>
      </c>
      <c r="T7052" s="12" t="s">
        <v>2419</v>
      </c>
      <c r="U7052" s="12" t="s">
        <v>1091</v>
      </c>
      <c r="V7052" s="12" t="s">
        <v>378</v>
      </c>
      <c r="W7052" s="12" t="s">
        <v>29306</v>
      </c>
      <c r="X7052" s="16" t="s">
        <v>31503</v>
      </c>
      <c r="Y7052" s="15" t="s">
        <v>192</v>
      </c>
      <c r="Z7052" s="14" t="s">
        <v>36</v>
      </c>
      <c r="AA7052" s="14" t="s">
        <v>36</v>
      </c>
      <c r="AB7052" s="12" t="s">
        <v>56</v>
      </c>
      <c r="AC7052" s="12" t="s">
        <v>29308</v>
      </c>
      <c r="AD7052" s="13">
        <v>42217</v>
      </c>
      <c r="AE7052" s="12" t="s">
        <v>1095</v>
      </c>
      <c r="AF7052" s="12" t="s">
        <v>571</v>
      </c>
      <c r="AG7052" s="12" t="s">
        <v>16838</v>
      </c>
      <c r="AH7052" s="1">
        <f>HYPERLINK("https://my.pitchbook.com?c=36426-34T","View Company Online")</f>
      </c>
    </row>
    <row r="7053">
      <c r="A7053" s="3" t="s">
        <v>31504</v>
      </c>
      <c r="B7053" s="3" t="s">
        <v>2411</v>
      </c>
      <c r="C7053" s="5" t="s">
        <v>36</v>
      </c>
      <c r="D7053" s="5" t="s">
        <v>36</v>
      </c>
      <c r="E7053" s="5" t="s">
        <v>36</v>
      </c>
      <c r="F7053" s="5" t="s">
        <v>36</v>
      </c>
      <c r="G7053" s="6" t="s">
        <v>36</v>
      </c>
      <c r="H7053" s="4">
        <v>13.96</v>
      </c>
      <c r="I7053" s="7">
        <v>30.15</v>
      </c>
      <c r="J7053" s="3" t="s">
        <v>521</v>
      </c>
      <c r="K7053" s="9" t="s">
        <v>36</v>
      </c>
      <c r="L7053" s="6" t="s">
        <v>36</v>
      </c>
      <c r="M7053" s="3" t="s">
        <v>36</v>
      </c>
      <c r="N7053" s="3" t="s">
        <v>36</v>
      </c>
      <c r="O7053" s="8" t="s">
        <v>36</v>
      </c>
      <c r="P7053" s="3" t="s">
        <v>36</v>
      </c>
      <c r="Q7053" s="3" t="s">
        <v>36</v>
      </c>
      <c r="R7053" s="3" t="s">
        <v>36</v>
      </c>
      <c r="S7053" s="3" t="s">
        <v>36</v>
      </c>
      <c r="T7053" s="3" t="s">
        <v>2412</v>
      </c>
      <c r="U7053" s="3" t="s">
        <v>96</v>
      </c>
      <c r="V7053" s="3" t="s">
        <v>52</v>
      </c>
      <c r="W7053" s="3" t="s">
        <v>2413</v>
      </c>
      <c r="X7053" s="10" t="s">
        <v>31505</v>
      </c>
      <c r="Y7053" s="6" t="s">
        <v>42</v>
      </c>
      <c r="Z7053" s="4">
        <v>1.28</v>
      </c>
      <c r="AA7053" s="4">
        <v>4.25</v>
      </c>
      <c r="AB7053" s="3" t="s">
        <v>43</v>
      </c>
      <c r="AC7053" s="3" t="s">
        <v>2415</v>
      </c>
      <c r="AD7053" s="9">
        <v>42216</v>
      </c>
      <c r="AE7053" s="3" t="s">
        <v>496</v>
      </c>
      <c r="AF7053" s="3" t="s">
        <v>2416</v>
      </c>
      <c r="AG7053" s="3" t="s">
        <v>652</v>
      </c>
      <c r="AH7053" s="11">
        <f>HYPERLINK("https://my.pitchbook.com?c=210606-76T","View Company Online")</f>
      </c>
    </row>
    <row r="7054">
      <c r="A7054" s="12" t="s">
        <v>31506</v>
      </c>
      <c r="B7054" s="12" t="s">
        <v>31507</v>
      </c>
      <c r="C7054" s="19" t="s">
        <v>36</v>
      </c>
      <c r="D7054" s="19" t="s">
        <v>36</v>
      </c>
      <c r="E7054" s="19" t="s">
        <v>36</v>
      </c>
      <c r="F7054" s="19" t="s">
        <v>36</v>
      </c>
      <c r="G7054" s="15" t="s">
        <v>326</v>
      </c>
      <c r="H7054" s="14">
        <v>41.73</v>
      </c>
      <c r="I7054" s="18">
        <v>10</v>
      </c>
      <c r="J7054" s="12" t="s">
        <v>521</v>
      </c>
      <c r="K7054" s="13" t="s">
        <v>36</v>
      </c>
      <c r="L7054" s="15" t="s">
        <v>36</v>
      </c>
      <c r="M7054" s="12" t="s">
        <v>36</v>
      </c>
      <c r="N7054" s="12" t="s">
        <v>36</v>
      </c>
      <c r="O7054" s="17" t="s">
        <v>36</v>
      </c>
      <c r="P7054" s="12" t="s">
        <v>36</v>
      </c>
      <c r="Q7054" s="12" t="s">
        <v>36</v>
      </c>
      <c r="R7054" s="12" t="s">
        <v>36</v>
      </c>
      <c r="S7054" s="12" t="s">
        <v>36</v>
      </c>
      <c r="T7054" s="12" t="s">
        <v>522</v>
      </c>
      <c r="U7054" s="12" t="s">
        <v>38</v>
      </c>
      <c r="V7054" s="12" t="s">
        <v>39</v>
      </c>
      <c r="W7054" s="12" t="s">
        <v>31508</v>
      </c>
      <c r="X7054" s="16" t="s">
        <v>9668</v>
      </c>
      <c r="Y7054" s="15" t="s">
        <v>42</v>
      </c>
      <c r="Z7054" s="14">
        <v>0.17</v>
      </c>
      <c r="AA7054" s="14">
        <v>1.66</v>
      </c>
      <c r="AB7054" s="12" t="s">
        <v>43</v>
      </c>
      <c r="AC7054" s="12" t="s">
        <v>31509</v>
      </c>
      <c r="AD7054" s="13">
        <v>42216</v>
      </c>
      <c r="AE7054" s="12" t="s">
        <v>110</v>
      </c>
      <c r="AF7054" s="12" t="s">
        <v>31510</v>
      </c>
      <c r="AG7054" s="12" t="s">
        <v>81</v>
      </c>
      <c r="AH7054" s="1">
        <f>HYPERLINK("https://my.pitchbook.com?c=133429-33T","View Company Online")</f>
      </c>
    </row>
    <row r="7055">
      <c r="A7055" s="3" t="s">
        <v>31511</v>
      </c>
      <c r="B7055" s="3" t="s">
        <v>22051</v>
      </c>
      <c r="C7055" s="5" t="s">
        <v>36</v>
      </c>
      <c r="D7055" s="5" t="s">
        <v>36</v>
      </c>
      <c r="E7055" s="5" t="s">
        <v>36</v>
      </c>
      <c r="F7055" s="5" t="s">
        <v>36</v>
      </c>
      <c r="G7055" s="6" t="s">
        <v>36</v>
      </c>
      <c r="H7055" s="4">
        <v>181.75</v>
      </c>
      <c r="I7055" s="7">
        <v>25.62</v>
      </c>
      <c r="J7055" s="3" t="s">
        <v>521</v>
      </c>
      <c r="K7055" s="9" t="s">
        <v>36</v>
      </c>
      <c r="L7055" s="6" t="s">
        <v>36</v>
      </c>
      <c r="M7055" s="3" t="s">
        <v>36</v>
      </c>
      <c r="N7055" s="3" t="s">
        <v>36</v>
      </c>
      <c r="O7055" s="8" t="s">
        <v>36</v>
      </c>
      <c r="P7055" s="3" t="s">
        <v>36</v>
      </c>
      <c r="Q7055" s="3" t="s">
        <v>36</v>
      </c>
      <c r="R7055" s="3" t="s">
        <v>36</v>
      </c>
      <c r="S7055" s="3" t="s">
        <v>36</v>
      </c>
      <c r="T7055" s="3" t="s">
        <v>948</v>
      </c>
      <c r="U7055" s="3" t="s">
        <v>38</v>
      </c>
      <c r="V7055" s="3" t="s">
        <v>39</v>
      </c>
      <c r="W7055" s="3" t="s">
        <v>22052</v>
      </c>
      <c r="X7055" s="10" t="s">
        <v>31512</v>
      </c>
      <c r="Y7055" s="6" t="s">
        <v>42</v>
      </c>
      <c r="Z7055" s="4">
        <v>0.77</v>
      </c>
      <c r="AA7055" s="4">
        <v>3.02</v>
      </c>
      <c r="AB7055" s="3" t="s">
        <v>43</v>
      </c>
      <c r="AC7055" s="3" t="s">
        <v>22053</v>
      </c>
      <c r="AD7055" s="9">
        <v>42216</v>
      </c>
      <c r="AE7055" s="3" t="s">
        <v>110</v>
      </c>
      <c r="AF7055" s="3" t="s">
        <v>22054</v>
      </c>
      <c r="AG7055" s="3" t="s">
        <v>81</v>
      </c>
      <c r="AH7055" s="11">
        <f>HYPERLINK("https://my.pitchbook.com?c=187891-66T","View Company Online")</f>
      </c>
    </row>
    <row r="7056">
      <c r="A7056" s="12" t="s">
        <v>31513</v>
      </c>
      <c r="B7056" s="12" t="s">
        <v>18696</v>
      </c>
      <c r="C7056" s="19" t="s">
        <v>36</v>
      </c>
      <c r="D7056" s="19">
        <v>6</v>
      </c>
      <c r="E7056" s="19">
        <v>2</v>
      </c>
      <c r="F7056" s="19">
        <v>10</v>
      </c>
      <c r="G7056" s="15" t="s">
        <v>2497</v>
      </c>
      <c r="H7056" s="14">
        <v>25.96</v>
      </c>
      <c r="I7056" s="18">
        <v>46.21</v>
      </c>
      <c r="J7056" s="12" t="s">
        <v>521</v>
      </c>
      <c r="K7056" s="13" t="s">
        <v>36</v>
      </c>
      <c r="L7056" s="15" t="s">
        <v>36</v>
      </c>
      <c r="M7056" s="12" t="s">
        <v>36</v>
      </c>
      <c r="N7056" s="12" t="s">
        <v>36</v>
      </c>
      <c r="O7056" s="17" t="s">
        <v>36</v>
      </c>
      <c r="P7056" s="12" t="s">
        <v>36</v>
      </c>
      <c r="Q7056" s="12" t="s">
        <v>36</v>
      </c>
      <c r="R7056" s="12" t="s">
        <v>36</v>
      </c>
      <c r="S7056" s="12" t="s">
        <v>36</v>
      </c>
      <c r="T7056" s="12" t="s">
        <v>1162</v>
      </c>
      <c r="U7056" s="12" t="s">
        <v>423</v>
      </c>
      <c r="V7056" s="12" t="s">
        <v>64</v>
      </c>
      <c r="W7056" s="12" t="s">
        <v>18697</v>
      </c>
      <c r="X7056" s="16" t="s">
        <v>31514</v>
      </c>
      <c r="Y7056" s="15" t="s">
        <v>108</v>
      </c>
      <c r="Z7056" s="14">
        <v>3.87</v>
      </c>
      <c r="AA7056" s="14">
        <v>4.78</v>
      </c>
      <c r="AB7056" s="12" t="s">
        <v>43</v>
      </c>
      <c r="AC7056" s="12" t="s">
        <v>18699</v>
      </c>
      <c r="AD7056" s="13">
        <v>42216</v>
      </c>
      <c r="AE7056" s="12" t="s">
        <v>562</v>
      </c>
      <c r="AF7056" s="12" t="s">
        <v>18700</v>
      </c>
      <c r="AG7056" s="12" t="s">
        <v>18701</v>
      </c>
      <c r="AH7056" s="1">
        <f>HYPERLINK("https://my.pitchbook.com?c=77173-84T","View Company Online")</f>
      </c>
    </row>
    <row r="7057">
      <c r="A7057" s="3" t="s">
        <v>31515</v>
      </c>
      <c r="B7057" s="3" t="s">
        <v>29100</v>
      </c>
      <c r="C7057" s="5" t="s">
        <v>36</v>
      </c>
      <c r="D7057" s="5" t="s">
        <v>36</v>
      </c>
      <c r="E7057" s="5" t="s">
        <v>36</v>
      </c>
      <c r="F7057" s="5" t="s">
        <v>36</v>
      </c>
      <c r="G7057" s="6" t="s">
        <v>36</v>
      </c>
      <c r="H7057" s="4">
        <v>27.74</v>
      </c>
      <c r="I7057" s="7">
        <v>21.84</v>
      </c>
      <c r="J7057" s="3" t="s">
        <v>521</v>
      </c>
      <c r="K7057" s="9" t="s">
        <v>36</v>
      </c>
      <c r="L7057" s="6" t="s">
        <v>36</v>
      </c>
      <c r="M7057" s="3" t="s">
        <v>36</v>
      </c>
      <c r="N7057" s="3" t="s">
        <v>36</v>
      </c>
      <c r="O7057" s="8" t="s">
        <v>36</v>
      </c>
      <c r="P7057" s="3" t="s">
        <v>36</v>
      </c>
      <c r="Q7057" s="3" t="s">
        <v>36</v>
      </c>
      <c r="R7057" s="3" t="s">
        <v>36</v>
      </c>
      <c r="S7057" s="3" t="s">
        <v>36</v>
      </c>
      <c r="T7057" s="3" t="s">
        <v>29101</v>
      </c>
      <c r="U7057" s="3" t="s">
        <v>1357</v>
      </c>
      <c r="V7057" s="3" t="s">
        <v>52</v>
      </c>
      <c r="W7057" s="3" t="s">
        <v>29102</v>
      </c>
      <c r="X7057" s="10" t="s">
        <v>31516</v>
      </c>
      <c r="Y7057" s="6" t="s">
        <v>108</v>
      </c>
      <c r="Z7057" s="4">
        <v>1.23</v>
      </c>
      <c r="AA7057" s="4">
        <v>5.65</v>
      </c>
      <c r="AB7057" s="3" t="s">
        <v>43</v>
      </c>
      <c r="AC7057" s="3" t="s">
        <v>29104</v>
      </c>
      <c r="AD7057" s="9">
        <v>42215</v>
      </c>
      <c r="AE7057" s="3" t="s">
        <v>2377</v>
      </c>
      <c r="AF7057" s="3" t="s">
        <v>24285</v>
      </c>
      <c r="AG7057" s="3" t="s">
        <v>3250</v>
      </c>
      <c r="AH7057" s="11">
        <f>HYPERLINK("https://my.pitchbook.com?c=57664-09T","View Company Online")</f>
      </c>
    </row>
    <row r="7058">
      <c r="A7058" s="12" t="s">
        <v>31517</v>
      </c>
      <c r="B7058" s="12" t="s">
        <v>17459</v>
      </c>
      <c r="C7058" s="19">
        <v>1</v>
      </c>
      <c r="D7058" s="19">
        <v>4</v>
      </c>
      <c r="E7058" s="19">
        <v>3</v>
      </c>
      <c r="F7058" s="19">
        <v>7</v>
      </c>
      <c r="G7058" s="15" t="s">
        <v>2497</v>
      </c>
      <c r="H7058" s="14">
        <v>5.26</v>
      </c>
      <c r="I7058" s="18">
        <v>25.54</v>
      </c>
      <c r="J7058" s="12" t="s">
        <v>521</v>
      </c>
      <c r="K7058" s="13">
        <v>41547</v>
      </c>
      <c r="L7058" s="15" t="s">
        <v>36</v>
      </c>
      <c r="M7058" s="12" t="s">
        <v>36</v>
      </c>
      <c r="N7058" s="12" t="s">
        <v>36</v>
      </c>
      <c r="O7058" s="17" t="s">
        <v>36</v>
      </c>
      <c r="P7058" s="12" t="s">
        <v>36</v>
      </c>
      <c r="Q7058" s="12" t="s">
        <v>36</v>
      </c>
      <c r="R7058" s="12" t="s">
        <v>36</v>
      </c>
      <c r="S7058" s="12" t="s">
        <v>36</v>
      </c>
      <c r="T7058" s="12" t="s">
        <v>5525</v>
      </c>
      <c r="U7058" s="12" t="s">
        <v>38</v>
      </c>
      <c r="V7058" s="12" t="s">
        <v>39</v>
      </c>
      <c r="W7058" s="12" t="s">
        <v>17460</v>
      </c>
      <c r="X7058" s="16" t="s">
        <v>31518</v>
      </c>
      <c r="Y7058" s="15" t="s">
        <v>55</v>
      </c>
      <c r="Z7058" s="14">
        <v>1.36</v>
      </c>
      <c r="AA7058" s="14">
        <v>5.31</v>
      </c>
      <c r="AB7058" s="12" t="s">
        <v>56</v>
      </c>
      <c r="AC7058" s="12" t="s">
        <v>17462</v>
      </c>
      <c r="AD7058" s="13">
        <v>42215</v>
      </c>
      <c r="AE7058" s="12" t="s">
        <v>110</v>
      </c>
      <c r="AF7058" s="12" t="s">
        <v>7107</v>
      </c>
      <c r="AG7058" s="12" t="s">
        <v>924</v>
      </c>
      <c r="AH7058" s="1">
        <f>HYPERLINK("https://my.pitchbook.com?c=57841-21T","View Company Online")</f>
      </c>
    </row>
    <row r="7059">
      <c r="A7059" s="3" t="s">
        <v>31519</v>
      </c>
      <c r="B7059" s="3" t="s">
        <v>17006</v>
      </c>
      <c r="C7059" s="5">
        <v>17</v>
      </c>
      <c r="D7059" s="5">
        <v>18</v>
      </c>
      <c r="E7059" s="5">
        <v>13</v>
      </c>
      <c r="F7059" s="5">
        <v>39</v>
      </c>
      <c r="G7059" s="6" t="s">
        <v>683</v>
      </c>
      <c r="H7059" s="4">
        <v>2.08</v>
      </c>
      <c r="I7059" s="7">
        <v>18.39</v>
      </c>
      <c r="J7059" s="3" t="s">
        <v>521</v>
      </c>
      <c r="K7059" s="9" t="s">
        <v>36</v>
      </c>
      <c r="L7059" s="6" t="s">
        <v>36</v>
      </c>
      <c r="M7059" s="3" t="s">
        <v>36</v>
      </c>
      <c r="N7059" s="3" t="s">
        <v>36</v>
      </c>
      <c r="O7059" s="8" t="s">
        <v>36</v>
      </c>
      <c r="P7059" s="3" t="s">
        <v>36</v>
      </c>
      <c r="Q7059" s="3" t="s">
        <v>36</v>
      </c>
      <c r="R7059" s="3" t="s">
        <v>36</v>
      </c>
      <c r="S7059" s="3" t="s">
        <v>36</v>
      </c>
      <c r="T7059" s="3" t="s">
        <v>881</v>
      </c>
      <c r="U7059" s="3" t="s">
        <v>51</v>
      </c>
      <c r="V7059" s="3" t="s">
        <v>52</v>
      </c>
      <c r="W7059" s="3" t="s">
        <v>17007</v>
      </c>
      <c r="X7059" s="10" t="s">
        <v>31520</v>
      </c>
      <c r="Y7059" s="6" t="s">
        <v>108</v>
      </c>
      <c r="Z7059" s="4">
        <v>0.83</v>
      </c>
      <c r="AA7059" s="4">
        <v>2.86</v>
      </c>
      <c r="AB7059" s="3" t="s">
        <v>43</v>
      </c>
      <c r="AC7059" s="3" t="s">
        <v>17009</v>
      </c>
      <c r="AD7059" s="9">
        <v>42213</v>
      </c>
      <c r="AE7059" s="3" t="s">
        <v>504</v>
      </c>
      <c r="AF7059" s="3" t="s">
        <v>665</v>
      </c>
      <c r="AG7059" s="3" t="s">
        <v>13998</v>
      </c>
      <c r="AH7059" s="11">
        <f>HYPERLINK("https://my.pitchbook.com?c=62710-75T","View Company Online")</f>
      </c>
    </row>
    <row r="7060">
      <c r="A7060" s="12" t="s">
        <v>31521</v>
      </c>
      <c r="B7060" s="12" t="s">
        <v>18083</v>
      </c>
      <c r="C7060" s="19">
        <v>24</v>
      </c>
      <c r="D7060" s="19">
        <v>68</v>
      </c>
      <c r="E7060" s="19">
        <v>14</v>
      </c>
      <c r="F7060" s="19">
        <v>98</v>
      </c>
      <c r="G7060" s="15" t="s">
        <v>36</v>
      </c>
      <c r="H7060" s="14" t="s">
        <v>36</v>
      </c>
      <c r="I7060" s="18" t="s">
        <v>36</v>
      </c>
      <c r="J7060" s="12" t="s">
        <v>36</v>
      </c>
      <c r="K7060" s="13" t="s">
        <v>36</v>
      </c>
      <c r="L7060" s="15" t="s">
        <v>36</v>
      </c>
      <c r="M7060" s="12" t="s">
        <v>36</v>
      </c>
      <c r="N7060" s="12" t="s">
        <v>36</v>
      </c>
      <c r="O7060" s="17" t="s">
        <v>36</v>
      </c>
      <c r="P7060" s="12" t="s">
        <v>36</v>
      </c>
      <c r="Q7060" s="12" t="s">
        <v>36</v>
      </c>
      <c r="R7060" s="12" t="s">
        <v>36</v>
      </c>
      <c r="S7060" s="12" t="s">
        <v>36</v>
      </c>
      <c r="T7060" s="12" t="s">
        <v>881</v>
      </c>
      <c r="U7060" s="12" t="s">
        <v>51</v>
      </c>
      <c r="V7060" s="12" t="s">
        <v>52</v>
      </c>
      <c r="W7060" s="12" t="s">
        <v>18084</v>
      </c>
      <c r="X7060" s="16" t="s">
        <v>27166</v>
      </c>
      <c r="Y7060" s="15" t="s">
        <v>108</v>
      </c>
      <c r="Z7060" s="14">
        <v>1.11</v>
      </c>
      <c r="AA7060" s="14" t="s">
        <v>36</v>
      </c>
      <c r="AB7060" s="12" t="s">
        <v>43</v>
      </c>
      <c r="AC7060" s="12" t="s">
        <v>18086</v>
      </c>
      <c r="AD7060" s="13">
        <v>42209</v>
      </c>
      <c r="AE7060" s="12" t="s">
        <v>504</v>
      </c>
      <c r="AF7060" s="12" t="s">
        <v>665</v>
      </c>
      <c r="AG7060" s="12" t="s">
        <v>47</v>
      </c>
      <c r="AH7060" s="1">
        <f>HYPERLINK("https://my.pitchbook.com?c=54245-71T","View Company Online")</f>
      </c>
    </row>
    <row r="7061">
      <c r="A7061" s="3" t="s">
        <v>31522</v>
      </c>
      <c r="B7061" s="3" t="s">
        <v>29812</v>
      </c>
      <c r="C7061" s="5">
        <v>17</v>
      </c>
      <c r="D7061" s="5">
        <v>53</v>
      </c>
      <c r="E7061" s="5">
        <v>13</v>
      </c>
      <c r="F7061" s="5">
        <v>75</v>
      </c>
      <c r="G7061" s="6" t="s">
        <v>36</v>
      </c>
      <c r="H7061" s="4">
        <v>58.17</v>
      </c>
      <c r="I7061" s="7">
        <v>15.53</v>
      </c>
      <c r="J7061" s="3" t="s">
        <v>521</v>
      </c>
      <c r="K7061" s="9" t="s">
        <v>36</v>
      </c>
      <c r="L7061" s="6" t="s">
        <v>36</v>
      </c>
      <c r="M7061" s="3" t="s">
        <v>36</v>
      </c>
      <c r="N7061" s="3" t="s">
        <v>36</v>
      </c>
      <c r="O7061" s="8" t="s">
        <v>36</v>
      </c>
      <c r="P7061" s="3" t="s">
        <v>36</v>
      </c>
      <c r="Q7061" s="3" t="s">
        <v>36</v>
      </c>
      <c r="R7061" s="3" t="s">
        <v>36</v>
      </c>
      <c r="S7061" s="3" t="s">
        <v>36</v>
      </c>
      <c r="T7061" s="3" t="s">
        <v>9836</v>
      </c>
      <c r="U7061" s="3" t="s">
        <v>96</v>
      </c>
      <c r="V7061" s="3" t="s">
        <v>52</v>
      </c>
      <c r="W7061" s="3" t="s">
        <v>29813</v>
      </c>
      <c r="X7061" s="10" t="s">
        <v>31523</v>
      </c>
      <c r="Y7061" s="6" t="s">
        <v>108</v>
      </c>
      <c r="Z7061" s="4">
        <v>0.78</v>
      </c>
      <c r="AA7061" s="4">
        <v>5</v>
      </c>
      <c r="AB7061" s="3" t="s">
        <v>43</v>
      </c>
      <c r="AC7061" s="3" t="s">
        <v>29814</v>
      </c>
      <c r="AD7061" s="9">
        <v>42208</v>
      </c>
      <c r="AE7061" s="3" t="s">
        <v>100</v>
      </c>
      <c r="AF7061" s="3" t="s">
        <v>9908</v>
      </c>
      <c r="AG7061" s="3" t="s">
        <v>81</v>
      </c>
      <c r="AH7061" s="11">
        <f>HYPERLINK("https://my.pitchbook.com?c=117765-28T","View Company Online")</f>
      </c>
    </row>
    <row r="7062">
      <c r="A7062" s="12" t="s">
        <v>31524</v>
      </c>
      <c r="B7062" s="12" t="s">
        <v>31525</v>
      </c>
      <c r="C7062" s="19" t="s">
        <v>36</v>
      </c>
      <c r="D7062" s="19" t="s">
        <v>36</v>
      </c>
      <c r="E7062" s="19" t="s">
        <v>36</v>
      </c>
      <c r="F7062" s="19" t="s">
        <v>36</v>
      </c>
      <c r="G7062" s="15" t="s">
        <v>326</v>
      </c>
      <c r="H7062" s="14">
        <v>344.76</v>
      </c>
      <c r="I7062" s="18">
        <v>55.35</v>
      </c>
      <c r="J7062" s="12" t="s">
        <v>521</v>
      </c>
      <c r="K7062" s="13" t="s">
        <v>36</v>
      </c>
      <c r="L7062" s="15" t="s">
        <v>122</v>
      </c>
      <c r="M7062" s="12" t="s">
        <v>36</v>
      </c>
      <c r="N7062" s="12" t="s">
        <v>122</v>
      </c>
      <c r="O7062" s="17" t="s">
        <v>36</v>
      </c>
      <c r="P7062" s="12" t="s">
        <v>36</v>
      </c>
      <c r="Q7062" s="12" t="s">
        <v>36</v>
      </c>
      <c r="R7062" s="12" t="s">
        <v>36</v>
      </c>
      <c r="S7062" s="12" t="s">
        <v>36</v>
      </c>
      <c r="T7062" s="12" t="s">
        <v>1701</v>
      </c>
      <c r="U7062" s="12" t="s">
        <v>74</v>
      </c>
      <c r="V7062" s="12" t="s">
        <v>75</v>
      </c>
      <c r="W7062" s="12" t="s">
        <v>31526</v>
      </c>
      <c r="X7062" s="16" t="s">
        <v>31527</v>
      </c>
      <c r="Y7062" s="15" t="s">
        <v>108</v>
      </c>
      <c r="Z7062" s="14">
        <v>3.89</v>
      </c>
      <c r="AA7062" s="14">
        <v>7.03</v>
      </c>
      <c r="AB7062" s="12" t="s">
        <v>43</v>
      </c>
      <c r="AC7062" s="12" t="s">
        <v>31528</v>
      </c>
      <c r="AD7062" s="13">
        <v>42206</v>
      </c>
      <c r="AE7062" s="12" t="s">
        <v>79</v>
      </c>
      <c r="AF7062" s="12" t="s">
        <v>2210</v>
      </c>
      <c r="AG7062" s="12" t="s">
        <v>1978</v>
      </c>
      <c r="AH7062" s="1">
        <f>HYPERLINK("https://my.pitchbook.com?c=43993-90T","View Company Online")</f>
      </c>
    </row>
    <row r="7063">
      <c r="A7063" s="3" t="s">
        <v>31529</v>
      </c>
      <c r="B7063" s="3" t="s">
        <v>31530</v>
      </c>
      <c r="C7063" s="5">
        <v>2</v>
      </c>
      <c r="D7063" s="5">
        <v>11</v>
      </c>
      <c r="E7063" s="5">
        <v>11</v>
      </c>
      <c r="F7063" s="5">
        <v>34</v>
      </c>
      <c r="G7063" s="6" t="s">
        <v>36</v>
      </c>
      <c r="H7063" s="4">
        <v>2.28</v>
      </c>
      <c r="I7063" s="7">
        <v>13.96</v>
      </c>
      <c r="J7063" s="3" t="s">
        <v>327</v>
      </c>
      <c r="K7063" s="9">
        <v>41995</v>
      </c>
      <c r="L7063" s="6" t="s">
        <v>36</v>
      </c>
      <c r="M7063" s="3" t="s">
        <v>36</v>
      </c>
      <c r="N7063" s="3" t="s">
        <v>36</v>
      </c>
      <c r="O7063" s="8" t="s">
        <v>36</v>
      </c>
      <c r="P7063" s="3" t="s">
        <v>36</v>
      </c>
      <c r="Q7063" s="3" t="s">
        <v>36</v>
      </c>
      <c r="R7063" s="3" t="s">
        <v>36</v>
      </c>
      <c r="S7063" s="3" t="s">
        <v>36</v>
      </c>
      <c r="T7063" s="3" t="s">
        <v>2736</v>
      </c>
      <c r="U7063" s="3" t="s">
        <v>51</v>
      </c>
      <c r="V7063" s="3" t="s">
        <v>52</v>
      </c>
      <c r="W7063" s="3" t="s">
        <v>31531</v>
      </c>
      <c r="X7063" s="10" t="s">
        <v>11579</v>
      </c>
      <c r="Y7063" s="6" t="s">
        <v>108</v>
      </c>
      <c r="Z7063" s="4">
        <v>1.11</v>
      </c>
      <c r="AA7063" s="4">
        <v>5.8</v>
      </c>
      <c r="AB7063" s="3" t="s">
        <v>56</v>
      </c>
      <c r="AC7063" s="3" t="s">
        <v>31532</v>
      </c>
      <c r="AD7063" s="9">
        <v>42201</v>
      </c>
      <c r="AE7063" s="3" t="s">
        <v>2740</v>
      </c>
      <c r="AF7063" s="3" t="s">
        <v>159</v>
      </c>
      <c r="AG7063" s="3" t="s">
        <v>31533</v>
      </c>
      <c r="AH7063" s="11">
        <f>HYPERLINK("https://my.pitchbook.com?c=84890-62T","View Company Online")</f>
      </c>
    </row>
    <row r="7064">
      <c r="A7064" s="12" t="s">
        <v>31534</v>
      </c>
      <c r="B7064" s="12" t="s">
        <v>31535</v>
      </c>
      <c r="C7064" s="19" t="s">
        <v>36</v>
      </c>
      <c r="D7064" s="19" t="s">
        <v>36</v>
      </c>
      <c r="E7064" s="19" t="s">
        <v>36</v>
      </c>
      <c r="F7064" s="19" t="s">
        <v>36</v>
      </c>
      <c r="G7064" s="15" t="s">
        <v>36</v>
      </c>
      <c r="H7064" s="14" t="s">
        <v>36</v>
      </c>
      <c r="I7064" s="18" t="s">
        <v>36</v>
      </c>
      <c r="J7064" s="12" t="s">
        <v>36</v>
      </c>
      <c r="K7064" s="13" t="s">
        <v>36</v>
      </c>
      <c r="L7064" s="15" t="s">
        <v>36</v>
      </c>
      <c r="M7064" s="12" t="s">
        <v>36</v>
      </c>
      <c r="N7064" s="12" t="s">
        <v>36</v>
      </c>
      <c r="O7064" s="17" t="s">
        <v>36</v>
      </c>
      <c r="P7064" s="12" t="s">
        <v>36</v>
      </c>
      <c r="Q7064" s="12" t="s">
        <v>36</v>
      </c>
      <c r="R7064" s="12" t="s">
        <v>36</v>
      </c>
      <c r="S7064" s="12" t="s">
        <v>36</v>
      </c>
      <c r="T7064" s="12" t="s">
        <v>22850</v>
      </c>
      <c r="U7064" s="12" t="s">
        <v>956</v>
      </c>
      <c r="V7064" s="12" t="s">
        <v>405</v>
      </c>
      <c r="W7064" s="12" t="s">
        <v>31536</v>
      </c>
      <c r="X7064" s="16" t="s">
        <v>1840</v>
      </c>
      <c r="Y7064" s="15" t="s">
        <v>42</v>
      </c>
      <c r="Z7064" s="14" t="s">
        <v>36</v>
      </c>
      <c r="AA7064" s="14" t="s">
        <v>36</v>
      </c>
      <c r="AB7064" s="12" t="s">
        <v>43</v>
      </c>
      <c r="AC7064" s="12" t="s">
        <v>31537</v>
      </c>
      <c r="AD7064" s="13">
        <v>42200</v>
      </c>
      <c r="AE7064" s="12" t="s">
        <v>5625</v>
      </c>
      <c r="AF7064" s="12" t="s">
        <v>17447</v>
      </c>
      <c r="AG7064" s="12" t="s">
        <v>81</v>
      </c>
      <c r="AH7064" s="1">
        <f>HYPERLINK("https://my.pitchbook.com?c=85279-96T","View Company Online")</f>
      </c>
    </row>
    <row r="7065">
      <c r="A7065" s="3" t="s">
        <v>31538</v>
      </c>
      <c r="B7065" s="3" t="s">
        <v>31539</v>
      </c>
      <c r="C7065" s="5" t="s">
        <v>36</v>
      </c>
      <c r="D7065" s="5" t="s">
        <v>36</v>
      </c>
      <c r="E7065" s="5" t="s">
        <v>36</v>
      </c>
      <c r="F7065" s="5" t="s">
        <v>36</v>
      </c>
      <c r="G7065" s="6" t="s">
        <v>326</v>
      </c>
      <c r="H7065" s="4">
        <v>3.13</v>
      </c>
      <c r="I7065" s="7">
        <v>43.16</v>
      </c>
      <c r="J7065" s="3" t="s">
        <v>521</v>
      </c>
      <c r="K7065" s="9">
        <v>42187</v>
      </c>
      <c r="L7065" s="6" t="s">
        <v>94</v>
      </c>
      <c r="M7065" s="3" t="s">
        <v>36</v>
      </c>
      <c r="N7065" s="3" t="s">
        <v>94</v>
      </c>
      <c r="O7065" s="8" t="s">
        <v>36</v>
      </c>
      <c r="P7065" s="3" t="s">
        <v>36</v>
      </c>
      <c r="Q7065" s="3" t="s">
        <v>36</v>
      </c>
      <c r="R7065" s="3" t="s">
        <v>36</v>
      </c>
      <c r="S7065" s="3" t="s">
        <v>36</v>
      </c>
      <c r="T7065" s="3" t="s">
        <v>522</v>
      </c>
      <c r="U7065" s="3" t="s">
        <v>38</v>
      </c>
      <c r="V7065" s="3" t="s">
        <v>39</v>
      </c>
      <c r="W7065" s="3" t="s">
        <v>31540</v>
      </c>
      <c r="X7065" s="10" t="s">
        <v>31541</v>
      </c>
      <c r="Y7065" s="6" t="s">
        <v>192</v>
      </c>
      <c r="Z7065" s="4">
        <v>10.06</v>
      </c>
      <c r="AA7065" s="4">
        <v>23.3</v>
      </c>
      <c r="AB7065" s="3" t="s">
        <v>56</v>
      </c>
      <c r="AC7065" s="3" t="s">
        <v>31542</v>
      </c>
      <c r="AD7065" s="9">
        <v>42200</v>
      </c>
      <c r="AE7065" s="3" t="s">
        <v>110</v>
      </c>
      <c r="AF7065" s="3" t="s">
        <v>4552</v>
      </c>
      <c r="AG7065" s="3" t="s">
        <v>81</v>
      </c>
      <c r="AH7065" s="11">
        <f>HYPERLINK("https://my.pitchbook.com?c=53540-29T","View Company Online")</f>
      </c>
    </row>
    <row r="7066">
      <c r="A7066" s="12" t="s">
        <v>31543</v>
      </c>
      <c r="B7066" s="12" t="s">
        <v>4434</v>
      </c>
      <c r="C7066" s="19" t="s">
        <v>36</v>
      </c>
      <c r="D7066" s="19" t="s">
        <v>36</v>
      </c>
      <c r="E7066" s="19" t="s">
        <v>36</v>
      </c>
      <c r="F7066" s="19" t="s">
        <v>36</v>
      </c>
      <c r="G7066" s="15" t="s">
        <v>36</v>
      </c>
      <c r="H7066" s="14">
        <v>185.38</v>
      </c>
      <c r="I7066" s="18">
        <v>11.25</v>
      </c>
      <c r="J7066" s="12" t="s">
        <v>521</v>
      </c>
      <c r="K7066" s="13" t="s">
        <v>36</v>
      </c>
      <c r="L7066" s="15" t="s">
        <v>36</v>
      </c>
      <c r="M7066" s="12" t="s">
        <v>36</v>
      </c>
      <c r="N7066" s="12" t="s">
        <v>36</v>
      </c>
      <c r="O7066" s="17" t="s">
        <v>36</v>
      </c>
      <c r="P7066" s="12" t="s">
        <v>36</v>
      </c>
      <c r="Q7066" s="12" t="s">
        <v>36</v>
      </c>
      <c r="R7066" s="12" t="s">
        <v>36</v>
      </c>
      <c r="S7066" s="12" t="s">
        <v>36</v>
      </c>
      <c r="T7066" s="12" t="s">
        <v>550</v>
      </c>
      <c r="U7066" s="12" t="s">
        <v>38</v>
      </c>
      <c r="V7066" s="12" t="s">
        <v>39</v>
      </c>
      <c r="W7066" s="12" t="s">
        <v>4435</v>
      </c>
      <c r="X7066" s="16" t="s">
        <v>31544</v>
      </c>
      <c r="Y7066" s="15" t="s">
        <v>42</v>
      </c>
      <c r="Z7066" s="14">
        <v>0.24</v>
      </c>
      <c r="AA7066" s="14">
        <v>2.14</v>
      </c>
      <c r="AB7066" s="12" t="s">
        <v>43</v>
      </c>
      <c r="AC7066" s="12" t="s">
        <v>4437</v>
      </c>
      <c r="AD7066" s="13">
        <v>42198</v>
      </c>
      <c r="AE7066" s="12" t="s">
        <v>554</v>
      </c>
      <c r="AF7066" s="12" t="s">
        <v>4438</v>
      </c>
      <c r="AG7066" s="12" t="s">
        <v>47</v>
      </c>
      <c r="AH7066" s="1">
        <f>HYPERLINK("https://my.pitchbook.com?c=53368-03T","View Company Online")</f>
      </c>
    </row>
    <row r="7067">
      <c r="A7067" s="3" t="s">
        <v>31545</v>
      </c>
      <c r="B7067" s="3" t="s">
        <v>18981</v>
      </c>
      <c r="C7067" s="5">
        <v>11</v>
      </c>
      <c r="D7067" s="5">
        <v>38</v>
      </c>
      <c r="E7067" s="5">
        <v>26</v>
      </c>
      <c r="F7067" s="5">
        <v>59</v>
      </c>
      <c r="G7067" s="6" t="s">
        <v>36</v>
      </c>
      <c r="H7067" s="4">
        <v>0.94</v>
      </c>
      <c r="I7067" s="7">
        <v>71.6</v>
      </c>
      <c r="J7067" s="3" t="s">
        <v>521</v>
      </c>
      <c r="K7067" s="9" t="s">
        <v>36</v>
      </c>
      <c r="L7067" s="6" t="s">
        <v>122</v>
      </c>
      <c r="M7067" s="3" t="s">
        <v>36</v>
      </c>
      <c r="N7067" s="3" t="s">
        <v>122</v>
      </c>
      <c r="O7067" s="8" t="s">
        <v>36</v>
      </c>
      <c r="P7067" s="3" t="s">
        <v>36</v>
      </c>
      <c r="Q7067" s="3" t="s">
        <v>36</v>
      </c>
      <c r="R7067" s="3" t="s">
        <v>36</v>
      </c>
      <c r="S7067" s="3" t="s">
        <v>36</v>
      </c>
      <c r="T7067" s="3" t="s">
        <v>18982</v>
      </c>
      <c r="U7067" s="3" t="s">
        <v>1798</v>
      </c>
      <c r="V7067" s="3" t="s">
        <v>39</v>
      </c>
      <c r="W7067" s="3" t="s">
        <v>18983</v>
      </c>
      <c r="X7067" s="10" t="s">
        <v>31546</v>
      </c>
      <c r="Y7067" s="6" t="s">
        <v>1067</v>
      </c>
      <c r="Z7067" s="4">
        <v>13.66</v>
      </c>
      <c r="AA7067" s="4">
        <v>19.07</v>
      </c>
      <c r="AB7067" s="3" t="s">
        <v>56</v>
      </c>
      <c r="AC7067" s="3" t="s">
        <v>18985</v>
      </c>
      <c r="AD7067" s="9">
        <v>42198</v>
      </c>
      <c r="AE7067" s="3" t="s">
        <v>1802</v>
      </c>
      <c r="AF7067" s="3" t="s">
        <v>18986</v>
      </c>
      <c r="AG7067" s="3" t="s">
        <v>18987</v>
      </c>
      <c r="AH7067" s="11">
        <f>HYPERLINK("https://my.pitchbook.com?c=53475-67T","View Company Online")</f>
      </c>
    </row>
    <row r="7068">
      <c r="A7068" s="12" t="s">
        <v>31547</v>
      </c>
      <c r="B7068" s="12" t="s">
        <v>28151</v>
      </c>
      <c r="C7068" s="19" t="s">
        <v>36</v>
      </c>
      <c r="D7068" s="19" t="s">
        <v>36</v>
      </c>
      <c r="E7068" s="19" t="s">
        <v>36</v>
      </c>
      <c r="F7068" s="19" t="s">
        <v>36</v>
      </c>
      <c r="G7068" s="15" t="s">
        <v>36</v>
      </c>
      <c r="H7068" s="14">
        <v>1.04</v>
      </c>
      <c r="I7068" s="18">
        <v>37.5</v>
      </c>
      <c r="J7068" s="12" t="s">
        <v>521</v>
      </c>
      <c r="K7068" s="13" t="s">
        <v>36</v>
      </c>
      <c r="L7068" s="15" t="s">
        <v>36</v>
      </c>
      <c r="M7068" s="12" t="s">
        <v>36</v>
      </c>
      <c r="N7068" s="12" t="s">
        <v>36</v>
      </c>
      <c r="O7068" s="17" t="s">
        <v>36</v>
      </c>
      <c r="P7068" s="12" t="s">
        <v>36</v>
      </c>
      <c r="Q7068" s="12" t="s">
        <v>36</v>
      </c>
      <c r="R7068" s="12" t="s">
        <v>36</v>
      </c>
      <c r="S7068" s="12" t="s">
        <v>28152</v>
      </c>
      <c r="T7068" s="12" t="s">
        <v>123</v>
      </c>
      <c r="U7068" s="12" t="s">
        <v>38</v>
      </c>
      <c r="V7068" s="12" t="s">
        <v>39</v>
      </c>
      <c r="W7068" s="12" t="s">
        <v>28153</v>
      </c>
      <c r="X7068" s="16" t="s">
        <v>31548</v>
      </c>
      <c r="Y7068" s="15" t="s">
        <v>42</v>
      </c>
      <c r="Z7068" s="14">
        <v>0.67</v>
      </c>
      <c r="AA7068" s="14">
        <v>1.79</v>
      </c>
      <c r="AB7068" s="12" t="s">
        <v>56</v>
      </c>
      <c r="AC7068" s="12" t="s">
        <v>28154</v>
      </c>
      <c r="AD7068" s="13">
        <v>42198</v>
      </c>
      <c r="AE7068" s="12" t="s">
        <v>110</v>
      </c>
      <c r="AF7068" s="12" t="s">
        <v>111</v>
      </c>
      <c r="AG7068" s="12" t="s">
        <v>1193</v>
      </c>
      <c r="AH7068" s="1">
        <f>HYPERLINK("https://my.pitchbook.com?c=92046-52T","View Company Online")</f>
      </c>
    </row>
    <row r="7069">
      <c r="A7069" s="3" t="s">
        <v>31549</v>
      </c>
      <c r="B7069" s="3" t="s">
        <v>30913</v>
      </c>
      <c r="C7069" s="5" t="s">
        <v>36</v>
      </c>
      <c r="D7069" s="5" t="s">
        <v>36</v>
      </c>
      <c r="E7069" s="5" t="s">
        <v>36</v>
      </c>
      <c r="F7069" s="5" t="s">
        <v>36</v>
      </c>
      <c r="G7069" s="6" t="s">
        <v>36</v>
      </c>
      <c r="H7069" s="4">
        <v>10.39</v>
      </c>
      <c r="I7069" s="7">
        <v>10.8</v>
      </c>
      <c r="J7069" s="3" t="s">
        <v>521</v>
      </c>
      <c r="K7069" s="9">
        <v>42127</v>
      </c>
      <c r="L7069" s="6" t="s">
        <v>36</v>
      </c>
      <c r="M7069" s="3" t="s">
        <v>36</v>
      </c>
      <c r="N7069" s="3" t="s">
        <v>36</v>
      </c>
      <c r="O7069" s="8" t="s">
        <v>36</v>
      </c>
      <c r="P7069" s="3" t="s">
        <v>36</v>
      </c>
      <c r="Q7069" s="3" t="s">
        <v>36</v>
      </c>
      <c r="R7069" s="3" t="s">
        <v>36</v>
      </c>
      <c r="S7069" s="3" t="s">
        <v>36</v>
      </c>
      <c r="T7069" s="3" t="s">
        <v>3850</v>
      </c>
      <c r="U7069" s="3" t="s">
        <v>1580</v>
      </c>
      <c r="V7069" s="3" t="s">
        <v>39</v>
      </c>
      <c r="W7069" s="3" t="s">
        <v>30914</v>
      </c>
      <c r="X7069" s="10" t="s">
        <v>2130</v>
      </c>
      <c r="Y7069" s="6" t="s">
        <v>42</v>
      </c>
      <c r="Z7069" s="4">
        <v>2.69</v>
      </c>
      <c r="AA7069" s="4">
        <v>24.94</v>
      </c>
      <c r="AB7069" s="3" t="s">
        <v>56</v>
      </c>
      <c r="AC7069" s="3" t="s">
        <v>30915</v>
      </c>
      <c r="AD7069" s="9">
        <v>42195</v>
      </c>
      <c r="AE7069" s="3" t="s">
        <v>3854</v>
      </c>
      <c r="AF7069" s="3" t="s">
        <v>1636</v>
      </c>
      <c r="AG7069" s="3" t="s">
        <v>81</v>
      </c>
      <c r="AH7069" s="11">
        <f>HYPERLINK("https://my.pitchbook.com?c=50555-98T","View Company Online")</f>
      </c>
    </row>
    <row r="7070">
      <c r="A7070" s="12" t="s">
        <v>31550</v>
      </c>
      <c r="B7070" s="12" t="s">
        <v>31551</v>
      </c>
      <c r="C7070" s="19" t="s">
        <v>36</v>
      </c>
      <c r="D7070" s="19" t="s">
        <v>36</v>
      </c>
      <c r="E7070" s="19" t="s">
        <v>36</v>
      </c>
      <c r="F7070" s="19" t="s">
        <v>36</v>
      </c>
      <c r="G7070" s="15" t="s">
        <v>36</v>
      </c>
      <c r="H7070" s="14" t="s">
        <v>36</v>
      </c>
      <c r="I7070" s="18" t="s">
        <v>36</v>
      </c>
      <c r="J7070" s="12" t="s">
        <v>36</v>
      </c>
      <c r="K7070" s="13" t="s">
        <v>36</v>
      </c>
      <c r="L7070" s="15" t="s">
        <v>122</v>
      </c>
      <c r="M7070" s="12" t="s">
        <v>36</v>
      </c>
      <c r="N7070" s="12" t="s">
        <v>122</v>
      </c>
      <c r="O7070" s="17" t="s">
        <v>36</v>
      </c>
      <c r="P7070" s="12" t="s">
        <v>36</v>
      </c>
      <c r="Q7070" s="12" t="s">
        <v>36</v>
      </c>
      <c r="R7070" s="12" t="s">
        <v>36</v>
      </c>
      <c r="S7070" s="12" t="s">
        <v>36</v>
      </c>
      <c r="T7070" s="12" t="s">
        <v>31552</v>
      </c>
      <c r="U7070" s="12" t="s">
        <v>289</v>
      </c>
      <c r="V7070" s="12" t="s">
        <v>64</v>
      </c>
      <c r="W7070" s="12" t="s">
        <v>31553</v>
      </c>
      <c r="X7070" s="16" t="s">
        <v>31554</v>
      </c>
      <c r="Y7070" s="15" t="s">
        <v>192</v>
      </c>
      <c r="Z7070" s="14">
        <v>8.93</v>
      </c>
      <c r="AA7070" s="14" t="s">
        <v>36</v>
      </c>
      <c r="AB7070" s="12" t="s">
        <v>43</v>
      </c>
      <c r="AC7070" s="12" t="s">
        <v>31555</v>
      </c>
      <c r="AD7070" s="13">
        <v>42194</v>
      </c>
      <c r="AE7070" s="12" t="s">
        <v>3134</v>
      </c>
      <c r="AF7070" s="12" t="s">
        <v>20865</v>
      </c>
      <c r="AG7070" s="12" t="s">
        <v>652</v>
      </c>
      <c r="AH7070" s="1">
        <f>HYPERLINK("https://my.pitchbook.com?c=53213-23T","View Company Online")</f>
      </c>
    </row>
    <row r="7071">
      <c r="A7071" s="3" t="s">
        <v>31556</v>
      </c>
      <c r="B7071" s="3" t="s">
        <v>31557</v>
      </c>
      <c r="C7071" s="5" t="s">
        <v>36</v>
      </c>
      <c r="D7071" s="5" t="s">
        <v>36</v>
      </c>
      <c r="E7071" s="5" t="s">
        <v>36</v>
      </c>
      <c r="F7071" s="5" t="s">
        <v>36</v>
      </c>
      <c r="G7071" s="6" t="s">
        <v>36</v>
      </c>
      <c r="H7071" s="4">
        <v>70.55</v>
      </c>
      <c r="I7071" s="7">
        <v>30</v>
      </c>
      <c r="J7071" s="3" t="s">
        <v>521</v>
      </c>
      <c r="K7071" s="9">
        <v>42184</v>
      </c>
      <c r="L7071" s="6" t="s">
        <v>36</v>
      </c>
      <c r="M7071" s="3" t="s">
        <v>36</v>
      </c>
      <c r="N7071" s="3" t="s">
        <v>36</v>
      </c>
      <c r="O7071" s="8" t="s">
        <v>36</v>
      </c>
      <c r="P7071" s="3" t="s">
        <v>36</v>
      </c>
      <c r="Q7071" s="3" t="s">
        <v>36</v>
      </c>
      <c r="R7071" s="3" t="s">
        <v>36</v>
      </c>
      <c r="S7071" s="3" t="s">
        <v>36</v>
      </c>
      <c r="T7071" s="3" t="s">
        <v>522</v>
      </c>
      <c r="U7071" s="3" t="s">
        <v>38</v>
      </c>
      <c r="V7071" s="3" t="s">
        <v>39</v>
      </c>
      <c r="W7071" s="3" t="s">
        <v>31558</v>
      </c>
      <c r="X7071" s="10" t="s">
        <v>31559</v>
      </c>
      <c r="Y7071" s="6" t="s">
        <v>108</v>
      </c>
      <c r="Z7071" s="4">
        <v>3.91</v>
      </c>
      <c r="AA7071" s="4">
        <v>11.17</v>
      </c>
      <c r="AB7071" s="3" t="s">
        <v>43</v>
      </c>
      <c r="AC7071" s="3" t="s">
        <v>31560</v>
      </c>
      <c r="AD7071" s="9">
        <v>42194</v>
      </c>
      <c r="AE7071" s="3" t="s">
        <v>110</v>
      </c>
      <c r="AF7071" s="3" t="s">
        <v>1842</v>
      </c>
      <c r="AG7071" s="3" t="s">
        <v>741</v>
      </c>
      <c r="AH7071" s="11">
        <f>HYPERLINK("https://my.pitchbook.com?c=53389-63T","View Company Online")</f>
      </c>
    </row>
    <row r="7072">
      <c r="A7072" s="12" t="s">
        <v>31561</v>
      </c>
      <c r="B7072" s="12" t="s">
        <v>31562</v>
      </c>
      <c r="C7072" s="19" t="s">
        <v>36</v>
      </c>
      <c r="D7072" s="19" t="s">
        <v>36</v>
      </c>
      <c r="E7072" s="19" t="s">
        <v>36</v>
      </c>
      <c r="F7072" s="19" t="s">
        <v>36</v>
      </c>
      <c r="G7072" s="15" t="s">
        <v>36</v>
      </c>
      <c r="H7072" s="14" t="s">
        <v>36</v>
      </c>
      <c r="I7072" s="18" t="s">
        <v>36</v>
      </c>
      <c r="J7072" s="12" t="s">
        <v>36</v>
      </c>
      <c r="K7072" s="13" t="s">
        <v>36</v>
      </c>
      <c r="L7072" s="15" t="s">
        <v>36</v>
      </c>
      <c r="M7072" s="12" t="s">
        <v>36</v>
      </c>
      <c r="N7072" s="12" t="s">
        <v>36</v>
      </c>
      <c r="O7072" s="17" t="s">
        <v>36</v>
      </c>
      <c r="P7072" s="12" t="s">
        <v>36</v>
      </c>
      <c r="Q7072" s="12" t="s">
        <v>36</v>
      </c>
      <c r="R7072" s="12" t="s">
        <v>36</v>
      </c>
      <c r="S7072" s="12" t="s">
        <v>36</v>
      </c>
      <c r="T7072" s="12" t="s">
        <v>7809</v>
      </c>
      <c r="U7072" s="12" t="s">
        <v>648</v>
      </c>
      <c r="V7072" s="12" t="s">
        <v>64</v>
      </c>
      <c r="W7072" s="12" t="s">
        <v>31563</v>
      </c>
      <c r="X7072" s="16" t="s">
        <v>1282</v>
      </c>
      <c r="Y7072" s="15" t="s">
        <v>42</v>
      </c>
      <c r="Z7072" s="14">
        <v>0.67</v>
      </c>
      <c r="AA7072" s="14" t="s">
        <v>36</v>
      </c>
      <c r="AB7072" s="12" t="s">
        <v>43</v>
      </c>
      <c r="AC7072" s="12" t="s">
        <v>31564</v>
      </c>
      <c r="AD7072" s="13">
        <v>42194</v>
      </c>
      <c r="AE7072" s="12" t="s">
        <v>1897</v>
      </c>
      <c r="AF7072" s="12" t="s">
        <v>9208</v>
      </c>
      <c r="AG7072" s="12" t="s">
        <v>81</v>
      </c>
      <c r="AH7072" s="1">
        <f>HYPERLINK("https://my.pitchbook.com?c=54277-48T","View Company Online")</f>
      </c>
    </row>
    <row r="7073">
      <c r="A7073" s="3" t="s">
        <v>31565</v>
      </c>
      <c r="B7073" s="3" t="s">
        <v>23282</v>
      </c>
      <c r="C7073" s="5" t="s">
        <v>36</v>
      </c>
      <c r="D7073" s="5" t="s">
        <v>36</v>
      </c>
      <c r="E7073" s="5" t="s">
        <v>36</v>
      </c>
      <c r="F7073" s="5" t="s">
        <v>36</v>
      </c>
      <c r="G7073" s="6" t="s">
        <v>326</v>
      </c>
      <c r="H7073" s="4">
        <v>226.84</v>
      </c>
      <c r="I7073" s="7">
        <v>25.53</v>
      </c>
      <c r="J7073" s="3" t="s">
        <v>521</v>
      </c>
      <c r="K7073" s="9" t="s">
        <v>36</v>
      </c>
      <c r="L7073" s="6" t="s">
        <v>122</v>
      </c>
      <c r="M7073" s="3" t="s">
        <v>36</v>
      </c>
      <c r="N7073" s="3" t="s">
        <v>122</v>
      </c>
      <c r="O7073" s="8" t="s">
        <v>36</v>
      </c>
      <c r="P7073" s="3" t="s">
        <v>36</v>
      </c>
      <c r="Q7073" s="3" t="s">
        <v>36</v>
      </c>
      <c r="R7073" s="3" t="s">
        <v>36</v>
      </c>
      <c r="S7073" s="3" t="s">
        <v>36</v>
      </c>
      <c r="T7073" s="3" t="s">
        <v>3253</v>
      </c>
      <c r="U7073" s="3" t="s">
        <v>38</v>
      </c>
      <c r="V7073" s="3" t="s">
        <v>39</v>
      </c>
      <c r="W7073" s="3" t="s">
        <v>23283</v>
      </c>
      <c r="X7073" s="10" t="s">
        <v>31566</v>
      </c>
      <c r="Y7073" s="6" t="s">
        <v>108</v>
      </c>
      <c r="Z7073" s="4">
        <v>7</v>
      </c>
      <c r="AA7073" s="4">
        <v>27.42</v>
      </c>
      <c r="AB7073" s="3" t="s">
        <v>43</v>
      </c>
      <c r="AC7073" s="3" t="s">
        <v>23285</v>
      </c>
      <c r="AD7073" s="9">
        <v>42194</v>
      </c>
      <c r="AE7073" s="3" t="s">
        <v>785</v>
      </c>
      <c r="AF7073" s="3" t="s">
        <v>2562</v>
      </c>
      <c r="AG7073" s="3" t="s">
        <v>81</v>
      </c>
      <c r="AH7073" s="11">
        <f>HYPERLINK("https://my.pitchbook.com?c=53227-81T","View Company Online")</f>
      </c>
    </row>
    <row r="7074">
      <c r="A7074" s="12" t="s">
        <v>31567</v>
      </c>
      <c r="B7074" s="12" t="s">
        <v>28321</v>
      </c>
      <c r="C7074" s="19" t="s">
        <v>36</v>
      </c>
      <c r="D7074" s="19" t="s">
        <v>36</v>
      </c>
      <c r="E7074" s="19" t="s">
        <v>36</v>
      </c>
      <c r="F7074" s="19" t="s">
        <v>36</v>
      </c>
      <c r="G7074" s="15" t="s">
        <v>36</v>
      </c>
      <c r="H7074" s="14">
        <v>2.23</v>
      </c>
      <c r="I7074" s="18">
        <v>16.91</v>
      </c>
      <c r="J7074" s="12" t="s">
        <v>521</v>
      </c>
      <c r="K7074" s="13" t="s">
        <v>36</v>
      </c>
      <c r="L7074" s="15" t="s">
        <v>36</v>
      </c>
      <c r="M7074" s="12" t="s">
        <v>36</v>
      </c>
      <c r="N7074" s="12" t="s">
        <v>36</v>
      </c>
      <c r="O7074" s="17" t="s">
        <v>36</v>
      </c>
      <c r="P7074" s="12" t="s">
        <v>36</v>
      </c>
      <c r="Q7074" s="12" t="s">
        <v>36</v>
      </c>
      <c r="R7074" s="12" t="s">
        <v>36</v>
      </c>
      <c r="S7074" s="12" t="s">
        <v>36</v>
      </c>
      <c r="T7074" s="12" t="s">
        <v>522</v>
      </c>
      <c r="U7074" s="12" t="s">
        <v>38</v>
      </c>
      <c r="V7074" s="12" t="s">
        <v>39</v>
      </c>
      <c r="W7074" s="12" t="s">
        <v>28322</v>
      </c>
      <c r="X7074" s="16" t="s">
        <v>31568</v>
      </c>
      <c r="Y7074" s="15" t="s">
        <v>42</v>
      </c>
      <c r="Z7074" s="14">
        <v>0.49</v>
      </c>
      <c r="AA7074" s="14">
        <v>2.89</v>
      </c>
      <c r="AB7074" s="12" t="s">
        <v>43</v>
      </c>
      <c r="AC7074" s="12" t="s">
        <v>28324</v>
      </c>
      <c r="AD7074" s="13">
        <v>42193</v>
      </c>
      <c r="AE7074" s="12" t="s">
        <v>110</v>
      </c>
      <c r="AF7074" s="12" t="s">
        <v>3904</v>
      </c>
      <c r="AG7074" s="12" t="s">
        <v>81</v>
      </c>
      <c r="AH7074" s="1">
        <f>HYPERLINK("https://my.pitchbook.com?c=116010-64T","View Company Online")</f>
      </c>
    </row>
    <row r="7075">
      <c r="A7075" s="3" t="s">
        <v>31569</v>
      </c>
      <c r="B7075" s="3" t="s">
        <v>18729</v>
      </c>
      <c r="C7075" s="5">
        <v>2</v>
      </c>
      <c r="D7075" s="5">
        <v>29</v>
      </c>
      <c r="E7075" s="5">
        <v>6</v>
      </c>
      <c r="F7075" s="5">
        <v>33</v>
      </c>
      <c r="G7075" s="6" t="s">
        <v>36</v>
      </c>
      <c r="H7075" s="4" t="s">
        <v>36</v>
      </c>
      <c r="I7075" s="7">
        <v>45.41</v>
      </c>
      <c r="J7075" s="3" t="s">
        <v>521</v>
      </c>
      <c r="K7075" s="9">
        <v>42173</v>
      </c>
      <c r="L7075" s="6" t="s">
        <v>36</v>
      </c>
      <c r="M7075" s="3" t="s">
        <v>36</v>
      </c>
      <c r="N7075" s="3" t="s">
        <v>36</v>
      </c>
      <c r="O7075" s="8" t="s">
        <v>36</v>
      </c>
      <c r="P7075" s="3" t="s">
        <v>36</v>
      </c>
      <c r="Q7075" s="3" t="s">
        <v>36</v>
      </c>
      <c r="R7075" s="3" t="s">
        <v>36</v>
      </c>
      <c r="S7075" s="3" t="s">
        <v>36</v>
      </c>
      <c r="T7075" s="3" t="s">
        <v>18730</v>
      </c>
      <c r="U7075" s="3" t="s">
        <v>74</v>
      </c>
      <c r="V7075" s="3" t="s">
        <v>75</v>
      </c>
      <c r="W7075" s="3" t="s">
        <v>18731</v>
      </c>
      <c r="X7075" s="10" t="s">
        <v>31570</v>
      </c>
      <c r="Y7075" s="6" t="s">
        <v>42</v>
      </c>
      <c r="Z7075" s="4">
        <v>2.23</v>
      </c>
      <c r="AA7075" s="4">
        <v>4.92</v>
      </c>
      <c r="AB7075" s="3" t="s">
        <v>43</v>
      </c>
      <c r="AC7075" s="3" t="s">
        <v>18733</v>
      </c>
      <c r="AD7075" s="9">
        <v>42193</v>
      </c>
      <c r="AE7075" s="3" t="s">
        <v>570</v>
      </c>
      <c r="AF7075" s="3" t="s">
        <v>7566</v>
      </c>
      <c r="AG7075" s="3" t="s">
        <v>3288</v>
      </c>
      <c r="AH7075" s="11">
        <f>HYPERLINK("https://my.pitchbook.com?c=86242-96T","View Company Online")</f>
      </c>
    </row>
    <row r="7076">
      <c r="A7076" s="12" t="s">
        <v>31571</v>
      </c>
      <c r="B7076" s="12" t="s">
        <v>31572</v>
      </c>
      <c r="C7076" s="19">
        <v>26</v>
      </c>
      <c r="D7076" s="19">
        <v>26</v>
      </c>
      <c r="E7076" s="19">
        <v>9</v>
      </c>
      <c r="F7076" s="19">
        <v>59</v>
      </c>
      <c r="G7076" s="15" t="s">
        <v>36</v>
      </c>
      <c r="H7076" s="14">
        <v>7.7</v>
      </c>
      <c r="I7076" s="18" t="s">
        <v>36</v>
      </c>
      <c r="J7076" s="12" t="s">
        <v>36</v>
      </c>
      <c r="K7076" s="13" t="s">
        <v>36</v>
      </c>
      <c r="L7076" s="15" t="s">
        <v>94</v>
      </c>
      <c r="M7076" s="12" t="s">
        <v>36</v>
      </c>
      <c r="N7076" s="12" t="s">
        <v>94</v>
      </c>
      <c r="O7076" s="17" t="s">
        <v>36</v>
      </c>
      <c r="P7076" s="12" t="s">
        <v>36</v>
      </c>
      <c r="Q7076" s="12" t="s">
        <v>36</v>
      </c>
      <c r="R7076" s="12" t="s">
        <v>36</v>
      </c>
      <c r="S7076" s="12" t="s">
        <v>36</v>
      </c>
      <c r="T7076" s="12" t="s">
        <v>31573</v>
      </c>
      <c r="U7076" s="12" t="s">
        <v>51</v>
      </c>
      <c r="V7076" s="12" t="s">
        <v>52</v>
      </c>
      <c r="W7076" s="12" t="s">
        <v>31574</v>
      </c>
      <c r="X7076" s="16" t="s">
        <v>31575</v>
      </c>
      <c r="Y7076" s="15" t="s">
        <v>108</v>
      </c>
      <c r="Z7076" s="14">
        <v>36</v>
      </c>
      <c r="AA7076" s="14" t="s">
        <v>36</v>
      </c>
      <c r="AB7076" s="12" t="s">
        <v>43</v>
      </c>
      <c r="AC7076" s="12" t="s">
        <v>31576</v>
      </c>
      <c r="AD7076" s="13">
        <v>42192</v>
      </c>
      <c r="AE7076" s="12" t="s">
        <v>158</v>
      </c>
      <c r="AF7076" s="12" t="s">
        <v>159</v>
      </c>
      <c r="AG7076" s="12" t="s">
        <v>81</v>
      </c>
      <c r="AH7076" s="1">
        <f>HYPERLINK("https://my.pitchbook.com?c=53200-54T","View Company Online")</f>
      </c>
    </row>
    <row r="7077">
      <c r="A7077" s="3" t="s">
        <v>31577</v>
      </c>
      <c r="B7077" s="3" t="s">
        <v>31578</v>
      </c>
      <c r="C7077" s="5">
        <v>3</v>
      </c>
      <c r="D7077" s="5">
        <v>10</v>
      </c>
      <c r="E7077" s="5">
        <v>5</v>
      </c>
      <c r="F7077" s="5">
        <v>16</v>
      </c>
      <c r="G7077" s="6" t="s">
        <v>683</v>
      </c>
      <c r="H7077" s="4">
        <v>227.18</v>
      </c>
      <c r="I7077" s="7">
        <v>24.24</v>
      </c>
      <c r="J7077" s="3" t="s">
        <v>521</v>
      </c>
      <c r="K7077" s="9" t="s">
        <v>36</v>
      </c>
      <c r="L7077" s="6" t="s">
        <v>36</v>
      </c>
      <c r="M7077" s="3" t="s">
        <v>36</v>
      </c>
      <c r="N7077" s="3" t="s">
        <v>36</v>
      </c>
      <c r="O7077" s="8" t="s">
        <v>36</v>
      </c>
      <c r="P7077" s="3" t="s">
        <v>36</v>
      </c>
      <c r="Q7077" s="3" t="s">
        <v>36</v>
      </c>
      <c r="R7077" s="3" t="s">
        <v>36</v>
      </c>
      <c r="S7077" s="3" t="s">
        <v>36</v>
      </c>
      <c r="T7077" s="3" t="s">
        <v>31579</v>
      </c>
      <c r="U7077" s="3" t="s">
        <v>51</v>
      </c>
      <c r="V7077" s="3" t="s">
        <v>52</v>
      </c>
      <c r="W7077" s="3" t="s">
        <v>31580</v>
      </c>
      <c r="X7077" s="10" t="s">
        <v>31581</v>
      </c>
      <c r="Y7077" s="6" t="s">
        <v>108</v>
      </c>
      <c r="Z7077" s="4">
        <v>0.89</v>
      </c>
      <c r="AA7077" s="4">
        <v>3.68</v>
      </c>
      <c r="AB7077" s="3" t="s">
        <v>56</v>
      </c>
      <c r="AC7077" s="3" t="s">
        <v>31582</v>
      </c>
      <c r="AD7077" s="9">
        <v>42192</v>
      </c>
      <c r="AE7077" s="3" t="s">
        <v>58</v>
      </c>
      <c r="AF7077" s="3" t="s">
        <v>159</v>
      </c>
      <c r="AG7077" s="3" t="s">
        <v>12901</v>
      </c>
      <c r="AH7077" s="11">
        <f>HYPERLINK("https://my.pitchbook.com?c=88208-74T","View Company Online")</f>
      </c>
    </row>
    <row r="7078">
      <c r="A7078" s="12" t="s">
        <v>31583</v>
      </c>
      <c r="B7078" s="12" t="s">
        <v>10473</v>
      </c>
      <c r="C7078" s="19" t="s">
        <v>36</v>
      </c>
      <c r="D7078" s="19" t="s">
        <v>36</v>
      </c>
      <c r="E7078" s="19" t="s">
        <v>36</v>
      </c>
      <c r="F7078" s="19" t="s">
        <v>36</v>
      </c>
      <c r="G7078" s="15" t="s">
        <v>36</v>
      </c>
      <c r="H7078" s="14">
        <v>47.77</v>
      </c>
      <c r="I7078" s="18">
        <v>38.26</v>
      </c>
      <c r="J7078" s="12" t="s">
        <v>521</v>
      </c>
      <c r="K7078" s="13" t="s">
        <v>36</v>
      </c>
      <c r="L7078" s="15" t="s">
        <v>122</v>
      </c>
      <c r="M7078" s="12" t="s">
        <v>36</v>
      </c>
      <c r="N7078" s="12" t="s">
        <v>122</v>
      </c>
      <c r="O7078" s="17" t="s">
        <v>36</v>
      </c>
      <c r="P7078" s="12" t="s">
        <v>36</v>
      </c>
      <c r="Q7078" s="12" t="s">
        <v>36</v>
      </c>
      <c r="R7078" s="12" t="s">
        <v>36</v>
      </c>
      <c r="S7078" s="12" t="s">
        <v>36</v>
      </c>
      <c r="T7078" s="12" t="s">
        <v>37</v>
      </c>
      <c r="U7078" s="12" t="s">
        <v>38</v>
      </c>
      <c r="V7078" s="12" t="s">
        <v>39</v>
      </c>
      <c r="W7078" s="12" t="s">
        <v>10474</v>
      </c>
      <c r="X7078" s="16" t="s">
        <v>18433</v>
      </c>
      <c r="Y7078" s="15" t="s">
        <v>42</v>
      </c>
      <c r="Z7078" s="14">
        <v>16.74</v>
      </c>
      <c r="AA7078" s="14">
        <v>43.75</v>
      </c>
      <c r="AB7078" s="12" t="s">
        <v>56</v>
      </c>
      <c r="AC7078" s="12" t="s">
        <v>10476</v>
      </c>
      <c r="AD7078" s="13">
        <v>42192</v>
      </c>
      <c r="AE7078" s="12" t="s">
        <v>45</v>
      </c>
      <c r="AF7078" s="12" t="s">
        <v>10477</v>
      </c>
      <c r="AG7078" s="12" t="s">
        <v>81</v>
      </c>
      <c r="AH7078" s="1">
        <f>HYPERLINK("https://my.pitchbook.com?c=53056-36T","View Company Online")</f>
      </c>
    </row>
    <row r="7079">
      <c r="A7079" s="3" t="s">
        <v>31584</v>
      </c>
      <c r="B7079" s="3" t="s">
        <v>31585</v>
      </c>
      <c r="C7079" s="5" t="s">
        <v>36</v>
      </c>
      <c r="D7079" s="5">
        <v>13</v>
      </c>
      <c r="E7079" s="5">
        <v>10</v>
      </c>
      <c r="F7079" s="5">
        <v>36</v>
      </c>
      <c r="G7079" s="6" t="s">
        <v>36</v>
      </c>
      <c r="H7079" s="4" t="s">
        <v>36</v>
      </c>
      <c r="I7079" s="7" t="s">
        <v>36</v>
      </c>
      <c r="J7079" s="3" t="s">
        <v>36</v>
      </c>
      <c r="K7079" s="9" t="s">
        <v>36</v>
      </c>
      <c r="L7079" s="6" t="s">
        <v>36</v>
      </c>
      <c r="M7079" s="3" t="s">
        <v>36</v>
      </c>
      <c r="N7079" s="3" t="s">
        <v>36</v>
      </c>
      <c r="O7079" s="8" t="s">
        <v>36</v>
      </c>
      <c r="P7079" s="3" t="s">
        <v>36</v>
      </c>
      <c r="Q7079" s="3" t="s">
        <v>36</v>
      </c>
      <c r="R7079" s="3" t="s">
        <v>36</v>
      </c>
      <c r="S7079" s="3" t="s">
        <v>36</v>
      </c>
      <c r="T7079" s="3" t="s">
        <v>31586</v>
      </c>
      <c r="U7079" s="3" t="s">
        <v>38</v>
      </c>
      <c r="V7079" s="3" t="s">
        <v>39</v>
      </c>
      <c r="W7079" s="3" t="s">
        <v>31587</v>
      </c>
      <c r="X7079" s="10" t="s">
        <v>31588</v>
      </c>
      <c r="Y7079" s="6" t="s">
        <v>192</v>
      </c>
      <c r="Z7079" s="4">
        <v>6.69</v>
      </c>
      <c r="AA7079" s="4" t="s">
        <v>36</v>
      </c>
      <c r="AB7079" s="3" t="s">
        <v>56</v>
      </c>
      <c r="AC7079" s="3" t="s">
        <v>31589</v>
      </c>
      <c r="AD7079" s="9">
        <v>42191</v>
      </c>
      <c r="AE7079" s="3" t="s">
        <v>110</v>
      </c>
      <c r="AF7079" s="3" t="s">
        <v>3762</v>
      </c>
      <c r="AG7079" s="3" t="s">
        <v>2133</v>
      </c>
      <c r="AH7079" s="11">
        <f>HYPERLINK("https://my.pitchbook.com?c=63036-10T","View Company Online")</f>
      </c>
    </row>
    <row r="7080">
      <c r="A7080" s="12" t="s">
        <v>31590</v>
      </c>
      <c r="B7080" s="12" t="s">
        <v>1595</v>
      </c>
      <c r="C7080" s="19" t="s">
        <v>36</v>
      </c>
      <c r="D7080" s="19" t="s">
        <v>36</v>
      </c>
      <c r="E7080" s="19" t="s">
        <v>36</v>
      </c>
      <c r="F7080" s="19" t="s">
        <v>36</v>
      </c>
      <c r="G7080" s="15" t="s">
        <v>36</v>
      </c>
      <c r="H7080" s="14" t="s">
        <v>36</v>
      </c>
      <c r="I7080" s="18" t="s">
        <v>36</v>
      </c>
      <c r="J7080" s="12" t="s">
        <v>36</v>
      </c>
      <c r="K7080" s="13" t="s">
        <v>36</v>
      </c>
      <c r="L7080" s="15" t="s">
        <v>36</v>
      </c>
      <c r="M7080" s="12" t="s">
        <v>36</v>
      </c>
      <c r="N7080" s="12" t="s">
        <v>36</v>
      </c>
      <c r="O7080" s="17" t="s">
        <v>36</v>
      </c>
      <c r="P7080" s="12" t="s">
        <v>36</v>
      </c>
      <c r="Q7080" s="12" t="s">
        <v>36</v>
      </c>
      <c r="R7080" s="12" t="s">
        <v>36</v>
      </c>
      <c r="S7080" s="12" t="s">
        <v>36</v>
      </c>
      <c r="T7080" s="12" t="s">
        <v>1596</v>
      </c>
      <c r="U7080" s="12" t="s">
        <v>728</v>
      </c>
      <c r="V7080" s="12" t="s">
        <v>64</v>
      </c>
      <c r="W7080" s="12" t="s">
        <v>1597</v>
      </c>
      <c r="X7080" s="16" t="s">
        <v>2130</v>
      </c>
      <c r="Y7080" s="15" t="s">
        <v>42</v>
      </c>
      <c r="Z7080" s="14">
        <v>2.79</v>
      </c>
      <c r="AA7080" s="14" t="s">
        <v>36</v>
      </c>
      <c r="AB7080" s="12" t="s">
        <v>56</v>
      </c>
      <c r="AC7080" s="12" t="s">
        <v>1599</v>
      </c>
      <c r="AD7080" s="13">
        <v>42191</v>
      </c>
      <c r="AE7080" s="12" t="s">
        <v>1600</v>
      </c>
      <c r="AF7080" s="12" t="s">
        <v>36</v>
      </c>
      <c r="AG7080" s="12" t="s">
        <v>1601</v>
      </c>
      <c r="AH7080" s="1">
        <f>HYPERLINK("https://my.pitchbook.com?c=93715-30T","View Company Online")</f>
      </c>
    </row>
    <row r="7081">
      <c r="A7081" s="3" t="s">
        <v>31591</v>
      </c>
      <c r="B7081" s="3" t="s">
        <v>28511</v>
      </c>
      <c r="C7081" s="5">
        <v>1</v>
      </c>
      <c r="D7081" s="5">
        <v>2</v>
      </c>
      <c r="E7081" s="5">
        <v>3</v>
      </c>
      <c r="F7081" s="5">
        <v>5</v>
      </c>
      <c r="G7081" s="6" t="s">
        <v>36</v>
      </c>
      <c r="H7081" s="4" t="s">
        <v>36</v>
      </c>
      <c r="I7081" s="7" t="s">
        <v>36</v>
      </c>
      <c r="J7081" s="3" t="s">
        <v>36</v>
      </c>
      <c r="K7081" s="9" t="s">
        <v>36</v>
      </c>
      <c r="L7081" s="6" t="s">
        <v>36</v>
      </c>
      <c r="M7081" s="3" t="s">
        <v>36</v>
      </c>
      <c r="N7081" s="3" t="s">
        <v>36</v>
      </c>
      <c r="O7081" s="8" t="s">
        <v>36</v>
      </c>
      <c r="P7081" s="3" t="s">
        <v>36</v>
      </c>
      <c r="Q7081" s="3" t="s">
        <v>36</v>
      </c>
      <c r="R7081" s="3" t="s">
        <v>36</v>
      </c>
      <c r="S7081" s="3" t="s">
        <v>36</v>
      </c>
      <c r="T7081" s="3" t="s">
        <v>28512</v>
      </c>
      <c r="U7081" s="3" t="s">
        <v>38</v>
      </c>
      <c r="V7081" s="3" t="s">
        <v>39</v>
      </c>
      <c r="W7081" s="3" t="s">
        <v>28513</v>
      </c>
      <c r="X7081" s="10" t="s">
        <v>31592</v>
      </c>
      <c r="Y7081" s="6" t="s">
        <v>108</v>
      </c>
      <c r="Z7081" s="4">
        <v>4.46</v>
      </c>
      <c r="AA7081" s="4" t="s">
        <v>36</v>
      </c>
      <c r="AB7081" s="3" t="s">
        <v>56</v>
      </c>
      <c r="AC7081" s="3" t="s">
        <v>28515</v>
      </c>
      <c r="AD7081" s="9">
        <v>42191</v>
      </c>
      <c r="AE7081" s="3" t="s">
        <v>110</v>
      </c>
      <c r="AF7081" s="3" t="s">
        <v>19493</v>
      </c>
      <c r="AG7081" s="3" t="s">
        <v>81</v>
      </c>
      <c r="AH7081" s="11">
        <f>HYPERLINK("https://my.pitchbook.com?c=53128-72T","View Company Online")</f>
      </c>
    </row>
    <row r="7082">
      <c r="A7082" s="12" t="s">
        <v>31593</v>
      </c>
      <c r="B7082" s="12" t="s">
        <v>26071</v>
      </c>
      <c r="C7082" s="19" t="s">
        <v>36</v>
      </c>
      <c r="D7082" s="19" t="s">
        <v>36</v>
      </c>
      <c r="E7082" s="19" t="s">
        <v>36</v>
      </c>
      <c r="F7082" s="19" t="s">
        <v>36</v>
      </c>
      <c r="G7082" s="15" t="s">
        <v>36</v>
      </c>
      <c r="H7082" s="14" t="s">
        <v>36</v>
      </c>
      <c r="I7082" s="18" t="s">
        <v>36</v>
      </c>
      <c r="J7082" s="12" t="s">
        <v>36</v>
      </c>
      <c r="K7082" s="13" t="s">
        <v>36</v>
      </c>
      <c r="L7082" s="15" t="s">
        <v>36</v>
      </c>
      <c r="M7082" s="12" t="s">
        <v>36</v>
      </c>
      <c r="N7082" s="12" t="s">
        <v>36</v>
      </c>
      <c r="O7082" s="17" t="s">
        <v>36</v>
      </c>
      <c r="P7082" s="12" t="s">
        <v>36</v>
      </c>
      <c r="Q7082" s="12" t="s">
        <v>36</v>
      </c>
      <c r="R7082" s="12" t="s">
        <v>36</v>
      </c>
      <c r="S7082" s="12" t="s">
        <v>36</v>
      </c>
      <c r="T7082" s="12" t="s">
        <v>8394</v>
      </c>
      <c r="U7082" s="12" t="s">
        <v>85</v>
      </c>
      <c r="V7082" s="12" t="s">
        <v>64</v>
      </c>
      <c r="W7082" s="12" t="s">
        <v>26072</v>
      </c>
      <c r="X7082" s="16" t="s">
        <v>22426</v>
      </c>
      <c r="Y7082" s="15" t="s">
        <v>42</v>
      </c>
      <c r="Z7082" s="14" t="s">
        <v>36</v>
      </c>
      <c r="AA7082" s="14" t="s">
        <v>36</v>
      </c>
      <c r="AB7082" s="12" t="s">
        <v>43</v>
      </c>
      <c r="AC7082" s="12" t="s">
        <v>26074</v>
      </c>
      <c r="AD7082" s="13">
        <v>42191</v>
      </c>
      <c r="AE7082" s="12" t="s">
        <v>89</v>
      </c>
      <c r="AF7082" s="12" t="s">
        <v>26075</v>
      </c>
      <c r="AG7082" s="12" t="s">
        <v>81</v>
      </c>
      <c r="AH7082" s="1">
        <f>HYPERLINK("https://my.pitchbook.com?c=101196-37T","View Company Online")</f>
      </c>
    </row>
    <row r="7083">
      <c r="A7083" s="3" t="s">
        <v>31594</v>
      </c>
      <c r="B7083" s="3" t="s">
        <v>9898</v>
      </c>
      <c r="C7083" s="5">
        <v>2</v>
      </c>
      <c r="D7083" s="5">
        <v>7</v>
      </c>
      <c r="E7083" s="5">
        <v>2</v>
      </c>
      <c r="F7083" s="5">
        <v>10</v>
      </c>
      <c r="G7083" s="6" t="s">
        <v>36</v>
      </c>
      <c r="H7083" s="4">
        <v>69.24</v>
      </c>
      <c r="I7083" s="7">
        <v>11.11</v>
      </c>
      <c r="J7083" s="3" t="s">
        <v>521</v>
      </c>
      <c r="K7083" s="9" t="s">
        <v>36</v>
      </c>
      <c r="L7083" s="6" t="s">
        <v>36</v>
      </c>
      <c r="M7083" s="3" t="s">
        <v>36</v>
      </c>
      <c r="N7083" s="3" t="s">
        <v>36</v>
      </c>
      <c r="O7083" s="8" t="s">
        <v>36</v>
      </c>
      <c r="P7083" s="3" t="s">
        <v>36</v>
      </c>
      <c r="Q7083" s="3" t="s">
        <v>36</v>
      </c>
      <c r="R7083" s="3" t="s">
        <v>36</v>
      </c>
      <c r="S7083" s="3" t="s">
        <v>36</v>
      </c>
      <c r="T7083" s="3" t="s">
        <v>4225</v>
      </c>
      <c r="U7083" s="3" t="s">
        <v>96</v>
      </c>
      <c r="V7083" s="3" t="s">
        <v>52</v>
      </c>
      <c r="W7083" s="3" t="s">
        <v>9899</v>
      </c>
      <c r="X7083" s="10" t="s">
        <v>11058</v>
      </c>
      <c r="Y7083" s="6" t="s">
        <v>42</v>
      </c>
      <c r="Z7083" s="4">
        <v>0.28</v>
      </c>
      <c r="AA7083" s="4">
        <v>2.51</v>
      </c>
      <c r="AB7083" s="3" t="s">
        <v>43</v>
      </c>
      <c r="AC7083" s="3" t="s">
        <v>9901</v>
      </c>
      <c r="AD7083" s="9">
        <v>42191</v>
      </c>
      <c r="AE7083" s="3" t="s">
        <v>143</v>
      </c>
      <c r="AF7083" s="3" t="s">
        <v>1166</v>
      </c>
      <c r="AG7083" s="3" t="s">
        <v>3595</v>
      </c>
      <c r="AH7083" s="11">
        <f>HYPERLINK("https://my.pitchbook.com?c=203383-54T","View Company Online")</f>
      </c>
    </row>
    <row r="7084">
      <c r="A7084" s="12" t="s">
        <v>31595</v>
      </c>
      <c r="B7084" s="12" t="s">
        <v>31596</v>
      </c>
      <c r="C7084" s="19">
        <v>11</v>
      </c>
      <c r="D7084" s="19">
        <v>43</v>
      </c>
      <c r="E7084" s="19">
        <v>12</v>
      </c>
      <c r="F7084" s="19">
        <v>67</v>
      </c>
      <c r="G7084" s="15" t="s">
        <v>2497</v>
      </c>
      <c r="H7084" s="14">
        <v>150.7</v>
      </c>
      <c r="I7084" s="18">
        <v>81.11</v>
      </c>
      <c r="J7084" s="12" t="s">
        <v>521</v>
      </c>
      <c r="K7084" s="13" t="s">
        <v>36</v>
      </c>
      <c r="L7084" s="15" t="s">
        <v>36</v>
      </c>
      <c r="M7084" s="12" t="s">
        <v>36</v>
      </c>
      <c r="N7084" s="12" t="s">
        <v>36</v>
      </c>
      <c r="O7084" s="17" t="s">
        <v>36</v>
      </c>
      <c r="P7084" s="12" t="s">
        <v>36</v>
      </c>
      <c r="Q7084" s="12" t="s">
        <v>36</v>
      </c>
      <c r="R7084" s="12" t="s">
        <v>36</v>
      </c>
      <c r="S7084" s="12" t="s">
        <v>36</v>
      </c>
      <c r="T7084" s="12" t="s">
        <v>29297</v>
      </c>
      <c r="U7084" s="12" t="s">
        <v>51</v>
      </c>
      <c r="V7084" s="12" t="s">
        <v>52</v>
      </c>
      <c r="W7084" s="12" t="s">
        <v>31597</v>
      </c>
      <c r="X7084" s="16" t="s">
        <v>31598</v>
      </c>
      <c r="Y7084" s="15" t="s">
        <v>166</v>
      </c>
      <c r="Z7084" s="14">
        <v>4.16</v>
      </c>
      <c r="AA7084" s="14">
        <v>5.13</v>
      </c>
      <c r="AB7084" s="12" t="s">
        <v>56</v>
      </c>
      <c r="AC7084" s="12" t="s">
        <v>31599</v>
      </c>
      <c r="AD7084" s="13">
        <v>42191</v>
      </c>
      <c r="AE7084" s="12" t="s">
        <v>158</v>
      </c>
      <c r="AF7084" s="12" t="s">
        <v>159</v>
      </c>
      <c r="AG7084" s="12" t="s">
        <v>3823</v>
      </c>
      <c r="AH7084" s="1">
        <f>HYPERLINK("https://my.pitchbook.com?c=207993-34T","View Company Online")</f>
      </c>
    </row>
    <row r="7085">
      <c r="A7085" s="3" t="s">
        <v>31600</v>
      </c>
      <c r="B7085" s="3" t="s">
        <v>28024</v>
      </c>
      <c r="C7085" s="5" t="s">
        <v>36</v>
      </c>
      <c r="D7085" s="5" t="s">
        <v>36</v>
      </c>
      <c r="E7085" s="5" t="s">
        <v>36</v>
      </c>
      <c r="F7085" s="5" t="s">
        <v>36</v>
      </c>
      <c r="G7085" s="6" t="s">
        <v>36</v>
      </c>
      <c r="H7085" s="4" t="s">
        <v>36</v>
      </c>
      <c r="I7085" s="7" t="s">
        <v>36</v>
      </c>
      <c r="J7085" s="3" t="s">
        <v>36</v>
      </c>
      <c r="K7085" s="9" t="s">
        <v>36</v>
      </c>
      <c r="L7085" s="6" t="s">
        <v>36</v>
      </c>
      <c r="M7085" s="3" t="s">
        <v>36</v>
      </c>
      <c r="N7085" s="3" t="s">
        <v>36</v>
      </c>
      <c r="O7085" s="8" t="s">
        <v>36</v>
      </c>
      <c r="P7085" s="3" t="s">
        <v>36</v>
      </c>
      <c r="Q7085" s="3" t="s">
        <v>36</v>
      </c>
      <c r="R7085" s="3" t="s">
        <v>36</v>
      </c>
      <c r="S7085" s="3" t="s">
        <v>36</v>
      </c>
      <c r="T7085" s="3" t="s">
        <v>5302</v>
      </c>
      <c r="U7085" s="3" t="s">
        <v>74</v>
      </c>
      <c r="V7085" s="3" t="s">
        <v>75</v>
      </c>
      <c r="W7085" s="3" t="s">
        <v>28025</v>
      </c>
      <c r="X7085" s="10" t="s">
        <v>31601</v>
      </c>
      <c r="Y7085" s="6" t="s">
        <v>42</v>
      </c>
      <c r="Z7085" s="4">
        <v>2.2</v>
      </c>
      <c r="AA7085" s="4" t="s">
        <v>36</v>
      </c>
      <c r="AB7085" s="3" t="s">
        <v>43</v>
      </c>
      <c r="AC7085" s="3" t="s">
        <v>28027</v>
      </c>
      <c r="AD7085" s="9">
        <v>42191</v>
      </c>
      <c r="AE7085" s="3" t="s">
        <v>362</v>
      </c>
      <c r="AF7085" s="3" t="s">
        <v>468</v>
      </c>
      <c r="AG7085" s="3" t="s">
        <v>81</v>
      </c>
      <c r="AH7085" s="11">
        <f>HYPERLINK("https://my.pitchbook.com?c=53010-10T","View Company Online")</f>
      </c>
    </row>
    <row r="7086">
      <c r="A7086" s="12" t="s">
        <v>31602</v>
      </c>
      <c r="B7086" s="12" t="s">
        <v>20412</v>
      </c>
      <c r="C7086" s="19" t="s">
        <v>36</v>
      </c>
      <c r="D7086" s="19" t="s">
        <v>36</v>
      </c>
      <c r="E7086" s="19" t="s">
        <v>36</v>
      </c>
      <c r="F7086" s="19" t="s">
        <v>36</v>
      </c>
      <c r="G7086" s="15" t="s">
        <v>36</v>
      </c>
      <c r="H7086" s="14">
        <v>623.14</v>
      </c>
      <c r="I7086" s="18">
        <v>13.65</v>
      </c>
      <c r="J7086" s="12" t="s">
        <v>521</v>
      </c>
      <c r="K7086" s="13" t="s">
        <v>36</v>
      </c>
      <c r="L7086" s="15" t="s">
        <v>36</v>
      </c>
      <c r="M7086" s="12" t="s">
        <v>36</v>
      </c>
      <c r="N7086" s="12" t="s">
        <v>36</v>
      </c>
      <c r="O7086" s="17" t="s">
        <v>36</v>
      </c>
      <c r="P7086" s="12" t="s">
        <v>36</v>
      </c>
      <c r="Q7086" s="12" t="s">
        <v>36</v>
      </c>
      <c r="R7086" s="12" t="s">
        <v>36</v>
      </c>
      <c r="S7086" s="12" t="s">
        <v>36</v>
      </c>
      <c r="T7086" s="12" t="s">
        <v>20413</v>
      </c>
      <c r="U7086" s="12" t="s">
        <v>96</v>
      </c>
      <c r="V7086" s="12" t="s">
        <v>52</v>
      </c>
      <c r="W7086" s="12" t="s">
        <v>20414</v>
      </c>
      <c r="X7086" s="16" t="s">
        <v>11058</v>
      </c>
      <c r="Y7086" s="15" t="s">
        <v>42</v>
      </c>
      <c r="Z7086" s="14">
        <v>0.45</v>
      </c>
      <c r="AA7086" s="14">
        <v>3.33</v>
      </c>
      <c r="AB7086" s="12" t="s">
        <v>43</v>
      </c>
      <c r="AC7086" s="12" t="s">
        <v>20415</v>
      </c>
      <c r="AD7086" s="13">
        <v>42189</v>
      </c>
      <c r="AE7086" s="12" t="s">
        <v>755</v>
      </c>
      <c r="AF7086" s="12" t="s">
        <v>19428</v>
      </c>
      <c r="AG7086" s="12" t="s">
        <v>3406</v>
      </c>
      <c r="AH7086" s="1">
        <f>HYPERLINK("https://my.pitchbook.com?c=93591-37T","View Company Online")</f>
      </c>
    </row>
    <row r="7087">
      <c r="A7087" s="3" t="s">
        <v>31603</v>
      </c>
      <c r="B7087" s="3" t="s">
        <v>31604</v>
      </c>
      <c r="C7087" s="5" t="s">
        <v>36</v>
      </c>
      <c r="D7087" s="5" t="s">
        <v>36</v>
      </c>
      <c r="E7087" s="5" t="s">
        <v>36</v>
      </c>
      <c r="F7087" s="5" t="s">
        <v>36</v>
      </c>
      <c r="G7087" s="6" t="s">
        <v>36</v>
      </c>
      <c r="H7087" s="4">
        <v>149.79</v>
      </c>
      <c r="I7087" s="7">
        <v>7.13</v>
      </c>
      <c r="J7087" s="3" t="s">
        <v>521</v>
      </c>
      <c r="K7087" s="9" t="s">
        <v>36</v>
      </c>
      <c r="L7087" s="6" t="s">
        <v>36</v>
      </c>
      <c r="M7087" s="3" t="s">
        <v>36</v>
      </c>
      <c r="N7087" s="3" t="s">
        <v>36</v>
      </c>
      <c r="O7087" s="8" t="s">
        <v>36</v>
      </c>
      <c r="P7087" s="3" t="s">
        <v>36</v>
      </c>
      <c r="Q7087" s="3" t="s">
        <v>36</v>
      </c>
      <c r="R7087" s="3" t="s">
        <v>36</v>
      </c>
      <c r="S7087" s="3" t="s">
        <v>36</v>
      </c>
      <c r="T7087" s="3" t="s">
        <v>3907</v>
      </c>
      <c r="U7087" s="3" t="s">
        <v>279</v>
      </c>
      <c r="V7087" s="3" t="s">
        <v>64</v>
      </c>
      <c r="W7087" s="3" t="s">
        <v>31605</v>
      </c>
      <c r="X7087" s="10" t="s">
        <v>31606</v>
      </c>
      <c r="Y7087" s="6" t="s">
        <v>42</v>
      </c>
      <c r="Z7087" s="4">
        <v>0.13</v>
      </c>
      <c r="AA7087" s="4">
        <v>1.8</v>
      </c>
      <c r="AB7087" s="3" t="s">
        <v>43</v>
      </c>
      <c r="AC7087" s="3" t="s">
        <v>31607</v>
      </c>
      <c r="AD7087" s="9">
        <v>42188</v>
      </c>
      <c r="AE7087" s="3" t="s">
        <v>851</v>
      </c>
      <c r="AF7087" s="3" t="s">
        <v>36</v>
      </c>
      <c r="AG7087" s="3" t="s">
        <v>2662</v>
      </c>
      <c r="AH7087" s="11">
        <f>HYPERLINK("https://my.pitchbook.com?c=138543-13T","View Company Online")</f>
      </c>
    </row>
    <row r="7088">
      <c r="A7088" s="12" t="s">
        <v>31608</v>
      </c>
      <c r="B7088" s="12" t="s">
        <v>31609</v>
      </c>
      <c r="C7088" s="19" t="s">
        <v>36</v>
      </c>
      <c r="D7088" s="19" t="s">
        <v>36</v>
      </c>
      <c r="E7088" s="19" t="s">
        <v>36</v>
      </c>
      <c r="F7088" s="19" t="s">
        <v>36</v>
      </c>
      <c r="G7088" s="15" t="s">
        <v>36</v>
      </c>
      <c r="H7088" s="14">
        <v>2.25</v>
      </c>
      <c r="I7088" s="18">
        <v>18.75</v>
      </c>
      <c r="J7088" s="12" t="s">
        <v>521</v>
      </c>
      <c r="K7088" s="13" t="s">
        <v>36</v>
      </c>
      <c r="L7088" s="15" t="s">
        <v>36</v>
      </c>
      <c r="M7088" s="12" t="s">
        <v>36</v>
      </c>
      <c r="N7088" s="12" t="s">
        <v>36</v>
      </c>
      <c r="O7088" s="17" t="s">
        <v>36</v>
      </c>
      <c r="P7088" s="12" t="s">
        <v>36</v>
      </c>
      <c r="Q7088" s="12" t="s">
        <v>36</v>
      </c>
      <c r="R7088" s="12" t="s">
        <v>36</v>
      </c>
      <c r="S7088" s="12" t="s">
        <v>36</v>
      </c>
      <c r="T7088" s="12" t="s">
        <v>522</v>
      </c>
      <c r="U7088" s="12" t="s">
        <v>38</v>
      </c>
      <c r="V7088" s="12" t="s">
        <v>39</v>
      </c>
      <c r="W7088" s="12" t="s">
        <v>31610</v>
      </c>
      <c r="X7088" s="16" t="s">
        <v>31611</v>
      </c>
      <c r="Y7088" s="15" t="s">
        <v>42</v>
      </c>
      <c r="Z7088" s="14">
        <v>0.33</v>
      </c>
      <c r="AA7088" s="14">
        <v>1.78</v>
      </c>
      <c r="AB7088" s="12" t="s">
        <v>43</v>
      </c>
      <c r="AC7088" s="12" t="s">
        <v>31612</v>
      </c>
      <c r="AD7088" s="13">
        <v>42188</v>
      </c>
      <c r="AE7088" s="12" t="s">
        <v>110</v>
      </c>
      <c r="AF7088" s="12" t="s">
        <v>31613</v>
      </c>
      <c r="AG7088" s="12" t="s">
        <v>31614</v>
      </c>
      <c r="AH7088" s="1">
        <f>HYPERLINK("https://my.pitchbook.com?c=86614-66T","View Company Online")</f>
      </c>
    </row>
    <row r="7089">
      <c r="A7089" s="3" t="s">
        <v>31615</v>
      </c>
      <c r="B7089" s="3" t="s">
        <v>29247</v>
      </c>
      <c r="C7089" s="5" t="s">
        <v>36</v>
      </c>
      <c r="D7089" s="5">
        <v>5</v>
      </c>
      <c r="E7089" s="5">
        <v>3</v>
      </c>
      <c r="F7089" s="5">
        <v>7</v>
      </c>
      <c r="G7089" s="6" t="s">
        <v>36</v>
      </c>
      <c r="H7089" s="4" t="s">
        <v>36</v>
      </c>
      <c r="I7089" s="7" t="s">
        <v>36</v>
      </c>
      <c r="J7089" s="3" t="s">
        <v>36</v>
      </c>
      <c r="K7089" s="9">
        <v>42149</v>
      </c>
      <c r="L7089" s="6" t="s">
        <v>36</v>
      </c>
      <c r="M7089" s="3" t="s">
        <v>36</v>
      </c>
      <c r="N7089" s="3" t="s">
        <v>36</v>
      </c>
      <c r="O7089" s="8" t="s">
        <v>36</v>
      </c>
      <c r="P7089" s="3" t="s">
        <v>36</v>
      </c>
      <c r="Q7089" s="3" t="s">
        <v>36</v>
      </c>
      <c r="R7089" s="3" t="s">
        <v>36</v>
      </c>
      <c r="S7089" s="3" t="s">
        <v>36</v>
      </c>
      <c r="T7089" s="3" t="s">
        <v>29248</v>
      </c>
      <c r="U7089" s="3" t="s">
        <v>455</v>
      </c>
      <c r="V7089" s="3" t="s">
        <v>367</v>
      </c>
      <c r="W7089" s="3" t="s">
        <v>29249</v>
      </c>
      <c r="X7089" s="10" t="s">
        <v>31616</v>
      </c>
      <c r="Y7089" s="6" t="s">
        <v>42</v>
      </c>
      <c r="Z7089" s="4">
        <v>4.13</v>
      </c>
      <c r="AA7089" s="4" t="s">
        <v>36</v>
      </c>
      <c r="AB7089" s="3" t="s">
        <v>43</v>
      </c>
      <c r="AC7089" s="3" t="s">
        <v>29251</v>
      </c>
      <c r="AD7089" s="9">
        <v>42187</v>
      </c>
      <c r="AE7089" s="3" t="s">
        <v>29252</v>
      </c>
      <c r="AF7089" s="3" t="s">
        <v>29253</v>
      </c>
      <c r="AG7089" s="3" t="s">
        <v>81</v>
      </c>
      <c r="AH7089" s="11">
        <f>HYPERLINK("https://my.pitchbook.com?c=52986-70T","View Company Online")</f>
      </c>
    </row>
    <row r="7090">
      <c r="A7090" s="12" t="s">
        <v>31617</v>
      </c>
      <c r="B7090" s="12" t="s">
        <v>31618</v>
      </c>
      <c r="C7090" s="19" t="s">
        <v>36</v>
      </c>
      <c r="D7090" s="19" t="s">
        <v>36</v>
      </c>
      <c r="E7090" s="19" t="s">
        <v>36</v>
      </c>
      <c r="F7090" s="19" t="s">
        <v>36</v>
      </c>
      <c r="G7090" s="15" t="s">
        <v>36</v>
      </c>
      <c r="H7090" s="14">
        <v>30.53</v>
      </c>
      <c r="I7090" s="18">
        <v>35.14</v>
      </c>
      <c r="J7090" s="12" t="s">
        <v>521</v>
      </c>
      <c r="K7090" s="13" t="s">
        <v>36</v>
      </c>
      <c r="L7090" s="15" t="s">
        <v>36</v>
      </c>
      <c r="M7090" s="12" t="s">
        <v>36</v>
      </c>
      <c r="N7090" s="12" t="s">
        <v>36</v>
      </c>
      <c r="O7090" s="17" t="s">
        <v>36</v>
      </c>
      <c r="P7090" s="12" t="s">
        <v>36</v>
      </c>
      <c r="Q7090" s="12" t="s">
        <v>36</v>
      </c>
      <c r="R7090" s="12" t="s">
        <v>36</v>
      </c>
      <c r="S7090" s="12" t="s">
        <v>36</v>
      </c>
      <c r="T7090" s="12" t="s">
        <v>37</v>
      </c>
      <c r="U7090" s="12" t="s">
        <v>38</v>
      </c>
      <c r="V7090" s="12" t="s">
        <v>39</v>
      </c>
      <c r="W7090" s="12" t="s">
        <v>31619</v>
      </c>
      <c r="X7090" s="16" t="s">
        <v>31620</v>
      </c>
      <c r="Y7090" s="15" t="s">
        <v>42</v>
      </c>
      <c r="Z7090" s="14">
        <v>1.45</v>
      </c>
      <c r="AA7090" s="14">
        <v>4.13</v>
      </c>
      <c r="AB7090" s="12" t="s">
        <v>43</v>
      </c>
      <c r="AC7090" s="12" t="s">
        <v>31621</v>
      </c>
      <c r="AD7090" s="13">
        <v>42187</v>
      </c>
      <c r="AE7090" s="12" t="s">
        <v>45</v>
      </c>
      <c r="AF7090" s="12" t="s">
        <v>215</v>
      </c>
      <c r="AG7090" s="12" t="s">
        <v>81</v>
      </c>
      <c r="AH7090" s="1">
        <f>HYPERLINK("https://my.pitchbook.com?c=177527-62T","View Company Online")</f>
      </c>
    </row>
    <row r="7091">
      <c r="A7091" s="3" t="s">
        <v>31622</v>
      </c>
      <c r="B7091" s="3" t="s">
        <v>15362</v>
      </c>
      <c r="C7091" s="5" t="s">
        <v>36</v>
      </c>
      <c r="D7091" s="5" t="s">
        <v>36</v>
      </c>
      <c r="E7091" s="5" t="s">
        <v>36</v>
      </c>
      <c r="F7091" s="5" t="s">
        <v>36</v>
      </c>
      <c r="G7091" s="6" t="s">
        <v>326</v>
      </c>
      <c r="H7091" s="4">
        <v>17.14</v>
      </c>
      <c r="I7091" s="7">
        <v>13.59</v>
      </c>
      <c r="J7091" s="3" t="s">
        <v>521</v>
      </c>
      <c r="K7091" s="9" t="s">
        <v>36</v>
      </c>
      <c r="L7091" s="6" t="s">
        <v>94</v>
      </c>
      <c r="M7091" s="3" t="s">
        <v>36</v>
      </c>
      <c r="N7091" s="3" t="s">
        <v>94</v>
      </c>
      <c r="O7091" s="8" t="s">
        <v>36</v>
      </c>
      <c r="P7091" s="3" t="s">
        <v>36</v>
      </c>
      <c r="Q7091" s="3" t="s">
        <v>36</v>
      </c>
      <c r="R7091" s="3" t="s">
        <v>36</v>
      </c>
      <c r="S7091" s="3" t="s">
        <v>36</v>
      </c>
      <c r="T7091" s="3" t="s">
        <v>522</v>
      </c>
      <c r="U7091" s="3" t="s">
        <v>38</v>
      </c>
      <c r="V7091" s="3" t="s">
        <v>39</v>
      </c>
      <c r="W7091" s="3" t="s">
        <v>15363</v>
      </c>
      <c r="X7091" s="10" t="s">
        <v>31623</v>
      </c>
      <c r="Y7091" s="6" t="s">
        <v>108</v>
      </c>
      <c r="Z7091" s="4">
        <v>18.79</v>
      </c>
      <c r="AA7091" s="4">
        <v>94.34</v>
      </c>
      <c r="AB7091" s="3" t="s">
        <v>43</v>
      </c>
      <c r="AC7091" s="3" t="s">
        <v>15365</v>
      </c>
      <c r="AD7091" s="9">
        <v>42187</v>
      </c>
      <c r="AE7091" s="3" t="s">
        <v>110</v>
      </c>
      <c r="AF7091" s="3" t="s">
        <v>4552</v>
      </c>
      <c r="AG7091" s="3" t="s">
        <v>81</v>
      </c>
      <c r="AH7091" s="11">
        <f>HYPERLINK("https://my.pitchbook.com?c=53997-40T","View Company Online")</f>
      </c>
    </row>
    <row r="7092">
      <c r="A7092" s="12" t="s">
        <v>31624</v>
      </c>
      <c r="B7092" s="12" t="s">
        <v>31625</v>
      </c>
      <c r="C7092" s="19" t="s">
        <v>36</v>
      </c>
      <c r="D7092" s="19" t="s">
        <v>36</v>
      </c>
      <c r="E7092" s="19" t="s">
        <v>36</v>
      </c>
      <c r="F7092" s="19" t="s">
        <v>36</v>
      </c>
      <c r="G7092" s="15" t="s">
        <v>326</v>
      </c>
      <c r="H7092" s="14">
        <v>70.89</v>
      </c>
      <c r="I7092" s="18">
        <v>25.08</v>
      </c>
      <c r="J7092" s="12" t="s">
        <v>521</v>
      </c>
      <c r="K7092" s="13">
        <v>42036</v>
      </c>
      <c r="L7092" s="15" t="s">
        <v>36</v>
      </c>
      <c r="M7092" s="12" t="s">
        <v>36</v>
      </c>
      <c r="N7092" s="12" t="s">
        <v>36</v>
      </c>
      <c r="O7092" s="17" t="s">
        <v>36</v>
      </c>
      <c r="P7092" s="12" t="s">
        <v>36</v>
      </c>
      <c r="Q7092" s="12" t="s">
        <v>36</v>
      </c>
      <c r="R7092" s="12" t="s">
        <v>36</v>
      </c>
      <c r="S7092" s="12" t="s">
        <v>36</v>
      </c>
      <c r="T7092" s="12" t="s">
        <v>17704</v>
      </c>
      <c r="U7092" s="12" t="s">
        <v>833</v>
      </c>
      <c r="V7092" s="12" t="s">
        <v>64</v>
      </c>
      <c r="W7092" s="12" t="s">
        <v>31626</v>
      </c>
      <c r="X7092" s="16" t="s">
        <v>31627</v>
      </c>
      <c r="Y7092" s="15" t="s">
        <v>42</v>
      </c>
      <c r="Z7092" s="14">
        <v>0.56</v>
      </c>
      <c r="AA7092" s="14">
        <v>2.23</v>
      </c>
      <c r="AB7092" s="12" t="s">
        <v>43</v>
      </c>
      <c r="AC7092" s="12" t="s">
        <v>31628</v>
      </c>
      <c r="AD7092" s="13">
        <v>42187</v>
      </c>
      <c r="AE7092" s="12" t="s">
        <v>1069</v>
      </c>
      <c r="AF7092" s="12" t="s">
        <v>11238</v>
      </c>
      <c r="AG7092" s="12" t="s">
        <v>15931</v>
      </c>
      <c r="AH7092" s="1">
        <f>HYPERLINK("https://my.pitchbook.com?c=53875-36T","View Company Online")</f>
      </c>
    </row>
    <row r="7093">
      <c r="A7093" s="3" t="s">
        <v>31629</v>
      </c>
      <c r="B7093" s="3" t="s">
        <v>25465</v>
      </c>
      <c r="C7093" s="5" t="s">
        <v>36</v>
      </c>
      <c r="D7093" s="5" t="s">
        <v>36</v>
      </c>
      <c r="E7093" s="5" t="s">
        <v>36</v>
      </c>
      <c r="F7093" s="5" t="s">
        <v>36</v>
      </c>
      <c r="G7093" s="6" t="s">
        <v>36</v>
      </c>
      <c r="H7093" s="4">
        <v>268.59</v>
      </c>
      <c r="I7093" s="7">
        <v>25</v>
      </c>
      <c r="J7093" s="3" t="s">
        <v>521</v>
      </c>
      <c r="K7093" s="9" t="s">
        <v>36</v>
      </c>
      <c r="L7093" s="6" t="s">
        <v>36</v>
      </c>
      <c r="M7093" s="3" t="s">
        <v>36</v>
      </c>
      <c r="N7093" s="3" t="s">
        <v>36</v>
      </c>
      <c r="O7093" s="8" t="s">
        <v>36</v>
      </c>
      <c r="P7093" s="3" t="s">
        <v>36</v>
      </c>
      <c r="Q7093" s="3" t="s">
        <v>36</v>
      </c>
      <c r="R7093" s="3" t="s">
        <v>36</v>
      </c>
      <c r="S7093" s="3" t="s">
        <v>36</v>
      </c>
      <c r="T7093" s="3" t="s">
        <v>16221</v>
      </c>
      <c r="U7093" s="3" t="s">
        <v>38</v>
      </c>
      <c r="V7093" s="3" t="s">
        <v>39</v>
      </c>
      <c r="W7093" s="3" t="s">
        <v>25466</v>
      </c>
      <c r="X7093" s="10" t="s">
        <v>30440</v>
      </c>
      <c r="Y7093" s="6" t="s">
        <v>42</v>
      </c>
      <c r="Z7093" s="4">
        <v>1.67</v>
      </c>
      <c r="AA7093" s="4">
        <v>4.46</v>
      </c>
      <c r="AB7093" s="3" t="s">
        <v>43</v>
      </c>
      <c r="AC7093" s="3" t="s">
        <v>25468</v>
      </c>
      <c r="AD7093" s="9">
        <v>42187</v>
      </c>
      <c r="AE7093" s="3" t="s">
        <v>110</v>
      </c>
      <c r="AF7093" s="3" t="s">
        <v>4552</v>
      </c>
      <c r="AG7093" s="3" t="s">
        <v>81</v>
      </c>
      <c r="AH7093" s="11">
        <f>HYPERLINK("https://my.pitchbook.com?c=53011-36T","View Company Online")</f>
      </c>
    </row>
    <row r="7094">
      <c r="A7094" s="12" t="s">
        <v>31630</v>
      </c>
      <c r="B7094" s="12" t="s">
        <v>28540</v>
      </c>
      <c r="C7094" s="19" t="s">
        <v>36</v>
      </c>
      <c r="D7094" s="19" t="s">
        <v>36</v>
      </c>
      <c r="E7094" s="19" t="s">
        <v>36</v>
      </c>
      <c r="F7094" s="19" t="s">
        <v>36</v>
      </c>
      <c r="G7094" s="15" t="s">
        <v>36</v>
      </c>
      <c r="H7094" s="14" t="s">
        <v>36</v>
      </c>
      <c r="I7094" s="18" t="s">
        <v>36</v>
      </c>
      <c r="J7094" s="12" t="s">
        <v>36</v>
      </c>
      <c r="K7094" s="13" t="s">
        <v>36</v>
      </c>
      <c r="L7094" s="15" t="s">
        <v>36</v>
      </c>
      <c r="M7094" s="12" t="s">
        <v>36</v>
      </c>
      <c r="N7094" s="12" t="s">
        <v>36</v>
      </c>
      <c r="O7094" s="17" t="s">
        <v>36</v>
      </c>
      <c r="P7094" s="12" t="s">
        <v>36</v>
      </c>
      <c r="Q7094" s="12" t="s">
        <v>36</v>
      </c>
      <c r="R7094" s="12" t="s">
        <v>36</v>
      </c>
      <c r="S7094" s="12" t="s">
        <v>36</v>
      </c>
      <c r="T7094" s="12" t="s">
        <v>647</v>
      </c>
      <c r="U7094" s="12" t="s">
        <v>648</v>
      </c>
      <c r="V7094" s="12" t="s">
        <v>64</v>
      </c>
      <c r="W7094" s="12" t="s">
        <v>28541</v>
      </c>
      <c r="X7094" s="16" t="s">
        <v>31631</v>
      </c>
      <c r="Y7094" s="15" t="s">
        <v>42</v>
      </c>
      <c r="Z7094" s="14">
        <v>0.45</v>
      </c>
      <c r="AA7094" s="14" t="s">
        <v>36</v>
      </c>
      <c r="AB7094" s="12" t="s">
        <v>43</v>
      </c>
      <c r="AC7094" s="12" t="s">
        <v>28543</v>
      </c>
      <c r="AD7094" s="13">
        <v>42186</v>
      </c>
      <c r="AE7094" s="12" t="s">
        <v>651</v>
      </c>
      <c r="AF7094" s="12" t="s">
        <v>36</v>
      </c>
      <c r="AG7094" s="12" t="s">
        <v>81</v>
      </c>
      <c r="AH7094" s="1">
        <f>HYPERLINK("https://my.pitchbook.com?c=86551-03T","View Company Online")</f>
      </c>
    </row>
    <row r="7095">
      <c r="A7095" s="3" t="s">
        <v>31632</v>
      </c>
      <c r="B7095" s="3" t="s">
        <v>9094</v>
      </c>
      <c r="C7095" s="5">
        <v>5</v>
      </c>
      <c r="D7095" s="5">
        <v>27</v>
      </c>
      <c r="E7095" s="5">
        <v>4</v>
      </c>
      <c r="F7095" s="5">
        <v>32</v>
      </c>
      <c r="G7095" s="6" t="s">
        <v>36</v>
      </c>
      <c r="H7095" s="4" t="s">
        <v>36</v>
      </c>
      <c r="I7095" s="7" t="s">
        <v>36</v>
      </c>
      <c r="J7095" s="3" t="s">
        <v>36</v>
      </c>
      <c r="K7095" s="9" t="s">
        <v>36</v>
      </c>
      <c r="L7095" s="6" t="s">
        <v>122</v>
      </c>
      <c r="M7095" s="3" t="s">
        <v>36</v>
      </c>
      <c r="N7095" s="3" t="s">
        <v>122</v>
      </c>
      <c r="O7095" s="8" t="s">
        <v>36</v>
      </c>
      <c r="P7095" s="3" t="s">
        <v>36</v>
      </c>
      <c r="Q7095" s="3" t="s">
        <v>36</v>
      </c>
      <c r="R7095" s="3" t="s">
        <v>36</v>
      </c>
      <c r="S7095" s="3" t="s">
        <v>36</v>
      </c>
      <c r="T7095" s="3" t="s">
        <v>596</v>
      </c>
      <c r="U7095" s="3" t="s">
        <v>366</v>
      </c>
      <c r="V7095" s="3" t="s">
        <v>367</v>
      </c>
      <c r="W7095" s="3" t="s">
        <v>9095</v>
      </c>
      <c r="X7095" s="10" t="s">
        <v>31633</v>
      </c>
      <c r="Y7095" s="6" t="s">
        <v>42</v>
      </c>
      <c r="Z7095" s="4">
        <v>3.01</v>
      </c>
      <c r="AA7095" s="4" t="s">
        <v>36</v>
      </c>
      <c r="AB7095" s="3" t="s">
        <v>56</v>
      </c>
      <c r="AC7095" s="3" t="s">
        <v>9096</v>
      </c>
      <c r="AD7095" s="9">
        <v>42186</v>
      </c>
      <c r="AE7095" s="3" t="s">
        <v>600</v>
      </c>
      <c r="AF7095" s="3" t="s">
        <v>9097</v>
      </c>
      <c r="AG7095" s="3" t="s">
        <v>9098</v>
      </c>
      <c r="AH7095" s="11">
        <f>HYPERLINK("https://my.pitchbook.com?c=72514-72T","View Company Online")</f>
      </c>
    </row>
    <row r="7096">
      <c r="A7096" s="12" t="s">
        <v>31634</v>
      </c>
      <c r="B7096" s="12" t="s">
        <v>31635</v>
      </c>
      <c r="C7096" s="19" t="s">
        <v>36</v>
      </c>
      <c r="D7096" s="19" t="s">
        <v>36</v>
      </c>
      <c r="E7096" s="19" t="s">
        <v>36</v>
      </c>
      <c r="F7096" s="19" t="s">
        <v>36</v>
      </c>
      <c r="G7096" s="15" t="s">
        <v>36</v>
      </c>
      <c r="H7096" s="14" t="s">
        <v>36</v>
      </c>
      <c r="I7096" s="18" t="s">
        <v>36</v>
      </c>
      <c r="J7096" s="12" t="s">
        <v>36</v>
      </c>
      <c r="K7096" s="13">
        <v>42103</v>
      </c>
      <c r="L7096" s="15" t="s">
        <v>36</v>
      </c>
      <c r="M7096" s="12" t="s">
        <v>36</v>
      </c>
      <c r="N7096" s="12" t="s">
        <v>36</v>
      </c>
      <c r="O7096" s="17" t="s">
        <v>36</v>
      </c>
      <c r="P7096" s="12" t="s">
        <v>36</v>
      </c>
      <c r="Q7096" s="12" t="s">
        <v>36</v>
      </c>
      <c r="R7096" s="12" t="s">
        <v>36</v>
      </c>
      <c r="S7096" s="12" t="s">
        <v>36</v>
      </c>
      <c r="T7096" s="12" t="s">
        <v>3729</v>
      </c>
      <c r="U7096" s="12" t="s">
        <v>219</v>
      </c>
      <c r="V7096" s="12" t="s">
        <v>75</v>
      </c>
      <c r="W7096" s="12" t="s">
        <v>31636</v>
      </c>
      <c r="X7096" s="16" t="s">
        <v>31637</v>
      </c>
      <c r="Y7096" s="15" t="s">
        <v>42</v>
      </c>
      <c r="Z7096" s="14">
        <v>0.67</v>
      </c>
      <c r="AA7096" s="14" t="s">
        <v>36</v>
      </c>
      <c r="AB7096" s="12" t="s">
        <v>43</v>
      </c>
      <c r="AC7096" s="12" t="s">
        <v>31638</v>
      </c>
      <c r="AD7096" s="13">
        <v>42186</v>
      </c>
      <c r="AE7096" s="12" t="s">
        <v>1032</v>
      </c>
      <c r="AF7096" s="12" t="s">
        <v>29751</v>
      </c>
      <c r="AG7096" s="12" t="s">
        <v>31639</v>
      </c>
      <c r="AH7096" s="1">
        <f>HYPERLINK("https://my.pitchbook.com?c=77576-32T","View Company Online")</f>
      </c>
    </row>
    <row r="7097">
      <c r="A7097" s="3" t="s">
        <v>31640</v>
      </c>
      <c r="B7097" s="3" t="s">
        <v>31641</v>
      </c>
      <c r="C7097" s="5" t="s">
        <v>36</v>
      </c>
      <c r="D7097" s="5" t="s">
        <v>36</v>
      </c>
      <c r="E7097" s="5" t="s">
        <v>36</v>
      </c>
      <c r="F7097" s="5" t="s">
        <v>36</v>
      </c>
      <c r="G7097" s="6" t="s">
        <v>36</v>
      </c>
      <c r="H7097" s="4">
        <v>1107.81</v>
      </c>
      <c r="I7097" s="7">
        <v>20</v>
      </c>
      <c r="J7097" s="3" t="s">
        <v>521</v>
      </c>
      <c r="K7097" s="9" t="s">
        <v>36</v>
      </c>
      <c r="L7097" s="6" t="s">
        <v>36</v>
      </c>
      <c r="M7097" s="3" t="s">
        <v>36</v>
      </c>
      <c r="N7097" s="3" t="s">
        <v>36</v>
      </c>
      <c r="O7097" s="8" t="s">
        <v>36</v>
      </c>
      <c r="P7097" s="3" t="s">
        <v>36</v>
      </c>
      <c r="Q7097" s="3" t="s">
        <v>36</v>
      </c>
      <c r="R7097" s="3" t="s">
        <v>36</v>
      </c>
      <c r="S7097" s="3" t="s">
        <v>36</v>
      </c>
      <c r="T7097" s="3" t="s">
        <v>31642</v>
      </c>
      <c r="U7097" s="3" t="s">
        <v>289</v>
      </c>
      <c r="V7097" s="3" t="s">
        <v>64</v>
      </c>
      <c r="W7097" s="3" t="s">
        <v>31643</v>
      </c>
      <c r="X7097" s="10" t="s">
        <v>3098</v>
      </c>
      <c r="Y7097" s="6" t="s">
        <v>42</v>
      </c>
      <c r="Z7097" s="4">
        <v>2.23</v>
      </c>
      <c r="AA7097" s="4">
        <v>11.15</v>
      </c>
      <c r="AB7097" s="3" t="s">
        <v>56</v>
      </c>
      <c r="AC7097" s="3" t="s">
        <v>31644</v>
      </c>
      <c r="AD7097" s="9">
        <v>42186</v>
      </c>
      <c r="AE7097" s="3" t="s">
        <v>3134</v>
      </c>
      <c r="AF7097" s="3" t="s">
        <v>31645</v>
      </c>
      <c r="AG7097" s="3" t="s">
        <v>31646</v>
      </c>
      <c r="AH7097" s="11">
        <f>HYPERLINK("https://my.pitchbook.com?c=67475-35T","View Company Online")</f>
      </c>
    </row>
    <row r="7098">
      <c r="A7098" s="12" t="s">
        <v>31647</v>
      </c>
      <c r="B7098" s="12" t="s">
        <v>23342</v>
      </c>
      <c r="C7098" s="19" t="s">
        <v>36</v>
      </c>
      <c r="D7098" s="19" t="s">
        <v>36</v>
      </c>
      <c r="E7098" s="19" t="s">
        <v>36</v>
      </c>
      <c r="F7098" s="19" t="s">
        <v>36</v>
      </c>
      <c r="G7098" s="15" t="s">
        <v>36</v>
      </c>
      <c r="H7098" s="14" t="s">
        <v>36</v>
      </c>
      <c r="I7098" s="18" t="s">
        <v>36</v>
      </c>
      <c r="J7098" s="12" t="s">
        <v>36</v>
      </c>
      <c r="K7098" s="13" t="s">
        <v>36</v>
      </c>
      <c r="L7098" s="15" t="s">
        <v>36</v>
      </c>
      <c r="M7098" s="12" t="s">
        <v>36</v>
      </c>
      <c r="N7098" s="12" t="s">
        <v>36</v>
      </c>
      <c r="O7098" s="17" t="s">
        <v>36</v>
      </c>
      <c r="P7098" s="12" t="s">
        <v>36</v>
      </c>
      <c r="Q7098" s="12" t="s">
        <v>36</v>
      </c>
      <c r="R7098" s="12" t="s">
        <v>36</v>
      </c>
      <c r="S7098" s="12" t="s">
        <v>36</v>
      </c>
      <c r="T7098" s="12" t="s">
        <v>16221</v>
      </c>
      <c r="U7098" s="12" t="s">
        <v>38</v>
      </c>
      <c r="V7098" s="12" t="s">
        <v>39</v>
      </c>
      <c r="W7098" s="12" t="s">
        <v>23343</v>
      </c>
      <c r="X7098" s="16" t="s">
        <v>31648</v>
      </c>
      <c r="Y7098" s="15" t="s">
        <v>42</v>
      </c>
      <c r="Z7098" s="14">
        <v>5.57</v>
      </c>
      <c r="AA7098" s="14" t="s">
        <v>36</v>
      </c>
      <c r="AB7098" s="12" t="s">
        <v>43</v>
      </c>
      <c r="AC7098" s="12" t="s">
        <v>23345</v>
      </c>
      <c r="AD7098" s="13">
        <v>42186</v>
      </c>
      <c r="AE7098" s="12" t="s">
        <v>110</v>
      </c>
      <c r="AF7098" s="12" t="s">
        <v>6214</v>
      </c>
      <c r="AG7098" s="12" t="s">
        <v>1078</v>
      </c>
      <c r="AH7098" s="1">
        <f>HYPERLINK("https://my.pitchbook.com?c=64756-45T","View Company Online")</f>
      </c>
    </row>
    <row r="7099">
      <c r="A7099" s="3" t="s">
        <v>31649</v>
      </c>
      <c r="B7099" s="3" t="s">
        <v>29022</v>
      </c>
      <c r="C7099" s="5" t="s">
        <v>36</v>
      </c>
      <c r="D7099" s="5" t="s">
        <v>36</v>
      </c>
      <c r="E7099" s="5" t="s">
        <v>36</v>
      </c>
      <c r="F7099" s="5" t="s">
        <v>36</v>
      </c>
      <c r="G7099" s="6" t="s">
        <v>36</v>
      </c>
      <c r="H7099" s="4">
        <v>35.12</v>
      </c>
      <c r="I7099" s="7">
        <v>28.99</v>
      </c>
      <c r="J7099" s="3" t="s">
        <v>521</v>
      </c>
      <c r="K7099" s="9">
        <v>42068</v>
      </c>
      <c r="L7099" s="6" t="s">
        <v>122</v>
      </c>
      <c r="M7099" s="3" t="s">
        <v>36</v>
      </c>
      <c r="N7099" s="3" t="s">
        <v>122</v>
      </c>
      <c r="O7099" s="8" t="s">
        <v>36</v>
      </c>
      <c r="P7099" s="3" t="s">
        <v>36</v>
      </c>
      <c r="Q7099" s="3" t="s">
        <v>36</v>
      </c>
      <c r="R7099" s="3" t="s">
        <v>36</v>
      </c>
      <c r="S7099" s="3" t="s">
        <v>36</v>
      </c>
      <c r="T7099" s="3" t="s">
        <v>29023</v>
      </c>
      <c r="U7099" s="3" t="s">
        <v>833</v>
      </c>
      <c r="V7099" s="3" t="s">
        <v>64</v>
      </c>
      <c r="W7099" s="3" t="s">
        <v>29024</v>
      </c>
      <c r="X7099" s="10" t="s">
        <v>31650</v>
      </c>
      <c r="Y7099" s="6" t="s">
        <v>108</v>
      </c>
      <c r="Z7099" s="4">
        <v>0.8</v>
      </c>
      <c r="AA7099" s="4">
        <v>2.36</v>
      </c>
      <c r="AB7099" s="3" t="s">
        <v>43</v>
      </c>
      <c r="AC7099" s="3" t="s">
        <v>29026</v>
      </c>
      <c r="AD7099" s="9">
        <v>42186</v>
      </c>
      <c r="AE7099" s="3" t="s">
        <v>3615</v>
      </c>
      <c r="AF7099" s="3" t="s">
        <v>29027</v>
      </c>
      <c r="AG7099" s="3" t="s">
        <v>102</v>
      </c>
      <c r="AH7099" s="11">
        <f>HYPERLINK("https://my.pitchbook.com?c=52758-91T","View Company Online")</f>
      </c>
    </row>
    <row r="7100">
      <c r="A7100" s="12" t="s">
        <v>31651</v>
      </c>
      <c r="B7100" s="12" t="s">
        <v>31652</v>
      </c>
      <c r="C7100" s="19" t="s">
        <v>36</v>
      </c>
      <c r="D7100" s="19" t="s">
        <v>36</v>
      </c>
      <c r="E7100" s="19" t="s">
        <v>36</v>
      </c>
      <c r="F7100" s="19" t="s">
        <v>36</v>
      </c>
      <c r="G7100" s="15" t="s">
        <v>36</v>
      </c>
      <c r="H7100" s="14" t="s">
        <v>36</v>
      </c>
      <c r="I7100" s="18" t="s">
        <v>36</v>
      </c>
      <c r="J7100" s="12" t="s">
        <v>36</v>
      </c>
      <c r="K7100" s="13" t="s">
        <v>36</v>
      </c>
      <c r="L7100" s="15" t="s">
        <v>36</v>
      </c>
      <c r="M7100" s="12" t="s">
        <v>36</v>
      </c>
      <c r="N7100" s="12" t="s">
        <v>36</v>
      </c>
      <c r="O7100" s="17" t="s">
        <v>36</v>
      </c>
      <c r="P7100" s="12" t="s">
        <v>36</v>
      </c>
      <c r="Q7100" s="12" t="s">
        <v>36</v>
      </c>
      <c r="R7100" s="12" t="s">
        <v>36</v>
      </c>
      <c r="S7100" s="12" t="s">
        <v>36</v>
      </c>
      <c r="T7100" s="12" t="s">
        <v>31653</v>
      </c>
      <c r="U7100" s="12" t="s">
        <v>38</v>
      </c>
      <c r="V7100" s="12" t="s">
        <v>39</v>
      </c>
      <c r="W7100" s="12" t="s">
        <v>31654</v>
      </c>
      <c r="X7100" s="16" t="s">
        <v>31655</v>
      </c>
      <c r="Y7100" s="15" t="s">
        <v>55</v>
      </c>
      <c r="Z7100" s="14">
        <v>1.45</v>
      </c>
      <c r="AA7100" s="14" t="s">
        <v>36</v>
      </c>
      <c r="AB7100" s="12" t="s">
        <v>56</v>
      </c>
      <c r="AC7100" s="12" t="s">
        <v>31656</v>
      </c>
      <c r="AD7100" s="13">
        <v>42186</v>
      </c>
      <c r="AE7100" s="12" t="s">
        <v>110</v>
      </c>
      <c r="AF7100" s="12" t="s">
        <v>176</v>
      </c>
      <c r="AG7100" s="12" t="s">
        <v>31657</v>
      </c>
      <c r="AH7100" s="1">
        <f>HYPERLINK("https://my.pitchbook.com?c=81818-11T","View Company Online")</f>
      </c>
    </row>
    <row r="7101">
      <c r="A7101" s="3" t="s">
        <v>31658</v>
      </c>
      <c r="B7101" s="3" t="s">
        <v>31659</v>
      </c>
      <c r="C7101" s="5" t="s">
        <v>36</v>
      </c>
      <c r="D7101" s="5" t="s">
        <v>36</v>
      </c>
      <c r="E7101" s="5" t="s">
        <v>36</v>
      </c>
      <c r="F7101" s="5" t="s">
        <v>36</v>
      </c>
      <c r="G7101" s="6" t="s">
        <v>36</v>
      </c>
      <c r="H7101" s="4" t="s">
        <v>36</v>
      </c>
      <c r="I7101" s="7" t="s">
        <v>36</v>
      </c>
      <c r="J7101" s="3" t="s">
        <v>36</v>
      </c>
      <c r="K7101" s="9" t="s">
        <v>36</v>
      </c>
      <c r="L7101" s="6" t="s">
        <v>36</v>
      </c>
      <c r="M7101" s="3" t="s">
        <v>36</v>
      </c>
      <c r="N7101" s="3" t="s">
        <v>36</v>
      </c>
      <c r="O7101" s="8" t="s">
        <v>36</v>
      </c>
      <c r="P7101" s="3" t="s">
        <v>36</v>
      </c>
      <c r="Q7101" s="3" t="s">
        <v>36</v>
      </c>
      <c r="R7101" s="3" t="s">
        <v>36</v>
      </c>
      <c r="S7101" s="3" t="s">
        <v>36</v>
      </c>
      <c r="T7101" s="3" t="s">
        <v>31660</v>
      </c>
      <c r="U7101" s="3" t="s">
        <v>63</v>
      </c>
      <c r="V7101" s="3" t="s">
        <v>64</v>
      </c>
      <c r="W7101" s="3" t="s">
        <v>31661</v>
      </c>
      <c r="X7101" s="10" t="s">
        <v>26808</v>
      </c>
      <c r="Y7101" s="6" t="s">
        <v>42</v>
      </c>
      <c r="Z7101" s="4" t="s">
        <v>36</v>
      </c>
      <c r="AA7101" s="4" t="s">
        <v>36</v>
      </c>
      <c r="AB7101" s="3" t="s">
        <v>56</v>
      </c>
      <c r="AC7101" s="3" t="s">
        <v>31662</v>
      </c>
      <c r="AD7101" s="9">
        <v>42186</v>
      </c>
      <c r="AE7101" s="3" t="s">
        <v>399</v>
      </c>
      <c r="AF7101" s="3" t="s">
        <v>31663</v>
      </c>
      <c r="AG7101" s="3" t="s">
        <v>81</v>
      </c>
      <c r="AH7101" s="11">
        <f>HYPERLINK("https://my.pitchbook.com?c=36304-84T","View Company Online")</f>
      </c>
    </row>
    <row r="7102">
      <c r="A7102" s="12" t="s">
        <v>31664</v>
      </c>
      <c r="B7102" s="12" t="s">
        <v>31665</v>
      </c>
      <c r="C7102" s="19" t="s">
        <v>36</v>
      </c>
      <c r="D7102" s="19" t="s">
        <v>36</v>
      </c>
      <c r="E7102" s="19" t="s">
        <v>36</v>
      </c>
      <c r="F7102" s="19" t="s">
        <v>36</v>
      </c>
      <c r="G7102" s="15" t="s">
        <v>36</v>
      </c>
      <c r="H7102" s="14" t="s">
        <v>36</v>
      </c>
      <c r="I7102" s="18" t="s">
        <v>36</v>
      </c>
      <c r="J7102" s="12" t="s">
        <v>36</v>
      </c>
      <c r="K7102" s="13" t="s">
        <v>36</v>
      </c>
      <c r="L7102" s="15" t="s">
        <v>36</v>
      </c>
      <c r="M7102" s="12" t="s">
        <v>36</v>
      </c>
      <c r="N7102" s="12" t="s">
        <v>36</v>
      </c>
      <c r="O7102" s="17" t="s">
        <v>36</v>
      </c>
      <c r="P7102" s="12" t="s">
        <v>36</v>
      </c>
      <c r="Q7102" s="12" t="s">
        <v>36</v>
      </c>
      <c r="R7102" s="12" t="s">
        <v>36</v>
      </c>
      <c r="S7102" s="12" t="s">
        <v>36</v>
      </c>
      <c r="T7102" s="12" t="s">
        <v>994</v>
      </c>
      <c r="U7102" s="12" t="s">
        <v>74</v>
      </c>
      <c r="V7102" s="12" t="s">
        <v>75</v>
      </c>
      <c r="W7102" s="12" t="s">
        <v>31666</v>
      </c>
      <c r="X7102" s="16" t="s">
        <v>31667</v>
      </c>
      <c r="Y7102" s="15" t="s">
        <v>108</v>
      </c>
      <c r="Z7102" s="14" t="s">
        <v>36</v>
      </c>
      <c r="AA7102" s="14" t="s">
        <v>36</v>
      </c>
      <c r="AB7102" s="12" t="s">
        <v>43</v>
      </c>
      <c r="AC7102" s="12" t="s">
        <v>31668</v>
      </c>
      <c r="AD7102" s="13">
        <v>42186</v>
      </c>
      <c r="AE7102" s="12" t="s">
        <v>362</v>
      </c>
      <c r="AF7102" s="12" t="s">
        <v>36</v>
      </c>
      <c r="AG7102" s="12" t="s">
        <v>81</v>
      </c>
      <c r="AH7102" s="1">
        <f>HYPERLINK("https://my.pitchbook.com?c=36443-17T","View Company Online")</f>
      </c>
    </row>
    <row r="7103">
      <c r="A7103" s="3" t="s">
        <v>31669</v>
      </c>
      <c r="B7103" s="3" t="s">
        <v>31670</v>
      </c>
      <c r="C7103" s="5" t="s">
        <v>36</v>
      </c>
      <c r="D7103" s="5" t="s">
        <v>36</v>
      </c>
      <c r="E7103" s="5" t="s">
        <v>36</v>
      </c>
      <c r="F7103" s="5" t="s">
        <v>36</v>
      </c>
      <c r="G7103" s="6" t="s">
        <v>36</v>
      </c>
      <c r="H7103" s="4" t="s">
        <v>36</v>
      </c>
      <c r="I7103" s="7" t="s">
        <v>36</v>
      </c>
      <c r="J7103" s="3" t="s">
        <v>36</v>
      </c>
      <c r="K7103" s="9" t="s">
        <v>36</v>
      </c>
      <c r="L7103" s="6" t="s">
        <v>36</v>
      </c>
      <c r="M7103" s="3" t="s">
        <v>36</v>
      </c>
      <c r="N7103" s="3" t="s">
        <v>36</v>
      </c>
      <c r="O7103" s="8" t="s">
        <v>36</v>
      </c>
      <c r="P7103" s="3" t="s">
        <v>36</v>
      </c>
      <c r="Q7103" s="3" t="s">
        <v>36</v>
      </c>
      <c r="R7103" s="3" t="s">
        <v>36</v>
      </c>
      <c r="S7103" s="3" t="s">
        <v>36</v>
      </c>
      <c r="T7103" s="3" t="s">
        <v>31671</v>
      </c>
      <c r="U7103" s="3" t="s">
        <v>279</v>
      </c>
      <c r="V7103" s="3" t="s">
        <v>64</v>
      </c>
      <c r="W7103" s="3" t="s">
        <v>31672</v>
      </c>
      <c r="X7103" s="10" t="s">
        <v>31673</v>
      </c>
      <c r="Y7103" s="6" t="s">
        <v>42</v>
      </c>
      <c r="Z7103" s="4" t="s">
        <v>36</v>
      </c>
      <c r="AA7103" s="4" t="s">
        <v>36</v>
      </c>
      <c r="AB7103" s="3" t="s">
        <v>56</v>
      </c>
      <c r="AC7103" s="3" t="s">
        <v>31674</v>
      </c>
      <c r="AD7103" s="9">
        <v>42186</v>
      </c>
      <c r="AE7103" s="3" t="s">
        <v>283</v>
      </c>
      <c r="AF7103" s="3" t="s">
        <v>24745</v>
      </c>
      <c r="AG7103" s="3" t="s">
        <v>81</v>
      </c>
      <c r="AH7103" s="11">
        <f>HYPERLINK("https://my.pitchbook.com?c=35896-15T","View Company Online")</f>
      </c>
    </row>
    <row r="7104">
      <c r="A7104" s="12" t="s">
        <v>31675</v>
      </c>
      <c r="B7104" s="12" t="s">
        <v>31676</v>
      </c>
      <c r="C7104" s="19" t="s">
        <v>36</v>
      </c>
      <c r="D7104" s="19" t="s">
        <v>36</v>
      </c>
      <c r="E7104" s="19" t="s">
        <v>36</v>
      </c>
      <c r="F7104" s="19" t="s">
        <v>36</v>
      </c>
      <c r="G7104" s="15" t="s">
        <v>36</v>
      </c>
      <c r="H7104" s="14" t="s">
        <v>36</v>
      </c>
      <c r="I7104" s="18" t="s">
        <v>36</v>
      </c>
      <c r="J7104" s="12" t="s">
        <v>36</v>
      </c>
      <c r="K7104" s="13" t="s">
        <v>36</v>
      </c>
      <c r="L7104" s="15" t="s">
        <v>36</v>
      </c>
      <c r="M7104" s="12" t="s">
        <v>36</v>
      </c>
      <c r="N7104" s="12" t="s">
        <v>36</v>
      </c>
      <c r="O7104" s="17" t="s">
        <v>36</v>
      </c>
      <c r="P7104" s="12" t="s">
        <v>36</v>
      </c>
      <c r="Q7104" s="12" t="s">
        <v>36</v>
      </c>
      <c r="R7104" s="12" t="s">
        <v>36</v>
      </c>
      <c r="S7104" s="12" t="s">
        <v>36</v>
      </c>
      <c r="T7104" s="12" t="s">
        <v>31677</v>
      </c>
      <c r="U7104" s="12" t="s">
        <v>387</v>
      </c>
      <c r="V7104" s="12" t="s">
        <v>367</v>
      </c>
      <c r="W7104" s="12" t="s">
        <v>31678</v>
      </c>
      <c r="X7104" s="16" t="s">
        <v>26808</v>
      </c>
      <c r="Y7104" s="15" t="s">
        <v>42</v>
      </c>
      <c r="Z7104" s="14" t="s">
        <v>36</v>
      </c>
      <c r="AA7104" s="14" t="s">
        <v>36</v>
      </c>
      <c r="AB7104" s="12" t="s">
        <v>43</v>
      </c>
      <c r="AC7104" s="12" t="s">
        <v>31679</v>
      </c>
      <c r="AD7104" s="13">
        <v>42186</v>
      </c>
      <c r="AE7104" s="12" t="s">
        <v>391</v>
      </c>
      <c r="AF7104" s="12" t="s">
        <v>22942</v>
      </c>
      <c r="AG7104" s="12" t="s">
        <v>81</v>
      </c>
      <c r="AH7104" s="1">
        <f>HYPERLINK("https://my.pitchbook.com?c=36328-96T","View Company Online")</f>
      </c>
    </row>
    <row r="7105">
      <c r="A7105" s="3" t="s">
        <v>31680</v>
      </c>
      <c r="B7105" s="3" t="s">
        <v>31681</v>
      </c>
      <c r="C7105" s="5" t="s">
        <v>36</v>
      </c>
      <c r="D7105" s="5" t="s">
        <v>36</v>
      </c>
      <c r="E7105" s="5" t="s">
        <v>36</v>
      </c>
      <c r="F7105" s="5" t="s">
        <v>36</v>
      </c>
      <c r="G7105" s="6" t="s">
        <v>36</v>
      </c>
      <c r="H7105" s="4" t="s">
        <v>36</v>
      </c>
      <c r="I7105" s="7" t="s">
        <v>36</v>
      </c>
      <c r="J7105" s="3" t="s">
        <v>36</v>
      </c>
      <c r="K7105" s="9" t="s">
        <v>36</v>
      </c>
      <c r="L7105" s="6" t="s">
        <v>36</v>
      </c>
      <c r="M7105" s="3" t="s">
        <v>36</v>
      </c>
      <c r="N7105" s="3" t="s">
        <v>36</v>
      </c>
      <c r="O7105" s="8" t="s">
        <v>36</v>
      </c>
      <c r="P7105" s="3" t="s">
        <v>36</v>
      </c>
      <c r="Q7105" s="3" t="s">
        <v>36</v>
      </c>
      <c r="R7105" s="3" t="s">
        <v>36</v>
      </c>
      <c r="S7105" s="3" t="s">
        <v>36</v>
      </c>
      <c r="T7105" s="3" t="s">
        <v>31682</v>
      </c>
      <c r="U7105" s="3" t="s">
        <v>728</v>
      </c>
      <c r="V7105" s="3" t="s">
        <v>64</v>
      </c>
      <c r="W7105" s="3" t="s">
        <v>31683</v>
      </c>
      <c r="X7105" s="10" t="s">
        <v>560</v>
      </c>
      <c r="Y7105" s="6" t="s">
        <v>42</v>
      </c>
      <c r="Z7105" s="4" t="s">
        <v>36</v>
      </c>
      <c r="AA7105" s="4" t="s">
        <v>36</v>
      </c>
      <c r="AB7105" s="3" t="s">
        <v>56</v>
      </c>
      <c r="AC7105" s="3" t="s">
        <v>31684</v>
      </c>
      <c r="AD7105" s="9">
        <v>42186</v>
      </c>
      <c r="AE7105" s="3" t="s">
        <v>2154</v>
      </c>
      <c r="AF7105" s="3" t="s">
        <v>90</v>
      </c>
      <c r="AG7105" s="3" t="s">
        <v>31685</v>
      </c>
      <c r="AH7105" s="11">
        <f>HYPERLINK("https://my.pitchbook.com?c=35336-26T","View Company Online")</f>
      </c>
    </row>
    <row r="7106">
      <c r="A7106" s="12" t="s">
        <v>31686</v>
      </c>
      <c r="B7106" s="12" t="s">
        <v>31687</v>
      </c>
      <c r="C7106" s="19" t="s">
        <v>36</v>
      </c>
      <c r="D7106" s="19" t="s">
        <v>36</v>
      </c>
      <c r="E7106" s="19" t="s">
        <v>36</v>
      </c>
      <c r="F7106" s="19" t="s">
        <v>36</v>
      </c>
      <c r="G7106" s="15" t="s">
        <v>326</v>
      </c>
      <c r="H7106" s="14">
        <v>34.31</v>
      </c>
      <c r="I7106" s="18">
        <v>32.98</v>
      </c>
      <c r="J7106" s="12" t="s">
        <v>521</v>
      </c>
      <c r="K7106" s="13" t="s">
        <v>36</v>
      </c>
      <c r="L7106" s="15" t="s">
        <v>36</v>
      </c>
      <c r="M7106" s="12" t="s">
        <v>36</v>
      </c>
      <c r="N7106" s="12" t="s">
        <v>36</v>
      </c>
      <c r="O7106" s="17" t="s">
        <v>36</v>
      </c>
      <c r="P7106" s="12" t="s">
        <v>36</v>
      </c>
      <c r="Q7106" s="12" t="s">
        <v>36</v>
      </c>
      <c r="R7106" s="12" t="s">
        <v>36</v>
      </c>
      <c r="S7106" s="12" t="s">
        <v>36</v>
      </c>
      <c r="T7106" s="12" t="s">
        <v>684</v>
      </c>
      <c r="U7106" s="12" t="s">
        <v>38</v>
      </c>
      <c r="V7106" s="12" t="s">
        <v>39</v>
      </c>
      <c r="W7106" s="12" t="s">
        <v>31688</v>
      </c>
      <c r="X7106" s="16" t="s">
        <v>12813</v>
      </c>
      <c r="Y7106" s="15" t="s">
        <v>42</v>
      </c>
      <c r="Z7106" s="14">
        <v>1.13</v>
      </c>
      <c r="AA7106" s="14">
        <v>3.43</v>
      </c>
      <c r="AB7106" s="12" t="s">
        <v>43</v>
      </c>
      <c r="AC7106" s="12" t="s">
        <v>31689</v>
      </c>
      <c r="AD7106" s="13">
        <v>42185</v>
      </c>
      <c r="AE7106" s="12" t="s">
        <v>688</v>
      </c>
      <c r="AF7106" s="12" t="s">
        <v>118</v>
      </c>
      <c r="AG7106" s="12" t="s">
        <v>81</v>
      </c>
      <c r="AH7106" s="1">
        <f>HYPERLINK("https://my.pitchbook.com?c=62396-56T","View Company Online")</f>
      </c>
    </row>
    <row r="7107">
      <c r="A7107" s="3" t="s">
        <v>31690</v>
      </c>
      <c r="B7107" s="3" t="s">
        <v>7498</v>
      </c>
      <c r="C7107" s="5">
        <v>39</v>
      </c>
      <c r="D7107" s="5">
        <v>26</v>
      </c>
      <c r="E7107" s="5">
        <v>15</v>
      </c>
      <c r="F7107" s="5">
        <v>72</v>
      </c>
      <c r="G7107" s="6" t="s">
        <v>36</v>
      </c>
      <c r="H7107" s="4">
        <v>39.47</v>
      </c>
      <c r="I7107" s="7">
        <v>67.8</v>
      </c>
      <c r="J7107" s="3" t="s">
        <v>521</v>
      </c>
      <c r="K7107" s="9">
        <v>41526</v>
      </c>
      <c r="L7107" s="6" t="s">
        <v>122</v>
      </c>
      <c r="M7107" s="3" t="s">
        <v>36</v>
      </c>
      <c r="N7107" s="3" t="s">
        <v>122</v>
      </c>
      <c r="O7107" s="8" t="s">
        <v>36</v>
      </c>
      <c r="P7107" s="3" t="s">
        <v>36</v>
      </c>
      <c r="Q7107" s="3" t="s">
        <v>36</v>
      </c>
      <c r="R7107" s="3" t="s">
        <v>36</v>
      </c>
      <c r="S7107" s="3" t="s">
        <v>36</v>
      </c>
      <c r="T7107" s="3" t="s">
        <v>1863</v>
      </c>
      <c r="U7107" s="3" t="s">
        <v>96</v>
      </c>
      <c r="V7107" s="3" t="s">
        <v>52</v>
      </c>
      <c r="W7107" s="3" t="s">
        <v>7499</v>
      </c>
      <c r="X7107" s="10" t="s">
        <v>31691</v>
      </c>
      <c r="Y7107" s="6" t="s">
        <v>42</v>
      </c>
      <c r="Z7107" s="4">
        <v>8.92</v>
      </c>
      <c r="AA7107" s="4">
        <v>13.16</v>
      </c>
      <c r="AB7107" s="3" t="s">
        <v>43</v>
      </c>
      <c r="AC7107" s="3" t="s">
        <v>7501</v>
      </c>
      <c r="AD7107" s="9">
        <v>42185</v>
      </c>
      <c r="AE7107" s="3" t="s">
        <v>1414</v>
      </c>
      <c r="AF7107" s="3" t="s">
        <v>159</v>
      </c>
      <c r="AG7107" s="3" t="s">
        <v>81</v>
      </c>
      <c r="AH7107" s="11">
        <f>HYPERLINK("https://my.pitchbook.com?c=136341-73T","View Company Online")</f>
      </c>
    </row>
    <row r="7108">
      <c r="A7108" s="12" t="s">
        <v>31692</v>
      </c>
      <c r="B7108" s="12" t="s">
        <v>31693</v>
      </c>
      <c r="C7108" s="19" t="s">
        <v>36</v>
      </c>
      <c r="D7108" s="19" t="s">
        <v>36</v>
      </c>
      <c r="E7108" s="19" t="s">
        <v>36</v>
      </c>
      <c r="F7108" s="19" t="s">
        <v>36</v>
      </c>
      <c r="G7108" s="15" t="s">
        <v>36</v>
      </c>
      <c r="H7108" s="14">
        <v>14.12</v>
      </c>
      <c r="I7108" s="18">
        <v>26.65</v>
      </c>
      <c r="J7108" s="12" t="s">
        <v>521</v>
      </c>
      <c r="K7108" s="13">
        <v>41943</v>
      </c>
      <c r="L7108" s="15" t="s">
        <v>36</v>
      </c>
      <c r="M7108" s="12" t="s">
        <v>36</v>
      </c>
      <c r="N7108" s="12" t="s">
        <v>36</v>
      </c>
      <c r="O7108" s="17" t="s">
        <v>36</v>
      </c>
      <c r="P7108" s="12" t="s">
        <v>36</v>
      </c>
      <c r="Q7108" s="12" t="s">
        <v>36</v>
      </c>
      <c r="R7108" s="12" t="s">
        <v>36</v>
      </c>
      <c r="S7108" s="12" t="s">
        <v>36</v>
      </c>
      <c r="T7108" s="12" t="s">
        <v>522</v>
      </c>
      <c r="U7108" s="12" t="s">
        <v>38</v>
      </c>
      <c r="V7108" s="12" t="s">
        <v>39</v>
      </c>
      <c r="W7108" s="12" t="s">
        <v>31694</v>
      </c>
      <c r="X7108" s="16" t="s">
        <v>31695</v>
      </c>
      <c r="Y7108" s="15" t="s">
        <v>108</v>
      </c>
      <c r="Z7108" s="14">
        <v>1.48</v>
      </c>
      <c r="AA7108" s="14">
        <v>5.49</v>
      </c>
      <c r="AB7108" s="12" t="s">
        <v>56</v>
      </c>
      <c r="AC7108" s="12" t="s">
        <v>31696</v>
      </c>
      <c r="AD7108" s="13">
        <v>42185</v>
      </c>
      <c r="AE7108" s="12" t="s">
        <v>110</v>
      </c>
      <c r="AF7108" s="12" t="s">
        <v>4552</v>
      </c>
      <c r="AG7108" s="12" t="s">
        <v>652</v>
      </c>
      <c r="AH7108" s="1">
        <f>HYPERLINK("https://my.pitchbook.com?c=46917-55T","View Company Online")</f>
      </c>
    </row>
    <row r="7109">
      <c r="A7109" s="3" t="s">
        <v>31697</v>
      </c>
      <c r="B7109" s="3" t="s">
        <v>31698</v>
      </c>
      <c r="C7109" s="5" t="s">
        <v>36</v>
      </c>
      <c r="D7109" s="5" t="s">
        <v>36</v>
      </c>
      <c r="E7109" s="5" t="s">
        <v>36</v>
      </c>
      <c r="F7109" s="5" t="s">
        <v>36</v>
      </c>
      <c r="G7109" s="6" t="s">
        <v>326</v>
      </c>
      <c r="H7109" s="4">
        <v>0.42</v>
      </c>
      <c r="I7109" s="7">
        <v>28.19</v>
      </c>
      <c r="J7109" s="3" t="s">
        <v>521</v>
      </c>
      <c r="K7109" s="9" t="s">
        <v>36</v>
      </c>
      <c r="L7109" s="6" t="s">
        <v>36</v>
      </c>
      <c r="M7109" s="3" t="s">
        <v>36</v>
      </c>
      <c r="N7109" s="3" t="s">
        <v>36</v>
      </c>
      <c r="O7109" s="8" t="s">
        <v>36</v>
      </c>
      <c r="P7109" s="3" t="s">
        <v>36</v>
      </c>
      <c r="Q7109" s="3" t="s">
        <v>36</v>
      </c>
      <c r="R7109" s="3" t="s">
        <v>36</v>
      </c>
      <c r="S7109" s="3" t="s">
        <v>36</v>
      </c>
      <c r="T7109" s="3" t="s">
        <v>25552</v>
      </c>
      <c r="U7109" s="3" t="s">
        <v>180</v>
      </c>
      <c r="V7109" s="3" t="s">
        <v>52</v>
      </c>
      <c r="W7109" s="3" t="s">
        <v>31699</v>
      </c>
      <c r="X7109" s="10" t="s">
        <v>31700</v>
      </c>
      <c r="Y7109" s="6" t="s">
        <v>55</v>
      </c>
      <c r="Z7109" s="4">
        <v>1.01</v>
      </c>
      <c r="AA7109" s="4">
        <v>3.58</v>
      </c>
      <c r="AB7109" s="3" t="s">
        <v>43</v>
      </c>
      <c r="AC7109" s="3" t="s">
        <v>31701</v>
      </c>
      <c r="AD7109" s="9">
        <v>42184</v>
      </c>
      <c r="AE7109" s="3" t="s">
        <v>8291</v>
      </c>
      <c r="AF7109" s="3" t="s">
        <v>15704</v>
      </c>
      <c r="AG7109" s="3" t="s">
        <v>1843</v>
      </c>
      <c r="AH7109" s="11">
        <f>HYPERLINK("https://my.pitchbook.com?c=187886-26T","View Company Online")</f>
      </c>
    </row>
    <row r="7110">
      <c r="A7110" s="12" t="s">
        <v>31702</v>
      </c>
      <c r="B7110" s="12" t="s">
        <v>31703</v>
      </c>
      <c r="C7110" s="19" t="s">
        <v>36</v>
      </c>
      <c r="D7110" s="19" t="s">
        <v>36</v>
      </c>
      <c r="E7110" s="19" t="s">
        <v>36</v>
      </c>
      <c r="F7110" s="19" t="s">
        <v>36</v>
      </c>
      <c r="G7110" s="15" t="s">
        <v>2497</v>
      </c>
      <c r="H7110" s="14">
        <v>277.3</v>
      </c>
      <c r="I7110" s="18">
        <v>49.21</v>
      </c>
      <c r="J7110" s="12" t="s">
        <v>521</v>
      </c>
      <c r="K7110" s="13">
        <v>42174</v>
      </c>
      <c r="L7110" s="15" t="s">
        <v>122</v>
      </c>
      <c r="M7110" s="12" t="s">
        <v>36</v>
      </c>
      <c r="N7110" s="12" t="s">
        <v>122</v>
      </c>
      <c r="O7110" s="17" t="s">
        <v>36</v>
      </c>
      <c r="P7110" s="12" t="s">
        <v>36</v>
      </c>
      <c r="Q7110" s="12" t="s">
        <v>36</v>
      </c>
      <c r="R7110" s="12" t="s">
        <v>36</v>
      </c>
      <c r="S7110" s="12" t="s">
        <v>36</v>
      </c>
      <c r="T7110" s="12" t="s">
        <v>105</v>
      </c>
      <c r="U7110" s="12" t="s">
        <v>38</v>
      </c>
      <c r="V7110" s="12" t="s">
        <v>39</v>
      </c>
      <c r="W7110" s="12" t="s">
        <v>31704</v>
      </c>
      <c r="X7110" s="16" t="s">
        <v>31705</v>
      </c>
      <c r="Y7110" s="15" t="s">
        <v>108</v>
      </c>
      <c r="Z7110" s="14">
        <v>1.84</v>
      </c>
      <c r="AA7110" s="14">
        <v>3.74</v>
      </c>
      <c r="AB7110" s="12" t="s">
        <v>43</v>
      </c>
      <c r="AC7110" s="12" t="s">
        <v>31706</v>
      </c>
      <c r="AD7110" s="13">
        <v>42184</v>
      </c>
      <c r="AE7110" s="12" t="s">
        <v>110</v>
      </c>
      <c r="AF7110" s="12" t="s">
        <v>31707</v>
      </c>
      <c r="AG7110" s="12" t="s">
        <v>81</v>
      </c>
      <c r="AH7110" s="1">
        <f>HYPERLINK("https://my.pitchbook.com?c=71297-29T","View Company Online")</f>
      </c>
    </row>
    <row r="7111">
      <c r="A7111" s="3" t="s">
        <v>31708</v>
      </c>
      <c r="B7111" s="3" t="s">
        <v>31709</v>
      </c>
      <c r="C7111" s="5" t="s">
        <v>36</v>
      </c>
      <c r="D7111" s="5" t="s">
        <v>36</v>
      </c>
      <c r="E7111" s="5" t="s">
        <v>36</v>
      </c>
      <c r="F7111" s="5" t="s">
        <v>36</v>
      </c>
      <c r="G7111" s="6" t="s">
        <v>36</v>
      </c>
      <c r="H7111" s="4" t="s">
        <v>36</v>
      </c>
      <c r="I7111" s="7" t="s">
        <v>36</v>
      </c>
      <c r="J7111" s="3" t="s">
        <v>36</v>
      </c>
      <c r="K7111" s="9" t="s">
        <v>36</v>
      </c>
      <c r="L7111" s="6" t="s">
        <v>36</v>
      </c>
      <c r="M7111" s="3" t="s">
        <v>36</v>
      </c>
      <c r="N7111" s="3" t="s">
        <v>36</v>
      </c>
      <c r="O7111" s="8" t="s">
        <v>36</v>
      </c>
      <c r="P7111" s="3" t="s">
        <v>36</v>
      </c>
      <c r="Q7111" s="3" t="s">
        <v>36</v>
      </c>
      <c r="R7111" s="3" t="s">
        <v>36</v>
      </c>
      <c r="S7111" s="3" t="s">
        <v>36</v>
      </c>
      <c r="T7111" s="3" t="s">
        <v>5159</v>
      </c>
      <c r="U7111" s="3" t="s">
        <v>74</v>
      </c>
      <c r="V7111" s="3" t="s">
        <v>75</v>
      </c>
      <c r="W7111" s="3" t="s">
        <v>31710</v>
      </c>
      <c r="X7111" s="10" t="s">
        <v>31711</v>
      </c>
      <c r="Y7111" s="6" t="s">
        <v>42</v>
      </c>
      <c r="Z7111" s="4">
        <v>0.56</v>
      </c>
      <c r="AA7111" s="4" t="s">
        <v>36</v>
      </c>
      <c r="AB7111" s="3" t="s">
        <v>56</v>
      </c>
      <c r="AC7111" s="3" t="s">
        <v>31712</v>
      </c>
      <c r="AD7111" s="9">
        <v>42181</v>
      </c>
      <c r="AE7111" s="3" t="s">
        <v>79</v>
      </c>
      <c r="AF7111" s="3" t="s">
        <v>2759</v>
      </c>
      <c r="AG7111" s="3" t="s">
        <v>644</v>
      </c>
      <c r="AH7111" s="11">
        <f>HYPERLINK("https://my.pitchbook.com?c=82817-74T","View Company Online")</f>
      </c>
    </row>
    <row r="7112">
      <c r="A7112" s="12" t="s">
        <v>31713</v>
      </c>
      <c r="B7112" s="12" t="s">
        <v>29868</v>
      </c>
      <c r="C7112" s="19" t="s">
        <v>36</v>
      </c>
      <c r="D7112" s="19" t="s">
        <v>36</v>
      </c>
      <c r="E7112" s="19" t="s">
        <v>36</v>
      </c>
      <c r="F7112" s="19" t="s">
        <v>36</v>
      </c>
      <c r="G7112" s="15" t="s">
        <v>36</v>
      </c>
      <c r="H7112" s="14">
        <v>5994.03</v>
      </c>
      <c r="I7112" s="18">
        <v>24.11</v>
      </c>
      <c r="J7112" s="12" t="s">
        <v>521</v>
      </c>
      <c r="K7112" s="13">
        <v>42164</v>
      </c>
      <c r="L7112" s="15" t="s">
        <v>36</v>
      </c>
      <c r="M7112" s="12" t="s">
        <v>36</v>
      </c>
      <c r="N7112" s="12" t="s">
        <v>36</v>
      </c>
      <c r="O7112" s="17" t="s">
        <v>36</v>
      </c>
      <c r="P7112" s="12" t="s">
        <v>36</v>
      </c>
      <c r="Q7112" s="12" t="s">
        <v>36</v>
      </c>
      <c r="R7112" s="12" t="s">
        <v>36</v>
      </c>
      <c r="S7112" s="12" t="s">
        <v>36</v>
      </c>
      <c r="T7112" s="12" t="s">
        <v>123</v>
      </c>
      <c r="U7112" s="12" t="s">
        <v>38</v>
      </c>
      <c r="V7112" s="12" t="s">
        <v>39</v>
      </c>
      <c r="W7112" s="12" t="s">
        <v>29869</v>
      </c>
      <c r="X7112" s="16" t="s">
        <v>31714</v>
      </c>
      <c r="Y7112" s="15" t="s">
        <v>192</v>
      </c>
      <c r="Z7112" s="14">
        <v>9.5</v>
      </c>
      <c r="AA7112" s="14">
        <v>39.41</v>
      </c>
      <c r="AB7112" s="12" t="s">
        <v>56</v>
      </c>
      <c r="AC7112" s="12" t="s">
        <v>29871</v>
      </c>
      <c r="AD7112" s="13">
        <v>42180</v>
      </c>
      <c r="AE7112" s="12" t="s">
        <v>110</v>
      </c>
      <c r="AF7112" s="12" t="s">
        <v>28526</v>
      </c>
      <c r="AG7112" s="12" t="s">
        <v>29872</v>
      </c>
      <c r="AH7112" s="1">
        <f>HYPERLINK("https://my.pitchbook.com?c=51492-79T","View Company Online")</f>
      </c>
    </row>
    <row r="7113">
      <c r="A7113" s="3" t="s">
        <v>31715</v>
      </c>
      <c r="B7113" s="3" t="s">
        <v>31716</v>
      </c>
      <c r="C7113" s="5" t="s">
        <v>36</v>
      </c>
      <c r="D7113" s="5">
        <v>7</v>
      </c>
      <c r="E7113" s="5">
        <v>1</v>
      </c>
      <c r="F7113" s="5">
        <v>7</v>
      </c>
      <c r="G7113" s="6" t="s">
        <v>36</v>
      </c>
      <c r="H7113" s="4" t="s">
        <v>36</v>
      </c>
      <c r="I7113" s="7" t="s">
        <v>36</v>
      </c>
      <c r="J7113" s="3" t="s">
        <v>36</v>
      </c>
      <c r="K7113" s="9" t="s">
        <v>36</v>
      </c>
      <c r="L7113" s="6" t="s">
        <v>122</v>
      </c>
      <c r="M7113" s="3" t="s">
        <v>36</v>
      </c>
      <c r="N7113" s="3" t="s">
        <v>122</v>
      </c>
      <c r="O7113" s="8" t="s">
        <v>36</v>
      </c>
      <c r="P7113" s="3" t="s">
        <v>36</v>
      </c>
      <c r="Q7113" s="3" t="s">
        <v>36</v>
      </c>
      <c r="R7113" s="3" t="s">
        <v>36</v>
      </c>
      <c r="S7113" s="3" t="s">
        <v>36</v>
      </c>
      <c r="T7113" s="3" t="s">
        <v>139</v>
      </c>
      <c r="U7113" s="3" t="s">
        <v>96</v>
      </c>
      <c r="V7113" s="3" t="s">
        <v>52</v>
      </c>
      <c r="W7113" s="3" t="s">
        <v>31717</v>
      </c>
      <c r="X7113" s="10" t="s">
        <v>31718</v>
      </c>
      <c r="Y7113" s="6" t="s">
        <v>108</v>
      </c>
      <c r="Z7113" s="4">
        <v>1.9</v>
      </c>
      <c r="AA7113" s="4" t="s">
        <v>36</v>
      </c>
      <c r="AB7113" s="3" t="s">
        <v>56</v>
      </c>
      <c r="AC7113" s="3" t="s">
        <v>31719</v>
      </c>
      <c r="AD7113" s="9">
        <v>42180</v>
      </c>
      <c r="AE7113" s="3" t="s">
        <v>143</v>
      </c>
      <c r="AF7113" s="3" t="s">
        <v>36</v>
      </c>
      <c r="AG7113" s="3" t="s">
        <v>1276</v>
      </c>
      <c r="AH7113" s="11">
        <f>HYPERLINK("https://my.pitchbook.com?c=89700-85T","View Company Online")</f>
      </c>
    </row>
    <row r="7114">
      <c r="A7114" s="12" t="s">
        <v>31720</v>
      </c>
      <c r="B7114" s="12" t="s">
        <v>21082</v>
      </c>
      <c r="C7114" s="19" t="s">
        <v>36</v>
      </c>
      <c r="D7114" s="19" t="s">
        <v>36</v>
      </c>
      <c r="E7114" s="19" t="s">
        <v>36</v>
      </c>
      <c r="F7114" s="19" t="s">
        <v>36</v>
      </c>
      <c r="G7114" s="15" t="s">
        <v>326</v>
      </c>
      <c r="H7114" s="14">
        <v>1190.02</v>
      </c>
      <c r="I7114" s="18">
        <v>21.44</v>
      </c>
      <c r="J7114" s="12" t="s">
        <v>521</v>
      </c>
      <c r="K7114" s="13" t="s">
        <v>36</v>
      </c>
      <c r="L7114" s="15" t="s">
        <v>36</v>
      </c>
      <c r="M7114" s="12" t="s">
        <v>36</v>
      </c>
      <c r="N7114" s="12" t="s">
        <v>36</v>
      </c>
      <c r="O7114" s="17" t="s">
        <v>36</v>
      </c>
      <c r="P7114" s="12" t="s">
        <v>36</v>
      </c>
      <c r="Q7114" s="12" t="s">
        <v>36</v>
      </c>
      <c r="R7114" s="12" t="s">
        <v>36</v>
      </c>
      <c r="S7114" s="12" t="s">
        <v>36</v>
      </c>
      <c r="T7114" s="12" t="s">
        <v>21083</v>
      </c>
      <c r="U7114" s="12" t="s">
        <v>38</v>
      </c>
      <c r="V7114" s="12" t="s">
        <v>39</v>
      </c>
      <c r="W7114" s="12" t="s">
        <v>21084</v>
      </c>
      <c r="X7114" s="16" t="s">
        <v>31721</v>
      </c>
      <c r="Y7114" s="15" t="s">
        <v>55</v>
      </c>
      <c r="Z7114" s="14">
        <v>2.23</v>
      </c>
      <c r="AA7114" s="14">
        <v>7.81</v>
      </c>
      <c r="AB7114" s="12" t="s">
        <v>56</v>
      </c>
      <c r="AC7114" s="12" t="s">
        <v>21086</v>
      </c>
      <c r="AD7114" s="13">
        <v>42180</v>
      </c>
      <c r="AE7114" s="12" t="s">
        <v>110</v>
      </c>
      <c r="AF7114" s="12" t="s">
        <v>21087</v>
      </c>
      <c r="AG7114" s="12" t="s">
        <v>392</v>
      </c>
      <c r="AH7114" s="1">
        <f>HYPERLINK("https://my.pitchbook.com?c=101715-76T","View Company Online")</f>
      </c>
    </row>
    <row r="7115">
      <c r="A7115" s="3" t="s">
        <v>31722</v>
      </c>
      <c r="B7115" s="3" t="s">
        <v>31723</v>
      </c>
      <c r="C7115" s="5" t="s">
        <v>36</v>
      </c>
      <c r="D7115" s="5" t="s">
        <v>36</v>
      </c>
      <c r="E7115" s="5" t="s">
        <v>36</v>
      </c>
      <c r="F7115" s="5" t="s">
        <v>36</v>
      </c>
      <c r="G7115" s="6" t="s">
        <v>326</v>
      </c>
      <c r="H7115" s="4">
        <v>12.42</v>
      </c>
      <c r="I7115" s="7">
        <v>33.49</v>
      </c>
      <c r="J7115" s="3" t="s">
        <v>521</v>
      </c>
      <c r="K7115" s="9">
        <v>42170</v>
      </c>
      <c r="L7115" s="6" t="s">
        <v>36</v>
      </c>
      <c r="M7115" s="3" t="s">
        <v>36</v>
      </c>
      <c r="N7115" s="3" t="s">
        <v>36</v>
      </c>
      <c r="O7115" s="8" t="s">
        <v>36</v>
      </c>
      <c r="P7115" s="3" t="s">
        <v>36</v>
      </c>
      <c r="Q7115" s="3" t="s">
        <v>36</v>
      </c>
      <c r="R7115" s="3" t="s">
        <v>36</v>
      </c>
      <c r="S7115" s="3" t="s">
        <v>36</v>
      </c>
      <c r="T7115" s="3" t="s">
        <v>1023</v>
      </c>
      <c r="U7115" s="3" t="s">
        <v>74</v>
      </c>
      <c r="V7115" s="3" t="s">
        <v>75</v>
      </c>
      <c r="W7115" s="3" t="s">
        <v>31724</v>
      </c>
      <c r="X7115" s="10" t="s">
        <v>31725</v>
      </c>
      <c r="Y7115" s="6" t="s">
        <v>55</v>
      </c>
      <c r="Z7115" s="4">
        <v>4.46</v>
      </c>
      <c r="AA7115" s="4">
        <v>13.33</v>
      </c>
      <c r="AB7115" s="3" t="s">
        <v>43</v>
      </c>
      <c r="AC7115" s="3" t="s">
        <v>31726</v>
      </c>
      <c r="AD7115" s="9">
        <v>42180</v>
      </c>
      <c r="AE7115" s="3" t="s">
        <v>79</v>
      </c>
      <c r="AF7115" s="3" t="s">
        <v>4552</v>
      </c>
      <c r="AG7115" s="3" t="s">
        <v>81</v>
      </c>
      <c r="AH7115" s="11">
        <f>HYPERLINK("https://my.pitchbook.com?c=52415-02T","View Company Online")</f>
      </c>
    </row>
    <row r="7116">
      <c r="A7116" s="12" t="s">
        <v>31727</v>
      </c>
      <c r="B7116" s="12" t="s">
        <v>27741</v>
      </c>
      <c r="C7116" s="19" t="s">
        <v>36</v>
      </c>
      <c r="D7116" s="19">
        <v>4</v>
      </c>
      <c r="E7116" s="19">
        <v>1</v>
      </c>
      <c r="F7116" s="19">
        <v>4</v>
      </c>
      <c r="G7116" s="15" t="s">
        <v>2497</v>
      </c>
      <c r="H7116" s="14">
        <v>65.43</v>
      </c>
      <c r="I7116" s="18">
        <v>27.59</v>
      </c>
      <c r="J7116" s="12" t="s">
        <v>521</v>
      </c>
      <c r="K7116" s="13" t="s">
        <v>36</v>
      </c>
      <c r="L7116" s="15" t="s">
        <v>36</v>
      </c>
      <c r="M7116" s="12" t="s">
        <v>36</v>
      </c>
      <c r="N7116" s="12" t="s">
        <v>36</v>
      </c>
      <c r="O7116" s="17" t="s">
        <v>36</v>
      </c>
      <c r="P7116" s="12" t="s">
        <v>36</v>
      </c>
      <c r="Q7116" s="12" t="s">
        <v>36</v>
      </c>
      <c r="R7116" s="12" t="s">
        <v>36</v>
      </c>
      <c r="S7116" s="12" t="s">
        <v>36</v>
      </c>
      <c r="T7116" s="12" t="s">
        <v>27742</v>
      </c>
      <c r="U7116" s="12" t="s">
        <v>96</v>
      </c>
      <c r="V7116" s="12" t="s">
        <v>52</v>
      </c>
      <c r="W7116" s="12" t="s">
        <v>27743</v>
      </c>
      <c r="X7116" s="16" t="s">
        <v>31728</v>
      </c>
      <c r="Y7116" s="15" t="s">
        <v>108</v>
      </c>
      <c r="Z7116" s="14">
        <v>0.33</v>
      </c>
      <c r="AA7116" s="14">
        <v>1.21</v>
      </c>
      <c r="AB7116" s="12" t="s">
        <v>43</v>
      </c>
      <c r="AC7116" s="12" t="s">
        <v>27745</v>
      </c>
      <c r="AD7116" s="13">
        <v>42179</v>
      </c>
      <c r="AE7116" s="12" t="s">
        <v>1414</v>
      </c>
      <c r="AF7116" s="12" t="s">
        <v>20763</v>
      </c>
      <c r="AG7116" s="12" t="s">
        <v>16742</v>
      </c>
      <c r="AH7116" s="1">
        <f>HYPERLINK("https://my.pitchbook.com?c=115810-93T","View Company Online")</f>
      </c>
    </row>
    <row r="7117">
      <c r="A7117" s="3" t="s">
        <v>31729</v>
      </c>
      <c r="B7117" s="3" t="s">
        <v>21258</v>
      </c>
      <c r="C7117" s="5" t="s">
        <v>36</v>
      </c>
      <c r="D7117" s="5" t="s">
        <v>36</v>
      </c>
      <c r="E7117" s="5" t="s">
        <v>36</v>
      </c>
      <c r="F7117" s="5" t="s">
        <v>36</v>
      </c>
      <c r="G7117" s="6" t="s">
        <v>36</v>
      </c>
      <c r="H7117" s="4">
        <v>4.93</v>
      </c>
      <c r="I7117" s="7">
        <v>31.14</v>
      </c>
      <c r="J7117" s="3" t="s">
        <v>521</v>
      </c>
      <c r="K7117" s="9">
        <v>42119</v>
      </c>
      <c r="L7117" s="6" t="s">
        <v>36</v>
      </c>
      <c r="M7117" s="3" t="s">
        <v>36</v>
      </c>
      <c r="N7117" s="3" t="s">
        <v>36</v>
      </c>
      <c r="O7117" s="8" t="s">
        <v>36</v>
      </c>
      <c r="P7117" s="3" t="s">
        <v>36</v>
      </c>
      <c r="Q7117" s="3" t="s">
        <v>36</v>
      </c>
      <c r="R7117" s="3" t="s">
        <v>36</v>
      </c>
      <c r="S7117" s="3" t="s">
        <v>36</v>
      </c>
      <c r="T7117" s="3" t="s">
        <v>8186</v>
      </c>
      <c r="U7117" s="3" t="s">
        <v>38</v>
      </c>
      <c r="V7117" s="3" t="s">
        <v>39</v>
      </c>
      <c r="W7117" s="3" t="s">
        <v>21259</v>
      </c>
      <c r="X7117" s="10" t="s">
        <v>30033</v>
      </c>
      <c r="Y7117" s="6" t="s">
        <v>42</v>
      </c>
      <c r="Z7117" s="4">
        <v>3.91</v>
      </c>
      <c r="AA7117" s="4">
        <v>9.76</v>
      </c>
      <c r="AB7117" s="3" t="s">
        <v>43</v>
      </c>
      <c r="AC7117" s="3" t="s">
        <v>21261</v>
      </c>
      <c r="AD7117" s="9">
        <v>42179</v>
      </c>
      <c r="AE7117" s="3" t="s">
        <v>1945</v>
      </c>
      <c r="AF7117" s="3" t="s">
        <v>1115</v>
      </c>
      <c r="AG7117" s="3" t="s">
        <v>81</v>
      </c>
      <c r="AH7117" s="11">
        <f>HYPERLINK("https://my.pitchbook.com?c=52306-93T","View Company Online")</f>
      </c>
    </row>
    <row r="7118">
      <c r="A7118" s="12" t="s">
        <v>31730</v>
      </c>
      <c r="B7118" s="12" t="s">
        <v>31731</v>
      </c>
      <c r="C7118" s="19" t="s">
        <v>36</v>
      </c>
      <c r="D7118" s="19" t="s">
        <v>36</v>
      </c>
      <c r="E7118" s="19" t="s">
        <v>36</v>
      </c>
      <c r="F7118" s="19" t="s">
        <v>36</v>
      </c>
      <c r="G7118" s="15" t="s">
        <v>36</v>
      </c>
      <c r="H7118" s="14">
        <v>1219.8</v>
      </c>
      <c r="I7118" s="18">
        <v>28.01</v>
      </c>
      <c r="J7118" s="12" t="s">
        <v>521</v>
      </c>
      <c r="K7118" s="13" t="s">
        <v>36</v>
      </c>
      <c r="L7118" s="15" t="s">
        <v>36</v>
      </c>
      <c r="M7118" s="12" t="s">
        <v>36</v>
      </c>
      <c r="N7118" s="12" t="s">
        <v>36</v>
      </c>
      <c r="O7118" s="17" t="s">
        <v>36</v>
      </c>
      <c r="P7118" s="12" t="s">
        <v>36</v>
      </c>
      <c r="Q7118" s="12" t="s">
        <v>36</v>
      </c>
      <c r="R7118" s="12" t="s">
        <v>36</v>
      </c>
      <c r="S7118" s="12" t="s">
        <v>36</v>
      </c>
      <c r="T7118" s="12" t="s">
        <v>31732</v>
      </c>
      <c r="U7118" s="12" t="s">
        <v>85</v>
      </c>
      <c r="V7118" s="12" t="s">
        <v>64</v>
      </c>
      <c r="W7118" s="12" t="s">
        <v>31733</v>
      </c>
      <c r="X7118" s="16" t="s">
        <v>27000</v>
      </c>
      <c r="Y7118" s="15" t="s">
        <v>42</v>
      </c>
      <c r="Z7118" s="14">
        <v>0.39</v>
      </c>
      <c r="AA7118" s="14">
        <v>1.4</v>
      </c>
      <c r="AB7118" s="12" t="s">
        <v>56</v>
      </c>
      <c r="AC7118" s="12" t="s">
        <v>31734</v>
      </c>
      <c r="AD7118" s="13">
        <v>42179</v>
      </c>
      <c r="AE7118" s="12" t="s">
        <v>89</v>
      </c>
      <c r="AF7118" s="12" t="s">
        <v>1507</v>
      </c>
      <c r="AG7118" s="12" t="s">
        <v>31735</v>
      </c>
      <c r="AH7118" s="1">
        <f>HYPERLINK("https://my.pitchbook.com?c=138862-18T","View Company Online")</f>
      </c>
    </row>
    <row r="7119">
      <c r="A7119" s="3" t="s">
        <v>31736</v>
      </c>
      <c r="B7119" s="3" t="s">
        <v>28992</v>
      </c>
      <c r="C7119" s="5">
        <v>2</v>
      </c>
      <c r="D7119" s="5">
        <v>4</v>
      </c>
      <c r="E7119" s="5">
        <v>2</v>
      </c>
      <c r="F7119" s="5">
        <v>8</v>
      </c>
      <c r="G7119" s="6" t="s">
        <v>36</v>
      </c>
      <c r="H7119" s="4">
        <v>65.12</v>
      </c>
      <c r="I7119" s="7">
        <v>39.09</v>
      </c>
      <c r="J7119" s="3" t="s">
        <v>521</v>
      </c>
      <c r="K7119" s="9" t="s">
        <v>36</v>
      </c>
      <c r="L7119" s="6" t="s">
        <v>36</v>
      </c>
      <c r="M7119" s="3" t="s">
        <v>36</v>
      </c>
      <c r="N7119" s="3" t="s">
        <v>36</v>
      </c>
      <c r="O7119" s="8" t="s">
        <v>36</v>
      </c>
      <c r="P7119" s="3" t="s">
        <v>36</v>
      </c>
      <c r="Q7119" s="3" t="s">
        <v>36</v>
      </c>
      <c r="R7119" s="3" t="s">
        <v>36</v>
      </c>
      <c r="S7119" s="3" t="s">
        <v>36</v>
      </c>
      <c r="T7119" s="3" t="s">
        <v>588</v>
      </c>
      <c r="U7119" s="3" t="s">
        <v>318</v>
      </c>
      <c r="V7119" s="3" t="s">
        <v>39</v>
      </c>
      <c r="W7119" s="3" t="s">
        <v>28993</v>
      </c>
      <c r="X7119" s="10" t="s">
        <v>28994</v>
      </c>
      <c r="Y7119" s="6" t="s">
        <v>42</v>
      </c>
      <c r="Z7119" s="4">
        <v>3.01</v>
      </c>
      <c r="AA7119" s="4">
        <v>7.7</v>
      </c>
      <c r="AB7119" s="3" t="s">
        <v>43</v>
      </c>
      <c r="AC7119" s="3" t="s">
        <v>28995</v>
      </c>
      <c r="AD7119" s="9">
        <v>42179</v>
      </c>
      <c r="AE7119" s="3" t="s">
        <v>417</v>
      </c>
      <c r="AF7119" s="3" t="s">
        <v>28996</v>
      </c>
      <c r="AG7119" s="3" t="s">
        <v>969</v>
      </c>
      <c r="AH7119" s="11">
        <f>HYPERLINK("https://my.pitchbook.com?c=52315-03T","View Company Online")</f>
      </c>
    </row>
    <row r="7120">
      <c r="A7120" s="12" t="s">
        <v>31737</v>
      </c>
      <c r="B7120" s="12" t="s">
        <v>30784</v>
      </c>
      <c r="C7120" s="19" t="s">
        <v>36</v>
      </c>
      <c r="D7120" s="19" t="s">
        <v>36</v>
      </c>
      <c r="E7120" s="19" t="s">
        <v>36</v>
      </c>
      <c r="F7120" s="19" t="s">
        <v>36</v>
      </c>
      <c r="G7120" s="15" t="s">
        <v>36</v>
      </c>
      <c r="H7120" s="14" t="s">
        <v>36</v>
      </c>
      <c r="I7120" s="18" t="s">
        <v>36</v>
      </c>
      <c r="J7120" s="12" t="s">
        <v>36</v>
      </c>
      <c r="K7120" s="13">
        <v>42011</v>
      </c>
      <c r="L7120" s="15" t="s">
        <v>36</v>
      </c>
      <c r="M7120" s="12" t="s">
        <v>36</v>
      </c>
      <c r="N7120" s="12" t="s">
        <v>36</v>
      </c>
      <c r="O7120" s="17" t="s">
        <v>36</v>
      </c>
      <c r="P7120" s="12" t="s">
        <v>36</v>
      </c>
      <c r="Q7120" s="12" t="s">
        <v>36</v>
      </c>
      <c r="R7120" s="12" t="s">
        <v>36</v>
      </c>
      <c r="S7120" s="12" t="s">
        <v>36</v>
      </c>
      <c r="T7120" s="12" t="s">
        <v>596</v>
      </c>
      <c r="U7120" s="12" t="s">
        <v>366</v>
      </c>
      <c r="V7120" s="12" t="s">
        <v>367</v>
      </c>
      <c r="W7120" s="12" t="s">
        <v>30785</v>
      </c>
      <c r="X7120" s="16" t="s">
        <v>31738</v>
      </c>
      <c r="Y7120" s="15" t="s">
        <v>321</v>
      </c>
      <c r="Z7120" s="14">
        <v>9.83</v>
      </c>
      <c r="AA7120" s="14" t="s">
        <v>36</v>
      </c>
      <c r="AB7120" s="12" t="s">
        <v>56</v>
      </c>
      <c r="AC7120" s="12" t="s">
        <v>30787</v>
      </c>
      <c r="AD7120" s="13">
        <v>42179</v>
      </c>
      <c r="AE7120" s="12" t="s">
        <v>600</v>
      </c>
      <c r="AF7120" s="12" t="s">
        <v>2019</v>
      </c>
      <c r="AG7120" s="12" t="s">
        <v>2246</v>
      </c>
      <c r="AH7120" s="1">
        <f>HYPERLINK("https://my.pitchbook.com?c=44211-07T","View Company Online")</f>
      </c>
    </row>
    <row r="7121">
      <c r="A7121" s="3" t="s">
        <v>31739</v>
      </c>
      <c r="B7121" s="3" t="s">
        <v>31740</v>
      </c>
      <c r="C7121" s="5">
        <v>39</v>
      </c>
      <c r="D7121" s="5">
        <v>144</v>
      </c>
      <c r="E7121" s="5">
        <v>51</v>
      </c>
      <c r="F7121" s="5">
        <v>241</v>
      </c>
      <c r="G7121" s="6" t="s">
        <v>326</v>
      </c>
      <c r="H7121" s="4">
        <v>6.34</v>
      </c>
      <c r="I7121" s="7">
        <v>3.48</v>
      </c>
      <c r="J7121" s="3" t="s">
        <v>521</v>
      </c>
      <c r="K7121" s="9" t="s">
        <v>36</v>
      </c>
      <c r="L7121" s="6" t="s">
        <v>36</v>
      </c>
      <c r="M7121" s="3" t="s">
        <v>36</v>
      </c>
      <c r="N7121" s="3" t="s">
        <v>36</v>
      </c>
      <c r="O7121" s="8" t="s">
        <v>36</v>
      </c>
      <c r="P7121" s="3" t="s">
        <v>36</v>
      </c>
      <c r="Q7121" s="3" t="s">
        <v>36</v>
      </c>
      <c r="R7121" s="3" t="s">
        <v>36</v>
      </c>
      <c r="S7121" s="3" t="s">
        <v>36</v>
      </c>
      <c r="T7121" s="3" t="s">
        <v>4876</v>
      </c>
      <c r="U7121" s="3" t="s">
        <v>1357</v>
      </c>
      <c r="V7121" s="3" t="s">
        <v>52</v>
      </c>
      <c r="W7121" s="3" t="s">
        <v>31741</v>
      </c>
      <c r="X7121" s="10" t="s">
        <v>31742</v>
      </c>
      <c r="Y7121" s="6" t="s">
        <v>166</v>
      </c>
      <c r="Z7121" s="4">
        <v>15.88</v>
      </c>
      <c r="AA7121" s="4">
        <v>456.87</v>
      </c>
      <c r="AB7121" s="3" t="s">
        <v>56</v>
      </c>
      <c r="AC7121" s="3" t="s">
        <v>31743</v>
      </c>
      <c r="AD7121" s="9">
        <v>42178</v>
      </c>
      <c r="AE7121" s="3" t="s">
        <v>2808</v>
      </c>
      <c r="AF7121" s="3" t="s">
        <v>665</v>
      </c>
      <c r="AG7121" s="3" t="s">
        <v>13998</v>
      </c>
      <c r="AH7121" s="11">
        <f>HYPERLINK("https://my.pitchbook.com?c=52326-46T","View Company Online")</f>
      </c>
    </row>
    <row r="7122">
      <c r="A7122" s="12" t="s">
        <v>31744</v>
      </c>
      <c r="B7122" s="12" t="s">
        <v>31745</v>
      </c>
      <c r="C7122" s="19">
        <v>9</v>
      </c>
      <c r="D7122" s="19">
        <v>9</v>
      </c>
      <c r="E7122" s="19">
        <v>13</v>
      </c>
      <c r="F7122" s="19">
        <v>22</v>
      </c>
      <c r="G7122" s="15" t="s">
        <v>36</v>
      </c>
      <c r="H7122" s="14">
        <v>88.28</v>
      </c>
      <c r="I7122" s="18">
        <v>61.39</v>
      </c>
      <c r="J7122" s="12" t="s">
        <v>521</v>
      </c>
      <c r="K7122" s="13" t="s">
        <v>36</v>
      </c>
      <c r="L7122" s="15" t="s">
        <v>36</v>
      </c>
      <c r="M7122" s="12" t="s">
        <v>36</v>
      </c>
      <c r="N7122" s="12" t="s">
        <v>36</v>
      </c>
      <c r="O7122" s="17" t="s">
        <v>36</v>
      </c>
      <c r="P7122" s="12" t="s">
        <v>36</v>
      </c>
      <c r="Q7122" s="12" t="s">
        <v>36</v>
      </c>
      <c r="R7122" s="12" t="s">
        <v>36</v>
      </c>
      <c r="S7122" s="12" t="s">
        <v>36</v>
      </c>
      <c r="T7122" s="12" t="s">
        <v>31746</v>
      </c>
      <c r="U7122" s="12" t="s">
        <v>219</v>
      </c>
      <c r="V7122" s="12" t="s">
        <v>75</v>
      </c>
      <c r="W7122" s="12" t="s">
        <v>31747</v>
      </c>
      <c r="X7122" s="16" t="s">
        <v>31748</v>
      </c>
      <c r="Y7122" s="15" t="s">
        <v>42</v>
      </c>
      <c r="Z7122" s="14">
        <v>6.31</v>
      </c>
      <c r="AA7122" s="14">
        <v>10.28</v>
      </c>
      <c r="AB7122" s="12" t="s">
        <v>43</v>
      </c>
      <c r="AC7122" s="12" t="s">
        <v>31749</v>
      </c>
      <c r="AD7122" s="13">
        <v>42178</v>
      </c>
      <c r="AE7122" s="12" t="s">
        <v>1912</v>
      </c>
      <c r="AF7122" s="12" t="s">
        <v>8789</v>
      </c>
      <c r="AG7122" s="12" t="s">
        <v>969</v>
      </c>
      <c r="AH7122" s="1">
        <f>HYPERLINK("https://my.pitchbook.com?c=54232-03T","View Company Online")</f>
      </c>
    </row>
    <row r="7123">
      <c r="A7123" s="3" t="s">
        <v>31750</v>
      </c>
      <c r="B7123" s="3" t="s">
        <v>27520</v>
      </c>
      <c r="C7123" s="5" t="s">
        <v>36</v>
      </c>
      <c r="D7123" s="5" t="s">
        <v>36</v>
      </c>
      <c r="E7123" s="5" t="s">
        <v>36</v>
      </c>
      <c r="F7123" s="5" t="s">
        <v>36</v>
      </c>
      <c r="G7123" s="6" t="s">
        <v>36</v>
      </c>
      <c r="H7123" s="4" t="s">
        <v>36</v>
      </c>
      <c r="I7123" s="7" t="s">
        <v>36</v>
      </c>
      <c r="J7123" s="3" t="s">
        <v>36</v>
      </c>
      <c r="K7123" s="9" t="s">
        <v>36</v>
      </c>
      <c r="L7123" s="6" t="s">
        <v>36</v>
      </c>
      <c r="M7123" s="3" t="s">
        <v>36</v>
      </c>
      <c r="N7123" s="3" t="s">
        <v>36</v>
      </c>
      <c r="O7123" s="8" t="s">
        <v>36</v>
      </c>
      <c r="P7123" s="3" t="s">
        <v>36</v>
      </c>
      <c r="Q7123" s="3" t="s">
        <v>36</v>
      </c>
      <c r="R7123" s="3" t="s">
        <v>36</v>
      </c>
      <c r="S7123" s="3" t="s">
        <v>36</v>
      </c>
      <c r="T7123" s="3" t="s">
        <v>15076</v>
      </c>
      <c r="U7123" s="3" t="s">
        <v>74</v>
      </c>
      <c r="V7123" s="3" t="s">
        <v>75</v>
      </c>
      <c r="W7123" s="3" t="s">
        <v>27521</v>
      </c>
      <c r="X7123" s="10" t="s">
        <v>31751</v>
      </c>
      <c r="Y7123" s="6" t="s">
        <v>42</v>
      </c>
      <c r="Z7123" s="4">
        <v>0.45</v>
      </c>
      <c r="AA7123" s="4" t="s">
        <v>36</v>
      </c>
      <c r="AB7123" s="3" t="s">
        <v>43</v>
      </c>
      <c r="AC7123" s="3" t="s">
        <v>27523</v>
      </c>
      <c r="AD7123" s="9">
        <v>42178</v>
      </c>
      <c r="AE7123" s="3" t="s">
        <v>79</v>
      </c>
      <c r="AF7123" s="3" t="s">
        <v>80</v>
      </c>
      <c r="AG7123" s="3" t="s">
        <v>81</v>
      </c>
      <c r="AH7123" s="11">
        <f>HYPERLINK("https://my.pitchbook.com?c=78803-74T","View Company Online")</f>
      </c>
    </row>
    <row r="7124">
      <c r="A7124" s="12" t="s">
        <v>31752</v>
      </c>
      <c r="B7124" s="12" t="s">
        <v>21810</v>
      </c>
      <c r="C7124" s="19" t="s">
        <v>36</v>
      </c>
      <c r="D7124" s="19">
        <v>2</v>
      </c>
      <c r="E7124" s="19">
        <v>2</v>
      </c>
      <c r="F7124" s="19">
        <v>7</v>
      </c>
      <c r="G7124" s="15" t="s">
        <v>326</v>
      </c>
      <c r="H7124" s="14">
        <v>0.24</v>
      </c>
      <c r="I7124" s="18">
        <v>9.06</v>
      </c>
      <c r="J7124" s="12" t="s">
        <v>521</v>
      </c>
      <c r="K7124" s="13" t="s">
        <v>36</v>
      </c>
      <c r="L7124" s="15" t="s">
        <v>36</v>
      </c>
      <c r="M7124" s="12" t="s">
        <v>36</v>
      </c>
      <c r="N7124" s="12" t="s">
        <v>36</v>
      </c>
      <c r="O7124" s="17" t="s">
        <v>36</v>
      </c>
      <c r="P7124" s="12" t="s">
        <v>36</v>
      </c>
      <c r="Q7124" s="12" t="s">
        <v>36</v>
      </c>
      <c r="R7124" s="12" t="s">
        <v>36</v>
      </c>
      <c r="S7124" s="12" t="s">
        <v>36</v>
      </c>
      <c r="T7124" s="12" t="s">
        <v>21811</v>
      </c>
      <c r="U7124" s="12" t="s">
        <v>1798</v>
      </c>
      <c r="V7124" s="12" t="s">
        <v>39</v>
      </c>
      <c r="W7124" s="12" t="s">
        <v>21812</v>
      </c>
      <c r="X7124" s="16" t="s">
        <v>31753</v>
      </c>
      <c r="Y7124" s="15" t="s">
        <v>192</v>
      </c>
      <c r="Z7124" s="14">
        <v>0.55</v>
      </c>
      <c r="AA7124" s="14">
        <v>6.04</v>
      </c>
      <c r="AB7124" s="12" t="s">
        <v>56</v>
      </c>
      <c r="AC7124" s="12" t="s">
        <v>21814</v>
      </c>
      <c r="AD7124" s="13">
        <v>42178</v>
      </c>
      <c r="AE7124" s="12" t="s">
        <v>4247</v>
      </c>
      <c r="AF7124" s="12" t="s">
        <v>4668</v>
      </c>
      <c r="AG7124" s="12" t="s">
        <v>21815</v>
      </c>
      <c r="AH7124" s="1">
        <f>HYPERLINK("https://my.pitchbook.com?c=129576-52T","View Company Online")</f>
      </c>
    </row>
    <row r="7125">
      <c r="A7125" s="3" t="s">
        <v>31754</v>
      </c>
      <c r="B7125" s="3" t="s">
        <v>31755</v>
      </c>
      <c r="C7125" s="5" t="s">
        <v>36</v>
      </c>
      <c r="D7125" s="5" t="s">
        <v>36</v>
      </c>
      <c r="E7125" s="5" t="s">
        <v>36</v>
      </c>
      <c r="F7125" s="5" t="s">
        <v>36</v>
      </c>
      <c r="G7125" s="6" t="s">
        <v>36</v>
      </c>
      <c r="H7125" s="4">
        <v>415.43</v>
      </c>
      <c r="I7125" s="7">
        <v>31.12</v>
      </c>
      <c r="J7125" s="3" t="s">
        <v>327</v>
      </c>
      <c r="K7125" s="9" t="s">
        <v>36</v>
      </c>
      <c r="L7125" s="6" t="s">
        <v>36</v>
      </c>
      <c r="M7125" s="3" t="s">
        <v>36</v>
      </c>
      <c r="N7125" s="3" t="s">
        <v>36</v>
      </c>
      <c r="O7125" s="8" t="s">
        <v>36</v>
      </c>
      <c r="P7125" s="3" t="s">
        <v>36</v>
      </c>
      <c r="Q7125" s="3" t="s">
        <v>36</v>
      </c>
      <c r="R7125" s="3" t="s">
        <v>36</v>
      </c>
      <c r="S7125" s="3" t="s">
        <v>36</v>
      </c>
      <c r="T7125" s="3" t="s">
        <v>638</v>
      </c>
      <c r="U7125" s="3" t="s">
        <v>63</v>
      </c>
      <c r="V7125" s="3" t="s">
        <v>64</v>
      </c>
      <c r="W7125" s="3" t="s">
        <v>31756</v>
      </c>
      <c r="X7125" s="10" t="s">
        <v>29117</v>
      </c>
      <c r="Y7125" s="6" t="s">
        <v>42</v>
      </c>
      <c r="Z7125" s="4">
        <v>1.96</v>
      </c>
      <c r="AA7125" s="4">
        <v>6.29</v>
      </c>
      <c r="AB7125" s="3" t="s">
        <v>43</v>
      </c>
      <c r="AC7125" s="3" t="s">
        <v>31757</v>
      </c>
      <c r="AD7125" s="9">
        <v>42177</v>
      </c>
      <c r="AE7125" s="3" t="s">
        <v>642</v>
      </c>
      <c r="AF7125" s="3" t="s">
        <v>36</v>
      </c>
      <c r="AG7125" s="3" t="s">
        <v>81</v>
      </c>
      <c r="AH7125" s="11">
        <f>HYPERLINK("https://my.pitchbook.com?c=71924-32T","View Company Online")</f>
      </c>
    </row>
    <row r="7126">
      <c r="A7126" s="12" t="s">
        <v>31758</v>
      </c>
      <c r="B7126" s="12" t="s">
        <v>31759</v>
      </c>
      <c r="C7126" s="19" t="s">
        <v>36</v>
      </c>
      <c r="D7126" s="19" t="s">
        <v>36</v>
      </c>
      <c r="E7126" s="19" t="s">
        <v>36</v>
      </c>
      <c r="F7126" s="19" t="s">
        <v>36</v>
      </c>
      <c r="G7126" s="15" t="s">
        <v>36</v>
      </c>
      <c r="H7126" s="14" t="s">
        <v>36</v>
      </c>
      <c r="I7126" s="18" t="s">
        <v>36</v>
      </c>
      <c r="J7126" s="12" t="s">
        <v>36</v>
      </c>
      <c r="K7126" s="13" t="s">
        <v>36</v>
      </c>
      <c r="L7126" s="15" t="s">
        <v>36</v>
      </c>
      <c r="M7126" s="12" t="s">
        <v>36</v>
      </c>
      <c r="N7126" s="12" t="s">
        <v>36</v>
      </c>
      <c r="O7126" s="17" t="s">
        <v>36</v>
      </c>
      <c r="P7126" s="12" t="s">
        <v>36</v>
      </c>
      <c r="Q7126" s="12" t="s">
        <v>36</v>
      </c>
      <c r="R7126" s="12" t="s">
        <v>36</v>
      </c>
      <c r="S7126" s="12" t="s">
        <v>36</v>
      </c>
      <c r="T7126" s="12" t="s">
        <v>13476</v>
      </c>
      <c r="U7126" s="12" t="s">
        <v>648</v>
      </c>
      <c r="V7126" s="12" t="s">
        <v>64</v>
      </c>
      <c r="W7126" s="12" t="s">
        <v>31760</v>
      </c>
      <c r="X7126" s="16" t="s">
        <v>31761</v>
      </c>
      <c r="Y7126" s="15" t="s">
        <v>42</v>
      </c>
      <c r="Z7126" s="14">
        <v>0.5</v>
      </c>
      <c r="AA7126" s="14" t="s">
        <v>36</v>
      </c>
      <c r="AB7126" s="12" t="s">
        <v>43</v>
      </c>
      <c r="AC7126" s="12" t="s">
        <v>31762</v>
      </c>
      <c r="AD7126" s="13">
        <v>42177</v>
      </c>
      <c r="AE7126" s="12" t="s">
        <v>651</v>
      </c>
      <c r="AF7126" s="12" t="s">
        <v>1077</v>
      </c>
      <c r="AG7126" s="12" t="s">
        <v>741</v>
      </c>
      <c r="AH7126" s="1">
        <f>HYPERLINK("https://my.pitchbook.com?c=87905-62T","View Company Online")</f>
      </c>
    </row>
    <row r="7127">
      <c r="A7127" s="3" t="s">
        <v>31763</v>
      </c>
      <c r="B7127" s="3" t="s">
        <v>24582</v>
      </c>
      <c r="C7127" s="5">
        <v>1</v>
      </c>
      <c r="D7127" s="5">
        <v>8</v>
      </c>
      <c r="E7127" s="5">
        <v>6</v>
      </c>
      <c r="F7127" s="5">
        <v>17</v>
      </c>
      <c r="G7127" s="6" t="s">
        <v>683</v>
      </c>
      <c r="H7127" s="4">
        <v>9.22</v>
      </c>
      <c r="I7127" s="7">
        <v>32.74</v>
      </c>
      <c r="J7127" s="3" t="s">
        <v>521</v>
      </c>
      <c r="K7127" s="9" t="s">
        <v>36</v>
      </c>
      <c r="L7127" s="6" t="s">
        <v>36</v>
      </c>
      <c r="M7127" s="3" t="s">
        <v>36</v>
      </c>
      <c r="N7127" s="3" t="s">
        <v>36</v>
      </c>
      <c r="O7127" s="8" t="s">
        <v>36</v>
      </c>
      <c r="P7127" s="3" t="s">
        <v>36</v>
      </c>
      <c r="Q7127" s="3" t="s">
        <v>36</v>
      </c>
      <c r="R7127" s="3" t="s">
        <v>36</v>
      </c>
      <c r="S7127" s="3" t="s">
        <v>36</v>
      </c>
      <c r="T7127" s="3" t="s">
        <v>24583</v>
      </c>
      <c r="U7127" s="3" t="s">
        <v>833</v>
      </c>
      <c r="V7127" s="3" t="s">
        <v>64</v>
      </c>
      <c r="W7127" s="3" t="s">
        <v>24584</v>
      </c>
      <c r="X7127" s="10" t="s">
        <v>25691</v>
      </c>
      <c r="Y7127" s="6" t="s">
        <v>55</v>
      </c>
      <c r="Z7127" s="4">
        <v>0.59</v>
      </c>
      <c r="AA7127" s="4">
        <v>1.79</v>
      </c>
      <c r="AB7127" s="3" t="s">
        <v>56</v>
      </c>
      <c r="AC7127" s="3" t="s">
        <v>24586</v>
      </c>
      <c r="AD7127" s="9">
        <v>42174</v>
      </c>
      <c r="AE7127" s="3" t="s">
        <v>1069</v>
      </c>
      <c r="AF7127" s="3" t="s">
        <v>1977</v>
      </c>
      <c r="AG7127" s="3" t="s">
        <v>787</v>
      </c>
      <c r="AH7127" s="11">
        <f>HYPERLINK("https://my.pitchbook.com?c=104955-22T","View Company Online")</f>
      </c>
    </row>
    <row r="7128">
      <c r="A7128" s="12" t="s">
        <v>31764</v>
      </c>
      <c r="B7128" s="12" t="s">
        <v>31765</v>
      </c>
      <c r="C7128" s="19" t="s">
        <v>36</v>
      </c>
      <c r="D7128" s="19" t="s">
        <v>36</v>
      </c>
      <c r="E7128" s="19" t="s">
        <v>36</v>
      </c>
      <c r="F7128" s="19" t="s">
        <v>36</v>
      </c>
      <c r="G7128" s="15" t="s">
        <v>326</v>
      </c>
      <c r="H7128" s="14">
        <v>863.88</v>
      </c>
      <c r="I7128" s="18">
        <v>40.34</v>
      </c>
      <c r="J7128" s="12" t="s">
        <v>521</v>
      </c>
      <c r="K7128" s="13" t="s">
        <v>36</v>
      </c>
      <c r="L7128" s="15" t="s">
        <v>36</v>
      </c>
      <c r="M7128" s="12" t="s">
        <v>36</v>
      </c>
      <c r="N7128" s="12" t="s">
        <v>36</v>
      </c>
      <c r="O7128" s="17" t="s">
        <v>36</v>
      </c>
      <c r="P7128" s="12" t="s">
        <v>36</v>
      </c>
      <c r="Q7128" s="12" t="s">
        <v>36</v>
      </c>
      <c r="R7128" s="12" t="s">
        <v>36</v>
      </c>
      <c r="S7128" s="12" t="s">
        <v>36</v>
      </c>
      <c r="T7128" s="12" t="s">
        <v>855</v>
      </c>
      <c r="U7128" s="12" t="s">
        <v>648</v>
      </c>
      <c r="V7128" s="12" t="s">
        <v>64</v>
      </c>
      <c r="W7128" s="12" t="s">
        <v>31766</v>
      </c>
      <c r="X7128" s="16" t="s">
        <v>31767</v>
      </c>
      <c r="Y7128" s="15" t="s">
        <v>55</v>
      </c>
      <c r="Z7128" s="14">
        <v>6.71</v>
      </c>
      <c r="AA7128" s="14">
        <v>15.3</v>
      </c>
      <c r="AB7128" s="12" t="s">
        <v>43</v>
      </c>
      <c r="AC7128" s="12" t="s">
        <v>31768</v>
      </c>
      <c r="AD7128" s="13">
        <v>42174</v>
      </c>
      <c r="AE7128" s="12" t="s">
        <v>651</v>
      </c>
      <c r="AF7128" s="12" t="s">
        <v>1077</v>
      </c>
      <c r="AG7128" s="12" t="s">
        <v>81</v>
      </c>
      <c r="AH7128" s="1">
        <f>HYPERLINK("https://my.pitchbook.com?c=52116-49T","View Company Online")</f>
      </c>
    </row>
    <row r="7129">
      <c r="A7129" s="3" t="s">
        <v>31769</v>
      </c>
      <c r="B7129" s="3" t="s">
        <v>1063</v>
      </c>
      <c r="C7129" s="5">
        <v>23</v>
      </c>
      <c r="D7129" s="5">
        <v>334</v>
      </c>
      <c r="E7129" s="5">
        <v>107</v>
      </c>
      <c r="F7129" s="5">
        <v>391</v>
      </c>
      <c r="G7129" s="6" t="s">
        <v>36</v>
      </c>
      <c r="H7129" s="4">
        <v>166.17</v>
      </c>
      <c r="I7129" s="7">
        <v>41.27</v>
      </c>
      <c r="J7129" s="3" t="s">
        <v>521</v>
      </c>
      <c r="K7129" s="9" t="s">
        <v>36</v>
      </c>
      <c r="L7129" s="6" t="s">
        <v>94</v>
      </c>
      <c r="M7129" s="3" t="s">
        <v>36</v>
      </c>
      <c r="N7129" s="3" t="s">
        <v>94</v>
      </c>
      <c r="O7129" s="8" t="s">
        <v>36</v>
      </c>
      <c r="P7129" s="3" t="s">
        <v>36</v>
      </c>
      <c r="Q7129" s="3" t="s">
        <v>36</v>
      </c>
      <c r="R7129" s="3" t="s">
        <v>36</v>
      </c>
      <c r="S7129" s="3" t="s">
        <v>36</v>
      </c>
      <c r="T7129" s="3" t="s">
        <v>1064</v>
      </c>
      <c r="U7129" s="3" t="s">
        <v>833</v>
      </c>
      <c r="V7129" s="3" t="s">
        <v>64</v>
      </c>
      <c r="W7129" s="3" t="s">
        <v>1065</v>
      </c>
      <c r="X7129" s="10" t="s">
        <v>31770</v>
      </c>
      <c r="Y7129" s="6" t="s">
        <v>108</v>
      </c>
      <c r="Z7129" s="4">
        <v>21.28</v>
      </c>
      <c r="AA7129" s="4">
        <v>51.56</v>
      </c>
      <c r="AB7129" s="3" t="s">
        <v>56</v>
      </c>
      <c r="AC7129" s="3" t="s">
        <v>1068</v>
      </c>
      <c r="AD7129" s="9">
        <v>42173</v>
      </c>
      <c r="AE7129" s="3" t="s">
        <v>1069</v>
      </c>
      <c r="AF7129" s="3" t="s">
        <v>1070</v>
      </c>
      <c r="AG7129" s="3" t="s">
        <v>81</v>
      </c>
      <c r="AH7129" s="11">
        <f>HYPERLINK("https://my.pitchbook.com?c=52024-78T","View Company Online")</f>
      </c>
    </row>
    <row r="7130">
      <c r="A7130" s="12" t="s">
        <v>31771</v>
      </c>
      <c r="B7130" s="12" t="s">
        <v>31772</v>
      </c>
      <c r="C7130" s="19" t="s">
        <v>36</v>
      </c>
      <c r="D7130" s="19" t="s">
        <v>36</v>
      </c>
      <c r="E7130" s="19" t="s">
        <v>36</v>
      </c>
      <c r="F7130" s="19" t="s">
        <v>36</v>
      </c>
      <c r="G7130" s="15" t="s">
        <v>36</v>
      </c>
      <c r="H7130" s="14" t="s">
        <v>36</v>
      </c>
      <c r="I7130" s="18" t="s">
        <v>36</v>
      </c>
      <c r="J7130" s="12" t="s">
        <v>36</v>
      </c>
      <c r="K7130" s="13">
        <v>42040</v>
      </c>
      <c r="L7130" s="15" t="s">
        <v>122</v>
      </c>
      <c r="M7130" s="12" t="s">
        <v>36</v>
      </c>
      <c r="N7130" s="12" t="s">
        <v>122</v>
      </c>
      <c r="O7130" s="17" t="s">
        <v>36</v>
      </c>
      <c r="P7130" s="12" t="s">
        <v>36</v>
      </c>
      <c r="Q7130" s="12" t="s">
        <v>36</v>
      </c>
      <c r="R7130" s="12" t="s">
        <v>36</v>
      </c>
      <c r="S7130" s="12" t="s">
        <v>36</v>
      </c>
      <c r="T7130" s="12" t="s">
        <v>37</v>
      </c>
      <c r="U7130" s="12" t="s">
        <v>38</v>
      </c>
      <c r="V7130" s="12" t="s">
        <v>39</v>
      </c>
      <c r="W7130" s="12" t="s">
        <v>31773</v>
      </c>
      <c r="X7130" s="16" t="s">
        <v>31774</v>
      </c>
      <c r="Y7130" s="15" t="s">
        <v>42</v>
      </c>
      <c r="Z7130" s="14" t="s">
        <v>36</v>
      </c>
      <c r="AA7130" s="14" t="s">
        <v>36</v>
      </c>
      <c r="AB7130" s="12" t="s">
        <v>43</v>
      </c>
      <c r="AC7130" s="12" t="s">
        <v>31775</v>
      </c>
      <c r="AD7130" s="13">
        <v>42173</v>
      </c>
      <c r="AE7130" s="12" t="s">
        <v>45</v>
      </c>
      <c r="AF7130" s="12" t="s">
        <v>7466</v>
      </c>
      <c r="AG7130" s="12" t="s">
        <v>31776</v>
      </c>
      <c r="AH7130" s="1">
        <f>HYPERLINK("https://my.pitchbook.com?c=60446-80T","View Company Online")</f>
      </c>
    </row>
    <row r="7131">
      <c r="A7131" s="3" t="s">
        <v>31777</v>
      </c>
      <c r="B7131" s="3" t="s">
        <v>29288</v>
      </c>
      <c r="C7131" s="5" t="s">
        <v>36</v>
      </c>
      <c r="D7131" s="5" t="s">
        <v>36</v>
      </c>
      <c r="E7131" s="5" t="s">
        <v>36</v>
      </c>
      <c r="F7131" s="5" t="s">
        <v>36</v>
      </c>
      <c r="G7131" s="6" t="s">
        <v>36</v>
      </c>
      <c r="H7131" s="4" t="s">
        <v>36</v>
      </c>
      <c r="I7131" s="7" t="s">
        <v>36</v>
      </c>
      <c r="J7131" s="3" t="s">
        <v>36</v>
      </c>
      <c r="K7131" s="9">
        <v>42167</v>
      </c>
      <c r="L7131" s="6" t="s">
        <v>36</v>
      </c>
      <c r="M7131" s="3" t="s">
        <v>36</v>
      </c>
      <c r="N7131" s="3" t="s">
        <v>36</v>
      </c>
      <c r="O7131" s="8" t="s">
        <v>36</v>
      </c>
      <c r="P7131" s="3" t="s">
        <v>36</v>
      </c>
      <c r="Q7131" s="3" t="s">
        <v>36</v>
      </c>
      <c r="R7131" s="3" t="s">
        <v>36</v>
      </c>
      <c r="S7131" s="3" t="s">
        <v>36</v>
      </c>
      <c r="T7131" s="3" t="s">
        <v>278</v>
      </c>
      <c r="U7131" s="3" t="s">
        <v>279</v>
      </c>
      <c r="V7131" s="3" t="s">
        <v>64</v>
      </c>
      <c r="W7131" s="3" t="s">
        <v>29289</v>
      </c>
      <c r="X7131" s="10" t="s">
        <v>31778</v>
      </c>
      <c r="Y7131" s="6" t="s">
        <v>42</v>
      </c>
      <c r="Z7131" s="4">
        <v>2.46</v>
      </c>
      <c r="AA7131" s="4" t="s">
        <v>36</v>
      </c>
      <c r="AB7131" s="3" t="s">
        <v>43</v>
      </c>
      <c r="AC7131" s="3" t="s">
        <v>29291</v>
      </c>
      <c r="AD7131" s="9">
        <v>42173</v>
      </c>
      <c r="AE7131" s="3" t="s">
        <v>283</v>
      </c>
      <c r="AF7131" s="3" t="s">
        <v>1077</v>
      </c>
      <c r="AG7131" s="3" t="s">
        <v>81</v>
      </c>
      <c r="AH7131" s="11">
        <f>HYPERLINK("https://my.pitchbook.com?c=52002-01T","View Company Online")</f>
      </c>
    </row>
    <row r="7132">
      <c r="A7132" s="12" t="s">
        <v>31779</v>
      </c>
      <c r="B7132" s="12" t="s">
        <v>11878</v>
      </c>
      <c r="C7132" s="19" t="s">
        <v>36</v>
      </c>
      <c r="D7132" s="19" t="s">
        <v>36</v>
      </c>
      <c r="E7132" s="19" t="s">
        <v>36</v>
      </c>
      <c r="F7132" s="19" t="s">
        <v>36</v>
      </c>
      <c r="G7132" s="15" t="s">
        <v>683</v>
      </c>
      <c r="H7132" s="14">
        <v>54.78</v>
      </c>
      <c r="I7132" s="18">
        <v>32.12</v>
      </c>
      <c r="J7132" s="12" t="s">
        <v>521</v>
      </c>
      <c r="K7132" s="13" t="s">
        <v>36</v>
      </c>
      <c r="L7132" s="15" t="s">
        <v>122</v>
      </c>
      <c r="M7132" s="12" t="s">
        <v>36</v>
      </c>
      <c r="N7132" s="12" t="s">
        <v>122</v>
      </c>
      <c r="O7132" s="17" t="s">
        <v>36</v>
      </c>
      <c r="P7132" s="12" t="s">
        <v>36</v>
      </c>
      <c r="Q7132" s="12" t="s">
        <v>36</v>
      </c>
      <c r="R7132" s="12" t="s">
        <v>36</v>
      </c>
      <c r="S7132" s="12" t="s">
        <v>36</v>
      </c>
      <c r="T7132" s="12" t="s">
        <v>11879</v>
      </c>
      <c r="U7132" s="12" t="s">
        <v>648</v>
      </c>
      <c r="V7132" s="12" t="s">
        <v>64</v>
      </c>
      <c r="W7132" s="12" t="s">
        <v>11880</v>
      </c>
      <c r="X7132" s="16" t="s">
        <v>31780</v>
      </c>
      <c r="Y7132" s="15" t="s">
        <v>108</v>
      </c>
      <c r="Z7132" s="14">
        <v>0.79</v>
      </c>
      <c r="AA7132" s="14">
        <v>2.47</v>
      </c>
      <c r="AB7132" s="12" t="s">
        <v>43</v>
      </c>
      <c r="AC7132" s="12" t="s">
        <v>11882</v>
      </c>
      <c r="AD7132" s="13">
        <v>42172</v>
      </c>
      <c r="AE7132" s="12" t="s">
        <v>651</v>
      </c>
      <c r="AF7132" s="12" t="s">
        <v>2118</v>
      </c>
      <c r="AG7132" s="12" t="s">
        <v>11883</v>
      </c>
      <c r="AH7132" s="1">
        <f>HYPERLINK("https://my.pitchbook.com?c=71022-88T","View Company Online")</f>
      </c>
    </row>
    <row r="7133">
      <c r="A7133" s="3" t="s">
        <v>31781</v>
      </c>
      <c r="B7133" s="3" t="s">
        <v>5116</v>
      </c>
      <c r="C7133" s="5" t="s">
        <v>36</v>
      </c>
      <c r="D7133" s="5">
        <v>19</v>
      </c>
      <c r="E7133" s="5">
        <v>3</v>
      </c>
      <c r="F7133" s="5">
        <v>21</v>
      </c>
      <c r="G7133" s="6" t="s">
        <v>326</v>
      </c>
      <c r="H7133" s="4">
        <v>81.42</v>
      </c>
      <c r="I7133" s="7">
        <v>34.43</v>
      </c>
      <c r="J7133" s="3" t="s">
        <v>521</v>
      </c>
      <c r="K7133" s="9" t="s">
        <v>36</v>
      </c>
      <c r="L7133" s="6" t="s">
        <v>1279</v>
      </c>
      <c r="M7133" s="3" t="s">
        <v>36</v>
      </c>
      <c r="N7133" s="3" t="s">
        <v>1279</v>
      </c>
      <c r="O7133" s="8" t="s">
        <v>36</v>
      </c>
      <c r="P7133" s="3" t="s">
        <v>36</v>
      </c>
      <c r="Q7133" s="3" t="s">
        <v>36</v>
      </c>
      <c r="R7133" s="3" t="s">
        <v>36</v>
      </c>
      <c r="S7133" s="3" t="s">
        <v>36</v>
      </c>
      <c r="T7133" s="3" t="s">
        <v>5117</v>
      </c>
      <c r="U7133" s="3" t="s">
        <v>1580</v>
      </c>
      <c r="V7133" s="3" t="s">
        <v>39</v>
      </c>
      <c r="W7133" s="3" t="s">
        <v>5118</v>
      </c>
      <c r="X7133" s="10" t="s">
        <v>31782</v>
      </c>
      <c r="Y7133" s="6" t="s">
        <v>55</v>
      </c>
      <c r="Z7133" s="4">
        <v>27.93</v>
      </c>
      <c r="AA7133" s="4">
        <v>65.24</v>
      </c>
      <c r="AB7133" s="3" t="s">
        <v>56</v>
      </c>
      <c r="AC7133" s="3" t="s">
        <v>5120</v>
      </c>
      <c r="AD7133" s="9">
        <v>42171</v>
      </c>
      <c r="AE7133" s="3" t="s">
        <v>4387</v>
      </c>
      <c r="AF7133" s="3" t="s">
        <v>4477</v>
      </c>
      <c r="AG7133" s="3" t="s">
        <v>81</v>
      </c>
      <c r="AH7133" s="11">
        <f>HYPERLINK("https://my.pitchbook.com?c=51861-16T","View Company Online")</f>
      </c>
    </row>
    <row r="7134">
      <c r="A7134" s="12" t="s">
        <v>31783</v>
      </c>
      <c r="B7134" s="12" t="s">
        <v>9219</v>
      </c>
      <c r="C7134" s="19" t="s">
        <v>36</v>
      </c>
      <c r="D7134" s="19" t="s">
        <v>36</v>
      </c>
      <c r="E7134" s="19" t="s">
        <v>36</v>
      </c>
      <c r="F7134" s="19" t="s">
        <v>36</v>
      </c>
      <c r="G7134" s="15" t="s">
        <v>36</v>
      </c>
      <c r="H7134" s="14" t="s">
        <v>36</v>
      </c>
      <c r="I7134" s="18" t="s">
        <v>36</v>
      </c>
      <c r="J7134" s="12" t="s">
        <v>36</v>
      </c>
      <c r="K7134" s="13">
        <v>41806</v>
      </c>
      <c r="L7134" s="15" t="s">
        <v>36</v>
      </c>
      <c r="M7134" s="12" t="s">
        <v>36</v>
      </c>
      <c r="N7134" s="12" t="s">
        <v>36</v>
      </c>
      <c r="O7134" s="17" t="s">
        <v>36</v>
      </c>
      <c r="P7134" s="12" t="s">
        <v>36</v>
      </c>
      <c r="Q7134" s="12" t="s">
        <v>36</v>
      </c>
      <c r="R7134" s="12" t="s">
        <v>36</v>
      </c>
      <c r="S7134" s="12" t="s">
        <v>36</v>
      </c>
      <c r="T7134" s="12" t="s">
        <v>5302</v>
      </c>
      <c r="U7134" s="12" t="s">
        <v>74</v>
      </c>
      <c r="V7134" s="12" t="s">
        <v>75</v>
      </c>
      <c r="W7134" s="12" t="s">
        <v>9220</v>
      </c>
      <c r="X7134" s="16" t="s">
        <v>31784</v>
      </c>
      <c r="Y7134" s="15" t="s">
        <v>55</v>
      </c>
      <c r="Z7134" s="14">
        <v>1.34</v>
      </c>
      <c r="AA7134" s="14" t="s">
        <v>36</v>
      </c>
      <c r="AB7134" s="12" t="s">
        <v>43</v>
      </c>
      <c r="AC7134" s="12" t="s">
        <v>9222</v>
      </c>
      <c r="AD7134" s="13">
        <v>42171</v>
      </c>
      <c r="AE7134" s="12" t="s">
        <v>362</v>
      </c>
      <c r="AF7134" s="12" t="s">
        <v>9223</v>
      </c>
      <c r="AG7134" s="12" t="s">
        <v>9224</v>
      </c>
      <c r="AH7134" s="1">
        <f>HYPERLINK("https://my.pitchbook.com?c=56495-53T","View Company Online")</f>
      </c>
    </row>
    <row r="7135">
      <c r="A7135" s="3" t="s">
        <v>31785</v>
      </c>
      <c r="B7135" s="3" t="s">
        <v>22014</v>
      </c>
      <c r="C7135" s="5" t="s">
        <v>36</v>
      </c>
      <c r="D7135" s="5" t="s">
        <v>36</v>
      </c>
      <c r="E7135" s="5" t="s">
        <v>36</v>
      </c>
      <c r="F7135" s="5" t="s">
        <v>36</v>
      </c>
      <c r="G7135" s="6" t="s">
        <v>36</v>
      </c>
      <c r="H7135" s="4">
        <v>46.38</v>
      </c>
      <c r="I7135" s="7">
        <v>22.37</v>
      </c>
      <c r="J7135" s="3" t="s">
        <v>521</v>
      </c>
      <c r="K7135" s="9" t="s">
        <v>36</v>
      </c>
      <c r="L7135" s="6" t="s">
        <v>94</v>
      </c>
      <c r="M7135" s="3" t="s">
        <v>36</v>
      </c>
      <c r="N7135" s="3" t="s">
        <v>94</v>
      </c>
      <c r="O7135" s="8" t="s">
        <v>36</v>
      </c>
      <c r="P7135" s="3" t="s">
        <v>36</v>
      </c>
      <c r="Q7135" s="3" t="s">
        <v>36</v>
      </c>
      <c r="R7135" s="3" t="s">
        <v>36</v>
      </c>
      <c r="S7135" s="3" t="s">
        <v>36</v>
      </c>
      <c r="T7135" s="3" t="s">
        <v>11886</v>
      </c>
      <c r="U7135" s="3" t="s">
        <v>648</v>
      </c>
      <c r="V7135" s="3" t="s">
        <v>64</v>
      </c>
      <c r="W7135" s="3" t="s">
        <v>22015</v>
      </c>
      <c r="X7135" s="10" t="s">
        <v>31786</v>
      </c>
      <c r="Y7135" s="6" t="s">
        <v>166</v>
      </c>
      <c r="Z7135" s="4">
        <v>8.94</v>
      </c>
      <c r="AA7135" s="4">
        <v>39.97</v>
      </c>
      <c r="AB7135" s="3" t="s">
        <v>56</v>
      </c>
      <c r="AC7135" s="3" t="s">
        <v>22017</v>
      </c>
      <c r="AD7135" s="9">
        <v>42171</v>
      </c>
      <c r="AE7135" s="3" t="s">
        <v>651</v>
      </c>
      <c r="AF7135" s="3" t="s">
        <v>36</v>
      </c>
      <c r="AG7135" s="3" t="s">
        <v>81</v>
      </c>
      <c r="AH7135" s="11">
        <f>HYPERLINK("https://my.pitchbook.com?c=51868-90T","View Company Online")</f>
      </c>
    </row>
    <row r="7136">
      <c r="A7136" s="12" t="s">
        <v>31787</v>
      </c>
      <c r="B7136" s="12" t="s">
        <v>1304</v>
      </c>
      <c r="C7136" s="19" t="s">
        <v>36</v>
      </c>
      <c r="D7136" s="19" t="s">
        <v>36</v>
      </c>
      <c r="E7136" s="19" t="s">
        <v>36</v>
      </c>
      <c r="F7136" s="19" t="s">
        <v>36</v>
      </c>
      <c r="G7136" s="15" t="s">
        <v>36</v>
      </c>
      <c r="H7136" s="14">
        <v>727</v>
      </c>
      <c r="I7136" s="18">
        <v>26.34</v>
      </c>
      <c r="J7136" s="12" t="s">
        <v>521</v>
      </c>
      <c r="K7136" s="13">
        <v>42159</v>
      </c>
      <c r="L7136" s="15" t="s">
        <v>36</v>
      </c>
      <c r="M7136" s="12" t="s">
        <v>36</v>
      </c>
      <c r="N7136" s="12" t="s">
        <v>36</v>
      </c>
      <c r="O7136" s="17" t="s">
        <v>36</v>
      </c>
      <c r="P7136" s="12" t="s">
        <v>36</v>
      </c>
      <c r="Q7136" s="12" t="s">
        <v>36</v>
      </c>
      <c r="R7136" s="12" t="s">
        <v>36</v>
      </c>
      <c r="S7136" s="12" t="s">
        <v>36</v>
      </c>
      <c r="T7136" s="12" t="s">
        <v>1305</v>
      </c>
      <c r="U7136" s="12" t="s">
        <v>38</v>
      </c>
      <c r="V7136" s="12" t="s">
        <v>39</v>
      </c>
      <c r="W7136" s="12" t="s">
        <v>1306</v>
      </c>
      <c r="X7136" s="16" t="s">
        <v>21733</v>
      </c>
      <c r="Y7136" s="15" t="s">
        <v>42</v>
      </c>
      <c r="Z7136" s="14">
        <v>1.12</v>
      </c>
      <c r="AA7136" s="14">
        <v>2.12</v>
      </c>
      <c r="AB7136" s="12" t="s">
        <v>56</v>
      </c>
      <c r="AC7136" s="12" t="s">
        <v>1308</v>
      </c>
      <c r="AD7136" s="13">
        <v>42171</v>
      </c>
      <c r="AE7136" s="12" t="s">
        <v>110</v>
      </c>
      <c r="AF7136" s="12" t="s">
        <v>526</v>
      </c>
      <c r="AG7136" s="12" t="s">
        <v>144</v>
      </c>
      <c r="AH7136" s="1">
        <f>HYPERLINK("https://my.pitchbook.com?c=51279-40T","View Company Online")</f>
      </c>
    </row>
    <row r="7137">
      <c r="A7137" s="3" t="s">
        <v>31788</v>
      </c>
      <c r="B7137" s="3" t="s">
        <v>10718</v>
      </c>
      <c r="C7137" s="5">
        <v>5</v>
      </c>
      <c r="D7137" s="5">
        <v>6</v>
      </c>
      <c r="E7137" s="5">
        <v>7</v>
      </c>
      <c r="F7137" s="5">
        <v>14</v>
      </c>
      <c r="G7137" s="6" t="s">
        <v>36</v>
      </c>
      <c r="H7137" s="4">
        <v>73.02</v>
      </c>
      <c r="I7137" s="7">
        <v>52.53</v>
      </c>
      <c r="J7137" s="3" t="s">
        <v>521</v>
      </c>
      <c r="K7137" s="9" t="s">
        <v>36</v>
      </c>
      <c r="L7137" s="6" t="s">
        <v>36</v>
      </c>
      <c r="M7137" s="3" t="s">
        <v>36</v>
      </c>
      <c r="N7137" s="3" t="s">
        <v>36</v>
      </c>
      <c r="O7137" s="8" t="s">
        <v>36</v>
      </c>
      <c r="P7137" s="3" t="s">
        <v>36</v>
      </c>
      <c r="Q7137" s="3" t="s">
        <v>36</v>
      </c>
      <c r="R7137" s="3" t="s">
        <v>36</v>
      </c>
      <c r="S7137" s="3" t="s">
        <v>36</v>
      </c>
      <c r="T7137" s="3" t="s">
        <v>818</v>
      </c>
      <c r="U7137" s="3" t="s">
        <v>74</v>
      </c>
      <c r="V7137" s="3" t="s">
        <v>75</v>
      </c>
      <c r="W7137" s="3" t="s">
        <v>10719</v>
      </c>
      <c r="X7137" s="10" t="s">
        <v>31789</v>
      </c>
      <c r="Y7137" s="6" t="s">
        <v>42</v>
      </c>
      <c r="Z7137" s="4">
        <v>0.93</v>
      </c>
      <c r="AA7137" s="4">
        <v>1.77</v>
      </c>
      <c r="AB7137" s="3" t="s">
        <v>43</v>
      </c>
      <c r="AC7137" s="3" t="s">
        <v>10721</v>
      </c>
      <c r="AD7137" s="9">
        <v>42171</v>
      </c>
      <c r="AE7137" s="3" t="s">
        <v>570</v>
      </c>
      <c r="AF7137" s="3" t="s">
        <v>10722</v>
      </c>
      <c r="AG7137" s="3" t="s">
        <v>81</v>
      </c>
      <c r="AH7137" s="11">
        <f>HYPERLINK("https://my.pitchbook.com?c=72030-34T","View Company Online")</f>
      </c>
    </row>
    <row r="7138">
      <c r="A7138" s="12" t="s">
        <v>31790</v>
      </c>
      <c r="B7138" s="12" t="s">
        <v>31791</v>
      </c>
      <c r="C7138" s="19" t="s">
        <v>36</v>
      </c>
      <c r="D7138" s="19" t="s">
        <v>36</v>
      </c>
      <c r="E7138" s="19" t="s">
        <v>36</v>
      </c>
      <c r="F7138" s="19" t="s">
        <v>36</v>
      </c>
      <c r="G7138" s="15" t="s">
        <v>326</v>
      </c>
      <c r="H7138" s="14">
        <v>1112.72</v>
      </c>
      <c r="I7138" s="18">
        <v>18.03</v>
      </c>
      <c r="J7138" s="12" t="s">
        <v>521</v>
      </c>
      <c r="K7138" s="13" t="s">
        <v>36</v>
      </c>
      <c r="L7138" s="15" t="s">
        <v>36</v>
      </c>
      <c r="M7138" s="12" t="s">
        <v>36</v>
      </c>
      <c r="N7138" s="12" t="s">
        <v>36</v>
      </c>
      <c r="O7138" s="17" t="s">
        <v>36</v>
      </c>
      <c r="P7138" s="12" t="s">
        <v>36</v>
      </c>
      <c r="Q7138" s="12" t="s">
        <v>36</v>
      </c>
      <c r="R7138" s="12" t="s">
        <v>36</v>
      </c>
      <c r="S7138" s="12" t="s">
        <v>36</v>
      </c>
      <c r="T7138" s="12" t="s">
        <v>4876</v>
      </c>
      <c r="U7138" s="12" t="s">
        <v>1357</v>
      </c>
      <c r="V7138" s="12" t="s">
        <v>52</v>
      </c>
      <c r="W7138" s="12" t="s">
        <v>31792</v>
      </c>
      <c r="X7138" s="16" t="s">
        <v>31793</v>
      </c>
      <c r="Y7138" s="15" t="s">
        <v>108</v>
      </c>
      <c r="Z7138" s="14">
        <v>4.18</v>
      </c>
      <c r="AA7138" s="14">
        <v>23.17</v>
      </c>
      <c r="AB7138" s="12" t="s">
        <v>56</v>
      </c>
      <c r="AC7138" s="12" t="s">
        <v>31794</v>
      </c>
      <c r="AD7138" s="13">
        <v>42170</v>
      </c>
      <c r="AE7138" s="12" t="s">
        <v>2808</v>
      </c>
      <c r="AF7138" s="12" t="s">
        <v>6285</v>
      </c>
      <c r="AG7138" s="12" t="s">
        <v>23999</v>
      </c>
      <c r="AH7138" s="1">
        <f>HYPERLINK("https://my.pitchbook.com?c=188074-36T","View Company Online")</f>
      </c>
    </row>
    <row r="7139">
      <c r="A7139" s="3" t="s">
        <v>31795</v>
      </c>
      <c r="B7139" s="3" t="s">
        <v>31796</v>
      </c>
      <c r="C7139" s="5" t="s">
        <v>36</v>
      </c>
      <c r="D7139" s="5" t="s">
        <v>36</v>
      </c>
      <c r="E7139" s="5" t="s">
        <v>36</v>
      </c>
      <c r="F7139" s="5" t="s">
        <v>36</v>
      </c>
      <c r="G7139" s="6" t="s">
        <v>36</v>
      </c>
      <c r="H7139" s="4" t="s">
        <v>36</v>
      </c>
      <c r="I7139" s="7" t="s">
        <v>36</v>
      </c>
      <c r="J7139" s="3" t="s">
        <v>36</v>
      </c>
      <c r="K7139" s="9" t="s">
        <v>36</v>
      </c>
      <c r="L7139" s="6" t="s">
        <v>36</v>
      </c>
      <c r="M7139" s="3" t="s">
        <v>36</v>
      </c>
      <c r="N7139" s="3" t="s">
        <v>36</v>
      </c>
      <c r="O7139" s="8" t="s">
        <v>36</v>
      </c>
      <c r="P7139" s="3" t="s">
        <v>36</v>
      </c>
      <c r="Q7139" s="3" t="s">
        <v>36</v>
      </c>
      <c r="R7139" s="3" t="s">
        <v>36</v>
      </c>
      <c r="S7139" s="3" t="s">
        <v>2489</v>
      </c>
      <c r="T7139" s="3" t="s">
        <v>31797</v>
      </c>
      <c r="U7139" s="3" t="s">
        <v>318</v>
      </c>
      <c r="V7139" s="3" t="s">
        <v>39</v>
      </c>
      <c r="W7139" s="3" t="s">
        <v>31798</v>
      </c>
      <c r="X7139" s="10" t="s">
        <v>31799</v>
      </c>
      <c r="Y7139" s="6" t="s">
        <v>55</v>
      </c>
      <c r="Z7139" s="4">
        <v>2.23</v>
      </c>
      <c r="AA7139" s="4" t="s">
        <v>36</v>
      </c>
      <c r="AB7139" s="3" t="s">
        <v>56</v>
      </c>
      <c r="AC7139" s="3" t="s">
        <v>31800</v>
      </c>
      <c r="AD7139" s="9">
        <v>42170</v>
      </c>
      <c r="AE7139" s="3" t="s">
        <v>763</v>
      </c>
      <c r="AF7139" s="3" t="s">
        <v>31801</v>
      </c>
      <c r="AG7139" s="3" t="s">
        <v>81</v>
      </c>
      <c r="AH7139" s="11">
        <f>HYPERLINK("https://my.pitchbook.com?c=105069-88T","View Company Online")</f>
      </c>
    </row>
    <row r="7140">
      <c r="A7140" s="12" t="s">
        <v>31802</v>
      </c>
      <c r="B7140" s="12" t="s">
        <v>31803</v>
      </c>
      <c r="C7140" s="19" t="s">
        <v>36</v>
      </c>
      <c r="D7140" s="19">
        <v>5</v>
      </c>
      <c r="E7140" s="19">
        <v>1</v>
      </c>
      <c r="F7140" s="19">
        <v>6</v>
      </c>
      <c r="G7140" s="15" t="s">
        <v>36</v>
      </c>
      <c r="H7140" s="14" t="s">
        <v>36</v>
      </c>
      <c r="I7140" s="18" t="s">
        <v>36</v>
      </c>
      <c r="J7140" s="12" t="s">
        <v>36</v>
      </c>
      <c r="K7140" s="13" t="s">
        <v>36</v>
      </c>
      <c r="L7140" s="15" t="s">
        <v>36</v>
      </c>
      <c r="M7140" s="12" t="s">
        <v>36</v>
      </c>
      <c r="N7140" s="12" t="s">
        <v>36</v>
      </c>
      <c r="O7140" s="17" t="s">
        <v>36</v>
      </c>
      <c r="P7140" s="12" t="s">
        <v>36</v>
      </c>
      <c r="Q7140" s="12" t="s">
        <v>36</v>
      </c>
      <c r="R7140" s="12" t="s">
        <v>36</v>
      </c>
      <c r="S7140" s="12" t="s">
        <v>36</v>
      </c>
      <c r="T7140" s="12" t="s">
        <v>596</v>
      </c>
      <c r="U7140" s="12" t="s">
        <v>366</v>
      </c>
      <c r="V7140" s="12" t="s">
        <v>367</v>
      </c>
      <c r="W7140" s="12" t="s">
        <v>31804</v>
      </c>
      <c r="X7140" s="16" t="s">
        <v>31805</v>
      </c>
      <c r="Y7140" s="15" t="s">
        <v>42</v>
      </c>
      <c r="Z7140" s="14">
        <v>2.01</v>
      </c>
      <c r="AA7140" s="14" t="s">
        <v>36</v>
      </c>
      <c r="AB7140" s="12" t="s">
        <v>43</v>
      </c>
      <c r="AC7140" s="12" t="s">
        <v>31806</v>
      </c>
      <c r="AD7140" s="13">
        <v>42167</v>
      </c>
      <c r="AE7140" s="12" t="s">
        <v>600</v>
      </c>
      <c r="AF7140" s="12" t="s">
        <v>31807</v>
      </c>
      <c r="AG7140" s="12" t="s">
        <v>31808</v>
      </c>
      <c r="AH7140" s="1">
        <f>HYPERLINK("https://my.pitchbook.com?c=76753-99T","View Company Online")</f>
      </c>
    </row>
    <row r="7141">
      <c r="A7141" s="3" t="s">
        <v>31809</v>
      </c>
      <c r="B7141" s="3" t="s">
        <v>31810</v>
      </c>
      <c r="C7141" s="5" t="s">
        <v>36</v>
      </c>
      <c r="D7141" s="5" t="s">
        <v>36</v>
      </c>
      <c r="E7141" s="5" t="s">
        <v>36</v>
      </c>
      <c r="F7141" s="5" t="s">
        <v>36</v>
      </c>
      <c r="G7141" s="6" t="s">
        <v>36</v>
      </c>
      <c r="H7141" s="4">
        <v>161.69</v>
      </c>
      <c r="I7141" s="7">
        <v>4.58</v>
      </c>
      <c r="J7141" s="3" t="s">
        <v>327</v>
      </c>
      <c r="K7141" s="9" t="s">
        <v>36</v>
      </c>
      <c r="L7141" s="6" t="s">
        <v>36</v>
      </c>
      <c r="M7141" s="3" t="s">
        <v>36</v>
      </c>
      <c r="N7141" s="3" t="s">
        <v>36</v>
      </c>
      <c r="O7141" s="8" t="s">
        <v>36</v>
      </c>
      <c r="P7141" s="3" t="s">
        <v>36</v>
      </c>
      <c r="Q7141" s="3" t="s">
        <v>36</v>
      </c>
      <c r="R7141" s="3" t="s">
        <v>36</v>
      </c>
      <c r="S7141" s="3" t="s">
        <v>36</v>
      </c>
      <c r="T7141" s="3" t="s">
        <v>1162</v>
      </c>
      <c r="U7141" s="3" t="s">
        <v>423</v>
      </c>
      <c r="V7141" s="3" t="s">
        <v>64</v>
      </c>
      <c r="W7141" s="3" t="s">
        <v>31811</v>
      </c>
      <c r="X7141" s="10" t="s">
        <v>1872</v>
      </c>
      <c r="Y7141" s="6" t="s">
        <v>42</v>
      </c>
      <c r="Z7141" s="4">
        <v>0.08</v>
      </c>
      <c r="AA7141" s="4">
        <v>1.82</v>
      </c>
      <c r="AB7141" s="3" t="s">
        <v>56</v>
      </c>
      <c r="AC7141" s="3" t="s">
        <v>31812</v>
      </c>
      <c r="AD7141" s="9">
        <v>42167</v>
      </c>
      <c r="AE7141" s="3" t="s">
        <v>562</v>
      </c>
      <c r="AF7141" s="3" t="s">
        <v>36</v>
      </c>
      <c r="AG7141" s="3" t="s">
        <v>31813</v>
      </c>
      <c r="AH7141" s="11">
        <f>HYPERLINK("https://my.pitchbook.com?c=102548-35T","View Company Online")</f>
      </c>
    </row>
    <row r="7142">
      <c r="A7142" s="12" t="s">
        <v>31814</v>
      </c>
      <c r="B7142" s="12" t="s">
        <v>1811</v>
      </c>
      <c r="C7142" s="19" t="s">
        <v>36</v>
      </c>
      <c r="D7142" s="19" t="s">
        <v>36</v>
      </c>
      <c r="E7142" s="19" t="s">
        <v>36</v>
      </c>
      <c r="F7142" s="19" t="s">
        <v>36</v>
      </c>
      <c r="G7142" s="15" t="s">
        <v>36</v>
      </c>
      <c r="H7142" s="14">
        <v>20.25</v>
      </c>
      <c r="I7142" s="18">
        <v>16.67</v>
      </c>
      <c r="J7142" s="12" t="s">
        <v>521</v>
      </c>
      <c r="K7142" s="13" t="s">
        <v>36</v>
      </c>
      <c r="L7142" s="15" t="s">
        <v>36</v>
      </c>
      <c r="M7142" s="12" t="s">
        <v>36</v>
      </c>
      <c r="N7142" s="12" t="s">
        <v>36</v>
      </c>
      <c r="O7142" s="17" t="s">
        <v>36</v>
      </c>
      <c r="P7142" s="12" t="s">
        <v>36</v>
      </c>
      <c r="Q7142" s="12" t="s">
        <v>36</v>
      </c>
      <c r="R7142" s="12" t="s">
        <v>36</v>
      </c>
      <c r="S7142" s="12" t="s">
        <v>36</v>
      </c>
      <c r="T7142" s="12" t="s">
        <v>1812</v>
      </c>
      <c r="U7142" s="12" t="s">
        <v>38</v>
      </c>
      <c r="V7142" s="12" t="s">
        <v>39</v>
      </c>
      <c r="W7142" s="12" t="s">
        <v>1813</v>
      </c>
      <c r="X7142" s="16" t="s">
        <v>31815</v>
      </c>
      <c r="Y7142" s="15" t="s">
        <v>42</v>
      </c>
      <c r="Z7142" s="14">
        <v>0.56</v>
      </c>
      <c r="AA7142" s="14">
        <v>3.35</v>
      </c>
      <c r="AB7142" s="12" t="s">
        <v>43</v>
      </c>
      <c r="AC7142" s="12" t="s">
        <v>1815</v>
      </c>
      <c r="AD7142" s="13">
        <v>42167</v>
      </c>
      <c r="AE7142" s="12" t="s">
        <v>110</v>
      </c>
      <c r="AF7142" s="12" t="s">
        <v>168</v>
      </c>
      <c r="AG7142" s="12" t="s">
        <v>1276</v>
      </c>
      <c r="AH7142" s="1">
        <f>HYPERLINK("https://my.pitchbook.com?c=194012-38T","View Company Online")</f>
      </c>
    </row>
    <row r="7143">
      <c r="A7143" s="3" t="s">
        <v>31816</v>
      </c>
      <c r="B7143" s="3" t="s">
        <v>26665</v>
      </c>
      <c r="C7143" s="5" t="s">
        <v>36</v>
      </c>
      <c r="D7143" s="5" t="s">
        <v>36</v>
      </c>
      <c r="E7143" s="5" t="s">
        <v>36</v>
      </c>
      <c r="F7143" s="5" t="s">
        <v>36</v>
      </c>
      <c r="G7143" s="6" t="s">
        <v>36</v>
      </c>
      <c r="H7143" s="4">
        <v>84.45</v>
      </c>
      <c r="I7143" s="7">
        <v>18.59</v>
      </c>
      <c r="J7143" s="3" t="s">
        <v>521</v>
      </c>
      <c r="K7143" s="9">
        <v>41803</v>
      </c>
      <c r="L7143" s="6" t="s">
        <v>94</v>
      </c>
      <c r="M7143" s="3" t="s">
        <v>36</v>
      </c>
      <c r="N7143" s="3" t="s">
        <v>94</v>
      </c>
      <c r="O7143" s="8" t="s">
        <v>36</v>
      </c>
      <c r="P7143" s="3" t="s">
        <v>36</v>
      </c>
      <c r="Q7143" s="3" t="s">
        <v>36</v>
      </c>
      <c r="R7143" s="3" t="s">
        <v>36</v>
      </c>
      <c r="S7143" s="3" t="s">
        <v>36</v>
      </c>
      <c r="T7143" s="3" t="s">
        <v>522</v>
      </c>
      <c r="U7143" s="3" t="s">
        <v>38</v>
      </c>
      <c r="V7143" s="3" t="s">
        <v>39</v>
      </c>
      <c r="W7143" s="3" t="s">
        <v>26666</v>
      </c>
      <c r="X7143" s="10" t="s">
        <v>31817</v>
      </c>
      <c r="Y7143" s="6" t="s">
        <v>42</v>
      </c>
      <c r="Z7143" s="4">
        <v>2.14</v>
      </c>
      <c r="AA7143" s="4">
        <v>11.51</v>
      </c>
      <c r="AB7143" s="3" t="s">
        <v>56</v>
      </c>
      <c r="AC7143" s="3" t="s">
        <v>26667</v>
      </c>
      <c r="AD7143" s="9">
        <v>42166</v>
      </c>
      <c r="AE7143" s="3" t="s">
        <v>110</v>
      </c>
      <c r="AF7143" s="3" t="s">
        <v>1842</v>
      </c>
      <c r="AG7143" s="3" t="s">
        <v>81</v>
      </c>
      <c r="AH7143" s="11">
        <f>HYPERLINK("https://my.pitchbook.com?c=44360-83T","View Company Online")</f>
      </c>
    </row>
    <row r="7144">
      <c r="A7144" s="12" t="s">
        <v>31818</v>
      </c>
      <c r="B7144" s="12" t="s">
        <v>21874</v>
      </c>
      <c r="C7144" s="19" t="s">
        <v>36</v>
      </c>
      <c r="D7144" s="19">
        <v>6</v>
      </c>
      <c r="E7144" s="19">
        <v>3</v>
      </c>
      <c r="F7144" s="19">
        <v>6</v>
      </c>
      <c r="G7144" s="15" t="s">
        <v>2497</v>
      </c>
      <c r="H7144" s="14">
        <v>139.25</v>
      </c>
      <c r="I7144" s="18">
        <v>31.8</v>
      </c>
      <c r="J7144" s="12" t="s">
        <v>521</v>
      </c>
      <c r="K7144" s="13" t="s">
        <v>36</v>
      </c>
      <c r="L7144" s="15" t="s">
        <v>36</v>
      </c>
      <c r="M7144" s="12" t="s">
        <v>36</v>
      </c>
      <c r="N7144" s="12" t="s">
        <v>36</v>
      </c>
      <c r="O7144" s="17" t="s">
        <v>36</v>
      </c>
      <c r="P7144" s="12" t="s">
        <v>36</v>
      </c>
      <c r="Q7144" s="12" t="s">
        <v>36</v>
      </c>
      <c r="R7144" s="12" t="s">
        <v>36</v>
      </c>
      <c r="S7144" s="12" t="s">
        <v>36</v>
      </c>
      <c r="T7144" s="12" t="s">
        <v>13940</v>
      </c>
      <c r="U7144" s="12" t="s">
        <v>318</v>
      </c>
      <c r="V7144" s="12" t="s">
        <v>39</v>
      </c>
      <c r="W7144" s="12" t="s">
        <v>21875</v>
      </c>
      <c r="X7144" s="16" t="s">
        <v>31819</v>
      </c>
      <c r="Y7144" s="15" t="s">
        <v>108</v>
      </c>
      <c r="Z7144" s="14">
        <v>1.9</v>
      </c>
      <c r="AA7144" s="14">
        <v>5.33</v>
      </c>
      <c r="AB7144" s="12" t="s">
        <v>43</v>
      </c>
      <c r="AC7144" s="12" t="s">
        <v>21877</v>
      </c>
      <c r="AD7144" s="13">
        <v>42166</v>
      </c>
      <c r="AE7144" s="12" t="s">
        <v>417</v>
      </c>
      <c r="AF7144" s="12" t="s">
        <v>21878</v>
      </c>
      <c r="AG7144" s="12" t="s">
        <v>4520</v>
      </c>
      <c r="AH7144" s="1">
        <f>HYPERLINK("https://my.pitchbook.com?c=59162-05T","View Company Online")</f>
      </c>
    </row>
    <row r="7145">
      <c r="A7145" s="3" t="s">
        <v>31820</v>
      </c>
      <c r="B7145" s="3" t="s">
        <v>31821</v>
      </c>
      <c r="C7145" s="5" t="s">
        <v>36</v>
      </c>
      <c r="D7145" s="5" t="s">
        <v>36</v>
      </c>
      <c r="E7145" s="5" t="s">
        <v>36</v>
      </c>
      <c r="F7145" s="5" t="s">
        <v>36</v>
      </c>
      <c r="G7145" s="6" t="s">
        <v>2497</v>
      </c>
      <c r="H7145" s="4">
        <v>72.46</v>
      </c>
      <c r="I7145" s="7">
        <v>42.68</v>
      </c>
      <c r="J7145" s="3" t="s">
        <v>521</v>
      </c>
      <c r="K7145" s="9" t="s">
        <v>36</v>
      </c>
      <c r="L7145" s="6" t="s">
        <v>36</v>
      </c>
      <c r="M7145" s="3" t="s">
        <v>36</v>
      </c>
      <c r="N7145" s="3" t="s">
        <v>36</v>
      </c>
      <c r="O7145" s="8" t="s">
        <v>36</v>
      </c>
      <c r="P7145" s="3" t="s">
        <v>36</v>
      </c>
      <c r="Q7145" s="3" t="s">
        <v>36</v>
      </c>
      <c r="R7145" s="3" t="s">
        <v>36</v>
      </c>
      <c r="S7145" s="3" t="s">
        <v>36</v>
      </c>
      <c r="T7145" s="3" t="s">
        <v>19234</v>
      </c>
      <c r="U7145" s="3" t="s">
        <v>289</v>
      </c>
      <c r="V7145" s="3" t="s">
        <v>64</v>
      </c>
      <c r="W7145" s="3" t="s">
        <v>31822</v>
      </c>
      <c r="X7145" s="10" t="s">
        <v>31823</v>
      </c>
      <c r="Y7145" s="6" t="s">
        <v>55</v>
      </c>
      <c r="Z7145" s="4">
        <v>5.58</v>
      </c>
      <c r="AA7145" s="4">
        <v>11.67</v>
      </c>
      <c r="AB7145" s="3" t="s">
        <v>56</v>
      </c>
      <c r="AC7145" s="3" t="s">
        <v>31824</v>
      </c>
      <c r="AD7145" s="9">
        <v>42166</v>
      </c>
      <c r="AE7145" s="3" t="s">
        <v>3134</v>
      </c>
      <c r="AF7145" s="3" t="s">
        <v>90</v>
      </c>
      <c r="AG7145" s="3" t="s">
        <v>81</v>
      </c>
      <c r="AH7145" s="11">
        <f>HYPERLINK("https://my.pitchbook.com?c=51641-83T","View Company Online")</f>
      </c>
    </row>
    <row r="7146">
      <c r="A7146" s="12" t="s">
        <v>31825</v>
      </c>
      <c r="B7146" s="12" t="s">
        <v>19862</v>
      </c>
      <c r="C7146" s="19" t="s">
        <v>36</v>
      </c>
      <c r="D7146" s="19" t="s">
        <v>36</v>
      </c>
      <c r="E7146" s="19" t="s">
        <v>36</v>
      </c>
      <c r="F7146" s="19" t="s">
        <v>36</v>
      </c>
      <c r="G7146" s="15" t="s">
        <v>36</v>
      </c>
      <c r="H7146" s="14">
        <v>156.82</v>
      </c>
      <c r="I7146" s="18">
        <v>22.8</v>
      </c>
      <c r="J7146" s="12" t="s">
        <v>521</v>
      </c>
      <c r="K7146" s="13" t="s">
        <v>36</v>
      </c>
      <c r="L7146" s="15" t="s">
        <v>36</v>
      </c>
      <c r="M7146" s="12" t="s">
        <v>36</v>
      </c>
      <c r="N7146" s="12" t="s">
        <v>36</v>
      </c>
      <c r="O7146" s="17" t="s">
        <v>36</v>
      </c>
      <c r="P7146" s="12" t="s">
        <v>36</v>
      </c>
      <c r="Q7146" s="12" t="s">
        <v>36</v>
      </c>
      <c r="R7146" s="12" t="s">
        <v>36</v>
      </c>
      <c r="S7146" s="12" t="s">
        <v>36</v>
      </c>
      <c r="T7146" s="12" t="s">
        <v>11829</v>
      </c>
      <c r="U7146" s="12" t="s">
        <v>38</v>
      </c>
      <c r="V7146" s="12" t="s">
        <v>39</v>
      </c>
      <c r="W7146" s="12" t="s">
        <v>19863</v>
      </c>
      <c r="X7146" s="16" t="s">
        <v>31826</v>
      </c>
      <c r="Y7146" s="15" t="s">
        <v>108</v>
      </c>
      <c r="Z7146" s="14">
        <v>2.68</v>
      </c>
      <c r="AA7146" s="14">
        <v>8.08</v>
      </c>
      <c r="AB7146" s="12" t="s">
        <v>56</v>
      </c>
      <c r="AC7146" s="12" t="s">
        <v>19865</v>
      </c>
      <c r="AD7146" s="13">
        <v>42166</v>
      </c>
      <c r="AE7146" s="12" t="s">
        <v>110</v>
      </c>
      <c r="AF7146" s="12" t="s">
        <v>19866</v>
      </c>
      <c r="AG7146" s="12" t="s">
        <v>741</v>
      </c>
      <c r="AH7146" s="1">
        <f>HYPERLINK("https://my.pitchbook.com?c=64922-50T","View Company Online")</f>
      </c>
    </row>
    <row r="7147">
      <c r="A7147" s="3" t="s">
        <v>31827</v>
      </c>
      <c r="B7147" s="3" t="s">
        <v>31828</v>
      </c>
      <c r="C7147" s="5" t="s">
        <v>36</v>
      </c>
      <c r="D7147" s="5" t="s">
        <v>36</v>
      </c>
      <c r="E7147" s="5" t="s">
        <v>36</v>
      </c>
      <c r="F7147" s="5" t="s">
        <v>36</v>
      </c>
      <c r="G7147" s="6" t="s">
        <v>36</v>
      </c>
      <c r="H7147" s="4" t="s">
        <v>36</v>
      </c>
      <c r="I7147" s="7" t="s">
        <v>36</v>
      </c>
      <c r="J7147" s="3" t="s">
        <v>36</v>
      </c>
      <c r="K7147" s="9" t="s">
        <v>36</v>
      </c>
      <c r="L7147" s="6" t="s">
        <v>36</v>
      </c>
      <c r="M7147" s="3" t="s">
        <v>36</v>
      </c>
      <c r="N7147" s="3" t="s">
        <v>36</v>
      </c>
      <c r="O7147" s="8" t="s">
        <v>36</v>
      </c>
      <c r="P7147" s="3" t="s">
        <v>36</v>
      </c>
      <c r="Q7147" s="3" t="s">
        <v>36</v>
      </c>
      <c r="R7147" s="3" t="s">
        <v>36</v>
      </c>
      <c r="S7147" s="3" t="s">
        <v>36</v>
      </c>
      <c r="T7147" s="3" t="s">
        <v>31829</v>
      </c>
      <c r="U7147" s="3" t="s">
        <v>74</v>
      </c>
      <c r="V7147" s="3" t="s">
        <v>75</v>
      </c>
      <c r="W7147" s="3" t="s">
        <v>31830</v>
      </c>
      <c r="X7147" s="10" t="s">
        <v>13138</v>
      </c>
      <c r="Y7147" s="6" t="s">
        <v>42</v>
      </c>
      <c r="Z7147" s="4">
        <v>0.61</v>
      </c>
      <c r="AA7147" s="4" t="s">
        <v>36</v>
      </c>
      <c r="AB7147" s="3" t="s">
        <v>43</v>
      </c>
      <c r="AC7147" s="3" t="s">
        <v>31831</v>
      </c>
      <c r="AD7147" s="9">
        <v>42166</v>
      </c>
      <c r="AE7147" s="3" t="s">
        <v>570</v>
      </c>
      <c r="AF7147" s="3" t="s">
        <v>4668</v>
      </c>
      <c r="AG7147" s="3" t="s">
        <v>373</v>
      </c>
      <c r="AH7147" s="11">
        <f>HYPERLINK("https://my.pitchbook.com?c=85099-06T","View Company Online")</f>
      </c>
    </row>
    <row r="7148">
      <c r="A7148" s="12" t="s">
        <v>31832</v>
      </c>
      <c r="B7148" s="12" t="s">
        <v>27859</v>
      </c>
      <c r="C7148" s="19" t="s">
        <v>36</v>
      </c>
      <c r="D7148" s="19" t="s">
        <v>36</v>
      </c>
      <c r="E7148" s="19" t="s">
        <v>36</v>
      </c>
      <c r="F7148" s="19" t="s">
        <v>36</v>
      </c>
      <c r="G7148" s="15" t="s">
        <v>36</v>
      </c>
      <c r="H7148" s="14">
        <v>784.79</v>
      </c>
      <c r="I7148" s="18">
        <v>17.48</v>
      </c>
      <c r="J7148" s="12" t="s">
        <v>521</v>
      </c>
      <c r="K7148" s="13" t="s">
        <v>36</v>
      </c>
      <c r="L7148" s="15" t="s">
        <v>36</v>
      </c>
      <c r="M7148" s="12" t="s">
        <v>36</v>
      </c>
      <c r="N7148" s="12" t="s">
        <v>36</v>
      </c>
      <c r="O7148" s="17" t="s">
        <v>36</v>
      </c>
      <c r="P7148" s="12" t="s">
        <v>36</v>
      </c>
      <c r="Q7148" s="12" t="s">
        <v>36</v>
      </c>
      <c r="R7148" s="12" t="s">
        <v>36</v>
      </c>
      <c r="S7148" s="12" t="s">
        <v>36</v>
      </c>
      <c r="T7148" s="12" t="s">
        <v>16553</v>
      </c>
      <c r="U7148" s="12" t="s">
        <v>38</v>
      </c>
      <c r="V7148" s="12" t="s">
        <v>39</v>
      </c>
      <c r="W7148" s="12" t="s">
        <v>27860</v>
      </c>
      <c r="X7148" s="16" t="s">
        <v>31833</v>
      </c>
      <c r="Y7148" s="15" t="s">
        <v>42</v>
      </c>
      <c r="Z7148" s="14">
        <v>0.89</v>
      </c>
      <c r="AA7148" s="14">
        <v>5.11</v>
      </c>
      <c r="AB7148" s="12" t="s">
        <v>43</v>
      </c>
      <c r="AC7148" s="12" t="s">
        <v>27862</v>
      </c>
      <c r="AD7148" s="13">
        <v>42166</v>
      </c>
      <c r="AE7148" s="12" t="s">
        <v>1945</v>
      </c>
      <c r="AF7148" s="12" t="s">
        <v>1636</v>
      </c>
      <c r="AG7148" s="12" t="s">
        <v>81</v>
      </c>
      <c r="AH7148" s="1">
        <f>HYPERLINK("https://my.pitchbook.com?c=190636-75T","View Company Online")</f>
      </c>
    </row>
    <row r="7149">
      <c r="A7149" s="3" t="s">
        <v>31834</v>
      </c>
      <c r="B7149" s="3" t="s">
        <v>31835</v>
      </c>
      <c r="C7149" s="5">
        <v>15</v>
      </c>
      <c r="D7149" s="5">
        <v>75</v>
      </c>
      <c r="E7149" s="5">
        <v>27</v>
      </c>
      <c r="F7149" s="5">
        <v>95</v>
      </c>
      <c r="G7149" s="6" t="s">
        <v>326</v>
      </c>
      <c r="H7149" s="4">
        <v>17.4</v>
      </c>
      <c r="I7149" s="7">
        <v>5.24</v>
      </c>
      <c r="J7149" s="3" t="s">
        <v>521</v>
      </c>
      <c r="K7149" s="9" t="s">
        <v>36</v>
      </c>
      <c r="L7149" s="6" t="s">
        <v>36</v>
      </c>
      <c r="M7149" s="3" t="s">
        <v>36</v>
      </c>
      <c r="N7149" s="3" t="s">
        <v>36</v>
      </c>
      <c r="O7149" s="8" t="s">
        <v>36</v>
      </c>
      <c r="P7149" s="3" t="s">
        <v>36</v>
      </c>
      <c r="Q7149" s="3" t="s">
        <v>36</v>
      </c>
      <c r="R7149" s="3" t="s">
        <v>36</v>
      </c>
      <c r="S7149" s="3" t="s">
        <v>36</v>
      </c>
      <c r="T7149" s="3" t="s">
        <v>31836</v>
      </c>
      <c r="U7149" s="3" t="s">
        <v>1580</v>
      </c>
      <c r="V7149" s="3" t="s">
        <v>39</v>
      </c>
      <c r="W7149" s="3" t="s">
        <v>31837</v>
      </c>
      <c r="X7149" s="10" t="s">
        <v>31838</v>
      </c>
      <c r="Y7149" s="6" t="s">
        <v>108</v>
      </c>
      <c r="Z7149" s="4">
        <v>1.23</v>
      </c>
      <c r="AA7149" s="4">
        <v>23.57</v>
      </c>
      <c r="AB7149" s="3" t="s">
        <v>43</v>
      </c>
      <c r="AC7149" s="3" t="s">
        <v>31839</v>
      </c>
      <c r="AD7149" s="9">
        <v>42165</v>
      </c>
      <c r="AE7149" s="3" t="s">
        <v>4387</v>
      </c>
      <c r="AF7149" s="3" t="s">
        <v>31840</v>
      </c>
      <c r="AG7149" s="3" t="s">
        <v>91</v>
      </c>
      <c r="AH7149" s="11">
        <f>HYPERLINK("https://my.pitchbook.com?c=112040-65T","View Company Online")</f>
      </c>
    </row>
    <row r="7150">
      <c r="A7150" s="12" t="s">
        <v>31841</v>
      </c>
      <c r="B7150" s="12" t="s">
        <v>26039</v>
      </c>
      <c r="C7150" s="19" t="s">
        <v>36</v>
      </c>
      <c r="D7150" s="19">
        <v>1</v>
      </c>
      <c r="E7150" s="19">
        <v>1</v>
      </c>
      <c r="F7150" s="19">
        <v>2</v>
      </c>
      <c r="G7150" s="15" t="s">
        <v>36</v>
      </c>
      <c r="H7150" s="14" t="s">
        <v>36</v>
      </c>
      <c r="I7150" s="18" t="s">
        <v>36</v>
      </c>
      <c r="J7150" s="12" t="s">
        <v>36</v>
      </c>
      <c r="K7150" s="13" t="s">
        <v>36</v>
      </c>
      <c r="L7150" s="15" t="s">
        <v>36</v>
      </c>
      <c r="M7150" s="12" t="s">
        <v>36</v>
      </c>
      <c r="N7150" s="12" t="s">
        <v>36</v>
      </c>
      <c r="O7150" s="17" t="s">
        <v>36</v>
      </c>
      <c r="P7150" s="12" t="s">
        <v>36</v>
      </c>
      <c r="Q7150" s="12" t="s">
        <v>36</v>
      </c>
      <c r="R7150" s="12" t="s">
        <v>36</v>
      </c>
      <c r="S7150" s="12" t="s">
        <v>36</v>
      </c>
      <c r="T7150" s="12" t="s">
        <v>1935</v>
      </c>
      <c r="U7150" s="12" t="s">
        <v>38</v>
      </c>
      <c r="V7150" s="12" t="s">
        <v>39</v>
      </c>
      <c r="W7150" s="12" t="s">
        <v>26040</v>
      </c>
      <c r="X7150" s="16" t="s">
        <v>31842</v>
      </c>
      <c r="Y7150" s="15" t="s">
        <v>42</v>
      </c>
      <c r="Z7150" s="14">
        <v>1.23</v>
      </c>
      <c r="AA7150" s="14" t="s">
        <v>36</v>
      </c>
      <c r="AB7150" s="12" t="s">
        <v>43</v>
      </c>
      <c r="AC7150" s="12" t="s">
        <v>26042</v>
      </c>
      <c r="AD7150" s="13">
        <v>42165</v>
      </c>
      <c r="AE7150" s="12" t="s">
        <v>45</v>
      </c>
      <c r="AF7150" s="12" t="s">
        <v>26043</v>
      </c>
      <c r="AG7150" s="12" t="s">
        <v>434</v>
      </c>
      <c r="AH7150" s="1">
        <f>HYPERLINK("https://my.pitchbook.com?c=53028-19T","View Company Online")</f>
      </c>
    </row>
    <row r="7151">
      <c r="A7151" s="3" t="s">
        <v>31843</v>
      </c>
      <c r="B7151" s="3" t="s">
        <v>28921</v>
      </c>
      <c r="C7151" s="5" t="s">
        <v>36</v>
      </c>
      <c r="D7151" s="5" t="s">
        <v>36</v>
      </c>
      <c r="E7151" s="5" t="s">
        <v>36</v>
      </c>
      <c r="F7151" s="5" t="s">
        <v>36</v>
      </c>
      <c r="G7151" s="6" t="s">
        <v>36</v>
      </c>
      <c r="H7151" s="4" t="s">
        <v>36</v>
      </c>
      <c r="I7151" s="7" t="s">
        <v>36</v>
      </c>
      <c r="J7151" s="3" t="s">
        <v>36</v>
      </c>
      <c r="K7151" s="9" t="s">
        <v>36</v>
      </c>
      <c r="L7151" s="6" t="s">
        <v>36</v>
      </c>
      <c r="M7151" s="3" t="s">
        <v>36</v>
      </c>
      <c r="N7151" s="3" t="s">
        <v>36</v>
      </c>
      <c r="O7151" s="8" t="s">
        <v>36</v>
      </c>
      <c r="P7151" s="3" t="s">
        <v>36</v>
      </c>
      <c r="Q7151" s="3" t="s">
        <v>36</v>
      </c>
      <c r="R7151" s="3" t="s">
        <v>36</v>
      </c>
      <c r="S7151" s="3" t="s">
        <v>36</v>
      </c>
      <c r="T7151" s="3" t="s">
        <v>28922</v>
      </c>
      <c r="U7151" s="3" t="s">
        <v>9881</v>
      </c>
      <c r="V7151" s="3" t="s">
        <v>75</v>
      </c>
      <c r="W7151" s="3" t="s">
        <v>28923</v>
      </c>
      <c r="X7151" s="10" t="s">
        <v>31844</v>
      </c>
      <c r="Y7151" s="6" t="s">
        <v>108</v>
      </c>
      <c r="Z7151" s="4">
        <v>0.31</v>
      </c>
      <c r="AA7151" s="4" t="s">
        <v>36</v>
      </c>
      <c r="AB7151" s="3" t="s">
        <v>43</v>
      </c>
      <c r="AC7151" s="3" t="s">
        <v>28925</v>
      </c>
      <c r="AD7151" s="9">
        <v>42165</v>
      </c>
      <c r="AE7151" s="3" t="s">
        <v>12049</v>
      </c>
      <c r="AF7151" s="3" t="s">
        <v>36</v>
      </c>
      <c r="AG7151" s="3" t="s">
        <v>28926</v>
      </c>
      <c r="AH7151" s="11">
        <f>HYPERLINK("https://my.pitchbook.com?c=52542-73T","View Company Online")</f>
      </c>
    </row>
    <row r="7152">
      <c r="A7152" s="12" t="s">
        <v>31845</v>
      </c>
      <c r="B7152" s="12" t="s">
        <v>24259</v>
      </c>
      <c r="C7152" s="19" t="s">
        <v>36</v>
      </c>
      <c r="D7152" s="19" t="s">
        <v>36</v>
      </c>
      <c r="E7152" s="19" t="s">
        <v>36</v>
      </c>
      <c r="F7152" s="19" t="s">
        <v>36</v>
      </c>
      <c r="G7152" s="15" t="s">
        <v>36</v>
      </c>
      <c r="H7152" s="14">
        <v>11.35</v>
      </c>
      <c r="I7152" s="18">
        <v>27.26</v>
      </c>
      <c r="J7152" s="12" t="s">
        <v>521</v>
      </c>
      <c r="K7152" s="13" t="s">
        <v>36</v>
      </c>
      <c r="L7152" s="15" t="s">
        <v>36</v>
      </c>
      <c r="M7152" s="12" t="s">
        <v>36</v>
      </c>
      <c r="N7152" s="12" t="s">
        <v>36</v>
      </c>
      <c r="O7152" s="17" t="s">
        <v>36</v>
      </c>
      <c r="P7152" s="12" t="s">
        <v>36</v>
      </c>
      <c r="Q7152" s="12" t="s">
        <v>36</v>
      </c>
      <c r="R7152" s="12" t="s">
        <v>36</v>
      </c>
      <c r="S7152" s="12" t="s">
        <v>36</v>
      </c>
      <c r="T7152" s="12" t="s">
        <v>422</v>
      </c>
      <c r="U7152" s="12" t="s">
        <v>423</v>
      </c>
      <c r="V7152" s="12" t="s">
        <v>64</v>
      </c>
      <c r="W7152" s="12" t="s">
        <v>24260</v>
      </c>
      <c r="X7152" s="16" t="s">
        <v>30030</v>
      </c>
      <c r="Y7152" s="15" t="s">
        <v>42</v>
      </c>
      <c r="Z7152" s="14">
        <v>0.84</v>
      </c>
      <c r="AA7152" s="14">
        <v>3.07</v>
      </c>
      <c r="AB7152" s="12" t="s">
        <v>56</v>
      </c>
      <c r="AC7152" s="12" t="s">
        <v>24262</v>
      </c>
      <c r="AD7152" s="13">
        <v>42164</v>
      </c>
      <c r="AE7152" s="12" t="s">
        <v>427</v>
      </c>
      <c r="AF7152" s="12" t="s">
        <v>1977</v>
      </c>
      <c r="AG7152" s="12" t="s">
        <v>24263</v>
      </c>
      <c r="AH7152" s="1">
        <f>HYPERLINK("https://my.pitchbook.com?c=103191-94T","View Company Online")</f>
      </c>
    </row>
    <row r="7153">
      <c r="A7153" s="3" t="s">
        <v>31846</v>
      </c>
      <c r="B7153" s="3" t="s">
        <v>31847</v>
      </c>
      <c r="C7153" s="5">
        <v>2</v>
      </c>
      <c r="D7153" s="5">
        <v>5</v>
      </c>
      <c r="E7153" s="5">
        <v>1</v>
      </c>
      <c r="F7153" s="5">
        <v>7</v>
      </c>
      <c r="G7153" s="6" t="s">
        <v>36</v>
      </c>
      <c r="H7153" s="4">
        <v>17.66</v>
      </c>
      <c r="I7153" s="7">
        <v>32.35</v>
      </c>
      <c r="J7153" s="3" t="s">
        <v>521</v>
      </c>
      <c r="K7153" s="9" t="s">
        <v>36</v>
      </c>
      <c r="L7153" s="6" t="s">
        <v>36</v>
      </c>
      <c r="M7153" s="3" t="s">
        <v>36</v>
      </c>
      <c r="N7153" s="3" t="s">
        <v>36</v>
      </c>
      <c r="O7153" s="8" t="s">
        <v>36</v>
      </c>
      <c r="P7153" s="3" t="s">
        <v>36</v>
      </c>
      <c r="Q7153" s="3" t="s">
        <v>36</v>
      </c>
      <c r="R7153" s="3" t="s">
        <v>36</v>
      </c>
      <c r="S7153" s="3" t="s">
        <v>36</v>
      </c>
      <c r="T7153" s="3" t="s">
        <v>189</v>
      </c>
      <c r="U7153" s="3" t="s">
        <v>180</v>
      </c>
      <c r="V7153" s="3" t="s">
        <v>52</v>
      </c>
      <c r="W7153" s="3" t="s">
        <v>31848</v>
      </c>
      <c r="X7153" s="10" t="s">
        <v>31849</v>
      </c>
      <c r="Y7153" s="6" t="s">
        <v>42</v>
      </c>
      <c r="Z7153" s="4">
        <v>0.27</v>
      </c>
      <c r="AA7153" s="4">
        <v>0.84</v>
      </c>
      <c r="AB7153" s="3" t="s">
        <v>43</v>
      </c>
      <c r="AC7153" s="3" t="s">
        <v>31850</v>
      </c>
      <c r="AD7153" s="9">
        <v>42164</v>
      </c>
      <c r="AE7153" s="3" t="s">
        <v>184</v>
      </c>
      <c r="AF7153" s="3" t="s">
        <v>31851</v>
      </c>
      <c r="AG7153" s="3" t="s">
        <v>31852</v>
      </c>
      <c r="AH7153" s="11">
        <f>HYPERLINK("https://my.pitchbook.com?c=192271-51T","View Company Online")</f>
      </c>
    </row>
    <row r="7154">
      <c r="A7154" s="12" t="s">
        <v>31853</v>
      </c>
      <c r="B7154" s="12" t="s">
        <v>31854</v>
      </c>
      <c r="C7154" s="19" t="s">
        <v>36</v>
      </c>
      <c r="D7154" s="19" t="s">
        <v>36</v>
      </c>
      <c r="E7154" s="19" t="s">
        <v>36</v>
      </c>
      <c r="F7154" s="19" t="s">
        <v>36</v>
      </c>
      <c r="G7154" s="15" t="s">
        <v>36</v>
      </c>
      <c r="H7154" s="14">
        <v>609.02</v>
      </c>
      <c r="I7154" s="18">
        <v>26.86</v>
      </c>
      <c r="J7154" s="12" t="s">
        <v>521</v>
      </c>
      <c r="K7154" s="13" t="s">
        <v>36</v>
      </c>
      <c r="L7154" s="15" t="s">
        <v>36</v>
      </c>
      <c r="M7154" s="12" t="s">
        <v>36</v>
      </c>
      <c r="N7154" s="12" t="s">
        <v>36</v>
      </c>
      <c r="O7154" s="17" t="s">
        <v>36</v>
      </c>
      <c r="P7154" s="12" t="s">
        <v>36</v>
      </c>
      <c r="Q7154" s="12" t="s">
        <v>36</v>
      </c>
      <c r="R7154" s="12" t="s">
        <v>36</v>
      </c>
      <c r="S7154" s="12" t="s">
        <v>36</v>
      </c>
      <c r="T7154" s="12" t="s">
        <v>2867</v>
      </c>
      <c r="U7154" s="12" t="s">
        <v>423</v>
      </c>
      <c r="V7154" s="12" t="s">
        <v>64</v>
      </c>
      <c r="W7154" s="12" t="s">
        <v>31855</v>
      </c>
      <c r="X7154" s="16" t="s">
        <v>23669</v>
      </c>
      <c r="Y7154" s="15" t="s">
        <v>42</v>
      </c>
      <c r="Z7154" s="14">
        <v>0.3</v>
      </c>
      <c r="AA7154" s="14">
        <v>1.12</v>
      </c>
      <c r="AB7154" s="12" t="s">
        <v>56</v>
      </c>
      <c r="AC7154" s="12" t="s">
        <v>31856</v>
      </c>
      <c r="AD7154" s="13">
        <v>42163</v>
      </c>
      <c r="AE7154" s="12" t="s">
        <v>2871</v>
      </c>
      <c r="AF7154" s="12" t="s">
        <v>90</v>
      </c>
      <c r="AG7154" s="12" t="s">
        <v>10708</v>
      </c>
      <c r="AH7154" s="1">
        <f>HYPERLINK("https://my.pitchbook.com?c=122958-01T","View Company Online")</f>
      </c>
    </row>
    <row r="7155">
      <c r="A7155" s="3" t="s">
        <v>31857</v>
      </c>
      <c r="B7155" s="3" t="s">
        <v>31858</v>
      </c>
      <c r="C7155" s="5" t="s">
        <v>36</v>
      </c>
      <c r="D7155" s="5">
        <v>2</v>
      </c>
      <c r="E7155" s="5">
        <v>3</v>
      </c>
      <c r="F7155" s="5">
        <v>4</v>
      </c>
      <c r="G7155" s="6" t="s">
        <v>36</v>
      </c>
      <c r="H7155" s="4">
        <v>50.05</v>
      </c>
      <c r="I7155" s="7">
        <v>20</v>
      </c>
      <c r="J7155" s="3" t="s">
        <v>521</v>
      </c>
      <c r="K7155" s="9">
        <v>42157</v>
      </c>
      <c r="L7155" s="6" t="s">
        <v>36</v>
      </c>
      <c r="M7155" s="3" t="s">
        <v>36</v>
      </c>
      <c r="N7155" s="3" t="s">
        <v>36</v>
      </c>
      <c r="O7155" s="8" t="s">
        <v>36</v>
      </c>
      <c r="P7155" s="3" t="s">
        <v>36</v>
      </c>
      <c r="Q7155" s="3" t="s">
        <v>36</v>
      </c>
      <c r="R7155" s="3" t="s">
        <v>36</v>
      </c>
      <c r="S7155" s="3" t="s">
        <v>36</v>
      </c>
      <c r="T7155" s="3" t="s">
        <v>20204</v>
      </c>
      <c r="U7155" s="3" t="s">
        <v>1580</v>
      </c>
      <c r="V7155" s="3" t="s">
        <v>39</v>
      </c>
      <c r="W7155" s="3" t="s">
        <v>31859</v>
      </c>
      <c r="X7155" s="10" t="s">
        <v>31860</v>
      </c>
      <c r="Y7155" s="6" t="s">
        <v>55</v>
      </c>
      <c r="Z7155" s="4">
        <v>11.17</v>
      </c>
      <c r="AA7155" s="4">
        <v>27.91</v>
      </c>
      <c r="AB7155" s="3" t="s">
        <v>56</v>
      </c>
      <c r="AC7155" s="3" t="s">
        <v>31861</v>
      </c>
      <c r="AD7155" s="9">
        <v>42163</v>
      </c>
      <c r="AE7155" s="3" t="s">
        <v>4086</v>
      </c>
      <c r="AF7155" s="3" t="s">
        <v>31862</v>
      </c>
      <c r="AG7155" s="3" t="s">
        <v>31863</v>
      </c>
      <c r="AH7155" s="11">
        <f>HYPERLINK("https://my.pitchbook.com?c=51585-40T","View Company Online")</f>
      </c>
    </row>
    <row r="7156">
      <c r="A7156" s="12" t="s">
        <v>31864</v>
      </c>
      <c r="B7156" s="12" t="s">
        <v>24734</v>
      </c>
      <c r="C7156" s="19">
        <v>4</v>
      </c>
      <c r="D7156" s="19">
        <v>27</v>
      </c>
      <c r="E7156" s="19">
        <v>9</v>
      </c>
      <c r="F7156" s="19">
        <v>41</v>
      </c>
      <c r="G7156" s="15" t="s">
        <v>326</v>
      </c>
      <c r="H7156" s="14">
        <v>32.62</v>
      </c>
      <c r="I7156" s="18">
        <v>18.06</v>
      </c>
      <c r="J7156" s="12" t="s">
        <v>521</v>
      </c>
      <c r="K7156" s="13" t="s">
        <v>36</v>
      </c>
      <c r="L7156" s="15" t="s">
        <v>36</v>
      </c>
      <c r="M7156" s="12" t="s">
        <v>36</v>
      </c>
      <c r="N7156" s="12" t="s">
        <v>36</v>
      </c>
      <c r="O7156" s="17" t="s">
        <v>36</v>
      </c>
      <c r="P7156" s="12" t="s">
        <v>36</v>
      </c>
      <c r="Q7156" s="12" t="s">
        <v>36</v>
      </c>
      <c r="R7156" s="12" t="s">
        <v>36</v>
      </c>
      <c r="S7156" s="12" t="s">
        <v>36</v>
      </c>
      <c r="T7156" s="12" t="s">
        <v>24735</v>
      </c>
      <c r="U7156" s="12" t="s">
        <v>219</v>
      </c>
      <c r="V7156" s="12" t="s">
        <v>75</v>
      </c>
      <c r="W7156" s="12" t="s">
        <v>24736</v>
      </c>
      <c r="X7156" s="16" t="s">
        <v>31865</v>
      </c>
      <c r="Y7156" s="15" t="s">
        <v>108</v>
      </c>
      <c r="Z7156" s="14">
        <v>4.47</v>
      </c>
      <c r="AA7156" s="14">
        <v>19.78</v>
      </c>
      <c r="AB7156" s="12" t="s">
        <v>43</v>
      </c>
      <c r="AC7156" s="12" t="s">
        <v>24738</v>
      </c>
      <c r="AD7156" s="13">
        <v>42163</v>
      </c>
      <c r="AE7156" s="12" t="s">
        <v>1912</v>
      </c>
      <c r="AF7156" s="12" t="s">
        <v>1636</v>
      </c>
      <c r="AG7156" s="12" t="s">
        <v>652</v>
      </c>
      <c r="AH7156" s="1">
        <f>HYPERLINK("https://my.pitchbook.com?c=51983-47T","View Company Online")</f>
      </c>
    </row>
    <row r="7157">
      <c r="A7157" s="3" t="s">
        <v>31866</v>
      </c>
      <c r="B7157" s="3" t="s">
        <v>24498</v>
      </c>
      <c r="C7157" s="5" t="s">
        <v>36</v>
      </c>
      <c r="D7157" s="5" t="s">
        <v>36</v>
      </c>
      <c r="E7157" s="5" t="s">
        <v>36</v>
      </c>
      <c r="F7157" s="5" t="s">
        <v>36</v>
      </c>
      <c r="G7157" s="6" t="s">
        <v>36</v>
      </c>
      <c r="H7157" s="4">
        <v>152.05</v>
      </c>
      <c r="I7157" s="7">
        <v>35.7</v>
      </c>
      <c r="J7157" s="3" t="s">
        <v>521</v>
      </c>
      <c r="K7157" s="9" t="s">
        <v>36</v>
      </c>
      <c r="L7157" s="6" t="s">
        <v>122</v>
      </c>
      <c r="M7157" s="3" t="s">
        <v>36</v>
      </c>
      <c r="N7157" s="3" t="s">
        <v>122</v>
      </c>
      <c r="O7157" s="8" t="s">
        <v>36</v>
      </c>
      <c r="P7157" s="3" t="s">
        <v>36</v>
      </c>
      <c r="Q7157" s="3" t="s">
        <v>36</v>
      </c>
      <c r="R7157" s="3" t="s">
        <v>36</v>
      </c>
      <c r="S7157" s="3" t="s">
        <v>36</v>
      </c>
      <c r="T7157" s="3" t="s">
        <v>7415</v>
      </c>
      <c r="U7157" s="3" t="s">
        <v>38</v>
      </c>
      <c r="V7157" s="3" t="s">
        <v>39</v>
      </c>
      <c r="W7157" s="3" t="s">
        <v>24499</v>
      </c>
      <c r="X7157" s="10" t="s">
        <v>31867</v>
      </c>
      <c r="Y7157" s="6" t="s">
        <v>42</v>
      </c>
      <c r="Z7157" s="4">
        <v>1.11</v>
      </c>
      <c r="AA7157" s="4">
        <v>2.71</v>
      </c>
      <c r="AB7157" s="3" t="s">
        <v>56</v>
      </c>
      <c r="AC7157" s="3" t="s">
        <v>24501</v>
      </c>
      <c r="AD7157" s="9">
        <v>42160</v>
      </c>
      <c r="AE7157" s="3" t="s">
        <v>1422</v>
      </c>
      <c r="AF7157" s="3" t="s">
        <v>4842</v>
      </c>
      <c r="AG7157" s="3" t="s">
        <v>81</v>
      </c>
      <c r="AH7157" s="11">
        <f>HYPERLINK("https://my.pitchbook.com?c=54156-70T","View Company Online")</f>
      </c>
    </row>
    <row r="7158">
      <c r="A7158" s="12" t="s">
        <v>31868</v>
      </c>
      <c r="B7158" s="12" t="s">
        <v>2918</v>
      </c>
      <c r="C7158" s="19" t="s">
        <v>36</v>
      </c>
      <c r="D7158" s="19" t="s">
        <v>36</v>
      </c>
      <c r="E7158" s="19" t="s">
        <v>36</v>
      </c>
      <c r="F7158" s="19" t="s">
        <v>36</v>
      </c>
      <c r="G7158" s="15" t="s">
        <v>683</v>
      </c>
      <c r="H7158" s="14">
        <v>10.39</v>
      </c>
      <c r="I7158" s="18">
        <v>5.55</v>
      </c>
      <c r="J7158" s="12" t="s">
        <v>521</v>
      </c>
      <c r="K7158" s="13" t="s">
        <v>36</v>
      </c>
      <c r="L7158" s="15" t="s">
        <v>36</v>
      </c>
      <c r="M7158" s="12" t="s">
        <v>36</v>
      </c>
      <c r="N7158" s="12" t="s">
        <v>36</v>
      </c>
      <c r="O7158" s="17" t="s">
        <v>36</v>
      </c>
      <c r="P7158" s="12" t="s">
        <v>36</v>
      </c>
      <c r="Q7158" s="12" t="s">
        <v>36</v>
      </c>
      <c r="R7158" s="12" t="s">
        <v>36</v>
      </c>
      <c r="S7158" s="12" t="s">
        <v>36</v>
      </c>
      <c r="T7158" s="12" t="s">
        <v>2919</v>
      </c>
      <c r="U7158" s="12" t="s">
        <v>728</v>
      </c>
      <c r="V7158" s="12" t="s">
        <v>64</v>
      </c>
      <c r="W7158" s="12" t="s">
        <v>2920</v>
      </c>
      <c r="X7158" s="16" t="s">
        <v>2130</v>
      </c>
      <c r="Y7158" s="15" t="s">
        <v>55</v>
      </c>
      <c r="Z7158" s="14">
        <v>1.9</v>
      </c>
      <c r="AA7158" s="14">
        <v>34.21</v>
      </c>
      <c r="AB7158" s="12" t="s">
        <v>56</v>
      </c>
      <c r="AC7158" s="12" t="s">
        <v>2922</v>
      </c>
      <c r="AD7158" s="13">
        <v>42160</v>
      </c>
      <c r="AE7158" s="12" t="s">
        <v>2154</v>
      </c>
      <c r="AF7158" s="12" t="s">
        <v>90</v>
      </c>
      <c r="AG7158" s="12" t="s">
        <v>81</v>
      </c>
      <c r="AH7158" s="1">
        <f>HYPERLINK("https://my.pitchbook.com?c=188279-11T","View Company Online")</f>
      </c>
    </row>
    <row r="7159">
      <c r="A7159" s="3" t="s">
        <v>31869</v>
      </c>
      <c r="B7159" s="3" t="s">
        <v>31870</v>
      </c>
      <c r="C7159" s="5" t="s">
        <v>36</v>
      </c>
      <c r="D7159" s="5" t="s">
        <v>36</v>
      </c>
      <c r="E7159" s="5" t="s">
        <v>36</v>
      </c>
      <c r="F7159" s="5" t="s">
        <v>36</v>
      </c>
      <c r="G7159" s="6" t="s">
        <v>36</v>
      </c>
      <c r="H7159" s="4" t="s">
        <v>36</v>
      </c>
      <c r="I7159" s="7" t="s">
        <v>36</v>
      </c>
      <c r="J7159" s="3" t="s">
        <v>36</v>
      </c>
      <c r="K7159" s="9" t="s">
        <v>36</v>
      </c>
      <c r="L7159" s="6" t="s">
        <v>36</v>
      </c>
      <c r="M7159" s="3" t="s">
        <v>36</v>
      </c>
      <c r="N7159" s="3" t="s">
        <v>36</v>
      </c>
      <c r="O7159" s="8" t="s">
        <v>36</v>
      </c>
      <c r="P7159" s="3" t="s">
        <v>36</v>
      </c>
      <c r="Q7159" s="3" t="s">
        <v>36</v>
      </c>
      <c r="R7159" s="3" t="s">
        <v>36</v>
      </c>
      <c r="S7159" s="3" t="s">
        <v>36</v>
      </c>
      <c r="T7159" s="3" t="s">
        <v>26693</v>
      </c>
      <c r="U7159" s="3" t="s">
        <v>728</v>
      </c>
      <c r="V7159" s="3" t="s">
        <v>64</v>
      </c>
      <c r="W7159" s="3" t="s">
        <v>31871</v>
      </c>
      <c r="X7159" s="10" t="s">
        <v>2130</v>
      </c>
      <c r="Y7159" s="6" t="s">
        <v>42</v>
      </c>
      <c r="Z7159" s="4">
        <v>1.12</v>
      </c>
      <c r="AA7159" s="4" t="s">
        <v>36</v>
      </c>
      <c r="AB7159" s="3" t="s">
        <v>56</v>
      </c>
      <c r="AC7159" s="3" t="s">
        <v>31872</v>
      </c>
      <c r="AD7159" s="9">
        <v>42160</v>
      </c>
      <c r="AE7159" s="3" t="s">
        <v>2154</v>
      </c>
      <c r="AF7159" s="3" t="s">
        <v>90</v>
      </c>
      <c r="AG7159" s="3" t="s">
        <v>81</v>
      </c>
      <c r="AH7159" s="11">
        <f>HYPERLINK("https://my.pitchbook.com?c=90498-70T","View Company Online")</f>
      </c>
    </row>
    <row r="7160">
      <c r="A7160" s="12" t="s">
        <v>31873</v>
      </c>
      <c r="B7160" s="12" t="s">
        <v>25441</v>
      </c>
      <c r="C7160" s="19" t="s">
        <v>36</v>
      </c>
      <c r="D7160" s="19" t="s">
        <v>36</v>
      </c>
      <c r="E7160" s="19" t="s">
        <v>36</v>
      </c>
      <c r="F7160" s="19" t="s">
        <v>36</v>
      </c>
      <c r="G7160" s="15" t="s">
        <v>326</v>
      </c>
      <c r="H7160" s="14">
        <v>203.45</v>
      </c>
      <c r="I7160" s="18">
        <v>30.12</v>
      </c>
      <c r="J7160" s="12" t="s">
        <v>521</v>
      </c>
      <c r="K7160" s="13" t="s">
        <v>36</v>
      </c>
      <c r="L7160" s="15" t="s">
        <v>122</v>
      </c>
      <c r="M7160" s="12" t="s">
        <v>36</v>
      </c>
      <c r="N7160" s="12" t="s">
        <v>122</v>
      </c>
      <c r="O7160" s="17" t="s">
        <v>36</v>
      </c>
      <c r="P7160" s="12" t="s">
        <v>36</v>
      </c>
      <c r="Q7160" s="12" t="s">
        <v>36</v>
      </c>
      <c r="R7160" s="12" t="s">
        <v>36</v>
      </c>
      <c r="S7160" s="12" t="s">
        <v>36</v>
      </c>
      <c r="T7160" s="12" t="s">
        <v>1701</v>
      </c>
      <c r="U7160" s="12" t="s">
        <v>74</v>
      </c>
      <c r="V7160" s="12" t="s">
        <v>75</v>
      </c>
      <c r="W7160" s="12" t="s">
        <v>25442</v>
      </c>
      <c r="X7160" s="16" t="s">
        <v>31874</v>
      </c>
      <c r="Y7160" s="15" t="s">
        <v>42</v>
      </c>
      <c r="Z7160" s="14">
        <v>5.58</v>
      </c>
      <c r="AA7160" s="14">
        <v>18.53</v>
      </c>
      <c r="AB7160" s="12" t="s">
        <v>43</v>
      </c>
      <c r="AC7160" s="12" t="s">
        <v>25444</v>
      </c>
      <c r="AD7160" s="13">
        <v>42159</v>
      </c>
      <c r="AE7160" s="12" t="s">
        <v>79</v>
      </c>
      <c r="AF7160" s="12" t="s">
        <v>4724</v>
      </c>
      <c r="AG7160" s="12" t="s">
        <v>81</v>
      </c>
      <c r="AH7160" s="1">
        <f>HYPERLINK("https://my.pitchbook.com?c=51278-14T","View Company Online")</f>
      </c>
    </row>
    <row r="7161">
      <c r="A7161" s="3" t="s">
        <v>31875</v>
      </c>
      <c r="B7161" s="3" t="s">
        <v>21893</v>
      </c>
      <c r="C7161" s="5" t="s">
        <v>36</v>
      </c>
      <c r="D7161" s="5" t="s">
        <v>36</v>
      </c>
      <c r="E7161" s="5" t="s">
        <v>36</v>
      </c>
      <c r="F7161" s="5" t="s">
        <v>36</v>
      </c>
      <c r="G7161" s="6" t="s">
        <v>36</v>
      </c>
      <c r="H7161" s="4" t="s">
        <v>36</v>
      </c>
      <c r="I7161" s="7" t="s">
        <v>36</v>
      </c>
      <c r="J7161" s="3" t="s">
        <v>36</v>
      </c>
      <c r="K7161" s="9" t="s">
        <v>36</v>
      </c>
      <c r="L7161" s="6" t="s">
        <v>36</v>
      </c>
      <c r="M7161" s="3" t="s">
        <v>36</v>
      </c>
      <c r="N7161" s="3" t="s">
        <v>36</v>
      </c>
      <c r="O7161" s="8" t="s">
        <v>36</v>
      </c>
      <c r="P7161" s="3" t="s">
        <v>36</v>
      </c>
      <c r="Q7161" s="3" t="s">
        <v>36</v>
      </c>
      <c r="R7161" s="3" t="s">
        <v>36</v>
      </c>
      <c r="S7161" s="3" t="s">
        <v>36</v>
      </c>
      <c r="T7161" s="3" t="s">
        <v>18335</v>
      </c>
      <c r="U7161" s="3" t="s">
        <v>279</v>
      </c>
      <c r="V7161" s="3" t="s">
        <v>64</v>
      </c>
      <c r="W7161" s="3" t="s">
        <v>21894</v>
      </c>
      <c r="X7161" s="10" t="s">
        <v>31876</v>
      </c>
      <c r="Y7161" s="6" t="s">
        <v>55</v>
      </c>
      <c r="Z7161" s="4">
        <v>60</v>
      </c>
      <c r="AA7161" s="4" t="s">
        <v>36</v>
      </c>
      <c r="AB7161" s="3" t="s">
        <v>56</v>
      </c>
      <c r="AC7161" s="3" t="s">
        <v>21896</v>
      </c>
      <c r="AD7161" s="9">
        <v>42158</v>
      </c>
      <c r="AE7161" s="3" t="s">
        <v>740</v>
      </c>
      <c r="AF7161" s="3" t="s">
        <v>4674</v>
      </c>
      <c r="AG7161" s="3" t="s">
        <v>81</v>
      </c>
      <c r="AH7161" s="11">
        <f>HYPERLINK("https://my.pitchbook.com?c=51203-98T","View Company Online")</f>
      </c>
    </row>
    <row r="7162">
      <c r="A7162" s="12" t="s">
        <v>31877</v>
      </c>
      <c r="B7162" s="12" t="s">
        <v>31878</v>
      </c>
      <c r="C7162" s="19" t="s">
        <v>36</v>
      </c>
      <c r="D7162" s="19" t="s">
        <v>36</v>
      </c>
      <c r="E7162" s="19" t="s">
        <v>36</v>
      </c>
      <c r="F7162" s="19" t="s">
        <v>36</v>
      </c>
      <c r="G7162" s="15" t="s">
        <v>36</v>
      </c>
      <c r="H7162" s="14" t="s">
        <v>36</v>
      </c>
      <c r="I7162" s="18" t="s">
        <v>36</v>
      </c>
      <c r="J7162" s="12" t="s">
        <v>36</v>
      </c>
      <c r="K7162" s="13" t="s">
        <v>36</v>
      </c>
      <c r="L7162" s="15" t="s">
        <v>36</v>
      </c>
      <c r="M7162" s="12" t="s">
        <v>36</v>
      </c>
      <c r="N7162" s="12" t="s">
        <v>36</v>
      </c>
      <c r="O7162" s="17" t="s">
        <v>36</v>
      </c>
      <c r="P7162" s="12" t="s">
        <v>36</v>
      </c>
      <c r="Q7162" s="12" t="s">
        <v>36</v>
      </c>
      <c r="R7162" s="12" t="s">
        <v>36</v>
      </c>
      <c r="S7162" s="12" t="s">
        <v>36</v>
      </c>
      <c r="T7162" s="12" t="s">
        <v>31879</v>
      </c>
      <c r="U7162" s="12" t="s">
        <v>219</v>
      </c>
      <c r="V7162" s="12" t="s">
        <v>75</v>
      </c>
      <c r="W7162" s="12" t="s">
        <v>31880</v>
      </c>
      <c r="X7162" s="16" t="s">
        <v>31881</v>
      </c>
      <c r="Y7162" s="15" t="s">
        <v>108</v>
      </c>
      <c r="Z7162" s="14">
        <v>26.79</v>
      </c>
      <c r="AA7162" s="14" t="s">
        <v>36</v>
      </c>
      <c r="AB7162" s="12" t="s">
        <v>56</v>
      </c>
      <c r="AC7162" s="12" t="s">
        <v>31882</v>
      </c>
      <c r="AD7162" s="13">
        <v>42158</v>
      </c>
      <c r="AE7162" s="12" t="s">
        <v>1007</v>
      </c>
      <c r="AF7162" s="12" t="s">
        <v>24005</v>
      </c>
      <c r="AG7162" s="12" t="s">
        <v>1447</v>
      </c>
      <c r="AH7162" s="1">
        <f>HYPERLINK("https://my.pitchbook.com?c=51427-63T","View Company Online")</f>
      </c>
    </row>
    <row r="7163">
      <c r="A7163" s="3" t="s">
        <v>31883</v>
      </c>
      <c r="B7163" s="3" t="s">
        <v>25931</v>
      </c>
      <c r="C7163" s="5">
        <v>6</v>
      </c>
      <c r="D7163" s="5">
        <v>13</v>
      </c>
      <c r="E7163" s="5">
        <v>3</v>
      </c>
      <c r="F7163" s="5">
        <v>22</v>
      </c>
      <c r="G7163" s="6" t="s">
        <v>2497</v>
      </c>
      <c r="H7163" s="4">
        <v>598.09</v>
      </c>
      <c r="I7163" s="7">
        <v>28.16</v>
      </c>
      <c r="J7163" s="3" t="s">
        <v>521</v>
      </c>
      <c r="K7163" s="9" t="s">
        <v>36</v>
      </c>
      <c r="L7163" s="6" t="s">
        <v>36</v>
      </c>
      <c r="M7163" s="3" t="s">
        <v>36</v>
      </c>
      <c r="N7163" s="3" t="s">
        <v>36</v>
      </c>
      <c r="O7163" s="8" t="s">
        <v>36</v>
      </c>
      <c r="P7163" s="3" t="s">
        <v>36</v>
      </c>
      <c r="Q7163" s="3" t="s">
        <v>36</v>
      </c>
      <c r="R7163" s="3" t="s">
        <v>36</v>
      </c>
      <c r="S7163" s="3" t="s">
        <v>36</v>
      </c>
      <c r="T7163" s="3" t="s">
        <v>661</v>
      </c>
      <c r="U7163" s="3" t="s">
        <v>51</v>
      </c>
      <c r="V7163" s="3" t="s">
        <v>52</v>
      </c>
      <c r="W7163" s="3" t="s">
        <v>25932</v>
      </c>
      <c r="X7163" s="10" t="s">
        <v>31884</v>
      </c>
      <c r="Y7163" s="6" t="s">
        <v>42</v>
      </c>
      <c r="Z7163" s="4">
        <v>0.46</v>
      </c>
      <c r="AA7163" s="4">
        <v>1.63</v>
      </c>
      <c r="AB7163" s="3" t="s">
        <v>43</v>
      </c>
      <c r="AC7163" s="3" t="s">
        <v>25934</v>
      </c>
      <c r="AD7163" s="9">
        <v>42158</v>
      </c>
      <c r="AE7163" s="3" t="s">
        <v>158</v>
      </c>
      <c r="AF7163" s="3" t="s">
        <v>25935</v>
      </c>
      <c r="AG7163" s="3" t="s">
        <v>13639</v>
      </c>
      <c r="AH7163" s="11">
        <f>HYPERLINK("https://my.pitchbook.com?c=77641-93T","View Company Online")</f>
      </c>
    </row>
    <row r="7164">
      <c r="A7164" s="12" t="s">
        <v>31885</v>
      </c>
      <c r="B7164" s="12" t="s">
        <v>28113</v>
      </c>
      <c r="C7164" s="19" t="s">
        <v>36</v>
      </c>
      <c r="D7164" s="19" t="s">
        <v>36</v>
      </c>
      <c r="E7164" s="19" t="s">
        <v>36</v>
      </c>
      <c r="F7164" s="19" t="s">
        <v>36</v>
      </c>
      <c r="G7164" s="15" t="s">
        <v>36</v>
      </c>
      <c r="H7164" s="14" t="s">
        <v>36</v>
      </c>
      <c r="I7164" s="18" t="s">
        <v>36</v>
      </c>
      <c r="J7164" s="12" t="s">
        <v>36</v>
      </c>
      <c r="K7164" s="13" t="s">
        <v>36</v>
      </c>
      <c r="L7164" s="15" t="s">
        <v>1279</v>
      </c>
      <c r="M7164" s="12" t="s">
        <v>36</v>
      </c>
      <c r="N7164" s="12" t="s">
        <v>1279</v>
      </c>
      <c r="O7164" s="17" t="s">
        <v>36</v>
      </c>
      <c r="P7164" s="12" t="s">
        <v>36</v>
      </c>
      <c r="Q7164" s="12" t="s">
        <v>36</v>
      </c>
      <c r="R7164" s="12" t="s">
        <v>36</v>
      </c>
      <c r="S7164" s="12" t="s">
        <v>36</v>
      </c>
      <c r="T7164" s="12" t="s">
        <v>4225</v>
      </c>
      <c r="U7164" s="12" t="s">
        <v>96</v>
      </c>
      <c r="V7164" s="12" t="s">
        <v>52</v>
      </c>
      <c r="W7164" s="12" t="s">
        <v>28114</v>
      </c>
      <c r="X7164" s="16" t="s">
        <v>31886</v>
      </c>
      <c r="Y7164" s="15" t="s">
        <v>192</v>
      </c>
      <c r="Z7164" s="14">
        <v>5.02</v>
      </c>
      <c r="AA7164" s="14" t="s">
        <v>36</v>
      </c>
      <c r="AB7164" s="12" t="s">
        <v>56</v>
      </c>
      <c r="AC7164" s="12" t="s">
        <v>28115</v>
      </c>
      <c r="AD7164" s="13">
        <v>42158</v>
      </c>
      <c r="AE7164" s="12" t="s">
        <v>143</v>
      </c>
      <c r="AF7164" s="12" t="s">
        <v>159</v>
      </c>
      <c r="AG7164" s="12" t="s">
        <v>2636</v>
      </c>
      <c r="AH7164" s="1">
        <f>HYPERLINK("https://my.pitchbook.com?c=134164-54T","View Company Online")</f>
      </c>
    </row>
    <row r="7165">
      <c r="A7165" s="3" t="s">
        <v>31887</v>
      </c>
      <c r="B7165" s="3" t="s">
        <v>14849</v>
      </c>
      <c r="C7165" s="5" t="s">
        <v>36</v>
      </c>
      <c r="D7165" s="5">
        <v>3</v>
      </c>
      <c r="E7165" s="5">
        <v>1</v>
      </c>
      <c r="F7165" s="5">
        <v>6</v>
      </c>
      <c r="G7165" s="6" t="s">
        <v>36</v>
      </c>
      <c r="H7165" s="4" t="s">
        <v>36</v>
      </c>
      <c r="I7165" s="7" t="s">
        <v>36</v>
      </c>
      <c r="J7165" s="3" t="s">
        <v>36</v>
      </c>
      <c r="K7165" s="9" t="s">
        <v>36</v>
      </c>
      <c r="L7165" s="6" t="s">
        <v>36</v>
      </c>
      <c r="M7165" s="3" t="s">
        <v>36</v>
      </c>
      <c r="N7165" s="3" t="s">
        <v>36</v>
      </c>
      <c r="O7165" s="8" t="s">
        <v>36</v>
      </c>
      <c r="P7165" s="3" t="s">
        <v>36</v>
      </c>
      <c r="Q7165" s="3" t="s">
        <v>36</v>
      </c>
      <c r="R7165" s="3" t="s">
        <v>36</v>
      </c>
      <c r="S7165" s="3" t="s">
        <v>36</v>
      </c>
      <c r="T7165" s="3" t="s">
        <v>818</v>
      </c>
      <c r="U7165" s="3" t="s">
        <v>74</v>
      </c>
      <c r="V7165" s="3" t="s">
        <v>75</v>
      </c>
      <c r="W7165" s="3" t="s">
        <v>14850</v>
      </c>
      <c r="X7165" s="10" t="s">
        <v>21035</v>
      </c>
      <c r="Y7165" s="6" t="s">
        <v>55</v>
      </c>
      <c r="Z7165" s="4">
        <v>11.16</v>
      </c>
      <c r="AA7165" s="4" t="s">
        <v>36</v>
      </c>
      <c r="AB7165" s="3" t="s">
        <v>56</v>
      </c>
      <c r="AC7165" s="3" t="s">
        <v>14851</v>
      </c>
      <c r="AD7165" s="9">
        <v>42157</v>
      </c>
      <c r="AE7165" s="3" t="s">
        <v>570</v>
      </c>
      <c r="AF7165" s="3" t="s">
        <v>14852</v>
      </c>
      <c r="AG7165" s="3" t="s">
        <v>14853</v>
      </c>
      <c r="AH7165" s="11">
        <f>HYPERLINK("https://my.pitchbook.com?c=45031-69T","View Company Online")</f>
      </c>
    </row>
    <row r="7166">
      <c r="A7166" s="12" t="s">
        <v>31888</v>
      </c>
      <c r="B7166" s="12" t="s">
        <v>31889</v>
      </c>
      <c r="C7166" s="19" t="s">
        <v>36</v>
      </c>
      <c r="D7166" s="19" t="s">
        <v>36</v>
      </c>
      <c r="E7166" s="19" t="s">
        <v>36</v>
      </c>
      <c r="F7166" s="19" t="s">
        <v>36</v>
      </c>
      <c r="G7166" s="15" t="s">
        <v>2497</v>
      </c>
      <c r="H7166" s="14">
        <v>685.45</v>
      </c>
      <c r="I7166" s="18">
        <v>19.99</v>
      </c>
      <c r="J7166" s="12" t="s">
        <v>521</v>
      </c>
      <c r="K7166" s="13" t="s">
        <v>36</v>
      </c>
      <c r="L7166" s="15" t="s">
        <v>36</v>
      </c>
      <c r="M7166" s="12" t="s">
        <v>36</v>
      </c>
      <c r="N7166" s="12" t="s">
        <v>36</v>
      </c>
      <c r="O7166" s="17" t="s">
        <v>36</v>
      </c>
      <c r="P7166" s="12" t="s">
        <v>36</v>
      </c>
      <c r="Q7166" s="12" t="s">
        <v>36</v>
      </c>
      <c r="R7166" s="12" t="s">
        <v>36</v>
      </c>
      <c r="S7166" s="12" t="s">
        <v>36</v>
      </c>
      <c r="T7166" s="12" t="s">
        <v>11121</v>
      </c>
      <c r="U7166" s="12" t="s">
        <v>423</v>
      </c>
      <c r="V7166" s="12" t="s">
        <v>64</v>
      </c>
      <c r="W7166" s="12" t="s">
        <v>31890</v>
      </c>
      <c r="X7166" s="16" t="s">
        <v>31891</v>
      </c>
      <c r="Y7166" s="15" t="s">
        <v>192</v>
      </c>
      <c r="Z7166" s="14">
        <v>1</v>
      </c>
      <c r="AA7166" s="14">
        <v>5.02</v>
      </c>
      <c r="AB7166" s="12" t="s">
        <v>43</v>
      </c>
      <c r="AC7166" s="12" t="s">
        <v>31892</v>
      </c>
      <c r="AD7166" s="13">
        <v>42156</v>
      </c>
      <c r="AE7166" s="12" t="s">
        <v>562</v>
      </c>
      <c r="AF7166" s="12" t="s">
        <v>20865</v>
      </c>
      <c r="AG7166" s="12" t="s">
        <v>81</v>
      </c>
      <c r="AH7166" s="1">
        <f>HYPERLINK("https://my.pitchbook.com?c=34095-88T","View Company Online")</f>
      </c>
    </row>
    <row r="7167">
      <c r="A7167" s="3" t="s">
        <v>31893</v>
      </c>
      <c r="B7167" s="3" t="s">
        <v>31894</v>
      </c>
      <c r="C7167" s="5" t="s">
        <v>36</v>
      </c>
      <c r="D7167" s="5" t="s">
        <v>36</v>
      </c>
      <c r="E7167" s="5" t="s">
        <v>36</v>
      </c>
      <c r="F7167" s="5" t="s">
        <v>36</v>
      </c>
      <c r="G7167" s="6" t="s">
        <v>36</v>
      </c>
      <c r="H7167" s="4" t="s">
        <v>36</v>
      </c>
      <c r="I7167" s="7" t="s">
        <v>36</v>
      </c>
      <c r="J7167" s="3" t="s">
        <v>36</v>
      </c>
      <c r="K7167" s="9" t="s">
        <v>36</v>
      </c>
      <c r="L7167" s="6" t="s">
        <v>36</v>
      </c>
      <c r="M7167" s="3" t="s">
        <v>36</v>
      </c>
      <c r="N7167" s="3" t="s">
        <v>36</v>
      </c>
      <c r="O7167" s="8" t="s">
        <v>36</v>
      </c>
      <c r="P7167" s="3" t="s">
        <v>36</v>
      </c>
      <c r="Q7167" s="3" t="s">
        <v>36</v>
      </c>
      <c r="R7167" s="3" t="s">
        <v>36</v>
      </c>
      <c r="S7167" s="3" t="s">
        <v>36</v>
      </c>
      <c r="T7167" s="3" t="s">
        <v>31895</v>
      </c>
      <c r="U7167" s="3" t="s">
        <v>7149</v>
      </c>
      <c r="V7167" s="3" t="s">
        <v>378</v>
      </c>
      <c r="W7167" s="3" t="s">
        <v>31896</v>
      </c>
      <c r="X7167" s="10" t="s">
        <v>11347</v>
      </c>
      <c r="Y7167" s="6" t="s">
        <v>42</v>
      </c>
      <c r="Z7167" s="4">
        <v>0.15</v>
      </c>
      <c r="AA7167" s="4" t="s">
        <v>36</v>
      </c>
      <c r="AB7167" s="3" t="s">
        <v>56</v>
      </c>
      <c r="AC7167" s="3" t="s">
        <v>31897</v>
      </c>
      <c r="AD7167" s="9">
        <v>42156</v>
      </c>
      <c r="AE7167" s="3" t="s">
        <v>31898</v>
      </c>
      <c r="AF7167" s="3" t="s">
        <v>275</v>
      </c>
      <c r="AG7167" s="3" t="s">
        <v>31899</v>
      </c>
      <c r="AH7167" s="11">
        <f>HYPERLINK("https://my.pitchbook.com?c=89250-40T","View Company Online")</f>
      </c>
    </row>
    <row r="7168">
      <c r="A7168" s="12" t="s">
        <v>31900</v>
      </c>
      <c r="B7168" s="12" t="s">
        <v>31901</v>
      </c>
      <c r="C7168" s="19" t="s">
        <v>36</v>
      </c>
      <c r="D7168" s="19" t="s">
        <v>36</v>
      </c>
      <c r="E7168" s="19" t="s">
        <v>36</v>
      </c>
      <c r="F7168" s="19" t="s">
        <v>36</v>
      </c>
      <c r="G7168" s="15" t="s">
        <v>36</v>
      </c>
      <c r="H7168" s="14" t="s">
        <v>36</v>
      </c>
      <c r="I7168" s="18" t="s">
        <v>36</v>
      </c>
      <c r="J7168" s="12" t="s">
        <v>36</v>
      </c>
      <c r="K7168" s="13" t="s">
        <v>36</v>
      </c>
      <c r="L7168" s="15" t="s">
        <v>36</v>
      </c>
      <c r="M7168" s="12" t="s">
        <v>36</v>
      </c>
      <c r="N7168" s="12" t="s">
        <v>36</v>
      </c>
      <c r="O7168" s="17" t="s">
        <v>36</v>
      </c>
      <c r="P7168" s="12" t="s">
        <v>36</v>
      </c>
      <c r="Q7168" s="12" t="s">
        <v>36</v>
      </c>
      <c r="R7168" s="12" t="s">
        <v>36</v>
      </c>
      <c r="S7168" s="12" t="s">
        <v>36</v>
      </c>
      <c r="T7168" s="12" t="s">
        <v>1701</v>
      </c>
      <c r="U7168" s="12" t="s">
        <v>74</v>
      </c>
      <c r="V7168" s="12" t="s">
        <v>75</v>
      </c>
      <c r="W7168" s="12" t="s">
        <v>31902</v>
      </c>
      <c r="X7168" s="16" t="s">
        <v>21871</v>
      </c>
      <c r="Y7168" s="15" t="s">
        <v>42</v>
      </c>
      <c r="Z7168" s="14" t="s">
        <v>36</v>
      </c>
      <c r="AA7168" s="14" t="s">
        <v>36</v>
      </c>
      <c r="AB7168" s="12" t="s">
        <v>56</v>
      </c>
      <c r="AC7168" s="12" t="s">
        <v>31903</v>
      </c>
      <c r="AD7168" s="13">
        <v>42156</v>
      </c>
      <c r="AE7168" s="12" t="s">
        <v>79</v>
      </c>
      <c r="AF7168" s="12" t="s">
        <v>17722</v>
      </c>
      <c r="AG7168" s="12" t="s">
        <v>81</v>
      </c>
      <c r="AH7168" s="1">
        <f>HYPERLINK("https://my.pitchbook.com?c=113097-52T","View Company Online")</f>
      </c>
    </row>
    <row r="7169">
      <c r="A7169" s="3" t="s">
        <v>31904</v>
      </c>
      <c r="B7169" s="3" t="s">
        <v>31905</v>
      </c>
      <c r="C7169" s="5" t="s">
        <v>36</v>
      </c>
      <c r="D7169" s="5" t="s">
        <v>36</v>
      </c>
      <c r="E7169" s="5" t="s">
        <v>36</v>
      </c>
      <c r="F7169" s="5" t="s">
        <v>36</v>
      </c>
      <c r="G7169" s="6" t="s">
        <v>36</v>
      </c>
      <c r="H7169" s="4" t="s">
        <v>36</v>
      </c>
      <c r="I7169" s="7" t="s">
        <v>36</v>
      </c>
      <c r="J7169" s="3" t="s">
        <v>36</v>
      </c>
      <c r="K7169" s="9" t="s">
        <v>36</v>
      </c>
      <c r="L7169" s="6" t="s">
        <v>3736</v>
      </c>
      <c r="M7169" s="3" t="s">
        <v>36</v>
      </c>
      <c r="N7169" s="3" t="s">
        <v>3736</v>
      </c>
      <c r="O7169" s="8" t="s">
        <v>36</v>
      </c>
      <c r="P7169" s="3" t="s">
        <v>36</v>
      </c>
      <c r="Q7169" s="3" t="s">
        <v>36</v>
      </c>
      <c r="R7169" s="3" t="s">
        <v>36</v>
      </c>
      <c r="S7169" s="3" t="s">
        <v>36</v>
      </c>
      <c r="T7169" s="3" t="s">
        <v>253</v>
      </c>
      <c r="U7169" s="3" t="s">
        <v>38</v>
      </c>
      <c r="V7169" s="3" t="s">
        <v>39</v>
      </c>
      <c r="W7169" s="3" t="s">
        <v>31906</v>
      </c>
      <c r="X7169" s="10" t="s">
        <v>31907</v>
      </c>
      <c r="Y7169" s="6" t="s">
        <v>166</v>
      </c>
      <c r="Z7169" s="4" t="s">
        <v>36</v>
      </c>
      <c r="AA7169" s="4" t="s">
        <v>36</v>
      </c>
      <c r="AB7169" s="3" t="s">
        <v>56</v>
      </c>
      <c r="AC7169" s="3" t="s">
        <v>31908</v>
      </c>
      <c r="AD7169" s="9">
        <v>42156</v>
      </c>
      <c r="AE7169" s="3" t="s">
        <v>110</v>
      </c>
      <c r="AF7169" s="3" t="s">
        <v>31909</v>
      </c>
      <c r="AG7169" s="3" t="s">
        <v>969</v>
      </c>
      <c r="AH7169" s="11">
        <f>HYPERLINK("https://my.pitchbook.com?c=71380-72T","View Company Online")</f>
      </c>
    </row>
    <row r="7170">
      <c r="A7170" s="12" t="s">
        <v>31910</v>
      </c>
      <c r="B7170" s="12" t="s">
        <v>31911</v>
      </c>
      <c r="C7170" s="19" t="s">
        <v>36</v>
      </c>
      <c r="D7170" s="19" t="s">
        <v>36</v>
      </c>
      <c r="E7170" s="19" t="s">
        <v>36</v>
      </c>
      <c r="F7170" s="19" t="s">
        <v>36</v>
      </c>
      <c r="G7170" s="15" t="s">
        <v>36</v>
      </c>
      <c r="H7170" s="14" t="s">
        <v>36</v>
      </c>
      <c r="I7170" s="18" t="s">
        <v>36</v>
      </c>
      <c r="J7170" s="12" t="s">
        <v>36</v>
      </c>
      <c r="K7170" s="13" t="s">
        <v>36</v>
      </c>
      <c r="L7170" s="15" t="s">
        <v>36</v>
      </c>
      <c r="M7170" s="12" t="s">
        <v>36</v>
      </c>
      <c r="N7170" s="12" t="s">
        <v>36</v>
      </c>
      <c r="O7170" s="17" t="s">
        <v>36</v>
      </c>
      <c r="P7170" s="12" t="s">
        <v>36</v>
      </c>
      <c r="Q7170" s="12" t="s">
        <v>36</v>
      </c>
      <c r="R7170" s="12" t="s">
        <v>36</v>
      </c>
      <c r="S7170" s="12" t="s">
        <v>36</v>
      </c>
      <c r="T7170" s="12" t="s">
        <v>2961</v>
      </c>
      <c r="U7170" s="12" t="s">
        <v>74</v>
      </c>
      <c r="V7170" s="12" t="s">
        <v>75</v>
      </c>
      <c r="W7170" s="12" t="s">
        <v>31912</v>
      </c>
      <c r="X7170" s="16" t="s">
        <v>560</v>
      </c>
      <c r="Y7170" s="15" t="s">
        <v>42</v>
      </c>
      <c r="Z7170" s="14" t="s">
        <v>36</v>
      </c>
      <c r="AA7170" s="14" t="s">
        <v>36</v>
      </c>
      <c r="AB7170" s="12" t="s">
        <v>43</v>
      </c>
      <c r="AC7170" s="12" t="s">
        <v>31913</v>
      </c>
      <c r="AD7170" s="13">
        <v>42156</v>
      </c>
      <c r="AE7170" s="12" t="s">
        <v>975</v>
      </c>
      <c r="AF7170" s="12" t="s">
        <v>4552</v>
      </c>
      <c r="AG7170" s="12" t="s">
        <v>47</v>
      </c>
      <c r="AH7170" s="1">
        <f>HYPERLINK("https://my.pitchbook.com?c=35272-45T","View Company Online")</f>
      </c>
    </row>
    <row r="7171">
      <c r="A7171" s="3" t="s">
        <v>31914</v>
      </c>
      <c r="B7171" s="3" t="s">
        <v>31915</v>
      </c>
      <c r="C7171" s="5">
        <v>1</v>
      </c>
      <c r="D7171" s="5">
        <v>5</v>
      </c>
      <c r="E7171" s="5">
        <v>3</v>
      </c>
      <c r="F7171" s="5">
        <v>11</v>
      </c>
      <c r="G7171" s="6" t="s">
        <v>36</v>
      </c>
      <c r="H7171" s="4" t="s">
        <v>36</v>
      </c>
      <c r="I7171" s="7" t="s">
        <v>36</v>
      </c>
      <c r="J7171" s="3" t="s">
        <v>36</v>
      </c>
      <c r="K7171" s="9" t="s">
        <v>36</v>
      </c>
      <c r="L7171" s="6" t="s">
        <v>36</v>
      </c>
      <c r="M7171" s="3" t="s">
        <v>36</v>
      </c>
      <c r="N7171" s="3" t="s">
        <v>36</v>
      </c>
      <c r="O7171" s="8" t="s">
        <v>36</v>
      </c>
      <c r="P7171" s="3" t="s">
        <v>36</v>
      </c>
      <c r="Q7171" s="3" t="s">
        <v>36</v>
      </c>
      <c r="R7171" s="3" t="s">
        <v>36</v>
      </c>
      <c r="S7171" s="3" t="s">
        <v>36</v>
      </c>
      <c r="T7171" s="3" t="s">
        <v>661</v>
      </c>
      <c r="U7171" s="3" t="s">
        <v>51</v>
      </c>
      <c r="V7171" s="3" t="s">
        <v>52</v>
      </c>
      <c r="W7171" s="3" t="s">
        <v>31916</v>
      </c>
      <c r="X7171" s="10" t="s">
        <v>31917</v>
      </c>
      <c r="Y7171" s="6" t="s">
        <v>42</v>
      </c>
      <c r="Z7171" s="4" t="s">
        <v>36</v>
      </c>
      <c r="AA7171" s="4" t="s">
        <v>36</v>
      </c>
      <c r="AB7171" s="3" t="s">
        <v>56</v>
      </c>
      <c r="AC7171" s="3" t="s">
        <v>31918</v>
      </c>
      <c r="AD7171" s="9">
        <v>42156</v>
      </c>
      <c r="AE7171" s="3" t="s">
        <v>158</v>
      </c>
      <c r="AF7171" s="3" t="s">
        <v>159</v>
      </c>
      <c r="AG7171" s="3" t="s">
        <v>31919</v>
      </c>
      <c r="AH7171" s="11">
        <f>HYPERLINK("https://my.pitchbook.com?c=34175-98T","View Company Online")</f>
      </c>
    </row>
    <row r="7172">
      <c r="A7172" s="12" t="s">
        <v>31920</v>
      </c>
      <c r="B7172" s="12" t="s">
        <v>31921</v>
      </c>
      <c r="C7172" s="19" t="s">
        <v>36</v>
      </c>
      <c r="D7172" s="19" t="s">
        <v>36</v>
      </c>
      <c r="E7172" s="19" t="s">
        <v>36</v>
      </c>
      <c r="F7172" s="19" t="s">
        <v>36</v>
      </c>
      <c r="G7172" s="15" t="s">
        <v>36</v>
      </c>
      <c r="H7172" s="14">
        <v>255.49</v>
      </c>
      <c r="I7172" s="18">
        <v>29.43</v>
      </c>
      <c r="J7172" s="12" t="s">
        <v>521</v>
      </c>
      <c r="K7172" s="13" t="s">
        <v>36</v>
      </c>
      <c r="L7172" s="15" t="s">
        <v>36</v>
      </c>
      <c r="M7172" s="12" t="s">
        <v>36</v>
      </c>
      <c r="N7172" s="12" t="s">
        <v>36</v>
      </c>
      <c r="O7172" s="17" t="s">
        <v>36</v>
      </c>
      <c r="P7172" s="12" t="s">
        <v>36</v>
      </c>
      <c r="Q7172" s="12" t="s">
        <v>36</v>
      </c>
      <c r="R7172" s="12" t="s">
        <v>36</v>
      </c>
      <c r="S7172" s="12" t="s">
        <v>36</v>
      </c>
      <c r="T7172" s="12" t="s">
        <v>31922</v>
      </c>
      <c r="U7172" s="12" t="s">
        <v>74</v>
      </c>
      <c r="V7172" s="12" t="s">
        <v>75</v>
      </c>
      <c r="W7172" s="12" t="s">
        <v>31923</v>
      </c>
      <c r="X7172" s="16" t="s">
        <v>24370</v>
      </c>
      <c r="Y7172" s="15" t="s">
        <v>42</v>
      </c>
      <c r="Z7172" s="14">
        <v>0.39</v>
      </c>
      <c r="AA7172" s="14">
        <v>1.33</v>
      </c>
      <c r="AB7172" s="12" t="s">
        <v>56</v>
      </c>
      <c r="AC7172" s="12" t="s">
        <v>31924</v>
      </c>
      <c r="AD7172" s="13">
        <v>42156</v>
      </c>
      <c r="AE7172" s="12" t="s">
        <v>3144</v>
      </c>
      <c r="AF7172" s="12" t="s">
        <v>31925</v>
      </c>
      <c r="AG7172" s="12" t="s">
        <v>31926</v>
      </c>
      <c r="AH7172" s="1">
        <f>HYPERLINK("https://my.pitchbook.com?c=99043-39T","View Company Online")</f>
      </c>
    </row>
    <row r="7173">
      <c r="A7173" s="3" t="s">
        <v>31927</v>
      </c>
      <c r="B7173" s="3" t="s">
        <v>31928</v>
      </c>
      <c r="C7173" s="5" t="s">
        <v>36</v>
      </c>
      <c r="D7173" s="5" t="s">
        <v>36</v>
      </c>
      <c r="E7173" s="5" t="s">
        <v>36</v>
      </c>
      <c r="F7173" s="5" t="s">
        <v>36</v>
      </c>
      <c r="G7173" s="6" t="s">
        <v>36</v>
      </c>
      <c r="H7173" s="4" t="s">
        <v>36</v>
      </c>
      <c r="I7173" s="7" t="s">
        <v>36</v>
      </c>
      <c r="J7173" s="3" t="s">
        <v>36</v>
      </c>
      <c r="K7173" s="9" t="s">
        <v>36</v>
      </c>
      <c r="L7173" s="6" t="s">
        <v>36</v>
      </c>
      <c r="M7173" s="3" t="s">
        <v>36</v>
      </c>
      <c r="N7173" s="3" t="s">
        <v>36</v>
      </c>
      <c r="O7173" s="8" t="s">
        <v>36</v>
      </c>
      <c r="P7173" s="3" t="s">
        <v>36</v>
      </c>
      <c r="Q7173" s="3" t="s">
        <v>36</v>
      </c>
      <c r="R7173" s="3" t="s">
        <v>36</v>
      </c>
      <c r="S7173" s="3" t="s">
        <v>36</v>
      </c>
      <c r="T7173" s="3" t="s">
        <v>588</v>
      </c>
      <c r="U7173" s="3" t="s">
        <v>318</v>
      </c>
      <c r="V7173" s="3" t="s">
        <v>39</v>
      </c>
      <c r="W7173" s="3" t="s">
        <v>31929</v>
      </c>
      <c r="X7173" s="10" t="s">
        <v>31930</v>
      </c>
      <c r="Y7173" s="6" t="s">
        <v>42</v>
      </c>
      <c r="Z7173" s="4" t="s">
        <v>36</v>
      </c>
      <c r="AA7173" s="4" t="s">
        <v>36</v>
      </c>
      <c r="AB7173" s="3" t="s">
        <v>43</v>
      </c>
      <c r="AC7173" s="3" t="s">
        <v>31931</v>
      </c>
      <c r="AD7173" s="9">
        <v>42156</v>
      </c>
      <c r="AE7173" s="3" t="s">
        <v>417</v>
      </c>
      <c r="AF7173" s="3" t="s">
        <v>4668</v>
      </c>
      <c r="AG7173" s="3" t="s">
        <v>31932</v>
      </c>
      <c r="AH7173" s="11">
        <f>HYPERLINK("https://my.pitchbook.com?c=33391-09T","View Company Online")</f>
      </c>
    </row>
    <row r="7174">
      <c r="A7174" s="12" t="s">
        <v>31933</v>
      </c>
      <c r="B7174" s="12" t="s">
        <v>31934</v>
      </c>
      <c r="C7174" s="19" t="s">
        <v>36</v>
      </c>
      <c r="D7174" s="19" t="s">
        <v>36</v>
      </c>
      <c r="E7174" s="19" t="s">
        <v>36</v>
      </c>
      <c r="F7174" s="19" t="s">
        <v>36</v>
      </c>
      <c r="G7174" s="15" t="s">
        <v>36</v>
      </c>
      <c r="H7174" s="14" t="s">
        <v>36</v>
      </c>
      <c r="I7174" s="18" t="s">
        <v>36</v>
      </c>
      <c r="J7174" s="12" t="s">
        <v>36</v>
      </c>
      <c r="K7174" s="13" t="s">
        <v>36</v>
      </c>
      <c r="L7174" s="15" t="s">
        <v>36</v>
      </c>
      <c r="M7174" s="12" t="s">
        <v>36</v>
      </c>
      <c r="N7174" s="12" t="s">
        <v>36</v>
      </c>
      <c r="O7174" s="17" t="s">
        <v>36</v>
      </c>
      <c r="P7174" s="12" t="s">
        <v>36</v>
      </c>
      <c r="Q7174" s="12" t="s">
        <v>36</v>
      </c>
      <c r="R7174" s="12" t="s">
        <v>36</v>
      </c>
      <c r="S7174" s="12" t="s">
        <v>36</v>
      </c>
      <c r="T7174" s="12" t="s">
        <v>31935</v>
      </c>
      <c r="U7174" s="12" t="s">
        <v>74</v>
      </c>
      <c r="V7174" s="12" t="s">
        <v>75</v>
      </c>
      <c r="W7174" s="12" t="s">
        <v>31936</v>
      </c>
      <c r="X7174" s="16" t="s">
        <v>31937</v>
      </c>
      <c r="Y7174" s="15" t="s">
        <v>42</v>
      </c>
      <c r="Z7174" s="14" t="s">
        <v>36</v>
      </c>
      <c r="AA7174" s="14" t="s">
        <v>36</v>
      </c>
      <c r="AB7174" s="12" t="s">
        <v>56</v>
      </c>
      <c r="AC7174" s="12" t="s">
        <v>31938</v>
      </c>
      <c r="AD7174" s="13">
        <v>42156</v>
      </c>
      <c r="AE7174" s="12" t="s">
        <v>79</v>
      </c>
      <c r="AF7174" s="12" t="s">
        <v>2759</v>
      </c>
      <c r="AG7174" s="12" t="s">
        <v>31939</v>
      </c>
      <c r="AH7174" s="1">
        <f>HYPERLINK("https://my.pitchbook.com?c=33245-38T","View Company Online")</f>
      </c>
    </row>
    <row r="7175">
      <c r="A7175" s="3" t="s">
        <v>31940</v>
      </c>
      <c r="B7175" s="3" t="s">
        <v>24721</v>
      </c>
      <c r="C7175" s="5" t="s">
        <v>36</v>
      </c>
      <c r="D7175" s="5" t="s">
        <v>36</v>
      </c>
      <c r="E7175" s="5" t="s">
        <v>36</v>
      </c>
      <c r="F7175" s="5" t="s">
        <v>36</v>
      </c>
      <c r="G7175" s="6" t="s">
        <v>36</v>
      </c>
      <c r="H7175" s="4" t="s">
        <v>36</v>
      </c>
      <c r="I7175" s="7" t="s">
        <v>36</v>
      </c>
      <c r="J7175" s="3" t="s">
        <v>36</v>
      </c>
      <c r="K7175" s="9" t="s">
        <v>36</v>
      </c>
      <c r="L7175" s="6" t="s">
        <v>36</v>
      </c>
      <c r="M7175" s="3" t="s">
        <v>36</v>
      </c>
      <c r="N7175" s="3" t="s">
        <v>36</v>
      </c>
      <c r="O7175" s="8" t="s">
        <v>36</v>
      </c>
      <c r="P7175" s="3" t="s">
        <v>36</v>
      </c>
      <c r="Q7175" s="3" t="s">
        <v>36</v>
      </c>
      <c r="R7175" s="3" t="s">
        <v>36</v>
      </c>
      <c r="S7175" s="3" t="s">
        <v>36</v>
      </c>
      <c r="T7175" s="3" t="s">
        <v>2992</v>
      </c>
      <c r="U7175" s="3" t="s">
        <v>96</v>
      </c>
      <c r="V7175" s="3" t="s">
        <v>52</v>
      </c>
      <c r="W7175" s="3" t="s">
        <v>24722</v>
      </c>
      <c r="X7175" s="10" t="s">
        <v>31941</v>
      </c>
      <c r="Y7175" s="6" t="s">
        <v>42</v>
      </c>
      <c r="Z7175" s="4" t="s">
        <v>36</v>
      </c>
      <c r="AA7175" s="4" t="s">
        <v>36</v>
      </c>
      <c r="AB7175" s="3" t="s">
        <v>43</v>
      </c>
      <c r="AC7175" s="3" t="s">
        <v>24724</v>
      </c>
      <c r="AD7175" s="9">
        <v>42156</v>
      </c>
      <c r="AE7175" s="3" t="s">
        <v>100</v>
      </c>
      <c r="AF7175" s="3" t="s">
        <v>101</v>
      </c>
      <c r="AG7175" s="3" t="s">
        <v>443</v>
      </c>
      <c r="AH7175" s="11">
        <f>HYPERLINK("https://my.pitchbook.com?c=85837-78T","View Company Online")</f>
      </c>
    </row>
    <row r="7176">
      <c r="A7176" s="12" t="s">
        <v>31942</v>
      </c>
      <c r="B7176" s="12" t="s">
        <v>31943</v>
      </c>
      <c r="C7176" s="19" t="s">
        <v>36</v>
      </c>
      <c r="D7176" s="19" t="s">
        <v>36</v>
      </c>
      <c r="E7176" s="19" t="s">
        <v>36</v>
      </c>
      <c r="F7176" s="19" t="s">
        <v>36</v>
      </c>
      <c r="G7176" s="15" t="s">
        <v>36</v>
      </c>
      <c r="H7176" s="14" t="s">
        <v>36</v>
      </c>
      <c r="I7176" s="18" t="s">
        <v>36</v>
      </c>
      <c r="J7176" s="12" t="s">
        <v>36</v>
      </c>
      <c r="K7176" s="13" t="s">
        <v>36</v>
      </c>
      <c r="L7176" s="15" t="s">
        <v>36</v>
      </c>
      <c r="M7176" s="12" t="s">
        <v>36</v>
      </c>
      <c r="N7176" s="12" t="s">
        <v>36</v>
      </c>
      <c r="O7176" s="17" t="s">
        <v>36</v>
      </c>
      <c r="P7176" s="12" t="s">
        <v>36</v>
      </c>
      <c r="Q7176" s="12" t="s">
        <v>36</v>
      </c>
      <c r="R7176" s="12" t="s">
        <v>36</v>
      </c>
      <c r="S7176" s="12" t="s">
        <v>36</v>
      </c>
      <c r="T7176" s="12" t="s">
        <v>31944</v>
      </c>
      <c r="U7176" s="12" t="s">
        <v>279</v>
      </c>
      <c r="V7176" s="12" t="s">
        <v>64</v>
      </c>
      <c r="W7176" s="12" t="s">
        <v>31945</v>
      </c>
      <c r="X7176" s="16" t="s">
        <v>31946</v>
      </c>
      <c r="Y7176" s="15" t="s">
        <v>42</v>
      </c>
      <c r="Z7176" s="14">
        <v>0.56</v>
      </c>
      <c r="AA7176" s="14" t="s">
        <v>36</v>
      </c>
      <c r="AB7176" s="12" t="s">
        <v>43</v>
      </c>
      <c r="AC7176" s="12" t="s">
        <v>31947</v>
      </c>
      <c r="AD7176" s="13">
        <v>42156</v>
      </c>
      <c r="AE7176" s="12" t="s">
        <v>851</v>
      </c>
      <c r="AF7176" s="12" t="s">
        <v>4552</v>
      </c>
      <c r="AG7176" s="12" t="s">
        <v>31948</v>
      </c>
      <c r="AH7176" s="1">
        <f>HYPERLINK("https://my.pitchbook.com?c=26318-53T","View Company Online")</f>
      </c>
    </row>
    <row r="7177">
      <c r="A7177" s="3" t="s">
        <v>31949</v>
      </c>
      <c r="B7177" s="3" t="s">
        <v>31950</v>
      </c>
      <c r="C7177" s="5" t="s">
        <v>36</v>
      </c>
      <c r="D7177" s="5">
        <v>2</v>
      </c>
      <c r="E7177" s="5">
        <v>1</v>
      </c>
      <c r="F7177" s="5">
        <v>2</v>
      </c>
      <c r="G7177" s="6" t="s">
        <v>36</v>
      </c>
      <c r="H7177" s="4" t="s">
        <v>36</v>
      </c>
      <c r="I7177" s="7" t="s">
        <v>36</v>
      </c>
      <c r="J7177" s="3" t="s">
        <v>36</v>
      </c>
      <c r="K7177" s="9" t="s">
        <v>36</v>
      </c>
      <c r="L7177" s="6" t="s">
        <v>36</v>
      </c>
      <c r="M7177" s="3" t="s">
        <v>36</v>
      </c>
      <c r="N7177" s="3" t="s">
        <v>36</v>
      </c>
      <c r="O7177" s="8" t="s">
        <v>36</v>
      </c>
      <c r="P7177" s="3" t="s">
        <v>36</v>
      </c>
      <c r="Q7177" s="3" t="s">
        <v>36</v>
      </c>
      <c r="R7177" s="3" t="s">
        <v>36</v>
      </c>
      <c r="S7177" s="3" t="s">
        <v>36</v>
      </c>
      <c r="T7177" s="3" t="s">
        <v>31951</v>
      </c>
      <c r="U7177" s="3" t="s">
        <v>180</v>
      </c>
      <c r="V7177" s="3" t="s">
        <v>52</v>
      </c>
      <c r="W7177" s="3" t="s">
        <v>31952</v>
      </c>
      <c r="X7177" s="10" t="s">
        <v>31937</v>
      </c>
      <c r="Y7177" s="6" t="s">
        <v>42</v>
      </c>
      <c r="Z7177" s="4" t="s">
        <v>36</v>
      </c>
      <c r="AA7177" s="4" t="s">
        <v>36</v>
      </c>
      <c r="AB7177" s="3" t="s">
        <v>56</v>
      </c>
      <c r="AC7177" s="3" t="s">
        <v>31953</v>
      </c>
      <c r="AD7177" s="9">
        <v>42156</v>
      </c>
      <c r="AE7177" s="3" t="s">
        <v>3847</v>
      </c>
      <c r="AF7177" s="3" t="s">
        <v>20871</v>
      </c>
      <c r="AG7177" s="3" t="s">
        <v>144</v>
      </c>
      <c r="AH7177" s="11">
        <f>HYPERLINK("https://my.pitchbook.com?c=33246-01T","View Company Online")</f>
      </c>
    </row>
    <row r="7178">
      <c r="A7178" s="12" t="s">
        <v>31954</v>
      </c>
      <c r="B7178" s="12" t="s">
        <v>31955</v>
      </c>
      <c r="C7178" s="19" t="s">
        <v>36</v>
      </c>
      <c r="D7178" s="19" t="s">
        <v>36</v>
      </c>
      <c r="E7178" s="19" t="s">
        <v>36</v>
      </c>
      <c r="F7178" s="19" t="s">
        <v>36</v>
      </c>
      <c r="G7178" s="15" t="s">
        <v>36</v>
      </c>
      <c r="H7178" s="14" t="s">
        <v>36</v>
      </c>
      <c r="I7178" s="18" t="s">
        <v>36</v>
      </c>
      <c r="J7178" s="12" t="s">
        <v>36</v>
      </c>
      <c r="K7178" s="13" t="s">
        <v>36</v>
      </c>
      <c r="L7178" s="15" t="s">
        <v>36</v>
      </c>
      <c r="M7178" s="12" t="s">
        <v>36</v>
      </c>
      <c r="N7178" s="12" t="s">
        <v>36</v>
      </c>
      <c r="O7178" s="17" t="s">
        <v>36</v>
      </c>
      <c r="P7178" s="12" t="s">
        <v>36</v>
      </c>
      <c r="Q7178" s="12" t="s">
        <v>36</v>
      </c>
      <c r="R7178" s="12" t="s">
        <v>36</v>
      </c>
      <c r="S7178" s="12" t="s">
        <v>36</v>
      </c>
      <c r="T7178" s="12" t="s">
        <v>26391</v>
      </c>
      <c r="U7178" s="12" t="s">
        <v>38</v>
      </c>
      <c r="V7178" s="12" t="s">
        <v>39</v>
      </c>
      <c r="W7178" s="12" t="s">
        <v>31956</v>
      </c>
      <c r="X7178" s="16" t="s">
        <v>31957</v>
      </c>
      <c r="Y7178" s="15" t="s">
        <v>108</v>
      </c>
      <c r="Z7178" s="14" t="s">
        <v>36</v>
      </c>
      <c r="AA7178" s="14" t="s">
        <v>36</v>
      </c>
      <c r="AB7178" s="12" t="s">
        <v>43</v>
      </c>
      <c r="AC7178" s="12" t="s">
        <v>31958</v>
      </c>
      <c r="AD7178" s="13">
        <v>42156</v>
      </c>
      <c r="AE7178" s="12" t="s">
        <v>339</v>
      </c>
      <c r="AF7178" s="12" t="s">
        <v>1636</v>
      </c>
      <c r="AG7178" s="12" t="s">
        <v>31959</v>
      </c>
      <c r="AH7178" s="1">
        <f>HYPERLINK("https://my.pitchbook.com?c=69512-41T","View Company Online")</f>
      </c>
    </row>
    <row r="7179">
      <c r="A7179" s="3" t="s">
        <v>31960</v>
      </c>
      <c r="B7179" s="3" t="s">
        <v>27726</v>
      </c>
      <c r="C7179" s="5" t="s">
        <v>36</v>
      </c>
      <c r="D7179" s="5">
        <v>4</v>
      </c>
      <c r="E7179" s="5">
        <v>2</v>
      </c>
      <c r="F7179" s="5">
        <v>5</v>
      </c>
      <c r="G7179" s="6" t="s">
        <v>36</v>
      </c>
      <c r="H7179" s="4">
        <v>270.03</v>
      </c>
      <c r="I7179" s="7">
        <v>33.38</v>
      </c>
      <c r="J7179" s="3" t="s">
        <v>521</v>
      </c>
      <c r="K7179" s="9" t="s">
        <v>36</v>
      </c>
      <c r="L7179" s="6" t="s">
        <v>36</v>
      </c>
      <c r="M7179" s="3" t="s">
        <v>36</v>
      </c>
      <c r="N7179" s="3" t="s">
        <v>36</v>
      </c>
      <c r="O7179" s="8" t="s">
        <v>36</v>
      </c>
      <c r="P7179" s="3" t="s">
        <v>36</v>
      </c>
      <c r="Q7179" s="3" t="s">
        <v>36</v>
      </c>
      <c r="R7179" s="3" t="s">
        <v>36</v>
      </c>
      <c r="S7179" s="3" t="s">
        <v>36</v>
      </c>
      <c r="T7179" s="3" t="s">
        <v>9494</v>
      </c>
      <c r="U7179" s="3" t="s">
        <v>38</v>
      </c>
      <c r="V7179" s="3" t="s">
        <v>39</v>
      </c>
      <c r="W7179" s="3" t="s">
        <v>27727</v>
      </c>
      <c r="X7179" s="10" t="s">
        <v>31961</v>
      </c>
      <c r="Y7179" s="6" t="s">
        <v>192</v>
      </c>
      <c r="Z7179" s="4">
        <v>1.94</v>
      </c>
      <c r="AA7179" s="4">
        <v>5.82</v>
      </c>
      <c r="AB7179" s="3" t="s">
        <v>56</v>
      </c>
      <c r="AC7179" s="3" t="s">
        <v>27729</v>
      </c>
      <c r="AD7179" s="9">
        <v>42153</v>
      </c>
      <c r="AE7179" s="3" t="s">
        <v>554</v>
      </c>
      <c r="AF7179" s="3" t="s">
        <v>20487</v>
      </c>
      <c r="AG7179" s="3" t="s">
        <v>666</v>
      </c>
      <c r="AH7179" s="11">
        <f>HYPERLINK("https://my.pitchbook.com?c=81474-04T","View Company Online")</f>
      </c>
    </row>
    <row r="7180">
      <c r="A7180" s="12" t="s">
        <v>31962</v>
      </c>
      <c r="B7180" s="12" t="s">
        <v>27066</v>
      </c>
      <c r="C7180" s="19" t="s">
        <v>36</v>
      </c>
      <c r="D7180" s="19" t="s">
        <v>36</v>
      </c>
      <c r="E7180" s="19" t="s">
        <v>36</v>
      </c>
      <c r="F7180" s="19" t="s">
        <v>36</v>
      </c>
      <c r="G7180" s="15" t="s">
        <v>36</v>
      </c>
      <c r="H7180" s="14" t="s">
        <v>36</v>
      </c>
      <c r="I7180" s="18" t="s">
        <v>36</v>
      </c>
      <c r="J7180" s="12" t="s">
        <v>36</v>
      </c>
      <c r="K7180" s="13" t="s">
        <v>36</v>
      </c>
      <c r="L7180" s="15" t="s">
        <v>36</v>
      </c>
      <c r="M7180" s="12" t="s">
        <v>36</v>
      </c>
      <c r="N7180" s="12" t="s">
        <v>36</v>
      </c>
      <c r="O7180" s="17" t="s">
        <v>36</v>
      </c>
      <c r="P7180" s="12" t="s">
        <v>36</v>
      </c>
      <c r="Q7180" s="12" t="s">
        <v>36</v>
      </c>
      <c r="R7180" s="12" t="s">
        <v>36</v>
      </c>
      <c r="S7180" s="12" t="s">
        <v>36</v>
      </c>
      <c r="T7180" s="12" t="s">
        <v>3729</v>
      </c>
      <c r="U7180" s="12" t="s">
        <v>219</v>
      </c>
      <c r="V7180" s="12" t="s">
        <v>75</v>
      </c>
      <c r="W7180" s="12" t="s">
        <v>27067</v>
      </c>
      <c r="X7180" s="16" t="s">
        <v>31963</v>
      </c>
      <c r="Y7180" s="15" t="s">
        <v>42</v>
      </c>
      <c r="Z7180" s="14" t="s">
        <v>36</v>
      </c>
      <c r="AA7180" s="14" t="s">
        <v>36</v>
      </c>
      <c r="AB7180" s="12" t="s">
        <v>56</v>
      </c>
      <c r="AC7180" s="12" t="s">
        <v>27069</v>
      </c>
      <c r="AD7180" s="13">
        <v>42152</v>
      </c>
      <c r="AE7180" s="12" t="s">
        <v>1032</v>
      </c>
      <c r="AF7180" s="12" t="s">
        <v>822</v>
      </c>
      <c r="AG7180" s="12" t="s">
        <v>27070</v>
      </c>
      <c r="AH7180" s="1">
        <f>HYPERLINK("https://my.pitchbook.com?c=51225-49T","View Company Online")</f>
      </c>
    </row>
    <row r="7181">
      <c r="A7181" s="3" t="s">
        <v>31964</v>
      </c>
      <c r="B7181" s="3" t="s">
        <v>31965</v>
      </c>
      <c r="C7181" s="5">
        <v>1</v>
      </c>
      <c r="D7181" s="5">
        <v>16</v>
      </c>
      <c r="E7181" s="5">
        <v>5</v>
      </c>
      <c r="F7181" s="5">
        <v>29</v>
      </c>
      <c r="G7181" s="6" t="s">
        <v>2497</v>
      </c>
      <c r="H7181" s="4">
        <v>51.76</v>
      </c>
      <c r="I7181" s="7">
        <v>68.11</v>
      </c>
      <c r="J7181" s="3" t="s">
        <v>521</v>
      </c>
      <c r="K7181" s="9">
        <v>41912</v>
      </c>
      <c r="L7181" s="6" t="s">
        <v>1279</v>
      </c>
      <c r="M7181" s="3" t="s">
        <v>36</v>
      </c>
      <c r="N7181" s="3" t="s">
        <v>1279</v>
      </c>
      <c r="O7181" s="8" t="s">
        <v>36</v>
      </c>
      <c r="P7181" s="3" t="s">
        <v>36</v>
      </c>
      <c r="Q7181" s="3" t="s">
        <v>36</v>
      </c>
      <c r="R7181" s="3" t="s">
        <v>36</v>
      </c>
      <c r="S7181" s="3" t="s">
        <v>36</v>
      </c>
      <c r="T7181" s="3" t="s">
        <v>11722</v>
      </c>
      <c r="U7181" s="3" t="s">
        <v>51</v>
      </c>
      <c r="V7181" s="3" t="s">
        <v>52</v>
      </c>
      <c r="W7181" s="3" t="s">
        <v>31966</v>
      </c>
      <c r="X7181" s="10" t="s">
        <v>31967</v>
      </c>
      <c r="Y7181" s="6" t="s">
        <v>55</v>
      </c>
      <c r="Z7181" s="4">
        <v>4.78</v>
      </c>
      <c r="AA7181" s="4">
        <v>7.02</v>
      </c>
      <c r="AB7181" s="3" t="s">
        <v>56</v>
      </c>
      <c r="AC7181" s="3" t="s">
        <v>31968</v>
      </c>
      <c r="AD7181" s="9">
        <v>42152</v>
      </c>
      <c r="AE7181" s="3" t="s">
        <v>58</v>
      </c>
      <c r="AF7181" s="3" t="s">
        <v>159</v>
      </c>
      <c r="AG7181" s="3" t="s">
        <v>2450</v>
      </c>
      <c r="AH7181" s="11">
        <f>HYPERLINK("https://my.pitchbook.com?c=38130-67T","View Company Online")</f>
      </c>
    </row>
    <row r="7182">
      <c r="A7182" s="12" t="s">
        <v>31969</v>
      </c>
      <c r="B7182" s="12" t="s">
        <v>25108</v>
      </c>
      <c r="C7182" s="19" t="s">
        <v>36</v>
      </c>
      <c r="D7182" s="19" t="s">
        <v>36</v>
      </c>
      <c r="E7182" s="19" t="s">
        <v>36</v>
      </c>
      <c r="F7182" s="19" t="s">
        <v>36</v>
      </c>
      <c r="G7182" s="15" t="s">
        <v>36</v>
      </c>
      <c r="H7182" s="14">
        <v>5.12</v>
      </c>
      <c r="I7182" s="18">
        <v>27.23</v>
      </c>
      <c r="J7182" s="12" t="s">
        <v>521</v>
      </c>
      <c r="K7182" s="13" t="s">
        <v>36</v>
      </c>
      <c r="L7182" s="15" t="s">
        <v>36</v>
      </c>
      <c r="M7182" s="12" t="s">
        <v>36</v>
      </c>
      <c r="N7182" s="12" t="s">
        <v>36</v>
      </c>
      <c r="O7182" s="17" t="s">
        <v>36</v>
      </c>
      <c r="P7182" s="12" t="s">
        <v>36</v>
      </c>
      <c r="Q7182" s="12" t="s">
        <v>36</v>
      </c>
      <c r="R7182" s="12" t="s">
        <v>36</v>
      </c>
      <c r="S7182" s="12" t="s">
        <v>36</v>
      </c>
      <c r="T7182" s="12" t="s">
        <v>3397</v>
      </c>
      <c r="U7182" s="12" t="s">
        <v>423</v>
      </c>
      <c r="V7182" s="12" t="s">
        <v>64</v>
      </c>
      <c r="W7182" s="12" t="s">
        <v>25109</v>
      </c>
      <c r="X7182" s="16" t="s">
        <v>31970</v>
      </c>
      <c r="Y7182" s="15" t="s">
        <v>42</v>
      </c>
      <c r="Z7182" s="14">
        <v>0.45</v>
      </c>
      <c r="AA7182" s="14">
        <v>1.24</v>
      </c>
      <c r="AB7182" s="12" t="s">
        <v>56</v>
      </c>
      <c r="AC7182" s="12" t="s">
        <v>25111</v>
      </c>
      <c r="AD7182" s="13">
        <v>42150</v>
      </c>
      <c r="AE7182" s="12" t="s">
        <v>562</v>
      </c>
      <c r="AF7182" s="12" t="s">
        <v>4270</v>
      </c>
      <c r="AG7182" s="12" t="s">
        <v>382</v>
      </c>
      <c r="AH7182" s="1">
        <f>HYPERLINK("https://my.pitchbook.com?c=53216-11T","View Company Online")</f>
      </c>
    </row>
    <row r="7183">
      <c r="A7183" s="3" t="s">
        <v>31971</v>
      </c>
      <c r="B7183" s="3" t="s">
        <v>31972</v>
      </c>
      <c r="C7183" s="5" t="s">
        <v>36</v>
      </c>
      <c r="D7183" s="5" t="s">
        <v>36</v>
      </c>
      <c r="E7183" s="5" t="s">
        <v>36</v>
      </c>
      <c r="F7183" s="5" t="s">
        <v>36</v>
      </c>
      <c r="G7183" s="6" t="s">
        <v>326</v>
      </c>
      <c r="H7183" s="4">
        <v>95.24</v>
      </c>
      <c r="I7183" s="7">
        <v>27.54</v>
      </c>
      <c r="J7183" s="3" t="s">
        <v>521</v>
      </c>
      <c r="K7183" s="9" t="s">
        <v>36</v>
      </c>
      <c r="L7183" s="6" t="s">
        <v>36</v>
      </c>
      <c r="M7183" s="3" t="s">
        <v>36</v>
      </c>
      <c r="N7183" s="3" t="s">
        <v>36</v>
      </c>
      <c r="O7183" s="8" t="s">
        <v>36</v>
      </c>
      <c r="P7183" s="3" t="s">
        <v>36</v>
      </c>
      <c r="Q7183" s="3" t="s">
        <v>36</v>
      </c>
      <c r="R7183" s="3" t="s">
        <v>36</v>
      </c>
      <c r="S7183" s="3" t="s">
        <v>36</v>
      </c>
      <c r="T7183" s="3" t="s">
        <v>768</v>
      </c>
      <c r="U7183" s="3" t="s">
        <v>233</v>
      </c>
      <c r="V7183" s="3" t="s">
        <v>39</v>
      </c>
      <c r="W7183" s="3" t="s">
        <v>31973</v>
      </c>
      <c r="X7183" s="10" t="s">
        <v>31974</v>
      </c>
      <c r="Y7183" s="6" t="s">
        <v>108</v>
      </c>
      <c r="Z7183" s="4">
        <v>5</v>
      </c>
      <c r="AA7183" s="4">
        <v>13.8</v>
      </c>
      <c r="AB7183" s="3" t="s">
        <v>43</v>
      </c>
      <c r="AC7183" s="3" t="s">
        <v>31975</v>
      </c>
      <c r="AD7183" s="9">
        <v>42150</v>
      </c>
      <c r="AE7183" s="3" t="s">
        <v>236</v>
      </c>
      <c r="AF7183" s="3" t="s">
        <v>3904</v>
      </c>
      <c r="AG7183" s="3" t="s">
        <v>81</v>
      </c>
      <c r="AH7183" s="11">
        <f>HYPERLINK("https://my.pitchbook.com?c=50858-74T","View Company Online")</f>
      </c>
    </row>
    <row r="7184">
      <c r="A7184" s="12" t="s">
        <v>31976</v>
      </c>
      <c r="B7184" s="12" t="s">
        <v>31977</v>
      </c>
      <c r="C7184" s="19" t="s">
        <v>36</v>
      </c>
      <c r="D7184" s="19" t="s">
        <v>36</v>
      </c>
      <c r="E7184" s="19" t="s">
        <v>36</v>
      </c>
      <c r="F7184" s="19" t="s">
        <v>36</v>
      </c>
      <c r="G7184" s="15" t="s">
        <v>36</v>
      </c>
      <c r="H7184" s="14" t="s">
        <v>36</v>
      </c>
      <c r="I7184" s="18" t="s">
        <v>36</v>
      </c>
      <c r="J7184" s="12" t="s">
        <v>36</v>
      </c>
      <c r="K7184" s="13" t="s">
        <v>36</v>
      </c>
      <c r="L7184" s="15" t="s">
        <v>36</v>
      </c>
      <c r="M7184" s="12" t="s">
        <v>36</v>
      </c>
      <c r="N7184" s="12" t="s">
        <v>36</v>
      </c>
      <c r="O7184" s="17" t="s">
        <v>36</v>
      </c>
      <c r="P7184" s="12" t="s">
        <v>36</v>
      </c>
      <c r="Q7184" s="12" t="s">
        <v>36</v>
      </c>
      <c r="R7184" s="12" t="s">
        <v>36</v>
      </c>
      <c r="S7184" s="12" t="s">
        <v>36</v>
      </c>
      <c r="T7184" s="12" t="s">
        <v>31978</v>
      </c>
      <c r="U7184" s="12" t="s">
        <v>63</v>
      </c>
      <c r="V7184" s="12" t="s">
        <v>64</v>
      </c>
      <c r="W7184" s="12" t="s">
        <v>31979</v>
      </c>
      <c r="X7184" s="16" t="s">
        <v>31980</v>
      </c>
      <c r="Y7184" s="15" t="s">
        <v>42</v>
      </c>
      <c r="Z7184" s="14">
        <v>1.67</v>
      </c>
      <c r="AA7184" s="14" t="s">
        <v>36</v>
      </c>
      <c r="AB7184" s="12" t="s">
        <v>56</v>
      </c>
      <c r="AC7184" s="12" t="s">
        <v>31981</v>
      </c>
      <c r="AD7184" s="13">
        <v>42149</v>
      </c>
      <c r="AE7184" s="12" t="s">
        <v>4310</v>
      </c>
      <c r="AF7184" s="12" t="s">
        <v>1977</v>
      </c>
      <c r="AG7184" s="12" t="s">
        <v>652</v>
      </c>
      <c r="AH7184" s="1">
        <f>HYPERLINK("https://my.pitchbook.com?c=70559-02T","View Company Online")</f>
      </c>
    </row>
    <row r="7185">
      <c r="A7185" s="3" t="s">
        <v>31982</v>
      </c>
      <c r="B7185" s="3" t="s">
        <v>31983</v>
      </c>
      <c r="C7185" s="5" t="s">
        <v>36</v>
      </c>
      <c r="D7185" s="5" t="s">
        <v>36</v>
      </c>
      <c r="E7185" s="5" t="s">
        <v>36</v>
      </c>
      <c r="F7185" s="5" t="s">
        <v>36</v>
      </c>
      <c r="G7185" s="6" t="s">
        <v>36</v>
      </c>
      <c r="H7185" s="4">
        <v>7.76</v>
      </c>
      <c r="I7185" s="7">
        <v>26.45</v>
      </c>
      <c r="J7185" s="3" t="s">
        <v>521</v>
      </c>
      <c r="K7185" s="9" t="s">
        <v>36</v>
      </c>
      <c r="L7185" s="6" t="s">
        <v>36</v>
      </c>
      <c r="M7185" s="3" t="s">
        <v>36</v>
      </c>
      <c r="N7185" s="3" t="s">
        <v>36</v>
      </c>
      <c r="O7185" s="8" t="s">
        <v>36</v>
      </c>
      <c r="P7185" s="3" t="s">
        <v>36</v>
      </c>
      <c r="Q7185" s="3" t="s">
        <v>36</v>
      </c>
      <c r="R7185" s="3" t="s">
        <v>36</v>
      </c>
      <c r="S7185" s="3" t="s">
        <v>36</v>
      </c>
      <c r="T7185" s="3" t="s">
        <v>522</v>
      </c>
      <c r="U7185" s="3" t="s">
        <v>38</v>
      </c>
      <c r="V7185" s="3" t="s">
        <v>39</v>
      </c>
      <c r="W7185" s="3" t="s">
        <v>31984</v>
      </c>
      <c r="X7185" s="10" t="s">
        <v>31985</v>
      </c>
      <c r="Y7185" s="6" t="s">
        <v>42</v>
      </c>
      <c r="Z7185" s="4">
        <v>0.8</v>
      </c>
      <c r="AA7185" s="4">
        <v>3.04</v>
      </c>
      <c r="AB7185" s="3" t="s">
        <v>43</v>
      </c>
      <c r="AC7185" s="3" t="s">
        <v>31986</v>
      </c>
      <c r="AD7185" s="9">
        <v>42149</v>
      </c>
      <c r="AE7185" s="3" t="s">
        <v>110</v>
      </c>
      <c r="AF7185" s="3" t="s">
        <v>2593</v>
      </c>
      <c r="AG7185" s="3" t="s">
        <v>81</v>
      </c>
      <c r="AH7185" s="11">
        <f>HYPERLINK("https://my.pitchbook.com?c=89191-54T","View Company Online")</f>
      </c>
    </row>
    <row r="7186">
      <c r="A7186" s="12" t="s">
        <v>31987</v>
      </c>
      <c r="B7186" s="12" t="s">
        <v>30442</v>
      </c>
      <c r="C7186" s="19" t="s">
        <v>36</v>
      </c>
      <c r="D7186" s="19">
        <v>5</v>
      </c>
      <c r="E7186" s="19">
        <v>4</v>
      </c>
      <c r="F7186" s="19">
        <v>14</v>
      </c>
      <c r="G7186" s="15" t="s">
        <v>326</v>
      </c>
      <c r="H7186" s="14">
        <v>25.78</v>
      </c>
      <c r="I7186" s="18">
        <v>48.24</v>
      </c>
      <c r="J7186" s="12" t="s">
        <v>521</v>
      </c>
      <c r="K7186" s="13" t="s">
        <v>36</v>
      </c>
      <c r="L7186" s="15" t="s">
        <v>36</v>
      </c>
      <c r="M7186" s="12" t="s">
        <v>36</v>
      </c>
      <c r="N7186" s="12" t="s">
        <v>36</v>
      </c>
      <c r="O7186" s="17" t="s">
        <v>36</v>
      </c>
      <c r="P7186" s="12" t="s">
        <v>36</v>
      </c>
      <c r="Q7186" s="12" t="s">
        <v>36</v>
      </c>
      <c r="R7186" s="12" t="s">
        <v>36</v>
      </c>
      <c r="S7186" s="12" t="s">
        <v>36</v>
      </c>
      <c r="T7186" s="12" t="s">
        <v>30443</v>
      </c>
      <c r="U7186" s="12" t="s">
        <v>51</v>
      </c>
      <c r="V7186" s="12" t="s">
        <v>52</v>
      </c>
      <c r="W7186" s="12" t="s">
        <v>30444</v>
      </c>
      <c r="X7186" s="16" t="s">
        <v>31988</v>
      </c>
      <c r="Y7186" s="15" t="s">
        <v>108</v>
      </c>
      <c r="Z7186" s="14">
        <v>1.29</v>
      </c>
      <c r="AA7186" s="14">
        <v>2.68</v>
      </c>
      <c r="AB7186" s="12" t="s">
        <v>43</v>
      </c>
      <c r="AC7186" s="12" t="s">
        <v>30445</v>
      </c>
      <c r="AD7186" s="13">
        <v>42146</v>
      </c>
      <c r="AE7186" s="12" t="s">
        <v>158</v>
      </c>
      <c r="AF7186" s="12" t="s">
        <v>30446</v>
      </c>
      <c r="AG7186" s="12" t="s">
        <v>5504</v>
      </c>
      <c r="AH7186" s="1">
        <f>HYPERLINK("https://my.pitchbook.com?c=65161-45T","View Company Online")</f>
      </c>
    </row>
    <row r="7187">
      <c r="A7187" s="3" t="s">
        <v>31989</v>
      </c>
      <c r="B7187" s="3" t="s">
        <v>26948</v>
      </c>
      <c r="C7187" s="5" t="s">
        <v>36</v>
      </c>
      <c r="D7187" s="5" t="s">
        <v>36</v>
      </c>
      <c r="E7187" s="5" t="s">
        <v>36</v>
      </c>
      <c r="F7187" s="5" t="s">
        <v>36</v>
      </c>
      <c r="G7187" s="6" t="s">
        <v>36</v>
      </c>
      <c r="H7187" s="4">
        <v>255.64</v>
      </c>
      <c r="I7187" s="7">
        <v>22.83</v>
      </c>
      <c r="J7187" s="3" t="s">
        <v>521</v>
      </c>
      <c r="K7187" s="9" t="s">
        <v>36</v>
      </c>
      <c r="L7187" s="6" t="s">
        <v>122</v>
      </c>
      <c r="M7187" s="3" t="s">
        <v>36</v>
      </c>
      <c r="N7187" s="3" t="s">
        <v>122</v>
      </c>
      <c r="O7187" s="8" t="s">
        <v>36</v>
      </c>
      <c r="P7187" s="3" t="s">
        <v>36</v>
      </c>
      <c r="Q7187" s="3" t="s">
        <v>36</v>
      </c>
      <c r="R7187" s="3" t="s">
        <v>36</v>
      </c>
      <c r="S7187" s="3" t="s">
        <v>36</v>
      </c>
      <c r="T7187" s="3" t="s">
        <v>522</v>
      </c>
      <c r="U7187" s="3" t="s">
        <v>38</v>
      </c>
      <c r="V7187" s="3" t="s">
        <v>39</v>
      </c>
      <c r="W7187" s="3" t="s">
        <v>26949</v>
      </c>
      <c r="X7187" s="10" t="s">
        <v>26950</v>
      </c>
      <c r="Y7187" s="6" t="s">
        <v>108</v>
      </c>
      <c r="Z7187" s="4">
        <v>1.67</v>
      </c>
      <c r="AA7187" s="4">
        <v>7.33</v>
      </c>
      <c r="AB7187" s="3" t="s">
        <v>43</v>
      </c>
      <c r="AC7187" s="3" t="s">
        <v>26951</v>
      </c>
      <c r="AD7187" s="9">
        <v>42146</v>
      </c>
      <c r="AE7187" s="3" t="s">
        <v>110</v>
      </c>
      <c r="AF7187" s="3" t="s">
        <v>26952</v>
      </c>
      <c r="AG7187" s="3" t="s">
        <v>81</v>
      </c>
      <c r="AH7187" s="11">
        <f>HYPERLINK("https://my.pitchbook.com?c=50645-98T","View Company Online")</f>
      </c>
    </row>
    <row r="7188">
      <c r="A7188" s="12" t="s">
        <v>31990</v>
      </c>
      <c r="B7188" s="12" t="s">
        <v>9624</v>
      </c>
      <c r="C7188" s="19">
        <v>1</v>
      </c>
      <c r="D7188" s="19" t="s">
        <v>36</v>
      </c>
      <c r="E7188" s="19">
        <v>1</v>
      </c>
      <c r="F7188" s="19">
        <v>1</v>
      </c>
      <c r="G7188" s="15" t="s">
        <v>36</v>
      </c>
      <c r="H7188" s="14">
        <v>1265</v>
      </c>
      <c r="I7188" s="18">
        <v>15.04</v>
      </c>
      <c r="J7188" s="12" t="s">
        <v>521</v>
      </c>
      <c r="K7188" s="13" t="s">
        <v>36</v>
      </c>
      <c r="L7188" s="15" t="s">
        <v>36</v>
      </c>
      <c r="M7188" s="12" t="s">
        <v>36</v>
      </c>
      <c r="N7188" s="12" t="s">
        <v>36</v>
      </c>
      <c r="O7188" s="17" t="s">
        <v>36</v>
      </c>
      <c r="P7188" s="12" t="s">
        <v>36</v>
      </c>
      <c r="Q7188" s="12" t="s">
        <v>36</v>
      </c>
      <c r="R7188" s="12" t="s">
        <v>36</v>
      </c>
      <c r="S7188" s="12" t="s">
        <v>36</v>
      </c>
      <c r="T7188" s="12" t="s">
        <v>9625</v>
      </c>
      <c r="U7188" s="12" t="s">
        <v>38</v>
      </c>
      <c r="V7188" s="12" t="s">
        <v>39</v>
      </c>
      <c r="W7188" s="12" t="s">
        <v>9626</v>
      </c>
      <c r="X7188" s="16" t="s">
        <v>31991</v>
      </c>
      <c r="Y7188" s="15" t="s">
        <v>42</v>
      </c>
      <c r="Z7188" s="14">
        <v>0.22</v>
      </c>
      <c r="AA7188" s="14">
        <v>1.49</v>
      </c>
      <c r="AB7188" s="12" t="s">
        <v>43</v>
      </c>
      <c r="AC7188" s="12" t="s">
        <v>9628</v>
      </c>
      <c r="AD7188" s="13">
        <v>42146</v>
      </c>
      <c r="AE7188" s="12" t="s">
        <v>110</v>
      </c>
      <c r="AF7188" s="12" t="s">
        <v>526</v>
      </c>
      <c r="AG7188" s="12" t="s">
        <v>81</v>
      </c>
      <c r="AH7188" s="1">
        <f>HYPERLINK("https://my.pitchbook.com?c=81422-83T","View Company Online")</f>
      </c>
    </row>
    <row r="7189">
      <c r="A7189" s="3" t="s">
        <v>31992</v>
      </c>
      <c r="B7189" s="3" t="s">
        <v>31993</v>
      </c>
      <c r="C7189" s="5" t="s">
        <v>36</v>
      </c>
      <c r="D7189" s="5" t="s">
        <v>36</v>
      </c>
      <c r="E7189" s="5" t="s">
        <v>36</v>
      </c>
      <c r="F7189" s="5" t="s">
        <v>36</v>
      </c>
      <c r="G7189" s="6" t="s">
        <v>36</v>
      </c>
      <c r="H7189" s="4">
        <v>149.55</v>
      </c>
      <c r="I7189" s="7">
        <v>23.23</v>
      </c>
      <c r="J7189" s="3" t="s">
        <v>521</v>
      </c>
      <c r="K7189" s="9" t="s">
        <v>36</v>
      </c>
      <c r="L7189" s="6" t="s">
        <v>36</v>
      </c>
      <c r="M7189" s="3" t="s">
        <v>36</v>
      </c>
      <c r="N7189" s="3" t="s">
        <v>36</v>
      </c>
      <c r="O7189" s="8" t="s">
        <v>36</v>
      </c>
      <c r="P7189" s="3" t="s">
        <v>36</v>
      </c>
      <c r="Q7189" s="3" t="s">
        <v>36</v>
      </c>
      <c r="R7189" s="3" t="s">
        <v>36</v>
      </c>
      <c r="S7189" s="3" t="s">
        <v>36</v>
      </c>
      <c r="T7189" s="3" t="s">
        <v>2431</v>
      </c>
      <c r="U7189" s="3" t="s">
        <v>74</v>
      </c>
      <c r="V7189" s="3" t="s">
        <v>75</v>
      </c>
      <c r="W7189" s="3" t="s">
        <v>31994</v>
      </c>
      <c r="X7189" s="10" t="s">
        <v>1399</v>
      </c>
      <c r="Y7189" s="6" t="s">
        <v>42</v>
      </c>
      <c r="Z7189" s="4">
        <v>0.34</v>
      </c>
      <c r="AA7189" s="4">
        <v>1.45</v>
      </c>
      <c r="AB7189" s="3" t="s">
        <v>56</v>
      </c>
      <c r="AC7189" s="3" t="s">
        <v>31995</v>
      </c>
      <c r="AD7189" s="9">
        <v>42145</v>
      </c>
      <c r="AE7189" s="3" t="s">
        <v>79</v>
      </c>
      <c r="AF7189" s="3" t="s">
        <v>4674</v>
      </c>
      <c r="AG7189" s="3" t="s">
        <v>666</v>
      </c>
      <c r="AH7189" s="11">
        <f>HYPERLINK("https://my.pitchbook.com?c=218392-03T","View Company Online")</f>
      </c>
    </row>
    <row r="7190">
      <c r="A7190" s="12" t="s">
        <v>31996</v>
      </c>
      <c r="B7190" s="12" t="s">
        <v>31997</v>
      </c>
      <c r="C7190" s="19" t="s">
        <v>36</v>
      </c>
      <c r="D7190" s="19">
        <v>1</v>
      </c>
      <c r="E7190" s="19">
        <v>1</v>
      </c>
      <c r="F7190" s="19">
        <v>1</v>
      </c>
      <c r="G7190" s="15" t="s">
        <v>36</v>
      </c>
      <c r="H7190" s="14" t="s">
        <v>36</v>
      </c>
      <c r="I7190" s="18" t="s">
        <v>36</v>
      </c>
      <c r="J7190" s="12" t="s">
        <v>36</v>
      </c>
      <c r="K7190" s="13" t="s">
        <v>36</v>
      </c>
      <c r="L7190" s="15" t="s">
        <v>36</v>
      </c>
      <c r="M7190" s="12" t="s">
        <v>36</v>
      </c>
      <c r="N7190" s="12" t="s">
        <v>36</v>
      </c>
      <c r="O7190" s="17" t="s">
        <v>36</v>
      </c>
      <c r="P7190" s="12" t="s">
        <v>36</v>
      </c>
      <c r="Q7190" s="12" t="s">
        <v>36</v>
      </c>
      <c r="R7190" s="12" t="s">
        <v>36</v>
      </c>
      <c r="S7190" s="12" t="s">
        <v>36</v>
      </c>
      <c r="T7190" s="12" t="s">
        <v>11802</v>
      </c>
      <c r="U7190" s="12" t="s">
        <v>74</v>
      </c>
      <c r="V7190" s="12" t="s">
        <v>75</v>
      </c>
      <c r="W7190" s="12" t="s">
        <v>31998</v>
      </c>
      <c r="X7190" s="16" t="s">
        <v>1840</v>
      </c>
      <c r="Y7190" s="15" t="s">
        <v>42</v>
      </c>
      <c r="Z7190" s="14" t="s">
        <v>36</v>
      </c>
      <c r="AA7190" s="14" t="s">
        <v>36</v>
      </c>
      <c r="AB7190" s="12" t="s">
        <v>56</v>
      </c>
      <c r="AC7190" s="12" t="s">
        <v>31999</v>
      </c>
      <c r="AD7190" s="13">
        <v>42145</v>
      </c>
      <c r="AE7190" s="12" t="s">
        <v>1888</v>
      </c>
      <c r="AF7190" s="12" t="s">
        <v>546</v>
      </c>
      <c r="AG7190" s="12" t="s">
        <v>81</v>
      </c>
      <c r="AH7190" s="1">
        <f>HYPERLINK("https://my.pitchbook.com?c=54645-31T","View Company Online")</f>
      </c>
    </row>
    <row r="7191">
      <c r="A7191" s="3" t="s">
        <v>32000</v>
      </c>
      <c r="B7191" s="3" t="s">
        <v>4647</v>
      </c>
      <c r="C7191" s="5" t="s">
        <v>36</v>
      </c>
      <c r="D7191" s="5" t="s">
        <v>36</v>
      </c>
      <c r="E7191" s="5" t="s">
        <v>36</v>
      </c>
      <c r="F7191" s="5" t="s">
        <v>36</v>
      </c>
      <c r="G7191" s="6" t="s">
        <v>326</v>
      </c>
      <c r="H7191" s="4">
        <v>391.23</v>
      </c>
      <c r="I7191" s="7">
        <v>23.98</v>
      </c>
      <c r="J7191" s="3" t="s">
        <v>521</v>
      </c>
      <c r="K7191" s="9" t="s">
        <v>36</v>
      </c>
      <c r="L7191" s="6" t="s">
        <v>122</v>
      </c>
      <c r="M7191" s="3" t="s">
        <v>36</v>
      </c>
      <c r="N7191" s="3" t="s">
        <v>122</v>
      </c>
      <c r="O7191" s="8" t="s">
        <v>36</v>
      </c>
      <c r="P7191" s="3" t="s">
        <v>36</v>
      </c>
      <c r="Q7191" s="3" t="s">
        <v>36</v>
      </c>
      <c r="R7191" s="3" t="s">
        <v>36</v>
      </c>
      <c r="S7191" s="3" t="s">
        <v>36</v>
      </c>
      <c r="T7191" s="3" t="s">
        <v>4648</v>
      </c>
      <c r="U7191" s="3" t="s">
        <v>74</v>
      </c>
      <c r="V7191" s="3" t="s">
        <v>75</v>
      </c>
      <c r="W7191" s="3" t="s">
        <v>4649</v>
      </c>
      <c r="X7191" s="10" t="s">
        <v>32001</v>
      </c>
      <c r="Y7191" s="6" t="s">
        <v>108</v>
      </c>
      <c r="Z7191" s="4">
        <v>1.67</v>
      </c>
      <c r="AA7191" s="4">
        <v>6.96</v>
      </c>
      <c r="AB7191" s="3" t="s">
        <v>43</v>
      </c>
      <c r="AC7191" s="3" t="s">
        <v>4650</v>
      </c>
      <c r="AD7191" s="9">
        <v>42144</v>
      </c>
      <c r="AE7191" s="3" t="s">
        <v>362</v>
      </c>
      <c r="AF7191" s="3" t="s">
        <v>4651</v>
      </c>
      <c r="AG7191" s="3" t="s">
        <v>81</v>
      </c>
      <c r="AH7191" s="11">
        <f>HYPERLINK("https://my.pitchbook.com?c=50523-22T","View Company Online")</f>
      </c>
    </row>
    <row r="7192">
      <c r="A7192" s="12" t="s">
        <v>32002</v>
      </c>
      <c r="B7192" s="12" t="s">
        <v>32003</v>
      </c>
      <c r="C7192" s="19" t="s">
        <v>36</v>
      </c>
      <c r="D7192" s="19">
        <v>30</v>
      </c>
      <c r="E7192" s="19">
        <v>3</v>
      </c>
      <c r="F7192" s="19">
        <v>35</v>
      </c>
      <c r="G7192" s="15" t="s">
        <v>36</v>
      </c>
      <c r="H7192" s="14" t="s">
        <v>36</v>
      </c>
      <c r="I7192" s="18">
        <v>20.72</v>
      </c>
      <c r="J7192" s="12" t="s">
        <v>521</v>
      </c>
      <c r="K7192" s="13" t="s">
        <v>36</v>
      </c>
      <c r="L7192" s="15" t="s">
        <v>36</v>
      </c>
      <c r="M7192" s="12" t="s">
        <v>36</v>
      </c>
      <c r="N7192" s="12" t="s">
        <v>36</v>
      </c>
      <c r="O7192" s="17" t="s">
        <v>36</v>
      </c>
      <c r="P7192" s="12" t="s">
        <v>36</v>
      </c>
      <c r="Q7192" s="12" t="s">
        <v>36</v>
      </c>
      <c r="R7192" s="12" t="s">
        <v>36</v>
      </c>
      <c r="S7192" s="12" t="s">
        <v>36</v>
      </c>
      <c r="T7192" s="12" t="s">
        <v>881</v>
      </c>
      <c r="U7192" s="12" t="s">
        <v>51</v>
      </c>
      <c r="V7192" s="12" t="s">
        <v>52</v>
      </c>
      <c r="W7192" s="12" t="s">
        <v>32004</v>
      </c>
      <c r="X7192" s="16" t="s">
        <v>32005</v>
      </c>
      <c r="Y7192" s="15" t="s">
        <v>192</v>
      </c>
      <c r="Z7192" s="14">
        <v>4.01</v>
      </c>
      <c r="AA7192" s="14">
        <v>19.34</v>
      </c>
      <c r="AB7192" s="12" t="s">
        <v>56</v>
      </c>
      <c r="AC7192" s="12" t="s">
        <v>32006</v>
      </c>
      <c r="AD7192" s="13">
        <v>42144</v>
      </c>
      <c r="AE7192" s="12" t="s">
        <v>504</v>
      </c>
      <c r="AF7192" s="12" t="s">
        <v>3193</v>
      </c>
      <c r="AG7192" s="12" t="s">
        <v>81</v>
      </c>
      <c r="AH7192" s="1">
        <f>HYPERLINK("https://my.pitchbook.com?c=52975-99T","View Company Online")</f>
      </c>
    </row>
    <row r="7193">
      <c r="A7193" s="3" t="s">
        <v>32007</v>
      </c>
      <c r="B7193" s="3" t="s">
        <v>32008</v>
      </c>
      <c r="C7193" s="5" t="s">
        <v>36</v>
      </c>
      <c r="D7193" s="5" t="s">
        <v>36</v>
      </c>
      <c r="E7193" s="5" t="s">
        <v>36</v>
      </c>
      <c r="F7193" s="5" t="s">
        <v>36</v>
      </c>
      <c r="G7193" s="6" t="s">
        <v>36</v>
      </c>
      <c r="H7193" s="4">
        <v>118.91</v>
      </c>
      <c r="I7193" s="7">
        <v>12.37</v>
      </c>
      <c r="J7193" s="3" t="s">
        <v>521</v>
      </c>
      <c r="K7193" s="9" t="s">
        <v>36</v>
      </c>
      <c r="L7193" s="6" t="s">
        <v>36</v>
      </c>
      <c r="M7193" s="3" t="s">
        <v>36</v>
      </c>
      <c r="N7193" s="3" t="s">
        <v>36</v>
      </c>
      <c r="O7193" s="8" t="s">
        <v>36</v>
      </c>
      <c r="P7193" s="3" t="s">
        <v>36</v>
      </c>
      <c r="Q7193" s="3" t="s">
        <v>36</v>
      </c>
      <c r="R7193" s="3" t="s">
        <v>36</v>
      </c>
      <c r="S7193" s="3" t="s">
        <v>36</v>
      </c>
      <c r="T7193" s="3" t="s">
        <v>522</v>
      </c>
      <c r="U7193" s="3" t="s">
        <v>38</v>
      </c>
      <c r="V7193" s="3" t="s">
        <v>39</v>
      </c>
      <c r="W7193" s="3" t="s">
        <v>32009</v>
      </c>
      <c r="X7193" s="10" t="s">
        <v>32010</v>
      </c>
      <c r="Y7193" s="6" t="s">
        <v>42</v>
      </c>
      <c r="Z7193" s="4">
        <v>0.13</v>
      </c>
      <c r="AA7193" s="4">
        <v>1.08</v>
      </c>
      <c r="AB7193" s="3" t="s">
        <v>56</v>
      </c>
      <c r="AC7193" s="3" t="s">
        <v>32011</v>
      </c>
      <c r="AD7193" s="9">
        <v>42144</v>
      </c>
      <c r="AE7193" s="3" t="s">
        <v>110</v>
      </c>
      <c r="AF7193" s="3" t="s">
        <v>36</v>
      </c>
      <c r="AG7193" s="3" t="s">
        <v>13945</v>
      </c>
      <c r="AH7193" s="11">
        <f>HYPERLINK("https://my.pitchbook.com?c=116520-85T","View Company Online")</f>
      </c>
    </row>
    <row r="7194">
      <c r="A7194" s="12" t="s">
        <v>32012</v>
      </c>
      <c r="B7194" s="12" t="s">
        <v>9835</v>
      </c>
      <c r="C7194" s="19">
        <v>2</v>
      </c>
      <c r="D7194" s="19">
        <v>21</v>
      </c>
      <c r="E7194" s="19">
        <v>6</v>
      </c>
      <c r="F7194" s="19">
        <v>23</v>
      </c>
      <c r="G7194" s="15" t="s">
        <v>683</v>
      </c>
      <c r="H7194" s="14">
        <v>51.93</v>
      </c>
      <c r="I7194" s="18">
        <v>39.13</v>
      </c>
      <c r="J7194" s="12" t="s">
        <v>521</v>
      </c>
      <c r="K7194" s="13">
        <v>42067</v>
      </c>
      <c r="L7194" s="15" t="s">
        <v>36</v>
      </c>
      <c r="M7194" s="12" t="s">
        <v>36</v>
      </c>
      <c r="N7194" s="12" t="s">
        <v>36</v>
      </c>
      <c r="O7194" s="17" t="s">
        <v>36</v>
      </c>
      <c r="P7194" s="12" t="s">
        <v>36</v>
      </c>
      <c r="Q7194" s="12" t="s">
        <v>36</v>
      </c>
      <c r="R7194" s="12" t="s">
        <v>36</v>
      </c>
      <c r="S7194" s="12" t="s">
        <v>36</v>
      </c>
      <c r="T7194" s="12" t="s">
        <v>9836</v>
      </c>
      <c r="U7194" s="12" t="s">
        <v>96</v>
      </c>
      <c r="V7194" s="12" t="s">
        <v>52</v>
      </c>
      <c r="W7194" s="12" t="s">
        <v>9837</v>
      </c>
      <c r="X7194" s="16" t="s">
        <v>32013</v>
      </c>
      <c r="Y7194" s="15" t="s">
        <v>108</v>
      </c>
      <c r="Z7194" s="14">
        <v>1</v>
      </c>
      <c r="AA7194" s="14">
        <v>2.56</v>
      </c>
      <c r="AB7194" s="12" t="s">
        <v>43</v>
      </c>
      <c r="AC7194" s="12" t="s">
        <v>9839</v>
      </c>
      <c r="AD7194" s="13">
        <v>42143</v>
      </c>
      <c r="AE7194" s="12" t="s">
        <v>100</v>
      </c>
      <c r="AF7194" s="12" t="s">
        <v>9840</v>
      </c>
      <c r="AG7194" s="12" t="s">
        <v>1843</v>
      </c>
      <c r="AH7194" s="1">
        <f>HYPERLINK("https://my.pitchbook.com?c=117756-55T","View Company Online")</f>
      </c>
    </row>
    <row r="7195">
      <c r="A7195" s="3" t="s">
        <v>32014</v>
      </c>
      <c r="B7195" s="3" t="s">
        <v>32015</v>
      </c>
      <c r="C7195" s="5" t="s">
        <v>36</v>
      </c>
      <c r="D7195" s="5" t="s">
        <v>36</v>
      </c>
      <c r="E7195" s="5" t="s">
        <v>36</v>
      </c>
      <c r="F7195" s="5" t="s">
        <v>36</v>
      </c>
      <c r="G7195" s="6" t="s">
        <v>36</v>
      </c>
      <c r="H7195" s="4" t="s">
        <v>36</v>
      </c>
      <c r="I7195" s="7" t="s">
        <v>36</v>
      </c>
      <c r="J7195" s="3" t="s">
        <v>36</v>
      </c>
      <c r="K7195" s="9" t="s">
        <v>36</v>
      </c>
      <c r="L7195" s="6" t="s">
        <v>36</v>
      </c>
      <c r="M7195" s="3" t="s">
        <v>36</v>
      </c>
      <c r="N7195" s="3" t="s">
        <v>36</v>
      </c>
      <c r="O7195" s="8" t="s">
        <v>36</v>
      </c>
      <c r="P7195" s="3" t="s">
        <v>36</v>
      </c>
      <c r="Q7195" s="3" t="s">
        <v>36</v>
      </c>
      <c r="R7195" s="3" t="s">
        <v>36</v>
      </c>
      <c r="S7195" s="3" t="s">
        <v>36</v>
      </c>
      <c r="T7195" s="3" t="s">
        <v>9456</v>
      </c>
      <c r="U7195" s="3" t="s">
        <v>63</v>
      </c>
      <c r="V7195" s="3" t="s">
        <v>64</v>
      </c>
      <c r="W7195" s="3" t="s">
        <v>32016</v>
      </c>
      <c r="X7195" s="10" t="s">
        <v>17804</v>
      </c>
      <c r="Y7195" s="6" t="s">
        <v>42</v>
      </c>
      <c r="Z7195" s="4">
        <v>1.33</v>
      </c>
      <c r="AA7195" s="4" t="s">
        <v>36</v>
      </c>
      <c r="AB7195" s="3" t="s">
        <v>43</v>
      </c>
      <c r="AC7195" s="3" t="s">
        <v>32017</v>
      </c>
      <c r="AD7195" s="9">
        <v>42143</v>
      </c>
      <c r="AE7195" s="3" t="s">
        <v>4310</v>
      </c>
      <c r="AF7195" s="3" t="s">
        <v>1977</v>
      </c>
      <c r="AG7195" s="3" t="s">
        <v>32018</v>
      </c>
      <c r="AH7195" s="11">
        <f>HYPERLINK("https://my.pitchbook.com?c=71184-88T","View Company Online")</f>
      </c>
    </row>
    <row r="7196">
      <c r="A7196" s="12" t="s">
        <v>32019</v>
      </c>
      <c r="B7196" s="12" t="s">
        <v>32020</v>
      </c>
      <c r="C7196" s="19" t="s">
        <v>36</v>
      </c>
      <c r="D7196" s="19" t="s">
        <v>36</v>
      </c>
      <c r="E7196" s="19" t="s">
        <v>36</v>
      </c>
      <c r="F7196" s="19" t="s">
        <v>36</v>
      </c>
      <c r="G7196" s="15" t="s">
        <v>36</v>
      </c>
      <c r="H7196" s="14">
        <v>1.34</v>
      </c>
      <c r="I7196" s="18">
        <v>42.33</v>
      </c>
      <c r="J7196" s="12" t="s">
        <v>521</v>
      </c>
      <c r="K7196" s="13">
        <v>42139</v>
      </c>
      <c r="L7196" s="15" t="s">
        <v>94</v>
      </c>
      <c r="M7196" s="12" t="s">
        <v>36</v>
      </c>
      <c r="N7196" s="12" t="s">
        <v>94</v>
      </c>
      <c r="O7196" s="17" t="s">
        <v>36</v>
      </c>
      <c r="P7196" s="12" t="s">
        <v>36</v>
      </c>
      <c r="Q7196" s="12" t="s">
        <v>36</v>
      </c>
      <c r="R7196" s="12" t="s">
        <v>36</v>
      </c>
      <c r="S7196" s="12" t="s">
        <v>36</v>
      </c>
      <c r="T7196" s="12" t="s">
        <v>9021</v>
      </c>
      <c r="U7196" s="12" t="s">
        <v>38</v>
      </c>
      <c r="V7196" s="12" t="s">
        <v>39</v>
      </c>
      <c r="W7196" s="12" t="s">
        <v>32021</v>
      </c>
      <c r="X7196" s="16" t="s">
        <v>32022</v>
      </c>
      <c r="Y7196" s="15" t="s">
        <v>108</v>
      </c>
      <c r="Z7196" s="14">
        <v>6.07</v>
      </c>
      <c r="AA7196" s="14">
        <v>14.34</v>
      </c>
      <c r="AB7196" s="12" t="s">
        <v>56</v>
      </c>
      <c r="AC7196" s="12" t="s">
        <v>32023</v>
      </c>
      <c r="AD7196" s="13">
        <v>42142</v>
      </c>
      <c r="AE7196" s="12" t="s">
        <v>554</v>
      </c>
      <c r="AF7196" s="12" t="s">
        <v>1296</v>
      </c>
      <c r="AG7196" s="12" t="s">
        <v>81</v>
      </c>
      <c r="AH7196" s="1">
        <f>HYPERLINK("https://my.pitchbook.com?c=50571-10T","View Company Online")</f>
      </c>
    </row>
    <row r="7197">
      <c r="A7197" s="3" t="s">
        <v>32024</v>
      </c>
      <c r="B7197" s="3" t="s">
        <v>32025</v>
      </c>
      <c r="C7197" s="5" t="s">
        <v>36</v>
      </c>
      <c r="D7197" s="5" t="s">
        <v>36</v>
      </c>
      <c r="E7197" s="5" t="s">
        <v>36</v>
      </c>
      <c r="F7197" s="5" t="s">
        <v>36</v>
      </c>
      <c r="G7197" s="6" t="s">
        <v>326</v>
      </c>
      <c r="H7197" s="4">
        <v>228.26</v>
      </c>
      <c r="I7197" s="7">
        <v>25.92</v>
      </c>
      <c r="J7197" s="3" t="s">
        <v>521</v>
      </c>
      <c r="K7197" s="9" t="s">
        <v>36</v>
      </c>
      <c r="L7197" s="6" t="s">
        <v>36</v>
      </c>
      <c r="M7197" s="3" t="s">
        <v>36</v>
      </c>
      <c r="N7197" s="3" t="s">
        <v>36</v>
      </c>
      <c r="O7197" s="8" t="s">
        <v>36</v>
      </c>
      <c r="P7197" s="3" t="s">
        <v>36</v>
      </c>
      <c r="Q7197" s="3" t="s">
        <v>36</v>
      </c>
      <c r="R7197" s="3" t="s">
        <v>36</v>
      </c>
      <c r="S7197" s="3" t="s">
        <v>36</v>
      </c>
      <c r="T7197" s="3" t="s">
        <v>32026</v>
      </c>
      <c r="U7197" s="3" t="s">
        <v>38</v>
      </c>
      <c r="V7197" s="3" t="s">
        <v>39</v>
      </c>
      <c r="W7197" s="3" t="s">
        <v>32027</v>
      </c>
      <c r="X7197" s="10" t="s">
        <v>32028</v>
      </c>
      <c r="Y7197" s="6" t="s">
        <v>42</v>
      </c>
      <c r="Z7197" s="4">
        <v>0.77</v>
      </c>
      <c r="AA7197" s="4">
        <v>2.98</v>
      </c>
      <c r="AB7197" s="3" t="s">
        <v>56</v>
      </c>
      <c r="AC7197" s="3" t="s">
        <v>32029</v>
      </c>
      <c r="AD7197" s="9">
        <v>42139</v>
      </c>
      <c r="AE7197" s="3" t="s">
        <v>110</v>
      </c>
      <c r="AF7197" s="3" t="s">
        <v>4552</v>
      </c>
      <c r="AG7197" s="3" t="s">
        <v>765</v>
      </c>
      <c r="AH7197" s="11">
        <f>HYPERLINK("https://my.pitchbook.com?c=53868-34T","View Company Online")</f>
      </c>
    </row>
    <row r="7198">
      <c r="A7198" s="12" t="s">
        <v>32030</v>
      </c>
      <c r="B7198" s="12" t="s">
        <v>14020</v>
      </c>
      <c r="C7198" s="19" t="s">
        <v>36</v>
      </c>
      <c r="D7198" s="19" t="s">
        <v>36</v>
      </c>
      <c r="E7198" s="19" t="s">
        <v>36</v>
      </c>
      <c r="F7198" s="19" t="s">
        <v>36</v>
      </c>
      <c r="G7198" s="15" t="s">
        <v>36</v>
      </c>
      <c r="H7198" s="14" t="s">
        <v>36</v>
      </c>
      <c r="I7198" s="18">
        <v>44.77</v>
      </c>
      <c r="J7198" s="12" t="s">
        <v>327</v>
      </c>
      <c r="K7198" s="13" t="s">
        <v>36</v>
      </c>
      <c r="L7198" s="15" t="s">
        <v>36</v>
      </c>
      <c r="M7198" s="12" t="s">
        <v>36</v>
      </c>
      <c r="N7198" s="12" t="s">
        <v>36</v>
      </c>
      <c r="O7198" s="17" t="s">
        <v>36</v>
      </c>
      <c r="P7198" s="12" t="s">
        <v>36</v>
      </c>
      <c r="Q7198" s="12" t="s">
        <v>36</v>
      </c>
      <c r="R7198" s="12" t="s">
        <v>36</v>
      </c>
      <c r="S7198" s="12" t="s">
        <v>36</v>
      </c>
      <c r="T7198" s="12" t="s">
        <v>1893</v>
      </c>
      <c r="U7198" s="12" t="s">
        <v>648</v>
      </c>
      <c r="V7198" s="12" t="s">
        <v>64</v>
      </c>
      <c r="W7198" s="12" t="s">
        <v>14021</v>
      </c>
      <c r="X7198" s="16" t="s">
        <v>32031</v>
      </c>
      <c r="Y7198" s="15" t="s">
        <v>42</v>
      </c>
      <c r="Z7198" s="14">
        <v>3.31</v>
      </c>
      <c r="AA7198" s="14">
        <v>7.4</v>
      </c>
      <c r="AB7198" s="12" t="s">
        <v>43</v>
      </c>
      <c r="AC7198" s="12" t="s">
        <v>14023</v>
      </c>
      <c r="AD7198" s="13">
        <v>42139</v>
      </c>
      <c r="AE7198" s="12" t="s">
        <v>1897</v>
      </c>
      <c r="AF7198" s="12" t="s">
        <v>36</v>
      </c>
      <c r="AG7198" s="12" t="s">
        <v>47</v>
      </c>
      <c r="AH7198" s="1">
        <f>HYPERLINK("https://my.pitchbook.com?c=86282-83T","View Company Online")</f>
      </c>
    </row>
    <row r="7199">
      <c r="A7199" s="3" t="s">
        <v>32032</v>
      </c>
      <c r="B7199" s="3" t="s">
        <v>4748</v>
      </c>
      <c r="C7199" s="5" t="s">
        <v>36</v>
      </c>
      <c r="D7199" s="5" t="s">
        <v>36</v>
      </c>
      <c r="E7199" s="5" t="s">
        <v>36</v>
      </c>
      <c r="F7199" s="5" t="s">
        <v>36</v>
      </c>
      <c r="G7199" s="6" t="s">
        <v>36</v>
      </c>
      <c r="H7199" s="4">
        <v>1.49</v>
      </c>
      <c r="I7199" s="7">
        <v>50</v>
      </c>
      <c r="J7199" s="3" t="s">
        <v>521</v>
      </c>
      <c r="K7199" s="9" t="s">
        <v>36</v>
      </c>
      <c r="L7199" s="6" t="s">
        <v>122</v>
      </c>
      <c r="M7199" s="3" t="s">
        <v>36</v>
      </c>
      <c r="N7199" s="3" t="s">
        <v>122</v>
      </c>
      <c r="O7199" s="8" t="s">
        <v>36</v>
      </c>
      <c r="P7199" s="3" t="s">
        <v>36</v>
      </c>
      <c r="Q7199" s="3" t="s">
        <v>36</v>
      </c>
      <c r="R7199" s="3" t="s">
        <v>36</v>
      </c>
      <c r="S7199" s="3" t="s">
        <v>36</v>
      </c>
      <c r="T7199" s="3" t="s">
        <v>881</v>
      </c>
      <c r="U7199" s="3" t="s">
        <v>51</v>
      </c>
      <c r="V7199" s="3" t="s">
        <v>52</v>
      </c>
      <c r="W7199" s="3" t="s">
        <v>4749</v>
      </c>
      <c r="X7199" s="10" t="s">
        <v>32033</v>
      </c>
      <c r="Y7199" s="6" t="s">
        <v>42</v>
      </c>
      <c r="Z7199" s="4">
        <v>1.1</v>
      </c>
      <c r="AA7199" s="4">
        <v>2.19</v>
      </c>
      <c r="AB7199" s="3" t="s">
        <v>43</v>
      </c>
      <c r="AC7199" s="3" t="s">
        <v>4751</v>
      </c>
      <c r="AD7199" s="9">
        <v>42135</v>
      </c>
      <c r="AE7199" s="3" t="s">
        <v>504</v>
      </c>
      <c r="AF7199" s="3" t="s">
        <v>159</v>
      </c>
      <c r="AG7199" s="3" t="s">
        <v>81</v>
      </c>
      <c r="AH7199" s="11">
        <f>HYPERLINK("https://my.pitchbook.com?c=75323-35T","View Company Online")</f>
      </c>
    </row>
    <row r="7200">
      <c r="A7200" s="12" t="s">
        <v>32034</v>
      </c>
      <c r="B7200" s="12" t="s">
        <v>7376</v>
      </c>
      <c r="C7200" s="19" t="s">
        <v>36</v>
      </c>
      <c r="D7200" s="19" t="s">
        <v>36</v>
      </c>
      <c r="E7200" s="19" t="s">
        <v>36</v>
      </c>
      <c r="F7200" s="19" t="s">
        <v>36</v>
      </c>
      <c r="G7200" s="15" t="s">
        <v>36</v>
      </c>
      <c r="H7200" s="14" t="s">
        <v>36</v>
      </c>
      <c r="I7200" s="18" t="s">
        <v>36</v>
      </c>
      <c r="J7200" s="12" t="s">
        <v>36</v>
      </c>
      <c r="K7200" s="13" t="s">
        <v>36</v>
      </c>
      <c r="L7200" s="15" t="s">
        <v>36</v>
      </c>
      <c r="M7200" s="12" t="s">
        <v>36</v>
      </c>
      <c r="N7200" s="12" t="s">
        <v>36</v>
      </c>
      <c r="O7200" s="17" t="s">
        <v>36</v>
      </c>
      <c r="P7200" s="12" t="s">
        <v>36</v>
      </c>
      <c r="Q7200" s="12" t="s">
        <v>36</v>
      </c>
      <c r="R7200" s="12" t="s">
        <v>36</v>
      </c>
      <c r="S7200" s="12" t="s">
        <v>36</v>
      </c>
      <c r="T7200" s="12" t="s">
        <v>596</v>
      </c>
      <c r="U7200" s="12" t="s">
        <v>366</v>
      </c>
      <c r="V7200" s="12" t="s">
        <v>367</v>
      </c>
      <c r="W7200" s="12" t="s">
        <v>7377</v>
      </c>
      <c r="X7200" s="16" t="s">
        <v>32035</v>
      </c>
      <c r="Y7200" s="15" t="s">
        <v>192</v>
      </c>
      <c r="Z7200" s="14">
        <v>2.08</v>
      </c>
      <c r="AA7200" s="14" t="s">
        <v>36</v>
      </c>
      <c r="AB7200" s="12" t="s">
        <v>56</v>
      </c>
      <c r="AC7200" s="12" t="s">
        <v>7378</v>
      </c>
      <c r="AD7200" s="13">
        <v>42134</v>
      </c>
      <c r="AE7200" s="12" t="s">
        <v>600</v>
      </c>
      <c r="AF7200" s="12" t="s">
        <v>7379</v>
      </c>
      <c r="AG7200" s="12" t="s">
        <v>2180</v>
      </c>
      <c r="AH7200" s="1">
        <f>HYPERLINK("https://my.pitchbook.com?c=101902-51T","View Company Online")</f>
      </c>
    </row>
    <row r="7201">
      <c r="A7201" s="3" t="s">
        <v>32036</v>
      </c>
      <c r="B7201" s="3" t="s">
        <v>22972</v>
      </c>
      <c r="C7201" s="5" t="s">
        <v>36</v>
      </c>
      <c r="D7201" s="5" t="s">
        <v>36</v>
      </c>
      <c r="E7201" s="5" t="s">
        <v>36</v>
      </c>
      <c r="F7201" s="5" t="s">
        <v>36</v>
      </c>
      <c r="G7201" s="6" t="s">
        <v>36</v>
      </c>
      <c r="H7201" s="4" t="s">
        <v>36</v>
      </c>
      <c r="I7201" s="7" t="s">
        <v>36</v>
      </c>
      <c r="J7201" s="3" t="s">
        <v>36</v>
      </c>
      <c r="K7201" s="9" t="s">
        <v>36</v>
      </c>
      <c r="L7201" s="6" t="s">
        <v>36</v>
      </c>
      <c r="M7201" s="3" t="s">
        <v>36</v>
      </c>
      <c r="N7201" s="3" t="s">
        <v>36</v>
      </c>
      <c r="O7201" s="8" t="s">
        <v>36</v>
      </c>
      <c r="P7201" s="3" t="s">
        <v>36</v>
      </c>
      <c r="Q7201" s="3" t="s">
        <v>36</v>
      </c>
      <c r="R7201" s="3" t="s">
        <v>36</v>
      </c>
      <c r="S7201" s="3" t="s">
        <v>36</v>
      </c>
      <c r="T7201" s="3" t="s">
        <v>4827</v>
      </c>
      <c r="U7201" s="3" t="s">
        <v>648</v>
      </c>
      <c r="V7201" s="3" t="s">
        <v>64</v>
      </c>
      <c r="W7201" s="3" t="s">
        <v>22973</v>
      </c>
      <c r="X7201" s="10" t="s">
        <v>32037</v>
      </c>
      <c r="Y7201" s="6" t="s">
        <v>108</v>
      </c>
      <c r="Z7201" s="4">
        <v>5.17</v>
      </c>
      <c r="AA7201" s="4" t="s">
        <v>36</v>
      </c>
      <c r="AB7201" s="3" t="s">
        <v>43</v>
      </c>
      <c r="AC7201" s="3" t="s">
        <v>22975</v>
      </c>
      <c r="AD7201" s="9">
        <v>42131</v>
      </c>
      <c r="AE7201" s="3" t="s">
        <v>3988</v>
      </c>
      <c r="AF7201" s="3" t="s">
        <v>4284</v>
      </c>
      <c r="AG7201" s="3" t="s">
        <v>332</v>
      </c>
      <c r="AH7201" s="11">
        <f>HYPERLINK("https://my.pitchbook.com?c=122999-50T","View Company Online")</f>
      </c>
    </row>
    <row r="7202">
      <c r="A7202" s="12" t="s">
        <v>32038</v>
      </c>
      <c r="B7202" s="12" t="s">
        <v>25753</v>
      </c>
      <c r="C7202" s="19" t="s">
        <v>36</v>
      </c>
      <c r="D7202" s="19" t="s">
        <v>36</v>
      </c>
      <c r="E7202" s="19" t="s">
        <v>36</v>
      </c>
      <c r="F7202" s="19" t="s">
        <v>36</v>
      </c>
      <c r="G7202" s="15" t="s">
        <v>36</v>
      </c>
      <c r="H7202" s="14">
        <v>12.64</v>
      </c>
      <c r="I7202" s="18">
        <v>31.27</v>
      </c>
      <c r="J7202" s="12" t="s">
        <v>521</v>
      </c>
      <c r="K7202" s="13" t="s">
        <v>36</v>
      </c>
      <c r="L7202" s="15" t="s">
        <v>36</v>
      </c>
      <c r="M7202" s="12" t="s">
        <v>36</v>
      </c>
      <c r="N7202" s="12" t="s">
        <v>36</v>
      </c>
      <c r="O7202" s="17" t="s">
        <v>36</v>
      </c>
      <c r="P7202" s="12" t="s">
        <v>36</v>
      </c>
      <c r="Q7202" s="12" t="s">
        <v>36</v>
      </c>
      <c r="R7202" s="12" t="s">
        <v>36</v>
      </c>
      <c r="S7202" s="12" t="s">
        <v>36</v>
      </c>
      <c r="T7202" s="12" t="s">
        <v>25754</v>
      </c>
      <c r="U7202" s="12" t="s">
        <v>74</v>
      </c>
      <c r="V7202" s="12" t="s">
        <v>75</v>
      </c>
      <c r="W7202" s="12" t="s">
        <v>25755</v>
      </c>
      <c r="X7202" s="16" t="s">
        <v>32039</v>
      </c>
      <c r="Y7202" s="15" t="s">
        <v>42</v>
      </c>
      <c r="Z7202" s="14">
        <v>1.24</v>
      </c>
      <c r="AA7202" s="14">
        <v>3.96</v>
      </c>
      <c r="AB7202" s="12" t="s">
        <v>56</v>
      </c>
      <c r="AC7202" s="12" t="s">
        <v>25757</v>
      </c>
      <c r="AD7202" s="13">
        <v>42130</v>
      </c>
      <c r="AE7202" s="12" t="s">
        <v>696</v>
      </c>
      <c r="AF7202" s="12" t="s">
        <v>4200</v>
      </c>
      <c r="AG7202" s="12" t="s">
        <v>81</v>
      </c>
      <c r="AH7202" s="1">
        <f>HYPERLINK("https://my.pitchbook.com?c=51699-07T","View Company Online")</f>
      </c>
    </row>
    <row r="7203">
      <c r="A7203" s="3" t="s">
        <v>32040</v>
      </c>
      <c r="B7203" s="3" t="s">
        <v>32041</v>
      </c>
      <c r="C7203" s="5" t="s">
        <v>36</v>
      </c>
      <c r="D7203" s="5" t="s">
        <v>36</v>
      </c>
      <c r="E7203" s="5">
        <v>1</v>
      </c>
      <c r="F7203" s="5">
        <v>1</v>
      </c>
      <c r="G7203" s="6" t="s">
        <v>36</v>
      </c>
      <c r="H7203" s="4" t="s">
        <v>36</v>
      </c>
      <c r="I7203" s="7">
        <v>18.43</v>
      </c>
      <c r="J7203" s="3" t="s">
        <v>327</v>
      </c>
      <c r="K7203" s="9" t="s">
        <v>36</v>
      </c>
      <c r="L7203" s="6" t="s">
        <v>122</v>
      </c>
      <c r="M7203" s="3" t="s">
        <v>36</v>
      </c>
      <c r="N7203" s="3" t="s">
        <v>122</v>
      </c>
      <c r="O7203" s="8" t="s">
        <v>36</v>
      </c>
      <c r="P7203" s="3" t="s">
        <v>36</v>
      </c>
      <c r="Q7203" s="3" t="s">
        <v>36</v>
      </c>
      <c r="R7203" s="3" t="s">
        <v>36</v>
      </c>
      <c r="S7203" s="3" t="s">
        <v>36</v>
      </c>
      <c r="T7203" s="3" t="s">
        <v>1701</v>
      </c>
      <c r="U7203" s="3" t="s">
        <v>74</v>
      </c>
      <c r="V7203" s="3" t="s">
        <v>75</v>
      </c>
      <c r="W7203" s="3" t="s">
        <v>32042</v>
      </c>
      <c r="X7203" s="10" t="s">
        <v>19209</v>
      </c>
      <c r="Y7203" s="6" t="s">
        <v>192</v>
      </c>
      <c r="Z7203" s="4">
        <v>10.87</v>
      </c>
      <c r="AA7203" s="4">
        <v>58.96</v>
      </c>
      <c r="AB7203" s="3" t="s">
        <v>56</v>
      </c>
      <c r="AC7203" s="3" t="s">
        <v>32043</v>
      </c>
      <c r="AD7203" s="9">
        <v>42130</v>
      </c>
      <c r="AE7203" s="3" t="s">
        <v>79</v>
      </c>
      <c r="AF7203" s="3" t="s">
        <v>1401</v>
      </c>
      <c r="AG7203" s="3" t="s">
        <v>81</v>
      </c>
      <c r="AH7203" s="11">
        <f>HYPERLINK("https://my.pitchbook.com?c=50868-46T","View Company Online")</f>
      </c>
    </row>
    <row r="7204">
      <c r="A7204" s="12" t="s">
        <v>32044</v>
      </c>
      <c r="B7204" s="12" t="s">
        <v>32045</v>
      </c>
      <c r="C7204" s="19" t="s">
        <v>36</v>
      </c>
      <c r="D7204" s="19" t="s">
        <v>36</v>
      </c>
      <c r="E7204" s="19" t="s">
        <v>36</v>
      </c>
      <c r="F7204" s="19" t="s">
        <v>36</v>
      </c>
      <c r="G7204" s="15" t="s">
        <v>36</v>
      </c>
      <c r="H7204" s="14" t="s">
        <v>36</v>
      </c>
      <c r="I7204" s="18" t="s">
        <v>36</v>
      </c>
      <c r="J7204" s="12" t="s">
        <v>36</v>
      </c>
      <c r="K7204" s="13" t="s">
        <v>36</v>
      </c>
      <c r="L7204" s="15" t="s">
        <v>36</v>
      </c>
      <c r="M7204" s="12" t="s">
        <v>36</v>
      </c>
      <c r="N7204" s="12" t="s">
        <v>36</v>
      </c>
      <c r="O7204" s="17" t="s">
        <v>36</v>
      </c>
      <c r="P7204" s="12" t="s">
        <v>36</v>
      </c>
      <c r="Q7204" s="12" t="s">
        <v>36</v>
      </c>
      <c r="R7204" s="12" t="s">
        <v>36</v>
      </c>
      <c r="S7204" s="12" t="s">
        <v>36</v>
      </c>
      <c r="T7204" s="12" t="s">
        <v>32046</v>
      </c>
      <c r="U7204" s="12" t="s">
        <v>38</v>
      </c>
      <c r="V7204" s="12" t="s">
        <v>39</v>
      </c>
      <c r="W7204" s="12" t="s">
        <v>32047</v>
      </c>
      <c r="X7204" s="16" t="s">
        <v>32048</v>
      </c>
      <c r="Y7204" s="15" t="s">
        <v>42</v>
      </c>
      <c r="Z7204" s="14" t="s">
        <v>36</v>
      </c>
      <c r="AA7204" s="14" t="s">
        <v>36</v>
      </c>
      <c r="AB7204" s="12" t="s">
        <v>43</v>
      </c>
      <c r="AC7204" s="12" t="s">
        <v>32049</v>
      </c>
      <c r="AD7204" s="13">
        <v>42129</v>
      </c>
      <c r="AE7204" s="12" t="s">
        <v>1330</v>
      </c>
      <c r="AF7204" s="12" t="s">
        <v>1636</v>
      </c>
      <c r="AG7204" s="12" t="s">
        <v>81</v>
      </c>
      <c r="AH7204" s="1">
        <f>HYPERLINK("https://my.pitchbook.com?c=52562-62T","View Company Online")</f>
      </c>
    </row>
    <row r="7205">
      <c r="A7205" s="3" t="s">
        <v>32050</v>
      </c>
      <c r="B7205" s="3" t="s">
        <v>11232</v>
      </c>
      <c r="C7205" s="5">
        <v>6</v>
      </c>
      <c r="D7205" s="5">
        <v>9</v>
      </c>
      <c r="E7205" s="5">
        <v>8</v>
      </c>
      <c r="F7205" s="5">
        <v>17</v>
      </c>
      <c r="G7205" s="6" t="s">
        <v>36</v>
      </c>
      <c r="H7205" s="4" t="s">
        <v>36</v>
      </c>
      <c r="I7205" s="7" t="s">
        <v>36</v>
      </c>
      <c r="J7205" s="3" t="s">
        <v>36</v>
      </c>
      <c r="K7205" s="9" t="s">
        <v>36</v>
      </c>
      <c r="L7205" s="6" t="s">
        <v>36</v>
      </c>
      <c r="M7205" s="3" t="s">
        <v>36</v>
      </c>
      <c r="N7205" s="3" t="s">
        <v>36</v>
      </c>
      <c r="O7205" s="8" t="s">
        <v>36</v>
      </c>
      <c r="P7205" s="3" t="s">
        <v>36</v>
      </c>
      <c r="Q7205" s="3" t="s">
        <v>36</v>
      </c>
      <c r="R7205" s="3" t="s">
        <v>36</v>
      </c>
      <c r="S7205" s="3" t="s">
        <v>11233</v>
      </c>
      <c r="T7205" s="3" t="s">
        <v>11234</v>
      </c>
      <c r="U7205" s="3" t="s">
        <v>728</v>
      </c>
      <c r="V7205" s="3" t="s">
        <v>64</v>
      </c>
      <c r="W7205" s="3" t="s">
        <v>11235</v>
      </c>
      <c r="X7205" s="10" t="s">
        <v>28566</v>
      </c>
      <c r="Y7205" s="6" t="s">
        <v>42</v>
      </c>
      <c r="Z7205" s="4" t="s">
        <v>36</v>
      </c>
      <c r="AA7205" s="4" t="s">
        <v>36</v>
      </c>
      <c r="AB7205" s="3" t="s">
        <v>56</v>
      </c>
      <c r="AC7205" s="3" t="s">
        <v>11237</v>
      </c>
      <c r="AD7205" s="9">
        <v>42128</v>
      </c>
      <c r="AE7205" s="3" t="s">
        <v>732</v>
      </c>
      <c r="AF7205" s="3" t="s">
        <v>11238</v>
      </c>
      <c r="AG7205" s="3" t="s">
        <v>270</v>
      </c>
      <c r="AH7205" s="11">
        <f>HYPERLINK("https://my.pitchbook.com?c=198688-78T","View Company Online")</f>
      </c>
    </row>
    <row r="7206">
      <c r="A7206" s="12" t="s">
        <v>32051</v>
      </c>
      <c r="B7206" s="12" t="s">
        <v>32052</v>
      </c>
      <c r="C7206" s="19" t="s">
        <v>36</v>
      </c>
      <c r="D7206" s="19" t="s">
        <v>36</v>
      </c>
      <c r="E7206" s="19" t="s">
        <v>36</v>
      </c>
      <c r="F7206" s="19" t="s">
        <v>36</v>
      </c>
      <c r="G7206" s="15" t="s">
        <v>36</v>
      </c>
      <c r="H7206" s="14" t="s">
        <v>36</v>
      </c>
      <c r="I7206" s="18" t="s">
        <v>36</v>
      </c>
      <c r="J7206" s="12" t="s">
        <v>36</v>
      </c>
      <c r="K7206" s="13" t="s">
        <v>36</v>
      </c>
      <c r="L7206" s="15" t="s">
        <v>36</v>
      </c>
      <c r="M7206" s="12" t="s">
        <v>36</v>
      </c>
      <c r="N7206" s="12" t="s">
        <v>36</v>
      </c>
      <c r="O7206" s="17" t="s">
        <v>36</v>
      </c>
      <c r="P7206" s="12" t="s">
        <v>36</v>
      </c>
      <c r="Q7206" s="12" t="s">
        <v>36</v>
      </c>
      <c r="R7206" s="12" t="s">
        <v>36</v>
      </c>
      <c r="S7206" s="12" t="s">
        <v>36</v>
      </c>
      <c r="T7206" s="12" t="s">
        <v>32053</v>
      </c>
      <c r="U7206" s="12" t="s">
        <v>74</v>
      </c>
      <c r="V7206" s="12" t="s">
        <v>75</v>
      </c>
      <c r="W7206" s="12" t="s">
        <v>32054</v>
      </c>
      <c r="X7206" s="16" t="s">
        <v>26808</v>
      </c>
      <c r="Y7206" s="15" t="s">
        <v>42</v>
      </c>
      <c r="Z7206" s="14" t="s">
        <v>36</v>
      </c>
      <c r="AA7206" s="14" t="s">
        <v>36</v>
      </c>
      <c r="AB7206" s="12" t="s">
        <v>56</v>
      </c>
      <c r="AC7206" s="12" t="s">
        <v>32055</v>
      </c>
      <c r="AD7206" s="13">
        <v>42125</v>
      </c>
      <c r="AE7206" s="12" t="s">
        <v>975</v>
      </c>
      <c r="AF7206" s="12" t="s">
        <v>13140</v>
      </c>
      <c r="AG7206" s="12" t="s">
        <v>15824</v>
      </c>
      <c r="AH7206" s="1">
        <f>HYPERLINK("https://my.pitchbook.com?c=35033-68T","View Company Online")</f>
      </c>
    </row>
    <row r="7207">
      <c r="A7207" s="3" t="s">
        <v>32056</v>
      </c>
      <c r="B7207" s="3" t="s">
        <v>26083</v>
      </c>
      <c r="C7207" s="5" t="s">
        <v>36</v>
      </c>
      <c r="D7207" s="5" t="s">
        <v>36</v>
      </c>
      <c r="E7207" s="5" t="s">
        <v>36</v>
      </c>
      <c r="F7207" s="5" t="s">
        <v>36</v>
      </c>
      <c r="G7207" s="6" t="s">
        <v>36</v>
      </c>
      <c r="H7207" s="4" t="s">
        <v>36</v>
      </c>
      <c r="I7207" s="7" t="s">
        <v>36</v>
      </c>
      <c r="J7207" s="3" t="s">
        <v>36</v>
      </c>
      <c r="K7207" s="9" t="s">
        <v>36</v>
      </c>
      <c r="L7207" s="6" t="s">
        <v>36</v>
      </c>
      <c r="M7207" s="3" t="s">
        <v>36</v>
      </c>
      <c r="N7207" s="3" t="s">
        <v>36</v>
      </c>
      <c r="O7207" s="8" t="s">
        <v>36</v>
      </c>
      <c r="P7207" s="3" t="s">
        <v>36</v>
      </c>
      <c r="Q7207" s="3" t="s">
        <v>36</v>
      </c>
      <c r="R7207" s="3" t="s">
        <v>36</v>
      </c>
      <c r="S7207" s="3" t="s">
        <v>36</v>
      </c>
      <c r="T7207" s="3" t="s">
        <v>26084</v>
      </c>
      <c r="U7207" s="3" t="s">
        <v>423</v>
      </c>
      <c r="V7207" s="3" t="s">
        <v>64</v>
      </c>
      <c r="W7207" s="3" t="s">
        <v>26085</v>
      </c>
      <c r="X7207" s="10" t="s">
        <v>32057</v>
      </c>
      <c r="Y7207" s="6" t="s">
        <v>42</v>
      </c>
      <c r="Z7207" s="4">
        <v>0.4</v>
      </c>
      <c r="AA7207" s="4" t="s">
        <v>36</v>
      </c>
      <c r="AB7207" s="3" t="s">
        <v>43</v>
      </c>
      <c r="AC7207" s="3" t="s">
        <v>26087</v>
      </c>
      <c r="AD7207" s="9">
        <v>42125</v>
      </c>
      <c r="AE7207" s="3" t="s">
        <v>2871</v>
      </c>
      <c r="AF7207" s="3" t="s">
        <v>1061</v>
      </c>
      <c r="AG7207" s="3" t="s">
        <v>81</v>
      </c>
      <c r="AH7207" s="11">
        <f>HYPERLINK("https://my.pitchbook.com?c=132696-28T","View Company Online")</f>
      </c>
    </row>
    <row r="7208">
      <c r="A7208" s="12" t="s">
        <v>32058</v>
      </c>
      <c r="B7208" s="12" t="s">
        <v>18342</v>
      </c>
      <c r="C7208" s="19">
        <v>9</v>
      </c>
      <c r="D7208" s="19">
        <v>25</v>
      </c>
      <c r="E7208" s="19">
        <v>6</v>
      </c>
      <c r="F7208" s="19">
        <v>34</v>
      </c>
      <c r="G7208" s="15" t="s">
        <v>36</v>
      </c>
      <c r="H7208" s="14" t="s">
        <v>36</v>
      </c>
      <c r="I7208" s="18" t="s">
        <v>36</v>
      </c>
      <c r="J7208" s="12" t="s">
        <v>36</v>
      </c>
      <c r="K7208" s="13" t="s">
        <v>36</v>
      </c>
      <c r="L7208" s="15" t="s">
        <v>36</v>
      </c>
      <c r="M7208" s="12" t="s">
        <v>36</v>
      </c>
      <c r="N7208" s="12" t="s">
        <v>36</v>
      </c>
      <c r="O7208" s="17" t="s">
        <v>36</v>
      </c>
      <c r="P7208" s="12" t="s">
        <v>36</v>
      </c>
      <c r="Q7208" s="12" t="s">
        <v>36</v>
      </c>
      <c r="R7208" s="12" t="s">
        <v>36</v>
      </c>
      <c r="S7208" s="12" t="s">
        <v>36</v>
      </c>
      <c r="T7208" s="12" t="s">
        <v>7561</v>
      </c>
      <c r="U7208" s="12" t="s">
        <v>366</v>
      </c>
      <c r="V7208" s="12" t="s">
        <v>367</v>
      </c>
      <c r="W7208" s="12" t="s">
        <v>18343</v>
      </c>
      <c r="X7208" s="16" t="s">
        <v>21035</v>
      </c>
      <c r="Y7208" s="15" t="s">
        <v>42</v>
      </c>
      <c r="Z7208" s="14">
        <v>3.25</v>
      </c>
      <c r="AA7208" s="14" t="s">
        <v>36</v>
      </c>
      <c r="AB7208" s="12" t="s">
        <v>43</v>
      </c>
      <c r="AC7208" s="12" t="s">
        <v>18345</v>
      </c>
      <c r="AD7208" s="13">
        <v>42125</v>
      </c>
      <c r="AE7208" s="12" t="s">
        <v>7565</v>
      </c>
      <c r="AF7208" s="12" t="s">
        <v>18346</v>
      </c>
      <c r="AG7208" s="12" t="s">
        <v>9060</v>
      </c>
      <c r="AH7208" s="1">
        <f>HYPERLINK("https://my.pitchbook.com?c=116214-40T","View Company Online")</f>
      </c>
    </row>
    <row r="7209">
      <c r="A7209" s="3" t="s">
        <v>32059</v>
      </c>
      <c r="B7209" s="3" t="s">
        <v>32060</v>
      </c>
      <c r="C7209" s="5" t="s">
        <v>36</v>
      </c>
      <c r="D7209" s="5" t="s">
        <v>36</v>
      </c>
      <c r="E7209" s="5" t="s">
        <v>36</v>
      </c>
      <c r="F7209" s="5" t="s">
        <v>36</v>
      </c>
      <c r="G7209" s="6" t="s">
        <v>36</v>
      </c>
      <c r="H7209" s="4" t="s">
        <v>36</v>
      </c>
      <c r="I7209" s="7" t="s">
        <v>36</v>
      </c>
      <c r="J7209" s="3" t="s">
        <v>36</v>
      </c>
      <c r="K7209" s="9" t="s">
        <v>36</v>
      </c>
      <c r="L7209" s="6" t="s">
        <v>36</v>
      </c>
      <c r="M7209" s="3" t="s">
        <v>36</v>
      </c>
      <c r="N7209" s="3" t="s">
        <v>36</v>
      </c>
      <c r="O7209" s="8" t="s">
        <v>36</v>
      </c>
      <c r="P7209" s="3" t="s">
        <v>36</v>
      </c>
      <c r="Q7209" s="3" t="s">
        <v>36</v>
      </c>
      <c r="R7209" s="3" t="s">
        <v>36</v>
      </c>
      <c r="S7209" s="3" t="s">
        <v>36</v>
      </c>
      <c r="T7209" s="3" t="s">
        <v>522</v>
      </c>
      <c r="U7209" s="3" t="s">
        <v>38</v>
      </c>
      <c r="V7209" s="3" t="s">
        <v>39</v>
      </c>
      <c r="W7209" s="3" t="s">
        <v>32061</v>
      </c>
      <c r="X7209" s="10" t="s">
        <v>32062</v>
      </c>
      <c r="Y7209" s="6" t="s">
        <v>42</v>
      </c>
      <c r="Z7209" s="4">
        <v>1.08</v>
      </c>
      <c r="AA7209" s="4" t="s">
        <v>36</v>
      </c>
      <c r="AB7209" s="3" t="s">
        <v>56</v>
      </c>
      <c r="AC7209" s="3" t="s">
        <v>32063</v>
      </c>
      <c r="AD7209" s="9">
        <v>42125</v>
      </c>
      <c r="AE7209" s="3" t="s">
        <v>110</v>
      </c>
      <c r="AF7209" s="3" t="s">
        <v>6214</v>
      </c>
      <c r="AG7209" s="3" t="s">
        <v>741</v>
      </c>
      <c r="AH7209" s="11">
        <f>HYPERLINK("https://my.pitchbook.com?c=70885-09T","View Company Online")</f>
      </c>
    </row>
    <row r="7210">
      <c r="A7210" s="12" t="s">
        <v>32064</v>
      </c>
      <c r="B7210" s="12" t="s">
        <v>32065</v>
      </c>
      <c r="C7210" s="19" t="s">
        <v>36</v>
      </c>
      <c r="D7210" s="19" t="s">
        <v>36</v>
      </c>
      <c r="E7210" s="19" t="s">
        <v>36</v>
      </c>
      <c r="F7210" s="19" t="s">
        <v>36</v>
      </c>
      <c r="G7210" s="15" t="s">
        <v>36</v>
      </c>
      <c r="H7210" s="14">
        <v>875.86</v>
      </c>
      <c r="I7210" s="18">
        <v>15.98</v>
      </c>
      <c r="J7210" s="12" t="s">
        <v>521</v>
      </c>
      <c r="K7210" s="13" t="s">
        <v>36</v>
      </c>
      <c r="L7210" s="15" t="s">
        <v>36</v>
      </c>
      <c r="M7210" s="12" t="s">
        <v>36</v>
      </c>
      <c r="N7210" s="12" t="s">
        <v>36</v>
      </c>
      <c r="O7210" s="17" t="s">
        <v>36</v>
      </c>
      <c r="P7210" s="12" t="s">
        <v>36</v>
      </c>
      <c r="Q7210" s="12" t="s">
        <v>36</v>
      </c>
      <c r="R7210" s="12" t="s">
        <v>36</v>
      </c>
      <c r="S7210" s="12" t="s">
        <v>36</v>
      </c>
      <c r="T7210" s="12" t="s">
        <v>1941</v>
      </c>
      <c r="U7210" s="12" t="s">
        <v>38</v>
      </c>
      <c r="V7210" s="12" t="s">
        <v>39</v>
      </c>
      <c r="W7210" s="12" t="s">
        <v>32066</v>
      </c>
      <c r="X7210" s="16" t="s">
        <v>18390</v>
      </c>
      <c r="Y7210" s="15" t="s">
        <v>108</v>
      </c>
      <c r="Z7210" s="14">
        <v>0.2</v>
      </c>
      <c r="AA7210" s="14">
        <v>1.28</v>
      </c>
      <c r="AB7210" s="12" t="s">
        <v>43</v>
      </c>
      <c r="AC7210" s="12" t="s">
        <v>32067</v>
      </c>
      <c r="AD7210" s="13">
        <v>42125</v>
      </c>
      <c r="AE7210" s="12" t="s">
        <v>1945</v>
      </c>
      <c r="AF7210" s="12" t="s">
        <v>331</v>
      </c>
      <c r="AG7210" s="12" t="s">
        <v>81</v>
      </c>
      <c r="AH7210" s="1">
        <f>HYPERLINK("https://my.pitchbook.com?c=61125-13T","View Company Online")</f>
      </c>
    </row>
    <row r="7211">
      <c r="A7211" s="3" t="s">
        <v>32068</v>
      </c>
      <c r="B7211" s="3" t="s">
        <v>18632</v>
      </c>
      <c r="C7211" s="5">
        <v>1</v>
      </c>
      <c r="D7211" s="5">
        <v>5</v>
      </c>
      <c r="E7211" s="5">
        <v>2</v>
      </c>
      <c r="F7211" s="5">
        <v>6</v>
      </c>
      <c r="G7211" s="6" t="s">
        <v>36</v>
      </c>
      <c r="H7211" s="4" t="s">
        <v>36</v>
      </c>
      <c r="I7211" s="7" t="s">
        <v>36</v>
      </c>
      <c r="J7211" s="3" t="s">
        <v>36</v>
      </c>
      <c r="K7211" s="9" t="s">
        <v>36</v>
      </c>
      <c r="L7211" s="6" t="s">
        <v>36</v>
      </c>
      <c r="M7211" s="3" t="s">
        <v>36</v>
      </c>
      <c r="N7211" s="3" t="s">
        <v>36</v>
      </c>
      <c r="O7211" s="8" t="s">
        <v>36</v>
      </c>
      <c r="P7211" s="3" t="s">
        <v>36</v>
      </c>
      <c r="Q7211" s="3" t="s">
        <v>36</v>
      </c>
      <c r="R7211" s="3" t="s">
        <v>36</v>
      </c>
      <c r="S7211" s="3" t="s">
        <v>36</v>
      </c>
      <c r="T7211" s="3" t="s">
        <v>18633</v>
      </c>
      <c r="U7211" s="3" t="s">
        <v>96</v>
      </c>
      <c r="V7211" s="3" t="s">
        <v>52</v>
      </c>
      <c r="W7211" s="3" t="s">
        <v>18634</v>
      </c>
      <c r="X7211" s="10" t="s">
        <v>12372</v>
      </c>
      <c r="Y7211" s="6" t="s">
        <v>42</v>
      </c>
      <c r="Z7211" s="4" t="s">
        <v>36</v>
      </c>
      <c r="AA7211" s="4" t="s">
        <v>36</v>
      </c>
      <c r="AB7211" s="3" t="s">
        <v>43</v>
      </c>
      <c r="AC7211" s="3" t="s">
        <v>18636</v>
      </c>
      <c r="AD7211" s="9">
        <v>42125</v>
      </c>
      <c r="AE7211" s="3" t="s">
        <v>1414</v>
      </c>
      <c r="AF7211" s="3" t="s">
        <v>571</v>
      </c>
      <c r="AG7211" s="3" t="s">
        <v>18637</v>
      </c>
      <c r="AH7211" s="11">
        <f>HYPERLINK("https://my.pitchbook.com?c=76274-92T","View Company Online")</f>
      </c>
    </row>
    <row r="7212">
      <c r="A7212" s="12" t="s">
        <v>32069</v>
      </c>
      <c r="B7212" s="12" t="s">
        <v>32070</v>
      </c>
      <c r="C7212" s="19" t="s">
        <v>36</v>
      </c>
      <c r="D7212" s="19" t="s">
        <v>36</v>
      </c>
      <c r="E7212" s="19" t="s">
        <v>36</v>
      </c>
      <c r="F7212" s="19" t="s">
        <v>36</v>
      </c>
      <c r="G7212" s="15" t="s">
        <v>36</v>
      </c>
      <c r="H7212" s="14" t="s">
        <v>36</v>
      </c>
      <c r="I7212" s="18" t="s">
        <v>36</v>
      </c>
      <c r="J7212" s="12" t="s">
        <v>36</v>
      </c>
      <c r="K7212" s="13" t="s">
        <v>36</v>
      </c>
      <c r="L7212" s="15" t="s">
        <v>36</v>
      </c>
      <c r="M7212" s="12" t="s">
        <v>36</v>
      </c>
      <c r="N7212" s="12" t="s">
        <v>36</v>
      </c>
      <c r="O7212" s="17" t="s">
        <v>36</v>
      </c>
      <c r="P7212" s="12" t="s">
        <v>36</v>
      </c>
      <c r="Q7212" s="12" t="s">
        <v>36</v>
      </c>
      <c r="R7212" s="12" t="s">
        <v>36</v>
      </c>
      <c r="S7212" s="12" t="s">
        <v>36</v>
      </c>
      <c r="T7212" s="12" t="s">
        <v>32071</v>
      </c>
      <c r="U7212" s="12" t="s">
        <v>85</v>
      </c>
      <c r="V7212" s="12" t="s">
        <v>64</v>
      </c>
      <c r="W7212" s="12" t="s">
        <v>32072</v>
      </c>
      <c r="X7212" s="16" t="s">
        <v>30281</v>
      </c>
      <c r="Y7212" s="15" t="s">
        <v>42</v>
      </c>
      <c r="Z7212" s="14" t="s">
        <v>36</v>
      </c>
      <c r="AA7212" s="14" t="s">
        <v>36</v>
      </c>
      <c r="AB7212" s="12" t="s">
        <v>56</v>
      </c>
      <c r="AC7212" s="12" t="s">
        <v>32073</v>
      </c>
      <c r="AD7212" s="13">
        <v>42125</v>
      </c>
      <c r="AE7212" s="12" t="s">
        <v>89</v>
      </c>
      <c r="AF7212" s="12" t="s">
        <v>13140</v>
      </c>
      <c r="AG7212" s="12" t="s">
        <v>32074</v>
      </c>
      <c r="AH7212" s="1">
        <f>HYPERLINK("https://my.pitchbook.com?c=33349-51T","View Company Online")</f>
      </c>
    </row>
    <row r="7213">
      <c r="A7213" s="3" t="s">
        <v>32075</v>
      </c>
      <c r="B7213" s="3" t="s">
        <v>32076</v>
      </c>
      <c r="C7213" s="5" t="s">
        <v>36</v>
      </c>
      <c r="D7213" s="5" t="s">
        <v>36</v>
      </c>
      <c r="E7213" s="5" t="s">
        <v>36</v>
      </c>
      <c r="F7213" s="5" t="s">
        <v>36</v>
      </c>
      <c r="G7213" s="6" t="s">
        <v>36</v>
      </c>
      <c r="H7213" s="4">
        <v>24.33</v>
      </c>
      <c r="I7213" s="7">
        <v>24.32</v>
      </c>
      <c r="J7213" s="3" t="s">
        <v>521</v>
      </c>
      <c r="K7213" s="9" t="s">
        <v>36</v>
      </c>
      <c r="L7213" s="6" t="s">
        <v>36</v>
      </c>
      <c r="M7213" s="3" t="s">
        <v>36</v>
      </c>
      <c r="N7213" s="3" t="s">
        <v>36</v>
      </c>
      <c r="O7213" s="8" t="s">
        <v>36</v>
      </c>
      <c r="P7213" s="3" t="s">
        <v>36</v>
      </c>
      <c r="Q7213" s="3" t="s">
        <v>36</v>
      </c>
      <c r="R7213" s="3" t="s">
        <v>36</v>
      </c>
      <c r="S7213" s="3" t="s">
        <v>36</v>
      </c>
      <c r="T7213" s="3" t="s">
        <v>189</v>
      </c>
      <c r="U7213" s="3" t="s">
        <v>180</v>
      </c>
      <c r="V7213" s="3" t="s">
        <v>52</v>
      </c>
      <c r="W7213" s="3" t="s">
        <v>32077</v>
      </c>
      <c r="X7213" s="10" t="s">
        <v>32078</v>
      </c>
      <c r="Y7213" s="6" t="s">
        <v>42</v>
      </c>
      <c r="Z7213" s="4">
        <v>0.97</v>
      </c>
      <c r="AA7213" s="4">
        <v>4.01</v>
      </c>
      <c r="AB7213" s="3" t="s">
        <v>43</v>
      </c>
      <c r="AC7213" s="3" t="s">
        <v>32079</v>
      </c>
      <c r="AD7213" s="9">
        <v>42125</v>
      </c>
      <c r="AE7213" s="3" t="s">
        <v>184</v>
      </c>
      <c r="AF7213" s="3" t="s">
        <v>36</v>
      </c>
      <c r="AG7213" s="3" t="s">
        <v>787</v>
      </c>
      <c r="AH7213" s="11">
        <f>HYPERLINK("https://my.pitchbook.com?c=64759-78T","View Company Online")</f>
      </c>
    </row>
    <row r="7214">
      <c r="A7214" s="12" t="s">
        <v>32080</v>
      </c>
      <c r="B7214" s="12" t="s">
        <v>1124</v>
      </c>
      <c r="C7214" s="19" t="s">
        <v>36</v>
      </c>
      <c r="D7214" s="19" t="s">
        <v>36</v>
      </c>
      <c r="E7214" s="19" t="s">
        <v>36</v>
      </c>
      <c r="F7214" s="19" t="s">
        <v>36</v>
      </c>
      <c r="G7214" s="15" t="s">
        <v>36</v>
      </c>
      <c r="H7214" s="14">
        <v>1215.12</v>
      </c>
      <c r="I7214" s="18">
        <v>15.11</v>
      </c>
      <c r="J7214" s="12" t="s">
        <v>521</v>
      </c>
      <c r="K7214" s="13" t="s">
        <v>36</v>
      </c>
      <c r="L7214" s="15" t="s">
        <v>36</v>
      </c>
      <c r="M7214" s="12" t="s">
        <v>36</v>
      </c>
      <c r="N7214" s="12" t="s">
        <v>36</v>
      </c>
      <c r="O7214" s="17" t="s">
        <v>36</v>
      </c>
      <c r="P7214" s="12" t="s">
        <v>36</v>
      </c>
      <c r="Q7214" s="12" t="s">
        <v>36</v>
      </c>
      <c r="R7214" s="12" t="s">
        <v>36</v>
      </c>
      <c r="S7214" s="12" t="s">
        <v>36</v>
      </c>
      <c r="T7214" s="12" t="s">
        <v>1125</v>
      </c>
      <c r="U7214" s="12" t="s">
        <v>74</v>
      </c>
      <c r="V7214" s="12" t="s">
        <v>75</v>
      </c>
      <c r="W7214" s="12" t="s">
        <v>1126</v>
      </c>
      <c r="X7214" s="16" t="s">
        <v>1399</v>
      </c>
      <c r="Y7214" s="15" t="s">
        <v>42</v>
      </c>
      <c r="Z7214" s="14">
        <v>0.11</v>
      </c>
      <c r="AA7214" s="14">
        <v>0.75</v>
      </c>
      <c r="AB7214" s="12" t="s">
        <v>43</v>
      </c>
      <c r="AC7214" s="12" t="s">
        <v>1128</v>
      </c>
      <c r="AD7214" s="13">
        <v>42125</v>
      </c>
      <c r="AE7214" s="12" t="s">
        <v>975</v>
      </c>
      <c r="AF7214" s="12" t="s">
        <v>36</v>
      </c>
      <c r="AG7214" s="12" t="s">
        <v>1129</v>
      </c>
      <c r="AH7214" s="1">
        <f>HYPERLINK("https://my.pitchbook.com?c=218412-64T","View Company Online")</f>
      </c>
    </row>
    <row r="7215">
      <c r="A7215" s="3" t="s">
        <v>32081</v>
      </c>
      <c r="B7215" s="3" t="s">
        <v>13084</v>
      </c>
      <c r="C7215" s="5">
        <v>40</v>
      </c>
      <c r="D7215" s="5">
        <v>97</v>
      </c>
      <c r="E7215" s="5">
        <v>38</v>
      </c>
      <c r="F7215" s="5">
        <v>142</v>
      </c>
      <c r="G7215" s="6" t="s">
        <v>326</v>
      </c>
      <c r="H7215" s="4">
        <v>363.5</v>
      </c>
      <c r="I7215" s="7">
        <v>21.82</v>
      </c>
      <c r="J7215" s="3" t="s">
        <v>521</v>
      </c>
      <c r="K7215" s="9" t="s">
        <v>36</v>
      </c>
      <c r="L7215" s="6" t="s">
        <v>36</v>
      </c>
      <c r="M7215" s="3" t="s">
        <v>36</v>
      </c>
      <c r="N7215" s="3" t="s">
        <v>36</v>
      </c>
      <c r="O7215" s="8" t="s">
        <v>36</v>
      </c>
      <c r="P7215" s="3" t="s">
        <v>36</v>
      </c>
      <c r="Q7215" s="3" t="s">
        <v>36</v>
      </c>
      <c r="R7215" s="3" t="s">
        <v>36</v>
      </c>
      <c r="S7215" s="3" t="s">
        <v>36</v>
      </c>
      <c r="T7215" s="3" t="s">
        <v>13085</v>
      </c>
      <c r="U7215" s="3" t="s">
        <v>96</v>
      </c>
      <c r="V7215" s="3" t="s">
        <v>52</v>
      </c>
      <c r="W7215" s="3" t="s">
        <v>13086</v>
      </c>
      <c r="X7215" s="10" t="s">
        <v>32082</v>
      </c>
      <c r="Y7215" s="6" t="s">
        <v>108</v>
      </c>
      <c r="Z7215" s="4">
        <v>0.97</v>
      </c>
      <c r="AA7215" s="4">
        <v>4.47</v>
      </c>
      <c r="AB7215" s="3" t="s">
        <v>56</v>
      </c>
      <c r="AC7215" s="3" t="s">
        <v>13088</v>
      </c>
      <c r="AD7215" s="9">
        <v>42125</v>
      </c>
      <c r="AE7215" s="3" t="s">
        <v>496</v>
      </c>
      <c r="AF7215" s="3" t="s">
        <v>885</v>
      </c>
      <c r="AG7215" s="3" t="s">
        <v>1978</v>
      </c>
      <c r="AH7215" s="11">
        <f>HYPERLINK("https://my.pitchbook.com?c=68176-63T","View Company Online")</f>
      </c>
    </row>
    <row r="7216">
      <c r="A7216" s="12" t="s">
        <v>32083</v>
      </c>
      <c r="B7216" s="12" t="s">
        <v>8526</v>
      </c>
      <c r="C7216" s="19">
        <v>15</v>
      </c>
      <c r="D7216" s="19">
        <v>73</v>
      </c>
      <c r="E7216" s="19">
        <v>25</v>
      </c>
      <c r="F7216" s="19">
        <v>97</v>
      </c>
      <c r="G7216" s="15" t="s">
        <v>36</v>
      </c>
      <c r="H7216" s="14" t="s">
        <v>36</v>
      </c>
      <c r="I7216" s="18" t="s">
        <v>36</v>
      </c>
      <c r="J7216" s="12" t="s">
        <v>36</v>
      </c>
      <c r="K7216" s="13" t="s">
        <v>36</v>
      </c>
      <c r="L7216" s="15" t="s">
        <v>36</v>
      </c>
      <c r="M7216" s="12" t="s">
        <v>36</v>
      </c>
      <c r="N7216" s="12" t="s">
        <v>36</v>
      </c>
      <c r="O7216" s="17" t="s">
        <v>36</v>
      </c>
      <c r="P7216" s="12" t="s">
        <v>36</v>
      </c>
      <c r="Q7216" s="12" t="s">
        <v>36</v>
      </c>
      <c r="R7216" s="12" t="s">
        <v>36</v>
      </c>
      <c r="S7216" s="12" t="s">
        <v>36</v>
      </c>
      <c r="T7216" s="12" t="s">
        <v>8527</v>
      </c>
      <c r="U7216" s="12" t="s">
        <v>180</v>
      </c>
      <c r="V7216" s="12" t="s">
        <v>52</v>
      </c>
      <c r="W7216" s="12" t="s">
        <v>8528</v>
      </c>
      <c r="X7216" s="16" t="s">
        <v>21035</v>
      </c>
      <c r="Y7216" s="15" t="s">
        <v>55</v>
      </c>
      <c r="Z7216" s="14" t="s">
        <v>36</v>
      </c>
      <c r="AA7216" s="14" t="s">
        <v>36</v>
      </c>
      <c r="AB7216" s="12" t="s">
        <v>56</v>
      </c>
      <c r="AC7216" s="12" t="s">
        <v>8530</v>
      </c>
      <c r="AD7216" s="13">
        <v>42124</v>
      </c>
      <c r="AE7216" s="12" t="s">
        <v>184</v>
      </c>
      <c r="AF7216" s="12" t="s">
        <v>3193</v>
      </c>
      <c r="AG7216" s="12" t="s">
        <v>8531</v>
      </c>
      <c r="AH7216" s="1">
        <f>HYPERLINK("https://my.pitchbook.com?c=54522-28T","View Company Online")</f>
      </c>
    </row>
    <row r="7217">
      <c r="A7217" s="3" t="s">
        <v>32084</v>
      </c>
      <c r="B7217" s="3" t="s">
        <v>32085</v>
      </c>
      <c r="C7217" s="5" t="s">
        <v>36</v>
      </c>
      <c r="D7217" s="5" t="s">
        <v>36</v>
      </c>
      <c r="E7217" s="5">
        <v>1</v>
      </c>
      <c r="F7217" s="5">
        <v>1</v>
      </c>
      <c r="G7217" s="6" t="s">
        <v>36</v>
      </c>
      <c r="H7217" s="4">
        <v>3.43</v>
      </c>
      <c r="I7217" s="7">
        <v>42.03</v>
      </c>
      <c r="J7217" s="3" t="s">
        <v>521</v>
      </c>
      <c r="K7217" s="9" t="s">
        <v>36</v>
      </c>
      <c r="L7217" s="6" t="s">
        <v>36</v>
      </c>
      <c r="M7217" s="3" t="s">
        <v>36</v>
      </c>
      <c r="N7217" s="3" t="s">
        <v>36</v>
      </c>
      <c r="O7217" s="8" t="s">
        <v>36</v>
      </c>
      <c r="P7217" s="3" t="s">
        <v>36</v>
      </c>
      <c r="Q7217" s="3" t="s">
        <v>36</v>
      </c>
      <c r="R7217" s="3" t="s">
        <v>36</v>
      </c>
      <c r="S7217" s="3" t="s">
        <v>36</v>
      </c>
      <c r="T7217" s="3" t="s">
        <v>2910</v>
      </c>
      <c r="U7217" s="3" t="s">
        <v>219</v>
      </c>
      <c r="V7217" s="3" t="s">
        <v>75</v>
      </c>
      <c r="W7217" s="3" t="s">
        <v>32086</v>
      </c>
      <c r="X7217" s="10" t="s">
        <v>11058</v>
      </c>
      <c r="Y7217" s="6" t="s">
        <v>42</v>
      </c>
      <c r="Z7217" s="4">
        <v>0.27</v>
      </c>
      <c r="AA7217" s="4">
        <v>0.64</v>
      </c>
      <c r="AB7217" s="3" t="s">
        <v>56</v>
      </c>
      <c r="AC7217" s="3" t="s">
        <v>32087</v>
      </c>
      <c r="AD7217" s="9">
        <v>42124</v>
      </c>
      <c r="AE7217" s="3" t="s">
        <v>2914</v>
      </c>
      <c r="AF7217" s="3" t="s">
        <v>571</v>
      </c>
      <c r="AG7217" s="3" t="s">
        <v>32088</v>
      </c>
      <c r="AH7217" s="11">
        <f>HYPERLINK("https://my.pitchbook.com?c=204431-05T","View Company Online")</f>
      </c>
    </row>
    <row r="7218">
      <c r="A7218" s="12" t="s">
        <v>32089</v>
      </c>
      <c r="B7218" s="12" t="s">
        <v>28552</v>
      </c>
      <c r="C7218" s="19" t="s">
        <v>36</v>
      </c>
      <c r="D7218" s="19">
        <v>13</v>
      </c>
      <c r="E7218" s="19">
        <v>4</v>
      </c>
      <c r="F7218" s="19">
        <v>34</v>
      </c>
      <c r="G7218" s="15" t="s">
        <v>36</v>
      </c>
      <c r="H7218" s="14">
        <v>2.51</v>
      </c>
      <c r="I7218" s="18">
        <v>40.57</v>
      </c>
      <c r="J7218" s="12" t="s">
        <v>521</v>
      </c>
      <c r="K7218" s="13">
        <v>42106</v>
      </c>
      <c r="L7218" s="15" t="s">
        <v>36</v>
      </c>
      <c r="M7218" s="12" t="s">
        <v>36</v>
      </c>
      <c r="N7218" s="12" t="s">
        <v>36</v>
      </c>
      <c r="O7218" s="17" t="s">
        <v>36</v>
      </c>
      <c r="P7218" s="12" t="s">
        <v>36</v>
      </c>
      <c r="Q7218" s="12" t="s">
        <v>36</v>
      </c>
      <c r="R7218" s="12" t="s">
        <v>36</v>
      </c>
      <c r="S7218" s="12" t="s">
        <v>36</v>
      </c>
      <c r="T7218" s="12" t="s">
        <v>28553</v>
      </c>
      <c r="U7218" s="12" t="s">
        <v>1798</v>
      </c>
      <c r="V7218" s="12" t="s">
        <v>39</v>
      </c>
      <c r="W7218" s="12" t="s">
        <v>28554</v>
      </c>
      <c r="X7218" s="16" t="s">
        <v>32090</v>
      </c>
      <c r="Y7218" s="15" t="s">
        <v>192</v>
      </c>
      <c r="Z7218" s="14">
        <v>2.22</v>
      </c>
      <c r="AA7218" s="14">
        <v>5.46</v>
      </c>
      <c r="AB7218" s="12" t="s">
        <v>56</v>
      </c>
      <c r="AC7218" s="12" t="s">
        <v>28556</v>
      </c>
      <c r="AD7218" s="13">
        <v>42124</v>
      </c>
      <c r="AE7218" s="12" t="s">
        <v>5561</v>
      </c>
      <c r="AF7218" s="12" t="s">
        <v>28557</v>
      </c>
      <c r="AG7218" s="12" t="s">
        <v>1193</v>
      </c>
      <c r="AH7218" s="1">
        <f>HYPERLINK("https://my.pitchbook.com?c=77178-43T","View Company Online")</f>
      </c>
    </row>
    <row r="7219">
      <c r="A7219" s="3" t="s">
        <v>32091</v>
      </c>
      <c r="B7219" s="3" t="s">
        <v>19099</v>
      </c>
      <c r="C7219" s="5" t="s">
        <v>36</v>
      </c>
      <c r="D7219" s="5" t="s">
        <v>36</v>
      </c>
      <c r="E7219" s="5" t="s">
        <v>36</v>
      </c>
      <c r="F7219" s="5" t="s">
        <v>36</v>
      </c>
      <c r="G7219" s="6" t="s">
        <v>36</v>
      </c>
      <c r="H7219" s="4">
        <v>2204.88</v>
      </c>
      <c r="I7219" s="7">
        <v>22.8</v>
      </c>
      <c r="J7219" s="3" t="s">
        <v>521</v>
      </c>
      <c r="K7219" s="9">
        <v>41932</v>
      </c>
      <c r="L7219" s="6" t="s">
        <v>36</v>
      </c>
      <c r="M7219" s="3" t="s">
        <v>36</v>
      </c>
      <c r="N7219" s="3" t="s">
        <v>36</v>
      </c>
      <c r="O7219" s="8" t="s">
        <v>36</v>
      </c>
      <c r="P7219" s="3" t="s">
        <v>36</v>
      </c>
      <c r="Q7219" s="3" t="s">
        <v>36</v>
      </c>
      <c r="R7219" s="3" t="s">
        <v>36</v>
      </c>
      <c r="S7219" s="3" t="s">
        <v>36</v>
      </c>
      <c r="T7219" s="3" t="s">
        <v>3270</v>
      </c>
      <c r="U7219" s="3" t="s">
        <v>1336</v>
      </c>
      <c r="V7219" s="3" t="s">
        <v>367</v>
      </c>
      <c r="W7219" s="3" t="s">
        <v>19100</v>
      </c>
      <c r="X7219" s="10" t="s">
        <v>4499</v>
      </c>
      <c r="Y7219" s="6" t="s">
        <v>108</v>
      </c>
      <c r="Z7219" s="4">
        <v>1.08</v>
      </c>
      <c r="AA7219" s="4">
        <v>3.08</v>
      </c>
      <c r="AB7219" s="3" t="s">
        <v>43</v>
      </c>
      <c r="AC7219" s="3" t="s">
        <v>19102</v>
      </c>
      <c r="AD7219" s="9">
        <v>42123</v>
      </c>
      <c r="AE7219" s="3" t="s">
        <v>2464</v>
      </c>
      <c r="AF7219" s="3" t="s">
        <v>982</v>
      </c>
      <c r="AG7219" s="3" t="s">
        <v>144</v>
      </c>
      <c r="AH7219" s="11">
        <f>HYPERLINK("https://my.pitchbook.com?c=39458-53T","View Company Online")</f>
      </c>
    </row>
    <row r="7220">
      <c r="A7220" s="12" t="s">
        <v>32092</v>
      </c>
      <c r="B7220" s="12" t="s">
        <v>28517</v>
      </c>
      <c r="C7220" s="19" t="s">
        <v>36</v>
      </c>
      <c r="D7220" s="19" t="s">
        <v>36</v>
      </c>
      <c r="E7220" s="19" t="s">
        <v>36</v>
      </c>
      <c r="F7220" s="19" t="s">
        <v>36</v>
      </c>
      <c r="G7220" s="15" t="s">
        <v>36</v>
      </c>
      <c r="H7220" s="14" t="s">
        <v>36</v>
      </c>
      <c r="I7220" s="18" t="s">
        <v>36</v>
      </c>
      <c r="J7220" s="12" t="s">
        <v>36</v>
      </c>
      <c r="K7220" s="13" t="s">
        <v>36</v>
      </c>
      <c r="L7220" s="15" t="s">
        <v>36</v>
      </c>
      <c r="M7220" s="12" t="s">
        <v>36</v>
      </c>
      <c r="N7220" s="12" t="s">
        <v>36</v>
      </c>
      <c r="O7220" s="17" t="s">
        <v>36</v>
      </c>
      <c r="P7220" s="12" t="s">
        <v>36</v>
      </c>
      <c r="Q7220" s="12" t="s">
        <v>36</v>
      </c>
      <c r="R7220" s="12" t="s">
        <v>36</v>
      </c>
      <c r="S7220" s="12" t="s">
        <v>36</v>
      </c>
      <c r="T7220" s="12" t="s">
        <v>1701</v>
      </c>
      <c r="U7220" s="12" t="s">
        <v>74</v>
      </c>
      <c r="V7220" s="12" t="s">
        <v>75</v>
      </c>
      <c r="W7220" s="12" t="s">
        <v>28518</v>
      </c>
      <c r="X7220" s="16" t="s">
        <v>32093</v>
      </c>
      <c r="Y7220" s="15" t="s">
        <v>42</v>
      </c>
      <c r="Z7220" s="14">
        <v>0.23</v>
      </c>
      <c r="AA7220" s="14" t="s">
        <v>36</v>
      </c>
      <c r="AB7220" s="12" t="s">
        <v>43</v>
      </c>
      <c r="AC7220" s="12" t="s">
        <v>28520</v>
      </c>
      <c r="AD7220" s="13">
        <v>42123</v>
      </c>
      <c r="AE7220" s="12" t="s">
        <v>79</v>
      </c>
      <c r="AF7220" s="12" t="s">
        <v>36</v>
      </c>
      <c r="AG7220" s="12" t="s">
        <v>144</v>
      </c>
      <c r="AH7220" s="1">
        <f>HYPERLINK("https://my.pitchbook.com?c=82998-46T","View Company Online")</f>
      </c>
    </row>
    <row r="7221">
      <c r="A7221" s="3" t="s">
        <v>32094</v>
      </c>
      <c r="B7221" s="3" t="s">
        <v>22299</v>
      </c>
      <c r="C7221" s="5">
        <v>4</v>
      </c>
      <c r="D7221" s="5">
        <v>7</v>
      </c>
      <c r="E7221" s="5">
        <v>3</v>
      </c>
      <c r="F7221" s="5">
        <v>15</v>
      </c>
      <c r="G7221" s="6" t="s">
        <v>36</v>
      </c>
      <c r="H7221" s="4">
        <v>363.89</v>
      </c>
      <c r="I7221" s="7">
        <v>13.75</v>
      </c>
      <c r="J7221" s="3" t="s">
        <v>521</v>
      </c>
      <c r="K7221" s="9" t="s">
        <v>36</v>
      </c>
      <c r="L7221" s="6" t="s">
        <v>36</v>
      </c>
      <c r="M7221" s="3" t="s">
        <v>36</v>
      </c>
      <c r="N7221" s="3" t="s">
        <v>36</v>
      </c>
      <c r="O7221" s="8" t="s">
        <v>36</v>
      </c>
      <c r="P7221" s="3" t="s">
        <v>36</v>
      </c>
      <c r="Q7221" s="3" t="s">
        <v>36</v>
      </c>
      <c r="R7221" s="3" t="s">
        <v>36</v>
      </c>
      <c r="S7221" s="3" t="s">
        <v>36</v>
      </c>
      <c r="T7221" s="3" t="s">
        <v>22300</v>
      </c>
      <c r="U7221" s="3" t="s">
        <v>96</v>
      </c>
      <c r="V7221" s="3" t="s">
        <v>52</v>
      </c>
      <c r="W7221" s="3" t="s">
        <v>22301</v>
      </c>
      <c r="X7221" s="10" t="s">
        <v>32095</v>
      </c>
      <c r="Y7221" s="6" t="s">
        <v>42</v>
      </c>
      <c r="Z7221" s="4">
        <v>1.08</v>
      </c>
      <c r="AA7221" s="4">
        <v>4.32</v>
      </c>
      <c r="AB7221" s="3" t="s">
        <v>56</v>
      </c>
      <c r="AC7221" s="3" t="s">
        <v>22302</v>
      </c>
      <c r="AD7221" s="9">
        <v>42122</v>
      </c>
      <c r="AE7221" s="3" t="s">
        <v>755</v>
      </c>
      <c r="AF7221" s="3" t="s">
        <v>2416</v>
      </c>
      <c r="AG7221" s="3" t="s">
        <v>22303</v>
      </c>
      <c r="AH7221" s="11">
        <f>HYPERLINK("https://my.pitchbook.com?c=71159-14T","View Company Online")</f>
      </c>
    </row>
    <row r="7222">
      <c r="A7222" s="12" t="s">
        <v>32096</v>
      </c>
      <c r="B7222" s="12" t="s">
        <v>26237</v>
      </c>
      <c r="C7222" s="19" t="s">
        <v>36</v>
      </c>
      <c r="D7222" s="19" t="s">
        <v>36</v>
      </c>
      <c r="E7222" s="19" t="s">
        <v>36</v>
      </c>
      <c r="F7222" s="19" t="s">
        <v>36</v>
      </c>
      <c r="G7222" s="15" t="s">
        <v>36</v>
      </c>
      <c r="H7222" s="14">
        <v>39.21</v>
      </c>
      <c r="I7222" s="18">
        <v>17.67</v>
      </c>
      <c r="J7222" s="12" t="s">
        <v>521</v>
      </c>
      <c r="K7222" s="13" t="s">
        <v>36</v>
      </c>
      <c r="L7222" s="15" t="s">
        <v>36</v>
      </c>
      <c r="M7222" s="12" t="s">
        <v>36</v>
      </c>
      <c r="N7222" s="12" t="s">
        <v>36</v>
      </c>
      <c r="O7222" s="17" t="s">
        <v>36</v>
      </c>
      <c r="P7222" s="12" t="s">
        <v>36</v>
      </c>
      <c r="Q7222" s="12" t="s">
        <v>36</v>
      </c>
      <c r="R7222" s="12" t="s">
        <v>36</v>
      </c>
      <c r="S7222" s="12" t="s">
        <v>36</v>
      </c>
      <c r="T7222" s="12" t="s">
        <v>1418</v>
      </c>
      <c r="U7222" s="12" t="s">
        <v>38</v>
      </c>
      <c r="V7222" s="12" t="s">
        <v>39</v>
      </c>
      <c r="W7222" s="12" t="s">
        <v>26238</v>
      </c>
      <c r="X7222" s="16" t="s">
        <v>20907</v>
      </c>
      <c r="Y7222" s="15" t="s">
        <v>42</v>
      </c>
      <c r="Z7222" s="14">
        <v>0.02</v>
      </c>
      <c r="AA7222" s="14">
        <v>0.12</v>
      </c>
      <c r="AB7222" s="12" t="s">
        <v>43</v>
      </c>
      <c r="AC7222" s="12" t="s">
        <v>26239</v>
      </c>
      <c r="AD7222" s="13">
        <v>42122</v>
      </c>
      <c r="AE7222" s="12" t="s">
        <v>1422</v>
      </c>
      <c r="AF7222" s="12" t="s">
        <v>4284</v>
      </c>
      <c r="AG7222" s="12" t="s">
        <v>81</v>
      </c>
      <c r="AH7222" s="1">
        <f>HYPERLINK("https://my.pitchbook.com?c=125625-16T","View Company Online")</f>
      </c>
    </row>
    <row r="7223">
      <c r="A7223" s="3" t="s">
        <v>32097</v>
      </c>
      <c r="B7223" s="3" t="s">
        <v>23877</v>
      </c>
      <c r="C7223" s="5" t="s">
        <v>36</v>
      </c>
      <c r="D7223" s="5" t="s">
        <v>36</v>
      </c>
      <c r="E7223" s="5" t="s">
        <v>36</v>
      </c>
      <c r="F7223" s="5" t="s">
        <v>36</v>
      </c>
      <c r="G7223" s="6" t="s">
        <v>36</v>
      </c>
      <c r="H7223" s="4">
        <v>4.99</v>
      </c>
      <c r="I7223" s="7">
        <v>4.63</v>
      </c>
      <c r="J7223" s="3" t="s">
        <v>521</v>
      </c>
      <c r="K7223" s="9" t="s">
        <v>36</v>
      </c>
      <c r="L7223" s="6" t="s">
        <v>36</v>
      </c>
      <c r="M7223" s="3" t="s">
        <v>36</v>
      </c>
      <c r="N7223" s="3" t="s">
        <v>36</v>
      </c>
      <c r="O7223" s="8" t="s">
        <v>36</v>
      </c>
      <c r="P7223" s="3" t="s">
        <v>36</v>
      </c>
      <c r="Q7223" s="3" t="s">
        <v>36</v>
      </c>
      <c r="R7223" s="3" t="s">
        <v>36</v>
      </c>
      <c r="S7223" s="3" t="s">
        <v>36</v>
      </c>
      <c r="T7223" s="3" t="s">
        <v>23878</v>
      </c>
      <c r="U7223" s="3" t="s">
        <v>279</v>
      </c>
      <c r="V7223" s="3" t="s">
        <v>64</v>
      </c>
      <c r="W7223" s="3" t="s">
        <v>23879</v>
      </c>
      <c r="X7223" s="10" t="s">
        <v>32098</v>
      </c>
      <c r="Y7223" s="6" t="s">
        <v>108</v>
      </c>
      <c r="Z7223" s="4">
        <v>0.23</v>
      </c>
      <c r="AA7223" s="4">
        <v>5.01</v>
      </c>
      <c r="AB7223" s="3" t="s">
        <v>43</v>
      </c>
      <c r="AC7223" s="3" t="s">
        <v>23880</v>
      </c>
      <c r="AD7223" s="9">
        <v>42122</v>
      </c>
      <c r="AE7223" s="3" t="s">
        <v>851</v>
      </c>
      <c r="AF7223" s="3" t="s">
        <v>1077</v>
      </c>
      <c r="AG7223" s="3" t="s">
        <v>81</v>
      </c>
      <c r="AH7223" s="11">
        <f>HYPERLINK("https://my.pitchbook.com?c=117811-90T","View Company Online")</f>
      </c>
    </row>
    <row r="7224">
      <c r="A7224" s="12" t="s">
        <v>32099</v>
      </c>
      <c r="B7224" s="12" t="s">
        <v>18762</v>
      </c>
      <c r="C7224" s="19">
        <v>1</v>
      </c>
      <c r="D7224" s="19" t="s">
        <v>36</v>
      </c>
      <c r="E7224" s="19">
        <v>1</v>
      </c>
      <c r="F7224" s="19">
        <v>1</v>
      </c>
      <c r="G7224" s="15" t="s">
        <v>36</v>
      </c>
      <c r="H7224" s="14">
        <v>104.9</v>
      </c>
      <c r="I7224" s="18">
        <v>22.33</v>
      </c>
      <c r="J7224" s="12" t="s">
        <v>521</v>
      </c>
      <c r="K7224" s="13">
        <v>42111</v>
      </c>
      <c r="L7224" s="15" t="s">
        <v>36</v>
      </c>
      <c r="M7224" s="12" t="s">
        <v>36</v>
      </c>
      <c r="N7224" s="12" t="s">
        <v>36</v>
      </c>
      <c r="O7224" s="17" t="s">
        <v>36</v>
      </c>
      <c r="P7224" s="12" t="s">
        <v>36</v>
      </c>
      <c r="Q7224" s="12" t="s">
        <v>36</v>
      </c>
      <c r="R7224" s="12" t="s">
        <v>36</v>
      </c>
      <c r="S7224" s="12" t="s">
        <v>36</v>
      </c>
      <c r="T7224" s="12" t="s">
        <v>1701</v>
      </c>
      <c r="U7224" s="12" t="s">
        <v>74</v>
      </c>
      <c r="V7224" s="12" t="s">
        <v>75</v>
      </c>
      <c r="W7224" s="12" t="s">
        <v>18763</v>
      </c>
      <c r="X7224" s="16" t="s">
        <v>32100</v>
      </c>
      <c r="Y7224" s="15" t="s">
        <v>42</v>
      </c>
      <c r="Z7224" s="14">
        <v>4.32</v>
      </c>
      <c r="AA7224" s="14">
        <v>13.89</v>
      </c>
      <c r="AB7224" s="12" t="s">
        <v>56</v>
      </c>
      <c r="AC7224" s="12" t="s">
        <v>18765</v>
      </c>
      <c r="AD7224" s="13">
        <v>42121</v>
      </c>
      <c r="AE7224" s="12" t="s">
        <v>79</v>
      </c>
      <c r="AF7224" s="12" t="s">
        <v>1401</v>
      </c>
      <c r="AG7224" s="12" t="s">
        <v>1078</v>
      </c>
      <c r="AH7224" s="1">
        <f>HYPERLINK("https://my.pitchbook.com?c=49159-09T","View Company Online")</f>
      </c>
    </row>
    <row r="7225">
      <c r="A7225" s="3" t="s">
        <v>32101</v>
      </c>
      <c r="B7225" s="3" t="s">
        <v>23976</v>
      </c>
      <c r="C7225" s="5">
        <v>3</v>
      </c>
      <c r="D7225" s="5" t="s">
        <v>36</v>
      </c>
      <c r="E7225" s="5">
        <v>4</v>
      </c>
      <c r="F7225" s="5">
        <v>8</v>
      </c>
      <c r="G7225" s="6" t="s">
        <v>36</v>
      </c>
      <c r="H7225" s="4">
        <v>40.7</v>
      </c>
      <c r="I7225" s="7">
        <v>16.06</v>
      </c>
      <c r="J7225" s="3" t="s">
        <v>521</v>
      </c>
      <c r="K7225" s="9">
        <v>42108</v>
      </c>
      <c r="L7225" s="6" t="s">
        <v>36</v>
      </c>
      <c r="M7225" s="3" t="s">
        <v>36</v>
      </c>
      <c r="N7225" s="3" t="s">
        <v>36</v>
      </c>
      <c r="O7225" s="8" t="s">
        <v>36</v>
      </c>
      <c r="P7225" s="3" t="s">
        <v>36</v>
      </c>
      <c r="Q7225" s="3" t="s">
        <v>36</v>
      </c>
      <c r="R7225" s="3" t="s">
        <v>36</v>
      </c>
      <c r="S7225" s="3" t="s">
        <v>36</v>
      </c>
      <c r="T7225" s="3" t="s">
        <v>661</v>
      </c>
      <c r="U7225" s="3" t="s">
        <v>51</v>
      </c>
      <c r="V7225" s="3" t="s">
        <v>52</v>
      </c>
      <c r="W7225" s="3" t="s">
        <v>23977</v>
      </c>
      <c r="X7225" s="10" t="s">
        <v>20888</v>
      </c>
      <c r="Y7225" s="6" t="s">
        <v>42</v>
      </c>
      <c r="Z7225" s="4">
        <v>0.56</v>
      </c>
      <c r="AA7225" s="4">
        <v>3.46</v>
      </c>
      <c r="AB7225" s="3" t="s">
        <v>43</v>
      </c>
      <c r="AC7225" s="3" t="s">
        <v>23978</v>
      </c>
      <c r="AD7225" s="9">
        <v>42117</v>
      </c>
      <c r="AE7225" s="3" t="s">
        <v>158</v>
      </c>
      <c r="AF7225" s="3" t="s">
        <v>885</v>
      </c>
      <c r="AG7225" s="3" t="s">
        <v>12953</v>
      </c>
      <c r="AH7225" s="11">
        <f>HYPERLINK("https://my.pitchbook.com?c=89695-72T","View Company Online")</f>
      </c>
    </row>
    <row r="7226">
      <c r="A7226" s="12" t="s">
        <v>32102</v>
      </c>
      <c r="B7226" s="12" t="s">
        <v>32103</v>
      </c>
      <c r="C7226" s="19" t="s">
        <v>36</v>
      </c>
      <c r="D7226" s="19" t="s">
        <v>36</v>
      </c>
      <c r="E7226" s="19" t="s">
        <v>36</v>
      </c>
      <c r="F7226" s="19" t="s">
        <v>36</v>
      </c>
      <c r="G7226" s="15" t="s">
        <v>36</v>
      </c>
      <c r="H7226" s="14" t="s">
        <v>36</v>
      </c>
      <c r="I7226" s="18" t="s">
        <v>36</v>
      </c>
      <c r="J7226" s="12" t="s">
        <v>36</v>
      </c>
      <c r="K7226" s="13" t="s">
        <v>36</v>
      </c>
      <c r="L7226" s="15" t="s">
        <v>36</v>
      </c>
      <c r="M7226" s="12" t="s">
        <v>36</v>
      </c>
      <c r="N7226" s="12" t="s">
        <v>36</v>
      </c>
      <c r="O7226" s="17" t="s">
        <v>36</v>
      </c>
      <c r="P7226" s="12" t="s">
        <v>36</v>
      </c>
      <c r="Q7226" s="12" t="s">
        <v>36</v>
      </c>
      <c r="R7226" s="12" t="s">
        <v>36</v>
      </c>
      <c r="S7226" s="12" t="s">
        <v>36</v>
      </c>
      <c r="T7226" s="12" t="s">
        <v>32104</v>
      </c>
      <c r="U7226" s="12" t="s">
        <v>38</v>
      </c>
      <c r="V7226" s="12" t="s">
        <v>39</v>
      </c>
      <c r="W7226" s="12" t="s">
        <v>32105</v>
      </c>
      <c r="X7226" s="16" t="s">
        <v>32106</v>
      </c>
      <c r="Y7226" s="15" t="s">
        <v>42</v>
      </c>
      <c r="Z7226" s="14">
        <v>2.16</v>
      </c>
      <c r="AA7226" s="14" t="s">
        <v>36</v>
      </c>
      <c r="AB7226" s="12" t="s">
        <v>56</v>
      </c>
      <c r="AC7226" s="12" t="s">
        <v>32107</v>
      </c>
      <c r="AD7226" s="13">
        <v>42117</v>
      </c>
      <c r="AE7226" s="12" t="s">
        <v>45</v>
      </c>
      <c r="AF7226" s="12" t="s">
        <v>7466</v>
      </c>
      <c r="AG7226" s="12" t="s">
        <v>81</v>
      </c>
      <c r="AH7226" s="1">
        <f>HYPERLINK("https://my.pitchbook.com?c=70868-71T","View Company Online")</f>
      </c>
    </row>
    <row r="7227">
      <c r="A7227" s="3" t="s">
        <v>32108</v>
      </c>
      <c r="B7227" s="3" t="s">
        <v>32109</v>
      </c>
      <c r="C7227" s="5" t="s">
        <v>36</v>
      </c>
      <c r="D7227" s="5">
        <v>4</v>
      </c>
      <c r="E7227" s="5">
        <v>1</v>
      </c>
      <c r="F7227" s="5">
        <v>4</v>
      </c>
      <c r="G7227" s="6" t="s">
        <v>36</v>
      </c>
      <c r="H7227" s="4">
        <v>134.29</v>
      </c>
      <c r="I7227" s="7">
        <v>34.02</v>
      </c>
      <c r="J7227" s="3" t="s">
        <v>521</v>
      </c>
      <c r="K7227" s="9" t="s">
        <v>36</v>
      </c>
      <c r="L7227" s="6" t="s">
        <v>36</v>
      </c>
      <c r="M7227" s="3" t="s">
        <v>36</v>
      </c>
      <c r="N7227" s="3" t="s">
        <v>36</v>
      </c>
      <c r="O7227" s="8" t="s">
        <v>36</v>
      </c>
      <c r="P7227" s="3" t="s">
        <v>36</v>
      </c>
      <c r="Q7227" s="3" t="s">
        <v>36</v>
      </c>
      <c r="R7227" s="3" t="s">
        <v>36</v>
      </c>
      <c r="S7227" s="3" t="s">
        <v>36</v>
      </c>
      <c r="T7227" s="3" t="s">
        <v>32110</v>
      </c>
      <c r="U7227" s="3" t="s">
        <v>74</v>
      </c>
      <c r="V7227" s="3" t="s">
        <v>75</v>
      </c>
      <c r="W7227" s="3" t="s">
        <v>32111</v>
      </c>
      <c r="X7227" s="10" t="s">
        <v>5892</v>
      </c>
      <c r="Y7227" s="6" t="s">
        <v>42</v>
      </c>
      <c r="Z7227" s="4">
        <v>1.08</v>
      </c>
      <c r="AA7227" s="4">
        <v>3.17</v>
      </c>
      <c r="AB7227" s="3" t="s">
        <v>43</v>
      </c>
      <c r="AC7227" s="3" t="s">
        <v>32112</v>
      </c>
      <c r="AD7227" s="9">
        <v>42117</v>
      </c>
      <c r="AE7227" s="3" t="s">
        <v>1888</v>
      </c>
      <c r="AF7227" s="3" t="s">
        <v>4375</v>
      </c>
      <c r="AG7227" s="3" t="s">
        <v>32113</v>
      </c>
      <c r="AH7227" s="11">
        <f>HYPERLINK("https://my.pitchbook.com?c=54770-68T","View Company Online")</f>
      </c>
    </row>
    <row r="7228">
      <c r="A7228" s="12" t="s">
        <v>32114</v>
      </c>
      <c r="B7228" s="12" t="s">
        <v>29081</v>
      </c>
      <c r="C7228" s="19" t="s">
        <v>36</v>
      </c>
      <c r="D7228" s="19" t="s">
        <v>36</v>
      </c>
      <c r="E7228" s="19" t="s">
        <v>36</v>
      </c>
      <c r="F7228" s="19" t="s">
        <v>36</v>
      </c>
      <c r="G7228" s="15" t="s">
        <v>36</v>
      </c>
      <c r="H7228" s="14">
        <v>10.67</v>
      </c>
      <c r="I7228" s="18">
        <v>30.19</v>
      </c>
      <c r="J7228" s="12" t="s">
        <v>327</v>
      </c>
      <c r="K7228" s="13" t="s">
        <v>36</v>
      </c>
      <c r="L7228" s="15" t="s">
        <v>36</v>
      </c>
      <c r="M7228" s="12" t="s">
        <v>36</v>
      </c>
      <c r="N7228" s="12" t="s">
        <v>36</v>
      </c>
      <c r="O7228" s="17" t="s">
        <v>36</v>
      </c>
      <c r="P7228" s="12" t="s">
        <v>36</v>
      </c>
      <c r="Q7228" s="12" t="s">
        <v>36</v>
      </c>
      <c r="R7228" s="12" t="s">
        <v>36</v>
      </c>
      <c r="S7228" s="12" t="s">
        <v>36</v>
      </c>
      <c r="T7228" s="12" t="s">
        <v>1196</v>
      </c>
      <c r="U7228" s="12" t="s">
        <v>38</v>
      </c>
      <c r="V7228" s="12" t="s">
        <v>39</v>
      </c>
      <c r="W7228" s="12" t="s">
        <v>29082</v>
      </c>
      <c r="X7228" s="16" t="s">
        <v>32115</v>
      </c>
      <c r="Y7228" s="15" t="s">
        <v>42</v>
      </c>
      <c r="Z7228" s="14">
        <v>2.16</v>
      </c>
      <c r="AA7228" s="14">
        <v>7.15</v>
      </c>
      <c r="AB7228" s="12" t="s">
        <v>56</v>
      </c>
      <c r="AC7228" s="12" t="s">
        <v>29084</v>
      </c>
      <c r="AD7228" s="13">
        <v>42116</v>
      </c>
      <c r="AE7228" s="12" t="s">
        <v>1200</v>
      </c>
      <c r="AF7228" s="12" t="s">
        <v>10147</v>
      </c>
      <c r="AG7228" s="12" t="s">
        <v>29085</v>
      </c>
      <c r="AH7228" s="1">
        <f>HYPERLINK("https://my.pitchbook.com?c=49032-91T","View Company Online")</f>
      </c>
    </row>
    <row r="7229">
      <c r="A7229" s="3" t="s">
        <v>32116</v>
      </c>
      <c r="B7229" s="3" t="s">
        <v>9078</v>
      </c>
      <c r="C7229" s="5">
        <v>5</v>
      </c>
      <c r="D7229" s="5">
        <v>26</v>
      </c>
      <c r="E7229" s="5">
        <v>9</v>
      </c>
      <c r="F7229" s="5">
        <v>36</v>
      </c>
      <c r="G7229" s="6" t="s">
        <v>36</v>
      </c>
      <c r="H7229" s="4">
        <v>311.57</v>
      </c>
      <c r="I7229" s="7">
        <v>46.56</v>
      </c>
      <c r="J7229" s="3" t="s">
        <v>521</v>
      </c>
      <c r="K7229" s="9">
        <v>41963</v>
      </c>
      <c r="L7229" s="6" t="s">
        <v>122</v>
      </c>
      <c r="M7229" s="3" t="s">
        <v>36</v>
      </c>
      <c r="N7229" s="3" t="s">
        <v>122</v>
      </c>
      <c r="O7229" s="8" t="s">
        <v>36</v>
      </c>
      <c r="P7229" s="3" t="s">
        <v>36</v>
      </c>
      <c r="Q7229" s="3" t="s">
        <v>36</v>
      </c>
      <c r="R7229" s="3" t="s">
        <v>36</v>
      </c>
      <c r="S7229" s="3" t="s">
        <v>6657</v>
      </c>
      <c r="T7229" s="3" t="s">
        <v>9079</v>
      </c>
      <c r="U7229" s="3" t="s">
        <v>366</v>
      </c>
      <c r="V7229" s="3" t="s">
        <v>367</v>
      </c>
      <c r="W7229" s="3" t="s">
        <v>9080</v>
      </c>
      <c r="X7229" s="10" t="s">
        <v>8529</v>
      </c>
      <c r="Y7229" s="6" t="s">
        <v>42</v>
      </c>
      <c r="Z7229" s="4">
        <v>2.82</v>
      </c>
      <c r="AA7229" s="4">
        <v>6.06</v>
      </c>
      <c r="AB7229" s="3" t="s">
        <v>43</v>
      </c>
      <c r="AC7229" s="3" t="s">
        <v>9081</v>
      </c>
      <c r="AD7229" s="9">
        <v>42115</v>
      </c>
      <c r="AE7229" s="3" t="s">
        <v>600</v>
      </c>
      <c r="AF7229" s="3" t="s">
        <v>9082</v>
      </c>
      <c r="AG7229" s="3" t="s">
        <v>9083</v>
      </c>
      <c r="AH7229" s="11">
        <f>HYPERLINK("https://my.pitchbook.com?c=45120-43T","View Company Online")</f>
      </c>
    </row>
    <row r="7230">
      <c r="A7230" s="12" t="s">
        <v>32117</v>
      </c>
      <c r="B7230" s="12" t="s">
        <v>32118</v>
      </c>
      <c r="C7230" s="19" t="s">
        <v>36</v>
      </c>
      <c r="D7230" s="19">
        <v>3</v>
      </c>
      <c r="E7230" s="19">
        <v>3</v>
      </c>
      <c r="F7230" s="19">
        <v>6</v>
      </c>
      <c r="G7230" s="15" t="s">
        <v>36</v>
      </c>
      <c r="H7230" s="14" t="s">
        <v>36</v>
      </c>
      <c r="I7230" s="18" t="s">
        <v>36</v>
      </c>
      <c r="J7230" s="12" t="s">
        <v>36</v>
      </c>
      <c r="K7230" s="13" t="s">
        <v>36</v>
      </c>
      <c r="L7230" s="15" t="s">
        <v>36</v>
      </c>
      <c r="M7230" s="12" t="s">
        <v>36</v>
      </c>
      <c r="N7230" s="12" t="s">
        <v>36</v>
      </c>
      <c r="O7230" s="17" t="s">
        <v>36</v>
      </c>
      <c r="P7230" s="12" t="s">
        <v>36</v>
      </c>
      <c r="Q7230" s="12" t="s">
        <v>36</v>
      </c>
      <c r="R7230" s="12" t="s">
        <v>36</v>
      </c>
      <c r="S7230" s="12" t="s">
        <v>36</v>
      </c>
      <c r="T7230" s="12" t="s">
        <v>2910</v>
      </c>
      <c r="U7230" s="12" t="s">
        <v>219</v>
      </c>
      <c r="V7230" s="12" t="s">
        <v>75</v>
      </c>
      <c r="W7230" s="12" t="s">
        <v>32119</v>
      </c>
      <c r="X7230" s="16" t="s">
        <v>32120</v>
      </c>
      <c r="Y7230" s="15" t="s">
        <v>108</v>
      </c>
      <c r="Z7230" s="14">
        <v>0.65</v>
      </c>
      <c r="AA7230" s="14" t="s">
        <v>36</v>
      </c>
      <c r="AB7230" s="12" t="s">
        <v>56</v>
      </c>
      <c r="AC7230" s="12" t="s">
        <v>32121</v>
      </c>
      <c r="AD7230" s="13">
        <v>42111</v>
      </c>
      <c r="AE7230" s="12" t="s">
        <v>2914</v>
      </c>
      <c r="AF7230" s="12" t="s">
        <v>1969</v>
      </c>
      <c r="AG7230" s="12" t="s">
        <v>32122</v>
      </c>
      <c r="AH7230" s="1">
        <f>HYPERLINK("https://my.pitchbook.com?c=88014-52T","View Company Online")</f>
      </c>
    </row>
    <row r="7231">
      <c r="A7231" s="3" t="s">
        <v>32123</v>
      </c>
      <c r="B7231" s="3" t="s">
        <v>27500</v>
      </c>
      <c r="C7231" s="5">
        <v>10</v>
      </c>
      <c r="D7231" s="5">
        <v>39</v>
      </c>
      <c r="E7231" s="5">
        <v>6</v>
      </c>
      <c r="F7231" s="5">
        <v>49</v>
      </c>
      <c r="G7231" s="6" t="s">
        <v>36</v>
      </c>
      <c r="H7231" s="4">
        <v>44.53</v>
      </c>
      <c r="I7231" s="7">
        <v>35.67</v>
      </c>
      <c r="J7231" s="3" t="s">
        <v>521</v>
      </c>
      <c r="K7231" s="9" t="s">
        <v>36</v>
      </c>
      <c r="L7231" s="6" t="s">
        <v>122</v>
      </c>
      <c r="M7231" s="3" t="s">
        <v>36</v>
      </c>
      <c r="N7231" s="3" t="s">
        <v>122</v>
      </c>
      <c r="O7231" s="8" t="s">
        <v>36</v>
      </c>
      <c r="P7231" s="3" t="s">
        <v>36</v>
      </c>
      <c r="Q7231" s="3" t="s">
        <v>36</v>
      </c>
      <c r="R7231" s="3" t="s">
        <v>36</v>
      </c>
      <c r="S7231" s="3" t="s">
        <v>36</v>
      </c>
      <c r="T7231" s="3" t="s">
        <v>27501</v>
      </c>
      <c r="U7231" s="3" t="s">
        <v>423</v>
      </c>
      <c r="V7231" s="3" t="s">
        <v>64</v>
      </c>
      <c r="W7231" s="3" t="s">
        <v>27502</v>
      </c>
      <c r="X7231" s="10" t="s">
        <v>32124</v>
      </c>
      <c r="Y7231" s="6" t="s">
        <v>42</v>
      </c>
      <c r="Z7231" s="4">
        <v>1.54</v>
      </c>
      <c r="AA7231" s="4">
        <v>2.16</v>
      </c>
      <c r="AB7231" s="3" t="s">
        <v>43</v>
      </c>
      <c r="AC7231" s="3" t="s">
        <v>27504</v>
      </c>
      <c r="AD7231" s="9">
        <v>42109</v>
      </c>
      <c r="AE7231" s="3" t="s">
        <v>1051</v>
      </c>
      <c r="AF7231" s="3" t="s">
        <v>27505</v>
      </c>
      <c r="AG7231" s="3" t="s">
        <v>2618</v>
      </c>
      <c r="AH7231" s="11">
        <f>HYPERLINK("https://my.pitchbook.com?c=133513-57T","View Company Online")</f>
      </c>
    </row>
    <row r="7232">
      <c r="A7232" s="12" t="s">
        <v>32125</v>
      </c>
      <c r="B7232" s="12" t="s">
        <v>32126</v>
      </c>
      <c r="C7232" s="19" t="s">
        <v>36</v>
      </c>
      <c r="D7232" s="19" t="s">
        <v>36</v>
      </c>
      <c r="E7232" s="19" t="s">
        <v>36</v>
      </c>
      <c r="F7232" s="19" t="s">
        <v>36</v>
      </c>
      <c r="G7232" s="15" t="s">
        <v>326</v>
      </c>
      <c r="H7232" s="14" t="s">
        <v>36</v>
      </c>
      <c r="I7232" s="18">
        <v>24.2</v>
      </c>
      <c r="J7232" s="12" t="s">
        <v>327</v>
      </c>
      <c r="K7232" s="13" t="s">
        <v>36</v>
      </c>
      <c r="L7232" s="15" t="s">
        <v>36</v>
      </c>
      <c r="M7232" s="12" t="s">
        <v>36</v>
      </c>
      <c r="N7232" s="12" t="s">
        <v>36</v>
      </c>
      <c r="O7232" s="17" t="s">
        <v>36</v>
      </c>
      <c r="P7232" s="12" t="s">
        <v>36</v>
      </c>
      <c r="Q7232" s="12" t="s">
        <v>36</v>
      </c>
      <c r="R7232" s="12" t="s">
        <v>36</v>
      </c>
      <c r="S7232" s="12" t="s">
        <v>36</v>
      </c>
      <c r="T7232" s="12" t="s">
        <v>647</v>
      </c>
      <c r="U7232" s="12" t="s">
        <v>648</v>
      </c>
      <c r="V7232" s="12" t="s">
        <v>64</v>
      </c>
      <c r="W7232" s="12" t="s">
        <v>32127</v>
      </c>
      <c r="X7232" s="16" t="s">
        <v>32128</v>
      </c>
      <c r="Y7232" s="15" t="s">
        <v>108</v>
      </c>
      <c r="Z7232" s="14">
        <v>1.3</v>
      </c>
      <c r="AA7232" s="14">
        <v>5.35</v>
      </c>
      <c r="AB7232" s="12" t="s">
        <v>43</v>
      </c>
      <c r="AC7232" s="12" t="s">
        <v>32129</v>
      </c>
      <c r="AD7232" s="13">
        <v>42109</v>
      </c>
      <c r="AE7232" s="12" t="s">
        <v>651</v>
      </c>
      <c r="AF7232" s="12" t="s">
        <v>32130</v>
      </c>
      <c r="AG7232" s="12" t="s">
        <v>81</v>
      </c>
      <c r="AH7232" s="1">
        <f>HYPERLINK("https://my.pitchbook.com?c=78394-15T","View Company Online")</f>
      </c>
    </row>
    <row r="7233">
      <c r="A7233" s="3" t="s">
        <v>32131</v>
      </c>
      <c r="B7233" s="3" t="s">
        <v>9968</v>
      </c>
      <c r="C7233" s="5">
        <v>4</v>
      </c>
      <c r="D7233" s="5">
        <v>46</v>
      </c>
      <c r="E7233" s="5">
        <v>14</v>
      </c>
      <c r="F7233" s="5">
        <v>50</v>
      </c>
      <c r="G7233" s="6" t="s">
        <v>36</v>
      </c>
      <c r="H7233" s="4" t="s">
        <v>36</v>
      </c>
      <c r="I7233" s="7">
        <v>37.91</v>
      </c>
      <c r="J7233" s="3" t="s">
        <v>521</v>
      </c>
      <c r="K7233" s="9" t="s">
        <v>36</v>
      </c>
      <c r="L7233" s="6" t="s">
        <v>122</v>
      </c>
      <c r="M7233" s="3" t="s">
        <v>36</v>
      </c>
      <c r="N7233" s="3" t="s">
        <v>122</v>
      </c>
      <c r="O7233" s="8" t="s">
        <v>36</v>
      </c>
      <c r="P7233" s="3" t="s">
        <v>36</v>
      </c>
      <c r="Q7233" s="3" t="s">
        <v>36</v>
      </c>
      <c r="R7233" s="3" t="s">
        <v>36</v>
      </c>
      <c r="S7233" s="3" t="s">
        <v>36</v>
      </c>
      <c r="T7233" s="3" t="s">
        <v>9969</v>
      </c>
      <c r="U7233" s="3" t="s">
        <v>366</v>
      </c>
      <c r="V7233" s="3" t="s">
        <v>367</v>
      </c>
      <c r="W7233" s="3" t="s">
        <v>9970</v>
      </c>
      <c r="X7233" s="10" t="s">
        <v>32132</v>
      </c>
      <c r="Y7233" s="6" t="s">
        <v>42</v>
      </c>
      <c r="Z7233" s="4">
        <v>3.99</v>
      </c>
      <c r="AA7233" s="4">
        <v>10.53</v>
      </c>
      <c r="AB7233" s="3" t="s">
        <v>43</v>
      </c>
      <c r="AC7233" s="3" t="s">
        <v>9972</v>
      </c>
      <c r="AD7233" s="9">
        <v>42107</v>
      </c>
      <c r="AE7233" s="3" t="s">
        <v>7565</v>
      </c>
      <c r="AF7233" s="3" t="s">
        <v>9973</v>
      </c>
      <c r="AG7233" s="3" t="s">
        <v>969</v>
      </c>
      <c r="AH7233" s="11">
        <f>HYPERLINK("https://my.pitchbook.com?c=51249-88T","View Company Online")</f>
      </c>
    </row>
    <row r="7234">
      <c r="A7234" s="12" t="s">
        <v>32133</v>
      </c>
      <c r="B7234" s="12" t="s">
        <v>32134</v>
      </c>
      <c r="C7234" s="19" t="s">
        <v>36</v>
      </c>
      <c r="D7234" s="19" t="s">
        <v>36</v>
      </c>
      <c r="E7234" s="19" t="s">
        <v>36</v>
      </c>
      <c r="F7234" s="19" t="s">
        <v>36</v>
      </c>
      <c r="G7234" s="15" t="s">
        <v>36</v>
      </c>
      <c r="H7234" s="14">
        <v>80.78</v>
      </c>
      <c r="I7234" s="18">
        <v>30</v>
      </c>
      <c r="J7234" s="12" t="s">
        <v>327</v>
      </c>
      <c r="K7234" s="13" t="s">
        <v>36</v>
      </c>
      <c r="L7234" s="15" t="s">
        <v>36</v>
      </c>
      <c r="M7234" s="12" t="s">
        <v>36</v>
      </c>
      <c r="N7234" s="12" t="s">
        <v>36</v>
      </c>
      <c r="O7234" s="17" t="s">
        <v>36</v>
      </c>
      <c r="P7234" s="12" t="s">
        <v>36</v>
      </c>
      <c r="Q7234" s="12" t="s">
        <v>36</v>
      </c>
      <c r="R7234" s="12" t="s">
        <v>36</v>
      </c>
      <c r="S7234" s="12" t="s">
        <v>36</v>
      </c>
      <c r="T7234" s="12" t="s">
        <v>32135</v>
      </c>
      <c r="U7234" s="12" t="s">
        <v>219</v>
      </c>
      <c r="V7234" s="12" t="s">
        <v>75</v>
      </c>
      <c r="W7234" s="12" t="s">
        <v>32136</v>
      </c>
      <c r="X7234" s="16" t="s">
        <v>32137</v>
      </c>
      <c r="Y7234" s="15" t="s">
        <v>42</v>
      </c>
      <c r="Z7234" s="14">
        <v>0.65</v>
      </c>
      <c r="AA7234" s="14">
        <v>2.16</v>
      </c>
      <c r="AB7234" s="12" t="s">
        <v>43</v>
      </c>
      <c r="AC7234" s="12" t="s">
        <v>32138</v>
      </c>
      <c r="AD7234" s="13">
        <v>42107</v>
      </c>
      <c r="AE7234" s="12" t="s">
        <v>223</v>
      </c>
      <c r="AF7234" s="12" t="s">
        <v>20763</v>
      </c>
      <c r="AG7234" s="12" t="s">
        <v>4172</v>
      </c>
      <c r="AH7234" s="1">
        <f>HYPERLINK("https://my.pitchbook.com?c=89400-52T","View Company Online")</f>
      </c>
    </row>
    <row r="7235">
      <c r="A7235" s="3" t="s">
        <v>32139</v>
      </c>
      <c r="B7235" s="3" t="s">
        <v>16101</v>
      </c>
      <c r="C7235" s="5" t="s">
        <v>36</v>
      </c>
      <c r="D7235" s="5" t="s">
        <v>36</v>
      </c>
      <c r="E7235" s="5" t="s">
        <v>36</v>
      </c>
      <c r="F7235" s="5" t="s">
        <v>36</v>
      </c>
      <c r="G7235" s="6" t="s">
        <v>36</v>
      </c>
      <c r="H7235" s="4" t="s">
        <v>36</v>
      </c>
      <c r="I7235" s="7" t="s">
        <v>36</v>
      </c>
      <c r="J7235" s="3" t="s">
        <v>36</v>
      </c>
      <c r="K7235" s="9" t="s">
        <v>36</v>
      </c>
      <c r="L7235" s="6" t="s">
        <v>122</v>
      </c>
      <c r="M7235" s="3" t="s">
        <v>36</v>
      </c>
      <c r="N7235" s="3" t="s">
        <v>122</v>
      </c>
      <c r="O7235" s="8" t="s">
        <v>36</v>
      </c>
      <c r="P7235" s="3" t="s">
        <v>36</v>
      </c>
      <c r="Q7235" s="3" t="s">
        <v>36</v>
      </c>
      <c r="R7235" s="3" t="s">
        <v>36</v>
      </c>
      <c r="S7235" s="3" t="s">
        <v>36</v>
      </c>
      <c r="T7235" s="3" t="s">
        <v>811</v>
      </c>
      <c r="U7235" s="3" t="s">
        <v>38</v>
      </c>
      <c r="V7235" s="3" t="s">
        <v>39</v>
      </c>
      <c r="W7235" s="3" t="s">
        <v>16102</v>
      </c>
      <c r="X7235" s="10" t="s">
        <v>32140</v>
      </c>
      <c r="Y7235" s="6" t="s">
        <v>108</v>
      </c>
      <c r="Z7235" s="4">
        <v>3.24</v>
      </c>
      <c r="AA7235" s="4" t="s">
        <v>36</v>
      </c>
      <c r="AB7235" s="3" t="s">
        <v>43</v>
      </c>
      <c r="AC7235" s="3" t="s">
        <v>16104</v>
      </c>
      <c r="AD7235" s="9">
        <v>42104</v>
      </c>
      <c r="AE7235" s="3" t="s">
        <v>339</v>
      </c>
      <c r="AF7235" s="3" t="s">
        <v>815</v>
      </c>
      <c r="AG7235" s="3" t="s">
        <v>81</v>
      </c>
      <c r="AH7235" s="11">
        <f>HYPERLINK("https://my.pitchbook.com?c=48313-63T","View Company Online")</f>
      </c>
    </row>
    <row r="7236">
      <c r="A7236" s="12" t="s">
        <v>32141</v>
      </c>
      <c r="B7236" s="12" t="s">
        <v>32142</v>
      </c>
      <c r="C7236" s="19" t="s">
        <v>36</v>
      </c>
      <c r="D7236" s="19" t="s">
        <v>36</v>
      </c>
      <c r="E7236" s="19" t="s">
        <v>36</v>
      </c>
      <c r="F7236" s="19" t="s">
        <v>36</v>
      </c>
      <c r="G7236" s="15" t="s">
        <v>36</v>
      </c>
      <c r="H7236" s="14" t="s">
        <v>36</v>
      </c>
      <c r="I7236" s="18" t="s">
        <v>36</v>
      </c>
      <c r="J7236" s="12" t="s">
        <v>36</v>
      </c>
      <c r="K7236" s="13" t="s">
        <v>36</v>
      </c>
      <c r="L7236" s="15" t="s">
        <v>36</v>
      </c>
      <c r="M7236" s="12" t="s">
        <v>36</v>
      </c>
      <c r="N7236" s="12" t="s">
        <v>36</v>
      </c>
      <c r="O7236" s="17" t="s">
        <v>36</v>
      </c>
      <c r="P7236" s="12" t="s">
        <v>36</v>
      </c>
      <c r="Q7236" s="12" t="s">
        <v>36</v>
      </c>
      <c r="R7236" s="12" t="s">
        <v>36</v>
      </c>
      <c r="S7236" s="12" t="s">
        <v>36</v>
      </c>
      <c r="T7236" s="12" t="s">
        <v>2483</v>
      </c>
      <c r="U7236" s="12" t="s">
        <v>63</v>
      </c>
      <c r="V7236" s="12" t="s">
        <v>64</v>
      </c>
      <c r="W7236" s="12" t="s">
        <v>32143</v>
      </c>
      <c r="X7236" s="16" t="s">
        <v>32144</v>
      </c>
      <c r="Y7236" s="15" t="s">
        <v>108</v>
      </c>
      <c r="Z7236" s="14">
        <v>2.7</v>
      </c>
      <c r="AA7236" s="14" t="s">
        <v>36</v>
      </c>
      <c r="AB7236" s="12" t="s">
        <v>56</v>
      </c>
      <c r="AC7236" s="12" t="s">
        <v>32145</v>
      </c>
      <c r="AD7236" s="13">
        <v>42103</v>
      </c>
      <c r="AE7236" s="12" t="s">
        <v>399</v>
      </c>
      <c r="AF7236" s="12" t="s">
        <v>643</v>
      </c>
      <c r="AG7236" s="12" t="s">
        <v>652</v>
      </c>
      <c r="AH7236" s="1">
        <f>HYPERLINK("https://my.pitchbook.com?c=78875-92T","View Company Online")</f>
      </c>
    </row>
    <row r="7237">
      <c r="A7237" s="3" t="s">
        <v>32146</v>
      </c>
      <c r="B7237" s="3" t="s">
        <v>32147</v>
      </c>
      <c r="C7237" s="5" t="s">
        <v>36</v>
      </c>
      <c r="D7237" s="5" t="s">
        <v>36</v>
      </c>
      <c r="E7237" s="5" t="s">
        <v>36</v>
      </c>
      <c r="F7237" s="5" t="s">
        <v>36</v>
      </c>
      <c r="G7237" s="6" t="s">
        <v>36</v>
      </c>
      <c r="H7237" s="4" t="s">
        <v>36</v>
      </c>
      <c r="I7237" s="7" t="s">
        <v>36</v>
      </c>
      <c r="J7237" s="3" t="s">
        <v>36</v>
      </c>
      <c r="K7237" s="9" t="s">
        <v>36</v>
      </c>
      <c r="L7237" s="6" t="s">
        <v>36</v>
      </c>
      <c r="M7237" s="3" t="s">
        <v>36</v>
      </c>
      <c r="N7237" s="3" t="s">
        <v>36</v>
      </c>
      <c r="O7237" s="8" t="s">
        <v>36</v>
      </c>
      <c r="P7237" s="3" t="s">
        <v>36</v>
      </c>
      <c r="Q7237" s="3" t="s">
        <v>36</v>
      </c>
      <c r="R7237" s="3" t="s">
        <v>36</v>
      </c>
      <c r="S7237" s="3" t="s">
        <v>36</v>
      </c>
      <c r="T7237" s="3" t="s">
        <v>32148</v>
      </c>
      <c r="U7237" s="3" t="s">
        <v>38</v>
      </c>
      <c r="V7237" s="3" t="s">
        <v>39</v>
      </c>
      <c r="W7237" s="3" t="s">
        <v>32149</v>
      </c>
      <c r="X7237" s="10" t="s">
        <v>31191</v>
      </c>
      <c r="Y7237" s="6" t="s">
        <v>55</v>
      </c>
      <c r="Z7237" s="4">
        <v>1</v>
      </c>
      <c r="AA7237" s="4" t="s">
        <v>36</v>
      </c>
      <c r="AB7237" s="3" t="s">
        <v>56</v>
      </c>
      <c r="AC7237" s="3" t="s">
        <v>32150</v>
      </c>
      <c r="AD7237" s="9">
        <v>42103</v>
      </c>
      <c r="AE7237" s="3" t="s">
        <v>32151</v>
      </c>
      <c r="AF7237" s="3" t="s">
        <v>6214</v>
      </c>
      <c r="AG7237" s="3" t="s">
        <v>81</v>
      </c>
      <c r="AH7237" s="11">
        <f>HYPERLINK("https://my.pitchbook.com?c=54344-62T","View Company Online")</f>
      </c>
    </row>
    <row r="7238">
      <c r="A7238" s="12" t="s">
        <v>32152</v>
      </c>
      <c r="B7238" s="12" t="s">
        <v>32153</v>
      </c>
      <c r="C7238" s="19" t="s">
        <v>36</v>
      </c>
      <c r="D7238" s="19" t="s">
        <v>36</v>
      </c>
      <c r="E7238" s="19" t="s">
        <v>36</v>
      </c>
      <c r="F7238" s="19" t="s">
        <v>36</v>
      </c>
      <c r="G7238" s="15" t="s">
        <v>36</v>
      </c>
      <c r="H7238" s="14" t="s">
        <v>36</v>
      </c>
      <c r="I7238" s="18">
        <v>14.27</v>
      </c>
      <c r="J7238" s="12" t="s">
        <v>327</v>
      </c>
      <c r="K7238" s="13" t="s">
        <v>36</v>
      </c>
      <c r="L7238" s="15" t="s">
        <v>36</v>
      </c>
      <c r="M7238" s="12" t="s">
        <v>36</v>
      </c>
      <c r="N7238" s="12" t="s">
        <v>36</v>
      </c>
      <c r="O7238" s="17" t="s">
        <v>36</v>
      </c>
      <c r="P7238" s="12" t="s">
        <v>36</v>
      </c>
      <c r="Q7238" s="12" t="s">
        <v>36</v>
      </c>
      <c r="R7238" s="12" t="s">
        <v>36</v>
      </c>
      <c r="S7238" s="12" t="s">
        <v>36</v>
      </c>
      <c r="T7238" s="12" t="s">
        <v>32154</v>
      </c>
      <c r="U7238" s="12" t="s">
        <v>38</v>
      </c>
      <c r="V7238" s="12" t="s">
        <v>39</v>
      </c>
      <c r="W7238" s="12" t="s">
        <v>32155</v>
      </c>
      <c r="X7238" s="16" t="s">
        <v>32156</v>
      </c>
      <c r="Y7238" s="15" t="s">
        <v>55</v>
      </c>
      <c r="Z7238" s="14">
        <v>0.51</v>
      </c>
      <c r="AA7238" s="14">
        <v>3.59</v>
      </c>
      <c r="AB7238" s="12" t="s">
        <v>43</v>
      </c>
      <c r="AC7238" s="12" t="s">
        <v>32157</v>
      </c>
      <c r="AD7238" s="13">
        <v>42102</v>
      </c>
      <c r="AE7238" s="12" t="s">
        <v>1330</v>
      </c>
      <c r="AF7238" s="12" t="s">
        <v>30292</v>
      </c>
      <c r="AG7238" s="12" t="s">
        <v>400</v>
      </c>
      <c r="AH7238" s="1">
        <f>HYPERLINK("https://my.pitchbook.com?c=67807-36T","View Company Online")</f>
      </c>
    </row>
    <row r="7239">
      <c r="A7239" s="3" t="s">
        <v>32158</v>
      </c>
      <c r="B7239" s="3" t="s">
        <v>26273</v>
      </c>
      <c r="C7239" s="5" t="s">
        <v>36</v>
      </c>
      <c r="D7239" s="5" t="s">
        <v>36</v>
      </c>
      <c r="E7239" s="5" t="s">
        <v>36</v>
      </c>
      <c r="F7239" s="5" t="s">
        <v>36</v>
      </c>
      <c r="G7239" s="6" t="s">
        <v>326</v>
      </c>
      <c r="H7239" s="4">
        <v>25.8</v>
      </c>
      <c r="I7239" s="7">
        <v>10</v>
      </c>
      <c r="J7239" s="3" t="s">
        <v>521</v>
      </c>
      <c r="K7239" s="9" t="s">
        <v>36</v>
      </c>
      <c r="L7239" s="6" t="s">
        <v>36</v>
      </c>
      <c r="M7239" s="3" t="s">
        <v>36</v>
      </c>
      <c r="N7239" s="3" t="s">
        <v>36</v>
      </c>
      <c r="O7239" s="8" t="s">
        <v>36</v>
      </c>
      <c r="P7239" s="3" t="s">
        <v>36</v>
      </c>
      <c r="Q7239" s="3" t="s">
        <v>36</v>
      </c>
      <c r="R7239" s="3" t="s">
        <v>36</v>
      </c>
      <c r="S7239" s="3" t="s">
        <v>36</v>
      </c>
      <c r="T7239" s="3" t="s">
        <v>1701</v>
      </c>
      <c r="U7239" s="3" t="s">
        <v>74</v>
      </c>
      <c r="V7239" s="3" t="s">
        <v>75</v>
      </c>
      <c r="W7239" s="3" t="s">
        <v>26274</v>
      </c>
      <c r="X7239" s="10" t="s">
        <v>26275</v>
      </c>
      <c r="Y7239" s="6" t="s">
        <v>108</v>
      </c>
      <c r="Z7239" s="4">
        <v>0.16</v>
      </c>
      <c r="AA7239" s="4">
        <v>1.62</v>
      </c>
      <c r="AB7239" s="3" t="s">
        <v>56</v>
      </c>
      <c r="AC7239" s="3" t="s">
        <v>26276</v>
      </c>
      <c r="AD7239" s="9">
        <v>42102</v>
      </c>
      <c r="AE7239" s="3" t="s">
        <v>79</v>
      </c>
      <c r="AF7239" s="3" t="s">
        <v>36</v>
      </c>
      <c r="AG7239" s="3" t="s">
        <v>5193</v>
      </c>
      <c r="AH7239" s="11">
        <f>HYPERLINK("https://my.pitchbook.com?c=188269-21T","View Company Online")</f>
      </c>
    </row>
    <row r="7240">
      <c r="A7240" s="12" t="s">
        <v>32159</v>
      </c>
      <c r="B7240" s="12" t="s">
        <v>32160</v>
      </c>
      <c r="C7240" s="19" t="s">
        <v>36</v>
      </c>
      <c r="D7240" s="19" t="s">
        <v>36</v>
      </c>
      <c r="E7240" s="19" t="s">
        <v>36</v>
      </c>
      <c r="F7240" s="19" t="s">
        <v>36</v>
      </c>
      <c r="G7240" s="15" t="s">
        <v>36</v>
      </c>
      <c r="H7240" s="14" t="s">
        <v>36</v>
      </c>
      <c r="I7240" s="18" t="s">
        <v>36</v>
      </c>
      <c r="J7240" s="12" t="s">
        <v>36</v>
      </c>
      <c r="K7240" s="13" t="s">
        <v>36</v>
      </c>
      <c r="L7240" s="15" t="s">
        <v>36</v>
      </c>
      <c r="M7240" s="12" t="s">
        <v>36</v>
      </c>
      <c r="N7240" s="12" t="s">
        <v>36</v>
      </c>
      <c r="O7240" s="17" t="s">
        <v>36</v>
      </c>
      <c r="P7240" s="12" t="s">
        <v>36</v>
      </c>
      <c r="Q7240" s="12" t="s">
        <v>36</v>
      </c>
      <c r="R7240" s="12" t="s">
        <v>36</v>
      </c>
      <c r="S7240" s="12" t="s">
        <v>36</v>
      </c>
      <c r="T7240" s="12" t="s">
        <v>7415</v>
      </c>
      <c r="U7240" s="12" t="s">
        <v>38</v>
      </c>
      <c r="V7240" s="12" t="s">
        <v>39</v>
      </c>
      <c r="W7240" s="12" t="s">
        <v>32161</v>
      </c>
      <c r="X7240" s="16" t="s">
        <v>32162</v>
      </c>
      <c r="Y7240" s="15" t="s">
        <v>42</v>
      </c>
      <c r="Z7240" s="14">
        <v>0.22</v>
      </c>
      <c r="AA7240" s="14" t="s">
        <v>36</v>
      </c>
      <c r="AB7240" s="12" t="s">
        <v>43</v>
      </c>
      <c r="AC7240" s="12" t="s">
        <v>32163</v>
      </c>
      <c r="AD7240" s="13">
        <v>42101</v>
      </c>
      <c r="AE7240" s="12" t="s">
        <v>1422</v>
      </c>
      <c r="AF7240" s="12" t="s">
        <v>4842</v>
      </c>
      <c r="AG7240" s="12" t="s">
        <v>899</v>
      </c>
      <c r="AH7240" s="1">
        <f>HYPERLINK("https://my.pitchbook.com?c=51101-20T","View Company Online")</f>
      </c>
    </row>
    <row r="7241">
      <c r="A7241" s="3" t="s">
        <v>32164</v>
      </c>
      <c r="B7241" s="3" t="s">
        <v>32165</v>
      </c>
      <c r="C7241" s="5" t="s">
        <v>36</v>
      </c>
      <c r="D7241" s="5" t="s">
        <v>36</v>
      </c>
      <c r="E7241" s="5" t="s">
        <v>36</v>
      </c>
      <c r="F7241" s="5" t="s">
        <v>36</v>
      </c>
      <c r="G7241" s="6" t="s">
        <v>36</v>
      </c>
      <c r="H7241" s="4">
        <v>31.16</v>
      </c>
      <c r="I7241" s="7">
        <v>41.45</v>
      </c>
      <c r="J7241" s="3" t="s">
        <v>521</v>
      </c>
      <c r="K7241" s="9">
        <v>42083</v>
      </c>
      <c r="L7241" s="6" t="s">
        <v>36</v>
      </c>
      <c r="M7241" s="3" t="s">
        <v>36</v>
      </c>
      <c r="N7241" s="3" t="s">
        <v>36</v>
      </c>
      <c r="O7241" s="8" t="s">
        <v>36</v>
      </c>
      <c r="P7241" s="3" t="s">
        <v>36</v>
      </c>
      <c r="Q7241" s="3" t="s">
        <v>36</v>
      </c>
      <c r="R7241" s="3" t="s">
        <v>36</v>
      </c>
      <c r="S7241" s="3" t="s">
        <v>36</v>
      </c>
      <c r="T7241" s="3" t="s">
        <v>32166</v>
      </c>
      <c r="U7241" s="3" t="s">
        <v>38</v>
      </c>
      <c r="V7241" s="3" t="s">
        <v>39</v>
      </c>
      <c r="W7241" s="3" t="s">
        <v>32167</v>
      </c>
      <c r="X7241" s="10" t="s">
        <v>32168</v>
      </c>
      <c r="Y7241" s="6" t="s">
        <v>42</v>
      </c>
      <c r="Z7241" s="4">
        <v>0.69</v>
      </c>
      <c r="AA7241" s="4">
        <v>1.66</v>
      </c>
      <c r="AB7241" s="3" t="s">
        <v>43</v>
      </c>
      <c r="AC7241" s="3" t="s">
        <v>32169</v>
      </c>
      <c r="AD7241" s="9">
        <v>42101</v>
      </c>
      <c r="AE7241" s="3" t="s">
        <v>1330</v>
      </c>
      <c r="AF7241" s="3" t="s">
        <v>1636</v>
      </c>
      <c r="AG7241" s="3" t="s">
        <v>899</v>
      </c>
      <c r="AH7241" s="11">
        <f>HYPERLINK("https://my.pitchbook.com?c=71650-54T","View Company Online")</f>
      </c>
    </row>
    <row r="7242">
      <c r="A7242" s="12" t="s">
        <v>32170</v>
      </c>
      <c r="B7242" s="12" t="s">
        <v>25511</v>
      </c>
      <c r="C7242" s="19" t="s">
        <v>36</v>
      </c>
      <c r="D7242" s="19" t="s">
        <v>36</v>
      </c>
      <c r="E7242" s="19" t="s">
        <v>36</v>
      </c>
      <c r="F7242" s="19" t="s">
        <v>36</v>
      </c>
      <c r="G7242" s="15" t="s">
        <v>36</v>
      </c>
      <c r="H7242" s="14" t="s">
        <v>36</v>
      </c>
      <c r="I7242" s="18" t="s">
        <v>36</v>
      </c>
      <c r="J7242" s="12" t="s">
        <v>36</v>
      </c>
      <c r="K7242" s="13" t="s">
        <v>36</v>
      </c>
      <c r="L7242" s="15" t="s">
        <v>36</v>
      </c>
      <c r="M7242" s="12" t="s">
        <v>36</v>
      </c>
      <c r="N7242" s="12" t="s">
        <v>36</v>
      </c>
      <c r="O7242" s="17" t="s">
        <v>36</v>
      </c>
      <c r="P7242" s="12" t="s">
        <v>36</v>
      </c>
      <c r="Q7242" s="12" t="s">
        <v>36</v>
      </c>
      <c r="R7242" s="12" t="s">
        <v>36</v>
      </c>
      <c r="S7242" s="12" t="s">
        <v>36</v>
      </c>
      <c r="T7242" s="12" t="s">
        <v>25512</v>
      </c>
      <c r="U7242" s="12" t="s">
        <v>38</v>
      </c>
      <c r="V7242" s="12" t="s">
        <v>39</v>
      </c>
      <c r="W7242" s="12" t="s">
        <v>25513</v>
      </c>
      <c r="X7242" s="16" t="s">
        <v>32171</v>
      </c>
      <c r="Y7242" s="15" t="s">
        <v>166</v>
      </c>
      <c r="Z7242" s="14">
        <v>1</v>
      </c>
      <c r="AA7242" s="14" t="s">
        <v>36</v>
      </c>
      <c r="AB7242" s="12" t="s">
        <v>56</v>
      </c>
      <c r="AC7242" s="12" t="s">
        <v>25515</v>
      </c>
      <c r="AD7242" s="13">
        <v>42097</v>
      </c>
      <c r="AE7242" s="12" t="s">
        <v>785</v>
      </c>
      <c r="AF7242" s="12" t="s">
        <v>3040</v>
      </c>
      <c r="AG7242" s="12" t="s">
        <v>787</v>
      </c>
      <c r="AH7242" s="1">
        <f>HYPERLINK("https://my.pitchbook.com?c=67444-30T","View Company Online")</f>
      </c>
    </row>
    <row r="7243">
      <c r="A7243" s="3" t="s">
        <v>32172</v>
      </c>
      <c r="B7243" s="3" t="s">
        <v>21746</v>
      </c>
      <c r="C7243" s="5" t="s">
        <v>36</v>
      </c>
      <c r="D7243" s="5" t="s">
        <v>36</v>
      </c>
      <c r="E7243" s="5" t="s">
        <v>36</v>
      </c>
      <c r="F7243" s="5" t="s">
        <v>36</v>
      </c>
      <c r="G7243" s="6" t="s">
        <v>683</v>
      </c>
      <c r="H7243" s="4">
        <v>311.57</v>
      </c>
      <c r="I7243" s="7">
        <v>35.19</v>
      </c>
      <c r="J7243" s="3" t="s">
        <v>521</v>
      </c>
      <c r="K7243" s="9" t="s">
        <v>36</v>
      </c>
      <c r="L7243" s="6" t="s">
        <v>36</v>
      </c>
      <c r="M7243" s="3" t="s">
        <v>36</v>
      </c>
      <c r="N7243" s="3" t="s">
        <v>36</v>
      </c>
      <c r="O7243" s="8" t="s">
        <v>36</v>
      </c>
      <c r="P7243" s="3" t="s">
        <v>36</v>
      </c>
      <c r="Q7243" s="3" t="s">
        <v>36</v>
      </c>
      <c r="R7243" s="3" t="s">
        <v>36</v>
      </c>
      <c r="S7243" s="3" t="s">
        <v>36</v>
      </c>
      <c r="T7243" s="3" t="s">
        <v>21747</v>
      </c>
      <c r="U7243" s="3" t="s">
        <v>833</v>
      </c>
      <c r="V7243" s="3" t="s">
        <v>64</v>
      </c>
      <c r="W7243" s="3" t="s">
        <v>21748</v>
      </c>
      <c r="X7243" s="10" t="s">
        <v>21749</v>
      </c>
      <c r="Y7243" s="6" t="s">
        <v>42</v>
      </c>
      <c r="Z7243" s="4">
        <v>1.12</v>
      </c>
      <c r="AA7243" s="4">
        <v>3.19</v>
      </c>
      <c r="AB7243" s="3" t="s">
        <v>56</v>
      </c>
      <c r="AC7243" s="3" t="s">
        <v>21750</v>
      </c>
      <c r="AD7243" s="9">
        <v>42096</v>
      </c>
      <c r="AE7243" s="3" t="s">
        <v>3615</v>
      </c>
      <c r="AF7243" s="3" t="s">
        <v>571</v>
      </c>
      <c r="AG7243" s="3" t="s">
        <v>21751</v>
      </c>
      <c r="AH7243" s="11">
        <f>HYPERLINK("https://my.pitchbook.com?c=208621-63T","View Company Online")</f>
      </c>
    </row>
    <row r="7244">
      <c r="A7244" s="12" t="s">
        <v>32173</v>
      </c>
      <c r="B7244" s="12" t="s">
        <v>30294</v>
      </c>
      <c r="C7244" s="19" t="s">
        <v>36</v>
      </c>
      <c r="D7244" s="19" t="s">
        <v>36</v>
      </c>
      <c r="E7244" s="19" t="s">
        <v>36</v>
      </c>
      <c r="F7244" s="19" t="s">
        <v>36</v>
      </c>
      <c r="G7244" s="15" t="s">
        <v>36</v>
      </c>
      <c r="H7244" s="14" t="s">
        <v>36</v>
      </c>
      <c r="I7244" s="18" t="s">
        <v>36</v>
      </c>
      <c r="J7244" s="12" t="s">
        <v>36</v>
      </c>
      <c r="K7244" s="13" t="s">
        <v>36</v>
      </c>
      <c r="L7244" s="15" t="s">
        <v>36</v>
      </c>
      <c r="M7244" s="12" t="s">
        <v>36</v>
      </c>
      <c r="N7244" s="12" t="s">
        <v>21485</v>
      </c>
      <c r="O7244" s="17" t="s">
        <v>36</v>
      </c>
      <c r="P7244" s="12" t="s">
        <v>36</v>
      </c>
      <c r="Q7244" s="12" t="s">
        <v>36</v>
      </c>
      <c r="R7244" s="12" t="s">
        <v>36</v>
      </c>
      <c r="S7244" s="12" t="s">
        <v>6677</v>
      </c>
      <c r="T7244" s="12" t="s">
        <v>6288</v>
      </c>
      <c r="U7244" s="12" t="s">
        <v>85</v>
      </c>
      <c r="V7244" s="12" t="s">
        <v>64</v>
      </c>
      <c r="W7244" s="12" t="s">
        <v>30295</v>
      </c>
      <c r="X7244" s="16" t="s">
        <v>32174</v>
      </c>
      <c r="Y7244" s="15" t="s">
        <v>55</v>
      </c>
      <c r="Z7244" s="14">
        <v>8.63</v>
      </c>
      <c r="AA7244" s="14" t="s">
        <v>36</v>
      </c>
      <c r="AB7244" s="12" t="s">
        <v>56</v>
      </c>
      <c r="AC7244" s="12" t="s">
        <v>30297</v>
      </c>
      <c r="AD7244" s="13">
        <v>42096</v>
      </c>
      <c r="AE7244" s="12" t="s">
        <v>89</v>
      </c>
      <c r="AF7244" s="12" t="s">
        <v>30298</v>
      </c>
      <c r="AG7244" s="12" t="s">
        <v>81</v>
      </c>
      <c r="AH7244" s="1">
        <f>HYPERLINK("https://my.pitchbook.com?c=47782-45T","View Company Online")</f>
      </c>
    </row>
    <row r="7245">
      <c r="A7245" s="3" t="s">
        <v>32175</v>
      </c>
      <c r="B7245" s="3" t="s">
        <v>32176</v>
      </c>
      <c r="C7245" s="5" t="s">
        <v>36</v>
      </c>
      <c r="D7245" s="5" t="s">
        <v>36</v>
      </c>
      <c r="E7245" s="5" t="s">
        <v>36</v>
      </c>
      <c r="F7245" s="5" t="s">
        <v>36</v>
      </c>
      <c r="G7245" s="6" t="s">
        <v>36</v>
      </c>
      <c r="H7245" s="4">
        <v>148.65</v>
      </c>
      <c r="I7245" s="7">
        <v>51</v>
      </c>
      <c r="J7245" s="3" t="s">
        <v>521</v>
      </c>
      <c r="K7245" s="9">
        <v>42051</v>
      </c>
      <c r="L7245" s="6" t="s">
        <v>36</v>
      </c>
      <c r="M7245" s="3" t="s">
        <v>36</v>
      </c>
      <c r="N7245" s="3" t="s">
        <v>36</v>
      </c>
      <c r="O7245" s="8" t="s">
        <v>36</v>
      </c>
      <c r="P7245" s="3" t="s">
        <v>36</v>
      </c>
      <c r="Q7245" s="3" t="s">
        <v>36</v>
      </c>
      <c r="R7245" s="3" t="s">
        <v>36</v>
      </c>
      <c r="S7245" s="3" t="s">
        <v>36</v>
      </c>
      <c r="T7245" s="3" t="s">
        <v>32177</v>
      </c>
      <c r="U7245" s="3" t="s">
        <v>956</v>
      </c>
      <c r="V7245" s="3" t="s">
        <v>405</v>
      </c>
      <c r="W7245" s="3" t="s">
        <v>32178</v>
      </c>
      <c r="X7245" s="10" t="s">
        <v>1282</v>
      </c>
      <c r="Y7245" s="6" t="s">
        <v>42</v>
      </c>
      <c r="Z7245" s="4">
        <v>0.16</v>
      </c>
      <c r="AA7245" s="4">
        <v>0.32</v>
      </c>
      <c r="AB7245" s="3" t="s">
        <v>43</v>
      </c>
      <c r="AC7245" s="3" t="s">
        <v>32179</v>
      </c>
      <c r="AD7245" s="9">
        <v>42095</v>
      </c>
      <c r="AE7245" s="3" t="s">
        <v>960</v>
      </c>
      <c r="AF7245" s="3" t="s">
        <v>28774</v>
      </c>
      <c r="AG7245" s="3" t="s">
        <v>81</v>
      </c>
      <c r="AH7245" s="11">
        <f>HYPERLINK("https://my.pitchbook.com?c=47368-99T","View Company Online")</f>
      </c>
    </row>
    <row r="7246">
      <c r="A7246" s="12" t="s">
        <v>32180</v>
      </c>
      <c r="B7246" s="12" t="s">
        <v>32181</v>
      </c>
      <c r="C7246" s="19" t="s">
        <v>36</v>
      </c>
      <c r="D7246" s="19" t="s">
        <v>36</v>
      </c>
      <c r="E7246" s="19" t="s">
        <v>36</v>
      </c>
      <c r="F7246" s="19" t="s">
        <v>36</v>
      </c>
      <c r="G7246" s="15" t="s">
        <v>36</v>
      </c>
      <c r="H7246" s="14" t="s">
        <v>36</v>
      </c>
      <c r="I7246" s="18" t="s">
        <v>36</v>
      </c>
      <c r="J7246" s="12" t="s">
        <v>36</v>
      </c>
      <c r="K7246" s="13" t="s">
        <v>36</v>
      </c>
      <c r="L7246" s="15" t="s">
        <v>36</v>
      </c>
      <c r="M7246" s="12" t="s">
        <v>36</v>
      </c>
      <c r="N7246" s="12" t="s">
        <v>36</v>
      </c>
      <c r="O7246" s="17" t="s">
        <v>36</v>
      </c>
      <c r="P7246" s="12" t="s">
        <v>36</v>
      </c>
      <c r="Q7246" s="12" t="s">
        <v>36</v>
      </c>
      <c r="R7246" s="12" t="s">
        <v>36</v>
      </c>
      <c r="S7246" s="12" t="s">
        <v>36</v>
      </c>
      <c r="T7246" s="12" t="s">
        <v>32182</v>
      </c>
      <c r="U7246" s="12" t="s">
        <v>1357</v>
      </c>
      <c r="V7246" s="12" t="s">
        <v>52</v>
      </c>
      <c r="W7246" s="12" t="s">
        <v>32183</v>
      </c>
      <c r="X7246" s="16" t="s">
        <v>32184</v>
      </c>
      <c r="Y7246" s="15" t="s">
        <v>42</v>
      </c>
      <c r="Z7246" s="14">
        <v>1.29</v>
      </c>
      <c r="AA7246" s="14" t="s">
        <v>36</v>
      </c>
      <c r="AB7246" s="12" t="s">
        <v>43</v>
      </c>
      <c r="AC7246" s="12" t="s">
        <v>32185</v>
      </c>
      <c r="AD7246" s="13">
        <v>42095</v>
      </c>
      <c r="AE7246" s="12" t="s">
        <v>32186</v>
      </c>
      <c r="AF7246" s="12" t="s">
        <v>36</v>
      </c>
      <c r="AG7246" s="12" t="s">
        <v>5013</v>
      </c>
      <c r="AH7246" s="1">
        <f>HYPERLINK("https://my.pitchbook.com?c=35533-27T","View Company Online")</f>
      </c>
    </row>
    <row r="7247">
      <c r="A7247" s="3" t="s">
        <v>32187</v>
      </c>
      <c r="B7247" s="3" t="s">
        <v>32188</v>
      </c>
      <c r="C7247" s="5" t="s">
        <v>36</v>
      </c>
      <c r="D7247" s="5" t="s">
        <v>36</v>
      </c>
      <c r="E7247" s="5" t="s">
        <v>36</v>
      </c>
      <c r="F7247" s="5" t="s">
        <v>36</v>
      </c>
      <c r="G7247" s="6" t="s">
        <v>36</v>
      </c>
      <c r="H7247" s="4" t="s">
        <v>36</v>
      </c>
      <c r="I7247" s="7" t="s">
        <v>36</v>
      </c>
      <c r="J7247" s="3" t="s">
        <v>36</v>
      </c>
      <c r="K7247" s="9" t="s">
        <v>36</v>
      </c>
      <c r="L7247" s="6" t="s">
        <v>36</v>
      </c>
      <c r="M7247" s="3" t="s">
        <v>36</v>
      </c>
      <c r="N7247" s="3" t="s">
        <v>36</v>
      </c>
      <c r="O7247" s="8" t="s">
        <v>36</v>
      </c>
      <c r="P7247" s="3" t="s">
        <v>36</v>
      </c>
      <c r="Q7247" s="3" t="s">
        <v>36</v>
      </c>
      <c r="R7247" s="3" t="s">
        <v>36</v>
      </c>
      <c r="S7247" s="3" t="s">
        <v>36</v>
      </c>
      <c r="T7247" s="3" t="s">
        <v>6002</v>
      </c>
      <c r="U7247" s="3" t="s">
        <v>619</v>
      </c>
      <c r="V7247" s="3" t="s">
        <v>378</v>
      </c>
      <c r="W7247" s="3" t="s">
        <v>32189</v>
      </c>
      <c r="X7247" s="10" t="s">
        <v>8971</v>
      </c>
      <c r="Y7247" s="6" t="s">
        <v>42</v>
      </c>
      <c r="Z7247" s="4" t="s">
        <v>36</v>
      </c>
      <c r="AA7247" s="4" t="s">
        <v>36</v>
      </c>
      <c r="AB7247" s="3" t="s">
        <v>56</v>
      </c>
      <c r="AC7247" s="3" t="s">
        <v>32190</v>
      </c>
      <c r="AD7247" s="9">
        <v>42095</v>
      </c>
      <c r="AE7247" s="3" t="s">
        <v>623</v>
      </c>
      <c r="AF7247" s="3" t="s">
        <v>13321</v>
      </c>
      <c r="AG7247" s="3" t="s">
        <v>32191</v>
      </c>
      <c r="AH7247" s="11">
        <f>HYPERLINK("https://my.pitchbook.com?c=27407-89T","View Company Online")</f>
      </c>
    </row>
    <row r="7248">
      <c r="A7248" s="12" t="s">
        <v>32192</v>
      </c>
      <c r="B7248" s="12" t="s">
        <v>32193</v>
      </c>
      <c r="C7248" s="19" t="s">
        <v>36</v>
      </c>
      <c r="D7248" s="19" t="s">
        <v>36</v>
      </c>
      <c r="E7248" s="19">
        <v>1</v>
      </c>
      <c r="F7248" s="19">
        <v>1</v>
      </c>
      <c r="G7248" s="15" t="s">
        <v>36</v>
      </c>
      <c r="H7248" s="14" t="s">
        <v>36</v>
      </c>
      <c r="I7248" s="18" t="s">
        <v>36</v>
      </c>
      <c r="J7248" s="12" t="s">
        <v>36</v>
      </c>
      <c r="K7248" s="13" t="s">
        <v>36</v>
      </c>
      <c r="L7248" s="15" t="s">
        <v>36</v>
      </c>
      <c r="M7248" s="12" t="s">
        <v>36</v>
      </c>
      <c r="N7248" s="12" t="s">
        <v>36</v>
      </c>
      <c r="O7248" s="17" t="s">
        <v>36</v>
      </c>
      <c r="P7248" s="12" t="s">
        <v>36</v>
      </c>
      <c r="Q7248" s="12" t="s">
        <v>36</v>
      </c>
      <c r="R7248" s="12" t="s">
        <v>36</v>
      </c>
      <c r="S7248" s="12" t="s">
        <v>36</v>
      </c>
      <c r="T7248" s="12" t="s">
        <v>818</v>
      </c>
      <c r="U7248" s="12" t="s">
        <v>74</v>
      </c>
      <c r="V7248" s="12" t="s">
        <v>75</v>
      </c>
      <c r="W7248" s="12" t="s">
        <v>32194</v>
      </c>
      <c r="X7248" s="16" t="s">
        <v>17400</v>
      </c>
      <c r="Y7248" s="15" t="s">
        <v>42</v>
      </c>
      <c r="Z7248" s="14" t="s">
        <v>36</v>
      </c>
      <c r="AA7248" s="14" t="s">
        <v>36</v>
      </c>
      <c r="AB7248" s="12" t="s">
        <v>43</v>
      </c>
      <c r="AC7248" s="12" t="s">
        <v>32195</v>
      </c>
      <c r="AD7248" s="13">
        <v>42095</v>
      </c>
      <c r="AE7248" s="12" t="s">
        <v>570</v>
      </c>
      <c r="AF7248" s="12" t="s">
        <v>32196</v>
      </c>
      <c r="AG7248" s="12" t="s">
        <v>32197</v>
      </c>
      <c r="AH7248" s="1">
        <f>HYPERLINK("https://my.pitchbook.com?c=80573-14T","View Company Online")</f>
      </c>
    </row>
    <row r="7249">
      <c r="A7249" s="3" t="s">
        <v>32198</v>
      </c>
      <c r="B7249" s="3" t="s">
        <v>3419</v>
      </c>
      <c r="C7249" s="5">
        <v>49</v>
      </c>
      <c r="D7249" s="5">
        <v>74</v>
      </c>
      <c r="E7249" s="5">
        <v>27</v>
      </c>
      <c r="F7249" s="5">
        <v>132</v>
      </c>
      <c r="G7249" s="6" t="s">
        <v>36</v>
      </c>
      <c r="H7249" s="4">
        <v>7.79</v>
      </c>
      <c r="I7249" s="7">
        <v>20.25</v>
      </c>
      <c r="J7249" s="3" t="s">
        <v>521</v>
      </c>
      <c r="K7249" s="9" t="s">
        <v>36</v>
      </c>
      <c r="L7249" s="6" t="s">
        <v>122</v>
      </c>
      <c r="M7249" s="3" t="s">
        <v>36</v>
      </c>
      <c r="N7249" s="3" t="s">
        <v>122</v>
      </c>
      <c r="O7249" s="8" t="s">
        <v>36</v>
      </c>
      <c r="P7249" s="3" t="s">
        <v>36</v>
      </c>
      <c r="Q7249" s="3" t="s">
        <v>36</v>
      </c>
      <c r="R7249" s="3" t="s">
        <v>36</v>
      </c>
      <c r="S7249" s="3" t="s">
        <v>36</v>
      </c>
      <c r="T7249" s="3" t="s">
        <v>661</v>
      </c>
      <c r="U7249" s="3" t="s">
        <v>51</v>
      </c>
      <c r="V7249" s="3" t="s">
        <v>52</v>
      </c>
      <c r="W7249" s="3" t="s">
        <v>3420</v>
      </c>
      <c r="X7249" s="10" t="s">
        <v>27166</v>
      </c>
      <c r="Y7249" s="6" t="s">
        <v>42</v>
      </c>
      <c r="Z7249" s="4">
        <v>2.16</v>
      </c>
      <c r="AA7249" s="4">
        <v>10.66</v>
      </c>
      <c r="AB7249" s="3" t="s">
        <v>43</v>
      </c>
      <c r="AC7249" s="3" t="s">
        <v>3422</v>
      </c>
      <c r="AD7249" s="9">
        <v>42095</v>
      </c>
      <c r="AE7249" s="3" t="s">
        <v>158</v>
      </c>
      <c r="AF7249" s="3" t="s">
        <v>885</v>
      </c>
      <c r="AG7249" s="3" t="s">
        <v>81</v>
      </c>
      <c r="AH7249" s="11">
        <f>HYPERLINK("https://my.pitchbook.com?c=53232-22T","View Company Online")</f>
      </c>
    </row>
    <row r="7250">
      <c r="A7250" s="12" t="s">
        <v>32199</v>
      </c>
      <c r="B7250" s="12" t="s">
        <v>32200</v>
      </c>
      <c r="C7250" s="19" t="s">
        <v>36</v>
      </c>
      <c r="D7250" s="19" t="s">
        <v>36</v>
      </c>
      <c r="E7250" s="19" t="s">
        <v>36</v>
      </c>
      <c r="F7250" s="19" t="s">
        <v>36</v>
      </c>
      <c r="G7250" s="15" t="s">
        <v>36</v>
      </c>
      <c r="H7250" s="14" t="s">
        <v>36</v>
      </c>
      <c r="I7250" s="18" t="s">
        <v>36</v>
      </c>
      <c r="J7250" s="12" t="s">
        <v>36</v>
      </c>
      <c r="K7250" s="13" t="s">
        <v>36</v>
      </c>
      <c r="L7250" s="15" t="s">
        <v>36</v>
      </c>
      <c r="M7250" s="12" t="s">
        <v>36</v>
      </c>
      <c r="N7250" s="12" t="s">
        <v>36</v>
      </c>
      <c r="O7250" s="17" t="s">
        <v>36</v>
      </c>
      <c r="P7250" s="12" t="s">
        <v>36</v>
      </c>
      <c r="Q7250" s="12" t="s">
        <v>36</v>
      </c>
      <c r="R7250" s="12" t="s">
        <v>36</v>
      </c>
      <c r="S7250" s="12" t="s">
        <v>36</v>
      </c>
      <c r="T7250" s="12" t="s">
        <v>16134</v>
      </c>
      <c r="U7250" s="12" t="s">
        <v>9881</v>
      </c>
      <c r="V7250" s="12" t="s">
        <v>75</v>
      </c>
      <c r="W7250" s="12" t="s">
        <v>32201</v>
      </c>
      <c r="X7250" s="16" t="s">
        <v>2414</v>
      </c>
      <c r="Y7250" s="15" t="s">
        <v>42</v>
      </c>
      <c r="Z7250" s="14">
        <v>0.11</v>
      </c>
      <c r="AA7250" s="14" t="s">
        <v>36</v>
      </c>
      <c r="AB7250" s="12" t="s">
        <v>43</v>
      </c>
      <c r="AC7250" s="12" t="s">
        <v>32202</v>
      </c>
      <c r="AD7250" s="13">
        <v>42095</v>
      </c>
      <c r="AE7250" s="12" t="s">
        <v>12049</v>
      </c>
      <c r="AF7250" s="12" t="s">
        <v>1115</v>
      </c>
      <c r="AG7250" s="12" t="s">
        <v>32203</v>
      </c>
      <c r="AH7250" s="1">
        <f>HYPERLINK("https://my.pitchbook.com?c=35549-92T","View Company Online")</f>
      </c>
    </row>
    <row r="7251">
      <c r="A7251" s="3" t="s">
        <v>32204</v>
      </c>
      <c r="B7251" s="3" t="s">
        <v>26970</v>
      </c>
      <c r="C7251" s="5">
        <v>1</v>
      </c>
      <c r="D7251" s="5">
        <v>12</v>
      </c>
      <c r="E7251" s="5">
        <v>5</v>
      </c>
      <c r="F7251" s="5">
        <v>17</v>
      </c>
      <c r="G7251" s="6" t="s">
        <v>36</v>
      </c>
      <c r="H7251" s="4">
        <v>61.38</v>
      </c>
      <c r="I7251" s="7">
        <v>28.83</v>
      </c>
      <c r="J7251" s="3" t="s">
        <v>521</v>
      </c>
      <c r="K7251" s="9" t="s">
        <v>36</v>
      </c>
      <c r="L7251" s="6" t="s">
        <v>36</v>
      </c>
      <c r="M7251" s="3" t="s">
        <v>36</v>
      </c>
      <c r="N7251" s="3" t="s">
        <v>36</v>
      </c>
      <c r="O7251" s="8" t="s">
        <v>36</v>
      </c>
      <c r="P7251" s="3" t="s">
        <v>36</v>
      </c>
      <c r="Q7251" s="3" t="s">
        <v>36</v>
      </c>
      <c r="R7251" s="3" t="s">
        <v>36</v>
      </c>
      <c r="S7251" s="3" t="s">
        <v>36</v>
      </c>
      <c r="T7251" s="3" t="s">
        <v>21340</v>
      </c>
      <c r="U7251" s="3" t="s">
        <v>318</v>
      </c>
      <c r="V7251" s="3" t="s">
        <v>39</v>
      </c>
      <c r="W7251" s="3" t="s">
        <v>26971</v>
      </c>
      <c r="X7251" s="10" t="s">
        <v>32205</v>
      </c>
      <c r="Y7251" s="6" t="s">
        <v>42</v>
      </c>
      <c r="Z7251" s="4">
        <v>0.43</v>
      </c>
      <c r="AA7251" s="4">
        <v>1.51</v>
      </c>
      <c r="AB7251" s="3" t="s">
        <v>56</v>
      </c>
      <c r="AC7251" s="3" t="s">
        <v>26972</v>
      </c>
      <c r="AD7251" s="9">
        <v>42095</v>
      </c>
      <c r="AE7251" s="3" t="s">
        <v>763</v>
      </c>
      <c r="AF7251" s="3" t="s">
        <v>26973</v>
      </c>
      <c r="AG7251" s="3" t="s">
        <v>26974</v>
      </c>
      <c r="AH7251" s="11">
        <f>HYPERLINK("https://my.pitchbook.com?c=98769-07T","View Company Online")</f>
      </c>
    </row>
    <row r="7252">
      <c r="A7252" s="12" t="s">
        <v>32206</v>
      </c>
      <c r="B7252" s="12" t="s">
        <v>32207</v>
      </c>
      <c r="C7252" s="19">
        <v>5</v>
      </c>
      <c r="D7252" s="19">
        <v>37</v>
      </c>
      <c r="E7252" s="19">
        <v>14</v>
      </c>
      <c r="F7252" s="19">
        <v>55</v>
      </c>
      <c r="G7252" s="15" t="s">
        <v>326</v>
      </c>
      <c r="H7252" s="14">
        <v>1.66</v>
      </c>
      <c r="I7252" s="18">
        <v>44.61</v>
      </c>
      <c r="J7252" s="12" t="s">
        <v>521</v>
      </c>
      <c r="K7252" s="13">
        <v>42094</v>
      </c>
      <c r="L7252" s="15" t="s">
        <v>1279</v>
      </c>
      <c r="M7252" s="12" t="s">
        <v>36</v>
      </c>
      <c r="N7252" s="12" t="s">
        <v>1279</v>
      </c>
      <c r="O7252" s="17" t="s">
        <v>36</v>
      </c>
      <c r="P7252" s="12" t="s">
        <v>36</v>
      </c>
      <c r="Q7252" s="12" t="s">
        <v>36</v>
      </c>
      <c r="R7252" s="12" t="s">
        <v>36</v>
      </c>
      <c r="S7252" s="12" t="s">
        <v>36</v>
      </c>
      <c r="T7252" s="12" t="s">
        <v>588</v>
      </c>
      <c r="U7252" s="12" t="s">
        <v>318</v>
      </c>
      <c r="V7252" s="12" t="s">
        <v>39</v>
      </c>
      <c r="W7252" s="12" t="s">
        <v>32208</v>
      </c>
      <c r="X7252" s="16" t="s">
        <v>32209</v>
      </c>
      <c r="Y7252" s="15" t="s">
        <v>192</v>
      </c>
      <c r="Z7252" s="14">
        <v>12.27</v>
      </c>
      <c r="AA7252" s="14">
        <v>27.5</v>
      </c>
      <c r="AB7252" s="12" t="s">
        <v>56</v>
      </c>
      <c r="AC7252" s="12" t="s">
        <v>32210</v>
      </c>
      <c r="AD7252" s="13">
        <v>42094</v>
      </c>
      <c r="AE7252" s="12" t="s">
        <v>417</v>
      </c>
      <c r="AF7252" s="12" t="s">
        <v>28996</v>
      </c>
      <c r="AG7252" s="12" t="s">
        <v>32211</v>
      </c>
      <c r="AH7252" s="1">
        <f>HYPERLINK("https://my.pitchbook.com?c=47662-39T","View Company Online")</f>
      </c>
    </row>
    <row r="7253">
      <c r="A7253" s="3" t="s">
        <v>32212</v>
      </c>
      <c r="B7253" s="3" t="s">
        <v>25325</v>
      </c>
      <c r="C7253" s="5" t="s">
        <v>36</v>
      </c>
      <c r="D7253" s="5" t="s">
        <v>36</v>
      </c>
      <c r="E7253" s="5" t="s">
        <v>36</v>
      </c>
      <c r="F7253" s="5" t="s">
        <v>36</v>
      </c>
      <c r="G7253" s="6" t="s">
        <v>36</v>
      </c>
      <c r="H7253" s="4" t="s">
        <v>36</v>
      </c>
      <c r="I7253" s="7" t="s">
        <v>36</v>
      </c>
      <c r="J7253" s="3" t="s">
        <v>36</v>
      </c>
      <c r="K7253" s="9" t="s">
        <v>36</v>
      </c>
      <c r="L7253" s="6" t="s">
        <v>122</v>
      </c>
      <c r="M7253" s="3" t="s">
        <v>36</v>
      </c>
      <c r="N7253" s="3" t="s">
        <v>122</v>
      </c>
      <c r="O7253" s="8" t="s">
        <v>36</v>
      </c>
      <c r="P7253" s="3" t="s">
        <v>36</v>
      </c>
      <c r="Q7253" s="3" t="s">
        <v>36</v>
      </c>
      <c r="R7253" s="3" t="s">
        <v>36</v>
      </c>
      <c r="S7253" s="3" t="s">
        <v>36</v>
      </c>
      <c r="T7253" s="3" t="s">
        <v>11886</v>
      </c>
      <c r="U7253" s="3" t="s">
        <v>648</v>
      </c>
      <c r="V7253" s="3" t="s">
        <v>64</v>
      </c>
      <c r="W7253" s="3" t="s">
        <v>25326</v>
      </c>
      <c r="X7253" s="10" t="s">
        <v>32213</v>
      </c>
      <c r="Y7253" s="6" t="s">
        <v>108</v>
      </c>
      <c r="Z7253" s="4">
        <v>1.19</v>
      </c>
      <c r="AA7253" s="4" t="s">
        <v>36</v>
      </c>
      <c r="AB7253" s="3" t="s">
        <v>43</v>
      </c>
      <c r="AC7253" s="3" t="s">
        <v>25328</v>
      </c>
      <c r="AD7253" s="9">
        <v>42094</v>
      </c>
      <c r="AE7253" s="3" t="s">
        <v>651</v>
      </c>
      <c r="AF7253" s="3" t="s">
        <v>36</v>
      </c>
      <c r="AG7253" s="3" t="s">
        <v>81</v>
      </c>
      <c r="AH7253" s="11">
        <f>HYPERLINK("https://my.pitchbook.com?c=47710-81T","View Company Online")</f>
      </c>
    </row>
    <row r="7254">
      <c r="A7254" s="12" t="s">
        <v>32214</v>
      </c>
      <c r="B7254" s="12" t="s">
        <v>32215</v>
      </c>
      <c r="C7254" s="19" t="s">
        <v>36</v>
      </c>
      <c r="D7254" s="19" t="s">
        <v>36</v>
      </c>
      <c r="E7254" s="19" t="s">
        <v>36</v>
      </c>
      <c r="F7254" s="19" t="s">
        <v>36</v>
      </c>
      <c r="G7254" s="15" t="s">
        <v>36</v>
      </c>
      <c r="H7254" s="14" t="s">
        <v>36</v>
      </c>
      <c r="I7254" s="18" t="s">
        <v>36</v>
      </c>
      <c r="J7254" s="12" t="s">
        <v>36</v>
      </c>
      <c r="K7254" s="13" t="s">
        <v>36</v>
      </c>
      <c r="L7254" s="15" t="s">
        <v>36</v>
      </c>
      <c r="M7254" s="12" t="s">
        <v>36</v>
      </c>
      <c r="N7254" s="12" t="s">
        <v>36</v>
      </c>
      <c r="O7254" s="17" t="s">
        <v>36</v>
      </c>
      <c r="P7254" s="12" t="s">
        <v>36</v>
      </c>
      <c r="Q7254" s="12" t="s">
        <v>36</v>
      </c>
      <c r="R7254" s="12" t="s">
        <v>36</v>
      </c>
      <c r="S7254" s="12" t="s">
        <v>36</v>
      </c>
      <c r="T7254" s="12" t="s">
        <v>1701</v>
      </c>
      <c r="U7254" s="12" t="s">
        <v>74</v>
      </c>
      <c r="V7254" s="12" t="s">
        <v>75</v>
      </c>
      <c r="W7254" s="12" t="s">
        <v>32216</v>
      </c>
      <c r="X7254" s="16" t="s">
        <v>32217</v>
      </c>
      <c r="Y7254" s="15" t="s">
        <v>166</v>
      </c>
      <c r="Z7254" s="14">
        <v>16</v>
      </c>
      <c r="AA7254" s="14" t="s">
        <v>36</v>
      </c>
      <c r="AB7254" s="12" t="s">
        <v>56</v>
      </c>
      <c r="AC7254" s="12" t="s">
        <v>32218</v>
      </c>
      <c r="AD7254" s="13">
        <v>42093</v>
      </c>
      <c r="AE7254" s="12" t="s">
        <v>79</v>
      </c>
      <c r="AF7254" s="12" t="s">
        <v>24667</v>
      </c>
      <c r="AG7254" s="12" t="s">
        <v>81</v>
      </c>
      <c r="AH7254" s="1">
        <f>HYPERLINK("https://my.pitchbook.com?c=47600-83T","View Company Online")</f>
      </c>
    </row>
    <row r="7255">
      <c r="A7255" s="3" t="s">
        <v>32219</v>
      </c>
      <c r="B7255" s="3" t="s">
        <v>32220</v>
      </c>
      <c r="C7255" s="5" t="s">
        <v>36</v>
      </c>
      <c r="D7255" s="5">
        <v>19</v>
      </c>
      <c r="E7255" s="5">
        <v>11</v>
      </c>
      <c r="F7255" s="5">
        <v>26</v>
      </c>
      <c r="G7255" s="6" t="s">
        <v>683</v>
      </c>
      <c r="H7255" s="4">
        <v>1.25</v>
      </c>
      <c r="I7255" s="7">
        <v>26.55</v>
      </c>
      <c r="J7255" s="3" t="s">
        <v>521</v>
      </c>
      <c r="K7255" s="9" t="s">
        <v>36</v>
      </c>
      <c r="L7255" s="6" t="s">
        <v>36</v>
      </c>
      <c r="M7255" s="3" t="s">
        <v>36</v>
      </c>
      <c r="N7255" s="3" t="s">
        <v>36</v>
      </c>
      <c r="O7255" s="8" t="s">
        <v>36</v>
      </c>
      <c r="P7255" s="3" t="s">
        <v>36</v>
      </c>
      <c r="Q7255" s="3" t="s">
        <v>36</v>
      </c>
      <c r="R7255" s="3" t="s">
        <v>36</v>
      </c>
      <c r="S7255" s="3" t="s">
        <v>36</v>
      </c>
      <c r="T7255" s="3" t="s">
        <v>32221</v>
      </c>
      <c r="U7255" s="3" t="s">
        <v>38</v>
      </c>
      <c r="V7255" s="3" t="s">
        <v>39</v>
      </c>
      <c r="W7255" s="3" t="s">
        <v>32222</v>
      </c>
      <c r="X7255" s="10" t="s">
        <v>32223</v>
      </c>
      <c r="Y7255" s="6" t="s">
        <v>108</v>
      </c>
      <c r="Z7255" s="4">
        <v>7.57</v>
      </c>
      <c r="AA7255" s="4">
        <v>14.72</v>
      </c>
      <c r="AB7255" s="3" t="s">
        <v>43</v>
      </c>
      <c r="AC7255" s="3" t="s">
        <v>32224</v>
      </c>
      <c r="AD7255" s="9">
        <v>42093</v>
      </c>
      <c r="AE7255" s="3" t="s">
        <v>1330</v>
      </c>
      <c r="AF7255" s="3" t="s">
        <v>1636</v>
      </c>
      <c r="AG7255" s="3" t="s">
        <v>539</v>
      </c>
      <c r="AH7255" s="11">
        <f>HYPERLINK("https://my.pitchbook.com?c=37721-71T","View Company Online")</f>
      </c>
    </row>
    <row r="7256">
      <c r="A7256" s="12" t="s">
        <v>32225</v>
      </c>
      <c r="B7256" s="12" t="s">
        <v>32226</v>
      </c>
      <c r="C7256" s="19" t="s">
        <v>36</v>
      </c>
      <c r="D7256" s="19" t="s">
        <v>36</v>
      </c>
      <c r="E7256" s="19" t="s">
        <v>36</v>
      </c>
      <c r="F7256" s="19" t="s">
        <v>36</v>
      </c>
      <c r="G7256" s="15" t="s">
        <v>36</v>
      </c>
      <c r="H7256" s="14" t="s">
        <v>36</v>
      </c>
      <c r="I7256" s="18" t="s">
        <v>36</v>
      </c>
      <c r="J7256" s="12" t="s">
        <v>36</v>
      </c>
      <c r="K7256" s="13" t="s">
        <v>36</v>
      </c>
      <c r="L7256" s="15" t="s">
        <v>36</v>
      </c>
      <c r="M7256" s="12" t="s">
        <v>36</v>
      </c>
      <c r="N7256" s="12" t="s">
        <v>36</v>
      </c>
      <c r="O7256" s="17" t="s">
        <v>36</v>
      </c>
      <c r="P7256" s="12" t="s">
        <v>36</v>
      </c>
      <c r="Q7256" s="12" t="s">
        <v>36</v>
      </c>
      <c r="R7256" s="12" t="s">
        <v>36</v>
      </c>
      <c r="S7256" s="12" t="s">
        <v>36</v>
      </c>
      <c r="T7256" s="12" t="s">
        <v>32227</v>
      </c>
      <c r="U7256" s="12" t="s">
        <v>318</v>
      </c>
      <c r="V7256" s="12" t="s">
        <v>39</v>
      </c>
      <c r="W7256" s="12" t="s">
        <v>32228</v>
      </c>
      <c r="X7256" s="16" t="s">
        <v>32229</v>
      </c>
      <c r="Y7256" s="15" t="s">
        <v>42</v>
      </c>
      <c r="Z7256" s="14" t="s">
        <v>36</v>
      </c>
      <c r="AA7256" s="14" t="s">
        <v>36</v>
      </c>
      <c r="AB7256" s="12" t="s">
        <v>56</v>
      </c>
      <c r="AC7256" s="12" t="s">
        <v>32230</v>
      </c>
      <c r="AD7256" s="13">
        <v>42090</v>
      </c>
      <c r="AE7256" s="12" t="s">
        <v>323</v>
      </c>
      <c r="AF7256" s="12" t="s">
        <v>90</v>
      </c>
      <c r="AG7256" s="12" t="s">
        <v>32231</v>
      </c>
      <c r="AH7256" s="1">
        <f>HYPERLINK("https://my.pitchbook.com?c=48236-23T","View Company Online")</f>
      </c>
    </row>
    <row r="7257">
      <c r="A7257" s="3" t="s">
        <v>32232</v>
      </c>
      <c r="B7257" s="3" t="s">
        <v>7335</v>
      </c>
      <c r="C7257" s="5" t="s">
        <v>36</v>
      </c>
      <c r="D7257" s="5" t="s">
        <v>36</v>
      </c>
      <c r="E7257" s="5" t="s">
        <v>36</v>
      </c>
      <c r="F7257" s="5" t="s">
        <v>36</v>
      </c>
      <c r="G7257" s="6" t="s">
        <v>326</v>
      </c>
      <c r="H7257" s="4">
        <v>1.49</v>
      </c>
      <c r="I7257" s="7">
        <v>26.85</v>
      </c>
      <c r="J7257" s="3" t="s">
        <v>521</v>
      </c>
      <c r="K7257" s="9">
        <v>42065</v>
      </c>
      <c r="L7257" s="6" t="s">
        <v>36</v>
      </c>
      <c r="M7257" s="3" t="s">
        <v>36</v>
      </c>
      <c r="N7257" s="3" t="s">
        <v>36</v>
      </c>
      <c r="O7257" s="8" t="s">
        <v>36</v>
      </c>
      <c r="P7257" s="3" t="s">
        <v>36</v>
      </c>
      <c r="Q7257" s="3" t="s">
        <v>36</v>
      </c>
      <c r="R7257" s="3" t="s">
        <v>36</v>
      </c>
      <c r="S7257" s="3" t="s">
        <v>36</v>
      </c>
      <c r="T7257" s="3" t="s">
        <v>7336</v>
      </c>
      <c r="U7257" s="3" t="s">
        <v>85</v>
      </c>
      <c r="V7257" s="3" t="s">
        <v>64</v>
      </c>
      <c r="W7257" s="3" t="s">
        <v>7337</v>
      </c>
      <c r="X7257" s="10" t="s">
        <v>32233</v>
      </c>
      <c r="Y7257" s="6" t="s">
        <v>108</v>
      </c>
      <c r="Z7257" s="4">
        <v>0.76</v>
      </c>
      <c r="AA7257" s="4">
        <v>2.83</v>
      </c>
      <c r="AB7257" s="3" t="s">
        <v>43</v>
      </c>
      <c r="AC7257" s="3" t="s">
        <v>7339</v>
      </c>
      <c r="AD7257" s="9">
        <v>42090</v>
      </c>
      <c r="AE7257" s="3" t="s">
        <v>89</v>
      </c>
      <c r="AF7257" s="3" t="s">
        <v>7340</v>
      </c>
      <c r="AG7257" s="3" t="s">
        <v>81</v>
      </c>
      <c r="AH7257" s="11">
        <f>HYPERLINK("https://my.pitchbook.com?c=56780-65T","View Company Online")</f>
      </c>
    </row>
    <row r="7258">
      <c r="A7258" s="12" t="s">
        <v>32234</v>
      </c>
      <c r="B7258" s="12" t="s">
        <v>9166</v>
      </c>
      <c r="C7258" s="19" t="s">
        <v>36</v>
      </c>
      <c r="D7258" s="19" t="s">
        <v>36</v>
      </c>
      <c r="E7258" s="19" t="s">
        <v>36</v>
      </c>
      <c r="F7258" s="19" t="s">
        <v>36</v>
      </c>
      <c r="G7258" s="15" t="s">
        <v>326</v>
      </c>
      <c r="H7258" s="14">
        <v>99.42</v>
      </c>
      <c r="I7258" s="18">
        <v>22.71</v>
      </c>
      <c r="J7258" s="12" t="s">
        <v>521</v>
      </c>
      <c r="K7258" s="13" t="s">
        <v>36</v>
      </c>
      <c r="L7258" s="15" t="s">
        <v>36</v>
      </c>
      <c r="M7258" s="12" t="s">
        <v>36</v>
      </c>
      <c r="N7258" s="12" t="s">
        <v>36</v>
      </c>
      <c r="O7258" s="17" t="s">
        <v>36</v>
      </c>
      <c r="P7258" s="12" t="s">
        <v>36</v>
      </c>
      <c r="Q7258" s="12" t="s">
        <v>36</v>
      </c>
      <c r="R7258" s="12" t="s">
        <v>36</v>
      </c>
      <c r="S7258" s="12" t="s">
        <v>36</v>
      </c>
      <c r="T7258" s="12" t="s">
        <v>1560</v>
      </c>
      <c r="U7258" s="12" t="s">
        <v>438</v>
      </c>
      <c r="V7258" s="12" t="s">
        <v>405</v>
      </c>
      <c r="W7258" s="12" t="s">
        <v>9167</v>
      </c>
      <c r="X7258" s="16" t="s">
        <v>32235</v>
      </c>
      <c r="Y7258" s="15" t="s">
        <v>108</v>
      </c>
      <c r="Z7258" s="14">
        <v>3.86</v>
      </c>
      <c r="AA7258" s="14">
        <v>17.02</v>
      </c>
      <c r="AB7258" s="12" t="s">
        <v>43</v>
      </c>
      <c r="AC7258" s="12" t="s">
        <v>9169</v>
      </c>
      <c r="AD7258" s="13">
        <v>42090</v>
      </c>
      <c r="AE7258" s="12" t="s">
        <v>438</v>
      </c>
      <c r="AF7258" s="12" t="s">
        <v>215</v>
      </c>
      <c r="AG7258" s="12" t="s">
        <v>81</v>
      </c>
      <c r="AH7258" s="1">
        <f>HYPERLINK("https://my.pitchbook.com?c=67091-32T","View Company Online")</f>
      </c>
    </row>
    <row r="7259">
      <c r="A7259" s="3" t="s">
        <v>32236</v>
      </c>
      <c r="B7259" s="3" t="s">
        <v>32237</v>
      </c>
      <c r="C7259" s="5" t="s">
        <v>36</v>
      </c>
      <c r="D7259" s="5" t="s">
        <v>36</v>
      </c>
      <c r="E7259" s="5" t="s">
        <v>36</v>
      </c>
      <c r="F7259" s="5" t="s">
        <v>36</v>
      </c>
      <c r="G7259" s="6" t="s">
        <v>36</v>
      </c>
      <c r="H7259" s="4" t="s">
        <v>36</v>
      </c>
      <c r="I7259" s="7" t="s">
        <v>36</v>
      </c>
      <c r="J7259" s="3" t="s">
        <v>36</v>
      </c>
      <c r="K7259" s="9" t="s">
        <v>36</v>
      </c>
      <c r="L7259" s="6" t="s">
        <v>36</v>
      </c>
      <c r="M7259" s="3" t="s">
        <v>36</v>
      </c>
      <c r="N7259" s="3" t="s">
        <v>36</v>
      </c>
      <c r="O7259" s="8" t="s">
        <v>36</v>
      </c>
      <c r="P7259" s="3" t="s">
        <v>36</v>
      </c>
      <c r="Q7259" s="3" t="s">
        <v>36</v>
      </c>
      <c r="R7259" s="3" t="s">
        <v>36</v>
      </c>
      <c r="S7259" s="3" t="s">
        <v>36</v>
      </c>
      <c r="T7259" s="3" t="s">
        <v>32238</v>
      </c>
      <c r="U7259" s="3" t="s">
        <v>38</v>
      </c>
      <c r="V7259" s="3" t="s">
        <v>39</v>
      </c>
      <c r="W7259" s="3" t="s">
        <v>32239</v>
      </c>
      <c r="X7259" s="10" t="s">
        <v>32240</v>
      </c>
      <c r="Y7259" s="6" t="s">
        <v>42</v>
      </c>
      <c r="Z7259" s="4">
        <v>1.74</v>
      </c>
      <c r="AA7259" s="4" t="s">
        <v>36</v>
      </c>
      <c r="AB7259" s="3" t="s">
        <v>56</v>
      </c>
      <c r="AC7259" s="3" t="s">
        <v>32241</v>
      </c>
      <c r="AD7259" s="9">
        <v>42089</v>
      </c>
      <c r="AE7259" s="3" t="s">
        <v>1422</v>
      </c>
      <c r="AF7259" s="3" t="s">
        <v>4842</v>
      </c>
      <c r="AG7259" s="3" t="s">
        <v>969</v>
      </c>
      <c r="AH7259" s="11">
        <f>HYPERLINK("https://my.pitchbook.com?c=53869-06T","View Company Online")</f>
      </c>
    </row>
    <row r="7260">
      <c r="A7260" s="12" t="s">
        <v>32242</v>
      </c>
      <c r="B7260" s="12" t="s">
        <v>29675</v>
      </c>
      <c r="C7260" s="19" t="s">
        <v>36</v>
      </c>
      <c r="D7260" s="19" t="s">
        <v>36</v>
      </c>
      <c r="E7260" s="19" t="s">
        <v>36</v>
      </c>
      <c r="F7260" s="19" t="s">
        <v>36</v>
      </c>
      <c r="G7260" s="15" t="s">
        <v>326</v>
      </c>
      <c r="H7260" s="14">
        <v>55.51</v>
      </c>
      <c r="I7260" s="18">
        <v>29.54</v>
      </c>
      <c r="J7260" s="12" t="s">
        <v>521</v>
      </c>
      <c r="K7260" s="13">
        <v>42079</v>
      </c>
      <c r="L7260" s="15" t="s">
        <v>36</v>
      </c>
      <c r="M7260" s="12" t="s">
        <v>36</v>
      </c>
      <c r="N7260" s="12" t="s">
        <v>36</v>
      </c>
      <c r="O7260" s="17" t="s">
        <v>36</v>
      </c>
      <c r="P7260" s="12" t="s">
        <v>36</v>
      </c>
      <c r="Q7260" s="12" t="s">
        <v>36</v>
      </c>
      <c r="R7260" s="12" t="s">
        <v>36</v>
      </c>
      <c r="S7260" s="12" t="s">
        <v>36</v>
      </c>
      <c r="T7260" s="12" t="s">
        <v>5512</v>
      </c>
      <c r="U7260" s="12" t="s">
        <v>38</v>
      </c>
      <c r="V7260" s="12" t="s">
        <v>39</v>
      </c>
      <c r="W7260" s="12" t="s">
        <v>29676</v>
      </c>
      <c r="X7260" s="16" t="s">
        <v>32243</v>
      </c>
      <c r="Y7260" s="15" t="s">
        <v>108</v>
      </c>
      <c r="Z7260" s="14">
        <v>8.85</v>
      </c>
      <c r="AA7260" s="14">
        <v>29.97</v>
      </c>
      <c r="AB7260" s="12" t="s">
        <v>43</v>
      </c>
      <c r="AC7260" s="12" t="s">
        <v>29678</v>
      </c>
      <c r="AD7260" s="13">
        <v>42088</v>
      </c>
      <c r="AE7260" s="12" t="s">
        <v>45</v>
      </c>
      <c r="AF7260" s="12" t="s">
        <v>7466</v>
      </c>
      <c r="AG7260" s="12" t="s">
        <v>29679</v>
      </c>
      <c r="AH7260" s="1">
        <f>HYPERLINK("https://my.pitchbook.com?c=47083-33T","View Company Online")</f>
      </c>
    </row>
    <row r="7261">
      <c r="A7261" s="3" t="s">
        <v>32244</v>
      </c>
      <c r="B7261" s="3" t="s">
        <v>10510</v>
      </c>
      <c r="C7261" s="5" t="s">
        <v>36</v>
      </c>
      <c r="D7261" s="5">
        <v>1</v>
      </c>
      <c r="E7261" s="5">
        <v>1</v>
      </c>
      <c r="F7261" s="5">
        <v>2</v>
      </c>
      <c r="G7261" s="6" t="s">
        <v>36</v>
      </c>
      <c r="H7261" s="4" t="s">
        <v>36</v>
      </c>
      <c r="I7261" s="7" t="s">
        <v>36</v>
      </c>
      <c r="J7261" s="3" t="s">
        <v>36</v>
      </c>
      <c r="K7261" s="9" t="s">
        <v>36</v>
      </c>
      <c r="L7261" s="6" t="s">
        <v>36</v>
      </c>
      <c r="M7261" s="3" t="s">
        <v>36</v>
      </c>
      <c r="N7261" s="3" t="s">
        <v>36</v>
      </c>
      <c r="O7261" s="8" t="s">
        <v>36</v>
      </c>
      <c r="P7261" s="3" t="s">
        <v>36</v>
      </c>
      <c r="Q7261" s="3" t="s">
        <v>36</v>
      </c>
      <c r="R7261" s="3" t="s">
        <v>36</v>
      </c>
      <c r="S7261" s="3" t="s">
        <v>36</v>
      </c>
      <c r="T7261" s="3" t="s">
        <v>10511</v>
      </c>
      <c r="U7261" s="3" t="s">
        <v>366</v>
      </c>
      <c r="V7261" s="3" t="s">
        <v>367</v>
      </c>
      <c r="W7261" s="3" t="s">
        <v>10512</v>
      </c>
      <c r="X7261" s="10" t="s">
        <v>32245</v>
      </c>
      <c r="Y7261" s="6" t="s">
        <v>42</v>
      </c>
      <c r="Z7261" s="4">
        <v>1.31</v>
      </c>
      <c r="AA7261" s="4" t="s">
        <v>36</v>
      </c>
      <c r="AB7261" s="3" t="s">
        <v>56</v>
      </c>
      <c r="AC7261" s="3" t="s">
        <v>10514</v>
      </c>
      <c r="AD7261" s="9">
        <v>42087</v>
      </c>
      <c r="AE7261" s="3" t="s">
        <v>600</v>
      </c>
      <c r="AF7261" s="3" t="s">
        <v>982</v>
      </c>
      <c r="AG7261" s="3" t="s">
        <v>652</v>
      </c>
      <c r="AH7261" s="11">
        <f>HYPERLINK("https://my.pitchbook.com?c=72516-52T","View Company Online")</f>
      </c>
    </row>
    <row r="7262">
      <c r="A7262" s="12" t="s">
        <v>32246</v>
      </c>
      <c r="B7262" s="12" t="s">
        <v>32247</v>
      </c>
      <c r="C7262" s="19" t="s">
        <v>36</v>
      </c>
      <c r="D7262" s="19" t="s">
        <v>36</v>
      </c>
      <c r="E7262" s="19" t="s">
        <v>36</v>
      </c>
      <c r="F7262" s="19" t="s">
        <v>36</v>
      </c>
      <c r="G7262" s="15" t="s">
        <v>36</v>
      </c>
      <c r="H7262" s="14">
        <v>4203.16</v>
      </c>
      <c r="I7262" s="18">
        <v>12.8</v>
      </c>
      <c r="J7262" s="12" t="s">
        <v>521</v>
      </c>
      <c r="K7262" s="13" t="s">
        <v>36</v>
      </c>
      <c r="L7262" s="15" t="s">
        <v>36</v>
      </c>
      <c r="M7262" s="12" t="s">
        <v>36</v>
      </c>
      <c r="N7262" s="12" t="s">
        <v>36</v>
      </c>
      <c r="O7262" s="17" t="s">
        <v>36</v>
      </c>
      <c r="P7262" s="12" t="s">
        <v>36</v>
      </c>
      <c r="Q7262" s="12" t="s">
        <v>36</v>
      </c>
      <c r="R7262" s="12" t="s">
        <v>36</v>
      </c>
      <c r="S7262" s="12" t="s">
        <v>36</v>
      </c>
      <c r="T7262" s="12" t="s">
        <v>32071</v>
      </c>
      <c r="U7262" s="12" t="s">
        <v>85</v>
      </c>
      <c r="V7262" s="12" t="s">
        <v>64</v>
      </c>
      <c r="W7262" s="12" t="s">
        <v>32248</v>
      </c>
      <c r="X7262" s="16" t="s">
        <v>32249</v>
      </c>
      <c r="Y7262" s="15" t="s">
        <v>42</v>
      </c>
      <c r="Z7262" s="14">
        <v>1.9</v>
      </c>
      <c r="AA7262" s="14">
        <v>14.87</v>
      </c>
      <c r="AB7262" s="12" t="s">
        <v>56</v>
      </c>
      <c r="AC7262" s="12" t="s">
        <v>32250</v>
      </c>
      <c r="AD7262" s="13">
        <v>42087</v>
      </c>
      <c r="AE7262" s="12" t="s">
        <v>89</v>
      </c>
      <c r="AF7262" s="12" t="s">
        <v>1969</v>
      </c>
      <c r="AG7262" s="12" t="s">
        <v>32251</v>
      </c>
      <c r="AH7262" s="1">
        <f>HYPERLINK("https://my.pitchbook.com?c=210564-01T","View Company Online")</f>
      </c>
    </row>
    <row r="7263">
      <c r="A7263" s="3" t="s">
        <v>32252</v>
      </c>
      <c r="B7263" s="3" t="s">
        <v>32253</v>
      </c>
      <c r="C7263" s="5" t="s">
        <v>36</v>
      </c>
      <c r="D7263" s="5" t="s">
        <v>36</v>
      </c>
      <c r="E7263" s="5" t="s">
        <v>36</v>
      </c>
      <c r="F7263" s="5" t="s">
        <v>36</v>
      </c>
      <c r="G7263" s="6" t="s">
        <v>36</v>
      </c>
      <c r="H7263" s="4">
        <v>760.23</v>
      </c>
      <c r="I7263" s="7">
        <v>7.5</v>
      </c>
      <c r="J7263" s="3" t="s">
        <v>521</v>
      </c>
      <c r="K7263" s="9" t="s">
        <v>36</v>
      </c>
      <c r="L7263" s="6" t="s">
        <v>36</v>
      </c>
      <c r="M7263" s="3" t="s">
        <v>36</v>
      </c>
      <c r="N7263" s="3" t="s">
        <v>36</v>
      </c>
      <c r="O7263" s="8" t="s">
        <v>36</v>
      </c>
      <c r="P7263" s="3" t="s">
        <v>36</v>
      </c>
      <c r="Q7263" s="3" t="s">
        <v>36</v>
      </c>
      <c r="R7263" s="3" t="s">
        <v>36</v>
      </c>
      <c r="S7263" s="3" t="s">
        <v>36</v>
      </c>
      <c r="T7263" s="3" t="s">
        <v>7815</v>
      </c>
      <c r="U7263" s="3" t="s">
        <v>219</v>
      </c>
      <c r="V7263" s="3" t="s">
        <v>75</v>
      </c>
      <c r="W7263" s="3" t="s">
        <v>32254</v>
      </c>
      <c r="X7263" s="10" t="s">
        <v>5661</v>
      </c>
      <c r="Y7263" s="6" t="s">
        <v>42</v>
      </c>
      <c r="Z7263" s="4">
        <v>0.02</v>
      </c>
      <c r="AA7263" s="4">
        <v>0.29</v>
      </c>
      <c r="AB7263" s="3" t="s">
        <v>56</v>
      </c>
      <c r="AC7263" s="3" t="s">
        <v>32255</v>
      </c>
      <c r="AD7263" s="9">
        <v>42087</v>
      </c>
      <c r="AE7263" s="3" t="s">
        <v>7093</v>
      </c>
      <c r="AF7263" s="3" t="s">
        <v>36</v>
      </c>
      <c r="AG7263" s="3" t="s">
        <v>32256</v>
      </c>
      <c r="AH7263" s="11">
        <f>HYPERLINK("https://my.pitchbook.com?c=82818-28T","View Company Online")</f>
      </c>
    </row>
    <row r="7264">
      <c r="A7264" s="12" t="s">
        <v>32257</v>
      </c>
      <c r="B7264" s="12" t="s">
        <v>32258</v>
      </c>
      <c r="C7264" s="19" t="s">
        <v>36</v>
      </c>
      <c r="D7264" s="19" t="s">
        <v>36</v>
      </c>
      <c r="E7264" s="19" t="s">
        <v>36</v>
      </c>
      <c r="F7264" s="19" t="s">
        <v>36</v>
      </c>
      <c r="G7264" s="15" t="s">
        <v>36</v>
      </c>
      <c r="H7264" s="14">
        <v>640.8</v>
      </c>
      <c r="I7264" s="18">
        <v>35.06</v>
      </c>
      <c r="J7264" s="12" t="s">
        <v>521</v>
      </c>
      <c r="K7264" s="13" t="s">
        <v>36</v>
      </c>
      <c r="L7264" s="15" t="s">
        <v>36</v>
      </c>
      <c r="M7264" s="12" t="s">
        <v>36</v>
      </c>
      <c r="N7264" s="12" t="s">
        <v>36</v>
      </c>
      <c r="O7264" s="17" t="s">
        <v>36</v>
      </c>
      <c r="P7264" s="12" t="s">
        <v>36</v>
      </c>
      <c r="Q7264" s="12" t="s">
        <v>36</v>
      </c>
      <c r="R7264" s="12" t="s">
        <v>36</v>
      </c>
      <c r="S7264" s="12" t="s">
        <v>36</v>
      </c>
      <c r="T7264" s="12" t="s">
        <v>32259</v>
      </c>
      <c r="U7264" s="12" t="s">
        <v>318</v>
      </c>
      <c r="V7264" s="12" t="s">
        <v>39</v>
      </c>
      <c r="W7264" s="12" t="s">
        <v>32260</v>
      </c>
      <c r="X7264" s="16" t="s">
        <v>32261</v>
      </c>
      <c r="Y7264" s="15" t="s">
        <v>42</v>
      </c>
      <c r="Z7264" s="14">
        <v>0.99</v>
      </c>
      <c r="AA7264" s="14">
        <v>1.41</v>
      </c>
      <c r="AB7264" s="12" t="s">
        <v>56</v>
      </c>
      <c r="AC7264" s="12" t="s">
        <v>32262</v>
      </c>
      <c r="AD7264" s="13">
        <v>42082</v>
      </c>
      <c r="AE7264" s="12" t="s">
        <v>22552</v>
      </c>
      <c r="AF7264" s="12" t="s">
        <v>571</v>
      </c>
      <c r="AG7264" s="12" t="s">
        <v>461</v>
      </c>
      <c r="AH7264" s="1">
        <f>HYPERLINK("https://my.pitchbook.com?c=119160-82T","View Company Online")</f>
      </c>
    </row>
    <row r="7265">
      <c r="A7265" s="3" t="s">
        <v>32263</v>
      </c>
      <c r="B7265" s="3" t="s">
        <v>32264</v>
      </c>
      <c r="C7265" s="5">
        <v>2</v>
      </c>
      <c r="D7265" s="5">
        <v>1</v>
      </c>
      <c r="E7265" s="5">
        <v>2</v>
      </c>
      <c r="F7265" s="5">
        <v>6</v>
      </c>
      <c r="G7265" s="6" t="s">
        <v>683</v>
      </c>
      <c r="H7265" s="4">
        <v>65.09</v>
      </c>
      <c r="I7265" s="7">
        <v>11.76</v>
      </c>
      <c r="J7265" s="3" t="s">
        <v>521</v>
      </c>
      <c r="K7265" s="9">
        <v>41640</v>
      </c>
      <c r="L7265" s="6" t="s">
        <v>36</v>
      </c>
      <c r="M7265" s="3" t="s">
        <v>36</v>
      </c>
      <c r="N7265" s="3" t="s">
        <v>36</v>
      </c>
      <c r="O7265" s="8" t="s">
        <v>36</v>
      </c>
      <c r="P7265" s="3" t="s">
        <v>36</v>
      </c>
      <c r="Q7265" s="3" t="s">
        <v>36</v>
      </c>
      <c r="R7265" s="3" t="s">
        <v>36</v>
      </c>
      <c r="S7265" s="3" t="s">
        <v>36</v>
      </c>
      <c r="T7265" s="3" t="s">
        <v>2321</v>
      </c>
      <c r="U7265" s="3" t="s">
        <v>51</v>
      </c>
      <c r="V7265" s="3" t="s">
        <v>52</v>
      </c>
      <c r="W7265" s="3" t="s">
        <v>32265</v>
      </c>
      <c r="X7265" s="10" t="s">
        <v>32266</v>
      </c>
      <c r="Y7265" s="6" t="s">
        <v>55</v>
      </c>
      <c r="Z7265" s="4">
        <v>1.16</v>
      </c>
      <c r="AA7265" s="4">
        <v>9.88</v>
      </c>
      <c r="AB7265" s="3" t="s">
        <v>56</v>
      </c>
      <c r="AC7265" s="3" t="s">
        <v>32267</v>
      </c>
      <c r="AD7265" s="9">
        <v>42082</v>
      </c>
      <c r="AE7265" s="3" t="s">
        <v>504</v>
      </c>
      <c r="AF7265" s="3" t="s">
        <v>159</v>
      </c>
      <c r="AG7265" s="3" t="s">
        <v>32268</v>
      </c>
      <c r="AH7265" s="11">
        <f>HYPERLINK("https://my.pitchbook.com?c=87963-85T","View Company Online")</f>
      </c>
    </row>
    <row r="7266">
      <c r="A7266" s="12" t="s">
        <v>32269</v>
      </c>
      <c r="B7266" s="12" t="s">
        <v>24196</v>
      </c>
      <c r="C7266" s="19" t="s">
        <v>36</v>
      </c>
      <c r="D7266" s="19" t="s">
        <v>36</v>
      </c>
      <c r="E7266" s="19">
        <v>1</v>
      </c>
      <c r="F7266" s="19">
        <v>1</v>
      </c>
      <c r="G7266" s="15" t="s">
        <v>36</v>
      </c>
      <c r="H7266" s="14" t="s">
        <v>36</v>
      </c>
      <c r="I7266" s="18" t="s">
        <v>36</v>
      </c>
      <c r="J7266" s="12" t="s">
        <v>36</v>
      </c>
      <c r="K7266" s="13" t="s">
        <v>36</v>
      </c>
      <c r="L7266" s="15" t="s">
        <v>36</v>
      </c>
      <c r="M7266" s="12" t="s">
        <v>36</v>
      </c>
      <c r="N7266" s="12" t="s">
        <v>36</v>
      </c>
      <c r="O7266" s="17" t="s">
        <v>36</v>
      </c>
      <c r="P7266" s="12" t="s">
        <v>36</v>
      </c>
      <c r="Q7266" s="12" t="s">
        <v>36</v>
      </c>
      <c r="R7266" s="12" t="s">
        <v>36</v>
      </c>
      <c r="S7266" s="12" t="s">
        <v>36</v>
      </c>
      <c r="T7266" s="12" t="s">
        <v>179</v>
      </c>
      <c r="U7266" s="12" t="s">
        <v>180</v>
      </c>
      <c r="V7266" s="12" t="s">
        <v>52</v>
      </c>
      <c r="W7266" s="12" t="s">
        <v>24197</v>
      </c>
      <c r="X7266" s="16" t="s">
        <v>32270</v>
      </c>
      <c r="Y7266" s="15" t="s">
        <v>192</v>
      </c>
      <c r="Z7266" s="14">
        <v>1</v>
      </c>
      <c r="AA7266" s="14" t="s">
        <v>36</v>
      </c>
      <c r="AB7266" s="12" t="s">
        <v>56</v>
      </c>
      <c r="AC7266" s="12" t="s">
        <v>24198</v>
      </c>
      <c r="AD7266" s="13">
        <v>42082</v>
      </c>
      <c r="AE7266" s="12" t="s">
        <v>184</v>
      </c>
      <c r="AF7266" s="12" t="s">
        <v>24199</v>
      </c>
      <c r="AG7266" s="12" t="s">
        <v>652</v>
      </c>
      <c r="AH7266" s="1">
        <f>HYPERLINK("https://my.pitchbook.com?c=270335-98T","View Company Online")</f>
      </c>
    </row>
    <row r="7267">
      <c r="A7267" s="3" t="s">
        <v>32271</v>
      </c>
      <c r="B7267" s="3" t="s">
        <v>21184</v>
      </c>
      <c r="C7267" s="5" t="s">
        <v>36</v>
      </c>
      <c r="D7267" s="5" t="s">
        <v>36</v>
      </c>
      <c r="E7267" s="5" t="s">
        <v>36</v>
      </c>
      <c r="F7267" s="5" t="s">
        <v>36</v>
      </c>
      <c r="G7267" s="6" t="s">
        <v>36</v>
      </c>
      <c r="H7267" s="4" t="s">
        <v>36</v>
      </c>
      <c r="I7267" s="7" t="s">
        <v>36</v>
      </c>
      <c r="J7267" s="3" t="s">
        <v>36</v>
      </c>
      <c r="K7267" s="9">
        <v>41974</v>
      </c>
      <c r="L7267" s="6" t="s">
        <v>122</v>
      </c>
      <c r="M7267" s="3" t="s">
        <v>36</v>
      </c>
      <c r="N7267" s="3" t="s">
        <v>122</v>
      </c>
      <c r="O7267" s="8" t="s">
        <v>36</v>
      </c>
      <c r="P7267" s="3" t="s">
        <v>36</v>
      </c>
      <c r="Q7267" s="3" t="s">
        <v>36</v>
      </c>
      <c r="R7267" s="3" t="s">
        <v>36</v>
      </c>
      <c r="S7267" s="3" t="s">
        <v>36</v>
      </c>
      <c r="T7267" s="3" t="s">
        <v>881</v>
      </c>
      <c r="U7267" s="3" t="s">
        <v>51</v>
      </c>
      <c r="V7267" s="3" t="s">
        <v>52</v>
      </c>
      <c r="W7267" s="3" t="s">
        <v>21185</v>
      </c>
      <c r="X7267" s="10" t="s">
        <v>32272</v>
      </c>
      <c r="Y7267" s="6" t="s">
        <v>42</v>
      </c>
      <c r="Z7267" s="4">
        <v>2.86</v>
      </c>
      <c r="AA7267" s="4" t="s">
        <v>36</v>
      </c>
      <c r="AB7267" s="3" t="s">
        <v>56</v>
      </c>
      <c r="AC7267" s="3" t="s">
        <v>21187</v>
      </c>
      <c r="AD7267" s="9">
        <v>42081</v>
      </c>
      <c r="AE7267" s="3" t="s">
        <v>504</v>
      </c>
      <c r="AF7267" s="3" t="s">
        <v>159</v>
      </c>
      <c r="AG7267" s="3" t="s">
        <v>186</v>
      </c>
      <c r="AH7267" s="11">
        <f>HYPERLINK("https://my.pitchbook.com?c=47094-94T","View Company Online")</f>
      </c>
    </row>
    <row r="7268">
      <c r="A7268" s="12" t="s">
        <v>32273</v>
      </c>
      <c r="B7268" s="12" t="s">
        <v>32274</v>
      </c>
      <c r="C7268" s="19" t="s">
        <v>36</v>
      </c>
      <c r="D7268" s="19" t="s">
        <v>36</v>
      </c>
      <c r="E7268" s="19" t="s">
        <v>36</v>
      </c>
      <c r="F7268" s="19" t="s">
        <v>36</v>
      </c>
      <c r="G7268" s="15" t="s">
        <v>36</v>
      </c>
      <c r="H7268" s="14" t="s">
        <v>36</v>
      </c>
      <c r="I7268" s="18" t="s">
        <v>36</v>
      </c>
      <c r="J7268" s="12" t="s">
        <v>36</v>
      </c>
      <c r="K7268" s="13" t="s">
        <v>36</v>
      </c>
      <c r="L7268" s="15" t="s">
        <v>36</v>
      </c>
      <c r="M7268" s="12" t="s">
        <v>36</v>
      </c>
      <c r="N7268" s="12" t="s">
        <v>36</v>
      </c>
      <c r="O7268" s="17" t="s">
        <v>36</v>
      </c>
      <c r="P7268" s="12" t="s">
        <v>36</v>
      </c>
      <c r="Q7268" s="12" t="s">
        <v>36</v>
      </c>
      <c r="R7268" s="12" t="s">
        <v>36</v>
      </c>
      <c r="S7268" s="12" t="s">
        <v>36</v>
      </c>
      <c r="T7268" s="12" t="s">
        <v>32275</v>
      </c>
      <c r="U7268" s="12" t="s">
        <v>51</v>
      </c>
      <c r="V7268" s="12" t="s">
        <v>52</v>
      </c>
      <c r="W7268" s="12" t="s">
        <v>32276</v>
      </c>
      <c r="X7268" s="16" t="s">
        <v>32277</v>
      </c>
      <c r="Y7268" s="15" t="s">
        <v>166</v>
      </c>
      <c r="Z7268" s="14">
        <v>1.98</v>
      </c>
      <c r="AA7268" s="14" t="s">
        <v>36</v>
      </c>
      <c r="AB7268" s="12" t="s">
        <v>56</v>
      </c>
      <c r="AC7268" s="12" t="s">
        <v>32278</v>
      </c>
      <c r="AD7268" s="13">
        <v>42080</v>
      </c>
      <c r="AE7268" s="12" t="s">
        <v>1060</v>
      </c>
      <c r="AF7268" s="12" t="s">
        <v>665</v>
      </c>
      <c r="AG7268" s="12" t="s">
        <v>12575</v>
      </c>
      <c r="AH7268" s="1">
        <f>HYPERLINK("https://my.pitchbook.com?c=47050-30T","View Company Online")</f>
      </c>
    </row>
    <row r="7269">
      <c r="A7269" s="3" t="s">
        <v>32279</v>
      </c>
      <c r="B7269" s="3" t="s">
        <v>9287</v>
      </c>
      <c r="C7269" s="5">
        <v>5</v>
      </c>
      <c r="D7269" s="5">
        <v>5</v>
      </c>
      <c r="E7269" s="5">
        <v>3</v>
      </c>
      <c r="F7269" s="5">
        <v>17</v>
      </c>
      <c r="G7269" s="6" t="s">
        <v>36</v>
      </c>
      <c r="H7269" s="4">
        <v>70.62</v>
      </c>
      <c r="I7269" s="7">
        <v>51.19</v>
      </c>
      <c r="J7269" s="3" t="s">
        <v>521</v>
      </c>
      <c r="K7269" s="9" t="s">
        <v>36</v>
      </c>
      <c r="L7269" s="6" t="s">
        <v>36</v>
      </c>
      <c r="M7269" s="3" t="s">
        <v>36</v>
      </c>
      <c r="N7269" s="3" t="s">
        <v>36</v>
      </c>
      <c r="O7269" s="8" t="s">
        <v>36</v>
      </c>
      <c r="P7269" s="3" t="s">
        <v>36</v>
      </c>
      <c r="Q7269" s="3" t="s">
        <v>36</v>
      </c>
      <c r="R7269" s="3" t="s">
        <v>36</v>
      </c>
      <c r="S7269" s="3" t="s">
        <v>36</v>
      </c>
      <c r="T7269" s="3" t="s">
        <v>9288</v>
      </c>
      <c r="U7269" s="3" t="s">
        <v>51</v>
      </c>
      <c r="V7269" s="3" t="s">
        <v>52</v>
      </c>
      <c r="W7269" s="3" t="s">
        <v>9289</v>
      </c>
      <c r="X7269" s="10" t="s">
        <v>32280</v>
      </c>
      <c r="Y7269" s="6" t="s">
        <v>42</v>
      </c>
      <c r="Z7269" s="4">
        <v>1.96</v>
      </c>
      <c r="AA7269" s="4">
        <v>3.84</v>
      </c>
      <c r="AB7269" s="3" t="s">
        <v>43</v>
      </c>
      <c r="AC7269" s="3" t="s">
        <v>9291</v>
      </c>
      <c r="AD7269" s="9">
        <v>42080</v>
      </c>
      <c r="AE7269" s="3" t="s">
        <v>504</v>
      </c>
      <c r="AF7269" s="3" t="s">
        <v>3193</v>
      </c>
      <c r="AG7269" s="3" t="s">
        <v>47</v>
      </c>
      <c r="AH7269" s="11">
        <f>HYPERLINK("https://my.pitchbook.com?c=121499-20T","View Company Online")</f>
      </c>
    </row>
    <row r="7270">
      <c r="A7270" s="12" t="s">
        <v>32281</v>
      </c>
      <c r="B7270" s="12" t="s">
        <v>32282</v>
      </c>
      <c r="C7270" s="19" t="s">
        <v>36</v>
      </c>
      <c r="D7270" s="19" t="s">
        <v>36</v>
      </c>
      <c r="E7270" s="19" t="s">
        <v>36</v>
      </c>
      <c r="F7270" s="19" t="s">
        <v>36</v>
      </c>
      <c r="G7270" s="15" t="s">
        <v>326</v>
      </c>
      <c r="H7270" s="14">
        <v>1.19</v>
      </c>
      <c r="I7270" s="18">
        <v>23.13</v>
      </c>
      <c r="J7270" s="12" t="s">
        <v>521</v>
      </c>
      <c r="K7270" s="13" t="s">
        <v>36</v>
      </c>
      <c r="L7270" s="15" t="s">
        <v>36</v>
      </c>
      <c r="M7270" s="12" t="s">
        <v>36</v>
      </c>
      <c r="N7270" s="12" t="s">
        <v>36</v>
      </c>
      <c r="O7270" s="17" t="s">
        <v>36</v>
      </c>
      <c r="P7270" s="12" t="s">
        <v>36</v>
      </c>
      <c r="Q7270" s="12" t="s">
        <v>36</v>
      </c>
      <c r="R7270" s="12" t="s">
        <v>36</v>
      </c>
      <c r="S7270" s="12" t="s">
        <v>36</v>
      </c>
      <c r="T7270" s="12" t="s">
        <v>522</v>
      </c>
      <c r="U7270" s="12" t="s">
        <v>38</v>
      </c>
      <c r="V7270" s="12" t="s">
        <v>39</v>
      </c>
      <c r="W7270" s="12" t="s">
        <v>32283</v>
      </c>
      <c r="X7270" s="16" t="s">
        <v>32284</v>
      </c>
      <c r="Y7270" s="15" t="s">
        <v>108</v>
      </c>
      <c r="Z7270" s="14">
        <v>3.36</v>
      </c>
      <c r="AA7270" s="14">
        <v>14.51</v>
      </c>
      <c r="AB7270" s="12" t="s">
        <v>43</v>
      </c>
      <c r="AC7270" s="12" t="s">
        <v>32285</v>
      </c>
      <c r="AD7270" s="13">
        <v>42079</v>
      </c>
      <c r="AE7270" s="12" t="s">
        <v>110</v>
      </c>
      <c r="AF7270" s="12" t="s">
        <v>16511</v>
      </c>
      <c r="AG7270" s="12" t="s">
        <v>81</v>
      </c>
      <c r="AH7270" s="1">
        <f>HYPERLINK("https://my.pitchbook.com?c=211063-60T","View Company Online")</f>
      </c>
    </row>
    <row r="7271">
      <c r="A7271" s="3" t="s">
        <v>32286</v>
      </c>
      <c r="B7271" s="3" t="s">
        <v>2825</v>
      </c>
      <c r="C7271" s="5" t="s">
        <v>36</v>
      </c>
      <c r="D7271" s="5" t="s">
        <v>36</v>
      </c>
      <c r="E7271" s="5" t="s">
        <v>36</v>
      </c>
      <c r="F7271" s="5" t="s">
        <v>36</v>
      </c>
      <c r="G7271" s="6" t="s">
        <v>36</v>
      </c>
      <c r="H7271" s="4" t="s">
        <v>36</v>
      </c>
      <c r="I7271" s="7" t="s">
        <v>36</v>
      </c>
      <c r="J7271" s="3" t="s">
        <v>36</v>
      </c>
      <c r="K7271" s="9" t="s">
        <v>36</v>
      </c>
      <c r="L7271" s="6" t="s">
        <v>36</v>
      </c>
      <c r="M7271" s="3" t="s">
        <v>36</v>
      </c>
      <c r="N7271" s="3" t="s">
        <v>36</v>
      </c>
      <c r="O7271" s="8" t="s">
        <v>36</v>
      </c>
      <c r="P7271" s="3" t="s">
        <v>36</v>
      </c>
      <c r="Q7271" s="3" t="s">
        <v>36</v>
      </c>
      <c r="R7271" s="3" t="s">
        <v>36</v>
      </c>
      <c r="S7271" s="3" t="s">
        <v>1588</v>
      </c>
      <c r="T7271" s="3" t="s">
        <v>2826</v>
      </c>
      <c r="U7271" s="3" t="s">
        <v>38</v>
      </c>
      <c r="V7271" s="3" t="s">
        <v>39</v>
      </c>
      <c r="W7271" s="3" t="s">
        <v>2827</v>
      </c>
      <c r="X7271" s="10" t="s">
        <v>1840</v>
      </c>
      <c r="Y7271" s="6" t="s">
        <v>42</v>
      </c>
      <c r="Z7271" s="4">
        <v>0.22</v>
      </c>
      <c r="AA7271" s="4" t="s">
        <v>36</v>
      </c>
      <c r="AB7271" s="3" t="s">
        <v>43</v>
      </c>
      <c r="AC7271" s="3" t="s">
        <v>2829</v>
      </c>
      <c r="AD7271" s="9">
        <v>42076</v>
      </c>
      <c r="AE7271" s="3" t="s">
        <v>1200</v>
      </c>
      <c r="AF7271" s="3" t="s">
        <v>2830</v>
      </c>
      <c r="AG7271" s="3" t="s">
        <v>2831</v>
      </c>
      <c r="AH7271" s="11">
        <f>HYPERLINK("https://my.pitchbook.com?c=115840-54T","View Company Online")</f>
      </c>
    </row>
    <row r="7272">
      <c r="A7272" s="12" t="s">
        <v>32287</v>
      </c>
      <c r="B7272" s="12" t="s">
        <v>32288</v>
      </c>
      <c r="C7272" s="19" t="s">
        <v>36</v>
      </c>
      <c r="D7272" s="19" t="s">
        <v>36</v>
      </c>
      <c r="E7272" s="19" t="s">
        <v>36</v>
      </c>
      <c r="F7272" s="19" t="s">
        <v>36</v>
      </c>
      <c r="G7272" s="15" t="s">
        <v>36</v>
      </c>
      <c r="H7272" s="14">
        <v>164.31</v>
      </c>
      <c r="I7272" s="18">
        <v>38.69</v>
      </c>
      <c r="J7272" s="12" t="s">
        <v>521</v>
      </c>
      <c r="K7272" s="13" t="s">
        <v>36</v>
      </c>
      <c r="L7272" s="15" t="s">
        <v>36</v>
      </c>
      <c r="M7272" s="12" t="s">
        <v>36</v>
      </c>
      <c r="N7272" s="12" t="s">
        <v>36</v>
      </c>
      <c r="O7272" s="17" t="s">
        <v>36</v>
      </c>
      <c r="P7272" s="12" t="s">
        <v>36</v>
      </c>
      <c r="Q7272" s="12" t="s">
        <v>36</v>
      </c>
      <c r="R7272" s="12" t="s">
        <v>36</v>
      </c>
      <c r="S7272" s="12" t="s">
        <v>36</v>
      </c>
      <c r="T7272" s="12" t="s">
        <v>1838</v>
      </c>
      <c r="U7272" s="12" t="s">
        <v>38</v>
      </c>
      <c r="V7272" s="12" t="s">
        <v>39</v>
      </c>
      <c r="W7272" s="12" t="s">
        <v>32289</v>
      </c>
      <c r="X7272" s="16" t="s">
        <v>32290</v>
      </c>
      <c r="Y7272" s="15" t="s">
        <v>42</v>
      </c>
      <c r="Z7272" s="14">
        <v>2.32</v>
      </c>
      <c r="AA7272" s="14">
        <v>5.99</v>
      </c>
      <c r="AB7272" s="12" t="s">
        <v>43</v>
      </c>
      <c r="AC7272" s="12" t="s">
        <v>32291</v>
      </c>
      <c r="AD7272" s="13">
        <v>42076</v>
      </c>
      <c r="AE7272" s="12" t="s">
        <v>110</v>
      </c>
      <c r="AF7272" s="12" t="s">
        <v>30292</v>
      </c>
      <c r="AG7272" s="12" t="s">
        <v>81</v>
      </c>
      <c r="AH7272" s="1">
        <f>HYPERLINK("https://my.pitchbook.com?c=46982-08T","View Company Online")</f>
      </c>
    </row>
    <row r="7273">
      <c r="A7273" s="3" t="s">
        <v>32292</v>
      </c>
      <c r="B7273" s="3" t="s">
        <v>32293</v>
      </c>
      <c r="C7273" s="5" t="s">
        <v>36</v>
      </c>
      <c r="D7273" s="5">
        <v>2</v>
      </c>
      <c r="E7273" s="5">
        <v>1</v>
      </c>
      <c r="F7273" s="5">
        <v>2</v>
      </c>
      <c r="G7273" s="6" t="s">
        <v>36</v>
      </c>
      <c r="H7273" s="4">
        <v>1.92</v>
      </c>
      <c r="I7273" s="7">
        <v>36.62</v>
      </c>
      <c r="J7273" s="3" t="s">
        <v>521</v>
      </c>
      <c r="K7273" s="9">
        <v>42065</v>
      </c>
      <c r="L7273" s="6" t="s">
        <v>36</v>
      </c>
      <c r="M7273" s="3" t="s">
        <v>36</v>
      </c>
      <c r="N7273" s="3" t="s">
        <v>36</v>
      </c>
      <c r="O7273" s="8" t="s">
        <v>36</v>
      </c>
      <c r="P7273" s="3" t="s">
        <v>36</v>
      </c>
      <c r="Q7273" s="3" t="s">
        <v>36</v>
      </c>
      <c r="R7273" s="3" t="s">
        <v>36</v>
      </c>
      <c r="S7273" s="3" t="s">
        <v>36</v>
      </c>
      <c r="T7273" s="3" t="s">
        <v>17704</v>
      </c>
      <c r="U7273" s="3" t="s">
        <v>833</v>
      </c>
      <c r="V7273" s="3" t="s">
        <v>64</v>
      </c>
      <c r="W7273" s="3" t="s">
        <v>32294</v>
      </c>
      <c r="X7273" s="10" t="s">
        <v>32295</v>
      </c>
      <c r="Y7273" s="6" t="s">
        <v>42</v>
      </c>
      <c r="Z7273" s="4">
        <v>1.19</v>
      </c>
      <c r="AA7273" s="4">
        <v>3.26</v>
      </c>
      <c r="AB7273" s="3" t="s">
        <v>43</v>
      </c>
      <c r="AC7273" s="3" t="s">
        <v>32296</v>
      </c>
      <c r="AD7273" s="9">
        <v>42075</v>
      </c>
      <c r="AE7273" s="3" t="s">
        <v>1069</v>
      </c>
      <c r="AF7273" s="3" t="s">
        <v>32297</v>
      </c>
      <c r="AG7273" s="3" t="s">
        <v>1525</v>
      </c>
      <c r="AH7273" s="11">
        <f>HYPERLINK("https://my.pitchbook.com?c=47212-75T","View Company Online")</f>
      </c>
    </row>
    <row r="7274">
      <c r="A7274" s="12" t="s">
        <v>32298</v>
      </c>
      <c r="B7274" s="12" t="s">
        <v>24306</v>
      </c>
      <c r="C7274" s="19">
        <v>2</v>
      </c>
      <c r="D7274" s="19">
        <v>36</v>
      </c>
      <c r="E7274" s="19">
        <v>11</v>
      </c>
      <c r="F7274" s="19">
        <v>49</v>
      </c>
      <c r="G7274" s="15" t="s">
        <v>36</v>
      </c>
      <c r="H7274" s="14">
        <v>30.36</v>
      </c>
      <c r="I7274" s="18">
        <v>35.37</v>
      </c>
      <c r="J7274" s="12" t="s">
        <v>521</v>
      </c>
      <c r="K7274" s="13" t="s">
        <v>36</v>
      </c>
      <c r="L7274" s="15" t="s">
        <v>122</v>
      </c>
      <c r="M7274" s="12" t="s">
        <v>36</v>
      </c>
      <c r="N7274" s="12" t="s">
        <v>122</v>
      </c>
      <c r="O7274" s="17" t="s">
        <v>36</v>
      </c>
      <c r="P7274" s="12" t="s">
        <v>36</v>
      </c>
      <c r="Q7274" s="12" t="s">
        <v>36</v>
      </c>
      <c r="R7274" s="12" t="s">
        <v>36</v>
      </c>
      <c r="S7274" s="12" t="s">
        <v>36</v>
      </c>
      <c r="T7274" s="12" t="s">
        <v>3945</v>
      </c>
      <c r="U7274" s="12" t="s">
        <v>366</v>
      </c>
      <c r="V7274" s="12" t="s">
        <v>367</v>
      </c>
      <c r="W7274" s="12" t="s">
        <v>24307</v>
      </c>
      <c r="X7274" s="16" t="s">
        <v>32299</v>
      </c>
      <c r="Y7274" s="15" t="s">
        <v>42</v>
      </c>
      <c r="Z7274" s="14">
        <v>2.79</v>
      </c>
      <c r="AA7274" s="14">
        <v>5.05</v>
      </c>
      <c r="AB7274" s="12" t="s">
        <v>43</v>
      </c>
      <c r="AC7274" s="12" t="s">
        <v>24309</v>
      </c>
      <c r="AD7274" s="13">
        <v>42075</v>
      </c>
      <c r="AE7274" s="12" t="s">
        <v>600</v>
      </c>
      <c r="AF7274" s="12" t="s">
        <v>24310</v>
      </c>
      <c r="AG7274" s="12" t="s">
        <v>969</v>
      </c>
      <c r="AH7274" s="1">
        <f>HYPERLINK("https://my.pitchbook.com?c=46826-20T","View Company Online")</f>
      </c>
    </row>
    <row r="7275">
      <c r="A7275" s="3" t="s">
        <v>32300</v>
      </c>
      <c r="B7275" s="3" t="s">
        <v>9315</v>
      </c>
      <c r="C7275" s="5" t="s">
        <v>36</v>
      </c>
      <c r="D7275" s="5">
        <v>13</v>
      </c>
      <c r="E7275" s="5">
        <v>3</v>
      </c>
      <c r="F7275" s="5">
        <v>13</v>
      </c>
      <c r="G7275" s="6" t="s">
        <v>36</v>
      </c>
      <c r="H7275" s="4">
        <v>10177.95</v>
      </c>
      <c r="I7275" s="7">
        <v>30.07</v>
      </c>
      <c r="J7275" s="3" t="s">
        <v>521</v>
      </c>
      <c r="K7275" s="9" t="s">
        <v>36</v>
      </c>
      <c r="L7275" s="6" t="s">
        <v>36</v>
      </c>
      <c r="M7275" s="3" t="s">
        <v>36</v>
      </c>
      <c r="N7275" s="3" t="s">
        <v>36</v>
      </c>
      <c r="O7275" s="8" t="s">
        <v>36</v>
      </c>
      <c r="P7275" s="3" t="s">
        <v>36</v>
      </c>
      <c r="Q7275" s="3" t="s">
        <v>36</v>
      </c>
      <c r="R7275" s="3" t="s">
        <v>36</v>
      </c>
      <c r="S7275" s="3" t="s">
        <v>36</v>
      </c>
      <c r="T7275" s="3" t="s">
        <v>529</v>
      </c>
      <c r="U7275" s="3" t="s">
        <v>38</v>
      </c>
      <c r="V7275" s="3" t="s">
        <v>39</v>
      </c>
      <c r="W7275" s="3" t="s">
        <v>9316</v>
      </c>
      <c r="X7275" s="10" t="s">
        <v>32301</v>
      </c>
      <c r="Y7275" s="6" t="s">
        <v>42</v>
      </c>
      <c r="Z7275" s="4">
        <v>1.41</v>
      </c>
      <c r="AA7275" s="4">
        <v>4.69</v>
      </c>
      <c r="AB7275" s="3" t="s">
        <v>43</v>
      </c>
      <c r="AC7275" s="3" t="s">
        <v>9318</v>
      </c>
      <c r="AD7275" s="9">
        <v>42075</v>
      </c>
      <c r="AE7275" s="3" t="s">
        <v>134</v>
      </c>
      <c r="AF7275" s="3" t="s">
        <v>9319</v>
      </c>
      <c r="AG7275" s="3" t="s">
        <v>652</v>
      </c>
      <c r="AH7275" s="11">
        <f>HYPERLINK("https://my.pitchbook.com?c=87087-34T","View Company Online")</f>
      </c>
    </row>
    <row r="7276">
      <c r="A7276" s="12" t="s">
        <v>32302</v>
      </c>
      <c r="B7276" s="12" t="s">
        <v>10115</v>
      </c>
      <c r="C7276" s="19" t="s">
        <v>36</v>
      </c>
      <c r="D7276" s="19" t="s">
        <v>36</v>
      </c>
      <c r="E7276" s="19" t="s">
        <v>36</v>
      </c>
      <c r="F7276" s="19" t="s">
        <v>36</v>
      </c>
      <c r="G7276" s="15" t="s">
        <v>36</v>
      </c>
      <c r="H7276" s="14">
        <v>3.12</v>
      </c>
      <c r="I7276" s="18">
        <v>28.72</v>
      </c>
      <c r="J7276" s="12" t="s">
        <v>521</v>
      </c>
      <c r="K7276" s="13">
        <v>42051</v>
      </c>
      <c r="L7276" s="15" t="s">
        <v>36</v>
      </c>
      <c r="M7276" s="12" t="s">
        <v>36</v>
      </c>
      <c r="N7276" s="12" t="s">
        <v>36</v>
      </c>
      <c r="O7276" s="17" t="s">
        <v>36</v>
      </c>
      <c r="P7276" s="12" t="s">
        <v>36</v>
      </c>
      <c r="Q7276" s="12" t="s">
        <v>36</v>
      </c>
      <c r="R7276" s="12" t="s">
        <v>36</v>
      </c>
      <c r="S7276" s="12" t="s">
        <v>36</v>
      </c>
      <c r="T7276" s="12" t="s">
        <v>10116</v>
      </c>
      <c r="U7276" s="12" t="s">
        <v>289</v>
      </c>
      <c r="V7276" s="12" t="s">
        <v>64</v>
      </c>
      <c r="W7276" s="12" t="s">
        <v>10117</v>
      </c>
      <c r="X7276" s="16" t="s">
        <v>32303</v>
      </c>
      <c r="Y7276" s="15" t="s">
        <v>42</v>
      </c>
      <c r="Z7276" s="14">
        <v>1.36</v>
      </c>
      <c r="AA7276" s="14">
        <v>4.72</v>
      </c>
      <c r="AB7276" s="12" t="s">
        <v>43</v>
      </c>
      <c r="AC7276" s="12" t="s">
        <v>10119</v>
      </c>
      <c r="AD7276" s="13">
        <v>42073</v>
      </c>
      <c r="AE7276" s="12" t="s">
        <v>292</v>
      </c>
      <c r="AF7276" s="12" t="s">
        <v>90</v>
      </c>
      <c r="AG7276" s="12" t="s">
        <v>10120</v>
      </c>
      <c r="AH7276" s="1">
        <f>HYPERLINK("https://my.pitchbook.com?c=51781-24T","View Company Online")</f>
      </c>
    </row>
    <row r="7277">
      <c r="A7277" s="3" t="s">
        <v>32304</v>
      </c>
      <c r="B7277" s="3" t="s">
        <v>19301</v>
      </c>
      <c r="C7277" s="5" t="s">
        <v>36</v>
      </c>
      <c r="D7277" s="5" t="s">
        <v>36</v>
      </c>
      <c r="E7277" s="5" t="s">
        <v>36</v>
      </c>
      <c r="F7277" s="5" t="s">
        <v>36</v>
      </c>
      <c r="G7277" s="6" t="s">
        <v>36</v>
      </c>
      <c r="H7277" s="4" t="s">
        <v>36</v>
      </c>
      <c r="I7277" s="7">
        <v>39.38</v>
      </c>
      <c r="J7277" s="3" t="s">
        <v>327</v>
      </c>
      <c r="K7277" s="9" t="s">
        <v>36</v>
      </c>
      <c r="L7277" s="6" t="s">
        <v>122</v>
      </c>
      <c r="M7277" s="3" t="s">
        <v>36</v>
      </c>
      <c r="N7277" s="3" t="s">
        <v>122</v>
      </c>
      <c r="O7277" s="8" t="s">
        <v>36</v>
      </c>
      <c r="P7277" s="3" t="s">
        <v>36</v>
      </c>
      <c r="Q7277" s="3" t="s">
        <v>36</v>
      </c>
      <c r="R7277" s="3" t="s">
        <v>36</v>
      </c>
      <c r="S7277" s="3" t="s">
        <v>36</v>
      </c>
      <c r="T7277" s="3" t="s">
        <v>522</v>
      </c>
      <c r="U7277" s="3" t="s">
        <v>38</v>
      </c>
      <c r="V7277" s="3" t="s">
        <v>39</v>
      </c>
      <c r="W7277" s="3" t="s">
        <v>19302</v>
      </c>
      <c r="X7277" s="10" t="s">
        <v>32305</v>
      </c>
      <c r="Y7277" s="6" t="s">
        <v>108</v>
      </c>
      <c r="Z7277" s="4">
        <v>5.61</v>
      </c>
      <c r="AA7277" s="4">
        <v>14.24</v>
      </c>
      <c r="AB7277" s="3" t="s">
        <v>43</v>
      </c>
      <c r="AC7277" s="3" t="s">
        <v>19304</v>
      </c>
      <c r="AD7277" s="9">
        <v>42073</v>
      </c>
      <c r="AE7277" s="3" t="s">
        <v>110</v>
      </c>
      <c r="AF7277" s="3" t="s">
        <v>2210</v>
      </c>
      <c r="AG7277" s="3" t="s">
        <v>81</v>
      </c>
      <c r="AH7277" s="11">
        <f>HYPERLINK("https://my.pitchbook.com?c=46806-67T","View Company Online")</f>
      </c>
    </row>
    <row r="7278">
      <c r="A7278" s="12" t="s">
        <v>32306</v>
      </c>
      <c r="B7278" s="12" t="s">
        <v>18672</v>
      </c>
      <c r="C7278" s="19" t="s">
        <v>36</v>
      </c>
      <c r="D7278" s="19" t="s">
        <v>36</v>
      </c>
      <c r="E7278" s="19" t="s">
        <v>36</v>
      </c>
      <c r="F7278" s="19" t="s">
        <v>36</v>
      </c>
      <c r="G7278" s="15" t="s">
        <v>36</v>
      </c>
      <c r="H7278" s="14">
        <v>1356.37</v>
      </c>
      <c r="I7278" s="18">
        <v>49.05</v>
      </c>
      <c r="J7278" s="12" t="s">
        <v>521</v>
      </c>
      <c r="K7278" s="13" t="s">
        <v>36</v>
      </c>
      <c r="L7278" s="15" t="s">
        <v>122</v>
      </c>
      <c r="M7278" s="12" t="s">
        <v>36</v>
      </c>
      <c r="N7278" s="12" t="s">
        <v>122</v>
      </c>
      <c r="O7278" s="17" t="s">
        <v>36</v>
      </c>
      <c r="P7278" s="12" t="s">
        <v>36</v>
      </c>
      <c r="Q7278" s="12" t="s">
        <v>36</v>
      </c>
      <c r="R7278" s="12" t="s">
        <v>36</v>
      </c>
      <c r="S7278" s="12" t="s">
        <v>36</v>
      </c>
      <c r="T7278" s="12" t="s">
        <v>62</v>
      </c>
      <c r="U7278" s="12" t="s">
        <v>63</v>
      </c>
      <c r="V7278" s="12" t="s">
        <v>64</v>
      </c>
      <c r="W7278" s="12" t="s">
        <v>18673</v>
      </c>
      <c r="X7278" s="16" t="s">
        <v>32307</v>
      </c>
      <c r="Y7278" s="15" t="s">
        <v>42</v>
      </c>
      <c r="Z7278" s="14">
        <v>4.32</v>
      </c>
      <c r="AA7278" s="14">
        <v>8.8</v>
      </c>
      <c r="AB7278" s="12" t="s">
        <v>43</v>
      </c>
      <c r="AC7278" s="12" t="s">
        <v>18675</v>
      </c>
      <c r="AD7278" s="13">
        <v>42073</v>
      </c>
      <c r="AE7278" s="12" t="s">
        <v>68</v>
      </c>
      <c r="AF7278" s="12" t="s">
        <v>176</v>
      </c>
      <c r="AG7278" s="12" t="s">
        <v>81</v>
      </c>
      <c r="AH7278" s="1">
        <f>HYPERLINK("https://my.pitchbook.com?c=64147-78T","View Company Online")</f>
      </c>
    </row>
    <row r="7279">
      <c r="A7279" s="3" t="s">
        <v>32308</v>
      </c>
      <c r="B7279" s="3" t="s">
        <v>28029</v>
      </c>
      <c r="C7279" s="5" t="s">
        <v>36</v>
      </c>
      <c r="D7279" s="5" t="s">
        <v>36</v>
      </c>
      <c r="E7279" s="5" t="s">
        <v>36</v>
      </c>
      <c r="F7279" s="5" t="s">
        <v>36</v>
      </c>
      <c r="G7279" s="6" t="s">
        <v>36</v>
      </c>
      <c r="H7279" s="4" t="s">
        <v>36</v>
      </c>
      <c r="I7279" s="7" t="s">
        <v>36</v>
      </c>
      <c r="J7279" s="3" t="s">
        <v>36</v>
      </c>
      <c r="K7279" s="9" t="s">
        <v>36</v>
      </c>
      <c r="L7279" s="6" t="s">
        <v>36</v>
      </c>
      <c r="M7279" s="3" t="s">
        <v>36</v>
      </c>
      <c r="N7279" s="3" t="s">
        <v>36</v>
      </c>
      <c r="O7279" s="8" t="s">
        <v>36</v>
      </c>
      <c r="P7279" s="3" t="s">
        <v>36</v>
      </c>
      <c r="Q7279" s="3" t="s">
        <v>36</v>
      </c>
      <c r="R7279" s="3" t="s">
        <v>36</v>
      </c>
      <c r="S7279" s="3" t="s">
        <v>36</v>
      </c>
      <c r="T7279" s="3" t="s">
        <v>28030</v>
      </c>
      <c r="U7279" s="3" t="s">
        <v>38</v>
      </c>
      <c r="V7279" s="3" t="s">
        <v>39</v>
      </c>
      <c r="W7279" s="3" t="s">
        <v>28031</v>
      </c>
      <c r="X7279" s="10" t="s">
        <v>32309</v>
      </c>
      <c r="Y7279" s="6" t="s">
        <v>42</v>
      </c>
      <c r="Z7279" s="4">
        <v>2.8</v>
      </c>
      <c r="AA7279" s="4" t="s">
        <v>36</v>
      </c>
      <c r="AB7279" s="3" t="s">
        <v>43</v>
      </c>
      <c r="AC7279" s="3" t="s">
        <v>28033</v>
      </c>
      <c r="AD7279" s="9">
        <v>42073</v>
      </c>
      <c r="AE7279" s="3" t="s">
        <v>110</v>
      </c>
      <c r="AF7279" s="3" t="s">
        <v>28034</v>
      </c>
      <c r="AG7279" s="3" t="s">
        <v>81</v>
      </c>
      <c r="AH7279" s="11">
        <f>HYPERLINK("https://my.pitchbook.com?c=46877-32T","View Company Online")</f>
      </c>
    </row>
    <row r="7280">
      <c r="A7280" s="12" t="s">
        <v>32310</v>
      </c>
      <c r="B7280" s="12" t="s">
        <v>32311</v>
      </c>
      <c r="C7280" s="19" t="s">
        <v>36</v>
      </c>
      <c r="D7280" s="19">
        <v>7</v>
      </c>
      <c r="E7280" s="19">
        <v>6</v>
      </c>
      <c r="F7280" s="19">
        <v>11</v>
      </c>
      <c r="G7280" s="15" t="s">
        <v>326</v>
      </c>
      <c r="H7280" s="14">
        <v>10.39</v>
      </c>
      <c r="I7280" s="18">
        <v>5.06</v>
      </c>
      <c r="J7280" s="12" t="s">
        <v>521</v>
      </c>
      <c r="K7280" s="13" t="s">
        <v>36</v>
      </c>
      <c r="L7280" s="15" t="s">
        <v>36</v>
      </c>
      <c r="M7280" s="12" t="s">
        <v>36</v>
      </c>
      <c r="N7280" s="12" t="s">
        <v>36</v>
      </c>
      <c r="O7280" s="17" t="s">
        <v>36</v>
      </c>
      <c r="P7280" s="12" t="s">
        <v>36</v>
      </c>
      <c r="Q7280" s="12" t="s">
        <v>36</v>
      </c>
      <c r="R7280" s="12" t="s">
        <v>36</v>
      </c>
      <c r="S7280" s="12" t="s">
        <v>36</v>
      </c>
      <c r="T7280" s="12" t="s">
        <v>32275</v>
      </c>
      <c r="U7280" s="12" t="s">
        <v>51</v>
      </c>
      <c r="V7280" s="12" t="s">
        <v>52</v>
      </c>
      <c r="W7280" s="12" t="s">
        <v>32312</v>
      </c>
      <c r="X7280" s="16" t="s">
        <v>32313</v>
      </c>
      <c r="Y7280" s="15" t="s">
        <v>166</v>
      </c>
      <c r="Z7280" s="14">
        <v>1.2</v>
      </c>
      <c r="AA7280" s="14">
        <v>23.72</v>
      </c>
      <c r="AB7280" s="12" t="s">
        <v>43</v>
      </c>
      <c r="AC7280" s="12" t="s">
        <v>32314</v>
      </c>
      <c r="AD7280" s="13">
        <v>42073</v>
      </c>
      <c r="AE7280" s="12" t="s">
        <v>1060</v>
      </c>
      <c r="AF7280" s="12" t="s">
        <v>159</v>
      </c>
      <c r="AG7280" s="12" t="s">
        <v>186</v>
      </c>
      <c r="AH7280" s="1">
        <f>HYPERLINK("https://my.pitchbook.com?c=62969-59T","View Company Online")</f>
      </c>
    </row>
    <row r="7281">
      <c r="A7281" s="3" t="s">
        <v>32315</v>
      </c>
      <c r="B7281" s="3" t="s">
        <v>32316</v>
      </c>
      <c r="C7281" s="5" t="s">
        <v>36</v>
      </c>
      <c r="D7281" s="5" t="s">
        <v>36</v>
      </c>
      <c r="E7281" s="5" t="s">
        <v>36</v>
      </c>
      <c r="F7281" s="5" t="s">
        <v>36</v>
      </c>
      <c r="G7281" s="6" t="s">
        <v>36</v>
      </c>
      <c r="H7281" s="4" t="s">
        <v>36</v>
      </c>
      <c r="I7281" s="7" t="s">
        <v>36</v>
      </c>
      <c r="J7281" s="3" t="s">
        <v>36</v>
      </c>
      <c r="K7281" s="9" t="s">
        <v>36</v>
      </c>
      <c r="L7281" s="6" t="s">
        <v>36</v>
      </c>
      <c r="M7281" s="3" t="s">
        <v>36</v>
      </c>
      <c r="N7281" s="3" t="s">
        <v>36</v>
      </c>
      <c r="O7281" s="8" t="s">
        <v>36</v>
      </c>
      <c r="P7281" s="3" t="s">
        <v>36</v>
      </c>
      <c r="Q7281" s="3" t="s">
        <v>36</v>
      </c>
      <c r="R7281" s="3" t="s">
        <v>36</v>
      </c>
      <c r="S7281" s="3" t="s">
        <v>36</v>
      </c>
      <c r="T7281" s="3" t="s">
        <v>12092</v>
      </c>
      <c r="U7281" s="3" t="s">
        <v>648</v>
      </c>
      <c r="V7281" s="3" t="s">
        <v>64</v>
      </c>
      <c r="W7281" s="3" t="s">
        <v>32317</v>
      </c>
      <c r="X7281" s="10" t="s">
        <v>32318</v>
      </c>
      <c r="Y7281" s="6" t="s">
        <v>42</v>
      </c>
      <c r="Z7281" s="4">
        <v>3.36</v>
      </c>
      <c r="AA7281" s="4" t="s">
        <v>36</v>
      </c>
      <c r="AB7281" s="3" t="s">
        <v>43</v>
      </c>
      <c r="AC7281" s="3" t="s">
        <v>32319</v>
      </c>
      <c r="AD7281" s="9">
        <v>42073</v>
      </c>
      <c r="AE7281" s="3" t="s">
        <v>651</v>
      </c>
      <c r="AF7281" s="3" t="s">
        <v>1636</v>
      </c>
      <c r="AG7281" s="3" t="s">
        <v>10565</v>
      </c>
      <c r="AH7281" s="11">
        <f>HYPERLINK("https://my.pitchbook.com?c=71668-36T","View Company Online")</f>
      </c>
    </row>
    <row r="7282">
      <c r="A7282" s="12" t="s">
        <v>32320</v>
      </c>
      <c r="B7282" s="12" t="s">
        <v>32321</v>
      </c>
      <c r="C7282" s="19" t="s">
        <v>36</v>
      </c>
      <c r="D7282" s="19" t="s">
        <v>36</v>
      </c>
      <c r="E7282" s="19" t="s">
        <v>36</v>
      </c>
      <c r="F7282" s="19" t="s">
        <v>36</v>
      </c>
      <c r="G7282" s="15" t="s">
        <v>36</v>
      </c>
      <c r="H7282" s="14" t="s">
        <v>36</v>
      </c>
      <c r="I7282" s="18" t="s">
        <v>36</v>
      </c>
      <c r="J7282" s="12" t="s">
        <v>36</v>
      </c>
      <c r="K7282" s="13" t="s">
        <v>36</v>
      </c>
      <c r="L7282" s="15" t="s">
        <v>36</v>
      </c>
      <c r="M7282" s="12" t="s">
        <v>36</v>
      </c>
      <c r="N7282" s="12" t="s">
        <v>36</v>
      </c>
      <c r="O7282" s="17" t="s">
        <v>36</v>
      </c>
      <c r="P7282" s="12" t="s">
        <v>36</v>
      </c>
      <c r="Q7282" s="12" t="s">
        <v>36</v>
      </c>
      <c r="R7282" s="12" t="s">
        <v>36</v>
      </c>
      <c r="S7282" s="12" t="s">
        <v>36</v>
      </c>
      <c r="T7282" s="12" t="s">
        <v>105</v>
      </c>
      <c r="U7282" s="12" t="s">
        <v>38</v>
      </c>
      <c r="V7282" s="12" t="s">
        <v>39</v>
      </c>
      <c r="W7282" s="12" t="s">
        <v>32322</v>
      </c>
      <c r="X7282" s="16" t="s">
        <v>5892</v>
      </c>
      <c r="Y7282" s="15" t="s">
        <v>42</v>
      </c>
      <c r="Z7282" s="14">
        <v>1.46</v>
      </c>
      <c r="AA7282" s="14" t="s">
        <v>36</v>
      </c>
      <c r="AB7282" s="12" t="s">
        <v>56</v>
      </c>
      <c r="AC7282" s="12" t="s">
        <v>32323</v>
      </c>
      <c r="AD7282" s="13">
        <v>42073</v>
      </c>
      <c r="AE7282" s="12" t="s">
        <v>110</v>
      </c>
      <c r="AF7282" s="12" t="s">
        <v>1636</v>
      </c>
      <c r="AG7282" s="12" t="s">
        <v>47</v>
      </c>
      <c r="AH7282" s="1">
        <f>HYPERLINK("https://my.pitchbook.com?c=46740-79T","View Company Online")</f>
      </c>
    </row>
    <row r="7283">
      <c r="A7283" s="3" t="s">
        <v>32324</v>
      </c>
      <c r="B7283" s="3" t="s">
        <v>32325</v>
      </c>
      <c r="C7283" s="5">
        <v>1</v>
      </c>
      <c r="D7283" s="5" t="s">
        <v>36</v>
      </c>
      <c r="E7283" s="5">
        <v>1</v>
      </c>
      <c r="F7283" s="5">
        <v>1</v>
      </c>
      <c r="G7283" s="6" t="s">
        <v>36</v>
      </c>
      <c r="H7283" s="4" t="s">
        <v>36</v>
      </c>
      <c r="I7283" s="7" t="s">
        <v>36</v>
      </c>
      <c r="J7283" s="3" t="s">
        <v>36</v>
      </c>
      <c r="K7283" s="9" t="s">
        <v>36</v>
      </c>
      <c r="L7283" s="6" t="s">
        <v>36</v>
      </c>
      <c r="M7283" s="3" t="s">
        <v>36</v>
      </c>
      <c r="N7283" s="3" t="s">
        <v>36</v>
      </c>
      <c r="O7283" s="8" t="s">
        <v>36</v>
      </c>
      <c r="P7283" s="3" t="s">
        <v>36</v>
      </c>
      <c r="Q7283" s="3" t="s">
        <v>36</v>
      </c>
      <c r="R7283" s="3" t="s">
        <v>36</v>
      </c>
      <c r="S7283" s="3" t="s">
        <v>36</v>
      </c>
      <c r="T7283" s="3" t="s">
        <v>32326</v>
      </c>
      <c r="U7283" s="3" t="s">
        <v>38</v>
      </c>
      <c r="V7283" s="3" t="s">
        <v>39</v>
      </c>
      <c r="W7283" s="3" t="s">
        <v>32327</v>
      </c>
      <c r="X7283" s="10" t="s">
        <v>27324</v>
      </c>
      <c r="Y7283" s="6" t="s">
        <v>42</v>
      </c>
      <c r="Z7283" s="4">
        <v>2.19</v>
      </c>
      <c r="AA7283" s="4" t="s">
        <v>36</v>
      </c>
      <c r="AB7283" s="3" t="s">
        <v>43</v>
      </c>
      <c r="AC7283" s="3" t="s">
        <v>32328</v>
      </c>
      <c r="AD7283" s="9">
        <v>42072</v>
      </c>
      <c r="AE7283" s="3" t="s">
        <v>1330</v>
      </c>
      <c r="AF7283" s="3" t="s">
        <v>4552</v>
      </c>
      <c r="AG7283" s="3" t="s">
        <v>373</v>
      </c>
      <c r="AH7283" s="11">
        <f>HYPERLINK("https://my.pitchbook.com?c=46740-25T","View Company Online")</f>
      </c>
    </row>
    <row r="7284">
      <c r="A7284" s="12" t="s">
        <v>32329</v>
      </c>
      <c r="B7284" s="12" t="s">
        <v>32330</v>
      </c>
      <c r="C7284" s="19">
        <v>1</v>
      </c>
      <c r="D7284" s="19">
        <v>13</v>
      </c>
      <c r="E7284" s="19">
        <v>3</v>
      </c>
      <c r="F7284" s="19">
        <v>22</v>
      </c>
      <c r="G7284" s="15" t="s">
        <v>2497</v>
      </c>
      <c r="H7284" s="14">
        <v>466.93</v>
      </c>
      <c r="I7284" s="18">
        <v>20.19</v>
      </c>
      <c r="J7284" s="12" t="s">
        <v>521</v>
      </c>
      <c r="K7284" s="13">
        <v>41997</v>
      </c>
      <c r="L7284" s="15" t="s">
        <v>122</v>
      </c>
      <c r="M7284" s="12" t="s">
        <v>36</v>
      </c>
      <c r="N7284" s="12" t="s">
        <v>122</v>
      </c>
      <c r="O7284" s="17" t="s">
        <v>36</v>
      </c>
      <c r="P7284" s="12" t="s">
        <v>36</v>
      </c>
      <c r="Q7284" s="12" t="s">
        <v>36</v>
      </c>
      <c r="R7284" s="12" t="s">
        <v>36</v>
      </c>
      <c r="S7284" s="12" t="s">
        <v>36</v>
      </c>
      <c r="T7284" s="12" t="s">
        <v>522</v>
      </c>
      <c r="U7284" s="12" t="s">
        <v>38</v>
      </c>
      <c r="V7284" s="12" t="s">
        <v>39</v>
      </c>
      <c r="W7284" s="12" t="s">
        <v>32331</v>
      </c>
      <c r="X7284" s="16" t="s">
        <v>32332</v>
      </c>
      <c r="Y7284" s="15" t="s">
        <v>55</v>
      </c>
      <c r="Z7284" s="14">
        <v>1.24</v>
      </c>
      <c r="AA7284" s="14">
        <v>6.16</v>
      </c>
      <c r="AB7284" s="12" t="s">
        <v>56</v>
      </c>
      <c r="AC7284" s="12" t="s">
        <v>32333</v>
      </c>
      <c r="AD7284" s="13">
        <v>42068</v>
      </c>
      <c r="AE7284" s="12" t="s">
        <v>110</v>
      </c>
      <c r="AF7284" s="12" t="s">
        <v>32334</v>
      </c>
      <c r="AG7284" s="12" t="s">
        <v>539</v>
      </c>
      <c r="AH7284" s="1">
        <f>HYPERLINK("https://my.pitchbook.com?c=46545-13T","View Company Online")</f>
      </c>
    </row>
    <row r="7285">
      <c r="A7285" s="3" t="s">
        <v>32335</v>
      </c>
      <c r="B7285" s="3" t="s">
        <v>32336</v>
      </c>
      <c r="C7285" s="5" t="s">
        <v>36</v>
      </c>
      <c r="D7285" s="5" t="s">
        <v>36</v>
      </c>
      <c r="E7285" s="5" t="s">
        <v>36</v>
      </c>
      <c r="F7285" s="5" t="s">
        <v>36</v>
      </c>
      <c r="G7285" s="6" t="s">
        <v>36</v>
      </c>
      <c r="H7285" s="4" t="s">
        <v>36</v>
      </c>
      <c r="I7285" s="7" t="s">
        <v>36</v>
      </c>
      <c r="J7285" s="3" t="s">
        <v>36</v>
      </c>
      <c r="K7285" s="9" t="s">
        <v>36</v>
      </c>
      <c r="L7285" s="6" t="s">
        <v>36</v>
      </c>
      <c r="M7285" s="3" t="s">
        <v>36</v>
      </c>
      <c r="N7285" s="3" t="s">
        <v>36</v>
      </c>
      <c r="O7285" s="8" t="s">
        <v>36</v>
      </c>
      <c r="P7285" s="3" t="s">
        <v>36</v>
      </c>
      <c r="Q7285" s="3" t="s">
        <v>36</v>
      </c>
      <c r="R7285" s="3" t="s">
        <v>36</v>
      </c>
      <c r="S7285" s="3" t="s">
        <v>36</v>
      </c>
      <c r="T7285" s="3" t="s">
        <v>32337</v>
      </c>
      <c r="U7285" s="3" t="s">
        <v>51</v>
      </c>
      <c r="V7285" s="3" t="s">
        <v>52</v>
      </c>
      <c r="W7285" s="3" t="s">
        <v>32338</v>
      </c>
      <c r="X7285" s="10" t="s">
        <v>32339</v>
      </c>
      <c r="Y7285" s="6" t="s">
        <v>108</v>
      </c>
      <c r="Z7285" s="4">
        <v>1.7</v>
      </c>
      <c r="AA7285" s="4" t="s">
        <v>36</v>
      </c>
      <c r="AB7285" s="3" t="s">
        <v>56</v>
      </c>
      <c r="AC7285" s="3" t="s">
        <v>32340</v>
      </c>
      <c r="AD7285" s="9">
        <v>42067</v>
      </c>
      <c r="AE7285" s="3" t="s">
        <v>158</v>
      </c>
      <c r="AF7285" s="3" t="s">
        <v>22942</v>
      </c>
      <c r="AG7285" s="3" t="s">
        <v>81</v>
      </c>
      <c r="AH7285" s="11">
        <f>HYPERLINK("https://my.pitchbook.com?c=60557-68T","View Company Online")</f>
      </c>
    </row>
    <row r="7286">
      <c r="A7286" s="12" t="s">
        <v>32341</v>
      </c>
      <c r="B7286" s="12" t="s">
        <v>32342</v>
      </c>
      <c r="C7286" s="19" t="s">
        <v>36</v>
      </c>
      <c r="D7286" s="19" t="s">
        <v>36</v>
      </c>
      <c r="E7286" s="19" t="s">
        <v>36</v>
      </c>
      <c r="F7286" s="19" t="s">
        <v>36</v>
      </c>
      <c r="G7286" s="15" t="s">
        <v>36</v>
      </c>
      <c r="H7286" s="14">
        <v>10.54</v>
      </c>
      <c r="I7286" s="18">
        <v>12.23</v>
      </c>
      <c r="J7286" s="12" t="s">
        <v>521</v>
      </c>
      <c r="K7286" s="13" t="s">
        <v>36</v>
      </c>
      <c r="L7286" s="15" t="s">
        <v>36</v>
      </c>
      <c r="M7286" s="12" t="s">
        <v>36</v>
      </c>
      <c r="N7286" s="12" t="s">
        <v>36</v>
      </c>
      <c r="O7286" s="17" t="s">
        <v>36</v>
      </c>
      <c r="P7286" s="12" t="s">
        <v>36</v>
      </c>
      <c r="Q7286" s="12" t="s">
        <v>36</v>
      </c>
      <c r="R7286" s="12" t="s">
        <v>36</v>
      </c>
      <c r="S7286" s="12" t="s">
        <v>36</v>
      </c>
      <c r="T7286" s="12" t="s">
        <v>6192</v>
      </c>
      <c r="U7286" s="12" t="s">
        <v>1357</v>
      </c>
      <c r="V7286" s="12" t="s">
        <v>52</v>
      </c>
      <c r="W7286" s="12" t="s">
        <v>32343</v>
      </c>
      <c r="X7286" s="16" t="s">
        <v>2553</v>
      </c>
      <c r="Y7286" s="15" t="s">
        <v>166</v>
      </c>
      <c r="Z7286" s="14">
        <v>2.91</v>
      </c>
      <c r="AA7286" s="14">
        <v>17.56</v>
      </c>
      <c r="AB7286" s="12" t="s">
        <v>56</v>
      </c>
      <c r="AC7286" s="12" t="s">
        <v>32344</v>
      </c>
      <c r="AD7286" s="13">
        <v>42066</v>
      </c>
      <c r="AE7286" s="12" t="s">
        <v>2377</v>
      </c>
      <c r="AF7286" s="12" t="s">
        <v>36</v>
      </c>
      <c r="AG7286" s="12" t="s">
        <v>2088</v>
      </c>
      <c r="AH7286" s="1">
        <f>HYPERLINK("https://my.pitchbook.com?c=49451-77T","View Company Online")</f>
      </c>
    </row>
    <row r="7287">
      <c r="A7287" s="3" t="s">
        <v>32345</v>
      </c>
      <c r="B7287" s="3" t="s">
        <v>499</v>
      </c>
      <c r="C7287" s="5">
        <v>9</v>
      </c>
      <c r="D7287" s="5">
        <v>2</v>
      </c>
      <c r="E7287" s="5">
        <v>3</v>
      </c>
      <c r="F7287" s="5">
        <v>11</v>
      </c>
      <c r="G7287" s="6" t="s">
        <v>36</v>
      </c>
      <c r="H7287" s="4">
        <v>1246.28</v>
      </c>
      <c r="I7287" s="7">
        <v>6.24</v>
      </c>
      <c r="J7287" s="3" t="s">
        <v>521</v>
      </c>
      <c r="K7287" s="9" t="s">
        <v>36</v>
      </c>
      <c r="L7287" s="6" t="s">
        <v>36</v>
      </c>
      <c r="M7287" s="3" t="s">
        <v>36</v>
      </c>
      <c r="N7287" s="3" t="s">
        <v>36</v>
      </c>
      <c r="O7287" s="8" t="s">
        <v>36</v>
      </c>
      <c r="P7287" s="3" t="s">
        <v>36</v>
      </c>
      <c r="Q7287" s="3" t="s">
        <v>36</v>
      </c>
      <c r="R7287" s="3" t="s">
        <v>36</v>
      </c>
      <c r="S7287" s="3" t="s">
        <v>36</v>
      </c>
      <c r="T7287" s="3" t="s">
        <v>500</v>
      </c>
      <c r="U7287" s="3" t="s">
        <v>51</v>
      </c>
      <c r="V7287" s="3" t="s">
        <v>52</v>
      </c>
      <c r="W7287" s="3" t="s">
        <v>501</v>
      </c>
      <c r="X7287" s="10" t="s">
        <v>32346</v>
      </c>
      <c r="Y7287" s="6" t="s">
        <v>42</v>
      </c>
      <c r="Z7287" s="4">
        <v>0.91</v>
      </c>
      <c r="AA7287" s="4">
        <v>14.5</v>
      </c>
      <c r="AB7287" s="3" t="s">
        <v>43</v>
      </c>
      <c r="AC7287" s="3" t="s">
        <v>503</v>
      </c>
      <c r="AD7287" s="9">
        <v>42066</v>
      </c>
      <c r="AE7287" s="3" t="s">
        <v>504</v>
      </c>
      <c r="AF7287" s="3" t="s">
        <v>159</v>
      </c>
      <c r="AG7287" s="3" t="s">
        <v>81</v>
      </c>
      <c r="AH7287" s="11">
        <f>HYPERLINK("https://my.pitchbook.com?c=72621-10T","View Company Online")</f>
      </c>
    </row>
    <row r="7288">
      <c r="A7288" s="12" t="s">
        <v>32347</v>
      </c>
      <c r="B7288" s="12" t="s">
        <v>22315</v>
      </c>
      <c r="C7288" s="19">
        <v>2</v>
      </c>
      <c r="D7288" s="19">
        <v>7</v>
      </c>
      <c r="E7288" s="19">
        <v>4</v>
      </c>
      <c r="F7288" s="19">
        <v>14</v>
      </c>
      <c r="G7288" s="15" t="s">
        <v>683</v>
      </c>
      <c r="H7288" s="14">
        <v>16.06</v>
      </c>
      <c r="I7288" s="18">
        <v>31.02</v>
      </c>
      <c r="J7288" s="12" t="s">
        <v>521</v>
      </c>
      <c r="K7288" s="13" t="s">
        <v>36</v>
      </c>
      <c r="L7288" s="15" t="s">
        <v>36</v>
      </c>
      <c r="M7288" s="12" t="s">
        <v>36</v>
      </c>
      <c r="N7288" s="12" t="s">
        <v>36</v>
      </c>
      <c r="O7288" s="17" t="s">
        <v>36</v>
      </c>
      <c r="P7288" s="12" t="s">
        <v>36</v>
      </c>
      <c r="Q7288" s="12" t="s">
        <v>36</v>
      </c>
      <c r="R7288" s="12" t="s">
        <v>36</v>
      </c>
      <c r="S7288" s="12" t="s">
        <v>36</v>
      </c>
      <c r="T7288" s="12" t="s">
        <v>139</v>
      </c>
      <c r="U7288" s="12" t="s">
        <v>96</v>
      </c>
      <c r="V7288" s="12" t="s">
        <v>52</v>
      </c>
      <c r="W7288" s="12" t="s">
        <v>22316</v>
      </c>
      <c r="X7288" s="16" t="s">
        <v>32348</v>
      </c>
      <c r="Y7288" s="15" t="s">
        <v>108</v>
      </c>
      <c r="Z7288" s="14">
        <v>0.49</v>
      </c>
      <c r="AA7288" s="14">
        <v>1.57</v>
      </c>
      <c r="AB7288" s="12" t="s">
        <v>56</v>
      </c>
      <c r="AC7288" s="12" t="s">
        <v>22317</v>
      </c>
      <c r="AD7288" s="13">
        <v>42064</v>
      </c>
      <c r="AE7288" s="12" t="s">
        <v>143</v>
      </c>
      <c r="AF7288" s="12" t="s">
        <v>2416</v>
      </c>
      <c r="AG7288" s="12" t="s">
        <v>22318</v>
      </c>
      <c r="AH7288" s="1">
        <f>HYPERLINK("https://my.pitchbook.com?c=138801-25T","View Company Online")</f>
      </c>
    </row>
    <row r="7289">
      <c r="A7289" s="3" t="s">
        <v>32349</v>
      </c>
      <c r="B7289" s="3" t="s">
        <v>32350</v>
      </c>
      <c r="C7289" s="5" t="s">
        <v>36</v>
      </c>
      <c r="D7289" s="5" t="s">
        <v>36</v>
      </c>
      <c r="E7289" s="5" t="s">
        <v>36</v>
      </c>
      <c r="F7289" s="5" t="s">
        <v>36</v>
      </c>
      <c r="G7289" s="6" t="s">
        <v>36</v>
      </c>
      <c r="H7289" s="4" t="s">
        <v>36</v>
      </c>
      <c r="I7289" s="7" t="s">
        <v>36</v>
      </c>
      <c r="J7289" s="3" t="s">
        <v>36</v>
      </c>
      <c r="K7289" s="9" t="s">
        <v>36</v>
      </c>
      <c r="L7289" s="6" t="s">
        <v>36</v>
      </c>
      <c r="M7289" s="3" t="s">
        <v>36</v>
      </c>
      <c r="N7289" s="3" t="s">
        <v>36</v>
      </c>
      <c r="O7289" s="8" t="s">
        <v>36</v>
      </c>
      <c r="P7289" s="3" t="s">
        <v>36</v>
      </c>
      <c r="Q7289" s="3" t="s">
        <v>36</v>
      </c>
      <c r="R7289" s="3" t="s">
        <v>36</v>
      </c>
      <c r="S7289" s="3" t="s">
        <v>36</v>
      </c>
      <c r="T7289" s="3" t="s">
        <v>32351</v>
      </c>
      <c r="U7289" s="3" t="s">
        <v>74</v>
      </c>
      <c r="V7289" s="3" t="s">
        <v>75</v>
      </c>
      <c r="W7289" s="3" t="s">
        <v>32352</v>
      </c>
      <c r="X7289" s="10" t="s">
        <v>32353</v>
      </c>
      <c r="Y7289" s="6" t="s">
        <v>108</v>
      </c>
      <c r="Z7289" s="4">
        <v>0.23</v>
      </c>
      <c r="AA7289" s="4" t="s">
        <v>36</v>
      </c>
      <c r="AB7289" s="3" t="s">
        <v>43</v>
      </c>
      <c r="AC7289" s="3" t="s">
        <v>32354</v>
      </c>
      <c r="AD7289" s="9">
        <v>42064</v>
      </c>
      <c r="AE7289" s="3" t="s">
        <v>1888</v>
      </c>
      <c r="AF7289" s="3" t="s">
        <v>1969</v>
      </c>
      <c r="AG7289" s="3" t="s">
        <v>32355</v>
      </c>
      <c r="AH7289" s="11">
        <f>HYPERLINK("https://my.pitchbook.com?c=79407-19T","View Company Online")</f>
      </c>
    </row>
    <row r="7290">
      <c r="A7290" s="12" t="s">
        <v>32356</v>
      </c>
      <c r="B7290" s="12" t="s">
        <v>8729</v>
      </c>
      <c r="C7290" s="19">
        <v>2</v>
      </c>
      <c r="D7290" s="19" t="s">
        <v>36</v>
      </c>
      <c r="E7290" s="19">
        <v>1</v>
      </c>
      <c r="F7290" s="19">
        <v>2</v>
      </c>
      <c r="G7290" s="15" t="s">
        <v>36</v>
      </c>
      <c r="H7290" s="14">
        <v>1.9</v>
      </c>
      <c r="I7290" s="18">
        <v>6.8</v>
      </c>
      <c r="J7290" s="12" t="s">
        <v>521</v>
      </c>
      <c r="K7290" s="13" t="s">
        <v>36</v>
      </c>
      <c r="L7290" s="15" t="s">
        <v>36</v>
      </c>
      <c r="M7290" s="12" t="s">
        <v>36</v>
      </c>
      <c r="N7290" s="12" t="s">
        <v>36</v>
      </c>
      <c r="O7290" s="17" t="s">
        <v>36</v>
      </c>
      <c r="P7290" s="12" t="s">
        <v>36</v>
      </c>
      <c r="Q7290" s="12" t="s">
        <v>36</v>
      </c>
      <c r="R7290" s="12" t="s">
        <v>36</v>
      </c>
      <c r="S7290" s="12" t="s">
        <v>36</v>
      </c>
      <c r="T7290" s="12" t="s">
        <v>1397</v>
      </c>
      <c r="U7290" s="12" t="s">
        <v>38</v>
      </c>
      <c r="V7290" s="12" t="s">
        <v>39</v>
      </c>
      <c r="W7290" s="12" t="s">
        <v>8730</v>
      </c>
      <c r="X7290" s="16" t="s">
        <v>32357</v>
      </c>
      <c r="Y7290" s="15" t="s">
        <v>42</v>
      </c>
      <c r="Z7290" s="14">
        <v>0.05</v>
      </c>
      <c r="AA7290" s="14">
        <v>0.71</v>
      </c>
      <c r="AB7290" s="12" t="s">
        <v>56</v>
      </c>
      <c r="AC7290" s="12" t="s">
        <v>8732</v>
      </c>
      <c r="AD7290" s="13">
        <v>42064</v>
      </c>
      <c r="AE7290" s="12" t="s">
        <v>110</v>
      </c>
      <c r="AF7290" s="12" t="s">
        <v>1842</v>
      </c>
      <c r="AG7290" s="12" t="s">
        <v>1525</v>
      </c>
      <c r="AH7290" s="1">
        <f>HYPERLINK("https://my.pitchbook.com?c=76333-69T","View Company Online")</f>
      </c>
    </row>
    <row r="7291">
      <c r="A7291" s="3" t="s">
        <v>32358</v>
      </c>
      <c r="B7291" s="3" t="s">
        <v>22198</v>
      </c>
      <c r="C7291" s="5">
        <v>1</v>
      </c>
      <c r="D7291" s="5">
        <v>8</v>
      </c>
      <c r="E7291" s="5">
        <v>2</v>
      </c>
      <c r="F7291" s="5">
        <v>11</v>
      </c>
      <c r="G7291" s="6" t="s">
        <v>36</v>
      </c>
      <c r="H7291" s="4" t="s">
        <v>36</v>
      </c>
      <c r="I7291" s="7" t="s">
        <v>36</v>
      </c>
      <c r="J7291" s="3" t="s">
        <v>36</v>
      </c>
      <c r="K7291" s="9" t="s">
        <v>36</v>
      </c>
      <c r="L7291" s="6" t="s">
        <v>36</v>
      </c>
      <c r="M7291" s="3" t="s">
        <v>36</v>
      </c>
      <c r="N7291" s="3" t="s">
        <v>36</v>
      </c>
      <c r="O7291" s="8" t="s">
        <v>36</v>
      </c>
      <c r="P7291" s="3" t="s">
        <v>36</v>
      </c>
      <c r="Q7291" s="3" t="s">
        <v>36</v>
      </c>
      <c r="R7291" s="3" t="s">
        <v>36</v>
      </c>
      <c r="S7291" s="3" t="s">
        <v>36</v>
      </c>
      <c r="T7291" s="3" t="s">
        <v>6614</v>
      </c>
      <c r="U7291" s="3" t="s">
        <v>279</v>
      </c>
      <c r="V7291" s="3" t="s">
        <v>64</v>
      </c>
      <c r="W7291" s="3" t="s">
        <v>22199</v>
      </c>
      <c r="X7291" s="10" t="s">
        <v>32359</v>
      </c>
      <c r="Y7291" s="6" t="s">
        <v>42</v>
      </c>
      <c r="Z7291" s="4">
        <v>11.2</v>
      </c>
      <c r="AA7291" s="4" t="s">
        <v>36</v>
      </c>
      <c r="AB7291" s="3" t="s">
        <v>43</v>
      </c>
      <c r="AC7291" s="3" t="s">
        <v>22201</v>
      </c>
      <c r="AD7291" s="9">
        <v>42064</v>
      </c>
      <c r="AE7291" s="3" t="s">
        <v>740</v>
      </c>
      <c r="AF7291" s="3" t="s">
        <v>1077</v>
      </c>
      <c r="AG7291" s="3" t="s">
        <v>81</v>
      </c>
      <c r="AH7291" s="11">
        <f>HYPERLINK("https://my.pitchbook.com?c=52014-07T","View Company Online")</f>
      </c>
    </row>
    <row r="7292">
      <c r="A7292" s="12" t="s">
        <v>32360</v>
      </c>
      <c r="B7292" s="12" t="s">
        <v>32361</v>
      </c>
      <c r="C7292" s="19">
        <v>3</v>
      </c>
      <c r="D7292" s="19">
        <v>16</v>
      </c>
      <c r="E7292" s="19">
        <v>5</v>
      </c>
      <c r="F7292" s="19">
        <v>23</v>
      </c>
      <c r="G7292" s="15" t="s">
        <v>36</v>
      </c>
      <c r="H7292" s="14">
        <v>20.77</v>
      </c>
      <c r="I7292" s="18">
        <v>45</v>
      </c>
      <c r="J7292" s="12" t="s">
        <v>521</v>
      </c>
      <c r="K7292" s="13" t="s">
        <v>36</v>
      </c>
      <c r="L7292" s="15" t="s">
        <v>36</v>
      </c>
      <c r="M7292" s="12" t="s">
        <v>36</v>
      </c>
      <c r="N7292" s="12" t="s">
        <v>36</v>
      </c>
      <c r="O7292" s="17" t="s">
        <v>36</v>
      </c>
      <c r="P7292" s="12" t="s">
        <v>36</v>
      </c>
      <c r="Q7292" s="12" t="s">
        <v>36</v>
      </c>
      <c r="R7292" s="12" t="s">
        <v>36</v>
      </c>
      <c r="S7292" s="12" t="s">
        <v>36</v>
      </c>
      <c r="T7292" s="12" t="s">
        <v>32362</v>
      </c>
      <c r="U7292" s="12" t="s">
        <v>833</v>
      </c>
      <c r="V7292" s="12" t="s">
        <v>64</v>
      </c>
      <c r="W7292" s="12" t="s">
        <v>32363</v>
      </c>
      <c r="X7292" s="16" t="s">
        <v>32364</v>
      </c>
      <c r="Y7292" s="15" t="s">
        <v>42</v>
      </c>
      <c r="Z7292" s="14">
        <v>0.4</v>
      </c>
      <c r="AA7292" s="14">
        <v>0.88</v>
      </c>
      <c r="AB7292" s="12" t="s">
        <v>56</v>
      </c>
      <c r="AC7292" s="12" t="s">
        <v>32365</v>
      </c>
      <c r="AD7292" s="13">
        <v>42064</v>
      </c>
      <c r="AE7292" s="12" t="s">
        <v>1769</v>
      </c>
      <c r="AF7292" s="12" t="s">
        <v>2118</v>
      </c>
      <c r="AG7292" s="12" t="s">
        <v>81</v>
      </c>
      <c r="AH7292" s="1">
        <f>HYPERLINK("https://my.pitchbook.com?c=60718-87T","View Company Online")</f>
      </c>
    </row>
    <row r="7293">
      <c r="A7293" s="3" t="s">
        <v>32366</v>
      </c>
      <c r="B7293" s="3" t="s">
        <v>24825</v>
      </c>
      <c r="C7293" s="5" t="s">
        <v>36</v>
      </c>
      <c r="D7293" s="5" t="s">
        <v>36</v>
      </c>
      <c r="E7293" s="5" t="s">
        <v>36</v>
      </c>
      <c r="F7293" s="5" t="s">
        <v>36</v>
      </c>
      <c r="G7293" s="6" t="s">
        <v>36</v>
      </c>
      <c r="H7293" s="4" t="s">
        <v>36</v>
      </c>
      <c r="I7293" s="7" t="s">
        <v>36</v>
      </c>
      <c r="J7293" s="3" t="s">
        <v>36</v>
      </c>
      <c r="K7293" s="9" t="s">
        <v>36</v>
      </c>
      <c r="L7293" s="6" t="s">
        <v>36</v>
      </c>
      <c r="M7293" s="3" t="s">
        <v>36</v>
      </c>
      <c r="N7293" s="3" t="s">
        <v>36</v>
      </c>
      <c r="O7293" s="8" t="s">
        <v>36</v>
      </c>
      <c r="P7293" s="3" t="s">
        <v>36</v>
      </c>
      <c r="Q7293" s="3" t="s">
        <v>36</v>
      </c>
      <c r="R7293" s="3" t="s">
        <v>36</v>
      </c>
      <c r="S7293" s="3" t="s">
        <v>36</v>
      </c>
      <c r="T7293" s="3" t="s">
        <v>24826</v>
      </c>
      <c r="U7293" s="3" t="s">
        <v>38</v>
      </c>
      <c r="V7293" s="3" t="s">
        <v>39</v>
      </c>
      <c r="W7293" s="3" t="s">
        <v>24827</v>
      </c>
      <c r="X7293" s="10" t="s">
        <v>8652</v>
      </c>
      <c r="Y7293" s="6" t="s">
        <v>42</v>
      </c>
      <c r="Z7293" s="4" t="s">
        <v>36</v>
      </c>
      <c r="AA7293" s="4" t="s">
        <v>36</v>
      </c>
      <c r="AB7293" s="3" t="s">
        <v>43</v>
      </c>
      <c r="AC7293" s="3" t="s">
        <v>24828</v>
      </c>
      <c r="AD7293" s="9">
        <v>42064</v>
      </c>
      <c r="AE7293" s="3" t="s">
        <v>1330</v>
      </c>
      <c r="AF7293" s="3" t="s">
        <v>1077</v>
      </c>
      <c r="AG7293" s="3" t="s">
        <v>81</v>
      </c>
      <c r="AH7293" s="11">
        <f>HYPERLINK("https://my.pitchbook.com?c=122790-07T","View Company Online")</f>
      </c>
    </row>
    <row r="7294">
      <c r="A7294" s="12" t="s">
        <v>32367</v>
      </c>
      <c r="B7294" s="12" t="s">
        <v>32368</v>
      </c>
      <c r="C7294" s="19" t="s">
        <v>36</v>
      </c>
      <c r="D7294" s="19" t="s">
        <v>36</v>
      </c>
      <c r="E7294" s="19" t="s">
        <v>36</v>
      </c>
      <c r="F7294" s="19" t="s">
        <v>36</v>
      </c>
      <c r="G7294" s="15" t="s">
        <v>36</v>
      </c>
      <c r="H7294" s="14">
        <v>3484.39</v>
      </c>
      <c r="I7294" s="18">
        <v>27.32</v>
      </c>
      <c r="J7294" s="12" t="s">
        <v>521</v>
      </c>
      <c r="K7294" s="13" t="s">
        <v>36</v>
      </c>
      <c r="L7294" s="15" t="s">
        <v>36</v>
      </c>
      <c r="M7294" s="12" t="s">
        <v>36</v>
      </c>
      <c r="N7294" s="12" t="s">
        <v>36</v>
      </c>
      <c r="O7294" s="17" t="s">
        <v>36</v>
      </c>
      <c r="P7294" s="12" t="s">
        <v>36</v>
      </c>
      <c r="Q7294" s="12" t="s">
        <v>36</v>
      </c>
      <c r="R7294" s="12" t="s">
        <v>36</v>
      </c>
      <c r="S7294" s="12" t="s">
        <v>36</v>
      </c>
      <c r="T7294" s="12" t="s">
        <v>15076</v>
      </c>
      <c r="U7294" s="12" t="s">
        <v>74</v>
      </c>
      <c r="V7294" s="12" t="s">
        <v>75</v>
      </c>
      <c r="W7294" s="12" t="s">
        <v>32369</v>
      </c>
      <c r="X7294" s="16" t="s">
        <v>31144</v>
      </c>
      <c r="Y7294" s="15" t="s">
        <v>42</v>
      </c>
      <c r="Z7294" s="14">
        <v>0.21</v>
      </c>
      <c r="AA7294" s="14">
        <v>0.78</v>
      </c>
      <c r="AB7294" s="12" t="s">
        <v>43</v>
      </c>
      <c r="AC7294" s="12" t="s">
        <v>32370</v>
      </c>
      <c r="AD7294" s="13">
        <v>42064</v>
      </c>
      <c r="AE7294" s="12" t="s">
        <v>79</v>
      </c>
      <c r="AF7294" s="12" t="s">
        <v>1331</v>
      </c>
      <c r="AG7294" s="12" t="s">
        <v>270</v>
      </c>
      <c r="AH7294" s="1">
        <f>HYPERLINK("https://my.pitchbook.com?c=130729-78T","View Company Online")</f>
      </c>
    </row>
    <row r="7295">
      <c r="A7295" s="3" t="s">
        <v>32371</v>
      </c>
      <c r="B7295" s="3" t="s">
        <v>32372</v>
      </c>
      <c r="C7295" s="5" t="s">
        <v>36</v>
      </c>
      <c r="D7295" s="5" t="s">
        <v>36</v>
      </c>
      <c r="E7295" s="5" t="s">
        <v>36</v>
      </c>
      <c r="F7295" s="5" t="s">
        <v>36</v>
      </c>
      <c r="G7295" s="6" t="s">
        <v>36</v>
      </c>
      <c r="H7295" s="4" t="s">
        <v>36</v>
      </c>
      <c r="I7295" s="7" t="s">
        <v>36</v>
      </c>
      <c r="J7295" s="3" t="s">
        <v>36</v>
      </c>
      <c r="K7295" s="9" t="s">
        <v>36</v>
      </c>
      <c r="L7295" s="6" t="s">
        <v>36</v>
      </c>
      <c r="M7295" s="3" t="s">
        <v>36</v>
      </c>
      <c r="N7295" s="3" t="s">
        <v>36</v>
      </c>
      <c r="O7295" s="8" t="s">
        <v>36</v>
      </c>
      <c r="P7295" s="3" t="s">
        <v>36</v>
      </c>
      <c r="Q7295" s="3" t="s">
        <v>36</v>
      </c>
      <c r="R7295" s="3" t="s">
        <v>36</v>
      </c>
      <c r="S7295" s="3" t="s">
        <v>36</v>
      </c>
      <c r="T7295" s="3" t="s">
        <v>4692</v>
      </c>
      <c r="U7295" s="3" t="s">
        <v>85</v>
      </c>
      <c r="V7295" s="3" t="s">
        <v>64</v>
      </c>
      <c r="W7295" s="3" t="s">
        <v>32373</v>
      </c>
      <c r="X7295" s="10" t="s">
        <v>32374</v>
      </c>
      <c r="Y7295" s="6" t="s">
        <v>55</v>
      </c>
      <c r="Z7295" s="4" t="s">
        <v>36</v>
      </c>
      <c r="AA7295" s="4" t="s">
        <v>36</v>
      </c>
      <c r="AB7295" s="3" t="s">
        <v>56</v>
      </c>
      <c r="AC7295" s="3" t="s">
        <v>32375</v>
      </c>
      <c r="AD7295" s="9">
        <v>42062</v>
      </c>
      <c r="AE7295" s="3" t="s">
        <v>89</v>
      </c>
      <c r="AF7295" s="3" t="s">
        <v>32376</v>
      </c>
      <c r="AG7295" s="3" t="s">
        <v>32377</v>
      </c>
      <c r="AH7295" s="11">
        <f>HYPERLINK("https://my.pitchbook.com?c=46385-38T","View Company Online")</f>
      </c>
    </row>
    <row r="7296">
      <c r="A7296" s="12" t="s">
        <v>32378</v>
      </c>
      <c r="B7296" s="12" t="s">
        <v>32379</v>
      </c>
      <c r="C7296" s="19" t="s">
        <v>36</v>
      </c>
      <c r="D7296" s="19" t="s">
        <v>36</v>
      </c>
      <c r="E7296" s="19" t="s">
        <v>36</v>
      </c>
      <c r="F7296" s="19" t="s">
        <v>36</v>
      </c>
      <c r="G7296" s="15" t="s">
        <v>36</v>
      </c>
      <c r="H7296" s="14" t="s">
        <v>36</v>
      </c>
      <c r="I7296" s="18">
        <v>68.18</v>
      </c>
      <c r="J7296" s="12" t="s">
        <v>327</v>
      </c>
      <c r="K7296" s="13" t="s">
        <v>36</v>
      </c>
      <c r="L7296" s="15" t="s">
        <v>36</v>
      </c>
      <c r="M7296" s="12" t="s">
        <v>36</v>
      </c>
      <c r="N7296" s="12" t="s">
        <v>36</v>
      </c>
      <c r="O7296" s="17" t="s">
        <v>36</v>
      </c>
      <c r="P7296" s="12" t="s">
        <v>36</v>
      </c>
      <c r="Q7296" s="12" t="s">
        <v>36</v>
      </c>
      <c r="R7296" s="12" t="s">
        <v>36</v>
      </c>
      <c r="S7296" s="12" t="s">
        <v>36</v>
      </c>
      <c r="T7296" s="12" t="s">
        <v>32380</v>
      </c>
      <c r="U7296" s="12" t="s">
        <v>74</v>
      </c>
      <c r="V7296" s="12" t="s">
        <v>75</v>
      </c>
      <c r="W7296" s="12" t="s">
        <v>32381</v>
      </c>
      <c r="X7296" s="16" t="s">
        <v>32382</v>
      </c>
      <c r="Y7296" s="15" t="s">
        <v>42</v>
      </c>
      <c r="Z7296" s="14">
        <v>0.97</v>
      </c>
      <c r="AA7296" s="14">
        <v>1.42</v>
      </c>
      <c r="AB7296" s="12" t="s">
        <v>43</v>
      </c>
      <c r="AC7296" s="12" t="s">
        <v>32383</v>
      </c>
      <c r="AD7296" s="13">
        <v>42060</v>
      </c>
      <c r="AE7296" s="12" t="s">
        <v>570</v>
      </c>
      <c r="AF7296" s="12" t="s">
        <v>372</v>
      </c>
      <c r="AG7296" s="12" t="s">
        <v>32384</v>
      </c>
      <c r="AH7296" s="1">
        <f>HYPERLINK("https://my.pitchbook.com?c=67474-81T","View Company Online")</f>
      </c>
    </row>
    <row r="7297">
      <c r="A7297" s="3" t="s">
        <v>32385</v>
      </c>
      <c r="B7297" s="3" t="s">
        <v>8286</v>
      </c>
      <c r="C7297" s="5" t="s">
        <v>36</v>
      </c>
      <c r="D7297" s="5" t="s">
        <v>36</v>
      </c>
      <c r="E7297" s="5" t="s">
        <v>36</v>
      </c>
      <c r="F7297" s="5" t="s">
        <v>36</v>
      </c>
      <c r="G7297" s="6" t="s">
        <v>36</v>
      </c>
      <c r="H7297" s="4" t="s">
        <v>36</v>
      </c>
      <c r="I7297" s="7" t="s">
        <v>36</v>
      </c>
      <c r="J7297" s="3" t="s">
        <v>36</v>
      </c>
      <c r="K7297" s="9" t="s">
        <v>36</v>
      </c>
      <c r="L7297" s="6" t="s">
        <v>36</v>
      </c>
      <c r="M7297" s="3" t="s">
        <v>36</v>
      </c>
      <c r="N7297" s="3" t="s">
        <v>36</v>
      </c>
      <c r="O7297" s="8" t="s">
        <v>36</v>
      </c>
      <c r="P7297" s="3" t="s">
        <v>36</v>
      </c>
      <c r="Q7297" s="3" t="s">
        <v>36</v>
      </c>
      <c r="R7297" s="3" t="s">
        <v>36</v>
      </c>
      <c r="S7297" s="3" t="s">
        <v>36</v>
      </c>
      <c r="T7297" s="3" t="s">
        <v>8287</v>
      </c>
      <c r="U7297" s="3" t="s">
        <v>180</v>
      </c>
      <c r="V7297" s="3" t="s">
        <v>52</v>
      </c>
      <c r="W7297" s="3" t="s">
        <v>8288</v>
      </c>
      <c r="X7297" s="10" t="s">
        <v>32386</v>
      </c>
      <c r="Y7297" s="6" t="s">
        <v>166</v>
      </c>
      <c r="Z7297" s="4">
        <v>1.7</v>
      </c>
      <c r="AA7297" s="4" t="s">
        <v>36</v>
      </c>
      <c r="AB7297" s="3" t="s">
        <v>56</v>
      </c>
      <c r="AC7297" s="3" t="s">
        <v>8290</v>
      </c>
      <c r="AD7297" s="9">
        <v>42060</v>
      </c>
      <c r="AE7297" s="3" t="s">
        <v>8291</v>
      </c>
      <c r="AF7297" s="3" t="s">
        <v>101</v>
      </c>
      <c r="AG7297" s="3" t="s">
        <v>787</v>
      </c>
      <c r="AH7297" s="11">
        <f>HYPERLINK("https://my.pitchbook.com?c=93722-05T","View Company Online")</f>
      </c>
    </row>
    <row r="7298">
      <c r="A7298" s="12" t="s">
        <v>32387</v>
      </c>
      <c r="B7298" s="12" t="s">
        <v>32388</v>
      </c>
      <c r="C7298" s="19">
        <v>1</v>
      </c>
      <c r="D7298" s="19">
        <v>17</v>
      </c>
      <c r="E7298" s="19">
        <v>5</v>
      </c>
      <c r="F7298" s="19">
        <v>24</v>
      </c>
      <c r="G7298" s="15" t="s">
        <v>326</v>
      </c>
      <c r="H7298" s="14">
        <v>29.08</v>
      </c>
      <c r="I7298" s="18">
        <v>19.02</v>
      </c>
      <c r="J7298" s="12" t="s">
        <v>521</v>
      </c>
      <c r="K7298" s="13" t="s">
        <v>36</v>
      </c>
      <c r="L7298" s="15" t="s">
        <v>122</v>
      </c>
      <c r="M7298" s="12" t="s">
        <v>36</v>
      </c>
      <c r="N7298" s="12" t="s">
        <v>122</v>
      </c>
      <c r="O7298" s="17" t="s">
        <v>36</v>
      </c>
      <c r="P7298" s="12" t="s">
        <v>36</v>
      </c>
      <c r="Q7298" s="12" t="s">
        <v>36</v>
      </c>
      <c r="R7298" s="12" t="s">
        <v>36</v>
      </c>
      <c r="S7298" s="12" t="s">
        <v>36</v>
      </c>
      <c r="T7298" s="12" t="s">
        <v>881</v>
      </c>
      <c r="U7298" s="12" t="s">
        <v>51</v>
      </c>
      <c r="V7298" s="12" t="s">
        <v>52</v>
      </c>
      <c r="W7298" s="12" t="s">
        <v>32389</v>
      </c>
      <c r="X7298" s="16" t="s">
        <v>32390</v>
      </c>
      <c r="Y7298" s="15" t="s">
        <v>55</v>
      </c>
      <c r="Z7298" s="14">
        <v>1.13</v>
      </c>
      <c r="AA7298" s="14">
        <v>3.77</v>
      </c>
      <c r="AB7298" s="12" t="s">
        <v>43</v>
      </c>
      <c r="AC7298" s="12" t="s">
        <v>32391</v>
      </c>
      <c r="AD7298" s="13">
        <v>42059</v>
      </c>
      <c r="AE7298" s="12" t="s">
        <v>504</v>
      </c>
      <c r="AF7298" s="12" t="s">
        <v>159</v>
      </c>
      <c r="AG7298" s="12" t="s">
        <v>47</v>
      </c>
      <c r="AH7298" s="1">
        <f>HYPERLINK("https://my.pitchbook.com?c=46201-96T","View Company Online")</f>
      </c>
    </row>
    <row r="7299">
      <c r="A7299" s="3" t="s">
        <v>32392</v>
      </c>
      <c r="B7299" s="3" t="s">
        <v>32393</v>
      </c>
      <c r="C7299" s="5" t="s">
        <v>36</v>
      </c>
      <c r="D7299" s="5" t="s">
        <v>36</v>
      </c>
      <c r="E7299" s="5" t="s">
        <v>36</v>
      </c>
      <c r="F7299" s="5" t="s">
        <v>36</v>
      </c>
      <c r="G7299" s="6" t="s">
        <v>36</v>
      </c>
      <c r="H7299" s="4" t="s">
        <v>36</v>
      </c>
      <c r="I7299" s="7" t="s">
        <v>36</v>
      </c>
      <c r="J7299" s="3" t="s">
        <v>36</v>
      </c>
      <c r="K7299" s="9" t="s">
        <v>36</v>
      </c>
      <c r="L7299" s="6" t="s">
        <v>36</v>
      </c>
      <c r="M7299" s="3" t="s">
        <v>36</v>
      </c>
      <c r="N7299" s="3" t="s">
        <v>36</v>
      </c>
      <c r="O7299" s="8" t="s">
        <v>36</v>
      </c>
      <c r="P7299" s="3" t="s">
        <v>36</v>
      </c>
      <c r="Q7299" s="3" t="s">
        <v>36</v>
      </c>
      <c r="R7299" s="3" t="s">
        <v>36</v>
      </c>
      <c r="S7299" s="3" t="s">
        <v>36</v>
      </c>
      <c r="T7299" s="3" t="s">
        <v>5911</v>
      </c>
      <c r="U7299" s="3" t="s">
        <v>74</v>
      </c>
      <c r="V7299" s="3" t="s">
        <v>75</v>
      </c>
      <c r="W7299" s="3" t="s">
        <v>32394</v>
      </c>
      <c r="X7299" s="10" t="s">
        <v>32395</v>
      </c>
      <c r="Y7299" s="6" t="s">
        <v>42</v>
      </c>
      <c r="Z7299" s="4">
        <v>1.36</v>
      </c>
      <c r="AA7299" s="4" t="s">
        <v>36</v>
      </c>
      <c r="AB7299" s="3" t="s">
        <v>43</v>
      </c>
      <c r="AC7299" s="3" t="s">
        <v>32396</v>
      </c>
      <c r="AD7299" s="9">
        <v>42059</v>
      </c>
      <c r="AE7299" s="3" t="s">
        <v>79</v>
      </c>
      <c r="AF7299" s="3" t="s">
        <v>1842</v>
      </c>
      <c r="AG7299" s="3" t="s">
        <v>81</v>
      </c>
      <c r="AH7299" s="11">
        <f>HYPERLINK("https://my.pitchbook.com?c=61108-48T","View Company Online")</f>
      </c>
    </row>
    <row r="7300">
      <c r="A7300" s="12" t="s">
        <v>32397</v>
      </c>
      <c r="B7300" s="12" t="s">
        <v>28259</v>
      </c>
      <c r="C7300" s="19" t="s">
        <v>36</v>
      </c>
      <c r="D7300" s="19" t="s">
        <v>36</v>
      </c>
      <c r="E7300" s="19" t="s">
        <v>36</v>
      </c>
      <c r="F7300" s="19" t="s">
        <v>36</v>
      </c>
      <c r="G7300" s="15" t="s">
        <v>326</v>
      </c>
      <c r="H7300" s="14">
        <v>10.39</v>
      </c>
      <c r="I7300" s="18">
        <v>6.49</v>
      </c>
      <c r="J7300" s="12" t="s">
        <v>521</v>
      </c>
      <c r="K7300" s="13" t="s">
        <v>36</v>
      </c>
      <c r="L7300" s="15" t="s">
        <v>36</v>
      </c>
      <c r="M7300" s="12" t="s">
        <v>36</v>
      </c>
      <c r="N7300" s="12" t="s">
        <v>36</v>
      </c>
      <c r="O7300" s="17" t="s">
        <v>36</v>
      </c>
      <c r="P7300" s="12" t="s">
        <v>36</v>
      </c>
      <c r="Q7300" s="12" t="s">
        <v>36</v>
      </c>
      <c r="R7300" s="12" t="s">
        <v>36</v>
      </c>
      <c r="S7300" s="12" t="s">
        <v>36</v>
      </c>
      <c r="T7300" s="12" t="s">
        <v>28260</v>
      </c>
      <c r="U7300" s="12" t="s">
        <v>74</v>
      </c>
      <c r="V7300" s="12" t="s">
        <v>75</v>
      </c>
      <c r="W7300" s="12" t="s">
        <v>28261</v>
      </c>
      <c r="X7300" s="16" t="s">
        <v>2130</v>
      </c>
      <c r="Y7300" s="15" t="s">
        <v>108</v>
      </c>
      <c r="Z7300" s="14">
        <v>1.48</v>
      </c>
      <c r="AA7300" s="14">
        <v>21.34</v>
      </c>
      <c r="AB7300" s="12" t="s">
        <v>43</v>
      </c>
      <c r="AC7300" s="12" t="s">
        <v>28263</v>
      </c>
      <c r="AD7300" s="13">
        <v>42059</v>
      </c>
      <c r="AE7300" s="12" t="s">
        <v>79</v>
      </c>
      <c r="AF7300" s="12" t="s">
        <v>10797</v>
      </c>
      <c r="AG7300" s="12" t="s">
        <v>2033</v>
      </c>
      <c r="AH7300" s="1">
        <f>HYPERLINK("https://my.pitchbook.com?c=66816-46T","View Company Online")</f>
      </c>
    </row>
    <row r="7301">
      <c r="A7301" s="3" t="s">
        <v>32398</v>
      </c>
      <c r="B7301" s="3" t="s">
        <v>32399</v>
      </c>
      <c r="C7301" s="5" t="s">
        <v>36</v>
      </c>
      <c r="D7301" s="5" t="s">
        <v>36</v>
      </c>
      <c r="E7301" s="5" t="s">
        <v>36</v>
      </c>
      <c r="F7301" s="5" t="s">
        <v>36</v>
      </c>
      <c r="G7301" s="6" t="s">
        <v>36</v>
      </c>
      <c r="H7301" s="4" t="s">
        <v>36</v>
      </c>
      <c r="I7301" s="7" t="s">
        <v>36</v>
      </c>
      <c r="J7301" s="3" t="s">
        <v>36</v>
      </c>
      <c r="K7301" s="9" t="s">
        <v>36</v>
      </c>
      <c r="L7301" s="6" t="s">
        <v>36</v>
      </c>
      <c r="M7301" s="3" t="s">
        <v>36</v>
      </c>
      <c r="N7301" s="3" t="s">
        <v>36</v>
      </c>
      <c r="O7301" s="8" t="s">
        <v>36</v>
      </c>
      <c r="P7301" s="3" t="s">
        <v>36</v>
      </c>
      <c r="Q7301" s="3" t="s">
        <v>36</v>
      </c>
      <c r="R7301" s="3" t="s">
        <v>36</v>
      </c>
      <c r="S7301" s="3" t="s">
        <v>36</v>
      </c>
      <c r="T7301" s="3" t="s">
        <v>1048</v>
      </c>
      <c r="U7301" s="3" t="s">
        <v>423</v>
      </c>
      <c r="V7301" s="3" t="s">
        <v>64</v>
      </c>
      <c r="W7301" s="3" t="s">
        <v>32400</v>
      </c>
      <c r="X7301" s="10" t="s">
        <v>560</v>
      </c>
      <c r="Y7301" s="6" t="s">
        <v>108</v>
      </c>
      <c r="Z7301" s="4">
        <v>1.7</v>
      </c>
      <c r="AA7301" s="4" t="s">
        <v>36</v>
      </c>
      <c r="AB7301" s="3" t="s">
        <v>43</v>
      </c>
      <c r="AC7301" s="3" t="s">
        <v>32401</v>
      </c>
      <c r="AD7301" s="9">
        <v>42055</v>
      </c>
      <c r="AE7301" s="3" t="s">
        <v>1051</v>
      </c>
      <c r="AF7301" s="3" t="s">
        <v>571</v>
      </c>
      <c r="AG7301" s="3" t="s">
        <v>4358</v>
      </c>
      <c r="AH7301" s="11">
        <f>HYPERLINK("https://my.pitchbook.com?c=123137-74T","View Company Online")</f>
      </c>
    </row>
    <row r="7302">
      <c r="A7302" s="12" t="s">
        <v>32402</v>
      </c>
      <c r="B7302" s="12" t="s">
        <v>28326</v>
      </c>
      <c r="C7302" s="19" t="s">
        <v>36</v>
      </c>
      <c r="D7302" s="19" t="s">
        <v>36</v>
      </c>
      <c r="E7302" s="19" t="s">
        <v>36</v>
      </c>
      <c r="F7302" s="19" t="s">
        <v>36</v>
      </c>
      <c r="G7302" s="15" t="s">
        <v>36</v>
      </c>
      <c r="H7302" s="14">
        <v>7.27</v>
      </c>
      <c r="I7302" s="18">
        <v>24.32</v>
      </c>
      <c r="J7302" s="12" t="s">
        <v>521</v>
      </c>
      <c r="K7302" s="13" t="s">
        <v>36</v>
      </c>
      <c r="L7302" s="15" t="s">
        <v>36</v>
      </c>
      <c r="M7302" s="12" t="s">
        <v>36</v>
      </c>
      <c r="N7302" s="12" t="s">
        <v>36</v>
      </c>
      <c r="O7302" s="17" t="s">
        <v>36</v>
      </c>
      <c r="P7302" s="12" t="s">
        <v>36</v>
      </c>
      <c r="Q7302" s="12" t="s">
        <v>36</v>
      </c>
      <c r="R7302" s="12" t="s">
        <v>36</v>
      </c>
      <c r="S7302" s="12" t="s">
        <v>36</v>
      </c>
      <c r="T7302" s="12" t="s">
        <v>881</v>
      </c>
      <c r="U7302" s="12" t="s">
        <v>51</v>
      </c>
      <c r="V7302" s="12" t="s">
        <v>52</v>
      </c>
      <c r="W7302" s="12" t="s">
        <v>28327</v>
      </c>
      <c r="X7302" s="16" t="s">
        <v>7099</v>
      </c>
      <c r="Y7302" s="15" t="s">
        <v>42</v>
      </c>
      <c r="Z7302" s="14">
        <v>0.26</v>
      </c>
      <c r="AA7302" s="14">
        <v>1.05</v>
      </c>
      <c r="AB7302" s="12" t="s">
        <v>56</v>
      </c>
      <c r="AC7302" s="12" t="s">
        <v>28328</v>
      </c>
      <c r="AD7302" s="13">
        <v>42054</v>
      </c>
      <c r="AE7302" s="12" t="s">
        <v>504</v>
      </c>
      <c r="AF7302" s="12" t="s">
        <v>159</v>
      </c>
      <c r="AG7302" s="12" t="s">
        <v>969</v>
      </c>
      <c r="AH7302" s="1">
        <f>HYPERLINK("https://my.pitchbook.com?c=204575-59T","View Company Online")</f>
      </c>
    </row>
    <row r="7303">
      <c r="A7303" s="3" t="s">
        <v>32403</v>
      </c>
      <c r="B7303" s="3" t="s">
        <v>21359</v>
      </c>
      <c r="C7303" s="5" t="s">
        <v>36</v>
      </c>
      <c r="D7303" s="5" t="s">
        <v>36</v>
      </c>
      <c r="E7303" s="5" t="s">
        <v>36</v>
      </c>
      <c r="F7303" s="5" t="s">
        <v>36</v>
      </c>
      <c r="G7303" s="6" t="s">
        <v>326</v>
      </c>
      <c r="H7303" s="4">
        <v>49.85</v>
      </c>
      <c r="I7303" s="7">
        <v>34.92</v>
      </c>
      <c r="J7303" s="3" t="s">
        <v>521</v>
      </c>
      <c r="K7303" s="9">
        <v>41988</v>
      </c>
      <c r="L7303" s="6" t="s">
        <v>36</v>
      </c>
      <c r="M7303" s="3" t="s">
        <v>36</v>
      </c>
      <c r="N7303" s="3" t="s">
        <v>36</v>
      </c>
      <c r="O7303" s="8" t="s">
        <v>36</v>
      </c>
      <c r="P7303" s="3" t="s">
        <v>36</v>
      </c>
      <c r="Q7303" s="3" t="s">
        <v>36</v>
      </c>
      <c r="R7303" s="3" t="s">
        <v>36</v>
      </c>
      <c r="S7303" s="3" t="s">
        <v>36</v>
      </c>
      <c r="T7303" s="3" t="s">
        <v>3887</v>
      </c>
      <c r="U7303" s="3" t="s">
        <v>619</v>
      </c>
      <c r="V7303" s="3" t="s">
        <v>378</v>
      </c>
      <c r="W7303" s="3" t="s">
        <v>21360</v>
      </c>
      <c r="X7303" s="10" t="s">
        <v>32404</v>
      </c>
      <c r="Y7303" s="6" t="s">
        <v>55</v>
      </c>
      <c r="Z7303" s="4">
        <v>4.93</v>
      </c>
      <c r="AA7303" s="4">
        <v>14.11</v>
      </c>
      <c r="AB7303" s="3" t="s">
        <v>43</v>
      </c>
      <c r="AC7303" s="3" t="s">
        <v>21362</v>
      </c>
      <c r="AD7303" s="9">
        <v>42052</v>
      </c>
      <c r="AE7303" s="3" t="s">
        <v>3891</v>
      </c>
      <c r="AF7303" s="3" t="s">
        <v>21363</v>
      </c>
      <c r="AG7303" s="3" t="s">
        <v>21364</v>
      </c>
      <c r="AH7303" s="11">
        <f>HYPERLINK("https://my.pitchbook.com?c=60474-52T","View Company Online")</f>
      </c>
    </row>
    <row r="7304">
      <c r="A7304" s="12" t="s">
        <v>32405</v>
      </c>
      <c r="B7304" s="12" t="s">
        <v>32406</v>
      </c>
      <c r="C7304" s="19">
        <v>6</v>
      </c>
      <c r="D7304" s="19">
        <v>53</v>
      </c>
      <c r="E7304" s="19">
        <v>15</v>
      </c>
      <c r="F7304" s="19">
        <v>66</v>
      </c>
      <c r="G7304" s="15" t="s">
        <v>36</v>
      </c>
      <c r="H7304" s="14">
        <v>300.01</v>
      </c>
      <c r="I7304" s="18">
        <v>5</v>
      </c>
      <c r="J7304" s="12" t="s">
        <v>521</v>
      </c>
      <c r="K7304" s="13">
        <v>42041</v>
      </c>
      <c r="L7304" s="15" t="s">
        <v>36</v>
      </c>
      <c r="M7304" s="12" t="s">
        <v>36</v>
      </c>
      <c r="N7304" s="12" t="s">
        <v>36</v>
      </c>
      <c r="O7304" s="17" t="s">
        <v>36</v>
      </c>
      <c r="P7304" s="12" t="s">
        <v>36</v>
      </c>
      <c r="Q7304" s="12" t="s">
        <v>36</v>
      </c>
      <c r="R7304" s="12" t="s">
        <v>36</v>
      </c>
      <c r="S7304" s="12" t="s">
        <v>36</v>
      </c>
      <c r="T7304" s="12" t="s">
        <v>4406</v>
      </c>
      <c r="U7304" s="12" t="s">
        <v>833</v>
      </c>
      <c r="V7304" s="12" t="s">
        <v>64</v>
      </c>
      <c r="W7304" s="12" t="s">
        <v>32407</v>
      </c>
      <c r="X7304" s="16" t="s">
        <v>32408</v>
      </c>
      <c r="Y7304" s="15" t="s">
        <v>55</v>
      </c>
      <c r="Z7304" s="14">
        <v>0.42</v>
      </c>
      <c r="AA7304" s="14">
        <v>8.39</v>
      </c>
      <c r="AB7304" s="12" t="s">
        <v>56</v>
      </c>
      <c r="AC7304" s="12" t="s">
        <v>32409</v>
      </c>
      <c r="AD7304" s="13">
        <v>42051</v>
      </c>
      <c r="AE7304" s="12" t="s">
        <v>1069</v>
      </c>
      <c r="AF7304" s="12" t="s">
        <v>32410</v>
      </c>
      <c r="AG7304" s="12" t="s">
        <v>1078</v>
      </c>
      <c r="AH7304" s="1">
        <f>HYPERLINK("https://my.pitchbook.com?c=50007-52T","View Company Online")</f>
      </c>
    </row>
    <row r="7305">
      <c r="A7305" s="3" t="s">
        <v>32411</v>
      </c>
      <c r="B7305" s="3" t="s">
        <v>32412</v>
      </c>
      <c r="C7305" s="5" t="s">
        <v>36</v>
      </c>
      <c r="D7305" s="5" t="s">
        <v>36</v>
      </c>
      <c r="E7305" s="5" t="s">
        <v>36</v>
      </c>
      <c r="F7305" s="5" t="s">
        <v>36</v>
      </c>
      <c r="G7305" s="6" t="s">
        <v>326</v>
      </c>
      <c r="H7305" s="4">
        <v>1142.8</v>
      </c>
      <c r="I7305" s="7">
        <v>29.32</v>
      </c>
      <c r="J7305" s="3" t="s">
        <v>521</v>
      </c>
      <c r="K7305" s="9" t="s">
        <v>36</v>
      </c>
      <c r="L7305" s="6" t="s">
        <v>36</v>
      </c>
      <c r="M7305" s="3" t="s">
        <v>36</v>
      </c>
      <c r="N7305" s="3" t="s">
        <v>36</v>
      </c>
      <c r="O7305" s="8" t="s">
        <v>36</v>
      </c>
      <c r="P7305" s="3" t="s">
        <v>36</v>
      </c>
      <c r="Q7305" s="3" t="s">
        <v>36</v>
      </c>
      <c r="R7305" s="3" t="s">
        <v>36</v>
      </c>
      <c r="S7305" s="3" t="s">
        <v>36</v>
      </c>
      <c r="T7305" s="3" t="s">
        <v>3131</v>
      </c>
      <c r="U7305" s="3" t="s">
        <v>289</v>
      </c>
      <c r="V7305" s="3" t="s">
        <v>64</v>
      </c>
      <c r="W7305" s="3" t="s">
        <v>32413</v>
      </c>
      <c r="X7305" s="10" t="s">
        <v>19648</v>
      </c>
      <c r="Y7305" s="6" t="s">
        <v>108</v>
      </c>
      <c r="Z7305" s="4">
        <v>0.84</v>
      </c>
      <c r="AA7305" s="4">
        <v>2.85</v>
      </c>
      <c r="AB7305" s="3" t="s">
        <v>43</v>
      </c>
      <c r="AC7305" s="3" t="s">
        <v>32414</v>
      </c>
      <c r="AD7305" s="9">
        <v>42048</v>
      </c>
      <c r="AE7305" s="3" t="s">
        <v>3134</v>
      </c>
      <c r="AF7305" s="3" t="s">
        <v>2118</v>
      </c>
      <c r="AG7305" s="3" t="s">
        <v>81</v>
      </c>
      <c r="AH7305" s="11">
        <f>HYPERLINK("https://my.pitchbook.com?c=55306-72T","View Company Online")</f>
      </c>
    </row>
    <row r="7306">
      <c r="A7306" s="12" t="s">
        <v>32415</v>
      </c>
      <c r="B7306" s="12" t="s">
        <v>32416</v>
      </c>
      <c r="C7306" s="19" t="s">
        <v>36</v>
      </c>
      <c r="D7306" s="19" t="s">
        <v>36</v>
      </c>
      <c r="E7306" s="19" t="s">
        <v>36</v>
      </c>
      <c r="F7306" s="19" t="s">
        <v>36</v>
      </c>
      <c r="G7306" s="15" t="s">
        <v>36</v>
      </c>
      <c r="H7306" s="14" t="s">
        <v>36</v>
      </c>
      <c r="I7306" s="18" t="s">
        <v>36</v>
      </c>
      <c r="J7306" s="12" t="s">
        <v>36</v>
      </c>
      <c r="K7306" s="13" t="s">
        <v>36</v>
      </c>
      <c r="L7306" s="15" t="s">
        <v>122</v>
      </c>
      <c r="M7306" s="12" t="s">
        <v>36</v>
      </c>
      <c r="N7306" s="12" t="s">
        <v>122</v>
      </c>
      <c r="O7306" s="17" t="s">
        <v>36</v>
      </c>
      <c r="P7306" s="12" t="s">
        <v>36</v>
      </c>
      <c r="Q7306" s="12" t="s">
        <v>36</v>
      </c>
      <c r="R7306" s="12" t="s">
        <v>36</v>
      </c>
      <c r="S7306" s="12" t="s">
        <v>36</v>
      </c>
      <c r="T7306" s="12" t="s">
        <v>32417</v>
      </c>
      <c r="U7306" s="12" t="s">
        <v>38</v>
      </c>
      <c r="V7306" s="12" t="s">
        <v>39</v>
      </c>
      <c r="W7306" s="12" t="s">
        <v>32418</v>
      </c>
      <c r="X7306" s="16" t="s">
        <v>32419</v>
      </c>
      <c r="Y7306" s="15" t="s">
        <v>108</v>
      </c>
      <c r="Z7306" s="14">
        <v>9.1</v>
      </c>
      <c r="AA7306" s="14" t="s">
        <v>36</v>
      </c>
      <c r="AB7306" s="12" t="s">
        <v>43</v>
      </c>
      <c r="AC7306" s="12" t="s">
        <v>32420</v>
      </c>
      <c r="AD7306" s="13">
        <v>42048</v>
      </c>
      <c r="AE7306" s="12" t="s">
        <v>45</v>
      </c>
      <c r="AF7306" s="12" t="s">
        <v>17475</v>
      </c>
      <c r="AG7306" s="12" t="s">
        <v>81</v>
      </c>
      <c r="AH7306" s="1">
        <f>HYPERLINK("https://my.pitchbook.com?c=45844-03T","View Company Online")</f>
      </c>
    </row>
    <row r="7307">
      <c r="A7307" s="3" t="s">
        <v>32421</v>
      </c>
      <c r="B7307" s="3" t="s">
        <v>32422</v>
      </c>
      <c r="C7307" s="5" t="s">
        <v>36</v>
      </c>
      <c r="D7307" s="5" t="s">
        <v>36</v>
      </c>
      <c r="E7307" s="5" t="s">
        <v>36</v>
      </c>
      <c r="F7307" s="5" t="s">
        <v>36</v>
      </c>
      <c r="G7307" s="6" t="s">
        <v>36</v>
      </c>
      <c r="H7307" s="4">
        <v>7.48</v>
      </c>
      <c r="I7307" s="7">
        <v>28.01</v>
      </c>
      <c r="J7307" s="3" t="s">
        <v>521</v>
      </c>
      <c r="K7307" s="9" t="s">
        <v>36</v>
      </c>
      <c r="L7307" s="6" t="s">
        <v>36</v>
      </c>
      <c r="M7307" s="3" t="s">
        <v>36</v>
      </c>
      <c r="N7307" s="3" t="s">
        <v>36</v>
      </c>
      <c r="O7307" s="8" t="s">
        <v>36</v>
      </c>
      <c r="P7307" s="3" t="s">
        <v>36</v>
      </c>
      <c r="Q7307" s="3" t="s">
        <v>36</v>
      </c>
      <c r="R7307" s="3" t="s">
        <v>36</v>
      </c>
      <c r="S7307" s="3" t="s">
        <v>36</v>
      </c>
      <c r="T7307" s="3" t="s">
        <v>32423</v>
      </c>
      <c r="U7307" s="3" t="s">
        <v>51</v>
      </c>
      <c r="V7307" s="3" t="s">
        <v>52</v>
      </c>
      <c r="W7307" s="3" t="s">
        <v>32424</v>
      </c>
      <c r="X7307" s="10" t="s">
        <v>1840</v>
      </c>
      <c r="Y7307" s="6" t="s">
        <v>108</v>
      </c>
      <c r="Z7307" s="4">
        <v>3.42</v>
      </c>
      <c r="AA7307" s="4">
        <v>9.23</v>
      </c>
      <c r="AB7307" s="3" t="s">
        <v>43</v>
      </c>
      <c r="AC7307" s="3" t="s">
        <v>32425</v>
      </c>
      <c r="AD7307" s="9">
        <v>42047</v>
      </c>
      <c r="AE7307" s="3" t="s">
        <v>504</v>
      </c>
      <c r="AF7307" s="3" t="s">
        <v>159</v>
      </c>
      <c r="AG7307" s="3" t="s">
        <v>81</v>
      </c>
      <c r="AH7307" s="11">
        <f>HYPERLINK("https://my.pitchbook.com?c=157785-22T","View Company Online")</f>
      </c>
    </row>
    <row r="7308">
      <c r="A7308" s="12" t="s">
        <v>32426</v>
      </c>
      <c r="B7308" s="12" t="s">
        <v>27969</v>
      </c>
      <c r="C7308" s="19">
        <v>3</v>
      </c>
      <c r="D7308" s="19">
        <v>87</v>
      </c>
      <c r="E7308" s="19">
        <v>40</v>
      </c>
      <c r="F7308" s="19">
        <v>123</v>
      </c>
      <c r="G7308" s="15" t="s">
        <v>326</v>
      </c>
      <c r="H7308" s="14">
        <v>31.56</v>
      </c>
      <c r="I7308" s="18" t="s">
        <v>36</v>
      </c>
      <c r="J7308" s="12" t="s">
        <v>521</v>
      </c>
      <c r="K7308" s="13" t="s">
        <v>36</v>
      </c>
      <c r="L7308" s="15" t="s">
        <v>3736</v>
      </c>
      <c r="M7308" s="12" t="s">
        <v>36</v>
      </c>
      <c r="N7308" s="12" t="s">
        <v>3736</v>
      </c>
      <c r="O7308" s="17" t="s">
        <v>36</v>
      </c>
      <c r="P7308" s="12" t="s">
        <v>36</v>
      </c>
      <c r="Q7308" s="12" t="s">
        <v>36</v>
      </c>
      <c r="R7308" s="12" t="s">
        <v>36</v>
      </c>
      <c r="S7308" s="12" t="s">
        <v>20994</v>
      </c>
      <c r="T7308" s="12" t="s">
        <v>27970</v>
      </c>
      <c r="U7308" s="12" t="s">
        <v>1580</v>
      </c>
      <c r="V7308" s="12" t="s">
        <v>39</v>
      </c>
      <c r="W7308" s="12" t="s">
        <v>27971</v>
      </c>
      <c r="X7308" s="16" t="s">
        <v>32427</v>
      </c>
      <c r="Y7308" s="15" t="s">
        <v>192</v>
      </c>
      <c r="Z7308" s="14">
        <v>131.09</v>
      </c>
      <c r="AA7308" s="14">
        <v>202.91</v>
      </c>
      <c r="AB7308" s="12" t="s">
        <v>56</v>
      </c>
      <c r="AC7308" s="12" t="s">
        <v>27973</v>
      </c>
      <c r="AD7308" s="13">
        <v>42046</v>
      </c>
      <c r="AE7308" s="12" t="s">
        <v>3854</v>
      </c>
      <c r="AF7308" s="12" t="s">
        <v>24285</v>
      </c>
      <c r="AG7308" s="12" t="s">
        <v>539</v>
      </c>
      <c r="AH7308" s="1">
        <f>HYPERLINK("https://my.pitchbook.com?c=45696-07T","View Company Online")</f>
      </c>
    </row>
    <row r="7309">
      <c r="A7309" s="3" t="s">
        <v>32428</v>
      </c>
      <c r="B7309" s="3" t="s">
        <v>28414</v>
      </c>
      <c r="C7309" s="5" t="s">
        <v>36</v>
      </c>
      <c r="D7309" s="5" t="s">
        <v>36</v>
      </c>
      <c r="E7309" s="5" t="s">
        <v>36</v>
      </c>
      <c r="F7309" s="5" t="s">
        <v>36</v>
      </c>
      <c r="G7309" s="6" t="s">
        <v>36</v>
      </c>
      <c r="H7309" s="4" t="s">
        <v>36</v>
      </c>
      <c r="I7309" s="7" t="s">
        <v>36</v>
      </c>
      <c r="J7309" s="3" t="s">
        <v>36</v>
      </c>
      <c r="K7309" s="9" t="s">
        <v>36</v>
      </c>
      <c r="L7309" s="6" t="s">
        <v>36</v>
      </c>
      <c r="M7309" s="3" t="s">
        <v>36</v>
      </c>
      <c r="N7309" s="3" t="s">
        <v>36</v>
      </c>
      <c r="O7309" s="8" t="s">
        <v>36</v>
      </c>
      <c r="P7309" s="3" t="s">
        <v>36</v>
      </c>
      <c r="Q7309" s="3" t="s">
        <v>36</v>
      </c>
      <c r="R7309" s="3" t="s">
        <v>36</v>
      </c>
      <c r="S7309" s="3" t="s">
        <v>36</v>
      </c>
      <c r="T7309" s="3" t="s">
        <v>28415</v>
      </c>
      <c r="U7309" s="3" t="s">
        <v>38</v>
      </c>
      <c r="V7309" s="3" t="s">
        <v>39</v>
      </c>
      <c r="W7309" s="3" t="s">
        <v>28416</v>
      </c>
      <c r="X7309" s="10" t="s">
        <v>32429</v>
      </c>
      <c r="Y7309" s="6" t="s">
        <v>108</v>
      </c>
      <c r="Z7309" s="4">
        <v>0.86</v>
      </c>
      <c r="AA7309" s="4" t="s">
        <v>36</v>
      </c>
      <c r="AB7309" s="3" t="s">
        <v>43</v>
      </c>
      <c r="AC7309" s="3" t="s">
        <v>28418</v>
      </c>
      <c r="AD7309" s="9">
        <v>42045</v>
      </c>
      <c r="AE7309" s="3" t="s">
        <v>110</v>
      </c>
      <c r="AF7309" s="3" t="s">
        <v>8789</v>
      </c>
      <c r="AG7309" s="3" t="s">
        <v>741</v>
      </c>
      <c r="AH7309" s="11">
        <f>HYPERLINK("https://my.pitchbook.com?c=77580-64T","View Company Online")</f>
      </c>
    </row>
    <row r="7310">
      <c r="A7310" s="12" t="s">
        <v>32430</v>
      </c>
      <c r="B7310" s="12" t="s">
        <v>32431</v>
      </c>
      <c r="C7310" s="19" t="s">
        <v>36</v>
      </c>
      <c r="D7310" s="19" t="s">
        <v>36</v>
      </c>
      <c r="E7310" s="19" t="s">
        <v>36</v>
      </c>
      <c r="F7310" s="19" t="s">
        <v>36</v>
      </c>
      <c r="G7310" s="15" t="s">
        <v>326</v>
      </c>
      <c r="H7310" s="14" t="s">
        <v>36</v>
      </c>
      <c r="I7310" s="18">
        <v>28.59</v>
      </c>
      <c r="J7310" s="12" t="s">
        <v>327</v>
      </c>
      <c r="K7310" s="13" t="s">
        <v>36</v>
      </c>
      <c r="L7310" s="15" t="s">
        <v>36</v>
      </c>
      <c r="M7310" s="12" t="s">
        <v>36</v>
      </c>
      <c r="N7310" s="12" t="s">
        <v>36</v>
      </c>
      <c r="O7310" s="17" t="s">
        <v>36</v>
      </c>
      <c r="P7310" s="12" t="s">
        <v>36</v>
      </c>
      <c r="Q7310" s="12" t="s">
        <v>36</v>
      </c>
      <c r="R7310" s="12" t="s">
        <v>36</v>
      </c>
      <c r="S7310" s="12" t="s">
        <v>36</v>
      </c>
      <c r="T7310" s="12" t="s">
        <v>32432</v>
      </c>
      <c r="U7310" s="12" t="s">
        <v>279</v>
      </c>
      <c r="V7310" s="12" t="s">
        <v>64</v>
      </c>
      <c r="W7310" s="12" t="s">
        <v>32433</v>
      </c>
      <c r="X7310" s="16" t="s">
        <v>32434</v>
      </c>
      <c r="Y7310" s="15" t="s">
        <v>42</v>
      </c>
      <c r="Z7310" s="14">
        <v>2.3</v>
      </c>
      <c r="AA7310" s="14">
        <v>8.03</v>
      </c>
      <c r="AB7310" s="12" t="s">
        <v>56</v>
      </c>
      <c r="AC7310" s="12" t="s">
        <v>32435</v>
      </c>
      <c r="AD7310" s="13">
        <v>42041</v>
      </c>
      <c r="AE7310" s="12" t="s">
        <v>283</v>
      </c>
      <c r="AF7310" s="12" t="s">
        <v>12769</v>
      </c>
      <c r="AG7310" s="12" t="s">
        <v>1078</v>
      </c>
      <c r="AH7310" s="1">
        <f>HYPERLINK("https://my.pitchbook.com?c=53545-78T","View Company Online")</f>
      </c>
    </row>
    <row r="7311">
      <c r="A7311" s="3" t="s">
        <v>32436</v>
      </c>
      <c r="B7311" s="3" t="s">
        <v>32437</v>
      </c>
      <c r="C7311" s="5" t="s">
        <v>36</v>
      </c>
      <c r="D7311" s="5" t="s">
        <v>36</v>
      </c>
      <c r="E7311" s="5">
        <v>1</v>
      </c>
      <c r="F7311" s="5">
        <v>2</v>
      </c>
      <c r="G7311" s="6" t="s">
        <v>36</v>
      </c>
      <c r="H7311" s="4" t="s">
        <v>36</v>
      </c>
      <c r="I7311" s="7" t="s">
        <v>36</v>
      </c>
      <c r="J7311" s="3" t="s">
        <v>36</v>
      </c>
      <c r="K7311" s="9" t="s">
        <v>36</v>
      </c>
      <c r="L7311" s="6" t="s">
        <v>36</v>
      </c>
      <c r="M7311" s="3" t="s">
        <v>36</v>
      </c>
      <c r="N7311" s="3" t="s">
        <v>36</v>
      </c>
      <c r="O7311" s="8" t="s">
        <v>36</v>
      </c>
      <c r="P7311" s="3" t="s">
        <v>36</v>
      </c>
      <c r="Q7311" s="3" t="s">
        <v>36</v>
      </c>
      <c r="R7311" s="3" t="s">
        <v>36</v>
      </c>
      <c r="S7311" s="3" t="s">
        <v>36</v>
      </c>
      <c r="T7311" s="3" t="s">
        <v>1628</v>
      </c>
      <c r="U7311" s="3" t="s">
        <v>96</v>
      </c>
      <c r="V7311" s="3" t="s">
        <v>52</v>
      </c>
      <c r="W7311" s="3" t="s">
        <v>32438</v>
      </c>
      <c r="X7311" s="10" t="s">
        <v>32439</v>
      </c>
      <c r="Y7311" s="6" t="s">
        <v>55</v>
      </c>
      <c r="Z7311" s="4">
        <v>1.5</v>
      </c>
      <c r="AA7311" s="4" t="s">
        <v>36</v>
      </c>
      <c r="AB7311" s="3" t="s">
        <v>56</v>
      </c>
      <c r="AC7311" s="3" t="s">
        <v>32440</v>
      </c>
      <c r="AD7311" s="9">
        <v>42039</v>
      </c>
      <c r="AE7311" s="3" t="s">
        <v>755</v>
      </c>
      <c r="AF7311" s="3" t="s">
        <v>571</v>
      </c>
      <c r="AG7311" s="3" t="s">
        <v>3115</v>
      </c>
      <c r="AH7311" s="11">
        <f>HYPERLINK("https://my.pitchbook.com?c=45206-92T","View Company Online")</f>
      </c>
    </row>
    <row r="7312">
      <c r="A7312" s="12" t="s">
        <v>32441</v>
      </c>
      <c r="B7312" s="12" t="s">
        <v>18989</v>
      </c>
      <c r="C7312" s="19" t="s">
        <v>36</v>
      </c>
      <c r="D7312" s="19" t="s">
        <v>36</v>
      </c>
      <c r="E7312" s="19" t="s">
        <v>36</v>
      </c>
      <c r="F7312" s="19" t="s">
        <v>36</v>
      </c>
      <c r="G7312" s="15" t="s">
        <v>36</v>
      </c>
      <c r="H7312" s="14">
        <v>155.76</v>
      </c>
      <c r="I7312" s="18">
        <v>21.65</v>
      </c>
      <c r="J7312" s="12" t="s">
        <v>521</v>
      </c>
      <c r="K7312" s="13" t="s">
        <v>36</v>
      </c>
      <c r="L7312" s="15" t="s">
        <v>36</v>
      </c>
      <c r="M7312" s="12" t="s">
        <v>36</v>
      </c>
      <c r="N7312" s="12" t="s">
        <v>36</v>
      </c>
      <c r="O7312" s="17" t="s">
        <v>36</v>
      </c>
      <c r="P7312" s="12" t="s">
        <v>36</v>
      </c>
      <c r="Q7312" s="12" t="s">
        <v>36</v>
      </c>
      <c r="R7312" s="12" t="s">
        <v>36</v>
      </c>
      <c r="S7312" s="12" t="s">
        <v>36</v>
      </c>
      <c r="T7312" s="12" t="s">
        <v>1725</v>
      </c>
      <c r="U7312" s="12" t="s">
        <v>318</v>
      </c>
      <c r="V7312" s="12" t="s">
        <v>39</v>
      </c>
      <c r="W7312" s="12" t="s">
        <v>18990</v>
      </c>
      <c r="X7312" s="16" t="s">
        <v>32442</v>
      </c>
      <c r="Y7312" s="15" t="s">
        <v>108</v>
      </c>
      <c r="Z7312" s="14">
        <v>0.51</v>
      </c>
      <c r="AA7312" s="14">
        <v>2.35</v>
      </c>
      <c r="AB7312" s="12" t="s">
        <v>56</v>
      </c>
      <c r="AC7312" s="12" t="s">
        <v>18992</v>
      </c>
      <c r="AD7312" s="13">
        <v>42039</v>
      </c>
      <c r="AE7312" s="12" t="s">
        <v>763</v>
      </c>
      <c r="AF7312" s="12" t="s">
        <v>571</v>
      </c>
      <c r="AG7312" s="12" t="s">
        <v>18993</v>
      </c>
      <c r="AH7312" s="1">
        <f>HYPERLINK("https://my.pitchbook.com?c=86626-90T","View Company Online")</f>
      </c>
    </row>
    <row r="7313">
      <c r="A7313" s="3" t="s">
        <v>32443</v>
      </c>
      <c r="B7313" s="3" t="s">
        <v>32444</v>
      </c>
      <c r="C7313" s="5" t="s">
        <v>36</v>
      </c>
      <c r="D7313" s="5" t="s">
        <v>36</v>
      </c>
      <c r="E7313" s="5" t="s">
        <v>36</v>
      </c>
      <c r="F7313" s="5" t="s">
        <v>36</v>
      </c>
      <c r="G7313" s="6" t="s">
        <v>36</v>
      </c>
      <c r="H7313" s="4" t="s">
        <v>36</v>
      </c>
      <c r="I7313" s="7" t="s">
        <v>36</v>
      </c>
      <c r="J7313" s="3" t="s">
        <v>36</v>
      </c>
      <c r="K7313" s="9" t="s">
        <v>36</v>
      </c>
      <c r="L7313" s="6" t="s">
        <v>36</v>
      </c>
      <c r="M7313" s="3" t="s">
        <v>36</v>
      </c>
      <c r="N7313" s="3" t="s">
        <v>36</v>
      </c>
      <c r="O7313" s="8" t="s">
        <v>36</v>
      </c>
      <c r="P7313" s="3" t="s">
        <v>36</v>
      </c>
      <c r="Q7313" s="3" t="s">
        <v>36</v>
      </c>
      <c r="R7313" s="3" t="s">
        <v>36</v>
      </c>
      <c r="S7313" s="3" t="s">
        <v>36</v>
      </c>
      <c r="T7313" s="3" t="s">
        <v>18352</v>
      </c>
      <c r="U7313" s="3" t="s">
        <v>289</v>
      </c>
      <c r="V7313" s="3" t="s">
        <v>64</v>
      </c>
      <c r="W7313" s="3" t="s">
        <v>32445</v>
      </c>
      <c r="X7313" s="10" t="s">
        <v>32446</v>
      </c>
      <c r="Y7313" s="6" t="s">
        <v>42</v>
      </c>
      <c r="Z7313" s="4">
        <v>5.77</v>
      </c>
      <c r="AA7313" s="4" t="s">
        <v>36</v>
      </c>
      <c r="AB7313" s="3" t="s">
        <v>56</v>
      </c>
      <c r="AC7313" s="3" t="s">
        <v>32447</v>
      </c>
      <c r="AD7313" s="9">
        <v>42038</v>
      </c>
      <c r="AE7313" s="3" t="s">
        <v>3134</v>
      </c>
      <c r="AF7313" s="3" t="s">
        <v>2118</v>
      </c>
      <c r="AG7313" s="3" t="s">
        <v>32448</v>
      </c>
      <c r="AH7313" s="11">
        <f>HYPERLINK("https://my.pitchbook.com?c=45305-83T","View Company Online")</f>
      </c>
    </row>
    <row r="7314">
      <c r="A7314" s="12" t="s">
        <v>32449</v>
      </c>
      <c r="B7314" s="12" t="s">
        <v>23588</v>
      </c>
      <c r="C7314" s="19">
        <v>1</v>
      </c>
      <c r="D7314" s="19">
        <v>2</v>
      </c>
      <c r="E7314" s="19">
        <v>2</v>
      </c>
      <c r="F7314" s="19">
        <v>4</v>
      </c>
      <c r="G7314" s="15" t="s">
        <v>36</v>
      </c>
      <c r="H7314" s="14" t="s">
        <v>36</v>
      </c>
      <c r="I7314" s="18">
        <v>44.28</v>
      </c>
      <c r="J7314" s="12" t="s">
        <v>327</v>
      </c>
      <c r="K7314" s="13" t="s">
        <v>36</v>
      </c>
      <c r="L7314" s="15" t="s">
        <v>36</v>
      </c>
      <c r="M7314" s="12" t="s">
        <v>36</v>
      </c>
      <c r="N7314" s="12" t="s">
        <v>36</v>
      </c>
      <c r="O7314" s="17" t="s">
        <v>36</v>
      </c>
      <c r="P7314" s="12" t="s">
        <v>36</v>
      </c>
      <c r="Q7314" s="12" t="s">
        <v>36</v>
      </c>
      <c r="R7314" s="12" t="s">
        <v>36</v>
      </c>
      <c r="S7314" s="12" t="s">
        <v>36</v>
      </c>
      <c r="T7314" s="12" t="s">
        <v>1701</v>
      </c>
      <c r="U7314" s="12" t="s">
        <v>74</v>
      </c>
      <c r="V7314" s="12" t="s">
        <v>75</v>
      </c>
      <c r="W7314" s="12" t="s">
        <v>23589</v>
      </c>
      <c r="X7314" s="16" t="s">
        <v>32450</v>
      </c>
      <c r="Y7314" s="15" t="s">
        <v>42</v>
      </c>
      <c r="Z7314" s="14">
        <v>1.85</v>
      </c>
      <c r="AA7314" s="14">
        <v>4.17</v>
      </c>
      <c r="AB7314" s="12" t="s">
        <v>56</v>
      </c>
      <c r="AC7314" s="12" t="s">
        <v>23591</v>
      </c>
      <c r="AD7314" s="13">
        <v>42038</v>
      </c>
      <c r="AE7314" s="12" t="s">
        <v>79</v>
      </c>
      <c r="AF7314" s="12" t="s">
        <v>23592</v>
      </c>
      <c r="AG7314" s="12" t="s">
        <v>81</v>
      </c>
      <c r="AH7314" s="1">
        <f>HYPERLINK("https://my.pitchbook.com?c=49347-73T","View Company Online")</f>
      </c>
    </row>
    <row r="7315">
      <c r="A7315" s="3" t="s">
        <v>32451</v>
      </c>
      <c r="B7315" s="3" t="s">
        <v>32452</v>
      </c>
      <c r="C7315" s="5" t="s">
        <v>36</v>
      </c>
      <c r="D7315" s="5">
        <v>9</v>
      </c>
      <c r="E7315" s="5">
        <v>2</v>
      </c>
      <c r="F7315" s="5">
        <v>11</v>
      </c>
      <c r="G7315" s="6" t="s">
        <v>36</v>
      </c>
      <c r="H7315" s="4" t="s">
        <v>36</v>
      </c>
      <c r="I7315" s="7">
        <v>16.88</v>
      </c>
      <c r="J7315" s="3" t="s">
        <v>521</v>
      </c>
      <c r="K7315" s="9" t="s">
        <v>36</v>
      </c>
      <c r="L7315" s="6" t="s">
        <v>36</v>
      </c>
      <c r="M7315" s="3" t="s">
        <v>36</v>
      </c>
      <c r="N7315" s="3" t="s">
        <v>36</v>
      </c>
      <c r="O7315" s="8" t="s">
        <v>36</v>
      </c>
      <c r="P7315" s="3" t="s">
        <v>36</v>
      </c>
      <c r="Q7315" s="3" t="s">
        <v>36</v>
      </c>
      <c r="R7315" s="3" t="s">
        <v>36</v>
      </c>
      <c r="S7315" s="3" t="s">
        <v>36</v>
      </c>
      <c r="T7315" s="3" t="s">
        <v>32453</v>
      </c>
      <c r="U7315" s="3" t="s">
        <v>1580</v>
      </c>
      <c r="V7315" s="3" t="s">
        <v>39</v>
      </c>
      <c r="W7315" s="3" t="s">
        <v>32454</v>
      </c>
      <c r="X7315" s="10" t="s">
        <v>32455</v>
      </c>
      <c r="Y7315" s="6" t="s">
        <v>42</v>
      </c>
      <c r="Z7315" s="4">
        <v>0.92</v>
      </c>
      <c r="AA7315" s="4">
        <v>5.47</v>
      </c>
      <c r="AB7315" s="3" t="s">
        <v>56</v>
      </c>
      <c r="AC7315" s="3" t="s">
        <v>32456</v>
      </c>
      <c r="AD7315" s="9">
        <v>42038</v>
      </c>
      <c r="AE7315" s="3" t="s">
        <v>4086</v>
      </c>
      <c r="AF7315" s="3" t="s">
        <v>4552</v>
      </c>
      <c r="AG7315" s="3" t="s">
        <v>1803</v>
      </c>
      <c r="AH7315" s="11">
        <f>HYPERLINK("https://my.pitchbook.com?c=45173-71T","View Company Online")</f>
      </c>
    </row>
    <row r="7316">
      <c r="A7316" s="12" t="s">
        <v>32457</v>
      </c>
      <c r="B7316" s="12" t="s">
        <v>24203</v>
      </c>
      <c r="C7316" s="19" t="s">
        <v>36</v>
      </c>
      <c r="D7316" s="19" t="s">
        <v>36</v>
      </c>
      <c r="E7316" s="19" t="s">
        <v>36</v>
      </c>
      <c r="F7316" s="19" t="s">
        <v>36</v>
      </c>
      <c r="G7316" s="15" t="s">
        <v>36</v>
      </c>
      <c r="H7316" s="14">
        <v>32.46</v>
      </c>
      <c r="I7316" s="18">
        <v>8.76</v>
      </c>
      <c r="J7316" s="12" t="s">
        <v>521</v>
      </c>
      <c r="K7316" s="13" t="s">
        <v>36</v>
      </c>
      <c r="L7316" s="15" t="s">
        <v>36</v>
      </c>
      <c r="M7316" s="12" t="s">
        <v>36</v>
      </c>
      <c r="N7316" s="12" t="s">
        <v>36</v>
      </c>
      <c r="O7316" s="17" t="s">
        <v>36</v>
      </c>
      <c r="P7316" s="12" t="s">
        <v>36</v>
      </c>
      <c r="Q7316" s="12" t="s">
        <v>36</v>
      </c>
      <c r="R7316" s="12" t="s">
        <v>36</v>
      </c>
      <c r="S7316" s="12" t="s">
        <v>36</v>
      </c>
      <c r="T7316" s="12" t="s">
        <v>24204</v>
      </c>
      <c r="U7316" s="12" t="s">
        <v>74</v>
      </c>
      <c r="V7316" s="12" t="s">
        <v>75</v>
      </c>
      <c r="W7316" s="12" t="s">
        <v>24205</v>
      </c>
      <c r="X7316" s="16" t="s">
        <v>32458</v>
      </c>
      <c r="Y7316" s="15" t="s">
        <v>42</v>
      </c>
      <c r="Z7316" s="14">
        <v>0.02</v>
      </c>
      <c r="AA7316" s="14">
        <v>0.2</v>
      </c>
      <c r="AB7316" s="12" t="s">
        <v>43</v>
      </c>
      <c r="AC7316" s="12" t="s">
        <v>24207</v>
      </c>
      <c r="AD7316" s="13">
        <v>42037</v>
      </c>
      <c r="AE7316" s="12" t="s">
        <v>79</v>
      </c>
      <c r="AF7316" s="12" t="s">
        <v>215</v>
      </c>
      <c r="AG7316" s="12" t="s">
        <v>81</v>
      </c>
      <c r="AH7316" s="1">
        <f>HYPERLINK("https://my.pitchbook.com?c=140403-16T","View Company Online")</f>
      </c>
    </row>
    <row r="7317">
      <c r="A7317" s="3" t="s">
        <v>32459</v>
      </c>
      <c r="B7317" s="3" t="s">
        <v>32460</v>
      </c>
      <c r="C7317" s="5" t="s">
        <v>36</v>
      </c>
      <c r="D7317" s="5" t="s">
        <v>36</v>
      </c>
      <c r="E7317" s="5">
        <v>2</v>
      </c>
      <c r="F7317" s="5">
        <v>3</v>
      </c>
      <c r="G7317" s="6" t="s">
        <v>36</v>
      </c>
      <c r="H7317" s="4">
        <v>26.18</v>
      </c>
      <c r="I7317" s="7">
        <v>28.4</v>
      </c>
      <c r="J7317" s="3" t="s">
        <v>521</v>
      </c>
      <c r="K7317" s="9">
        <v>41997</v>
      </c>
      <c r="L7317" s="6" t="s">
        <v>36</v>
      </c>
      <c r="M7317" s="3" t="s">
        <v>36</v>
      </c>
      <c r="N7317" s="3" t="s">
        <v>36</v>
      </c>
      <c r="O7317" s="8" t="s">
        <v>36</v>
      </c>
      <c r="P7317" s="3" t="s">
        <v>36</v>
      </c>
      <c r="Q7317" s="3" t="s">
        <v>36</v>
      </c>
      <c r="R7317" s="3" t="s">
        <v>36</v>
      </c>
      <c r="S7317" s="3" t="s">
        <v>36</v>
      </c>
      <c r="T7317" s="3" t="s">
        <v>3790</v>
      </c>
      <c r="U7317" s="3" t="s">
        <v>318</v>
      </c>
      <c r="V7317" s="3" t="s">
        <v>39</v>
      </c>
      <c r="W7317" s="3" t="s">
        <v>32461</v>
      </c>
      <c r="X7317" s="10" t="s">
        <v>32462</v>
      </c>
      <c r="Y7317" s="6" t="s">
        <v>42</v>
      </c>
      <c r="Z7317" s="4">
        <v>1.16</v>
      </c>
      <c r="AA7317" s="4">
        <v>4.07</v>
      </c>
      <c r="AB7317" s="3" t="s">
        <v>43</v>
      </c>
      <c r="AC7317" s="3" t="s">
        <v>32463</v>
      </c>
      <c r="AD7317" s="9">
        <v>42037</v>
      </c>
      <c r="AE7317" s="3" t="s">
        <v>763</v>
      </c>
      <c r="AF7317" s="3" t="s">
        <v>32464</v>
      </c>
      <c r="AG7317" s="3" t="s">
        <v>1341</v>
      </c>
      <c r="AH7317" s="11">
        <f>HYPERLINK("https://my.pitchbook.com?c=48975-49T","View Company Online")</f>
      </c>
    </row>
    <row r="7318">
      <c r="A7318" s="12" t="s">
        <v>32465</v>
      </c>
      <c r="B7318" s="12" t="s">
        <v>32466</v>
      </c>
      <c r="C7318" s="19" t="s">
        <v>36</v>
      </c>
      <c r="D7318" s="19" t="s">
        <v>36</v>
      </c>
      <c r="E7318" s="19" t="s">
        <v>36</v>
      </c>
      <c r="F7318" s="19" t="s">
        <v>36</v>
      </c>
      <c r="G7318" s="15" t="s">
        <v>36</v>
      </c>
      <c r="H7318" s="14" t="s">
        <v>36</v>
      </c>
      <c r="I7318" s="18" t="s">
        <v>36</v>
      </c>
      <c r="J7318" s="12" t="s">
        <v>36</v>
      </c>
      <c r="K7318" s="13" t="s">
        <v>36</v>
      </c>
      <c r="L7318" s="15" t="s">
        <v>36</v>
      </c>
      <c r="M7318" s="12" t="s">
        <v>36</v>
      </c>
      <c r="N7318" s="12" t="s">
        <v>36</v>
      </c>
      <c r="O7318" s="17" t="s">
        <v>36</v>
      </c>
      <c r="P7318" s="12" t="s">
        <v>36</v>
      </c>
      <c r="Q7318" s="12" t="s">
        <v>36</v>
      </c>
      <c r="R7318" s="12" t="s">
        <v>36</v>
      </c>
      <c r="S7318" s="12" t="s">
        <v>36</v>
      </c>
      <c r="T7318" s="12" t="s">
        <v>19945</v>
      </c>
      <c r="U7318" s="12" t="s">
        <v>63</v>
      </c>
      <c r="V7318" s="12" t="s">
        <v>64</v>
      </c>
      <c r="W7318" s="12" t="s">
        <v>32467</v>
      </c>
      <c r="X7318" s="16" t="s">
        <v>22004</v>
      </c>
      <c r="Y7318" s="15" t="s">
        <v>42</v>
      </c>
      <c r="Z7318" s="14">
        <v>1.04</v>
      </c>
      <c r="AA7318" s="14" t="s">
        <v>36</v>
      </c>
      <c r="AB7318" s="12" t="s">
        <v>56</v>
      </c>
      <c r="AC7318" s="12" t="s">
        <v>32468</v>
      </c>
      <c r="AD7318" s="13">
        <v>42036</v>
      </c>
      <c r="AE7318" s="12" t="s">
        <v>642</v>
      </c>
      <c r="AF7318" s="12" t="s">
        <v>36</v>
      </c>
      <c r="AG7318" s="12" t="s">
        <v>81</v>
      </c>
      <c r="AH7318" s="1">
        <f>HYPERLINK("https://my.pitchbook.com?c=28648-36T","View Company Online")</f>
      </c>
    </row>
    <row r="7319">
      <c r="A7319" s="3" t="s">
        <v>32469</v>
      </c>
      <c r="B7319" s="3" t="s">
        <v>22596</v>
      </c>
      <c r="C7319" s="5" t="s">
        <v>36</v>
      </c>
      <c r="D7319" s="5" t="s">
        <v>36</v>
      </c>
      <c r="E7319" s="5" t="s">
        <v>36</v>
      </c>
      <c r="F7319" s="5" t="s">
        <v>36</v>
      </c>
      <c r="G7319" s="6" t="s">
        <v>326</v>
      </c>
      <c r="H7319" s="4">
        <v>12.99</v>
      </c>
      <c r="I7319" s="7">
        <v>30.72</v>
      </c>
      <c r="J7319" s="3" t="s">
        <v>327</v>
      </c>
      <c r="K7319" s="9" t="s">
        <v>36</v>
      </c>
      <c r="L7319" s="6" t="s">
        <v>36</v>
      </c>
      <c r="M7319" s="3" t="s">
        <v>36</v>
      </c>
      <c r="N7319" s="3" t="s">
        <v>36</v>
      </c>
      <c r="O7319" s="8" t="s">
        <v>36</v>
      </c>
      <c r="P7319" s="3" t="s">
        <v>36</v>
      </c>
      <c r="Q7319" s="3" t="s">
        <v>36</v>
      </c>
      <c r="R7319" s="3" t="s">
        <v>36</v>
      </c>
      <c r="S7319" s="3" t="s">
        <v>36</v>
      </c>
      <c r="T7319" s="3" t="s">
        <v>22597</v>
      </c>
      <c r="U7319" s="3" t="s">
        <v>289</v>
      </c>
      <c r="V7319" s="3" t="s">
        <v>64</v>
      </c>
      <c r="W7319" s="3" t="s">
        <v>22598</v>
      </c>
      <c r="X7319" s="10" t="s">
        <v>32470</v>
      </c>
      <c r="Y7319" s="6" t="s">
        <v>108</v>
      </c>
      <c r="Z7319" s="4">
        <v>2.32</v>
      </c>
      <c r="AA7319" s="4">
        <v>7.56</v>
      </c>
      <c r="AB7319" s="3" t="s">
        <v>43</v>
      </c>
      <c r="AC7319" s="3" t="s">
        <v>22600</v>
      </c>
      <c r="AD7319" s="9">
        <v>42034</v>
      </c>
      <c r="AE7319" s="3" t="s">
        <v>3134</v>
      </c>
      <c r="AF7319" s="3" t="s">
        <v>22601</v>
      </c>
      <c r="AG7319" s="3" t="s">
        <v>81</v>
      </c>
      <c r="AH7319" s="11">
        <f>HYPERLINK("https://my.pitchbook.com?c=45694-81T","View Company Online")</f>
      </c>
    </row>
    <row r="7320">
      <c r="A7320" s="12" t="s">
        <v>32471</v>
      </c>
      <c r="B7320" s="12" t="s">
        <v>32472</v>
      </c>
      <c r="C7320" s="19" t="s">
        <v>36</v>
      </c>
      <c r="D7320" s="19" t="s">
        <v>36</v>
      </c>
      <c r="E7320" s="19" t="s">
        <v>36</v>
      </c>
      <c r="F7320" s="19" t="s">
        <v>36</v>
      </c>
      <c r="G7320" s="15" t="s">
        <v>36</v>
      </c>
      <c r="H7320" s="14" t="s">
        <v>36</v>
      </c>
      <c r="I7320" s="18" t="s">
        <v>36</v>
      </c>
      <c r="J7320" s="12" t="s">
        <v>36</v>
      </c>
      <c r="K7320" s="13">
        <v>41791</v>
      </c>
      <c r="L7320" s="15" t="s">
        <v>36</v>
      </c>
      <c r="M7320" s="12" t="s">
        <v>36</v>
      </c>
      <c r="N7320" s="12" t="s">
        <v>36</v>
      </c>
      <c r="O7320" s="17" t="s">
        <v>36</v>
      </c>
      <c r="P7320" s="12" t="s">
        <v>36</v>
      </c>
      <c r="Q7320" s="12" t="s">
        <v>36</v>
      </c>
      <c r="R7320" s="12" t="s">
        <v>36</v>
      </c>
      <c r="S7320" s="12" t="s">
        <v>36</v>
      </c>
      <c r="T7320" s="12" t="s">
        <v>4394</v>
      </c>
      <c r="U7320" s="12" t="s">
        <v>423</v>
      </c>
      <c r="V7320" s="12" t="s">
        <v>64</v>
      </c>
      <c r="W7320" s="12" t="s">
        <v>32473</v>
      </c>
      <c r="X7320" s="16" t="s">
        <v>32474</v>
      </c>
      <c r="Y7320" s="15" t="s">
        <v>42</v>
      </c>
      <c r="Z7320" s="14">
        <v>5.82</v>
      </c>
      <c r="AA7320" s="14" t="s">
        <v>36</v>
      </c>
      <c r="AB7320" s="12" t="s">
        <v>43</v>
      </c>
      <c r="AC7320" s="12" t="s">
        <v>32475</v>
      </c>
      <c r="AD7320" s="13">
        <v>42033</v>
      </c>
      <c r="AE7320" s="12" t="s">
        <v>1051</v>
      </c>
      <c r="AF7320" s="12" t="s">
        <v>32476</v>
      </c>
      <c r="AG7320" s="12" t="s">
        <v>81</v>
      </c>
      <c r="AH7320" s="1">
        <f>HYPERLINK("https://my.pitchbook.com?c=72433-09T","View Company Online")</f>
      </c>
    </row>
    <row r="7321">
      <c r="A7321" s="3" t="s">
        <v>32477</v>
      </c>
      <c r="B7321" s="3" t="s">
        <v>32478</v>
      </c>
      <c r="C7321" s="5" t="s">
        <v>36</v>
      </c>
      <c r="D7321" s="5" t="s">
        <v>36</v>
      </c>
      <c r="E7321" s="5" t="s">
        <v>36</v>
      </c>
      <c r="F7321" s="5" t="s">
        <v>36</v>
      </c>
      <c r="G7321" s="6" t="s">
        <v>326</v>
      </c>
      <c r="H7321" s="4">
        <v>9.72</v>
      </c>
      <c r="I7321" s="7">
        <v>36.17</v>
      </c>
      <c r="J7321" s="3" t="s">
        <v>521</v>
      </c>
      <c r="K7321" s="9" t="s">
        <v>36</v>
      </c>
      <c r="L7321" s="6" t="s">
        <v>36</v>
      </c>
      <c r="M7321" s="3" t="s">
        <v>36</v>
      </c>
      <c r="N7321" s="3" t="s">
        <v>36</v>
      </c>
      <c r="O7321" s="8" t="s">
        <v>36</v>
      </c>
      <c r="P7321" s="3" t="s">
        <v>36</v>
      </c>
      <c r="Q7321" s="3" t="s">
        <v>36</v>
      </c>
      <c r="R7321" s="3" t="s">
        <v>36</v>
      </c>
      <c r="S7321" s="3" t="s">
        <v>36</v>
      </c>
      <c r="T7321" s="3" t="s">
        <v>6694</v>
      </c>
      <c r="U7321" s="3" t="s">
        <v>728</v>
      </c>
      <c r="V7321" s="3" t="s">
        <v>64</v>
      </c>
      <c r="W7321" s="3" t="s">
        <v>32479</v>
      </c>
      <c r="X7321" s="10" t="s">
        <v>32480</v>
      </c>
      <c r="Y7321" s="6" t="s">
        <v>42</v>
      </c>
      <c r="Z7321" s="4">
        <v>5.15</v>
      </c>
      <c r="AA7321" s="4">
        <v>12.8</v>
      </c>
      <c r="AB7321" s="3" t="s">
        <v>56</v>
      </c>
      <c r="AC7321" s="3" t="s">
        <v>32481</v>
      </c>
      <c r="AD7321" s="9">
        <v>42033</v>
      </c>
      <c r="AE7321" s="3" t="s">
        <v>2154</v>
      </c>
      <c r="AF7321" s="3" t="s">
        <v>733</v>
      </c>
      <c r="AG7321" s="3" t="s">
        <v>81</v>
      </c>
      <c r="AH7321" s="11">
        <f>HYPERLINK("https://my.pitchbook.com?c=30529-54T","View Company Online")</f>
      </c>
    </row>
    <row r="7322">
      <c r="A7322" s="12" t="s">
        <v>32482</v>
      </c>
      <c r="B7322" s="12" t="s">
        <v>32483</v>
      </c>
      <c r="C7322" s="19">
        <v>8</v>
      </c>
      <c r="D7322" s="19">
        <v>2</v>
      </c>
      <c r="E7322" s="19">
        <v>5</v>
      </c>
      <c r="F7322" s="19">
        <v>10</v>
      </c>
      <c r="G7322" s="15" t="s">
        <v>2497</v>
      </c>
      <c r="H7322" s="14">
        <v>19.73</v>
      </c>
      <c r="I7322" s="18">
        <v>62.6</v>
      </c>
      <c r="J7322" s="12" t="s">
        <v>521</v>
      </c>
      <c r="K7322" s="13">
        <v>41991</v>
      </c>
      <c r="L7322" s="15" t="s">
        <v>36</v>
      </c>
      <c r="M7322" s="12" t="s">
        <v>36</v>
      </c>
      <c r="N7322" s="12" t="s">
        <v>36</v>
      </c>
      <c r="O7322" s="17" t="s">
        <v>36</v>
      </c>
      <c r="P7322" s="12" t="s">
        <v>36</v>
      </c>
      <c r="Q7322" s="12" t="s">
        <v>36</v>
      </c>
      <c r="R7322" s="12" t="s">
        <v>36</v>
      </c>
      <c r="S7322" s="12" t="s">
        <v>36</v>
      </c>
      <c r="T7322" s="12" t="s">
        <v>1965</v>
      </c>
      <c r="U7322" s="12" t="s">
        <v>219</v>
      </c>
      <c r="V7322" s="12" t="s">
        <v>75</v>
      </c>
      <c r="W7322" s="12" t="s">
        <v>32484</v>
      </c>
      <c r="X7322" s="16" t="s">
        <v>32485</v>
      </c>
      <c r="Y7322" s="15" t="s">
        <v>108</v>
      </c>
      <c r="Z7322" s="14">
        <v>6.25</v>
      </c>
      <c r="AA7322" s="14">
        <v>9.98</v>
      </c>
      <c r="AB7322" s="12" t="s">
        <v>56</v>
      </c>
      <c r="AC7322" s="12" t="s">
        <v>32486</v>
      </c>
      <c r="AD7322" s="13">
        <v>42033</v>
      </c>
      <c r="AE7322" s="12" t="s">
        <v>1912</v>
      </c>
      <c r="AF7322" s="12" t="s">
        <v>36</v>
      </c>
      <c r="AG7322" s="12" t="s">
        <v>32487</v>
      </c>
      <c r="AH7322" s="1">
        <f>HYPERLINK("https://my.pitchbook.com?c=45066-25T","View Company Online")</f>
      </c>
    </row>
    <row r="7323">
      <c r="A7323" s="3" t="s">
        <v>32488</v>
      </c>
      <c r="B7323" s="3" t="s">
        <v>32489</v>
      </c>
      <c r="C7323" s="5" t="s">
        <v>36</v>
      </c>
      <c r="D7323" s="5" t="s">
        <v>36</v>
      </c>
      <c r="E7323" s="5" t="s">
        <v>36</v>
      </c>
      <c r="F7323" s="5" t="s">
        <v>36</v>
      </c>
      <c r="G7323" s="6" t="s">
        <v>36</v>
      </c>
      <c r="H7323" s="4" t="s">
        <v>36</v>
      </c>
      <c r="I7323" s="7" t="s">
        <v>36</v>
      </c>
      <c r="J7323" s="3" t="s">
        <v>36</v>
      </c>
      <c r="K7323" s="9" t="s">
        <v>36</v>
      </c>
      <c r="L7323" s="6" t="s">
        <v>122</v>
      </c>
      <c r="M7323" s="3" t="s">
        <v>36</v>
      </c>
      <c r="N7323" s="3" t="s">
        <v>122</v>
      </c>
      <c r="O7323" s="8" t="s">
        <v>36</v>
      </c>
      <c r="P7323" s="3" t="s">
        <v>36</v>
      </c>
      <c r="Q7323" s="3" t="s">
        <v>36</v>
      </c>
      <c r="R7323" s="3" t="s">
        <v>36</v>
      </c>
      <c r="S7323" s="3" t="s">
        <v>36</v>
      </c>
      <c r="T7323" s="3" t="s">
        <v>1344</v>
      </c>
      <c r="U7323" s="3" t="s">
        <v>38</v>
      </c>
      <c r="V7323" s="3" t="s">
        <v>39</v>
      </c>
      <c r="W7323" s="3" t="s">
        <v>32490</v>
      </c>
      <c r="X7323" s="10" t="s">
        <v>29057</v>
      </c>
      <c r="Y7323" s="6" t="s">
        <v>42</v>
      </c>
      <c r="Z7323" s="4">
        <v>1.75</v>
      </c>
      <c r="AA7323" s="4" t="s">
        <v>36</v>
      </c>
      <c r="AB7323" s="3" t="s">
        <v>56</v>
      </c>
      <c r="AC7323" s="3" t="s">
        <v>32491</v>
      </c>
      <c r="AD7323" s="9">
        <v>42032</v>
      </c>
      <c r="AE7323" s="3" t="s">
        <v>110</v>
      </c>
      <c r="AF7323" s="3" t="s">
        <v>1636</v>
      </c>
      <c r="AG7323" s="3" t="s">
        <v>17691</v>
      </c>
      <c r="AH7323" s="11">
        <f>HYPERLINK("https://my.pitchbook.com?c=54755-47T","View Company Online")</f>
      </c>
    </row>
    <row r="7324">
      <c r="A7324" s="12" t="s">
        <v>32492</v>
      </c>
      <c r="B7324" s="12" t="s">
        <v>32493</v>
      </c>
      <c r="C7324" s="19" t="s">
        <v>36</v>
      </c>
      <c r="D7324" s="19" t="s">
        <v>36</v>
      </c>
      <c r="E7324" s="19" t="s">
        <v>36</v>
      </c>
      <c r="F7324" s="19" t="s">
        <v>36</v>
      </c>
      <c r="G7324" s="15" t="s">
        <v>326</v>
      </c>
      <c r="H7324" s="14">
        <v>122.01</v>
      </c>
      <c r="I7324" s="18">
        <v>8.33</v>
      </c>
      <c r="J7324" s="12" t="s">
        <v>521</v>
      </c>
      <c r="K7324" s="13" t="s">
        <v>36</v>
      </c>
      <c r="L7324" s="15" t="s">
        <v>36</v>
      </c>
      <c r="M7324" s="12" t="s">
        <v>36</v>
      </c>
      <c r="N7324" s="12" t="s">
        <v>36</v>
      </c>
      <c r="O7324" s="17" t="s">
        <v>36</v>
      </c>
      <c r="P7324" s="12" t="s">
        <v>36</v>
      </c>
      <c r="Q7324" s="12" t="s">
        <v>36</v>
      </c>
      <c r="R7324" s="12" t="s">
        <v>36</v>
      </c>
      <c r="S7324" s="12" t="s">
        <v>36</v>
      </c>
      <c r="T7324" s="12" t="s">
        <v>12800</v>
      </c>
      <c r="U7324" s="12" t="s">
        <v>833</v>
      </c>
      <c r="V7324" s="12" t="s">
        <v>64</v>
      </c>
      <c r="W7324" s="12" t="s">
        <v>32494</v>
      </c>
      <c r="X7324" s="16" t="s">
        <v>11579</v>
      </c>
      <c r="Y7324" s="15" t="s">
        <v>55</v>
      </c>
      <c r="Z7324" s="14">
        <v>0.23</v>
      </c>
      <c r="AA7324" s="14">
        <v>2.81</v>
      </c>
      <c r="AB7324" s="12" t="s">
        <v>56</v>
      </c>
      <c r="AC7324" s="12" t="s">
        <v>32495</v>
      </c>
      <c r="AD7324" s="13">
        <v>42031</v>
      </c>
      <c r="AE7324" s="12" t="s">
        <v>1687</v>
      </c>
      <c r="AF7324" s="12" t="s">
        <v>90</v>
      </c>
      <c r="AG7324" s="12" t="s">
        <v>81</v>
      </c>
      <c r="AH7324" s="1">
        <f>HYPERLINK("https://my.pitchbook.com?c=188070-94T","View Company Online")</f>
      </c>
    </row>
    <row r="7325">
      <c r="A7325" s="3" t="s">
        <v>32496</v>
      </c>
      <c r="B7325" s="3" t="s">
        <v>32497</v>
      </c>
      <c r="C7325" s="5" t="s">
        <v>36</v>
      </c>
      <c r="D7325" s="5" t="s">
        <v>36</v>
      </c>
      <c r="E7325" s="5" t="s">
        <v>36</v>
      </c>
      <c r="F7325" s="5" t="s">
        <v>36</v>
      </c>
      <c r="G7325" s="6" t="s">
        <v>36</v>
      </c>
      <c r="H7325" s="4" t="s">
        <v>36</v>
      </c>
      <c r="I7325" s="7" t="s">
        <v>36</v>
      </c>
      <c r="J7325" s="3" t="s">
        <v>36</v>
      </c>
      <c r="K7325" s="9" t="s">
        <v>36</v>
      </c>
      <c r="L7325" s="6" t="s">
        <v>36</v>
      </c>
      <c r="M7325" s="3" t="s">
        <v>36</v>
      </c>
      <c r="N7325" s="3" t="s">
        <v>36</v>
      </c>
      <c r="O7325" s="8" t="s">
        <v>36</v>
      </c>
      <c r="P7325" s="3" t="s">
        <v>36</v>
      </c>
      <c r="Q7325" s="3" t="s">
        <v>36</v>
      </c>
      <c r="R7325" s="3" t="s">
        <v>36</v>
      </c>
      <c r="S7325" s="3" t="s">
        <v>36</v>
      </c>
      <c r="T7325" s="3" t="s">
        <v>2044</v>
      </c>
      <c r="U7325" s="3" t="s">
        <v>74</v>
      </c>
      <c r="V7325" s="3" t="s">
        <v>75</v>
      </c>
      <c r="W7325" s="3" t="s">
        <v>32498</v>
      </c>
      <c r="X7325" s="10" t="s">
        <v>32499</v>
      </c>
      <c r="Y7325" s="6" t="s">
        <v>108</v>
      </c>
      <c r="Z7325" s="4">
        <v>1.52</v>
      </c>
      <c r="AA7325" s="4" t="s">
        <v>36</v>
      </c>
      <c r="AB7325" s="3" t="s">
        <v>43</v>
      </c>
      <c r="AC7325" s="3" t="s">
        <v>32500</v>
      </c>
      <c r="AD7325" s="9">
        <v>42031</v>
      </c>
      <c r="AE7325" s="3" t="s">
        <v>79</v>
      </c>
      <c r="AF7325" s="3" t="s">
        <v>1077</v>
      </c>
      <c r="AG7325" s="3" t="s">
        <v>32501</v>
      </c>
      <c r="AH7325" s="11">
        <f>HYPERLINK("https://my.pitchbook.com?c=45029-80T","View Company Online")</f>
      </c>
    </row>
    <row r="7326">
      <c r="A7326" s="12" t="s">
        <v>32502</v>
      </c>
      <c r="B7326" s="12" t="s">
        <v>18554</v>
      </c>
      <c r="C7326" s="19" t="s">
        <v>36</v>
      </c>
      <c r="D7326" s="19" t="s">
        <v>36</v>
      </c>
      <c r="E7326" s="19" t="s">
        <v>36</v>
      </c>
      <c r="F7326" s="19" t="s">
        <v>36</v>
      </c>
      <c r="G7326" s="15" t="s">
        <v>36</v>
      </c>
      <c r="H7326" s="14">
        <v>326.11</v>
      </c>
      <c r="I7326" s="18">
        <v>28.99</v>
      </c>
      <c r="J7326" s="12" t="s">
        <v>521</v>
      </c>
      <c r="K7326" s="13" t="s">
        <v>36</v>
      </c>
      <c r="L7326" s="15" t="s">
        <v>36</v>
      </c>
      <c r="M7326" s="12" t="s">
        <v>36</v>
      </c>
      <c r="N7326" s="12" t="s">
        <v>36</v>
      </c>
      <c r="O7326" s="17" t="s">
        <v>36</v>
      </c>
      <c r="P7326" s="12" t="s">
        <v>36</v>
      </c>
      <c r="Q7326" s="12" t="s">
        <v>36</v>
      </c>
      <c r="R7326" s="12" t="s">
        <v>36</v>
      </c>
      <c r="S7326" s="12" t="s">
        <v>36</v>
      </c>
      <c r="T7326" s="12" t="s">
        <v>2359</v>
      </c>
      <c r="U7326" s="12" t="s">
        <v>279</v>
      </c>
      <c r="V7326" s="12" t="s">
        <v>64</v>
      </c>
      <c r="W7326" s="12" t="s">
        <v>18555</v>
      </c>
      <c r="X7326" s="16" t="s">
        <v>32503</v>
      </c>
      <c r="Y7326" s="15" t="s">
        <v>42</v>
      </c>
      <c r="Z7326" s="14">
        <v>0.42</v>
      </c>
      <c r="AA7326" s="14">
        <v>1.46</v>
      </c>
      <c r="AB7326" s="12" t="s">
        <v>43</v>
      </c>
      <c r="AC7326" s="12" t="s">
        <v>18557</v>
      </c>
      <c r="AD7326" s="13">
        <v>42026</v>
      </c>
      <c r="AE7326" s="12" t="s">
        <v>283</v>
      </c>
      <c r="AF7326" s="12" t="s">
        <v>331</v>
      </c>
      <c r="AG7326" s="12" t="s">
        <v>18558</v>
      </c>
      <c r="AH7326" s="1">
        <f>HYPERLINK("https://my.pitchbook.com?c=126451-36T","View Company Online")</f>
      </c>
    </row>
    <row r="7327">
      <c r="A7327" s="3" t="s">
        <v>32504</v>
      </c>
      <c r="B7327" s="3" t="s">
        <v>27827</v>
      </c>
      <c r="C7327" s="5" t="s">
        <v>36</v>
      </c>
      <c r="D7327" s="5">
        <v>42</v>
      </c>
      <c r="E7327" s="5">
        <v>5</v>
      </c>
      <c r="F7327" s="5">
        <v>48</v>
      </c>
      <c r="G7327" s="6" t="s">
        <v>36</v>
      </c>
      <c r="H7327" s="4" t="s">
        <v>36</v>
      </c>
      <c r="I7327" s="7" t="s">
        <v>36</v>
      </c>
      <c r="J7327" s="3" t="s">
        <v>36</v>
      </c>
      <c r="K7327" s="9" t="s">
        <v>36</v>
      </c>
      <c r="L7327" s="6" t="s">
        <v>36</v>
      </c>
      <c r="M7327" s="3" t="s">
        <v>36</v>
      </c>
      <c r="N7327" s="3" t="s">
        <v>36</v>
      </c>
      <c r="O7327" s="8" t="s">
        <v>36</v>
      </c>
      <c r="P7327" s="3" t="s">
        <v>36</v>
      </c>
      <c r="Q7327" s="3" t="s">
        <v>36</v>
      </c>
      <c r="R7327" s="3" t="s">
        <v>36</v>
      </c>
      <c r="S7327" s="3" t="s">
        <v>36</v>
      </c>
      <c r="T7327" s="3" t="s">
        <v>27828</v>
      </c>
      <c r="U7327" s="3" t="s">
        <v>387</v>
      </c>
      <c r="V7327" s="3" t="s">
        <v>367</v>
      </c>
      <c r="W7327" s="3" t="s">
        <v>27829</v>
      </c>
      <c r="X7327" s="10" t="s">
        <v>32505</v>
      </c>
      <c r="Y7327" s="6" t="s">
        <v>55</v>
      </c>
      <c r="Z7327" s="4">
        <v>5.95</v>
      </c>
      <c r="AA7327" s="4" t="s">
        <v>36</v>
      </c>
      <c r="AB7327" s="3" t="s">
        <v>43</v>
      </c>
      <c r="AC7327" s="3" t="s">
        <v>27831</v>
      </c>
      <c r="AD7327" s="9">
        <v>42025</v>
      </c>
      <c r="AE7327" s="3" t="s">
        <v>391</v>
      </c>
      <c r="AF7327" s="3" t="s">
        <v>7368</v>
      </c>
      <c r="AG7327" s="3" t="s">
        <v>8850</v>
      </c>
      <c r="AH7327" s="11">
        <f>HYPERLINK("https://my.pitchbook.com?c=44997-22T","View Company Online")</f>
      </c>
    </row>
    <row r="7328">
      <c r="A7328" s="12" t="s">
        <v>32506</v>
      </c>
      <c r="B7328" s="12" t="s">
        <v>9401</v>
      </c>
      <c r="C7328" s="19" t="s">
        <v>36</v>
      </c>
      <c r="D7328" s="19" t="s">
        <v>36</v>
      </c>
      <c r="E7328" s="19" t="s">
        <v>36</v>
      </c>
      <c r="F7328" s="19" t="s">
        <v>36</v>
      </c>
      <c r="G7328" s="15" t="s">
        <v>36</v>
      </c>
      <c r="H7328" s="14">
        <v>123.24</v>
      </c>
      <c r="I7328" s="18">
        <v>12</v>
      </c>
      <c r="J7328" s="12" t="s">
        <v>521</v>
      </c>
      <c r="K7328" s="13">
        <v>41989</v>
      </c>
      <c r="L7328" s="15" t="s">
        <v>36</v>
      </c>
      <c r="M7328" s="12" t="s">
        <v>36</v>
      </c>
      <c r="N7328" s="12" t="s">
        <v>36</v>
      </c>
      <c r="O7328" s="17" t="s">
        <v>36</v>
      </c>
      <c r="P7328" s="12" t="s">
        <v>36</v>
      </c>
      <c r="Q7328" s="12" t="s">
        <v>36</v>
      </c>
      <c r="R7328" s="12" t="s">
        <v>36</v>
      </c>
      <c r="S7328" s="12" t="s">
        <v>36</v>
      </c>
      <c r="T7328" s="12" t="s">
        <v>9402</v>
      </c>
      <c r="U7328" s="12" t="s">
        <v>233</v>
      </c>
      <c r="V7328" s="12" t="s">
        <v>39</v>
      </c>
      <c r="W7328" s="12" t="s">
        <v>9403</v>
      </c>
      <c r="X7328" s="16" t="s">
        <v>32507</v>
      </c>
      <c r="Y7328" s="15" t="s">
        <v>42</v>
      </c>
      <c r="Z7328" s="14">
        <v>2.97</v>
      </c>
      <c r="AA7328" s="14">
        <v>24.78</v>
      </c>
      <c r="AB7328" s="12" t="s">
        <v>56</v>
      </c>
      <c r="AC7328" s="12" t="s">
        <v>9405</v>
      </c>
      <c r="AD7328" s="13">
        <v>42025</v>
      </c>
      <c r="AE7328" s="12" t="s">
        <v>236</v>
      </c>
      <c r="AF7328" s="12" t="s">
        <v>36</v>
      </c>
      <c r="AG7328" s="12" t="s">
        <v>81</v>
      </c>
      <c r="AH7328" s="1">
        <f>HYPERLINK("https://my.pitchbook.com?c=44702-47T","View Company Online")</f>
      </c>
    </row>
    <row r="7329">
      <c r="A7329" s="3" t="s">
        <v>32508</v>
      </c>
      <c r="B7329" s="3" t="s">
        <v>21670</v>
      </c>
      <c r="C7329" s="5" t="s">
        <v>36</v>
      </c>
      <c r="D7329" s="5" t="s">
        <v>36</v>
      </c>
      <c r="E7329" s="5" t="s">
        <v>36</v>
      </c>
      <c r="F7329" s="5" t="s">
        <v>36</v>
      </c>
      <c r="G7329" s="6" t="s">
        <v>36</v>
      </c>
      <c r="H7329" s="4">
        <v>155.78</v>
      </c>
      <c r="I7329" s="7">
        <v>29.41</v>
      </c>
      <c r="J7329" s="3" t="s">
        <v>521</v>
      </c>
      <c r="K7329" s="9" t="s">
        <v>36</v>
      </c>
      <c r="L7329" s="6" t="s">
        <v>122</v>
      </c>
      <c r="M7329" s="3" t="s">
        <v>36</v>
      </c>
      <c r="N7329" s="3" t="s">
        <v>122</v>
      </c>
      <c r="O7329" s="8" t="s">
        <v>36</v>
      </c>
      <c r="P7329" s="3" t="s">
        <v>36</v>
      </c>
      <c r="Q7329" s="3" t="s">
        <v>36</v>
      </c>
      <c r="R7329" s="3" t="s">
        <v>36</v>
      </c>
      <c r="S7329" s="3" t="s">
        <v>36</v>
      </c>
      <c r="T7329" s="3" t="s">
        <v>21671</v>
      </c>
      <c r="U7329" s="3" t="s">
        <v>279</v>
      </c>
      <c r="V7329" s="3" t="s">
        <v>64</v>
      </c>
      <c r="W7329" s="3" t="s">
        <v>21672</v>
      </c>
      <c r="X7329" s="10" t="s">
        <v>32509</v>
      </c>
      <c r="Y7329" s="6" t="s">
        <v>42</v>
      </c>
      <c r="Z7329" s="4">
        <v>3.57</v>
      </c>
      <c r="AA7329" s="4">
        <v>10.11</v>
      </c>
      <c r="AB7329" s="3" t="s">
        <v>56</v>
      </c>
      <c r="AC7329" s="3" t="s">
        <v>21674</v>
      </c>
      <c r="AD7329" s="9">
        <v>42025</v>
      </c>
      <c r="AE7329" s="3" t="s">
        <v>283</v>
      </c>
      <c r="AF7329" s="3" t="s">
        <v>468</v>
      </c>
      <c r="AG7329" s="3" t="s">
        <v>81</v>
      </c>
      <c r="AH7329" s="11">
        <f>HYPERLINK("https://my.pitchbook.com?c=44810-74T","View Company Online")</f>
      </c>
    </row>
    <row r="7330">
      <c r="A7330" s="12" t="s">
        <v>32510</v>
      </c>
      <c r="B7330" s="12" t="s">
        <v>23429</v>
      </c>
      <c r="C7330" s="19" t="s">
        <v>36</v>
      </c>
      <c r="D7330" s="19">
        <v>2</v>
      </c>
      <c r="E7330" s="19">
        <v>1</v>
      </c>
      <c r="F7330" s="19">
        <v>3</v>
      </c>
      <c r="G7330" s="15" t="s">
        <v>36</v>
      </c>
      <c r="H7330" s="14" t="s">
        <v>36</v>
      </c>
      <c r="I7330" s="18" t="s">
        <v>36</v>
      </c>
      <c r="J7330" s="12" t="s">
        <v>36</v>
      </c>
      <c r="K7330" s="13" t="s">
        <v>36</v>
      </c>
      <c r="L7330" s="15" t="s">
        <v>36</v>
      </c>
      <c r="M7330" s="12" t="s">
        <v>36</v>
      </c>
      <c r="N7330" s="12" t="s">
        <v>36</v>
      </c>
      <c r="O7330" s="17" t="s">
        <v>36</v>
      </c>
      <c r="P7330" s="12" t="s">
        <v>36</v>
      </c>
      <c r="Q7330" s="12" t="s">
        <v>36</v>
      </c>
      <c r="R7330" s="12" t="s">
        <v>36</v>
      </c>
      <c r="S7330" s="12" t="s">
        <v>36</v>
      </c>
      <c r="T7330" s="12" t="s">
        <v>8394</v>
      </c>
      <c r="U7330" s="12" t="s">
        <v>85</v>
      </c>
      <c r="V7330" s="12" t="s">
        <v>64</v>
      </c>
      <c r="W7330" s="12" t="s">
        <v>23430</v>
      </c>
      <c r="X7330" s="16" t="s">
        <v>32511</v>
      </c>
      <c r="Y7330" s="15" t="s">
        <v>108</v>
      </c>
      <c r="Z7330" s="14">
        <v>1.9</v>
      </c>
      <c r="AA7330" s="14" t="s">
        <v>36</v>
      </c>
      <c r="AB7330" s="12" t="s">
        <v>43</v>
      </c>
      <c r="AC7330" s="12" t="s">
        <v>23432</v>
      </c>
      <c r="AD7330" s="13">
        <v>42025</v>
      </c>
      <c r="AE7330" s="12" t="s">
        <v>89</v>
      </c>
      <c r="AF7330" s="12" t="s">
        <v>12865</v>
      </c>
      <c r="AG7330" s="12" t="s">
        <v>81</v>
      </c>
      <c r="AH7330" s="1">
        <f>HYPERLINK("https://my.pitchbook.com?c=58402-00T","View Company Online")</f>
      </c>
    </row>
    <row r="7331">
      <c r="A7331" s="3" t="s">
        <v>32512</v>
      </c>
      <c r="B7331" s="3" t="s">
        <v>32513</v>
      </c>
      <c r="C7331" s="5" t="s">
        <v>36</v>
      </c>
      <c r="D7331" s="5">
        <v>1</v>
      </c>
      <c r="E7331" s="5">
        <v>1</v>
      </c>
      <c r="F7331" s="5">
        <v>1</v>
      </c>
      <c r="G7331" s="6" t="s">
        <v>36</v>
      </c>
      <c r="H7331" s="4" t="s">
        <v>36</v>
      </c>
      <c r="I7331" s="7" t="s">
        <v>36</v>
      </c>
      <c r="J7331" s="3" t="s">
        <v>36</v>
      </c>
      <c r="K7331" s="9">
        <v>40123</v>
      </c>
      <c r="L7331" s="6" t="s">
        <v>36</v>
      </c>
      <c r="M7331" s="3" t="s">
        <v>36</v>
      </c>
      <c r="N7331" s="3" t="s">
        <v>36</v>
      </c>
      <c r="O7331" s="8" t="s">
        <v>36</v>
      </c>
      <c r="P7331" s="3" t="s">
        <v>36</v>
      </c>
      <c r="Q7331" s="3" t="s">
        <v>36</v>
      </c>
      <c r="R7331" s="3" t="s">
        <v>36</v>
      </c>
      <c r="S7331" s="3" t="s">
        <v>36</v>
      </c>
      <c r="T7331" s="3" t="s">
        <v>529</v>
      </c>
      <c r="U7331" s="3" t="s">
        <v>38</v>
      </c>
      <c r="V7331" s="3" t="s">
        <v>39</v>
      </c>
      <c r="W7331" s="3" t="s">
        <v>32514</v>
      </c>
      <c r="X7331" s="10" t="s">
        <v>16865</v>
      </c>
      <c r="Y7331" s="6" t="s">
        <v>55</v>
      </c>
      <c r="Z7331" s="4">
        <v>0.77</v>
      </c>
      <c r="AA7331" s="4" t="s">
        <v>36</v>
      </c>
      <c r="AB7331" s="3" t="s">
        <v>56</v>
      </c>
      <c r="AC7331" s="3" t="s">
        <v>32515</v>
      </c>
      <c r="AD7331" s="9">
        <v>42024</v>
      </c>
      <c r="AE7331" s="3" t="s">
        <v>134</v>
      </c>
      <c r="AF7331" s="3" t="s">
        <v>7730</v>
      </c>
      <c r="AG7331" s="3" t="s">
        <v>666</v>
      </c>
      <c r="AH7331" s="11">
        <f>HYPERLINK("https://my.pitchbook.com?c=29886-13T","View Company Online")</f>
      </c>
    </row>
    <row r="7332">
      <c r="A7332" s="12" t="s">
        <v>32516</v>
      </c>
      <c r="B7332" s="12" t="s">
        <v>32517</v>
      </c>
      <c r="C7332" s="19">
        <v>1</v>
      </c>
      <c r="D7332" s="19">
        <v>13</v>
      </c>
      <c r="E7332" s="19">
        <v>7</v>
      </c>
      <c r="F7332" s="19">
        <v>18</v>
      </c>
      <c r="G7332" s="15" t="s">
        <v>36</v>
      </c>
      <c r="H7332" s="14" t="s">
        <v>36</v>
      </c>
      <c r="I7332" s="18">
        <v>20</v>
      </c>
      <c r="J7332" s="12" t="s">
        <v>521</v>
      </c>
      <c r="K7332" s="13" t="s">
        <v>36</v>
      </c>
      <c r="L7332" s="15" t="s">
        <v>36</v>
      </c>
      <c r="M7332" s="12" t="s">
        <v>36</v>
      </c>
      <c r="N7332" s="12" t="s">
        <v>36</v>
      </c>
      <c r="O7332" s="17" t="s">
        <v>36</v>
      </c>
      <c r="P7332" s="12" t="s">
        <v>36</v>
      </c>
      <c r="Q7332" s="12" t="s">
        <v>36</v>
      </c>
      <c r="R7332" s="12" t="s">
        <v>36</v>
      </c>
      <c r="S7332" s="12" t="s">
        <v>36</v>
      </c>
      <c r="T7332" s="12" t="s">
        <v>32518</v>
      </c>
      <c r="U7332" s="12" t="s">
        <v>219</v>
      </c>
      <c r="V7332" s="12" t="s">
        <v>75</v>
      </c>
      <c r="W7332" s="12" t="s">
        <v>32519</v>
      </c>
      <c r="X7332" s="16" t="s">
        <v>32520</v>
      </c>
      <c r="Y7332" s="15" t="s">
        <v>108</v>
      </c>
      <c r="Z7332" s="14">
        <v>2.05</v>
      </c>
      <c r="AA7332" s="14">
        <v>10.24</v>
      </c>
      <c r="AB7332" s="12" t="s">
        <v>56</v>
      </c>
      <c r="AC7332" s="12" t="s">
        <v>32521</v>
      </c>
      <c r="AD7332" s="13">
        <v>42024</v>
      </c>
      <c r="AE7332" s="12" t="s">
        <v>1032</v>
      </c>
      <c r="AF7332" s="12" t="s">
        <v>4668</v>
      </c>
      <c r="AG7332" s="12" t="s">
        <v>144</v>
      </c>
      <c r="AH7332" s="1">
        <f>HYPERLINK("https://my.pitchbook.com?c=58327-93T","View Company Online")</f>
      </c>
    </row>
    <row r="7333">
      <c r="A7333" s="3" t="s">
        <v>32522</v>
      </c>
      <c r="B7333" s="3" t="s">
        <v>32523</v>
      </c>
      <c r="C7333" s="5">
        <v>10</v>
      </c>
      <c r="D7333" s="5">
        <v>22</v>
      </c>
      <c r="E7333" s="5">
        <v>10</v>
      </c>
      <c r="F7333" s="5">
        <v>40</v>
      </c>
      <c r="G7333" s="6" t="s">
        <v>683</v>
      </c>
      <c r="H7333" s="4">
        <v>24.93</v>
      </c>
      <c r="I7333" s="7">
        <v>64</v>
      </c>
      <c r="J7333" s="3" t="s">
        <v>521</v>
      </c>
      <c r="K7333" s="9" t="s">
        <v>36</v>
      </c>
      <c r="L7333" s="6" t="s">
        <v>36</v>
      </c>
      <c r="M7333" s="3" t="s">
        <v>36</v>
      </c>
      <c r="N7333" s="3" t="s">
        <v>36</v>
      </c>
      <c r="O7333" s="8" t="s">
        <v>36</v>
      </c>
      <c r="P7333" s="3" t="s">
        <v>36</v>
      </c>
      <c r="Q7333" s="3" t="s">
        <v>36</v>
      </c>
      <c r="R7333" s="3" t="s">
        <v>36</v>
      </c>
      <c r="S7333" s="3" t="s">
        <v>36</v>
      </c>
      <c r="T7333" s="3" t="s">
        <v>9893</v>
      </c>
      <c r="U7333" s="3" t="s">
        <v>51</v>
      </c>
      <c r="V7333" s="3" t="s">
        <v>52</v>
      </c>
      <c r="W7333" s="3" t="s">
        <v>32524</v>
      </c>
      <c r="X7333" s="10" t="s">
        <v>32525</v>
      </c>
      <c r="Y7333" s="6" t="s">
        <v>55</v>
      </c>
      <c r="Z7333" s="4">
        <v>5.97</v>
      </c>
      <c r="AA7333" s="4">
        <v>9.33</v>
      </c>
      <c r="AB7333" s="3" t="s">
        <v>56</v>
      </c>
      <c r="AC7333" s="3" t="s">
        <v>32526</v>
      </c>
      <c r="AD7333" s="9">
        <v>42024</v>
      </c>
      <c r="AE7333" s="3" t="s">
        <v>158</v>
      </c>
      <c r="AF7333" s="3" t="s">
        <v>36</v>
      </c>
      <c r="AG7333" s="3" t="s">
        <v>652</v>
      </c>
      <c r="AH7333" s="11">
        <f>HYPERLINK("https://my.pitchbook.com?c=44689-42T","View Company Online")</f>
      </c>
    </row>
    <row r="7334">
      <c r="A7334" s="12" t="s">
        <v>32527</v>
      </c>
      <c r="B7334" s="12" t="s">
        <v>32528</v>
      </c>
      <c r="C7334" s="19" t="s">
        <v>36</v>
      </c>
      <c r="D7334" s="19" t="s">
        <v>36</v>
      </c>
      <c r="E7334" s="19" t="s">
        <v>36</v>
      </c>
      <c r="F7334" s="19" t="s">
        <v>36</v>
      </c>
      <c r="G7334" s="15" t="s">
        <v>36</v>
      </c>
      <c r="H7334" s="14" t="s">
        <v>36</v>
      </c>
      <c r="I7334" s="18" t="s">
        <v>36</v>
      </c>
      <c r="J7334" s="12" t="s">
        <v>36</v>
      </c>
      <c r="K7334" s="13" t="s">
        <v>36</v>
      </c>
      <c r="L7334" s="15" t="s">
        <v>36</v>
      </c>
      <c r="M7334" s="12" t="s">
        <v>36</v>
      </c>
      <c r="N7334" s="12" t="s">
        <v>36</v>
      </c>
      <c r="O7334" s="17" t="s">
        <v>36</v>
      </c>
      <c r="P7334" s="12" t="s">
        <v>36</v>
      </c>
      <c r="Q7334" s="12" t="s">
        <v>36</v>
      </c>
      <c r="R7334" s="12" t="s">
        <v>36</v>
      </c>
      <c r="S7334" s="12" t="s">
        <v>36</v>
      </c>
      <c r="T7334" s="12" t="s">
        <v>8394</v>
      </c>
      <c r="U7334" s="12" t="s">
        <v>85</v>
      </c>
      <c r="V7334" s="12" t="s">
        <v>64</v>
      </c>
      <c r="W7334" s="12" t="s">
        <v>32529</v>
      </c>
      <c r="X7334" s="16" t="s">
        <v>32530</v>
      </c>
      <c r="Y7334" s="15" t="s">
        <v>42</v>
      </c>
      <c r="Z7334" s="14">
        <v>5.97</v>
      </c>
      <c r="AA7334" s="14" t="s">
        <v>36</v>
      </c>
      <c r="AB7334" s="12" t="s">
        <v>43</v>
      </c>
      <c r="AC7334" s="12" t="s">
        <v>32531</v>
      </c>
      <c r="AD7334" s="13">
        <v>42023</v>
      </c>
      <c r="AE7334" s="12" t="s">
        <v>89</v>
      </c>
      <c r="AF7334" s="12" t="s">
        <v>26075</v>
      </c>
      <c r="AG7334" s="12" t="s">
        <v>81</v>
      </c>
      <c r="AH7334" s="1">
        <f>HYPERLINK("https://my.pitchbook.com?c=46486-18T","View Company Online")</f>
      </c>
    </row>
    <row r="7335">
      <c r="A7335" s="3" t="s">
        <v>32532</v>
      </c>
      <c r="B7335" s="3" t="s">
        <v>23896</v>
      </c>
      <c r="C7335" s="5" t="s">
        <v>36</v>
      </c>
      <c r="D7335" s="5">
        <v>18</v>
      </c>
      <c r="E7335" s="5">
        <v>2</v>
      </c>
      <c r="F7335" s="5">
        <v>18</v>
      </c>
      <c r="G7335" s="6" t="s">
        <v>36</v>
      </c>
      <c r="H7335" s="4" t="s">
        <v>36</v>
      </c>
      <c r="I7335" s="7" t="s">
        <v>36</v>
      </c>
      <c r="J7335" s="3" t="s">
        <v>36</v>
      </c>
      <c r="K7335" s="9" t="s">
        <v>36</v>
      </c>
      <c r="L7335" s="6" t="s">
        <v>36</v>
      </c>
      <c r="M7335" s="3" t="s">
        <v>36</v>
      </c>
      <c r="N7335" s="3" t="s">
        <v>36</v>
      </c>
      <c r="O7335" s="8" t="s">
        <v>36</v>
      </c>
      <c r="P7335" s="3" t="s">
        <v>36</v>
      </c>
      <c r="Q7335" s="3" t="s">
        <v>36</v>
      </c>
      <c r="R7335" s="3" t="s">
        <v>36</v>
      </c>
      <c r="S7335" s="3" t="s">
        <v>36</v>
      </c>
      <c r="T7335" s="3" t="s">
        <v>751</v>
      </c>
      <c r="U7335" s="3" t="s">
        <v>96</v>
      </c>
      <c r="V7335" s="3" t="s">
        <v>52</v>
      </c>
      <c r="W7335" s="3" t="s">
        <v>23897</v>
      </c>
      <c r="X7335" s="10" t="s">
        <v>32533</v>
      </c>
      <c r="Y7335" s="6" t="s">
        <v>108</v>
      </c>
      <c r="Z7335" s="4">
        <v>0.33</v>
      </c>
      <c r="AA7335" s="4" t="s">
        <v>36</v>
      </c>
      <c r="AB7335" s="3" t="s">
        <v>43</v>
      </c>
      <c r="AC7335" s="3" t="s">
        <v>23898</v>
      </c>
      <c r="AD7335" s="9">
        <v>42018</v>
      </c>
      <c r="AE7335" s="3" t="s">
        <v>755</v>
      </c>
      <c r="AF7335" s="3" t="s">
        <v>101</v>
      </c>
      <c r="AG7335" s="3" t="s">
        <v>1078</v>
      </c>
      <c r="AH7335" s="11">
        <f>HYPERLINK("https://my.pitchbook.com?c=45069-31T","View Company Online")</f>
      </c>
    </row>
    <row r="7336">
      <c r="A7336" s="12" t="s">
        <v>32534</v>
      </c>
      <c r="B7336" s="12" t="s">
        <v>32535</v>
      </c>
      <c r="C7336" s="19">
        <v>1</v>
      </c>
      <c r="D7336" s="19">
        <v>4</v>
      </c>
      <c r="E7336" s="19">
        <v>2</v>
      </c>
      <c r="F7336" s="19">
        <v>6</v>
      </c>
      <c r="G7336" s="15" t="s">
        <v>36</v>
      </c>
      <c r="H7336" s="14" t="s">
        <v>36</v>
      </c>
      <c r="I7336" s="18" t="s">
        <v>36</v>
      </c>
      <c r="J7336" s="12" t="s">
        <v>36</v>
      </c>
      <c r="K7336" s="13" t="s">
        <v>36</v>
      </c>
      <c r="L7336" s="15" t="s">
        <v>36</v>
      </c>
      <c r="M7336" s="12" t="s">
        <v>36</v>
      </c>
      <c r="N7336" s="12" t="s">
        <v>36</v>
      </c>
      <c r="O7336" s="17" t="s">
        <v>36</v>
      </c>
      <c r="P7336" s="12" t="s">
        <v>36</v>
      </c>
      <c r="Q7336" s="12" t="s">
        <v>36</v>
      </c>
      <c r="R7336" s="12" t="s">
        <v>36</v>
      </c>
      <c r="S7336" s="12" t="s">
        <v>36</v>
      </c>
      <c r="T7336" s="12" t="s">
        <v>4225</v>
      </c>
      <c r="U7336" s="12" t="s">
        <v>96</v>
      </c>
      <c r="V7336" s="12" t="s">
        <v>52</v>
      </c>
      <c r="W7336" s="12" t="s">
        <v>32536</v>
      </c>
      <c r="X7336" s="16" t="s">
        <v>32537</v>
      </c>
      <c r="Y7336" s="15" t="s">
        <v>42</v>
      </c>
      <c r="Z7336" s="14">
        <v>3.63</v>
      </c>
      <c r="AA7336" s="14" t="s">
        <v>36</v>
      </c>
      <c r="AB7336" s="12" t="s">
        <v>43</v>
      </c>
      <c r="AC7336" s="12" t="s">
        <v>32538</v>
      </c>
      <c r="AD7336" s="13">
        <v>42017</v>
      </c>
      <c r="AE7336" s="12" t="s">
        <v>143</v>
      </c>
      <c r="AF7336" s="12" t="s">
        <v>665</v>
      </c>
      <c r="AG7336" s="12" t="s">
        <v>1353</v>
      </c>
      <c r="AH7336" s="1">
        <f>HYPERLINK("https://my.pitchbook.com?c=101504-89T","View Company Online")</f>
      </c>
    </row>
    <row r="7337">
      <c r="A7337" s="3" t="s">
        <v>32539</v>
      </c>
      <c r="B7337" s="3" t="s">
        <v>27416</v>
      </c>
      <c r="C7337" s="5" t="s">
        <v>36</v>
      </c>
      <c r="D7337" s="5">
        <v>2</v>
      </c>
      <c r="E7337" s="5">
        <v>2</v>
      </c>
      <c r="F7337" s="5">
        <v>3</v>
      </c>
      <c r="G7337" s="6" t="s">
        <v>326</v>
      </c>
      <c r="H7337" s="4">
        <v>436.36</v>
      </c>
      <c r="I7337" s="7">
        <v>24.72</v>
      </c>
      <c r="J7337" s="3" t="s">
        <v>521</v>
      </c>
      <c r="K7337" s="9" t="s">
        <v>36</v>
      </c>
      <c r="L7337" s="6" t="s">
        <v>36</v>
      </c>
      <c r="M7337" s="3" t="s">
        <v>36</v>
      </c>
      <c r="N7337" s="3" t="s">
        <v>36</v>
      </c>
      <c r="O7337" s="8" t="s">
        <v>36</v>
      </c>
      <c r="P7337" s="3" t="s">
        <v>36</v>
      </c>
      <c r="Q7337" s="3" t="s">
        <v>36</v>
      </c>
      <c r="R7337" s="3" t="s">
        <v>36</v>
      </c>
      <c r="S7337" s="3" t="s">
        <v>36</v>
      </c>
      <c r="T7337" s="3" t="s">
        <v>27417</v>
      </c>
      <c r="U7337" s="3" t="s">
        <v>833</v>
      </c>
      <c r="V7337" s="3" t="s">
        <v>64</v>
      </c>
      <c r="W7337" s="3" t="s">
        <v>27418</v>
      </c>
      <c r="X7337" s="10" t="s">
        <v>32540</v>
      </c>
      <c r="Y7337" s="6" t="s">
        <v>108</v>
      </c>
      <c r="Z7337" s="4">
        <v>1.09</v>
      </c>
      <c r="AA7337" s="4">
        <v>3.39</v>
      </c>
      <c r="AB7337" s="3" t="s">
        <v>43</v>
      </c>
      <c r="AC7337" s="3" t="s">
        <v>27419</v>
      </c>
      <c r="AD7337" s="9">
        <v>42017</v>
      </c>
      <c r="AE7337" s="3" t="s">
        <v>837</v>
      </c>
      <c r="AF7337" s="3" t="s">
        <v>3040</v>
      </c>
      <c r="AG7337" s="3" t="s">
        <v>186</v>
      </c>
      <c r="AH7337" s="11">
        <f>HYPERLINK("https://my.pitchbook.com?c=44506-72T","View Company Online")</f>
      </c>
    </row>
    <row r="7338">
      <c r="A7338" s="12" t="s">
        <v>32541</v>
      </c>
      <c r="B7338" s="12" t="s">
        <v>32542</v>
      </c>
      <c r="C7338" s="19" t="s">
        <v>36</v>
      </c>
      <c r="D7338" s="19" t="s">
        <v>36</v>
      </c>
      <c r="E7338" s="19" t="s">
        <v>36</v>
      </c>
      <c r="F7338" s="19" t="s">
        <v>36</v>
      </c>
      <c r="G7338" s="15" t="s">
        <v>36</v>
      </c>
      <c r="H7338" s="14">
        <v>3.29</v>
      </c>
      <c r="I7338" s="18">
        <v>17.9</v>
      </c>
      <c r="J7338" s="12" t="s">
        <v>521</v>
      </c>
      <c r="K7338" s="13" t="s">
        <v>36</v>
      </c>
      <c r="L7338" s="15" t="s">
        <v>36</v>
      </c>
      <c r="M7338" s="12" t="s">
        <v>36</v>
      </c>
      <c r="N7338" s="12" t="s">
        <v>36</v>
      </c>
      <c r="O7338" s="17" t="s">
        <v>36</v>
      </c>
      <c r="P7338" s="12" t="s">
        <v>36</v>
      </c>
      <c r="Q7338" s="12" t="s">
        <v>36</v>
      </c>
      <c r="R7338" s="12" t="s">
        <v>36</v>
      </c>
      <c r="S7338" s="12" t="s">
        <v>36</v>
      </c>
      <c r="T7338" s="12" t="s">
        <v>4827</v>
      </c>
      <c r="U7338" s="12" t="s">
        <v>648</v>
      </c>
      <c r="V7338" s="12" t="s">
        <v>64</v>
      </c>
      <c r="W7338" s="12" t="s">
        <v>32543</v>
      </c>
      <c r="X7338" s="16" t="s">
        <v>32544</v>
      </c>
      <c r="Y7338" s="15" t="s">
        <v>42</v>
      </c>
      <c r="Z7338" s="14">
        <v>2.06</v>
      </c>
      <c r="AA7338" s="14">
        <v>11.49</v>
      </c>
      <c r="AB7338" s="12" t="s">
        <v>56</v>
      </c>
      <c r="AC7338" s="12" t="s">
        <v>32545</v>
      </c>
      <c r="AD7338" s="13">
        <v>42016</v>
      </c>
      <c r="AE7338" s="12" t="s">
        <v>3988</v>
      </c>
      <c r="AF7338" s="12" t="s">
        <v>4284</v>
      </c>
      <c r="AG7338" s="12" t="s">
        <v>2299</v>
      </c>
      <c r="AH7338" s="1">
        <f>HYPERLINK("https://my.pitchbook.com?c=50959-63T","View Company Online")</f>
      </c>
    </row>
    <row r="7339">
      <c r="A7339" s="3" t="s">
        <v>32546</v>
      </c>
      <c r="B7339" s="3" t="s">
        <v>32547</v>
      </c>
      <c r="C7339" s="5" t="s">
        <v>36</v>
      </c>
      <c r="D7339" s="5" t="s">
        <v>36</v>
      </c>
      <c r="E7339" s="5" t="s">
        <v>36</v>
      </c>
      <c r="F7339" s="5" t="s">
        <v>36</v>
      </c>
      <c r="G7339" s="6" t="s">
        <v>326</v>
      </c>
      <c r="H7339" s="4">
        <v>84.27</v>
      </c>
      <c r="I7339" s="7">
        <v>20.06</v>
      </c>
      <c r="J7339" s="3" t="s">
        <v>521</v>
      </c>
      <c r="K7339" s="9" t="s">
        <v>36</v>
      </c>
      <c r="L7339" s="6" t="s">
        <v>36</v>
      </c>
      <c r="M7339" s="3" t="s">
        <v>36</v>
      </c>
      <c r="N7339" s="3" t="s">
        <v>36</v>
      </c>
      <c r="O7339" s="8" t="s">
        <v>36</v>
      </c>
      <c r="P7339" s="3" t="s">
        <v>36</v>
      </c>
      <c r="Q7339" s="3" t="s">
        <v>36</v>
      </c>
      <c r="R7339" s="3" t="s">
        <v>36</v>
      </c>
      <c r="S7339" s="3" t="s">
        <v>36</v>
      </c>
      <c r="T7339" s="3" t="s">
        <v>15878</v>
      </c>
      <c r="U7339" s="3" t="s">
        <v>289</v>
      </c>
      <c r="V7339" s="3" t="s">
        <v>64</v>
      </c>
      <c r="W7339" s="3" t="s">
        <v>32548</v>
      </c>
      <c r="X7339" s="10" t="s">
        <v>32549</v>
      </c>
      <c r="Y7339" s="6" t="s">
        <v>108</v>
      </c>
      <c r="Z7339" s="4">
        <v>0.73</v>
      </c>
      <c r="AA7339" s="4">
        <v>2.81</v>
      </c>
      <c r="AB7339" s="3" t="s">
        <v>43</v>
      </c>
      <c r="AC7339" s="3" t="s">
        <v>32550</v>
      </c>
      <c r="AD7339" s="9">
        <v>42013</v>
      </c>
      <c r="AE7339" s="3" t="s">
        <v>292</v>
      </c>
      <c r="AF7339" s="3" t="s">
        <v>90</v>
      </c>
      <c r="AG7339" s="3" t="s">
        <v>741</v>
      </c>
      <c r="AH7339" s="11">
        <f>HYPERLINK("https://my.pitchbook.com?c=65432-98T","View Company Online")</f>
      </c>
    </row>
    <row r="7340">
      <c r="A7340" s="12" t="s">
        <v>32551</v>
      </c>
      <c r="B7340" s="12" t="s">
        <v>32552</v>
      </c>
      <c r="C7340" s="19" t="s">
        <v>36</v>
      </c>
      <c r="D7340" s="19" t="s">
        <v>36</v>
      </c>
      <c r="E7340" s="19" t="s">
        <v>36</v>
      </c>
      <c r="F7340" s="19" t="s">
        <v>36</v>
      </c>
      <c r="G7340" s="15" t="s">
        <v>36</v>
      </c>
      <c r="H7340" s="14">
        <v>138.44</v>
      </c>
      <c r="I7340" s="18">
        <v>28.33</v>
      </c>
      <c r="J7340" s="12" t="s">
        <v>521</v>
      </c>
      <c r="K7340" s="13" t="s">
        <v>36</v>
      </c>
      <c r="L7340" s="15" t="s">
        <v>36</v>
      </c>
      <c r="M7340" s="12" t="s">
        <v>36</v>
      </c>
      <c r="N7340" s="12" t="s">
        <v>36</v>
      </c>
      <c r="O7340" s="17" t="s">
        <v>36</v>
      </c>
      <c r="P7340" s="12" t="s">
        <v>36</v>
      </c>
      <c r="Q7340" s="12" t="s">
        <v>36</v>
      </c>
      <c r="R7340" s="12" t="s">
        <v>36</v>
      </c>
      <c r="S7340" s="12" t="s">
        <v>36</v>
      </c>
      <c r="T7340" s="12" t="s">
        <v>21419</v>
      </c>
      <c r="U7340" s="12" t="s">
        <v>956</v>
      </c>
      <c r="V7340" s="12" t="s">
        <v>405</v>
      </c>
      <c r="W7340" s="12" t="s">
        <v>32553</v>
      </c>
      <c r="X7340" s="16" t="s">
        <v>32554</v>
      </c>
      <c r="Y7340" s="15" t="s">
        <v>42</v>
      </c>
      <c r="Z7340" s="14">
        <v>0.49</v>
      </c>
      <c r="AA7340" s="14">
        <v>1.22</v>
      </c>
      <c r="AB7340" s="12" t="s">
        <v>43</v>
      </c>
      <c r="AC7340" s="12" t="s">
        <v>32555</v>
      </c>
      <c r="AD7340" s="13">
        <v>42012</v>
      </c>
      <c r="AE7340" s="12" t="s">
        <v>14526</v>
      </c>
      <c r="AF7340" s="12" t="s">
        <v>1852</v>
      </c>
      <c r="AG7340" s="12" t="s">
        <v>2760</v>
      </c>
      <c r="AH7340" s="1">
        <f>HYPERLINK("https://my.pitchbook.com?c=126537-31T","View Company Online")</f>
      </c>
    </row>
    <row r="7341">
      <c r="A7341" s="3" t="s">
        <v>32556</v>
      </c>
      <c r="B7341" s="3" t="s">
        <v>32557</v>
      </c>
      <c r="C7341" s="5" t="s">
        <v>36</v>
      </c>
      <c r="D7341" s="5" t="s">
        <v>36</v>
      </c>
      <c r="E7341" s="5" t="s">
        <v>36</v>
      </c>
      <c r="F7341" s="5" t="s">
        <v>36</v>
      </c>
      <c r="G7341" s="6" t="s">
        <v>36</v>
      </c>
      <c r="H7341" s="4" t="s">
        <v>36</v>
      </c>
      <c r="I7341" s="7" t="s">
        <v>36</v>
      </c>
      <c r="J7341" s="3" t="s">
        <v>36</v>
      </c>
      <c r="K7341" s="9" t="s">
        <v>36</v>
      </c>
      <c r="L7341" s="6" t="s">
        <v>3736</v>
      </c>
      <c r="M7341" s="3" t="s">
        <v>36</v>
      </c>
      <c r="N7341" s="3" t="s">
        <v>3736</v>
      </c>
      <c r="O7341" s="8" t="s">
        <v>36</v>
      </c>
      <c r="P7341" s="3" t="s">
        <v>36</v>
      </c>
      <c r="Q7341" s="3" t="s">
        <v>36</v>
      </c>
      <c r="R7341" s="3" t="s">
        <v>36</v>
      </c>
      <c r="S7341" s="3" t="s">
        <v>36</v>
      </c>
      <c r="T7341" s="3" t="s">
        <v>2321</v>
      </c>
      <c r="U7341" s="3" t="s">
        <v>51</v>
      </c>
      <c r="V7341" s="3" t="s">
        <v>52</v>
      </c>
      <c r="W7341" s="3" t="s">
        <v>32558</v>
      </c>
      <c r="X7341" s="10" t="s">
        <v>32559</v>
      </c>
      <c r="Y7341" s="6" t="s">
        <v>192</v>
      </c>
      <c r="Z7341" s="4">
        <v>21</v>
      </c>
      <c r="AA7341" s="4" t="s">
        <v>36</v>
      </c>
      <c r="AB7341" s="3" t="s">
        <v>56</v>
      </c>
      <c r="AC7341" s="3" t="s">
        <v>32560</v>
      </c>
      <c r="AD7341" s="9">
        <v>42011</v>
      </c>
      <c r="AE7341" s="3" t="s">
        <v>504</v>
      </c>
      <c r="AF7341" s="3" t="s">
        <v>159</v>
      </c>
      <c r="AG7341" s="3" t="s">
        <v>32561</v>
      </c>
      <c r="AH7341" s="11">
        <f>HYPERLINK("https://my.pitchbook.com?c=44179-39T","View Company Online")</f>
      </c>
    </row>
    <row r="7342">
      <c r="A7342" s="12" t="s">
        <v>32562</v>
      </c>
      <c r="B7342" s="12" t="s">
        <v>32563</v>
      </c>
      <c r="C7342" s="19" t="s">
        <v>36</v>
      </c>
      <c r="D7342" s="19">
        <v>6</v>
      </c>
      <c r="E7342" s="19">
        <v>2</v>
      </c>
      <c r="F7342" s="19">
        <v>11</v>
      </c>
      <c r="G7342" s="15" t="s">
        <v>36</v>
      </c>
      <c r="H7342" s="14">
        <v>17.55</v>
      </c>
      <c r="I7342" s="18">
        <v>34</v>
      </c>
      <c r="J7342" s="12" t="s">
        <v>521</v>
      </c>
      <c r="K7342" s="13" t="s">
        <v>36</v>
      </c>
      <c r="L7342" s="15" t="s">
        <v>36</v>
      </c>
      <c r="M7342" s="12" t="s">
        <v>36</v>
      </c>
      <c r="N7342" s="12" t="s">
        <v>36</v>
      </c>
      <c r="O7342" s="17" t="s">
        <v>36</v>
      </c>
      <c r="P7342" s="12" t="s">
        <v>36</v>
      </c>
      <c r="Q7342" s="12" t="s">
        <v>36</v>
      </c>
      <c r="R7342" s="12" t="s">
        <v>36</v>
      </c>
      <c r="S7342" s="12" t="s">
        <v>36</v>
      </c>
      <c r="T7342" s="12" t="s">
        <v>4394</v>
      </c>
      <c r="U7342" s="12" t="s">
        <v>423</v>
      </c>
      <c r="V7342" s="12" t="s">
        <v>64</v>
      </c>
      <c r="W7342" s="12" t="s">
        <v>32564</v>
      </c>
      <c r="X7342" s="16" t="s">
        <v>32565</v>
      </c>
      <c r="Y7342" s="15" t="s">
        <v>42</v>
      </c>
      <c r="Z7342" s="14">
        <v>0.75</v>
      </c>
      <c r="AA7342" s="14">
        <v>2.2</v>
      </c>
      <c r="AB7342" s="12" t="s">
        <v>43</v>
      </c>
      <c r="AC7342" s="12" t="s">
        <v>32566</v>
      </c>
      <c r="AD7342" s="13">
        <v>42011</v>
      </c>
      <c r="AE7342" s="12" t="s">
        <v>1051</v>
      </c>
      <c r="AF7342" s="12" t="s">
        <v>6718</v>
      </c>
      <c r="AG7342" s="12" t="s">
        <v>12608</v>
      </c>
      <c r="AH7342" s="1">
        <f>HYPERLINK("https://my.pitchbook.com?c=76758-49T","View Company Online")</f>
      </c>
    </row>
    <row r="7343">
      <c r="A7343" s="3" t="s">
        <v>32567</v>
      </c>
      <c r="B7343" s="3" t="s">
        <v>32568</v>
      </c>
      <c r="C7343" s="5" t="s">
        <v>36</v>
      </c>
      <c r="D7343" s="5">
        <v>8</v>
      </c>
      <c r="E7343" s="5">
        <v>2</v>
      </c>
      <c r="F7343" s="5">
        <v>9</v>
      </c>
      <c r="G7343" s="6" t="s">
        <v>36</v>
      </c>
      <c r="H7343" s="4">
        <v>272.1</v>
      </c>
      <c r="I7343" s="7">
        <v>31.07</v>
      </c>
      <c r="J7343" s="3" t="s">
        <v>521</v>
      </c>
      <c r="K7343" s="9" t="s">
        <v>36</v>
      </c>
      <c r="L7343" s="6" t="s">
        <v>36</v>
      </c>
      <c r="M7343" s="3" t="s">
        <v>36</v>
      </c>
      <c r="N7343" s="3" t="s">
        <v>36</v>
      </c>
      <c r="O7343" s="8" t="s">
        <v>36</v>
      </c>
      <c r="P7343" s="3" t="s">
        <v>36</v>
      </c>
      <c r="Q7343" s="3" t="s">
        <v>36</v>
      </c>
      <c r="R7343" s="3" t="s">
        <v>36</v>
      </c>
      <c r="S7343" s="3" t="s">
        <v>36</v>
      </c>
      <c r="T7343" s="3" t="s">
        <v>32569</v>
      </c>
      <c r="U7343" s="3" t="s">
        <v>318</v>
      </c>
      <c r="V7343" s="3" t="s">
        <v>39</v>
      </c>
      <c r="W7343" s="3" t="s">
        <v>32570</v>
      </c>
      <c r="X7343" s="10" t="s">
        <v>32571</v>
      </c>
      <c r="Y7343" s="6" t="s">
        <v>42</v>
      </c>
      <c r="Z7343" s="4">
        <v>0.83</v>
      </c>
      <c r="AA7343" s="4">
        <v>2.66</v>
      </c>
      <c r="AB7343" s="3" t="s">
        <v>56</v>
      </c>
      <c r="AC7343" s="3" t="s">
        <v>32572</v>
      </c>
      <c r="AD7343" s="9">
        <v>42010</v>
      </c>
      <c r="AE7343" s="3" t="s">
        <v>763</v>
      </c>
      <c r="AF7343" s="3" t="s">
        <v>7294</v>
      </c>
      <c r="AG7343" s="3" t="s">
        <v>800</v>
      </c>
      <c r="AH7343" s="11">
        <f>HYPERLINK("https://my.pitchbook.com?c=71657-02T","View Company Online")</f>
      </c>
    </row>
    <row r="7344">
      <c r="A7344" s="12" t="s">
        <v>32573</v>
      </c>
      <c r="B7344" s="12" t="s">
        <v>20766</v>
      </c>
      <c r="C7344" s="19" t="s">
        <v>36</v>
      </c>
      <c r="D7344" s="19" t="s">
        <v>36</v>
      </c>
      <c r="E7344" s="19" t="s">
        <v>36</v>
      </c>
      <c r="F7344" s="19" t="s">
        <v>36</v>
      </c>
      <c r="G7344" s="15" t="s">
        <v>36</v>
      </c>
      <c r="H7344" s="14">
        <v>39.47</v>
      </c>
      <c r="I7344" s="18">
        <v>4.36</v>
      </c>
      <c r="J7344" s="12" t="s">
        <v>521</v>
      </c>
      <c r="K7344" s="13">
        <v>41990</v>
      </c>
      <c r="L7344" s="15" t="s">
        <v>36</v>
      </c>
      <c r="M7344" s="12" t="s">
        <v>36</v>
      </c>
      <c r="N7344" s="12" t="s">
        <v>36</v>
      </c>
      <c r="O7344" s="17" t="s">
        <v>36</v>
      </c>
      <c r="P7344" s="12" t="s">
        <v>36</v>
      </c>
      <c r="Q7344" s="12" t="s">
        <v>36</v>
      </c>
      <c r="R7344" s="12" t="s">
        <v>36</v>
      </c>
      <c r="S7344" s="12" t="s">
        <v>36</v>
      </c>
      <c r="T7344" s="12" t="s">
        <v>3523</v>
      </c>
      <c r="U7344" s="12" t="s">
        <v>74</v>
      </c>
      <c r="V7344" s="12" t="s">
        <v>75</v>
      </c>
      <c r="W7344" s="12" t="s">
        <v>20767</v>
      </c>
      <c r="X7344" s="16" t="s">
        <v>32574</v>
      </c>
      <c r="Y7344" s="15" t="s">
        <v>42</v>
      </c>
      <c r="Z7344" s="14">
        <v>0.12</v>
      </c>
      <c r="AA7344" s="14">
        <v>2.65</v>
      </c>
      <c r="AB7344" s="12" t="s">
        <v>56</v>
      </c>
      <c r="AC7344" s="12" t="s">
        <v>20769</v>
      </c>
      <c r="AD7344" s="13">
        <v>42010</v>
      </c>
      <c r="AE7344" s="12" t="s">
        <v>3144</v>
      </c>
      <c r="AF7344" s="12" t="s">
        <v>20770</v>
      </c>
      <c r="AG7344" s="12" t="s">
        <v>332</v>
      </c>
      <c r="AH7344" s="1">
        <f>HYPERLINK("https://my.pitchbook.com?c=44142-04T","View Company Online")</f>
      </c>
    </row>
    <row r="7345">
      <c r="A7345" s="3" t="s">
        <v>32575</v>
      </c>
      <c r="B7345" s="3" t="s">
        <v>7941</v>
      </c>
      <c r="C7345" s="5" t="s">
        <v>36</v>
      </c>
      <c r="D7345" s="5" t="s">
        <v>36</v>
      </c>
      <c r="E7345" s="5" t="s">
        <v>36</v>
      </c>
      <c r="F7345" s="5" t="s">
        <v>36</v>
      </c>
      <c r="G7345" s="6" t="s">
        <v>36</v>
      </c>
      <c r="H7345" s="4">
        <v>1453.99</v>
      </c>
      <c r="I7345" s="7">
        <v>17.76</v>
      </c>
      <c r="J7345" s="3" t="s">
        <v>521</v>
      </c>
      <c r="K7345" s="9" t="s">
        <v>36</v>
      </c>
      <c r="L7345" s="6" t="s">
        <v>36</v>
      </c>
      <c r="M7345" s="3" t="s">
        <v>36</v>
      </c>
      <c r="N7345" s="3" t="s">
        <v>36</v>
      </c>
      <c r="O7345" s="8" t="s">
        <v>36</v>
      </c>
      <c r="P7345" s="3" t="s">
        <v>36</v>
      </c>
      <c r="Q7345" s="3" t="s">
        <v>36</v>
      </c>
      <c r="R7345" s="3" t="s">
        <v>36</v>
      </c>
      <c r="S7345" s="3" t="s">
        <v>36</v>
      </c>
      <c r="T7345" s="3" t="s">
        <v>1048</v>
      </c>
      <c r="U7345" s="3" t="s">
        <v>423</v>
      </c>
      <c r="V7345" s="3" t="s">
        <v>64</v>
      </c>
      <c r="W7345" s="3" t="s">
        <v>7942</v>
      </c>
      <c r="X7345" s="10" t="s">
        <v>26599</v>
      </c>
      <c r="Y7345" s="6" t="s">
        <v>42</v>
      </c>
      <c r="Z7345" s="4">
        <v>0.18</v>
      </c>
      <c r="AA7345" s="4">
        <v>1.04</v>
      </c>
      <c r="AB7345" s="3" t="s">
        <v>56</v>
      </c>
      <c r="AC7345" s="3" t="s">
        <v>7944</v>
      </c>
      <c r="AD7345" s="9">
        <v>42010</v>
      </c>
      <c r="AE7345" s="3" t="s">
        <v>1051</v>
      </c>
      <c r="AF7345" s="3" t="s">
        <v>6718</v>
      </c>
      <c r="AG7345" s="3" t="s">
        <v>899</v>
      </c>
      <c r="AH7345" s="11">
        <f>HYPERLINK("https://my.pitchbook.com?c=53220-88T","View Company Online")</f>
      </c>
    </row>
    <row r="7346">
      <c r="A7346" s="12" t="s">
        <v>32576</v>
      </c>
      <c r="B7346" s="12" t="s">
        <v>32577</v>
      </c>
      <c r="C7346" s="19" t="s">
        <v>36</v>
      </c>
      <c r="D7346" s="19" t="s">
        <v>36</v>
      </c>
      <c r="E7346" s="19" t="s">
        <v>36</v>
      </c>
      <c r="F7346" s="19" t="s">
        <v>36</v>
      </c>
      <c r="G7346" s="15" t="s">
        <v>683</v>
      </c>
      <c r="H7346" s="14">
        <v>136.65</v>
      </c>
      <c r="I7346" s="18">
        <v>2.6</v>
      </c>
      <c r="J7346" s="12" t="s">
        <v>521</v>
      </c>
      <c r="K7346" s="13" t="s">
        <v>36</v>
      </c>
      <c r="L7346" s="15" t="s">
        <v>36</v>
      </c>
      <c r="M7346" s="12" t="s">
        <v>36</v>
      </c>
      <c r="N7346" s="12" t="s">
        <v>36</v>
      </c>
      <c r="O7346" s="17" t="s">
        <v>36</v>
      </c>
      <c r="P7346" s="12" t="s">
        <v>36</v>
      </c>
      <c r="Q7346" s="12" t="s">
        <v>36</v>
      </c>
      <c r="R7346" s="12" t="s">
        <v>36</v>
      </c>
      <c r="S7346" s="12" t="s">
        <v>36</v>
      </c>
      <c r="T7346" s="12" t="s">
        <v>3253</v>
      </c>
      <c r="U7346" s="12" t="s">
        <v>38</v>
      </c>
      <c r="V7346" s="12" t="s">
        <v>39</v>
      </c>
      <c r="W7346" s="12" t="s">
        <v>32578</v>
      </c>
      <c r="X7346" s="16" t="s">
        <v>32579</v>
      </c>
      <c r="Y7346" s="15" t="s">
        <v>192</v>
      </c>
      <c r="Z7346" s="14">
        <v>0.08</v>
      </c>
      <c r="AA7346" s="14">
        <v>3.06</v>
      </c>
      <c r="AB7346" s="12" t="s">
        <v>56</v>
      </c>
      <c r="AC7346" s="12" t="s">
        <v>32580</v>
      </c>
      <c r="AD7346" s="13">
        <v>42009</v>
      </c>
      <c r="AE7346" s="12" t="s">
        <v>785</v>
      </c>
      <c r="AF7346" s="12" t="s">
        <v>118</v>
      </c>
      <c r="AG7346" s="12" t="s">
        <v>8939</v>
      </c>
      <c r="AH7346" s="1">
        <f>HYPERLINK("https://my.pitchbook.com?c=28042-84T","View Company Online")</f>
      </c>
    </row>
    <row r="7347">
      <c r="A7347" s="3" t="s">
        <v>32581</v>
      </c>
      <c r="B7347" s="3" t="s">
        <v>32582</v>
      </c>
      <c r="C7347" s="5" t="s">
        <v>36</v>
      </c>
      <c r="D7347" s="5">
        <v>1</v>
      </c>
      <c r="E7347" s="5">
        <v>1</v>
      </c>
      <c r="F7347" s="5">
        <v>2</v>
      </c>
      <c r="G7347" s="6" t="s">
        <v>36</v>
      </c>
      <c r="H7347" s="4" t="s">
        <v>36</v>
      </c>
      <c r="I7347" s="7" t="s">
        <v>36</v>
      </c>
      <c r="J7347" s="3" t="s">
        <v>36</v>
      </c>
      <c r="K7347" s="9">
        <v>41913</v>
      </c>
      <c r="L7347" s="6" t="s">
        <v>36</v>
      </c>
      <c r="M7347" s="3" t="s">
        <v>36</v>
      </c>
      <c r="N7347" s="3" t="s">
        <v>36</v>
      </c>
      <c r="O7347" s="8" t="s">
        <v>36</v>
      </c>
      <c r="P7347" s="3" t="s">
        <v>36</v>
      </c>
      <c r="Q7347" s="3" t="s">
        <v>36</v>
      </c>
      <c r="R7347" s="3" t="s">
        <v>36</v>
      </c>
      <c r="S7347" s="3" t="s">
        <v>36</v>
      </c>
      <c r="T7347" s="3" t="s">
        <v>17704</v>
      </c>
      <c r="U7347" s="3" t="s">
        <v>833</v>
      </c>
      <c r="V7347" s="3" t="s">
        <v>64</v>
      </c>
      <c r="W7347" s="3" t="s">
        <v>32583</v>
      </c>
      <c r="X7347" s="10" t="s">
        <v>32584</v>
      </c>
      <c r="Y7347" s="6" t="s">
        <v>42</v>
      </c>
      <c r="Z7347" s="4">
        <v>0.37</v>
      </c>
      <c r="AA7347" s="4" t="s">
        <v>36</v>
      </c>
      <c r="AB7347" s="3" t="s">
        <v>43</v>
      </c>
      <c r="AC7347" s="3" t="s">
        <v>32585</v>
      </c>
      <c r="AD7347" s="9">
        <v>42005</v>
      </c>
      <c r="AE7347" s="3" t="s">
        <v>1069</v>
      </c>
      <c r="AF7347" s="3" t="s">
        <v>24285</v>
      </c>
      <c r="AG7347" s="3" t="s">
        <v>800</v>
      </c>
      <c r="AH7347" s="11">
        <f>HYPERLINK("https://my.pitchbook.com?c=136059-04T","View Company Online")</f>
      </c>
    </row>
    <row r="7348">
      <c r="A7348" s="12" t="s">
        <v>32586</v>
      </c>
      <c r="B7348" s="12" t="s">
        <v>32587</v>
      </c>
      <c r="C7348" s="19" t="s">
        <v>36</v>
      </c>
      <c r="D7348" s="19" t="s">
        <v>36</v>
      </c>
      <c r="E7348" s="19" t="s">
        <v>36</v>
      </c>
      <c r="F7348" s="19" t="s">
        <v>36</v>
      </c>
      <c r="G7348" s="15" t="s">
        <v>36</v>
      </c>
      <c r="H7348" s="14" t="s">
        <v>36</v>
      </c>
      <c r="I7348" s="18">
        <v>36</v>
      </c>
      <c r="J7348" s="12" t="s">
        <v>327</v>
      </c>
      <c r="K7348" s="13" t="s">
        <v>36</v>
      </c>
      <c r="L7348" s="15" t="s">
        <v>36</v>
      </c>
      <c r="M7348" s="12" t="s">
        <v>36</v>
      </c>
      <c r="N7348" s="12" t="s">
        <v>36</v>
      </c>
      <c r="O7348" s="17" t="s">
        <v>36</v>
      </c>
      <c r="P7348" s="12" t="s">
        <v>36</v>
      </c>
      <c r="Q7348" s="12" t="s">
        <v>36</v>
      </c>
      <c r="R7348" s="12" t="s">
        <v>36</v>
      </c>
      <c r="S7348" s="12" t="s">
        <v>36</v>
      </c>
      <c r="T7348" s="12" t="s">
        <v>2483</v>
      </c>
      <c r="U7348" s="12" t="s">
        <v>63</v>
      </c>
      <c r="V7348" s="12" t="s">
        <v>64</v>
      </c>
      <c r="W7348" s="12" t="s">
        <v>32588</v>
      </c>
      <c r="X7348" s="16" t="s">
        <v>32589</v>
      </c>
      <c r="Y7348" s="15" t="s">
        <v>42</v>
      </c>
      <c r="Z7348" s="14">
        <v>1.84</v>
      </c>
      <c r="AA7348" s="14">
        <v>5.12</v>
      </c>
      <c r="AB7348" s="12" t="s">
        <v>43</v>
      </c>
      <c r="AC7348" s="12" t="s">
        <v>32590</v>
      </c>
      <c r="AD7348" s="13">
        <v>42005</v>
      </c>
      <c r="AE7348" s="12" t="s">
        <v>399</v>
      </c>
      <c r="AF7348" s="12" t="s">
        <v>36</v>
      </c>
      <c r="AG7348" s="12" t="s">
        <v>81</v>
      </c>
      <c r="AH7348" s="1">
        <f>HYPERLINK("https://my.pitchbook.com?c=88117-21T","View Company Online")</f>
      </c>
    </row>
    <row r="7349">
      <c r="A7349" s="3" t="s">
        <v>32591</v>
      </c>
      <c r="B7349" s="3" t="s">
        <v>26170</v>
      </c>
      <c r="C7349" s="5" t="s">
        <v>36</v>
      </c>
      <c r="D7349" s="5" t="s">
        <v>36</v>
      </c>
      <c r="E7349" s="5" t="s">
        <v>36</v>
      </c>
      <c r="F7349" s="5" t="s">
        <v>36</v>
      </c>
      <c r="G7349" s="6" t="s">
        <v>36</v>
      </c>
      <c r="H7349" s="4">
        <v>19.73</v>
      </c>
      <c r="I7349" s="7">
        <v>20.72</v>
      </c>
      <c r="J7349" s="3" t="s">
        <v>327</v>
      </c>
      <c r="K7349" s="9" t="s">
        <v>36</v>
      </c>
      <c r="L7349" s="6" t="s">
        <v>36</v>
      </c>
      <c r="M7349" s="3" t="s">
        <v>36</v>
      </c>
      <c r="N7349" s="3" t="s">
        <v>36</v>
      </c>
      <c r="O7349" s="8" t="s">
        <v>36</v>
      </c>
      <c r="P7349" s="3" t="s">
        <v>36</v>
      </c>
      <c r="Q7349" s="3" t="s">
        <v>36</v>
      </c>
      <c r="R7349" s="3" t="s">
        <v>36</v>
      </c>
      <c r="S7349" s="3" t="s">
        <v>36</v>
      </c>
      <c r="T7349" s="3" t="s">
        <v>105</v>
      </c>
      <c r="U7349" s="3" t="s">
        <v>38</v>
      </c>
      <c r="V7349" s="3" t="s">
        <v>39</v>
      </c>
      <c r="W7349" s="3" t="s">
        <v>26171</v>
      </c>
      <c r="X7349" s="10" t="s">
        <v>32592</v>
      </c>
      <c r="Y7349" s="6" t="s">
        <v>42</v>
      </c>
      <c r="Z7349" s="4">
        <v>0.17</v>
      </c>
      <c r="AA7349" s="4">
        <v>0.81</v>
      </c>
      <c r="AB7349" s="3" t="s">
        <v>43</v>
      </c>
      <c r="AC7349" s="3" t="s">
        <v>26173</v>
      </c>
      <c r="AD7349" s="9">
        <v>42005</v>
      </c>
      <c r="AE7349" s="3" t="s">
        <v>110</v>
      </c>
      <c r="AF7349" s="3" t="s">
        <v>5001</v>
      </c>
      <c r="AG7349" s="3" t="s">
        <v>81</v>
      </c>
      <c r="AH7349" s="11">
        <f>HYPERLINK("https://my.pitchbook.com?c=108864-73T","View Company Online")</f>
      </c>
    </row>
    <row r="7350">
      <c r="A7350" s="12" t="s">
        <v>32593</v>
      </c>
      <c r="B7350" s="12" t="s">
        <v>27011</v>
      </c>
      <c r="C7350" s="19">
        <v>1</v>
      </c>
      <c r="D7350" s="19">
        <v>6</v>
      </c>
      <c r="E7350" s="19">
        <v>4</v>
      </c>
      <c r="F7350" s="19">
        <v>11</v>
      </c>
      <c r="G7350" s="15" t="s">
        <v>36</v>
      </c>
      <c r="H7350" s="14" t="s">
        <v>36</v>
      </c>
      <c r="I7350" s="18" t="s">
        <v>36</v>
      </c>
      <c r="J7350" s="12" t="s">
        <v>36</v>
      </c>
      <c r="K7350" s="13" t="s">
        <v>36</v>
      </c>
      <c r="L7350" s="15" t="s">
        <v>36</v>
      </c>
      <c r="M7350" s="12" t="s">
        <v>36</v>
      </c>
      <c r="N7350" s="12" t="s">
        <v>36</v>
      </c>
      <c r="O7350" s="17" t="s">
        <v>36</v>
      </c>
      <c r="P7350" s="12" t="s">
        <v>36</v>
      </c>
      <c r="Q7350" s="12" t="s">
        <v>36</v>
      </c>
      <c r="R7350" s="12" t="s">
        <v>36</v>
      </c>
      <c r="S7350" s="12" t="s">
        <v>36</v>
      </c>
      <c r="T7350" s="12" t="s">
        <v>37</v>
      </c>
      <c r="U7350" s="12" t="s">
        <v>38</v>
      </c>
      <c r="V7350" s="12" t="s">
        <v>39</v>
      </c>
      <c r="W7350" s="12" t="s">
        <v>27012</v>
      </c>
      <c r="X7350" s="16" t="s">
        <v>1840</v>
      </c>
      <c r="Y7350" s="15" t="s">
        <v>42</v>
      </c>
      <c r="Z7350" s="14" t="s">
        <v>36</v>
      </c>
      <c r="AA7350" s="14" t="s">
        <v>36</v>
      </c>
      <c r="AB7350" s="12" t="s">
        <v>43</v>
      </c>
      <c r="AC7350" s="12" t="s">
        <v>27014</v>
      </c>
      <c r="AD7350" s="13">
        <v>42005</v>
      </c>
      <c r="AE7350" s="12" t="s">
        <v>45</v>
      </c>
      <c r="AF7350" s="12" t="s">
        <v>5816</v>
      </c>
      <c r="AG7350" s="12" t="s">
        <v>27015</v>
      </c>
      <c r="AH7350" s="1">
        <f>HYPERLINK("https://my.pitchbook.com?c=96483-70T","View Company Online")</f>
      </c>
    </row>
    <row r="7351">
      <c r="A7351" s="3" t="s">
        <v>32594</v>
      </c>
      <c r="B7351" s="3" t="s">
        <v>32595</v>
      </c>
      <c r="C7351" s="5" t="s">
        <v>36</v>
      </c>
      <c r="D7351" s="5" t="s">
        <v>36</v>
      </c>
      <c r="E7351" s="5" t="s">
        <v>36</v>
      </c>
      <c r="F7351" s="5" t="s">
        <v>36</v>
      </c>
      <c r="G7351" s="6" t="s">
        <v>36</v>
      </c>
      <c r="H7351" s="4" t="s">
        <v>36</v>
      </c>
      <c r="I7351" s="7" t="s">
        <v>36</v>
      </c>
      <c r="J7351" s="3" t="s">
        <v>36</v>
      </c>
      <c r="K7351" s="9" t="s">
        <v>36</v>
      </c>
      <c r="L7351" s="6" t="s">
        <v>36</v>
      </c>
      <c r="M7351" s="3" t="s">
        <v>36</v>
      </c>
      <c r="N7351" s="3" t="s">
        <v>36</v>
      </c>
      <c r="O7351" s="8" t="s">
        <v>36</v>
      </c>
      <c r="P7351" s="3" t="s">
        <v>36</v>
      </c>
      <c r="Q7351" s="3" t="s">
        <v>36</v>
      </c>
      <c r="R7351" s="3" t="s">
        <v>36</v>
      </c>
      <c r="S7351" s="3" t="s">
        <v>36</v>
      </c>
      <c r="T7351" s="3" t="s">
        <v>32596</v>
      </c>
      <c r="U7351" s="3" t="s">
        <v>74</v>
      </c>
      <c r="V7351" s="3" t="s">
        <v>75</v>
      </c>
      <c r="W7351" s="3" t="s">
        <v>32597</v>
      </c>
      <c r="X7351" s="10" t="s">
        <v>32598</v>
      </c>
      <c r="Y7351" s="6" t="s">
        <v>42</v>
      </c>
      <c r="Z7351" s="4" t="s">
        <v>36</v>
      </c>
      <c r="AA7351" s="4" t="s">
        <v>36</v>
      </c>
      <c r="AB7351" s="3" t="s">
        <v>43</v>
      </c>
      <c r="AC7351" s="3" t="s">
        <v>32599</v>
      </c>
      <c r="AD7351" s="9">
        <v>42005</v>
      </c>
      <c r="AE7351" s="3" t="s">
        <v>975</v>
      </c>
      <c r="AF7351" s="3" t="s">
        <v>1115</v>
      </c>
      <c r="AG7351" s="3" t="s">
        <v>81</v>
      </c>
      <c r="AH7351" s="11">
        <f>HYPERLINK("https://my.pitchbook.com?c=120074-41T","View Company Online")</f>
      </c>
    </row>
    <row r="7352">
      <c r="A7352" s="12" t="s">
        <v>32600</v>
      </c>
      <c r="B7352" s="12" t="s">
        <v>25969</v>
      </c>
      <c r="C7352" s="19" t="s">
        <v>36</v>
      </c>
      <c r="D7352" s="19" t="s">
        <v>36</v>
      </c>
      <c r="E7352" s="19" t="s">
        <v>36</v>
      </c>
      <c r="F7352" s="19" t="s">
        <v>36</v>
      </c>
      <c r="G7352" s="15" t="s">
        <v>36</v>
      </c>
      <c r="H7352" s="14" t="s">
        <v>36</v>
      </c>
      <c r="I7352" s="18" t="s">
        <v>36</v>
      </c>
      <c r="J7352" s="12" t="s">
        <v>36</v>
      </c>
      <c r="K7352" s="13" t="s">
        <v>36</v>
      </c>
      <c r="L7352" s="15" t="s">
        <v>36</v>
      </c>
      <c r="M7352" s="12" t="s">
        <v>36</v>
      </c>
      <c r="N7352" s="12" t="s">
        <v>36</v>
      </c>
      <c r="O7352" s="17" t="s">
        <v>36</v>
      </c>
      <c r="P7352" s="12" t="s">
        <v>36</v>
      </c>
      <c r="Q7352" s="12" t="s">
        <v>36</v>
      </c>
      <c r="R7352" s="12" t="s">
        <v>36</v>
      </c>
      <c r="S7352" s="12" t="s">
        <v>36</v>
      </c>
      <c r="T7352" s="12" t="s">
        <v>3545</v>
      </c>
      <c r="U7352" s="12" t="s">
        <v>38</v>
      </c>
      <c r="V7352" s="12" t="s">
        <v>39</v>
      </c>
      <c r="W7352" s="12" t="s">
        <v>25970</v>
      </c>
      <c r="X7352" s="16" t="s">
        <v>25971</v>
      </c>
      <c r="Y7352" s="15" t="s">
        <v>42</v>
      </c>
      <c r="Z7352" s="14" t="s">
        <v>36</v>
      </c>
      <c r="AA7352" s="14" t="s">
        <v>36</v>
      </c>
      <c r="AB7352" s="12" t="s">
        <v>43</v>
      </c>
      <c r="AC7352" s="12" t="s">
        <v>25972</v>
      </c>
      <c r="AD7352" s="13">
        <v>42005</v>
      </c>
      <c r="AE7352" s="12" t="s">
        <v>1945</v>
      </c>
      <c r="AF7352" s="12" t="s">
        <v>25973</v>
      </c>
      <c r="AG7352" s="12" t="s">
        <v>25974</v>
      </c>
      <c r="AH7352" s="1">
        <f>HYPERLINK("https://my.pitchbook.com?c=138484-72T","View Company Online")</f>
      </c>
    </row>
    <row r="7353">
      <c r="A7353" s="3" t="s">
        <v>32601</v>
      </c>
      <c r="B7353" s="3" t="s">
        <v>32602</v>
      </c>
      <c r="C7353" s="5" t="s">
        <v>36</v>
      </c>
      <c r="D7353" s="5" t="s">
        <v>36</v>
      </c>
      <c r="E7353" s="5" t="s">
        <v>36</v>
      </c>
      <c r="F7353" s="5" t="s">
        <v>36</v>
      </c>
      <c r="G7353" s="6" t="s">
        <v>36</v>
      </c>
      <c r="H7353" s="4" t="s">
        <v>36</v>
      </c>
      <c r="I7353" s="7" t="s">
        <v>36</v>
      </c>
      <c r="J7353" s="3" t="s">
        <v>36</v>
      </c>
      <c r="K7353" s="9" t="s">
        <v>36</v>
      </c>
      <c r="L7353" s="6" t="s">
        <v>36</v>
      </c>
      <c r="M7353" s="3" t="s">
        <v>36</v>
      </c>
      <c r="N7353" s="3" t="s">
        <v>36</v>
      </c>
      <c r="O7353" s="8" t="s">
        <v>36</v>
      </c>
      <c r="P7353" s="3" t="s">
        <v>36</v>
      </c>
      <c r="Q7353" s="3" t="s">
        <v>36</v>
      </c>
      <c r="R7353" s="3" t="s">
        <v>36</v>
      </c>
      <c r="S7353" s="3" t="s">
        <v>36</v>
      </c>
      <c r="T7353" s="3" t="s">
        <v>1125</v>
      </c>
      <c r="U7353" s="3" t="s">
        <v>74</v>
      </c>
      <c r="V7353" s="3" t="s">
        <v>75</v>
      </c>
      <c r="W7353" s="3" t="s">
        <v>32603</v>
      </c>
      <c r="X7353" s="10" t="s">
        <v>2130</v>
      </c>
      <c r="Y7353" s="6" t="s">
        <v>42</v>
      </c>
      <c r="Z7353" s="4" t="s">
        <v>36</v>
      </c>
      <c r="AA7353" s="4" t="s">
        <v>36</v>
      </c>
      <c r="AB7353" s="3" t="s">
        <v>56</v>
      </c>
      <c r="AC7353" s="3" t="s">
        <v>32604</v>
      </c>
      <c r="AD7353" s="9">
        <v>42005</v>
      </c>
      <c r="AE7353" s="3" t="s">
        <v>975</v>
      </c>
      <c r="AF7353" s="3" t="s">
        <v>546</v>
      </c>
      <c r="AG7353" s="3" t="s">
        <v>32605</v>
      </c>
      <c r="AH7353" s="11">
        <f>HYPERLINK("https://my.pitchbook.com?c=50432-23T","View Company Online")</f>
      </c>
    </row>
    <row r="7354">
      <c r="A7354" s="12" t="s">
        <v>32606</v>
      </c>
      <c r="B7354" s="12" t="s">
        <v>32607</v>
      </c>
      <c r="C7354" s="19" t="s">
        <v>36</v>
      </c>
      <c r="D7354" s="19" t="s">
        <v>36</v>
      </c>
      <c r="E7354" s="19" t="s">
        <v>36</v>
      </c>
      <c r="F7354" s="19" t="s">
        <v>36</v>
      </c>
      <c r="G7354" s="15" t="s">
        <v>683</v>
      </c>
      <c r="H7354" s="14">
        <v>3.41</v>
      </c>
      <c r="I7354" s="18">
        <v>48.03</v>
      </c>
      <c r="J7354" s="12" t="s">
        <v>521</v>
      </c>
      <c r="K7354" s="13" t="s">
        <v>36</v>
      </c>
      <c r="L7354" s="15" t="s">
        <v>36</v>
      </c>
      <c r="M7354" s="12" t="s">
        <v>36</v>
      </c>
      <c r="N7354" s="12" t="s">
        <v>36</v>
      </c>
      <c r="O7354" s="17" t="s">
        <v>36</v>
      </c>
      <c r="P7354" s="12" t="s">
        <v>36</v>
      </c>
      <c r="Q7354" s="12" t="s">
        <v>36</v>
      </c>
      <c r="R7354" s="12" t="s">
        <v>36</v>
      </c>
      <c r="S7354" s="12" t="s">
        <v>36</v>
      </c>
      <c r="T7354" s="12" t="s">
        <v>32608</v>
      </c>
      <c r="U7354" s="12" t="s">
        <v>619</v>
      </c>
      <c r="V7354" s="12" t="s">
        <v>378</v>
      </c>
      <c r="W7354" s="12" t="s">
        <v>32609</v>
      </c>
      <c r="X7354" s="16" t="s">
        <v>11579</v>
      </c>
      <c r="Y7354" s="15" t="s">
        <v>108</v>
      </c>
      <c r="Z7354" s="14">
        <v>1.71</v>
      </c>
      <c r="AA7354" s="14">
        <v>3.56</v>
      </c>
      <c r="AB7354" s="12" t="s">
        <v>43</v>
      </c>
      <c r="AC7354" s="12" t="s">
        <v>32610</v>
      </c>
      <c r="AD7354" s="13">
        <v>42005</v>
      </c>
      <c r="AE7354" s="12" t="s">
        <v>20803</v>
      </c>
      <c r="AF7354" s="12" t="s">
        <v>5793</v>
      </c>
      <c r="AG7354" s="12" t="s">
        <v>32611</v>
      </c>
      <c r="AH7354" s="1">
        <f>HYPERLINK("https://my.pitchbook.com?c=84933-19T","View Company Online")</f>
      </c>
    </row>
    <row r="7355">
      <c r="A7355" s="3" t="s">
        <v>32612</v>
      </c>
      <c r="B7355" s="3" t="s">
        <v>32613</v>
      </c>
      <c r="C7355" s="5" t="s">
        <v>36</v>
      </c>
      <c r="D7355" s="5" t="s">
        <v>36</v>
      </c>
      <c r="E7355" s="5" t="s">
        <v>36</v>
      </c>
      <c r="F7355" s="5" t="s">
        <v>36</v>
      </c>
      <c r="G7355" s="6" t="s">
        <v>36</v>
      </c>
      <c r="H7355" s="4" t="s">
        <v>36</v>
      </c>
      <c r="I7355" s="7" t="s">
        <v>36</v>
      </c>
      <c r="J7355" s="3" t="s">
        <v>36</v>
      </c>
      <c r="K7355" s="9" t="s">
        <v>36</v>
      </c>
      <c r="L7355" s="6" t="s">
        <v>122</v>
      </c>
      <c r="M7355" s="3" t="s">
        <v>36</v>
      </c>
      <c r="N7355" s="3" t="s">
        <v>122</v>
      </c>
      <c r="O7355" s="8" t="s">
        <v>36</v>
      </c>
      <c r="P7355" s="3" t="s">
        <v>36</v>
      </c>
      <c r="Q7355" s="3" t="s">
        <v>36</v>
      </c>
      <c r="R7355" s="3" t="s">
        <v>36</v>
      </c>
      <c r="S7355" s="3" t="s">
        <v>36</v>
      </c>
      <c r="T7355" s="3" t="s">
        <v>15633</v>
      </c>
      <c r="U7355" s="3" t="s">
        <v>38</v>
      </c>
      <c r="V7355" s="3" t="s">
        <v>39</v>
      </c>
      <c r="W7355" s="3" t="s">
        <v>32614</v>
      </c>
      <c r="X7355" s="10" t="s">
        <v>16874</v>
      </c>
      <c r="Y7355" s="6" t="s">
        <v>42</v>
      </c>
      <c r="Z7355" s="4">
        <v>3.5</v>
      </c>
      <c r="AA7355" s="4" t="s">
        <v>36</v>
      </c>
      <c r="AB7355" s="3" t="s">
        <v>43</v>
      </c>
      <c r="AC7355" s="3" t="s">
        <v>32615</v>
      </c>
      <c r="AD7355" s="9">
        <v>42005</v>
      </c>
      <c r="AE7355" s="3" t="s">
        <v>110</v>
      </c>
      <c r="AF7355" s="3" t="s">
        <v>4552</v>
      </c>
      <c r="AG7355" s="3" t="s">
        <v>32616</v>
      </c>
      <c r="AH7355" s="11">
        <f>HYPERLINK("https://my.pitchbook.com?c=223563-70T","View Company Online")</f>
      </c>
    </row>
    <row r="7356">
      <c r="A7356" s="12" t="s">
        <v>32617</v>
      </c>
      <c r="B7356" s="12" t="s">
        <v>28528</v>
      </c>
      <c r="C7356" s="19" t="s">
        <v>36</v>
      </c>
      <c r="D7356" s="19" t="s">
        <v>36</v>
      </c>
      <c r="E7356" s="19" t="s">
        <v>36</v>
      </c>
      <c r="F7356" s="19" t="s">
        <v>36</v>
      </c>
      <c r="G7356" s="15" t="s">
        <v>36</v>
      </c>
      <c r="H7356" s="14" t="s">
        <v>36</v>
      </c>
      <c r="I7356" s="18" t="s">
        <v>36</v>
      </c>
      <c r="J7356" s="12" t="s">
        <v>36</v>
      </c>
      <c r="K7356" s="13" t="s">
        <v>36</v>
      </c>
      <c r="L7356" s="15" t="s">
        <v>36</v>
      </c>
      <c r="M7356" s="12" t="s">
        <v>36</v>
      </c>
      <c r="N7356" s="12" t="s">
        <v>36</v>
      </c>
      <c r="O7356" s="17" t="s">
        <v>36</v>
      </c>
      <c r="P7356" s="12" t="s">
        <v>36</v>
      </c>
      <c r="Q7356" s="12" t="s">
        <v>36</v>
      </c>
      <c r="R7356" s="12" t="s">
        <v>36</v>
      </c>
      <c r="S7356" s="12" t="s">
        <v>36</v>
      </c>
      <c r="T7356" s="12" t="s">
        <v>28529</v>
      </c>
      <c r="U7356" s="12" t="s">
        <v>38</v>
      </c>
      <c r="V7356" s="12" t="s">
        <v>39</v>
      </c>
      <c r="W7356" s="12" t="s">
        <v>28530</v>
      </c>
      <c r="X7356" s="16" t="s">
        <v>32618</v>
      </c>
      <c r="Y7356" s="15" t="s">
        <v>42</v>
      </c>
      <c r="Z7356" s="14">
        <v>1</v>
      </c>
      <c r="AA7356" s="14" t="s">
        <v>36</v>
      </c>
      <c r="AB7356" s="12" t="s">
        <v>43</v>
      </c>
      <c r="AC7356" s="12" t="s">
        <v>28532</v>
      </c>
      <c r="AD7356" s="13">
        <v>42005</v>
      </c>
      <c r="AE7356" s="12" t="s">
        <v>45</v>
      </c>
      <c r="AF7356" s="12" t="s">
        <v>28533</v>
      </c>
      <c r="AG7356" s="12" t="s">
        <v>81</v>
      </c>
      <c r="AH7356" s="1">
        <f>HYPERLINK("https://my.pitchbook.com?c=107924-23T","View Company Online")</f>
      </c>
    </row>
    <row r="7357">
      <c r="A7357" s="3" t="s">
        <v>32619</v>
      </c>
      <c r="B7357" s="3" t="s">
        <v>32620</v>
      </c>
      <c r="C7357" s="5" t="s">
        <v>36</v>
      </c>
      <c r="D7357" s="5" t="s">
        <v>36</v>
      </c>
      <c r="E7357" s="5" t="s">
        <v>36</v>
      </c>
      <c r="F7357" s="5" t="s">
        <v>36</v>
      </c>
      <c r="G7357" s="6" t="s">
        <v>36</v>
      </c>
      <c r="H7357" s="4" t="s">
        <v>36</v>
      </c>
      <c r="I7357" s="7" t="s">
        <v>36</v>
      </c>
      <c r="J7357" s="3" t="s">
        <v>36</v>
      </c>
      <c r="K7357" s="9" t="s">
        <v>36</v>
      </c>
      <c r="L7357" s="6" t="s">
        <v>36</v>
      </c>
      <c r="M7357" s="3" t="s">
        <v>36</v>
      </c>
      <c r="N7357" s="3" t="s">
        <v>36</v>
      </c>
      <c r="O7357" s="8" t="s">
        <v>36</v>
      </c>
      <c r="P7357" s="3" t="s">
        <v>36</v>
      </c>
      <c r="Q7357" s="3" t="s">
        <v>36</v>
      </c>
      <c r="R7357" s="3" t="s">
        <v>36</v>
      </c>
      <c r="S7357" s="3" t="s">
        <v>36</v>
      </c>
      <c r="T7357" s="3" t="s">
        <v>31660</v>
      </c>
      <c r="U7357" s="3" t="s">
        <v>63</v>
      </c>
      <c r="V7357" s="3" t="s">
        <v>64</v>
      </c>
      <c r="W7357" s="3" t="s">
        <v>32621</v>
      </c>
      <c r="X7357" s="10" t="s">
        <v>3098</v>
      </c>
      <c r="Y7357" s="6" t="s">
        <v>108</v>
      </c>
      <c r="Z7357" s="4">
        <v>0.98</v>
      </c>
      <c r="AA7357" s="4" t="s">
        <v>36</v>
      </c>
      <c r="AB7357" s="3" t="s">
        <v>43</v>
      </c>
      <c r="AC7357" s="3" t="s">
        <v>32622</v>
      </c>
      <c r="AD7357" s="9">
        <v>42005</v>
      </c>
      <c r="AE7357" s="3" t="s">
        <v>399</v>
      </c>
      <c r="AF7357" s="3" t="s">
        <v>4270</v>
      </c>
      <c r="AG7357" s="3" t="s">
        <v>81</v>
      </c>
      <c r="AH7357" s="11">
        <f>HYPERLINK("https://my.pitchbook.com?c=135177-31T","View Company Online")</f>
      </c>
    </row>
    <row r="7358">
      <c r="A7358" s="12" t="s">
        <v>32623</v>
      </c>
      <c r="B7358" s="12" t="s">
        <v>32624</v>
      </c>
      <c r="C7358" s="19" t="s">
        <v>36</v>
      </c>
      <c r="D7358" s="19" t="s">
        <v>36</v>
      </c>
      <c r="E7358" s="19" t="s">
        <v>36</v>
      </c>
      <c r="F7358" s="19" t="s">
        <v>36</v>
      </c>
      <c r="G7358" s="15" t="s">
        <v>36</v>
      </c>
      <c r="H7358" s="14" t="s">
        <v>36</v>
      </c>
      <c r="I7358" s="18" t="s">
        <v>36</v>
      </c>
      <c r="J7358" s="12" t="s">
        <v>36</v>
      </c>
      <c r="K7358" s="13" t="s">
        <v>36</v>
      </c>
      <c r="L7358" s="15" t="s">
        <v>36</v>
      </c>
      <c r="M7358" s="12" t="s">
        <v>36</v>
      </c>
      <c r="N7358" s="12" t="s">
        <v>36</v>
      </c>
      <c r="O7358" s="17" t="s">
        <v>36</v>
      </c>
      <c r="P7358" s="12" t="s">
        <v>36</v>
      </c>
      <c r="Q7358" s="12" t="s">
        <v>36</v>
      </c>
      <c r="R7358" s="12" t="s">
        <v>36</v>
      </c>
      <c r="S7358" s="12" t="s">
        <v>36</v>
      </c>
      <c r="T7358" s="12" t="s">
        <v>5678</v>
      </c>
      <c r="U7358" s="12" t="s">
        <v>74</v>
      </c>
      <c r="V7358" s="12" t="s">
        <v>75</v>
      </c>
      <c r="W7358" s="12" t="s">
        <v>32625</v>
      </c>
      <c r="X7358" s="16" t="s">
        <v>32626</v>
      </c>
      <c r="Y7358" s="15" t="s">
        <v>42</v>
      </c>
      <c r="Z7358" s="14">
        <v>0.5</v>
      </c>
      <c r="AA7358" s="14" t="s">
        <v>36</v>
      </c>
      <c r="AB7358" s="12" t="s">
        <v>43</v>
      </c>
      <c r="AC7358" s="12" t="s">
        <v>32627</v>
      </c>
      <c r="AD7358" s="13">
        <v>42005</v>
      </c>
      <c r="AE7358" s="12" t="s">
        <v>79</v>
      </c>
      <c r="AF7358" s="12" t="s">
        <v>32628</v>
      </c>
      <c r="AG7358" s="12" t="s">
        <v>81</v>
      </c>
      <c r="AH7358" s="1">
        <f>HYPERLINK("https://my.pitchbook.com?c=84765-07T","View Company Online")</f>
      </c>
    </row>
    <row r="7359">
      <c r="A7359" s="3" t="s">
        <v>32629</v>
      </c>
      <c r="B7359" s="3" t="s">
        <v>20343</v>
      </c>
      <c r="C7359" s="5" t="s">
        <v>36</v>
      </c>
      <c r="D7359" s="5" t="s">
        <v>36</v>
      </c>
      <c r="E7359" s="5" t="s">
        <v>36</v>
      </c>
      <c r="F7359" s="5" t="s">
        <v>36</v>
      </c>
      <c r="G7359" s="6" t="s">
        <v>36</v>
      </c>
      <c r="H7359" s="4" t="s">
        <v>36</v>
      </c>
      <c r="I7359" s="7" t="s">
        <v>36</v>
      </c>
      <c r="J7359" s="3" t="s">
        <v>36</v>
      </c>
      <c r="K7359" s="9" t="s">
        <v>36</v>
      </c>
      <c r="L7359" s="6" t="s">
        <v>36</v>
      </c>
      <c r="M7359" s="3" t="s">
        <v>36</v>
      </c>
      <c r="N7359" s="3" t="s">
        <v>36</v>
      </c>
      <c r="O7359" s="8" t="s">
        <v>36</v>
      </c>
      <c r="P7359" s="3" t="s">
        <v>36</v>
      </c>
      <c r="Q7359" s="3" t="s">
        <v>36</v>
      </c>
      <c r="R7359" s="3" t="s">
        <v>36</v>
      </c>
      <c r="S7359" s="3" t="s">
        <v>36</v>
      </c>
      <c r="T7359" s="3" t="s">
        <v>522</v>
      </c>
      <c r="U7359" s="3" t="s">
        <v>38</v>
      </c>
      <c r="V7359" s="3" t="s">
        <v>39</v>
      </c>
      <c r="W7359" s="3" t="s">
        <v>20344</v>
      </c>
      <c r="X7359" s="10" t="s">
        <v>32630</v>
      </c>
      <c r="Y7359" s="6" t="s">
        <v>42</v>
      </c>
      <c r="Z7359" s="4">
        <v>0.37</v>
      </c>
      <c r="AA7359" s="4" t="s">
        <v>36</v>
      </c>
      <c r="AB7359" s="3" t="s">
        <v>43</v>
      </c>
      <c r="AC7359" s="3" t="s">
        <v>20346</v>
      </c>
      <c r="AD7359" s="9">
        <v>42005</v>
      </c>
      <c r="AE7359" s="3" t="s">
        <v>110</v>
      </c>
      <c r="AF7359" s="3" t="s">
        <v>2759</v>
      </c>
      <c r="AG7359" s="3" t="s">
        <v>186</v>
      </c>
      <c r="AH7359" s="11">
        <f>HYPERLINK("https://my.pitchbook.com?c=124196-32T","View Company Online")</f>
      </c>
    </row>
    <row r="7360">
      <c r="A7360" s="12" t="s">
        <v>32631</v>
      </c>
      <c r="B7360" s="12" t="s">
        <v>9064</v>
      </c>
      <c r="C7360" s="19" t="s">
        <v>36</v>
      </c>
      <c r="D7360" s="19" t="s">
        <v>36</v>
      </c>
      <c r="E7360" s="19" t="s">
        <v>36</v>
      </c>
      <c r="F7360" s="19" t="s">
        <v>36</v>
      </c>
      <c r="G7360" s="15" t="s">
        <v>36</v>
      </c>
      <c r="H7360" s="14" t="s">
        <v>36</v>
      </c>
      <c r="I7360" s="18" t="s">
        <v>36</v>
      </c>
      <c r="J7360" s="12" t="s">
        <v>36</v>
      </c>
      <c r="K7360" s="13" t="s">
        <v>36</v>
      </c>
      <c r="L7360" s="15" t="s">
        <v>36</v>
      </c>
      <c r="M7360" s="12" t="s">
        <v>36</v>
      </c>
      <c r="N7360" s="12" t="s">
        <v>36</v>
      </c>
      <c r="O7360" s="17" t="s">
        <v>36</v>
      </c>
      <c r="P7360" s="12" t="s">
        <v>36</v>
      </c>
      <c r="Q7360" s="12" t="s">
        <v>36</v>
      </c>
      <c r="R7360" s="12" t="s">
        <v>36</v>
      </c>
      <c r="S7360" s="12" t="s">
        <v>36</v>
      </c>
      <c r="T7360" s="12" t="s">
        <v>9065</v>
      </c>
      <c r="U7360" s="12" t="s">
        <v>648</v>
      </c>
      <c r="V7360" s="12" t="s">
        <v>64</v>
      </c>
      <c r="W7360" s="12" t="s">
        <v>9066</v>
      </c>
      <c r="X7360" s="16" t="s">
        <v>8652</v>
      </c>
      <c r="Y7360" s="15" t="s">
        <v>108</v>
      </c>
      <c r="Z7360" s="14" t="s">
        <v>36</v>
      </c>
      <c r="AA7360" s="14" t="s">
        <v>36</v>
      </c>
      <c r="AB7360" s="12" t="s">
        <v>43</v>
      </c>
      <c r="AC7360" s="12" t="s">
        <v>9068</v>
      </c>
      <c r="AD7360" s="13">
        <v>42005</v>
      </c>
      <c r="AE7360" s="12" t="s">
        <v>1897</v>
      </c>
      <c r="AF7360" s="12" t="s">
        <v>2409</v>
      </c>
      <c r="AG7360" s="12" t="s">
        <v>2618</v>
      </c>
      <c r="AH7360" s="1">
        <f>HYPERLINK("https://my.pitchbook.com?c=125338-60T","View Company Online")</f>
      </c>
    </row>
    <row r="7361">
      <c r="A7361" s="3" t="s">
        <v>32632</v>
      </c>
      <c r="B7361" s="3" t="s">
        <v>32633</v>
      </c>
      <c r="C7361" s="5" t="s">
        <v>36</v>
      </c>
      <c r="D7361" s="5" t="s">
        <v>36</v>
      </c>
      <c r="E7361" s="5" t="s">
        <v>36</v>
      </c>
      <c r="F7361" s="5" t="s">
        <v>36</v>
      </c>
      <c r="G7361" s="6" t="s">
        <v>36</v>
      </c>
      <c r="H7361" s="4" t="s">
        <v>36</v>
      </c>
      <c r="I7361" s="7" t="s">
        <v>36</v>
      </c>
      <c r="J7361" s="3" t="s">
        <v>36</v>
      </c>
      <c r="K7361" s="9" t="s">
        <v>36</v>
      </c>
      <c r="L7361" s="6" t="s">
        <v>36</v>
      </c>
      <c r="M7361" s="3" t="s">
        <v>36</v>
      </c>
      <c r="N7361" s="3" t="s">
        <v>36</v>
      </c>
      <c r="O7361" s="8" t="s">
        <v>36</v>
      </c>
      <c r="P7361" s="3" t="s">
        <v>36</v>
      </c>
      <c r="Q7361" s="3" t="s">
        <v>36</v>
      </c>
      <c r="R7361" s="3" t="s">
        <v>36</v>
      </c>
      <c r="S7361" s="3" t="s">
        <v>36</v>
      </c>
      <c r="T7361" s="3" t="s">
        <v>27052</v>
      </c>
      <c r="U7361" s="3" t="s">
        <v>423</v>
      </c>
      <c r="V7361" s="3" t="s">
        <v>64</v>
      </c>
      <c r="W7361" s="3" t="s">
        <v>32634</v>
      </c>
      <c r="X7361" s="10" t="s">
        <v>32635</v>
      </c>
      <c r="Y7361" s="6" t="s">
        <v>42</v>
      </c>
      <c r="Z7361" s="4">
        <v>0.61</v>
      </c>
      <c r="AA7361" s="4" t="s">
        <v>36</v>
      </c>
      <c r="AB7361" s="3" t="s">
        <v>56</v>
      </c>
      <c r="AC7361" s="3" t="s">
        <v>32636</v>
      </c>
      <c r="AD7361" s="9">
        <v>42005</v>
      </c>
      <c r="AE7361" s="3" t="s">
        <v>562</v>
      </c>
      <c r="AF7361" s="3" t="s">
        <v>1061</v>
      </c>
      <c r="AG7361" s="3" t="s">
        <v>32637</v>
      </c>
      <c r="AH7361" s="11">
        <f>HYPERLINK("https://my.pitchbook.com?c=235173-79T","View Company Online")</f>
      </c>
    </row>
    <row r="7362">
      <c r="A7362" s="12" t="s">
        <v>32638</v>
      </c>
      <c r="B7362" s="12" t="s">
        <v>32639</v>
      </c>
      <c r="C7362" s="19" t="s">
        <v>36</v>
      </c>
      <c r="D7362" s="19" t="s">
        <v>36</v>
      </c>
      <c r="E7362" s="19" t="s">
        <v>36</v>
      </c>
      <c r="F7362" s="19" t="s">
        <v>36</v>
      </c>
      <c r="G7362" s="15" t="s">
        <v>36</v>
      </c>
      <c r="H7362" s="14" t="s">
        <v>36</v>
      </c>
      <c r="I7362" s="18" t="s">
        <v>36</v>
      </c>
      <c r="J7362" s="12" t="s">
        <v>36</v>
      </c>
      <c r="K7362" s="13" t="s">
        <v>36</v>
      </c>
      <c r="L7362" s="15" t="s">
        <v>36</v>
      </c>
      <c r="M7362" s="12" t="s">
        <v>36</v>
      </c>
      <c r="N7362" s="12" t="s">
        <v>36</v>
      </c>
      <c r="O7362" s="17" t="s">
        <v>36</v>
      </c>
      <c r="P7362" s="12" t="s">
        <v>36</v>
      </c>
      <c r="Q7362" s="12" t="s">
        <v>36</v>
      </c>
      <c r="R7362" s="12" t="s">
        <v>36</v>
      </c>
      <c r="S7362" s="12" t="s">
        <v>36</v>
      </c>
      <c r="T7362" s="12" t="s">
        <v>2483</v>
      </c>
      <c r="U7362" s="12" t="s">
        <v>63</v>
      </c>
      <c r="V7362" s="12" t="s">
        <v>64</v>
      </c>
      <c r="W7362" s="12" t="s">
        <v>32640</v>
      </c>
      <c r="X7362" s="16" t="s">
        <v>32641</v>
      </c>
      <c r="Y7362" s="15" t="s">
        <v>42</v>
      </c>
      <c r="Z7362" s="14" t="s">
        <v>36</v>
      </c>
      <c r="AA7362" s="14" t="s">
        <v>36</v>
      </c>
      <c r="AB7362" s="12" t="s">
        <v>56</v>
      </c>
      <c r="AC7362" s="12" t="s">
        <v>32642</v>
      </c>
      <c r="AD7362" s="13">
        <v>42005</v>
      </c>
      <c r="AE7362" s="12" t="s">
        <v>399</v>
      </c>
      <c r="AF7362" s="12" t="s">
        <v>36</v>
      </c>
      <c r="AG7362" s="12" t="s">
        <v>32643</v>
      </c>
      <c r="AH7362" s="1">
        <f>HYPERLINK("https://my.pitchbook.com?c=116048-08T","View Company Online")</f>
      </c>
    </row>
    <row r="7363">
      <c r="A7363" s="3" t="s">
        <v>32644</v>
      </c>
      <c r="B7363" s="3" t="s">
        <v>32645</v>
      </c>
      <c r="C7363" s="5" t="s">
        <v>36</v>
      </c>
      <c r="D7363" s="5" t="s">
        <v>36</v>
      </c>
      <c r="E7363" s="5" t="s">
        <v>36</v>
      </c>
      <c r="F7363" s="5" t="s">
        <v>36</v>
      </c>
      <c r="G7363" s="6" t="s">
        <v>36</v>
      </c>
      <c r="H7363" s="4" t="s">
        <v>36</v>
      </c>
      <c r="I7363" s="7" t="s">
        <v>36</v>
      </c>
      <c r="J7363" s="3" t="s">
        <v>36</v>
      </c>
      <c r="K7363" s="9" t="s">
        <v>36</v>
      </c>
      <c r="L7363" s="6" t="s">
        <v>36</v>
      </c>
      <c r="M7363" s="3" t="s">
        <v>36</v>
      </c>
      <c r="N7363" s="3" t="s">
        <v>36</v>
      </c>
      <c r="O7363" s="8" t="s">
        <v>36</v>
      </c>
      <c r="P7363" s="3" t="s">
        <v>36</v>
      </c>
      <c r="Q7363" s="3" t="s">
        <v>36</v>
      </c>
      <c r="R7363" s="3" t="s">
        <v>36</v>
      </c>
      <c r="S7363" s="3" t="s">
        <v>36</v>
      </c>
      <c r="T7363" s="3" t="s">
        <v>3545</v>
      </c>
      <c r="U7363" s="3" t="s">
        <v>38</v>
      </c>
      <c r="V7363" s="3" t="s">
        <v>39</v>
      </c>
      <c r="W7363" s="3" t="s">
        <v>32646</v>
      </c>
      <c r="X7363" s="10" t="s">
        <v>23325</v>
      </c>
      <c r="Y7363" s="6" t="s">
        <v>42</v>
      </c>
      <c r="Z7363" s="4">
        <v>0.03</v>
      </c>
      <c r="AA7363" s="4" t="s">
        <v>36</v>
      </c>
      <c r="AB7363" s="3" t="s">
        <v>43</v>
      </c>
      <c r="AC7363" s="3" t="s">
        <v>32647</v>
      </c>
      <c r="AD7363" s="9">
        <v>42005</v>
      </c>
      <c r="AE7363" s="3" t="s">
        <v>1945</v>
      </c>
      <c r="AF7363" s="3" t="s">
        <v>32648</v>
      </c>
      <c r="AG7363" s="3" t="s">
        <v>22318</v>
      </c>
      <c r="AH7363" s="11">
        <f>HYPERLINK("https://my.pitchbook.com?c=126327-43T","View Company Online")</f>
      </c>
    </row>
    <row r="7364">
      <c r="A7364" s="12" t="s">
        <v>32649</v>
      </c>
      <c r="B7364" s="12" t="s">
        <v>32650</v>
      </c>
      <c r="C7364" s="19" t="s">
        <v>36</v>
      </c>
      <c r="D7364" s="19" t="s">
        <v>36</v>
      </c>
      <c r="E7364" s="19" t="s">
        <v>36</v>
      </c>
      <c r="F7364" s="19" t="s">
        <v>36</v>
      </c>
      <c r="G7364" s="15" t="s">
        <v>36</v>
      </c>
      <c r="H7364" s="14" t="s">
        <v>36</v>
      </c>
      <c r="I7364" s="18" t="s">
        <v>36</v>
      </c>
      <c r="J7364" s="12" t="s">
        <v>36</v>
      </c>
      <c r="K7364" s="13" t="s">
        <v>36</v>
      </c>
      <c r="L7364" s="15" t="s">
        <v>36</v>
      </c>
      <c r="M7364" s="12" t="s">
        <v>36</v>
      </c>
      <c r="N7364" s="12" t="s">
        <v>36</v>
      </c>
      <c r="O7364" s="17" t="s">
        <v>36</v>
      </c>
      <c r="P7364" s="12" t="s">
        <v>36</v>
      </c>
      <c r="Q7364" s="12" t="s">
        <v>36</v>
      </c>
      <c r="R7364" s="12" t="s">
        <v>36</v>
      </c>
      <c r="S7364" s="12" t="s">
        <v>36</v>
      </c>
      <c r="T7364" s="12" t="s">
        <v>32651</v>
      </c>
      <c r="U7364" s="12" t="s">
        <v>289</v>
      </c>
      <c r="V7364" s="12" t="s">
        <v>64</v>
      </c>
      <c r="W7364" s="12" t="s">
        <v>32652</v>
      </c>
      <c r="X7364" s="16" t="s">
        <v>20907</v>
      </c>
      <c r="Y7364" s="15" t="s">
        <v>42</v>
      </c>
      <c r="Z7364" s="14" t="s">
        <v>36</v>
      </c>
      <c r="AA7364" s="14" t="s">
        <v>36</v>
      </c>
      <c r="AB7364" s="12" t="s">
        <v>43</v>
      </c>
      <c r="AC7364" s="12" t="s">
        <v>32653</v>
      </c>
      <c r="AD7364" s="13">
        <v>42005</v>
      </c>
      <c r="AE7364" s="12" t="s">
        <v>3134</v>
      </c>
      <c r="AF7364" s="12" t="s">
        <v>6417</v>
      </c>
      <c r="AG7364" s="12" t="s">
        <v>47</v>
      </c>
      <c r="AH7364" s="1">
        <f>HYPERLINK("https://my.pitchbook.com?c=127429-39T","View Company Online")</f>
      </c>
    </row>
    <row r="7365">
      <c r="A7365" s="3" t="s">
        <v>32654</v>
      </c>
      <c r="B7365" s="3" t="s">
        <v>32655</v>
      </c>
      <c r="C7365" s="5">
        <v>6</v>
      </c>
      <c r="D7365" s="5">
        <v>8</v>
      </c>
      <c r="E7365" s="5">
        <v>2</v>
      </c>
      <c r="F7365" s="5">
        <v>15</v>
      </c>
      <c r="G7365" s="6" t="s">
        <v>36</v>
      </c>
      <c r="H7365" s="4" t="s">
        <v>36</v>
      </c>
      <c r="I7365" s="7" t="s">
        <v>36</v>
      </c>
      <c r="J7365" s="3" t="s">
        <v>36</v>
      </c>
      <c r="K7365" s="9" t="s">
        <v>36</v>
      </c>
      <c r="L7365" s="6" t="s">
        <v>122</v>
      </c>
      <c r="M7365" s="3" t="s">
        <v>36</v>
      </c>
      <c r="N7365" s="3" t="s">
        <v>122</v>
      </c>
      <c r="O7365" s="8" t="s">
        <v>36</v>
      </c>
      <c r="P7365" s="3" t="s">
        <v>36</v>
      </c>
      <c r="Q7365" s="3" t="s">
        <v>36</v>
      </c>
      <c r="R7365" s="3" t="s">
        <v>36</v>
      </c>
      <c r="S7365" s="3" t="s">
        <v>36</v>
      </c>
      <c r="T7365" s="3" t="s">
        <v>154</v>
      </c>
      <c r="U7365" s="3" t="s">
        <v>51</v>
      </c>
      <c r="V7365" s="3" t="s">
        <v>52</v>
      </c>
      <c r="W7365" s="3" t="s">
        <v>32656</v>
      </c>
      <c r="X7365" s="10" t="s">
        <v>32657</v>
      </c>
      <c r="Y7365" s="6" t="s">
        <v>42</v>
      </c>
      <c r="Z7365" s="4" t="s">
        <v>36</v>
      </c>
      <c r="AA7365" s="4" t="s">
        <v>36</v>
      </c>
      <c r="AB7365" s="3" t="s">
        <v>43</v>
      </c>
      <c r="AC7365" s="3" t="s">
        <v>32658</v>
      </c>
      <c r="AD7365" s="9">
        <v>42005</v>
      </c>
      <c r="AE7365" s="3" t="s">
        <v>158</v>
      </c>
      <c r="AF7365" s="3" t="s">
        <v>101</v>
      </c>
      <c r="AG7365" s="3" t="s">
        <v>81</v>
      </c>
      <c r="AH7365" s="11">
        <f>HYPERLINK("https://my.pitchbook.com?c=200949-40T","View Company Online")</f>
      </c>
    </row>
    <row r="7366">
      <c r="A7366" s="12" t="s">
        <v>32659</v>
      </c>
      <c r="B7366" s="12" t="s">
        <v>32660</v>
      </c>
      <c r="C7366" s="19" t="s">
        <v>36</v>
      </c>
      <c r="D7366" s="19" t="s">
        <v>36</v>
      </c>
      <c r="E7366" s="19">
        <v>1</v>
      </c>
      <c r="F7366" s="19">
        <v>4</v>
      </c>
      <c r="G7366" s="15" t="s">
        <v>36</v>
      </c>
      <c r="H7366" s="14" t="s">
        <v>36</v>
      </c>
      <c r="I7366" s="18" t="s">
        <v>36</v>
      </c>
      <c r="J7366" s="12" t="s">
        <v>36</v>
      </c>
      <c r="K7366" s="13" t="s">
        <v>36</v>
      </c>
      <c r="L7366" s="15" t="s">
        <v>36</v>
      </c>
      <c r="M7366" s="12" t="s">
        <v>36</v>
      </c>
      <c r="N7366" s="12" t="s">
        <v>36</v>
      </c>
      <c r="O7366" s="17" t="s">
        <v>36</v>
      </c>
      <c r="P7366" s="12" t="s">
        <v>36</v>
      </c>
      <c r="Q7366" s="12" t="s">
        <v>36</v>
      </c>
      <c r="R7366" s="12" t="s">
        <v>36</v>
      </c>
      <c r="S7366" s="12" t="s">
        <v>36</v>
      </c>
      <c r="T7366" s="12" t="s">
        <v>32661</v>
      </c>
      <c r="U7366" s="12" t="s">
        <v>219</v>
      </c>
      <c r="V7366" s="12" t="s">
        <v>75</v>
      </c>
      <c r="W7366" s="12" t="s">
        <v>32662</v>
      </c>
      <c r="X7366" s="16" t="s">
        <v>1840</v>
      </c>
      <c r="Y7366" s="15" t="s">
        <v>42</v>
      </c>
      <c r="Z7366" s="14">
        <v>0.18</v>
      </c>
      <c r="AA7366" s="14" t="s">
        <v>36</v>
      </c>
      <c r="AB7366" s="12" t="s">
        <v>43</v>
      </c>
      <c r="AC7366" s="12" t="s">
        <v>32663</v>
      </c>
      <c r="AD7366" s="13">
        <v>42005</v>
      </c>
      <c r="AE7366" s="12" t="s">
        <v>1032</v>
      </c>
      <c r="AF7366" s="12" t="s">
        <v>32664</v>
      </c>
      <c r="AG7366" s="12" t="s">
        <v>32665</v>
      </c>
      <c r="AH7366" s="1">
        <f>HYPERLINK("https://my.pitchbook.com?c=99215-56T","View Company Online")</f>
      </c>
    </row>
    <row r="7367">
      <c r="A7367" s="3" t="s">
        <v>32666</v>
      </c>
      <c r="B7367" s="3" t="s">
        <v>22992</v>
      </c>
      <c r="C7367" s="5" t="s">
        <v>36</v>
      </c>
      <c r="D7367" s="5" t="s">
        <v>36</v>
      </c>
      <c r="E7367" s="5" t="s">
        <v>36</v>
      </c>
      <c r="F7367" s="5" t="s">
        <v>36</v>
      </c>
      <c r="G7367" s="6" t="s">
        <v>36</v>
      </c>
      <c r="H7367" s="4" t="s">
        <v>36</v>
      </c>
      <c r="I7367" s="7" t="s">
        <v>36</v>
      </c>
      <c r="J7367" s="3" t="s">
        <v>36</v>
      </c>
      <c r="K7367" s="9" t="s">
        <v>36</v>
      </c>
      <c r="L7367" s="6" t="s">
        <v>36</v>
      </c>
      <c r="M7367" s="3" t="s">
        <v>36</v>
      </c>
      <c r="N7367" s="3" t="s">
        <v>36</v>
      </c>
      <c r="O7367" s="8" t="s">
        <v>36</v>
      </c>
      <c r="P7367" s="3" t="s">
        <v>36</v>
      </c>
      <c r="Q7367" s="3" t="s">
        <v>36</v>
      </c>
      <c r="R7367" s="3" t="s">
        <v>36</v>
      </c>
      <c r="S7367" s="3" t="s">
        <v>36</v>
      </c>
      <c r="T7367" s="3" t="s">
        <v>522</v>
      </c>
      <c r="U7367" s="3" t="s">
        <v>38</v>
      </c>
      <c r="V7367" s="3" t="s">
        <v>39</v>
      </c>
      <c r="W7367" s="3" t="s">
        <v>22993</v>
      </c>
      <c r="X7367" s="10" t="s">
        <v>32667</v>
      </c>
      <c r="Y7367" s="6" t="s">
        <v>42</v>
      </c>
      <c r="Z7367" s="4">
        <v>1.6</v>
      </c>
      <c r="AA7367" s="4" t="s">
        <v>36</v>
      </c>
      <c r="AB7367" s="3" t="s">
        <v>56</v>
      </c>
      <c r="AC7367" s="3" t="s">
        <v>22995</v>
      </c>
      <c r="AD7367" s="9">
        <v>42005</v>
      </c>
      <c r="AE7367" s="3" t="s">
        <v>110</v>
      </c>
      <c r="AF7367" s="3" t="s">
        <v>22104</v>
      </c>
      <c r="AG7367" s="3" t="s">
        <v>81</v>
      </c>
      <c r="AH7367" s="11">
        <f>HYPERLINK("https://my.pitchbook.com?c=87368-95T","View Company Online")</f>
      </c>
    </row>
    <row r="7368">
      <c r="A7368" s="12" t="s">
        <v>32668</v>
      </c>
      <c r="B7368" s="12" t="s">
        <v>19407</v>
      </c>
      <c r="C7368" s="19" t="s">
        <v>36</v>
      </c>
      <c r="D7368" s="19" t="s">
        <v>36</v>
      </c>
      <c r="E7368" s="19" t="s">
        <v>36</v>
      </c>
      <c r="F7368" s="19" t="s">
        <v>36</v>
      </c>
      <c r="G7368" s="15" t="s">
        <v>36</v>
      </c>
      <c r="H7368" s="14" t="s">
        <v>36</v>
      </c>
      <c r="I7368" s="18" t="s">
        <v>36</v>
      </c>
      <c r="J7368" s="12" t="s">
        <v>36</v>
      </c>
      <c r="K7368" s="13" t="s">
        <v>36</v>
      </c>
      <c r="L7368" s="15" t="s">
        <v>36</v>
      </c>
      <c r="M7368" s="12" t="s">
        <v>36</v>
      </c>
      <c r="N7368" s="12" t="s">
        <v>36</v>
      </c>
      <c r="O7368" s="17" t="s">
        <v>36</v>
      </c>
      <c r="P7368" s="12" t="s">
        <v>36</v>
      </c>
      <c r="Q7368" s="12" t="s">
        <v>36</v>
      </c>
      <c r="R7368" s="12" t="s">
        <v>36</v>
      </c>
      <c r="S7368" s="12" t="s">
        <v>36</v>
      </c>
      <c r="T7368" s="12" t="s">
        <v>2285</v>
      </c>
      <c r="U7368" s="12" t="s">
        <v>38</v>
      </c>
      <c r="V7368" s="12" t="s">
        <v>39</v>
      </c>
      <c r="W7368" s="12" t="s">
        <v>19408</v>
      </c>
      <c r="X7368" s="16" t="s">
        <v>32669</v>
      </c>
      <c r="Y7368" s="15" t="s">
        <v>42</v>
      </c>
      <c r="Z7368" s="14">
        <v>1.04</v>
      </c>
      <c r="AA7368" s="14" t="s">
        <v>36</v>
      </c>
      <c r="AB7368" s="12" t="s">
        <v>43</v>
      </c>
      <c r="AC7368" s="12" t="s">
        <v>19410</v>
      </c>
      <c r="AD7368" s="13">
        <v>42005</v>
      </c>
      <c r="AE7368" s="12" t="s">
        <v>110</v>
      </c>
      <c r="AF7368" s="12" t="s">
        <v>526</v>
      </c>
      <c r="AG7368" s="12" t="s">
        <v>19411</v>
      </c>
      <c r="AH7368" s="1">
        <f>HYPERLINK("https://my.pitchbook.com?c=78685-39T","View Company Online")</f>
      </c>
    </row>
    <row r="7369">
      <c r="A7369" s="3" t="s">
        <v>32670</v>
      </c>
      <c r="B7369" s="3" t="s">
        <v>32671</v>
      </c>
      <c r="C7369" s="5" t="s">
        <v>36</v>
      </c>
      <c r="D7369" s="5">
        <v>6</v>
      </c>
      <c r="E7369" s="5">
        <v>3</v>
      </c>
      <c r="F7369" s="5">
        <v>6</v>
      </c>
      <c r="G7369" s="6" t="s">
        <v>36</v>
      </c>
      <c r="H7369" s="4" t="s">
        <v>36</v>
      </c>
      <c r="I7369" s="7" t="s">
        <v>36</v>
      </c>
      <c r="J7369" s="3" t="s">
        <v>36</v>
      </c>
      <c r="K7369" s="9" t="s">
        <v>36</v>
      </c>
      <c r="L7369" s="6" t="s">
        <v>36</v>
      </c>
      <c r="M7369" s="3" t="s">
        <v>36</v>
      </c>
      <c r="N7369" s="3" t="s">
        <v>36</v>
      </c>
      <c r="O7369" s="8" t="s">
        <v>36</v>
      </c>
      <c r="P7369" s="3" t="s">
        <v>36</v>
      </c>
      <c r="Q7369" s="3" t="s">
        <v>36</v>
      </c>
      <c r="R7369" s="3" t="s">
        <v>36</v>
      </c>
      <c r="S7369" s="3" t="s">
        <v>13741</v>
      </c>
      <c r="T7369" s="3" t="s">
        <v>5666</v>
      </c>
      <c r="U7369" s="3" t="s">
        <v>219</v>
      </c>
      <c r="V7369" s="3" t="s">
        <v>75</v>
      </c>
      <c r="W7369" s="3" t="s">
        <v>32672</v>
      </c>
      <c r="X7369" s="10" t="s">
        <v>32673</v>
      </c>
      <c r="Y7369" s="6" t="s">
        <v>42</v>
      </c>
      <c r="Z7369" s="4">
        <v>1.23</v>
      </c>
      <c r="AA7369" s="4" t="s">
        <v>36</v>
      </c>
      <c r="AB7369" s="3" t="s">
        <v>43</v>
      </c>
      <c r="AC7369" s="3" t="s">
        <v>32674</v>
      </c>
      <c r="AD7369" s="9">
        <v>42005</v>
      </c>
      <c r="AE7369" s="3" t="s">
        <v>223</v>
      </c>
      <c r="AF7369" s="3" t="s">
        <v>9508</v>
      </c>
      <c r="AG7369" s="3" t="s">
        <v>787</v>
      </c>
      <c r="AH7369" s="11">
        <f>HYPERLINK("https://my.pitchbook.com?c=125888-41T","View Company Online")</f>
      </c>
    </row>
    <row r="7370">
      <c r="A7370" s="12" t="s">
        <v>32675</v>
      </c>
      <c r="B7370" s="12" t="s">
        <v>32676</v>
      </c>
      <c r="C7370" s="19" t="s">
        <v>36</v>
      </c>
      <c r="D7370" s="19" t="s">
        <v>36</v>
      </c>
      <c r="E7370" s="19" t="s">
        <v>36</v>
      </c>
      <c r="F7370" s="19" t="s">
        <v>36</v>
      </c>
      <c r="G7370" s="15" t="s">
        <v>36</v>
      </c>
      <c r="H7370" s="14" t="s">
        <v>36</v>
      </c>
      <c r="I7370" s="18" t="s">
        <v>36</v>
      </c>
      <c r="J7370" s="12" t="s">
        <v>36</v>
      </c>
      <c r="K7370" s="13" t="s">
        <v>36</v>
      </c>
      <c r="L7370" s="15" t="s">
        <v>36</v>
      </c>
      <c r="M7370" s="12" t="s">
        <v>36</v>
      </c>
      <c r="N7370" s="12" t="s">
        <v>36</v>
      </c>
      <c r="O7370" s="17" t="s">
        <v>36</v>
      </c>
      <c r="P7370" s="12" t="s">
        <v>36</v>
      </c>
      <c r="Q7370" s="12" t="s">
        <v>36</v>
      </c>
      <c r="R7370" s="12" t="s">
        <v>36</v>
      </c>
      <c r="S7370" s="12" t="s">
        <v>36</v>
      </c>
      <c r="T7370" s="12" t="s">
        <v>32677</v>
      </c>
      <c r="U7370" s="12" t="s">
        <v>74</v>
      </c>
      <c r="V7370" s="12" t="s">
        <v>75</v>
      </c>
      <c r="W7370" s="12" t="s">
        <v>32678</v>
      </c>
      <c r="X7370" s="16" t="s">
        <v>32679</v>
      </c>
      <c r="Y7370" s="15" t="s">
        <v>108</v>
      </c>
      <c r="Z7370" s="14" t="s">
        <v>36</v>
      </c>
      <c r="AA7370" s="14" t="s">
        <v>36</v>
      </c>
      <c r="AB7370" s="12" t="s">
        <v>43</v>
      </c>
      <c r="AC7370" s="12" t="s">
        <v>32680</v>
      </c>
      <c r="AD7370" s="13">
        <v>42005</v>
      </c>
      <c r="AE7370" s="12" t="s">
        <v>1888</v>
      </c>
      <c r="AF7370" s="12" t="s">
        <v>28578</v>
      </c>
      <c r="AG7370" s="12" t="s">
        <v>81</v>
      </c>
      <c r="AH7370" s="1">
        <f>HYPERLINK("https://my.pitchbook.com?c=72794-62T","View Company Online")</f>
      </c>
    </row>
    <row r="7371">
      <c r="A7371" s="3" t="s">
        <v>32681</v>
      </c>
      <c r="B7371" s="3" t="s">
        <v>32682</v>
      </c>
      <c r="C7371" s="5" t="s">
        <v>36</v>
      </c>
      <c r="D7371" s="5" t="s">
        <v>36</v>
      </c>
      <c r="E7371" s="5" t="s">
        <v>36</v>
      </c>
      <c r="F7371" s="5" t="s">
        <v>36</v>
      </c>
      <c r="G7371" s="6" t="s">
        <v>36</v>
      </c>
      <c r="H7371" s="4" t="s">
        <v>36</v>
      </c>
      <c r="I7371" s="7" t="s">
        <v>36</v>
      </c>
      <c r="J7371" s="3" t="s">
        <v>36</v>
      </c>
      <c r="K7371" s="9" t="s">
        <v>36</v>
      </c>
      <c r="L7371" s="6" t="s">
        <v>36</v>
      </c>
      <c r="M7371" s="3" t="s">
        <v>36</v>
      </c>
      <c r="N7371" s="3" t="s">
        <v>36</v>
      </c>
      <c r="O7371" s="8" t="s">
        <v>36</v>
      </c>
      <c r="P7371" s="3" t="s">
        <v>36</v>
      </c>
      <c r="Q7371" s="3" t="s">
        <v>36</v>
      </c>
      <c r="R7371" s="3" t="s">
        <v>36</v>
      </c>
      <c r="S7371" s="3" t="s">
        <v>36</v>
      </c>
      <c r="T7371" s="3" t="s">
        <v>3168</v>
      </c>
      <c r="U7371" s="3" t="s">
        <v>289</v>
      </c>
      <c r="V7371" s="3" t="s">
        <v>64</v>
      </c>
      <c r="W7371" s="3" t="s">
        <v>32683</v>
      </c>
      <c r="X7371" s="10" t="s">
        <v>28384</v>
      </c>
      <c r="Y7371" s="6" t="s">
        <v>108</v>
      </c>
      <c r="Z7371" s="4" t="s">
        <v>36</v>
      </c>
      <c r="AA7371" s="4" t="s">
        <v>36</v>
      </c>
      <c r="AB7371" s="3" t="s">
        <v>56</v>
      </c>
      <c r="AC7371" s="3" t="s">
        <v>32684</v>
      </c>
      <c r="AD7371" s="9">
        <v>42005</v>
      </c>
      <c r="AE7371" s="3" t="s">
        <v>3134</v>
      </c>
      <c r="AF7371" s="3" t="s">
        <v>4668</v>
      </c>
      <c r="AG7371" s="3" t="s">
        <v>81</v>
      </c>
      <c r="AH7371" s="11">
        <f>HYPERLINK("https://my.pitchbook.com?c=107319-25T","View Company Online")</f>
      </c>
    </row>
    <row r="7372">
      <c r="A7372" s="12" t="s">
        <v>32685</v>
      </c>
      <c r="B7372" s="12" t="s">
        <v>20691</v>
      </c>
      <c r="C7372" s="19" t="s">
        <v>36</v>
      </c>
      <c r="D7372" s="19" t="s">
        <v>36</v>
      </c>
      <c r="E7372" s="19" t="s">
        <v>36</v>
      </c>
      <c r="F7372" s="19" t="s">
        <v>36</v>
      </c>
      <c r="G7372" s="15" t="s">
        <v>36</v>
      </c>
      <c r="H7372" s="14" t="s">
        <v>36</v>
      </c>
      <c r="I7372" s="18" t="s">
        <v>36</v>
      </c>
      <c r="J7372" s="12" t="s">
        <v>36</v>
      </c>
      <c r="K7372" s="13" t="s">
        <v>36</v>
      </c>
      <c r="L7372" s="15" t="s">
        <v>36</v>
      </c>
      <c r="M7372" s="12" t="s">
        <v>36</v>
      </c>
      <c r="N7372" s="12" t="s">
        <v>36</v>
      </c>
      <c r="O7372" s="17" t="s">
        <v>36</v>
      </c>
      <c r="P7372" s="12" t="s">
        <v>36</v>
      </c>
      <c r="Q7372" s="12" t="s">
        <v>36</v>
      </c>
      <c r="R7372" s="12" t="s">
        <v>36</v>
      </c>
      <c r="S7372" s="12" t="s">
        <v>36</v>
      </c>
      <c r="T7372" s="12" t="s">
        <v>20692</v>
      </c>
      <c r="U7372" s="12" t="s">
        <v>38</v>
      </c>
      <c r="V7372" s="12" t="s">
        <v>39</v>
      </c>
      <c r="W7372" s="12" t="s">
        <v>20693</v>
      </c>
      <c r="X7372" s="16" t="s">
        <v>32686</v>
      </c>
      <c r="Y7372" s="15" t="s">
        <v>42</v>
      </c>
      <c r="Z7372" s="14" t="s">
        <v>36</v>
      </c>
      <c r="AA7372" s="14" t="s">
        <v>36</v>
      </c>
      <c r="AB7372" s="12" t="s">
        <v>43</v>
      </c>
      <c r="AC7372" s="12" t="s">
        <v>20694</v>
      </c>
      <c r="AD7372" s="13">
        <v>42005</v>
      </c>
      <c r="AE7372" s="12" t="s">
        <v>134</v>
      </c>
      <c r="AF7372" s="12" t="s">
        <v>20695</v>
      </c>
      <c r="AG7372" s="12" t="s">
        <v>580</v>
      </c>
      <c r="AH7372" s="1">
        <f>HYPERLINK("https://my.pitchbook.com?c=85171-96T","View Company Online")</f>
      </c>
    </row>
    <row r="7373">
      <c r="A7373" s="3" t="s">
        <v>32687</v>
      </c>
      <c r="B7373" s="3" t="s">
        <v>32688</v>
      </c>
      <c r="C7373" s="5" t="s">
        <v>36</v>
      </c>
      <c r="D7373" s="5" t="s">
        <v>36</v>
      </c>
      <c r="E7373" s="5" t="s">
        <v>36</v>
      </c>
      <c r="F7373" s="5" t="s">
        <v>36</v>
      </c>
      <c r="G7373" s="6" t="s">
        <v>36</v>
      </c>
      <c r="H7373" s="4" t="s">
        <v>36</v>
      </c>
      <c r="I7373" s="7">
        <v>2</v>
      </c>
      <c r="J7373" s="3" t="s">
        <v>36</v>
      </c>
      <c r="K7373" s="9" t="s">
        <v>36</v>
      </c>
      <c r="L7373" s="6" t="s">
        <v>36</v>
      </c>
      <c r="M7373" s="3" t="s">
        <v>36</v>
      </c>
      <c r="N7373" s="3" t="s">
        <v>36</v>
      </c>
      <c r="O7373" s="8" t="s">
        <v>36</v>
      </c>
      <c r="P7373" s="3" t="s">
        <v>36</v>
      </c>
      <c r="Q7373" s="3" t="s">
        <v>36</v>
      </c>
      <c r="R7373" s="3" t="s">
        <v>36</v>
      </c>
      <c r="S7373" s="3" t="s">
        <v>36</v>
      </c>
      <c r="T7373" s="3" t="s">
        <v>4876</v>
      </c>
      <c r="U7373" s="3" t="s">
        <v>1357</v>
      </c>
      <c r="V7373" s="3" t="s">
        <v>52</v>
      </c>
      <c r="W7373" s="3" t="s">
        <v>32689</v>
      </c>
      <c r="X7373" s="10" t="s">
        <v>32690</v>
      </c>
      <c r="Y7373" s="6" t="s">
        <v>42</v>
      </c>
      <c r="Z7373" s="4" t="s">
        <v>36</v>
      </c>
      <c r="AA7373" s="4" t="s">
        <v>36</v>
      </c>
      <c r="AB7373" s="3" t="s">
        <v>43</v>
      </c>
      <c r="AC7373" s="3" t="s">
        <v>32691</v>
      </c>
      <c r="AD7373" s="9">
        <v>42004</v>
      </c>
      <c r="AE7373" s="3" t="s">
        <v>2808</v>
      </c>
      <c r="AF7373" s="3" t="s">
        <v>36</v>
      </c>
      <c r="AG7373" s="3" t="s">
        <v>81</v>
      </c>
      <c r="AH7373" s="11">
        <f>HYPERLINK("https://my.pitchbook.com?c=61659-28T","View Company Online")</f>
      </c>
    </row>
    <row r="7374">
      <c r="A7374" s="12" t="s">
        <v>32692</v>
      </c>
      <c r="B7374" s="12" t="s">
        <v>6397</v>
      </c>
      <c r="C7374" s="19" t="s">
        <v>36</v>
      </c>
      <c r="D7374" s="19" t="s">
        <v>36</v>
      </c>
      <c r="E7374" s="19" t="s">
        <v>36</v>
      </c>
      <c r="F7374" s="19" t="s">
        <v>36</v>
      </c>
      <c r="G7374" s="15" t="s">
        <v>36</v>
      </c>
      <c r="H7374" s="14" t="s">
        <v>36</v>
      </c>
      <c r="I7374" s="18" t="s">
        <v>36</v>
      </c>
      <c r="J7374" s="12" t="s">
        <v>36</v>
      </c>
      <c r="K7374" s="13" t="s">
        <v>36</v>
      </c>
      <c r="L7374" s="15" t="s">
        <v>36</v>
      </c>
      <c r="M7374" s="12" t="s">
        <v>36</v>
      </c>
      <c r="N7374" s="12" t="s">
        <v>36</v>
      </c>
      <c r="O7374" s="17" t="s">
        <v>36</v>
      </c>
      <c r="P7374" s="12" t="s">
        <v>36</v>
      </c>
      <c r="Q7374" s="12" t="s">
        <v>36</v>
      </c>
      <c r="R7374" s="12" t="s">
        <v>36</v>
      </c>
      <c r="S7374" s="12" t="s">
        <v>36</v>
      </c>
      <c r="T7374" s="12" t="s">
        <v>464</v>
      </c>
      <c r="U7374" s="12" t="s">
        <v>38</v>
      </c>
      <c r="V7374" s="12" t="s">
        <v>39</v>
      </c>
      <c r="W7374" s="12" t="s">
        <v>6398</v>
      </c>
      <c r="X7374" s="16" t="s">
        <v>560</v>
      </c>
      <c r="Y7374" s="15" t="s">
        <v>42</v>
      </c>
      <c r="Z7374" s="14" t="s">
        <v>36</v>
      </c>
      <c r="AA7374" s="14" t="s">
        <v>36</v>
      </c>
      <c r="AB7374" s="12" t="s">
        <v>43</v>
      </c>
      <c r="AC7374" s="12" t="s">
        <v>6400</v>
      </c>
      <c r="AD7374" s="13">
        <v>42004</v>
      </c>
      <c r="AE7374" s="12" t="s">
        <v>110</v>
      </c>
      <c r="AF7374" s="12" t="s">
        <v>468</v>
      </c>
      <c r="AG7374" s="12" t="s">
        <v>652</v>
      </c>
      <c r="AH7374" s="1">
        <f>HYPERLINK("https://my.pitchbook.com?c=125794-99T","View Company Online")</f>
      </c>
    </row>
    <row r="7375">
      <c r="A7375" s="3" t="s">
        <v>32693</v>
      </c>
      <c r="B7375" s="3" t="s">
        <v>21194</v>
      </c>
      <c r="C7375" s="5" t="s">
        <v>36</v>
      </c>
      <c r="D7375" s="5" t="s">
        <v>36</v>
      </c>
      <c r="E7375" s="5" t="s">
        <v>36</v>
      </c>
      <c r="F7375" s="5" t="s">
        <v>36</v>
      </c>
      <c r="G7375" s="6" t="s">
        <v>36</v>
      </c>
      <c r="H7375" s="4" t="s">
        <v>36</v>
      </c>
      <c r="I7375" s="7">
        <v>34.22</v>
      </c>
      <c r="J7375" s="3" t="s">
        <v>327</v>
      </c>
      <c r="K7375" s="9" t="s">
        <v>36</v>
      </c>
      <c r="L7375" s="6" t="s">
        <v>122</v>
      </c>
      <c r="M7375" s="3" t="s">
        <v>36</v>
      </c>
      <c r="N7375" s="3" t="s">
        <v>122</v>
      </c>
      <c r="O7375" s="8" t="s">
        <v>36</v>
      </c>
      <c r="P7375" s="3" t="s">
        <v>36</v>
      </c>
      <c r="Q7375" s="3" t="s">
        <v>36</v>
      </c>
      <c r="R7375" s="3" t="s">
        <v>36</v>
      </c>
      <c r="S7375" s="3" t="s">
        <v>36</v>
      </c>
      <c r="T7375" s="3" t="s">
        <v>21195</v>
      </c>
      <c r="U7375" s="3" t="s">
        <v>38</v>
      </c>
      <c r="V7375" s="3" t="s">
        <v>39</v>
      </c>
      <c r="W7375" s="3" t="s">
        <v>21196</v>
      </c>
      <c r="X7375" s="10" t="s">
        <v>32694</v>
      </c>
      <c r="Y7375" s="6" t="s">
        <v>108</v>
      </c>
      <c r="Z7375" s="4">
        <v>8.08</v>
      </c>
      <c r="AA7375" s="4">
        <v>23.62</v>
      </c>
      <c r="AB7375" s="3" t="s">
        <v>43</v>
      </c>
      <c r="AC7375" s="3" t="s">
        <v>21198</v>
      </c>
      <c r="AD7375" s="9">
        <v>41999</v>
      </c>
      <c r="AE7375" s="3" t="s">
        <v>688</v>
      </c>
      <c r="AF7375" s="3" t="s">
        <v>815</v>
      </c>
      <c r="AG7375" s="3" t="s">
        <v>81</v>
      </c>
      <c r="AH7375" s="11">
        <f>HYPERLINK("https://my.pitchbook.com?c=40328-20T","View Company Online")</f>
      </c>
    </row>
    <row r="7376">
      <c r="A7376" s="12" t="s">
        <v>32695</v>
      </c>
      <c r="B7376" s="12" t="s">
        <v>26289</v>
      </c>
      <c r="C7376" s="19" t="s">
        <v>36</v>
      </c>
      <c r="D7376" s="19" t="s">
        <v>36</v>
      </c>
      <c r="E7376" s="19" t="s">
        <v>36</v>
      </c>
      <c r="F7376" s="19" t="s">
        <v>36</v>
      </c>
      <c r="G7376" s="15" t="s">
        <v>36</v>
      </c>
      <c r="H7376" s="14" t="s">
        <v>36</v>
      </c>
      <c r="I7376" s="18" t="s">
        <v>36</v>
      </c>
      <c r="J7376" s="12" t="s">
        <v>36</v>
      </c>
      <c r="K7376" s="13" t="s">
        <v>36</v>
      </c>
      <c r="L7376" s="15" t="s">
        <v>36</v>
      </c>
      <c r="M7376" s="12" t="s">
        <v>36</v>
      </c>
      <c r="N7376" s="12" t="s">
        <v>36</v>
      </c>
      <c r="O7376" s="17" t="s">
        <v>36</v>
      </c>
      <c r="P7376" s="12" t="s">
        <v>36</v>
      </c>
      <c r="Q7376" s="12" t="s">
        <v>36</v>
      </c>
      <c r="R7376" s="12" t="s">
        <v>36</v>
      </c>
      <c r="S7376" s="12" t="s">
        <v>36</v>
      </c>
      <c r="T7376" s="12" t="s">
        <v>5302</v>
      </c>
      <c r="U7376" s="12" t="s">
        <v>74</v>
      </c>
      <c r="V7376" s="12" t="s">
        <v>75</v>
      </c>
      <c r="W7376" s="12" t="s">
        <v>26290</v>
      </c>
      <c r="X7376" s="16" t="s">
        <v>560</v>
      </c>
      <c r="Y7376" s="15" t="s">
        <v>42</v>
      </c>
      <c r="Z7376" s="14">
        <v>3.7</v>
      </c>
      <c r="AA7376" s="14" t="s">
        <v>36</v>
      </c>
      <c r="AB7376" s="12" t="s">
        <v>43</v>
      </c>
      <c r="AC7376" s="12" t="s">
        <v>26291</v>
      </c>
      <c r="AD7376" s="13">
        <v>41999</v>
      </c>
      <c r="AE7376" s="12" t="s">
        <v>362</v>
      </c>
      <c r="AF7376" s="12" t="s">
        <v>468</v>
      </c>
      <c r="AG7376" s="12" t="s">
        <v>81</v>
      </c>
      <c r="AH7376" s="1">
        <f>HYPERLINK("https://my.pitchbook.com?c=160541-02T","View Company Online")</f>
      </c>
    </row>
    <row r="7377">
      <c r="A7377" s="3" t="s">
        <v>32696</v>
      </c>
      <c r="B7377" s="3" t="s">
        <v>8798</v>
      </c>
      <c r="C7377" s="5">
        <v>1</v>
      </c>
      <c r="D7377" s="5">
        <v>2</v>
      </c>
      <c r="E7377" s="5">
        <v>1</v>
      </c>
      <c r="F7377" s="5">
        <v>3</v>
      </c>
      <c r="G7377" s="6" t="s">
        <v>36</v>
      </c>
      <c r="H7377" s="4">
        <v>44.14</v>
      </c>
      <c r="I7377" s="7">
        <v>15</v>
      </c>
      <c r="J7377" s="3" t="s">
        <v>521</v>
      </c>
      <c r="K7377" s="9" t="s">
        <v>36</v>
      </c>
      <c r="L7377" s="6" t="s">
        <v>36</v>
      </c>
      <c r="M7377" s="3" t="s">
        <v>36</v>
      </c>
      <c r="N7377" s="3" t="s">
        <v>36</v>
      </c>
      <c r="O7377" s="8" t="s">
        <v>36</v>
      </c>
      <c r="P7377" s="3" t="s">
        <v>36</v>
      </c>
      <c r="Q7377" s="3" t="s">
        <v>36</v>
      </c>
      <c r="R7377" s="3" t="s">
        <v>36</v>
      </c>
      <c r="S7377" s="3" t="s">
        <v>36</v>
      </c>
      <c r="T7377" s="3" t="s">
        <v>8799</v>
      </c>
      <c r="U7377" s="3" t="s">
        <v>51</v>
      </c>
      <c r="V7377" s="3" t="s">
        <v>52</v>
      </c>
      <c r="W7377" s="3" t="s">
        <v>8800</v>
      </c>
      <c r="X7377" s="10" t="s">
        <v>11579</v>
      </c>
      <c r="Y7377" s="6" t="s">
        <v>42</v>
      </c>
      <c r="Z7377" s="4">
        <v>0.19</v>
      </c>
      <c r="AA7377" s="4">
        <v>1.24</v>
      </c>
      <c r="AB7377" s="3" t="s">
        <v>43</v>
      </c>
      <c r="AC7377" s="3" t="s">
        <v>8802</v>
      </c>
      <c r="AD7377" s="9">
        <v>41997</v>
      </c>
      <c r="AE7377" s="3" t="s">
        <v>158</v>
      </c>
      <c r="AF7377" s="3" t="s">
        <v>1275</v>
      </c>
      <c r="AG7377" s="3" t="s">
        <v>1341</v>
      </c>
      <c r="AH7377" s="11">
        <f>HYPERLINK("https://my.pitchbook.com?c=86606-83T","View Company Online")</f>
      </c>
    </row>
    <row r="7378">
      <c r="A7378" s="12" t="s">
        <v>32697</v>
      </c>
      <c r="B7378" s="12" t="s">
        <v>32698</v>
      </c>
      <c r="C7378" s="19" t="s">
        <v>36</v>
      </c>
      <c r="D7378" s="19" t="s">
        <v>36</v>
      </c>
      <c r="E7378" s="19" t="s">
        <v>36</v>
      </c>
      <c r="F7378" s="19" t="s">
        <v>36</v>
      </c>
      <c r="G7378" s="15" t="s">
        <v>36</v>
      </c>
      <c r="H7378" s="14" t="s">
        <v>36</v>
      </c>
      <c r="I7378" s="18" t="s">
        <v>36</v>
      </c>
      <c r="J7378" s="12" t="s">
        <v>36</v>
      </c>
      <c r="K7378" s="13" t="s">
        <v>36</v>
      </c>
      <c r="L7378" s="15" t="s">
        <v>36</v>
      </c>
      <c r="M7378" s="12" t="s">
        <v>36</v>
      </c>
      <c r="N7378" s="12" t="s">
        <v>36</v>
      </c>
      <c r="O7378" s="17" t="s">
        <v>36</v>
      </c>
      <c r="P7378" s="12" t="s">
        <v>36</v>
      </c>
      <c r="Q7378" s="12" t="s">
        <v>36</v>
      </c>
      <c r="R7378" s="12" t="s">
        <v>36</v>
      </c>
      <c r="S7378" s="12" t="s">
        <v>36</v>
      </c>
      <c r="T7378" s="12" t="s">
        <v>7815</v>
      </c>
      <c r="U7378" s="12" t="s">
        <v>219</v>
      </c>
      <c r="V7378" s="12" t="s">
        <v>75</v>
      </c>
      <c r="W7378" s="12" t="s">
        <v>32699</v>
      </c>
      <c r="X7378" s="16" t="s">
        <v>32700</v>
      </c>
      <c r="Y7378" s="15" t="s">
        <v>42</v>
      </c>
      <c r="Z7378" s="14">
        <v>1.4</v>
      </c>
      <c r="AA7378" s="14" t="s">
        <v>36</v>
      </c>
      <c r="AB7378" s="12" t="s">
        <v>56</v>
      </c>
      <c r="AC7378" s="12" t="s">
        <v>32701</v>
      </c>
      <c r="AD7378" s="13">
        <v>41995</v>
      </c>
      <c r="AE7378" s="12" t="s">
        <v>7093</v>
      </c>
      <c r="AF7378" s="12" t="s">
        <v>1969</v>
      </c>
      <c r="AG7378" s="12" t="s">
        <v>32702</v>
      </c>
      <c r="AH7378" s="1">
        <f>HYPERLINK("https://my.pitchbook.com?c=43952-23T","View Company Online")</f>
      </c>
    </row>
    <row r="7379">
      <c r="A7379" s="3" t="s">
        <v>32703</v>
      </c>
      <c r="B7379" s="3" t="s">
        <v>8715</v>
      </c>
      <c r="C7379" s="5">
        <v>19</v>
      </c>
      <c r="D7379" s="5">
        <v>26</v>
      </c>
      <c r="E7379" s="5">
        <v>10</v>
      </c>
      <c r="F7379" s="5">
        <v>58</v>
      </c>
      <c r="G7379" s="6" t="s">
        <v>683</v>
      </c>
      <c r="H7379" s="4">
        <v>2077.13</v>
      </c>
      <c r="I7379" s="7">
        <v>20.53</v>
      </c>
      <c r="J7379" s="3" t="s">
        <v>521</v>
      </c>
      <c r="K7379" s="9" t="s">
        <v>36</v>
      </c>
      <c r="L7379" s="6" t="s">
        <v>122</v>
      </c>
      <c r="M7379" s="3" t="s">
        <v>36</v>
      </c>
      <c r="N7379" s="3" t="s">
        <v>122</v>
      </c>
      <c r="O7379" s="8" t="s">
        <v>36</v>
      </c>
      <c r="P7379" s="3" t="s">
        <v>36</v>
      </c>
      <c r="Q7379" s="3" t="s">
        <v>36</v>
      </c>
      <c r="R7379" s="3" t="s">
        <v>36</v>
      </c>
      <c r="S7379" s="3" t="s">
        <v>36</v>
      </c>
      <c r="T7379" s="3" t="s">
        <v>881</v>
      </c>
      <c r="U7379" s="3" t="s">
        <v>51</v>
      </c>
      <c r="V7379" s="3" t="s">
        <v>52</v>
      </c>
      <c r="W7379" s="3" t="s">
        <v>8716</v>
      </c>
      <c r="X7379" s="10" t="s">
        <v>32704</v>
      </c>
      <c r="Y7379" s="6" t="s">
        <v>108</v>
      </c>
      <c r="Z7379" s="4">
        <v>1.24</v>
      </c>
      <c r="AA7379" s="4">
        <v>3.08</v>
      </c>
      <c r="AB7379" s="3" t="s">
        <v>56</v>
      </c>
      <c r="AC7379" s="3" t="s">
        <v>8718</v>
      </c>
      <c r="AD7379" s="9">
        <v>41992</v>
      </c>
      <c r="AE7379" s="3" t="s">
        <v>504</v>
      </c>
      <c r="AF7379" s="3" t="s">
        <v>159</v>
      </c>
      <c r="AG7379" s="3" t="s">
        <v>373</v>
      </c>
      <c r="AH7379" s="11">
        <f>HYPERLINK("https://my.pitchbook.com?c=40698-73T","View Company Online")</f>
      </c>
    </row>
    <row r="7380">
      <c r="A7380" s="12" t="s">
        <v>32705</v>
      </c>
      <c r="B7380" s="12" t="s">
        <v>29150</v>
      </c>
      <c r="C7380" s="19" t="s">
        <v>36</v>
      </c>
      <c r="D7380" s="19" t="s">
        <v>36</v>
      </c>
      <c r="E7380" s="19" t="s">
        <v>36</v>
      </c>
      <c r="F7380" s="19" t="s">
        <v>36</v>
      </c>
      <c r="G7380" s="15" t="s">
        <v>326</v>
      </c>
      <c r="H7380" s="14">
        <v>25.57</v>
      </c>
      <c r="I7380" s="18">
        <v>33.25</v>
      </c>
      <c r="J7380" s="12" t="s">
        <v>521</v>
      </c>
      <c r="K7380" s="13" t="s">
        <v>36</v>
      </c>
      <c r="L7380" s="15" t="s">
        <v>36</v>
      </c>
      <c r="M7380" s="12" t="s">
        <v>36</v>
      </c>
      <c r="N7380" s="12" t="s">
        <v>36</v>
      </c>
      <c r="O7380" s="17" t="s">
        <v>36</v>
      </c>
      <c r="P7380" s="12" t="s">
        <v>36</v>
      </c>
      <c r="Q7380" s="12" t="s">
        <v>36</v>
      </c>
      <c r="R7380" s="12" t="s">
        <v>36</v>
      </c>
      <c r="S7380" s="12" t="s">
        <v>36</v>
      </c>
      <c r="T7380" s="12" t="s">
        <v>5377</v>
      </c>
      <c r="U7380" s="12" t="s">
        <v>38</v>
      </c>
      <c r="V7380" s="12" t="s">
        <v>39</v>
      </c>
      <c r="W7380" s="12" t="s">
        <v>29151</v>
      </c>
      <c r="X7380" s="16" t="s">
        <v>26647</v>
      </c>
      <c r="Y7380" s="15" t="s">
        <v>108</v>
      </c>
      <c r="Z7380" s="14">
        <v>0.74</v>
      </c>
      <c r="AA7380" s="14">
        <v>2.23</v>
      </c>
      <c r="AB7380" s="12" t="s">
        <v>56</v>
      </c>
      <c r="AC7380" s="12" t="s">
        <v>29152</v>
      </c>
      <c r="AD7380" s="13">
        <v>41992</v>
      </c>
      <c r="AE7380" s="12" t="s">
        <v>1200</v>
      </c>
      <c r="AF7380" s="12" t="s">
        <v>176</v>
      </c>
      <c r="AG7380" s="12" t="s">
        <v>3188</v>
      </c>
      <c r="AH7380" s="1">
        <f>HYPERLINK("https://my.pitchbook.com?c=119472-22T","View Company Online")</f>
      </c>
    </row>
    <row r="7381">
      <c r="A7381" s="3" t="s">
        <v>32706</v>
      </c>
      <c r="B7381" s="3" t="s">
        <v>27095</v>
      </c>
      <c r="C7381" s="5" t="s">
        <v>36</v>
      </c>
      <c r="D7381" s="5" t="s">
        <v>36</v>
      </c>
      <c r="E7381" s="5" t="s">
        <v>36</v>
      </c>
      <c r="F7381" s="5" t="s">
        <v>36</v>
      </c>
      <c r="G7381" s="6" t="s">
        <v>36</v>
      </c>
      <c r="H7381" s="4">
        <v>0.55</v>
      </c>
      <c r="I7381" s="7">
        <v>24.82</v>
      </c>
      <c r="J7381" s="3" t="s">
        <v>521</v>
      </c>
      <c r="K7381" s="9" t="s">
        <v>36</v>
      </c>
      <c r="L7381" s="6" t="s">
        <v>36</v>
      </c>
      <c r="M7381" s="3" t="s">
        <v>36</v>
      </c>
      <c r="N7381" s="3" t="s">
        <v>36</v>
      </c>
      <c r="O7381" s="8" t="s">
        <v>36</v>
      </c>
      <c r="P7381" s="3" t="s">
        <v>36</v>
      </c>
      <c r="Q7381" s="3" t="s">
        <v>36</v>
      </c>
      <c r="R7381" s="3" t="s">
        <v>36</v>
      </c>
      <c r="S7381" s="3" t="s">
        <v>36</v>
      </c>
      <c r="T7381" s="3" t="s">
        <v>522</v>
      </c>
      <c r="U7381" s="3" t="s">
        <v>38</v>
      </c>
      <c r="V7381" s="3" t="s">
        <v>39</v>
      </c>
      <c r="W7381" s="3" t="s">
        <v>27096</v>
      </c>
      <c r="X7381" s="10" t="s">
        <v>32707</v>
      </c>
      <c r="Y7381" s="6" t="s">
        <v>42</v>
      </c>
      <c r="Z7381" s="4">
        <v>0.87</v>
      </c>
      <c r="AA7381" s="4">
        <v>3.5</v>
      </c>
      <c r="AB7381" s="3" t="s">
        <v>43</v>
      </c>
      <c r="AC7381" s="3" t="s">
        <v>27098</v>
      </c>
      <c r="AD7381" s="9">
        <v>41991</v>
      </c>
      <c r="AE7381" s="3" t="s">
        <v>110</v>
      </c>
      <c r="AF7381" s="3" t="s">
        <v>27099</v>
      </c>
      <c r="AG7381" s="3" t="s">
        <v>81</v>
      </c>
      <c r="AH7381" s="11">
        <f>HYPERLINK("https://my.pitchbook.com?c=49507-39T","View Company Online")</f>
      </c>
    </row>
    <row r="7382">
      <c r="A7382" s="12" t="s">
        <v>32708</v>
      </c>
      <c r="B7382" s="12" t="s">
        <v>23808</v>
      </c>
      <c r="C7382" s="19" t="s">
        <v>36</v>
      </c>
      <c r="D7382" s="19" t="s">
        <v>36</v>
      </c>
      <c r="E7382" s="19" t="s">
        <v>36</v>
      </c>
      <c r="F7382" s="19" t="s">
        <v>36</v>
      </c>
      <c r="G7382" s="15" t="s">
        <v>326</v>
      </c>
      <c r="H7382" s="14">
        <v>488.13</v>
      </c>
      <c r="I7382" s="18">
        <v>15.92</v>
      </c>
      <c r="J7382" s="12" t="s">
        <v>521</v>
      </c>
      <c r="K7382" s="13" t="s">
        <v>36</v>
      </c>
      <c r="L7382" s="15" t="s">
        <v>36</v>
      </c>
      <c r="M7382" s="12" t="s">
        <v>36</v>
      </c>
      <c r="N7382" s="12" t="s">
        <v>36</v>
      </c>
      <c r="O7382" s="17" t="s">
        <v>36</v>
      </c>
      <c r="P7382" s="12" t="s">
        <v>36</v>
      </c>
      <c r="Q7382" s="12" t="s">
        <v>36</v>
      </c>
      <c r="R7382" s="12" t="s">
        <v>36</v>
      </c>
      <c r="S7382" s="12" t="s">
        <v>36</v>
      </c>
      <c r="T7382" s="12" t="s">
        <v>23809</v>
      </c>
      <c r="U7382" s="12" t="s">
        <v>233</v>
      </c>
      <c r="V7382" s="12" t="s">
        <v>39</v>
      </c>
      <c r="W7382" s="12" t="s">
        <v>23810</v>
      </c>
      <c r="X7382" s="16" t="s">
        <v>18485</v>
      </c>
      <c r="Y7382" s="15" t="s">
        <v>55</v>
      </c>
      <c r="Z7382" s="14">
        <v>0.71</v>
      </c>
      <c r="AA7382" s="14">
        <v>4.44</v>
      </c>
      <c r="AB7382" s="12" t="s">
        <v>43</v>
      </c>
      <c r="AC7382" s="12" t="s">
        <v>23812</v>
      </c>
      <c r="AD7382" s="13">
        <v>41991</v>
      </c>
      <c r="AE7382" s="12" t="s">
        <v>12061</v>
      </c>
      <c r="AF7382" s="12" t="s">
        <v>4930</v>
      </c>
      <c r="AG7382" s="12" t="s">
        <v>23813</v>
      </c>
      <c r="AH7382" s="1">
        <f>HYPERLINK("https://my.pitchbook.com?c=43862-59T","View Company Online")</f>
      </c>
    </row>
    <row r="7383">
      <c r="A7383" s="3" t="s">
        <v>32709</v>
      </c>
      <c r="B7383" s="3" t="s">
        <v>32710</v>
      </c>
      <c r="C7383" s="5" t="s">
        <v>36</v>
      </c>
      <c r="D7383" s="5" t="s">
        <v>36</v>
      </c>
      <c r="E7383" s="5" t="s">
        <v>36</v>
      </c>
      <c r="F7383" s="5" t="s">
        <v>36</v>
      </c>
      <c r="G7383" s="6" t="s">
        <v>36</v>
      </c>
      <c r="H7383" s="4" t="s">
        <v>36</v>
      </c>
      <c r="I7383" s="7" t="s">
        <v>36</v>
      </c>
      <c r="J7383" s="3" t="s">
        <v>36</v>
      </c>
      <c r="K7383" s="9" t="s">
        <v>36</v>
      </c>
      <c r="L7383" s="6" t="s">
        <v>36</v>
      </c>
      <c r="M7383" s="3" t="s">
        <v>36</v>
      </c>
      <c r="N7383" s="3" t="s">
        <v>36</v>
      </c>
      <c r="O7383" s="8" t="s">
        <v>36</v>
      </c>
      <c r="P7383" s="3" t="s">
        <v>36</v>
      </c>
      <c r="Q7383" s="3" t="s">
        <v>36</v>
      </c>
      <c r="R7383" s="3" t="s">
        <v>36</v>
      </c>
      <c r="S7383" s="3" t="s">
        <v>36</v>
      </c>
      <c r="T7383" s="3" t="s">
        <v>7415</v>
      </c>
      <c r="U7383" s="3" t="s">
        <v>38</v>
      </c>
      <c r="V7383" s="3" t="s">
        <v>39</v>
      </c>
      <c r="W7383" s="3" t="s">
        <v>32711</v>
      </c>
      <c r="X7383" s="10" t="s">
        <v>2130</v>
      </c>
      <c r="Y7383" s="6" t="s">
        <v>108</v>
      </c>
      <c r="Z7383" s="4">
        <v>2.86</v>
      </c>
      <c r="AA7383" s="4" t="s">
        <v>36</v>
      </c>
      <c r="AB7383" s="3" t="s">
        <v>56</v>
      </c>
      <c r="AC7383" s="3" t="s">
        <v>32712</v>
      </c>
      <c r="AD7383" s="9">
        <v>41990</v>
      </c>
      <c r="AE7383" s="3" t="s">
        <v>1422</v>
      </c>
      <c r="AF7383" s="3" t="s">
        <v>4842</v>
      </c>
      <c r="AG7383" s="3" t="s">
        <v>32713</v>
      </c>
      <c r="AH7383" s="11">
        <f>HYPERLINK("https://my.pitchbook.com?c=50436-82T","View Company Online")</f>
      </c>
    </row>
    <row r="7384">
      <c r="A7384" s="12" t="s">
        <v>32714</v>
      </c>
      <c r="B7384" s="12" t="s">
        <v>7420</v>
      </c>
      <c r="C7384" s="19" t="s">
        <v>36</v>
      </c>
      <c r="D7384" s="19" t="s">
        <v>36</v>
      </c>
      <c r="E7384" s="19" t="s">
        <v>36</v>
      </c>
      <c r="F7384" s="19" t="s">
        <v>36</v>
      </c>
      <c r="G7384" s="15" t="s">
        <v>36</v>
      </c>
      <c r="H7384" s="14" t="s">
        <v>36</v>
      </c>
      <c r="I7384" s="18" t="s">
        <v>36</v>
      </c>
      <c r="J7384" s="12" t="s">
        <v>36</v>
      </c>
      <c r="K7384" s="13" t="s">
        <v>36</v>
      </c>
      <c r="L7384" s="15" t="s">
        <v>36</v>
      </c>
      <c r="M7384" s="12" t="s">
        <v>36</v>
      </c>
      <c r="N7384" s="12" t="s">
        <v>36</v>
      </c>
      <c r="O7384" s="17" t="s">
        <v>36</v>
      </c>
      <c r="P7384" s="12" t="s">
        <v>36</v>
      </c>
      <c r="Q7384" s="12" t="s">
        <v>36</v>
      </c>
      <c r="R7384" s="12" t="s">
        <v>36</v>
      </c>
      <c r="S7384" s="12" t="s">
        <v>36</v>
      </c>
      <c r="T7384" s="12" t="s">
        <v>1188</v>
      </c>
      <c r="U7384" s="12" t="s">
        <v>180</v>
      </c>
      <c r="V7384" s="12" t="s">
        <v>52</v>
      </c>
      <c r="W7384" s="12" t="s">
        <v>7421</v>
      </c>
      <c r="X7384" s="16" t="s">
        <v>32715</v>
      </c>
      <c r="Y7384" s="15" t="s">
        <v>42</v>
      </c>
      <c r="Z7384" s="14" t="s">
        <v>36</v>
      </c>
      <c r="AA7384" s="14" t="s">
        <v>36</v>
      </c>
      <c r="AB7384" s="12" t="s">
        <v>43</v>
      </c>
      <c r="AC7384" s="12" t="s">
        <v>7423</v>
      </c>
      <c r="AD7384" s="13">
        <v>41990</v>
      </c>
      <c r="AE7384" s="12" t="s">
        <v>1192</v>
      </c>
      <c r="AF7384" s="12" t="s">
        <v>7424</v>
      </c>
      <c r="AG7384" s="12" t="s">
        <v>7425</v>
      </c>
      <c r="AH7384" s="1">
        <f>HYPERLINK("https://my.pitchbook.com?c=78988-96T","View Company Online")</f>
      </c>
    </row>
    <row r="7385">
      <c r="A7385" s="3" t="s">
        <v>32716</v>
      </c>
      <c r="B7385" s="3" t="s">
        <v>16834</v>
      </c>
      <c r="C7385" s="5" t="s">
        <v>36</v>
      </c>
      <c r="D7385" s="5">
        <v>33</v>
      </c>
      <c r="E7385" s="5">
        <v>14</v>
      </c>
      <c r="F7385" s="5">
        <v>34</v>
      </c>
      <c r="G7385" s="6" t="s">
        <v>36</v>
      </c>
      <c r="H7385" s="4" t="s">
        <v>36</v>
      </c>
      <c r="I7385" s="7" t="s">
        <v>36</v>
      </c>
      <c r="J7385" s="3" t="s">
        <v>36</v>
      </c>
      <c r="K7385" s="9" t="s">
        <v>36</v>
      </c>
      <c r="L7385" s="6" t="s">
        <v>36</v>
      </c>
      <c r="M7385" s="3" t="s">
        <v>36</v>
      </c>
      <c r="N7385" s="3" t="s">
        <v>36</v>
      </c>
      <c r="O7385" s="8" t="s">
        <v>36</v>
      </c>
      <c r="P7385" s="3" t="s">
        <v>36</v>
      </c>
      <c r="Q7385" s="3" t="s">
        <v>36</v>
      </c>
      <c r="R7385" s="3" t="s">
        <v>36</v>
      </c>
      <c r="S7385" s="3" t="s">
        <v>36</v>
      </c>
      <c r="T7385" s="3" t="s">
        <v>596</v>
      </c>
      <c r="U7385" s="3" t="s">
        <v>366</v>
      </c>
      <c r="V7385" s="3" t="s">
        <v>367</v>
      </c>
      <c r="W7385" s="3" t="s">
        <v>16835</v>
      </c>
      <c r="X7385" s="10" t="s">
        <v>32717</v>
      </c>
      <c r="Y7385" s="6" t="s">
        <v>55</v>
      </c>
      <c r="Z7385" s="4">
        <v>6.58</v>
      </c>
      <c r="AA7385" s="4" t="s">
        <v>36</v>
      </c>
      <c r="AB7385" s="3" t="s">
        <v>43</v>
      </c>
      <c r="AC7385" s="3" t="s">
        <v>16837</v>
      </c>
      <c r="AD7385" s="9">
        <v>41990</v>
      </c>
      <c r="AE7385" s="3" t="s">
        <v>600</v>
      </c>
      <c r="AF7385" s="3" t="s">
        <v>7379</v>
      </c>
      <c r="AG7385" s="3" t="s">
        <v>16838</v>
      </c>
      <c r="AH7385" s="11">
        <f>HYPERLINK("https://my.pitchbook.com?c=45004-33T","View Company Online")</f>
      </c>
    </row>
    <row r="7386">
      <c r="A7386" s="12" t="s">
        <v>32718</v>
      </c>
      <c r="B7386" s="12" t="s">
        <v>7970</v>
      </c>
      <c r="C7386" s="19">
        <v>59</v>
      </c>
      <c r="D7386" s="19">
        <v>148</v>
      </c>
      <c r="E7386" s="19">
        <v>35</v>
      </c>
      <c r="F7386" s="19">
        <v>232</v>
      </c>
      <c r="G7386" s="15" t="s">
        <v>326</v>
      </c>
      <c r="H7386" s="14" t="s">
        <v>36</v>
      </c>
      <c r="I7386" s="18">
        <v>37.42</v>
      </c>
      <c r="J7386" s="12" t="s">
        <v>327</v>
      </c>
      <c r="K7386" s="13" t="s">
        <v>36</v>
      </c>
      <c r="L7386" s="15" t="s">
        <v>94</v>
      </c>
      <c r="M7386" s="12" t="s">
        <v>36</v>
      </c>
      <c r="N7386" s="12" t="s">
        <v>94</v>
      </c>
      <c r="O7386" s="17" t="s">
        <v>36</v>
      </c>
      <c r="P7386" s="12" t="s">
        <v>36</v>
      </c>
      <c r="Q7386" s="12" t="s">
        <v>36</v>
      </c>
      <c r="R7386" s="12" t="s">
        <v>36</v>
      </c>
      <c r="S7386" s="12" t="s">
        <v>2699</v>
      </c>
      <c r="T7386" s="12" t="s">
        <v>7971</v>
      </c>
      <c r="U7386" s="12" t="s">
        <v>1082</v>
      </c>
      <c r="V7386" s="12" t="s">
        <v>378</v>
      </c>
      <c r="W7386" s="12" t="s">
        <v>7972</v>
      </c>
      <c r="X7386" s="16" t="s">
        <v>32719</v>
      </c>
      <c r="Y7386" s="15" t="s">
        <v>108</v>
      </c>
      <c r="Z7386" s="14">
        <v>7.2</v>
      </c>
      <c r="AA7386" s="14">
        <v>19.25</v>
      </c>
      <c r="AB7386" s="12" t="s">
        <v>43</v>
      </c>
      <c r="AC7386" s="12" t="s">
        <v>7974</v>
      </c>
      <c r="AD7386" s="13">
        <v>41990</v>
      </c>
      <c r="AE7386" s="12" t="s">
        <v>1086</v>
      </c>
      <c r="AF7386" s="12" t="s">
        <v>7975</v>
      </c>
      <c r="AG7386" s="12" t="s">
        <v>2370</v>
      </c>
      <c r="AH7386" s="1">
        <f>HYPERLINK("https://my.pitchbook.com?c=40550-41T","View Company Online")</f>
      </c>
    </row>
    <row r="7387">
      <c r="A7387" s="3" t="s">
        <v>32720</v>
      </c>
      <c r="B7387" s="3" t="s">
        <v>32721</v>
      </c>
      <c r="C7387" s="5" t="s">
        <v>36</v>
      </c>
      <c r="D7387" s="5" t="s">
        <v>36</v>
      </c>
      <c r="E7387" s="5" t="s">
        <v>36</v>
      </c>
      <c r="F7387" s="5" t="s">
        <v>36</v>
      </c>
      <c r="G7387" s="6" t="s">
        <v>683</v>
      </c>
      <c r="H7387" s="4">
        <v>103.86</v>
      </c>
      <c r="I7387" s="7">
        <v>7.27</v>
      </c>
      <c r="J7387" s="3" t="s">
        <v>521</v>
      </c>
      <c r="K7387" s="9" t="s">
        <v>36</v>
      </c>
      <c r="L7387" s="6" t="s">
        <v>122</v>
      </c>
      <c r="M7387" s="3" t="s">
        <v>36</v>
      </c>
      <c r="N7387" s="3" t="s">
        <v>122</v>
      </c>
      <c r="O7387" s="8" t="s">
        <v>36</v>
      </c>
      <c r="P7387" s="3" t="s">
        <v>36</v>
      </c>
      <c r="Q7387" s="3" t="s">
        <v>36</v>
      </c>
      <c r="R7387" s="3" t="s">
        <v>36</v>
      </c>
      <c r="S7387" s="3" t="s">
        <v>36</v>
      </c>
      <c r="T7387" s="3" t="s">
        <v>32722</v>
      </c>
      <c r="U7387" s="3" t="s">
        <v>833</v>
      </c>
      <c r="V7387" s="3" t="s">
        <v>64</v>
      </c>
      <c r="W7387" s="3" t="s">
        <v>32723</v>
      </c>
      <c r="X7387" s="10" t="s">
        <v>20527</v>
      </c>
      <c r="Y7387" s="6" t="s">
        <v>108</v>
      </c>
      <c r="Z7387" s="4">
        <v>0.12</v>
      </c>
      <c r="AA7387" s="4">
        <v>1.71</v>
      </c>
      <c r="AB7387" s="3" t="s">
        <v>56</v>
      </c>
      <c r="AC7387" s="3" t="s">
        <v>32724</v>
      </c>
      <c r="AD7387" s="9">
        <v>41988</v>
      </c>
      <c r="AE7387" s="3" t="s">
        <v>1069</v>
      </c>
      <c r="AF7387" s="3" t="s">
        <v>30848</v>
      </c>
      <c r="AG7387" s="3" t="s">
        <v>32725</v>
      </c>
      <c r="AH7387" s="11">
        <f>HYPERLINK("https://my.pitchbook.com?c=188340-94T","View Company Online")</f>
      </c>
    </row>
    <row r="7388">
      <c r="A7388" s="12" t="s">
        <v>32726</v>
      </c>
      <c r="B7388" s="12" t="s">
        <v>29847</v>
      </c>
      <c r="C7388" s="19">
        <v>5</v>
      </c>
      <c r="D7388" s="19">
        <v>14</v>
      </c>
      <c r="E7388" s="19">
        <v>6</v>
      </c>
      <c r="F7388" s="19">
        <v>24</v>
      </c>
      <c r="G7388" s="15" t="s">
        <v>36</v>
      </c>
      <c r="H7388" s="14" t="s">
        <v>36</v>
      </c>
      <c r="I7388" s="18" t="s">
        <v>36</v>
      </c>
      <c r="J7388" s="12" t="s">
        <v>36</v>
      </c>
      <c r="K7388" s="13" t="s">
        <v>36</v>
      </c>
      <c r="L7388" s="15" t="s">
        <v>122</v>
      </c>
      <c r="M7388" s="12" t="s">
        <v>36</v>
      </c>
      <c r="N7388" s="12" t="s">
        <v>122</v>
      </c>
      <c r="O7388" s="17" t="s">
        <v>36</v>
      </c>
      <c r="P7388" s="12" t="s">
        <v>36</v>
      </c>
      <c r="Q7388" s="12" t="s">
        <v>36</v>
      </c>
      <c r="R7388" s="12" t="s">
        <v>36</v>
      </c>
      <c r="S7388" s="12" t="s">
        <v>36</v>
      </c>
      <c r="T7388" s="12" t="s">
        <v>661</v>
      </c>
      <c r="U7388" s="12" t="s">
        <v>51</v>
      </c>
      <c r="V7388" s="12" t="s">
        <v>52</v>
      </c>
      <c r="W7388" s="12" t="s">
        <v>29848</v>
      </c>
      <c r="X7388" s="16" t="s">
        <v>32727</v>
      </c>
      <c r="Y7388" s="15" t="s">
        <v>42</v>
      </c>
      <c r="Z7388" s="14">
        <v>4.97</v>
      </c>
      <c r="AA7388" s="14" t="s">
        <v>36</v>
      </c>
      <c r="AB7388" s="12" t="s">
        <v>43</v>
      </c>
      <c r="AC7388" s="12" t="s">
        <v>29849</v>
      </c>
      <c r="AD7388" s="13">
        <v>41984</v>
      </c>
      <c r="AE7388" s="12" t="s">
        <v>158</v>
      </c>
      <c r="AF7388" s="12" t="s">
        <v>159</v>
      </c>
      <c r="AG7388" s="12" t="s">
        <v>899</v>
      </c>
      <c r="AH7388" s="1">
        <f>HYPERLINK("https://my.pitchbook.com?c=47255-59T","View Company Online")</f>
      </c>
    </row>
    <row r="7389">
      <c r="A7389" s="3" t="s">
        <v>32728</v>
      </c>
      <c r="B7389" s="3" t="s">
        <v>26151</v>
      </c>
      <c r="C7389" s="5" t="s">
        <v>36</v>
      </c>
      <c r="D7389" s="5" t="s">
        <v>36</v>
      </c>
      <c r="E7389" s="5" t="s">
        <v>36</v>
      </c>
      <c r="F7389" s="5" t="s">
        <v>36</v>
      </c>
      <c r="G7389" s="6" t="s">
        <v>36</v>
      </c>
      <c r="H7389" s="4" t="s">
        <v>36</v>
      </c>
      <c r="I7389" s="7" t="s">
        <v>36</v>
      </c>
      <c r="J7389" s="3" t="s">
        <v>36</v>
      </c>
      <c r="K7389" s="9" t="s">
        <v>36</v>
      </c>
      <c r="L7389" s="6" t="s">
        <v>36</v>
      </c>
      <c r="M7389" s="3" t="s">
        <v>36</v>
      </c>
      <c r="N7389" s="3" t="s">
        <v>36</v>
      </c>
      <c r="O7389" s="8" t="s">
        <v>36</v>
      </c>
      <c r="P7389" s="3" t="s">
        <v>36</v>
      </c>
      <c r="Q7389" s="3" t="s">
        <v>36</v>
      </c>
      <c r="R7389" s="3" t="s">
        <v>36</v>
      </c>
      <c r="S7389" s="3" t="s">
        <v>36</v>
      </c>
      <c r="T7389" s="3" t="s">
        <v>2201</v>
      </c>
      <c r="U7389" s="3" t="s">
        <v>728</v>
      </c>
      <c r="V7389" s="3" t="s">
        <v>64</v>
      </c>
      <c r="W7389" s="3" t="s">
        <v>26152</v>
      </c>
      <c r="X7389" s="10" t="s">
        <v>32729</v>
      </c>
      <c r="Y7389" s="6" t="s">
        <v>42</v>
      </c>
      <c r="Z7389" s="4" t="s">
        <v>36</v>
      </c>
      <c r="AA7389" s="4" t="s">
        <v>36</v>
      </c>
      <c r="AB7389" s="3" t="s">
        <v>43</v>
      </c>
      <c r="AC7389" s="3" t="s">
        <v>26154</v>
      </c>
      <c r="AD7389" s="9">
        <v>41984</v>
      </c>
      <c r="AE7389" s="3" t="s">
        <v>1600</v>
      </c>
      <c r="AF7389" s="3" t="s">
        <v>36</v>
      </c>
      <c r="AG7389" s="3" t="s">
        <v>81</v>
      </c>
      <c r="AH7389" s="11">
        <f>HYPERLINK("https://my.pitchbook.com?c=86487-94T","View Company Online")</f>
      </c>
    </row>
    <row r="7390">
      <c r="A7390" s="12" t="s">
        <v>32730</v>
      </c>
      <c r="B7390" s="12" t="s">
        <v>8699</v>
      </c>
      <c r="C7390" s="19">
        <v>2</v>
      </c>
      <c r="D7390" s="19">
        <v>10</v>
      </c>
      <c r="E7390" s="19">
        <v>4</v>
      </c>
      <c r="F7390" s="19">
        <v>12</v>
      </c>
      <c r="G7390" s="15" t="s">
        <v>36</v>
      </c>
      <c r="H7390" s="14">
        <v>310.95</v>
      </c>
      <c r="I7390" s="18">
        <v>25.04</v>
      </c>
      <c r="J7390" s="12" t="s">
        <v>521</v>
      </c>
      <c r="K7390" s="13" t="s">
        <v>36</v>
      </c>
      <c r="L7390" s="15" t="s">
        <v>36</v>
      </c>
      <c r="M7390" s="12" t="s">
        <v>36</v>
      </c>
      <c r="N7390" s="12" t="s">
        <v>36</v>
      </c>
      <c r="O7390" s="17" t="s">
        <v>36</v>
      </c>
      <c r="P7390" s="12" t="s">
        <v>36</v>
      </c>
      <c r="Q7390" s="12" t="s">
        <v>36</v>
      </c>
      <c r="R7390" s="12" t="s">
        <v>36</v>
      </c>
      <c r="S7390" s="12" t="s">
        <v>36</v>
      </c>
      <c r="T7390" s="12" t="s">
        <v>8700</v>
      </c>
      <c r="U7390" s="12" t="s">
        <v>833</v>
      </c>
      <c r="V7390" s="12" t="s">
        <v>64</v>
      </c>
      <c r="W7390" s="12" t="s">
        <v>8701</v>
      </c>
      <c r="X7390" s="16" t="s">
        <v>18750</v>
      </c>
      <c r="Y7390" s="15" t="s">
        <v>42</v>
      </c>
      <c r="Z7390" s="14">
        <v>0.62</v>
      </c>
      <c r="AA7390" s="14">
        <v>2.48</v>
      </c>
      <c r="AB7390" s="12" t="s">
        <v>43</v>
      </c>
      <c r="AC7390" s="12" t="s">
        <v>8703</v>
      </c>
      <c r="AD7390" s="13">
        <v>41983</v>
      </c>
      <c r="AE7390" s="12" t="s">
        <v>1069</v>
      </c>
      <c r="AF7390" s="12" t="s">
        <v>36</v>
      </c>
      <c r="AG7390" s="12" t="s">
        <v>81</v>
      </c>
      <c r="AH7390" s="1">
        <f>HYPERLINK("https://my.pitchbook.com?c=131845-06T","View Company Online")</f>
      </c>
    </row>
    <row r="7391">
      <c r="A7391" s="3" t="s">
        <v>32731</v>
      </c>
      <c r="B7391" s="3" t="s">
        <v>22954</v>
      </c>
      <c r="C7391" s="5" t="s">
        <v>36</v>
      </c>
      <c r="D7391" s="5" t="s">
        <v>36</v>
      </c>
      <c r="E7391" s="5" t="s">
        <v>36</v>
      </c>
      <c r="F7391" s="5" t="s">
        <v>36</v>
      </c>
      <c r="G7391" s="6" t="s">
        <v>326</v>
      </c>
      <c r="H7391" s="4">
        <v>84.95</v>
      </c>
      <c r="I7391" s="7">
        <v>33.85</v>
      </c>
      <c r="J7391" s="3" t="s">
        <v>521</v>
      </c>
      <c r="K7391" s="9">
        <v>41948</v>
      </c>
      <c r="L7391" s="6" t="s">
        <v>122</v>
      </c>
      <c r="M7391" s="3" t="s">
        <v>36</v>
      </c>
      <c r="N7391" s="3" t="s">
        <v>122</v>
      </c>
      <c r="O7391" s="8" t="s">
        <v>36</v>
      </c>
      <c r="P7391" s="3" t="s">
        <v>36</v>
      </c>
      <c r="Q7391" s="3" t="s">
        <v>36</v>
      </c>
      <c r="R7391" s="3" t="s">
        <v>36</v>
      </c>
      <c r="S7391" s="3" t="s">
        <v>36</v>
      </c>
      <c r="T7391" s="3" t="s">
        <v>105</v>
      </c>
      <c r="U7391" s="3" t="s">
        <v>38</v>
      </c>
      <c r="V7391" s="3" t="s">
        <v>39</v>
      </c>
      <c r="W7391" s="3" t="s">
        <v>22955</v>
      </c>
      <c r="X7391" s="10" t="s">
        <v>32732</v>
      </c>
      <c r="Y7391" s="6" t="s">
        <v>108</v>
      </c>
      <c r="Z7391" s="4">
        <v>2.45</v>
      </c>
      <c r="AA7391" s="4">
        <v>7.23</v>
      </c>
      <c r="AB7391" s="3" t="s">
        <v>43</v>
      </c>
      <c r="AC7391" s="3" t="s">
        <v>22957</v>
      </c>
      <c r="AD7391" s="9">
        <v>41982</v>
      </c>
      <c r="AE7391" s="3" t="s">
        <v>110</v>
      </c>
      <c r="AF7391" s="3" t="s">
        <v>468</v>
      </c>
      <c r="AG7391" s="3" t="s">
        <v>81</v>
      </c>
      <c r="AH7391" s="11">
        <f>HYPERLINK("https://my.pitchbook.com?c=39826-72T","View Company Online")</f>
      </c>
    </row>
    <row r="7392">
      <c r="A7392" s="12" t="s">
        <v>32733</v>
      </c>
      <c r="B7392" s="12" t="s">
        <v>24798</v>
      </c>
      <c r="C7392" s="19" t="s">
        <v>36</v>
      </c>
      <c r="D7392" s="19" t="s">
        <v>36</v>
      </c>
      <c r="E7392" s="19" t="s">
        <v>36</v>
      </c>
      <c r="F7392" s="19" t="s">
        <v>36</v>
      </c>
      <c r="G7392" s="15" t="s">
        <v>2497</v>
      </c>
      <c r="H7392" s="14">
        <v>13.11</v>
      </c>
      <c r="I7392" s="18">
        <v>35.57</v>
      </c>
      <c r="J7392" s="12" t="s">
        <v>521</v>
      </c>
      <c r="K7392" s="13" t="s">
        <v>36</v>
      </c>
      <c r="L7392" s="15" t="s">
        <v>36</v>
      </c>
      <c r="M7392" s="12" t="s">
        <v>36</v>
      </c>
      <c r="N7392" s="12" t="s">
        <v>36</v>
      </c>
      <c r="O7392" s="17" t="s">
        <v>36</v>
      </c>
      <c r="P7392" s="12" t="s">
        <v>36</v>
      </c>
      <c r="Q7392" s="12" t="s">
        <v>36</v>
      </c>
      <c r="R7392" s="12" t="s">
        <v>36</v>
      </c>
      <c r="S7392" s="12" t="s">
        <v>36</v>
      </c>
      <c r="T7392" s="12" t="s">
        <v>6288</v>
      </c>
      <c r="U7392" s="12" t="s">
        <v>85</v>
      </c>
      <c r="V7392" s="12" t="s">
        <v>64</v>
      </c>
      <c r="W7392" s="12" t="s">
        <v>24799</v>
      </c>
      <c r="X7392" s="16" t="s">
        <v>11111</v>
      </c>
      <c r="Y7392" s="15" t="s">
        <v>108</v>
      </c>
      <c r="Z7392" s="14">
        <v>2.49</v>
      </c>
      <c r="AA7392" s="14">
        <v>6.37</v>
      </c>
      <c r="AB7392" s="12" t="s">
        <v>43</v>
      </c>
      <c r="AC7392" s="12" t="s">
        <v>24801</v>
      </c>
      <c r="AD7392" s="13">
        <v>41982</v>
      </c>
      <c r="AE7392" s="12" t="s">
        <v>89</v>
      </c>
      <c r="AF7392" s="12" t="s">
        <v>24802</v>
      </c>
      <c r="AG7392" s="12" t="s">
        <v>434</v>
      </c>
      <c r="AH7392" s="1">
        <f>HYPERLINK("https://my.pitchbook.com?c=40243-15T","View Company Online")</f>
      </c>
    </row>
    <row r="7393">
      <c r="A7393" s="3" t="s">
        <v>32734</v>
      </c>
      <c r="B7393" s="3" t="s">
        <v>29942</v>
      </c>
      <c r="C7393" s="5" t="s">
        <v>36</v>
      </c>
      <c r="D7393" s="5" t="s">
        <v>36</v>
      </c>
      <c r="E7393" s="5" t="s">
        <v>36</v>
      </c>
      <c r="F7393" s="5" t="s">
        <v>36</v>
      </c>
      <c r="G7393" s="6" t="s">
        <v>36</v>
      </c>
      <c r="H7393" s="4" t="s">
        <v>36</v>
      </c>
      <c r="I7393" s="7" t="s">
        <v>36</v>
      </c>
      <c r="J7393" s="3" t="s">
        <v>36</v>
      </c>
      <c r="K7393" s="9">
        <v>41912</v>
      </c>
      <c r="L7393" s="6" t="s">
        <v>36</v>
      </c>
      <c r="M7393" s="3" t="s">
        <v>36</v>
      </c>
      <c r="N7393" s="3" t="s">
        <v>21485</v>
      </c>
      <c r="O7393" s="8" t="s">
        <v>36</v>
      </c>
      <c r="P7393" s="3" t="s">
        <v>36</v>
      </c>
      <c r="Q7393" s="3" t="s">
        <v>36</v>
      </c>
      <c r="R7393" s="3" t="s">
        <v>36</v>
      </c>
      <c r="S7393" s="3" t="s">
        <v>36</v>
      </c>
      <c r="T7393" s="3" t="s">
        <v>29943</v>
      </c>
      <c r="U7393" s="3" t="s">
        <v>85</v>
      </c>
      <c r="V7393" s="3" t="s">
        <v>64</v>
      </c>
      <c r="W7393" s="3" t="s">
        <v>29944</v>
      </c>
      <c r="X7393" s="10" t="s">
        <v>32735</v>
      </c>
      <c r="Y7393" s="6" t="s">
        <v>108</v>
      </c>
      <c r="Z7393" s="4">
        <v>9.33</v>
      </c>
      <c r="AA7393" s="4" t="s">
        <v>36</v>
      </c>
      <c r="AB7393" s="3" t="s">
        <v>56</v>
      </c>
      <c r="AC7393" s="3" t="s">
        <v>29945</v>
      </c>
      <c r="AD7393" s="9">
        <v>41980</v>
      </c>
      <c r="AE7393" s="3" t="s">
        <v>2823</v>
      </c>
      <c r="AF7393" s="3" t="s">
        <v>5007</v>
      </c>
      <c r="AG7393" s="3" t="s">
        <v>81</v>
      </c>
      <c r="AH7393" s="11">
        <f>HYPERLINK("https://my.pitchbook.com?c=45004-24T","View Company Online")</f>
      </c>
    </row>
    <row r="7394">
      <c r="A7394" s="12" t="s">
        <v>32736</v>
      </c>
      <c r="B7394" s="12" t="s">
        <v>14377</v>
      </c>
      <c r="C7394" s="19">
        <v>9</v>
      </c>
      <c r="D7394" s="19">
        <v>2</v>
      </c>
      <c r="E7394" s="19">
        <v>7</v>
      </c>
      <c r="F7394" s="19">
        <v>13</v>
      </c>
      <c r="G7394" s="15" t="s">
        <v>36</v>
      </c>
      <c r="H7394" s="14">
        <v>10.49</v>
      </c>
      <c r="I7394" s="18">
        <v>23.98</v>
      </c>
      <c r="J7394" s="12" t="s">
        <v>521</v>
      </c>
      <c r="K7394" s="13" t="s">
        <v>36</v>
      </c>
      <c r="L7394" s="15" t="s">
        <v>36</v>
      </c>
      <c r="M7394" s="12" t="s">
        <v>36</v>
      </c>
      <c r="N7394" s="12" t="s">
        <v>36</v>
      </c>
      <c r="O7394" s="17" t="s">
        <v>36</v>
      </c>
      <c r="P7394" s="12" t="s">
        <v>36</v>
      </c>
      <c r="Q7394" s="12" t="s">
        <v>36</v>
      </c>
      <c r="R7394" s="12" t="s">
        <v>36</v>
      </c>
      <c r="S7394" s="12" t="s">
        <v>36</v>
      </c>
      <c r="T7394" s="12" t="s">
        <v>2811</v>
      </c>
      <c r="U7394" s="12" t="s">
        <v>219</v>
      </c>
      <c r="V7394" s="12" t="s">
        <v>75</v>
      </c>
      <c r="W7394" s="12" t="s">
        <v>14378</v>
      </c>
      <c r="X7394" s="16" t="s">
        <v>32737</v>
      </c>
      <c r="Y7394" s="15" t="s">
        <v>42</v>
      </c>
      <c r="Z7394" s="14">
        <v>0.6</v>
      </c>
      <c r="AA7394" s="14">
        <v>2.48</v>
      </c>
      <c r="AB7394" s="12" t="s">
        <v>43</v>
      </c>
      <c r="AC7394" s="12" t="s">
        <v>14379</v>
      </c>
      <c r="AD7394" s="13">
        <v>41977</v>
      </c>
      <c r="AE7394" s="12" t="s">
        <v>223</v>
      </c>
      <c r="AF7394" s="12" t="s">
        <v>14380</v>
      </c>
      <c r="AG7394" s="12" t="s">
        <v>14381</v>
      </c>
      <c r="AH7394" s="1">
        <f>HYPERLINK("https://my.pitchbook.com?c=110777-59T","View Company Online")</f>
      </c>
    </row>
    <row r="7395">
      <c r="A7395" s="3" t="s">
        <v>32738</v>
      </c>
      <c r="B7395" s="3" t="s">
        <v>32739</v>
      </c>
      <c r="C7395" s="5" t="s">
        <v>36</v>
      </c>
      <c r="D7395" s="5" t="s">
        <v>36</v>
      </c>
      <c r="E7395" s="5" t="s">
        <v>36</v>
      </c>
      <c r="F7395" s="5" t="s">
        <v>36</v>
      </c>
      <c r="G7395" s="6" t="s">
        <v>36</v>
      </c>
      <c r="H7395" s="4" t="s">
        <v>36</v>
      </c>
      <c r="I7395" s="7" t="s">
        <v>36</v>
      </c>
      <c r="J7395" s="3" t="s">
        <v>36</v>
      </c>
      <c r="K7395" s="9" t="s">
        <v>36</v>
      </c>
      <c r="L7395" s="6" t="s">
        <v>36</v>
      </c>
      <c r="M7395" s="3" t="s">
        <v>36</v>
      </c>
      <c r="N7395" s="3" t="s">
        <v>36</v>
      </c>
      <c r="O7395" s="8" t="s">
        <v>36</v>
      </c>
      <c r="P7395" s="3" t="s">
        <v>36</v>
      </c>
      <c r="Q7395" s="3" t="s">
        <v>36</v>
      </c>
      <c r="R7395" s="3" t="s">
        <v>36</v>
      </c>
      <c r="S7395" s="3" t="s">
        <v>36</v>
      </c>
      <c r="T7395" s="3" t="s">
        <v>4412</v>
      </c>
      <c r="U7395" s="3" t="s">
        <v>38</v>
      </c>
      <c r="V7395" s="3" t="s">
        <v>39</v>
      </c>
      <c r="W7395" s="3" t="s">
        <v>32740</v>
      </c>
      <c r="X7395" s="10" t="s">
        <v>32741</v>
      </c>
      <c r="Y7395" s="6" t="s">
        <v>55</v>
      </c>
      <c r="Z7395" s="4">
        <v>6.85</v>
      </c>
      <c r="AA7395" s="4" t="s">
        <v>36</v>
      </c>
      <c r="AB7395" s="3" t="s">
        <v>43</v>
      </c>
      <c r="AC7395" s="3" t="s">
        <v>32742</v>
      </c>
      <c r="AD7395" s="9">
        <v>41975</v>
      </c>
      <c r="AE7395" s="3" t="s">
        <v>688</v>
      </c>
      <c r="AF7395" s="3" t="s">
        <v>1636</v>
      </c>
      <c r="AG7395" s="3" t="s">
        <v>81</v>
      </c>
      <c r="AH7395" s="11">
        <f>HYPERLINK("https://my.pitchbook.com?c=40016-08T","View Company Online")</f>
      </c>
    </row>
    <row r="7396">
      <c r="A7396" s="12" t="s">
        <v>32743</v>
      </c>
      <c r="B7396" s="12" t="s">
        <v>32744</v>
      </c>
      <c r="C7396" s="19" t="s">
        <v>36</v>
      </c>
      <c r="D7396" s="19" t="s">
        <v>36</v>
      </c>
      <c r="E7396" s="19" t="s">
        <v>36</v>
      </c>
      <c r="F7396" s="19" t="s">
        <v>36</v>
      </c>
      <c r="G7396" s="15" t="s">
        <v>2497</v>
      </c>
      <c r="H7396" s="14">
        <v>5.33</v>
      </c>
      <c r="I7396" s="18">
        <v>14.14</v>
      </c>
      <c r="J7396" s="12" t="s">
        <v>521</v>
      </c>
      <c r="K7396" s="13" t="s">
        <v>36</v>
      </c>
      <c r="L7396" s="15" t="s">
        <v>36</v>
      </c>
      <c r="M7396" s="12" t="s">
        <v>36</v>
      </c>
      <c r="N7396" s="12" t="s">
        <v>36</v>
      </c>
      <c r="O7396" s="17" t="s">
        <v>36</v>
      </c>
      <c r="P7396" s="12" t="s">
        <v>36</v>
      </c>
      <c r="Q7396" s="12" t="s">
        <v>36</v>
      </c>
      <c r="R7396" s="12" t="s">
        <v>36</v>
      </c>
      <c r="S7396" s="12" t="s">
        <v>36</v>
      </c>
      <c r="T7396" s="12" t="s">
        <v>2811</v>
      </c>
      <c r="U7396" s="12" t="s">
        <v>219</v>
      </c>
      <c r="V7396" s="12" t="s">
        <v>75</v>
      </c>
      <c r="W7396" s="12" t="s">
        <v>32745</v>
      </c>
      <c r="X7396" s="16" t="s">
        <v>8652</v>
      </c>
      <c r="Y7396" s="15" t="s">
        <v>321</v>
      </c>
      <c r="Z7396" s="14">
        <v>0.82</v>
      </c>
      <c r="AA7396" s="14">
        <v>5.81</v>
      </c>
      <c r="AB7396" s="12" t="s">
        <v>56</v>
      </c>
      <c r="AC7396" s="12" t="s">
        <v>32746</v>
      </c>
      <c r="AD7396" s="13">
        <v>41974</v>
      </c>
      <c r="AE7396" s="12" t="s">
        <v>223</v>
      </c>
      <c r="AF7396" s="12" t="s">
        <v>733</v>
      </c>
      <c r="AG7396" s="12" t="s">
        <v>81</v>
      </c>
      <c r="AH7396" s="1">
        <f>HYPERLINK("https://my.pitchbook.com?c=121411-27T","View Company Online")</f>
      </c>
    </row>
    <row r="7397">
      <c r="A7397" s="3" t="s">
        <v>32747</v>
      </c>
      <c r="B7397" s="3" t="s">
        <v>32748</v>
      </c>
      <c r="C7397" s="5">
        <v>7</v>
      </c>
      <c r="D7397" s="5">
        <v>42</v>
      </c>
      <c r="E7397" s="5">
        <v>12</v>
      </c>
      <c r="F7397" s="5">
        <v>67</v>
      </c>
      <c r="G7397" s="6" t="s">
        <v>326</v>
      </c>
      <c r="H7397" s="4">
        <v>1165.27</v>
      </c>
      <c r="I7397" s="7">
        <v>5.83</v>
      </c>
      <c r="J7397" s="3" t="s">
        <v>521</v>
      </c>
      <c r="K7397" s="9" t="s">
        <v>36</v>
      </c>
      <c r="L7397" s="6" t="s">
        <v>36</v>
      </c>
      <c r="M7397" s="3" t="s">
        <v>36</v>
      </c>
      <c r="N7397" s="3" t="s">
        <v>36</v>
      </c>
      <c r="O7397" s="8" t="s">
        <v>36</v>
      </c>
      <c r="P7397" s="3" t="s">
        <v>36</v>
      </c>
      <c r="Q7397" s="3" t="s">
        <v>36</v>
      </c>
      <c r="R7397" s="3" t="s">
        <v>36</v>
      </c>
      <c r="S7397" s="3" t="s">
        <v>36</v>
      </c>
      <c r="T7397" s="3" t="s">
        <v>9552</v>
      </c>
      <c r="U7397" s="3" t="s">
        <v>51</v>
      </c>
      <c r="V7397" s="3" t="s">
        <v>52</v>
      </c>
      <c r="W7397" s="3" t="s">
        <v>32749</v>
      </c>
      <c r="X7397" s="10" t="s">
        <v>32750</v>
      </c>
      <c r="Y7397" s="6" t="s">
        <v>108</v>
      </c>
      <c r="Z7397" s="4">
        <v>0.69</v>
      </c>
      <c r="AA7397" s="4">
        <v>8.19</v>
      </c>
      <c r="AB7397" s="3" t="s">
        <v>56</v>
      </c>
      <c r="AC7397" s="3" t="s">
        <v>32751</v>
      </c>
      <c r="AD7397" s="9">
        <v>41974</v>
      </c>
      <c r="AE7397" s="3" t="s">
        <v>158</v>
      </c>
      <c r="AF7397" s="3" t="s">
        <v>159</v>
      </c>
      <c r="AG7397" s="3" t="s">
        <v>32752</v>
      </c>
      <c r="AH7397" s="11">
        <f>HYPERLINK("https://my.pitchbook.com?c=69437-98T","View Company Online")</f>
      </c>
    </row>
    <row r="7398">
      <c r="A7398" s="12" t="s">
        <v>32753</v>
      </c>
      <c r="B7398" s="12" t="s">
        <v>32754</v>
      </c>
      <c r="C7398" s="19" t="s">
        <v>36</v>
      </c>
      <c r="D7398" s="19" t="s">
        <v>36</v>
      </c>
      <c r="E7398" s="19" t="s">
        <v>36</v>
      </c>
      <c r="F7398" s="19" t="s">
        <v>36</v>
      </c>
      <c r="G7398" s="15" t="s">
        <v>36</v>
      </c>
      <c r="H7398" s="14">
        <v>295.99</v>
      </c>
      <c r="I7398" s="18">
        <v>14.89</v>
      </c>
      <c r="J7398" s="12" t="s">
        <v>521</v>
      </c>
      <c r="K7398" s="13" t="s">
        <v>36</v>
      </c>
      <c r="L7398" s="15" t="s">
        <v>36</v>
      </c>
      <c r="M7398" s="12" t="s">
        <v>36</v>
      </c>
      <c r="N7398" s="12" t="s">
        <v>36</v>
      </c>
      <c r="O7398" s="17" t="s">
        <v>36</v>
      </c>
      <c r="P7398" s="12" t="s">
        <v>36</v>
      </c>
      <c r="Q7398" s="12" t="s">
        <v>36</v>
      </c>
      <c r="R7398" s="12" t="s">
        <v>36</v>
      </c>
      <c r="S7398" s="12" t="s">
        <v>36</v>
      </c>
      <c r="T7398" s="12" t="s">
        <v>1162</v>
      </c>
      <c r="U7398" s="12" t="s">
        <v>423</v>
      </c>
      <c r="V7398" s="12" t="s">
        <v>64</v>
      </c>
      <c r="W7398" s="12" t="s">
        <v>32755</v>
      </c>
      <c r="X7398" s="16" t="s">
        <v>8652</v>
      </c>
      <c r="Y7398" s="15" t="s">
        <v>42</v>
      </c>
      <c r="Z7398" s="14">
        <v>0.12</v>
      </c>
      <c r="AA7398" s="14">
        <v>0.83</v>
      </c>
      <c r="AB7398" s="12" t="s">
        <v>43</v>
      </c>
      <c r="AC7398" s="12" t="s">
        <v>32756</v>
      </c>
      <c r="AD7398" s="13">
        <v>41974</v>
      </c>
      <c r="AE7398" s="12" t="s">
        <v>562</v>
      </c>
      <c r="AF7398" s="12" t="s">
        <v>4270</v>
      </c>
      <c r="AG7398" s="12" t="s">
        <v>81</v>
      </c>
      <c r="AH7398" s="1">
        <f>HYPERLINK("https://my.pitchbook.com?c=121534-21T","View Company Online")</f>
      </c>
    </row>
    <row r="7399">
      <c r="A7399" s="3" t="s">
        <v>32757</v>
      </c>
      <c r="B7399" s="3" t="s">
        <v>19646</v>
      </c>
      <c r="C7399" s="5" t="s">
        <v>36</v>
      </c>
      <c r="D7399" s="5" t="s">
        <v>36</v>
      </c>
      <c r="E7399" s="5" t="s">
        <v>36</v>
      </c>
      <c r="F7399" s="5" t="s">
        <v>36</v>
      </c>
      <c r="G7399" s="6" t="s">
        <v>36</v>
      </c>
      <c r="H7399" s="4">
        <v>1135.76</v>
      </c>
      <c r="I7399" s="7">
        <v>18.44</v>
      </c>
      <c r="J7399" s="3" t="s">
        <v>521</v>
      </c>
      <c r="K7399" s="9" t="s">
        <v>36</v>
      </c>
      <c r="L7399" s="6" t="s">
        <v>36</v>
      </c>
      <c r="M7399" s="3" t="s">
        <v>36</v>
      </c>
      <c r="N7399" s="3" t="s">
        <v>36</v>
      </c>
      <c r="O7399" s="8" t="s">
        <v>36</v>
      </c>
      <c r="P7399" s="3" t="s">
        <v>36</v>
      </c>
      <c r="Q7399" s="3" t="s">
        <v>36</v>
      </c>
      <c r="R7399" s="3" t="s">
        <v>36</v>
      </c>
      <c r="S7399" s="3" t="s">
        <v>36</v>
      </c>
      <c r="T7399" s="3" t="s">
        <v>1973</v>
      </c>
      <c r="U7399" s="3" t="s">
        <v>728</v>
      </c>
      <c r="V7399" s="3" t="s">
        <v>64</v>
      </c>
      <c r="W7399" s="3" t="s">
        <v>19647</v>
      </c>
      <c r="X7399" s="10" t="s">
        <v>32758</v>
      </c>
      <c r="Y7399" s="6" t="s">
        <v>108</v>
      </c>
      <c r="Z7399" s="4">
        <v>0.52</v>
      </c>
      <c r="AA7399" s="4">
        <v>2.8</v>
      </c>
      <c r="AB7399" s="3" t="s">
        <v>43</v>
      </c>
      <c r="AC7399" s="3" t="s">
        <v>19649</v>
      </c>
      <c r="AD7399" s="9">
        <v>41974</v>
      </c>
      <c r="AE7399" s="3" t="s">
        <v>1600</v>
      </c>
      <c r="AF7399" s="3" t="s">
        <v>2118</v>
      </c>
      <c r="AG7399" s="3" t="s">
        <v>81</v>
      </c>
      <c r="AH7399" s="11">
        <f>HYPERLINK("https://my.pitchbook.com?c=55293-49T","View Company Online")</f>
      </c>
    </row>
    <row r="7400">
      <c r="A7400" s="12" t="s">
        <v>32759</v>
      </c>
      <c r="B7400" s="12" t="s">
        <v>32760</v>
      </c>
      <c r="C7400" s="19" t="s">
        <v>36</v>
      </c>
      <c r="D7400" s="19">
        <v>4</v>
      </c>
      <c r="E7400" s="19">
        <v>4</v>
      </c>
      <c r="F7400" s="19">
        <v>10</v>
      </c>
      <c r="G7400" s="15" t="s">
        <v>36</v>
      </c>
      <c r="H7400" s="14" t="s">
        <v>36</v>
      </c>
      <c r="I7400" s="18" t="s">
        <v>36</v>
      </c>
      <c r="J7400" s="12" t="s">
        <v>36</v>
      </c>
      <c r="K7400" s="13" t="s">
        <v>36</v>
      </c>
      <c r="L7400" s="15" t="s">
        <v>36</v>
      </c>
      <c r="M7400" s="12" t="s">
        <v>36</v>
      </c>
      <c r="N7400" s="12" t="s">
        <v>36</v>
      </c>
      <c r="O7400" s="17" t="s">
        <v>36</v>
      </c>
      <c r="P7400" s="12" t="s">
        <v>36</v>
      </c>
      <c r="Q7400" s="12" t="s">
        <v>36</v>
      </c>
      <c r="R7400" s="12" t="s">
        <v>36</v>
      </c>
      <c r="S7400" s="12" t="s">
        <v>36</v>
      </c>
      <c r="T7400" s="12" t="s">
        <v>32761</v>
      </c>
      <c r="U7400" s="12" t="s">
        <v>318</v>
      </c>
      <c r="V7400" s="12" t="s">
        <v>39</v>
      </c>
      <c r="W7400" s="12" t="s">
        <v>32762</v>
      </c>
      <c r="X7400" s="16" t="s">
        <v>32763</v>
      </c>
      <c r="Y7400" s="15" t="s">
        <v>108</v>
      </c>
      <c r="Z7400" s="14">
        <v>0.44</v>
      </c>
      <c r="AA7400" s="14" t="s">
        <v>36</v>
      </c>
      <c r="AB7400" s="12" t="s">
        <v>56</v>
      </c>
      <c r="AC7400" s="12" t="s">
        <v>32764</v>
      </c>
      <c r="AD7400" s="13">
        <v>41974</v>
      </c>
      <c r="AE7400" s="12" t="s">
        <v>1020</v>
      </c>
      <c r="AF7400" s="12" t="s">
        <v>12636</v>
      </c>
      <c r="AG7400" s="12" t="s">
        <v>12608</v>
      </c>
      <c r="AH7400" s="1">
        <f>HYPERLINK("https://my.pitchbook.com?c=85006-99T","View Company Online")</f>
      </c>
    </row>
    <row r="7401">
      <c r="A7401" s="3" t="s">
        <v>32765</v>
      </c>
      <c r="B7401" s="3" t="s">
        <v>32766</v>
      </c>
      <c r="C7401" s="5" t="s">
        <v>36</v>
      </c>
      <c r="D7401" s="5" t="s">
        <v>36</v>
      </c>
      <c r="E7401" s="5" t="s">
        <v>36</v>
      </c>
      <c r="F7401" s="5" t="s">
        <v>36</v>
      </c>
      <c r="G7401" s="6" t="s">
        <v>36</v>
      </c>
      <c r="H7401" s="4" t="s">
        <v>36</v>
      </c>
      <c r="I7401" s="7" t="s">
        <v>36</v>
      </c>
      <c r="J7401" s="3" t="s">
        <v>36</v>
      </c>
      <c r="K7401" s="9" t="s">
        <v>36</v>
      </c>
      <c r="L7401" s="6" t="s">
        <v>36</v>
      </c>
      <c r="M7401" s="3" t="s">
        <v>36</v>
      </c>
      <c r="N7401" s="3" t="s">
        <v>36</v>
      </c>
      <c r="O7401" s="8" t="s">
        <v>36</v>
      </c>
      <c r="P7401" s="3" t="s">
        <v>36</v>
      </c>
      <c r="Q7401" s="3" t="s">
        <v>36</v>
      </c>
      <c r="R7401" s="3" t="s">
        <v>36</v>
      </c>
      <c r="S7401" s="3" t="s">
        <v>36</v>
      </c>
      <c r="T7401" s="3" t="s">
        <v>32767</v>
      </c>
      <c r="U7401" s="3" t="s">
        <v>74</v>
      </c>
      <c r="V7401" s="3" t="s">
        <v>75</v>
      </c>
      <c r="W7401" s="3" t="s">
        <v>32768</v>
      </c>
      <c r="X7401" s="10" t="s">
        <v>19016</v>
      </c>
      <c r="Y7401" s="6" t="s">
        <v>42</v>
      </c>
      <c r="Z7401" s="4">
        <v>0.37</v>
      </c>
      <c r="AA7401" s="4" t="s">
        <v>36</v>
      </c>
      <c r="AB7401" s="3" t="s">
        <v>43</v>
      </c>
      <c r="AC7401" s="3" t="s">
        <v>32769</v>
      </c>
      <c r="AD7401" s="9">
        <v>41974</v>
      </c>
      <c r="AE7401" s="3" t="s">
        <v>79</v>
      </c>
      <c r="AF7401" s="3" t="s">
        <v>32770</v>
      </c>
      <c r="AG7401" s="3" t="s">
        <v>81</v>
      </c>
      <c r="AH7401" s="11">
        <f>HYPERLINK("https://my.pitchbook.com?c=51665-95T","View Company Online")</f>
      </c>
    </row>
    <row r="7402">
      <c r="A7402" s="12" t="s">
        <v>32771</v>
      </c>
      <c r="B7402" s="12" t="s">
        <v>17980</v>
      </c>
      <c r="C7402" s="19">
        <v>6</v>
      </c>
      <c r="D7402" s="19">
        <v>11</v>
      </c>
      <c r="E7402" s="19">
        <v>8</v>
      </c>
      <c r="F7402" s="19">
        <v>18</v>
      </c>
      <c r="G7402" s="15" t="s">
        <v>36</v>
      </c>
      <c r="H7402" s="14">
        <v>103.86</v>
      </c>
      <c r="I7402" s="18">
        <v>23.08</v>
      </c>
      <c r="J7402" s="12" t="s">
        <v>521</v>
      </c>
      <c r="K7402" s="13" t="s">
        <v>36</v>
      </c>
      <c r="L7402" s="15" t="s">
        <v>36</v>
      </c>
      <c r="M7402" s="12" t="s">
        <v>36</v>
      </c>
      <c r="N7402" s="12" t="s">
        <v>36</v>
      </c>
      <c r="O7402" s="17" t="s">
        <v>36</v>
      </c>
      <c r="P7402" s="12" t="s">
        <v>36</v>
      </c>
      <c r="Q7402" s="12" t="s">
        <v>36</v>
      </c>
      <c r="R7402" s="12" t="s">
        <v>36</v>
      </c>
      <c r="S7402" s="12" t="s">
        <v>36</v>
      </c>
      <c r="T7402" s="12" t="s">
        <v>17981</v>
      </c>
      <c r="U7402" s="12" t="s">
        <v>1082</v>
      </c>
      <c r="V7402" s="12" t="s">
        <v>378</v>
      </c>
      <c r="W7402" s="12" t="s">
        <v>17982</v>
      </c>
      <c r="X7402" s="16" t="s">
        <v>32772</v>
      </c>
      <c r="Y7402" s="15" t="s">
        <v>42</v>
      </c>
      <c r="Z7402" s="14">
        <v>0.37</v>
      </c>
      <c r="AA7402" s="14">
        <v>1.62</v>
      </c>
      <c r="AB7402" s="12" t="s">
        <v>43</v>
      </c>
      <c r="AC7402" s="12" t="s">
        <v>17984</v>
      </c>
      <c r="AD7402" s="13">
        <v>41974</v>
      </c>
      <c r="AE7402" s="12" t="s">
        <v>2068</v>
      </c>
      <c r="AF7402" s="12" t="s">
        <v>571</v>
      </c>
      <c r="AG7402" s="12" t="s">
        <v>3406</v>
      </c>
      <c r="AH7402" s="1">
        <f>HYPERLINK("https://my.pitchbook.com?c=86634-55T","View Company Online")</f>
      </c>
    </row>
    <row r="7403">
      <c r="A7403" s="3" t="s">
        <v>32773</v>
      </c>
      <c r="B7403" s="3" t="s">
        <v>23701</v>
      </c>
      <c r="C7403" s="5" t="s">
        <v>36</v>
      </c>
      <c r="D7403" s="5" t="s">
        <v>36</v>
      </c>
      <c r="E7403" s="5" t="s">
        <v>36</v>
      </c>
      <c r="F7403" s="5" t="s">
        <v>36</v>
      </c>
      <c r="G7403" s="6" t="s">
        <v>36</v>
      </c>
      <c r="H7403" s="4">
        <v>5.19</v>
      </c>
      <c r="I7403" s="7">
        <v>25</v>
      </c>
      <c r="J7403" s="3" t="s">
        <v>521</v>
      </c>
      <c r="K7403" s="9" t="s">
        <v>36</v>
      </c>
      <c r="L7403" s="6" t="s">
        <v>36</v>
      </c>
      <c r="M7403" s="3" t="s">
        <v>36</v>
      </c>
      <c r="N7403" s="3" t="s">
        <v>36</v>
      </c>
      <c r="O7403" s="8" t="s">
        <v>36</v>
      </c>
      <c r="P7403" s="3" t="s">
        <v>36</v>
      </c>
      <c r="Q7403" s="3" t="s">
        <v>36</v>
      </c>
      <c r="R7403" s="3" t="s">
        <v>36</v>
      </c>
      <c r="S7403" s="3" t="s">
        <v>36</v>
      </c>
      <c r="T7403" s="3" t="s">
        <v>647</v>
      </c>
      <c r="U7403" s="3" t="s">
        <v>648</v>
      </c>
      <c r="V7403" s="3" t="s">
        <v>64</v>
      </c>
      <c r="W7403" s="3" t="s">
        <v>23702</v>
      </c>
      <c r="X7403" s="10" t="s">
        <v>32774</v>
      </c>
      <c r="Y7403" s="6" t="s">
        <v>42</v>
      </c>
      <c r="Z7403" s="4">
        <v>0.25</v>
      </c>
      <c r="AA7403" s="4">
        <v>0.5</v>
      </c>
      <c r="AB7403" s="3" t="s">
        <v>43</v>
      </c>
      <c r="AC7403" s="3" t="s">
        <v>23703</v>
      </c>
      <c r="AD7403" s="9">
        <v>41974</v>
      </c>
      <c r="AE7403" s="3" t="s">
        <v>651</v>
      </c>
      <c r="AF7403" s="3" t="s">
        <v>36</v>
      </c>
      <c r="AG7403" s="3" t="s">
        <v>11675</v>
      </c>
      <c r="AH7403" s="11">
        <f>HYPERLINK("https://my.pitchbook.com?c=101129-23T","View Company Online")</f>
      </c>
    </row>
    <row r="7404">
      <c r="A7404" s="12" t="s">
        <v>32775</v>
      </c>
      <c r="B7404" s="12" t="s">
        <v>3759</v>
      </c>
      <c r="C7404" s="19" t="s">
        <v>36</v>
      </c>
      <c r="D7404" s="19" t="s">
        <v>36</v>
      </c>
      <c r="E7404" s="19" t="s">
        <v>36</v>
      </c>
      <c r="F7404" s="19" t="s">
        <v>36</v>
      </c>
      <c r="G7404" s="15" t="s">
        <v>36</v>
      </c>
      <c r="H7404" s="14" t="s">
        <v>36</v>
      </c>
      <c r="I7404" s="18" t="s">
        <v>36</v>
      </c>
      <c r="J7404" s="12" t="s">
        <v>36</v>
      </c>
      <c r="K7404" s="13" t="s">
        <v>36</v>
      </c>
      <c r="L7404" s="15" t="s">
        <v>36</v>
      </c>
      <c r="M7404" s="12" t="s">
        <v>36</v>
      </c>
      <c r="N7404" s="12" t="s">
        <v>36</v>
      </c>
      <c r="O7404" s="17" t="s">
        <v>36</v>
      </c>
      <c r="P7404" s="12" t="s">
        <v>36</v>
      </c>
      <c r="Q7404" s="12" t="s">
        <v>36</v>
      </c>
      <c r="R7404" s="12" t="s">
        <v>36</v>
      </c>
      <c r="S7404" s="12" t="s">
        <v>36</v>
      </c>
      <c r="T7404" s="12" t="s">
        <v>768</v>
      </c>
      <c r="U7404" s="12" t="s">
        <v>233</v>
      </c>
      <c r="V7404" s="12" t="s">
        <v>39</v>
      </c>
      <c r="W7404" s="12" t="s">
        <v>3760</v>
      </c>
      <c r="X7404" s="16" t="s">
        <v>32776</v>
      </c>
      <c r="Y7404" s="15" t="s">
        <v>42</v>
      </c>
      <c r="Z7404" s="14" t="s">
        <v>36</v>
      </c>
      <c r="AA7404" s="14" t="s">
        <v>36</v>
      </c>
      <c r="AB7404" s="12" t="s">
        <v>56</v>
      </c>
      <c r="AC7404" s="12" t="s">
        <v>3761</v>
      </c>
      <c r="AD7404" s="13">
        <v>41974</v>
      </c>
      <c r="AE7404" s="12" t="s">
        <v>236</v>
      </c>
      <c r="AF7404" s="12" t="s">
        <v>3762</v>
      </c>
      <c r="AG7404" s="12" t="s">
        <v>1078</v>
      </c>
      <c r="AH7404" s="1">
        <f>HYPERLINK("https://my.pitchbook.com?c=26126-83T","View Company Online")</f>
      </c>
    </row>
    <row r="7405">
      <c r="A7405" s="3" t="s">
        <v>32777</v>
      </c>
      <c r="B7405" s="3" t="s">
        <v>27039</v>
      </c>
      <c r="C7405" s="5" t="s">
        <v>36</v>
      </c>
      <c r="D7405" s="5" t="s">
        <v>36</v>
      </c>
      <c r="E7405" s="5" t="s">
        <v>36</v>
      </c>
      <c r="F7405" s="5" t="s">
        <v>36</v>
      </c>
      <c r="G7405" s="6" t="s">
        <v>36</v>
      </c>
      <c r="H7405" s="4" t="s">
        <v>36</v>
      </c>
      <c r="I7405" s="7" t="s">
        <v>36</v>
      </c>
      <c r="J7405" s="3" t="s">
        <v>36</v>
      </c>
      <c r="K7405" s="9" t="s">
        <v>36</v>
      </c>
      <c r="L7405" s="6" t="s">
        <v>36</v>
      </c>
      <c r="M7405" s="3" t="s">
        <v>36</v>
      </c>
      <c r="N7405" s="3" t="s">
        <v>36</v>
      </c>
      <c r="O7405" s="8" t="s">
        <v>36</v>
      </c>
      <c r="P7405" s="3" t="s">
        <v>36</v>
      </c>
      <c r="Q7405" s="3" t="s">
        <v>36</v>
      </c>
      <c r="R7405" s="3" t="s">
        <v>36</v>
      </c>
      <c r="S7405" s="3" t="s">
        <v>36</v>
      </c>
      <c r="T7405" s="3" t="s">
        <v>4911</v>
      </c>
      <c r="U7405" s="3" t="s">
        <v>63</v>
      </c>
      <c r="V7405" s="3" t="s">
        <v>64</v>
      </c>
      <c r="W7405" s="3" t="s">
        <v>27040</v>
      </c>
      <c r="X7405" s="10" t="s">
        <v>27041</v>
      </c>
      <c r="Y7405" s="6" t="s">
        <v>108</v>
      </c>
      <c r="Z7405" s="4" t="s">
        <v>36</v>
      </c>
      <c r="AA7405" s="4" t="s">
        <v>36</v>
      </c>
      <c r="AB7405" s="3" t="s">
        <v>43</v>
      </c>
      <c r="AC7405" s="3" t="s">
        <v>27042</v>
      </c>
      <c r="AD7405" s="9">
        <v>41974</v>
      </c>
      <c r="AE7405" s="3" t="s">
        <v>399</v>
      </c>
      <c r="AF7405" s="3" t="s">
        <v>36</v>
      </c>
      <c r="AG7405" s="3" t="s">
        <v>27043</v>
      </c>
      <c r="AH7405" s="11">
        <f>HYPERLINK("https://my.pitchbook.com?c=71852-59T","View Company Online")</f>
      </c>
    </row>
    <row r="7406">
      <c r="A7406" s="12" t="s">
        <v>32778</v>
      </c>
      <c r="B7406" s="12" t="s">
        <v>30306</v>
      </c>
      <c r="C7406" s="19" t="s">
        <v>36</v>
      </c>
      <c r="D7406" s="19" t="s">
        <v>36</v>
      </c>
      <c r="E7406" s="19" t="s">
        <v>36</v>
      </c>
      <c r="F7406" s="19" t="s">
        <v>36</v>
      </c>
      <c r="G7406" s="15" t="s">
        <v>36</v>
      </c>
      <c r="H7406" s="14" t="s">
        <v>36</v>
      </c>
      <c r="I7406" s="18" t="s">
        <v>36</v>
      </c>
      <c r="J7406" s="12" t="s">
        <v>36</v>
      </c>
      <c r="K7406" s="13" t="s">
        <v>36</v>
      </c>
      <c r="L7406" s="15" t="s">
        <v>122</v>
      </c>
      <c r="M7406" s="12" t="s">
        <v>36</v>
      </c>
      <c r="N7406" s="12" t="s">
        <v>122</v>
      </c>
      <c r="O7406" s="17" t="s">
        <v>36</v>
      </c>
      <c r="P7406" s="12" t="s">
        <v>36</v>
      </c>
      <c r="Q7406" s="12" t="s">
        <v>36</v>
      </c>
      <c r="R7406" s="12" t="s">
        <v>36</v>
      </c>
      <c r="S7406" s="12" t="s">
        <v>36</v>
      </c>
      <c r="T7406" s="12" t="s">
        <v>1260</v>
      </c>
      <c r="U7406" s="12" t="s">
        <v>38</v>
      </c>
      <c r="V7406" s="12" t="s">
        <v>39</v>
      </c>
      <c r="W7406" s="12" t="s">
        <v>30307</v>
      </c>
      <c r="X7406" s="16" t="s">
        <v>32779</v>
      </c>
      <c r="Y7406" s="15" t="s">
        <v>108</v>
      </c>
      <c r="Z7406" s="14">
        <v>2</v>
      </c>
      <c r="AA7406" s="14" t="s">
        <v>36</v>
      </c>
      <c r="AB7406" s="12" t="s">
        <v>43</v>
      </c>
      <c r="AC7406" s="12" t="s">
        <v>30309</v>
      </c>
      <c r="AD7406" s="13">
        <v>41974</v>
      </c>
      <c r="AE7406" s="12" t="s">
        <v>110</v>
      </c>
      <c r="AF7406" s="12" t="s">
        <v>1159</v>
      </c>
      <c r="AG7406" s="12" t="s">
        <v>30310</v>
      </c>
      <c r="AH7406" s="1">
        <f>HYPERLINK("https://my.pitchbook.com?c=171158-95T","View Company Online")</f>
      </c>
    </row>
    <row r="7407">
      <c r="A7407" s="3" t="s">
        <v>32780</v>
      </c>
      <c r="B7407" s="3" t="s">
        <v>32781</v>
      </c>
      <c r="C7407" s="5" t="s">
        <v>36</v>
      </c>
      <c r="D7407" s="5" t="s">
        <v>36</v>
      </c>
      <c r="E7407" s="5" t="s">
        <v>36</v>
      </c>
      <c r="F7407" s="5" t="s">
        <v>36</v>
      </c>
      <c r="G7407" s="6" t="s">
        <v>36</v>
      </c>
      <c r="H7407" s="4">
        <v>121.51</v>
      </c>
      <c r="I7407" s="7">
        <v>30.02</v>
      </c>
      <c r="J7407" s="3" t="s">
        <v>521</v>
      </c>
      <c r="K7407" s="9" t="s">
        <v>36</v>
      </c>
      <c r="L7407" s="6" t="s">
        <v>36</v>
      </c>
      <c r="M7407" s="3" t="s">
        <v>36</v>
      </c>
      <c r="N7407" s="3" t="s">
        <v>36</v>
      </c>
      <c r="O7407" s="8" t="s">
        <v>36</v>
      </c>
      <c r="P7407" s="3" t="s">
        <v>36</v>
      </c>
      <c r="Q7407" s="3" t="s">
        <v>36</v>
      </c>
      <c r="R7407" s="3" t="s">
        <v>36</v>
      </c>
      <c r="S7407" s="3" t="s">
        <v>36</v>
      </c>
      <c r="T7407" s="3" t="s">
        <v>2653</v>
      </c>
      <c r="U7407" s="3" t="s">
        <v>74</v>
      </c>
      <c r="V7407" s="3" t="s">
        <v>75</v>
      </c>
      <c r="W7407" s="3" t="s">
        <v>32782</v>
      </c>
      <c r="X7407" s="10" t="s">
        <v>22004</v>
      </c>
      <c r="Y7407" s="6" t="s">
        <v>42</v>
      </c>
      <c r="Z7407" s="4">
        <v>0.13</v>
      </c>
      <c r="AA7407" s="4">
        <v>0.42</v>
      </c>
      <c r="AB7407" s="3" t="s">
        <v>43</v>
      </c>
      <c r="AC7407" s="3" t="s">
        <v>32783</v>
      </c>
      <c r="AD7407" s="9">
        <v>41971</v>
      </c>
      <c r="AE7407" s="3" t="s">
        <v>696</v>
      </c>
      <c r="AF7407" s="3" t="s">
        <v>4200</v>
      </c>
      <c r="AG7407" s="3" t="s">
        <v>47</v>
      </c>
      <c r="AH7407" s="11">
        <f>HYPERLINK("https://my.pitchbook.com?c=128758-24T","View Company Online")</f>
      </c>
    </row>
    <row r="7408">
      <c r="A7408" s="12" t="s">
        <v>32784</v>
      </c>
      <c r="B7408" s="12" t="s">
        <v>16049</v>
      </c>
      <c r="C7408" s="19">
        <v>70</v>
      </c>
      <c r="D7408" s="19">
        <v>254</v>
      </c>
      <c r="E7408" s="19">
        <v>95</v>
      </c>
      <c r="F7408" s="19">
        <v>406</v>
      </c>
      <c r="G7408" s="15" t="s">
        <v>36</v>
      </c>
      <c r="H7408" s="14">
        <v>39.86</v>
      </c>
      <c r="I7408" s="18">
        <v>53.06</v>
      </c>
      <c r="J7408" s="12" t="s">
        <v>521</v>
      </c>
      <c r="K7408" s="13" t="s">
        <v>36</v>
      </c>
      <c r="L7408" s="15" t="s">
        <v>122</v>
      </c>
      <c r="M7408" s="12" t="s">
        <v>36</v>
      </c>
      <c r="N7408" s="12" t="s">
        <v>122</v>
      </c>
      <c r="O7408" s="17" t="s">
        <v>36</v>
      </c>
      <c r="P7408" s="12" t="s">
        <v>36</v>
      </c>
      <c r="Q7408" s="12" t="s">
        <v>36</v>
      </c>
      <c r="R7408" s="12" t="s">
        <v>36</v>
      </c>
      <c r="S7408" s="12" t="s">
        <v>36</v>
      </c>
      <c r="T7408" s="12" t="s">
        <v>16050</v>
      </c>
      <c r="U7408" s="12" t="s">
        <v>318</v>
      </c>
      <c r="V7408" s="12" t="s">
        <v>39</v>
      </c>
      <c r="W7408" s="12" t="s">
        <v>16051</v>
      </c>
      <c r="X7408" s="16" t="s">
        <v>32785</v>
      </c>
      <c r="Y7408" s="15" t="s">
        <v>108</v>
      </c>
      <c r="Z7408" s="14">
        <v>9.88</v>
      </c>
      <c r="AA7408" s="14">
        <v>18.62</v>
      </c>
      <c r="AB7408" s="12" t="s">
        <v>43</v>
      </c>
      <c r="AC7408" s="12" t="s">
        <v>16053</v>
      </c>
      <c r="AD7408" s="13">
        <v>41970</v>
      </c>
      <c r="AE7408" s="12" t="s">
        <v>763</v>
      </c>
      <c r="AF7408" s="12" t="s">
        <v>16054</v>
      </c>
      <c r="AG7408" s="12" t="s">
        <v>512</v>
      </c>
      <c r="AH7408" s="1">
        <f>HYPERLINK("https://my.pitchbook.com?c=35483-41T","View Company Online")</f>
      </c>
    </row>
    <row r="7409">
      <c r="A7409" s="3" t="s">
        <v>32786</v>
      </c>
      <c r="B7409" s="3" t="s">
        <v>13160</v>
      </c>
      <c r="C7409" s="5" t="s">
        <v>36</v>
      </c>
      <c r="D7409" s="5" t="s">
        <v>36</v>
      </c>
      <c r="E7409" s="5" t="s">
        <v>36</v>
      </c>
      <c r="F7409" s="5" t="s">
        <v>36</v>
      </c>
      <c r="G7409" s="6" t="s">
        <v>36</v>
      </c>
      <c r="H7409" s="4">
        <v>222.14</v>
      </c>
      <c r="I7409" s="7">
        <v>19.41</v>
      </c>
      <c r="J7409" s="3" t="s">
        <v>521</v>
      </c>
      <c r="K7409" s="9" t="s">
        <v>36</v>
      </c>
      <c r="L7409" s="6" t="s">
        <v>122</v>
      </c>
      <c r="M7409" s="3" t="s">
        <v>36</v>
      </c>
      <c r="N7409" s="3" t="s">
        <v>122</v>
      </c>
      <c r="O7409" s="8" t="s">
        <v>36</v>
      </c>
      <c r="P7409" s="3" t="s">
        <v>36</v>
      </c>
      <c r="Q7409" s="3" t="s">
        <v>36</v>
      </c>
      <c r="R7409" s="3" t="s">
        <v>36</v>
      </c>
      <c r="S7409" s="3" t="s">
        <v>36</v>
      </c>
      <c r="T7409" s="3" t="s">
        <v>189</v>
      </c>
      <c r="U7409" s="3" t="s">
        <v>180</v>
      </c>
      <c r="V7409" s="3" t="s">
        <v>52</v>
      </c>
      <c r="W7409" s="3" t="s">
        <v>13161</v>
      </c>
      <c r="X7409" s="10" t="s">
        <v>32787</v>
      </c>
      <c r="Y7409" s="6" t="s">
        <v>108</v>
      </c>
      <c r="Z7409" s="4">
        <v>5</v>
      </c>
      <c r="AA7409" s="4">
        <v>23.22</v>
      </c>
      <c r="AB7409" s="3" t="s">
        <v>43</v>
      </c>
      <c r="AC7409" s="3" t="s">
        <v>13163</v>
      </c>
      <c r="AD7409" s="9">
        <v>41968</v>
      </c>
      <c r="AE7409" s="3" t="s">
        <v>184</v>
      </c>
      <c r="AF7409" s="3" t="s">
        <v>7086</v>
      </c>
      <c r="AG7409" s="3" t="s">
        <v>2088</v>
      </c>
      <c r="AH7409" s="11">
        <f>HYPERLINK("https://my.pitchbook.com?c=51793-12T","View Company Online")</f>
      </c>
    </row>
    <row r="7410">
      <c r="A7410" s="12" t="s">
        <v>32788</v>
      </c>
      <c r="B7410" s="12" t="s">
        <v>14461</v>
      </c>
      <c r="C7410" s="19" t="s">
        <v>36</v>
      </c>
      <c r="D7410" s="19" t="s">
        <v>36</v>
      </c>
      <c r="E7410" s="19" t="s">
        <v>36</v>
      </c>
      <c r="F7410" s="19" t="s">
        <v>36</v>
      </c>
      <c r="G7410" s="15" t="s">
        <v>326</v>
      </c>
      <c r="H7410" s="14">
        <v>17.14</v>
      </c>
      <c r="I7410" s="18">
        <v>30.21</v>
      </c>
      <c r="J7410" s="12" t="s">
        <v>521</v>
      </c>
      <c r="K7410" s="13" t="s">
        <v>36</v>
      </c>
      <c r="L7410" s="15" t="s">
        <v>36</v>
      </c>
      <c r="M7410" s="12" t="s">
        <v>36</v>
      </c>
      <c r="N7410" s="12" t="s">
        <v>36</v>
      </c>
      <c r="O7410" s="17" t="s">
        <v>36</v>
      </c>
      <c r="P7410" s="12" t="s">
        <v>36</v>
      </c>
      <c r="Q7410" s="12" t="s">
        <v>36</v>
      </c>
      <c r="R7410" s="12" t="s">
        <v>36</v>
      </c>
      <c r="S7410" s="12" t="s">
        <v>36</v>
      </c>
      <c r="T7410" s="12" t="s">
        <v>2308</v>
      </c>
      <c r="U7410" s="12" t="s">
        <v>38</v>
      </c>
      <c r="V7410" s="12" t="s">
        <v>39</v>
      </c>
      <c r="W7410" s="12" t="s">
        <v>14462</v>
      </c>
      <c r="X7410" s="16" t="s">
        <v>32789</v>
      </c>
      <c r="Y7410" s="15" t="s">
        <v>42</v>
      </c>
      <c r="Z7410" s="14">
        <v>4.5</v>
      </c>
      <c r="AA7410" s="14">
        <v>10.56</v>
      </c>
      <c r="AB7410" s="12" t="s">
        <v>43</v>
      </c>
      <c r="AC7410" s="12" t="s">
        <v>14464</v>
      </c>
      <c r="AD7410" s="13">
        <v>41968</v>
      </c>
      <c r="AE7410" s="12" t="s">
        <v>45</v>
      </c>
      <c r="AF7410" s="12" t="s">
        <v>14465</v>
      </c>
      <c r="AG7410" s="12" t="s">
        <v>81</v>
      </c>
      <c r="AH7410" s="1">
        <f>HYPERLINK("https://my.pitchbook.com?c=39827-53T","View Company Online")</f>
      </c>
    </row>
    <row r="7411">
      <c r="A7411" s="3" t="s">
        <v>32790</v>
      </c>
      <c r="B7411" s="3" t="s">
        <v>32791</v>
      </c>
      <c r="C7411" s="5" t="s">
        <v>36</v>
      </c>
      <c r="D7411" s="5" t="s">
        <v>36</v>
      </c>
      <c r="E7411" s="5" t="s">
        <v>36</v>
      </c>
      <c r="F7411" s="5" t="s">
        <v>36</v>
      </c>
      <c r="G7411" s="6" t="s">
        <v>683</v>
      </c>
      <c r="H7411" s="4">
        <v>326.69</v>
      </c>
      <c r="I7411" s="7">
        <v>24.36</v>
      </c>
      <c r="J7411" s="3" t="s">
        <v>521</v>
      </c>
      <c r="K7411" s="9" t="s">
        <v>36</v>
      </c>
      <c r="L7411" s="6" t="s">
        <v>36</v>
      </c>
      <c r="M7411" s="3" t="s">
        <v>36</v>
      </c>
      <c r="N7411" s="3" t="s">
        <v>36</v>
      </c>
      <c r="O7411" s="8" t="s">
        <v>36</v>
      </c>
      <c r="P7411" s="3" t="s">
        <v>36</v>
      </c>
      <c r="Q7411" s="3" t="s">
        <v>36</v>
      </c>
      <c r="R7411" s="3" t="s">
        <v>36</v>
      </c>
      <c r="S7411" s="3" t="s">
        <v>36</v>
      </c>
      <c r="T7411" s="3" t="s">
        <v>3571</v>
      </c>
      <c r="U7411" s="3" t="s">
        <v>289</v>
      </c>
      <c r="V7411" s="3" t="s">
        <v>64</v>
      </c>
      <c r="W7411" s="3" t="s">
        <v>32792</v>
      </c>
      <c r="X7411" s="10" t="s">
        <v>32793</v>
      </c>
      <c r="Y7411" s="6" t="s">
        <v>108</v>
      </c>
      <c r="Z7411" s="4">
        <v>11.25</v>
      </c>
      <c r="AA7411" s="4">
        <v>20.01</v>
      </c>
      <c r="AB7411" s="3" t="s">
        <v>56</v>
      </c>
      <c r="AC7411" s="3" t="s">
        <v>32794</v>
      </c>
      <c r="AD7411" s="9">
        <v>41968</v>
      </c>
      <c r="AE7411" s="3" t="s">
        <v>292</v>
      </c>
      <c r="AF7411" s="3" t="s">
        <v>2118</v>
      </c>
      <c r="AG7411" s="3" t="s">
        <v>81</v>
      </c>
      <c r="AH7411" s="11">
        <f>HYPERLINK("https://my.pitchbook.com?c=39771-19T","View Company Online")</f>
      </c>
    </row>
    <row r="7412">
      <c r="A7412" s="12" t="s">
        <v>32795</v>
      </c>
      <c r="B7412" s="12" t="s">
        <v>30152</v>
      </c>
      <c r="C7412" s="19" t="s">
        <v>36</v>
      </c>
      <c r="D7412" s="19">
        <v>5</v>
      </c>
      <c r="E7412" s="19">
        <v>2</v>
      </c>
      <c r="F7412" s="19">
        <v>7</v>
      </c>
      <c r="G7412" s="15" t="s">
        <v>36</v>
      </c>
      <c r="H7412" s="14" t="s">
        <v>36</v>
      </c>
      <c r="I7412" s="18" t="s">
        <v>36</v>
      </c>
      <c r="J7412" s="12" t="s">
        <v>36</v>
      </c>
      <c r="K7412" s="13" t="s">
        <v>36</v>
      </c>
      <c r="L7412" s="15" t="s">
        <v>36</v>
      </c>
      <c r="M7412" s="12" t="s">
        <v>36</v>
      </c>
      <c r="N7412" s="12" t="s">
        <v>36</v>
      </c>
      <c r="O7412" s="17" t="s">
        <v>36</v>
      </c>
      <c r="P7412" s="12" t="s">
        <v>36</v>
      </c>
      <c r="Q7412" s="12" t="s">
        <v>36</v>
      </c>
      <c r="R7412" s="12" t="s">
        <v>36</v>
      </c>
      <c r="S7412" s="12" t="s">
        <v>36</v>
      </c>
      <c r="T7412" s="12" t="s">
        <v>1701</v>
      </c>
      <c r="U7412" s="12" t="s">
        <v>74</v>
      </c>
      <c r="V7412" s="12" t="s">
        <v>75</v>
      </c>
      <c r="W7412" s="12" t="s">
        <v>30153</v>
      </c>
      <c r="X7412" s="16" t="s">
        <v>32796</v>
      </c>
      <c r="Y7412" s="15" t="s">
        <v>192</v>
      </c>
      <c r="Z7412" s="14">
        <v>3.12</v>
      </c>
      <c r="AA7412" s="14" t="s">
        <v>36</v>
      </c>
      <c r="AB7412" s="12" t="s">
        <v>43</v>
      </c>
      <c r="AC7412" s="12" t="s">
        <v>30155</v>
      </c>
      <c r="AD7412" s="13">
        <v>41968</v>
      </c>
      <c r="AE7412" s="12" t="s">
        <v>79</v>
      </c>
      <c r="AF7412" s="12" t="s">
        <v>30156</v>
      </c>
      <c r="AG7412" s="12" t="s">
        <v>652</v>
      </c>
      <c r="AH7412" s="1">
        <f>HYPERLINK("https://my.pitchbook.com?c=68031-64T","View Company Online")</f>
      </c>
    </row>
    <row r="7413">
      <c r="A7413" s="3" t="s">
        <v>32797</v>
      </c>
      <c r="B7413" s="3" t="s">
        <v>32798</v>
      </c>
      <c r="C7413" s="5">
        <v>3</v>
      </c>
      <c r="D7413" s="5">
        <v>4</v>
      </c>
      <c r="E7413" s="5">
        <v>3</v>
      </c>
      <c r="F7413" s="5">
        <v>14</v>
      </c>
      <c r="G7413" s="6" t="s">
        <v>2497</v>
      </c>
      <c r="H7413" s="4">
        <v>4.15</v>
      </c>
      <c r="I7413" s="7">
        <v>8.01</v>
      </c>
      <c r="J7413" s="3" t="s">
        <v>521</v>
      </c>
      <c r="K7413" s="9" t="s">
        <v>36</v>
      </c>
      <c r="L7413" s="6" t="s">
        <v>36</v>
      </c>
      <c r="M7413" s="3" t="s">
        <v>36</v>
      </c>
      <c r="N7413" s="3" t="s">
        <v>36</v>
      </c>
      <c r="O7413" s="8" t="s">
        <v>36</v>
      </c>
      <c r="P7413" s="3" t="s">
        <v>36</v>
      </c>
      <c r="Q7413" s="3" t="s">
        <v>36</v>
      </c>
      <c r="R7413" s="3" t="s">
        <v>36</v>
      </c>
      <c r="S7413" s="3" t="s">
        <v>36</v>
      </c>
      <c r="T7413" s="3" t="s">
        <v>32799</v>
      </c>
      <c r="U7413" s="3" t="s">
        <v>96</v>
      </c>
      <c r="V7413" s="3" t="s">
        <v>52</v>
      </c>
      <c r="W7413" s="3" t="s">
        <v>32800</v>
      </c>
      <c r="X7413" s="10" t="s">
        <v>18390</v>
      </c>
      <c r="Y7413" s="6" t="s">
        <v>108</v>
      </c>
      <c r="Z7413" s="4">
        <v>0.12</v>
      </c>
      <c r="AA7413" s="4">
        <v>1.56</v>
      </c>
      <c r="AB7413" s="3" t="s">
        <v>56</v>
      </c>
      <c r="AC7413" s="3" t="s">
        <v>32801</v>
      </c>
      <c r="AD7413" s="9">
        <v>41968</v>
      </c>
      <c r="AE7413" s="3" t="s">
        <v>100</v>
      </c>
      <c r="AF7413" s="3" t="s">
        <v>5541</v>
      </c>
      <c r="AG7413" s="3" t="s">
        <v>2370</v>
      </c>
      <c r="AH7413" s="11">
        <f>HYPERLINK("https://my.pitchbook.com?c=135201-16T","View Company Online")</f>
      </c>
    </row>
    <row r="7414">
      <c r="A7414" s="12" t="s">
        <v>32802</v>
      </c>
      <c r="B7414" s="12" t="s">
        <v>21434</v>
      </c>
      <c r="C7414" s="19">
        <v>1</v>
      </c>
      <c r="D7414" s="19" t="s">
        <v>36</v>
      </c>
      <c r="E7414" s="19">
        <v>1</v>
      </c>
      <c r="F7414" s="19">
        <v>1</v>
      </c>
      <c r="G7414" s="15" t="s">
        <v>36</v>
      </c>
      <c r="H7414" s="14" t="s">
        <v>36</v>
      </c>
      <c r="I7414" s="18" t="s">
        <v>36</v>
      </c>
      <c r="J7414" s="12" t="s">
        <v>36</v>
      </c>
      <c r="K7414" s="13">
        <v>41640</v>
      </c>
      <c r="L7414" s="15" t="s">
        <v>36</v>
      </c>
      <c r="M7414" s="12" t="s">
        <v>36</v>
      </c>
      <c r="N7414" s="12" t="s">
        <v>36</v>
      </c>
      <c r="O7414" s="17" t="s">
        <v>36</v>
      </c>
      <c r="P7414" s="12" t="s">
        <v>36</v>
      </c>
      <c r="Q7414" s="12" t="s">
        <v>36</v>
      </c>
      <c r="R7414" s="12" t="s">
        <v>36</v>
      </c>
      <c r="S7414" s="12" t="s">
        <v>36</v>
      </c>
      <c r="T7414" s="12" t="s">
        <v>21435</v>
      </c>
      <c r="U7414" s="12" t="s">
        <v>74</v>
      </c>
      <c r="V7414" s="12" t="s">
        <v>75</v>
      </c>
      <c r="W7414" s="12" t="s">
        <v>21436</v>
      </c>
      <c r="X7414" s="16" t="s">
        <v>32803</v>
      </c>
      <c r="Y7414" s="15" t="s">
        <v>42</v>
      </c>
      <c r="Z7414" s="14">
        <v>2.51</v>
      </c>
      <c r="AA7414" s="14" t="s">
        <v>36</v>
      </c>
      <c r="AB7414" s="12" t="s">
        <v>56</v>
      </c>
      <c r="AC7414" s="12" t="s">
        <v>21438</v>
      </c>
      <c r="AD7414" s="13">
        <v>41964</v>
      </c>
      <c r="AE7414" s="12" t="s">
        <v>570</v>
      </c>
      <c r="AF7414" s="12" t="s">
        <v>12003</v>
      </c>
      <c r="AG7414" s="12" t="s">
        <v>21439</v>
      </c>
      <c r="AH7414" s="1">
        <f>HYPERLINK("https://my.pitchbook.com?c=136767-70T","View Company Online")</f>
      </c>
    </row>
    <row r="7415">
      <c r="A7415" s="3" t="s">
        <v>32804</v>
      </c>
      <c r="B7415" s="3" t="s">
        <v>32805</v>
      </c>
      <c r="C7415" s="5" t="s">
        <v>36</v>
      </c>
      <c r="D7415" s="5" t="s">
        <v>36</v>
      </c>
      <c r="E7415" s="5" t="s">
        <v>36</v>
      </c>
      <c r="F7415" s="5" t="s">
        <v>36</v>
      </c>
      <c r="G7415" s="6" t="s">
        <v>36</v>
      </c>
      <c r="H7415" s="4" t="s">
        <v>36</v>
      </c>
      <c r="I7415" s="7" t="s">
        <v>36</v>
      </c>
      <c r="J7415" s="3" t="s">
        <v>36</v>
      </c>
      <c r="K7415" s="9" t="s">
        <v>36</v>
      </c>
      <c r="L7415" s="6" t="s">
        <v>36</v>
      </c>
      <c r="M7415" s="3" t="s">
        <v>36</v>
      </c>
      <c r="N7415" s="3" t="s">
        <v>36</v>
      </c>
      <c r="O7415" s="8" t="s">
        <v>36</v>
      </c>
      <c r="P7415" s="3" t="s">
        <v>36</v>
      </c>
      <c r="Q7415" s="3" t="s">
        <v>36</v>
      </c>
      <c r="R7415" s="3" t="s">
        <v>36</v>
      </c>
      <c r="S7415" s="3" t="s">
        <v>36</v>
      </c>
      <c r="T7415" s="3" t="s">
        <v>2044</v>
      </c>
      <c r="U7415" s="3" t="s">
        <v>74</v>
      </c>
      <c r="V7415" s="3" t="s">
        <v>75</v>
      </c>
      <c r="W7415" s="3" t="s">
        <v>32806</v>
      </c>
      <c r="X7415" s="10" t="s">
        <v>32807</v>
      </c>
      <c r="Y7415" s="6" t="s">
        <v>108</v>
      </c>
      <c r="Z7415" s="4">
        <v>1.25</v>
      </c>
      <c r="AA7415" s="4" t="s">
        <v>36</v>
      </c>
      <c r="AB7415" s="3" t="s">
        <v>43</v>
      </c>
      <c r="AC7415" s="3" t="s">
        <v>32808</v>
      </c>
      <c r="AD7415" s="9">
        <v>41964</v>
      </c>
      <c r="AE7415" s="3" t="s">
        <v>79</v>
      </c>
      <c r="AF7415" s="3" t="s">
        <v>32809</v>
      </c>
      <c r="AG7415" s="3" t="s">
        <v>81</v>
      </c>
      <c r="AH7415" s="11">
        <f>HYPERLINK("https://my.pitchbook.com?c=39682-27T","View Company Online")</f>
      </c>
    </row>
    <row r="7416">
      <c r="A7416" s="12" t="s">
        <v>32810</v>
      </c>
      <c r="B7416" s="12" t="s">
        <v>32811</v>
      </c>
      <c r="C7416" s="19" t="s">
        <v>36</v>
      </c>
      <c r="D7416" s="19" t="s">
        <v>36</v>
      </c>
      <c r="E7416" s="19" t="s">
        <v>36</v>
      </c>
      <c r="F7416" s="19" t="s">
        <v>36</v>
      </c>
      <c r="G7416" s="15" t="s">
        <v>36</v>
      </c>
      <c r="H7416" s="14">
        <v>337.53</v>
      </c>
      <c r="I7416" s="18">
        <v>10.6</v>
      </c>
      <c r="J7416" s="12" t="s">
        <v>521</v>
      </c>
      <c r="K7416" s="13" t="s">
        <v>36</v>
      </c>
      <c r="L7416" s="15" t="s">
        <v>36</v>
      </c>
      <c r="M7416" s="12" t="s">
        <v>36</v>
      </c>
      <c r="N7416" s="12" t="s">
        <v>36</v>
      </c>
      <c r="O7416" s="17" t="s">
        <v>36</v>
      </c>
      <c r="P7416" s="12" t="s">
        <v>36</v>
      </c>
      <c r="Q7416" s="12" t="s">
        <v>36</v>
      </c>
      <c r="R7416" s="12" t="s">
        <v>36</v>
      </c>
      <c r="S7416" s="12" t="s">
        <v>36</v>
      </c>
      <c r="T7416" s="12" t="s">
        <v>32812</v>
      </c>
      <c r="U7416" s="12" t="s">
        <v>289</v>
      </c>
      <c r="V7416" s="12" t="s">
        <v>64</v>
      </c>
      <c r="W7416" s="12" t="s">
        <v>32813</v>
      </c>
      <c r="X7416" s="16" t="s">
        <v>32814</v>
      </c>
      <c r="Y7416" s="15" t="s">
        <v>108</v>
      </c>
      <c r="Z7416" s="14">
        <v>1.63</v>
      </c>
      <c r="AA7416" s="14">
        <v>15.38</v>
      </c>
      <c r="AB7416" s="12" t="s">
        <v>43</v>
      </c>
      <c r="AC7416" s="12" t="s">
        <v>32815</v>
      </c>
      <c r="AD7416" s="13">
        <v>41963</v>
      </c>
      <c r="AE7416" s="12" t="s">
        <v>292</v>
      </c>
      <c r="AF7416" s="12" t="s">
        <v>2118</v>
      </c>
      <c r="AG7416" s="12" t="s">
        <v>32816</v>
      </c>
      <c r="AH7416" s="1">
        <f>HYPERLINK("https://my.pitchbook.com?c=77179-42T","View Company Online")</f>
      </c>
    </row>
    <row r="7417">
      <c r="A7417" s="3" t="s">
        <v>32817</v>
      </c>
      <c r="B7417" s="3" t="s">
        <v>32818</v>
      </c>
      <c r="C7417" s="5">
        <v>5</v>
      </c>
      <c r="D7417" s="5">
        <v>8</v>
      </c>
      <c r="E7417" s="5">
        <v>6</v>
      </c>
      <c r="F7417" s="5">
        <v>15</v>
      </c>
      <c r="G7417" s="6" t="s">
        <v>36</v>
      </c>
      <c r="H7417" s="4">
        <v>464.24</v>
      </c>
      <c r="I7417" s="7">
        <v>20.36</v>
      </c>
      <c r="J7417" s="3" t="s">
        <v>521</v>
      </c>
      <c r="K7417" s="9" t="s">
        <v>36</v>
      </c>
      <c r="L7417" s="6" t="s">
        <v>36</v>
      </c>
      <c r="M7417" s="3" t="s">
        <v>36</v>
      </c>
      <c r="N7417" s="3" t="s">
        <v>36</v>
      </c>
      <c r="O7417" s="8" t="s">
        <v>36</v>
      </c>
      <c r="P7417" s="3" t="s">
        <v>36</v>
      </c>
      <c r="Q7417" s="3" t="s">
        <v>36</v>
      </c>
      <c r="R7417" s="3" t="s">
        <v>36</v>
      </c>
      <c r="S7417" s="3" t="s">
        <v>36</v>
      </c>
      <c r="T7417" s="3" t="s">
        <v>32819</v>
      </c>
      <c r="U7417" s="3" t="s">
        <v>423</v>
      </c>
      <c r="V7417" s="3" t="s">
        <v>64</v>
      </c>
      <c r="W7417" s="3" t="s">
        <v>32820</v>
      </c>
      <c r="X7417" s="10" t="s">
        <v>32821</v>
      </c>
      <c r="Y7417" s="6" t="s">
        <v>42</v>
      </c>
      <c r="Z7417" s="4">
        <v>0.2</v>
      </c>
      <c r="AA7417" s="4">
        <v>0.99</v>
      </c>
      <c r="AB7417" s="3" t="s">
        <v>43</v>
      </c>
      <c r="AC7417" s="3" t="s">
        <v>32822</v>
      </c>
      <c r="AD7417" s="9">
        <v>41961</v>
      </c>
      <c r="AE7417" s="3" t="s">
        <v>562</v>
      </c>
      <c r="AF7417" s="3" t="s">
        <v>1275</v>
      </c>
      <c r="AG7417" s="3" t="s">
        <v>741</v>
      </c>
      <c r="AH7417" s="11">
        <f>HYPERLINK("https://my.pitchbook.com?c=77666-14T","View Company Online")</f>
      </c>
    </row>
    <row r="7418">
      <c r="A7418" s="12" t="s">
        <v>32823</v>
      </c>
      <c r="B7418" s="12" t="s">
        <v>22395</v>
      </c>
      <c r="C7418" s="19" t="s">
        <v>36</v>
      </c>
      <c r="D7418" s="19" t="s">
        <v>36</v>
      </c>
      <c r="E7418" s="19" t="s">
        <v>36</v>
      </c>
      <c r="F7418" s="19" t="s">
        <v>36</v>
      </c>
      <c r="G7418" s="15" t="s">
        <v>36</v>
      </c>
      <c r="H7418" s="14" t="s">
        <v>36</v>
      </c>
      <c r="I7418" s="18">
        <v>27.74</v>
      </c>
      <c r="J7418" s="12" t="s">
        <v>327</v>
      </c>
      <c r="K7418" s="13">
        <v>41821</v>
      </c>
      <c r="L7418" s="15" t="s">
        <v>122</v>
      </c>
      <c r="M7418" s="12" t="s">
        <v>36</v>
      </c>
      <c r="N7418" s="12" t="s">
        <v>122</v>
      </c>
      <c r="O7418" s="17" t="s">
        <v>36</v>
      </c>
      <c r="P7418" s="12" t="s">
        <v>36</v>
      </c>
      <c r="Q7418" s="12" t="s">
        <v>36</v>
      </c>
      <c r="R7418" s="12" t="s">
        <v>36</v>
      </c>
      <c r="S7418" s="12" t="s">
        <v>36</v>
      </c>
      <c r="T7418" s="12" t="s">
        <v>5512</v>
      </c>
      <c r="U7418" s="12" t="s">
        <v>38</v>
      </c>
      <c r="V7418" s="12" t="s">
        <v>39</v>
      </c>
      <c r="W7418" s="12" t="s">
        <v>22396</v>
      </c>
      <c r="X7418" s="16" t="s">
        <v>32824</v>
      </c>
      <c r="Y7418" s="15" t="s">
        <v>108</v>
      </c>
      <c r="Z7418" s="14">
        <v>22.5</v>
      </c>
      <c r="AA7418" s="14">
        <v>27.04</v>
      </c>
      <c r="AB7418" s="12" t="s">
        <v>43</v>
      </c>
      <c r="AC7418" s="12" t="s">
        <v>22398</v>
      </c>
      <c r="AD7418" s="13">
        <v>41956</v>
      </c>
      <c r="AE7418" s="12" t="s">
        <v>45</v>
      </c>
      <c r="AF7418" s="12" t="s">
        <v>17475</v>
      </c>
      <c r="AG7418" s="12" t="s">
        <v>81</v>
      </c>
      <c r="AH7418" s="1">
        <f>HYPERLINK("https://my.pitchbook.com?c=39392-65T","View Company Online")</f>
      </c>
    </row>
    <row r="7419">
      <c r="A7419" s="3" t="s">
        <v>32825</v>
      </c>
      <c r="B7419" s="3" t="s">
        <v>32826</v>
      </c>
      <c r="C7419" s="5" t="s">
        <v>36</v>
      </c>
      <c r="D7419" s="5" t="s">
        <v>36</v>
      </c>
      <c r="E7419" s="5" t="s">
        <v>36</v>
      </c>
      <c r="F7419" s="5" t="s">
        <v>36</v>
      </c>
      <c r="G7419" s="6" t="s">
        <v>36</v>
      </c>
      <c r="H7419" s="4">
        <v>6.85</v>
      </c>
      <c r="I7419" s="7">
        <v>27.82</v>
      </c>
      <c r="J7419" s="3" t="s">
        <v>521</v>
      </c>
      <c r="K7419" s="9">
        <v>41478</v>
      </c>
      <c r="L7419" s="6" t="s">
        <v>36</v>
      </c>
      <c r="M7419" s="3" t="s">
        <v>36</v>
      </c>
      <c r="N7419" s="3" t="s">
        <v>36</v>
      </c>
      <c r="O7419" s="8" t="s">
        <v>36</v>
      </c>
      <c r="P7419" s="3" t="s">
        <v>36</v>
      </c>
      <c r="Q7419" s="3" t="s">
        <v>36</v>
      </c>
      <c r="R7419" s="3" t="s">
        <v>36</v>
      </c>
      <c r="S7419" s="3" t="s">
        <v>36</v>
      </c>
      <c r="T7419" s="3" t="s">
        <v>23277</v>
      </c>
      <c r="U7419" s="3" t="s">
        <v>38</v>
      </c>
      <c r="V7419" s="3" t="s">
        <v>39</v>
      </c>
      <c r="W7419" s="3" t="s">
        <v>32827</v>
      </c>
      <c r="X7419" s="10" t="s">
        <v>32828</v>
      </c>
      <c r="Y7419" s="6" t="s">
        <v>42</v>
      </c>
      <c r="Z7419" s="4">
        <v>0.49</v>
      </c>
      <c r="AA7419" s="4">
        <v>1.75</v>
      </c>
      <c r="AB7419" s="3" t="s">
        <v>43</v>
      </c>
      <c r="AC7419" s="3" t="s">
        <v>32829</v>
      </c>
      <c r="AD7419" s="9">
        <v>41956</v>
      </c>
      <c r="AE7419" s="3" t="s">
        <v>554</v>
      </c>
      <c r="AF7419" s="3" t="s">
        <v>32830</v>
      </c>
      <c r="AG7419" s="3" t="s">
        <v>81</v>
      </c>
      <c r="AH7419" s="11">
        <f>HYPERLINK("https://my.pitchbook.com?c=44554-24T","View Company Online")</f>
      </c>
    </row>
    <row r="7420">
      <c r="A7420" s="12" t="s">
        <v>32831</v>
      </c>
      <c r="B7420" s="12" t="s">
        <v>32832</v>
      </c>
      <c r="C7420" s="19">
        <v>1</v>
      </c>
      <c r="D7420" s="19">
        <v>2</v>
      </c>
      <c r="E7420" s="19">
        <v>1</v>
      </c>
      <c r="F7420" s="19">
        <v>3</v>
      </c>
      <c r="G7420" s="15" t="s">
        <v>326</v>
      </c>
      <c r="H7420" s="14">
        <v>1056.52</v>
      </c>
      <c r="I7420" s="18">
        <v>27.29</v>
      </c>
      <c r="J7420" s="12" t="s">
        <v>521</v>
      </c>
      <c r="K7420" s="13" t="s">
        <v>36</v>
      </c>
      <c r="L7420" s="15" t="s">
        <v>36</v>
      </c>
      <c r="M7420" s="12" t="s">
        <v>36</v>
      </c>
      <c r="N7420" s="12" t="s">
        <v>36</v>
      </c>
      <c r="O7420" s="17" t="s">
        <v>36</v>
      </c>
      <c r="P7420" s="12" t="s">
        <v>36</v>
      </c>
      <c r="Q7420" s="12" t="s">
        <v>36</v>
      </c>
      <c r="R7420" s="12" t="s">
        <v>36</v>
      </c>
      <c r="S7420" s="12" t="s">
        <v>36</v>
      </c>
      <c r="T7420" s="12" t="s">
        <v>32833</v>
      </c>
      <c r="U7420" s="12" t="s">
        <v>1336</v>
      </c>
      <c r="V7420" s="12" t="s">
        <v>367</v>
      </c>
      <c r="W7420" s="12" t="s">
        <v>32834</v>
      </c>
      <c r="X7420" s="16" t="s">
        <v>32835</v>
      </c>
      <c r="Y7420" s="15" t="s">
        <v>108</v>
      </c>
      <c r="Z7420" s="14">
        <v>0.79</v>
      </c>
      <c r="AA7420" s="14">
        <v>2.88</v>
      </c>
      <c r="AB7420" s="12" t="s">
        <v>43</v>
      </c>
      <c r="AC7420" s="12" t="s">
        <v>32836</v>
      </c>
      <c r="AD7420" s="13">
        <v>41955</v>
      </c>
      <c r="AE7420" s="12" t="s">
        <v>3712</v>
      </c>
      <c r="AF7420" s="12" t="s">
        <v>571</v>
      </c>
      <c r="AG7420" s="12" t="s">
        <v>32837</v>
      </c>
      <c r="AH7420" s="1">
        <f>HYPERLINK("https://my.pitchbook.com?c=123642-91T","View Company Online")</f>
      </c>
    </row>
    <row r="7421">
      <c r="A7421" s="3" t="s">
        <v>32838</v>
      </c>
      <c r="B7421" s="3" t="s">
        <v>29468</v>
      </c>
      <c r="C7421" s="5" t="s">
        <v>36</v>
      </c>
      <c r="D7421" s="5" t="s">
        <v>36</v>
      </c>
      <c r="E7421" s="5" t="s">
        <v>36</v>
      </c>
      <c r="F7421" s="5" t="s">
        <v>36</v>
      </c>
      <c r="G7421" s="6" t="s">
        <v>36</v>
      </c>
      <c r="H7421" s="4">
        <v>4154.27</v>
      </c>
      <c r="I7421" s="7">
        <v>35.06</v>
      </c>
      <c r="J7421" s="3" t="s">
        <v>521</v>
      </c>
      <c r="K7421" s="9" t="s">
        <v>36</v>
      </c>
      <c r="L7421" s="6" t="s">
        <v>122</v>
      </c>
      <c r="M7421" s="3" t="s">
        <v>36</v>
      </c>
      <c r="N7421" s="3" t="s">
        <v>122</v>
      </c>
      <c r="O7421" s="8" t="s">
        <v>36</v>
      </c>
      <c r="P7421" s="3" t="s">
        <v>36</v>
      </c>
      <c r="Q7421" s="3" t="s">
        <v>36</v>
      </c>
      <c r="R7421" s="3" t="s">
        <v>36</v>
      </c>
      <c r="S7421" s="3" t="s">
        <v>36</v>
      </c>
      <c r="T7421" s="3" t="s">
        <v>692</v>
      </c>
      <c r="U7421" s="3" t="s">
        <v>74</v>
      </c>
      <c r="V7421" s="3" t="s">
        <v>75</v>
      </c>
      <c r="W7421" s="3" t="s">
        <v>29469</v>
      </c>
      <c r="X7421" s="10" t="s">
        <v>32839</v>
      </c>
      <c r="Y7421" s="6" t="s">
        <v>42</v>
      </c>
      <c r="Z7421" s="4">
        <v>4.04</v>
      </c>
      <c r="AA7421" s="4">
        <v>3.89</v>
      </c>
      <c r="AB7421" s="3" t="s">
        <v>43</v>
      </c>
      <c r="AC7421" s="3" t="s">
        <v>29471</v>
      </c>
      <c r="AD7421" s="9">
        <v>41950</v>
      </c>
      <c r="AE7421" s="3" t="s">
        <v>696</v>
      </c>
      <c r="AF7421" s="3" t="s">
        <v>16669</v>
      </c>
      <c r="AG7421" s="3" t="s">
        <v>81</v>
      </c>
      <c r="AH7421" s="11">
        <f>HYPERLINK("https://my.pitchbook.com?c=39204-19T","View Company Online")</f>
      </c>
    </row>
    <row r="7422">
      <c r="A7422" s="12" t="s">
        <v>32840</v>
      </c>
      <c r="B7422" s="12" t="s">
        <v>23844</v>
      </c>
      <c r="C7422" s="19">
        <v>25</v>
      </c>
      <c r="D7422" s="19">
        <v>42</v>
      </c>
      <c r="E7422" s="19">
        <v>27</v>
      </c>
      <c r="F7422" s="19">
        <v>71</v>
      </c>
      <c r="G7422" s="15" t="s">
        <v>326</v>
      </c>
      <c r="H7422" s="14">
        <v>15.27</v>
      </c>
      <c r="I7422" s="18">
        <v>35.7</v>
      </c>
      <c r="J7422" s="12" t="s">
        <v>521</v>
      </c>
      <c r="K7422" s="13">
        <v>41921</v>
      </c>
      <c r="L7422" s="15" t="s">
        <v>122</v>
      </c>
      <c r="M7422" s="12" t="s">
        <v>36</v>
      </c>
      <c r="N7422" s="12" t="s">
        <v>122</v>
      </c>
      <c r="O7422" s="17" t="s">
        <v>36</v>
      </c>
      <c r="P7422" s="12" t="s">
        <v>36</v>
      </c>
      <c r="Q7422" s="12" t="s">
        <v>36</v>
      </c>
      <c r="R7422" s="12" t="s">
        <v>36</v>
      </c>
      <c r="S7422" s="12" t="s">
        <v>36</v>
      </c>
      <c r="T7422" s="12" t="s">
        <v>1535</v>
      </c>
      <c r="U7422" s="12" t="s">
        <v>96</v>
      </c>
      <c r="V7422" s="12" t="s">
        <v>52</v>
      </c>
      <c r="W7422" s="12" t="s">
        <v>23845</v>
      </c>
      <c r="X7422" s="16" t="s">
        <v>32841</v>
      </c>
      <c r="Y7422" s="15" t="s">
        <v>108</v>
      </c>
      <c r="Z7422" s="14">
        <v>1.27</v>
      </c>
      <c r="AA7422" s="14">
        <v>3.55</v>
      </c>
      <c r="AB7422" s="12" t="s">
        <v>43</v>
      </c>
      <c r="AC7422" s="12" t="s">
        <v>23847</v>
      </c>
      <c r="AD7422" s="13">
        <v>41948</v>
      </c>
      <c r="AE7422" s="12" t="s">
        <v>1414</v>
      </c>
      <c r="AF7422" s="12" t="s">
        <v>23848</v>
      </c>
      <c r="AG7422" s="12" t="s">
        <v>765</v>
      </c>
      <c r="AH7422" s="1">
        <f>HYPERLINK("https://my.pitchbook.com?c=50820-85T","View Company Online")</f>
      </c>
    </row>
    <row r="7423">
      <c r="A7423" s="3" t="s">
        <v>32842</v>
      </c>
      <c r="B7423" s="3" t="s">
        <v>24315</v>
      </c>
      <c r="C7423" s="5">
        <v>5</v>
      </c>
      <c r="D7423" s="5">
        <v>30</v>
      </c>
      <c r="E7423" s="5">
        <v>9</v>
      </c>
      <c r="F7423" s="5">
        <v>37</v>
      </c>
      <c r="G7423" s="6" t="s">
        <v>36</v>
      </c>
      <c r="H7423" s="4" t="s">
        <v>36</v>
      </c>
      <c r="I7423" s="7" t="s">
        <v>36</v>
      </c>
      <c r="J7423" s="3" t="s">
        <v>36</v>
      </c>
      <c r="K7423" s="9" t="s">
        <v>36</v>
      </c>
      <c r="L7423" s="6" t="s">
        <v>94</v>
      </c>
      <c r="M7423" s="3" t="s">
        <v>36</v>
      </c>
      <c r="N7423" s="3" t="s">
        <v>94</v>
      </c>
      <c r="O7423" s="8" t="s">
        <v>36</v>
      </c>
      <c r="P7423" s="3" t="s">
        <v>36</v>
      </c>
      <c r="Q7423" s="3" t="s">
        <v>36</v>
      </c>
      <c r="R7423" s="3" t="s">
        <v>36</v>
      </c>
      <c r="S7423" s="3" t="s">
        <v>36</v>
      </c>
      <c r="T7423" s="3" t="s">
        <v>253</v>
      </c>
      <c r="U7423" s="3" t="s">
        <v>38</v>
      </c>
      <c r="V7423" s="3" t="s">
        <v>39</v>
      </c>
      <c r="W7423" s="3" t="s">
        <v>24316</v>
      </c>
      <c r="X7423" s="10" t="s">
        <v>32843</v>
      </c>
      <c r="Y7423" s="6" t="s">
        <v>108</v>
      </c>
      <c r="Z7423" s="4">
        <v>20</v>
      </c>
      <c r="AA7423" s="4" t="s">
        <v>36</v>
      </c>
      <c r="AB7423" s="3" t="s">
        <v>56</v>
      </c>
      <c r="AC7423" s="3" t="s">
        <v>24318</v>
      </c>
      <c r="AD7423" s="9">
        <v>41948</v>
      </c>
      <c r="AE7423" s="3" t="s">
        <v>110</v>
      </c>
      <c r="AF7423" s="3" t="s">
        <v>24319</v>
      </c>
      <c r="AG7423" s="3" t="s">
        <v>81</v>
      </c>
      <c r="AH7423" s="11">
        <f>HYPERLINK("https://my.pitchbook.com?c=39118-78T","View Company Online")</f>
      </c>
    </row>
    <row r="7424">
      <c r="A7424" s="12" t="s">
        <v>32844</v>
      </c>
      <c r="B7424" s="12" t="s">
        <v>32845</v>
      </c>
      <c r="C7424" s="19" t="s">
        <v>36</v>
      </c>
      <c r="D7424" s="19" t="s">
        <v>36</v>
      </c>
      <c r="E7424" s="19" t="s">
        <v>36</v>
      </c>
      <c r="F7424" s="19" t="s">
        <v>36</v>
      </c>
      <c r="G7424" s="15" t="s">
        <v>683</v>
      </c>
      <c r="H7424" s="14">
        <v>0.55</v>
      </c>
      <c r="I7424" s="18">
        <v>10.64</v>
      </c>
      <c r="J7424" s="12" t="s">
        <v>521</v>
      </c>
      <c r="K7424" s="13" t="s">
        <v>36</v>
      </c>
      <c r="L7424" s="15" t="s">
        <v>36</v>
      </c>
      <c r="M7424" s="12" t="s">
        <v>36</v>
      </c>
      <c r="N7424" s="12" t="s">
        <v>36</v>
      </c>
      <c r="O7424" s="17" t="s">
        <v>36</v>
      </c>
      <c r="P7424" s="12" t="s">
        <v>36</v>
      </c>
      <c r="Q7424" s="12" t="s">
        <v>36</v>
      </c>
      <c r="R7424" s="12" t="s">
        <v>36</v>
      </c>
      <c r="S7424" s="12" t="s">
        <v>36</v>
      </c>
      <c r="T7424" s="12" t="s">
        <v>28867</v>
      </c>
      <c r="U7424" s="12" t="s">
        <v>63</v>
      </c>
      <c r="V7424" s="12" t="s">
        <v>64</v>
      </c>
      <c r="W7424" s="12" t="s">
        <v>32846</v>
      </c>
      <c r="X7424" s="16" t="s">
        <v>6022</v>
      </c>
      <c r="Y7424" s="15" t="s">
        <v>108</v>
      </c>
      <c r="Z7424" s="14">
        <v>0.13</v>
      </c>
      <c r="AA7424" s="14">
        <v>1.19</v>
      </c>
      <c r="AB7424" s="12" t="s">
        <v>43</v>
      </c>
      <c r="AC7424" s="12" t="s">
        <v>32847</v>
      </c>
      <c r="AD7424" s="13">
        <v>41947</v>
      </c>
      <c r="AE7424" s="12" t="s">
        <v>399</v>
      </c>
      <c r="AF7424" s="12" t="s">
        <v>36</v>
      </c>
      <c r="AG7424" s="12" t="s">
        <v>81</v>
      </c>
      <c r="AH7424" s="1">
        <f>HYPERLINK("https://my.pitchbook.com?c=209605-24T","View Company Online")</f>
      </c>
    </row>
    <row r="7425">
      <c r="A7425" s="3" t="s">
        <v>32848</v>
      </c>
      <c r="B7425" s="3" t="s">
        <v>32849</v>
      </c>
      <c r="C7425" s="5" t="s">
        <v>36</v>
      </c>
      <c r="D7425" s="5" t="s">
        <v>36</v>
      </c>
      <c r="E7425" s="5" t="s">
        <v>36</v>
      </c>
      <c r="F7425" s="5" t="s">
        <v>36</v>
      </c>
      <c r="G7425" s="6" t="s">
        <v>36</v>
      </c>
      <c r="H7425" s="4" t="s">
        <v>36</v>
      </c>
      <c r="I7425" s="7" t="s">
        <v>36</v>
      </c>
      <c r="J7425" s="3" t="s">
        <v>36</v>
      </c>
      <c r="K7425" s="9" t="s">
        <v>36</v>
      </c>
      <c r="L7425" s="6" t="s">
        <v>36</v>
      </c>
      <c r="M7425" s="3" t="s">
        <v>36</v>
      </c>
      <c r="N7425" s="3" t="s">
        <v>36</v>
      </c>
      <c r="O7425" s="8" t="s">
        <v>36</v>
      </c>
      <c r="P7425" s="3" t="s">
        <v>36</v>
      </c>
      <c r="Q7425" s="3" t="s">
        <v>36</v>
      </c>
      <c r="R7425" s="3" t="s">
        <v>36</v>
      </c>
      <c r="S7425" s="3" t="s">
        <v>36</v>
      </c>
      <c r="T7425" s="3" t="s">
        <v>32850</v>
      </c>
      <c r="U7425" s="3" t="s">
        <v>289</v>
      </c>
      <c r="V7425" s="3" t="s">
        <v>64</v>
      </c>
      <c r="W7425" s="3" t="s">
        <v>32851</v>
      </c>
      <c r="X7425" s="10" t="s">
        <v>32852</v>
      </c>
      <c r="Y7425" s="6" t="s">
        <v>192</v>
      </c>
      <c r="Z7425" s="4">
        <v>29.13</v>
      </c>
      <c r="AA7425" s="4" t="s">
        <v>36</v>
      </c>
      <c r="AB7425" s="3" t="s">
        <v>43</v>
      </c>
      <c r="AC7425" s="3" t="s">
        <v>32853</v>
      </c>
      <c r="AD7425" s="9">
        <v>41947</v>
      </c>
      <c r="AE7425" s="3" t="s">
        <v>292</v>
      </c>
      <c r="AF7425" s="3" t="s">
        <v>2118</v>
      </c>
      <c r="AG7425" s="3" t="s">
        <v>81</v>
      </c>
      <c r="AH7425" s="11">
        <f>HYPERLINK("https://my.pitchbook.com?c=39082-51T","View Company Online")</f>
      </c>
    </row>
    <row r="7426">
      <c r="A7426" s="12" t="s">
        <v>32854</v>
      </c>
      <c r="B7426" s="12" t="s">
        <v>9166</v>
      </c>
      <c r="C7426" s="19" t="s">
        <v>36</v>
      </c>
      <c r="D7426" s="19" t="s">
        <v>36</v>
      </c>
      <c r="E7426" s="19" t="s">
        <v>36</v>
      </c>
      <c r="F7426" s="19" t="s">
        <v>36</v>
      </c>
      <c r="G7426" s="15" t="s">
        <v>36</v>
      </c>
      <c r="H7426" s="14">
        <v>84.23</v>
      </c>
      <c r="I7426" s="18">
        <v>19.46</v>
      </c>
      <c r="J7426" s="12" t="s">
        <v>521</v>
      </c>
      <c r="K7426" s="13" t="s">
        <v>36</v>
      </c>
      <c r="L7426" s="15" t="s">
        <v>36</v>
      </c>
      <c r="M7426" s="12" t="s">
        <v>36</v>
      </c>
      <c r="N7426" s="12" t="s">
        <v>36</v>
      </c>
      <c r="O7426" s="17" t="s">
        <v>36</v>
      </c>
      <c r="P7426" s="12" t="s">
        <v>36</v>
      </c>
      <c r="Q7426" s="12" t="s">
        <v>36</v>
      </c>
      <c r="R7426" s="12" t="s">
        <v>36</v>
      </c>
      <c r="S7426" s="12" t="s">
        <v>36</v>
      </c>
      <c r="T7426" s="12" t="s">
        <v>1560</v>
      </c>
      <c r="U7426" s="12" t="s">
        <v>438</v>
      </c>
      <c r="V7426" s="12" t="s">
        <v>405</v>
      </c>
      <c r="W7426" s="12" t="s">
        <v>9167</v>
      </c>
      <c r="X7426" s="16" t="s">
        <v>32855</v>
      </c>
      <c r="Y7426" s="15" t="s">
        <v>42</v>
      </c>
      <c r="Z7426" s="14">
        <v>2.53</v>
      </c>
      <c r="AA7426" s="14">
        <v>13.01</v>
      </c>
      <c r="AB7426" s="12" t="s">
        <v>43</v>
      </c>
      <c r="AC7426" s="12" t="s">
        <v>9169</v>
      </c>
      <c r="AD7426" s="13">
        <v>41947</v>
      </c>
      <c r="AE7426" s="12" t="s">
        <v>438</v>
      </c>
      <c r="AF7426" s="12" t="s">
        <v>215</v>
      </c>
      <c r="AG7426" s="12" t="s">
        <v>81</v>
      </c>
      <c r="AH7426" s="1">
        <f>HYPERLINK("https://my.pitchbook.com?c=39125-62T","View Company Online")</f>
      </c>
    </row>
    <row r="7427">
      <c r="A7427" s="3" t="s">
        <v>32856</v>
      </c>
      <c r="B7427" s="3" t="s">
        <v>32857</v>
      </c>
      <c r="C7427" s="5" t="s">
        <v>36</v>
      </c>
      <c r="D7427" s="5" t="s">
        <v>36</v>
      </c>
      <c r="E7427" s="5">
        <v>1</v>
      </c>
      <c r="F7427" s="5">
        <v>3</v>
      </c>
      <c r="G7427" s="6" t="s">
        <v>36</v>
      </c>
      <c r="H7427" s="4" t="s">
        <v>36</v>
      </c>
      <c r="I7427" s="7" t="s">
        <v>36</v>
      </c>
      <c r="J7427" s="3" t="s">
        <v>36</v>
      </c>
      <c r="K7427" s="9" t="s">
        <v>36</v>
      </c>
      <c r="L7427" s="6" t="s">
        <v>36</v>
      </c>
      <c r="M7427" s="3" t="s">
        <v>36</v>
      </c>
      <c r="N7427" s="3" t="s">
        <v>36</v>
      </c>
      <c r="O7427" s="8" t="s">
        <v>36</v>
      </c>
      <c r="P7427" s="3" t="s">
        <v>36</v>
      </c>
      <c r="Q7427" s="3" t="s">
        <v>36</v>
      </c>
      <c r="R7427" s="3" t="s">
        <v>36</v>
      </c>
      <c r="S7427" s="3" t="s">
        <v>16636</v>
      </c>
      <c r="T7427" s="3" t="s">
        <v>29297</v>
      </c>
      <c r="U7427" s="3" t="s">
        <v>51</v>
      </c>
      <c r="V7427" s="3" t="s">
        <v>52</v>
      </c>
      <c r="W7427" s="3" t="s">
        <v>32858</v>
      </c>
      <c r="X7427" s="10" t="s">
        <v>32859</v>
      </c>
      <c r="Y7427" s="6" t="s">
        <v>55</v>
      </c>
      <c r="Z7427" s="4">
        <v>10.13</v>
      </c>
      <c r="AA7427" s="4" t="s">
        <v>36</v>
      </c>
      <c r="AB7427" s="3" t="s">
        <v>43</v>
      </c>
      <c r="AC7427" s="3" t="s">
        <v>32860</v>
      </c>
      <c r="AD7427" s="9">
        <v>41946</v>
      </c>
      <c r="AE7427" s="3" t="s">
        <v>158</v>
      </c>
      <c r="AF7427" s="3" t="s">
        <v>159</v>
      </c>
      <c r="AG7427" s="3" t="s">
        <v>2450</v>
      </c>
      <c r="AH7427" s="11">
        <f>HYPERLINK("https://my.pitchbook.com?c=40746-88T","View Company Online")</f>
      </c>
    </row>
    <row r="7428">
      <c r="A7428" s="12" t="s">
        <v>32861</v>
      </c>
      <c r="B7428" s="12" t="s">
        <v>32862</v>
      </c>
      <c r="C7428" s="19" t="s">
        <v>36</v>
      </c>
      <c r="D7428" s="19" t="s">
        <v>36</v>
      </c>
      <c r="E7428" s="19" t="s">
        <v>36</v>
      </c>
      <c r="F7428" s="19" t="s">
        <v>36</v>
      </c>
      <c r="G7428" s="15" t="s">
        <v>36</v>
      </c>
      <c r="H7428" s="14">
        <v>64.43</v>
      </c>
      <c r="I7428" s="18">
        <v>27.27</v>
      </c>
      <c r="J7428" s="12" t="s">
        <v>521</v>
      </c>
      <c r="K7428" s="13" t="s">
        <v>36</v>
      </c>
      <c r="L7428" s="15" t="s">
        <v>36</v>
      </c>
      <c r="M7428" s="12" t="s">
        <v>36</v>
      </c>
      <c r="N7428" s="12" t="s">
        <v>36</v>
      </c>
      <c r="O7428" s="17" t="s">
        <v>36</v>
      </c>
      <c r="P7428" s="12" t="s">
        <v>36</v>
      </c>
      <c r="Q7428" s="12" t="s">
        <v>36</v>
      </c>
      <c r="R7428" s="12" t="s">
        <v>36</v>
      </c>
      <c r="S7428" s="12" t="s">
        <v>36</v>
      </c>
      <c r="T7428" s="12" t="s">
        <v>2044</v>
      </c>
      <c r="U7428" s="12" t="s">
        <v>74</v>
      </c>
      <c r="V7428" s="12" t="s">
        <v>75</v>
      </c>
      <c r="W7428" s="12" t="s">
        <v>32863</v>
      </c>
      <c r="X7428" s="16" t="s">
        <v>32864</v>
      </c>
      <c r="Y7428" s="15" t="s">
        <v>108</v>
      </c>
      <c r="Z7428" s="14">
        <v>1.9</v>
      </c>
      <c r="AA7428" s="14">
        <v>6.97</v>
      </c>
      <c r="AB7428" s="12" t="s">
        <v>56</v>
      </c>
      <c r="AC7428" s="12" t="s">
        <v>32865</v>
      </c>
      <c r="AD7428" s="13">
        <v>41944</v>
      </c>
      <c r="AE7428" s="12" t="s">
        <v>79</v>
      </c>
      <c r="AF7428" s="12" t="s">
        <v>546</v>
      </c>
      <c r="AG7428" s="12" t="s">
        <v>512</v>
      </c>
      <c r="AH7428" s="1">
        <f>HYPERLINK("https://my.pitchbook.com?c=118683-01T","View Company Online")</f>
      </c>
    </row>
    <row r="7429">
      <c r="A7429" s="3" t="s">
        <v>32866</v>
      </c>
      <c r="B7429" s="3" t="s">
        <v>32867</v>
      </c>
      <c r="C7429" s="5" t="s">
        <v>36</v>
      </c>
      <c r="D7429" s="5" t="s">
        <v>36</v>
      </c>
      <c r="E7429" s="5" t="s">
        <v>36</v>
      </c>
      <c r="F7429" s="5" t="s">
        <v>36</v>
      </c>
      <c r="G7429" s="6" t="s">
        <v>36</v>
      </c>
      <c r="H7429" s="4" t="s">
        <v>36</v>
      </c>
      <c r="I7429" s="7" t="s">
        <v>36</v>
      </c>
      <c r="J7429" s="3" t="s">
        <v>36</v>
      </c>
      <c r="K7429" s="9" t="s">
        <v>36</v>
      </c>
      <c r="L7429" s="6" t="s">
        <v>36</v>
      </c>
      <c r="M7429" s="3" t="s">
        <v>36</v>
      </c>
      <c r="N7429" s="3" t="s">
        <v>36</v>
      </c>
      <c r="O7429" s="8" t="s">
        <v>36</v>
      </c>
      <c r="P7429" s="3" t="s">
        <v>36</v>
      </c>
      <c r="Q7429" s="3" t="s">
        <v>36</v>
      </c>
      <c r="R7429" s="3" t="s">
        <v>36</v>
      </c>
      <c r="S7429" s="3" t="s">
        <v>36</v>
      </c>
      <c r="T7429" s="3" t="s">
        <v>16221</v>
      </c>
      <c r="U7429" s="3" t="s">
        <v>38</v>
      </c>
      <c r="V7429" s="3" t="s">
        <v>39</v>
      </c>
      <c r="W7429" s="3" t="s">
        <v>32868</v>
      </c>
      <c r="X7429" s="10" t="s">
        <v>32869</v>
      </c>
      <c r="Y7429" s="6" t="s">
        <v>42</v>
      </c>
      <c r="Z7429" s="4" t="s">
        <v>36</v>
      </c>
      <c r="AA7429" s="4" t="s">
        <v>36</v>
      </c>
      <c r="AB7429" s="3" t="s">
        <v>56</v>
      </c>
      <c r="AC7429" s="3" t="s">
        <v>32870</v>
      </c>
      <c r="AD7429" s="9">
        <v>41944</v>
      </c>
      <c r="AE7429" s="3" t="s">
        <v>110</v>
      </c>
      <c r="AF7429" s="3" t="s">
        <v>11479</v>
      </c>
      <c r="AG7429" s="3" t="s">
        <v>81</v>
      </c>
      <c r="AH7429" s="11">
        <f>HYPERLINK("https://my.pitchbook.com?c=71851-60T","View Company Online")</f>
      </c>
    </row>
    <row r="7430">
      <c r="A7430" s="12" t="s">
        <v>32871</v>
      </c>
      <c r="B7430" s="12" t="s">
        <v>30463</v>
      </c>
      <c r="C7430" s="19" t="s">
        <v>36</v>
      </c>
      <c r="D7430" s="19" t="s">
        <v>36</v>
      </c>
      <c r="E7430" s="19" t="s">
        <v>36</v>
      </c>
      <c r="F7430" s="19" t="s">
        <v>36</v>
      </c>
      <c r="G7430" s="15" t="s">
        <v>36</v>
      </c>
      <c r="H7430" s="14">
        <v>150.19</v>
      </c>
      <c r="I7430" s="18">
        <v>25.55</v>
      </c>
      <c r="J7430" s="12" t="s">
        <v>521</v>
      </c>
      <c r="K7430" s="13" t="s">
        <v>36</v>
      </c>
      <c r="L7430" s="15" t="s">
        <v>36</v>
      </c>
      <c r="M7430" s="12" t="s">
        <v>36</v>
      </c>
      <c r="N7430" s="12" t="s">
        <v>36</v>
      </c>
      <c r="O7430" s="17" t="s">
        <v>36</v>
      </c>
      <c r="P7430" s="12" t="s">
        <v>36</v>
      </c>
      <c r="Q7430" s="12" t="s">
        <v>36</v>
      </c>
      <c r="R7430" s="12" t="s">
        <v>36</v>
      </c>
      <c r="S7430" s="12" t="s">
        <v>36</v>
      </c>
      <c r="T7430" s="12" t="s">
        <v>9288</v>
      </c>
      <c r="U7430" s="12" t="s">
        <v>51</v>
      </c>
      <c r="V7430" s="12" t="s">
        <v>52</v>
      </c>
      <c r="W7430" s="12" t="s">
        <v>30464</v>
      </c>
      <c r="X7430" s="16" t="s">
        <v>32872</v>
      </c>
      <c r="Y7430" s="15" t="s">
        <v>42</v>
      </c>
      <c r="Z7430" s="14">
        <v>0.89</v>
      </c>
      <c r="AA7430" s="14">
        <v>3.47</v>
      </c>
      <c r="AB7430" s="12" t="s">
        <v>43</v>
      </c>
      <c r="AC7430" s="12" t="s">
        <v>30466</v>
      </c>
      <c r="AD7430" s="13">
        <v>41944</v>
      </c>
      <c r="AE7430" s="12" t="s">
        <v>504</v>
      </c>
      <c r="AF7430" s="12" t="s">
        <v>36</v>
      </c>
      <c r="AG7430" s="12" t="s">
        <v>30467</v>
      </c>
      <c r="AH7430" s="1">
        <f>HYPERLINK("https://my.pitchbook.com?c=88167-07T","View Company Online")</f>
      </c>
    </row>
    <row r="7431">
      <c r="A7431" s="3" t="s">
        <v>32873</v>
      </c>
      <c r="B7431" s="3" t="s">
        <v>32874</v>
      </c>
      <c r="C7431" s="5" t="s">
        <v>36</v>
      </c>
      <c r="D7431" s="5" t="s">
        <v>36</v>
      </c>
      <c r="E7431" s="5" t="s">
        <v>36</v>
      </c>
      <c r="F7431" s="5" t="s">
        <v>36</v>
      </c>
      <c r="G7431" s="6" t="s">
        <v>36</v>
      </c>
      <c r="H7431" s="4" t="s">
        <v>36</v>
      </c>
      <c r="I7431" s="7" t="s">
        <v>36</v>
      </c>
      <c r="J7431" s="3" t="s">
        <v>36</v>
      </c>
      <c r="K7431" s="9" t="s">
        <v>36</v>
      </c>
      <c r="L7431" s="6" t="s">
        <v>36</v>
      </c>
      <c r="M7431" s="3" t="s">
        <v>36</v>
      </c>
      <c r="N7431" s="3" t="s">
        <v>36</v>
      </c>
      <c r="O7431" s="8" t="s">
        <v>36</v>
      </c>
      <c r="P7431" s="3" t="s">
        <v>36</v>
      </c>
      <c r="Q7431" s="3" t="s">
        <v>36</v>
      </c>
      <c r="R7431" s="3" t="s">
        <v>36</v>
      </c>
      <c r="S7431" s="3" t="s">
        <v>36</v>
      </c>
      <c r="T7431" s="3" t="s">
        <v>1701</v>
      </c>
      <c r="U7431" s="3" t="s">
        <v>74</v>
      </c>
      <c r="V7431" s="3" t="s">
        <v>75</v>
      </c>
      <c r="W7431" s="3" t="s">
        <v>32875</v>
      </c>
      <c r="X7431" s="10" t="s">
        <v>32876</v>
      </c>
      <c r="Y7431" s="6" t="s">
        <v>42</v>
      </c>
      <c r="Z7431" s="4" t="s">
        <v>36</v>
      </c>
      <c r="AA7431" s="4" t="s">
        <v>36</v>
      </c>
      <c r="AB7431" s="3" t="s">
        <v>43</v>
      </c>
      <c r="AC7431" s="3" t="s">
        <v>32877</v>
      </c>
      <c r="AD7431" s="9">
        <v>41943</v>
      </c>
      <c r="AE7431" s="3" t="s">
        <v>79</v>
      </c>
      <c r="AF7431" s="3" t="s">
        <v>10797</v>
      </c>
      <c r="AG7431" s="3" t="s">
        <v>5718</v>
      </c>
      <c r="AH7431" s="11">
        <f>HYPERLINK("https://my.pitchbook.com?c=39105-64T","View Company Online")</f>
      </c>
    </row>
    <row r="7432">
      <c r="A7432" s="12" t="s">
        <v>32878</v>
      </c>
      <c r="B7432" s="12" t="s">
        <v>32879</v>
      </c>
      <c r="C7432" s="19" t="s">
        <v>36</v>
      </c>
      <c r="D7432" s="19" t="s">
        <v>36</v>
      </c>
      <c r="E7432" s="19" t="s">
        <v>36</v>
      </c>
      <c r="F7432" s="19" t="s">
        <v>36</v>
      </c>
      <c r="G7432" s="15" t="s">
        <v>36</v>
      </c>
      <c r="H7432" s="14" t="s">
        <v>36</v>
      </c>
      <c r="I7432" s="18" t="s">
        <v>36</v>
      </c>
      <c r="J7432" s="12" t="s">
        <v>36</v>
      </c>
      <c r="K7432" s="13" t="s">
        <v>36</v>
      </c>
      <c r="L7432" s="15" t="s">
        <v>36</v>
      </c>
      <c r="M7432" s="12" t="s">
        <v>36</v>
      </c>
      <c r="N7432" s="12" t="s">
        <v>36</v>
      </c>
      <c r="O7432" s="17" t="s">
        <v>36</v>
      </c>
      <c r="P7432" s="12" t="s">
        <v>36</v>
      </c>
      <c r="Q7432" s="12" t="s">
        <v>36</v>
      </c>
      <c r="R7432" s="12" t="s">
        <v>36</v>
      </c>
      <c r="S7432" s="12" t="s">
        <v>36</v>
      </c>
      <c r="T7432" s="12" t="s">
        <v>32880</v>
      </c>
      <c r="U7432" s="12" t="s">
        <v>74</v>
      </c>
      <c r="V7432" s="12" t="s">
        <v>75</v>
      </c>
      <c r="W7432" s="12" t="s">
        <v>32881</v>
      </c>
      <c r="X7432" s="16" t="s">
        <v>32882</v>
      </c>
      <c r="Y7432" s="15" t="s">
        <v>42</v>
      </c>
      <c r="Z7432" s="14" t="s">
        <v>36</v>
      </c>
      <c r="AA7432" s="14" t="s">
        <v>36</v>
      </c>
      <c r="AB7432" s="12" t="s">
        <v>56</v>
      </c>
      <c r="AC7432" s="12" t="s">
        <v>32883</v>
      </c>
      <c r="AD7432" s="13">
        <v>41942</v>
      </c>
      <c r="AE7432" s="12" t="s">
        <v>1888</v>
      </c>
      <c r="AF7432" s="12" t="s">
        <v>1969</v>
      </c>
      <c r="AG7432" s="12" t="s">
        <v>186</v>
      </c>
      <c r="AH7432" s="1">
        <f>HYPERLINK("https://my.pitchbook.com?c=45302-05T","View Company Online")</f>
      </c>
    </row>
    <row r="7433">
      <c r="A7433" s="3" t="s">
        <v>32884</v>
      </c>
      <c r="B7433" s="3" t="s">
        <v>32885</v>
      </c>
      <c r="C7433" s="5" t="s">
        <v>36</v>
      </c>
      <c r="D7433" s="5" t="s">
        <v>36</v>
      </c>
      <c r="E7433" s="5" t="s">
        <v>36</v>
      </c>
      <c r="F7433" s="5" t="s">
        <v>36</v>
      </c>
      <c r="G7433" s="6" t="s">
        <v>36</v>
      </c>
      <c r="H7433" s="4" t="s">
        <v>36</v>
      </c>
      <c r="I7433" s="7" t="s">
        <v>36</v>
      </c>
      <c r="J7433" s="3" t="s">
        <v>36</v>
      </c>
      <c r="K7433" s="9" t="s">
        <v>36</v>
      </c>
      <c r="L7433" s="6" t="s">
        <v>36</v>
      </c>
      <c r="M7433" s="3" t="s">
        <v>36</v>
      </c>
      <c r="N7433" s="3" t="s">
        <v>36</v>
      </c>
      <c r="O7433" s="8" t="s">
        <v>36</v>
      </c>
      <c r="P7433" s="3" t="s">
        <v>36</v>
      </c>
      <c r="Q7433" s="3" t="s">
        <v>36</v>
      </c>
      <c r="R7433" s="3" t="s">
        <v>36</v>
      </c>
      <c r="S7433" s="3" t="s">
        <v>36</v>
      </c>
      <c r="T7433" s="3" t="s">
        <v>32886</v>
      </c>
      <c r="U7433" s="3" t="s">
        <v>438</v>
      </c>
      <c r="V7433" s="3" t="s">
        <v>405</v>
      </c>
      <c r="W7433" s="3" t="s">
        <v>32887</v>
      </c>
      <c r="X7433" s="10" t="s">
        <v>32888</v>
      </c>
      <c r="Y7433" s="6" t="s">
        <v>42</v>
      </c>
      <c r="Z7433" s="4">
        <v>0.63</v>
      </c>
      <c r="AA7433" s="4" t="s">
        <v>36</v>
      </c>
      <c r="AB7433" s="3" t="s">
        <v>43</v>
      </c>
      <c r="AC7433" s="3" t="s">
        <v>32889</v>
      </c>
      <c r="AD7433" s="9">
        <v>41942</v>
      </c>
      <c r="AE7433" s="3" t="s">
        <v>438</v>
      </c>
      <c r="AF7433" s="3" t="s">
        <v>32890</v>
      </c>
      <c r="AG7433" s="3" t="s">
        <v>81</v>
      </c>
      <c r="AH7433" s="11">
        <f>HYPERLINK("https://my.pitchbook.com?c=88142-32T","View Company Online")</f>
      </c>
    </row>
    <row r="7434">
      <c r="A7434" s="12" t="s">
        <v>32891</v>
      </c>
      <c r="B7434" s="12" t="s">
        <v>32892</v>
      </c>
      <c r="C7434" s="19" t="s">
        <v>36</v>
      </c>
      <c r="D7434" s="19" t="s">
        <v>36</v>
      </c>
      <c r="E7434" s="19" t="s">
        <v>36</v>
      </c>
      <c r="F7434" s="19" t="s">
        <v>36</v>
      </c>
      <c r="G7434" s="15" t="s">
        <v>36</v>
      </c>
      <c r="H7434" s="14" t="s">
        <v>36</v>
      </c>
      <c r="I7434" s="18" t="s">
        <v>36</v>
      </c>
      <c r="J7434" s="12" t="s">
        <v>36</v>
      </c>
      <c r="K7434" s="13" t="s">
        <v>36</v>
      </c>
      <c r="L7434" s="15" t="s">
        <v>36</v>
      </c>
      <c r="M7434" s="12" t="s">
        <v>36</v>
      </c>
      <c r="N7434" s="12" t="s">
        <v>36</v>
      </c>
      <c r="O7434" s="17" t="s">
        <v>36</v>
      </c>
      <c r="P7434" s="12" t="s">
        <v>36</v>
      </c>
      <c r="Q7434" s="12" t="s">
        <v>36</v>
      </c>
      <c r="R7434" s="12" t="s">
        <v>36</v>
      </c>
      <c r="S7434" s="12" t="s">
        <v>36</v>
      </c>
      <c r="T7434" s="12" t="s">
        <v>278</v>
      </c>
      <c r="U7434" s="12" t="s">
        <v>279</v>
      </c>
      <c r="V7434" s="12" t="s">
        <v>64</v>
      </c>
      <c r="W7434" s="12" t="s">
        <v>32893</v>
      </c>
      <c r="X7434" s="16" t="s">
        <v>32894</v>
      </c>
      <c r="Y7434" s="15" t="s">
        <v>42</v>
      </c>
      <c r="Z7434" s="14">
        <v>1.27</v>
      </c>
      <c r="AA7434" s="14" t="s">
        <v>36</v>
      </c>
      <c r="AB7434" s="12" t="s">
        <v>43</v>
      </c>
      <c r="AC7434" s="12" t="s">
        <v>32895</v>
      </c>
      <c r="AD7434" s="13">
        <v>41940</v>
      </c>
      <c r="AE7434" s="12" t="s">
        <v>283</v>
      </c>
      <c r="AF7434" s="12" t="s">
        <v>1077</v>
      </c>
      <c r="AG7434" s="12" t="s">
        <v>112</v>
      </c>
      <c r="AH7434" s="1">
        <f>HYPERLINK("https://my.pitchbook.com?c=76761-28T","View Company Online")</f>
      </c>
    </row>
    <row r="7435">
      <c r="A7435" s="3" t="s">
        <v>32896</v>
      </c>
      <c r="B7435" s="3" t="s">
        <v>32897</v>
      </c>
      <c r="C7435" s="5" t="s">
        <v>36</v>
      </c>
      <c r="D7435" s="5" t="s">
        <v>36</v>
      </c>
      <c r="E7435" s="5" t="s">
        <v>36</v>
      </c>
      <c r="F7435" s="5" t="s">
        <v>36</v>
      </c>
      <c r="G7435" s="6" t="s">
        <v>36</v>
      </c>
      <c r="H7435" s="4">
        <v>65.43</v>
      </c>
      <c r="I7435" s="7">
        <v>32.49</v>
      </c>
      <c r="J7435" s="3" t="s">
        <v>521</v>
      </c>
      <c r="K7435" s="9">
        <v>41852</v>
      </c>
      <c r="L7435" s="6" t="s">
        <v>36</v>
      </c>
      <c r="M7435" s="3" t="s">
        <v>36</v>
      </c>
      <c r="N7435" s="3" t="s">
        <v>36</v>
      </c>
      <c r="O7435" s="8" t="s">
        <v>36</v>
      </c>
      <c r="P7435" s="3" t="s">
        <v>36</v>
      </c>
      <c r="Q7435" s="3" t="s">
        <v>36</v>
      </c>
      <c r="R7435" s="3" t="s">
        <v>36</v>
      </c>
      <c r="S7435" s="3" t="s">
        <v>36</v>
      </c>
      <c r="T7435" s="3" t="s">
        <v>32898</v>
      </c>
      <c r="U7435" s="3" t="s">
        <v>9881</v>
      </c>
      <c r="V7435" s="3" t="s">
        <v>75</v>
      </c>
      <c r="W7435" s="3" t="s">
        <v>32899</v>
      </c>
      <c r="X7435" s="10" t="s">
        <v>32900</v>
      </c>
      <c r="Y7435" s="6" t="s">
        <v>42</v>
      </c>
      <c r="Z7435" s="4">
        <v>1.27</v>
      </c>
      <c r="AA7435" s="4">
        <v>3.9</v>
      </c>
      <c r="AB7435" s="3" t="s">
        <v>56</v>
      </c>
      <c r="AC7435" s="3" t="s">
        <v>32901</v>
      </c>
      <c r="AD7435" s="9">
        <v>41940</v>
      </c>
      <c r="AE7435" s="3" t="s">
        <v>12049</v>
      </c>
      <c r="AF7435" s="3" t="s">
        <v>2976</v>
      </c>
      <c r="AG7435" s="3" t="s">
        <v>81</v>
      </c>
      <c r="AH7435" s="11">
        <f>HYPERLINK("https://my.pitchbook.com?c=47246-32T","View Company Online")</f>
      </c>
    </row>
    <row r="7436">
      <c r="A7436" s="12" t="s">
        <v>32902</v>
      </c>
      <c r="B7436" s="12" t="s">
        <v>32903</v>
      </c>
      <c r="C7436" s="19" t="s">
        <v>36</v>
      </c>
      <c r="D7436" s="19" t="s">
        <v>36</v>
      </c>
      <c r="E7436" s="19" t="s">
        <v>36</v>
      </c>
      <c r="F7436" s="19" t="s">
        <v>36</v>
      </c>
      <c r="G7436" s="15" t="s">
        <v>36</v>
      </c>
      <c r="H7436" s="14" t="s">
        <v>36</v>
      </c>
      <c r="I7436" s="18" t="s">
        <v>36</v>
      </c>
      <c r="J7436" s="12" t="s">
        <v>36</v>
      </c>
      <c r="K7436" s="13" t="s">
        <v>36</v>
      </c>
      <c r="L7436" s="15" t="s">
        <v>36</v>
      </c>
      <c r="M7436" s="12" t="s">
        <v>36</v>
      </c>
      <c r="N7436" s="12" t="s">
        <v>36</v>
      </c>
      <c r="O7436" s="17" t="s">
        <v>36</v>
      </c>
      <c r="P7436" s="12" t="s">
        <v>36</v>
      </c>
      <c r="Q7436" s="12" t="s">
        <v>36</v>
      </c>
      <c r="R7436" s="12" t="s">
        <v>36</v>
      </c>
      <c r="S7436" s="12" t="s">
        <v>36</v>
      </c>
      <c r="T7436" s="12" t="s">
        <v>32904</v>
      </c>
      <c r="U7436" s="12" t="s">
        <v>318</v>
      </c>
      <c r="V7436" s="12" t="s">
        <v>39</v>
      </c>
      <c r="W7436" s="12" t="s">
        <v>32905</v>
      </c>
      <c r="X7436" s="16" t="s">
        <v>6950</v>
      </c>
      <c r="Y7436" s="15" t="s">
        <v>42</v>
      </c>
      <c r="Z7436" s="14">
        <v>0.53</v>
      </c>
      <c r="AA7436" s="14" t="s">
        <v>36</v>
      </c>
      <c r="AB7436" s="12" t="s">
        <v>56</v>
      </c>
      <c r="AC7436" s="12" t="s">
        <v>32906</v>
      </c>
      <c r="AD7436" s="13">
        <v>41939</v>
      </c>
      <c r="AE7436" s="12" t="s">
        <v>763</v>
      </c>
      <c r="AF7436" s="12" t="s">
        <v>36</v>
      </c>
      <c r="AG7436" s="12" t="s">
        <v>899</v>
      </c>
      <c r="AH7436" s="1">
        <f>HYPERLINK("https://my.pitchbook.com?c=182869-21T","View Company Online")</f>
      </c>
    </row>
    <row r="7437">
      <c r="A7437" s="3" t="s">
        <v>32907</v>
      </c>
      <c r="B7437" s="3" t="s">
        <v>32908</v>
      </c>
      <c r="C7437" s="5" t="s">
        <v>36</v>
      </c>
      <c r="D7437" s="5" t="s">
        <v>36</v>
      </c>
      <c r="E7437" s="5" t="s">
        <v>36</v>
      </c>
      <c r="F7437" s="5" t="s">
        <v>36</v>
      </c>
      <c r="G7437" s="6" t="s">
        <v>36</v>
      </c>
      <c r="H7437" s="4" t="s">
        <v>36</v>
      </c>
      <c r="I7437" s="7" t="s">
        <v>36</v>
      </c>
      <c r="J7437" s="3" t="s">
        <v>36</v>
      </c>
      <c r="K7437" s="9" t="s">
        <v>36</v>
      </c>
      <c r="L7437" s="6" t="s">
        <v>36</v>
      </c>
      <c r="M7437" s="3" t="s">
        <v>36</v>
      </c>
      <c r="N7437" s="3" t="s">
        <v>36</v>
      </c>
      <c r="O7437" s="8" t="s">
        <v>36</v>
      </c>
      <c r="P7437" s="3" t="s">
        <v>36</v>
      </c>
      <c r="Q7437" s="3" t="s">
        <v>36</v>
      </c>
      <c r="R7437" s="3" t="s">
        <v>36</v>
      </c>
      <c r="S7437" s="3" t="s">
        <v>36</v>
      </c>
      <c r="T7437" s="3" t="s">
        <v>32909</v>
      </c>
      <c r="U7437" s="3" t="s">
        <v>1091</v>
      </c>
      <c r="V7437" s="3" t="s">
        <v>378</v>
      </c>
      <c r="W7437" s="3" t="s">
        <v>32910</v>
      </c>
      <c r="X7437" s="10" t="s">
        <v>13138</v>
      </c>
      <c r="Y7437" s="6" t="s">
        <v>42</v>
      </c>
      <c r="Z7437" s="4">
        <v>2.53</v>
      </c>
      <c r="AA7437" s="4" t="s">
        <v>36</v>
      </c>
      <c r="AB7437" s="3" t="s">
        <v>43</v>
      </c>
      <c r="AC7437" s="3" t="s">
        <v>32911</v>
      </c>
      <c r="AD7437" s="9">
        <v>41939</v>
      </c>
      <c r="AE7437" s="3" t="s">
        <v>10463</v>
      </c>
      <c r="AF7437" s="3" t="s">
        <v>571</v>
      </c>
      <c r="AG7437" s="3" t="s">
        <v>32912</v>
      </c>
      <c r="AH7437" s="11">
        <f>HYPERLINK("https://my.pitchbook.com?c=88208-92T","View Company Online")</f>
      </c>
    </row>
    <row r="7438">
      <c r="A7438" s="12" t="s">
        <v>32913</v>
      </c>
      <c r="B7438" s="12" t="s">
        <v>14849</v>
      </c>
      <c r="C7438" s="19" t="s">
        <v>36</v>
      </c>
      <c r="D7438" s="19">
        <v>3</v>
      </c>
      <c r="E7438" s="19">
        <v>1</v>
      </c>
      <c r="F7438" s="19">
        <v>6</v>
      </c>
      <c r="G7438" s="15" t="s">
        <v>36</v>
      </c>
      <c r="H7438" s="14" t="s">
        <v>36</v>
      </c>
      <c r="I7438" s="18" t="s">
        <v>36</v>
      </c>
      <c r="J7438" s="12" t="s">
        <v>36</v>
      </c>
      <c r="K7438" s="13" t="s">
        <v>36</v>
      </c>
      <c r="L7438" s="15" t="s">
        <v>36</v>
      </c>
      <c r="M7438" s="12" t="s">
        <v>36</v>
      </c>
      <c r="N7438" s="12" t="s">
        <v>36</v>
      </c>
      <c r="O7438" s="17" t="s">
        <v>36</v>
      </c>
      <c r="P7438" s="12" t="s">
        <v>36</v>
      </c>
      <c r="Q7438" s="12" t="s">
        <v>36</v>
      </c>
      <c r="R7438" s="12" t="s">
        <v>36</v>
      </c>
      <c r="S7438" s="12" t="s">
        <v>36</v>
      </c>
      <c r="T7438" s="12" t="s">
        <v>818</v>
      </c>
      <c r="U7438" s="12" t="s">
        <v>74</v>
      </c>
      <c r="V7438" s="12" t="s">
        <v>75</v>
      </c>
      <c r="W7438" s="12" t="s">
        <v>14850</v>
      </c>
      <c r="X7438" s="16" t="s">
        <v>21035</v>
      </c>
      <c r="Y7438" s="15" t="s">
        <v>108</v>
      </c>
      <c r="Z7438" s="14">
        <v>6.34</v>
      </c>
      <c r="AA7438" s="14" t="s">
        <v>36</v>
      </c>
      <c r="AB7438" s="12" t="s">
        <v>56</v>
      </c>
      <c r="AC7438" s="12" t="s">
        <v>14851</v>
      </c>
      <c r="AD7438" s="13">
        <v>41935</v>
      </c>
      <c r="AE7438" s="12" t="s">
        <v>570</v>
      </c>
      <c r="AF7438" s="12" t="s">
        <v>14852</v>
      </c>
      <c r="AG7438" s="12" t="s">
        <v>14853</v>
      </c>
      <c r="AH7438" s="1">
        <f>HYPERLINK("https://my.pitchbook.com?c=45031-24T","View Company Online")</f>
      </c>
    </row>
    <row r="7439">
      <c r="A7439" s="3" t="s">
        <v>32914</v>
      </c>
      <c r="B7439" s="3" t="s">
        <v>32915</v>
      </c>
      <c r="C7439" s="5" t="s">
        <v>36</v>
      </c>
      <c r="D7439" s="5" t="s">
        <v>36</v>
      </c>
      <c r="E7439" s="5" t="s">
        <v>36</v>
      </c>
      <c r="F7439" s="5" t="s">
        <v>36</v>
      </c>
      <c r="G7439" s="6" t="s">
        <v>36</v>
      </c>
      <c r="H7439" s="4">
        <v>2.21</v>
      </c>
      <c r="I7439" s="7">
        <v>13.74</v>
      </c>
      <c r="J7439" s="3" t="s">
        <v>521</v>
      </c>
      <c r="K7439" s="9" t="s">
        <v>36</v>
      </c>
      <c r="L7439" s="6" t="s">
        <v>36</v>
      </c>
      <c r="M7439" s="3" t="s">
        <v>36</v>
      </c>
      <c r="N7439" s="3" t="s">
        <v>36</v>
      </c>
      <c r="O7439" s="8" t="s">
        <v>36</v>
      </c>
      <c r="P7439" s="3" t="s">
        <v>36</v>
      </c>
      <c r="Q7439" s="3" t="s">
        <v>36</v>
      </c>
      <c r="R7439" s="3" t="s">
        <v>36</v>
      </c>
      <c r="S7439" s="3" t="s">
        <v>36</v>
      </c>
      <c r="T7439" s="3" t="s">
        <v>123</v>
      </c>
      <c r="U7439" s="3" t="s">
        <v>38</v>
      </c>
      <c r="V7439" s="3" t="s">
        <v>39</v>
      </c>
      <c r="W7439" s="3" t="s">
        <v>32916</v>
      </c>
      <c r="X7439" s="10" t="s">
        <v>32917</v>
      </c>
      <c r="Y7439" s="6" t="s">
        <v>192</v>
      </c>
      <c r="Z7439" s="4">
        <v>6.34</v>
      </c>
      <c r="AA7439" s="4">
        <v>46.14</v>
      </c>
      <c r="AB7439" s="3" t="s">
        <v>56</v>
      </c>
      <c r="AC7439" s="3" t="s">
        <v>32918</v>
      </c>
      <c r="AD7439" s="9">
        <v>41935</v>
      </c>
      <c r="AE7439" s="3" t="s">
        <v>110</v>
      </c>
      <c r="AF7439" s="3" t="s">
        <v>4552</v>
      </c>
      <c r="AG7439" s="3" t="s">
        <v>2760</v>
      </c>
      <c r="AH7439" s="11">
        <f>HYPERLINK("https://my.pitchbook.com?c=117228-88T","View Company Online")</f>
      </c>
    </row>
    <row r="7440">
      <c r="A7440" s="12" t="s">
        <v>32919</v>
      </c>
      <c r="B7440" s="12" t="s">
        <v>32920</v>
      </c>
      <c r="C7440" s="19" t="s">
        <v>36</v>
      </c>
      <c r="D7440" s="19" t="s">
        <v>36</v>
      </c>
      <c r="E7440" s="19" t="s">
        <v>36</v>
      </c>
      <c r="F7440" s="19" t="s">
        <v>36</v>
      </c>
      <c r="G7440" s="15" t="s">
        <v>2497</v>
      </c>
      <c r="H7440" s="14">
        <v>2.7</v>
      </c>
      <c r="I7440" s="18">
        <v>15</v>
      </c>
      <c r="J7440" s="12" t="s">
        <v>521</v>
      </c>
      <c r="K7440" s="13" t="s">
        <v>36</v>
      </c>
      <c r="L7440" s="15" t="s">
        <v>36</v>
      </c>
      <c r="M7440" s="12" t="s">
        <v>36</v>
      </c>
      <c r="N7440" s="12" t="s">
        <v>36</v>
      </c>
      <c r="O7440" s="17" t="s">
        <v>36</v>
      </c>
      <c r="P7440" s="12" t="s">
        <v>36</v>
      </c>
      <c r="Q7440" s="12" t="s">
        <v>36</v>
      </c>
      <c r="R7440" s="12" t="s">
        <v>36</v>
      </c>
      <c r="S7440" s="12" t="s">
        <v>36</v>
      </c>
      <c r="T7440" s="12" t="s">
        <v>32921</v>
      </c>
      <c r="U7440" s="12" t="s">
        <v>38</v>
      </c>
      <c r="V7440" s="12" t="s">
        <v>39</v>
      </c>
      <c r="W7440" s="12" t="s">
        <v>32922</v>
      </c>
      <c r="X7440" s="16" t="s">
        <v>7151</v>
      </c>
      <c r="Y7440" s="15" t="s">
        <v>55</v>
      </c>
      <c r="Z7440" s="14">
        <v>0.32</v>
      </c>
      <c r="AA7440" s="14">
        <v>2.12</v>
      </c>
      <c r="AB7440" s="12" t="s">
        <v>43</v>
      </c>
      <c r="AC7440" s="12" t="s">
        <v>32923</v>
      </c>
      <c r="AD7440" s="13">
        <v>41932</v>
      </c>
      <c r="AE7440" s="12" t="s">
        <v>554</v>
      </c>
      <c r="AF7440" s="12" t="s">
        <v>32924</v>
      </c>
      <c r="AG7440" s="12" t="s">
        <v>1369</v>
      </c>
      <c r="AH7440" s="1">
        <f>HYPERLINK("https://my.pitchbook.com?c=35862-04T","View Company Online")</f>
      </c>
    </row>
    <row r="7441">
      <c r="A7441" s="3" t="s">
        <v>32925</v>
      </c>
      <c r="B7441" s="3" t="s">
        <v>32926</v>
      </c>
      <c r="C7441" s="5" t="s">
        <v>36</v>
      </c>
      <c r="D7441" s="5" t="s">
        <v>36</v>
      </c>
      <c r="E7441" s="5" t="s">
        <v>36</v>
      </c>
      <c r="F7441" s="5" t="s">
        <v>36</v>
      </c>
      <c r="G7441" s="6" t="s">
        <v>36</v>
      </c>
      <c r="H7441" s="4">
        <v>230.03</v>
      </c>
      <c r="I7441" s="7">
        <v>5.31</v>
      </c>
      <c r="J7441" s="3" t="s">
        <v>521</v>
      </c>
      <c r="K7441" s="9" t="s">
        <v>36</v>
      </c>
      <c r="L7441" s="6" t="s">
        <v>36</v>
      </c>
      <c r="M7441" s="3" t="s">
        <v>36</v>
      </c>
      <c r="N7441" s="3" t="s">
        <v>36</v>
      </c>
      <c r="O7441" s="8" t="s">
        <v>36</v>
      </c>
      <c r="P7441" s="3" t="s">
        <v>36</v>
      </c>
      <c r="Q7441" s="3" t="s">
        <v>36</v>
      </c>
      <c r="R7441" s="3" t="s">
        <v>36</v>
      </c>
      <c r="S7441" s="3" t="s">
        <v>36</v>
      </c>
      <c r="T7441" s="3" t="s">
        <v>32927</v>
      </c>
      <c r="U7441" s="3" t="s">
        <v>219</v>
      </c>
      <c r="V7441" s="3" t="s">
        <v>75</v>
      </c>
      <c r="W7441" s="3" t="s">
        <v>32928</v>
      </c>
      <c r="X7441" s="10" t="s">
        <v>11058</v>
      </c>
      <c r="Y7441" s="6" t="s">
        <v>42</v>
      </c>
      <c r="Z7441" s="4">
        <v>0.95</v>
      </c>
      <c r="AA7441" s="4">
        <v>17.92</v>
      </c>
      <c r="AB7441" s="3" t="s">
        <v>43</v>
      </c>
      <c r="AC7441" s="3" t="s">
        <v>32929</v>
      </c>
      <c r="AD7441" s="9">
        <v>41932</v>
      </c>
      <c r="AE7441" s="3" t="s">
        <v>223</v>
      </c>
      <c r="AF7441" s="3" t="s">
        <v>215</v>
      </c>
      <c r="AG7441" s="3" t="s">
        <v>8939</v>
      </c>
      <c r="AH7441" s="11">
        <f>HYPERLINK("https://my.pitchbook.com?c=89249-77T","View Company Online")</f>
      </c>
    </row>
    <row r="7442">
      <c r="A7442" s="12" t="s">
        <v>32930</v>
      </c>
      <c r="B7442" s="12" t="s">
        <v>32412</v>
      </c>
      <c r="C7442" s="19" t="s">
        <v>36</v>
      </c>
      <c r="D7442" s="19" t="s">
        <v>36</v>
      </c>
      <c r="E7442" s="19" t="s">
        <v>36</v>
      </c>
      <c r="F7442" s="19" t="s">
        <v>36</v>
      </c>
      <c r="G7442" s="15" t="s">
        <v>326</v>
      </c>
      <c r="H7442" s="14">
        <v>8715.24</v>
      </c>
      <c r="I7442" s="18">
        <v>11.18</v>
      </c>
      <c r="J7442" s="12" t="s">
        <v>521</v>
      </c>
      <c r="K7442" s="13" t="s">
        <v>36</v>
      </c>
      <c r="L7442" s="15" t="s">
        <v>36</v>
      </c>
      <c r="M7442" s="12" t="s">
        <v>36</v>
      </c>
      <c r="N7442" s="12" t="s">
        <v>36</v>
      </c>
      <c r="O7442" s="17" t="s">
        <v>36</v>
      </c>
      <c r="P7442" s="12" t="s">
        <v>36</v>
      </c>
      <c r="Q7442" s="12" t="s">
        <v>36</v>
      </c>
      <c r="R7442" s="12" t="s">
        <v>36</v>
      </c>
      <c r="S7442" s="12" t="s">
        <v>36</v>
      </c>
      <c r="T7442" s="12" t="s">
        <v>3131</v>
      </c>
      <c r="U7442" s="12" t="s">
        <v>289</v>
      </c>
      <c r="V7442" s="12" t="s">
        <v>64</v>
      </c>
      <c r="W7442" s="12" t="s">
        <v>32413</v>
      </c>
      <c r="X7442" s="16" t="s">
        <v>32931</v>
      </c>
      <c r="Y7442" s="15" t="s">
        <v>42</v>
      </c>
      <c r="Z7442" s="14">
        <v>0.19</v>
      </c>
      <c r="AA7442" s="14">
        <v>1.72</v>
      </c>
      <c r="AB7442" s="12" t="s">
        <v>43</v>
      </c>
      <c r="AC7442" s="12" t="s">
        <v>32414</v>
      </c>
      <c r="AD7442" s="13">
        <v>41932</v>
      </c>
      <c r="AE7442" s="12" t="s">
        <v>3134</v>
      </c>
      <c r="AF7442" s="12" t="s">
        <v>2118</v>
      </c>
      <c r="AG7442" s="12" t="s">
        <v>81</v>
      </c>
      <c r="AH7442" s="1">
        <f>HYPERLINK("https://my.pitchbook.com?c=55301-32T","View Company Online")</f>
      </c>
    </row>
    <row r="7443">
      <c r="A7443" s="3" t="s">
        <v>32932</v>
      </c>
      <c r="B7443" s="3" t="s">
        <v>32933</v>
      </c>
      <c r="C7443" s="5" t="s">
        <v>36</v>
      </c>
      <c r="D7443" s="5" t="s">
        <v>36</v>
      </c>
      <c r="E7443" s="5" t="s">
        <v>36</v>
      </c>
      <c r="F7443" s="5" t="s">
        <v>36</v>
      </c>
      <c r="G7443" s="6" t="s">
        <v>36</v>
      </c>
      <c r="H7443" s="4">
        <v>10.39</v>
      </c>
      <c r="I7443" s="7">
        <v>15.88</v>
      </c>
      <c r="J7443" s="3" t="s">
        <v>521</v>
      </c>
      <c r="K7443" s="9" t="s">
        <v>36</v>
      </c>
      <c r="L7443" s="6" t="s">
        <v>36</v>
      </c>
      <c r="M7443" s="3" t="s">
        <v>36</v>
      </c>
      <c r="N7443" s="3" t="s">
        <v>36</v>
      </c>
      <c r="O7443" s="8" t="s">
        <v>36</v>
      </c>
      <c r="P7443" s="3" t="s">
        <v>36</v>
      </c>
      <c r="Q7443" s="3" t="s">
        <v>36</v>
      </c>
      <c r="R7443" s="3" t="s">
        <v>36</v>
      </c>
      <c r="S7443" s="3" t="s">
        <v>36</v>
      </c>
      <c r="T7443" s="3" t="s">
        <v>32934</v>
      </c>
      <c r="U7443" s="3" t="s">
        <v>423</v>
      </c>
      <c r="V7443" s="3" t="s">
        <v>64</v>
      </c>
      <c r="W7443" s="3" t="s">
        <v>32935</v>
      </c>
      <c r="X7443" s="10" t="s">
        <v>32936</v>
      </c>
      <c r="Y7443" s="6" t="s">
        <v>42</v>
      </c>
      <c r="Z7443" s="4">
        <v>1.22</v>
      </c>
      <c r="AA7443" s="4">
        <v>7.71</v>
      </c>
      <c r="AB7443" s="3" t="s">
        <v>56</v>
      </c>
      <c r="AC7443" s="3" t="s">
        <v>32937</v>
      </c>
      <c r="AD7443" s="9">
        <v>41929</v>
      </c>
      <c r="AE7443" s="3" t="s">
        <v>562</v>
      </c>
      <c r="AF7443" s="3" t="s">
        <v>36</v>
      </c>
      <c r="AG7443" s="3" t="s">
        <v>32938</v>
      </c>
      <c r="AH7443" s="11">
        <f>HYPERLINK("https://my.pitchbook.com?c=50449-87T","View Company Online")</f>
      </c>
    </row>
    <row r="7444">
      <c r="A7444" s="12" t="s">
        <v>32939</v>
      </c>
      <c r="B7444" s="12" t="s">
        <v>32940</v>
      </c>
      <c r="C7444" s="19" t="s">
        <v>36</v>
      </c>
      <c r="D7444" s="19" t="s">
        <v>36</v>
      </c>
      <c r="E7444" s="19" t="s">
        <v>36</v>
      </c>
      <c r="F7444" s="19" t="s">
        <v>36</v>
      </c>
      <c r="G7444" s="15" t="s">
        <v>326</v>
      </c>
      <c r="H7444" s="14">
        <v>84.52</v>
      </c>
      <c r="I7444" s="18">
        <v>11.33</v>
      </c>
      <c r="J7444" s="12" t="s">
        <v>521</v>
      </c>
      <c r="K7444" s="13" t="s">
        <v>36</v>
      </c>
      <c r="L7444" s="15" t="s">
        <v>36</v>
      </c>
      <c r="M7444" s="12" t="s">
        <v>36</v>
      </c>
      <c r="N7444" s="12" t="s">
        <v>36</v>
      </c>
      <c r="O7444" s="17" t="s">
        <v>36</v>
      </c>
      <c r="P7444" s="12" t="s">
        <v>36</v>
      </c>
      <c r="Q7444" s="12" t="s">
        <v>36</v>
      </c>
      <c r="R7444" s="12" t="s">
        <v>36</v>
      </c>
      <c r="S7444" s="12" t="s">
        <v>36</v>
      </c>
      <c r="T7444" s="12" t="s">
        <v>32941</v>
      </c>
      <c r="U7444" s="12" t="s">
        <v>318</v>
      </c>
      <c r="V7444" s="12" t="s">
        <v>39</v>
      </c>
      <c r="W7444" s="12" t="s">
        <v>32942</v>
      </c>
      <c r="X7444" s="16" t="s">
        <v>32943</v>
      </c>
      <c r="Y7444" s="15" t="s">
        <v>192</v>
      </c>
      <c r="Z7444" s="14">
        <v>2.74</v>
      </c>
      <c r="AA7444" s="14">
        <v>24.23</v>
      </c>
      <c r="AB7444" s="12" t="s">
        <v>56</v>
      </c>
      <c r="AC7444" s="12" t="s">
        <v>32944</v>
      </c>
      <c r="AD7444" s="13">
        <v>41929</v>
      </c>
      <c r="AE7444" s="12" t="s">
        <v>763</v>
      </c>
      <c r="AF7444" s="12" t="s">
        <v>244</v>
      </c>
      <c r="AG7444" s="12" t="s">
        <v>32945</v>
      </c>
      <c r="AH7444" s="1">
        <f>HYPERLINK("https://my.pitchbook.com?c=116805-61T","View Company Online")</f>
      </c>
    </row>
    <row r="7445">
      <c r="A7445" s="3" t="s">
        <v>32946</v>
      </c>
      <c r="B7445" s="3" t="s">
        <v>16533</v>
      </c>
      <c r="C7445" s="5" t="s">
        <v>36</v>
      </c>
      <c r="D7445" s="5" t="s">
        <v>36</v>
      </c>
      <c r="E7445" s="5" t="s">
        <v>36</v>
      </c>
      <c r="F7445" s="5" t="s">
        <v>36</v>
      </c>
      <c r="G7445" s="6" t="s">
        <v>36</v>
      </c>
      <c r="H7445" s="4">
        <v>0.26</v>
      </c>
      <c r="I7445" s="7">
        <v>23.3</v>
      </c>
      <c r="J7445" s="3" t="s">
        <v>521</v>
      </c>
      <c r="K7445" s="9" t="s">
        <v>36</v>
      </c>
      <c r="L7445" s="6" t="s">
        <v>36</v>
      </c>
      <c r="M7445" s="3" t="s">
        <v>36</v>
      </c>
      <c r="N7445" s="3" t="s">
        <v>36</v>
      </c>
      <c r="O7445" s="8" t="s">
        <v>36</v>
      </c>
      <c r="P7445" s="3" t="s">
        <v>36</v>
      </c>
      <c r="Q7445" s="3" t="s">
        <v>36</v>
      </c>
      <c r="R7445" s="3" t="s">
        <v>36</v>
      </c>
      <c r="S7445" s="3" t="s">
        <v>36</v>
      </c>
      <c r="T7445" s="3" t="s">
        <v>16534</v>
      </c>
      <c r="U7445" s="3" t="s">
        <v>74</v>
      </c>
      <c r="V7445" s="3" t="s">
        <v>75</v>
      </c>
      <c r="W7445" s="3" t="s">
        <v>16535</v>
      </c>
      <c r="X7445" s="10" t="s">
        <v>32947</v>
      </c>
      <c r="Y7445" s="6" t="s">
        <v>42</v>
      </c>
      <c r="Z7445" s="4">
        <v>1.41</v>
      </c>
      <c r="AA7445" s="4">
        <v>6.06</v>
      </c>
      <c r="AB7445" s="3" t="s">
        <v>56</v>
      </c>
      <c r="AC7445" s="3" t="s">
        <v>16537</v>
      </c>
      <c r="AD7445" s="9">
        <v>41928</v>
      </c>
      <c r="AE7445" s="3" t="s">
        <v>79</v>
      </c>
      <c r="AF7445" s="3" t="s">
        <v>7466</v>
      </c>
      <c r="AG7445" s="3" t="s">
        <v>81</v>
      </c>
      <c r="AH7445" s="11">
        <f>HYPERLINK("https://my.pitchbook.com?c=33236-29T","View Company Online")</f>
      </c>
    </row>
    <row r="7446">
      <c r="A7446" s="12" t="s">
        <v>32948</v>
      </c>
      <c r="B7446" s="12" t="s">
        <v>32949</v>
      </c>
      <c r="C7446" s="19">
        <v>6</v>
      </c>
      <c r="D7446" s="19">
        <v>64</v>
      </c>
      <c r="E7446" s="19">
        <v>18</v>
      </c>
      <c r="F7446" s="19">
        <v>90</v>
      </c>
      <c r="G7446" s="15" t="s">
        <v>36</v>
      </c>
      <c r="H7446" s="14" t="s">
        <v>36</v>
      </c>
      <c r="I7446" s="18">
        <v>28.66</v>
      </c>
      <c r="J7446" s="12" t="s">
        <v>327</v>
      </c>
      <c r="K7446" s="13" t="s">
        <v>36</v>
      </c>
      <c r="L7446" s="15" t="s">
        <v>36</v>
      </c>
      <c r="M7446" s="12" t="s">
        <v>36</v>
      </c>
      <c r="N7446" s="12" t="s">
        <v>36</v>
      </c>
      <c r="O7446" s="17" t="s">
        <v>36</v>
      </c>
      <c r="P7446" s="12" t="s">
        <v>36</v>
      </c>
      <c r="Q7446" s="12" t="s">
        <v>36</v>
      </c>
      <c r="R7446" s="12" t="s">
        <v>36</v>
      </c>
      <c r="S7446" s="12" t="s">
        <v>36</v>
      </c>
      <c r="T7446" s="12" t="s">
        <v>881</v>
      </c>
      <c r="U7446" s="12" t="s">
        <v>51</v>
      </c>
      <c r="V7446" s="12" t="s">
        <v>52</v>
      </c>
      <c r="W7446" s="12" t="s">
        <v>32950</v>
      </c>
      <c r="X7446" s="16" t="s">
        <v>32951</v>
      </c>
      <c r="Y7446" s="15" t="s">
        <v>108</v>
      </c>
      <c r="Z7446" s="14">
        <v>6.74</v>
      </c>
      <c r="AA7446" s="14">
        <v>23.5</v>
      </c>
      <c r="AB7446" s="12" t="s">
        <v>56</v>
      </c>
      <c r="AC7446" s="12" t="s">
        <v>32952</v>
      </c>
      <c r="AD7446" s="13">
        <v>41928</v>
      </c>
      <c r="AE7446" s="12" t="s">
        <v>504</v>
      </c>
      <c r="AF7446" s="12" t="s">
        <v>159</v>
      </c>
      <c r="AG7446" s="12" t="s">
        <v>81</v>
      </c>
      <c r="AH7446" s="1">
        <f>HYPERLINK("https://my.pitchbook.com?c=67839-22T","View Company Online")</f>
      </c>
    </row>
    <row r="7447">
      <c r="A7447" s="3" t="s">
        <v>32953</v>
      </c>
      <c r="B7447" s="3" t="s">
        <v>27833</v>
      </c>
      <c r="C7447" s="5" t="s">
        <v>36</v>
      </c>
      <c r="D7447" s="5" t="s">
        <v>36</v>
      </c>
      <c r="E7447" s="5" t="s">
        <v>36</v>
      </c>
      <c r="F7447" s="5" t="s">
        <v>36</v>
      </c>
      <c r="G7447" s="6" t="s">
        <v>36</v>
      </c>
      <c r="H7447" s="4">
        <v>1.04</v>
      </c>
      <c r="I7447" s="7">
        <v>36.95</v>
      </c>
      <c r="J7447" s="3" t="s">
        <v>521</v>
      </c>
      <c r="K7447" s="9">
        <v>41844</v>
      </c>
      <c r="L7447" s="6" t="s">
        <v>36</v>
      </c>
      <c r="M7447" s="3" t="s">
        <v>36</v>
      </c>
      <c r="N7447" s="3" t="s">
        <v>36</v>
      </c>
      <c r="O7447" s="8" t="s">
        <v>36</v>
      </c>
      <c r="P7447" s="3" t="s">
        <v>36</v>
      </c>
      <c r="Q7447" s="3" t="s">
        <v>36</v>
      </c>
      <c r="R7447" s="3" t="s">
        <v>36</v>
      </c>
      <c r="S7447" s="3" t="s">
        <v>36</v>
      </c>
      <c r="T7447" s="3" t="s">
        <v>5302</v>
      </c>
      <c r="U7447" s="3" t="s">
        <v>74</v>
      </c>
      <c r="V7447" s="3" t="s">
        <v>75</v>
      </c>
      <c r="W7447" s="3" t="s">
        <v>27834</v>
      </c>
      <c r="X7447" s="10" t="s">
        <v>32954</v>
      </c>
      <c r="Y7447" s="6" t="s">
        <v>42</v>
      </c>
      <c r="Z7447" s="4">
        <v>0.75</v>
      </c>
      <c r="AA7447" s="4">
        <v>2.02</v>
      </c>
      <c r="AB7447" s="3" t="s">
        <v>43</v>
      </c>
      <c r="AC7447" s="3" t="s">
        <v>27836</v>
      </c>
      <c r="AD7447" s="9">
        <v>41927</v>
      </c>
      <c r="AE7447" s="3" t="s">
        <v>362</v>
      </c>
      <c r="AF7447" s="3" t="s">
        <v>27837</v>
      </c>
      <c r="AG7447" s="3" t="s">
        <v>81</v>
      </c>
      <c r="AH7447" s="11">
        <f>HYPERLINK("https://my.pitchbook.com?c=38644-48T","View Company Online")</f>
      </c>
    </row>
    <row r="7448">
      <c r="A7448" s="12" t="s">
        <v>32955</v>
      </c>
      <c r="B7448" s="12" t="s">
        <v>32956</v>
      </c>
      <c r="C7448" s="19" t="s">
        <v>36</v>
      </c>
      <c r="D7448" s="19" t="s">
        <v>36</v>
      </c>
      <c r="E7448" s="19" t="s">
        <v>36</v>
      </c>
      <c r="F7448" s="19" t="s">
        <v>36</v>
      </c>
      <c r="G7448" s="15" t="s">
        <v>36</v>
      </c>
      <c r="H7448" s="14">
        <v>63.71</v>
      </c>
      <c r="I7448" s="18">
        <v>39.47</v>
      </c>
      <c r="J7448" s="12" t="s">
        <v>521</v>
      </c>
      <c r="K7448" s="13" t="s">
        <v>36</v>
      </c>
      <c r="L7448" s="15" t="s">
        <v>36</v>
      </c>
      <c r="M7448" s="12" t="s">
        <v>36</v>
      </c>
      <c r="N7448" s="12" t="s">
        <v>36</v>
      </c>
      <c r="O7448" s="17" t="s">
        <v>36</v>
      </c>
      <c r="P7448" s="12" t="s">
        <v>36</v>
      </c>
      <c r="Q7448" s="12" t="s">
        <v>36</v>
      </c>
      <c r="R7448" s="12" t="s">
        <v>36</v>
      </c>
      <c r="S7448" s="12" t="s">
        <v>36</v>
      </c>
      <c r="T7448" s="12" t="s">
        <v>2044</v>
      </c>
      <c r="U7448" s="12" t="s">
        <v>74</v>
      </c>
      <c r="V7448" s="12" t="s">
        <v>75</v>
      </c>
      <c r="W7448" s="12" t="s">
        <v>32957</v>
      </c>
      <c r="X7448" s="16" t="s">
        <v>32958</v>
      </c>
      <c r="Y7448" s="15" t="s">
        <v>42</v>
      </c>
      <c r="Z7448" s="14">
        <v>0.38</v>
      </c>
      <c r="AA7448" s="14">
        <v>0.97</v>
      </c>
      <c r="AB7448" s="12" t="s">
        <v>56</v>
      </c>
      <c r="AC7448" s="12" t="s">
        <v>32959</v>
      </c>
      <c r="AD7448" s="13">
        <v>41927</v>
      </c>
      <c r="AE7448" s="12" t="s">
        <v>79</v>
      </c>
      <c r="AF7448" s="12" t="s">
        <v>1636</v>
      </c>
      <c r="AG7448" s="12" t="s">
        <v>81</v>
      </c>
      <c r="AH7448" s="1">
        <f>HYPERLINK("https://my.pitchbook.com?c=51794-83T","View Company Online")</f>
      </c>
    </row>
    <row r="7449">
      <c r="A7449" s="3" t="s">
        <v>32960</v>
      </c>
      <c r="B7449" s="3" t="s">
        <v>32961</v>
      </c>
      <c r="C7449" s="5" t="s">
        <v>36</v>
      </c>
      <c r="D7449" s="5">
        <v>2</v>
      </c>
      <c r="E7449" s="5">
        <v>1</v>
      </c>
      <c r="F7449" s="5">
        <v>2</v>
      </c>
      <c r="G7449" s="6" t="s">
        <v>36</v>
      </c>
      <c r="H7449" s="4">
        <v>1</v>
      </c>
      <c r="I7449" s="7">
        <v>38.14</v>
      </c>
      <c r="J7449" s="3" t="s">
        <v>521</v>
      </c>
      <c r="K7449" s="9" t="s">
        <v>36</v>
      </c>
      <c r="L7449" s="6" t="s">
        <v>36</v>
      </c>
      <c r="M7449" s="3" t="s">
        <v>36</v>
      </c>
      <c r="N7449" s="3" t="s">
        <v>36</v>
      </c>
      <c r="O7449" s="8" t="s">
        <v>36</v>
      </c>
      <c r="P7449" s="3" t="s">
        <v>36</v>
      </c>
      <c r="Q7449" s="3" t="s">
        <v>36</v>
      </c>
      <c r="R7449" s="3" t="s">
        <v>36</v>
      </c>
      <c r="S7449" s="3" t="s">
        <v>36</v>
      </c>
      <c r="T7449" s="3" t="s">
        <v>32962</v>
      </c>
      <c r="U7449" s="3" t="s">
        <v>38</v>
      </c>
      <c r="V7449" s="3" t="s">
        <v>39</v>
      </c>
      <c r="W7449" s="3" t="s">
        <v>32963</v>
      </c>
      <c r="X7449" s="10" t="s">
        <v>32964</v>
      </c>
      <c r="Y7449" s="6" t="s">
        <v>42</v>
      </c>
      <c r="Z7449" s="4">
        <v>0.94</v>
      </c>
      <c r="AA7449" s="4">
        <v>2.47</v>
      </c>
      <c r="AB7449" s="3" t="s">
        <v>43</v>
      </c>
      <c r="AC7449" s="3" t="s">
        <v>32965</v>
      </c>
      <c r="AD7449" s="9">
        <v>41927</v>
      </c>
      <c r="AE7449" s="3" t="s">
        <v>134</v>
      </c>
      <c r="AF7449" s="3" t="s">
        <v>7730</v>
      </c>
      <c r="AG7449" s="3" t="s">
        <v>13897</v>
      </c>
      <c r="AH7449" s="11">
        <f>HYPERLINK("https://my.pitchbook.com?c=57422-62T","View Company Online")</f>
      </c>
    </row>
    <row r="7450">
      <c r="A7450" s="12" t="s">
        <v>32966</v>
      </c>
      <c r="B7450" s="12" t="s">
        <v>32967</v>
      </c>
      <c r="C7450" s="19" t="s">
        <v>36</v>
      </c>
      <c r="D7450" s="19" t="s">
        <v>36</v>
      </c>
      <c r="E7450" s="19">
        <v>1</v>
      </c>
      <c r="F7450" s="19">
        <v>2</v>
      </c>
      <c r="G7450" s="15" t="s">
        <v>36</v>
      </c>
      <c r="H7450" s="14" t="s">
        <v>36</v>
      </c>
      <c r="I7450" s="18" t="s">
        <v>36</v>
      </c>
      <c r="J7450" s="12" t="s">
        <v>36</v>
      </c>
      <c r="K7450" s="13" t="s">
        <v>36</v>
      </c>
      <c r="L7450" s="15" t="s">
        <v>36</v>
      </c>
      <c r="M7450" s="12" t="s">
        <v>36</v>
      </c>
      <c r="N7450" s="12" t="s">
        <v>36</v>
      </c>
      <c r="O7450" s="17" t="s">
        <v>36</v>
      </c>
      <c r="P7450" s="12" t="s">
        <v>36</v>
      </c>
      <c r="Q7450" s="12" t="s">
        <v>36</v>
      </c>
      <c r="R7450" s="12" t="s">
        <v>36</v>
      </c>
      <c r="S7450" s="12" t="s">
        <v>36</v>
      </c>
      <c r="T7450" s="12" t="s">
        <v>32968</v>
      </c>
      <c r="U7450" s="12" t="s">
        <v>74</v>
      </c>
      <c r="V7450" s="12" t="s">
        <v>75</v>
      </c>
      <c r="W7450" s="12" t="s">
        <v>32969</v>
      </c>
      <c r="X7450" s="16" t="s">
        <v>32970</v>
      </c>
      <c r="Y7450" s="15" t="s">
        <v>42</v>
      </c>
      <c r="Z7450" s="14" t="s">
        <v>36</v>
      </c>
      <c r="AA7450" s="14" t="s">
        <v>36</v>
      </c>
      <c r="AB7450" s="12" t="s">
        <v>43</v>
      </c>
      <c r="AC7450" s="12" t="s">
        <v>32971</v>
      </c>
      <c r="AD7450" s="13">
        <v>41924</v>
      </c>
      <c r="AE7450" s="12" t="s">
        <v>1243</v>
      </c>
      <c r="AF7450" s="12" t="s">
        <v>546</v>
      </c>
      <c r="AG7450" s="12" t="s">
        <v>81</v>
      </c>
      <c r="AH7450" s="1">
        <f>HYPERLINK("https://my.pitchbook.com?c=26430-76T","View Company Online")</f>
      </c>
    </row>
    <row r="7451">
      <c r="A7451" s="3" t="s">
        <v>32972</v>
      </c>
      <c r="B7451" s="3" t="s">
        <v>26027</v>
      </c>
      <c r="C7451" s="5" t="s">
        <v>36</v>
      </c>
      <c r="D7451" s="5" t="s">
        <v>36</v>
      </c>
      <c r="E7451" s="5" t="s">
        <v>36</v>
      </c>
      <c r="F7451" s="5" t="s">
        <v>36</v>
      </c>
      <c r="G7451" s="6" t="s">
        <v>36</v>
      </c>
      <c r="H7451" s="4">
        <v>1.77</v>
      </c>
      <c r="I7451" s="7">
        <v>29.29</v>
      </c>
      <c r="J7451" s="3" t="s">
        <v>521</v>
      </c>
      <c r="K7451" s="9">
        <v>41908</v>
      </c>
      <c r="L7451" s="6" t="s">
        <v>36</v>
      </c>
      <c r="M7451" s="3" t="s">
        <v>36</v>
      </c>
      <c r="N7451" s="3" t="s">
        <v>36</v>
      </c>
      <c r="O7451" s="8" t="s">
        <v>36</v>
      </c>
      <c r="P7451" s="3" t="s">
        <v>36</v>
      </c>
      <c r="Q7451" s="3" t="s">
        <v>36</v>
      </c>
      <c r="R7451" s="3" t="s">
        <v>36</v>
      </c>
      <c r="S7451" s="3" t="s">
        <v>36</v>
      </c>
      <c r="T7451" s="3" t="s">
        <v>1701</v>
      </c>
      <c r="U7451" s="3" t="s">
        <v>74</v>
      </c>
      <c r="V7451" s="3" t="s">
        <v>75</v>
      </c>
      <c r="W7451" s="3" t="s">
        <v>26028</v>
      </c>
      <c r="X7451" s="10" t="s">
        <v>32973</v>
      </c>
      <c r="Y7451" s="6" t="s">
        <v>108</v>
      </c>
      <c r="Z7451" s="4">
        <v>1.4</v>
      </c>
      <c r="AA7451" s="4">
        <v>4.79</v>
      </c>
      <c r="AB7451" s="3" t="s">
        <v>43</v>
      </c>
      <c r="AC7451" s="3" t="s">
        <v>26030</v>
      </c>
      <c r="AD7451" s="9">
        <v>41922</v>
      </c>
      <c r="AE7451" s="3" t="s">
        <v>79</v>
      </c>
      <c r="AF7451" s="3" t="s">
        <v>4099</v>
      </c>
      <c r="AG7451" s="3" t="s">
        <v>81</v>
      </c>
      <c r="AH7451" s="11">
        <f>HYPERLINK("https://my.pitchbook.com?c=38277-64T","View Company Online")</f>
      </c>
    </row>
    <row r="7452">
      <c r="A7452" s="12" t="s">
        <v>32974</v>
      </c>
      <c r="B7452" s="12" t="s">
        <v>18981</v>
      </c>
      <c r="C7452" s="19">
        <v>11</v>
      </c>
      <c r="D7452" s="19">
        <v>38</v>
      </c>
      <c r="E7452" s="19">
        <v>26</v>
      </c>
      <c r="F7452" s="19">
        <v>59</v>
      </c>
      <c r="G7452" s="15" t="s">
        <v>36</v>
      </c>
      <c r="H7452" s="14" t="s">
        <v>36</v>
      </c>
      <c r="I7452" s="18" t="s">
        <v>36</v>
      </c>
      <c r="J7452" s="12" t="s">
        <v>36</v>
      </c>
      <c r="K7452" s="13" t="s">
        <v>36</v>
      </c>
      <c r="L7452" s="15" t="s">
        <v>1846</v>
      </c>
      <c r="M7452" s="12" t="s">
        <v>36</v>
      </c>
      <c r="N7452" s="12" t="s">
        <v>1846</v>
      </c>
      <c r="O7452" s="17" t="s">
        <v>36</v>
      </c>
      <c r="P7452" s="12" t="s">
        <v>36</v>
      </c>
      <c r="Q7452" s="12" t="s">
        <v>36</v>
      </c>
      <c r="R7452" s="12" t="s">
        <v>36</v>
      </c>
      <c r="S7452" s="12" t="s">
        <v>36</v>
      </c>
      <c r="T7452" s="12" t="s">
        <v>18982</v>
      </c>
      <c r="U7452" s="12" t="s">
        <v>1798</v>
      </c>
      <c r="V7452" s="12" t="s">
        <v>39</v>
      </c>
      <c r="W7452" s="12" t="s">
        <v>18983</v>
      </c>
      <c r="X7452" s="16" t="s">
        <v>32975</v>
      </c>
      <c r="Y7452" s="15" t="s">
        <v>475</v>
      </c>
      <c r="Z7452" s="14">
        <v>2.81</v>
      </c>
      <c r="AA7452" s="14" t="s">
        <v>36</v>
      </c>
      <c r="AB7452" s="12" t="s">
        <v>56</v>
      </c>
      <c r="AC7452" s="12" t="s">
        <v>18985</v>
      </c>
      <c r="AD7452" s="13">
        <v>41920</v>
      </c>
      <c r="AE7452" s="12" t="s">
        <v>1802</v>
      </c>
      <c r="AF7452" s="12" t="s">
        <v>18986</v>
      </c>
      <c r="AG7452" s="12" t="s">
        <v>18987</v>
      </c>
      <c r="AH7452" s="1">
        <f>HYPERLINK("https://my.pitchbook.com?c=46060-12T","View Company Online")</f>
      </c>
    </row>
    <row r="7453">
      <c r="A7453" s="3" t="s">
        <v>32976</v>
      </c>
      <c r="B7453" s="3" t="s">
        <v>29256</v>
      </c>
      <c r="C7453" s="5" t="s">
        <v>36</v>
      </c>
      <c r="D7453" s="5" t="s">
        <v>36</v>
      </c>
      <c r="E7453" s="5" t="s">
        <v>36</v>
      </c>
      <c r="F7453" s="5" t="s">
        <v>36</v>
      </c>
      <c r="G7453" s="6" t="s">
        <v>326</v>
      </c>
      <c r="H7453" s="4">
        <v>10.05</v>
      </c>
      <c r="I7453" s="7">
        <v>34.55</v>
      </c>
      <c r="J7453" s="3" t="s">
        <v>521</v>
      </c>
      <c r="K7453" s="9" t="s">
        <v>36</v>
      </c>
      <c r="L7453" s="6" t="s">
        <v>94</v>
      </c>
      <c r="M7453" s="3" t="s">
        <v>36</v>
      </c>
      <c r="N7453" s="3" t="s">
        <v>94</v>
      </c>
      <c r="O7453" s="8" t="s">
        <v>36</v>
      </c>
      <c r="P7453" s="3" t="s">
        <v>36</v>
      </c>
      <c r="Q7453" s="3" t="s">
        <v>36</v>
      </c>
      <c r="R7453" s="3" t="s">
        <v>36</v>
      </c>
      <c r="S7453" s="3" t="s">
        <v>36</v>
      </c>
      <c r="T7453" s="3" t="s">
        <v>522</v>
      </c>
      <c r="U7453" s="3" t="s">
        <v>38</v>
      </c>
      <c r="V7453" s="3" t="s">
        <v>39</v>
      </c>
      <c r="W7453" s="3" t="s">
        <v>29257</v>
      </c>
      <c r="X7453" s="10" t="s">
        <v>32977</v>
      </c>
      <c r="Y7453" s="6" t="s">
        <v>108</v>
      </c>
      <c r="Z7453" s="4">
        <v>8.3</v>
      </c>
      <c r="AA7453" s="4">
        <v>24.03</v>
      </c>
      <c r="AB7453" s="3" t="s">
        <v>43</v>
      </c>
      <c r="AC7453" s="3" t="s">
        <v>29259</v>
      </c>
      <c r="AD7453" s="9">
        <v>41920</v>
      </c>
      <c r="AE7453" s="3" t="s">
        <v>110</v>
      </c>
      <c r="AF7453" s="3" t="s">
        <v>24667</v>
      </c>
      <c r="AG7453" s="3" t="s">
        <v>81</v>
      </c>
      <c r="AH7453" s="11">
        <f>HYPERLINK("https://my.pitchbook.com?c=38179-45T","View Company Online")</f>
      </c>
    </row>
    <row r="7454">
      <c r="A7454" s="12" t="s">
        <v>32978</v>
      </c>
      <c r="B7454" s="12" t="s">
        <v>32979</v>
      </c>
      <c r="C7454" s="19" t="s">
        <v>36</v>
      </c>
      <c r="D7454" s="19" t="s">
        <v>36</v>
      </c>
      <c r="E7454" s="19" t="s">
        <v>36</v>
      </c>
      <c r="F7454" s="19" t="s">
        <v>36</v>
      </c>
      <c r="G7454" s="15" t="s">
        <v>36</v>
      </c>
      <c r="H7454" s="14" t="s">
        <v>36</v>
      </c>
      <c r="I7454" s="18" t="s">
        <v>36</v>
      </c>
      <c r="J7454" s="12" t="s">
        <v>36</v>
      </c>
      <c r="K7454" s="13" t="s">
        <v>36</v>
      </c>
      <c r="L7454" s="15" t="s">
        <v>36</v>
      </c>
      <c r="M7454" s="12" t="s">
        <v>36</v>
      </c>
      <c r="N7454" s="12" t="s">
        <v>36</v>
      </c>
      <c r="O7454" s="17" t="s">
        <v>36</v>
      </c>
      <c r="P7454" s="12" t="s">
        <v>36</v>
      </c>
      <c r="Q7454" s="12" t="s">
        <v>36</v>
      </c>
      <c r="R7454" s="12" t="s">
        <v>36</v>
      </c>
      <c r="S7454" s="12" t="s">
        <v>36</v>
      </c>
      <c r="T7454" s="12" t="s">
        <v>32980</v>
      </c>
      <c r="U7454" s="12" t="s">
        <v>279</v>
      </c>
      <c r="V7454" s="12" t="s">
        <v>64</v>
      </c>
      <c r="W7454" s="12" t="s">
        <v>32981</v>
      </c>
      <c r="X7454" s="16" t="s">
        <v>32982</v>
      </c>
      <c r="Y7454" s="15" t="s">
        <v>42</v>
      </c>
      <c r="Z7454" s="14">
        <v>0.41</v>
      </c>
      <c r="AA7454" s="14" t="s">
        <v>36</v>
      </c>
      <c r="AB7454" s="12" t="s">
        <v>43</v>
      </c>
      <c r="AC7454" s="12" t="s">
        <v>32983</v>
      </c>
      <c r="AD7454" s="13">
        <v>41920</v>
      </c>
      <c r="AE7454" s="12" t="s">
        <v>283</v>
      </c>
      <c r="AF7454" s="12" t="s">
        <v>16594</v>
      </c>
      <c r="AG7454" s="12" t="s">
        <v>186</v>
      </c>
      <c r="AH7454" s="1">
        <f>HYPERLINK("https://my.pitchbook.com?c=130681-27T","View Company Online")</f>
      </c>
    </row>
    <row r="7455">
      <c r="A7455" s="3" t="s">
        <v>32984</v>
      </c>
      <c r="B7455" s="3" t="s">
        <v>7335</v>
      </c>
      <c r="C7455" s="5" t="s">
        <v>36</v>
      </c>
      <c r="D7455" s="5" t="s">
        <v>36</v>
      </c>
      <c r="E7455" s="5" t="s">
        <v>36</v>
      </c>
      <c r="F7455" s="5" t="s">
        <v>36</v>
      </c>
      <c r="G7455" s="6" t="s">
        <v>36</v>
      </c>
      <c r="H7455" s="4">
        <v>0.93</v>
      </c>
      <c r="I7455" s="7">
        <v>12.5</v>
      </c>
      <c r="J7455" s="3" t="s">
        <v>521</v>
      </c>
      <c r="K7455" s="9">
        <v>41814</v>
      </c>
      <c r="L7455" s="6" t="s">
        <v>36</v>
      </c>
      <c r="M7455" s="3" t="s">
        <v>36</v>
      </c>
      <c r="N7455" s="3" t="s">
        <v>36</v>
      </c>
      <c r="O7455" s="8" t="s">
        <v>36</v>
      </c>
      <c r="P7455" s="3" t="s">
        <v>36</v>
      </c>
      <c r="Q7455" s="3" t="s">
        <v>36</v>
      </c>
      <c r="R7455" s="3" t="s">
        <v>36</v>
      </c>
      <c r="S7455" s="3" t="s">
        <v>36</v>
      </c>
      <c r="T7455" s="3" t="s">
        <v>7336</v>
      </c>
      <c r="U7455" s="3" t="s">
        <v>85</v>
      </c>
      <c r="V7455" s="3" t="s">
        <v>64</v>
      </c>
      <c r="W7455" s="3" t="s">
        <v>7337</v>
      </c>
      <c r="X7455" s="10" t="s">
        <v>8584</v>
      </c>
      <c r="Y7455" s="6" t="s">
        <v>42</v>
      </c>
      <c r="Z7455" s="4">
        <v>0.19</v>
      </c>
      <c r="AA7455" s="4">
        <v>1.53</v>
      </c>
      <c r="AB7455" s="3" t="s">
        <v>43</v>
      </c>
      <c r="AC7455" s="3" t="s">
        <v>7339</v>
      </c>
      <c r="AD7455" s="9">
        <v>41919</v>
      </c>
      <c r="AE7455" s="3" t="s">
        <v>89</v>
      </c>
      <c r="AF7455" s="3" t="s">
        <v>7340</v>
      </c>
      <c r="AG7455" s="3" t="s">
        <v>81</v>
      </c>
      <c r="AH7455" s="11">
        <f>HYPERLINK("https://my.pitchbook.com?c=46299-79T","View Company Online")</f>
      </c>
    </row>
    <row r="7456">
      <c r="A7456" s="12" t="s">
        <v>32985</v>
      </c>
      <c r="B7456" s="12" t="s">
        <v>5594</v>
      </c>
      <c r="C7456" s="19" t="s">
        <v>36</v>
      </c>
      <c r="D7456" s="19" t="s">
        <v>36</v>
      </c>
      <c r="E7456" s="19" t="s">
        <v>36</v>
      </c>
      <c r="F7456" s="19" t="s">
        <v>36</v>
      </c>
      <c r="G7456" s="15" t="s">
        <v>36</v>
      </c>
      <c r="H7456" s="14">
        <v>1869.42</v>
      </c>
      <c r="I7456" s="18">
        <v>42.53</v>
      </c>
      <c r="J7456" s="12" t="s">
        <v>521</v>
      </c>
      <c r="K7456" s="13" t="s">
        <v>36</v>
      </c>
      <c r="L7456" s="15" t="s">
        <v>36</v>
      </c>
      <c r="M7456" s="12" t="s">
        <v>36</v>
      </c>
      <c r="N7456" s="12" t="s">
        <v>36</v>
      </c>
      <c r="O7456" s="17" t="s">
        <v>36</v>
      </c>
      <c r="P7456" s="12" t="s">
        <v>36</v>
      </c>
      <c r="Q7456" s="12" t="s">
        <v>36</v>
      </c>
      <c r="R7456" s="12" t="s">
        <v>36</v>
      </c>
      <c r="S7456" s="12" t="s">
        <v>36</v>
      </c>
      <c r="T7456" s="12" t="s">
        <v>5595</v>
      </c>
      <c r="U7456" s="12" t="s">
        <v>38</v>
      </c>
      <c r="V7456" s="12" t="s">
        <v>39</v>
      </c>
      <c r="W7456" s="12" t="s">
        <v>5596</v>
      </c>
      <c r="X7456" s="16" t="s">
        <v>30319</v>
      </c>
      <c r="Y7456" s="15" t="s">
        <v>42</v>
      </c>
      <c r="Z7456" s="14">
        <v>1.7</v>
      </c>
      <c r="AA7456" s="14">
        <v>4.01</v>
      </c>
      <c r="AB7456" s="12" t="s">
        <v>43</v>
      </c>
      <c r="AC7456" s="12" t="s">
        <v>5598</v>
      </c>
      <c r="AD7456" s="13">
        <v>41918</v>
      </c>
      <c r="AE7456" s="12" t="s">
        <v>1422</v>
      </c>
      <c r="AF7456" s="12" t="s">
        <v>5599</v>
      </c>
      <c r="AG7456" s="12" t="s">
        <v>81</v>
      </c>
      <c r="AH7456" s="1">
        <f>HYPERLINK("https://my.pitchbook.com?c=39060-37T","View Company Online")</f>
      </c>
    </row>
    <row r="7457">
      <c r="A7457" s="3" t="s">
        <v>32986</v>
      </c>
      <c r="B7457" s="3" t="s">
        <v>32987</v>
      </c>
      <c r="C7457" s="5" t="s">
        <v>36</v>
      </c>
      <c r="D7457" s="5" t="s">
        <v>36</v>
      </c>
      <c r="E7457" s="5" t="s">
        <v>36</v>
      </c>
      <c r="F7457" s="5" t="s">
        <v>36</v>
      </c>
      <c r="G7457" s="6" t="s">
        <v>36</v>
      </c>
      <c r="H7457" s="4" t="s">
        <v>36</v>
      </c>
      <c r="I7457" s="7" t="s">
        <v>36</v>
      </c>
      <c r="J7457" s="3" t="s">
        <v>36</v>
      </c>
      <c r="K7457" s="9">
        <v>41779</v>
      </c>
      <c r="L7457" s="6" t="s">
        <v>36</v>
      </c>
      <c r="M7457" s="3" t="s">
        <v>36</v>
      </c>
      <c r="N7457" s="3" t="s">
        <v>36</v>
      </c>
      <c r="O7457" s="8" t="s">
        <v>36</v>
      </c>
      <c r="P7457" s="3" t="s">
        <v>36</v>
      </c>
      <c r="Q7457" s="3" t="s">
        <v>36</v>
      </c>
      <c r="R7457" s="3" t="s">
        <v>36</v>
      </c>
      <c r="S7457" s="3" t="s">
        <v>36</v>
      </c>
      <c r="T7457" s="3" t="s">
        <v>29888</v>
      </c>
      <c r="U7457" s="3" t="s">
        <v>38</v>
      </c>
      <c r="V7457" s="3" t="s">
        <v>39</v>
      </c>
      <c r="W7457" s="3" t="s">
        <v>32988</v>
      </c>
      <c r="X7457" s="10" t="s">
        <v>32989</v>
      </c>
      <c r="Y7457" s="6" t="s">
        <v>42</v>
      </c>
      <c r="Z7457" s="4" t="s">
        <v>36</v>
      </c>
      <c r="AA7457" s="4" t="s">
        <v>36</v>
      </c>
      <c r="AB7457" s="3" t="s">
        <v>43</v>
      </c>
      <c r="AC7457" s="3" t="s">
        <v>32990</v>
      </c>
      <c r="AD7457" s="9">
        <v>41913</v>
      </c>
      <c r="AE7457" s="3" t="s">
        <v>1422</v>
      </c>
      <c r="AF7457" s="3" t="s">
        <v>15204</v>
      </c>
      <c r="AG7457" s="3" t="s">
        <v>102</v>
      </c>
      <c r="AH7457" s="11">
        <f>HYPERLINK("https://my.pitchbook.com?c=45553-96T","View Company Online")</f>
      </c>
    </row>
    <row r="7458">
      <c r="A7458" s="12" t="s">
        <v>32991</v>
      </c>
      <c r="B7458" s="12" t="s">
        <v>32992</v>
      </c>
      <c r="C7458" s="19" t="s">
        <v>36</v>
      </c>
      <c r="D7458" s="19" t="s">
        <v>36</v>
      </c>
      <c r="E7458" s="19" t="s">
        <v>36</v>
      </c>
      <c r="F7458" s="19" t="s">
        <v>36</v>
      </c>
      <c r="G7458" s="15" t="s">
        <v>36</v>
      </c>
      <c r="H7458" s="14" t="s">
        <v>36</v>
      </c>
      <c r="I7458" s="18" t="s">
        <v>36</v>
      </c>
      <c r="J7458" s="12" t="s">
        <v>36</v>
      </c>
      <c r="K7458" s="13" t="s">
        <v>36</v>
      </c>
      <c r="L7458" s="15" t="s">
        <v>36</v>
      </c>
      <c r="M7458" s="12" t="s">
        <v>36</v>
      </c>
      <c r="N7458" s="12" t="s">
        <v>36</v>
      </c>
      <c r="O7458" s="17" t="s">
        <v>36</v>
      </c>
      <c r="P7458" s="12" t="s">
        <v>36</v>
      </c>
      <c r="Q7458" s="12" t="s">
        <v>36</v>
      </c>
      <c r="R7458" s="12" t="s">
        <v>36</v>
      </c>
      <c r="S7458" s="12" t="s">
        <v>36</v>
      </c>
      <c r="T7458" s="12" t="s">
        <v>32993</v>
      </c>
      <c r="U7458" s="12" t="s">
        <v>366</v>
      </c>
      <c r="V7458" s="12" t="s">
        <v>367</v>
      </c>
      <c r="W7458" s="12" t="s">
        <v>32994</v>
      </c>
      <c r="X7458" s="16" t="s">
        <v>29986</v>
      </c>
      <c r="Y7458" s="15" t="s">
        <v>42</v>
      </c>
      <c r="Z7458" s="14">
        <v>0.9</v>
      </c>
      <c r="AA7458" s="14" t="s">
        <v>36</v>
      </c>
      <c r="AB7458" s="12" t="s">
        <v>56</v>
      </c>
      <c r="AC7458" s="12" t="s">
        <v>32995</v>
      </c>
      <c r="AD7458" s="13">
        <v>41913</v>
      </c>
      <c r="AE7458" s="12" t="s">
        <v>600</v>
      </c>
      <c r="AF7458" s="12" t="s">
        <v>32996</v>
      </c>
      <c r="AG7458" s="12" t="s">
        <v>32997</v>
      </c>
      <c r="AH7458" s="1">
        <f>HYPERLINK("https://my.pitchbook.com?c=109827-46T","View Company Online")</f>
      </c>
    </row>
    <row r="7459">
      <c r="A7459" s="3" t="s">
        <v>32998</v>
      </c>
      <c r="B7459" s="3" t="s">
        <v>32999</v>
      </c>
      <c r="C7459" s="5" t="s">
        <v>36</v>
      </c>
      <c r="D7459" s="5" t="s">
        <v>36</v>
      </c>
      <c r="E7459" s="5" t="s">
        <v>36</v>
      </c>
      <c r="F7459" s="5" t="s">
        <v>36</v>
      </c>
      <c r="G7459" s="6" t="s">
        <v>36</v>
      </c>
      <c r="H7459" s="4" t="s">
        <v>36</v>
      </c>
      <c r="I7459" s="7" t="s">
        <v>36</v>
      </c>
      <c r="J7459" s="3" t="s">
        <v>36</v>
      </c>
      <c r="K7459" s="9" t="s">
        <v>36</v>
      </c>
      <c r="L7459" s="6" t="s">
        <v>36</v>
      </c>
      <c r="M7459" s="3" t="s">
        <v>36</v>
      </c>
      <c r="N7459" s="3" t="s">
        <v>36</v>
      </c>
      <c r="O7459" s="8" t="s">
        <v>36</v>
      </c>
      <c r="P7459" s="3" t="s">
        <v>36</v>
      </c>
      <c r="Q7459" s="3" t="s">
        <v>36</v>
      </c>
      <c r="R7459" s="3" t="s">
        <v>36</v>
      </c>
      <c r="S7459" s="3" t="s">
        <v>36</v>
      </c>
      <c r="T7459" s="3" t="s">
        <v>1299</v>
      </c>
      <c r="U7459" s="3" t="s">
        <v>38</v>
      </c>
      <c r="V7459" s="3" t="s">
        <v>39</v>
      </c>
      <c r="W7459" s="3" t="s">
        <v>33000</v>
      </c>
      <c r="X7459" s="10" t="s">
        <v>26808</v>
      </c>
      <c r="Y7459" s="6" t="s">
        <v>42</v>
      </c>
      <c r="Z7459" s="4" t="s">
        <v>36</v>
      </c>
      <c r="AA7459" s="4" t="s">
        <v>36</v>
      </c>
      <c r="AB7459" s="3" t="s">
        <v>56</v>
      </c>
      <c r="AC7459" s="3" t="s">
        <v>33001</v>
      </c>
      <c r="AD7459" s="9">
        <v>41913</v>
      </c>
      <c r="AE7459" s="3" t="s">
        <v>110</v>
      </c>
      <c r="AF7459" s="3" t="s">
        <v>1636</v>
      </c>
      <c r="AG7459" s="3" t="s">
        <v>81</v>
      </c>
      <c r="AH7459" s="11">
        <f>HYPERLINK("https://my.pitchbook.com?c=36284-86T","View Company Online")</f>
      </c>
    </row>
    <row r="7460">
      <c r="A7460" s="12" t="s">
        <v>33002</v>
      </c>
      <c r="B7460" s="12" t="s">
        <v>27039</v>
      </c>
      <c r="C7460" s="19" t="s">
        <v>36</v>
      </c>
      <c r="D7460" s="19" t="s">
        <v>36</v>
      </c>
      <c r="E7460" s="19" t="s">
        <v>36</v>
      </c>
      <c r="F7460" s="19" t="s">
        <v>36</v>
      </c>
      <c r="G7460" s="15" t="s">
        <v>36</v>
      </c>
      <c r="H7460" s="14" t="s">
        <v>36</v>
      </c>
      <c r="I7460" s="18" t="s">
        <v>36</v>
      </c>
      <c r="J7460" s="12" t="s">
        <v>36</v>
      </c>
      <c r="K7460" s="13" t="s">
        <v>36</v>
      </c>
      <c r="L7460" s="15" t="s">
        <v>36</v>
      </c>
      <c r="M7460" s="12" t="s">
        <v>36</v>
      </c>
      <c r="N7460" s="12" t="s">
        <v>36</v>
      </c>
      <c r="O7460" s="17" t="s">
        <v>36</v>
      </c>
      <c r="P7460" s="12" t="s">
        <v>36</v>
      </c>
      <c r="Q7460" s="12" t="s">
        <v>36</v>
      </c>
      <c r="R7460" s="12" t="s">
        <v>36</v>
      </c>
      <c r="S7460" s="12" t="s">
        <v>36</v>
      </c>
      <c r="T7460" s="12" t="s">
        <v>4911</v>
      </c>
      <c r="U7460" s="12" t="s">
        <v>63</v>
      </c>
      <c r="V7460" s="12" t="s">
        <v>64</v>
      </c>
      <c r="W7460" s="12" t="s">
        <v>27040</v>
      </c>
      <c r="X7460" s="16" t="s">
        <v>23504</v>
      </c>
      <c r="Y7460" s="15" t="s">
        <v>42</v>
      </c>
      <c r="Z7460" s="14">
        <v>0.08</v>
      </c>
      <c r="AA7460" s="14" t="s">
        <v>36</v>
      </c>
      <c r="AB7460" s="12" t="s">
        <v>43</v>
      </c>
      <c r="AC7460" s="12" t="s">
        <v>27042</v>
      </c>
      <c r="AD7460" s="13">
        <v>41913</v>
      </c>
      <c r="AE7460" s="12" t="s">
        <v>399</v>
      </c>
      <c r="AF7460" s="12" t="s">
        <v>36</v>
      </c>
      <c r="AG7460" s="12" t="s">
        <v>27043</v>
      </c>
      <c r="AH7460" s="1">
        <f>HYPERLINK("https://my.pitchbook.com?c=71855-56T","View Company Online")</f>
      </c>
    </row>
    <row r="7461">
      <c r="A7461" s="3" t="s">
        <v>33003</v>
      </c>
      <c r="B7461" s="3" t="s">
        <v>25303</v>
      </c>
      <c r="C7461" s="5" t="s">
        <v>36</v>
      </c>
      <c r="D7461" s="5" t="s">
        <v>36</v>
      </c>
      <c r="E7461" s="5" t="s">
        <v>36</v>
      </c>
      <c r="F7461" s="5" t="s">
        <v>36</v>
      </c>
      <c r="G7461" s="6" t="s">
        <v>2497</v>
      </c>
      <c r="H7461" s="4">
        <v>51.61</v>
      </c>
      <c r="I7461" s="7">
        <v>14.29</v>
      </c>
      <c r="J7461" s="3" t="s">
        <v>521</v>
      </c>
      <c r="K7461" s="9" t="s">
        <v>36</v>
      </c>
      <c r="L7461" s="6" t="s">
        <v>36</v>
      </c>
      <c r="M7461" s="3" t="s">
        <v>36</v>
      </c>
      <c r="N7461" s="3" t="s">
        <v>36</v>
      </c>
      <c r="O7461" s="8" t="s">
        <v>36</v>
      </c>
      <c r="P7461" s="3" t="s">
        <v>36</v>
      </c>
      <c r="Q7461" s="3" t="s">
        <v>36</v>
      </c>
      <c r="R7461" s="3" t="s">
        <v>36</v>
      </c>
      <c r="S7461" s="3" t="s">
        <v>36</v>
      </c>
      <c r="T7461" s="3" t="s">
        <v>1701</v>
      </c>
      <c r="U7461" s="3" t="s">
        <v>74</v>
      </c>
      <c r="V7461" s="3" t="s">
        <v>75</v>
      </c>
      <c r="W7461" s="3" t="s">
        <v>25304</v>
      </c>
      <c r="X7461" s="10" t="s">
        <v>27705</v>
      </c>
      <c r="Y7461" s="6" t="s">
        <v>192</v>
      </c>
      <c r="Z7461" s="4">
        <v>1.29</v>
      </c>
      <c r="AA7461" s="4">
        <v>9.02</v>
      </c>
      <c r="AB7461" s="3" t="s">
        <v>56</v>
      </c>
      <c r="AC7461" s="3" t="s">
        <v>25306</v>
      </c>
      <c r="AD7461" s="9">
        <v>41912</v>
      </c>
      <c r="AE7461" s="3" t="s">
        <v>79</v>
      </c>
      <c r="AF7461" s="3" t="s">
        <v>25307</v>
      </c>
      <c r="AG7461" s="3" t="s">
        <v>81</v>
      </c>
      <c r="AH7461" s="11">
        <f>HYPERLINK("https://my.pitchbook.com?c=136272-88T","View Company Online")</f>
      </c>
    </row>
    <row r="7462">
      <c r="A7462" s="12" t="s">
        <v>33004</v>
      </c>
      <c r="B7462" s="12" t="s">
        <v>12849</v>
      </c>
      <c r="C7462" s="19">
        <v>21</v>
      </c>
      <c r="D7462" s="19">
        <v>52</v>
      </c>
      <c r="E7462" s="19">
        <v>7</v>
      </c>
      <c r="F7462" s="19">
        <v>73</v>
      </c>
      <c r="G7462" s="15" t="s">
        <v>36</v>
      </c>
      <c r="H7462" s="14" t="s">
        <v>36</v>
      </c>
      <c r="I7462" s="18" t="s">
        <v>36</v>
      </c>
      <c r="J7462" s="12" t="s">
        <v>36</v>
      </c>
      <c r="K7462" s="13" t="s">
        <v>36</v>
      </c>
      <c r="L7462" s="15" t="s">
        <v>122</v>
      </c>
      <c r="M7462" s="12" t="s">
        <v>36</v>
      </c>
      <c r="N7462" s="12" t="s">
        <v>122</v>
      </c>
      <c r="O7462" s="17" t="s">
        <v>36</v>
      </c>
      <c r="P7462" s="12" t="s">
        <v>36</v>
      </c>
      <c r="Q7462" s="12" t="s">
        <v>36</v>
      </c>
      <c r="R7462" s="12" t="s">
        <v>36</v>
      </c>
      <c r="S7462" s="12" t="s">
        <v>36</v>
      </c>
      <c r="T7462" s="12" t="s">
        <v>4225</v>
      </c>
      <c r="U7462" s="12" t="s">
        <v>96</v>
      </c>
      <c r="V7462" s="12" t="s">
        <v>52</v>
      </c>
      <c r="W7462" s="12" t="s">
        <v>12850</v>
      </c>
      <c r="X7462" s="16" t="s">
        <v>13524</v>
      </c>
      <c r="Y7462" s="15" t="s">
        <v>42</v>
      </c>
      <c r="Z7462" s="14" t="s">
        <v>36</v>
      </c>
      <c r="AA7462" s="14" t="s">
        <v>36</v>
      </c>
      <c r="AB7462" s="12" t="s">
        <v>43</v>
      </c>
      <c r="AC7462" s="12" t="s">
        <v>12852</v>
      </c>
      <c r="AD7462" s="13">
        <v>41912</v>
      </c>
      <c r="AE7462" s="12" t="s">
        <v>143</v>
      </c>
      <c r="AF7462" s="12" t="s">
        <v>6285</v>
      </c>
      <c r="AG7462" s="12" t="s">
        <v>81</v>
      </c>
      <c r="AH7462" s="1">
        <f>HYPERLINK("https://my.pitchbook.com?c=92084-50T","View Company Online")</f>
      </c>
    </row>
    <row r="7463">
      <c r="A7463" s="3" t="s">
        <v>33005</v>
      </c>
      <c r="B7463" s="3" t="s">
        <v>22535</v>
      </c>
      <c r="C7463" s="5" t="s">
        <v>36</v>
      </c>
      <c r="D7463" s="5" t="s">
        <v>36</v>
      </c>
      <c r="E7463" s="5" t="s">
        <v>36</v>
      </c>
      <c r="F7463" s="5" t="s">
        <v>36</v>
      </c>
      <c r="G7463" s="6" t="s">
        <v>36</v>
      </c>
      <c r="H7463" s="4" t="s">
        <v>36</v>
      </c>
      <c r="I7463" s="7" t="s">
        <v>36</v>
      </c>
      <c r="J7463" s="3" t="s">
        <v>36</v>
      </c>
      <c r="K7463" s="9" t="s">
        <v>36</v>
      </c>
      <c r="L7463" s="6" t="s">
        <v>36</v>
      </c>
      <c r="M7463" s="3" t="s">
        <v>36</v>
      </c>
      <c r="N7463" s="3" t="s">
        <v>36</v>
      </c>
      <c r="O7463" s="8" t="s">
        <v>36</v>
      </c>
      <c r="P7463" s="3" t="s">
        <v>36</v>
      </c>
      <c r="Q7463" s="3" t="s">
        <v>36</v>
      </c>
      <c r="R7463" s="3" t="s">
        <v>36</v>
      </c>
      <c r="S7463" s="3" t="s">
        <v>36</v>
      </c>
      <c r="T7463" s="3" t="s">
        <v>22536</v>
      </c>
      <c r="U7463" s="3" t="s">
        <v>833</v>
      </c>
      <c r="V7463" s="3" t="s">
        <v>64</v>
      </c>
      <c r="W7463" s="3" t="s">
        <v>22537</v>
      </c>
      <c r="X7463" s="10" t="s">
        <v>33006</v>
      </c>
      <c r="Y7463" s="6" t="s">
        <v>42</v>
      </c>
      <c r="Z7463" s="4">
        <v>0.77</v>
      </c>
      <c r="AA7463" s="4" t="s">
        <v>36</v>
      </c>
      <c r="AB7463" s="3" t="s">
        <v>43</v>
      </c>
      <c r="AC7463" s="3" t="s">
        <v>22539</v>
      </c>
      <c r="AD7463" s="9">
        <v>41912</v>
      </c>
      <c r="AE7463" s="3" t="s">
        <v>1069</v>
      </c>
      <c r="AF7463" s="3" t="s">
        <v>10859</v>
      </c>
      <c r="AG7463" s="3" t="s">
        <v>22540</v>
      </c>
      <c r="AH7463" s="11">
        <f>HYPERLINK("https://my.pitchbook.com?c=47039-05T","View Company Online")</f>
      </c>
    </row>
    <row r="7464">
      <c r="A7464" s="12" t="s">
        <v>33007</v>
      </c>
      <c r="B7464" s="12" t="s">
        <v>33008</v>
      </c>
      <c r="C7464" s="19" t="s">
        <v>36</v>
      </c>
      <c r="D7464" s="19" t="s">
        <v>36</v>
      </c>
      <c r="E7464" s="19" t="s">
        <v>36</v>
      </c>
      <c r="F7464" s="19" t="s">
        <v>36</v>
      </c>
      <c r="G7464" s="15" t="s">
        <v>36</v>
      </c>
      <c r="H7464" s="14" t="s">
        <v>36</v>
      </c>
      <c r="I7464" s="18" t="s">
        <v>36</v>
      </c>
      <c r="J7464" s="12" t="s">
        <v>36</v>
      </c>
      <c r="K7464" s="13" t="s">
        <v>36</v>
      </c>
      <c r="L7464" s="15" t="s">
        <v>36</v>
      </c>
      <c r="M7464" s="12" t="s">
        <v>36</v>
      </c>
      <c r="N7464" s="12" t="s">
        <v>36</v>
      </c>
      <c r="O7464" s="17" t="s">
        <v>36</v>
      </c>
      <c r="P7464" s="12" t="s">
        <v>36</v>
      </c>
      <c r="Q7464" s="12" t="s">
        <v>36</v>
      </c>
      <c r="R7464" s="12" t="s">
        <v>36</v>
      </c>
      <c r="S7464" s="12" t="s">
        <v>36</v>
      </c>
      <c r="T7464" s="12" t="s">
        <v>33009</v>
      </c>
      <c r="U7464" s="12" t="s">
        <v>289</v>
      </c>
      <c r="V7464" s="12" t="s">
        <v>64</v>
      </c>
      <c r="W7464" s="12" t="s">
        <v>33010</v>
      </c>
      <c r="X7464" s="16" t="s">
        <v>33011</v>
      </c>
      <c r="Y7464" s="15" t="s">
        <v>55</v>
      </c>
      <c r="Z7464" s="14">
        <v>1.93</v>
      </c>
      <c r="AA7464" s="14" t="s">
        <v>36</v>
      </c>
      <c r="AB7464" s="12" t="s">
        <v>43</v>
      </c>
      <c r="AC7464" s="12" t="s">
        <v>33012</v>
      </c>
      <c r="AD7464" s="13">
        <v>41911</v>
      </c>
      <c r="AE7464" s="12" t="s">
        <v>3134</v>
      </c>
      <c r="AF7464" s="12" t="s">
        <v>2118</v>
      </c>
      <c r="AG7464" s="12" t="s">
        <v>81</v>
      </c>
      <c r="AH7464" s="1">
        <f>HYPERLINK("https://my.pitchbook.com?c=38008-27T","View Company Online")</f>
      </c>
    </row>
    <row r="7465">
      <c r="A7465" s="3" t="s">
        <v>33013</v>
      </c>
      <c r="B7465" s="3" t="s">
        <v>13155</v>
      </c>
      <c r="C7465" s="5" t="s">
        <v>36</v>
      </c>
      <c r="D7465" s="5" t="s">
        <v>36</v>
      </c>
      <c r="E7465" s="5" t="s">
        <v>36</v>
      </c>
      <c r="F7465" s="5" t="s">
        <v>36</v>
      </c>
      <c r="G7465" s="6" t="s">
        <v>36</v>
      </c>
      <c r="H7465" s="4" t="s">
        <v>36</v>
      </c>
      <c r="I7465" s="7" t="s">
        <v>36</v>
      </c>
      <c r="J7465" s="3" t="s">
        <v>36</v>
      </c>
      <c r="K7465" s="9" t="s">
        <v>36</v>
      </c>
      <c r="L7465" s="6" t="s">
        <v>36</v>
      </c>
      <c r="M7465" s="3" t="s">
        <v>36</v>
      </c>
      <c r="N7465" s="3" t="s">
        <v>36</v>
      </c>
      <c r="O7465" s="8" t="s">
        <v>36</v>
      </c>
      <c r="P7465" s="3" t="s">
        <v>36</v>
      </c>
      <c r="Q7465" s="3" t="s">
        <v>36</v>
      </c>
      <c r="R7465" s="3" t="s">
        <v>36</v>
      </c>
      <c r="S7465" s="3" t="s">
        <v>36</v>
      </c>
      <c r="T7465" s="3" t="s">
        <v>522</v>
      </c>
      <c r="U7465" s="3" t="s">
        <v>38</v>
      </c>
      <c r="V7465" s="3" t="s">
        <v>39</v>
      </c>
      <c r="W7465" s="3" t="s">
        <v>13156</v>
      </c>
      <c r="X7465" s="10" t="s">
        <v>33014</v>
      </c>
      <c r="Y7465" s="6" t="s">
        <v>108</v>
      </c>
      <c r="Z7465" s="4">
        <v>2.4</v>
      </c>
      <c r="AA7465" s="4" t="s">
        <v>36</v>
      </c>
      <c r="AB7465" s="3" t="s">
        <v>43</v>
      </c>
      <c r="AC7465" s="3" t="s">
        <v>13158</v>
      </c>
      <c r="AD7465" s="9">
        <v>41906</v>
      </c>
      <c r="AE7465" s="3" t="s">
        <v>110</v>
      </c>
      <c r="AF7465" s="3" t="s">
        <v>4552</v>
      </c>
      <c r="AG7465" s="3" t="s">
        <v>186</v>
      </c>
      <c r="AH7465" s="11">
        <f>HYPERLINK("https://my.pitchbook.com?c=37960-12T","View Company Online")</f>
      </c>
    </row>
    <row r="7466">
      <c r="A7466" s="12" t="s">
        <v>33015</v>
      </c>
      <c r="B7466" s="12" t="s">
        <v>33016</v>
      </c>
      <c r="C7466" s="19" t="s">
        <v>36</v>
      </c>
      <c r="D7466" s="19" t="s">
        <v>36</v>
      </c>
      <c r="E7466" s="19" t="s">
        <v>36</v>
      </c>
      <c r="F7466" s="19" t="s">
        <v>36</v>
      </c>
      <c r="G7466" s="15" t="s">
        <v>36</v>
      </c>
      <c r="H7466" s="14" t="s">
        <v>36</v>
      </c>
      <c r="I7466" s="18" t="s">
        <v>36</v>
      </c>
      <c r="J7466" s="12" t="s">
        <v>36</v>
      </c>
      <c r="K7466" s="13" t="s">
        <v>36</v>
      </c>
      <c r="L7466" s="15" t="s">
        <v>36</v>
      </c>
      <c r="M7466" s="12" t="s">
        <v>36</v>
      </c>
      <c r="N7466" s="12" t="s">
        <v>36</v>
      </c>
      <c r="O7466" s="17" t="s">
        <v>36</v>
      </c>
      <c r="P7466" s="12" t="s">
        <v>36</v>
      </c>
      <c r="Q7466" s="12" t="s">
        <v>36</v>
      </c>
      <c r="R7466" s="12" t="s">
        <v>36</v>
      </c>
      <c r="S7466" s="12" t="s">
        <v>36</v>
      </c>
      <c r="T7466" s="12" t="s">
        <v>105</v>
      </c>
      <c r="U7466" s="12" t="s">
        <v>38</v>
      </c>
      <c r="V7466" s="12" t="s">
        <v>39</v>
      </c>
      <c r="W7466" s="12" t="s">
        <v>33017</v>
      </c>
      <c r="X7466" s="16" t="s">
        <v>11058</v>
      </c>
      <c r="Y7466" s="15" t="s">
        <v>42</v>
      </c>
      <c r="Z7466" s="14">
        <v>0.57</v>
      </c>
      <c r="AA7466" s="14" t="s">
        <v>36</v>
      </c>
      <c r="AB7466" s="12" t="s">
        <v>43</v>
      </c>
      <c r="AC7466" s="12" t="s">
        <v>33018</v>
      </c>
      <c r="AD7466" s="13">
        <v>41906</v>
      </c>
      <c r="AE7466" s="12" t="s">
        <v>110</v>
      </c>
      <c r="AF7466" s="12" t="s">
        <v>1077</v>
      </c>
      <c r="AG7466" s="12" t="s">
        <v>3250</v>
      </c>
      <c r="AH7466" s="1">
        <f>HYPERLINK("https://my.pitchbook.com?c=66337-93T","View Company Online")</f>
      </c>
    </row>
    <row r="7467">
      <c r="A7467" s="3" t="s">
        <v>33019</v>
      </c>
      <c r="B7467" s="3" t="s">
        <v>33020</v>
      </c>
      <c r="C7467" s="5" t="s">
        <v>36</v>
      </c>
      <c r="D7467" s="5" t="s">
        <v>36</v>
      </c>
      <c r="E7467" s="5" t="s">
        <v>36</v>
      </c>
      <c r="F7467" s="5" t="s">
        <v>36</v>
      </c>
      <c r="G7467" s="6" t="s">
        <v>36</v>
      </c>
      <c r="H7467" s="4" t="s">
        <v>36</v>
      </c>
      <c r="I7467" s="7" t="s">
        <v>36</v>
      </c>
      <c r="J7467" s="3" t="s">
        <v>36</v>
      </c>
      <c r="K7467" s="9" t="s">
        <v>36</v>
      </c>
      <c r="L7467" s="6" t="s">
        <v>36</v>
      </c>
      <c r="M7467" s="3" t="s">
        <v>36</v>
      </c>
      <c r="N7467" s="3" t="s">
        <v>36</v>
      </c>
      <c r="O7467" s="8" t="s">
        <v>36</v>
      </c>
      <c r="P7467" s="3" t="s">
        <v>36</v>
      </c>
      <c r="Q7467" s="3" t="s">
        <v>36</v>
      </c>
      <c r="R7467" s="3" t="s">
        <v>36</v>
      </c>
      <c r="S7467" s="3" t="s">
        <v>36</v>
      </c>
      <c r="T7467" s="3" t="s">
        <v>1701</v>
      </c>
      <c r="U7467" s="3" t="s">
        <v>74</v>
      </c>
      <c r="V7467" s="3" t="s">
        <v>75</v>
      </c>
      <c r="W7467" s="3" t="s">
        <v>33021</v>
      </c>
      <c r="X7467" s="10" t="s">
        <v>31606</v>
      </c>
      <c r="Y7467" s="6" t="s">
        <v>42</v>
      </c>
      <c r="Z7467" s="4" t="s">
        <v>36</v>
      </c>
      <c r="AA7467" s="4" t="s">
        <v>36</v>
      </c>
      <c r="AB7467" s="3" t="s">
        <v>43</v>
      </c>
      <c r="AC7467" s="3" t="s">
        <v>33022</v>
      </c>
      <c r="AD7467" s="9">
        <v>41906</v>
      </c>
      <c r="AE7467" s="3" t="s">
        <v>79</v>
      </c>
      <c r="AF7467" s="3" t="s">
        <v>118</v>
      </c>
      <c r="AG7467" s="3" t="s">
        <v>81</v>
      </c>
      <c r="AH7467" s="11">
        <f>HYPERLINK("https://my.pitchbook.com?c=120456-73T","View Company Online")</f>
      </c>
    </row>
    <row r="7468">
      <c r="A7468" s="12" t="s">
        <v>33023</v>
      </c>
      <c r="B7468" s="12" t="s">
        <v>33024</v>
      </c>
      <c r="C7468" s="19" t="s">
        <v>36</v>
      </c>
      <c r="D7468" s="19" t="s">
        <v>36</v>
      </c>
      <c r="E7468" s="19" t="s">
        <v>36</v>
      </c>
      <c r="F7468" s="19" t="s">
        <v>36</v>
      </c>
      <c r="G7468" s="15" t="s">
        <v>36</v>
      </c>
      <c r="H7468" s="14" t="s">
        <v>36</v>
      </c>
      <c r="I7468" s="18" t="s">
        <v>36</v>
      </c>
      <c r="J7468" s="12" t="s">
        <v>36</v>
      </c>
      <c r="K7468" s="13" t="s">
        <v>36</v>
      </c>
      <c r="L7468" s="15" t="s">
        <v>36</v>
      </c>
      <c r="M7468" s="12" t="s">
        <v>36</v>
      </c>
      <c r="N7468" s="12" t="s">
        <v>36</v>
      </c>
      <c r="O7468" s="17" t="s">
        <v>36</v>
      </c>
      <c r="P7468" s="12" t="s">
        <v>36</v>
      </c>
      <c r="Q7468" s="12" t="s">
        <v>36</v>
      </c>
      <c r="R7468" s="12" t="s">
        <v>36</v>
      </c>
      <c r="S7468" s="12" t="s">
        <v>36</v>
      </c>
      <c r="T7468" s="12" t="s">
        <v>1701</v>
      </c>
      <c r="U7468" s="12" t="s">
        <v>74</v>
      </c>
      <c r="V7468" s="12" t="s">
        <v>75</v>
      </c>
      <c r="W7468" s="12" t="s">
        <v>33025</v>
      </c>
      <c r="X7468" s="16" t="s">
        <v>33026</v>
      </c>
      <c r="Y7468" s="15" t="s">
        <v>42</v>
      </c>
      <c r="Z7468" s="14" t="s">
        <v>36</v>
      </c>
      <c r="AA7468" s="14" t="s">
        <v>36</v>
      </c>
      <c r="AB7468" s="12" t="s">
        <v>56</v>
      </c>
      <c r="AC7468" s="12" t="s">
        <v>33027</v>
      </c>
      <c r="AD7468" s="13">
        <v>41905</v>
      </c>
      <c r="AE7468" s="12" t="s">
        <v>79</v>
      </c>
      <c r="AF7468" s="12" t="s">
        <v>1636</v>
      </c>
      <c r="AG7468" s="12" t="s">
        <v>160</v>
      </c>
      <c r="AH7468" s="1">
        <f>HYPERLINK("https://my.pitchbook.com?c=38493-73T","View Company Online")</f>
      </c>
    </row>
    <row r="7469">
      <c r="A7469" s="3" t="s">
        <v>33028</v>
      </c>
      <c r="B7469" s="3" t="s">
        <v>33029</v>
      </c>
      <c r="C7469" s="5" t="s">
        <v>36</v>
      </c>
      <c r="D7469" s="5">
        <v>4</v>
      </c>
      <c r="E7469" s="5">
        <v>6</v>
      </c>
      <c r="F7469" s="5">
        <v>16</v>
      </c>
      <c r="G7469" s="6" t="s">
        <v>36</v>
      </c>
      <c r="H7469" s="4" t="s">
        <v>36</v>
      </c>
      <c r="I7469" s="7" t="s">
        <v>36</v>
      </c>
      <c r="J7469" s="3" t="s">
        <v>36</v>
      </c>
      <c r="K7469" s="9" t="s">
        <v>36</v>
      </c>
      <c r="L7469" s="6" t="s">
        <v>36</v>
      </c>
      <c r="M7469" s="3" t="s">
        <v>36</v>
      </c>
      <c r="N7469" s="3" t="s">
        <v>36</v>
      </c>
      <c r="O7469" s="8" t="s">
        <v>36</v>
      </c>
      <c r="P7469" s="3" t="s">
        <v>36</v>
      </c>
      <c r="Q7469" s="3" t="s">
        <v>36</v>
      </c>
      <c r="R7469" s="3" t="s">
        <v>36</v>
      </c>
      <c r="S7469" s="3" t="s">
        <v>36</v>
      </c>
      <c r="T7469" s="3" t="s">
        <v>154</v>
      </c>
      <c r="U7469" s="3" t="s">
        <v>51</v>
      </c>
      <c r="V7469" s="3" t="s">
        <v>52</v>
      </c>
      <c r="W7469" s="3" t="s">
        <v>33030</v>
      </c>
      <c r="X7469" s="10" t="s">
        <v>1840</v>
      </c>
      <c r="Y7469" s="6" t="s">
        <v>42</v>
      </c>
      <c r="Z7469" s="4">
        <v>0.65</v>
      </c>
      <c r="AA7469" s="4" t="s">
        <v>36</v>
      </c>
      <c r="AB7469" s="3" t="s">
        <v>43</v>
      </c>
      <c r="AC7469" s="3" t="s">
        <v>33031</v>
      </c>
      <c r="AD7469" s="9">
        <v>41905</v>
      </c>
      <c r="AE7469" s="3" t="s">
        <v>158</v>
      </c>
      <c r="AF7469" s="3" t="s">
        <v>665</v>
      </c>
      <c r="AG7469" s="3" t="s">
        <v>102</v>
      </c>
      <c r="AH7469" s="11">
        <f>HYPERLINK("https://my.pitchbook.com?c=132268-69T","View Company Online")</f>
      </c>
    </row>
    <row r="7470">
      <c r="A7470" s="12" t="s">
        <v>33032</v>
      </c>
      <c r="B7470" s="12" t="s">
        <v>30288</v>
      </c>
      <c r="C7470" s="19" t="s">
        <v>36</v>
      </c>
      <c r="D7470" s="19" t="s">
        <v>36</v>
      </c>
      <c r="E7470" s="19" t="s">
        <v>36</v>
      </c>
      <c r="F7470" s="19" t="s">
        <v>36</v>
      </c>
      <c r="G7470" s="15" t="s">
        <v>36</v>
      </c>
      <c r="H7470" s="14">
        <v>18.75</v>
      </c>
      <c r="I7470" s="18">
        <v>23.11</v>
      </c>
      <c r="J7470" s="12" t="s">
        <v>327</v>
      </c>
      <c r="K7470" s="13" t="s">
        <v>36</v>
      </c>
      <c r="L7470" s="15" t="s">
        <v>36</v>
      </c>
      <c r="M7470" s="12" t="s">
        <v>36</v>
      </c>
      <c r="N7470" s="12" t="s">
        <v>36</v>
      </c>
      <c r="O7470" s="17" t="s">
        <v>36</v>
      </c>
      <c r="P7470" s="12" t="s">
        <v>36</v>
      </c>
      <c r="Q7470" s="12" t="s">
        <v>36</v>
      </c>
      <c r="R7470" s="12" t="s">
        <v>36</v>
      </c>
      <c r="S7470" s="12" t="s">
        <v>36</v>
      </c>
      <c r="T7470" s="12" t="s">
        <v>105</v>
      </c>
      <c r="U7470" s="12" t="s">
        <v>38</v>
      </c>
      <c r="V7470" s="12" t="s">
        <v>39</v>
      </c>
      <c r="W7470" s="12" t="s">
        <v>30289</v>
      </c>
      <c r="X7470" s="16" t="s">
        <v>33033</v>
      </c>
      <c r="Y7470" s="15" t="s">
        <v>42</v>
      </c>
      <c r="Z7470" s="14">
        <v>0.39</v>
      </c>
      <c r="AA7470" s="14">
        <v>1.69</v>
      </c>
      <c r="AB7470" s="12" t="s">
        <v>43</v>
      </c>
      <c r="AC7470" s="12" t="s">
        <v>30291</v>
      </c>
      <c r="AD7470" s="13">
        <v>41904</v>
      </c>
      <c r="AE7470" s="12" t="s">
        <v>110</v>
      </c>
      <c r="AF7470" s="12" t="s">
        <v>30292</v>
      </c>
      <c r="AG7470" s="12" t="s">
        <v>969</v>
      </c>
      <c r="AH7470" s="1">
        <f>HYPERLINK("https://my.pitchbook.com?c=46122-76T","View Company Online")</f>
      </c>
    </row>
    <row r="7471">
      <c r="A7471" s="3" t="s">
        <v>33034</v>
      </c>
      <c r="B7471" s="3" t="s">
        <v>25382</v>
      </c>
      <c r="C7471" s="5" t="s">
        <v>36</v>
      </c>
      <c r="D7471" s="5" t="s">
        <v>36</v>
      </c>
      <c r="E7471" s="5" t="s">
        <v>36</v>
      </c>
      <c r="F7471" s="5" t="s">
        <v>36</v>
      </c>
      <c r="G7471" s="6" t="s">
        <v>36</v>
      </c>
      <c r="H7471" s="4" t="s">
        <v>36</v>
      </c>
      <c r="I7471" s="7" t="s">
        <v>36</v>
      </c>
      <c r="J7471" s="3" t="s">
        <v>36</v>
      </c>
      <c r="K7471" s="9" t="s">
        <v>36</v>
      </c>
      <c r="L7471" s="6" t="s">
        <v>36</v>
      </c>
      <c r="M7471" s="3" t="s">
        <v>36</v>
      </c>
      <c r="N7471" s="3" t="s">
        <v>36</v>
      </c>
      <c r="O7471" s="8" t="s">
        <v>36</v>
      </c>
      <c r="P7471" s="3" t="s">
        <v>36</v>
      </c>
      <c r="Q7471" s="3" t="s">
        <v>36</v>
      </c>
      <c r="R7471" s="3" t="s">
        <v>36</v>
      </c>
      <c r="S7471" s="3" t="s">
        <v>36</v>
      </c>
      <c r="T7471" s="3" t="s">
        <v>6299</v>
      </c>
      <c r="U7471" s="3" t="s">
        <v>728</v>
      </c>
      <c r="V7471" s="3" t="s">
        <v>64</v>
      </c>
      <c r="W7471" s="3" t="s">
        <v>25383</v>
      </c>
      <c r="X7471" s="10" t="s">
        <v>2130</v>
      </c>
      <c r="Y7471" s="6" t="s">
        <v>42</v>
      </c>
      <c r="Z7471" s="4">
        <v>1.95</v>
      </c>
      <c r="AA7471" s="4" t="s">
        <v>36</v>
      </c>
      <c r="AB7471" s="3" t="s">
        <v>43</v>
      </c>
      <c r="AC7471" s="3" t="s">
        <v>25385</v>
      </c>
      <c r="AD7471" s="9">
        <v>41904</v>
      </c>
      <c r="AE7471" s="3" t="s">
        <v>1600</v>
      </c>
      <c r="AF7471" s="3" t="s">
        <v>90</v>
      </c>
      <c r="AG7471" s="3" t="s">
        <v>81</v>
      </c>
      <c r="AH7471" s="11">
        <f>HYPERLINK("https://my.pitchbook.com?c=37916-11T","View Company Online")</f>
      </c>
    </row>
    <row r="7472">
      <c r="A7472" s="12" t="s">
        <v>33035</v>
      </c>
      <c r="B7472" s="12" t="s">
        <v>33036</v>
      </c>
      <c r="C7472" s="19" t="s">
        <v>36</v>
      </c>
      <c r="D7472" s="19">
        <v>4</v>
      </c>
      <c r="E7472" s="19">
        <v>2</v>
      </c>
      <c r="F7472" s="19">
        <v>6</v>
      </c>
      <c r="G7472" s="15" t="s">
        <v>36</v>
      </c>
      <c r="H7472" s="14" t="s">
        <v>36</v>
      </c>
      <c r="I7472" s="18" t="s">
        <v>36</v>
      </c>
      <c r="J7472" s="12" t="s">
        <v>36</v>
      </c>
      <c r="K7472" s="13" t="s">
        <v>36</v>
      </c>
      <c r="L7472" s="15" t="s">
        <v>36</v>
      </c>
      <c r="M7472" s="12" t="s">
        <v>36</v>
      </c>
      <c r="N7472" s="12" t="s">
        <v>36</v>
      </c>
      <c r="O7472" s="17" t="s">
        <v>36</v>
      </c>
      <c r="P7472" s="12" t="s">
        <v>36</v>
      </c>
      <c r="Q7472" s="12" t="s">
        <v>36</v>
      </c>
      <c r="R7472" s="12" t="s">
        <v>36</v>
      </c>
      <c r="S7472" s="12" t="s">
        <v>36</v>
      </c>
      <c r="T7472" s="12" t="s">
        <v>33037</v>
      </c>
      <c r="U7472" s="12" t="s">
        <v>7149</v>
      </c>
      <c r="V7472" s="12" t="s">
        <v>378</v>
      </c>
      <c r="W7472" s="12" t="s">
        <v>33038</v>
      </c>
      <c r="X7472" s="16" t="s">
        <v>33039</v>
      </c>
      <c r="Y7472" s="15" t="s">
        <v>55</v>
      </c>
      <c r="Z7472" s="14">
        <v>3.12</v>
      </c>
      <c r="AA7472" s="14" t="s">
        <v>36</v>
      </c>
      <c r="AB7472" s="12" t="s">
        <v>43</v>
      </c>
      <c r="AC7472" s="12" t="s">
        <v>33040</v>
      </c>
      <c r="AD7472" s="13">
        <v>41904</v>
      </c>
      <c r="AE7472" s="12" t="s">
        <v>7153</v>
      </c>
      <c r="AF7472" s="12" t="s">
        <v>1969</v>
      </c>
      <c r="AG7472" s="12" t="s">
        <v>10521</v>
      </c>
      <c r="AH7472" s="1">
        <f>HYPERLINK("https://my.pitchbook.com?c=37752-76T","View Company Online")</f>
      </c>
    </row>
    <row r="7473">
      <c r="A7473" s="3" t="s">
        <v>33041</v>
      </c>
      <c r="B7473" s="3" t="s">
        <v>25535</v>
      </c>
      <c r="C7473" s="5" t="s">
        <v>36</v>
      </c>
      <c r="D7473" s="5" t="s">
        <v>36</v>
      </c>
      <c r="E7473" s="5" t="s">
        <v>36</v>
      </c>
      <c r="F7473" s="5" t="s">
        <v>36</v>
      </c>
      <c r="G7473" s="6" t="s">
        <v>36</v>
      </c>
      <c r="H7473" s="4">
        <v>62.31</v>
      </c>
      <c r="I7473" s="7">
        <v>39.67</v>
      </c>
      <c r="J7473" s="3" t="s">
        <v>521</v>
      </c>
      <c r="K7473" s="9" t="s">
        <v>36</v>
      </c>
      <c r="L7473" s="6" t="s">
        <v>122</v>
      </c>
      <c r="M7473" s="3" t="s">
        <v>36</v>
      </c>
      <c r="N7473" s="3" t="s">
        <v>122</v>
      </c>
      <c r="O7473" s="8" t="s">
        <v>36</v>
      </c>
      <c r="P7473" s="3" t="s">
        <v>36</v>
      </c>
      <c r="Q7473" s="3" t="s">
        <v>36</v>
      </c>
      <c r="R7473" s="3" t="s">
        <v>36</v>
      </c>
      <c r="S7473" s="3" t="s">
        <v>36</v>
      </c>
      <c r="T7473" s="3" t="s">
        <v>522</v>
      </c>
      <c r="U7473" s="3" t="s">
        <v>38</v>
      </c>
      <c r="V7473" s="3" t="s">
        <v>39</v>
      </c>
      <c r="W7473" s="3" t="s">
        <v>25536</v>
      </c>
      <c r="X7473" s="10" t="s">
        <v>33042</v>
      </c>
      <c r="Y7473" s="6" t="s">
        <v>42</v>
      </c>
      <c r="Z7473" s="4">
        <v>0.65</v>
      </c>
      <c r="AA7473" s="4">
        <v>1.63</v>
      </c>
      <c r="AB7473" s="3" t="s">
        <v>43</v>
      </c>
      <c r="AC7473" s="3" t="s">
        <v>25538</v>
      </c>
      <c r="AD7473" s="9">
        <v>41903</v>
      </c>
      <c r="AE7473" s="3" t="s">
        <v>110</v>
      </c>
      <c r="AF7473" s="3" t="s">
        <v>4552</v>
      </c>
      <c r="AG7473" s="3" t="s">
        <v>47</v>
      </c>
      <c r="AH7473" s="11">
        <f>HYPERLINK("https://my.pitchbook.com?c=44865-10T","View Company Online")</f>
      </c>
    </row>
    <row r="7474">
      <c r="A7474" s="12" t="s">
        <v>33043</v>
      </c>
      <c r="B7474" s="12" t="s">
        <v>11179</v>
      </c>
      <c r="C7474" s="19">
        <v>2</v>
      </c>
      <c r="D7474" s="19">
        <v>44</v>
      </c>
      <c r="E7474" s="19">
        <v>8</v>
      </c>
      <c r="F7474" s="19">
        <v>52</v>
      </c>
      <c r="G7474" s="15" t="s">
        <v>36</v>
      </c>
      <c r="H7474" s="14" t="s">
        <v>36</v>
      </c>
      <c r="I7474" s="18" t="s">
        <v>36</v>
      </c>
      <c r="J7474" s="12" t="s">
        <v>36</v>
      </c>
      <c r="K7474" s="13" t="s">
        <v>36</v>
      </c>
      <c r="L7474" s="15" t="s">
        <v>36</v>
      </c>
      <c r="M7474" s="12" t="s">
        <v>36</v>
      </c>
      <c r="N7474" s="12" t="s">
        <v>36</v>
      </c>
      <c r="O7474" s="17" t="s">
        <v>36</v>
      </c>
      <c r="P7474" s="12" t="s">
        <v>36</v>
      </c>
      <c r="Q7474" s="12" t="s">
        <v>36</v>
      </c>
      <c r="R7474" s="12" t="s">
        <v>36</v>
      </c>
      <c r="S7474" s="12" t="s">
        <v>36</v>
      </c>
      <c r="T7474" s="12" t="s">
        <v>596</v>
      </c>
      <c r="U7474" s="12" t="s">
        <v>366</v>
      </c>
      <c r="V7474" s="12" t="s">
        <v>367</v>
      </c>
      <c r="W7474" s="12" t="s">
        <v>11180</v>
      </c>
      <c r="X7474" s="16" t="s">
        <v>33044</v>
      </c>
      <c r="Y7474" s="15" t="s">
        <v>108</v>
      </c>
      <c r="Z7474" s="14">
        <v>1.7</v>
      </c>
      <c r="AA7474" s="14" t="s">
        <v>36</v>
      </c>
      <c r="AB7474" s="12" t="s">
        <v>43</v>
      </c>
      <c r="AC7474" s="12" t="s">
        <v>11182</v>
      </c>
      <c r="AD7474" s="13">
        <v>41901</v>
      </c>
      <c r="AE7474" s="12" t="s">
        <v>600</v>
      </c>
      <c r="AF7474" s="12" t="s">
        <v>982</v>
      </c>
      <c r="AG7474" s="12" t="s">
        <v>899</v>
      </c>
      <c r="AH7474" s="1">
        <f>HYPERLINK("https://my.pitchbook.com?c=109486-27T","View Company Online")</f>
      </c>
    </row>
    <row r="7475">
      <c r="A7475" s="3" t="s">
        <v>33045</v>
      </c>
      <c r="B7475" s="3" t="s">
        <v>26521</v>
      </c>
      <c r="C7475" s="5" t="s">
        <v>36</v>
      </c>
      <c r="D7475" s="5" t="s">
        <v>36</v>
      </c>
      <c r="E7475" s="5" t="s">
        <v>36</v>
      </c>
      <c r="F7475" s="5" t="s">
        <v>36</v>
      </c>
      <c r="G7475" s="6" t="s">
        <v>36</v>
      </c>
      <c r="H7475" s="4" t="s">
        <v>36</v>
      </c>
      <c r="I7475" s="7">
        <v>15.24</v>
      </c>
      <c r="J7475" s="3" t="s">
        <v>327</v>
      </c>
      <c r="K7475" s="9" t="s">
        <v>36</v>
      </c>
      <c r="L7475" s="6" t="s">
        <v>36</v>
      </c>
      <c r="M7475" s="3" t="s">
        <v>36</v>
      </c>
      <c r="N7475" s="3" t="s">
        <v>36</v>
      </c>
      <c r="O7475" s="8" t="s">
        <v>36</v>
      </c>
      <c r="P7475" s="3" t="s">
        <v>36</v>
      </c>
      <c r="Q7475" s="3" t="s">
        <v>36</v>
      </c>
      <c r="R7475" s="3" t="s">
        <v>36</v>
      </c>
      <c r="S7475" s="3" t="s">
        <v>36</v>
      </c>
      <c r="T7475" s="3" t="s">
        <v>4648</v>
      </c>
      <c r="U7475" s="3" t="s">
        <v>74</v>
      </c>
      <c r="V7475" s="3" t="s">
        <v>75</v>
      </c>
      <c r="W7475" s="3" t="s">
        <v>26522</v>
      </c>
      <c r="X7475" s="10" t="s">
        <v>33046</v>
      </c>
      <c r="Y7475" s="6" t="s">
        <v>42</v>
      </c>
      <c r="Z7475" s="4">
        <v>1.96</v>
      </c>
      <c r="AA7475" s="4">
        <v>12.84</v>
      </c>
      <c r="AB7475" s="3" t="s">
        <v>43</v>
      </c>
      <c r="AC7475" s="3" t="s">
        <v>26523</v>
      </c>
      <c r="AD7475" s="9">
        <v>41901</v>
      </c>
      <c r="AE7475" s="3" t="s">
        <v>362</v>
      </c>
      <c r="AF7475" s="3" t="s">
        <v>176</v>
      </c>
      <c r="AG7475" s="3" t="s">
        <v>765</v>
      </c>
      <c r="AH7475" s="11">
        <f>HYPERLINK("https://my.pitchbook.com?c=109517-59T","View Company Online")</f>
      </c>
    </row>
    <row r="7476">
      <c r="A7476" s="12" t="s">
        <v>33047</v>
      </c>
      <c r="B7476" s="12" t="s">
        <v>33048</v>
      </c>
      <c r="C7476" s="19">
        <v>1</v>
      </c>
      <c r="D7476" s="19" t="s">
        <v>36</v>
      </c>
      <c r="E7476" s="19">
        <v>1</v>
      </c>
      <c r="F7476" s="19">
        <v>1</v>
      </c>
      <c r="G7476" s="15" t="s">
        <v>36</v>
      </c>
      <c r="H7476" s="14" t="s">
        <v>36</v>
      </c>
      <c r="I7476" s="18" t="s">
        <v>36</v>
      </c>
      <c r="J7476" s="12" t="s">
        <v>36</v>
      </c>
      <c r="K7476" s="13">
        <v>41852</v>
      </c>
      <c r="L7476" s="15" t="s">
        <v>36</v>
      </c>
      <c r="M7476" s="12" t="s">
        <v>36</v>
      </c>
      <c r="N7476" s="12" t="s">
        <v>36</v>
      </c>
      <c r="O7476" s="17" t="s">
        <v>36</v>
      </c>
      <c r="P7476" s="12" t="s">
        <v>36</v>
      </c>
      <c r="Q7476" s="12" t="s">
        <v>36</v>
      </c>
      <c r="R7476" s="12" t="s">
        <v>36</v>
      </c>
      <c r="S7476" s="12" t="s">
        <v>36</v>
      </c>
      <c r="T7476" s="12" t="s">
        <v>522</v>
      </c>
      <c r="U7476" s="12" t="s">
        <v>38</v>
      </c>
      <c r="V7476" s="12" t="s">
        <v>39</v>
      </c>
      <c r="W7476" s="12" t="s">
        <v>33049</v>
      </c>
      <c r="X7476" s="16" t="s">
        <v>33050</v>
      </c>
      <c r="Y7476" s="15" t="s">
        <v>42</v>
      </c>
      <c r="Z7476" s="14">
        <v>1.31</v>
      </c>
      <c r="AA7476" s="14" t="s">
        <v>36</v>
      </c>
      <c r="AB7476" s="12" t="s">
        <v>43</v>
      </c>
      <c r="AC7476" s="12" t="s">
        <v>33051</v>
      </c>
      <c r="AD7476" s="13">
        <v>41900</v>
      </c>
      <c r="AE7476" s="12" t="s">
        <v>110</v>
      </c>
      <c r="AF7476" s="12" t="s">
        <v>4552</v>
      </c>
      <c r="AG7476" s="12" t="s">
        <v>144</v>
      </c>
      <c r="AH7476" s="1">
        <f>HYPERLINK("https://my.pitchbook.com?c=37945-90T","View Company Online")</f>
      </c>
    </row>
    <row r="7477">
      <c r="A7477" s="3" t="s">
        <v>33052</v>
      </c>
      <c r="B7477" s="3" t="s">
        <v>29460</v>
      </c>
      <c r="C7477" s="5" t="s">
        <v>36</v>
      </c>
      <c r="D7477" s="5">
        <v>2</v>
      </c>
      <c r="E7477" s="5">
        <v>2</v>
      </c>
      <c r="F7477" s="5">
        <v>3</v>
      </c>
      <c r="G7477" s="6" t="s">
        <v>36</v>
      </c>
      <c r="H7477" s="4">
        <v>98.66</v>
      </c>
      <c r="I7477" s="7" t="s">
        <v>36</v>
      </c>
      <c r="J7477" s="3" t="s">
        <v>36</v>
      </c>
      <c r="K7477" s="9">
        <v>41851</v>
      </c>
      <c r="L7477" s="6" t="s">
        <v>36</v>
      </c>
      <c r="M7477" s="3" t="s">
        <v>36</v>
      </c>
      <c r="N7477" s="3" t="s">
        <v>36</v>
      </c>
      <c r="O7477" s="8" t="s">
        <v>36</v>
      </c>
      <c r="P7477" s="3" t="s">
        <v>36</v>
      </c>
      <c r="Q7477" s="3" t="s">
        <v>36</v>
      </c>
      <c r="R7477" s="3" t="s">
        <v>36</v>
      </c>
      <c r="S7477" s="3" t="s">
        <v>36</v>
      </c>
      <c r="T7477" s="3" t="s">
        <v>29461</v>
      </c>
      <c r="U7477" s="3" t="s">
        <v>219</v>
      </c>
      <c r="V7477" s="3" t="s">
        <v>75</v>
      </c>
      <c r="W7477" s="3" t="s">
        <v>29462</v>
      </c>
      <c r="X7477" s="10" t="s">
        <v>33053</v>
      </c>
      <c r="Y7477" s="6" t="s">
        <v>42</v>
      </c>
      <c r="Z7477" s="4">
        <v>0.41</v>
      </c>
      <c r="AA7477" s="4" t="s">
        <v>36</v>
      </c>
      <c r="AB7477" s="3" t="s">
        <v>43</v>
      </c>
      <c r="AC7477" s="3" t="s">
        <v>29464</v>
      </c>
      <c r="AD7477" s="9">
        <v>41899</v>
      </c>
      <c r="AE7477" s="3" t="s">
        <v>1007</v>
      </c>
      <c r="AF7477" s="3" t="s">
        <v>29465</v>
      </c>
      <c r="AG7477" s="3" t="s">
        <v>29466</v>
      </c>
      <c r="AH7477" s="11">
        <f>HYPERLINK("https://my.pitchbook.com?c=113452-12T","View Company Online")</f>
      </c>
    </row>
    <row r="7478">
      <c r="A7478" s="12" t="s">
        <v>33054</v>
      </c>
      <c r="B7478" s="12" t="s">
        <v>28825</v>
      </c>
      <c r="C7478" s="19" t="s">
        <v>36</v>
      </c>
      <c r="D7478" s="19" t="s">
        <v>36</v>
      </c>
      <c r="E7478" s="19" t="s">
        <v>36</v>
      </c>
      <c r="F7478" s="19" t="s">
        <v>36</v>
      </c>
      <c r="G7478" s="15" t="s">
        <v>36</v>
      </c>
      <c r="H7478" s="14" t="s">
        <v>36</v>
      </c>
      <c r="I7478" s="18" t="s">
        <v>36</v>
      </c>
      <c r="J7478" s="12" t="s">
        <v>36</v>
      </c>
      <c r="K7478" s="13" t="s">
        <v>36</v>
      </c>
      <c r="L7478" s="15" t="s">
        <v>122</v>
      </c>
      <c r="M7478" s="12" t="s">
        <v>36</v>
      </c>
      <c r="N7478" s="12" t="s">
        <v>122</v>
      </c>
      <c r="O7478" s="17" t="s">
        <v>36</v>
      </c>
      <c r="P7478" s="12" t="s">
        <v>36</v>
      </c>
      <c r="Q7478" s="12" t="s">
        <v>36</v>
      </c>
      <c r="R7478" s="12" t="s">
        <v>36</v>
      </c>
      <c r="S7478" s="12" t="s">
        <v>36</v>
      </c>
      <c r="T7478" s="12" t="s">
        <v>1701</v>
      </c>
      <c r="U7478" s="12" t="s">
        <v>74</v>
      </c>
      <c r="V7478" s="12" t="s">
        <v>75</v>
      </c>
      <c r="W7478" s="12" t="s">
        <v>28826</v>
      </c>
      <c r="X7478" s="16" t="s">
        <v>27705</v>
      </c>
      <c r="Y7478" s="15" t="s">
        <v>108</v>
      </c>
      <c r="Z7478" s="14">
        <v>3</v>
      </c>
      <c r="AA7478" s="14" t="s">
        <v>36</v>
      </c>
      <c r="AB7478" s="12" t="s">
        <v>43</v>
      </c>
      <c r="AC7478" s="12" t="s">
        <v>28827</v>
      </c>
      <c r="AD7478" s="13">
        <v>41898</v>
      </c>
      <c r="AE7478" s="12" t="s">
        <v>79</v>
      </c>
      <c r="AF7478" s="12" t="s">
        <v>80</v>
      </c>
      <c r="AG7478" s="12" t="s">
        <v>765</v>
      </c>
      <c r="AH7478" s="1">
        <f>HYPERLINK("https://my.pitchbook.com?c=37620-28T","View Company Online")</f>
      </c>
    </row>
    <row r="7479">
      <c r="A7479" s="3" t="s">
        <v>33055</v>
      </c>
      <c r="B7479" s="3" t="s">
        <v>33056</v>
      </c>
      <c r="C7479" s="5" t="s">
        <v>36</v>
      </c>
      <c r="D7479" s="5" t="s">
        <v>36</v>
      </c>
      <c r="E7479" s="5" t="s">
        <v>36</v>
      </c>
      <c r="F7479" s="5" t="s">
        <v>36</v>
      </c>
      <c r="G7479" s="6" t="s">
        <v>36</v>
      </c>
      <c r="H7479" s="4">
        <v>4102.34</v>
      </c>
      <c r="I7479" s="7">
        <v>26.42</v>
      </c>
      <c r="J7479" s="3" t="s">
        <v>521</v>
      </c>
      <c r="K7479" s="9" t="s">
        <v>36</v>
      </c>
      <c r="L7479" s="6" t="s">
        <v>36</v>
      </c>
      <c r="M7479" s="3" t="s">
        <v>36</v>
      </c>
      <c r="N7479" s="3" t="s">
        <v>36</v>
      </c>
      <c r="O7479" s="8" t="s">
        <v>36</v>
      </c>
      <c r="P7479" s="3" t="s">
        <v>36</v>
      </c>
      <c r="Q7479" s="3" t="s">
        <v>36</v>
      </c>
      <c r="R7479" s="3" t="s">
        <v>36</v>
      </c>
      <c r="S7479" s="3" t="s">
        <v>36</v>
      </c>
      <c r="T7479" s="3" t="s">
        <v>9552</v>
      </c>
      <c r="U7479" s="3" t="s">
        <v>51</v>
      </c>
      <c r="V7479" s="3" t="s">
        <v>52</v>
      </c>
      <c r="W7479" s="3" t="s">
        <v>33057</v>
      </c>
      <c r="X7479" s="10" t="s">
        <v>11579</v>
      </c>
      <c r="Y7479" s="6" t="s">
        <v>42</v>
      </c>
      <c r="Z7479" s="4">
        <v>0.26</v>
      </c>
      <c r="AA7479" s="4">
        <v>1</v>
      </c>
      <c r="AB7479" s="3" t="s">
        <v>43</v>
      </c>
      <c r="AC7479" s="3" t="s">
        <v>33058</v>
      </c>
      <c r="AD7479" s="9">
        <v>41897</v>
      </c>
      <c r="AE7479" s="3" t="s">
        <v>158</v>
      </c>
      <c r="AF7479" s="3" t="s">
        <v>159</v>
      </c>
      <c r="AG7479" s="3" t="s">
        <v>81</v>
      </c>
      <c r="AH7479" s="11">
        <f>HYPERLINK("https://my.pitchbook.com?c=84871-81T","View Company Online")</f>
      </c>
    </row>
    <row r="7480">
      <c r="A7480" s="12" t="s">
        <v>33059</v>
      </c>
      <c r="B7480" s="12" t="s">
        <v>21076</v>
      </c>
      <c r="C7480" s="19" t="s">
        <v>36</v>
      </c>
      <c r="D7480" s="19">
        <v>6</v>
      </c>
      <c r="E7480" s="19">
        <v>4</v>
      </c>
      <c r="F7480" s="19">
        <v>7</v>
      </c>
      <c r="G7480" s="15" t="s">
        <v>683</v>
      </c>
      <c r="H7480" s="14">
        <v>28.56</v>
      </c>
      <c r="I7480" s="18">
        <v>32.23</v>
      </c>
      <c r="J7480" s="12" t="s">
        <v>521</v>
      </c>
      <c r="K7480" s="13" t="s">
        <v>36</v>
      </c>
      <c r="L7480" s="15" t="s">
        <v>36</v>
      </c>
      <c r="M7480" s="12" t="s">
        <v>36</v>
      </c>
      <c r="N7480" s="12" t="s">
        <v>36</v>
      </c>
      <c r="O7480" s="17" t="s">
        <v>36</v>
      </c>
      <c r="P7480" s="12" t="s">
        <v>36</v>
      </c>
      <c r="Q7480" s="12" t="s">
        <v>36</v>
      </c>
      <c r="R7480" s="12" t="s">
        <v>36</v>
      </c>
      <c r="S7480" s="12" t="s">
        <v>36</v>
      </c>
      <c r="T7480" s="12" t="s">
        <v>3843</v>
      </c>
      <c r="U7480" s="12" t="s">
        <v>180</v>
      </c>
      <c r="V7480" s="12" t="s">
        <v>52</v>
      </c>
      <c r="W7480" s="12" t="s">
        <v>21077</v>
      </c>
      <c r="X7480" s="16" t="s">
        <v>33060</v>
      </c>
      <c r="Y7480" s="15" t="s">
        <v>42</v>
      </c>
      <c r="Z7480" s="14">
        <v>1.2</v>
      </c>
      <c r="AA7480" s="14">
        <v>3.73</v>
      </c>
      <c r="AB7480" s="12" t="s">
        <v>43</v>
      </c>
      <c r="AC7480" s="12" t="s">
        <v>21079</v>
      </c>
      <c r="AD7480" s="13">
        <v>41897</v>
      </c>
      <c r="AE7480" s="12" t="s">
        <v>3847</v>
      </c>
      <c r="AF7480" s="12" t="s">
        <v>3514</v>
      </c>
      <c r="AG7480" s="12" t="s">
        <v>21080</v>
      </c>
      <c r="AH7480" s="1">
        <f>HYPERLINK("https://my.pitchbook.com?c=45147-25T","View Company Online")</f>
      </c>
    </row>
    <row r="7481">
      <c r="A7481" s="3" t="s">
        <v>33061</v>
      </c>
      <c r="B7481" s="3" t="s">
        <v>33062</v>
      </c>
      <c r="C7481" s="5" t="s">
        <v>36</v>
      </c>
      <c r="D7481" s="5" t="s">
        <v>36</v>
      </c>
      <c r="E7481" s="5" t="s">
        <v>36</v>
      </c>
      <c r="F7481" s="5" t="s">
        <v>36</v>
      </c>
      <c r="G7481" s="6" t="s">
        <v>36</v>
      </c>
      <c r="H7481" s="4" t="s">
        <v>36</v>
      </c>
      <c r="I7481" s="7" t="s">
        <v>36</v>
      </c>
      <c r="J7481" s="3" t="s">
        <v>36</v>
      </c>
      <c r="K7481" s="9" t="s">
        <v>36</v>
      </c>
      <c r="L7481" s="6" t="s">
        <v>36</v>
      </c>
      <c r="M7481" s="3" t="s">
        <v>36</v>
      </c>
      <c r="N7481" s="3" t="s">
        <v>36</v>
      </c>
      <c r="O7481" s="8" t="s">
        <v>36</v>
      </c>
      <c r="P7481" s="3" t="s">
        <v>36</v>
      </c>
      <c r="Q7481" s="3" t="s">
        <v>36</v>
      </c>
      <c r="R7481" s="3" t="s">
        <v>36</v>
      </c>
      <c r="S7481" s="3" t="s">
        <v>36</v>
      </c>
      <c r="T7481" s="3" t="s">
        <v>33063</v>
      </c>
      <c r="U7481" s="3" t="s">
        <v>63</v>
      </c>
      <c r="V7481" s="3" t="s">
        <v>64</v>
      </c>
      <c r="W7481" s="3" t="s">
        <v>33064</v>
      </c>
      <c r="X7481" s="10" t="s">
        <v>33065</v>
      </c>
      <c r="Y7481" s="6" t="s">
        <v>42</v>
      </c>
      <c r="Z7481" s="4">
        <v>2.36</v>
      </c>
      <c r="AA7481" s="4" t="s">
        <v>36</v>
      </c>
      <c r="AB7481" s="3" t="s">
        <v>43</v>
      </c>
      <c r="AC7481" s="3" t="s">
        <v>33066</v>
      </c>
      <c r="AD7481" s="9">
        <v>41897</v>
      </c>
      <c r="AE7481" s="3" t="s">
        <v>399</v>
      </c>
      <c r="AF7481" s="3" t="s">
        <v>643</v>
      </c>
      <c r="AG7481" s="3" t="s">
        <v>81</v>
      </c>
      <c r="AH7481" s="11">
        <f>HYPERLINK("https://my.pitchbook.com?c=37701-28T","View Company Online")</f>
      </c>
    </row>
    <row r="7482">
      <c r="A7482" s="12" t="s">
        <v>33067</v>
      </c>
      <c r="B7482" s="12" t="s">
        <v>24834</v>
      </c>
      <c r="C7482" s="19" t="s">
        <v>36</v>
      </c>
      <c r="D7482" s="19" t="s">
        <v>36</v>
      </c>
      <c r="E7482" s="19" t="s">
        <v>36</v>
      </c>
      <c r="F7482" s="19" t="s">
        <v>36</v>
      </c>
      <c r="G7482" s="15" t="s">
        <v>36</v>
      </c>
      <c r="H7482" s="14">
        <v>20.77</v>
      </c>
      <c r="I7482" s="18">
        <v>20.29</v>
      </c>
      <c r="J7482" s="12" t="s">
        <v>521</v>
      </c>
      <c r="K7482" s="13" t="s">
        <v>36</v>
      </c>
      <c r="L7482" s="15" t="s">
        <v>36</v>
      </c>
      <c r="M7482" s="12" t="s">
        <v>36</v>
      </c>
      <c r="N7482" s="12" t="s">
        <v>36</v>
      </c>
      <c r="O7482" s="17" t="s">
        <v>36</v>
      </c>
      <c r="P7482" s="12" t="s">
        <v>36</v>
      </c>
      <c r="Q7482" s="12" t="s">
        <v>36</v>
      </c>
      <c r="R7482" s="12" t="s">
        <v>36</v>
      </c>
      <c r="S7482" s="12" t="s">
        <v>36</v>
      </c>
      <c r="T7482" s="12" t="s">
        <v>4529</v>
      </c>
      <c r="U7482" s="12" t="s">
        <v>38</v>
      </c>
      <c r="V7482" s="12" t="s">
        <v>39</v>
      </c>
      <c r="W7482" s="12" t="s">
        <v>24835</v>
      </c>
      <c r="X7482" s="16" t="s">
        <v>33068</v>
      </c>
      <c r="Y7482" s="15" t="s">
        <v>42</v>
      </c>
      <c r="Z7482" s="14">
        <v>0.42</v>
      </c>
      <c r="AA7482" s="14">
        <v>2.07</v>
      </c>
      <c r="AB7482" s="12" t="s">
        <v>43</v>
      </c>
      <c r="AC7482" s="12" t="s">
        <v>24836</v>
      </c>
      <c r="AD7482" s="13">
        <v>41897</v>
      </c>
      <c r="AE7482" s="12" t="s">
        <v>1422</v>
      </c>
      <c r="AF7482" s="12" t="s">
        <v>4200</v>
      </c>
      <c r="AG7482" s="12" t="s">
        <v>186</v>
      </c>
      <c r="AH7482" s="1">
        <f>HYPERLINK("https://my.pitchbook.com?c=45680-23T","View Company Online")</f>
      </c>
    </row>
    <row r="7483">
      <c r="A7483" s="3" t="s">
        <v>33069</v>
      </c>
      <c r="B7483" s="3" t="s">
        <v>11005</v>
      </c>
      <c r="C7483" s="5" t="s">
        <v>36</v>
      </c>
      <c r="D7483" s="5" t="s">
        <v>36</v>
      </c>
      <c r="E7483" s="5" t="s">
        <v>36</v>
      </c>
      <c r="F7483" s="5" t="s">
        <v>36</v>
      </c>
      <c r="G7483" s="6" t="s">
        <v>683</v>
      </c>
      <c r="H7483" s="4">
        <v>63.25</v>
      </c>
      <c r="I7483" s="7">
        <v>21.59</v>
      </c>
      <c r="J7483" s="3" t="s">
        <v>521</v>
      </c>
      <c r="K7483" s="9">
        <v>41841</v>
      </c>
      <c r="L7483" s="6" t="s">
        <v>36</v>
      </c>
      <c r="M7483" s="3" t="s">
        <v>36</v>
      </c>
      <c r="N7483" s="3" t="s">
        <v>36</v>
      </c>
      <c r="O7483" s="8" t="s">
        <v>36</v>
      </c>
      <c r="P7483" s="3" t="s">
        <v>36</v>
      </c>
      <c r="Q7483" s="3" t="s">
        <v>36</v>
      </c>
      <c r="R7483" s="3" t="s">
        <v>36</v>
      </c>
      <c r="S7483" s="3" t="s">
        <v>36</v>
      </c>
      <c r="T7483" s="3" t="s">
        <v>11006</v>
      </c>
      <c r="U7483" s="3" t="s">
        <v>279</v>
      </c>
      <c r="V7483" s="3" t="s">
        <v>64</v>
      </c>
      <c r="W7483" s="3" t="s">
        <v>11007</v>
      </c>
      <c r="X7483" s="10" t="s">
        <v>33070</v>
      </c>
      <c r="Y7483" s="6" t="s">
        <v>55</v>
      </c>
      <c r="Z7483" s="4">
        <v>1.95</v>
      </c>
      <c r="AA7483" s="4">
        <v>4.51</v>
      </c>
      <c r="AB7483" s="3" t="s">
        <v>43</v>
      </c>
      <c r="AC7483" s="3" t="s">
        <v>11009</v>
      </c>
      <c r="AD7483" s="9">
        <v>41897</v>
      </c>
      <c r="AE7483" s="3" t="s">
        <v>283</v>
      </c>
      <c r="AF7483" s="3" t="s">
        <v>11010</v>
      </c>
      <c r="AG7483" s="3" t="s">
        <v>969</v>
      </c>
      <c r="AH7483" s="11">
        <f>HYPERLINK("https://my.pitchbook.com?c=46965-34T","View Company Online")</f>
      </c>
    </row>
    <row r="7484">
      <c r="A7484" s="12" t="s">
        <v>33071</v>
      </c>
      <c r="B7484" s="12" t="s">
        <v>33072</v>
      </c>
      <c r="C7484" s="19" t="s">
        <v>36</v>
      </c>
      <c r="D7484" s="19" t="s">
        <v>36</v>
      </c>
      <c r="E7484" s="19" t="s">
        <v>36</v>
      </c>
      <c r="F7484" s="19" t="s">
        <v>36</v>
      </c>
      <c r="G7484" s="15" t="s">
        <v>36</v>
      </c>
      <c r="H7484" s="14" t="s">
        <v>36</v>
      </c>
      <c r="I7484" s="18" t="s">
        <v>36</v>
      </c>
      <c r="J7484" s="12" t="s">
        <v>36</v>
      </c>
      <c r="K7484" s="13" t="s">
        <v>36</v>
      </c>
      <c r="L7484" s="15" t="s">
        <v>36</v>
      </c>
      <c r="M7484" s="12" t="s">
        <v>36</v>
      </c>
      <c r="N7484" s="12" t="s">
        <v>36</v>
      </c>
      <c r="O7484" s="17" t="s">
        <v>36</v>
      </c>
      <c r="P7484" s="12" t="s">
        <v>36</v>
      </c>
      <c r="Q7484" s="12" t="s">
        <v>36</v>
      </c>
      <c r="R7484" s="12" t="s">
        <v>36</v>
      </c>
      <c r="S7484" s="12" t="s">
        <v>36</v>
      </c>
      <c r="T7484" s="12" t="s">
        <v>5490</v>
      </c>
      <c r="U7484" s="12" t="s">
        <v>648</v>
      </c>
      <c r="V7484" s="12" t="s">
        <v>64</v>
      </c>
      <c r="W7484" s="12" t="s">
        <v>33073</v>
      </c>
      <c r="X7484" s="16" t="s">
        <v>20527</v>
      </c>
      <c r="Y7484" s="15" t="s">
        <v>42</v>
      </c>
      <c r="Z7484" s="14">
        <v>0.46</v>
      </c>
      <c r="AA7484" s="14" t="s">
        <v>36</v>
      </c>
      <c r="AB7484" s="12" t="s">
        <v>56</v>
      </c>
      <c r="AC7484" s="12" t="s">
        <v>33074</v>
      </c>
      <c r="AD7484" s="13">
        <v>41894</v>
      </c>
      <c r="AE7484" s="12" t="s">
        <v>3988</v>
      </c>
      <c r="AF7484" s="12" t="s">
        <v>36</v>
      </c>
      <c r="AG7484" s="12" t="s">
        <v>33075</v>
      </c>
      <c r="AH7484" s="1">
        <f>HYPERLINK("https://my.pitchbook.com?c=44181-01T","View Company Online")</f>
      </c>
    </row>
    <row r="7485">
      <c r="A7485" s="3" t="s">
        <v>33076</v>
      </c>
      <c r="B7485" s="3" t="s">
        <v>23054</v>
      </c>
      <c r="C7485" s="5" t="s">
        <v>36</v>
      </c>
      <c r="D7485" s="5" t="s">
        <v>36</v>
      </c>
      <c r="E7485" s="5" t="s">
        <v>36</v>
      </c>
      <c r="F7485" s="5" t="s">
        <v>36</v>
      </c>
      <c r="G7485" s="6" t="s">
        <v>36</v>
      </c>
      <c r="H7485" s="4">
        <v>123.33</v>
      </c>
      <c r="I7485" s="7">
        <v>5</v>
      </c>
      <c r="J7485" s="3" t="s">
        <v>521</v>
      </c>
      <c r="K7485" s="9" t="s">
        <v>36</v>
      </c>
      <c r="L7485" s="6" t="s">
        <v>36</v>
      </c>
      <c r="M7485" s="3" t="s">
        <v>36</v>
      </c>
      <c r="N7485" s="3" t="s">
        <v>36</v>
      </c>
      <c r="O7485" s="8" t="s">
        <v>36</v>
      </c>
      <c r="P7485" s="3" t="s">
        <v>36</v>
      </c>
      <c r="Q7485" s="3" t="s">
        <v>36</v>
      </c>
      <c r="R7485" s="3" t="s">
        <v>36</v>
      </c>
      <c r="S7485" s="3" t="s">
        <v>36</v>
      </c>
      <c r="T7485" s="3" t="s">
        <v>20570</v>
      </c>
      <c r="U7485" s="3" t="s">
        <v>233</v>
      </c>
      <c r="V7485" s="3" t="s">
        <v>39</v>
      </c>
      <c r="W7485" s="3" t="s">
        <v>23055</v>
      </c>
      <c r="X7485" s="10" t="s">
        <v>33077</v>
      </c>
      <c r="Y7485" s="6" t="s">
        <v>42</v>
      </c>
      <c r="Z7485" s="4">
        <v>0.2</v>
      </c>
      <c r="AA7485" s="4">
        <v>3.94</v>
      </c>
      <c r="AB7485" s="3" t="s">
        <v>43</v>
      </c>
      <c r="AC7485" s="3" t="s">
        <v>23057</v>
      </c>
      <c r="AD7485" s="9">
        <v>41894</v>
      </c>
      <c r="AE7485" s="3" t="s">
        <v>236</v>
      </c>
      <c r="AF7485" s="3" t="s">
        <v>176</v>
      </c>
      <c r="AG7485" s="3" t="s">
        <v>23058</v>
      </c>
      <c r="AH7485" s="11">
        <f>HYPERLINK("https://my.pitchbook.com?c=132019-75T","View Company Online")</f>
      </c>
    </row>
    <row r="7486">
      <c r="A7486" s="12" t="s">
        <v>33078</v>
      </c>
      <c r="B7486" s="12" t="s">
        <v>31428</v>
      </c>
      <c r="C7486" s="19">
        <v>1</v>
      </c>
      <c r="D7486" s="19">
        <v>2</v>
      </c>
      <c r="E7486" s="19">
        <v>1</v>
      </c>
      <c r="F7486" s="19">
        <v>3</v>
      </c>
      <c r="G7486" s="15" t="s">
        <v>36</v>
      </c>
      <c r="H7486" s="14" t="s">
        <v>36</v>
      </c>
      <c r="I7486" s="18" t="s">
        <v>36</v>
      </c>
      <c r="J7486" s="12" t="s">
        <v>36</v>
      </c>
      <c r="K7486" s="13" t="s">
        <v>36</v>
      </c>
      <c r="L7486" s="15" t="s">
        <v>36</v>
      </c>
      <c r="M7486" s="12" t="s">
        <v>36</v>
      </c>
      <c r="N7486" s="12" t="s">
        <v>36</v>
      </c>
      <c r="O7486" s="17" t="s">
        <v>36</v>
      </c>
      <c r="P7486" s="12" t="s">
        <v>36</v>
      </c>
      <c r="Q7486" s="12" t="s">
        <v>36</v>
      </c>
      <c r="R7486" s="12" t="s">
        <v>36</v>
      </c>
      <c r="S7486" s="12" t="s">
        <v>36</v>
      </c>
      <c r="T7486" s="12" t="s">
        <v>522</v>
      </c>
      <c r="U7486" s="12" t="s">
        <v>38</v>
      </c>
      <c r="V7486" s="12" t="s">
        <v>39</v>
      </c>
      <c r="W7486" s="12" t="s">
        <v>31429</v>
      </c>
      <c r="X7486" s="16" t="s">
        <v>31430</v>
      </c>
      <c r="Y7486" s="15" t="s">
        <v>55</v>
      </c>
      <c r="Z7486" s="14">
        <v>1.84</v>
      </c>
      <c r="AA7486" s="14" t="s">
        <v>36</v>
      </c>
      <c r="AB7486" s="12" t="s">
        <v>43</v>
      </c>
      <c r="AC7486" s="12" t="s">
        <v>31431</v>
      </c>
      <c r="AD7486" s="13">
        <v>41894</v>
      </c>
      <c r="AE7486" s="12" t="s">
        <v>110</v>
      </c>
      <c r="AF7486" s="12" t="s">
        <v>6214</v>
      </c>
      <c r="AG7486" s="12" t="s">
        <v>81</v>
      </c>
      <c r="AH7486" s="1">
        <f>HYPERLINK("https://my.pitchbook.com?c=61501-51T","View Company Online")</f>
      </c>
    </row>
    <row r="7487">
      <c r="A7487" s="3" t="s">
        <v>33079</v>
      </c>
      <c r="B7487" s="3" t="s">
        <v>28596</v>
      </c>
      <c r="C7487" s="5" t="s">
        <v>36</v>
      </c>
      <c r="D7487" s="5" t="s">
        <v>36</v>
      </c>
      <c r="E7487" s="5" t="s">
        <v>36</v>
      </c>
      <c r="F7487" s="5" t="s">
        <v>36</v>
      </c>
      <c r="G7487" s="6" t="s">
        <v>326</v>
      </c>
      <c r="H7487" s="4" t="s">
        <v>36</v>
      </c>
      <c r="I7487" s="7">
        <v>6.27</v>
      </c>
      <c r="J7487" s="3" t="s">
        <v>327</v>
      </c>
      <c r="K7487" s="9" t="s">
        <v>36</v>
      </c>
      <c r="L7487" s="6" t="s">
        <v>36</v>
      </c>
      <c r="M7487" s="3" t="s">
        <v>36</v>
      </c>
      <c r="N7487" s="3" t="s">
        <v>36</v>
      </c>
      <c r="O7487" s="8" t="s">
        <v>36</v>
      </c>
      <c r="P7487" s="3" t="s">
        <v>36</v>
      </c>
      <c r="Q7487" s="3" t="s">
        <v>36</v>
      </c>
      <c r="R7487" s="3" t="s">
        <v>36</v>
      </c>
      <c r="S7487" s="3" t="s">
        <v>36</v>
      </c>
      <c r="T7487" s="3" t="s">
        <v>3604</v>
      </c>
      <c r="U7487" s="3" t="s">
        <v>404</v>
      </c>
      <c r="V7487" s="3" t="s">
        <v>405</v>
      </c>
      <c r="W7487" s="3" t="s">
        <v>28597</v>
      </c>
      <c r="X7487" s="10" t="s">
        <v>26808</v>
      </c>
      <c r="Y7487" s="6" t="s">
        <v>55</v>
      </c>
      <c r="Z7487" s="4">
        <v>7.24</v>
      </c>
      <c r="AA7487" s="4">
        <v>115.52</v>
      </c>
      <c r="AB7487" s="3" t="s">
        <v>56</v>
      </c>
      <c r="AC7487" s="3" t="s">
        <v>28599</v>
      </c>
      <c r="AD7487" s="9">
        <v>41893</v>
      </c>
      <c r="AE7487" s="3" t="s">
        <v>3608</v>
      </c>
      <c r="AF7487" s="3" t="s">
        <v>159</v>
      </c>
      <c r="AG7487" s="3" t="s">
        <v>81</v>
      </c>
      <c r="AH7487" s="11">
        <f>HYPERLINK("https://my.pitchbook.com?c=235247-86T","View Company Online")</f>
      </c>
    </row>
    <row r="7488">
      <c r="A7488" s="12" t="s">
        <v>33080</v>
      </c>
      <c r="B7488" s="12" t="s">
        <v>32274</v>
      </c>
      <c r="C7488" s="19" t="s">
        <v>36</v>
      </c>
      <c r="D7488" s="19" t="s">
        <v>36</v>
      </c>
      <c r="E7488" s="19" t="s">
        <v>36</v>
      </c>
      <c r="F7488" s="19" t="s">
        <v>36</v>
      </c>
      <c r="G7488" s="15" t="s">
        <v>326</v>
      </c>
      <c r="H7488" s="14">
        <v>90.36</v>
      </c>
      <c r="I7488" s="18">
        <v>28.89</v>
      </c>
      <c r="J7488" s="12" t="s">
        <v>521</v>
      </c>
      <c r="K7488" s="13" t="s">
        <v>36</v>
      </c>
      <c r="L7488" s="15" t="s">
        <v>36</v>
      </c>
      <c r="M7488" s="12" t="s">
        <v>36</v>
      </c>
      <c r="N7488" s="12" t="s">
        <v>36</v>
      </c>
      <c r="O7488" s="17" t="s">
        <v>36</v>
      </c>
      <c r="P7488" s="12" t="s">
        <v>36</v>
      </c>
      <c r="Q7488" s="12" t="s">
        <v>36</v>
      </c>
      <c r="R7488" s="12" t="s">
        <v>36</v>
      </c>
      <c r="S7488" s="12" t="s">
        <v>36</v>
      </c>
      <c r="T7488" s="12" t="s">
        <v>32275</v>
      </c>
      <c r="U7488" s="12" t="s">
        <v>51</v>
      </c>
      <c r="V7488" s="12" t="s">
        <v>52</v>
      </c>
      <c r="W7488" s="12" t="s">
        <v>32276</v>
      </c>
      <c r="X7488" s="16" t="s">
        <v>33081</v>
      </c>
      <c r="Y7488" s="15" t="s">
        <v>192</v>
      </c>
      <c r="Z7488" s="14">
        <v>6.59</v>
      </c>
      <c r="AA7488" s="14">
        <v>17.87</v>
      </c>
      <c r="AB7488" s="12" t="s">
        <v>56</v>
      </c>
      <c r="AC7488" s="12" t="s">
        <v>32278</v>
      </c>
      <c r="AD7488" s="13">
        <v>41892</v>
      </c>
      <c r="AE7488" s="12" t="s">
        <v>1060</v>
      </c>
      <c r="AF7488" s="12" t="s">
        <v>665</v>
      </c>
      <c r="AG7488" s="12" t="s">
        <v>12575</v>
      </c>
      <c r="AH7488" s="1">
        <f>HYPERLINK("https://my.pitchbook.com?c=37465-57T","View Company Online")</f>
      </c>
    </row>
    <row r="7489">
      <c r="A7489" s="3" t="s">
        <v>33082</v>
      </c>
      <c r="B7489" s="3" t="s">
        <v>30191</v>
      </c>
      <c r="C7489" s="5" t="s">
        <v>36</v>
      </c>
      <c r="D7489" s="5" t="s">
        <v>36</v>
      </c>
      <c r="E7489" s="5" t="s">
        <v>36</v>
      </c>
      <c r="F7489" s="5" t="s">
        <v>36</v>
      </c>
      <c r="G7489" s="6" t="s">
        <v>36</v>
      </c>
      <c r="H7489" s="4" t="s">
        <v>36</v>
      </c>
      <c r="I7489" s="7" t="s">
        <v>36</v>
      </c>
      <c r="J7489" s="3" t="s">
        <v>36</v>
      </c>
      <c r="K7489" s="9" t="s">
        <v>36</v>
      </c>
      <c r="L7489" s="6" t="s">
        <v>36</v>
      </c>
      <c r="M7489" s="3" t="s">
        <v>36</v>
      </c>
      <c r="N7489" s="3" t="s">
        <v>36</v>
      </c>
      <c r="O7489" s="8" t="s">
        <v>36</v>
      </c>
      <c r="P7489" s="3" t="s">
        <v>36</v>
      </c>
      <c r="Q7489" s="3" t="s">
        <v>36</v>
      </c>
      <c r="R7489" s="3" t="s">
        <v>36</v>
      </c>
      <c r="S7489" s="3" t="s">
        <v>36</v>
      </c>
      <c r="T7489" s="3" t="s">
        <v>422</v>
      </c>
      <c r="U7489" s="3" t="s">
        <v>423</v>
      </c>
      <c r="V7489" s="3" t="s">
        <v>64</v>
      </c>
      <c r="W7489" s="3" t="s">
        <v>30192</v>
      </c>
      <c r="X7489" s="10" t="s">
        <v>33083</v>
      </c>
      <c r="Y7489" s="6" t="s">
        <v>108</v>
      </c>
      <c r="Z7489" s="4" t="s">
        <v>36</v>
      </c>
      <c r="AA7489" s="4" t="s">
        <v>36</v>
      </c>
      <c r="AB7489" s="3" t="s">
        <v>56</v>
      </c>
      <c r="AC7489" s="3" t="s">
        <v>30194</v>
      </c>
      <c r="AD7489" s="9">
        <v>41891</v>
      </c>
      <c r="AE7489" s="3" t="s">
        <v>427</v>
      </c>
      <c r="AF7489" s="3" t="s">
        <v>938</v>
      </c>
      <c r="AG7489" s="3" t="s">
        <v>30195</v>
      </c>
      <c r="AH7489" s="11">
        <f>HYPERLINK("https://my.pitchbook.com?c=37425-25T","View Company Online")</f>
      </c>
    </row>
    <row r="7490">
      <c r="A7490" s="12" t="s">
        <v>33084</v>
      </c>
      <c r="B7490" s="12" t="s">
        <v>33085</v>
      </c>
      <c r="C7490" s="19">
        <v>22</v>
      </c>
      <c r="D7490" s="19">
        <v>211</v>
      </c>
      <c r="E7490" s="19">
        <v>35</v>
      </c>
      <c r="F7490" s="19">
        <v>298</v>
      </c>
      <c r="G7490" s="15" t="s">
        <v>36</v>
      </c>
      <c r="H7490" s="14" t="s">
        <v>36</v>
      </c>
      <c r="I7490" s="18" t="s">
        <v>36</v>
      </c>
      <c r="J7490" s="12" t="s">
        <v>36</v>
      </c>
      <c r="K7490" s="13">
        <v>41264</v>
      </c>
      <c r="L7490" s="15" t="s">
        <v>94</v>
      </c>
      <c r="M7490" s="12" t="s">
        <v>36</v>
      </c>
      <c r="N7490" s="12" t="s">
        <v>94</v>
      </c>
      <c r="O7490" s="17" t="s">
        <v>36</v>
      </c>
      <c r="P7490" s="12" t="s">
        <v>36</v>
      </c>
      <c r="Q7490" s="12" t="s">
        <v>36</v>
      </c>
      <c r="R7490" s="12" t="s">
        <v>36</v>
      </c>
      <c r="S7490" s="12" t="s">
        <v>36</v>
      </c>
      <c r="T7490" s="12" t="s">
        <v>17144</v>
      </c>
      <c r="U7490" s="12" t="s">
        <v>51</v>
      </c>
      <c r="V7490" s="12" t="s">
        <v>52</v>
      </c>
      <c r="W7490" s="12" t="s">
        <v>33086</v>
      </c>
      <c r="X7490" s="16" t="s">
        <v>33087</v>
      </c>
      <c r="Y7490" s="15" t="s">
        <v>55</v>
      </c>
      <c r="Z7490" s="14">
        <v>23.74</v>
      </c>
      <c r="AA7490" s="14" t="s">
        <v>36</v>
      </c>
      <c r="AB7490" s="12" t="s">
        <v>43</v>
      </c>
      <c r="AC7490" s="12" t="s">
        <v>33088</v>
      </c>
      <c r="AD7490" s="13">
        <v>41891</v>
      </c>
      <c r="AE7490" s="12" t="s">
        <v>1060</v>
      </c>
      <c r="AF7490" s="12" t="s">
        <v>159</v>
      </c>
      <c r="AG7490" s="12" t="s">
        <v>47</v>
      </c>
      <c r="AH7490" s="1">
        <f>HYPERLINK("https://my.pitchbook.com?c=29296-36T","View Company Online")</f>
      </c>
    </row>
    <row r="7491">
      <c r="A7491" s="3" t="s">
        <v>33089</v>
      </c>
      <c r="B7491" s="3" t="s">
        <v>33090</v>
      </c>
      <c r="C7491" s="5" t="s">
        <v>36</v>
      </c>
      <c r="D7491" s="5" t="s">
        <v>36</v>
      </c>
      <c r="E7491" s="5" t="s">
        <v>36</v>
      </c>
      <c r="F7491" s="5" t="s">
        <v>36</v>
      </c>
      <c r="G7491" s="6" t="s">
        <v>36</v>
      </c>
      <c r="H7491" s="4" t="s">
        <v>36</v>
      </c>
      <c r="I7491" s="7" t="s">
        <v>36</v>
      </c>
      <c r="J7491" s="3" t="s">
        <v>36</v>
      </c>
      <c r="K7491" s="9" t="s">
        <v>36</v>
      </c>
      <c r="L7491" s="6" t="s">
        <v>36</v>
      </c>
      <c r="M7491" s="3" t="s">
        <v>36</v>
      </c>
      <c r="N7491" s="3" t="s">
        <v>36</v>
      </c>
      <c r="O7491" s="8" t="s">
        <v>36</v>
      </c>
      <c r="P7491" s="3" t="s">
        <v>36</v>
      </c>
      <c r="Q7491" s="3" t="s">
        <v>36</v>
      </c>
      <c r="R7491" s="3" t="s">
        <v>36</v>
      </c>
      <c r="S7491" s="3" t="s">
        <v>36</v>
      </c>
      <c r="T7491" s="3" t="s">
        <v>33091</v>
      </c>
      <c r="U7491" s="3" t="s">
        <v>233</v>
      </c>
      <c r="V7491" s="3" t="s">
        <v>39</v>
      </c>
      <c r="W7491" s="3" t="s">
        <v>33092</v>
      </c>
      <c r="X7491" s="10" t="s">
        <v>33093</v>
      </c>
      <c r="Y7491" s="6" t="s">
        <v>42</v>
      </c>
      <c r="Z7491" s="4">
        <v>0.99</v>
      </c>
      <c r="AA7491" s="4" t="s">
        <v>36</v>
      </c>
      <c r="AB7491" s="3" t="s">
        <v>43</v>
      </c>
      <c r="AC7491" s="3" t="s">
        <v>33094</v>
      </c>
      <c r="AD7491" s="9">
        <v>41891</v>
      </c>
      <c r="AE7491" s="3" t="s">
        <v>236</v>
      </c>
      <c r="AF7491" s="3" t="s">
        <v>1636</v>
      </c>
      <c r="AG7491" s="3" t="s">
        <v>81</v>
      </c>
      <c r="AH7491" s="11">
        <f>HYPERLINK("https://my.pitchbook.com?c=54180-91T","View Company Online")</f>
      </c>
    </row>
    <row r="7492">
      <c r="A7492" s="12" t="s">
        <v>33095</v>
      </c>
      <c r="B7492" s="12" t="s">
        <v>25570</v>
      </c>
      <c r="C7492" s="19">
        <v>8</v>
      </c>
      <c r="D7492" s="19">
        <v>53</v>
      </c>
      <c r="E7492" s="19">
        <v>16</v>
      </c>
      <c r="F7492" s="19">
        <v>73</v>
      </c>
      <c r="G7492" s="15" t="s">
        <v>36</v>
      </c>
      <c r="H7492" s="14" t="s">
        <v>36</v>
      </c>
      <c r="I7492" s="18" t="s">
        <v>36</v>
      </c>
      <c r="J7492" s="12" t="s">
        <v>36</v>
      </c>
      <c r="K7492" s="13" t="s">
        <v>36</v>
      </c>
      <c r="L7492" s="15" t="s">
        <v>36</v>
      </c>
      <c r="M7492" s="12" t="s">
        <v>36</v>
      </c>
      <c r="N7492" s="12" t="s">
        <v>36</v>
      </c>
      <c r="O7492" s="17" t="s">
        <v>36</v>
      </c>
      <c r="P7492" s="12" t="s">
        <v>36</v>
      </c>
      <c r="Q7492" s="12" t="s">
        <v>36</v>
      </c>
      <c r="R7492" s="12" t="s">
        <v>36</v>
      </c>
      <c r="S7492" s="12" t="s">
        <v>36</v>
      </c>
      <c r="T7492" s="12" t="s">
        <v>25571</v>
      </c>
      <c r="U7492" s="12" t="s">
        <v>219</v>
      </c>
      <c r="V7492" s="12" t="s">
        <v>75</v>
      </c>
      <c r="W7492" s="12" t="s">
        <v>25572</v>
      </c>
      <c r="X7492" s="16" t="s">
        <v>33096</v>
      </c>
      <c r="Y7492" s="15" t="s">
        <v>42</v>
      </c>
      <c r="Z7492" s="14">
        <v>1.85</v>
      </c>
      <c r="AA7492" s="14" t="s">
        <v>36</v>
      </c>
      <c r="AB7492" s="12" t="s">
        <v>43</v>
      </c>
      <c r="AC7492" s="12" t="s">
        <v>25574</v>
      </c>
      <c r="AD7492" s="13">
        <v>41888</v>
      </c>
      <c r="AE7492" s="12" t="s">
        <v>2914</v>
      </c>
      <c r="AF7492" s="12" t="s">
        <v>23405</v>
      </c>
      <c r="AG7492" s="12" t="s">
        <v>2246</v>
      </c>
      <c r="AH7492" s="1">
        <f>HYPERLINK("https://my.pitchbook.com?c=39032-11T","View Company Online")</f>
      </c>
    </row>
    <row r="7493">
      <c r="A7493" s="3" t="s">
        <v>33097</v>
      </c>
      <c r="B7493" s="3" t="s">
        <v>33098</v>
      </c>
      <c r="C7493" s="5" t="s">
        <v>36</v>
      </c>
      <c r="D7493" s="5" t="s">
        <v>36</v>
      </c>
      <c r="E7493" s="5">
        <v>1</v>
      </c>
      <c r="F7493" s="5">
        <v>3</v>
      </c>
      <c r="G7493" s="6" t="s">
        <v>36</v>
      </c>
      <c r="H7493" s="4" t="s">
        <v>36</v>
      </c>
      <c r="I7493" s="7" t="s">
        <v>36</v>
      </c>
      <c r="J7493" s="3" t="s">
        <v>36</v>
      </c>
      <c r="K7493" s="9" t="s">
        <v>36</v>
      </c>
      <c r="L7493" s="6" t="s">
        <v>36</v>
      </c>
      <c r="M7493" s="3" t="s">
        <v>36</v>
      </c>
      <c r="N7493" s="3" t="s">
        <v>36</v>
      </c>
      <c r="O7493" s="8" t="s">
        <v>36</v>
      </c>
      <c r="P7493" s="3" t="s">
        <v>36</v>
      </c>
      <c r="Q7493" s="3" t="s">
        <v>36</v>
      </c>
      <c r="R7493" s="3" t="s">
        <v>36</v>
      </c>
      <c r="S7493" s="3" t="s">
        <v>36</v>
      </c>
      <c r="T7493" s="3" t="s">
        <v>33099</v>
      </c>
      <c r="U7493" s="3" t="s">
        <v>38</v>
      </c>
      <c r="V7493" s="3" t="s">
        <v>39</v>
      </c>
      <c r="W7493" s="3" t="s">
        <v>33100</v>
      </c>
      <c r="X7493" s="10" t="s">
        <v>33101</v>
      </c>
      <c r="Y7493" s="6" t="s">
        <v>42</v>
      </c>
      <c r="Z7493" s="4">
        <v>1.59</v>
      </c>
      <c r="AA7493" s="4" t="s">
        <v>36</v>
      </c>
      <c r="AB7493" s="3" t="s">
        <v>43</v>
      </c>
      <c r="AC7493" s="3" t="s">
        <v>33102</v>
      </c>
      <c r="AD7493" s="9">
        <v>41887</v>
      </c>
      <c r="AE7493" s="3" t="s">
        <v>32151</v>
      </c>
      <c r="AF7493" s="3" t="s">
        <v>6214</v>
      </c>
      <c r="AG7493" s="3" t="s">
        <v>16303</v>
      </c>
      <c r="AH7493" s="11">
        <f>HYPERLINK("https://my.pitchbook.com?c=45118-54T","View Company Online")</f>
      </c>
    </row>
    <row r="7494">
      <c r="A7494" s="12" t="s">
        <v>33103</v>
      </c>
      <c r="B7494" s="12" t="s">
        <v>14892</v>
      </c>
      <c r="C7494" s="19" t="s">
        <v>36</v>
      </c>
      <c r="D7494" s="19" t="s">
        <v>36</v>
      </c>
      <c r="E7494" s="19" t="s">
        <v>36</v>
      </c>
      <c r="F7494" s="19" t="s">
        <v>36</v>
      </c>
      <c r="G7494" s="15" t="s">
        <v>36</v>
      </c>
      <c r="H7494" s="14" t="s">
        <v>36</v>
      </c>
      <c r="I7494" s="18">
        <v>40.8</v>
      </c>
      <c r="J7494" s="12" t="s">
        <v>327</v>
      </c>
      <c r="K7494" s="13" t="s">
        <v>36</v>
      </c>
      <c r="L7494" s="15" t="s">
        <v>36</v>
      </c>
      <c r="M7494" s="12" t="s">
        <v>36</v>
      </c>
      <c r="N7494" s="12" t="s">
        <v>36</v>
      </c>
      <c r="O7494" s="17" t="s">
        <v>36</v>
      </c>
      <c r="P7494" s="12" t="s">
        <v>36</v>
      </c>
      <c r="Q7494" s="12" t="s">
        <v>36</v>
      </c>
      <c r="R7494" s="12" t="s">
        <v>36</v>
      </c>
      <c r="S7494" s="12" t="s">
        <v>36</v>
      </c>
      <c r="T7494" s="12" t="s">
        <v>2490</v>
      </c>
      <c r="U7494" s="12" t="s">
        <v>318</v>
      </c>
      <c r="V7494" s="12" t="s">
        <v>39</v>
      </c>
      <c r="W7494" s="12" t="s">
        <v>14893</v>
      </c>
      <c r="X7494" s="16" t="s">
        <v>33104</v>
      </c>
      <c r="Y7494" s="15" t="s">
        <v>108</v>
      </c>
      <c r="Z7494" s="14">
        <v>3.97</v>
      </c>
      <c r="AA7494" s="14">
        <v>9.74</v>
      </c>
      <c r="AB7494" s="12" t="s">
        <v>43</v>
      </c>
      <c r="AC7494" s="12" t="s">
        <v>14895</v>
      </c>
      <c r="AD7494" s="13">
        <v>41887</v>
      </c>
      <c r="AE7494" s="12" t="s">
        <v>417</v>
      </c>
      <c r="AF7494" s="12" t="s">
        <v>7294</v>
      </c>
      <c r="AG7494" s="12" t="s">
        <v>969</v>
      </c>
      <c r="AH7494" s="1">
        <f>HYPERLINK("https://my.pitchbook.com?c=37322-65T","View Company Online")</f>
      </c>
    </row>
    <row r="7495">
      <c r="A7495" s="3" t="s">
        <v>33105</v>
      </c>
      <c r="B7495" s="3" t="s">
        <v>33106</v>
      </c>
      <c r="C7495" s="5" t="s">
        <v>36</v>
      </c>
      <c r="D7495" s="5" t="s">
        <v>36</v>
      </c>
      <c r="E7495" s="5" t="s">
        <v>36</v>
      </c>
      <c r="F7495" s="5" t="s">
        <v>36</v>
      </c>
      <c r="G7495" s="6" t="s">
        <v>36</v>
      </c>
      <c r="H7495" s="4" t="s">
        <v>36</v>
      </c>
      <c r="I7495" s="7" t="s">
        <v>36</v>
      </c>
      <c r="J7495" s="3" t="s">
        <v>36</v>
      </c>
      <c r="K7495" s="9">
        <v>41829</v>
      </c>
      <c r="L7495" s="6" t="s">
        <v>122</v>
      </c>
      <c r="M7495" s="3" t="s">
        <v>36</v>
      </c>
      <c r="N7495" s="3" t="s">
        <v>122</v>
      </c>
      <c r="O7495" s="8" t="s">
        <v>36</v>
      </c>
      <c r="P7495" s="3" t="s">
        <v>36</v>
      </c>
      <c r="Q7495" s="3" t="s">
        <v>36</v>
      </c>
      <c r="R7495" s="3" t="s">
        <v>36</v>
      </c>
      <c r="S7495" s="3" t="s">
        <v>36</v>
      </c>
      <c r="T7495" s="3" t="s">
        <v>5911</v>
      </c>
      <c r="U7495" s="3" t="s">
        <v>74</v>
      </c>
      <c r="V7495" s="3" t="s">
        <v>75</v>
      </c>
      <c r="W7495" s="3" t="s">
        <v>33107</v>
      </c>
      <c r="X7495" s="10" t="s">
        <v>33108</v>
      </c>
      <c r="Y7495" s="6" t="s">
        <v>108</v>
      </c>
      <c r="Z7495" s="4">
        <v>1.46</v>
      </c>
      <c r="AA7495" s="4" t="s">
        <v>36</v>
      </c>
      <c r="AB7495" s="3" t="s">
        <v>43</v>
      </c>
      <c r="AC7495" s="3" t="s">
        <v>33109</v>
      </c>
      <c r="AD7495" s="9">
        <v>41887</v>
      </c>
      <c r="AE7495" s="3" t="s">
        <v>79</v>
      </c>
      <c r="AF7495" s="3" t="s">
        <v>2210</v>
      </c>
      <c r="AG7495" s="3" t="s">
        <v>765</v>
      </c>
      <c r="AH7495" s="11">
        <f>HYPERLINK("https://my.pitchbook.com?c=37211-23T","View Company Online")</f>
      </c>
    </row>
    <row r="7496">
      <c r="A7496" s="12" t="s">
        <v>33110</v>
      </c>
      <c r="B7496" s="12" t="s">
        <v>33111</v>
      </c>
      <c r="C7496" s="19" t="s">
        <v>36</v>
      </c>
      <c r="D7496" s="19" t="s">
        <v>36</v>
      </c>
      <c r="E7496" s="19" t="s">
        <v>36</v>
      </c>
      <c r="F7496" s="19" t="s">
        <v>36</v>
      </c>
      <c r="G7496" s="15" t="s">
        <v>36</v>
      </c>
      <c r="H7496" s="14" t="s">
        <v>36</v>
      </c>
      <c r="I7496" s="18" t="s">
        <v>36</v>
      </c>
      <c r="J7496" s="12" t="s">
        <v>521</v>
      </c>
      <c r="K7496" s="13">
        <v>41435</v>
      </c>
      <c r="L7496" s="15" t="s">
        <v>36</v>
      </c>
      <c r="M7496" s="12" t="s">
        <v>36</v>
      </c>
      <c r="N7496" s="12" t="s">
        <v>36</v>
      </c>
      <c r="O7496" s="17" t="s">
        <v>36</v>
      </c>
      <c r="P7496" s="12" t="s">
        <v>36</v>
      </c>
      <c r="Q7496" s="12" t="s">
        <v>36</v>
      </c>
      <c r="R7496" s="12" t="s">
        <v>36</v>
      </c>
      <c r="S7496" s="12" t="s">
        <v>36</v>
      </c>
      <c r="T7496" s="12" t="s">
        <v>36</v>
      </c>
      <c r="U7496" s="12" t="s">
        <v>36</v>
      </c>
      <c r="V7496" s="12" t="s">
        <v>36</v>
      </c>
      <c r="W7496" s="12" t="s">
        <v>33112</v>
      </c>
      <c r="X7496" s="16" t="s">
        <v>33113</v>
      </c>
      <c r="Y7496" s="15" t="s">
        <v>192</v>
      </c>
      <c r="Z7496" s="14">
        <v>2.79</v>
      </c>
      <c r="AA7496" s="14">
        <v>8.76</v>
      </c>
      <c r="AB7496" s="12" t="s">
        <v>43</v>
      </c>
      <c r="AC7496" s="12" t="s">
        <v>33114</v>
      </c>
      <c r="AD7496" s="13">
        <v>41885</v>
      </c>
      <c r="AE7496" s="12" t="s">
        <v>36</v>
      </c>
      <c r="AF7496" s="12" t="s">
        <v>13140</v>
      </c>
      <c r="AG7496" s="12" t="s">
        <v>31008</v>
      </c>
      <c r="AH7496" s="1">
        <f>HYPERLINK("https://my.pitchbook.com?c=52921-45T","View Company Online")</f>
      </c>
    </row>
    <row r="7497">
      <c r="A7497" s="3" t="s">
        <v>33115</v>
      </c>
      <c r="B7497" s="3" t="s">
        <v>33116</v>
      </c>
      <c r="C7497" s="5" t="s">
        <v>36</v>
      </c>
      <c r="D7497" s="5">
        <v>2</v>
      </c>
      <c r="E7497" s="5">
        <v>1</v>
      </c>
      <c r="F7497" s="5">
        <v>6</v>
      </c>
      <c r="G7497" s="6" t="s">
        <v>36</v>
      </c>
      <c r="H7497" s="4" t="s">
        <v>36</v>
      </c>
      <c r="I7497" s="7" t="s">
        <v>36</v>
      </c>
      <c r="J7497" s="3" t="s">
        <v>36</v>
      </c>
      <c r="K7497" s="9" t="s">
        <v>36</v>
      </c>
      <c r="L7497" s="6" t="s">
        <v>122</v>
      </c>
      <c r="M7497" s="3" t="s">
        <v>36</v>
      </c>
      <c r="N7497" s="3" t="s">
        <v>122</v>
      </c>
      <c r="O7497" s="8" t="s">
        <v>36</v>
      </c>
      <c r="P7497" s="3" t="s">
        <v>36</v>
      </c>
      <c r="Q7497" s="3" t="s">
        <v>36</v>
      </c>
      <c r="R7497" s="3" t="s">
        <v>36</v>
      </c>
      <c r="S7497" s="3" t="s">
        <v>36</v>
      </c>
      <c r="T7497" s="3" t="s">
        <v>33117</v>
      </c>
      <c r="U7497" s="3" t="s">
        <v>38</v>
      </c>
      <c r="V7497" s="3" t="s">
        <v>39</v>
      </c>
      <c r="W7497" s="3" t="s">
        <v>33118</v>
      </c>
      <c r="X7497" s="10" t="s">
        <v>33119</v>
      </c>
      <c r="Y7497" s="6" t="s">
        <v>42</v>
      </c>
      <c r="Z7497" s="4">
        <v>4.5</v>
      </c>
      <c r="AA7497" s="4" t="s">
        <v>36</v>
      </c>
      <c r="AB7497" s="3" t="s">
        <v>43</v>
      </c>
      <c r="AC7497" s="3" t="s">
        <v>33120</v>
      </c>
      <c r="AD7497" s="9">
        <v>41884</v>
      </c>
      <c r="AE7497" s="3" t="s">
        <v>7316</v>
      </c>
      <c r="AF7497" s="3" t="s">
        <v>1077</v>
      </c>
      <c r="AG7497" s="3" t="s">
        <v>81</v>
      </c>
      <c r="AH7497" s="11">
        <f>HYPERLINK("https://my.pitchbook.com?c=38022-49T","View Company Online")</f>
      </c>
    </row>
    <row r="7498">
      <c r="A7498" s="12" t="s">
        <v>33121</v>
      </c>
      <c r="B7498" s="12" t="s">
        <v>33122</v>
      </c>
      <c r="C7498" s="19" t="s">
        <v>36</v>
      </c>
      <c r="D7498" s="19" t="s">
        <v>36</v>
      </c>
      <c r="E7498" s="19" t="s">
        <v>36</v>
      </c>
      <c r="F7498" s="19" t="s">
        <v>36</v>
      </c>
      <c r="G7498" s="15" t="s">
        <v>36</v>
      </c>
      <c r="H7498" s="14" t="s">
        <v>36</v>
      </c>
      <c r="I7498" s="18" t="s">
        <v>36</v>
      </c>
      <c r="J7498" s="12" t="s">
        <v>36</v>
      </c>
      <c r="K7498" s="13" t="s">
        <v>36</v>
      </c>
      <c r="L7498" s="15" t="s">
        <v>36</v>
      </c>
      <c r="M7498" s="12" t="s">
        <v>36</v>
      </c>
      <c r="N7498" s="12" t="s">
        <v>36</v>
      </c>
      <c r="O7498" s="17" t="s">
        <v>36</v>
      </c>
      <c r="P7498" s="12" t="s">
        <v>36</v>
      </c>
      <c r="Q7498" s="12" t="s">
        <v>36</v>
      </c>
      <c r="R7498" s="12" t="s">
        <v>36</v>
      </c>
      <c r="S7498" s="12" t="s">
        <v>36</v>
      </c>
      <c r="T7498" s="12" t="s">
        <v>33123</v>
      </c>
      <c r="U7498" s="12" t="s">
        <v>289</v>
      </c>
      <c r="V7498" s="12" t="s">
        <v>64</v>
      </c>
      <c r="W7498" s="12" t="s">
        <v>33124</v>
      </c>
      <c r="X7498" s="16" t="s">
        <v>33125</v>
      </c>
      <c r="Y7498" s="15" t="s">
        <v>42</v>
      </c>
      <c r="Z7498" s="14">
        <v>5.31</v>
      </c>
      <c r="AA7498" s="14" t="s">
        <v>36</v>
      </c>
      <c r="AB7498" s="12" t="s">
        <v>43</v>
      </c>
      <c r="AC7498" s="12" t="s">
        <v>33126</v>
      </c>
      <c r="AD7498" s="13">
        <v>41884</v>
      </c>
      <c r="AE7498" s="12" t="s">
        <v>3134</v>
      </c>
      <c r="AF7498" s="12" t="s">
        <v>90</v>
      </c>
      <c r="AG7498" s="12" t="s">
        <v>81</v>
      </c>
      <c r="AH7498" s="1">
        <f>HYPERLINK("https://my.pitchbook.com?c=56649-61T","View Company Online")</f>
      </c>
    </row>
    <row r="7499">
      <c r="A7499" s="3" t="s">
        <v>33127</v>
      </c>
      <c r="B7499" s="3" t="s">
        <v>33128</v>
      </c>
      <c r="C7499" s="5" t="s">
        <v>36</v>
      </c>
      <c r="D7499" s="5" t="s">
        <v>36</v>
      </c>
      <c r="E7499" s="5" t="s">
        <v>36</v>
      </c>
      <c r="F7499" s="5" t="s">
        <v>36</v>
      </c>
      <c r="G7499" s="6" t="s">
        <v>36</v>
      </c>
      <c r="H7499" s="4" t="s">
        <v>36</v>
      </c>
      <c r="I7499" s="7" t="s">
        <v>36</v>
      </c>
      <c r="J7499" s="3" t="s">
        <v>36</v>
      </c>
      <c r="K7499" s="9" t="s">
        <v>36</v>
      </c>
      <c r="L7499" s="6" t="s">
        <v>36</v>
      </c>
      <c r="M7499" s="3" t="s">
        <v>36</v>
      </c>
      <c r="N7499" s="3" t="s">
        <v>36</v>
      </c>
      <c r="O7499" s="8" t="s">
        <v>36</v>
      </c>
      <c r="P7499" s="3" t="s">
        <v>36</v>
      </c>
      <c r="Q7499" s="3" t="s">
        <v>36</v>
      </c>
      <c r="R7499" s="3" t="s">
        <v>36</v>
      </c>
      <c r="S7499" s="3" t="s">
        <v>36</v>
      </c>
      <c r="T7499" s="3" t="s">
        <v>33129</v>
      </c>
      <c r="U7499" s="3" t="s">
        <v>74</v>
      </c>
      <c r="V7499" s="3" t="s">
        <v>75</v>
      </c>
      <c r="W7499" s="3" t="s">
        <v>33130</v>
      </c>
      <c r="X7499" s="10" t="s">
        <v>13670</v>
      </c>
      <c r="Y7499" s="6" t="s">
        <v>42</v>
      </c>
      <c r="Z7499" s="4" t="s">
        <v>36</v>
      </c>
      <c r="AA7499" s="4" t="s">
        <v>36</v>
      </c>
      <c r="AB7499" s="3" t="s">
        <v>43</v>
      </c>
      <c r="AC7499" s="3" t="s">
        <v>33131</v>
      </c>
      <c r="AD7499" s="9">
        <v>41883</v>
      </c>
      <c r="AE7499" s="3" t="s">
        <v>696</v>
      </c>
      <c r="AF7499" s="3" t="s">
        <v>33132</v>
      </c>
      <c r="AG7499" s="3" t="s">
        <v>81</v>
      </c>
      <c r="AH7499" s="11">
        <f>HYPERLINK("https://my.pitchbook.com?c=116539-75T","View Company Online")</f>
      </c>
    </row>
    <row r="7500">
      <c r="A7500" s="12" t="s">
        <v>33133</v>
      </c>
      <c r="B7500" s="12" t="s">
        <v>33134</v>
      </c>
      <c r="C7500" s="19" t="s">
        <v>36</v>
      </c>
      <c r="D7500" s="19" t="s">
        <v>36</v>
      </c>
      <c r="E7500" s="19" t="s">
        <v>36</v>
      </c>
      <c r="F7500" s="19" t="s">
        <v>36</v>
      </c>
      <c r="G7500" s="15" t="s">
        <v>36</v>
      </c>
      <c r="H7500" s="14" t="s">
        <v>36</v>
      </c>
      <c r="I7500" s="18" t="s">
        <v>36</v>
      </c>
      <c r="J7500" s="12" t="s">
        <v>36</v>
      </c>
      <c r="K7500" s="13" t="s">
        <v>36</v>
      </c>
      <c r="L7500" s="15" t="s">
        <v>36</v>
      </c>
      <c r="M7500" s="12" t="s">
        <v>36</v>
      </c>
      <c r="N7500" s="12" t="s">
        <v>36</v>
      </c>
      <c r="O7500" s="17" t="s">
        <v>36</v>
      </c>
      <c r="P7500" s="12" t="s">
        <v>36</v>
      </c>
      <c r="Q7500" s="12" t="s">
        <v>36</v>
      </c>
      <c r="R7500" s="12" t="s">
        <v>36</v>
      </c>
      <c r="S7500" s="12" t="s">
        <v>36</v>
      </c>
      <c r="T7500" s="12" t="s">
        <v>1125</v>
      </c>
      <c r="U7500" s="12" t="s">
        <v>74</v>
      </c>
      <c r="V7500" s="12" t="s">
        <v>75</v>
      </c>
      <c r="W7500" s="12" t="s">
        <v>33135</v>
      </c>
      <c r="X7500" s="16" t="s">
        <v>11058</v>
      </c>
      <c r="Y7500" s="15" t="s">
        <v>42</v>
      </c>
      <c r="Z7500" s="14">
        <v>0.13</v>
      </c>
      <c r="AA7500" s="14" t="s">
        <v>36</v>
      </c>
      <c r="AB7500" s="12" t="s">
        <v>43</v>
      </c>
      <c r="AC7500" s="12" t="s">
        <v>33136</v>
      </c>
      <c r="AD7500" s="13">
        <v>41883</v>
      </c>
      <c r="AE7500" s="12" t="s">
        <v>975</v>
      </c>
      <c r="AF7500" s="12" t="s">
        <v>36</v>
      </c>
      <c r="AG7500" s="12" t="s">
        <v>28138</v>
      </c>
      <c r="AH7500" s="1">
        <f>HYPERLINK("https://my.pitchbook.com?c=89268-85T","View Company Online")</f>
      </c>
    </row>
    <row r="7501">
      <c r="A7501" s="3" t="s">
        <v>33137</v>
      </c>
      <c r="B7501" s="3" t="s">
        <v>15953</v>
      </c>
      <c r="C7501" s="5" t="s">
        <v>36</v>
      </c>
      <c r="D7501" s="5" t="s">
        <v>36</v>
      </c>
      <c r="E7501" s="5" t="s">
        <v>36</v>
      </c>
      <c r="F7501" s="5" t="s">
        <v>36</v>
      </c>
      <c r="G7501" s="6" t="s">
        <v>36</v>
      </c>
      <c r="H7501" s="4">
        <v>1.1</v>
      </c>
      <c r="I7501" s="7">
        <v>21.35</v>
      </c>
      <c r="J7501" s="3" t="s">
        <v>521</v>
      </c>
      <c r="K7501" s="9">
        <v>41855</v>
      </c>
      <c r="L7501" s="6" t="s">
        <v>122</v>
      </c>
      <c r="M7501" s="3" t="s">
        <v>36</v>
      </c>
      <c r="N7501" s="3" t="s">
        <v>122</v>
      </c>
      <c r="O7501" s="8" t="s">
        <v>36</v>
      </c>
      <c r="P7501" s="3" t="s">
        <v>36</v>
      </c>
      <c r="Q7501" s="3" t="s">
        <v>36</v>
      </c>
      <c r="R7501" s="3" t="s">
        <v>36</v>
      </c>
      <c r="S7501" s="3" t="s">
        <v>36</v>
      </c>
      <c r="T7501" s="3" t="s">
        <v>3168</v>
      </c>
      <c r="U7501" s="3" t="s">
        <v>289</v>
      </c>
      <c r="V7501" s="3" t="s">
        <v>64</v>
      </c>
      <c r="W7501" s="3" t="s">
        <v>15954</v>
      </c>
      <c r="X7501" s="10" t="s">
        <v>31667</v>
      </c>
      <c r="Y7501" s="6" t="s">
        <v>42</v>
      </c>
      <c r="Z7501" s="4">
        <v>2.66</v>
      </c>
      <c r="AA7501" s="4">
        <v>12.46</v>
      </c>
      <c r="AB7501" s="3" t="s">
        <v>43</v>
      </c>
      <c r="AC7501" s="3" t="s">
        <v>15956</v>
      </c>
      <c r="AD7501" s="9">
        <v>41883</v>
      </c>
      <c r="AE7501" s="3" t="s">
        <v>3134</v>
      </c>
      <c r="AF7501" s="3" t="s">
        <v>90</v>
      </c>
      <c r="AG7501" s="3" t="s">
        <v>81</v>
      </c>
      <c r="AH7501" s="11">
        <f>HYPERLINK("https://my.pitchbook.com?c=53604-28T","View Company Online")</f>
      </c>
    </row>
    <row r="7502">
      <c r="A7502" s="12" t="s">
        <v>33138</v>
      </c>
      <c r="B7502" s="12" t="s">
        <v>33139</v>
      </c>
      <c r="C7502" s="19" t="s">
        <v>36</v>
      </c>
      <c r="D7502" s="19" t="s">
        <v>36</v>
      </c>
      <c r="E7502" s="19" t="s">
        <v>36</v>
      </c>
      <c r="F7502" s="19" t="s">
        <v>36</v>
      </c>
      <c r="G7502" s="15" t="s">
        <v>36</v>
      </c>
      <c r="H7502" s="14" t="s">
        <v>36</v>
      </c>
      <c r="I7502" s="18" t="s">
        <v>36</v>
      </c>
      <c r="J7502" s="12" t="s">
        <v>521</v>
      </c>
      <c r="K7502" s="13" t="s">
        <v>36</v>
      </c>
      <c r="L7502" s="15" t="s">
        <v>36</v>
      </c>
      <c r="M7502" s="12" t="s">
        <v>36</v>
      </c>
      <c r="N7502" s="12" t="s">
        <v>36</v>
      </c>
      <c r="O7502" s="17" t="s">
        <v>36</v>
      </c>
      <c r="P7502" s="12" t="s">
        <v>36</v>
      </c>
      <c r="Q7502" s="12" t="s">
        <v>36</v>
      </c>
      <c r="R7502" s="12" t="s">
        <v>36</v>
      </c>
      <c r="S7502" s="12" t="s">
        <v>36</v>
      </c>
      <c r="T7502" s="12" t="s">
        <v>33140</v>
      </c>
      <c r="U7502" s="12" t="s">
        <v>279</v>
      </c>
      <c r="V7502" s="12" t="s">
        <v>64</v>
      </c>
      <c r="W7502" s="12" t="s">
        <v>33141</v>
      </c>
      <c r="X7502" s="16" t="s">
        <v>87</v>
      </c>
      <c r="Y7502" s="15" t="s">
        <v>42</v>
      </c>
      <c r="Z7502" s="14">
        <v>1.33</v>
      </c>
      <c r="AA7502" s="14">
        <v>6.67</v>
      </c>
      <c r="AB7502" s="12" t="s">
        <v>43</v>
      </c>
      <c r="AC7502" s="12" t="s">
        <v>33142</v>
      </c>
      <c r="AD7502" s="13">
        <v>41879</v>
      </c>
      <c r="AE7502" s="12" t="s">
        <v>740</v>
      </c>
      <c r="AF7502" s="12" t="s">
        <v>1636</v>
      </c>
      <c r="AG7502" s="12" t="s">
        <v>81</v>
      </c>
      <c r="AH7502" s="1">
        <f>HYPERLINK("https://my.pitchbook.com?c=37034-02T","View Company Online")</f>
      </c>
    </row>
    <row r="7503">
      <c r="A7503" s="3" t="s">
        <v>33143</v>
      </c>
      <c r="B7503" s="3" t="s">
        <v>33144</v>
      </c>
      <c r="C7503" s="5" t="s">
        <v>36</v>
      </c>
      <c r="D7503" s="5" t="s">
        <v>36</v>
      </c>
      <c r="E7503" s="5" t="s">
        <v>36</v>
      </c>
      <c r="F7503" s="5" t="s">
        <v>36</v>
      </c>
      <c r="G7503" s="6" t="s">
        <v>36</v>
      </c>
      <c r="H7503" s="4" t="s">
        <v>36</v>
      </c>
      <c r="I7503" s="7">
        <v>21.04</v>
      </c>
      <c r="J7503" s="3" t="s">
        <v>327</v>
      </c>
      <c r="K7503" s="9" t="s">
        <v>36</v>
      </c>
      <c r="L7503" s="6" t="s">
        <v>36</v>
      </c>
      <c r="M7503" s="3" t="s">
        <v>36</v>
      </c>
      <c r="N7503" s="3" t="s">
        <v>36</v>
      </c>
      <c r="O7503" s="8" t="s">
        <v>36</v>
      </c>
      <c r="P7503" s="3" t="s">
        <v>36</v>
      </c>
      <c r="Q7503" s="3" t="s">
        <v>36</v>
      </c>
      <c r="R7503" s="3" t="s">
        <v>36</v>
      </c>
      <c r="S7503" s="3" t="s">
        <v>36</v>
      </c>
      <c r="T7503" s="3" t="s">
        <v>1701</v>
      </c>
      <c r="U7503" s="3" t="s">
        <v>74</v>
      </c>
      <c r="V7503" s="3" t="s">
        <v>75</v>
      </c>
      <c r="W7503" s="3" t="s">
        <v>33145</v>
      </c>
      <c r="X7503" s="10" t="s">
        <v>20527</v>
      </c>
      <c r="Y7503" s="6" t="s">
        <v>42</v>
      </c>
      <c r="Z7503" s="4">
        <v>0.53</v>
      </c>
      <c r="AA7503" s="4">
        <v>2.54</v>
      </c>
      <c r="AB7503" s="3" t="s">
        <v>56</v>
      </c>
      <c r="AC7503" s="3" t="s">
        <v>33146</v>
      </c>
      <c r="AD7503" s="9">
        <v>41876</v>
      </c>
      <c r="AE7503" s="3" t="s">
        <v>79</v>
      </c>
      <c r="AF7503" s="3" t="s">
        <v>2210</v>
      </c>
      <c r="AG7503" s="3" t="s">
        <v>652</v>
      </c>
      <c r="AH7503" s="11">
        <f>HYPERLINK("https://my.pitchbook.com?c=44239-60T","View Company Online")</f>
      </c>
    </row>
    <row r="7504">
      <c r="A7504" s="12" t="s">
        <v>33147</v>
      </c>
      <c r="B7504" s="12" t="s">
        <v>33148</v>
      </c>
      <c r="C7504" s="19">
        <v>2</v>
      </c>
      <c r="D7504" s="19">
        <v>26</v>
      </c>
      <c r="E7504" s="19">
        <v>13</v>
      </c>
      <c r="F7504" s="19">
        <v>33</v>
      </c>
      <c r="G7504" s="15" t="s">
        <v>36</v>
      </c>
      <c r="H7504" s="14">
        <v>9.49</v>
      </c>
      <c r="I7504" s="18">
        <v>41.35</v>
      </c>
      <c r="J7504" s="12" t="s">
        <v>521</v>
      </c>
      <c r="K7504" s="13" t="s">
        <v>36</v>
      </c>
      <c r="L7504" s="15" t="s">
        <v>36</v>
      </c>
      <c r="M7504" s="12" t="s">
        <v>36</v>
      </c>
      <c r="N7504" s="12" t="s">
        <v>36</v>
      </c>
      <c r="O7504" s="17" t="s">
        <v>36</v>
      </c>
      <c r="P7504" s="12" t="s">
        <v>36</v>
      </c>
      <c r="Q7504" s="12" t="s">
        <v>36</v>
      </c>
      <c r="R7504" s="12" t="s">
        <v>36</v>
      </c>
      <c r="S7504" s="12" t="s">
        <v>36</v>
      </c>
      <c r="T7504" s="12" t="s">
        <v>3462</v>
      </c>
      <c r="U7504" s="12" t="s">
        <v>219</v>
      </c>
      <c r="V7504" s="12" t="s">
        <v>75</v>
      </c>
      <c r="W7504" s="12" t="s">
        <v>33149</v>
      </c>
      <c r="X7504" s="16" t="s">
        <v>2130</v>
      </c>
      <c r="Y7504" s="15" t="s">
        <v>42</v>
      </c>
      <c r="Z7504" s="14">
        <v>2.01</v>
      </c>
      <c r="AA7504" s="14">
        <v>4.28</v>
      </c>
      <c r="AB7504" s="12" t="s">
        <v>56</v>
      </c>
      <c r="AC7504" s="12" t="s">
        <v>33150</v>
      </c>
      <c r="AD7504" s="13">
        <v>41873</v>
      </c>
      <c r="AE7504" s="12" t="s">
        <v>223</v>
      </c>
      <c r="AF7504" s="12" t="s">
        <v>571</v>
      </c>
      <c r="AG7504" s="12" t="s">
        <v>33151</v>
      </c>
      <c r="AH7504" s="1">
        <f>HYPERLINK("https://my.pitchbook.com?c=50421-16T","View Company Online")</f>
      </c>
    </row>
    <row r="7505">
      <c r="A7505" s="3" t="s">
        <v>33152</v>
      </c>
      <c r="B7505" s="3" t="s">
        <v>24131</v>
      </c>
      <c r="C7505" s="5" t="s">
        <v>36</v>
      </c>
      <c r="D7505" s="5" t="s">
        <v>36</v>
      </c>
      <c r="E7505" s="5" t="s">
        <v>36</v>
      </c>
      <c r="F7505" s="5" t="s">
        <v>36</v>
      </c>
      <c r="G7505" s="6" t="s">
        <v>36</v>
      </c>
      <c r="H7505" s="4">
        <v>67.29</v>
      </c>
      <c r="I7505" s="7">
        <v>23.86</v>
      </c>
      <c r="J7505" s="3" t="s">
        <v>521</v>
      </c>
      <c r="K7505" s="9" t="s">
        <v>36</v>
      </c>
      <c r="L7505" s="6" t="s">
        <v>36</v>
      </c>
      <c r="M7505" s="3" t="s">
        <v>36</v>
      </c>
      <c r="N7505" s="3" t="s">
        <v>36</v>
      </c>
      <c r="O7505" s="8" t="s">
        <v>36</v>
      </c>
      <c r="P7505" s="3" t="s">
        <v>36</v>
      </c>
      <c r="Q7505" s="3" t="s">
        <v>36</v>
      </c>
      <c r="R7505" s="3" t="s">
        <v>36</v>
      </c>
      <c r="S7505" s="3" t="s">
        <v>36</v>
      </c>
      <c r="T7505" s="3" t="s">
        <v>24132</v>
      </c>
      <c r="U7505" s="3" t="s">
        <v>279</v>
      </c>
      <c r="V7505" s="3" t="s">
        <v>64</v>
      </c>
      <c r="W7505" s="3" t="s">
        <v>24133</v>
      </c>
      <c r="X7505" s="10" t="s">
        <v>33153</v>
      </c>
      <c r="Y7505" s="6" t="s">
        <v>42</v>
      </c>
      <c r="Z7505" s="4">
        <v>1.26</v>
      </c>
      <c r="AA7505" s="4">
        <v>5.28</v>
      </c>
      <c r="AB7505" s="3" t="s">
        <v>43</v>
      </c>
      <c r="AC7505" s="3" t="s">
        <v>24135</v>
      </c>
      <c r="AD7505" s="9">
        <v>41871</v>
      </c>
      <c r="AE7505" s="3" t="s">
        <v>283</v>
      </c>
      <c r="AF7505" s="3" t="s">
        <v>23998</v>
      </c>
      <c r="AG7505" s="3" t="s">
        <v>81</v>
      </c>
      <c r="AH7505" s="11">
        <f>HYPERLINK("https://my.pitchbook.com?c=118277-92T","View Company Online")</f>
      </c>
    </row>
    <row r="7506">
      <c r="A7506" s="12" t="s">
        <v>33154</v>
      </c>
      <c r="B7506" s="12" t="s">
        <v>31835</v>
      </c>
      <c r="C7506" s="19">
        <v>15</v>
      </c>
      <c r="D7506" s="19">
        <v>75</v>
      </c>
      <c r="E7506" s="19">
        <v>27</v>
      </c>
      <c r="F7506" s="19">
        <v>95</v>
      </c>
      <c r="G7506" s="15" t="s">
        <v>36</v>
      </c>
      <c r="H7506" s="14">
        <v>6.38</v>
      </c>
      <c r="I7506" s="18">
        <v>27.76</v>
      </c>
      <c r="J7506" s="12" t="s">
        <v>521</v>
      </c>
      <c r="K7506" s="13" t="s">
        <v>36</v>
      </c>
      <c r="L7506" s="15" t="s">
        <v>36</v>
      </c>
      <c r="M7506" s="12" t="s">
        <v>36</v>
      </c>
      <c r="N7506" s="12" t="s">
        <v>36</v>
      </c>
      <c r="O7506" s="17" t="s">
        <v>36</v>
      </c>
      <c r="P7506" s="12" t="s">
        <v>36</v>
      </c>
      <c r="Q7506" s="12" t="s">
        <v>36</v>
      </c>
      <c r="R7506" s="12" t="s">
        <v>36</v>
      </c>
      <c r="S7506" s="12" t="s">
        <v>36</v>
      </c>
      <c r="T7506" s="12" t="s">
        <v>31836</v>
      </c>
      <c r="U7506" s="12" t="s">
        <v>1580</v>
      </c>
      <c r="V7506" s="12" t="s">
        <v>39</v>
      </c>
      <c r="W7506" s="12" t="s">
        <v>31837</v>
      </c>
      <c r="X7506" s="16" t="s">
        <v>29606</v>
      </c>
      <c r="Y7506" s="15" t="s">
        <v>42</v>
      </c>
      <c r="Z7506" s="14">
        <v>2.73</v>
      </c>
      <c r="AA7506" s="14">
        <v>9.83</v>
      </c>
      <c r="AB7506" s="12" t="s">
        <v>43</v>
      </c>
      <c r="AC7506" s="12" t="s">
        <v>31839</v>
      </c>
      <c r="AD7506" s="13">
        <v>41870</v>
      </c>
      <c r="AE7506" s="12" t="s">
        <v>4387</v>
      </c>
      <c r="AF7506" s="12" t="s">
        <v>31840</v>
      </c>
      <c r="AG7506" s="12" t="s">
        <v>91</v>
      </c>
      <c r="AH7506" s="1">
        <f>HYPERLINK("https://my.pitchbook.com?c=85003-39T","View Company Online")</f>
      </c>
    </row>
    <row r="7507">
      <c r="A7507" s="3" t="s">
        <v>33155</v>
      </c>
      <c r="B7507" s="3" t="s">
        <v>33156</v>
      </c>
      <c r="C7507" s="5" t="s">
        <v>36</v>
      </c>
      <c r="D7507" s="5" t="s">
        <v>36</v>
      </c>
      <c r="E7507" s="5" t="s">
        <v>36</v>
      </c>
      <c r="F7507" s="5" t="s">
        <v>36</v>
      </c>
      <c r="G7507" s="6" t="s">
        <v>36</v>
      </c>
      <c r="H7507" s="4">
        <v>597.18</v>
      </c>
      <c r="I7507" s="7">
        <v>37.23</v>
      </c>
      <c r="J7507" s="3" t="s">
        <v>521</v>
      </c>
      <c r="K7507" s="9" t="s">
        <v>36</v>
      </c>
      <c r="L7507" s="6" t="s">
        <v>36</v>
      </c>
      <c r="M7507" s="3" t="s">
        <v>36</v>
      </c>
      <c r="N7507" s="3" t="s">
        <v>36</v>
      </c>
      <c r="O7507" s="8" t="s">
        <v>36</v>
      </c>
      <c r="P7507" s="3" t="s">
        <v>36</v>
      </c>
      <c r="Q7507" s="3" t="s">
        <v>36</v>
      </c>
      <c r="R7507" s="3" t="s">
        <v>36</v>
      </c>
      <c r="S7507" s="3" t="s">
        <v>36</v>
      </c>
      <c r="T7507" s="3" t="s">
        <v>33157</v>
      </c>
      <c r="U7507" s="3" t="s">
        <v>423</v>
      </c>
      <c r="V7507" s="3" t="s">
        <v>64</v>
      </c>
      <c r="W7507" s="3" t="s">
        <v>33158</v>
      </c>
      <c r="X7507" s="10" t="s">
        <v>12796</v>
      </c>
      <c r="Y7507" s="6" t="s">
        <v>42</v>
      </c>
      <c r="Z7507" s="4">
        <v>0.46</v>
      </c>
      <c r="AA7507" s="4">
        <v>1.24</v>
      </c>
      <c r="AB7507" s="3" t="s">
        <v>43</v>
      </c>
      <c r="AC7507" s="3" t="s">
        <v>33159</v>
      </c>
      <c r="AD7507" s="9">
        <v>41857</v>
      </c>
      <c r="AE7507" s="3" t="s">
        <v>1051</v>
      </c>
      <c r="AF7507" s="3" t="s">
        <v>733</v>
      </c>
      <c r="AG7507" s="3" t="s">
        <v>81</v>
      </c>
      <c r="AH7507" s="11">
        <f>HYPERLINK("https://my.pitchbook.com?c=98926-03T","View Company Online")</f>
      </c>
    </row>
    <row r="7508">
      <c r="A7508" s="12" t="s">
        <v>33160</v>
      </c>
      <c r="B7508" s="12" t="s">
        <v>33161</v>
      </c>
      <c r="C7508" s="19" t="s">
        <v>36</v>
      </c>
      <c r="D7508" s="19" t="s">
        <v>36</v>
      </c>
      <c r="E7508" s="19" t="s">
        <v>36</v>
      </c>
      <c r="F7508" s="19" t="s">
        <v>36</v>
      </c>
      <c r="G7508" s="15" t="s">
        <v>36</v>
      </c>
      <c r="H7508" s="14" t="s">
        <v>36</v>
      </c>
      <c r="I7508" s="18" t="s">
        <v>36</v>
      </c>
      <c r="J7508" s="12" t="s">
        <v>36</v>
      </c>
      <c r="K7508" s="13" t="s">
        <v>36</v>
      </c>
      <c r="L7508" s="15" t="s">
        <v>36</v>
      </c>
      <c r="M7508" s="12" t="s">
        <v>36</v>
      </c>
      <c r="N7508" s="12" t="s">
        <v>36</v>
      </c>
      <c r="O7508" s="17" t="s">
        <v>36</v>
      </c>
      <c r="P7508" s="12" t="s">
        <v>36</v>
      </c>
      <c r="Q7508" s="12" t="s">
        <v>36</v>
      </c>
      <c r="R7508" s="12" t="s">
        <v>36</v>
      </c>
      <c r="S7508" s="12" t="s">
        <v>36</v>
      </c>
      <c r="T7508" s="12" t="s">
        <v>33162</v>
      </c>
      <c r="U7508" s="12" t="s">
        <v>74</v>
      </c>
      <c r="V7508" s="12" t="s">
        <v>75</v>
      </c>
      <c r="W7508" s="12" t="s">
        <v>33163</v>
      </c>
      <c r="X7508" s="16" t="s">
        <v>33164</v>
      </c>
      <c r="Y7508" s="15" t="s">
        <v>42</v>
      </c>
      <c r="Z7508" s="14" t="s">
        <v>36</v>
      </c>
      <c r="AA7508" s="14" t="s">
        <v>36</v>
      </c>
      <c r="AB7508" s="12" t="s">
        <v>43</v>
      </c>
      <c r="AC7508" s="12" t="s">
        <v>33165</v>
      </c>
      <c r="AD7508" s="13">
        <v>41852</v>
      </c>
      <c r="AE7508" s="12" t="s">
        <v>975</v>
      </c>
      <c r="AF7508" s="12" t="s">
        <v>1636</v>
      </c>
      <c r="AG7508" s="12" t="s">
        <v>17715</v>
      </c>
      <c r="AH7508" s="1">
        <f>HYPERLINK("https://my.pitchbook.com?c=31624-21T","View Company Online")</f>
      </c>
    </row>
    <row r="7509">
      <c r="A7509" s="3" t="s">
        <v>33166</v>
      </c>
      <c r="B7509" s="3" t="s">
        <v>33167</v>
      </c>
      <c r="C7509" s="5" t="s">
        <v>36</v>
      </c>
      <c r="D7509" s="5" t="s">
        <v>36</v>
      </c>
      <c r="E7509" s="5" t="s">
        <v>36</v>
      </c>
      <c r="F7509" s="5" t="s">
        <v>36</v>
      </c>
      <c r="G7509" s="6" t="s">
        <v>36</v>
      </c>
      <c r="H7509" s="4" t="s">
        <v>36</v>
      </c>
      <c r="I7509" s="7" t="s">
        <v>36</v>
      </c>
      <c r="J7509" s="3" t="s">
        <v>36</v>
      </c>
      <c r="K7509" s="9" t="s">
        <v>36</v>
      </c>
      <c r="L7509" s="6" t="s">
        <v>36</v>
      </c>
      <c r="M7509" s="3" t="s">
        <v>36</v>
      </c>
      <c r="N7509" s="3" t="s">
        <v>36</v>
      </c>
      <c r="O7509" s="8" t="s">
        <v>36</v>
      </c>
      <c r="P7509" s="3" t="s">
        <v>36</v>
      </c>
      <c r="Q7509" s="3" t="s">
        <v>36</v>
      </c>
      <c r="R7509" s="3" t="s">
        <v>36</v>
      </c>
      <c r="S7509" s="3" t="s">
        <v>36</v>
      </c>
      <c r="T7509" s="3" t="s">
        <v>33168</v>
      </c>
      <c r="U7509" s="3" t="s">
        <v>387</v>
      </c>
      <c r="V7509" s="3" t="s">
        <v>367</v>
      </c>
      <c r="W7509" s="3" t="s">
        <v>33169</v>
      </c>
      <c r="X7509" s="10" t="s">
        <v>33170</v>
      </c>
      <c r="Y7509" s="6" t="s">
        <v>42</v>
      </c>
      <c r="Z7509" s="4">
        <v>1.76</v>
      </c>
      <c r="AA7509" s="4" t="s">
        <v>36</v>
      </c>
      <c r="AB7509" s="3" t="s">
        <v>43</v>
      </c>
      <c r="AC7509" s="3" t="s">
        <v>33171</v>
      </c>
      <c r="AD7509" s="9">
        <v>41852</v>
      </c>
      <c r="AE7509" s="3" t="s">
        <v>391</v>
      </c>
      <c r="AF7509" s="3" t="s">
        <v>2019</v>
      </c>
      <c r="AG7509" s="3" t="s">
        <v>33172</v>
      </c>
      <c r="AH7509" s="11">
        <f>HYPERLINK("https://my.pitchbook.com?c=31618-54T","View Company Online")</f>
      </c>
    </row>
    <row r="7510">
      <c r="A7510" s="12" t="s">
        <v>33173</v>
      </c>
      <c r="B7510" s="12" t="s">
        <v>33174</v>
      </c>
      <c r="C7510" s="19" t="s">
        <v>36</v>
      </c>
      <c r="D7510" s="19" t="s">
        <v>36</v>
      </c>
      <c r="E7510" s="19" t="s">
        <v>36</v>
      </c>
      <c r="F7510" s="19" t="s">
        <v>36</v>
      </c>
      <c r="G7510" s="15" t="s">
        <v>36</v>
      </c>
      <c r="H7510" s="14" t="s">
        <v>36</v>
      </c>
      <c r="I7510" s="18" t="s">
        <v>36</v>
      </c>
      <c r="J7510" s="12" t="s">
        <v>36</v>
      </c>
      <c r="K7510" s="13" t="s">
        <v>36</v>
      </c>
      <c r="L7510" s="15" t="s">
        <v>36</v>
      </c>
      <c r="M7510" s="12" t="s">
        <v>36</v>
      </c>
      <c r="N7510" s="12" t="s">
        <v>36</v>
      </c>
      <c r="O7510" s="17" t="s">
        <v>36</v>
      </c>
      <c r="P7510" s="12" t="s">
        <v>36</v>
      </c>
      <c r="Q7510" s="12" t="s">
        <v>36</v>
      </c>
      <c r="R7510" s="12" t="s">
        <v>36</v>
      </c>
      <c r="S7510" s="12" t="s">
        <v>36</v>
      </c>
      <c r="T7510" s="12" t="s">
        <v>11092</v>
      </c>
      <c r="U7510" s="12" t="s">
        <v>74</v>
      </c>
      <c r="V7510" s="12" t="s">
        <v>75</v>
      </c>
      <c r="W7510" s="12" t="s">
        <v>33175</v>
      </c>
      <c r="X7510" s="16" t="s">
        <v>31937</v>
      </c>
      <c r="Y7510" s="15" t="s">
        <v>42</v>
      </c>
      <c r="Z7510" s="14" t="s">
        <v>36</v>
      </c>
      <c r="AA7510" s="14" t="s">
        <v>36</v>
      </c>
      <c r="AB7510" s="12" t="s">
        <v>43</v>
      </c>
      <c r="AC7510" s="12" t="s">
        <v>33176</v>
      </c>
      <c r="AD7510" s="13">
        <v>41852</v>
      </c>
      <c r="AE7510" s="12" t="s">
        <v>1888</v>
      </c>
      <c r="AF7510" s="12" t="s">
        <v>546</v>
      </c>
      <c r="AG7510" s="12" t="s">
        <v>2088</v>
      </c>
      <c r="AH7510" s="1">
        <f>HYPERLINK("https://my.pitchbook.com?c=33245-65T","View Company Online")</f>
      </c>
    </row>
    <row r="7511">
      <c r="A7511" s="3" t="s">
        <v>33177</v>
      </c>
      <c r="B7511" s="3" t="s">
        <v>33178</v>
      </c>
      <c r="C7511" s="5" t="s">
        <v>36</v>
      </c>
      <c r="D7511" s="5" t="s">
        <v>36</v>
      </c>
      <c r="E7511" s="5" t="s">
        <v>36</v>
      </c>
      <c r="F7511" s="5" t="s">
        <v>36</v>
      </c>
      <c r="G7511" s="6" t="s">
        <v>36</v>
      </c>
      <c r="H7511" s="4">
        <v>10.39</v>
      </c>
      <c r="I7511" s="7">
        <v>32.58</v>
      </c>
      <c r="J7511" s="3" t="s">
        <v>521</v>
      </c>
      <c r="K7511" s="9" t="s">
        <v>36</v>
      </c>
      <c r="L7511" s="6" t="s">
        <v>36</v>
      </c>
      <c r="M7511" s="3" t="s">
        <v>36</v>
      </c>
      <c r="N7511" s="3" t="s">
        <v>36</v>
      </c>
      <c r="O7511" s="8" t="s">
        <v>36</v>
      </c>
      <c r="P7511" s="3" t="s">
        <v>36</v>
      </c>
      <c r="Q7511" s="3" t="s">
        <v>36</v>
      </c>
      <c r="R7511" s="3" t="s">
        <v>36</v>
      </c>
      <c r="S7511" s="3" t="s">
        <v>36</v>
      </c>
      <c r="T7511" s="3" t="s">
        <v>1125</v>
      </c>
      <c r="U7511" s="3" t="s">
        <v>74</v>
      </c>
      <c r="V7511" s="3" t="s">
        <v>75</v>
      </c>
      <c r="W7511" s="3" t="s">
        <v>33179</v>
      </c>
      <c r="X7511" s="10" t="s">
        <v>2130</v>
      </c>
      <c r="Y7511" s="6" t="s">
        <v>42</v>
      </c>
      <c r="Z7511" s="4">
        <v>2.62</v>
      </c>
      <c r="AA7511" s="4">
        <v>8.03</v>
      </c>
      <c r="AB7511" s="3" t="s">
        <v>43</v>
      </c>
      <c r="AC7511" s="3" t="s">
        <v>33180</v>
      </c>
      <c r="AD7511" s="9">
        <v>41850</v>
      </c>
      <c r="AE7511" s="3" t="s">
        <v>975</v>
      </c>
      <c r="AF7511" s="3" t="s">
        <v>36</v>
      </c>
      <c r="AG7511" s="3" t="s">
        <v>347</v>
      </c>
      <c r="AH7511" s="11">
        <f>HYPERLINK("https://my.pitchbook.com?c=50430-61T","View Company Online")</f>
      </c>
    </row>
    <row r="7512">
      <c r="A7512" s="12" t="s">
        <v>33181</v>
      </c>
      <c r="B7512" s="12" t="s">
        <v>33182</v>
      </c>
      <c r="C7512" s="19" t="s">
        <v>36</v>
      </c>
      <c r="D7512" s="19" t="s">
        <v>36</v>
      </c>
      <c r="E7512" s="19" t="s">
        <v>36</v>
      </c>
      <c r="F7512" s="19" t="s">
        <v>36</v>
      </c>
      <c r="G7512" s="15" t="s">
        <v>36</v>
      </c>
      <c r="H7512" s="14">
        <v>232.64</v>
      </c>
      <c r="I7512" s="18">
        <v>30.03</v>
      </c>
      <c r="J7512" s="12" t="s">
        <v>521</v>
      </c>
      <c r="K7512" s="13" t="s">
        <v>36</v>
      </c>
      <c r="L7512" s="15" t="s">
        <v>36</v>
      </c>
      <c r="M7512" s="12" t="s">
        <v>36</v>
      </c>
      <c r="N7512" s="12" t="s">
        <v>36</v>
      </c>
      <c r="O7512" s="17" t="s">
        <v>36</v>
      </c>
      <c r="P7512" s="12" t="s">
        <v>36</v>
      </c>
      <c r="Q7512" s="12" t="s">
        <v>36</v>
      </c>
      <c r="R7512" s="12" t="s">
        <v>36</v>
      </c>
      <c r="S7512" s="12" t="s">
        <v>36</v>
      </c>
      <c r="T7512" s="12" t="s">
        <v>5512</v>
      </c>
      <c r="U7512" s="12" t="s">
        <v>38</v>
      </c>
      <c r="V7512" s="12" t="s">
        <v>39</v>
      </c>
      <c r="W7512" s="12" t="s">
        <v>33183</v>
      </c>
      <c r="X7512" s="16" t="s">
        <v>31475</v>
      </c>
      <c r="Y7512" s="15" t="s">
        <v>42</v>
      </c>
      <c r="Z7512" s="14">
        <v>0.65</v>
      </c>
      <c r="AA7512" s="14">
        <v>2.17</v>
      </c>
      <c r="AB7512" s="12" t="s">
        <v>43</v>
      </c>
      <c r="AC7512" s="12" t="s">
        <v>33184</v>
      </c>
      <c r="AD7512" s="13">
        <v>41850</v>
      </c>
      <c r="AE7512" s="12" t="s">
        <v>45</v>
      </c>
      <c r="AF7512" s="12" t="s">
        <v>25118</v>
      </c>
      <c r="AG7512" s="12" t="s">
        <v>81</v>
      </c>
      <c r="AH7512" s="1">
        <f>HYPERLINK("https://my.pitchbook.com?c=128441-80T","View Company Online")</f>
      </c>
    </row>
    <row r="7513">
      <c r="A7513" s="3" t="s">
        <v>33185</v>
      </c>
      <c r="B7513" s="3" t="s">
        <v>31018</v>
      </c>
      <c r="C7513" s="5" t="s">
        <v>36</v>
      </c>
      <c r="D7513" s="5" t="s">
        <v>36</v>
      </c>
      <c r="E7513" s="5" t="s">
        <v>36</v>
      </c>
      <c r="F7513" s="5" t="s">
        <v>36</v>
      </c>
      <c r="G7513" s="6" t="s">
        <v>36</v>
      </c>
      <c r="H7513" s="4">
        <v>28.04</v>
      </c>
      <c r="I7513" s="7">
        <v>12.11</v>
      </c>
      <c r="J7513" s="3" t="s">
        <v>521</v>
      </c>
      <c r="K7513" s="9" t="s">
        <v>36</v>
      </c>
      <c r="L7513" s="6" t="s">
        <v>36</v>
      </c>
      <c r="M7513" s="3" t="s">
        <v>36</v>
      </c>
      <c r="N7513" s="3" t="s">
        <v>36</v>
      </c>
      <c r="O7513" s="8" t="s">
        <v>36</v>
      </c>
      <c r="P7513" s="3" t="s">
        <v>36</v>
      </c>
      <c r="Q7513" s="3" t="s">
        <v>36</v>
      </c>
      <c r="R7513" s="3" t="s">
        <v>36</v>
      </c>
      <c r="S7513" s="3" t="s">
        <v>36</v>
      </c>
      <c r="T7513" s="3" t="s">
        <v>3505</v>
      </c>
      <c r="U7513" s="3" t="s">
        <v>85</v>
      </c>
      <c r="V7513" s="3" t="s">
        <v>64</v>
      </c>
      <c r="W7513" s="3" t="s">
        <v>31019</v>
      </c>
      <c r="X7513" s="10" t="s">
        <v>33186</v>
      </c>
      <c r="Y7513" s="6" t="s">
        <v>108</v>
      </c>
      <c r="Z7513" s="4">
        <v>0.32</v>
      </c>
      <c r="AA7513" s="4">
        <v>2.62</v>
      </c>
      <c r="AB7513" s="3" t="s">
        <v>43</v>
      </c>
      <c r="AC7513" s="3" t="s">
        <v>31021</v>
      </c>
      <c r="AD7513" s="9">
        <v>41849</v>
      </c>
      <c r="AE7513" s="3" t="s">
        <v>89</v>
      </c>
      <c r="AF7513" s="3" t="s">
        <v>372</v>
      </c>
      <c r="AG7513" s="3" t="s">
        <v>31022</v>
      </c>
      <c r="AH7513" s="11">
        <f>HYPERLINK("https://my.pitchbook.com?c=126540-55T","View Company Online")</f>
      </c>
    </row>
    <row r="7514">
      <c r="A7514" s="12" t="s">
        <v>33187</v>
      </c>
      <c r="B7514" s="12" t="s">
        <v>33188</v>
      </c>
      <c r="C7514" s="19" t="s">
        <v>36</v>
      </c>
      <c r="D7514" s="19" t="s">
        <v>36</v>
      </c>
      <c r="E7514" s="19" t="s">
        <v>36</v>
      </c>
      <c r="F7514" s="19" t="s">
        <v>36</v>
      </c>
      <c r="G7514" s="15" t="s">
        <v>36</v>
      </c>
      <c r="H7514" s="14">
        <v>10.39</v>
      </c>
      <c r="I7514" s="18">
        <v>21.99</v>
      </c>
      <c r="J7514" s="12" t="s">
        <v>521</v>
      </c>
      <c r="K7514" s="13" t="s">
        <v>36</v>
      </c>
      <c r="L7514" s="15" t="s">
        <v>36</v>
      </c>
      <c r="M7514" s="12" t="s">
        <v>36</v>
      </c>
      <c r="N7514" s="12" t="s">
        <v>36</v>
      </c>
      <c r="O7514" s="17" t="s">
        <v>36</v>
      </c>
      <c r="P7514" s="12" t="s">
        <v>36</v>
      </c>
      <c r="Q7514" s="12" t="s">
        <v>36</v>
      </c>
      <c r="R7514" s="12" t="s">
        <v>36</v>
      </c>
      <c r="S7514" s="12" t="s">
        <v>36</v>
      </c>
      <c r="T7514" s="12" t="s">
        <v>33189</v>
      </c>
      <c r="U7514" s="12" t="s">
        <v>63</v>
      </c>
      <c r="V7514" s="12" t="s">
        <v>64</v>
      </c>
      <c r="W7514" s="12" t="s">
        <v>33190</v>
      </c>
      <c r="X7514" s="16" t="s">
        <v>2130</v>
      </c>
      <c r="Y7514" s="15" t="s">
        <v>42</v>
      </c>
      <c r="Z7514" s="14">
        <v>3.17</v>
      </c>
      <c r="AA7514" s="14">
        <v>14.43</v>
      </c>
      <c r="AB7514" s="12" t="s">
        <v>56</v>
      </c>
      <c r="AC7514" s="12" t="s">
        <v>33191</v>
      </c>
      <c r="AD7514" s="13">
        <v>41848</v>
      </c>
      <c r="AE7514" s="12" t="s">
        <v>642</v>
      </c>
      <c r="AF7514" s="12" t="s">
        <v>1636</v>
      </c>
      <c r="AG7514" s="12" t="s">
        <v>3100</v>
      </c>
      <c r="AH7514" s="1">
        <f>HYPERLINK("https://my.pitchbook.com?c=50426-38T","View Company Online")</f>
      </c>
    </row>
    <row r="7515">
      <c r="A7515" s="3" t="s">
        <v>33192</v>
      </c>
      <c r="B7515" s="3" t="s">
        <v>33193</v>
      </c>
      <c r="C7515" s="5" t="s">
        <v>36</v>
      </c>
      <c r="D7515" s="5" t="s">
        <v>36</v>
      </c>
      <c r="E7515" s="5" t="s">
        <v>36</v>
      </c>
      <c r="F7515" s="5" t="s">
        <v>36</v>
      </c>
      <c r="G7515" s="6" t="s">
        <v>36</v>
      </c>
      <c r="H7515" s="4" t="s">
        <v>36</v>
      </c>
      <c r="I7515" s="7" t="s">
        <v>36</v>
      </c>
      <c r="J7515" s="3" t="s">
        <v>36</v>
      </c>
      <c r="K7515" s="9" t="s">
        <v>36</v>
      </c>
      <c r="L7515" s="6" t="s">
        <v>36</v>
      </c>
      <c r="M7515" s="3" t="s">
        <v>36</v>
      </c>
      <c r="N7515" s="3" t="s">
        <v>36</v>
      </c>
      <c r="O7515" s="8" t="s">
        <v>36</v>
      </c>
      <c r="P7515" s="3" t="s">
        <v>36</v>
      </c>
      <c r="Q7515" s="3" t="s">
        <v>36</v>
      </c>
      <c r="R7515" s="3" t="s">
        <v>36</v>
      </c>
      <c r="S7515" s="3" t="s">
        <v>36</v>
      </c>
      <c r="T7515" s="3" t="s">
        <v>25156</v>
      </c>
      <c r="U7515" s="3" t="s">
        <v>38</v>
      </c>
      <c r="V7515" s="3" t="s">
        <v>39</v>
      </c>
      <c r="W7515" s="3" t="s">
        <v>33194</v>
      </c>
      <c r="X7515" s="10" t="s">
        <v>19209</v>
      </c>
      <c r="Y7515" s="6" t="s">
        <v>42</v>
      </c>
      <c r="Z7515" s="4">
        <v>2.71</v>
      </c>
      <c r="AA7515" s="4" t="s">
        <v>36</v>
      </c>
      <c r="AB7515" s="3" t="s">
        <v>43</v>
      </c>
      <c r="AC7515" s="3" t="s">
        <v>33195</v>
      </c>
      <c r="AD7515" s="9">
        <v>41848</v>
      </c>
      <c r="AE7515" s="3" t="s">
        <v>339</v>
      </c>
      <c r="AF7515" s="3" t="s">
        <v>815</v>
      </c>
      <c r="AG7515" s="3" t="s">
        <v>81</v>
      </c>
      <c r="AH7515" s="11">
        <f>HYPERLINK("https://my.pitchbook.com?c=89865-10T","View Company Online")</f>
      </c>
    </row>
    <row r="7516">
      <c r="A7516" s="12" t="s">
        <v>33196</v>
      </c>
      <c r="B7516" s="12" t="s">
        <v>33197</v>
      </c>
      <c r="C7516" s="19" t="s">
        <v>36</v>
      </c>
      <c r="D7516" s="19" t="s">
        <v>36</v>
      </c>
      <c r="E7516" s="19" t="s">
        <v>36</v>
      </c>
      <c r="F7516" s="19" t="s">
        <v>36</v>
      </c>
      <c r="G7516" s="15" t="s">
        <v>36</v>
      </c>
      <c r="H7516" s="14">
        <v>14.53</v>
      </c>
      <c r="I7516" s="18">
        <v>9.99</v>
      </c>
      <c r="J7516" s="12" t="s">
        <v>521</v>
      </c>
      <c r="K7516" s="13" t="s">
        <v>36</v>
      </c>
      <c r="L7516" s="15" t="s">
        <v>36</v>
      </c>
      <c r="M7516" s="12" t="s">
        <v>36</v>
      </c>
      <c r="N7516" s="12" t="s">
        <v>36</v>
      </c>
      <c r="O7516" s="17" t="s">
        <v>36</v>
      </c>
      <c r="P7516" s="12" t="s">
        <v>36</v>
      </c>
      <c r="Q7516" s="12" t="s">
        <v>36</v>
      </c>
      <c r="R7516" s="12" t="s">
        <v>36</v>
      </c>
      <c r="S7516" s="12" t="s">
        <v>36</v>
      </c>
      <c r="T7516" s="12" t="s">
        <v>30065</v>
      </c>
      <c r="U7516" s="12" t="s">
        <v>63</v>
      </c>
      <c r="V7516" s="12" t="s">
        <v>64</v>
      </c>
      <c r="W7516" s="12" t="s">
        <v>33198</v>
      </c>
      <c r="X7516" s="16" t="s">
        <v>20907</v>
      </c>
      <c r="Y7516" s="15" t="s">
        <v>42</v>
      </c>
      <c r="Z7516" s="14">
        <v>0.03</v>
      </c>
      <c r="AA7516" s="14">
        <v>0.3</v>
      </c>
      <c r="AB7516" s="12" t="s">
        <v>43</v>
      </c>
      <c r="AC7516" s="12" t="s">
        <v>33199</v>
      </c>
      <c r="AD7516" s="13">
        <v>41838</v>
      </c>
      <c r="AE7516" s="12" t="s">
        <v>642</v>
      </c>
      <c r="AF7516" s="12" t="s">
        <v>36</v>
      </c>
      <c r="AG7516" s="12" t="s">
        <v>102</v>
      </c>
      <c r="AH7516" s="1">
        <f>HYPERLINK("https://my.pitchbook.com?c=126457-30T","View Company Online")</f>
      </c>
    </row>
    <row r="7517">
      <c r="A7517" s="3" t="s">
        <v>33200</v>
      </c>
      <c r="B7517" s="3" t="s">
        <v>33201</v>
      </c>
      <c r="C7517" s="5" t="s">
        <v>36</v>
      </c>
      <c r="D7517" s="5" t="s">
        <v>36</v>
      </c>
      <c r="E7517" s="5" t="s">
        <v>36</v>
      </c>
      <c r="F7517" s="5" t="s">
        <v>36</v>
      </c>
      <c r="G7517" s="6" t="s">
        <v>36</v>
      </c>
      <c r="H7517" s="4">
        <v>10.39</v>
      </c>
      <c r="I7517" s="7">
        <v>16.54</v>
      </c>
      <c r="J7517" s="3" t="s">
        <v>521</v>
      </c>
      <c r="K7517" s="9" t="s">
        <v>36</v>
      </c>
      <c r="L7517" s="6" t="s">
        <v>36</v>
      </c>
      <c r="M7517" s="3" t="s">
        <v>36</v>
      </c>
      <c r="N7517" s="3" t="s">
        <v>36</v>
      </c>
      <c r="O7517" s="8" t="s">
        <v>36</v>
      </c>
      <c r="P7517" s="3" t="s">
        <v>36</v>
      </c>
      <c r="Q7517" s="3" t="s">
        <v>36</v>
      </c>
      <c r="R7517" s="3" t="s">
        <v>36</v>
      </c>
      <c r="S7517" s="3" t="s">
        <v>36</v>
      </c>
      <c r="T7517" s="3" t="s">
        <v>1125</v>
      </c>
      <c r="U7517" s="3" t="s">
        <v>74</v>
      </c>
      <c r="V7517" s="3" t="s">
        <v>75</v>
      </c>
      <c r="W7517" s="3" t="s">
        <v>33202</v>
      </c>
      <c r="X7517" s="10" t="s">
        <v>2130</v>
      </c>
      <c r="Y7517" s="6" t="s">
        <v>108</v>
      </c>
      <c r="Z7517" s="4">
        <v>2.64</v>
      </c>
      <c r="AA7517" s="4">
        <v>15.93</v>
      </c>
      <c r="AB7517" s="3" t="s">
        <v>43</v>
      </c>
      <c r="AC7517" s="3" t="s">
        <v>33203</v>
      </c>
      <c r="AD7517" s="9">
        <v>41837</v>
      </c>
      <c r="AE7517" s="3" t="s">
        <v>975</v>
      </c>
      <c r="AF7517" s="3" t="s">
        <v>546</v>
      </c>
      <c r="AG7517" s="3" t="s">
        <v>2760</v>
      </c>
      <c r="AH7517" s="11">
        <f>HYPERLINK("https://my.pitchbook.com?c=208645-93T","View Company Online")</f>
      </c>
    </row>
    <row r="7518">
      <c r="A7518" s="12" t="s">
        <v>33204</v>
      </c>
      <c r="B7518" s="12" t="s">
        <v>33205</v>
      </c>
      <c r="C7518" s="19" t="s">
        <v>36</v>
      </c>
      <c r="D7518" s="19" t="s">
        <v>36</v>
      </c>
      <c r="E7518" s="19" t="s">
        <v>36</v>
      </c>
      <c r="F7518" s="19" t="s">
        <v>36</v>
      </c>
      <c r="G7518" s="15" t="s">
        <v>36</v>
      </c>
      <c r="H7518" s="14" t="s">
        <v>36</v>
      </c>
      <c r="I7518" s="18" t="s">
        <v>36</v>
      </c>
      <c r="J7518" s="12" t="s">
        <v>36</v>
      </c>
      <c r="K7518" s="13" t="s">
        <v>36</v>
      </c>
      <c r="L7518" s="15" t="s">
        <v>36</v>
      </c>
      <c r="M7518" s="12" t="s">
        <v>36</v>
      </c>
      <c r="N7518" s="12" t="s">
        <v>36</v>
      </c>
      <c r="O7518" s="17" t="s">
        <v>36</v>
      </c>
      <c r="P7518" s="12" t="s">
        <v>36</v>
      </c>
      <c r="Q7518" s="12" t="s">
        <v>36</v>
      </c>
      <c r="R7518" s="12" t="s">
        <v>36</v>
      </c>
      <c r="S7518" s="12" t="s">
        <v>36</v>
      </c>
      <c r="T7518" s="12" t="s">
        <v>550</v>
      </c>
      <c r="U7518" s="12" t="s">
        <v>38</v>
      </c>
      <c r="V7518" s="12" t="s">
        <v>39</v>
      </c>
      <c r="W7518" s="12" t="s">
        <v>33206</v>
      </c>
      <c r="X7518" s="16" t="s">
        <v>5892</v>
      </c>
      <c r="Y7518" s="15" t="s">
        <v>55</v>
      </c>
      <c r="Z7518" s="14">
        <v>1.36</v>
      </c>
      <c r="AA7518" s="14" t="s">
        <v>36</v>
      </c>
      <c r="AB7518" s="12" t="s">
        <v>56</v>
      </c>
      <c r="AC7518" s="12" t="s">
        <v>33207</v>
      </c>
      <c r="AD7518" s="13">
        <v>41836</v>
      </c>
      <c r="AE7518" s="12" t="s">
        <v>554</v>
      </c>
      <c r="AF7518" s="12" t="s">
        <v>28043</v>
      </c>
      <c r="AG7518" s="12" t="s">
        <v>1978</v>
      </c>
      <c r="AH7518" s="1">
        <f>HYPERLINK("https://my.pitchbook.com?c=39166-93T","View Company Online")</f>
      </c>
    </row>
    <row r="7519">
      <c r="A7519" s="3" t="s">
        <v>33208</v>
      </c>
      <c r="B7519" s="3" t="s">
        <v>33209</v>
      </c>
      <c r="C7519" s="5" t="s">
        <v>36</v>
      </c>
      <c r="D7519" s="5" t="s">
        <v>36</v>
      </c>
      <c r="E7519" s="5" t="s">
        <v>36</v>
      </c>
      <c r="F7519" s="5" t="s">
        <v>36</v>
      </c>
      <c r="G7519" s="6" t="s">
        <v>36</v>
      </c>
      <c r="H7519" s="4" t="s">
        <v>36</v>
      </c>
      <c r="I7519" s="7" t="s">
        <v>36</v>
      </c>
      <c r="J7519" s="3" t="s">
        <v>36</v>
      </c>
      <c r="K7519" s="9" t="s">
        <v>36</v>
      </c>
      <c r="L7519" s="6" t="s">
        <v>36</v>
      </c>
      <c r="M7519" s="3" t="s">
        <v>36</v>
      </c>
      <c r="N7519" s="3" t="s">
        <v>36</v>
      </c>
      <c r="O7519" s="8" t="s">
        <v>36</v>
      </c>
      <c r="P7519" s="3" t="s">
        <v>36</v>
      </c>
      <c r="Q7519" s="3" t="s">
        <v>36</v>
      </c>
      <c r="R7519" s="3" t="s">
        <v>36</v>
      </c>
      <c r="S7519" s="3" t="s">
        <v>36</v>
      </c>
      <c r="T7519" s="3" t="s">
        <v>1106</v>
      </c>
      <c r="U7519" s="3" t="s">
        <v>38</v>
      </c>
      <c r="V7519" s="3" t="s">
        <v>39</v>
      </c>
      <c r="W7519" s="3" t="s">
        <v>33210</v>
      </c>
      <c r="X7519" s="10" t="s">
        <v>11058</v>
      </c>
      <c r="Y7519" s="6" t="s">
        <v>42</v>
      </c>
      <c r="Z7519" s="4" t="s">
        <v>36</v>
      </c>
      <c r="AA7519" s="4" t="s">
        <v>36</v>
      </c>
      <c r="AB7519" s="3" t="s">
        <v>43</v>
      </c>
      <c r="AC7519" s="3" t="s">
        <v>33211</v>
      </c>
      <c r="AD7519" s="9">
        <v>41835</v>
      </c>
      <c r="AE7519" s="3" t="s">
        <v>110</v>
      </c>
      <c r="AF7519" s="3" t="s">
        <v>27901</v>
      </c>
      <c r="AG7519" s="3" t="s">
        <v>4172</v>
      </c>
      <c r="AH7519" s="11">
        <f>HYPERLINK("https://my.pitchbook.com?c=89362-45T","View Company Online")</f>
      </c>
    </row>
    <row r="7520">
      <c r="A7520" s="12" t="s">
        <v>33212</v>
      </c>
      <c r="B7520" s="12" t="s">
        <v>33213</v>
      </c>
      <c r="C7520" s="19" t="s">
        <v>36</v>
      </c>
      <c r="D7520" s="19" t="s">
        <v>36</v>
      </c>
      <c r="E7520" s="19" t="s">
        <v>36</v>
      </c>
      <c r="F7520" s="19" t="s">
        <v>36</v>
      </c>
      <c r="G7520" s="15" t="s">
        <v>36</v>
      </c>
      <c r="H7520" s="14" t="s">
        <v>36</v>
      </c>
      <c r="I7520" s="18" t="s">
        <v>36</v>
      </c>
      <c r="J7520" s="12" t="s">
        <v>36</v>
      </c>
      <c r="K7520" s="13" t="s">
        <v>36</v>
      </c>
      <c r="L7520" s="15" t="s">
        <v>36</v>
      </c>
      <c r="M7520" s="12" t="s">
        <v>36</v>
      </c>
      <c r="N7520" s="12" t="s">
        <v>36</v>
      </c>
      <c r="O7520" s="17" t="s">
        <v>36</v>
      </c>
      <c r="P7520" s="12" t="s">
        <v>36</v>
      </c>
      <c r="Q7520" s="12" t="s">
        <v>36</v>
      </c>
      <c r="R7520" s="12" t="s">
        <v>36</v>
      </c>
      <c r="S7520" s="12" t="s">
        <v>36</v>
      </c>
      <c r="T7520" s="12" t="s">
        <v>105</v>
      </c>
      <c r="U7520" s="12" t="s">
        <v>38</v>
      </c>
      <c r="V7520" s="12" t="s">
        <v>39</v>
      </c>
      <c r="W7520" s="12" t="s">
        <v>33214</v>
      </c>
      <c r="X7520" s="16" t="s">
        <v>33215</v>
      </c>
      <c r="Y7520" s="15" t="s">
        <v>42</v>
      </c>
      <c r="Z7520" s="14">
        <v>0.9</v>
      </c>
      <c r="AA7520" s="14" t="s">
        <v>36</v>
      </c>
      <c r="AB7520" s="12" t="s">
        <v>43</v>
      </c>
      <c r="AC7520" s="12" t="s">
        <v>33216</v>
      </c>
      <c r="AD7520" s="13">
        <v>41835</v>
      </c>
      <c r="AE7520" s="12" t="s">
        <v>110</v>
      </c>
      <c r="AF7520" s="12" t="s">
        <v>3762</v>
      </c>
      <c r="AG7520" s="12" t="s">
        <v>22318</v>
      </c>
      <c r="AH7520" s="1">
        <f>HYPERLINK("https://my.pitchbook.com?c=77624-29T","View Company Online")</f>
      </c>
    </row>
    <row r="7521">
      <c r="A7521" s="3" t="s">
        <v>33217</v>
      </c>
      <c r="B7521" s="3" t="s">
        <v>32342</v>
      </c>
      <c r="C7521" s="5" t="s">
        <v>36</v>
      </c>
      <c r="D7521" s="5" t="s">
        <v>36</v>
      </c>
      <c r="E7521" s="5" t="s">
        <v>36</v>
      </c>
      <c r="F7521" s="5" t="s">
        <v>36</v>
      </c>
      <c r="G7521" s="6" t="s">
        <v>36</v>
      </c>
      <c r="H7521" s="4" t="s">
        <v>36</v>
      </c>
      <c r="I7521" s="7" t="s">
        <v>36</v>
      </c>
      <c r="J7521" s="3" t="s">
        <v>36</v>
      </c>
      <c r="K7521" s="9" t="s">
        <v>36</v>
      </c>
      <c r="L7521" s="6" t="s">
        <v>36</v>
      </c>
      <c r="M7521" s="3" t="s">
        <v>36</v>
      </c>
      <c r="N7521" s="3" t="s">
        <v>36</v>
      </c>
      <c r="O7521" s="8" t="s">
        <v>36</v>
      </c>
      <c r="P7521" s="3" t="s">
        <v>36</v>
      </c>
      <c r="Q7521" s="3" t="s">
        <v>36</v>
      </c>
      <c r="R7521" s="3" t="s">
        <v>36</v>
      </c>
      <c r="S7521" s="3" t="s">
        <v>36</v>
      </c>
      <c r="T7521" s="3" t="s">
        <v>6192</v>
      </c>
      <c r="U7521" s="3" t="s">
        <v>1357</v>
      </c>
      <c r="V7521" s="3" t="s">
        <v>52</v>
      </c>
      <c r="W7521" s="3" t="s">
        <v>32343</v>
      </c>
      <c r="X7521" s="10" t="s">
        <v>2553</v>
      </c>
      <c r="Y7521" s="6" t="s">
        <v>192</v>
      </c>
      <c r="Z7521" s="4" t="s">
        <v>36</v>
      </c>
      <c r="AA7521" s="4" t="s">
        <v>36</v>
      </c>
      <c r="AB7521" s="3" t="s">
        <v>56</v>
      </c>
      <c r="AC7521" s="3" t="s">
        <v>32344</v>
      </c>
      <c r="AD7521" s="9">
        <v>41832</v>
      </c>
      <c r="AE7521" s="3" t="s">
        <v>2377</v>
      </c>
      <c r="AF7521" s="3" t="s">
        <v>36</v>
      </c>
      <c r="AG7521" s="3" t="s">
        <v>2088</v>
      </c>
      <c r="AH7521" s="11">
        <f>HYPERLINK("https://my.pitchbook.com?c=49450-42T","View Company Online")</f>
      </c>
    </row>
    <row r="7522">
      <c r="A7522" s="12" t="s">
        <v>33218</v>
      </c>
      <c r="B7522" s="12" t="s">
        <v>16273</v>
      </c>
      <c r="C7522" s="19" t="s">
        <v>36</v>
      </c>
      <c r="D7522" s="19">
        <v>2</v>
      </c>
      <c r="E7522" s="19">
        <v>1</v>
      </c>
      <c r="F7522" s="19">
        <v>2</v>
      </c>
      <c r="G7522" s="15" t="s">
        <v>36</v>
      </c>
      <c r="H7522" s="14">
        <v>181.75</v>
      </c>
      <c r="I7522" s="18">
        <v>30</v>
      </c>
      <c r="J7522" s="12" t="s">
        <v>521</v>
      </c>
      <c r="K7522" s="13" t="s">
        <v>36</v>
      </c>
      <c r="L7522" s="15" t="s">
        <v>36</v>
      </c>
      <c r="M7522" s="12" t="s">
        <v>36</v>
      </c>
      <c r="N7522" s="12" t="s">
        <v>36</v>
      </c>
      <c r="O7522" s="17" t="s">
        <v>36</v>
      </c>
      <c r="P7522" s="12" t="s">
        <v>36</v>
      </c>
      <c r="Q7522" s="12" t="s">
        <v>36</v>
      </c>
      <c r="R7522" s="12" t="s">
        <v>36</v>
      </c>
      <c r="S7522" s="12" t="s">
        <v>36</v>
      </c>
      <c r="T7522" s="12" t="s">
        <v>5377</v>
      </c>
      <c r="U7522" s="12" t="s">
        <v>38</v>
      </c>
      <c r="V7522" s="12" t="s">
        <v>39</v>
      </c>
      <c r="W7522" s="12" t="s">
        <v>16274</v>
      </c>
      <c r="X7522" s="16" t="s">
        <v>14317</v>
      </c>
      <c r="Y7522" s="15" t="s">
        <v>42</v>
      </c>
      <c r="Z7522" s="14">
        <v>1.02</v>
      </c>
      <c r="AA7522" s="14">
        <v>3.4</v>
      </c>
      <c r="AB7522" s="12" t="s">
        <v>43</v>
      </c>
      <c r="AC7522" s="12" t="s">
        <v>16276</v>
      </c>
      <c r="AD7522" s="13">
        <v>41831</v>
      </c>
      <c r="AE7522" s="12" t="s">
        <v>1200</v>
      </c>
      <c r="AF7522" s="12" t="s">
        <v>1201</v>
      </c>
      <c r="AG7522" s="12" t="s">
        <v>10841</v>
      </c>
      <c r="AH7522" s="1">
        <f>HYPERLINK("https://my.pitchbook.com?c=86175-55T","View Company Online")</f>
      </c>
    </row>
    <row r="7523">
      <c r="A7523" s="3" t="s">
        <v>33219</v>
      </c>
      <c r="B7523" s="3" t="s">
        <v>33220</v>
      </c>
      <c r="C7523" s="5" t="s">
        <v>36</v>
      </c>
      <c r="D7523" s="5" t="s">
        <v>36</v>
      </c>
      <c r="E7523" s="5" t="s">
        <v>36</v>
      </c>
      <c r="F7523" s="5" t="s">
        <v>36</v>
      </c>
      <c r="G7523" s="6" t="s">
        <v>36</v>
      </c>
      <c r="H7523" s="4" t="s">
        <v>36</v>
      </c>
      <c r="I7523" s="7" t="s">
        <v>36</v>
      </c>
      <c r="J7523" s="3" t="s">
        <v>36</v>
      </c>
      <c r="K7523" s="9" t="s">
        <v>36</v>
      </c>
      <c r="L7523" s="6" t="s">
        <v>94</v>
      </c>
      <c r="M7523" s="3" t="s">
        <v>36</v>
      </c>
      <c r="N7523" s="3" t="s">
        <v>94</v>
      </c>
      <c r="O7523" s="8" t="s">
        <v>36</v>
      </c>
      <c r="P7523" s="3" t="s">
        <v>36</v>
      </c>
      <c r="Q7523" s="3" t="s">
        <v>36</v>
      </c>
      <c r="R7523" s="3" t="s">
        <v>36</v>
      </c>
      <c r="S7523" s="3" t="s">
        <v>36</v>
      </c>
      <c r="T7523" s="3" t="s">
        <v>3303</v>
      </c>
      <c r="U7523" s="3" t="s">
        <v>38</v>
      </c>
      <c r="V7523" s="3" t="s">
        <v>39</v>
      </c>
      <c r="W7523" s="3" t="s">
        <v>33221</v>
      </c>
      <c r="X7523" s="10" t="s">
        <v>3451</v>
      </c>
      <c r="Y7523" s="6" t="s">
        <v>192</v>
      </c>
      <c r="Z7523" s="4">
        <v>1.8</v>
      </c>
      <c r="AA7523" s="4" t="s">
        <v>36</v>
      </c>
      <c r="AB7523" s="3" t="s">
        <v>56</v>
      </c>
      <c r="AC7523" s="3" t="s">
        <v>33222</v>
      </c>
      <c r="AD7523" s="9">
        <v>41831</v>
      </c>
      <c r="AE7523" s="3" t="s">
        <v>1945</v>
      </c>
      <c r="AF7523" s="3" t="s">
        <v>33223</v>
      </c>
      <c r="AG7523" s="3" t="s">
        <v>1078</v>
      </c>
      <c r="AH7523" s="11">
        <f>HYPERLINK("https://my.pitchbook.com?c=125928-46T","View Company Online")</f>
      </c>
    </row>
    <row r="7524">
      <c r="A7524" s="12" t="s">
        <v>33224</v>
      </c>
      <c r="B7524" s="12" t="s">
        <v>24663</v>
      </c>
      <c r="C7524" s="19" t="s">
        <v>36</v>
      </c>
      <c r="D7524" s="19" t="s">
        <v>36</v>
      </c>
      <c r="E7524" s="19" t="s">
        <v>36</v>
      </c>
      <c r="F7524" s="19" t="s">
        <v>36</v>
      </c>
      <c r="G7524" s="15" t="s">
        <v>36</v>
      </c>
      <c r="H7524" s="14" t="s">
        <v>36</v>
      </c>
      <c r="I7524" s="18" t="s">
        <v>36</v>
      </c>
      <c r="J7524" s="12" t="s">
        <v>36</v>
      </c>
      <c r="K7524" s="13">
        <v>41688</v>
      </c>
      <c r="L7524" s="15" t="s">
        <v>122</v>
      </c>
      <c r="M7524" s="12" t="s">
        <v>36</v>
      </c>
      <c r="N7524" s="12" t="s">
        <v>122</v>
      </c>
      <c r="O7524" s="17" t="s">
        <v>36</v>
      </c>
      <c r="P7524" s="12" t="s">
        <v>36</v>
      </c>
      <c r="Q7524" s="12" t="s">
        <v>36</v>
      </c>
      <c r="R7524" s="12" t="s">
        <v>36</v>
      </c>
      <c r="S7524" s="12" t="s">
        <v>36</v>
      </c>
      <c r="T7524" s="12" t="s">
        <v>522</v>
      </c>
      <c r="U7524" s="12" t="s">
        <v>38</v>
      </c>
      <c r="V7524" s="12" t="s">
        <v>39</v>
      </c>
      <c r="W7524" s="12" t="s">
        <v>24664</v>
      </c>
      <c r="X7524" s="16" t="s">
        <v>33225</v>
      </c>
      <c r="Y7524" s="15" t="s">
        <v>42</v>
      </c>
      <c r="Z7524" s="14">
        <v>4.08</v>
      </c>
      <c r="AA7524" s="14" t="s">
        <v>36</v>
      </c>
      <c r="AB7524" s="12" t="s">
        <v>43</v>
      </c>
      <c r="AC7524" s="12" t="s">
        <v>24666</v>
      </c>
      <c r="AD7524" s="13">
        <v>41831</v>
      </c>
      <c r="AE7524" s="12" t="s">
        <v>110</v>
      </c>
      <c r="AF7524" s="12" t="s">
        <v>24667</v>
      </c>
      <c r="AG7524" s="12" t="s">
        <v>2088</v>
      </c>
      <c r="AH7524" s="1">
        <f>HYPERLINK("https://my.pitchbook.com?c=70347-88T","View Company Online")</f>
      </c>
    </row>
    <row r="7525">
      <c r="A7525" s="3" t="s">
        <v>33226</v>
      </c>
      <c r="B7525" s="3" t="s">
        <v>29782</v>
      </c>
      <c r="C7525" s="5" t="s">
        <v>36</v>
      </c>
      <c r="D7525" s="5" t="s">
        <v>36</v>
      </c>
      <c r="E7525" s="5" t="s">
        <v>36</v>
      </c>
      <c r="F7525" s="5" t="s">
        <v>36</v>
      </c>
      <c r="G7525" s="6" t="s">
        <v>36</v>
      </c>
      <c r="H7525" s="4">
        <v>0.29</v>
      </c>
      <c r="I7525" s="7">
        <v>18.3</v>
      </c>
      <c r="J7525" s="3" t="s">
        <v>521</v>
      </c>
      <c r="K7525" s="9">
        <v>41623</v>
      </c>
      <c r="L7525" s="6" t="s">
        <v>36</v>
      </c>
      <c r="M7525" s="3" t="s">
        <v>36</v>
      </c>
      <c r="N7525" s="3" t="s">
        <v>36</v>
      </c>
      <c r="O7525" s="8" t="s">
        <v>36</v>
      </c>
      <c r="P7525" s="3" t="s">
        <v>36</v>
      </c>
      <c r="Q7525" s="3" t="s">
        <v>36</v>
      </c>
      <c r="R7525" s="3" t="s">
        <v>36</v>
      </c>
      <c r="S7525" s="3" t="s">
        <v>36</v>
      </c>
      <c r="T7525" s="3" t="s">
        <v>1701</v>
      </c>
      <c r="U7525" s="3" t="s">
        <v>74</v>
      </c>
      <c r="V7525" s="3" t="s">
        <v>75</v>
      </c>
      <c r="W7525" s="3" t="s">
        <v>29783</v>
      </c>
      <c r="X7525" s="10" t="s">
        <v>33227</v>
      </c>
      <c r="Y7525" s="6" t="s">
        <v>42</v>
      </c>
      <c r="Z7525" s="4">
        <v>0.43</v>
      </c>
      <c r="AA7525" s="4">
        <v>2.33</v>
      </c>
      <c r="AB7525" s="3" t="s">
        <v>43</v>
      </c>
      <c r="AC7525" s="3" t="s">
        <v>29785</v>
      </c>
      <c r="AD7525" s="9">
        <v>41830</v>
      </c>
      <c r="AE7525" s="3" t="s">
        <v>79</v>
      </c>
      <c r="AF7525" s="3" t="s">
        <v>10797</v>
      </c>
      <c r="AG7525" s="3" t="s">
        <v>29786</v>
      </c>
      <c r="AH7525" s="11">
        <f>HYPERLINK("https://my.pitchbook.com?c=102089-62T","View Company Online")</f>
      </c>
    </row>
    <row r="7526">
      <c r="A7526" s="12" t="s">
        <v>33228</v>
      </c>
      <c r="B7526" s="12" t="s">
        <v>33229</v>
      </c>
      <c r="C7526" s="19">
        <v>1</v>
      </c>
      <c r="D7526" s="19">
        <v>9</v>
      </c>
      <c r="E7526" s="19">
        <v>4</v>
      </c>
      <c r="F7526" s="19">
        <v>11</v>
      </c>
      <c r="G7526" s="15" t="s">
        <v>36</v>
      </c>
      <c r="H7526" s="14" t="s">
        <v>36</v>
      </c>
      <c r="I7526" s="18" t="s">
        <v>36</v>
      </c>
      <c r="J7526" s="12" t="s">
        <v>36</v>
      </c>
      <c r="K7526" s="13" t="s">
        <v>36</v>
      </c>
      <c r="L7526" s="15" t="s">
        <v>36</v>
      </c>
      <c r="M7526" s="12" t="s">
        <v>36</v>
      </c>
      <c r="N7526" s="12" t="s">
        <v>36</v>
      </c>
      <c r="O7526" s="17" t="s">
        <v>36</v>
      </c>
      <c r="P7526" s="12" t="s">
        <v>36</v>
      </c>
      <c r="Q7526" s="12" t="s">
        <v>36</v>
      </c>
      <c r="R7526" s="12" t="s">
        <v>36</v>
      </c>
      <c r="S7526" s="12" t="s">
        <v>36</v>
      </c>
      <c r="T7526" s="12" t="s">
        <v>9281</v>
      </c>
      <c r="U7526" s="12" t="s">
        <v>38</v>
      </c>
      <c r="V7526" s="12" t="s">
        <v>39</v>
      </c>
      <c r="W7526" s="12" t="s">
        <v>33230</v>
      </c>
      <c r="X7526" s="16" t="s">
        <v>33231</v>
      </c>
      <c r="Y7526" s="15" t="s">
        <v>42</v>
      </c>
      <c r="Z7526" s="14" t="s">
        <v>36</v>
      </c>
      <c r="AA7526" s="14" t="s">
        <v>36</v>
      </c>
      <c r="AB7526" s="12" t="s">
        <v>43</v>
      </c>
      <c r="AC7526" s="12" t="s">
        <v>33232</v>
      </c>
      <c r="AD7526" s="13">
        <v>41830</v>
      </c>
      <c r="AE7526" s="12" t="s">
        <v>1945</v>
      </c>
      <c r="AF7526" s="12" t="s">
        <v>5001</v>
      </c>
      <c r="AG7526" s="12" t="s">
        <v>652</v>
      </c>
      <c r="AH7526" s="1">
        <f>HYPERLINK("https://my.pitchbook.com?c=51986-89T","View Company Online")</f>
      </c>
    </row>
    <row r="7527">
      <c r="A7527" s="3" t="s">
        <v>33233</v>
      </c>
      <c r="B7527" s="3" t="s">
        <v>17779</v>
      </c>
      <c r="C7527" s="5" t="s">
        <v>36</v>
      </c>
      <c r="D7527" s="5" t="s">
        <v>36</v>
      </c>
      <c r="E7527" s="5" t="s">
        <v>36</v>
      </c>
      <c r="F7527" s="5" t="s">
        <v>36</v>
      </c>
      <c r="G7527" s="6" t="s">
        <v>36</v>
      </c>
      <c r="H7527" s="4" t="s">
        <v>36</v>
      </c>
      <c r="I7527" s="7">
        <v>18</v>
      </c>
      <c r="J7527" s="3" t="s">
        <v>521</v>
      </c>
      <c r="K7527" s="9" t="s">
        <v>36</v>
      </c>
      <c r="L7527" s="6" t="s">
        <v>36</v>
      </c>
      <c r="M7527" s="3" t="s">
        <v>36</v>
      </c>
      <c r="N7527" s="3" t="s">
        <v>36</v>
      </c>
      <c r="O7527" s="8" t="s">
        <v>36</v>
      </c>
      <c r="P7527" s="3" t="s">
        <v>36</v>
      </c>
      <c r="Q7527" s="3" t="s">
        <v>36</v>
      </c>
      <c r="R7527" s="3" t="s">
        <v>36</v>
      </c>
      <c r="S7527" s="3" t="s">
        <v>36</v>
      </c>
      <c r="T7527" s="3" t="s">
        <v>3729</v>
      </c>
      <c r="U7527" s="3" t="s">
        <v>219</v>
      </c>
      <c r="V7527" s="3" t="s">
        <v>75</v>
      </c>
      <c r="W7527" s="3" t="s">
        <v>17780</v>
      </c>
      <c r="X7527" s="10" t="s">
        <v>29451</v>
      </c>
      <c r="Y7527" s="6" t="s">
        <v>42</v>
      </c>
      <c r="Z7527" s="4">
        <v>1.02</v>
      </c>
      <c r="AA7527" s="4">
        <v>5.67</v>
      </c>
      <c r="AB7527" s="3" t="s">
        <v>43</v>
      </c>
      <c r="AC7527" s="3" t="s">
        <v>17781</v>
      </c>
      <c r="AD7527" s="9">
        <v>41830</v>
      </c>
      <c r="AE7527" s="3" t="s">
        <v>1032</v>
      </c>
      <c r="AF7527" s="3" t="s">
        <v>1969</v>
      </c>
      <c r="AG7527" s="3" t="s">
        <v>382</v>
      </c>
      <c r="AH7527" s="11">
        <f>HYPERLINK("https://my.pitchbook.com?c=102480-58T","View Company Online")</f>
      </c>
    </row>
    <row r="7528">
      <c r="A7528" s="12" t="s">
        <v>33234</v>
      </c>
      <c r="B7528" s="12" t="s">
        <v>17924</v>
      </c>
      <c r="C7528" s="19" t="s">
        <v>36</v>
      </c>
      <c r="D7528" s="19" t="s">
        <v>36</v>
      </c>
      <c r="E7528" s="19" t="s">
        <v>36</v>
      </c>
      <c r="F7528" s="19" t="s">
        <v>36</v>
      </c>
      <c r="G7528" s="15" t="s">
        <v>36</v>
      </c>
      <c r="H7528" s="14" t="s">
        <v>36</v>
      </c>
      <c r="I7528" s="18" t="s">
        <v>36</v>
      </c>
      <c r="J7528" s="12" t="s">
        <v>36</v>
      </c>
      <c r="K7528" s="13" t="s">
        <v>36</v>
      </c>
      <c r="L7528" s="15" t="s">
        <v>36</v>
      </c>
      <c r="M7528" s="12" t="s">
        <v>36</v>
      </c>
      <c r="N7528" s="12" t="s">
        <v>36</v>
      </c>
      <c r="O7528" s="17" t="s">
        <v>36</v>
      </c>
      <c r="P7528" s="12" t="s">
        <v>36</v>
      </c>
      <c r="Q7528" s="12" t="s">
        <v>36</v>
      </c>
      <c r="R7528" s="12" t="s">
        <v>36</v>
      </c>
      <c r="S7528" s="12" t="s">
        <v>36</v>
      </c>
      <c r="T7528" s="12" t="s">
        <v>3545</v>
      </c>
      <c r="U7528" s="12" t="s">
        <v>38</v>
      </c>
      <c r="V7528" s="12" t="s">
        <v>39</v>
      </c>
      <c r="W7528" s="12" t="s">
        <v>17925</v>
      </c>
      <c r="X7528" s="16" t="s">
        <v>33235</v>
      </c>
      <c r="Y7528" s="15" t="s">
        <v>42</v>
      </c>
      <c r="Z7528" s="14">
        <v>2.72</v>
      </c>
      <c r="AA7528" s="14" t="s">
        <v>36</v>
      </c>
      <c r="AB7528" s="12" t="s">
        <v>56</v>
      </c>
      <c r="AC7528" s="12" t="s">
        <v>17926</v>
      </c>
      <c r="AD7528" s="13">
        <v>41830</v>
      </c>
      <c r="AE7528" s="12" t="s">
        <v>1945</v>
      </c>
      <c r="AF7528" s="12" t="s">
        <v>36</v>
      </c>
      <c r="AG7528" s="12" t="s">
        <v>741</v>
      </c>
      <c r="AH7528" s="1">
        <f>HYPERLINK("https://my.pitchbook.com?c=35702-11T","View Company Online")</f>
      </c>
    </row>
    <row r="7529">
      <c r="A7529" s="3" t="s">
        <v>33236</v>
      </c>
      <c r="B7529" s="3" t="s">
        <v>33237</v>
      </c>
      <c r="C7529" s="5" t="s">
        <v>36</v>
      </c>
      <c r="D7529" s="5" t="s">
        <v>36</v>
      </c>
      <c r="E7529" s="5" t="s">
        <v>36</v>
      </c>
      <c r="F7529" s="5" t="s">
        <v>36</v>
      </c>
      <c r="G7529" s="6" t="s">
        <v>36</v>
      </c>
      <c r="H7529" s="4" t="s">
        <v>36</v>
      </c>
      <c r="I7529" s="7" t="s">
        <v>36</v>
      </c>
      <c r="J7529" s="3" t="s">
        <v>36</v>
      </c>
      <c r="K7529" s="9" t="s">
        <v>36</v>
      </c>
      <c r="L7529" s="6" t="s">
        <v>36</v>
      </c>
      <c r="M7529" s="3" t="s">
        <v>36</v>
      </c>
      <c r="N7529" s="3" t="s">
        <v>36</v>
      </c>
      <c r="O7529" s="8" t="s">
        <v>36</v>
      </c>
      <c r="P7529" s="3" t="s">
        <v>36</v>
      </c>
      <c r="Q7529" s="3" t="s">
        <v>36</v>
      </c>
      <c r="R7529" s="3" t="s">
        <v>36</v>
      </c>
      <c r="S7529" s="3" t="s">
        <v>36</v>
      </c>
      <c r="T7529" s="3" t="s">
        <v>647</v>
      </c>
      <c r="U7529" s="3" t="s">
        <v>648</v>
      </c>
      <c r="V7529" s="3" t="s">
        <v>64</v>
      </c>
      <c r="W7529" s="3" t="s">
        <v>33238</v>
      </c>
      <c r="X7529" s="10" t="s">
        <v>2869</v>
      </c>
      <c r="Y7529" s="6" t="s">
        <v>108</v>
      </c>
      <c r="Z7529" s="4">
        <v>2.04</v>
      </c>
      <c r="AA7529" s="4" t="s">
        <v>36</v>
      </c>
      <c r="AB7529" s="3" t="s">
        <v>43</v>
      </c>
      <c r="AC7529" s="3" t="s">
        <v>33239</v>
      </c>
      <c r="AD7529" s="9">
        <v>41829</v>
      </c>
      <c r="AE7529" s="3" t="s">
        <v>651</v>
      </c>
      <c r="AF7529" s="3" t="s">
        <v>118</v>
      </c>
      <c r="AG7529" s="3" t="s">
        <v>81</v>
      </c>
      <c r="AH7529" s="11">
        <f>HYPERLINK("https://my.pitchbook.com?c=36510-22T","View Company Online")</f>
      </c>
    </row>
    <row r="7530">
      <c r="A7530" s="12" t="s">
        <v>33240</v>
      </c>
      <c r="B7530" s="12" t="s">
        <v>24086</v>
      </c>
      <c r="C7530" s="19" t="s">
        <v>36</v>
      </c>
      <c r="D7530" s="19" t="s">
        <v>36</v>
      </c>
      <c r="E7530" s="19" t="s">
        <v>36</v>
      </c>
      <c r="F7530" s="19" t="s">
        <v>36</v>
      </c>
      <c r="G7530" s="15" t="s">
        <v>36</v>
      </c>
      <c r="H7530" s="14" t="s">
        <v>36</v>
      </c>
      <c r="I7530" s="18">
        <v>22.46</v>
      </c>
      <c r="J7530" s="12" t="s">
        <v>327</v>
      </c>
      <c r="K7530" s="13" t="s">
        <v>36</v>
      </c>
      <c r="L7530" s="15" t="s">
        <v>36</v>
      </c>
      <c r="M7530" s="12" t="s">
        <v>36</v>
      </c>
      <c r="N7530" s="12" t="s">
        <v>36</v>
      </c>
      <c r="O7530" s="17" t="s">
        <v>36</v>
      </c>
      <c r="P7530" s="12" t="s">
        <v>36</v>
      </c>
      <c r="Q7530" s="12" t="s">
        <v>36</v>
      </c>
      <c r="R7530" s="12" t="s">
        <v>36</v>
      </c>
      <c r="S7530" s="12" t="s">
        <v>36</v>
      </c>
      <c r="T7530" s="12" t="s">
        <v>189</v>
      </c>
      <c r="U7530" s="12" t="s">
        <v>180</v>
      </c>
      <c r="V7530" s="12" t="s">
        <v>52</v>
      </c>
      <c r="W7530" s="12" t="s">
        <v>24087</v>
      </c>
      <c r="X7530" s="16" t="s">
        <v>33241</v>
      </c>
      <c r="Y7530" s="15" t="s">
        <v>108</v>
      </c>
      <c r="Z7530" s="14">
        <v>0.68</v>
      </c>
      <c r="AA7530" s="14">
        <v>3.03</v>
      </c>
      <c r="AB7530" s="12" t="s">
        <v>43</v>
      </c>
      <c r="AC7530" s="12" t="s">
        <v>24089</v>
      </c>
      <c r="AD7530" s="13">
        <v>41829</v>
      </c>
      <c r="AE7530" s="12" t="s">
        <v>184</v>
      </c>
      <c r="AF7530" s="12" t="s">
        <v>3514</v>
      </c>
      <c r="AG7530" s="12" t="s">
        <v>81</v>
      </c>
      <c r="AH7530" s="1">
        <f>HYPERLINK("https://my.pitchbook.com?c=103328-02T","View Company Online")</f>
      </c>
    </row>
    <row r="7531">
      <c r="A7531" s="3" t="s">
        <v>33242</v>
      </c>
      <c r="B7531" s="3" t="s">
        <v>33243</v>
      </c>
      <c r="C7531" s="5" t="s">
        <v>36</v>
      </c>
      <c r="D7531" s="5" t="s">
        <v>36</v>
      </c>
      <c r="E7531" s="5" t="s">
        <v>36</v>
      </c>
      <c r="F7531" s="5" t="s">
        <v>36</v>
      </c>
      <c r="G7531" s="6" t="s">
        <v>36</v>
      </c>
      <c r="H7531" s="4" t="s">
        <v>36</v>
      </c>
      <c r="I7531" s="7" t="s">
        <v>36</v>
      </c>
      <c r="J7531" s="3" t="s">
        <v>36</v>
      </c>
      <c r="K7531" s="9" t="s">
        <v>36</v>
      </c>
      <c r="L7531" s="6" t="s">
        <v>36</v>
      </c>
      <c r="M7531" s="3" t="s">
        <v>36</v>
      </c>
      <c r="N7531" s="3" t="s">
        <v>36</v>
      </c>
      <c r="O7531" s="8" t="s">
        <v>36</v>
      </c>
      <c r="P7531" s="3" t="s">
        <v>36</v>
      </c>
      <c r="Q7531" s="3" t="s">
        <v>36</v>
      </c>
      <c r="R7531" s="3" t="s">
        <v>36</v>
      </c>
      <c r="S7531" s="3" t="s">
        <v>36</v>
      </c>
      <c r="T7531" s="3" t="s">
        <v>1701</v>
      </c>
      <c r="U7531" s="3" t="s">
        <v>74</v>
      </c>
      <c r="V7531" s="3" t="s">
        <v>75</v>
      </c>
      <c r="W7531" s="3" t="s">
        <v>33244</v>
      </c>
      <c r="X7531" s="10" t="s">
        <v>33245</v>
      </c>
      <c r="Y7531" s="6" t="s">
        <v>42</v>
      </c>
      <c r="Z7531" s="4">
        <v>2.04</v>
      </c>
      <c r="AA7531" s="4" t="s">
        <v>36</v>
      </c>
      <c r="AB7531" s="3" t="s">
        <v>43</v>
      </c>
      <c r="AC7531" s="3" t="s">
        <v>33246</v>
      </c>
      <c r="AD7531" s="9">
        <v>41827</v>
      </c>
      <c r="AE7531" s="3" t="s">
        <v>79</v>
      </c>
      <c r="AF7531" s="3" t="s">
        <v>33247</v>
      </c>
      <c r="AG7531" s="3" t="s">
        <v>81</v>
      </c>
      <c r="AH7531" s="11">
        <f>HYPERLINK("https://my.pitchbook.com?c=40641-85T","View Company Online")</f>
      </c>
    </row>
    <row r="7532">
      <c r="A7532" s="12" t="s">
        <v>33248</v>
      </c>
      <c r="B7532" s="12" t="s">
        <v>6693</v>
      </c>
      <c r="C7532" s="19" t="s">
        <v>36</v>
      </c>
      <c r="D7532" s="19" t="s">
        <v>36</v>
      </c>
      <c r="E7532" s="19" t="s">
        <v>36</v>
      </c>
      <c r="F7532" s="19" t="s">
        <v>36</v>
      </c>
      <c r="G7532" s="15" t="s">
        <v>36</v>
      </c>
      <c r="H7532" s="14" t="s">
        <v>36</v>
      </c>
      <c r="I7532" s="18" t="s">
        <v>36</v>
      </c>
      <c r="J7532" s="12" t="s">
        <v>36</v>
      </c>
      <c r="K7532" s="13" t="s">
        <v>36</v>
      </c>
      <c r="L7532" s="15" t="s">
        <v>36</v>
      </c>
      <c r="M7532" s="12" t="s">
        <v>36</v>
      </c>
      <c r="N7532" s="12" t="s">
        <v>36</v>
      </c>
      <c r="O7532" s="17" t="s">
        <v>36</v>
      </c>
      <c r="P7532" s="12" t="s">
        <v>36</v>
      </c>
      <c r="Q7532" s="12" t="s">
        <v>36</v>
      </c>
      <c r="R7532" s="12" t="s">
        <v>36</v>
      </c>
      <c r="S7532" s="12" t="s">
        <v>36</v>
      </c>
      <c r="T7532" s="12" t="s">
        <v>6694</v>
      </c>
      <c r="U7532" s="12" t="s">
        <v>728</v>
      </c>
      <c r="V7532" s="12" t="s">
        <v>64</v>
      </c>
      <c r="W7532" s="12" t="s">
        <v>6695</v>
      </c>
      <c r="X7532" s="16" t="s">
        <v>33249</v>
      </c>
      <c r="Y7532" s="15" t="s">
        <v>108</v>
      </c>
      <c r="Z7532" s="14">
        <v>1.36</v>
      </c>
      <c r="AA7532" s="14" t="s">
        <v>36</v>
      </c>
      <c r="AB7532" s="12" t="s">
        <v>43</v>
      </c>
      <c r="AC7532" s="12" t="s">
        <v>6697</v>
      </c>
      <c r="AD7532" s="13">
        <v>41827</v>
      </c>
      <c r="AE7532" s="12" t="s">
        <v>2154</v>
      </c>
      <c r="AF7532" s="12" t="s">
        <v>2118</v>
      </c>
      <c r="AG7532" s="12" t="s">
        <v>81</v>
      </c>
      <c r="AH7532" s="1">
        <f>HYPERLINK("https://my.pitchbook.com?c=54734-05T","View Company Online")</f>
      </c>
    </row>
    <row r="7533">
      <c r="A7533" s="3" t="s">
        <v>33250</v>
      </c>
      <c r="B7533" s="3" t="s">
        <v>33251</v>
      </c>
      <c r="C7533" s="5" t="s">
        <v>36</v>
      </c>
      <c r="D7533" s="5" t="s">
        <v>36</v>
      </c>
      <c r="E7533" s="5" t="s">
        <v>36</v>
      </c>
      <c r="F7533" s="5" t="s">
        <v>36</v>
      </c>
      <c r="G7533" s="6" t="s">
        <v>36</v>
      </c>
      <c r="H7533" s="4" t="s">
        <v>36</v>
      </c>
      <c r="I7533" s="7" t="s">
        <v>36</v>
      </c>
      <c r="J7533" s="3" t="s">
        <v>36</v>
      </c>
      <c r="K7533" s="9" t="s">
        <v>36</v>
      </c>
      <c r="L7533" s="6" t="s">
        <v>36</v>
      </c>
      <c r="M7533" s="3" t="s">
        <v>36</v>
      </c>
      <c r="N7533" s="3" t="s">
        <v>36</v>
      </c>
      <c r="O7533" s="8" t="s">
        <v>36</v>
      </c>
      <c r="P7533" s="3" t="s">
        <v>36</v>
      </c>
      <c r="Q7533" s="3" t="s">
        <v>36</v>
      </c>
      <c r="R7533" s="3" t="s">
        <v>36</v>
      </c>
      <c r="S7533" s="3" t="s">
        <v>36</v>
      </c>
      <c r="T7533" s="3" t="s">
        <v>9193</v>
      </c>
      <c r="U7533" s="3" t="s">
        <v>74</v>
      </c>
      <c r="V7533" s="3" t="s">
        <v>75</v>
      </c>
      <c r="W7533" s="3" t="s">
        <v>33252</v>
      </c>
      <c r="X7533" s="10" t="s">
        <v>11579</v>
      </c>
      <c r="Y7533" s="6" t="s">
        <v>108</v>
      </c>
      <c r="Z7533" s="4" t="s">
        <v>36</v>
      </c>
      <c r="AA7533" s="4" t="s">
        <v>36</v>
      </c>
      <c r="AB7533" s="3" t="s">
        <v>56</v>
      </c>
      <c r="AC7533" s="3" t="s">
        <v>33253</v>
      </c>
      <c r="AD7533" s="9">
        <v>41827</v>
      </c>
      <c r="AE7533" s="3" t="s">
        <v>79</v>
      </c>
      <c r="AF7533" s="3" t="s">
        <v>33254</v>
      </c>
      <c r="AG7533" s="3" t="s">
        <v>81</v>
      </c>
      <c r="AH7533" s="11">
        <f>HYPERLINK("https://my.pitchbook.com?c=85174-39T","View Company Online")</f>
      </c>
    </row>
    <row r="7534">
      <c r="A7534" s="12" t="s">
        <v>33255</v>
      </c>
      <c r="B7534" s="12" t="s">
        <v>33256</v>
      </c>
      <c r="C7534" s="19" t="s">
        <v>36</v>
      </c>
      <c r="D7534" s="19">
        <v>18</v>
      </c>
      <c r="E7534" s="19">
        <v>6</v>
      </c>
      <c r="F7534" s="19">
        <v>20</v>
      </c>
      <c r="G7534" s="15" t="s">
        <v>36</v>
      </c>
      <c r="H7534" s="14">
        <v>329.3</v>
      </c>
      <c r="I7534" s="18">
        <v>33.33</v>
      </c>
      <c r="J7534" s="12" t="s">
        <v>521</v>
      </c>
      <c r="K7534" s="13" t="s">
        <v>36</v>
      </c>
      <c r="L7534" s="15" t="s">
        <v>36</v>
      </c>
      <c r="M7534" s="12" t="s">
        <v>36</v>
      </c>
      <c r="N7534" s="12" t="s">
        <v>36</v>
      </c>
      <c r="O7534" s="17" t="s">
        <v>36</v>
      </c>
      <c r="P7534" s="12" t="s">
        <v>36</v>
      </c>
      <c r="Q7534" s="12" t="s">
        <v>36</v>
      </c>
      <c r="R7534" s="12" t="s">
        <v>36</v>
      </c>
      <c r="S7534" s="12" t="s">
        <v>36</v>
      </c>
      <c r="T7534" s="12" t="s">
        <v>33257</v>
      </c>
      <c r="U7534" s="12" t="s">
        <v>219</v>
      </c>
      <c r="V7534" s="12" t="s">
        <v>75</v>
      </c>
      <c r="W7534" s="12" t="s">
        <v>33258</v>
      </c>
      <c r="X7534" s="16" t="s">
        <v>33259</v>
      </c>
      <c r="Y7534" s="15" t="s">
        <v>42</v>
      </c>
      <c r="Z7534" s="14">
        <v>1.36</v>
      </c>
      <c r="AA7534" s="14">
        <v>2.65</v>
      </c>
      <c r="AB7534" s="12" t="s">
        <v>43</v>
      </c>
      <c r="AC7534" s="12" t="s">
        <v>33260</v>
      </c>
      <c r="AD7534" s="13">
        <v>41824</v>
      </c>
      <c r="AE7534" s="12" t="s">
        <v>1032</v>
      </c>
      <c r="AF7534" s="12" t="s">
        <v>571</v>
      </c>
      <c r="AG7534" s="12" t="s">
        <v>144</v>
      </c>
      <c r="AH7534" s="1">
        <f>HYPERLINK("https://my.pitchbook.com?c=44434-63T","View Company Online")</f>
      </c>
    </row>
    <row r="7535">
      <c r="A7535" s="3" t="s">
        <v>33261</v>
      </c>
      <c r="B7535" s="3" t="s">
        <v>33262</v>
      </c>
      <c r="C7535" s="5" t="s">
        <v>36</v>
      </c>
      <c r="D7535" s="5">
        <v>2</v>
      </c>
      <c r="E7535" s="5">
        <v>1</v>
      </c>
      <c r="F7535" s="5">
        <v>2</v>
      </c>
      <c r="G7535" s="6" t="s">
        <v>36</v>
      </c>
      <c r="H7535" s="4" t="s">
        <v>36</v>
      </c>
      <c r="I7535" s="7" t="s">
        <v>36</v>
      </c>
      <c r="J7535" s="3" t="s">
        <v>36</v>
      </c>
      <c r="K7535" s="9" t="s">
        <v>36</v>
      </c>
      <c r="L7535" s="6" t="s">
        <v>36</v>
      </c>
      <c r="M7535" s="3" t="s">
        <v>36</v>
      </c>
      <c r="N7535" s="3" t="s">
        <v>36</v>
      </c>
      <c r="O7535" s="8" t="s">
        <v>36</v>
      </c>
      <c r="P7535" s="3" t="s">
        <v>36</v>
      </c>
      <c r="Q7535" s="3" t="s">
        <v>36</v>
      </c>
      <c r="R7535" s="3" t="s">
        <v>36</v>
      </c>
      <c r="S7535" s="3" t="s">
        <v>36</v>
      </c>
      <c r="T7535" s="3" t="s">
        <v>105</v>
      </c>
      <c r="U7535" s="3" t="s">
        <v>38</v>
      </c>
      <c r="V7535" s="3" t="s">
        <v>39</v>
      </c>
      <c r="W7535" s="3" t="s">
        <v>33263</v>
      </c>
      <c r="X7535" s="10" t="s">
        <v>33264</v>
      </c>
      <c r="Y7535" s="6" t="s">
        <v>108</v>
      </c>
      <c r="Z7535" s="4">
        <v>0.68</v>
      </c>
      <c r="AA7535" s="4" t="s">
        <v>36</v>
      </c>
      <c r="AB7535" s="3" t="s">
        <v>43</v>
      </c>
      <c r="AC7535" s="3" t="s">
        <v>33265</v>
      </c>
      <c r="AD7535" s="9">
        <v>41823</v>
      </c>
      <c r="AE7535" s="3" t="s">
        <v>110</v>
      </c>
      <c r="AF7535" s="3" t="s">
        <v>4552</v>
      </c>
      <c r="AG7535" s="3" t="s">
        <v>8850</v>
      </c>
      <c r="AH7535" s="11">
        <f>HYPERLINK("https://my.pitchbook.com?c=37084-96T","View Company Online")</f>
      </c>
    </row>
    <row r="7536">
      <c r="A7536" s="12" t="s">
        <v>33266</v>
      </c>
      <c r="B7536" s="12" t="s">
        <v>23692</v>
      </c>
      <c r="C7536" s="19" t="s">
        <v>36</v>
      </c>
      <c r="D7536" s="19" t="s">
        <v>36</v>
      </c>
      <c r="E7536" s="19" t="s">
        <v>36</v>
      </c>
      <c r="F7536" s="19" t="s">
        <v>36</v>
      </c>
      <c r="G7536" s="15" t="s">
        <v>36</v>
      </c>
      <c r="H7536" s="14" t="s">
        <v>36</v>
      </c>
      <c r="I7536" s="18" t="s">
        <v>36</v>
      </c>
      <c r="J7536" s="12" t="s">
        <v>36</v>
      </c>
      <c r="K7536" s="13" t="s">
        <v>36</v>
      </c>
      <c r="L7536" s="15" t="s">
        <v>122</v>
      </c>
      <c r="M7536" s="12" t="s">
        <v>36</v>
      </c>
      <c r="N7536" s="12" t="s">
        <v>122</v>
      </c>
      <c r="O7536" s="17" t="s">
        <v>36</v>
      </c>
      <c r="P7536" s="12" t="s">
        <v>36</v>
      </c>
      <c r="Q7536" s="12" t="s">
        <v>36</v>
      </c>
      <c r="R7536" s="12" t="s">
        <v>36</v>
      </c>
      <c r="S7536" s="12" t="s">
        <v>36</v>
      </c>
      <c r="T7536" s="12" t="s">
        <v>9494</v>
      </c>
      <c r="U7536" s="12" t="s">
        <v>38</v>
      </c>
      <c r="V7536" s="12" t="s">
        <v>39</v>
      </c>
      <c r="W7536" s="12" t="s">
        <v>23693</v>
      </c>
      <c r="X7536" s="16" t="s">
        <v>33267</v>
      </c>
      <c r="Y7536" s="15" t="s">
        <v>42</v>
      </c>
      <c r="Z7536" s="14">
        <v>4</v>
      </c>
      <c r="AA7536" s="14" t="s">
        <v>36</v>
      </c>
      <c r="AB7536" s="12" t="s">
        <v>43</v>
      </c>
      <c r="AC7536" s="12" t="s">
        <v>23695</v>
      </c>
      <c r="AD7536" s="13">
        <v>41823</v>
      </c>
      <c r="AE7536" s="12" t="s">
        <v>554</v>
      </c>
      <c r="AF7536" s="12" t="s">
        <v>1296</v>
      </c>
      <c r="AG7536" s="12" t="s">
        <v>81</v>
      </c>
      <c r="AH7536" s="1">
        <f>HYPERLINK("https://my.pitchbook.com?c=47875-69T","View Company Online")</f>
      </c>
    </row>
    <row r="7537">
      <c r="A7537" s="3" t="s">
        <v>33268</v>
      </c>
      <c r="B7537" s="3" t="s">
        <v>33269</v>
      </c>
      <c r="C7537" s="5" t="s">
        <v>36</v>
      </c>
      <c r="D7537" s="5" t="s">
        <v>36</v>
      </c>
      <c r="E7537" s="5" t="s">
        <v>36</v>
      </c>
      <c r="F7537" s="5" t="s">
        <v>36</v>
      </c>
      <c r="G7537" s="6" t="s">
        <v>36</v>
      </c>
      <c r="H7537" s="4" t="s">
        <v>36</v>
      </c>
      <c r="I7537" s="7" t="s">
        <v>36</v>
      </c>
      <c r="J7537" s="3" t="s">
        <v>36</v>
      </c>
      <c r="K7537" s="9" t="s">
        <v>36</v>
      </c>
      <c r="L7537" s="6" t="s">
        <v>36</v>
      </c>
      <c r="M7537" s="3" t="s">
        <v>36</v>
      </c>
      <c r="N7537" s="3" t="s">
        <v>36</v>
      </c>
      <c r="O7537" s="8" t="s">
        <v>36</v>
      </c>
      <c r="P7537" s="3" t="s">
        <v>36</v>
      </c>
      <c r="Q7537" s="3" t="s">
        <v>36</v>
      </c>
      <c r="R7537" s="3" t="s">
        <v>36</v>
      </c>
      <c r="S7537" s="3" t="s">
        <v>36</v>
      </c>
      <c r="T7537" s="3" t="s">
        <v>33270</v>
      </c>
      <c r="U7537" s="3" t="s">
        <v>833</v>
      </c>
      <c r="V7537" s="3" t="s">
        <v>64</v>
      </c>
      <c r="W7537" s="3" t="s">
        <v>33271</v>
      </c>
      <c r="X7537" s="10" t="s">
        <v>10702</v>
      </c>
      <c r="Y7537" s="6" t="s">
        <v>42</v>
      </c>
      <c r="Z7537" s="4">
        <v>1.09</v>
      </c>
      <c r="AA7537" s="4" t="s">
        <v>36</v>
      </c>
      <c r="AB7537" s="3" t="s">
        <v>56</v>
      </c>
      <c r="AC7537" s="3" t="s">
        <v>33272</v>
      </c>
      <c r="AD7537" s="9">
        <v>41823</v>
      </c>
      <c r="AE7537" s="3" t="s">
        <v>1769</v>
      </c>
      <c r="AF7537" s="3" t="s">
        <v>20865</v>
      </c>
      <c r="AG7537" s="3" t="s">
        <v>81</v>
      </c>
      <c r="AH7537" s="11">
        <f>HYPERLINK("https://my.pitchbook.com?c=35357-50T","View Company Online")</f>
      </c>
    </row>
    <row r="7538">
      <c r="A7538" s="12" t="s">
        <v>33273</v>
      </c>
      <c r="B7538" s="12" t="s">
        <v>9219</v>
      </c>
      <c r="C7538" s="19" t="s">
        <v>36</v>
      </c>
      <c r="D7538" s="19" t="s">
        <v>36</v>
      </c>
      <c r="E7538" s="19" t="s">
        <v>36</v>
      </c>
      <c r="F7538" s="19" t="s">
        <v>36</v>
      </c>
      <c r="G7538" s="15" t="s">
        <v>326</v>
      </c>
      <c r="H7538" s="14">
        <v>20.94</v>
      </c>
      <c r="I7538" s="18">
        <v>17.96</v>
      </c>
      <c r="J7538" s="12" t="s">
        <v>521</v>
      </c>
      <c r="K7538" s="13" t="s">
        <v>36</v>
      </c>
      <c r="L7538" s="15" t="s">
        <v>36</v>
      </c>
      <c r="M7538" s="12" t="s">
        <v>36</v>
      </c>
      <c r="N7538" s="12" t="s">
        <v>36</v>
      </c>
      <c r="O7538" s="17" t="s">
        <v>36</v>
      </c>
      <c r="P7538" s="12" t="s">
        <v>36</v>
      </c>
      <c r="Q7538" s="12" t="s">
        <v>36</v>
      </c>
      <c r="R7538" s="12" t="s">
        <v>36</v>
      </c>
      <c r="S7538" s="12" t="s">
        <v>36</v>
      </c>
      <c r="T7538" s="12" t="s">
        <v>5302</v>
      </c>
      <c r="U7538" s="12" t="s">
        <v>74</v>
      </c>
      <c r="V7538" s="12" t="s">
        <v>75</v>
      </c>
      <c r="W7538" s="12" t="s">
        <v>9220</v>
      </c>
      <c r="X7538" s="16" t="s">
        <v>33274</v>
      </c>
      <c r="Y7538" s="15" t="s">
        <v>108</v>
      </c>
      <c r="Z7538" s="14">
        <v>1.9</v>
      </c>
      <c r="AA7538" s="14">
        <v>5.23</v>
      </c>
      <c r="AB7538" s="12" t="s">
        <v>43</v>
      </c>
      <c r="AC7538" s="12" t="s">
        <v>9222</v>
      </c>
      <c r="AD7538" s="13">
        <v>41822</v>
      </c>
      <c r="AE7538" s="12" t="s">
        <v>362</v>
      </c>
      <c r="AF7538" s="12" t="s">
        <v>9223</v>
      </c>
      <c r="AG7538" s="12" t="s">
        <v>9224</v>
      </c>
      <c r="AH7538" s="1">
        <f>HYPERLINK("https://my.pitchbook.com?c=113209-57T","View Company Online")</f>
      </c>
    </row>
    <row r="7539">
      <c r="A7539" s="3" t="s">
        <v>33275</v>
      </c>
      <c r="B7539" s="3" t="s">
        <v>33276</v>
      </c>
      <c r="C7539" s="5" t="s">
        <v>36</v>
      </c>
      <c r="D7539" s="5" t="s">
        <v>36</v>
      </c>
      <c r="E7539" s="5" t="s">
        <v>36</v>
      </c>
      <c r="F7539" s="5" t="s">
        <v>36</v>
      </c>
      <c r="G7539" s="6" t="s">
        <v>36</v>
      </c>
      <c r="H7539" s="4" t="s">
        <v>36</v>
      </c>
      <c r="I7539" s="7" t="s">
        <v>36</v>
      </c>
      <c r="J7539" s="3" t="s">
        <v>36</v>
      </c>
      <c r="K7539" s="9" t="s">
        <v>36</v>
      </c>
      <c r="L7539" s="6" t="s">
        <v>36</v>
      </c>
      <c r="M7539" s="3" t="s">
        <v>36</v>
      </c>
      <c r="N7539" s="3" t="s">
        <v>36</v>
      </c>
      <c r="O7539" s="8" t="s">
        <v>36</v>
      </c>
      <c r="P7539" s="3" t="s">
        <v>36</v>
      </c>
      <c r="Q7539" s="3" t="s">
        <v>36</v>
      </c>
      <c r="R7539" s="3" t="s">
        <v>36</v>
      </c>
      <c r="S7539" s="3" t="s">
        <v>36</v>
      </c>
      <c r="T7539" s="3" t="s">
        <v>25925</v>
      </c>
      <c r="U7539" s="3" t="s">
        <v>85</v>
      </c>
      <c r="V7539" s="3" t="s">
        <v>64</v>
      </c>
      <c r="W7539" s="3" t="s">
        <v>33277</v>
      </c>
      <c r="X7539" s="10" t="s">
        <v>33278</v>
      </c>
      <c r="Y7539" s="6" t="s">
        <v>42</v>
      </c>
      <c r="Z7539" s="4" t="s">
        <v>36</v>
      </c>
      <c r="AA7539" s="4" t="s">
        <v>36</v>
      </c>
      <c r="AB7539" s="3" t="s">
        <v>43</v>
      </c>
      <c r="AC7539" s="3" t="s">
        <v>33279</v>
      </c>
      <c r="AD7539" s="9">
        <v>41821</v>
      </c>
      <c r="AE7539" s="3" t="s">
        <v>89</v>
      </c>
      <c r="AF7539" s="3" t="s">
        <v>11966</v>
      </c>
      <c r="AG7539" s="3" t="s">
        <v>102</v>
      </c>
      <c r="AH7539" s="11">
        <f>HYPERLINK("https://my.pitchbook.com?c=49153-60T","View Company Online")</f>
      </c>
    </row>
    <row r="7540">
      <c r="A7540" s="12" t="s">
        <v>33280</v>
      </c>
      <c r="B7540" s="12" t="s">
        <v>12151</v>
      </c>
      <c r="C7540" s="19" t="s">
        <v>36</v>
      </c>
      <c r="D7540" s="19">
        <v>4</v>
      </c>
      <c r="E7540" s="19">
        <v>2</v>
      </c>
      <c r="F7540" s="19">
        <v>4</v>
      </c>
      <c r="G7540" s="15" t="s">
        <v>326</v>
      </c>
      <c r="H7540" s="14">
        <v>284.57</v>
      </c>
      <c r="I7540" s="18">
        <v>14.06</v>
      </c>
      <c r="J7540" s="12" t="s">
        <v>521</v>
      </c>
      <c r="K7540" s="13" t="s">
        <v>36</v>
      </c>
      <c r="L7540" s="15" t="s">
        <v>1279</v>
      </c>
      <c r="M7540" s="12" t="s">
        <v>36</v>
      </c>
      <c r="N7540" s="12" t="s">
        <v>1279</v>
      </c>
      <c r="O7540" s="17" t="s">
        <v>36</v>
      </c>
      <c r="P7540" s="12" t="s">
        <v>36</v>
      </c>
      <c r="Q7540" s="12" t="s">
        <v>3530</v>
      </c>
      <c r="R7540" s="12" t="s">
        <v>36</v>
      </c>
      <c r="S7540" s="12" t="s">
        <v>36</v>
      </c>
      <c r="T7540" s="12" t="s">
        <v>4692</v>
      </c>
      <c r="U7540" s="12" t="s">
        <v>85</v>
      </c>
      <c r="V7540" s="12" t="s">
        <v>64</v>
      </c>
      <c r="W7540" s="12" t="s">
        <v>12152</v>
      </c>
      <c r="X7540" s="16" t="s">
        <v>33281</v>
      </c>
      <c r="Y7540" s="15" t="s">
        <v>192</v>
      </c>
      <c r="Z7540" s="14">
        <v>99.43</v>
      </c>
      <c r="AA7540" s="14">
        <v>387</v>
      </c>
      <c r="AB7540" s="12" t="s">
        <v>56</v>
      </c>
      <c r="AC7540" s="12" t="s">
        <v>12155</v>
      </c>
      <c r="AD7540" s="13">
        <v>41821</v>
      </c>
      <c r="AE7540" s="12" t="s">
        <v>89</v>
      </c>
      <c r="AF7540" s="12" t="s">
        <v>12156</v>
      </c>
      <c r="AG7540" s="12" t="s">
        <v>81</v>
      </c>
      <c r="AH7540" s="1">
        <f>HYPERLINK("https://my.pitchbook.com?c=35257-42T","View Company Online")</f>
      </c>
    </row>
    <row r="7541">
      <c r="A7541" s="3" t="s">
        <v>33282</v>
      </c>
      <c r="B7541" s="3" t="s">
        <v>33283</v>
      </c>
      <c r="C7541" s="5" t="s">
        <v>36</v>
      </c>
      <c r="D7541" s="5">
        <v>2</v>
      </c>
      <c r="E7541" s="5">
        <v>2</v>
      </c>
      <c r="F7541" s="5">
        <v>4</v>
      </c>
      <c r="G7541" s="6" t="s">
        <v>36</v>
      </c>
      <c r="H7541" s="4" t="s">
        <v>36</v>
      </c>
      <c r="I7541" s="7" t="s">
        <v>36</v>
      </c>
      <c r="J7541" s="3" t="s">
        <v>36</v>
      </c>
      <c r="K7541" s="9" t="s">
        <v>36</v>
      </c>
      <c r="L7541" s="6" t="s">
        <v>36</v>
      </c>
      <c r="M7541" s="3" t="s">
        <v>36</v>
      </c>
      <c r="N7541" s="3" t="s">
        <v>36</v>
      </c>
      <c r="O7541" s="8" t="s">
        <v>36</v>
      </c>
      <c r="P7541" s="3" t="s">
        <v>36</v>
      </c>
      <c r="Q7541" s="3" t="s">
        <v>36</v>
      </c>
      <c r="R7541" s="3" t="s">
        <v>36</v>
      </c>
      <c r="S7541" s="3" t="s">
        <v>36</v>
      </c>
      <c r="T7541" s="3" t="s">
        <v>33284</v>
      </c>
      <c r="U7541" s="3" t="s">
        <v>219</v>
      </c>
      <c r="V7541" s="3" t="s">
        <v>75</v>
      </c>
      <c r="W7541" s="3" t="s">
        <v>33285</v>
      </c>
      <c r="X7541" s="10" t="s">
        <v>33286</v>
      </c>
      <c r="Y7541" s="6" t="s">
        <v>42</v>
      </c>
      <c r="Z7541" s="4">
        <v>2.04</v>
      </c>
      <c r="AA7541" s="4" t="s">
        <v>36</v>
      </c>
      <c r="AB7541" s="3" t="s">
        <v>43</v>
      </c>
      <c r="AC7541" s="3" t="s">
        <v>33287</v>
      </c>
      <c r="AD7541" s="9">
        <v>41821</v>
      </c>
      <c r="AE7541" s="3" t="s">
        <v>2914</v>
      </c>
      <c r="AF7541" s="3" t="s">
        <v>33288</v>
      </c>
      <c r="AG7541" s="3" t="s">
        <v>81</v>
      </c>
      <c r="AH7541" s="11">
        <f>HYPERLINK("https://my.pitchbook.com?c=31776-94T","View Company Online")</f>
      </c>
    </row>
    <row r="7542">
      <c r="A7542" s="12" t="s">
        <v>33289</v>
      </c>
      <c r="B7542" s="12" t="s">
        <v>30681</v>
      </c>
      <c r="C7542" s="19">
        <v>3</v>
      </c>
      <c r="D7542" s="19">
        <v>30</v>
      </c>
      <c r="E7542" s="19">
        <v>12</v>
      </c>
      <c r="F7542" s="19">
        <v>40</v>
      </c>
      <c r="G7542" s="15" t="s">
        <v>36</v>
      </c>
      <c r="H7542" s="14" t="s">
        <v>36</v>
      </c>
      <c r="I7542" s="18">
        <v>21.34</v>
      </c>
      <c r="J7542" s="12" t="s">
        <v>521</v>
      </c>
      <c r="K7542" s="13" t="s">
        <v>36</v>
      </c>
      <c r="L7542" s="15" t="s">
        <v>36</v>
      </c>
      <c r="M7542" s="12" t="s">
        <v>36</v>
      </c>
      <c r="N7542" s="12" t="s">
        <v>36</v>
      </c>
      <c r="O7542" s="17" t="s">
        <v>36</v>
      </c>
      <c r="P7542" s="12" t="s">
        <v>36</v>
      </c>
      <c r="Q7542" s="12" t="s">
        <v>36</v>
      </c>
      <c r="R7542" s="12" t="s">
        <v>36</v>
      </c>
      <c r="S7542" s="12" t="s">
        <v>36</v>
      </c>
      <c r="T7542" s="12" t="s">
        <v>3729</v>
      </c>
      <c r="U7542" s="12" t="s">
        <v>219</v>
      </c>
      <c r="V7542" s="12" t="s">
        <v>75</v>
      </c>
      <c r="W7542" s="12" t="s">
        <v>30682</v>
      </c>
      <c r="X7542" s="16" t="s">
        <v>33290</v>
      </c>
      <c r="Y7542" s="15" t="s">
        <v>42</v>
      </c>
      <c r="Z7542" s="14">
        <v>0.82</v>
      </c>
      <c r="AA7542" s="14">
        <v>3.82</v>
      </c>
      <c r="AB7542" s="12" t="s">
        <v>43</v>
      </c>
      <c r="AC7542" s="12" t="s">
        <v>30684</v>
      </c>
      <c r="AD7542" s="13">
        <v>41821</v>
      </c>
      <c r="AE7542" s="12" t="s">
        <v>1032</v>
      </c>
      <c r="AF7542" s="12" t="s">
        <v>10212</v>
      </c>
      <c r="AG7542" s="12" t="s">
        <v>30685</v>
      </c>
      <c r="AH7542" s="1">
        <f>HYPERLINK("https://my.pitchbook.com?c=38617-48T","View Company Online")</f>
      </c>
    </row>
    <row r="7543">
      <c r="A7543" s="3" t="s">
        <v>33291</v>
      </c>
      <c r="B7543" s="3" t="s">
        <v>33292</v>
      </c>
      <c r="C7543" s="5" t="s">
        <v>36</v>
      </c>
      <c r="D7543" s="5">
        <v>2</v>
      </c>
      <c r="E7543" s="5">
        <v>2</v>
      </c>
      <c r="F7543" s="5">
        <v>6</v>
      </c>
      <c r="G7543" s="6" t="s">
        <v>36</v>
      </c>
      <c r="H7543" s="4" t="s">
        <v>36</v>
      </c>
      <c r="I7543" s="7" t="s">
        <v>36</v>
      </c>
      <c r="J7543" s="3" t="s">
        <v>36</v>
      </c>
      <c r="K7543" s="9" t="s">
        <v>36</v>
      </c>
      <c r="L7543" s="6" t="s">
        <v>36</v>
      </c>
      <c r="M7543" s="3" t="s">
        <v>36</v>
      </c>
      <c r="N7543" s="3" t="s">
        <v>36</v>
      </c>
      <c r="O7543" s="8" t="s">
        <v>36</v>
      </c>
      <c r="P7543" s="3" t="s">
        <v>36</v>
      </c>
      <c r="Q7543" s="3" t="s">
        <v>36</v>
      </c>
      <c r="R7543" s="3" t="s">
        <v>36</v>
      </c>
      <c r="S7543" s="3" t="s">
        <v>36</v>
      </c>
      <c r="T7543" s="3" t="s">
        <v>18140</v>
      </c>
      <c r="U7543" s="3" t="s">
        <v>38</v>
      </c>
      <c r="V7543" s="3" t="s">
        <v>39</v>
      </c>
      <c r="W7543" s="3" t="s">
        <v>33293</v>
      </c>
      <c r="X7543" s="10" t="s">
        <v>11579</v>
      </c>
      <c r="Y7543" s="6" t="s">
        <v>42</v>
      </c>
      <c r="Z7543" s="4">
        <v>0.94</v>
      </c>
      <c r="AA7543" s="4" t="s">
        <v>36</v>
      </c>
      <c r="AB7543" s="3" t="s">
        <v>43</v>
      </c>
      <c r="AC7543" s="3" t="s">
        <v>33294</v>
      </c>
      <c r="AD7543" s="9">
        <v>41821</v>
      </c>
      <c r="AE7543" s="3" t="s">
        <v>110</v>
      </c>
      <c r="AF7543" s="3" t="s">
        <v>25016</v>
      </c>
      <c r="AG7543" s="3" t="s">
        <v>33295</v>
      </c>
      <c r="AH7543" s="11">
        <f>HYPERLINK("https://my.pitchbook.com?c=84945-07T","View Company Online")</f>
      </c>
    </row>
    <row r="7544">
      <c r="A7544" s="12" t="s">
        <v>33296</v>
      </c>
      <c r="B7544" s="12" t="s">
        <v>33297</v>
      </c>
      <c r="C7544" s="19" t="s">
        <v>36</v>
      </c>
      <c r="D7544" s="19" t="s">
        <v>36</v>
      </c>
      <c r="E7544" s="19" t="s">
        <v>36</v>
      </c>
      <c r="F7544" s="19" t="s">
        <v>36</v>
      </c>
      <c r="G7544" s="15" t="s">
        <v>36</v>
      </c>
      <c r="H7544" s="14" t="s">
        <v>36</v>
      </c>
      <c r="I7544" s="18" t="s">
        <v>36</v>
      </c>
      <c r="J7544" s="12" t="s">
        <v>36</v>
      </c>
      <c r="K7544" s="13">
        <v>41548</v>
      </c>
      <c r="L7544" s="15" t="s">
        <v>36</v>
      </c>
      <c r="M7544" s="12" t="s">
        <v>36</v>
      </c>
      <c r="N7544" s="12" t="s">
        <v>36</v>
      </c>
      <c r="O7544" s="17" t="s">
        <v>36</v>
      </c>
      <c r="P7544" s="12" t="s">
        <v>36</v>
      </c>
      <c r="Q7544" s="12" t="s">
        <v>36</v>
      </c>
      <c r="R7544" s="12" t="s">
        <v>36</v>
      </c>
      <c r="S7544" s="12" t="s">
        <v>36</v>
      </c>
      <c r="T7544" s="12" t="s">
        <v>7575</v>
      </c>
      <c r="U7544" s="12" t="s">
        <v>85</v>
      </c>
      <c r="V7544" s="12" t="s">
        <v>64</v>
      </c>
      <c r="W7544" s="12" t="s">
        <v>33298</v>
      </c>
      <c r="X7544" s="16" t="s">
        <v>13431</v>
      </c>
      <c r="Y7544" s="15" t="s">
        <v>42</v>
      </c>
      <c r="Z7544" s="14">
        <v>40.81</v>
      </c>
      <c r="AA7544" s="14" t="s">
        <v>36</v>
      </c>
      <c r="AB7544" s="12" t="s">
        <v>43</v>
      </c>
      <c r="AC7544" s="12" t="s">
        <v>33299</v>
      </c>
      <c r="AD7544" s="13">
        <v>41821</v>
      </c>
      <c r="AE7544" s="12" t="s">
        <v>3645</v>
      </c>
      <c r="AF7544" s="12" t="s">
        <v>1507</v>
      </c>
      <c r="AG7544" s="12" t="s">
        <v>81</v>
      </c>
      <c r="AH7544" s="1">
        <f>HYPERLINK("https://my.pitchbook.com?c=103516-12T","View Company Online")</f>
      </c>
    </row>
    <row r="7545">
      <c r="A7545" s="3" t="s">
        <v>33300</v>
      </c>
      <c r="B7545" s="3" t="s">
        <v>27981</v>
      </c>
      <c r="C7545" s="5">
        <v>1</v>
      </c>
      <c r="D7545" s="5">
        <v>12</v>
      </c>
      <c r="E7545" s="5">
        <v>6</v>
      </c>
      <c r="F7545" s="5">
        <v>21</v>
      </c>
      <c r="G7545" s="6" t="s">
        <v>36</v>
      </c>
      <c r="H7545" s="4" t="s">
        <v>36</v>
      </c>
      <c r="I7545" s="7" t="s">
        <v>36</v>
      </c>
      <c r="J7545" s="3" t="s">
        <v>36</v>
      </c>
      <c r="K7545" s="9">
        <v>41766</v>
      </c>
      <c r="L7545" s="6" t="s">
        <v>36</v>
      </c>
      <c r="M7545" s="3" t="s">
        <v>36</v>
      </c>
      <c r="N7545" s="3" t="s">
        <v>36</v>
      </c>
      <c r="O7545" s="8" t="s">
        <v>36</v>
      </c>
      <c r="P7545" s="3" t="s">
        <v>36</v>
      </c>
      <c r="Q7545" s="3" t="s">
        <v>36</v>
      </c>
      <c r="R7545" s="3" t="s">
        <v>36</v>
      </c>
      <c r="S7545" s="3" t="s">
        <v>36</v>
      </c>
      <c r="T7545" s="3" t="s">
        <v>661</v>
      </c>
      <c r="U7545" s="3" t="s">
        <v>51</v>
      </c>
      <c r="V7545" s="3" t="s">
        <v>52</v>
      </c>
      <c r="W7545" s="3" t="s">
        <v>27982</v>
      </c>
      <c r="X7545" s="10" t="s">
        <v>33301</v>
      </c>
      <c r="Y7545" s="6" t="s">
        <v>108</v>
      </c>
      <c r="Z7545" s="4">
        <v>4.9</v>
      </c>
      <c r="AA7545" s="4" t="s">
        <v>36</v>
      </c>
      <c r="AB7545" s="3" t="s">
        <v>56</v>
      </c>
      <c r="AC7545" s="3" t="s">
        <v>27984</v>
      </c>
      <c r="AD7545" s="9">
        <v>41821</v>
      </c>
      <c r="AE7545" s="3" t="s">
        <v>158</v>
      </c>
      <c r="AF7545" s="3" t="s">
        <v>665</v>
      </c>
      <c r="AG7545" s="3" t="s">
        <v>14541</v>
      </c>
      <c r="AH7545" s="11">
        <f>HYPERLINK("https://my.pitchbook.com?c=135256-42T","View Company Online")</f>
      </c>
    </row>
    <row r="7546">
      <c r="A7546" s="12" t="s">
        <v>33302</v>
      </c>
      <c r="B7546" s="12" t="s">
        <v>33303</v>
      </c>
      <c r="C7546" s="19" t="s">
        <v>36</v>
      </c>
      <c r="D7546" s="19" t="s">
        <v>36</v>
      </c>
      <c r="E7546" s="19" t="s">
        <v>36</v>
      </c>
      <c r="F7546" s="19" t="s">
        <v>36</v>
      </c>
      <c r="G7546" s="15" t="s">
        <v>36</v>
      </c>
      <c r="H7546" s="14" t="s">
        <v>36</v>
      </c>
      <c r="I7546" s="18" t="s">
        <v>36</v>
      </c>
      <c r="J7546" s="12" t="s">
        <v>36</v>
      </c>
      <c r="K7546" s="13" t="s">
        <v>36</v>
      </c>
      <c r="L7546" s="15" t="s">
        <v>36</v>
      </c>
      <c r="M7546" s="12" t="s">
        <v>36</v>
      </c>
      <c r="N7546" s="12" t="s">
        <v>36</v>
      </c>
      <c r="O7546" s="17" t="s">
        <v>36</v>
      </c>
      <c r="P7546" s="12" t="s">
        <v>36</v>
      </c>
      <c r="Q7546" s="12" t="s">
        <v>36</v>
      </c>
      <c r="R7546" s="12" t="s">
        <v>36</v>
      </c>
      <c r="S7546" s="12" t="s">
        <v>36</v>
      </c>
      <c r="T7546" s="12" t="s">
        <v>6469</v>
      </c>
      <c r="U7546" s="12" t="s">
        <v>956</v>
      </c>
      <c r="V7546" s="12" t="s">
        <v>405</v>
      </c>
      <c r="W7546" s="12" t="s">
        <v>33304</v>
      </c>
      <c r="X7546" s="16" t="s">
        <v>33305</v>
      </c>
      <c r="Y7546" s="15" t="s">
        <v>42</v>
      </c>
      <c r="Z7546" s="14">
        <v>1.5</v>
      </c>
      <c r="AA7546" s="14" t="s">
        <v>36</v>
      </c>
      <c r="AB7546" s="12" t="s">
        <v>43</v>
      </c>
      <c r="AC7546" s="12" t="s">
        <v>33306</v>
      </c>
      <c r="AD7546" s="13">
        <v>41821</v>
      </c>
      <c r="AE7546" s="12" t="s">
        <v>1851</v>
      </c>
      <c r="AF7546" s="12" t="s">
        <v>36</v>
      </c>
      <c r="AG7546" s="12" t="s">
        <v>81</v>
      </c>
      <c r="AH7546" s="1">
        <f>HYPERLINK("https://my.pitchbook.com?c=61382-80T","View Company Online")</f>
      </c>
    </row>
    <row r="7547">
      <c r="A7547" s="3" t="s">
        <v>33307</v>
      </c>
      <c r="B7547" s="3" t="s">
        <v>28748</v>
      </c>
      <c r="C7547" s="5" t="s">
        <v>36</v>
      </c>
      <c r="D7547" s="5" t="s">
        <v>36</v>
      </c>
      <c r="E7547" s="5" t="s">
        <v>36</v>
      </c>
      <c r="F7547" s="5" t="s">
        <v>36</v>
      </c>
      <c r="G7547" s="6" t="s">
        <v>36</v>
      </c>
      <c r="H7547" s="4" t="s">
        <v>36</v>
      </c>
      <c r="I7547" s="7" t="s">
        <v>36</v>
      </c>
      <c r="J7547" s="3" t="s">
        <v>36</v>
      </c>
      <c r="K7547" s="9" t="s">
        <v>36</v>
      </c>
      <c r="L7547" s="6" t="s">
        <v>36</v>
      </c>
      <c r="M7547" s="3" t="s">
        <v>36</v>
      </c>
      <c r="N7547" s="3" t="s">
        <v>36</v>
      </c>
      <c r="O7547" s="8" t="s">
        <v>36</v>
      </c>
      <c r="P7547" s="3" t="s">
        <v>36</v>
      </c>
      <c r="Q7547" s="3" t="s">
        <v>36</v>
      </c>
      <c r="R7547" s="3" t="s">
        <v>36</v>
      </c>
      <c r="S7547" s="3" t="s">
        <v>36</v>
      </c>
      <c r="T7547" s="3" t="s">
        <v>28749</v>
      </c>
      <c r="U7547" s="3" t="s">
        <v>38</v>
      </c>
      <c r="V7547" s="3" t="s">
        <v>39</v>
      </c>
      <c r="W7547" s="3" t="s">
        <v>28750</v>
      </c>
      <c r="X7547" s="10" t="s">
        <v>33308</v>
      </c>
      <c r="Y7547" s="6" t="s">
        <v>108</v>
      </c>
      <c r="Z7547" s="4" t="s">
        <v>36</v>
      </c>
      <c r="AA7547" s="4" t="s">
        <v>36</v>
      </c>
      <c r="AB7547" s="3" t="s">
        <v>43</v>
      </c>
      <c r="AC7547" s="3" t="s">
        <v>28752</v>
      </c>
      <c r="AD7547" s="9">
        <v>41821</v>
      </c>
      <c r="AE7547" s="3" t="s">
        <v>45</v>
      </c>
      <c r="AF7547" s="3" t="s">
        <v>1636</v>
      </c>
      <c r="AG7547" s="3" t="s">
        <v>81</v>
      </c>
      <c r="AH7547" s="11">
        <f>HYPERLINK("https://my.pitchbook.com?c=104378-86T","View Company Online")</f>
      </c>
    </row>
    <row r="7548">
      <c r="A7548" s="12" t="s">
        <v>33309</v>
      </c>
      <c r="B7548" s="12" t="s">
        <v>33310</v>
      </c>
      <c r="C7548" s="19" t="s">
        <v>36</v>
      </c>
      <c r="D7548" s="19" t="s">
        <v>36</v>
      </c>
      <c r="E7548" s="19" t="s">
        <v>36</v>
      </c>
      <c r="F7548" s="19" t="s">
        <v>36</v>
      </c>
      <c r="G7548" s="15" t="s">
        <v>36</v>
      </c>
      <c r="H7548" s="14" t="s">
        <v>36</v>
      </c>
      <c r="I7548" s="18" t="s">
        <v>36</v>
      </c>
      <c r="J7548" s="12" t="s">
        <v>36</v>
      </c>
      <c r="K7548" s="13" t="s">
        <v>36</v>
      </c>
      <c r="L7548" s="15" t="s">
        <v>36</v>
      </c>
      <c r="M7548" s="12" t="s">
        <v>36</v>
      </c>
      <c r="N7548" s="12" t="s">
        <v>36</v>
      </c>
      <c r="O7548" s="17" t="s">
        <v>36</v>
      </c>
      <c r="P7548" s="12" t="s">
        <v>36</v>
      </c>
      <c r="Q7548" s="12" t="s">
        <v>36</v>
      </c>
      <c r="R7548" s="12" t="s">
        <v>36</v>
      </c>
      <c r="S7548" s="12" t="s">
        <v>36</v>
      </c>
      <c r="T7548" s="12" t="s">
        <v>2755</v>
      </c>
      <c r="U7548" s="12" t="s">
        <v>38</v>
      </c>
      <c r="V7548" s="12" t="s">
        <v>39</v>
      </c>
      <c r="W7548" s="12" t="s">
        <v>33311</v>
      </c>
      <c r="X7548" s="16" t="s">
        <v>33312</v>
      </c>
      <c r="Y7548" s="15" t="s">
        <v>42</v>
      </c>
      <c r="Z7548" s="14" t="s">
        <v>36</v>
      </c>
      <c r="AA7548" s="14" t="s">
        <v>36</v>
      </c>
      <c r="AB7548" s="12" t="s">
        <v>43</v>
      </c>
      <c r="AC7548" s="12" t="s">
        <v>33313</v>
      </c>
      <c r="AD7548" s="13">
        <v>41821</v>
      </c>
      <c r="AE7548" s="12" t="s">
        <v>688</v>
      </c>
      <c r="AF7548" s="12" t="s">
        <v>4552</v>
      </c>
      <c r="AG7548" s="12" t="s">
        <v>81</v>
      </c>
      <c r="AH7548" s="1">
        <f>HYPERLINK("https://my.pitchbook.com?c=31505-86T","View Company Online")</f>
      </c>
    </row>
    <row r="7549">
      <c r="A7549" s="3" t="s">
        <v>33314</v>
      </c>
      <c r="B7549" s="3" t="s">
        <v>14892</v>
      </c>
      <c r="C7549" s="5" t="s">
        <v>36</v>
      </c>
      <c r="D7549" s="5" t="s">
        <v>36</v>
      </c>
      <c r="E7549" s="5" t="s">
        <v>36</v>
      </c>
      <c r="F7549" s="5" t="s">
        <v>36</v>
      </c>
      <c r="G7549" s="6" t="s">
        <v>36</v>
      </c>
      <c r="H7549" s="4" t="s">
        <v>36</v>
      </c>
      <c r="I7549" s="7" t="s">
        <v>36</v>
      </c>
      <c r="J7549" s="3" t="s">
        <v>36</v>
      </c>
      <c r="K7549" s="9" t="s">
        <v>36</v>
      </c>
      <c r="L7549" s="6" t="s">
        <v>36</v>
      </c>
      <c r="M7549" s="3" t="s">
        <v>36</v>
      </c>
      <c r="N7549" s="3" t="s">
        <v>36</v>
      </c>
      <c r="O7549" s="8" t="s">
        <v>36</v>
      </c>
      <c r="P7549" s="3" t="s">
        <v>36</v>
      </c>
      <c r="Q7549" s="3" t="s">
        <v>36</v>
      </c>
      <c r="R7549" s="3" t="s">
        <v>36</v>
      </c>
      <c r="S7549" s="3" t="s">
        <v>36</v>
      </c>
      <c r="T7549" s="3" t="s">
        <v>2490</v>
      </c>
      <c r="U7549" s="3" t="s">
        <v>318</v>
      </c>
      <c r="V7549" s="3" t="s">
        <v>39</v>
      </c>
      <c r="W7549" s="3" t="s">
        <v>14893</v>
      </c>
      <c r="X7549" s="10" t="s">
        <v>33315</v>
      </c>
      <c r="Y7549" s="6" t="s">
        <v>42</v>
      </c>
      <c r="Z7549" s="4" t="s">
        <v>36</v>
      </c>
      <c r="AA7549" s="4" t="s">
        <v>36</v>
      </c>
      <c r="AB7549" s="3" t="s">
        <v>43</v>
      </c>
      <c r="AC7549" s="3" t="s">
        <v>14895</v>
      </c>
      <c r="AD7549" s="9">
        <v>41821</v>
      </c>
      <c r="AE7549" s="3" t="s">
        <v>417</v>
      </c>
      <c r="AF7549" s="3" t="s">
        <v>7294</v>
      </c>
      <c r="AG7549" s="3" t="s">
        <v>969</v>
      </c>
      <c r="AH7549" s="11">
        <f>HYPERLINK("https://my.pitchbook.com?c=61289-20T","View Company Online")</f>
      </c>
    </row>
    <row r="7550">
      <c r="A7550" s="12" t="s">
        <v>33316</v>
      </c>
      <c r="B7550" s="12" t="s">
        <v>12776</v>
      </c>
      <c r="C7550" s="19">
        <v>7</v>
      </c>
      <c r="D7550" s="19">
        <v>7</v>
      </c>
      <c r="E7550" s="19">
        <v>10</v>
      </c>
      <c r="F7550" s="19">
        <v>18</v>
      </c>
      <c r="G7550" s="15" t="s">
        <v>36</v>
      </c>
      <c r="H7550" s="14" t="s">
        <v>36</v>
      </c>
      <c r="I7550" s="18" t="s">
        <v>36</v>
      </c>
      <c r="J7550" s="12" t="s">
        <v>36</v>
      </c>
      <c r="K7550" s="13" t="s">
        <v>36</v>
      </c>
      <c r="L7550" s="15" t="s">
        <v>36</v>
      </c>
      <c r="M7550" s="12" t="s">
        <v>36</v>
      </c>
      <c r="N7550" s="12" t="s">
        <v>36</v>
      </c>
      <c r="O7550" s="17" t="s">
        <v>36</v>
      </c>
      <c r="P7550" s="12" t="s">
        <v>36</v>
      </c>
      <c r="Q7550" s="12" t="s">
        <v>36</v>
      </c>
      <c r="R7550" s="12" t="s">
        <v>36</v>
      </c>
      <c r="S7550" s="12" t="s">
        <v>36</v>
      </c>
      <c r="T7550" s="12" t="s">
        <v>12777</v>
      </c>
      <c r="U7550" s="12" t="s">
        <v>1082</v>
      </c>
      <c r="V7550" s="12" t="s">
        <v>378</v>
      </c>
      <c r="W7550" s="12" t="s">
        <v>12778</v>
      </c>
      <c r="X7550" s="16" t="s">
        <v>33317</v>
      </c>
      <c r="Y7550" s="15" t="s">
        <v>42</v>
      </c>
      <c r="Z7550" s="14">
        <v>9.11</v>
      </c>
      <c r="AA7550" s="14" t="s">
        <v>36</v>
      </c>
      <c r="AB7550" s="12" t="s">
        <v>43</v>
      </c>
      <c r="AC7550" s="12" t="s">
        <v>12779</v>
      </c>
      <c r="AD7550" s="13">
        <v>41820</v>
      </c>
      <c r="AE7550" s="12" t="s">
        <v>10211</v>
      </c>
      <c r="AF7550" s="12" t="s">
        <v>571</v>
      </c>
      <c r="AG7550" s="12" t="s">
        <v>1078</v>
      </c>
      <c r="AH7550" s="1">
        <f>HYPERLINK("https://my.pitchbook.com?c=39047-23T","View Company Online")</f>
      </c>
    </row>
    <row r="7551">
      <c r="A7551" s="3" t="s">
        <v>33318</v>
      </c>
      <c r="B7551" s="3" t="s">
        <v>33319</v>
      </c>
      <c r="C7551" s="5" t="s">
        <v>36</v>
      </c>
      <c r="D7551" s="5" t="s">
        <v>36</v>
      </c>
      <c r="E7551" s="5" t="s">
        <v>36</v>
      </c>
      <c r="F7551" s="5" t="s">
        <v>36</v>
      </c>
      <c r="G7551" s="6" t="s">
        <v>36</v>
      </c>
      <c r="H7551" s="4" t="s">
        <v>36</v>
      </c>
      <c r="I7551" s="7" t="s">
        <v>36</v>
      </c>
      <c r="J7551" s="3" t="s">
        <v>36</v>
      </c>
      <c r="K7551" s="9" t="s">
        <v>36</v>
      </c>
      <c r="L7551" s="6" t="s">
        <v>36</v>
      </c>
      <c r="M7551" s="3" t="s">
        <v>36</v>
      </c>
      <c r="N7551" s="3" t="s">
        <v>36</v>
      </c>
      <c r="O7551" s="8" t="s">
        <v>36</v>
      </c>
      <c r="P7551" s="3" t="s">
        <v>36</v>
      </c>
      <c r="Q7551" s="3" t="s">
        <v>36</v>
      </c>
      <c r="R7551" s="3" t="s">
        <v>36</v>
      </c>
      <c r="S7551" s="3" t="s">
        <v>36</v>
      </c>
      <c r="T7551" s="3" t="s">
        <v>6462</v>
      </c>
      <c r="U7551" s="3" t="s">
        <v>1357</v>
      </c>
      <c r="V7551" s="3" t="s">
        <v>52</v>
      </c>
      <c r="W7551" s="3" t="s">
        <v>33320</v>
      </c>
      <c r="X7551" s="10" t="s">
        <v>33321</v>
      </c>
      <c r="Y7551" s="6" t="s">
        <v>108</v>
      </c>
      <c r="Z7551" s="4">
        <v>1.4</v>
      </c>
      <c r="AA7551" s="4" t="s">
        <v>36</v>
      </c>
      <c r="AB7551" s="3" t="s">
        <v>43</v>
      </c>
      <c r="AC7551" s="3" t="s">
        <v>33322</v>
      </c>
      <c r="AD7551" s="9">
        <v>41820</v>
      </c>
      <c r="AE7551" s="3" t="s">
        <v>2808</v>
      </c>
      <c r="AF7551" s="3" t="s">
        <v>15704</v>
      </c>
      <c r="AG7551" s="3" t="s">
        <v>81</v>
      </c>
      <c r="AH7551" s="11">
        <f>HYPERLINK("https://my.pitchbook.com?c=35190-82T","View Company Online")</f>
      </c>
    </row>
    <row r="7552">
      <c r="A7552" s="12" t="s">
        <v>33323</v>
      </c>
      <c r="B7552" s="12" t="s">
        <v>33324</v>
      </c>
      <c r="C7552" s="19">
        <v>1</v>
      </c>
      <c r="D7552" s="19">
        <v>31</v>
      </c>
      <c r="E7552" s="19">
        <v>8</v>
      </c>
      <c r="F7552" s="19">
        <v>33</v>
      </c>
      <c r="G7552" s="15" t="s">
        <v>683</v>
      </c>
      <c r="H7552" s="14">
        <v>103.86</v>
      </c>
      <c r="I7552" s="18">
        <v>7.62</v>
      </c>
      <c r="J7552" s="12" t="s">
        <v>521</v>
      </c>
      <c r="K7552" s="13" t="s">
        <v>36</v>
      </c>
      <c r="L7552" s="15" t="s">
        <v>36</v>
      </c>
      <c r="M7552" s="12" t="s">
        <v>36</v>
      </c>
      <c r="N7552" s="12" t="s">
        <v>36</v>
      </c>
      <c r="O7552" s="17" t="s">
        <v>36</v>
      </c>
      <c r="P7552" s="12" t="s">
        <v>36</v>
      </c>
      <c r="Q7552" s="12" t="s">
        <v>36</v>
      </c>
      <c r="R7552" s="12" t="s">
        <v>36</v>
      </c>
      <c r="S7552" s="12" t="s">
        <v>36</v>
      </c>
      <c r="T7552" s="12" t="s">
        <v>6247</v>
      </c>
      <c r="U7552" s="12" t="s">
        <v>85</v>
      </c>
      <c r="V7552" s="12" t="s">
        <v>64</v>
      </c>
      <c r="W7552" s="12" t="s">
        <v>33325</v>
      </c>
      <c r="X7552" s="16" t="s">
        <v>3656</v>
      </c>
      <c r="Y7552" s="15" t="s">
        <v>108</v>
      </c>
      <c r="Z7552" s="14">
        <v>0.56</v>
      </c>
      <c r="AA7552" s="14">
        <v>7.41</v>
      </c>
      <c r="AB7552" s="12" t="s">
        <v>56</v>
      </c>
      <c r="AC7552" s="12" t="s">
        <v>33326</v>
      </c>
      <c r="AD7552" s="13">
        <v>41820</v>
      </c>
      <c r="AE7552" s="12" t="s">
        <v>89</v>
      </c>
      <c r="AF7552" s="12" t="s">
        <v>601</v>
      </c>
      <c r="AG7552" s="12" t="s">
        <v>27771</v>
      </c>
      <c r="AH7552" s="1">
        <f>HYPERLINK("https://my.pitchbook.com?c=215775-91T","View Company Online")</f>
      </c>
    </row>
    <row r="7553">
      <c r="A7553" s="3" t="s">
        <v>33327</v>
      </c>
      <c r="B7553" s="3" t="s">
        <v>17554</v>
      </c>
      <c r="C7553" s="5" t="s">
        <v>36</v>
      </c>
      <c r="D7553" s="5">
        <v>55</v>
      </c>
      <c r="E7553" s="5">
        <v>17</v>
      </c>
      <c r="F7553" s="5">
        <v>58</v>
      </c>
      <c r="G7553" s="6" t="s">
        <v>36</v>
      </c>
      <c r="H7553" s="4">
        <v>1.53</v>
      </c>
      <c r="I7553" s="7">
        <v>55.57</v>
      </c>
      <c r="J7553" s="3" t="s">
        <v>521</v>
      </c>
      <c r="K7553" s="9" t="s">
        <v>36</v>
      </c>
      <c r="L7553" s="6" t="s">
        <v>36</v>
      </c>
      <c r="M7553" s="3" t="s">
        <v>36</v>
      </c>
      <c r="N7553" s="3" t="s">
        <v>36</v>
      </c>
      <c r="O7553" s="8" t="s">
        <v>36</v>
      </c>
      <c r="P7553" s="3" t="s">
        <v>36</v>
      </c>
      <c r="Q7553" s="3" t="s">
        <v>36</v>
      </c>
      <c r="R7553" s="3" t="s">
        <v>36</v>
      </c>
      <c r="S7553" s="3" t="s">
        <v>36</v>
      </c>
      <c r="T7553" s="3" t="s">
        <v>17555</v>
      </c>
      <c r="U7553" s="3" t="s">
        <v>366</v>
      </c>
      <c r="V7553" s="3" t="s">
        <v>367</v>
      </c>
      <c r="W7553" s="3" t="s">
        <v>17556</v>
      </c>
      <c r="X7553" s="10" t="s">
        <v>33328</v>
      </c>
      <c r="Y7553" s="6" t="s">
        <v>42</v>
      </c>
      <c r="Z7553" s="4">
        <v>5.85</v>
      </c>
      <c r="AA7553" s="4">
        <v>10.52</v>
      </c>
      <c r="AB7553" s="3" t="s">
        <v>56</v>
      </c>
      <c r="AC7553" s="3" t="s">
        <v>17558</v>
      </c>
      <c r="AD7553" s="9">
        <v>41820</v>
      </c>
      <c r="AE7553" s="3" t="s">
        <v>600</v>
      </c>
      <c r="AF7553" s="3" t="s">
        <v>17559</v>
      </c>
      <c r="AG7553" s="3" t="s">
        <v>3508</v>
      </c>
      <c r="AH7553" s="11">
        <f>HYPERLINK("https://my.pitchbook.com?c=43868-80T","View Company Online")</f>
      </c>
    </row>
    <row r="7554">
      <c r="A7554" s="12" t="s">
        <v>33329</v>
      </c>
      <c r="B7554" s="12" t="s">
        <v>33330</v>
      </c>
      <c r="C7554" s="19" t="s">
        <v>36</v>
      </c>
      <c r="D7554" s="19" t="s">
        <v>36</v>
      </c>
      <c r="E7554" s="19" t="s">
        <v>36</v>
      </c>
      <c r="F7554" s="19" t="s">
        <v>36</v>
      </c>
      <c r="G7554" s="15" t="s">
        <v>36</v>
      </c>
      <c r="H7554" s="14">
        <v>10.39</v>
      </c>
      <c r="I7554" s="18">
        <v>48.23</v>
      </c>
      <c r="J7554" s="12" t="s">
        <v>521</v>
      </c>
      <c r="K7554" s="13" t="s">
        <v>36</v>
      </c>
      <c r="L7554" s="15" t="s">
        <v>36</v>
      </c>
      <c r="M7554" s="12" t="s">
        <v>36</v>
      </c>
      <c r="N7554" s="12" t="s">
        <v>36</v>
      </c>
      <c r="O7554" s="17" t="s">
        <v>36</v>
      </c>
      <c r="P7554" s="12" t="s">
        <v>36</v>
      </c>
      <c r="Q7554" s="12" t="s">
        <v>36</v>
      </c>
      <c r="R7554" s="12" t="s">
        <v>36</v>
      </c>
      <c r="S7554" s="12" t="s">
        <v>36</v>
      </c>
      <c r="T7554" s="12" t="s">
        <v>2483</v>
      </c>
      <c r="U7554" s="12" t="s">
        <v>63</v>
      </c>
      <c r="V7554" s="12" t="s">
        <v>64</v>
      </c>
      <c r="W7554" s="12" t="s">
        <v>33331</v>
      </c>
      <c r="X7554" s="16" t="s">
        <v>2130</v>
      </c>
      <c r="Y7554" s="15" t="s">
        <v>42</v>
      </c>
      <c r="Z7554" s="14">
        <v>1.97</v>
      </c>
      <c r="AA7554" s="14">
        <v>4.08</v>
      </c>
      <c r="AB7554" s="12" t="s">
        <v>43</v>
      </c>
      <c r="AC7554" s="12" t="s">
        <v>33332</v>
      </c>
      <c r="AD7554" s="13">
        <v>41817</v>
      </c>
      <c r="AE7554" s="12" t="s">
        <v>399</v>
      </c>
      <c r="AF7554" s="12" t="s">
        <v>938</v>
      </c>
      <c r="AG7554" s="12" t="s">
        <v>81</v>
      </c>
      <c r="AH7554" s="1">
        <f>HYPERLINK("https://my.pitchbook.com?c=50428-18T","View Company Online")</f>
      </c>
    </row>
    <row r="7555">
      <c r="A7555" s="3" t="s">
        <v>33333</v>
      </c>
      <c r="B7555" s="3" t="s">
        <v>33334</v>
      </c>
      <c r="C7555" s="5" t="s">
        <v>36</v>
      </c>
      <c r="D7555" s="5" t="s">
        <v>36</v>
      </c>
      <c r="E7555" s="5" t="s">
        <v>36</v>
      </c>
      <c r="F7555" s="5" t="s">
        <v>36</v>
      </c>
      <c r="G7555" s="6" t="s">
        <v>36</v>
      </c>
      <c r="H7555" s="4">
        <v>3.45</v>
      </c>
      <c r="I7555" s="7">
        <v>6.76</v>
      </c>
      <c r="J7555" s="3" t="s">
        <v>521</v>
      </c>
      <c r="K7555" s="9" t="s">
        <v>36</v>
      </c>
      <c r="L7555" s="6" t="s">
        <v>36</v>
      </c>
      <c r="M7555" s="3" t="s">
        <v>36</v>
      </c>
      <c r="N7555" s="3" t="s">
        <v>36</v>
      </c>
      <c r="O7555" s="8" t="s">
        <v>36</v>
      </c>
      <c r="P7555" s="3" t="s">
        <v>36</v>
      </c>
      <c r="Q7555" s="3" t="s">
        <v>36</v>
      </c>
      <c r="R7555" s="3" t="s">
        <v>36</v>
      </c>
      <c r="S7555" s="3" t="s">
        <v>36</v>
      </c>
      <c r="T7555" s="3" t="s">
        <v>33335</v>
      </c>
      <c r="U7555" s="3" t="s">
        <v>1580</v>
      </c>
      <c r="V7555" s="3" t="s">
        <v>39</v>
      </c>
      <c r="W7555" s="3" t="s">
        <v>33336</v>
      </c>
      <c r="X7555" s="10" t="s">
        <v>33337</v>
      </c>
      <c r="Y7555" s="6" t="s">
        <v>42</v>
      </c>
      <c r="Z7555" s="4">
        <v>0.41</v>
      </c>
      <c r="AA7555" s="4">
        <v>6.04</v>
      </c>
      <c r="AB7555" s="3" t="s">
        <v>43</v>
      </c>
      <c r="AC7555" s="3" t="s">
        <v>33338</v>
      </c>
      <c r="AD7555" s="9">
        <v>41817</v>
      </c>
      <c r="AE7555" s="3" t="s">
        <v>3854</v>
      </c>
      <c r="AF7555" s="3" t="s">
        <v>1636</v>
      </c>
      <c r="AG7555" s="3" t="s">
        <v>81</v>
      </c>
      <c r="AH7555" s="11">
        <f>HYPERLINK("https://my.pitchbook.com?c=47043-10T","View Company Online")</f>
      </c>
    </row>
    <row r="7556">
      <c r="A7556" s="12" t="s">
        <v>33339</v>
      </c>
      <c r="B7556" s="12" t="s">
        <v>33340</v>
      </c>
      <c r="C7556" s="19" t="s">
        <v>36</v>
      </c>
      <c r="D7556" s="19" t="s">
        <v>36</v>
      </c>
      <c r="E7556" s="19">
        <v>1</v>
      </c>
      <c r="F7556" s="19">
        <v>1</v>
      </c>
      <c r="G7556" s="15" t="s">
        <v>36</v>
      </c>
      <c r="H7556" s="14" t="s">
        <v>36</v>
      </c>
      <c r="I7556" s="18" t="s">
        <v>36</v>
      </c>
      <c r="J7556" s="12" t="s">
        <v>36</v>
      </c>
      <c r="K7556" s="13" t="s">
        <v>36</v>
      </c>
      <c r="L7556" s="15" t="s">
        <v>36</v>
      </c>
      <c r="M7556" s="12" t="s">
        <v>36</v>
      </c>
      <c r="N7556" s="12" t="s">
        <v>36</v>
      </c>
      <c r="O7556" s="17" t="s">
        <v>36</v>
      </c>
      <c r="P7556" s="12" t="s">
        <v>36</v>
      </c>
      <c r="Q7556" s="12" t="s">
        <v>36</v>
      </c>
      <c r="R7556" s="12" t="s">
        <v>36</v>
      </c>
      <c r="S7556" s="12" t="s">
        <v>36</v>
      </c>
      <c r="T7556" s="12" t="s">
        <v>33341</v>
      </c>
      <c r="U7556" s="12" t="s">
        <v>74</v>
      </c>
      <c r="V7556" s="12" t="s">
        <v>75</v>
      </c>
      <c r="W7556" s="12" t="s">
        <v>33342</v>
      </c>
      <c r="X7556" s="16" t="s">
        <v>33343</v>
      </c>
      <c r="Y7556" s="15" t="s">
        <v>166</v>
      </c>
      <c r="Z7556" s="14">
        <v>6.8</v>
      </c>
      <c r="AA7556" s="14" t="s">
        <v>36</v>
      </c>
      <c r="AB7556" s="12" t="s">
        <v>56</v>
      </c>
      <c r="AC7556" s="12" t="s">
        <v>33344</v>
      </c>
      <c r="AD7556" s="13">
        <v>41817</v>
      </c>
      <c r="AE7556" s="12" t="s">
        <v>975</v>
      </c>
      <c r="AF7556" s="12" t="s">
        <v>1636</v>
      </c>
      <c r="AG7556" s="12" t="s">
        <v>81</v>
      </c>
      <c r="AH7556" s="1">
        <f>HYPERLINK("https://my.pitchbook.com?c=35144-29T","View Company Online")</f>
      </c>
    </row>
    <row r="7557">
      <c r="A7557" s="3" t="s">
        <v>33345</v>
      </c>
      <c r="B7557" s="3" t="s">
        <v>33346</v>
      </c>
      <c r="C7557" s="5" t="s">
        <v>36</v>
      </c>
      <c r="D7557" s="5" t="s">
        <v>36</v>
      </c>
      <c r="E7557" s="5" t="s">
        <v>36</v>
      </c>
      <c r="F7557" s="5" t="s">
        <v>36</v>
      </c>
      <c r="G7557" s="6" t="s">
        <v>36</v>
      </c>
      <c r="H7557" s="4" t="s">
        <v>36</v>
      </c>
      <c r="I7557" s="7" t="s">
        <v>36</v>
      </c>
      <c r="J7557" s="3" t="s">
        <v>36</v>
      </c>
      <c r="K7557" s="9" t="s">
        <v>36</v>
      </c>
      <c r="L7557" s="6" t="s">
        <v>36</v>
      </c>
      <c r="M7557" s="3" t="s">
        <v>36</v>
      </c>
      <c r="N7557" s="3" t="s">
        <v>36</v>
      </c>
      <c r="O7557" s="8" t="s">
        <v>36</v>
      </c>
      <c r="P7557" s="3" t="s">
        <v>36</v>
      </c>
      <c r="Q7557" s="3" t="s">
        <v>36</v>
      </c>
      <c r="R7557" s="3" t="s">
        <v>36</v>
      </c>
      <c r="S7557" s="3" t="s">
        <v>36</v>
      </c>
      <c r="T7557" s="3" t="s">
        <v>26157</v>
      </c>
      <c r="U7557" s="3" t="s">
        <v>279</v>
      </c>
      <c r="V7557" s="3" t="s">
        <v>64</v>
      </c>
      <c r="W7557" s="3" t="s">
        <v>33347</v>
      </c>
      <c r="X7557" s="10" t="s">
        <v>33348</v>
      </c>
      <c r="Y7557" s="6" t="s">
        <v>42</v>
      </c>
      <c r="Z7557" s="4">
        <v>1.77</v>
      </c>
      <c r="AA7557" s="4" t="s">
        <v>36</v>
      </c>
      <c r="AB7557" s="3" t="s">
        <v>56</v>
      </c>
      <c r="AC7557" s="3" t="s">
        <v>33349</v>
      </c>
      <c r="AD7557" s="9">
        <v>41817</v>
      </c>
      <c r="AE7557" s="3" t="s">
        <v>283</v>
      </c>
      <c r="AF7557" s="3" t="s">
        <v>3172</v>
      </c>
      <c r="AG7557" s="3" t="s">
        <v>10365</v>
      </c>
      <c r="AH7557" s="11">
        <f>HYPERLINK("https://my.pitchbook.com?c=44883-19T","View Company Online")</f>
      </c>
    </row>
    <row r="7558">
      <c r="A7558" s="12" t="s">
        <v>33350</v>
      </c>
      <c r="B7558" s="12" t="s">
        <v>12358</v>
      </c>
      <c r="C7558" s="19" t="s">
        <v>36</v>
      </c>
      <c r="D7558" s="19" t="s">
        <v>36</v>
      </c>
      <c r="E7558" s="19" t="s">
        <v>36</v>
      </c>
      <c r="F7558" s="19" t="s">
        <v>36</v>
      </c>
      <c r="G7558" s="15" t="s">
        <v>36</v>
      </c>
      <c r="H7558" s="14">
        <v>553.9</v>
      </c>
      <c r="I7558" s="18">
        <v>34.42</v>
      </c>
      <c r="J7558" s="12" t="s">
        <v>521</v>
      </c>
      <c r="K7558" s="13">
        <v>41802</v>
      </c>
      <c r="L7558" s="15" t="s">
        <v>122</v>
      </c>
      <c r="M7558" s="12" t="s">
        <v>36</v>
      </c>
      <c r="N7558" s="12" t="s">
        <v>122</v>
      </c>
      <c r="O7558" s="17" t="s">
        <v>36</v>
      </c>
      <c r="P7558" s="12" t="s">
        <v>36</v>
      </c>
      <c r="Q7558" s="12" t="s">
        <v>36</v>
      </c>
      <c r="R7558" s="12" t="s">
        <v>36</v>
      </c>
      <c r="S7558" s="12" t="s">
        <v>36</v>
      </c>
      <c r="T7558" s="12" t="s">
        <v>12359</v>
      </c>
      <c r="U7558" s="12" t="s">
        <v>38</v>
      </c>
      <c r="V7558" s="12" t="s">
        <v>39</v>
      </c>
      <c r="W7558" s="12" t="s">
        <v>12360</v>
      </c>
      <c r="X7558" s="16" t="s">
        <v>33351</v>
      </c>
      <c r="Y7558" s="15" t="s">
        <v>42</v>
      </c>
      <c r="Z7558" s="14">
        <v>2.85</v>
      </c>
      <c r="AA7558" s="14">
        <v>8.29</v>
      </c>
      <c r="AB7558" s="12" t="s">
        <v>56</v>
      </c>
      <c r="AC7558" s="12" t="s">
        <v>12362</v>
      </c>
      <c r="AD7558" s="13">
        <v>41815</v>
      </c>
      <c r="AE7558" s="12" t="s">
        <v>110</v>
      </c>
      <c r="AF7558" s="12" t="s">
        <v>12363</v>
      </c>
      <c r="AG7558" s="12" t="s">
        <v>81</v>
      </c>
      <c r="AH7558" s="1">
        <f>HYPERLINK("https://my.pitchbook.com?c=38254-42T","View Company Online")</f>
      </c>
    </row>
    <row r="7559">
      <c r="A7559" s="3" t="s">
        <v>33352</v>
      </c>
      <c r="B7559" s="3" t="s">
        <v>33353</v>
      </c>
      <c r="C7559" s="5">
        <v>4</v>
      </c>
      <c r="D7559" s="5">
        <v>21</v>
      </c>
      <c r="E7559" s="5">
        <v>7</v>
      </c>
      <c r="F7559" s="5">
        <v>50</v>
      </c>
      <c r="G7559" s="6" t="s">
        <v>36</v>
      </c>
      <c r="H7559" s="4" t="s">
        <v>36</v>
      </c>
      <c r="I7559" s="7" t="s">
        <v>36</v>
      </c>
      <c r="J7559" s="3" t="s">
        <v>36</v>
      </c>
      <c r="K7559" s="9" t="s">
        <v>36</v>
      </c>
      <c r="L7559" s="6" t="s">
        <v>36</v>
      </c>
      <c r="M7559" s="3" t="s">
        <v>36</v>
      </c>
      <c r="N7559" s="3" t="s">
        <v>36</v>
      </c>
      <c r="O7559" s="8" t="s">
        <v>36</v>
      </c>
      <c r="P7559" s="3" t="s">
        <v>36</v>
      </c>
      <c r="Q7559" s="3" t="s">
        <v>36</v>
      </c>
      <c r="R7559" s="3" t="s">
        <v>36</v>
      </c>
      <c r="S7559" s="3" t="s">
        <v>36</v>
      </c>
      <c r="T7559" s="3" t="s">
        <v>33354</v>
      </c>
      <c r="U7559" s="3" t="s">
        <v>1580</v>
      </c>
      <c r="V7559" s="3" t="s">
        <v>39</v>
      </c>
      <c r="W7559" s="3" t="s">
        <v>33355</v>
      </c>
      <c r="X7559" s="10" t="s">
        <v>33356</v>
      </c>
      <c r="Y7559" s="6" t="s">
        <v>475</v>
      </c>
      <c r="Z7559" s="4">
        <v>4.08</v>
      </c>
      <c r="AA7559" s="4" t="s">
        <v>36</v>
      </c>
      <c r="AB7559" s="3" t="s">
        <v>56</v>
      </c>
      <c r="AC7559" s="3" t="s">
        <v>33357</v>
      </c>
      <c r="AD7559" s="9">
        <v>41814</v>
      </c>
      <c r="AE7559" s="3" t="s">
        <v>4387</v>
      </c>
      <c r="AF7559" s="3" t="s">
        <v>1077</v>
      </c>
      <c r="AG7559" s="3" t="s">
        <v>33358</v>
      </c>
      <c r="AH7559" s="11">
        <f>HYPERLINK("https://my.pitchbook.com?c=35006-86T","View Company Online")</f>
      </c>
    </row>
    <row r="7560">
      <c r="A7560" s="12" t="s">
        <v>33359</v>
      </c>
      <c r="B7560" s="12" t="s">
        <v>13855</v>
      </c>
      <c r="C7560" s="19" t="s">
        <v>36</v>
      </c>
      <c r="D7560" s="19">
        <v>2</v>
      </c>
      <c r="E7560" s="19">
        <v>2</v>
      </c>
      <c r="F7560" s="19">
        <v>2</v>
      </c>
      <c r="G7560" s="15" t="s">
        <v>36</v>
      </c>
      <c r="H7560" s="14">
        <v>44.05</v>
      </c>
      <c r="I7560" s="18">
        <v>50</v>
      </c>
      <c r="J7560" s="12" t="s">
        <v>521</v>
      </c>
      <c r="K7560" s="13" t="s">
        <v>36</v>
      </c>
      <c r="L7560" s="15" t="s">
        <v>36</v>
      </c>
      <c r="M7560" s="12" t="s">
        <v>36</v>
      </c>
      <c r="N7560" s="12" t="s">
        <v>36</v>
      </c>
      <c r="O7560" s="17" t="s">
        <v>36</v>
      </c>
      <c r="P7560" s="12" t="s">
        <v>36</v>
      </c>
      <c r="Q7560" s="12" t="s">
        <v>36</v>
      </c>
      <c r="R7560" s="12" t="s">
        <v>36</v>
      </c>
      <c r="S7560" s="12" t="s">
        <v>36</v>
      </c>
      <c r="T7560" s="12" t="s">
        <v>2213</v>
      </c>
      <c r="U7560" s="12" t="s">
        <v>219</v>
      </c>
      <c r="V7560" s="12" t="s">
        <v>75</v>
      </c>
      <c r="W7560" s="12" t="s">
        <v>13856</v>
      </c>
      <c r="X7560" s="16" t="s">
        <v>33360</v>
      </c>
      <c r="Y7560" s="15" t="s">
        <v>42</v>
      </c>
      <c r="Z7560" s="14">
        <v>3.4</v>
      </c>
      <c r="AA7560" s="14">
        <v>6.8</v>
      </c>
      <c r="AB7560" s="12" t="s">
        <v>43</v>
      </c>
      <c r="AC7560" s="12" t="s">
        <v>13858</v>
      </c>
      <c r="AD7560" s="13">
        <v>41810</v>
      </c>
      <c r="AE7560" s="12" t="s">
        <v>1912</v>
      </c>
      <c r="AF7560" s="12" t="s">
        <v>982</v>
      </c>
      <c r="AG7560" s="12" t="s">
        <v>2246</v>
      </c>
      <c r="AH7560" s="1">
        <f>HYPERLINK("https://my.pitchbook.com?c=49528-00T","View Company Online")</f>
      </c>
    </row>
    <row r="7561">
      <c r="A7561" s="3" t="s">
        <v>33361</v>
      </c>
      <c r="B7561" s="3" t="s">
        <v>33362</v>
      </c>
      <c r="C7561" s="5" t="s">
        <v>36</v>
      </c>
      <c r="D7561" s="5" t="s">
        <v>36</v>
      </c>
      <c r="E7561" s="5" t="s">
        <v>36</v>
      </c>
      <c r="F7561" s="5" t="s">
        <v>36</v>
      </c>
      <c r="G7561" s="6" t="s">
        <v>36</v>
      </c>
      <c r="H7561" s="4" t="s">
        <v>36</v>
      </c>
      <c r="I7561" s="7">
        <v>20</v>
      </c>
      <c r="J7561" s="3" t="s">
        <v>521</v>
      </c>
      <c r="K7561" s="9" t="s">
        <v>36</v>
      </c>
      <c r="L7561" s="6" t="s">
        <v>36</v>
      </c>
      <c r="M7561" s="3" t="s">
        <v>36</v>
      </c>
      <c r="N7561" s="3" t="s">
        <v>36</v>
      </c>
      <c r="O7561" s="8" t="s">
        <v>36</v>
      </c>
      <c r="P7561" s="3" t="s">
        <v>36</v>
      </c>
      <c r="Q7561" s="3" t="s">
        <v>36</v>
      </c>
      <c r="R7561" s="3" t="s">
        <v>36</v>
      </c>
      <c r="S7561" s="3" t="s">
        <v>36</v>
      </c>
      <c r="T7561" s="3" t="s">
        <v>3397</v>
      </c>
      <c r="U7561" s="3" t="s">
        <v>423</v>
      </c>
      <c r="V7561" s="3" t="s">
        <v>64</v>
      </c>
      <c r="W7561" s="3" t="s">
        <v>33363</v>
      </c>
      <c r="X7561" s="10" t="s">
        <v>10702</v>
      </c>
      <c r="Y7561" s="6" t="s">
        <v>108</v>
      </c>
      <c r="Z7561" s="4">
        <v>2.04</v>
      </c>
      <c r="AA7561" s="4">
        <v>10.2</v>
      </c>
      <c r="AB7561" s="3" t="s">
        <v>56</v>
      </c>
      <c r="AC7561" s="3" t="s">
        <v>33364</v>
      </c>
      <c r="AD7561" s="9">
        <v>41809</v>
      </c>
      <c r="AE7561" s="3" t="s">
        <v>562</v>
      </c>
      <c r="AF7561" s="3" t="s">
        <v>33365</v>
      </c>
      <c r="AG7561" s="3" t="s">
        <v>81</v>
      </c>
      <c r="AH7561" s="11">
        <f>HYPERLINK("https://my.pitchbook.com?c=50443-93T","View Company Online")</f>
      </c>
    </row>
    <row r="7562">
      <c r="A7562" s="12" t="s">
        <v>33366</v>
      </c>
      <c r="B7562" s="12" t="s">
        <v>33367</v>
      </c>
      <c r="C7562" s="19" t="s">
        <v>36</v>
      </c>
      <c r="D7562" s="19" t="s">
        <v>36</v>
      </c>
      <c r="E7562" s="19" t="s">
        <v>36</v>
      </c>
      <c r="F7562" s="19" t="s">
        <v>36</v>
      </c>
      <c r="G7562" s="15" t="s">
        <v>36</v>
      </c>
      <c r="H7562" s="14" t="s">
        <v>36</v>
      </c>
      <c r="I7562" s="18">
        <v>23.77</v>
      </c>
      <c r="J7562" s="12" t="s">
        <v>327</v>
      </c>
      <c r="K7562" s="13" t="s">
        <v>36</v>
      </c>
      <c r="L7562" s="15" t="s">
        <v>36</v>
      </c>
      <c r="M7562" s="12" t="s">
        <v>36</v>
      </c>
      <c r="N7562" s="12" t="s">
        <v>36</v>
      </c>
      <c r="O7562" s="17" t="s">
        <v>36</v>
      </c>
      <c r="P7562" s="12" t="s">
        <v>36</v>
      </c>
      <c r="Q7562" s="12" t="s">
        <v>36</v>
      </c>
      <c r="R7562" s="12" t="s">
        <v>36</v>
      </c>
      <c r="S7562" s="12" t="s">
        <v>36</v>
      </c>
      <c r="T7562" s="12" t="s">
        <v>1125</v>
      </c>
      <c r="U7562" s="12" t="s">
        <v>74</v>
      </c>
      <c r="V7562" s="12" t="s">
        <v>75</v>
      </c>
      <c r="W7562" s="12" t="s">
        <v>33368</v>
      </c>
      <c r="X7562" s="16" t="s">
        <v>2130</v>
      </c>
      <c r="Y7562" s="15" t="s">
        <v>42</v>
      </c>
      <c r="Z7562" s="14">
        <v>3.13</v>
      </c>
      <c r="AA7562" s="14">
        <v>13.17</v>
      </c>
      <c r="AB7562" s="12" t="s">
        <v>56</v>
      </c>
      <c r="AC7562" s="12" t="s">
        <v>33369</v>
      </c>
      <c r="AD7562" s="13">
        <v>41809</v>
      </c>
      <c r="AE7562" s="12" t="s">
        <v>975</v>
      </c>
      <c r="AF7562" s="12" t="s">
        <v>36</v>
      </c>
      <c r="AG7562" s="12" t="s">
        <v>33370</v>
      </c>
      <c r="AH7562" s="1">
        <f>HYPERLINK("https://my.pitchbook.com?c=50541-76T","View Company Online")</f>
      </c>
    </row>
    <row r="7563">
      <c r="A7563" s="3" t="s">
        <v>33371</v>
      </c>
      <c r="B7563" s="3" t="s">
        <v>33372</v>
      </c>
      <c r="C7563" s="5" t="s">
        <v>36</v>
      </c>
      <c r="D7563" s="5">
        <v>13</v>
      </c>
      <c r="E7563" s="5">
        <v>15</v>
      </c>
      <c r="F7563" s="5">
        <v>38</v>
      </c>
      <c r="G7563" s="6" t="s">
        <v>326</v>
      </c>
      <c r="H7563" s="4">
        <v>16.05</v>
      </c>
      <c r="I7563" s="7">
        <v>19.99</v>
      </c>
      <c r="J7563" s="3" t="s">
        <v>521</v>
      </c>
      <c r="K7563" s="9" t="s">
        <v>36</v>
      </c>
      <c r="L7563" s="6" t="s">
        <v>36</v>
      </c>
      <c r="M7563" s="3" t="s">
        <v>36</v>
      </c>
      <c r="N7563" s="3" t="s">
        <v>36</v>
      </c>
      <c r="O7563" s="8" t="s">
        <v>36</v>
      </c>
      <c r="P7563" s="3" t="s">
        <v>36</v>
      </c>
      <c r="Q7563" s="3" t="s">
        <v>36</v>
      </c>
      <c r="R7563" s="3" t="s">
        <v>36</v>
      </c>
      <c r="S7563" s="3" t="s">
        <v>36</v>
      </c>
      <c r="T7563" s="3" t="s">
        <v>1701</v>
      </c>
      <c r="U7563" s="3" t="s">
        <v>74</v>
      </c>
      <c r="V7563" s="3" t="s">
        <v>75</v>
      </c>
      <c r="W7563" s="3" t="s">
        <v>33373</v>
      </c>
      <c r="X7563" s="10" t="s">
        <v>33374</v>
      </c>
      <c r="Y7563" s="6" t="s">
        <v>55</v>
      </c>
      <c r="Z7563" s="4">
        <v>7.62</v>
      </c>
      <c r="AA7563" s="4">
        <v>38.11</v>
      </c>
      <c r="AB7563" s="3" t="s">
        <v>43</v>
      </c>
      <c r="AC7563" s="3" t="s">
        <v>33375</v>
      </c>
      <c r="AD7563" s="9">
        <v>41809</v>
      </c>
      <c r="AE7563" s="3" t="s">
        <v>79</v>
      </c>
      <c r="AF7563" s="3" t="s">
        <v>36</v>
      </c>
      <c r="AG7563" s="3" t="s">
        <v>81</v>
      </c>
      <c r="AH7563" s="11">
        <f>HYPERLINK("https://my.pitchbook.com?c=57051-19T","View Company Online")</f>
      </c>
    </row>
    <row r="7564">
      <c r="A7564" s="12" t="s">
        <v>33376</v>
      </c>
      <c r="B7564" s="12" t="s">
        <v>30631</v>
      </c>
      <c r="C7564" s="19" t="s">
        <v>36</v>
      </c>
      <c r="D7564" s="19" t="s">
        <v>36</v>
      </c>
      <c r="E7564" s="19" t="s">
        <v>36</v>
      </c>
      <c r="F7564" s="19" t="s">
        <v>36</v>
      </c>
      <c r="G7564" s="15" t="s">
        <v>36</v>
      </c>
      <c r="H7564" s="14">
        <v>3150.33</v>
      </c>
      <c r="I7564" s="18">
        <v>5.66</v>
      </c>
      <c r="J7564" s="12" t="s">
        <v>521</v>
      </c>
      <c r="K7564" s="13" t="s">
        <v>36</v>
      </c>
      <c r="L7564" s="15" t="s">
        <v>36</v>
      </c>
      <c r="M7564" s="12" t="s">
        <v>36</v>
      </c>
      <c r="N7564" s="12" t="s">
        <v>36</v>
      </c>
      <c r="O7564" s="17" t="s">
        <v>36</v>
      </c>
      <c r="P7564" s="12" t="s">
        <v>36</v>
      </c>
      <c r="Q7564" s="12" t="s">
        <v>36</v>
      </c>
      <c r="R7564" s="12" t="s">
        <v>36</v>
      </c>
      <c r="S7564" s="12" t="s">
        <v>36</v>
      </c>
      <c r="T7564" s="12" t="s">
        <v>676</v>
      </c>
      <c r="U7564" s="12" t="s">
        <v>438</v>
      </c>
      <c r="V7564" s="12" t="s">
        <v>405</v>
      </c>
      <c r="W7564" s="12" t="s">
        <v>30632</v>
      </c>
      <c r="X7564" s="16" t="s">
        <v>27705</v>
      </c>
      <c r="Y7564" s="15" t="s">
        <v>108</v>
      </c>
      <c r="Z7564" s="14">
        <v>0.54</v>
      </c>
      <c r="AA7564" s="14">
        <v>9.62</v>
      </c>
      <c r="AB7564" s="12" t="s">
        <v>56</v>
      </c>
      <c r="AC7564" s="12" t="s">
        <v>30634</v>
      </c>
      <c r="AD7564" s="13">
        <v>41808</v>
      </c>
      <c r="AE7564" s="12" t="s">
        <v>438</v>
      </c>
      <c r="AF7564" s="12" t="s">
        <v>7466</v>
      </c>
      <c r="AG7564" s="12" t="s">
        <v>81</v>
      </c>
      <c r="AH7564" s="1">
        <f>HYPERLINK("https://my.pitchbook.com?c=252467-74T","View Company Online")</f>
      </c>
    </row>
    <row r="7565">
      <c r="A7565" s="3" t="s">
        <v>33377</v>
      </c>
      <c r="B7565" s="3" t="s">
        <v>30642</v>
      </c>
      <c r="C7565" s="5" t="s">
        <v>36</v>
      </c>
      <c r="D7565" s="5">
        <v>3</v>
      </c>
      <c r="E7565" s="5">
        <v>2</v>
      </c>
      <c r="F7565" s="5">
        <v>8</v>
      </c>
      <c r="G7565" s="6" t="s">
        <v>36</v>
      </c>
      <c r="H7565" s="4" t="s">
        <v>36</v>
      </c>
      <c r="I7565" s="7" t="s">
        <v>36</v>
      </c>
      <c r="J7565" s="3" t="s">
        <v>36</v>
      </c>
      <c r="K7565" s="9" t="s">
        <v>36</v>
      </c>
      <c r="L7565" s="6" t="s">
        <v>36</v>
      </c>
      <c r="M7565" s="3" t="s">
        <v>36</v>
      </c>
      <c r="N7565" s="3" t="s">
        <v>36</v>
      </c>
      <c r="O7565" s="8" t="s">
        <v>36</v>
      </c>
      <c r="P7565" s="3" t="s">
        <v>36</v>
      </c>
      <c r="Q7565" s="3" t="s">
        <v>36</v>
      </c>
      <c r="R7565" s="3" t="s">
        <v>36</v>
      </c>
      <c r="S7565" s="3" t="s">
        <v>36</v>
      </c>
      <c r="T7565" s="3" t="s">
        <v>105</v>
      </c>
      <c r="U7565" s="3" t="s">
        <v>38</v>
      </c>
      <c r="V7565" s="3" t="s">
        <v>39</v>
      </c>
      <c r="W7565" s="3" t="s">
        <v>30643</v>
      </c>
      <c r="X7565" s="10" t="s">
        <v>33378</v>
      </c>
      <c r="Y7565" s="6" t="s">
        <v>108</v>
      </c>
      <c r="Z7565" s="4">
        <v>0.88</v>
      </c>
      <c r="AA7565" s="4" t="s">
        <v>36</v>
      </c>
      <c r="AB7565" s="3" t="s">
        <v>43</v>
      </c>
      <c r="AC7565" s="3" t="s">
        <v>30645</v>
      </c>
      <c r="AD7565" s="9">
        <v>41807</v>
      </c>
      <c r="AE7565" s="3" t="s">
        <v>110</v>
      </c>
      <c r="AF7565" s="3" t="s">
        <v>30156</v>
      </c>
      <c r="AG7565" s="3" t="s">
        <v>81</v>
      </c>
      <c r="AH7565" s="11">
        <f>HYPERLINK("https://my.pitchbook.com?c=138742-66T","View Company Online")</f>
      </c>
    </row>
    <row r="7566">
      <c r="A7566" s="12" t="s">
        <v>33379</v>
      </c>
      <c r="B7566" s="12" t="s">
        <v>33380</v>
      </c>
      <c r="C7566" s="19" t="s">
        <v>36</v>
      </c>
      <c r="D7566" s="19" t="s">
        <v>36</v>
      </c>
      <c r="E7566" s="19" t="s">
        <v>36</v>
      </c>
      <c r="F7566" s="19" t="s">
        <v>36</v>
      </c>
      <c r="G7566" s="15" t="s">
        <v>36</v>
      </c>
      <c r="H7566" s="14">
        <v>10.39</v>
      </c>
      <c r="I7566" s="18">
        <v>32.05</v>
      </c>
      <c r="J7566" s="12" t="s">
        <v>521</v>
      </c>
      <c r="K7566" s="13" t="s">
        <v>36</v>
      </c>
      <c r="L7566" s="15" t="s">
        <v>36</v>
      </c>
      <c r="M7566" s="12" t="s">
        <v>36</v>
      </c>
      <c r="N7566" s="12" t="s">
        <v>36</v>
      </c>
      <c r="O7566" s="17" t="s">
        <v>36</v>
      </c>
      <c r="P7566" s="12" t="s">
        <v>36</v>
      </c>
      <c r="Q7566" s="12" t="s">
        <v>36</v>
      </c>
      <c r="R7566" s="12" t="s">
        <v>36</v>
      </c>
      <c r="S7566" s="12" t="s">
        <v>36</v>
      </c>
      <c r="T7566" s="12" t="s">
        <v>1162</v>
      </c>
      <c r="U7566" s="12" t="s">
        <v>423</v>
      </c>
      <c r="V7566" s="12" t="s">
        <v>64</v>
      </c>
      <c r="W7566" s="12" t="s">
        <v>33381</v>
      </c>
      <c r="X7566" s="16" t="s">
        <v>2130</v>
      </c>
      <c r="Y7566" s="15" t="s">
        <v>42</v>
      </c>
      <c r="Z7566" s="14">
        <v>2.63</v>
      </c>
      <c r="AA7566" s="14">
        <v>8.22</v>
      </c>
      <c r="AB7566" s="12" t="s">
        <v>56</v>
      </c>
      <c r="AC7566" s="12" t="s">
        <v>33382</v>
      </c>
      <c r="AD7566" s="13">
        <v>41806</v>
      </c>
      <c r="AE7566" s="12" t="s">
        <v>562</v>
      </c>
      <c r="AF7566" s="12" t="s">
        <v>90</v>
      </c>
      <c r="AG7566" s="12" t="s">
        <v>18664</v>
      </c>
      <c r="AH7566" s="1">
        <f>HYPERLINK("https://my.pitchbook.com?c=50483-98T","View Company Online")</f>
      </c>
    </row>
    <row r="7567">
      <c r="A7567" s="3" t="s">
        <v>33383</v>
      </c>
      <c r="B7567" s="3" t="s">
        <v>33384</v>
      </c>
      <c r="C7567" s="5" t="s">
        <v>36</v>
      </c>
      <c r="D7567" s="5" t="s">
        <v>36</v>
      </c>
      <c r="E7567" s="5" t="s">
        <v>36</v>
      </c>
      <c r="F7567" s="5" t="s">
        <v>36</v>
      </c>
      <c r="G7567" s="6" t="s">
        <v>36</v>
      </c>
      <c r="H7567" s="4">
        <v>10.39</v>
      </c>
      <c r="I7567" s="7">
        <v>32.56</v>
      </c>
      <c r="J7567" s="3" t="s">
        <v>521</v>
      </c>
      <c r="K7567" s="9" t="s">
        <v>36</v>
      </c>
      <c r="L7567" s="6" t="s">
        <v>36</v>
      </c>
      <c r="M7567" s="3" t="s">
        <v>36</v>
      </c>
      <c r="N7567" s="3" t="s">
        <v>36</v>
      </c>
      <c r="O7567" s="8" t="s">
        <v>36</v>
      </c>
      <c r="P7567" s="3" t="s">
        <v>36</v>
      </c>
      <c r="Q7567" s="3" t="s">
        <v>36</v>
      </c>
      <c r="R7567" s="3" t="s">
        <v>36</v>
      </c>
      <c r="S7567" s="3" t="s">
        <v>36</v>
      </c>
      <c r="T7567" s="3" t="s">
        <v>26539</v>
      </c>
      <c r="U7567" s="3" t="s">
        <v>63</v>
      </c>
      <c r="V7567" s="3" t="s">
        <v>64</v>
      </c>
      <c r="W7567" s="3" t="s">
        <v>33385</v>
      </c>
      <c r="X7567" s="10" t="s">
        <v>2130</v>
      </c>
      <c r="Y7567" s="6" t="s">
        <v>42</v>
      </c>
      <c r="Z7567" s="4">
        <v>1.31</v>
      </c>
      <c r="AA7567" s="4">
        <v>4.04</v>
      </c>
      <c r="AB7567" s="3" t="s">
        <v>56</v>
      </c>
      <c r="AC7567" s="3" t="s">
        <v>33386</v>
      </c>
      <c r="AD7567" s="9">
        <v>41806</v>
      </c>
      <c r="AE7567" s="3" t="s">
        <v>399</v>
      </c>
      <c r="AF7567" s="3" t="s">
        <v>938</v>
      </c>
      <c r="AG7567" s="3" t="s">
        <v>81</v>
      </c>
      <c r="AH7567" s="11">
        <f>HYPERLINK("https://my.pitchbook.com?c=50558-59T","View Company Online")</f>
      </c>
    </row>
    <row r="7568">
      <c r="A7568" s="12" t="s">
        <v>33387</v>
      </c>
      <c r="B7568" s="12" t="s">
        <v>33388</v>
      </c>
      <c r="C7568" s="19" t="s">
        <v>36</v>
      </c>
      <c r="D7568" s="19" t="s">
        <v>36</v>
      </c>
      <c r="E7568" s="19" t="s">
        <v>36</v>
      </c>
      <c r="F7568" s="19" t="s">
        <v>36</v>
      </c>
      <c r="G7568" s="15" t="s">
        <v>36</v>
      </c>
      <c r="H7568" s="14">
        <v>2492.56</v>
      </c>
      <c r="I7568" s="18">
        <v>30.68</v>
      </c>
      <c r="J7568" s="12" t="s">
        <v>521</v>
      </c>
      <c r="K7568" s="13" t="s">
        <v>36</v>
      </c>
      <c r="L7568" s="15" t="s">
        <v>36</v>
      </c>
      <c r="M7568" s="12" t="s">
        <v>36</v>
      </c>
      <c r="N7568" s="12" t="s">
        <v>36</v>
      </c>
      <c r="O7568" s="17" t="s">
        <v>36</v>
      </c>
      <c r="P7568" s="12" t="s">
        <v>36</v>
      </c>
      <c r="Q7568" s="12" t="s">
        <v>36</v>
      </c>
      <c r="R7568" s="12" t="s">
        <v>36</v>
      </c>
      <c r="S7568" s="12" t="s">
        <v>36</v>
      </c>
      <c r="T7568" s="12" t="s">
        <v>33389</v>
      </c>
      <c r="U7568" s="12" t="s">
        <v>289</v>
      </c>
      <c r="V7568" s="12" t="s">
        <v>64</v>
      </c>
      <c r="W7568" s="12" t="s">
        <v>33390</v>
      </c>
      <c r="X7568" s="16" t="s">
        <v>12372</v>
      </c>
      <c r="Y7568" s="15" t="s">
        <v>42</v>
      </c>
      <c r="Z7568" s="14">
        <v>0.68</v>
      </c>
      <c r="AA7568" s="14">
        <v>1.77</v>
      </c>
      <c r="AB7568" s="12" t="s">
        <v>56</v>
      </c>
      <c r="AC7568" s="12" t="s">
        <v>33391</v>
      </c>
      <c r="AD7568" s="13">
        <v>41803</v>
      </c>
      <c r="AE7568" s="12" t="s">
        <v>3134</v>
      </c>
      <c r="AF7568" s="12" t="s">
        <v>90</v>
      </c>
      <c r="AG7568" s="12" t="s">
        <v>3417</v>
      </c>
      <c r="AH7568" s="1">
        <f>HYPERLINK("https://my.pitchbook.com?c=76196-08T","View Company Online")</f>
      </c>
    </row>
    <row r="7569">
      <c r="A7569" s="3" t="s">
        <v>33392</v>
      </c>
      <c r="B7569" s="3" t="s">
        <v>12648</v>
      </c>
      <c r="C7569" s="5" t="s">
        <v>36</v>
      </c>
      <c r="D7569" s="5" t="s">
        <v>36</v>
      </c>
      <c r="E7569" s="5" t="s">
        <v>36</v>
      </c>
      <c r="F7569" s="5" t="s">
        <v>36</v>
      </c>
      <c r="G7569" s="6" t="s">
        <v>36</v>
      </c>
      <c r="H7569" s="4" t="s">
        <v>36</v>
      </c>
      <c r="I7569" s="7" t="s">
        <v>36</v>
      </c>
      <c r="J7569" s="3" t="s">
        <v>327</v>
      </c>
      <c r="K7569" s="9" t="s">
        <v>36</v>
      </c>
      <c r="L7569" s="6" t="s">
        <v>36</v>
      </c>
      <c r="M7569" s="3" t="s">
        <v>36</v>
      </c>
      <c r="N7569" s="3" t="s">
        <v>36</v>
      </c>
      <c r="O7569" s="8" t="s">
        <v>36</v>
      </c>
      <c r="P7569" s="3" t="s">
        <v>36</v>
      </c>
      <c r="Q7569" s="3" t="s">
        <v>36</v>
      </c>
      <c r="R7569" s="3" t="s">
        <v>36</v>
      </c>
      <c r="S7569" s="3" t="s">
        <v>36</v>
      </c>
      <c r="T7569" s="3" t="s">
        <v>12649</v>
      </c>
      <c r="U7569" s="3" t="s">
        <v>648</v>
      </c>
      <c r="V7569" s="3" t="s">
        <v>64</v>
      </c>
      <c r="W7569" s="3" t="s">
        <v>12650</v>
      </c>
      <c r="X7569" s="10" t="s">
        <v>26881</v>
      </c>
      <c r="Y7569" s="6" t="s">
        <v>42</v>
      </c>
      <c r="Z7569" s="4">
        <v>2.04</v>
      </c>
      <c r="AA7569" s="4">
        <v>7.34</v>
      </c>
      <c r="AB7569" s="3" t="s">
        <v>43</v>
      </c>
      <c r="AC7569" s="3" t="s">
        <v>12652</v>
      </c>
      <c r="AD7569" s="9">
        <v>41803</v>
      </c>
      <c r="AE7569" s="3" t="s">
        <v>12653</v>
      </c>
      <c r="AF7569" s="3" t="s">
        <v>12654</v>
      </c>
      <c r="AG7569" s="3" t="s">
        <v>81</v>
      </c>
      <c r="AH7569" s="11">
        <f>HYPERLINK("https://my.pitchbook.com?c=34856-92T","View Company Online")</f>
      </c>
    </row>
    <row r="7570">
      <c r="A7570" s="12" t="s">
        <v>33393</v>
      </c>
      <c r="B7570" s="12" t="s">
        <v>24346</v>
      </c>
      <c r="C7570" s="19" t="s">
        <v>36</v>
      </c>
      <c r="D7570" s="19" t="s">
        <v>36</v>
      </c>
      <c r="E7570" s="19" t="s">
        <v>36</v>
      </c>
      <c r="F7570" s="19" t="s">
        <v>36</v>
      </c>
      <c r="G7570" s="15" t="s">
        <v>683</v>
      </c>
      <c r="H7570" s="14">
        <v>1403.1</v>
      </c>
      <c r="I7570" s="18">
        <v>7.4</v>
      </c>
      <c r="J7570" s="12" t="s">
        <v>521</v>
      </c>
      <c r="K7570" s="13" t="s">
        <v>36</v>
      </c>
      <c r="L7570" s="15" t="s">
        <v>36</v>
      </c>
      <c r="M7570" s="12" t="s">
        <v>36</v>
      </c>
      <c r="N7570" s="12" t="s">
        <v>36</v>
      </c>
      <c r="O7570" s="17" t="s">
        <v>36</v>
      </c>
      <c r="P7570" s="12" t="s">
        <v>36</v>
      </c>
      <c r="Q7570" s="12" t="s">
        <v>36</v>
      </c>
      <c r="R7570" s="12" t="s">
        <v>36</v>
      </c>
      <c r="S7570" s="12" t="s">
        <v>36</v>
      </c>
      <c r="T7570" s="12" t="s">
        <v>9456</v>
      </c>
      <c r="U7570" s="12" t="s">
        <v>63</v>
      </c>
      <c r="V7570" s="12" t="s">
        <v>64</v>
      </c>
      <c r="W7570" s="12" t="s">
        <v>24347</v>
      </c>
      <c r="X7570" s="16" t="s">
        <v>11579</v>
      </c>
      <c r="Y7570" s="15" t="s">
        <v>55</v>
      </c>
      <c r="Z7570" s="14">
        <v>0.24</v>
      </c>
      <c r="AA7570" s="14">
        <v>3.31</v>
      </c>
      <c r="AB7570" s="12" t="s">
        <v>56</v>
      </c>
      <c r="AC7570" s="12" t="s">
        <v>24348</v>
      </c>
      <c r="AD7570" s="13">
        <v>41803</v>
      </c>
      <c r="AE7570" s="12" t="s">
        <v>4310</v>
      </c>
      <c r="AF7570" s="12" t="s">
        <v>36</v>
      </c>
      <c r="AG7570" s="12" t="s">
        <v>81</v>
      </c>
      <c r="AH7570" s="1">
        <f>HYPERLINK("https://my.pitchbook.com?c=188072-38T","View Company Online")</f>
      </c>
    </row>
    <row r="7571">
      <c r="A7571" s="3" t="s">
        <v>33394</v>
      </c>
      <c r="B7571" s="3" t="s">
        <v>33395</v>
      </c>
      <c r="C7571" s="5">
        <v>9</v>
      </c>
      <c r="D7571" s="5">
        <v>62</v>
      </c>
      <c r="E7571" s="5">
        <v>10</v>
      </c>
      <c r="F7571" s="5">
        <v>74</v>
      </c>
      <c r="G7571" s="6" t="s">
        <v>36</v>
      </c>
      <c r="H7571" s="4" t="s">
        <v>36</v>
      </c>
      <c r="I7571" s="7" t="s">
        <v>36</v>
      </c>
      <c r="J7571" s="3" t="s">
        <v>36</v>
      </c>
      <c r="K7571" s="9" t="s">
        <v>36</v>
      </c>
      <c r="L7571" s="6" t="s">
        <v>36</v>
      </c>
      <c r="M7571" s="3" t="s">
        <v>36</v>
      </c>
      <c r="N7571" s="3" t="s">
        <v>36</v>
      </c>
      <c r="O7571" s="8" t="s">
        <v>36</v>
      </c>
      <c r="P7571" s="3" t="s">
        <v>36</v>
      </c>
      <c r="Q7571" s="3" t="s">
        <v>36</v>
      </c>
      <c r="R7571" s="3" t="s">
        <v>36</v>
      </c>
      <c r="S7571" s="3" t="s">
        <v>36</v>
      </c>
      <c r="T7571" s="3" t="s">
        <v>529</v>
      </c>
      <c r="U7571" s="3" t="s">
        <v>38</v>
      </c>
      <c r="V7571" s="3" t="s">
        <v>39</v>
      </c>
      <c r="W7571" s="3" t="s">
        <v>33396</v>
      </c>
      <c r="X7571" s="10" t="s">
        <v>33397</v>
      </c>
      <c r="Y7571" s="6" t="s">
        <v>166</v>
      </c>
      <c r="Z7571" s="4">
        <v>1.54</v>
      </c>
      <c r="AA7571" s="4" t="s">
        <v>36</v>
      </c>
      <c r="AB7571" s="3" t="s">
        <v>56</v>
      </c>
      <c r="AC7571" s="3" t="s">
        <v>33398</v>
      </c>
      <c r="AD7571" s="9">
        <v>41802</v>
      </c>
      <c r="AE7571" s="3" t="s">
        <v>134</v>
      </c>
      <c r="AF7571" s="3" t="s">
        <v>9319</v>
      </c>
      <c r="AG7571" s="3" t="s">
        <v>81</v>
      </c>
      <c r="AH7571" s="11">
        <f>HYPERLINK("https://my.pitchbook.com?c=56148-85T","View Company Online")</f>
      </c>
    </row>
    <row r="7572">
      <c r="A7572" s="12" t="s">
        <v>33399</v>
      </c>
      <c r="B7572" s="12" t="s">
        <v>26243</v>
      </c>
      <c r="C7572" s="19">
        <v>9</v>
      </c>
      <c r="D7572" s="19">
        <v>28</v>
      </c>
      <c r="E7572" s="19">
        <v>6</v>
      </c>
      <c r="F7572" s="19">
        <v>37</v>
      </c>
      <c r="G7572" s="15" t="s">
        <v>326</v>
      </c>
      <c r="H7572" s="14">
        <v>37.39</v>
      </c>
      <c r="I7572" s="18">
        <v>11.31</v>
      </c>
      <c r="J7572" s="12" t="s">
        <v>521</v>
      </c>
      <c r="K7572" s="13" t="s">
        <v>36</v>
      </c>
      <c r="L7572" s="15" t="s">
        <v>122</v>
      </c>
      <c r="M7572" s="12" t="s">
        <v>36</v>
      </c>
      <c r="N7572" s="12" t="s">
        <v>122</v>
      </c>
      <c r="O7572" s="17" t="s">
        <v>36</v>
      </c>
      <c r="P7572" s="12" t="s">
        <v>36</v>
      </c>
      <c r="Q7572" s="12" t="s">
        <v>36</v>
      </c>
      <c r="R7572" s="12" t="s">
        <v>36</v>
      </c>
      <c r="S7572" s="12" t="s">
        <v>36</v>
      </c>
      <c r="T7572" s="12" t="s">
        <v>881</v>
      </c>
      <c r="U7572" s="12" t="s">
        <v>51</v>
      </c>
      <c r="V7572" s="12" t="s">
        <v>52</v>
      </c>
      <c r="W7572" s="12" t="s">
        <v>26244</v>
      </c>
      <c r="X7572" s="16" t="s">
        <v>33400</v>
      </c>
      <c r="Y7572" s="15" t="s">
        <v>55</v>
      </c>
      <c r="Z7572" s="14">
        <v>2.73</v>
      </c>
      <c r="AA7572" s="14">
        <v>12.4</v>
      </c>
      <c r="AB7572" s="12" t="s">
        <v>56</v>
      </c>
      <c r="AC7572" s="12" t="s">
        <v>26246</v>
      </c>
      <c r="AD7572" s="13">
        <v>41801</v>
      </c>
      <c r="AE7572" s="12" t="s">
        <v>504</v>
      </c>
      <c r="AF7572" s="12" t="s">
        <v>159</v>
      </c>
      <c r="AG7572" s="12" t="s">
        <v>991</v>
      </c>
      <c r="AH7572" s="1">
        <f>HYPERLINK("https://my.pitchbook.com?c=81465-94T","View Company Online")</f>
      </c>
    </row>
    <row r="7573">
      <c r="A7573" s="3" t="s">
        <v>33401</v>
      </c>
      <c r="B7573" s="3" t="s">
        <v>33402</v>
      </c>
      <c r="C7573" s="5" t="s">
        <v>36</v>
      </c>
      <c r="D7573" s="5" t="s">
        <v>36</v>
      </c>
      <c r="E7573" s="5" t="s">
        <v>36</v>
      </c>
      <c r="F7573" s="5" t="s">
        <v>36</v>
      </c>
      <c r="G7573" s="6" t="s">
        <v>36</v>
      </c>
      <c r="H7573" s="4" t="s">
        <v>36</v>
      </c>
      <c r="I7573" s="7" t="s">
        <v>36</v>
      </c>
      <c r="J7573" s="3" t="s">
        <v>36</v>
      </c>
      <c r="K7573" s="9" t="s">
        <v>36</v>
      </c>
      <c r="L7573" s="6" t="s">
        <v>36</v>
      </c>
      <c r="M7573" s="3" t="s">
        <v>36</v>
      </c>
      <c r="N7573" s="3" t="s">
        <v>36</v>
      </c>
      <c r="O7573" s="8" t="s">
        <v>36</v>
      </c>
      <c r="P7573" s="3" t="s">
        <v>36</v>
      </c>
      <c r="Q7573" s="3" t="s">
        <v>36</v>
      </c>
      <c r="R7573" s="3" t="s">
        <v>36</v>
      </c>
      <c r="S7573" s="3" t="s">
        <v>36</v>
      </c>
      <c r="T7573" s="3" t="s">
        <v>33403</v>
      </c>
      <c r="U7573" s="3" t="s">
        <v>289</v>
      </c>
      <c r="V7573" s="3" t="s">
        <v>64</v>
      </c>
      <c r="W7573" s="3" t="s">
        <v>33404</v>
      </c>
      <c r="X7573" s="10" t="s">
        <v>33405</v>
      </c>
      <c r="Y7573" s="6" t="s">
        <v>108</v>
      </c>
      <c r="Z7573" s="4">
        <v>3.75</v>
      </c>
      <c r="AA7573" s="4" t="s">
        <v>36</v>
      </c>
      <c r="AB7573" s="3" t="s">
        <v>56</v>
      </c>
      <c r="AC7573" s="3" t="s">
        <v>33406</v>
      </c>
      <c r="AD7573" s="9">
        <v>41801</v>
      </c>
      <c r="AE7573" s="3" t="s">
        <v>3134</v>
      </c>
      <c r="AF7573" s="3" t="s">
        <v>9216</v>
      </c>
      <c r="AG7573" s="3" t="s">
        <v>9648</v>
      </c>
      <c r="AH7573" s="11">
        <f>HYPERLINK("https://my.pitchbook.com?c=34619-23T","View Company Online")</f>
      </c>
    </row>
    <row r="7574">
      <c r="A7574" s="12" t="s">
        <v>33407</v>
      </c>
      <c r="B7574" s="12" t="s">
        <v>31723</v>
      </c>
      <c r="C7574" s="19" t="s">
        <v>36</v>
      </c>
      <c r="D7574" s="19" t="s">
        <v>36</v>
      </c>
      <c r="E7574" s="19" t="s">
        <v>36</v>
      </c>
      <c r="F7574" s="19" t="s">
        <v>36</v>
      </c>
      <c r="G7574" s="15" t="s">
        <v>326</v>
      </c>
      <c r="H7574" s="14">
        <v>8.89</v>
      </c>
      <c r="I7574" s="18">
        <v>17.59</v>
      </c>
      <c r="J7574" s="12" t="s">
        <v>521</v>
      </c>
      <c r="K7574" s="13">
        <v>41800</v>
      </c>
      <c r="L7574" s="15" t="s">
        <v>36</v>
      </c>
      <c r="M7574" s="12" t="s">
        <v>36</v>
      </c>
      <c r="N7574" s="12" t="s">
        <v>36</v>
      </c>
      <c r="O7574" s="17" t="s">
        <v>36</v>
      </c>
      <c r="P7574" s="12" t="s">
        <v>36</v>
      </c>
      <c r="Q7574" s="12" t="s">
        <v>36</v>
      </c>
      <c r="R7574" s="12" t="s">
        <v>36</v>
      </c>
      <c r="S7574" s="12" t="s">
        <v>36</v>
      </c>
      <c r="T7574" s="12" t="s">
        <v>1023</v>
      </c>
      <c r="U7574" s="12" t="s">
        <v>74</v>
      </c>
      <c r="V7574" s="12" t="s">
        <v>75</v>
      </c>
      <c r="W7574" s="12" t="s">
        <v>31724</v>
      </c>
      <c r="X7574" s="16" t="s">
        <v>33408</v>
      </c>
      <c r="Y7574" s="15" t="s">
        <v>108</v>
      </c>
      <c r="Z7574" s="14">
        <v>1.36</v>
      </c>
      <c r="AA7574" s="14">
        <v>7.76</v>
      </c>
      <c r="AB7574" s="12" t="s">
        <v>43</v>
      </c>
      <c r="AC7574" s="12" t="s">
        <v>31726</v>
      </c>
      <c r="AD7574" s="13">
        <v>41801</v>
      </c>
      <c r="AE7574" s="12" t="s">
        <v>79</v>
      </c>
      <c r="AF7574" s="12" t="s">
        <v>4552</v>
      </c>
      <c r="AG7574" s="12" t="s">
        <v>81</v>
      </c>
      <c r="AH7574" s="1">
        <f>HYPERLINK("https://my.pitchbook.com?c=34557-04T","View Company Online")</f>
      </c>
    </row>
    <row r="7575">
      <c r="A7575" s="3" t="s">
        <v>33409</v>
      </c>
      <c r="B7575" s="3" t="s">
        <v>30760</v>
      </c>
      <c r="C7575" s="5">
        <v>2</v>
      </c>
      <c r="D7575" s="5">
        <v>2</v>
      </c>
      <c r="E7575" s="5">
        <v>1</v>
      </c>
      <c r="F7575" s="5">
        <v>4</v>
      </c>
      <c r="G7575" s="6" t="s">
        <v>36</v>
      </c>
      <c r="H7575" s="4" t="s">
        <v>36</v>
      </c>
      <c r="I7575" s="7" t="s">
        <v>36</v>
      </c>
      <c r="J7575" s="3" t="s">
        <v>36</v>
      </c>
      <c r="K7575" s="9" t="s">
        <v>36</v>
      </c>
      <c r="L7575" s="6" t="s">
        <v>36</v>
      </c>
      <c r="M7575" s="3" t="s">
        <v>36</v>
      </c>
      <c r="N7575" s="3" t="s">
        <v>36</v>
      </c>
      <c r="O7575" s="8" t="s">
        <v>36</v>
      </c>
      <c r="P7575" s="3" t="s">
        <v>36</v>
      </c>
      <c r="Q7575" s="3" t="s">
        <v>36</v>
      </c>
      <c r="R7575" s="3" t="s">
        <v>36</v>
      </c>
      <c r="S7575" s="3" t="s">
        <v>36</v>
      </c>
      <c r="T7575" s="3" t="s">
        <v>550</v>
      </c>
      <c r="U7575" s="3" t="s">
        <v>38</v>
      </c>
      <c r="V7575" s="3" t="s">
        <v>39</v>
      </c>
      <c r="W7575" s="3" t="s">
        <v>30761</v>
      </c>
      <c r="X7575" s="10" t="s">
        <v>33410</v>
      </c>
      <c r="Y7575" s="6" t="s">
        <v>1067</v>
      </c>
      <c r="Z7575" s="4" t="s">
        <v>36</v>
      </c>
      <c r="AA7575" s="4" t="s">
        <v>36</v>
      </c>
      <c r="AB7575" s="3" t="s">
        <v>56</v>
      </c>
      <c r="AC7575" s="3" t="s">
        <v>30763</v>
      </c>
      <c r="AD7575" s="9">
        <v>41800</v>
      </c>
      <c r="AE7575" s="3" t="s">
        <v>554</v>
      </c>
      <c r="AF7575" s="3" t="s">
        <v>18230</v>
      </c>
      <c r="AG7575" s="3" t="s">
        <v>81</v>
      </c>
      <c r="AH7575" s="11">
        <f>HYPERLINK("https://my.pitchbook.com?c=36556-12T","View Company Online")</f>
      </c>
    </row>
    <row r="7576">
      <c r="A7576" s="12" t="s">
        <v>33411</v>
      </c>
      <c r="B7576" s="12" t="s">
        <v>33412</v>
      </c>
      <c r="C7576" s="19">
        <v>1</v>
      </c>
      <c r="D7576" s="19">
        <v>4</v>
      </c>
      <c r="E7576" s="19">
        <v>2</v>
      </c>
      <c r="F7576" s="19">
        <v>9</v>
      </c>
      <c r="G7576" s="15" t="s">
        <v>36</v>
      </c>
      <c r="H7576" s="14" t="s">
        <v>36</v>
      </c>
      <c r="I7576" s="18" t="s">
        <v>36</v>
      </c>
      <c r="J7576" s="12" t="s">
        <v>36</v>
      </c>
      <c r="K7576" s="13" t="s">
        <v>36</v>
      </c>
      <c r="L7576" s="15" t="s">
        <v>122</v>
      </c>
      <c r="M7576" s="12" t="s">
        <v>36</v>
      </c>
      <c r="N7576" s="12" t="s">
        <v>122</v>
      </c>
      <c r="O7576" s="17" t="s">
        <v>36</v>
      </c>
      <c r="P7576" s="12" t="s">
        <v>36</v>
      </c>
      <c r="Q7576" s="12" t="s">
        <v>36</v>
      </c>
      <c r="R7576" s="12" t="s">
        <v>36</v>
      </c>
      <c r="S7576" s="12" t="s">
        <v>36</v>
      </c>
      <c r="T7576" s="12" t="s">
        <v>9309</v>
      </c>
      <c r="U7576" s="12" t="s">
        <v>51</v>
      </c>
      <c r="V7576" s="12" t="s">
        <v>52</v>
      </c>
      <c r="W7576" s="12" t="s">
        <v>33413</v>
      </c>
      <c r="X7576" s="16" t="s">
        <v>33414</v>
      </c>
      <c r="Y7576" s="15" t="s">
        <v>42</v>
      </c>
      <c r="Z7576" s="14">
        <v>3</v>
      </c>
      <c r="AA7576" s="14" t="s">
        <v>36</v>
      </c>
      <c r="AB7576" s="12" t="s">
        <v>43</v>
      </c>
      <c r="AC7576" s="12" t="s">
        <v>33415</v>
      </c>
      <c r="AD7576" s="13">
        <v>41800</v>
      </c>
      <c r="AE7576" s="12" t="s">
        <v>158</v>
      </c>
      <c r="AF7576" s="12" t="s">
        <v>159</v>
      </c>
      <c r="AG7576" s="12" t="s">
        <v>4179</v>
      </c>
      <c r="AH7576" s="1">
        <f>HYPERLINK("https://my.pitchbook.com?c=45730-18T","View Company Online")</f>
      </c>
    </row>
    <row r="7577">
      <c r="A7577" s="3" t="s">
        <v>33416</v>
      </c>
      <c r="B7577" s="3" t="s">
        <v>33417</v>
      </c>
      <c r="C7577" s="5" t="s">
        <v>36</v>
      </c>
      <c r="D7577" s="5" t="s">
        <v>36</v>
      </c>
      <c r="E7577" s="5" t="s">
        <v>36</v>
      </c>
      <c r="F7577" s="5" t="s">
        <v>36</v>
      </c>
      <c r="G7577" s="6" t="s">
        <v>36</v>
      </c>
      <c r="H7577" s="4" t="s">
        <v>36</v>
      </c>
      <c r="I7577" s="7" t="s">
        <v>36</v>
      </c>
      <c r="J7577" s="3" t="s">
        <v>36</v>
      </c>
      <c r="K7577" s="9" t="s">
        <v>36</v>
      </c>
      <c r="L7577" s="6" t="s">
        <v>36</v>
      </c>
      <c r="M7577" s="3" t="s">
        <v>36</v>
      </c>
      <c r="N7577" s="3" t="s">
        <v>36</v>
      </c>
      <c r="O7577" s="8" t="s">
        <v>36</v>
      </c>
      <c r="P7577" s="3" t="s">
        <v>36</v>
      </c>
      <c r="Q7577" s="3" t="s">
        <v>36</v>
      </c>
      <c r="R7577" s="3" t="s">
        <v>36</v>
      </c>
      <c r="S7577" s="3" t="s">
        <v>36</v>
      </c>
      <c r="T7577" s="3" t="s">
        <v>12914</v>
      </c>
      <c r="U7577" s="3" t="s">
        <v>74</v>
      </c>
      <c r="V7577" s="3" t="s">
        <v>75</v>
      </c>
      <c r="W7577" s="3" t="s">
        <v>33418</v>
      </c>
      <c r="X7577" s="10" t="s">
        <v>18492</v>
      </c>
      <c r="Y7577" s="6" t="s">
        <v>42</v>
      </c>
      <c r="Z7577" s="4">
        <v>2.05</v>
      </c>
      <c r="AA7577" s="4" t="s">
        <v>36</v>
      </c>
      <c r="AB7577" s="3" t="s">
        <v>43</v>
      </c>
      <c r="AC7577" s="3" t="s">
        <v>33419</v>
      </c>
      <c r="AD7577" s="9">
        <v>41795</v>
      </c>
      <c r="AE7577" s="3" t="s">
        <v>2237</v>
      </c>
      <c r="AF7577" s="3" t="s">
        <v>1977</v>
      </c>
      <c r="AG7577" s="3" t="s">
        <v>81</v>
      </c>
      <c r="AH7577" s="11">
        <f>HYPERLINK("https://my.pitchbook.com?c=123843-43T","View Company Online")</f>
      </c>
    </row>
    <row r="7578">
      <c r="A7578" s="12" t="s">
        <v>33420</v>
      </c>
      <c r="B7578" s="12" t="s">
        <v>33421</v>
      </c>
      <c r="C7578" s="19" t="s">
        <v>36</v>
      </c>
      <c r="D7578" s="19" t="s">
        <v>36</v>
      </c>
      <c r="E7578" s="19" t="s">
        <v>36</v>
      </c>
      <c r="F7578" s="19" t="s">
        <v>36</v>
      </c>
      <c r="G7578" s="15" t="s">
        <v>36</v>
      </c>
      <c r="H7578" s="14" t="s">
        <v>36</v>
      </c>
      <c r="I7578" s="18" t="s">
        <v>36</v>
      </c>
      <c r="J7578" s="12" t="s">
        <v>36</v>
      </c>
      <c r="K7578" s="13" t="s">
        <v>36</v>
      </c>
      <c r="L7578" s="15" t="s">
        <v>36</v>
      </c>
      <c r="M7578" s="12" t="s">
        <v>36</v>
      </c>
      <c r="N7578" s="12" t="s">
        <v>36</v>
      </c>
      <c r="O7578" s="17" t="s">
        <v>36</v>
      </c>
      <c r="P7578" s="12" t="s">
        <v>36</v>
      </c>
      <c r="Q7578" s="12" t="s">
        <v>36</v>
      </c>
      <c r="R7578" s="12" t="s">
        <v>36</v>
      </c>
      <c r="S7578" s="12" t="s">
        <v>36</v>
      </c>
      <c r="T7578" s="12" t="s">
        <v>522</v>
      </c>
      <c r="U7578" s="12" t="s">
        <v>38</v>
      </c>
      <c r="V7578" s="12" t="s">
        <v>39</v>
      </c>
      <c r="W7578" s="12" t="s">
        <v>33422</v>
      </c>
      <c r="X7578" s="16" t="s">
        <v>1840</v>
      </c>
      <c r="Y7578" s="15" t="s">
        <v>42</v>
      </c>
      <c r="Z7578" s="14">
        <v>1.51</v>
      </c>
      <c r="AA7578" s="14" t="s">
        <v>36</v>
      </c>
      <c r="AB7578" s="12" t="s">
        <v>43</v>
      </c>
      <c r="AC7578" s="12" t="s">
        <v>33423</v>
      </c>
      <c r="AD7578" s="13">
        <v>41795</v>
      </c>
      <c r="AE7578" s="12" t="s">
        <v>110</v>
      </c>
      <c r="AF7578" s="12" t="s">
        <v>33424</v>
      </c>
      <c r="AG7578" s="12" t="s">
        <v>33425</v>
      </c>
      <c r="AH7578" s="1">
        <f>HYPERLINK("https://my.pitchbook.com?c=129499-93T","View Company Online")</f>
      </c>
    </row>
    <row r="7579">
      <c r="A7579" s="3" t="s">
        <v>33426</v>
      </c>
      <c r="B7579" s="3" t="s">
        <v>17243</v>
      </c>
      <c r="C7579" s="5" t="s">
        <v>36</v>
      </c>
      <c r="D7579" s="5" t="s">
        <v>36</v>
      </c>
      <c r="E7579" s="5" t="s">
        <v>36</v>
      </c>
      <c r="F7579" s="5" t="s">
        <v>36</v>
      </c>
      <c r="G7579" s="6" t="s">
        <v>36</v>
      </c>
      <c r="H7579" s="4">
        <v>81.28</v>
      </c>
      <c r="I7579" s="7">
        <v>30.78</v>
      </c>
      <c r="J7579" s="3" t="s">
        <v>521</v>
      </c>
      <c r="K7579" s="9" t="s">
        <v>36</v>
      </c>
      <c r="L7579" s="6" t="s">
        <v>36</v>
      </c>
      <c r="M7579" s="3" t="s">
        <v>36</v>
      </c>
      <c r="N7579" s="3" t="s">
        <v>36</v>
      </c>
      <c r="O7579" s="8" t="s">
        <v>36</v>
      </c>
      <c r="P7579" s="3" t="s">
        <v>36</v>
      </c>
      <c r="Q7579" s="3" t="s">
        <v>36</v>
      </c>
      <c r="R7579" s="3" t="s">
        <v>36</v>
      </c>
      <c r="S7579" s="3" t="s">
        <v>36</v>
      </c>
      <c r="T7579" s="3" t="s">
        <v>17244</v>
      </c>
      <c r="U7579" s="3" t="s">
        <v>233</v>
      </c>
      <c r="V7579" s="3" t="s">
        <v>39</v>
      </c>
      <c r="W7579" s="3" t="s">
        <v>17245</v>
      </c>
      <c r="X7579" s="10" t="s">
        <v>33427</v>
      </c>
      <c r="Y7579" s="6" t="s">
        <v>42</v>
      </c>
      <c r="Z7579" s="4">
        <v>1.1</v>
      </c>
      <c r="AA7579" s="4">
        <v>3.56</v>
      </c>
      <c r="AB7579" s="3" t="s">
        <v>43</v>
      </c>
      <c r="AC7579" s="3" t="s">
        <v>17247</v>
      </c>
      <c r="AD7579" s="9">
        <v>41795</v>
      </c>
      <c r="AE7579" s="3" t="s">
        <v>12061</v>
      </c>
      <c r="AF7579" s="3" t="s">
        <v>3860</v>
      </c>
      <c r="AG7579" s="3" t="s">
        <v>81</v>
      </c>
      <c r="AH7579" s="11">
        <f>HYPERLINK("https://my.pitchbook.com?c=34508-89T","View Company Online")</f>
      </c>
    </row>
    <row r="7580">
      <c r="A7580" s="12" t="s">
        <v>33428</v>
      </c>
      <c r="B7580" s="12" t="s">
        <v>33429</v>
      </c>
      <c r="C7580" s="19" t="s">
        <v>36</v>
      </c>
      <c r="D7580" s="19" t="s">
        <v>36</v>
      </c>
      <c r="E7580" s="19" t="s">
        <v>36</v>
      </c>
      <c r="F7580" s="19" t="s">
        <v>36</v>
      </c>
      <c r="G7580" s="15" t="s">
        <v>36</v>
      </c>
      <c r="H7580" s="14" t="s">
        <v>36</v>
      </c>
      <c r="I7580" s="18" t="s">
        <v>36</v>
      </c>
      <c r="J7580" s="12" t="s">
        <v>36</v>
      </c>
      <c r="K7580" s="13" t="s">
        <v>36</v>
      </c>
      <c r="L7580" s="15" t="s">
        <v>36</v>
      </c>
      <c r="M7580" s="12" t="s">
        <v>36</v>
      </c>
      <c r="N7580" s="12" t="s">
        <v>36</v>
      </c>
      <c r="O7580" s="17" t="s">
        <v>36</v>
      </c>
      <c r="P7580" s="12" t="s">
        <v>36</v>
      </c>
      <c r="Q7580" s="12" t="s">
        <v>36</v>
      </c>
      <c r="R7580" s="12" t="s">
        <v>36</v>
      </c>
      <c r="S7580" s="12" t="s">
        <v>36</v>
      </c>
      <c r="T7580" s="12" t="s">
        <v>20192</v>
      </c>
      <c r="U7580" s="12" t="s">
        <v>279</v>
      </c>
      <c r="V7580" s="12" t="s">
        <v>64</v>
      </c>
      <c r="W7580" s="12" t="s">
        <v>33430</v>
      </c>
      <c r="X7580" s="16" t="s">
        <v>33431</v>
      </c>
      <c r="Y7580" s="15" t="s">
        <v>55</v>
      </c>
      <c r="Z7580" s="14">
        <v>1.37</v>
      </c>
      <c r="AA7580" s="14" t="s">
        <v>36</v>
      </c>
      <c r="AB7580" s="12" t="s">
        <v>56</v>
      </c>
      <c r="AC7580" s="12" t="s">
        <v>33432</v>
      </c>
      <c r="AD7580" s="13">
        <v>41794</v>
      </c>
      <c r="AE7580" s="12" t="s">
        <v>8519</v>
      </c>
      <c r="AF7580" s="12" t="s">
        <v>1636</v>
      </c>
      <c r="AG7580" s="12" t="s">
        <v>652</v>
      </c>
      <c r="AH7580" s="1">
        <f>HYPERLINK("https://my.pitchbook.com?c=29630-44T","View Company Online")</f>
      </c>
    </row>
    <row r="7581">
      <c r="A7581" s="3" t="s">
        <v>33433</v>
      </c>
      <c r="B7581" s="3" t="s">
        <v>26995</v>
      </c>
      <c r="C7581" s="5" t="s">
        <v>36</v>
      </c>
      <c r="D7581" s="5" t="s">
        <v>36</v>
      </c>
      <c r="E7581" s="5" t="s">
        <v>36</v>
      </c>
      <c r="F7581" s="5" t="s">
        <v>36</v>
      </c>
      <c r="G7581" s="6" t="s">
        <v>326</v>
      </c>
      <c r="H7581" s="4">
        <v>5.23</v>
      </c>
      <c r="I7581" s="7">
        <v>11.63</v>
      </c>
      <c r="J7581" s="3" t="s">
        <v>521</v>
      </c>
      <c r="K7581" s="9" t="s">
        <v>36</v>
      </c>
      <c r="L7581" s="6" t="s">
        <v>36</v>
      </c>
      <c r="M7581" s="3" t="s">
        <v>36</v>
      </c>
      <c r="N7581" s="3" t="s">
        <v>36</v>
      </c>
      <c r="O7581" s="8" t="s">
        <v>36</v>
      </c>
      <c r="P7581" s="3" t="s">
        <v>36</v>
      </c>
      <c r="Q7581" s="3" t="s">
        <v>36</v>
      </c>
      <c r="R7581" s="3" t="s">
        <v>36</v>
      </c>
      <c r="S7581" s="3" t="s">
        <v>196</v>
      </c>
      <c r="T7581" s="3" t="s">
        <v>1397</v>
      </c>
      <c r="U7581" s="3" t="s">
        <v>38</v>
      </c>
      <c r="V7581" s="3" t="s">
        <v>39</v>
      </c>
      <c r="W7581" s="3" t="s">
        <v>26996</v>
      </c>
      <c r="X7581" s="10" t="s">
        <v>33434</v>
      </c>
      <c r="Y7581" s="6" t="s">
        <v>55</v>
      </c>
      <c r="Z7581" s="4">
        <v>1.37</v>
      </c>
      <c r="AA7581" s="4">
        <v>11.77</v>
      </c>
      <c r="AB7581" s="3" t="s">
        <v>43</v>
      </c>
      <c r="AC7581" s="3" t="s">
        <v>26998</v>
      </c>
      <c r="AD7581" s="9">
        <v>41794</v>
      </c>
      <c r="AE7581" s="3" t="s">
        <v>110</v>
      </c>
      <c r="AF7581" s="3" t="s">
        <v>4552</v>
      </c>
      <c r="AG7581" s="3" t="s">
        <v>186</v>
      </c>
      <c r="AH7581" s="11">
        <f>HYPERLINK("https://my.pitchbook.com?c=234096-40T","View Company Online")</f>
      </c>
    </row>
    <row r="7582">
      <c r="A7582" s="12" t="s">
        <v>33435</v>
      </c>
      <c r="B7582" s="12" t="s">
        <v>33436</v>
      </c>
      <c r="C7582" s="19" t="s">
        <v>36</v>
      </c>
      <c r="D7582" s="19">
        <v>2</v>
      </c>
      <c r="E7582" s="19">
        <v>1</v>
      </c>
      <c r="F7582" s="19">
        <v>2</v>
      </c>
      <c r="G7582" s="15" t="s">
        <v>36</v>
      </c>
      <c r="H7582" s="14" t="s">
        <v>36</v>
      </c>
      <c r="I7582" s="18" t="s">
        <v>36</v>
      </c>
      <c r="J7582" s="12" t="s">
        <v>36</v>
      </c>
      <c r="K7582" s="13" t="s">
        <v>36</v>
      </c>
      <c r="L7582" s="15" t="s">
        <v>36</v>
      </c>
      <c r="M7582" s="12" t="s">
        <v>36</v>
      </c>
      <c r="N7582" s="12" t="s">
        <v>36</v>
      </c>
      <c r="O7582" s="17" t="s">
        <v>36</v>
      </c>
      <c r="P7582" s="12" t="s">
        <v>36</v>
      </c>
      <c r="Q7582" s="12" t="s">
        <v>36</v>
      </c>
      <c r="R7582" s="12" t="s">
        <v>36</v>
      </c>
      <c r="S7582" s="12" t="s">
        <v>36</v>
      </c>
      <c r="T7582" s="12" t="s">
        <v>21340</v>
      </c>
      <c r="U7582" s="12" t="s">
        <v>318</v>
      </c>
      <c r="V7582" s="12" t="s">
        <v>39</v>
      </c>
      <c r="W7582" s="12" t="s">
        <v>33437</v>
      </c>
      <c r="X7582" s="16" t="s">
        <v>33438</v>
      </c>
      <c r="Y7582" s="15" t="s">
        <v>42</v>
      </c>
      <c r="Z7582" s="14">
        <v>2.33</v>
      </c>
      <c r="AA7582" s="14" t="s">
        <v>36</v>
      </c>
      <c r="AB7582" s="12" t="s">
        <v>43</v>
      </c>
      <c r="AC7582" s="12" t="s">
        <v>33439</v>
      </c>
      <c r="AD7582" s="13">
        <v>41792</v>
      </c>
      <c r="AE7582" s="12" t="s">
        <v>763</v>
      </c>
      <c r="AF7582" s="12" t="s">
        <v>30848</v>
      </c>
      <c r="AG7582" s="12" t="s">
        <v>4001</v>
      </c>
      <c r="AH7582" s="1">
        <f>HYPERLINK("https://my.pitchbook.com?c=82367-29T","View Company Online")</f>
      </c>
    </row>
    <row r="7583">
      <c r="A7583" s="3" t="s">
        <v>33440</v>
      </c>
      <c r="B7583" s="3" t="s">
        <v>30555</v>
      </c>
      <c r="C7583" s="5" t="s">
        <v>36</v>
      </c>
      <c r="D7583" s="5" t="s">
        <v>36</v>
      </c>
      <c r="E7583" s="5" t="s">
        <v>36</v>
      </c>
      <c r="F7583" s="5" t="s">
        <v>36</v>
      </c>
      <c r="G7583" s="6" t="s">
        <v>36</v>
      </c>
      <c r="H7583" s="4" t="s">
        <v>36</v>
      </c>
      <c r="I7583" s="7" t="s">
        <v>36</v>
      </c>
      <c r="J7583" s="3" t="s">
        <v>36</v>
      </c>
      <c r="K7583" s="9" t="s">
        <v>36</v>
      </c>
      <c r="L7583" s="6" t="s">
        <v>36</v>
      </c>
      <c r="M7583" s="3" t="s">
        <v>36</v>
      </c>
      <c r="N7583" s="3" t="s">
        <v>36</v>
      </c>
      <c r="O7583" s="8" t="s">
        <v>36</v>
      </c>
      <c r="P7583" s="3" t="s">
        <v>36</v>
      </c>
      <c r="Q7583" s="3" t="s">
        <v>36</v>
      </c>
      <c r="R7583" s="3" t="s">
        <v>36</v>
      </c>
      <c r="S7583" s="3" t="s">
        <v>36</v>
      </c>
      <c r="T7583" s="3" t="s">
        <v>1048</v>
      </c>
      <c r="U7583" s="3" t="s">
        <v>423</v>
      </c>
      <c r="V7583" s="3" t="s">
        <v>64</v>
      </c>
      <c r="W7583" s="3" t="s">
        <v>30556</v>
      </c>
      <c r="X7583" s="10" t="s">
        <v>6406</v>
      </c>
      <c r="Y7583" s="6" t="s">
        <v>42</v>
      </c>
      <c r="Z7583" s="4">
        <v>1.37</v>
      </c>
      <c r="AA7583" s="4" t="s">
        <v>36</v>
      </c>
      <c r="AB7583" s="3" t="s">
        <v>43</v>
      </c>
      <c r="AC7583" s="3" t="s">
        <v>30557</v>
      </c>
      <c r="AD7583" s="9">
        <v>41791</v>
      </c>
      <c r="AE7583" s="3" t="s">
        <v>1051</v>
      </c>
      <c r="AF7583" s="3" t="s">
        <v>11839</v>
      </c>
      <c r="AG7583" s="3" t="s">
        <v>47</v>
      </c>
      <c r="AH7583" s="11">
        <f>HYPERLINK("https://my.pitchbook.com?c=76290-58T","View Company Online")</f>
      </c>
    </row>
    <row r="7584">
      <c r="A7584" s="12" t="s">
        <v>33441</v>
      </c>
      <c r="B7584" s="12" t="s">
        <v>32142</v>
      </c>
      <c r="C7584" s="19" t="s">
        <v>36</v>
      </c>
      <c r="D7584" s="19" t="s">
        <v>36</v>
      </c>
      <c r="E7584" s="19" t="s">
        <v>36</v>
      </c>
      <c r="F7584" s="19" t="s">
        <v>36</v>
      </c>
      <c r="G7584" s="15" t="s">
        <v>36</v>
      </c>
      <c r="H7584" s="14" t="s">
        <v>36</v>
      </c>
      <c r="I7584" s="18" t="s">
        <v>36</v>
      </c>
      <c r="J7584" s="12" t="s">
        <v>36</v>
      </c>
      <c r="K7584" s="13" t="s">
        <v>36</v>
      </c>
      <c r="L7584" s="15" t="s">
        <v>36</v>
      </c>
      <c r="M7584" s="12" t="s">
        <v>36</v>
      </c>
      <c r="N7584" s="12" t="s">
        <v>36</v>
      </c>
      <c r="O7584" s="17" t="s">
        <v>36</v>
      </c>
      <c r="P7584" s="12" t="s">
        <v>36</v>
      </c>
      <c r="Q7584" s="12" t="s">
        <v>36</v>
      </c>
      <c r="R7584" s="12" t="s">
        <v>36</v>
      </c>
      <c r="S7584" s="12" t="s">
        <v>36</v>
      </c>
      <c r="T7584" s="12" t="s">
        <v>2483</v>
      </c>
      <c r="U7584" s="12" t="s">
        <v>63</v>
      </c>
      <c r="V7584" s="12" t="s">
        <v>64</v>
      </c>
      <c r="W7584" s="12" t="s">
        <v>32143</v>
      </c>
      <c r="X7584" s="16" t="s">
        <v>32144</v>
      </c>
      <c r="Y7584" s="15" t="s">
        <v>42</v>
      </c>
      <c r="Z7584" s="14">
        <v>2.61</v>
      </c>
      <c r="AA7584" s="14" t="s">
        <v>36</v>
      </c>
      <c r="AB7584" s="12" t="s">
        <v>56</v>
      </c>
      <c r="AC7584" s="12" t="s">
        <v>32145</v>
      </c>
      <c r="AD7584" s="13">
        <v>41791</v>
      </c>
      <c r="AE7584" s="12" t="s">
        <v>399</v>
      </c>
      <c r="AF7584" s="12" t="s">
        <v>643</v>
      </c>
      <c r="AG7584" s="12" t="s">
        <v>652</v>
      </c>
      <c r="AH7584" s="1">
        <f>HYPERLINK("https://my.pitchbook.com?c=50423-41T","View Company Online")</f>
      </c>
    </row>
    <row r="7585">
      <c r="A7585" s="3" t="s">
        <v>33442</v>
      </c>
      <c r="B7585" s="3" t="s">
        <v>33443</v>
      </c>
      <c r="C7585" s="5" t="s">
        <v>36</v>
      </c>
      <c r="D7585" s="5" t="s">
        <v>36</v>
      </c>
      <c r="E7585" s="5" t="s">
        <v>36</v>
      </c>
      <c r="F7585" s="5" t="s">
        <v>36</v>
      </c>
      <c r="G7585" s="6" t="s">
        <v>36</v>
      </c>
      <c r="H7585" s="4" t="s">
        <v>36</v>
      </c>
      <c r="I7585" s="7" t="s">
        <v>36</v>
      </c>
      <c r="J7585" s="3" t="s">
        <v>36</v>
      </c>
      <c r="K7585" s="9" t="s">
        <v>36</v>
      </c>
      <c r="L7585" s="6" t="s">
        <v>36</v>
      </c>
      <c r="M7585" s="3" t="s">
        <v>36</v>
      </c>
      <c r="N7585" s="3" t="s">
        <v>36</v>
      </c>
      <c r="O7585" s="8" t="s">
        <v>36</v>
      </c>
      <c r="P7585" s="3" t="s">
        <v>36</v>
      </c>
      <c r="Q7585" s="3" t="s">
        <v>36</v>
      </c>
      <c r="R7585" s="3" t="s">
        <v>36</v>
      </c>
      <c r="S7585" s="3" t="s">
        <v>36</v>
      </c>
      <c r="T7585" s="3" t="s">
        <v>33444</v>
      </c>
      <c r="U7585" s="3" t="s">
        <v>74</v>
      </c>
      <c r="V7585" s="3" t="s">
        <v>75</v>
      </c>
      <c r="W7585" s="3" t="s">
        <v>33445</v>
      </c>
      <c r="X7585" s="10" t="s">
        <v>2130</v>
      </c>
      <c r="Y7585" s="6" t="s">
        <v>42</v>
      </c>
      <c r="Z7585" s="4" t="s">
        <v>36</v>
      </c>
      <c r="AA7585" s="4" t="s">
        <v>36</v>
      </c>
      <c r="AB7585" s="3" t="s">
        <v>56</v>
      </c>
      <c r="AC7585" s="3" t="s">
        <v>33446</v>
      </c>
      <c r="AD7585" s="9">
        <v>41791</v>
      </c>
      <c r="AE7585" s="3" t="s">
        <v>79</v>
      </c>
      <c r="AF7585" s="3" t="s">
        <v>1636</v>
      </c>
      <c r="AG7585" s="3" t="s">
        <v>33447</v>
      </c>
      <c r="AH7585" s="11">
        <f>HYPERLINK("https://my.pitchbook.com?c=50544-46T","View Company Online")</f>
      </c>
    </row>
    <row r="7586">
      <c r="A7586" s="12" t="s">
        <v>33448</v>
      </c>
      <c r="B7586" s="12" t="s">
        <v>33449</v>
      </c>
      <c r="C7586" s="19" t="s">
        <v>36</v>
      </c>
      <c r="D7586" s="19" t="s">
        <v>36</v>
      </c>
      <c r="E7586" s="19" t="s">
        <v>36</v>
      </c>
      <c r="F7586" s="19" t="s">
        <v>36</v>
      </c>
      <c r="G7586" s="15" t="s">
        <v>36</v>
      </c>
      <c r="H7586" s="14">
        <v>32.24</v>
      </c>
      <c r="I7586" s="18">
        <v>49.21</v>
      </c>
      <c r="J7586" s="12" t="s">
        <v>521</v>
      </c>
      <c r="K7586" s="13" t="s">
        <v>36</v>
      </c>
      <c r="L7586" s="15" t="s">
        <v>36</v>
      </c>
      <c r="M7586" s="12" t="s">
        <v>36</v>
      </c>
      <c r="N7586" s="12" t="s">
        <v>36</v>
      </c>
      <c r="O7586" s="17" t="s">
        <v>36</v>
      </c>
      <c r="P7586" s="12" t="s">
        <v>36</v>
      </c>
      <c r="Q7586" s="12" t="s">
        <v>36</v>
      </c>
      <c r="R7586" s="12" t="s">
        <v>36</v>
      </c>
      <c r="S7586" s="12" t="s">
        <v>36</v>
      </c>
      <c r="T7586" s="12" t="s">
        <v>265</v>
      </c>
      <c r="U7586" s="12" t="s">
        <v>85</v>
      </c>
      <c r="V7586" s="12" t="s">
        <v>64</v>
      </c>
      <c r="W7586" s="12" t="s">
        <v>33450</v>
      </c>
      <c r="X7586" s="16" t="s">
        <v>12094</v>
      </c>
      <c r="Y7586" s="15" t="s">
        <v>42</v>
      </c>
      <c r="Z7586" s="14">
        <v>0.41</v>
      </c>
      <c r="AA7586" s="14">
        <v>0.84</v>
      </c>
      <c r="AB7586" s="12" t="s">
        <v>43</v>
      </c>
      <c r="AC7586" s="12" t="s">
        <v>33451</v>
      </c>
      <c r="AD7586" s="13">
        <v>41791</v>
      </c>
      <c r="AE7586" s="12" t="s">
        <v>89</v>
      </c>
      <c r="AF7586" s="12" t="s">
        <v>12769</v>
      </c>
      <c r="AG7586" s="12" t="s">
        <v>33452</v>
      </c>
      <c r="AH7586" s="1">
        <f>HYPERLINK("https://my.pitchbook.com?c=65919-70T","View Company Online")</f>
      </c>
    </row>
    <row r="7587">
      <c r="A7587" s="3" t="s">
        <v>33453</v>
      </c>
      <c r="B7587" s="3" t="s">
        <v>16049</v>
      </c>
      <c r="C7587" s="5">
        <v>70</v>
      </c>
      <c r="D7587" s="5">
        <v>254</v>
      </c>
      <c r="E7587" s="5">
        <v>95</v>
      </c>
      <c r="F7587" s="5">
        <v>406</v>
      </c>
      <c r="G7587" s="6" t="s">
        <v>36</v>
      </c>
      <c r="H7587" s="4" t="s">
        <v>36</v>
      </c>
      <c r="I7587" s="7" t="s">
        <v>36</v>
      </c>
      <c r="J7587" s="3" t="s">
        <v>36</v>
      </c>
      <c r="K7587" s="9" t="s">
        <v>36</v>
      </c>
      <c r="L7587" s="6" t="s">
        <v>36</v>
      </c>
      <c r="M7587" s="3" t="s">
        <v>36</v>
      </c>
      <c r="N7587" s="3" t="s">
        <v>36</v>
      </c>
      <c r="O7587" s="8" t="s">
        <v>36</v>
      </c>
      <c r="P7587" s="3" t="s">
        <v>36</v>
      </c>
      <c r="Q7587" s="3" t="s">
        <v>36</v>
      </c>
      <c r="R7587" s="3" t="s">
        <v>36</v>
      </c>
      <c r="S7587" s="3" t="s">
        <v>36</v>
      </c>
      <c r="T7587" s="3" t="s">
        <v>16050</v>
      </c>
      <c r="U7587" s="3" t="s">
        <v>318</v>
      </c>
      <c r="V7587" s="3" t="s">
        <v>39</v>
      </c>
      <c r="W7587" s="3" t="s">
        <v>16051</v>
      </c>
      <c r="X7587" s="10" t="s">
        <v>577</v>
      </c>
      <c r="Y7587" s="6" t="s">
        <v>42</v>
      </c>
      <c r="Z7587" s="4" t="s">
        <v>36</v>
      </c>
      <c r="AA7587" s="4" t="s">
        <v>36</v>
      </c>
      <c r="AB7587" s="3" t="s">
        <v>43</v>
      </c>
      <c r="AC7587" s="3" t="s">
        <v>16053</v>
      </c>
      <c r="AD7587" s="9">
        <v>41791</v>
      </c>
      <c r="AE7587" s="3" t="s">
        <v>763</v>
      </c>
      <c r="AF7587" s="3" t="s">
        <v>16054</v>
      </c>
      <c r="AG7587" s="3" t="s">
        <v>512</v>
      </c>
      <c r="AH7587" s="11">
        <f>HYPERLINK("https://my.pitchbook.com?c=190993-51T","View Company Online")</f>
      </c>
    </row>
    <row r="7588">
      <c r="A7588" s="12" t="s">
        <v>33454</v>
      </c>
      <c r="B7588" s="12" t="s">
        <v>33455</v>
      </c>
      <c r="C7588" s="19" t="s">
        <v>36</v>
      </c>
      <c r="D7588" s="19" t="s">
        <v>36</v>
      </c>
      <c r="E7588" s="19" t="s">
        <v>36</v>
      </c>
      <c r="F7588" s="19" t="s">
        <v>36</v>
      </c>
      <c r="G7588" s="15" t="s">
        <v>36</v>
      </c>
      <c r="H7588" s="14" t="s">
        <v>36</v>
      </c>
      <c r="I7588" s="18" t="s">
        <v>36</v>
      </c>
      <c r="J7588" s="12" t="s">
        <v>36</v>
      </c>
      <c r="K7588" s="13" t="s">
        <v>36</v>
      </c>
      <c r="L7588" s="15" t="s">
        <v>36</v>
      </c>
      <c r="M7588" s="12" t="s">
        <v>36</v>
      </c>
      <c r="N7588" s="12" t="s">
        <v>36</v>
      </c>
      <c r="O7588" s="17" t="s">
        <v>36</v>
      </c>
      <c r="P7588" s="12" t="s">
        <v>36</v>
      </c>
      <c r="Q7588" s="12" t="s">
        <v>36</v>
      </c>
      <c r="R7588" s="12" t="s">
        <v>36</v>
      </c>
      <c r="S7588" s="12" t="s">
        <v>36</v>
      </c>
      <c r="T7588" s="12" t="s">
        <v>33456</v>
      </c>
      <c r="U7588" s="12" t="s">
        <v>63</v>
      </c>
      <c r="V7588" s="12" t="s">
        <v>64</v>
      </c>
      <c r="W7588" s="12" t="s">
        <v>33457</v>
      </c>
      <c r="X7588" s="16" t="s">
        <v>8652</v>
      </c>
      <c r="Y7588" s="15" t="s">
        <v>42</v>
      </c>
      <c r="Z7588" s="14" t="s">
        <v>36</v>
      </c>
      <c r="AA7588" s="14" t="s">
        <v>36</v>
      </c>
      <c r="AB7588" s="12" t="s">
        <v>43</v>
      </c>
      <c r="AC7588" s="12" t="s">
        <v>33458</v>
      </c>
      <c r="AD7588" s="13">
        <v>41791</v>
      </c>
      <c r="AE7588" s="12" t="s">
        <v>399</v>
      </c>
      <c r="AF7588" s="12" t="s">
        <v>36</v>
      </c>
      <c r="AG7588" s="12" t="s">
        <v>81</v>
      </c>
      <c r="AH7588" s="1">
        <f>HYPERLINK("https://my.pitchbook.com?c=121365-19T","View Company Online")</f>
      </c>
    </row>
    <row r="7589">
      <c r="A7589" s="3" t="s">
        <v>33459</v>
      </c>
      <c r="B7589" s="3" t="s">
        <v>33460</v>
      </c>
      <c r="C7589" s="5" t="s">
        <v>36</v>
      </c>
      <c r="D7589" s="5" t="s">
        <v>36</v>
      </c>
      <c r="E7589" s="5" t="s">
        <v>36</v>
      </c>
      <c r="F7589" s="5" t="s">
        <v>36</v>
      </c>
      <c r="G7589" s="6" t="s">
        <v>36</v>
      </c>
      <c r="H7589" s="4" t="s">
        <v>36</v>
      </c>
      <c r="I7589" s="7" t="s">
        <v>36</v>
      </c>
      <c r="J7589" s="3" t="s">
        <v>36</v>
      </c>
      <c r="K7589" s="9" t="s">
        <v>36</v>
      </c>
      <c r="L7589" s="6" t="s">
        <v>36</v>
      </c>
      <c r="M7589" s="3" t="s">
        <v>36</v>
      </c>
      <c r="N7589" s="3" t="s">
        <v>36</v>
      </c>
      <c r="O7589" s="8" t="s">
        <v>36</v>
      </c>
      <c r="P7589" s="3" t="s">
        <v>36</v>
      </c>
      <c r="Q7589" s="3" t="s">
        <v>36</v>
      </c>
      <c r="R7589" s="3" t="s">
        <v>36</v>
      </c>
      <c r="S7589" s="3" t="s">
        <v>36</v>
      </c>
      <c r="T7589" s="3" t="s">
        <v>1162</v>
      </c>
      <c r="U7589" s="3" t="s">
        <v>423</v>
      </c>
      <c r="V7589" s="3" t="s">
        <v>64</v>
      </c>
      <c r="W7589" s="3" t="s">
        <v>33461</v>
      </c>
      <c r="X7589" s="10" t="s">
        <v>2130</v>
      </c>
      <c r="Y7589" s="6" t="s">
        <v>42</v>
      </c>
      <c r="Z7589" s="4" t="s">
        <v>36</v>
      </c>
      <c r="AA7589" s="4" t="s">
        <v>36</v>
      </c>
      <c r="AB7589" s="3" t="s">
        <v>56</v>
      </c>
      <c r="AC7589" s="3" t="s">
        <v>33462</v>
      </c>
      <c r="AD7589" s="9">
        <v>41791</v>
      </c>
      <c r="AE7589" s="3" t="s">
        <v>562</v>
      </c>
      <c r="AF7589" s="3" t="s">
        <v>36</v>
      </c>
      <c r="AG7589" s="3" t="s">
        <v>81</v>
      </c>
      <c r="AH7589" s="11">
        <f>HYPERLINK("https://my.pitchbook.com?c=30537-73T","View Company Online")</f>
      </c>
    </row>
    <row r="7590">
      <c r="A7590" s="12" t="s">
        <v>33463</v>
      </c>
      <c r="B7590" s="12" t="s">
        <v>33464</v>
      </c>
      <c r="C7590" s="19" t="s">
        <v>36</v>
      </c>
      <c r="D7590" s="19" t="s">
        <v>36</v>
      </c>
      <c r="E7590" s="19" t="s">
        <v>36</v>
      </c>
      <c r="F7590" s="19" t="s">
        <v>36</v>
      </c>
      <c r="G7590" s="15" t="s">
        <v>36</v>
      </c>
      <c r="H7590" s="14" t="s">
        <v>36</v>
      </c>
      <c r="I7590" s="18" t="s">
        <v>36</v>
      </c>
      <c r="J7590" s="12" t="s">
        <v>36</v>
      </c>
      <c r="K7590" s="13" t="s">
        <v>36</v>
      </c>
      <c r="L7590" s="15" t="s">
        <v>36</v>
      </c>
      <c r="M7590" s="12" t="s">
        <v>36</v>
      </c>
      <c r="N7590" s="12" t="s">
        <v>36</v>
      </c>
      <c r="O7590" s="17" t="s">
        <v>36</v>
      </c>
      <c r="P7590" s="12" t="s">
        <v>36</v>
      </c>
      <c r="Q7590" s="12" t="s">
        <v>36</v>
      </c>
      <c r="R7590" s="12" t="s">
        <v>36</v>
      </c>
      <c r="S7590" s="12" t="s">
        <v>36</v>
      </c>
      <c r="T7590" s="12" t="s">
        <v>17385</v>
      </c>
      <c r="U7590" s="12" t="s">
        <v>423</v>
      </c>
      <c r="V7590" s="12" t="s">
        <v>64</v>
      </c>
      <c r="W7590" s="12" t="s">
        <v>33465</v>
      </c>
      <c r="X7590" s="16" t="s">
        <v>2130</v>
      </c>
      <c r="Y7590" s="15" t="s">
        <v>42</v>
      </c>
      <c r="Z7590" s="14">
        <v>3.43</v>
      </c>
      <c r="AA7590" s="14" t="s">
        <v>36</v>
      </c>
      <c r="AB7590" s="12" t="s">
        <v>56</v>
      </c>
      <c r="AC7590" s="12" t="s">
        <v>33466</v>
      </c>
      <c r="AD7590" s="13">
        <v>41791</v>
      </c>
      <c r="AE7590" s="12" t="s">
        <v>562</v>
      </c>
      <c r="AF7590" s="12" t="s">
        <v>36</v>
      </c>
      <c r="AG7590" s="12" t="s">
        <v>33467</v>
      </c>
      <c r="AH7590" s="1">
        <f>HYPERLINK("https://my.pitchbook.com?c=50544-28T","View Company Online")</f>
      </c>
    </row>
    <row r="7591">
      <c r="A7591" s="3" t="s">
        <v>33468</v>
      </c>
      <c r="B7591" s="3" t="s">
        <v>10918</v>
      </c>
      <c r="C7591" s="5" t="s">
        <v>36</v>
      </c>
      <c r="D7591" s="5">
        <v>2</v>
      </c>
      <c r="E7591" s="5">
        <v>1</v>
      </c>
      <c r="F7591" s="5">
        <v>2</v>
      </c>
      <c r="G7591" s="6" t="s">
        <v>683</v>
      </c>
      <c r="H7591" s="4">
        <v>41.5</v>
      </c>
      <c r="I7591" s="7">
        <v>36.62</v>
      </c>
      <c r="J7591" s="3" t="s">
        <v>521</v>
      </c>
      <c r="K7591" s="9" t="s">
        <v>36</v>
      </c>
      <c r="L7591" s="6" t="s">
        <v>94</v>
      </c>
      <c r="M7591" s="3" t="s">
        <v>36</v>
      </c>
      <c r="N7591" s="3" t="s">
        <v>94</v>
      </c>
      <c r="O7591" s="8" t="s">
        <v>36</v>
      </c>
      <c r="P7591" s="3" t="s">
        <v>36</v>
      </c>
      <c r="Q7591" s="3" t="s">
        <v>36</v>
      </c>
      <c r="R7591" s="3" t="s">
        <v>36</v>
      </c>
      <c r="S7591" s="3" t="s">
        <v>36</v>
      </c>
      <c r="T7591" s="3" t="s">
        <v>10919</v>
      </c>
      <c r="U7591" s="3" t="s">
        <v>38</v>
      </c>
      <c r="V7591" s="3" t="s">
        <v>39</v>
      </c>
      <c r="W7591" s="3" t="s">
        <v>10920</v>
      </c>
      <c r="X7591" s="10" t="s">
        <v>33469</v>
      </c>
      <c r="Y7591" s="6" t="s">
        <v>55</v>
      </c>
      <c r="Z7591" s="4">
        <v>7.23</v>
      </c>
      <c r="AA7591" s="4">
        <v>19.76</v>
      </c>
      <c r="AB7591" s="3" t="s">
        <v>43</v>
      </c>
      <c r="AC7591" s="3" t="s">
        <v>10922</v>
      </c>
      <c r="AD7591" s="9">
        <v>41791</v>
      </c>
      <c r="AE7591" s="3" t="s">
        <v>785</v>
      </c>
      <c r="AF7591" s="3" t="s">
        <v>5001</v>
      </c>
      <c r="AG7591" s="3" t="s">
        <v>81</v>
      </c>
      <c r="AH7591" s="11">
        <f>HYPERLINK("https://my.pitchbook.com?c=78721-30T","View Company Online")</f>
      </c>
    </row>
    <row r="7592">
      <c r="A7592" s="12" t="s">
        <v>33470</v>
      </c>
      <c r="B7592" s="12" t="s">
        <v>33471</v>
      </c>
      <c r="C7592" s="19" t="s">
        <v>36</v>
      </c>
      <c r="D7592" s="19" t="s">
        <v>36</v>
      </c>
      <c r="E7592" s="19" t="s">
        <v>36</v>
      </c>
      <c r="F7592" s="19" t="s">
        <v>36</v>
      </c>
      <c r="G7592" s="15" t="s">
        <v>36</v>
      </c>
      <c r="H7592" s="14" t="s">
        <v>36</v>
      </c>
      <c r="I7592" s="18" t="s">
        <v>36</v>
      </c>
      <c r="J7592" s="12" t="s">
        <v>36</v>
      </c>
      <c r="K7592" s="13" t="s">
        <v>36</v>
      </c>
      <c r="L7592" s="15" t="s">
        <v>36</v>
      </c>
      <c r="M7592" s="12" t="s">
        <v>36</v>
      </c>
      <c r="N7592" s="12" t="s">
        <v>36</v>
      </c>
      <c r="O7592" s="17" t="s">
        <v>36</v>
      </c>
      <c r="P7592" s="12" t="s">
        <v>36</v>
      </c>
      <c r="Q7592" s="12" t="s">
        <v>36</v>
      </c>
      <c r="R7592" s="12" t="s">
        <v>36</v>
      </c>
      <c r="S7592" s="12" t="s">
        <v>36</v>
      </c>
      <c r="T7592" s="12" t="s">
        <v>33472</v>
      </c>
      <c r="U7592" s="12" t="s">
        <v>648</v>
      </c>
      <c r="V7592" s="12" t="s">
        <v>64</v>
      </c>
      <c r="W7592" s="12" t="s">
        <v>33473</v>
      </c>
      <c r="X7592" s="16" t="s">
        <v>33474</v>
      </c>
      <c r="Y7592" s="15" t="s">
        <v>55</v>
      </c>
      <c r="Z7592" s="14">
        <v>1.1</v>
      </c>
      <c r="AA7592" s="14" t="s">
        <v>36</v>
      </c>
      <c r="AB7592" s="12" t="s">
        <v>56</v>
      </c>
      <c r="AC7592" s="12" t="s">
        <v>33475</v>
      </c>
      <c r="AD7592" s="13">
        <v>41789</v>
      </c>
      <c r="AE7592" s="12" t="s">
        <v>651</v>
      </c>
      <c r="AF7592" s="12" t="s">
        <v>2118</v>
      </c>
      <c r="AG7592" s="12" t="s">
        <v>33476</v>
      </c>
      <c r="AH7592" s="1">
        <f>HYPERLINK("https://my.pitchbook.com?c=35553-88T","View Company Online")</f>
      </c>
    </row>
    <row r="7593">
      <c r="A7593" s="3" t="s">
        <v>33477</v>
      </c>
      <c r="B7593" s="3" t="s">
        <v>33478</v>
      </c>
      <c r="C7593" s="5" t="s">
        <v>36</v>
      </c>
      <c r="D7593" s="5" t="s">
        <v>36</v>
      </c>
      <c r="E7593" s="5" t="s">
        <v>36</v>
      </c>
      <c r="F7593" s="5" t="s">
        <v>36</v>
      </c>
      <c r="G7593" s="6" t="s">
        <v>36</v>
      </c>
      <c r="H7593" s="4" t="s">
        <v>36</v>
      </c>
      <c r="I7593" s="7" t="s">
        <v>36</v>
      </c>
      <c r="J7593" s="3" t="s">
        <v>36</v>
      </c>
      <c r="K7593" s="9" t="s">
        <v>36</v>
      </c>
      <c r="L7593" s="6" t="s">
        <v>36</v>
      </c>
      <c r="M7593" s="3" t="s">
        <v>36</v>
      </c>
      <c r="N7593" s="3" t="s">
        <v>36</v>
      </c>
      <c r="O7593" s="8" t="s">
        <v>36</v>
      </c>
      <c r="P7593" s="3" t="s">
        <v>36</v>
      </c>
      <c r="Q7593" s="3" t="s">
        <v>36</v>
      </c>
      <c r="R7593" s="3" t="s">
        <v>36</v>
      </c>
      <c r="S7593" s="3" t="s">
        <v>36</v>
      </c>
      <c r="T7593" s="3" t="s">
        <v>2241</v>
      </c>
      <c r="U7593" s="3" t="s">
        <v>318</v>
      </c>
      <c r="V7593" s="3" t="s">
        <v>39</v>
      </c>
      <c r="W7593" s="3" t="s">
        <v>33479</v>
      </c>
      <c r="X7593" s="10" t="s">
        <v>33480</v>
      </c>
      <c r="Y7593" s="6" t="s">
        <v>42</v>
      </c>
      <c r="Z7593" s="4" t="s">
        <v>36</v>
      </c>
      <c r="AA7593" s="4" t="s">
        <v>36</v>
      </c>
      <c r="AB7593" s="3" t="s">
        <v>43</v>
      </c>
      <c r="AC7593" s="3" t="s">
        <v>33481</v>
      </c>
      <c r="AD7593" s="9">
        <v>41789</v>
      </c>
      <c r="AE7593" s="3" t="s">
        <v>763</v>
      </c>
      <c r="AF7593" s="3" t="s">
        <v>1969</v>
      </c>
      <c r="AG7593" s="3" t="s">
        <v>26560</v>
      </c>
      <c r="AH7593" s="11">
        <f>HYPERLINK("https://my.pitchbook.com?c=34980-67T","View Company Online")</f>
      </c>
    </row>
    <row r="7594">
      <c r="A7594" s="12" t="s">
        <v>33482</v>
      </c>
      <c r="B7594" s="12" t="s">
        <v>33483</v>
      </c>
      <c r="C7594" s="19" t="s">
        <v>36</v>
      </c>
      <c r="D7594" s="19" t="s">
        <v>36</v>
      </c>
      <c r="E7594" s="19" t="s">
        <v>36</v>
      </c>
      <c r="F7594" s="19" t="s">
        <v>36</v>
      </c>
      <c r="G7594" s="15" t="s">
        <v>683</v>
      </c>
      <c r="H7594" s="14">
        <v>10.39</v>
      </c>
      <c r="I7594" s="18">
        <v>30.33</v>
      </c>
      <c r="J7594" s="12" t="s">
        <v>521</v>
      </c>
      <c r="K7594" s="13" t="s">
        <v>36</v>
      </c>
      <c r="L7594" s="15" t="s">
        <v>36</v>
      </c>
      <c r="M7594" s="12" t="s">
        <v>36</v>
      </c>
      <c r="N7594" s="12" t="s">
        <v>36</v>
      </c>
      <c r="O7594" s="17" t="s">
        <v>36</v>
      </c>
      <c r="P7594" s="12" t="s">
        <v>36</v>
      </c>
      <c r="Q7594" s="12" t="s">
        <v>36</v>
      </c>
      <c r="R7594" s="12" t="s">
        <v>36</v>
      </c>
      <c r="S7594" s="12" t="s">
        <v>6677</v>
      </c>
      <c r="T7594" s="12" t="s">
        <v>25925</v>
      </c>
      <c r="U7594" s="12" t="s">
        <v>85</v>
      </c>
      <c r="V7594" s="12" t="s">
        <v>64</v>
      </c>
      <c r="W7594" s="12" t="s">
        <v>33484</v>
      </c>
      <c r="X7594" s="16" t="s">
        <v>33485</v>
      </c>
      <c r="Y7594" s="15" t="s">
        <v>108</v>
      </c>
      <c r="Z7594" s="14">
        <v>5.93</v>
      </c>
      <c r="AA7594" s="14">
        <v>19.54</v>
      </c>
      <c r="AB7594" s="12" t="s">
        <v>56</v>
      </c>
      <c r="AC7594" s="12" t="s">
        <v>33486</v>
      </c>
      <c r="AD7594" s="13">
        <v>41787</v>
      </c>
      <c r="AE7594" s="12" t="s">
        <v>89</v>
      </c>
      <c r="AF7594" s="12" t="s">
        <v>1507</v>
      </c>
      <c r="AG7594" s="12" t="s">
        <v>17723</v>
      </c>
      <c r="AH7594" s="1">
        <f>HYPERLINK("https://my.pitchbook.com?c=188362-18T","View Company Online")</f>
      </c>
    </row>
    <row r="7595">
      <c r="A7595" s="3" t="s">
        <v>33487</v>
      </c>
      <c r="B7595" s="3" t="s">
        <v>29100</v>
      </c>
      <c r="C7595" s="5" t="s">
        <v>36</v>
      </c>
      <c r="D7595" s="5" t="s">
        <v>36</v>
      </c>
      <c r="E7595" s="5" t="s">
        <v>36</v>
      </c>
      <c r="F7595" s="5" t="s">
        <v>36</v>
      </c>
      <c r="G7595" s="6" t="s">
        <v>36</v>
      </c>
      <c r="H7595" s="4" t="s">
        <v>36</v>
      </c>
      <c r="I7595" s="7" t="s">
        <v>36</v>
      </c>
      <c r="J7595" s="3" t="s">
        <v>36</v>
      </c>
      <c r="K7595" s="9" t="s">
        <v>36</v>
      </c>
      <c r="L7595" s="6" t="s">
        <v>36</v>
      </c>
      <c r="M7595" s="3" t="s">
        <v>36</v>
      </c>
      <c r="N7595" s="3" t="s">
        <v>36</v>
      </c>
      <c r="O7595" s="8" t="s">
        <v>36</v>
      </c>
      <c r="P7595" s="3" t="s">
        <v>36</v>
      </c>
      <c r="Q7595" s="3" t="s">
        <v>36</v>
      </c>
      <c r="R7595" s="3" t="s">
        <v>36</v>
      </c>
      <c r="S7595" s="3" t="s">
        <v>36</v>
      </c>
      <c r="T7595" s="3" t="s">
        <v>29101</v>
      </c>
      <c r="U7595" s="3" t="s">
        <v>1357</v>
      </c>
      <c r="V7595" s="3" t="s">
        <v>52</v>
      </c>
      <c r="W7595" s="3" t="s">
        <v>29102</v>
      </c>
      <c r="X7595" s="10" t="s">
        <v>33488</v>
      </c>
      <c r="Y7595" s="6" t="s">
        <v>42</v>
      </c>
      <c r="Z7595" s="4">
        <v>0.89</v>
      </c>
      <c r="AA7595" s="4" t="s">
        <v>36</v>
      </c>
      <c r="AB7595" s="3" t="s">
        <v>43</v>
      </c>
      <c r="AC7595" s="3" t="s">
        <v>29104</v>
      </c>
      <c r="AD7595" s="9">
        <v>41787</v>
      </c>
      <c r="AE7595" s="3" t="s">
        <v>2377</v>
      </c>
      <c r="AF7595" s="3" t="s">
        <v>24285</v>
      </c>
      <c r="AG7595" s="3" t="s">
        <v>3250</v>
      </c>
      <c r="AH7595" s="11">
        <f>HYPERLINK("https://my.pitchbook.com?c=50703-49T","View Company Online")</f>
      </c>
    </row>
    <row r="7596">
      <c r="A7596" s="12" t="s">
        <v>33489</v>
      </c>
      <c r="B7596" s="12" t="s">
        <v>33490</v>
      </c>
      <c r="C7596" s="19" t="s">
        <v>36</v>
      </c>
      <c r="D7596" s="19" t="s">
        <v>36</v>
      </c>
      <c r="E7596" s="19" t="s">
        <v>36</v>
      </c>
      <c r="F7596" s="19" t="s">
        <v>36</v>
      </c>
      <c r="G7596" s="15" t="s">
        <v>36</v>
      </c>
      <c r="H7596" s="14" t="s">
        <v>36</v>
      </c>
      <c r="I7596" s="18" t="s">
        <v>36</v>
      </c>
      <c r="J7596" s="12" t="s">
        <v>36</v>
      </c>
      <c r="K7596" s="13" t="s">
        <v>36</v>
      </c>
      <c r="L7596" s="15" t="s">
        <v>36</v>
      </c>
      <c r="M7596" s="12" t="s">
        <v>36</v>
      </c>
      <c r="N7596" s="12" t="s">
        <v>36</v>
      </c>
      <c r="O7596" s="17" t="s">
        <v>36</v>
      </c>
      <c r="P7596" s="12" t="s">
        <v>36</v>
      </c>
      <c r="Q7596" s="12" t="s">
        <v>36</v>
      </c>
      <c r="R7596" s="12" t="s">
        <v>36</v>
      </c>
      <c r="S7596" s="12" t="s">
        <v>36</v>
      </c>
      <c r="T7596" s="12" t="s">
        <v>123</v>
      </c>
      <c r="U7596" s="12" t="s">
        <v>38</v>
      </c>
      <c r="V7596" s="12" t="s">
        <v>39</v>
      </c>
      <c r="W7596" s="12" t="s">
        <v>33491</v>
      </c>
      <c r="X7596" s="16" t="s">
        <v>33492</v>
      </c>
      <c r="Y7596" s="15" t="s">
        <v>42</v>
      </c>
      <c r="Z7596" s="14">
        <v>1.1</v>
      </c>
      <c r="AA7596" s="14" t="s">
        <v>36</v>
      </c>
      <c r="AB7596" s="12" t="s">
        <v>56</v>
      </c>
      <c r="AC7596" s="12" t="s">
        <v>33493</v>
      </c>
      <c r="AD7596" s="13">
        <v>41785</v>
      </c>
      <c r="AE7596" s="12" t="s">
        <v>110</v>
      </c>
      <c r="AF7596" s="12" t="s">
        <v>11479</v>
      </c>
      <c r="AG7596" s="12" t="s">
        <v>81</v>
      </c>
      <c r="AH7596" s="1">
        <f>HYPERLINK("https://my.pitchbook.com?c=37092-97T","View Company Online")</f>
      </c>
    </row>
    <row r="7597">
      <c r="A7597" s="3" t="s">
        <v>33494</v>
      </c>
      <c r="B7597" s="3" t="s">
        <v>33495</v>
      </c>
      <c r="C7597" s="5">
        <v>4</v>
      </c>
      <c r="D7597" s="5">
        <v>13</v>
      </c>
      <c r="E7597" s="5">
        <v>9</v>
      </c>
      <c r="F7597" s="5">
        <v>35</v>
      </c>
      <c r="G7597" s="6" t="s">
        <v>683</v>
      </c>
      <c r="H7597" s="4">
        <v>36.77</v>
      </c>
      <c r="I7597" s="7">
        <v>26.79</v>
      </c>
      <c r="J7597" s="3" t="s">
        <v>521</v>
      </c>
      <c r="K7597" s="9" t="s">
        <v>36</v>
      </c>
      <c r="L7597" s="6" t="s">
        <v>1279</v>
      </c>
      <c r="M7597" s="3" t="s">
        <v>36</v>
      </c>
      <c r="N7597" s="3" t="s">
        <v>1279</v>
      </c>
      <c r="O7597" s="8" t="s">
        <v>36</v>
      </c>
      <c r="P7597" s="3" t="s">
        <v>36</v>
      </c>
      <c r="Q7597" s="3" t="s">
        <v>36</v>
      </c>
      <c r="R7597" s="3" t="s">
        <v>36</v>
      </c>
      <c r="S7597" s="3" t="s">
        <v>36</v>
      </c>
      <c r="T7597" s="3" t="s">
        <v>5807</v>
      </c>
      <c r="U7597" s="3" t="s">
        <v>1580</v>
      </c>
      <c r="V7597" s="3" t="s">
        <v>39</v>
      </c>
      <c r="W7597" s="3" t="s">
        <v>33496</v>
      </c>
      <c r="X7597" s="10" t="s">
        <v>33497</v>
      </c>
      <c r="Y7597" s="6" t="s">
        <v>55</v>
      </c>
      <c r="Z7597" s="4">
        <v>7.42</v>
      </c>
      <c r="AA7597" s="4">
        <v>27.69</v>
      </c>
      <c r="AB7597" s="3" t="s">
        <v>56</v>
      </c>
      <c r="AC7597" s="3" t="s">
        <v>33498</v>
      </c>
      <c r="AD7597" s="9">
        <v>41785</v>
      </c>
      <c r="AE7597" s="3" t="s">
        <v>2785</v>
      </c>
      <c r="AF7597" s="3" t="s">
        <v>1077</v>
      </c>
      <c r="AG7597" s="3" t="s">
        <v>33499</v>
      </c>
      <c r="AH7597" s="11">
        <f>HYPERLINK("https://my.pitchbook.com?c=34232-95T","View Company Online")</f>
      </c>
    </row>
    <row r="7598">
      <c r="A7598" s="12" t="s">
        <v>33500</v>
      </c>
      <c r="B7598" s="12" t="s">
        <v>33501</v>
      </c>
      <c r="C7598" s="19" t="s">
        <v>36</v>
      </c>
      <c r="D7598" s="19" t="s">
        <v>36</v>
      </c>
      <c r="E7598" s="19" t="s">
        <v>36</v>
      </c>
      <c r="F7598" s="19" t="s">
        <v>36</v>
      </c>
      <c r="G7598" s="15" t="s">
        <v>36</v>
      </c>
      <c r="H7598" s="14" t="s">
        <v>36</v>
      </c>
      <c r="I7598" s="18" t="s">
        <v>36</v>
      </c>
      <c r="J7598" s="12" t="s">
        <v>36</v>
      </c>
      <c r="K7598" s="13" t="s">
        <v>36</v>
      </c>
      <c r="L7598" s="15" t="s">
        <v>36</v>
      </c>
      <c r="M7598" s="12" t="s">
        <v>36</v>
      </c>
      <c r="N7598" s="12" t="s">
        <v>36</v>
      </c>
      <c r="O7598" s="17" t="s">
        <v>36</v>
      </c>
      <c r="P7598" s="12" t="s">
        <v>36</v>
      </c>
      <c r="Q7598" s="12" t="s">
        <v>36</v>
      </c>
      <c r="R7598" s="12" t="s">
        <v>36</v>
      </c>
      <c r="S7598" s="12" t="s">
        <v>36</v>
      </c>
      <c r="T7598" s="12" t="s">
        <v>278</v>
      </c>
      <c r="U7598" s="12" t="s">
        <v>279</v>
      </c>
      <c r="V7598" s="12" t="s">
        <v>64</v>
      </c>
      <c r="W7598" s="12" t="s">
        <v>33502</v>
      </c>
      <c r="X7598" s="16" t="s">
        <v>33503</v>
      </c>
      <c r="Y7598" s="15" t="s">
        <v>108</v>
      </c>
      <c r="Z7598" s="14">
        <v>4.13</v>
      </c>
      <c r="AA7598" s="14" t="s">
        <v>36</v>
      </c>
      <c r="AB7598" s="12" t="s">
        <v>43</v>
      </c>
      <c r="AC7598" s="12" t="s">
        <v>33504</v>
      </c>
      <c r="AD7598" s="13">
        <v>41785</v>
      </c>
      <c r="AE7598" s="12" t="s">
        <v>283</v>
      </c>
      <c r="AF7598" s="12" t="s">
        <v>1636</v>
      </c>
      <c r="AG7598" s="12" t="s">
        <v>9648</v>
      </c>
      <c r="AH7598" s="1">
        <f>HYPERLINK("https://my.pitchbook.com?c=66157-39T","View Company Online")</f>
      </c>
    </row>
    <row r="7599">
      <c r="A7599" s="3" t="s">
        <v>33505</v>
      </c>
      <c r="B7599" s="3" t="s">
        <v>22679</v>
      </c>
      <c r="C7599" s="5" t="s">
        <v>36</v>
      </c>
      <c r="D7599" s="5">
        <v>2</v>
      </c>
      <c r="E7599" s="5">
        <v>1</v>
      </c>
      <c r="F7599" s="5">
        <v>2</v>
      </c>
      <c r="G7599" s="6" t="s">
        <v>326</v>
      </c>
      <c r="H7599" s="4">
        <v>2.28</v>
      </c>
      <c r="I7599" s="7">
        <v>13.35</v>
      </c>
      <c r="J7599" s="3" t="s">
        <v>521</v>
      </c>
      <c r="K7599" s="9">
        <v>41593</v>
      </c>
      <c r="L7599" s="6" t="s">
        <v>36</v>
      </c>
      <c r="M7599" s="3" t="s">
        <v>36</v>
      </c>
      <c r="N7599" s="3" t="s">
        <v>36</v>
      </c>
      <c r="O7599" s="8" t="s">
        <v>36</v>
      </c>
      <c r="P7599" s="3" t="s">
        <v>36</v>
      </c>
      <c r="Q7599" s="3" t="s">
        <v>36</v>
      </c>
      <c r="R7599" s="3" t="s">
        <v>36</v>
      </c>
      <c r="S7599" s="3" t="s">
        <v>36</v>
      </c>
      <c r="T7599" s="3" t="s">
        <v>2647</v>
      </c>
      <c r="U7599" s="3" t="s">
        <v>1502</v>
      </c>
      <c r="V7599" s="3" t="s">
        <v>75</v>
      </c>
      <c r="W7599" s="3" t="s">
        <v>22680</v>
      </c>
      <c r="X7599" s="10" t="s">
        <v>33506</v>
      </c>
      <c r="Y7599" s="6" t="s">
        <v>166</v>
      </c>
      <c r="Z7599" s="4">
        <v>3.12</v>
      </c>
      <c r="AA7599" s="4">
        <v>23.34</v>
      </c>
      <c r="AB7599" s="3" t="s">
        <v>56</v>
      </c>
      <c r="AC7599" s="3" t="s">
        <v>22682</v>
      </c>
      <c r="AD7599" s="9">
        <v>41785</v>
      </c>
      <c r="AE7599" s="3" t="s">
        <v>1822</v>
      </c>
      <c r="AF7599" s="3" t="s">
        <v>36</v>
      </c>
      <c r="AG7599" s="3" t="s">
        <v>81</v>
      </c>
      <c r="AH7599" s="11">
        <f>HYPERLINK("https://my.pitchbook.com?c=67903-30T","View Company Online")</f>
      </c>
    </row>
    <row r="7600">
      <c r="A7600" s="12" t="s">
        <v>33507</v>
      </c>
      <c r="B7600" s="12" t="s">
        <v>29670</v>
      </c>
      <c r="C7600" s="19" t="s">
        <v>36</v>
      </c>
      <c r="D7600" s="19">
        <v>1</v>
      </c>
      <c r="E7600" s="19">
        <v>2</v>
      </c>
      <c r="F7600" s="19">
        <v>3</v>
      </c>
      <c r="G7600" s="15" t="s">
        <v>326</v>
      </c>
      <c r="H7600" s="14">
        <v>147.48</v>
      </c>
      <c r="I7600" s="18">
        <v>39.02</v>
      </c>
      <c r="J7600" s="12" t="s">
        <v>521</v>
      </c>
      <c r="K7600" s="13">
        <v>41771</v>
      </c>
      <c r="L7600" s="15" t="s">
        <v>122</v>
      </c>
      <c r="M7600" s="12" t="s">
        <v>36</v>
      </c>
      <c r="N7600" s="12" t="s">
        <v>122</v>
      </c>
      <c r="O7600" s="17" t="s">
        <v>36</v>
      </c>
      <c r="P7600" s="12" t="s">
        <v>36</v>
      </c>
      <c r="Q7600" s="12" t="s">
        <v>36</v>
      </c>
      <c r="R7600" s="12" t="s">
        <v>36</v>
      </c>
      <c r="S7600" s="12" t="s">
        <v>36</v>
      </c>
      <c r="T7600" s="12" t="s">
        <v>1701</v>
      </c>
      <c r="U7600" s="12" t="s">
        <v>74</v>
      </c>
      <c r="V7600" s="12" t="s">
        <v>75</v>
      </c>
      <c r="W7600" s="12" t="s">
        <v>29671</v>
      </c>
      <c r="X7600" s="16" t="s">
        <v>33508</v>
      </c>
      <c r="Y7600" s="15" t="s">
        <v>55</v>
      </c>
      <c r="Z7600" s="14">
        <v>4.52</v>
      </c>
      <c r="AA7600" s="14">
        <v>11.58</v>
      </c>
      <c r="AB7600" s="12" t="s">
        <v>56</v>
      </c>
      <c r="AC7600" s="12" t="s">
        <v>29673</v>
      </c>
      <c r="AD7600" s="13">
        <v>41785</v>
      </c>
      <c r="AE7600" s="12" t="s">
        <v>79</v>
      </c>
      <c r="AF7600" s="12" t="s">
        <v>6214</v>
      </c>
      <c r="AG7600" s="12" t="s">
        <v>81</v>
      </c>
      <c r="AH7600" s="1">
        <f>HYPERLINK("https://my.pitchbook.com?c=34136-74T","View Company Online")</f>
      </c>
    </row>
    <row r="7601">
      <c r="A7601" s="3" t="s">
        <v>33509</v>
      </c>
      <c r="B7601" s="3" t="s">
        <v>33510</v>
      </c>
      <c r="C7601" s="5" t="s">
        <v>36</v>
      </c>
      <c r="D7601" s="5">
        <v>7</v>
      </c>
      <c r="E7601" s="5">
        <v>4</v>
      </c>
      <c r="F7601" s="5">
        <v>7</v>
      </c>
      <c r="G7601" s="6" t="s">
        <v>36</v>
      </c>
      <c r="H7601" s="4" t="s">
        <v>36</v>
      </c>
      <c r="I7601" s="7" t="s">
        <v>36</v>
      </c>
      <c r="J7601" s="3" t="s">
        <v>36</v>
      </c>
      <c r="K7601" s="9" t="s">
        <v>36</v>
      </c>
      <c r="L7601" s="6" t="s">
        <v>36</v>
      </c>
      <c r="M7601" s="3" t="s">
        <v>36</v>
      </c>
      <c r="N7601" s="3" t="s">
        <v>36</v>
      </c>
      <c r="O7601" s="8" t="s">
        <v>36</v>
      </c>
      <c r="P7601" s="3" t="s">
        <v>36</v>
      </c>
      <c r="Q7601" s="3" t="s">
        <v>36</v>
      </c>
      <c r="R7601" s="3" t="s">
        <v>36</v>
      </c>
      <c r="S7601" s="3" t="s">
        <v>36</v>
      </c>
      <c r="T7601" s="3" t="s">
        <v>16038</v>
      </c>
      <c r="U7601" s="3" t="s">
        <v>219</v>
      </c>
      <c r="V7601" s="3" t="s">
        <v>75</v>
      </c>
      <c r="W7601" s="3" t="s">
        <v>33511</v>
      </c>
      <c r="X7601" s="10" t="s">
        <v>33512</v>
      </c>
      <c r="Y7601" s="6" t="s">
        <v>108</v>
      </c>
      <c r="Z7601" s="4">
        <v>4.14</v>
      </c>
      <c r="AA7601" s="4" t="s">
        <v>36</v>
      </c>
      <c r="AB7601" s="3" t="s">
        <v>56</v>
      </c>
      <c r="AC7601" s="3" t="s">
        <v>33513</v>
      </c>
      <c r="AD7601" s="9">
        <v>41782</v>
      </c>
      <c r="AE7601" s="3" t="s">
        <v>1032</v>
      </c>
      <c r="AF7601" s="3" t="s">
        <v>546</v>
      </c>
      <c r="AG7601" s="3" t="s">
        <v>33075</v>
      </c>
      <c r="AH7601" s="11">
        <f>HYPERLINK("https://my.pitchbook.com?c=35554-06T","View Company Online")</f>
      </c>
    </row>
    <row r="7602">
      <c r="A7602" s="12" t="s">
        <v>33514</v>
      </c>
      <c r="B7602" s="12" t="s">
        <v>3868</v>
      </c>
      <c r="C7602" s="19" t="s">
        <v>36</v>
      </c>
      <c r="D7602" s="19">
        <v>24</v>
      </c>
      <c r="E7602" s="19">
        <v>25</v>
      </c>
      <c r="F7602" s="19">
        <v>52</v>
      </c>
      <c r="G7602" s="15" t="s">
        <v>326</v>
      </c>
      <c r="H7602" s="14">
        <v>33.23</v>
      </c>
      <c r="I7602" s="18">
        <v>21.17</v>
      </c>
      <c r="J7602" s="12" t="s">
        <v>521</v>
      </c>
      <c r="K7602" s="13" t="s">
        <v>36</v>
      </c>
      <c r="L7602" s="15" t="s">
        <v>36</v>
      </c>
      <c r="M7602" s="12" t="s">
        <v>36</v>
      </c>
      <c r="N7602" s="12" t="s">
        <v>36</v>
      </c>
      <c r="O7602" s="17" t="s">
        <v>36</v>
      </c>
      <c r="P7602" s="12" t="s">
        <v>36</v>
      </c>
      <c r="Q7602" s="12" t="s">
        <v>36</v>
      </c>
      <c r="R7602" s="12" t="s">
        <v>36</v>
      </c>
      <c r="S7602" s="12" t="s">
        <v>36</v>
      </c>
      <c r="T7602" s="12" t="s">
        <v>3009</v>
      </c>
      <c r="U7602" s="12" t="s">
        <v>1502</v>
      </c>
      <c r="V7602" s="12" t="s">
        <v>75</v>
      </c>
      <c r="W7602" s="12" t="s">
        <v>3869</v>
      </c>
      <c r="X7602" s="16" t="s">
        <v>33515</v>
      </c>
      <c r="Y7602" s="15" t="s">
        <v>192</v>
      </c>
      <c r="Z7602" s="14">
        <v>2.76</v>
      </c>
      <c r="AA7602" s="14">
        <v>10.36</v>
      </c>
      <c r="AB7602" s="12" t="s">
        <v>56</v>
      </c>
      <c r="AC7602" s="12" t="s">
        <v>3871</v>
      </c>
      <c r="AD7602" s="13">
        <v>41782</v>
      </c>
      <c r="AE7602" s="12" t="s">
        <v>1506</v>
      </c>
      <c r="AF7602" s="12" t="s">
        <v>3872</v>
      </c>
      <c r="AG7602" s="12" t="s">
        <v>3873</v>
      </c>
      <c r="AH7602" s="1">
        <f>HYPERLINK("https://my.pitchbook.com?c=89321-14T","View Company Online")</f>
      </c>
    </row>
    <row r="7603">
      <c r="A7603" s="3" t="s">
        <v>33516</v>
      </c>
      <c r="B7603" s="3" t="s">
        <v>33517</v>
      </c>
      <c r="C7603" s="5" t="s">
        <v>36</v>
      </c>
      <c r="D7603" s="5" t="s">
        <v>36</v>
      </c>
      <c r="E7603" s="5" t="s">
        <v>36</v>
      </c>
      <c r="F7603" s="5" t="s">
        <v>36</v>
      </c>
      <c r="G7603" s="6" t="s">
        <v>36</v>
      </c>
      <c r="H7603" s="4" t="s">
        <v>36</v>
      </c>
      <c r="I7603" s="7" t="s">
        <v>36</v>
      </c>
      <c r="J7603" s="3" t="s">
        <v>36</v>
      </c>
      <c r="K7603" s="9" t="s">
        <v>36</v>
      </c>
      <c r="L7603" s="6" t="s">
        <v>122</v>
      </c>
      <c r="M7603" s="3" t="s">
        <v>36</v>
      </c>
      <c r="N7603" s="3" t="s">
        <v>122</v>
      </c>
      <c r="O7603" s="8" t="s">
        <v>36</v>
      </c>
      <c r="P7603" s="3" t="s">
        <v>36</v>
      </c>
      <c r="Q7603" s="3" t="s">
        <v>36</v>
      </c>
      <c r="R7603" s="3" t="s">
        <v>36</v>
      </c>
      <c r="S7603" s="3" t="s">
        <v>36</v>
      </c>
      <c r="T7603" s="3" t="s">
        <v>661</v>
      </c>
      <c r="U7603" s="3" t="s">
        <v>51</v>
      </c>
      <c r="V7603" s="3" t="s">
        <v>52</v>
      </c>
      <c r="W7603" s="3" t="s">
        <v>33518</v>
      </c>
      <c r="X7603" s="10" t="s">
        <v>33519</v>
      </c>
      <c r="Y7603" s="6" t="s">
        <v>108</v>
      </c>
      <c r="Z7603" s="4">
        <v>22.76</v>
      </c>
      <c r="AA7603" s="4" t="s">
        <v>36</v>
      </c>
      <c r="AB7603" s="3" t="s">
        <v>43</v>
      </c>
      <c r="AC7603" s="3" t="s">
        <v>33520</v>
      </c>
      <c r="AD7603" s="9">
        <v>41780</v>
      </c>
      <c r="AE7603" s="3" t="s">
        <v>158</v>
      </c>
      <c r="AF7603" s="3" t="s">
        <v>159</v>
      </c>
      <c r="AG7603" s="3" t="s">
        <v>81</v>
      </c>
      <c r="AH7603" s="11">
        <f>HYPERLINK("https://my.pitchbook.com?c=34072-12T","View Company Online")</f>
      </c>
    </row>
    <row r="7604">
      <c r="A7604" s="12" t="s">
        <v>33521</v>
      </c>
      <c r="B7604" s="12" t="s">
        <v>9111</v>
      </c>
      <c r="C7604" s="19">
        <v>3</v>
      </c>
      <c r="D7604" s="19">
        <v>6</v>
      </c>
      <c r="E7604" s="19">
        <v>2</v>
      </c>
      <c r="F7604" s="19">
        <v>11</v>
      </c>
      <c r="G7604" s="15" t="s">
        <v>36</v>
      </c>
      <c r="H7604" s="14">
        <v>613.96</v>
      </c>
      <c r="I7604" s="18">
        <v>30</v>
      </c>
      <c r="J7604" s="12" t="s">
        <v>521</v>
      </c>
      <c r="K7604" s="13" t="s">
        <v>36</v>
      </c>
      <c r="L7604" s="15" t="s">
        <v>122</v>
      </c>
      <c r="M7604" s="12" t="s">
        <v>36</v>
      </c>
      <c r="N7604" s="12" t="s">
        <v>122</v>
      </c>
      <c r="O7604" s="17" t="s">
        <v>36</v>
      </c>
      <c r="P7604" s="12" t="s">
        <v>36</v>
      </c>
      <c r="Q7604" s="12" t="s">
        <v>36</v>
      </c>
      <c r="R7604" s="12" t="s">
        <v>36</v>
      </c>
      <c r="S7604" s="12" t="s">
        <v>36</v>
      </c>
      <c r="T7604" s="12" t="s">
        <v>9112</v>
      </c>
      <c r="U7604" s="12" t="s">
        <v>38</v>
      </c>
      <c r="V7604" s="12" t="s">
        <v>39</v>
      </c>
      <c r="W7604" s="12" t="s">
        <v>9113</v>
      </c>
      <c r="X7604" s="16" t="s">
        <v>33522</v>
      </c>
      <c r="Y7604" s="15" t="s">
        <v>42</v>
      </c>
      <c r="Z7604" s="14">
        <v>5.24</v>
      </c>
      <c r="AA7604" s="14">
        <v>17.48</v>
      </c>
      <c r="AB7604" s="12" t="s">
        <v>43</v>
      </c>
      <c r="AC7604" s="12" t="s">
        <v>9115</v>
      </c>
      <c r="AD7604" s="13">
        <v>41779</v>
      </c>
      <c r="AE7604" s="12" t="s">
        <v>110</v>
      </c>
      <c r="AF7604" s="12" t="s">
        <v>176</v>
      </c>
      <c r="AG7604" s="12" t="s">
        <v>47</v>
      </c>
      <c r="AH7604" s="1">
        <f>HYPERLINK("https://my.pitchbook.com?c=127836-37T","View Company Online")</f>
      </c>
    </row>
    <row r="7605">
      <c r="A7605" s="3" t="s">
        <v>33523</v>
      </c>
      <c r="B7605" s="3" t="s">
        <v>33524</v>
      </c>
      <c r="C7605" s="5" t="s">
        <v>36</v>
      </c>
      <c r="D7605" s="5" t="s">
        <v>36</v>
      </c>
      <c r="E7605" s="5" t="s">
        <v>36</v>
      </c>
      <c r="F7605" s="5" t="s">
        <v>36</v>
      </c>
      <c r="G7605" s="6" t="s">
        <v>36</v>
      </c>
      <c r="H7605" s="4">
        <v>10.39</v>
      </c>
      <c r="I7605" s="7">
        <v>29.61</v>
      </c>
      <c r="J7605" s="3" t="s">
        <v>521</v>
      </c>
      <c r="K7605" s="9" t="s">
        <v>36</v>
      </c>
      <c r="L7605" s="6" t="s">
        <v>36</v>
      </c>
      <c r="M7605" s="3" t="s">
        <v>36</v>
      </c>
      <c r="N7605" s="3" t="s">
        <v>36</v>
      </c>
      <c r="O7605" s="8" t="s">
        <v>36</v>
      </c>
      <c r="P7605" s="3" t="s">
        <v>36</v>
      </c>
      <c r="Q7605" s="3" t="s">
        <v>36</v>
      </c>
      <c r="R7605" s="3" t="s">
        <v>36</v>
      </c>
      <c r="S7605" s="3" t="s">
        <v>36</v>
      </c>
      <c r="T7605" s="3" t="s">
        <v>31101</v>
      </c>
      <c r="U7605" s="3" t="s">
        <v>423</v>
      </c>
      <c r="V7605" s="3" t="s">
        <v>64</v>
      </c>
      <c r="W7605" s="3" t="s">
        <v>33525</v>
      </c>
      <c r="X7605" s="10" t="s">
        <v>2130</v>
      </c>
      <c r="Y7605" s="6" t="s">
        <v>42</v>
      </c>
      <c r="Z7605" s="4">
        <v>1.33</v>
      </c>
      <c r="AA7605" s="4">
        <v>4.5</v>
      </c>
      <c r="AB7605" s="3" t="s">
        <v>56</v>
      </c>
      <c r="AC7605" s="3" t="s">
        <v>33526</v>
      </c>
      <c r="AD7605" s="9">
        <v>41779</v>
      </c>
      <c r="AE7605" s="3" t="s">
        <v>562</v>
      </c>
      <c r="AF7605" s="3" t="s">
        <v>33527</v>
      </c>
      <c r="AG7605" s="3" t="s">
        <v>47</v>
      </c>
      <c r="AH7605" s="11">
        <f>HYPERLINK("https://my.pitchbook.com?c=50544-55T","View Company Online")</f>
      </c>
    </row>
    <row r="7606">
      <c r="A7606" s="12" t="s">
        <v>33528</v>
      </c>
      <c r="B7606" s="12" t="s">
        <v>33529</v>
      </c>
      <c r="C7606" s="19" t="s">
        <v>36</v>
      </c>
      <c r="D7606" s="19" t="s">
        <v>36</v>
      </c>
      <c r="E7606" s="19" t="s">
        <v>36</v>
      </c>
      <c r="F7606" s="19" t="s">
        <v>36</v>
      </c>
      <c r="G7606" s="15" t="s">
        <v>36</v>
      </c>
      <c r="H7606" s="14">
        <v>10.39</v>
      </c>
      <c r="I7606" s="18">
        <v>32.91</v>
      </c>
      <c r="J7606" s="12" t="s">
        <v>521</v>
      </c>
      <c r="K7606" s="13" t="s">
        <v>36</v>
      </c>
      <c r="L7606" s="15" t="s">
        <v>36</v>
      </c>
      <c r="M7606" s="12" t="s">
        <v>36</v>
      </c>
      <c r="N7606" s="12" t="s">
        <v>36</v>
      </c>
      <c r="O7606" s="17" t="s">
        <v>36</v>
      </c>
      <c r="P7606" s="12" t="s">
        <v>36</v>
      </c>
      <c r="Q7606" s="12" t="s">
        <v>36</v>
      </c>
      <c r="R7606" s="12" t="s">
        <v>36</v>
      </c>
      <c r="S7606" s="12" t="s">
        <v>36</v>
      </c>
      <c r="T7606" s="12" t="s">
        <v>11802</v>
      </c>
      <c r="U7606" s="12" t="s">
        <v>74</v>
      </c>
      <c r="V7606" s="12" t="s">
        <v>75</v>
      </c>
      <c r="W7606" s="12" t="s">
        <v>33530</v>
      </c>
      <c r="X7606" s="16" t="s">
        <v>2130</v>
      </c>
      <c r="Y7606" s="15" t="s">
        <v>42</v>
      </c>
      <c r="Z7606" s="14">
        <v>1.02</v>
      </c>
      <c r="AA7606" s="14">
        <v>3.09</v>
      </c>
      <c r="AB7606" s="12" t="s">
        <v>56</v>
      </c>
      <c r="AC7606" s="12" t="s">
        <v>33531</v>
      </c>
      <c r="AD7606" s="13">
        <v>41779</v>
      </c>
      <c r="AE7606" s="12" t="s">
        <v>1888</v>
      </c>
      <c r="AF7606" s="12" t="s">
        <v>546</v>
      </c>
      <c r="AG7606" s="12" t="s">
        <v>81</v>
      </c>
      <c r="AH7606" s="1">
        <f>HYPERLINK("https://my.pitchbook.com?c=50553-46T","View Company Online")</f>
      </c>
    </row>
    <row r="7607">
      <c r="A7607" s="3" t="s">
        <v>33532</v>
      </c>
      <c r="B7607" s="3" t="s">
        <v>22014</v>
      </c>
      <c r="C7607" s="5" t="s">
        <v>36</v>
      </c>
      <c r="D7607" s="5" t="s">
        <v>36</v>
      </c>
      <c r="E7607" s="5" t="s">
        <v>36</v>
      </c>
      <c r="F7607" s="5" t="s">
        <v>36</v>
      </c>
      <c r="G7607" s="6" t="s">
        <v>36</v>
      </c>
      <c r="H7607" s="4" t="s">
        <v>36</v>
      </c>
      <c r="I7607" s="7" t="s">
        <v>36</v>
      </c>
      <c r="J7607" s="3" t="s">
        <v>36</v>
      </c>
      <c r="K7607" s="9" t="s">
        <v>36</v>
      </c>
      <c r="L7607" s="6" t="s">
        <v>36</v>
      </c>
      <c r="M7607" s="3" t="s">
        <v>36</v>
      </c>
      <c r="N7607" s="3" t="s">
        <v>36</v>
      </c>
      <c r="O7607" s="8" t="s">
        <v>36</v>
      </c>
      <c r="P7607" s="3" t="s">
        <v>36</v>
      </c>
      <c r="Q7607" s="3" t="s">
        <v>36</v>
      </c>
      <c r="R7607" s="3" t="s">
        <v>36</v>
      </c>
      <c r="S7607" s="3" t="s">
        <v>36</v>
      </c>
      <c r="T7607" s="3" t="s">
        <v>11886</v>
      </c>
      <c r="U7607" s="3" t="s">
        <v>648</v>
      </c>
      <c r="V7607" s="3" t="s">
        <v>64</v>
      </c>
      <c r="W7607" s="3" t="s">
        <v>22015</v>
      </c>
      <c r="X7607" s="10" t="s">
        <v>33533</v>
      </c>
      <c r="Y7607" s="6" t="s">
        <v>192</v>
      </c>
      <c r="Z7607" s="4">
        <v>2.07</v>
      </c>
      <c r="AA7607" s="4" t="s">
        <v>36</v>
      </c>
      <c r="AB7607" s="3" t="s">
        <v>43</v>
      </c>
      <c r="AC7607" s="3" t="s">
        <v>22017</v>
      </c>
      <c r="AD7607" s="9">
        <v>41778</v>
      </c>
      <c r="AE7607" s="3" t="s">
        <v>651</v>
      </c>
      <c r="AF7607" s="3" t="s">
        <v>36</v>
      </c>
      <c r="AG7607" s="3" t="s">
        <v>81</v>
      </c>
      <c r="AH7607" s="11">
        <f>HYPERLINK("https://my.pitchbook.com?c=33989-32T","View Company Online")</f>
      </c>
    </row>
    <row r="7608">
      <c r="A7608" s="12" t="s">
        <v>33534</v>
      </c>
      <c r="B7608" s="12" t="s">
        <v>20197</v>
      </c>
      <c r="C7608" s="19" t="s">
        <v>36</v>
      </c>
      <c r="D7608" s="19">
        <v>3</v>
      </c>
      <c r="E7608" s="19">
        <v>1</v>
      </c>
      <c r="F7608" s="19">
        <v>6</v>
      </c>
      <c r="G7608" s="15" t="s">
        <v>683</v>
      </c>
      <c r="H7608" s="14">
        <v>90.76</v>
      </c>
      <c r="I7608" s="18">
        <v>27.47</v>
      </c>
      <c r="J7608" s="12" t="s">
        <v>521</v>
      </c>
      <c r="K7608" s="13" t="s">
        <v>36</v>
      </c>
      <c r="L7608" s="15" t="s">
        <v>122</v>
      </c>
      <c r="M7608" s="12" t="s">
        <v>36</v>
      </c>
      <c r="N7608" s="12" t="s">
        <v>122</v>
      </c>
      <c r="O7608" s="17" t="s">
        <v>36</v>
      </c>
      <c r="P7608" s="12" t="s">
        <v>36</v>
      </c>
      <c r="Q7608" s="12" t="s">
        <v>36</v>
      </c>
      <c r="R7608" s="12" t="s">
        <v>36</v>
      </c>
      <c r="S7608" s="12" t="s">
        <v>36</v>
      </c>
      <c r="T7608" s="12" t="s">
        <v>20198</v>
      </c>
      <c r="U7608" s="12" t="s">
        <v>51</v>
      </c>
      <c r="V7608" s="12" t="s">
        <v>52</v>
      </c>
      <c r="W7608" s="12" t="s">
        <v>20199</v>
      </c>
      <c r="X7608" s="16" t="s">
        <v>33535</v>
      </c>
      <c r="Y7608" s="15" t="s">
        <v>108</v>
      </c>
      <c r="Z7608" s="14">
        <v>6.91</v>
      </c>
      <c r="AA7608" s="14">
        <v>25.14</v>
      </c>
      <c r="AB7608" s="12" t="s">
        <v>56</v>
      </c>
      <c r="AC7608" s="12" t="s">
        <v>20201</v>
      </c>
      <c r="AD7608" s="13">
        <v>41775</v>
      </c>
      <c r="AE7608" s="12" t="s">
        <v>158</v>
      </c>
      <c r="AF7608" s="12" t="s">
        <v>579</v>
      </c>
      <c r="AG7608" s="12" t="s">
        <v>47</v>
      </c>
      <c r="AH7608" s="1">
        <f>HYPERLINK("https://my.pitchbook.com?c=35016-85T","View Company Online")</f>
      </c>
    </row>
    <row r="7609">
      <c r="A7609" s="3" t="s">
        <v>33536</v>
      </c>
      <c r="B7609" s="3" t="s">
        <v>10387</v>
      </c>
      <c r="C7609" s="5">
        <v>15</v>
      </c>
      <c r="D7609" s="5">
        <v>78</v>
      </c>
      <c r="E7609" s="5">
        <v>19</v>
      </c>
      <c r="F7609" s="5">
        <v>97</v>
      </c>
      <c r="G7609" s="6" t="s">
        <v>326</v>
      </c>
      <c r="H7609" s="4">
        <v>53.75</v>
      </c>
      <c r="I7609" s="7">
        <v>12.01</v>
      </c>
      <c r="J7609" s="3" t="s">
        <v>521</v>
      </c>
      <c r="K7609" s="9" t="s">
        <v>36</v>
      </c>
      <c r="L7609" s="6" t="s">
        <v>36</v>
      </c>
      <c r="M7609" s="3" t="s">
        <v>36</v>
      </c>
      <c r="N7609" s="3" t="s">
        <v>36</v>
      </c>
      <c r="O7609" s="8" t="s">
        <v>36</v>
      </c>
      <c r="P7609" s="3" t="s">
        <v>36</v>
      </c>
      <c r="Q7609" s="3" t="s">
        <v>36</v>
      </c>
      <c r="R7609" s="3" t="s">
        <v>36</v>
      </c>
      <c r="S7609" s="3" t="s">
        <v>36</v>
      </c>
      <c r="T7609" s="3" t="s">
        <v>10388</v>
      </c>
      <c r="U7609" s="3" t="s">
        <v>1357</v>
      </c>
      <c r="V7609" s="3" t="s">
        <v>52</v>
      </c>
      <c r="W7609" s="3" t="s">
        <v>10389</v>
      </c>
      <c r="X7609" s="10" t="s">
        <v>33537</v>
      </c>
      <c r="Y7609" s="6" t="s">
        <v>192</v>
      </c>
      <c r="Z7609" s="4">
        <v>4.71</v>
      </c>
      <c r="AA7609" s="4">
        <v>39.26</v>
      </c>
      <c r="AB7609" s="3" t="s">
        <v>56</v>
      </c>
      <c r="AC7609" s="3" t="s">
        <v>10391</v>
      </c>
      <c r="AD7609" s="9">
        <v>41775</v>
      </c>
      <c r="AE7609" s="3" t="s">
        <v>10392</v>
      </c>
      <c r="AF7609" s="3" t="s">
        <v>159</v>
      </c>
      <c r="AG7609" s="3" t="s">
        <v>10393</v>
      </c>
      <c r="AH7609" s="11">
        <f>HYPERLINK("https://my.pitchbook.com?c=117637-39T","View Company Online")</f>
      </c>
    </row>
    <row r="7610">
      <c r="A7610" s="12" t="s">
        <v>33538</v>
      </c>
      <c r="B7610" s="12" t="s">
        <v>31433</v>
      </c>
      <c r="C7610" s="19" t="s">
        <v>36</v>
      </c>
      <c r="D7610" s="19" t="s">
        <v>36</v>
      </c>
      <c r="E7610" s="19" t="s">
        <v>36</v>
      </c>
      <c r="F7610" s="19" t="s">
        <v>36</v>
      </c>
      <c r="G7610" s="15" t="s">
        <v>36</v>
      </c>
      <c r="H7610" s="14" t="s">
        <v>36</v>
      </c>
      <c r="I7610" s="18" t="s">
        <v>36</v>
      </c>
      <c r="J7610" s="12" t="s">
        <v>36</v>
      </c>
      <c r="K7610" s="13" t="s">
        <v>36</v>
      </c>
      <c r="L7610" s="15" t="s">
        <v>94</v>
      </c>
      <c r="M7610" s="12" t="s">
        <v>36</v>
      </c>
      <c r="N7610" s="12" t="s">
        <v>94</v>
      </c>
      <c r="O7610" s="17" t="s">
        <v>36</v>
      </c>
      <c r="P7610" s="12" t="s">
        <v>36</v>
      </c>
      <c r="Q7610" s="12" t="s">
        <v>36</v>
      </c>
      <c r="R7610" s="12" t="s">
        <v>36</v>
      </c>
      <c r="S7610" s="12" t="s">
        <v>36</v>
      </c>
      <c r="T7610" s="12" t="s">
        <v>123</v>
      </c>
      <c r="U7610" s="12" t="s">
        <v>38</v>
      </c>
      <c r="V7610" s="12" t="s">
        <v>39</v>
      </c>
      <c r="W7610" s="12" t="s">
        <v>31434</v>
      </c>
      <c r="X7610" s="16" t="s">
        <v>33539</v>
      </c>
      <c r="Y7610" s="15" t="s">
        <v>55</v>
      </c>
      <c r="Z7610" s="14">
        <v>17.5</v>
      </c>
      <c r="AA7610" s="14" t="s">
        <v>36</v>
      </c>
      <c r="AB7610" s="12" t="s">
        <v>56</v>
      </c>
      <c r="AC7610" s="12" t="s">
        <v>31436</v>
      </c>
      <c r="AD7610" s="13">
        <v>41774</v>
      </c>
      <c r="AE7610" s="12" t="s">
        <v>110</v>
      </c>
      <c r="AF7610" s="12" t="s">
        <v>19562</v>
      </c>
      <c r="AG7610" s="12" t="s">
        <v>81</v>
      </c>
      <c r="AH7610" s="1">
        <f>HYPERLINK("https://my.pitchbook.com?c=52195-87T","View Company Online")</f>
      </c>
    </row>
    <row r="7611">
      <c r="A7611" s="3" t="s">
        <v>33540</v>
      </c>
      <c r="B7611" s="3" t="s">
        <v>33541</v>
      </c>
      <c r="C7611" s="5" t="s">
        <v>36</v>
      </c>
      <c r="D7611" s="5" t="s">
        <v>36</v>
      </c>
      <c r="E7611" s="5" t="s">
        <v>36</v>
      </c>
      <c r="F7611" s="5" t="s">
        <v>36</v>
      </c>
      <c r="G7611" s="6" t="s">
        <v>36</v>
      </c>
      <c r="H7611" s="4" t="s">
        <v>36</v>
      </c>
      <c r="I7611" s="7">
        <v>21.33</v>
      </c>
      <c r="J7611" s="3" t="s">
        <v>521</v>
      </c>
      <c r="K7611" s="9" t="s">
        <v>36</v>
      </c>
      <c r="L7611" s="6" t="s">
        <v>36</v>
      </c>
      <c r="M7611" s="3" t="s">
        <v>36</v>
      </c>
      <c r="N7611" s="3" t="s">
        <v>36</v>
      </c>
      <c r="O7611" s="8" t="s">
        <v>36</v>
      </c>
      <c r="P7611" s="3" t="s">
        <v>36</v>
      </c>
      <c r="Q7611" s="3" t="s">
        <v>36</v>
      </c>
      <c r="R7611" s="3" t="s">
        <v>36</v>
      </c>
      <c r="S7611" s="3" t="s">
        <v>36</v>
      </c>
      <c r="T7611" s="3" t="s">
        <v>11030</v>
      </c>
      <c r="U7611" s="3" t="s">
        <v>38</v>
      </c>
      <c r="V7611" s="3" t="s">
        <v>39</v>
      </c>
      <c r="W7611" s="3" t="s">
        <v>33542</v>
      </c>
      <c r="X7611" s="10" t="s">
        <v>33543</v>
      </c>
      <c r="Y7611" s="6" t="s">
        <v>55</v>
      </c>
      <c r="Z7611" s="4">
        <v>1.11</v>
      </c>
      <c r="AA7611" s="4">
        <v>5.18</v>
      </c>
      <c r="AB7611" s="3" t="s">
        <v>56</v>
      </c>
      <c r="AC7611" s="3" t="s">
        <v>33544</v>
      </c>
      <c r="AD7611" s="9">
        <v>41773</v>
      </c>
      <c r="AE7611" s="3" t="s">
        <v>45</v>
      </c>
      <c r="AF7611" s="3" t="s">
        <v>7466</v>
      </c>
      <c r="AG7611" s="3" t="s">
        <v>2088</v>
      </c>
      <c r="AH7611" s="11">
        <f>HYPERLINK("https://my.pitchbook.com?c=86612-95T","View Company Online")</f>
      </c>
    </row>
    <row r="7612">
      <c r="A7612" s="12" t="s">
        <v>33545</v>
      </c>
      <c r="B7612" s="12" t="s">
        <v>33546</v>
      </c>
      <c r="C7612" s="19" t="s">
        <v>36</v>
      </c>
      <c r="D7612" s="19" t="s">
        <v>36</v>
      </c>
      <c r="E7612" s="19" t="s">
        <v>36</v>
      </c>
      <c r="F7612" s="19" t="s">
        <v>36</v>
      </c>
      <c r="G7612" s="15" t="s">
        <v>36</v>
      </c>
      <c r="H7612" s="14" t="s">
        <v>36</v>
      </c>
      <c r="I7612" s="18" t="s">
        <v>36</v>
      </c>
      <c r="J7612" s="12" t="s">
        <v>36</v>
      </c>
      <c r="K7612" s="13" t="s">
        <v>36</v>
      </c>
      <c r="L7612" s="15" t="s">
        <v>36</v>
      </c>
      <c r="M7612" s="12" t="s">
        <v>36</v>
      </c>
      <c r="N7612" s="12" t="s">
        <v>36</v>
      </c>
      <c r="O7612" s="17" t="s">
        <v>36</v>
      </c>
      <c r="P7612" s="12" t="s">
        <v>36</v>
      </c>
      <c r="Q7612" s="12" t="s">
        <v>36</v>
      </c>
      <c r="R7612" s="12" t="s">
        <v>36</v>
      </c>
      <c r="S7612" s="12" t="s">
        <v>36</v>
      </c>
      <c r="T7612" s="12" t="s">
        <v>5039</v>
      </c>
      <c r="U7612" s="12" t="s">
        <v>74</v>
      </c>
      <c r="V7612" s="12" t="s">
        <v>75</v>
      </c>
      <c r="W7612" s="12" t="s">
        <v>33547</v>
      </c>
      <c r="X7612" s="16" t="s">
        <v>2130</v>
      </c>
      <c r="Y7612" s="15" t="s">
        <v>42</v>
      </c>
      <c r="Z7612" s="14">
        <v>3.04</v>
      </c>
      <c r="AA7612" s="14" t="s">
        <v>36</v>
      </c>
      <c r="AB7612" s="12" t="s">
        <v>56</v>
      </c>
      <c r="AC7612" s="12" t="s">
        <v>33548</v>
      </c>
      <c r="AD7612" s="13">
        <v>41773</v>
      </c>
      <c r="AE7612" s="12" t="s">
        <v>1243</v>
      </c>
      <c r="AF7612" s="12" t="s">
        <v>111</v>
      </c>
      <c r="AG7612" s="12" t="s">
        <v>47</v>
      </c>
      <c r="AH7612" s="1">
        <f>HYPERLINK("https://my.pitchbook.com?c=121804-75T","View Company Online")</f>
      </c>
    </row>
    <row r="7613">
      <c r="A7613" s="3" t="s">
        <v>33549</v>
      </c>
      <c r="B7613" s="3" t="s">
        <v>33550</v>
      </c>
      <c r="C7613" s="5" t="s">
        <v>36</v>
      </c>
      <c r="D7613" s="5" t="s">
        <v>36</v>
      </c>
      <c r="E7613" s="5" t="s">
        <v>36</v>
      </c>
      <c r="F7613" s="5" t="s">
        <v>36</v>
      </c>
      <c r="G7613" s="6" t="s">
        <v>326</v>
      </c>
      <c r="H7613" s="4">
        <v>13.7</v>
      </c>
      <c r="I7613" s="7">
        <v>20.09</v>
      </c>
      <c r="J7613" s="3" t="s">
        <v>521</v>
      </c>
      <c r="K7613" s="9" t="s">
        <v>36</v>
      </c>
      <c r="L7613" s="6" t="s">
        <v>36</v>
      </c>
      <c r="M7613" s="3" t="s">
        <v>36</v>
      </c>
      <c r="N7613" s="3" t="s">
        <v>36</v>
      </c>
      <c r="O7613" s="8" t="s">
        <v>36</v>
      </c>
      <c r="P7613" s="3" t="s">
        <v>36</v>
      </c>
      <c r="Q7613" s="3" t="s">
        <v>36</v>
      </c>
      <c r="R7613" s="3" t="s">
        <v>36</v>
      </c>
      <c r="S7613" s="3" t="s">
        <v>36</v>
      </c>
      <c r="T7613" s="3" t="s">
        <v>927</v>
      </c>
      <c r="U7613" s="3" t="s">
        <v>219</v>
      </c>
      <c r="V7613" s="3" t="s">
        <v>75</v>
      </c>
      <c r="W7613" s="3" t="s">
        <v>33551</v>
      </c>
      <c r="X7613" s="10" t="s">
        <v>33552</v>
      </c>
      <c r="Y7613" s="6" t="s">
        <v>108</v>
      </c>
      <c r="Z7613" s="4">
        <v>8.38</v>
      </c>
      <c r="AA7613" s="4">
        <v>41.69</v>
      </c>
      <c r="AB7613" s="3" t="s">
        <v>56</v>
      </c>
      <c r="AC7613" s="3" t="s">
        <v>33553</v>
      </c>
      <c r="AD7613" s="9">
        <v>41773</v>
      </c>
      <c r="AE7613" s="3" t="s">
        <v>243</v>
      </c>
      <c r="AF7613" s="3" t="s">
        <v>28996</v>
      </c>
      <c r="AG7613" s="3" t="s">
        <v>33554</v>
      </c>
      <c r="AH7613" s="11">
        <f>HYPERLINK("https://my.pitchbook.com?c=87412-06T","View Company Online")</f>
      </c>
    </row>
    <row r="7614">
      <c r="A7614" s="12" t="s">
        <v>33555</v>
      </c>
      <c r="B7614" s="12" t="s">
        <v>33556</v>
      </c>
      <c r="C7614" s="19" t="s">
        <v>36</v>
      </c>
      <c r="D7614" s="19" t="s">
        <v>36</v>
      </c>
      <c r="E7614" s="19" t="s">
        <v>36</v>
      </c>
      <c r="F7614" s="19" t="s">
        <v>36</v>
      </c>
      <c r="G7614" s="15" t="s">
        <v>36</v>
      </c>
      <c r="H7614" s="14" t="s">
        <v>36</v>
      </c>
      <c r="I7614" s="18" t="s">
        <v>36</v>
      </c>
      <c r="J7614" s="12" t="s">
        <v>36</v>
      </c>
      <c r="K7614" s="13" t="s">
        <v>36</v>
      </c>
      <c r="L7614" s="15" t="s">
        <v>36</v>
      </c>
      <c r="M7614" s="12" t="s">
        <v>36</v>
      </c>
      <c r="N7614" s="12" t="s">
        <v>36</v>
      </c>
      <c r="O7614" s="17" t="s">
        <v>36</v>
      </c>
      <c r="P7614" s="12" t="s">
        <v>36</v>
      </c>
      <c r="Q7614" s="12" t="s">
        <v>36</v>
      </c>
      <c r="R7614" s="12" t="s">
        <v>36</v>
      </c>
      <c r="S7614" s="12" t="s">
        <v>36</v>
      </c>
      <c r="T7614" s="12" t="s">
        <v>30766</v>
      </c>
      <c r="U7614" s="12" t="s">
        <v>289</v>
      </c>
      <c r="V7614" s="12" t="s">
        <v>64</v>
      </c>
      <c r="W7614" s="12" t="s">
        <v>33557</v>
      </c>
      <c r="X7614" s="16" t="s">
        <v>33558</v>
      </c>
      <c r="Y7614" s="15" t="s">
        <v>108</v>
      </c>
      <c r="Z7614" s="14">
        <v>1.94</v>
      </c>
      <c r="AA7614" s="14" t="s">
        <v>36</v>
      </c>
      <c r="AB7614" s="12" t="s">
        <v>43</v>
      </c>
      <c r="AC7614" s="12" t="s">
        <v>33559</v>
      </c>
      <c r="AD7614" s="13">
        <v>41773</v>
      </c>
      <c r="AE7614" s="12" t="s">
        <v>292</v>
      </c>
      <c r="AF7614" s="12" t="s">
        <v>90</v>
      </c>
      <c r="AG7614" s="12" t="s">
        <v>81</v>
      </c>
      <c r="AH7614" s="1">
        <f>HYPERLINK("https://my.pitchbook.com?c=33871-87T","View Company Online")</f>
      </c>
    </row>
    <row r="7615">
      <c r="A7615" s="3" t="s">
        <v>33560</v>
      </c>
      <c r="B7615" s="3" t="s">
        <v>33561</v>
      </c>
      <c r="C7615" s="5">
        <v>20</v>
      </c>
      <c r="D7615" s="5">
        <v>20</v>
      </c>
      <c r="E7615" s="5">
        <v>14</v>
      </c>
      <c r="F7615" s="5">
        <v>57</v>
      </c>
      <c r="G7615" s="6" t="s">
        <v>36</v>
      </c>
      <c r="H7615" s="4" t="s">
        <v>36</v>
      </c>
      <c r="I7615" s="7" t="s">
        <v>36</v>
      </c>
      <c r="J7615" s="3" t="s">
        <v>36</v>
      </c>
      <c r="K7615" s="9">
        <v>40504</v>
      </c>
      <c r="L7615" s="6" t="s">
        <v>36</v>
      </c>
      <c r="M7615" s="3" t="s">
        <v>36</v>
      </c>
      <c r="N7615" s="3" t="s">
        <v>36</v>
      </c>
      <c r="O7615" s="8" t="s">
        <v>36</v>
      </c>
      <c r="P7615" s="3" t="s">
        <v>36</v>
      </c>
      <c r="Q7615" s="3" t="s">
        <v>36</v>
      </c>
      <c r="R7615" s="3" t="s">
        <v>36</v>
      </c>
      <c r="S7615" s="3" t="s">
        <v>36</v>
      </c>
      <c r="T7615" s="3" t="s">
        <v>881</v>
      </c>
      <c r="U7615" s="3" t="s">
        <v>51</v>
      </c>
      <c r="V7615" s="3" t="s">
        <v>52</v>
      </c>
      <c r="W7615" s="3" t="s">
        <v>33562</v>
      </c>
      <c r="X7615" s="10" t="s">
        <v>33563</v>
      </c>
      <c r="Y7615" s="6" t="s">
        <v>108</v>
      </c>
      <c r="Z7615" s="4">
        <v>1.38</v>
      </c>
      <c r="AA7615" s="4" t="s">
        <v>36</v>
      </c>
      <c r="AB7615" s="3" t="s">
        <v>43</v>
      </c>
      <c r="AC7615" s="3" t="s">
        <v>33564</v>
      </c>
      <c r="AD7615" s="9">
        <v>41772</v>
      </c>
      <c r="AE7615" s="3" t="s">
        <v>504</v>
      </c>
      <c r="AF7615" s="3" t="s">
        <v>665</v>
      </c>
      <c r="AG7615" s="3" t="s">
        <v>12575</v>
      </c>
      <c r="AH7615" s="11">
        <f>HYPERLINK("https://my.pitchbook.com?c=25388-83T","View Company Online")</f>
      </c>
    </row>
    <row r="7616">
      <c r="A7616" s="12" t="s">
        <v>33565</v>
      </c>
      <c r="B7616" s="12" t="s">
        <v>33566</v>
      </c>
      <c r="C7616" s="19" t="s">
        <v>36</v>
      </c>
      <c r="D7616" s="19" t="s">
        <v>36</v>
      </c>
      <c r="E7616" s="19" t="s">
        <v>36</v>
      </c>
      <c r="F7616" s="19" t="s">
        <v>36</v>
      </c>
      <c r="G7616" s="15" t="s">
        <v>36</v>
      </c>
      <c r="H7616" s="14" t="s">
        <v>36</v>
      </c>
      <c r="I7616" s="18" t="s">
        <v>36</v>
      </c>
      <c r="J7616" s="12" t="s">
        <v>36</v>
      </c>
      <c r="K7616" s="13" t="s">
        <v>36</v>
      </c>
      <c r="L7616" s="15" t="s">
        <v>36</v>
      </c>
      <c r="M7616" s="12" t="s">
        <v>36</v>
      </c>
      <c r="N7616" s="12" t="s">
        <v>36</v>
      </c>
      <c r="O7616" s="17" t="s">
        <v>36</v>
      </c>
      <c r="P7616" s="12" t="s">
        <v>36</v>
      </c>
      <c r="Q7616" s="12" t="s">
        <v>36</v>
      </c>
      <c r="R7616" s="12" t="s">
        <v>36</v>
      </c>
      <c r="S7616" s="12" t="s">
        <v>36</v>
      </c>
      <c r="T7616" s="12" t="s">
        <v>1350</v>
      </c>
      <c r="U7616" s="12" t="s">
        <v>38</v>
      </c>
      <c r="V7616" s="12" t="s">
        <v>39</v>
      </c>
      <c r="W7616" s="12" t="s">
        <v>33567</v>
      </c>
      <c r="X7616" s="16" t="s">
        <v>32975</v>
      </c>
      <c r="Y7616" s="15" t="s">
        <v>108</v>
      </c>
      <c r="Z7616" s="14">
        <v>1.52</v>
      </c>
      <c r="AA7616" s="14" t="s">
        <v>36</v>
      </c>
      <c r="AB7616" s="12" t="s">
        <v>56</v>
      </c>
      <c r="AC7616" s="12" t="s">
        <v>33568</v>
      </c>
      <c r="AD7616" s="13">
        <v>41771</v>
      </c>
      <c r="AE7616" s="12" t="s">
        <v>785</v>
      </c>
      <c r="AF7616" s="12" t="s">
        <v>27346</v>
      </c>
      <c r="AG7616" s="12" t="s">
        <v>81</v>
      </c>
      <c r="AH7616" s="1">
        <f>HYPERLINK("https://my.pitchbook.com?c=55956-97T","View Company Online")</f>
      </c>
    </row>
    <row r="7617">
      <c r="A7617" s="3" t="s">
        <v>33569</v>
      </c>
      <c r="B7617" s="3" t="s">
        <v>33570</v>
      </c>
      <c r="C7617" s="5" t="s">
        <v>36</v>
      </c>
      <c r="D7617" s="5" t="s">
        <v>36</v>
      </c>
      <c r="E7617" s="5" t="s">
        <v>36</v>
      </c>
      <c r="F7617" s="5" t="s">
        <v>36</v>
      </c>
      <c r="G7617" s="6" t="s">
        <v>36</v>
      </c>
      <c r="H7617" s="4" t="s">
        <v>36</v>
      </c>
      <c r="I7617" s="7" t="s">
        <v>36</v>
      </c>
      <c r="J7617" s="3" t="s">
        <v>36</v>
      </c>
      <c r="K7617" s="9" t="s">
        <v>36</v>
      </c>
      <c r="L7617" s="6" t="s">
        <v>36</v>
      </c>
      <c r="M7617" s="3" t="s">
        <v>36</v>
      </c>
      <c r="N7617" s="3" t="s">
        <v>36</v>
      </c>
      <c r="O7617" s="8" t="s">
        <v>36</v>
      </c>
      <c r="P7617" s="3" t="s">
        <v>36</v>
      </c>
      <c r="Q7617" s="3" t="s">
        <v>36</v>
      </c>
      <c r="R7617" s="3" t="s">
        <v>36</v>
      </c>
      <c r="S7617" s="3" t="s">
        <v>36</v>
      </c>
      <c r="T7617" s="3" t="s">
        <v>33571</v>
      </c>
      <c r="U7617" s="3" t="s">
        <v>38</v>
      </c>
      <c r="V7617" s="3" t="s">
        <v>39</v>
      </c>
      <c r="W7617" s="3" t="s">
        <v>33572</v>
      </c>
      <c r="X7617" s="10" t="s">
        <v>31667</v>
      </c>
      <c r="Y7617" s="6" t="s">
        <v>192</v>
      </c>
      <c r="Z7617" s="4" t="s">
        <v>36</v>
      </c>
      <c r="AA7617" s="4" t="s">
        <v>36</v>
      </c>
      <c r="AB7617" s="3" t="s">
        <v>56</v>
      </c>
      <c r="AC7617" s="3" t="s">
        <v>33573</v>
      </c>
      <c r="AD7617" s="9">
        <v>41771</v>
      </c>
      <c r="AE7617" s="3" t="s">
        <v>688</v>
      </c>
      <c r="AF7617" s="3" t="s">
        <v>3904</v>
      </c>
      <c r="AG7617" s="3" t="s">
        <v>81</v>
      </c>
      <c r="AH7617" s="11">
        <f>HYPERLINK("https://my.pitchbook.com?c=47246-77T","View Company Online")</f>
      </c>
    </row>
    <row r="7618">
      <c r="A7618" s="12" t="s">
        <v>33574</v>
      </c>
      <c r="B7618" s="12" t="s">
        <v>30383</v>
      </c>
      <c r="C7618" s="19" t="s">
        <v>36</v>
      </c>
      <c r="D7618" s="19" t="s">
        <v>36</v>
      </c>
      <c r="E7618" s="19" t="s">
        <v>36</v>
      </c>
      <c r="F7618" s="19" t="s">
        <v>36</v>
      </c>
      <c r="G7618" s="15" t="s">
        <v>36</v>
      </c>
      <c r="H7618" s="14">
        <v>124.63</v>
      </c>
      <c r="I7618" s="18">
        <v>38.75</v>
      </c>
      <c r="J7618" s="12" t="s">
        <v>521</v>
      </c>
      <c r="K7618" s="13" t="s">
        <v>36</v>
      </c>
      <c r="L7618" s="15" t="s">
        <v>36</v>
      </c>
      <c r="M7618" s="12" t="s">
        <v>36</v>
      </c>
      <c r="N7618" s="12" t="s">
        <v>36</v>
      </c>
      <c r="O7618" s="17" t="s">
        <v>36</v>
      </c>
      <c r="P7618" s="12" t="s">
        <v>36</v>
      </c>
      <c r="Q7618" s="12" t="s">
        <v>36</v>
      </c>
      <c r="R7618" s="12" t="s">
        <v>36</v>
      </c>
      <c r="S7618" s="12" t="s">
        <v>453</v>
      </c>
      <c r="T7618" s="12" t="s">
        <v>4608</v>
      </c>
      <c r="U7618" s="12" t="s">
        <v>455</v>
      </c>
      <c r="V7618" s="12" t="s">
        <v>367</v>
      </c>
      <c r="W7618" s="12" t="s">
        <v>30384</v>
      </c>
      <c r="X7618" s="16" t="s">
        <v>33575</v>
      </c>
      <c r="Y7618" s="15" t="s">
        <v>42</v>
      </c>
      <c r="Z7618" s="14">
        <v>2.71</v>
      </c>
      <c r="AA7618" s="14">
        <v>6.98</v>
      </c>
      <c r="AB7618" s="12" t="s">
        <v>43</v>
      </c>
      <c r="AC7618" s="12" t="s">
        <v>30386</v>
      </c>
      <c r="AD7618" s="13">
        <v>41771</v>
      </c>
      <c r="AE7618" s="12" t="s">
        <v>459</v>
      </c>
      <c r="AF7618" s="12" t="s">
        <v>10834</v>
      </c>
      <c r="AG7618" s="12" t="s">
        <v>30387</v>
      </c>
      <c r="AH7618" s="1">
        <f>HYPERLINK("https://my.pitchbook.com?c=35121-97T","View Company Online")</f>
      </c>
    </row>
    <row r="7619">
      <c r="A7619" s="3" t="s">
        <v>33576</v>
      </c>
      <c r="B7619" s="3" t="s">
        <v>26341</v>
      </c>
      <c r="C7619" s="5" t="s">
        <v>36</v>
      </c>
      <c r="D7619" s="5" t="s">
        <v>36</v>
      </c>
      <c r="E7619" s="5" t="s">
        <v>36</v>
      </c>
      <c r="F7619" s="5" t="s">
        <v>36</v>
      </c>
      <c r="G7619" s="6" t="s">
        <v>36</v>
      </c>
      <c r="H7619" s="4">
        <v>275.05</v>
      </c>
      <c r="I7619" s="7">
        <v>5.93</v>
      </c>
      <c r="J7619" s="3" t="s">
        <v>521</v>
      </c>
      <c r="K7619" s="9" t="s">
        <v>36</v>
      </c>
      <c r="L7619" s="6" t="s">
        <v>122</v>
      </c>
      <c r="M7619" s="3" t="s">
        <v>36</v>
      </c>
      <c r="N7619" s="3" t="s">
        <v>122</v>
      </c>
      <c r="O7619" s="8" t="s">
        <v>36</v>
      </c>
      <c r="P7619" s="3" t="s">
        <v>36</v>
      </c>
      <c r="Q7619" s="3" t="s">
        <v>36</v>
      </c>
      <c r="R7619" s="3" t="s">
        <v>36</v>
      </c>
      <c r="S7619" s="3" t="s">
        <v>36</v>
      </c>
      <c r="T7619" s="3" t="s">
        <v>105</v>
      </c>
      <c r="U7619" s="3" t="s">
        <v>38</v>
      </c>
      <c r="V7619" s="3" t="s">
        <v>39</v>
      </c>
      <c r="W7619" s="3" t="s">
        <v>26342</v>
      </c>
      <c r="X7619" s="10" t="s">
        <v>33577</v>
      </c>
      <c r="Y7619" s="6" t="s">
        <v>192</v>
      </c>
      <c r="Z7619" s="4">
        <v>0.69</v>
      </c>
      <c r="AA7619" s="4">
        <v>11.96</v>
      </c>
      <c r="AB7619" s="3" t="s">
        <v>56</v>
      </c>
      <c r="AC7619" s="3" t="s">
        <v>26344</v>
      </c>
      <c r="AD7619" s="9">
        <v>41769</v>
      </c>
      <c r="AE7619" s="3" t="s">
        <v>110</v>
      </c>
      <c r="AF7619" s="3" t="s">
        <v>1401</v>
      </c>
      <c r="AG7619" s="3" t="s">
        <v>3595</v>
      </c>
      <c r="AH7619" s="11">
        <f>HYPERLINK("https://my.pitchbook.com?c=48833-56T","View Company Online")</f>
      </c>
    </row>
    <row r="7620">
      <c r="A7620" s="12" t="s">
        <v>33578</v>
      </c>
      <c r="B7620" s="12" t="s">
        <v>19313</v>
      </c>
      <c r="C7620" s="19" t="s">
        <v>36</v>
      </c>
      <c r="D7620" s="19" t="s">
        <v>36</v>
      </c>
      <c r="E7620" s="19" t="s">
        <v>36</v>
      </c>
      <c r="F7620" s="19" t="s">
        <v>36</v>
      </c>
      <c r="G7620" s="15" t="s">
        <v>36</v>
      </c>
      <c r="H7620" s="14" t="s">
        <v>36</v>
      </c>
      <c r="I7620" s="18" t="s">
        <v>36</v>
      </c>
      <c r="J7620" s="12" t="s">
        <v>36</v>
      </c>
      <c r="K7620" s="13">
        <v>41740</v>
      </c>
      <c r="L7620" s="15" t="s">
        <v>36</v>
      </c>
      <c r="M7620" s="12" t="s">
        <v>36</v>
      </c>
      <c r="N7620" s="12" t="s">
        <v>36</v>
      </c>
      <c r="O7620" s="17" t="s">
        <v>36</v>
      </c>
      <c r="P7620" s="12" t="s">
        <v>36</v>
      </c>
      <c r="Q7620" s="12" t="s">
        <v>36</v>
      </c>
      <c r="R7620" s="12" t="s">
        <v>36</v>
      </c>
      <c r="S7620" s="12" t="s">
        <v>36</v>
      </c>
      <c r="T7620" s="12" t="s">
        <v>1227</v>
      </c>
      <c r="U7620" s="12" t="s">
        <v>74</v>
      </c>
      <c r="V7620" s="12" t="s">
        <v>75</v>
      </c>
      <c r="W7620" s="12" t="s">
        <v>19314</v>
      </c>
      <c r="X7620" s="16" t="s">
        <v>30088</v>
      </c>
      <c r="Y7620" s="15" t="s">
        <v>42</v>
      </c>
      <c r="Z7620" s="14">
        <v>1.11</v>
      </c>
      <c r="AA7620" s="14" t="s">
        <v>36</v>
      </c>
      <c r="AB7620" s="12" t="s">
        <v>56</v>
      </c>
      <c r="AC7620" s="12" t="s">
        <v>19315</v>
      </c>
      <c r="AD7620" s="13">
        <v>41766</v>
      </c>
      <c r="AE7620" s="12" t="s">
        <v>570</v>
      </c>
      <c r="AF7620" s="12" t="s">
        <v>982</v>
      </c>
      <c r="AG7620" s="12" t="s">
        <v>512</v>
      </c>
      <c r="AH7620" s="1">
        <f>HYPERLINK("https://my.pitchbook.com?c=77612-95T","View Company Online")</f>
      </c>
    </row>
    <row r="7621">
      <c r="A7621" s="3" t="s">
        <v>33579</v>
      </c>
      <c r="B7621" s="3" t="s">
        <v>6640</v>
      </c>
      <c r="C7621" s="5">
        <v>42</v>
      </c>
      <c r="D7621" s="5">
        <v>54</v>
      </c>
      <c r="E7621" s="5">
        <v>49</v>
      </c>
      <c r="F7621" s="5">
        <v>99</v>
      </c>
      <c r="G7621" s="6" t="s">
        <v>326</v>
      </c>
      <c r="H7621" s="4">
        <v>533.82</v>
      </c>
      <c r="I7621" s="7">
        <v>28.87</v>
      </c>
      <c r="J7621" s="3" t="s">
        <v>521</v>
      </c>
      <c r="K7621" s="9" t="s">
        <v>36</v>
      </c>
      <c r="L7621" s="6" t="s">
        <v>36</v>
      </c>
      <c r="M7621" s="3" t="s">
        <v>36</v>
      </c>
      <c r="N7621" s="3" t="s">
        <v>36</v>
      </c>
      <c r="O7621" s="8" t="s">
        <v>36</v>
      </c>
      <c r="P7621" s="3" t="s">
        <v>36</v>
      </c>
      <c r="Q7621" s="3" t="s">
        <v>36</v>
      </c>
      <c r="R7621" s="3" t="s">
        <v>36</v>
      </c>
      <c r="S7621" s="3" t="s">
        <v>36</v>
      </c>
      <c r="T7621" s="3" t="s">
        <v>596</v>
      </c>
      <c r="U7621" s="3" t="s">
        <v>366</v>
      </c>
      <c r="V7621" s="3" t="s">
        <v>367</v>
      </c>
      <c r="W7621" s="3" t="s">
        <v>6641</v>
      </c>
      <c r="X7621" s="10" t="s">
        <v>33580</v>
      </c>
      <c r="Y7621" s="6" t="s">
        <v>108</v>
      </c>
      <c r="Z7621" s="4">
        <v>4.84</v>
      </c>
      <c r="AA7621" s="4">
        <v>16.76</v>
      </c>
      <c r="AB7621" s="3" t="s">
        <v>43</v>
      </c>
      <c r="AC7621" s="3" t="s">
        <v>6643</v>
      </c>
      <c r="AD7621" s="9">
        <v>41766</v>
      </c>
      <c r="AE7621" s="3" t="s">
        <v>600</v>
      </c>
      <c r="AF7621" s="3" t="s">
        <v>703</v>
      </c>
      <c r="AG7621" s="3" t="s">
        <v>6644</v>
      </c>
      <c r="AH7621" s="11">
        <f>HYPERLINK("https://my.pitchbook.com?c=35591-59T","View Company Online")</f>
      </c>
    </row>
    <row r="7622">
      <c r="A7622" s="12" t="s">
        <v>33581</v>
      </c>
      <c r="B7622" s="12" t="s">
        <v>33582</v>
      </c>
      <c r="C7622" s="19">
        <v>3</v>
      </c>
      <c r="D7622" s="19">
        <v>94</v>
      </c>
      <c r="E7622" s="19">
        <v>21</v>
      </c>
      <c r="F7622" s="19">
        <v>110</v>
      </c>
      <c r="G7622" s="15" t="s">
        <v>36</v>
      </c>
      <c r="H7622" s="14" t="s">
        <v>36</v>
      </c>
      <c r="I7622" s="18" t="s">
        <v>36</v>
      </c>
      <c r="J7622" s="12" t="s">
        <v>36</v>
      </c>
      <c r="K7622" s="13" t="s">
        <v>36</v>
      </c>
      <c r="L7622" s="15" t="s">
        <v>36</v>
      </c>
      <c r="M7622" s="12" t="s">
        <v>36</v>
      </c>
      <c r="N7622" s="12" t="s">
        <v>36</v>
      </c>
      <c r="O7622" s="17" t="s">
        <v>36</v>
      </c>
      <c r="P7622" s="12" t="s">
        <v>36</v>
      </c>
      <c r="Q7622" s="12" t="s">
        <v>36</v>
      </c>
      <c r="R7622" s="12" t="s">
        <v>36</v>
      </c>
      <c r="S7622" s="12" t="s">
        <v>36</v>
      </c>
      <c r="T7622" s="12" t="s">
        <v>33583</v>
      </c>
      <c r="U7622" s="12" t="s">
        <v>366</v>
      </c>
      <c r="V7622" s="12" t="s">
        <v>367</v>
      </c>
      <c r="W7622" s="12" t="s">
        <v>33584</v>
      </c>
      <c r="X7622" s="16" t="s">
        <v>33585</v>
      </c>
      <c r="Y7622" s="15" t="s">
        <v>108</v>
      </c>
      <c r="Z7622" s="14">
        <v>3.74</v>
      </c>
      <c r="AA7622" s="14" t="s">
        <v>36</v>
      </c>
      <c r="AB7622" s="12" t="s">
        <v>43</v>
      </c>
      <c r="AC7622" s="12" t="s">
        <v>33586</v>
      </c>
      <c r="AD7622" s="13">
        <v>41765</v>
      </c>
      <c r="AE7622" s="12" t="s">
        <v>7565</v>
      </c>
      <c r="AF7622" s="12" t="s">
        <v>33587</v>
      </c>
      <c r="AG7622" s="12" t="s">
        <v>1369</v>
      </c>
      <c r="AH7622" s="1">
        <f>HYPERLINK("https://my.pitchbook.com?c=48828-79T","View Company Online")</f>
      </c>
    </row>
    <row r="7623">
      <c r="A7623" s="3" t="s">
        <v>33588</v>
      </c>
      <c r="B7623" s="3" t="s">
        <v>30294</v>
      </c>
      <c r="C7623" s="5" t="s">
        <v>36</v>
      </c>
      <c r="D7623" s="5" t="s">
        <v>36</v>
      </c>
      <c r="E7623" s="5" t="s">
        <v>36</v>
      </c>
      <c r="F7623" s="5" t="s">
        <v>36</v>
      </c>
      <c r="G7623" s="6" t="s">
        <v>326</v>
      </c>
      <c r="H7623" s="4" t="s">
        <v>36</v>
      </c>
      <c r="I7623" s="7">
        <v>31.3</v>
      </c>
      <c r="J7623" s="3" t="s">
        <v>327</v>
      </c>
      <c r="K7623" s="9" t="s">
        <v>36</v>
      </c>
      <c r="L7623" s="6" t="s">
        <v>122</v>
      </c>
      <c r="M7623" s="3" t="s">
        <v>36</v>
      </c>
      <c r="N7623" s="3" t="s">
        <v>122</v>
      </c>
      <c r="O7623" s="8" t="s">
        <v>36</v>
      </c>
      <c r="P7623" s="3" t="s">
        <v>36</v>
      </c>
      <c r="Q7623" s="3" t="s">
        <v>36</v>
      </c>
      <c r="R7623" s="3" t="s">
        <v>36</v>
      </c>
      <c r="S7623" s="3" t="s">
        <v>6677</v>
      </c>
      <c r="T7623" s="3" t="s">
        <v>6288</v>
      </c>
      <c r="U7623" s="3" t="s">
        <v>85</v>
      </c>
      <c r="V7623" s="3" t="s">
        <v>64</v>
      </c>
      <c r="W7623" s="3" t="s">
        <v>30295</v>
      </c>
      <c r="X7623" s="10" t="s">
        <v>33589</v>
      </c>
      <c r="Y7623" s="6" t="s">
        <v>108</v>
      </c>
      <c r="Z7623" s="4">
        <v>8.3</v>
      </c>
      <c r="AA7623" s="4">
        <v>26.51</v>
      </c>
      <c r="AB7623" s="3" t="s">
        <v>43</v>
      </c>
      <c r="AC7623" s="3" t="s">
        <v>30297</v>
      </c>
      <c r="AD7623" s="9">
        <v>41764</v>
      </c>
      <c r="AE7623" s="3" t="s">
        <v>89</v>
      </c>
      <c r="AF7623" s="3" t="s">
        <v>30298</v>
      </c>
      <c r="AG7623" s="3" t="s">
        <v>81</v>
      </c>
      <c r="AH7623" s="11">
        <f>HYPERLINK("https://my.pitchbook.com?c=33597-73T","View Company Online")</f>
      </c>
    </row>
    <row r="7624">
      <c r="A7624" s="12" t="s">
        <v>33590</v>
      </c>
      <c r="B7624" s="12" t="s">
        <v>20968</v>
      </c>
      <c r="C7624" s="19" t="s">
        <v>36</v>
      </c>
      <c r="D7624" s="19">
        <v>1</v>
      </c>
      <c r="E7624" s="19">
        <v>2</v>
      </c>
      <c r="F7624" s="19">
        <v>4</v>
      </c>
      <c r="G7624" s="15" t="s">
        <v>326</v>
      </c>
      <c r="H7624" s="14">
        <v>5.65</v>
      </c>
      <c r="I7624" s="18">
        <v>37.37</v>
      </c>
      <c r="J7624" s="12" t="s">
        <v>521</v>
      </c>
      <c r="K7624" s="13" t="s">
        <v>36</v>
      </c>
      <c r="L7624" s="15" t="s">
        <v>36</v>
      </c>
      <c r="M7624" s="12" t="s">
        <v>36</v>
      </c>
      <c r="N7624" s="12" t="s">
        <v>36</v>
      </c>
      <c r="O7624" s="17" t="s">
        <v>36</v>
      </c>
      <c r="P7624" s="12" t="s">
        <v>36</v>
      </c>
      <c r="Q7624" s="12" t="s">
        <v>36</v>
      </c>
      <c r="R7624" s="12" t="s">
        <v>36</v>
      </c>
      <c r="S7624" s="12" t="s">
        <v>36</v>
      </c>
      <c r="T7624" s="12" t="s">
        <v>1701</v>
      </c>
      <c r="U7624" s="12" t="s">
        <v>74</v>
      </c>
      <c r="V7624" s="12" t="s">
        <v>75</v>
      </c>
      <c r="W7624" s="12" t="s">
        <v>20969</v>
      </c>
      <c r="X7624" s="16" t="s">
        <v>33591</v>
      </c>
      <c r="Y7624" s="15" t="s">
        <v>192</v>
      </c>
      <c r="Z7624" s="14">
        <v>7.49</v>
      </c>
      <c r="AA7624" s="14">
        <v>20.04</v>
      </c>
      <c r="AB7624" s="12" t="s">
        <v>56</v>
      </c>
      <c r="AC7624" s="12" t="s">
        <v>20971</v>
      </c>
      <c r="AD7624" s="13">
        <v>41764</v>
      </c>
      <c r="AE7624" s="12" t="s">
        <v>79</v>
      </c>
      <c r="AF7624" s="12" t="s">
        <v>3172</v>
      </c>
      <c r="AG7624" s="12" t="s">
        <v>81</v>
      </c>
      <c r="AH7624" s="1">
        <f>HYPERLINK("https://my.pitchbook.com?c=35554-24T","View Company Online")</f>
      </c>
    </row>
    <row r="7625">
      <c r="A7625" s="3" t="s">
        <v>33592</v>
      </c>
      <c r="B7625" s="3" t="s">
        <v>5760</v>
      </c>
      <c r="C7625" s="5">
        <v>48</v>
      </c>
      <c r="D7625" s="5">
        <v>52</v>
      </c>
      <c r="E7625" s="5">
        <v>20</v>
      </c>
      <c r="F7625" s="5">
        <v>109</v>
      </c>
      <c r="G7625" s="6" t="s">
        <v>326</v>
      </c>
      <c r="H7625" s="4">
        <v>3.38</v>
      </c>
      <c r="I7625" s="7">
        <v>36.3</v>
      </c>
      <c r="J7625" s="3" t="s">
        <v>521</v>
      </c>
      <c r="K7625" s="9" t="s">
        <v>36</v>
      </c>
      <c r="L7625" s="6" t="s">
        <v>94</v>
      </c>
      <c r="M7625" s="3" t="s">
        <v>36</v>
      </c>
      <c r="N7625" s="3" t="s">
        <v>94</v>
      </c>
      <c r="O7625" s="8" t="s">
        <v>36</v>
      </c>
      <c r="P7625" s="3" t="s">
        <v>36</v>
      </c>
      <c r="Q7625" s="3" t="s">
        <v>36</v>
      </c>
      <c r="R7625" s="3" t="s">
        <v>36</v>
      </c>
      <c r="S7625" s="3" t="s">
        <v>36</v>
      </c>
      <c r="T7625" s="3" t="s">
        <v>881</v>
      </c>
      <c r="U7625" s="3" t="s">
        <v>51</v>
      </c>
      <c r="V7625" s="3" t="s">
        <v>52</v>
      </c>
      <c r="W7625" s="3" t="s">
        <v>5761</v>
      </c>
      <c r="X7625" s="10" t="s">
        <v>33593</v>
      </c>
      <c r="Y7625" s="6" t="s">
        <v>55</v>
      </c>
      <c r="Z7625" s="4">
        <v>13.81</v>
      </c>
      <c r="AA7625" s="4">
        <v>38.05</v>
      </c>
      <c r="AB7625" s="3" t="s">
        <v>56</v>
      </c>
      <c r="AC7625" s="3" t="s">
        <v>5763</v>
      </c>
      <c r="AD7625" s="9">
        <v>41760</v>
      </c>
      <c r="AE7625" s="3" t="s">
        <v>504</v>
      </c>
      <c r="AF7625" s="3" t="s">
        <v>665</v>
      </c>
      <c r="AG7625" s="3" t="s">
        <v>81</v>
      </c>
      <c r="AH7625" s="11">
        <f>HYPERLINK("https://my.pitchbook.com?c=33500-62T","View Company Online")</f>
      </c>
    </row>
    <row r="7626">
      <c r="A7626" s="12" t="s">
        <v>33594</v>
      </c>
      <c r="B7626" s="12" t="s">
        <v>33595</v>
      </c>
      <c r="C7626" s="19" t="s">
        <v>36</v>
      </c>
      <c r="D7626" s="19" t="s">
        <v>36</v>
      </c>
      <c r="E7626" s="19" t="s">
        <v>36</v>
      </c>
      <c r="F7626" s="19" t="s">
        <v>36</v>
      </c>
      <c r="G7626" s="15" t="s">
        <v>36</v>
      </c>
      <c r="H7626" s="14" t="s">
        <v>36</v>
      </c>
      <c r="I7626" s="18" t="s">
        <v>36</v>
      </c>
      <c r="J7626" s="12" t="s">
        <v>36</v>
      </c>
      <c r="K7626" s="13" t="s">
        <v>36</v>
      </c>
      <c r="L7626" s="15" t="s">
        <v>36</v>
      </c>
      <c r="M7626" s="12" t="s">
        <v>36</v>
      </c>
      <c r="N7626" s="12" t="s">
        <v>36</v>
      </c>
      <c r="O7626" s="17" t="s">
        <v>36</v>
      </c>
      <c r="P7626" s="12" t="s">
        <v>36</v>
      </c>
      <c r="Q7626" s="12" t="s">
        <v>36</v>
      </c>
      <c r="R7626" s="12" t="s">
        <v>36</v>
      </c>
      <c r="S7626" s="12" t="s">
        <v>36</v>
      </c>
      <c r="T7626" s="12" t="s">
        <v>10681</v>
      </c>
      <c r="U7626" s="12" t="s">
        <v>423</v>
      </c>
      <c r="V7626" s="12" t="s">
        <v>64</v>
      </c>
      <c r="W7626" s="12" t="s">
        <v>33596</v>
      </c>
      <c r="X7626" s="16" t="s">
        <v>10702</v>
      </c>
      <c r="Y7626" s="15" t="s">
        <v>55</v>
      </c>
      <c r="Z7626" s="14">
        <v>3.45</v>
      </c>
      <c r="AA7626" s="14" t="s">
        <v>36</v>
      </c>
      <c r="AB7626" s="12" t="s">
        <v>56</v>
      </c>
      <c r="AC7626" s="12" t="s">
        <v>33597</v>
      </c>
      <c r="AD7626" s="13">
        <v>41760</v>
      </c>
      <c r="AE7626" s="12" t="s">
        <v>427</v>
      </c>
      <c r="AF7626" s="12" t="s">
        <v>36</v>
      </c>
      <c r="AG7626" s="12" t="s">
        <v>81</v>
      </c>
      <c r="AH7626" s="1">
        <f>HYPERLINK("https://my.pitchbook.com?c=30537-19T","View Company Online")</f>
      </c>
    </row>
    <row r="7627">
      <c r="A7627" s="3" t="s">
        <v>33598</v>
      </c>
      <c r="B7627" s="3" t="s">
        <v>33599</v>
      </c>
      <c r="C7627" s="5" t="s">
        <v>36</v>
      </c>
      <c r="D7627" s="5" t="s">
        <v>36</v>
      </c>
      <c r="E7627" s="5" t="s">
        <v>36</v>
      </c>
      <c r="F7627" s="5" t="s">
        <v>36</v>
      </c>
      <c r="G7627" s="6" t="s">
        <v>36</v>
      </c>
      <c r="H7627" s="4" t="s">
        <v>36</v>
      </c>
      <c r="I7627" s="7">
        <v>46</v>
      </c>
      <c r="J7627" s="3" t="s">
        <v>36</v>
      </c>
      <c r="K7627" s="9" t="s">
        <v>36</v>
      </c>
      <c r="L7627" s="6" t="s">
        <v>36</v>
      </c>
      <c r="M7627" s="3" t="s">
        <v>36</v>
      </c>
      <c r="N7627" s="3" t="s">
        <v>36</v>
      </c>
      <c r="O7627" s="8" t="s">
        <v>36</v>
      </c>
      <c r="P7627" s="3" t="s">
        <v>36</v>
      </c>
      <c r="Q7627" s="3" t="s">
        <v>36</v>
      </c>
      <c r="R7627" s="3" t="s">
        <v>36</v>
      </c>
      <c r="S7627" s="3" t="s">
        <v>36</v>
      </c>
      <c r="T7627" s="3" t="s">
        <v>28900</v>
      </c>
      <c r="U7627" s="3" t="s">
        <v>423</v>
      </c>
      <c r="V7627" s="3" t="s">
        <v>64</v>
      </c>
      <c r="W7627" s="3" t="s">
        <v>33600</v>
      </c>
      <c r="X7627" s="10" t="s">
        <v>2130</v>
      </c>
      <c r="Y7627" s="6" t="s">
        <v>42</v>
      </c>
      <c r="Z7627" s="4">
        <v>3.45</v>
      </c>
      <c r="AA7627" s="4" t="s">
        <v>36</v>
      </c>
      <c r="AB7627" s="3" t="s">
        <v>43</v>
      </c>
      <c r="AC7627" s="3" t="s">
        <v>33601</v>
      </c>
      <c r="AD7627" s="9">
        <v>41760</v>
      </c>
      <c r="AE7627" s="3" t="s">
        <v>562</v>
      </c>
      <c r="AF7627" s="3" t="s">
        <v>36</v>
      </c>
      <c r="AG7627" s="3" t="s">
        <v>2472</v>
      </c>
      <c r="AH7627" s="11">
        <f>HYPERLINK("https://my.pitchbook.com?c=30536-74T","View Company Online")</f>
      </c>
    </row>
    <row r="7628">
      <c r="A7628" s="12" t="s">
        <v>33602</v>
      </c>
      <c r="B7628" s="12" t="s">
        <v>33603</v>
      </c>
      <c r="C7628" s="19" t="s">
        <v>36</v>
      </c>
      <c r="D7628" s="19" t="s">
        <v>36</v>
      </c>
      <c r="E7628" s="19" t="s">
        <v>36</v>
      </c>
      <c r="F7628" s="19" t="s">
        <v>36</v>
      </c>
      <c r="G7628" s="15" t="s">
        <v>36</v>
      </c>
      <c r="H7628" s="14" t="s">
        <v>36</v>
      </c>
      <c r="I7628" s="18" t="s">
        <v>36</v>
      </c>
      <c r="J7628" s="12" t="s">
        <v>36</v>
      </c>
      <c r="K7628" s="13" t="s">
        <v>36</v>
      </c>
      <c r="L7628" s="15" t="s">
        <v>36</v>
      </c>
      <c r="M7628" s="12" t="s">
        <v>36</v>
      </c>
      <c r="N7628" s="12" t="s">
        <v>36</v>
      </c>
      <c r="O7628" s="17" t="s">
        <v>36</v>
      </c>
      <c r="P7628" s="12" t="s">
        <v>36</v>
      </c>
      <c r="Q7628" s="12" t="s">
        <v>36</v>
      </c>
      <c r="R7628" s="12" t="s">
        <v>36</v>
      </c>
      <c r="S7628" s="12" t="s">
        <v>36</v>
      </c>
      <c r="T7628" s="12" t="s">
        <v>9390</v>
      </c>
      <c r="U7628" s="12" t="s">
        <v>63</v>
      </c>
      <c r="V7628" s="12" t="s">
        <v>64</v>
      </c>
      <c r="W7628" s="12" t="s">
        <v>33604</v>
      </c>
      <c r="X7628" s="16" t="s">
        <v>2130</v>
      </c>
      <c r="Y7628" s="15" t="s">
        <v>42</v>
      </c>
      <c r="Z7628" s="14" t="s">
        <v>36</v>
      </c>
      <c r="AA7628" s="14" t="s">
        <v>36</v>
      </c>
      <c r="AB7628" s="12" t="s">
        <v>43</v>
      </c>
      <c r="AC7628" s="12" t="s">
        <v>33605</v>
      </c>
      <c r="AD7628" s="13">
        <v>41760</v>
      </c>
      <c r="AE7628" s="12" t="s">
        <v>399</v>
      </c>
      <c r="AF7628" s="12" t="s">
        <v>33288</v>
      </c>
      <c r="AG7628" s="12" t="s">
        <v>81</v>
      </c>
      <c r="AH7628" s="1">
        <f>HYPERLINK("https://my.pitchbook.com?c=30540-25T","View Company Online")</f>
      </c>
    </row>
    <row r="7629">
      <c r="A7629" s="3" t="s">
        <v>33606</v>
      </c>
      <c r="B7629" s="3" t="s">
        <v>33607</v>
      </c>
      <c r="C7629" s="5" t="s">
        <v>36</v>
      </c>
      <c r="D7629" s="5" t="s">
        <v>36</v>
      </c>
      <c r="E7629" s="5" t="s">
        <v>36</v>
      </c>
      <c r="F7629" s="5" t="s">
        <v>36</v>
      </c>
      <c r="G7629" s="6" t="s">
        <v>36</v>
      </c>
      <c r="H7629" s="4" t="s">
        <v>36</v>
      </c>
      <c r="I7629" s="7" t="s">
        <v>36</v>
      </c>
      <c r="J7629" s="3" t="s">
        <v>36</v>
      </c>
      <c r="K7629" s="9" t="s">
        <v>36</v>
      </c>
      <c r="L7629" s="6" t="s">
        <v>36</v>
      </c>
      <c r="M7629" s="3" t="s">
        <v>36</v>
      </c>
      <c r="N7629" s="3" t="s">
        <v>36</v>
      </c>
      <c r="O7629" s="8" t="s">
        <v>36</v>
      </c>
      <c r="P7629" s="3" t="s">
        <v>36</v>
      </c>
      <c r="Q7629" s="3" t="s">
        <v>36</v>
      </c>
      <c r="R7629" s="3" t="s">
        <v>36</v>
      </c>
      <c r="S7629" s="3" t="s">
        <v>36</v>
      </c>
      <c r="T7629" s="3" t="s">
        <v>1162</v>
      </c>
      <c r="U7629" s="3" t="s">
        <v>423</v>
      </c>
      <c r="V7629" s="3" t="s">
        <v>64</v>
      </c>
      <c r="W7629" s="3" t="s">
        <v>33608</v>
      </c>
      <c r="X7629" s="10" t="s">
        <v>1399</v>
      </c>
      <c r="Y7629" s="6" t="s">
        <v>42</v>
      </c>
      <c r="Z7629" s="4" t="s">
        <v>36</v>
      </c>
      <c r="AA7629" s="4" t="s">
        <v>36</v>
      </c>
      <c r="AB7629" s="3" t="s">
        <v>43</v>
      </c>
      <c r="AC7629" s="3" t="s">
        <v>33609</v>
      </c>
      <c r="AD7629" s="9">
        <v>41760</v>
      </c>
      <c r="AE7629" s="3" t="s">
        <v>562</v>
      </c>
      <c r="AF7629" s="3" t="s">
        <v>36</v>
      </c>
      <c r="AG7629" s="3" t="s">
        <v>33610</v>
      </c>
      <c r="AH7629" s="11">
        <f>HYPERLINK("https://my.pitchbook.com?c=218407-15T","View Company Online")</f>
      </c>
    </row>
    <row r="7630">
      <c r="A7630" s="12" t="s">
        <v>33611</v>
      </c>
      <c r="B7630" s="12" t="s">
        <v>33612</v>
      </c>
      <c r="C7630" s="19">
        <v>2</v>
      </c>
      <c r="D7630" s="19">
        <v>32</v>
      </c>
      <c r="E7630" s="19">
        <v>10</v>
      </c>
      <c r="F7630" s="19">
        <v>37</v>
      </c>
      <c r="G7630" s="15" t="s">
        <v>36</v>
      </c>
      <c r="H7630" s="14" t="s">
        <v>36</v>
      </c>
      <c r="I7630" s="18" t="s">
        <v>36</v>
      </c>
      <c r="J7630" s="12" t="s">
        <v>36</v>
      </c>
      <c r="K7630" s="13" t="s">
        <v>36</v>
      </c>
      <c r="L7630" s="15" t="s">
        <v>36</v>
      </c>
      <c r="M7630" s="12" t="s">
        <v>36</v>
      </c>
      <c r="N7630" s="12" t="s">
        <v>36</v>
      </c>
      <c r="O7630" s="17" t="s">
        <v>36</v>
      </c>
      <c r="P7630" s="12" t="s">
        <v>36</v>
      </c>
      <c r="Q7630" s="12" t="s">
        <v>36</v>
      </c>
      <c r="R7630" s="12" t="s">
        <v>36</v>
      </c>
      <c r="S7630" s="12" t="s">
        <v>36</v>
      </c>
      <c r="T7630" s="12" t="s">
        <v>1725</v>
      </c>
      <c r="U7630" s="12" t="s">
        <v>318</v>
      </c>
      <c r="V7630" s="12" t="s">
        <v>39</v>
      </c>
      <c r="W7630" s="12" t="s">
        <v>33613</v>
      </c>
      <c r="X7630" s="16" t="s">
        <v>33614</v>
      </c>
      <c r="Y7630" s="15" t="s">
        <v>42</v>
      </c>
      <c r="Z7630" s="14" t="s">
        <v>36</v>
      </c>
      <c r="AA7630" s="14" t="s">
        <v>36</v>
      </c>
      <c r="AB7630" s="12" t="s">
        <v>43</v>
      </c>
      <c r="AC7630" s="12" t="s">
        <v>33615</v>
      </c>
      <c r="AD7630" s="13">
        <v>41760</v>
      </c>
      <c r="AE7630" s="12" t="s">
        <v>763</v>
      </c>
      <c r="AF7630" s="12" t="s">
        <v>30848</v>
      </c>
      <c r="AG7630" s="12" t="s">
        <v>4179</v>
      </c>
      <c r="AH7630" s="1">
        <f>HYPERLINK("https://my.pitchbook.com?c=30727-09T","View Company Online")</f>
      </c>
    </row>
    <row r="7631">
      <c r="A7631" s="3" t="s">
        <v>33616</v>
      </c>
      <c r="B7631" s="3" t="s">
        <v>33617</v>
      </c>
      <c r="C7631" s="5" t="s">
        <v>36</v>
      </c>
      <c r="D7631" s="5" t="s">
        <v>36</v>
      </c>
      <c r="E7631" s="5" t="s">
        <v>36</v>
      </c>
      <c r="F7631" s="5" t="s">
        <v>36</v>
      </c>
      <c r="G7631" s="6" t="s">
        <v>36</v>
      </c>
      <c r="H7631" s="4" t="s">
        <v>36</v>
      </c>
      <c r="I7631" s="7" t="s">
        <v>36</v>
      </c>
      <c r="J7631" s="3" t="s">
        <v>36</v>
      </c>
      <c r="K7631" s="9" t="s">
        <v>36</v>
      </c>
      <c r="L7631" s="6" t="s">
        <v>36</v>
      </c>
      <c r="M7631" s="3" t="s">
        <v>36</v>
      </c>
      <c r="N7631" s="3" t="s">
        <v>36</v>
      </c>
      <c r="O7631" s="8" t="s">
        <v>36</v>
      </c>
      <c r="P7631" s="3" t="s">
        <v>36</v>
      </c>
      <c r="Q7631" s="3" t="s">
        <v>36</v>
      </c>
      <c r="R7631" s="3" t="s">
        <v>36</v>
      </c>
      <c r="S7631" s="3" t="s">
        <v>36</v>
      </c>
      <c r="T7631" s="3" t="s">
        <v>33618</v>
      </c>
      <c r="U7631" s="3" t="s">
        <v>423</v>
      </c>
      <c r="V7631" s="3" t="s">
        <v>64</v>
      </c>
      <c r="W7631" s="3" t="s">
        <v>33619</v>
      </c>
      <c r="X7631" s="10" t="s">
        <v>33620</v>
      </c>
      <c r="Y7631" s="6" t="s">
        <v>42</v>
      </c>
      <c r="Z7631" s="4" t="s">
        <v>36</v>
      </c>
      <c r="AA7631" s="4" t="s">
        <v>36</v>
      </c>
      <c r="AB7631" s="3" t="s">
        <v>56</v>
      </c>
      <c r="AC7631" s="3" t="s">
        <v>33621</v>
      </c>
      <c r="AD7631" s="9">
        <v>41760</v>
      </c>
      <c r="AE7631" s="3" t="s">
        <v>2871</v>
      </c>
      <c r="AF7631" s="3" t="s">
        <v>32130</v>
      </c>
      <c r="AG7631" s="3" t="s">
        <v>33622</v>
      </c>
      <c r="AH7631" s="11">
        <f>HYPERLINK("https://my.pitchbook.com?c=76276-99T","View Company Online")</f>
      </c>
    </row>
    <row r="7632">
      <c r="A7632" s="12" t="s">
        <v>33623</v>
      </c>
      <c r="B7632" s="12" t="s">
        <v>33624</v>
      </c>
      <c r="C7632" s="19" t="s">
        <v>36</v>
      </c>
      <c r="D7632" s="19" t="s">
        <v>36</v>
      </c>
      <c r="E7632" s="19" t="s">
        <v>36</v>
      </c>
      <c r="F7632" s="19" t="s">
        <v>36</v>
      </c>
      <c r="G7632" s="15" t="s">
        <v>36</v>
      </c>
      <c r="H7632" s="14" t="s">
        <v>36</v>
      </c>
      <c r="I7632" s="18" t="s">
        <v>36</v>
      </c>
      <c r="J7632" s="12" t="s">
        <v>36</v>
      </c>
      <c r="K7632" s="13" t="s">
        <v>36</v>
      </c>
      <c r="L7632" s="15" t="s">
        <v>36</v>
      </c>
      <c r="M7632" s="12" t="s">
        <v>36</v>
      </c>
      <c r="N7632" s="12" t="s">
        <v>36</v>
      </c>
      <c r="O7632" s="17" t="s">
        <v>36</v>
      </c>
      <c r="P7632" s="12" t="s">
        <v>36</v>
      </c>
      <c r="Q7632" s="12" t="s">
        <v>36</v>
      </c>
      <c r="R7632" s="12" t="s">
        <v>36</v>
      </c>
      <c r="S7632" s="12" t="s">
        <v>36</v>
      </c>
      <c r="T7632" s="12" t="s">
        <v>33625</v>
      </c>
      <c r="U7632" s="12" t="s">
        <v>74</v>
      </c>
      <c r="V7632" s="12" t="s">
        <v>75</v>
      </c>
      <c r="W7632" s="12" t="s">
        <v>33626</v>
      </c>
      <c r="X7632" s="16" t="s">
        <v>33627</v>
      </c>
      <c r="Y7632" s="15" t="s">
        <v>108</v>
      </c>
      <c r="Z7632" s="14" t="s">
        <v>36</v>
      </c>
      <c r="AA7632" s="14" t="s">
        <v>36</v>
      </c>
      <c r="AB7632" s="12" t="s">
        <v>43</v>
      </c>
      <c r="AC7632" s="12" t="s">
        <v>33628</v>
      </c>
      <c r="AD7632" s="13">
        <v>41760</v>
      </c>
      <c r="AE7632" s="12" t="s">
        <v>975</v>
      </c>
      <c r="AF7632" s="12" t="s">
        <v>1636</v>
      </c>
      <c r="AG7632" s="12" t="s">
        <v>33629</v>
      </c>
      <c r="AH7632" s="1">
        <f>HYPERLINK("https://my.pitchbook.com?c=30138-13T","View Company Online")</f>
      </c>
    </row>
    <row r="7633">
      <c r="A7633" s="3" t="s">
        <v>33630</v>
      </c>
      <c r="B7633" s="3" t="s">
        <v>33631</v>
      </c>
      <c r="C7633" s="5" t="s">
        <v>36</v>
      </c>
      <c r="D7633" s="5" t="s">
        <v>36</v>
      </c>
      <c r="E7633" s="5" t="s">
        <v>36</v>
      </c>
      <c r="F7633" s="5" t="s">
        <v>36</v>
      </c>
      <c r="G7633" s="6" t="s">
        <v>36</v>
      </c>
      <c r="H7633" s="4" t="s">
        <v>36</v>
      </c>
      <c r="I7633" s="7" t="s">
        <v>36</v>
      </c>
      <c r="J7633" s="3" t="s">
        <v>36</v>
      </c>
      <c r="K7633" s="9" t="s">
        <v>36</v>
      </c>
      <c r="L7633" s="6" t="s">
        <v>36</v>
      </c>
      <c r="M7633" s="3" t="s">
        <v>36</v>
      </c>
      <c r="N7633" s="3" t="s">
        <v>36</v>
      </c>
      <c r="O7633" s="8" t="s">
        <v>36</v>
      </c>
      <c r="P7633" s="3" t="s">
        <v>36</v>
      </c>
      <c r="Q7633" s="3" t="s">
        <v>36</v>
      </c>
      <c r="R7633" s="3" t="s">
        <v>36</v>
      </c>
      <c r="S7633" s="3" t="s">
        <v>36</v>
      </c>
      <c r="T7633" s="3" t="s">
        <v>33632</v>
      </c>
      <c r="U7633" s="3" t="s">
        <v>74</v>
      </c>
      <c r="V7633" s="3" t="s">
        <v>75</v>
      </c>
      <c r="W7633" s="3" t="s">
        <v>33633</v>
      </c>
      <c r="X7633" s="10" t="s">
        <v>2130</v>
      </c>
      <c r="Y7633" s="6" t="s">
        <v>42</v>
      </c>
      <c r="Z7633" s="4" t="s">
        <v>36</v>
      </c>
      <c r="AA7633" s="4" t="s">
        <v>36</v>
      </c>
      <c r="AB7633" s="3" t="s">
        <v>43</v>
      </c>
      <c r="AC7633" s="3" t="s">
        <v>33634</v>
      </c>
      <c r="AD7633" s="9">
        <v>41760</v>
      </c>
      <c r="AE7633" s="3" t="s">
        <v>1888</v>
      </c>
      <c r="AF7633" s="3" t="s">
        <v>546</v>
      </c>
      <c r="AG7633" s="3" t="s">
        <v>33635</v>
      </c>
      <c r="AH7633" s="11">
        <f>HYPERLINK("https://my.pitchbook.com?c=30540-61T","View Company Online")</f>
      </c>
    </row>
    <row r="7634">
      <c r="A7634" s="12" t="s">
        <v>33636</v>
      </c>
      <c r="B7634" s="12" t="s">
        <v>33637</v>
      </c>
      <c r="C7634" s="19" t="s">
        <v>36</v>
      </c>
      <c r="D7634" s="19" t="s">
        <v>36</v>
      </c>
      <c r="E7634" s="19" t="s">
        <v>36</v>
      </c>
      <c r="F7634" s="19" t="s">
        <v>36</v>
      </c>
      <c r="G7634" s="15" t="s">
        <v>36</v>
      </c>
      <c r="H7634" s="14" t="s">
        <v>36</v>
      </c>
      <c r="I7634" s="18" t="s">
        <v>36</v>
      </c>
      <c r="J7634" s="12" t="s">
        <v>36</v>
      </c>
      <c r="K7634" s="13" t="s">
        <v>36</v>
      </c>
      <c r="L7634" s="15" t="s">
        <v>36</v>
      </c>
      <c r="M7634" s="12" t="s">
        <v>36</v>
      </c>
      <c r="N7634" s="12" t="s">
        <v>36</v>
      </c>
      <c r="O7634" s="17" t="s">
        <v>36</v>
      </c>
      <c r="P7634" s="12" t="s">
        <v>36</v>
      </c>
      <c r="Q7634" s="12" t="s">
        <v>36</v>
      </c>
      <c r="R7634" s="12" t="s">
        <v>36</v>
      </c>
      <c r="S7634" s="12" t="s">
        <v>36</v>
      </c>
      <c r="T7634" s="12" t="s">
        <v>33638</v>
      </c>
      <c r="U7634" s="12" t="s">
        <v>289</v>
      </c>
      <c r="V7634" s="12" t="s">
        <v>64</v>
      </c>
      <c r="W7634" s="12" t="s">
        <v>33639</v>
      </c>
      <c r="X7634" s="16" t="s">
        <v>2130</v>
      </c>
      <c r="Y7634" s="15" t="s">
        <v>42</v>
      </c>
      <c r="Z7634" s="14" t="s">
        <v>36</v>
      </c>
      <c r="AA7634" s="14" t="s">
        <v>36</v>
      </c>
      <c r="AB7634" s="12" t="s">
        <v>56</v>
      </c>
      <c r="AC7634" s="12" t="s">
        <v>33640</v>
      </c>
      <c r="AD7634" s="13">
        <v>41760</v>
      </c>
      <c r="AE7634" s="12" t="s">
        <v>3134</v>
      </c>
      <c r="AF7634" s="12" t="s">
        <v>90</v>
      </c>
      <c r="AG7634" s="12" t="s">
        <v>12125</v>
      </c>
      <c r="AH7634" s="1">
        <f>HYPERLINK("https://my.pitchbook.com?c=30539-53T","View Company Online")</f>
      </c>
    </row>
    <row r="7635">
      <c r="A7635" s="3" t="s">
        <v>33641</v>
      </c>
      <c r="B7635" s="3" t="s">
        <v>33642</v>
      </c>
      <c r="C7635" s="5" t="s">
        <v>36</v>
      </c>
      <c r="D7635" s="5" t="s">
        <v>36</v>
      </c>
      <c r="E7635" s="5" t="s">
        <v>36</v>
      </c>
      <c r="F7635" s="5" t="s">
        <v>36</v>
      </c>
      <c r="G7635" s="6" t="s">
        <v>36</v>
      </c>
      <c r="H7635" s="4" t="s">
        <v>36</v>
      </c>
      <c r="I7635" s="7" t="s">
        <v>36</v>
      </c>
      <c r="J7635" s="3" t="s">
        <v>36</v>
      </c>
      <c r="K7635" s="9" t="s">
        <v>36</v>
      </c>
      <c r="L7635" s="6" t="s">
        <v>36</v>
      </c>
      <c r="M7635" s="3" t="s">
        <v>36</v>
      </c>
      <c r="N7635" s="3" t="s">
        <v>36</v>
      </c>
      <c r="O7635" s="8" t="s">
        <v>36</v>
      </c>
      <c r="P7635" s="3" t="s">
        <v>36</v>
      </c>
      <c r="Q7635" s="3" t="s">
        <v>36</v>
      </c>
      <c r="R7635" s="3" t="s">
        <v>36</v>
      </c>
      <c r="S7635" s="3" t="s">
        <v>36</v>
      </c>
      <c r="T7635" s="3" t="s">
        <v>27438</v>
      </c>
      <c r="U7635" s="3" t="s">
        <v>289</v>
      </c>
      <c r="V7635" s="3" t="s">
        <v>64</v>
      </c>
      <c r="W7635" s="3" t="s">
        <v>33643</v>
      </c>
      <c r="X7635" s="10" t="s">
        <v>2414</v>
      </c>
      <c r="Y7635" s="6" t="s">
        <v>42</v>
      </c>
      <c r="Z7635" s="4" t="s">
        <v>36</v>
      </c>
      <c r="AA7635" s="4" t="s">
        <v>36</v>
      </c>
      <c r="AB7635" s="3" t="s">
        <v>56</v>
      </c>
      <c r="AC7635" s="3" t="s">
        <v>33644</v>
      </c>
      <c r="AD7635" s="9">
        <v>41760</v>
      </c>
      <c r="AE7635" s="3" t="s">
        <v>292</v>
      </c>
      <c r="AF7635" s="3" t="s">
        <v>90</v>
      </c>
      <c r="AG7635" s="3" t="s">
        <v>9636</v>
      </c>
      <c r="AH7635" s="11">
        <f>HYPERLINK("https://my.pitchbook.com?c=30146-50T","View Company Online")</f>
      </c>
    </row>
    <row r="7636">
      <c r="A7636" s="12" t="s">
        <v>33645</v>
      </c>
      <c r="B7636" s="12" t="s">
        <v>33646</v>
      </c>
      <c r="C7636" s="19" t="s">
        <v>36</v>
      </c>
      <c r="D7636" s="19" t="s">
        <v>36</v>
      </c>
      <c r="E7636" s="19" t="s">
        <v>36</v>
      </c>
      <c r="F7636" s="19" t="s">
        <v>36</v>
      </c>
      <c r="G7636" s="15" t="s">
        <v>36</v>
      </c>
      <c r="H7636" s="14" t="s">
        <v>36</v>
      </c>
      <c r="I7636" s="18" t="s">
        <v>36</v>
      </c>
      <c r="J7636" s="12" t="s">
        <v>36</v>
      </c>
      <c r="K7636" s="13" t="s">
        <v>36</v>
      </c>
      <c r="L7636" s="15" t="s">
        <v>36</v>
      </c>
      <c r="M7636" s="12" t="s">
        <v>36</v>
      </c>
      <c r="N7636" s="12" t="s">
        <v>36</v>
      </c>
      <c r="O7636" s="17" t="s">
        <v>36</v>
      </c>
      <c r="P7636" s="12" t="s">
        <v>36</v>
      </c>
      <c r="Q7636" s="12" t="s">
        <v>36</v>
      </c>
      <c r="R7636" s="12" t="s">
        <v>36</v>
      </c>
      <c r="S7636" s="12" t="s">
        <v>36</v>
      </c>
      <c r="T7636" s="12" t="s">
        <v>847</v>
      </c>
      <c r="U7636" s="12" t="s">
        <v>279</v>
      </c>
      <c r="V7636" s="12" t="s">
        <v>64</v>
      </c>
      <c r="W7636" s="12" t="s">
        <v>33647</v>
      </c>
      <c r="X7636" s="16" t="s">
        <v>32544</v>
      </c>
      <c r="Y7636" s="15" t="s">
        <v>42</v>
      </c>
      <c r="Z7636" s="14" t="s">
        <v>36</v>
      </c>
      <c r="AA7636" s="14" t="s">
        <v>36</v>
      </c>
      <c r="AB7636" s="12" t="s">
        <v>56</v>
      </c>
      <c r="AC7636" s="12" t="s">
        <v>33648</v>
      </c>
      <c r="AD7636" s="13">
        <v>41760</v>
      </c>
      <c r="AE7636" s="12" t="s">
        <v>851</v>
      </c>
      <c r="AF7636" s="12" t="s">
        <v>1636</v>
      </c>
      <c r="AG7636" s="12" t="s">
        <v>10521</v>
      </c>
      <c r="AH7636" s="1">
        <f>HYPERLINK("https://my.pitchbook.com?c=30165-22T","View Company Online")</f>
      </c>
    </row>
    <row r="7637">
      <c r="A7637" s="3" t="s">
        <v>33649</v>
      </c>
      <c r="B7637" s="3" t="s">
        <v>33650</v>
      </c>
      <c r="C7637" s="5" t="s">
        <v>36</v>
      </c>
      <c r="D7637" s="5" t="s">
        <v>36</v>
      </c>
      <c r="E7637" s="5" t="s">
        <v>36</v>
      </c>
      <c r="F7637" s="5" t="s">
        <v>36</v>
      </c>
      <c r="G7637" s="6" t="s">
        <v>36</v>
      </c>
      <c r="H7637" s="4" t="s">
        <v>36</v>
      </c>
      <c r="I7637" s="7" t="s">
        <v>36</v>
      </c>
      <c r="J7637" s="3" t="s">
        <v>36</v>
      </c>
      <c r="K7637" s="9" t="s">
        <v>36</v>
      </c>
      <c r="L7637" s="6" t="s">
        <v>36</v>
      </c>
      <c r="M7637" s="3" t="s">
        <v>36</v>
      </c>
      <c r="N7637" s="3" t="s">
        <v>36</v>
      </c>
      <c r="O7637" s="8" t="s">
        <v>36</v>
      </c>
      <c r="P7637" s="3" t="s">
        <v>36</v>
      </c>
      <c r="Q7637" s="3" t="s">
        <v>36</v>
      </c>
      <c r="R7637" s="3" t="s">
        <v>36</v>
      </c>
      <c r="S7637" s="3" t="s">
        <v>36</v>
      </c>
      <c r="T7637" s="3" t="s">
        <v>33651</v>
      </c>
      <c r="U7637" s="3" t="s">
        <v>318</v>
      </c>
      <c r="V7637" s="3" t="s">
        <v>39</v>
      </c>
      <c r="W7637" s="3" t="s">
        <v>33652</v>
      </c>
      <c r="X7637" s="10" t="s">
        <v>20527</v>
      </c>
      <c r="Y7637" s="6" t="s">
        <v>42</v>
      </c>
      <c r="Z7637" s="4" t="s">
        <v>36</v>
      </c>
      <c r="AA7637" s="4" t="s">
        <v>36</v>
      </c>
      <c r="AB7637" s="3" t="s">
        <v>43</v>
      </c>
      <c r="AC7637" s="3" t="s">
        <v>33653</v>
      </c>
      <c r="AD7637" s="9">
        <v>41760</v>
      </c>
      <c r="AE7637" s="3" t="s">
        <v>763</v>
      </c>
      <c r="AF7637" s="3" t="s">
        <v>571</v>
      </c>
      <c r="AG7637" s="3" t="s">
        <v>697</v>
      </c>
      <c r="AH7637" s="11">
        <f>HYPERLINK("https://my.pitchbook.com?c=30164-59T","View Company Online")</f>
      </c>
    </row>
    <row r="7638">
      <c r="A7638" s="12" t="s">
        <v>33654</v>
      </c>
      <c r="B7638" s="12" t="s">
        <v>33655</v>
      </c>
      <c r="C7638" s="19" t="s">
        <v>36</v>
      </c>
      <c r="D7638" s="19" t="s">
        <v>36</v>
      </c>
      <c r="E7638" s="19">
        <v>1</v>
      </c>
      <c r="F7638" s="19">
        <v>1</v>
      </c>
      <c r="G7638" s="15" t="s">
        <v>36</v>
      </c>
      <c r="H7638" s="14" t="s">
        <v>36</v>
      </c>
      <c r="I7638" s="18" t="s">
        <v>36</v>
      </c>
      <c r="J7638" s="12" t="s">
        <v>36</v>
      </c>
      <c r="K7638" s="13" t="s">
        <v>36</v>
      </c>
      <c r="L7638" s="15" t="s">
        <v>36</v>
      </c>
      <c r="M7638" s="12" t="s">
        <v>36</v>
      </c>
      <c r="N7638" s="12" t="s">
        <v>36</v>
      </c>
      <c r="O7638" s="17" t="s">
        <v>36</v>
      </c>
      <c r="P7638" s="12" t="s">
        <v>36</v>
      </c>
      <c r="Q7638" s="12" t="s">
        <v>36</v>
      </c>
      <c r="R7638" s="12" t="s">
        <v>36</v>
      </c>
      <c r="S7638" s="12" t="s">
        <v>36</v>
      </c>
      <c r="T7638" s="12" t="s">
        <v>9211</v>
      </c>
      <c r="U7638" s="12" t="s">
        <v>74</v>
      </c>
      <c r="V7638" s="12" t="s">
        <v>75</v>
      </c>
      <c r="W7638" s="12" t="s">
        <v>33656</v>
      </c>
      <c r="X7638" s="16" t="s">
        <v>32544</v>
      </c>
      <c r="Y7638" s="15" t="s">
        <v>42</v>
      </c>
      <c r="Z7638" s="14" t="s">
        <v>36</v>
      </c>
      <c r="AA7638" s="14" t="s">
        <v>36</v>
      </c>
      <c r="AB7638" s="12" t="s">
        <v>56</v>
      </c>
      <c r="AC7638" s="12" t="s">
        <v>33657</v>
      </c>
      <c r="AD7638" s="13">
        <v>41760</v>
      </c>
      <c r="AE7638" s="12" t="s">
        <v>9215</v>
      </c>
      <c r="AF7638" s="12" t="s">
        <v>546</v>
      </c>
      <c r="AG7638" s="12" t="s">
        <v>28975</v>
      </c>
      <c r="AH7638" s="1">
        <f>HYPERLINK("https://my.pitchbook.com?c=30165-40T","View Company Online")</f>
      </c>
    </row>
    <row r="7639">
      <c r="A7639" s="3" t="s">
        <v>33658</v>
      </c>
      <c r="B7639" s="3" t="s">
        <v>32041</v>
      </c>
      <c r="C7639" s="5" t="s">
        <v>36</v>
      </c>
      <c r="D7639" s="5" t="s">
        <v>36</v>
      </c>
      <c r="E7639" s="5">
        <v>1</v>
      </c>
      <c r="F7639" s="5">
        <v>1</v>
      </c>
      <c r="G7639" s="6" t="s">
        <v>36</v>
      </c>
      <c r="H7639" s="4" t="s">
        <v>36</v>
      </c>
      <c r="I7639" s="7" t="s">
        <v>36</v>
      </c>
      <c r="J7639" s="3" t="s">
        <v>36</v>
      </c>
      <c r="K7639" s="9" t="s">
        <v>36</v>
      </c>
      <c r="L7639" s="6" t="s">
        <v>36</v>
      </c>
      <c r="M7639" s="3" t="s">
        <v>36</v>
      </c>
      <c r="N7639" s="3" t="s">
        <v>36</v>
      </c>
      <c r="O7639" s="8" t="s">
        <v>36</v>
      </c>
      <c r="P7639" s="3" t="s">
        <v>36</v>
      </c>
      <c r="Q7639" s="3" t="s">
        <v>36</v>
      </c>
      <c r="R7639" s="3" t="s">
        <v>36</v>
      </c>
      <c r="S7639" s="3" t="s">
        <v>36</v>
      </c>
      <c r="T7639" s="3" t="s">
        <v>1701</v>
      </c>
      <c r="U7639" s="3" t="s">
        <v>74</v>
      </c>
      <c r="V7639" s="3" t="s">
        <v>75</v>
      </c>
      <c r="W7639" s="3" t="s">
        <v>32042</v>
      </c>
      <c r="X7639" s="10" t="s">
        <v>33659</v>
      </c>
      <c r="Y7639" s="6" t="s">
        <v>55</v>
      </c>
      <c r="Z7639" s="4" t="s">
        <v>36</v>
      </c>
      <c r="AA7639" s="4" t="s">
        <v>36</v>
      </c>
      <c r="AB7639" s="3" t="s">
        <v>56</v>
      </c>
      <c r="AC7639" s="3" t="s">
        <v>32043</v>
      </c>
      <c r="AD7639" s="9">
        <v>41760</v>
      </c>
      <c r="AE7639" s="3" t="s">
        <v>79</v>
      </c>
      <c r="AF7639" s="3" t="s">
        <v>1401</v>
      </c>
      <c r="AG7639" s="3" t="s">
        <v>81</v>
      </c>
      <c r="AH7639" s="11">
        <f>HYPERLINK("https://my.pitchbook.com?c=30326-05T","View Company Online")</f>
      </c>
    </row>
    <row r="7640">
      <c r="A7640" s="12" t="s">
        <v>33660</v>
      </c>
      <c r="B7640" s="12" t="s">
        <v>33661</v>
      </c>
      <c r="C7640" s="19" t="s">
        <v>36</v>
      </c>
      <c r="D7640" s="19">
        <v>6</v>
      </c>
      <c r="E7640" s="19">
        <v>4</v>
      </c>
      <c r="F7640" s="19">
        <v>10</v>
      </c>
      <c r="G7640" s="15" t="s">
        <v>36</v>
      </c>
      <c r="H7640" s="14" t="s">
        <v>36</v>
      </c>
      <c r="I7640" s="18" t="s">
        <v>36</v>
      </c>
      <c r="J7640" s="12" t="s">
        <v>36</v>
      </c>
      <c r="K7640" s="13" t="s">
        <v>36</v>
      </c>
      <c r="L7640" s="15" t="s">
        <v>36</v>
      </c>
      <c r="M7640" s="12" t="s">
        <v>36</v>
      </c>
      <c r="N7640" s="12" t="s">
        <v>36</v>
      </c>
      <c r="O7640" s="17" t="s">
        <v>36</v>
      </c>
      <c r="P7640" s="12" t="s">
        <v>36</v>
      </c>
      <c r="Q7640" s="12" t="s">
        <v>36</v>
      </c>
      <c r="R7640" s="12" t="s">
        <v>36</v>
      </c>
      <c r="S7640" s="12" t="s">
        <v>36</v>
      </c>
      <c r="T7640" s="12" t="s">
        <v>550</v>
      </c>
      <c r="U7640" s="12" t="s">
        <v>38</v>
      </c>
      <c r="V7640" s="12" t="s">
        <v>39</v>
      </c>
      <c r="W7640" s="12" t="s">
        <v>33662</v>
      </c>
      <c r="X7640" s="16" t="s">
        <v>33663</v>
      </c>
      <c r="Y7640" s="15" t="s">
        <v>42</v>
      </c>
      <c r="Z7640" s="14" t="s">
        <v>36</v>
      </c>
      <c r="AA7640" s="14" t="s">
        <v>36</v>
      </c>
      <c r="AB7640" s="12" t="s">
        <v>43</v>
      </c>
      <c r="AC7640" s="12" t="s">
        <v>33664</v>
      </c>
      <c r="AD7640" s="13">
        <v>41760</v>
      </c>
      <c r="AE7640" s="12" t="s">
        <v>554</v>
      </c>
      <c r="AF7640" s="12" t="s">
        <v>3040</v>
      </c>
      <c r="AG7640" s="12" t="s">
        <v>81</v>
      </c>
      <c r="AH7640" s="1">
        <f>HYPERLINK("https://my.pitchbook.com?c=29797-30T","View Company Online")</f>
      </c>
    </row>
    <row r="7641">
      <c r="A7641" s="3" t="s">
        <v>33665</v>
      </c>
      <c r="B7641" s="3" t="s">
        <v>33666</v>
      </c>
      <c r="C7641" s="5" t="s">
        <v>36</v>
      </c>
      <c r="D7641" s="5" t="s">
        <v>36</v>
      </c>
      <c r="E7641" s="5" t="s">
        <v>36</v>
      </c>
      <c r="F7641" s="5" t="s">
        <v>36</v>
      </c>
      <c r="G7641" s="6" t="s">
        <v>36</v>
      </c>
      <c r="H7641" s="4" t="s">
        <v>36</v>
      </c>
      <c r="I7641" s="7" t="s">
        <v>36</v>
      </c>
      <c r="J7641" s="3" t="s">
        <v>36</v>
      </c>
      <c r="K7641" s="9" t="s">
        <v>36</v>
      </c>
      <c r="L7641" s="6" t="s">
        <v>36</v>
      </c>
      <c r="M7641" s="3" t="s">
        <v>36</v>
      </c>
      <c r="N7641" s="3" t="s">
        <v>36</v>
      </c>
      <c r="O7641" s="8" t="s">
        <v>36</v>
      </c>
      <c r="P7641" s="3" t="s">
        <v>36</v>
      </c>
      <c r="Q7641" s="3" t="s">
        <v>36</v>
      </c>
      <c r="R7641" s="3" t="s">
        <v>36</v>
      </c>
      <c r="S7641" s="3" t="s">
        <v>36</v>
      </c>
      <c r="T7641" s="3" t="s">
        <v>1162</v>
      </c>
      <c r="U7641" s="3" t="s">
        <v>423</v>
      </c>
      <c r="V7641" s="3" t="s">
        <v>64</v>
      </c>
      <c r="W7641" s="3" t="s">
        <v>33667</v>
      </c>
      <c r="X7641" s="10" t="s">
        <v>2130</v>
      </c>
      <c r="Y7641" s="6" t="s">
        <v>42</v>
      </c>
      <c r="Z7641" s="4" t="s">
        <v>36</v>
      </c>
      <c r="AA7641" s="4" t="s">
        <v>36</v>
      </c>
      <c r="AB7641" s="3" t="s">
        <v>43</v>
      </c>
      <c r="AC7641" s="3" t="s">
        <v>33668</v>
      </c>
      <c r="AD7641" s="9">
        <v>41760</v>
      </c>
      <c r="AE7641" s="3" t="s">
        <v>562</v>
      </c>
      <c r="AF7641" s="3" t="s">
        <v>36</v>
      </c>
      <c r="AG7641" s="3" t="s">
        <v>33669</v>
      </c>
      <c r="AH7641" s="11">
        <f>HYPERLINK("https://my.pitchbook.com?c=30540-79T","View Company Online")</f>
      </c>
    </row>
    <row r="7642">
      <c r="A7642" s="12" t="s">
        <v>33670</v>
      </c>
      <c r="B7642" s="12" t="s">
        <v>33671</v>
      </c>
      <c r="C7642" s="19" t="s">
        <v>36</v>
      </c>
      <c r="D7642" s="19" t="s">
        <v>36</v>
      </c>
      <c r="E7642" s="19" t="s">
        <v>36</v>
      </c>
      <c r="F7642" s="19" t="s">
        <v>36</v>
      </c>
      <c r="G7642" s="15" t="s">
        <v>36</v>
      </c>
      <c r="H7642" s="14" t="s">
        <v>36</v>
      </c>
      <c r="I7642" s="18" t="s">
        <v>36</v>
      </c>
      <c r="J7642" s="12" t="s">
        <v>36</v>
      </c>
      <c r="K7642" s="13" t="s">
        <v>36</v>
      </c>
      <c r="L7642" s="15" t="s">
        <v>36</v>
      </c>
      <c r="M7642" s="12" t="s">
        <v>36</v>
      </c>
      <c r="N7642" s="12" t="s">
        <v>36</v>
      </c>
      <c r="O7642" s="17" t="s">
        <v>36</v>
      </c>
      <c r="P7642" s="12" t="s">
        <v>36</v>
      </c>
      <c r="Q7642" s="12" t="s">
        <v>36</v>
      </c>
      <c r="R7642" s="12" t="s">
        <v>36</v>
      </c>
      <c r="S7642" s="12" t="s">
        <v>36</v>
      </c>
      <c r="T7642" s="12" t="s">
        <v>33672</v>
      </c>
      <c r="U7642" s="12" t="s">
        <v>279</v>
      </c>
      <c r="V7642" s="12" t="s">
        <v>64</v>
      </c>
      <c r="W7642" s="12" t="s">
        <v>33673</v>
      </c>
      <c r="X7642" s="16" t="s">
        <v>18390</v>
      </c>
      <c r="Y7642" s="15" t="s">
        <v>42</v>
      </c>
      <c r="Z7642" s="14">
        <v>0.6</v>
      </c>
      <c r="AA7642" s="14" t="s">
        <v>36</v>
      </c>
      <c r="AB7642" s="12" t="s">
        <v>43</v>
      </c>
      <c r="AC7642" s="12" t="s">
        <v>33674</v>
      </c>
      <c r="AD7642" s="13">
        <v>41760</v>
      </c>
      <c r="AE7642" s="12" t="s">
        <v>283</v>
      </c>
      <c r="AF7642" s="12" t="s">
        <v>4552</v>
      </c>
      <c r="AG7642" s="12" t="s">
        <v>81</v>
      </c>
      <c r="AH7642" s="1">
        <f>HYPERLINK("https://my.pitchbook.com?c=29776-33T","View Company Online")</f>
      </c>
    </row>
    <row r="7643">
      <c r="A7643" s="3" t="s">
        <v>33675</v>
      </c>
      <c r="B7643" s="3" t="s">
        <v>33676</v>
      </c>
      <c r="C7643" s="5">
        <v>2</v>
      </c>
      <c r="D7643" s="5">
        <v>4</v>
      </c>
      <c r="E7643" s="5">
        <v>3</v>
      </c>
      <c r="F7643" s="5">
        <v>9</v>
      </c>
      <c r="G7643" s="6" t="s">
        <v>36</v>
      </c>
      <c r="H7643" s="4" t="s">
        <v>36</v>
      </c>
      <c r="I7643" s="7" t="s">
        <v>36</v>
      </c>
      <c r="J7643" s="3" t="s">
        <v>36</v>
      </c>
      <c r="K7643" s="9" t="s">
        <v>36</v>
      </c>
      <c r="L7643" s="6" t="s">
        <v>36</v>
      </c>
      <c r="M7643" s="3" t="s">
        <v>36</v>
      </c>
      <c r="N7643" s="3" t="s">
        <v>36</v>
      </c>
      <c r="O7643" s="8" t="s">
        <v>36</v>
      </c>
      <c r="P7643" s="3" t="s">
        <v>36</v>
      </c>
      <c r="Q7643" s="3" t="s">
        <v>36</v>
      </c>
      <c r="R7643" s="3" t="s">
        <v>36</v>
      </c>
      <c r="S7643" s="3" t="s">
        <v>36</v>
      </c>
      <c r="T7643" s="3" t="s">
        <v>661</v>
      </c>
      <c r="U7643" s="3" t="s">
        <v>51</v>
      </c>
      <c r="V7643" s="3" t="s">
        <v>52</v>
      </c>
      <c r="W7643" s="3" t="s">
        <v>33677</v>
      </c>
      <c r="X7643" s="10" t="s">
        <v>33678</v>
      </c>
      <c r="Y7643" s="6" t="s">
        <v>42</v>
      </c>
      <c r="Z7643" s="4">
        <v>1.38</v>
      </c>
      <c r="AA7643" s="4" t="s">
        <v>36</v>
      </c>
      <c r="AB7643" s="3" t="s">
        <v>43</v>
      </c>
      <c r="AC7643" s="3" t="s">
        <v>33679</v>
      </c>
      <c r="AD7643" s="9">
        <v>41759</v>
      </c>
      <c r="AE7643" s="3" t="s">
        <v>158</v>
      </c>
      <c r="AF7643" s="3" t="s">
        <v>665</v>
      </c>
      <c r="AG7643" s="3" t="s">
        <v>5504</v>
      </c>
      <c r="AH7643" s="11">
        <f>HYPERLINK("https://my.pitchbook.com?c=40773-88T","View Company Online")</f>
      </c>
    </row>
    <row r="7644">
      <c r="A7644" s="12" t="s">
        <v>33680</v>
      </c>
      <c r="B7644" s="12" t="s">
        <v>33681</v>
      </c>
      <c r="C7644" s="19">
        <v>11</v>
      </c>
      <c r="D7644" s="19">
        <v>29</v>
      </c>
      <c r="E7644" s="19">
        <v>8</v>
      </c>
      <c r="F7644" s="19">
        <v>42</v>
      </c>
      <c r="G7644" s="15" t="s">
        <v>36</v>
      </c>
      <c r="H7644" s="14" t="s">
        <v>36</v>
      </c>
      <c r="I7644" s="18" t="s">
        <v>36</v>
      </c>
      <c r="J7644" s="12" t="s">
        <v>36</v>
      </c>
      <c r="K7644" s="13">
        <v>41312</v>
      </c>
      <c r="L7644" s="15" t="s">
        <v>1279</v>
      </c>
      <c r="M7644" s="12" t="s">
        <v>36</v>
      </c>
      <c r="N7644" s="12" t="s">
        <v>1279</v>
      </c>
      <c r="O7644" s="17" t="s">
        <v>36</v>
      </c>
      <c r="P7644" s="12" t="s">
        <v>36</v>
      </c>
      <c r="Q7644" s="12" t="s">
        <v>36</v>
      </c>
      <c r="R7644" s="12" t="s">
        <v>36</v>
      </c>
      <c r="S7644" s="12" t="s">
        <v>36</v>
      </c>
      <c r="T7644" s="12" t="s">
        <v>3790</v>
      </c>
      <c r="U7644" s="12" t="s">
        <v>318</v>
      </c>
      <c r="V7644" s="12" t="s">
        <v>39</v>
      </c>
      <c r="W7644" s="12" t="s">
        <v>33682</v>
      </c>
      <c r="X7644" s="16" t="s">
        <v>33683</v>
      </c>
      <c r="Y7644" s="15" t="s">
        <v>108</v>
      </c>
      <c r="Z7644" s="14">
        <v>27.61</v>
      </c>
      <c r="AA7644" s="14" t="s">
        <v>36</v>
      </c>
      <c r="AB7644" s="12" t="s">
        <v>56</v>
      </c>
      <c r="AC7644" s="12" t="s">
        <v>33684</v>
      </c>
      <c r="AD7644" s="13">
        <v>41758</v>
      </c>
      <c r="AE7644" s="12" t="s">
        <v>763</v>
      </c>
      <c r="AF7644" s="12" t="s">
        <v>22942</v>
      </c>
      <c r="AG7644" s="12" t="s">
        <v>1193</v>
      </c>
      <c r="AH7644" s="1">
        <f>HYPERLINK("https://my.pitchbook.com?c=25694-38T","View Company Online")</f>
      </c>
    </row>
    <row r="7645">
      <c r="A7645" s="3" t="s">
        <v>33685</v>
      </c>
      <c r="B7645" s="3" t="s">
        <v>32003</v>
      </c>
      <c r="C7645" s="5" t="s">
        <v>36</v>
      </c>
      <c r="D7645" s="5">
        <v>30</v>
      </c>
      <c r="E7645" s="5">
        <v>3</v>
      </c>
      <c r="F7645" s="5">
        <v>35</v>
      </c>
      <c r="G7645" s="6" t="s">
        <v>36</v>
      </c>
      <c r="H7645" s="4" t="s">
        <v>36</v>
      </c>
      <c r="I7645" s="7" t="s">
        <v>36</v>
      </c>
      <c r="J7645" s="3" t="s">
        <v>36</v>
      </c>
      <c r="K7645" s="9" t="s">
        <v>36</v>
      </c>
      <c r="L7645" s="6" t="s">
        <v>36</v>
      </c>
      <c r="M7645" s="3" t="s">
        <v>36</v>
      </c>
      <c r="N7645" s="3" t="s">
        <v>36</v>
      </c>
      <c r="O7645" s="8" t="s">
        <v>36</v>
      </c>
      <c r="P7645" s="3" t="s">
        <v>36</v>
      </c>
      <c r="Q7645" s="3" t="s">
        <v>36</v>
      </c>
      <c r="R7645" s="3" t="s">
        <v>36</v>
      </c>
      <c r="S7645" s="3" t="s">
        <v>36</v>
      </c>
      <c r="T7645" s="3" t="s">
        <v>881</v>
      </c>
      <c r="U7645" s="3" t="s">
        <v>51</v>
      </c>
      <c r="V7645" s="3" t="s">
        <v>52</v>
      </c>
      <c r="W7645" s="3" t="s">
        <v>32004</v>
      </c>
      <c r="X7645" s="10" t="s">
        <v>33686</v>
      </c>
      <c r="Y7645" s="6" t="s">
        <v>55</v>
      </c>
      <c r="Z7645" s="4">
        <v>8.7</v>
      </c>
      <c r="AA7645" s="4" t="s">
        <v>36</v>
      </c>
      <c r="AB7645" s="3" t="s">
        <v>56</v>
      </c>
      <c r="AC7645" s="3" t="s">
        <v>32006</v>
      </c>
      <c r="AD7645" s="9">
        <v>41758</v>
      </c>
      <c r="AE7645" s="3" t="s">
        <v>504</v>
      </c>
      <c r="AF7645" s="3" t="s">
        <v>3193</v>
      </c>
      <c r="AG7645" s="3" t="s">
        <v>81</v>
      </c>
      <c r="AH7645" s="11">
        <f>HYPERLINK("https://my.pitchbook.com?c=33521-95T","View Company Online")</f>
      </c>
    </row>
    <row r="7646">
      <c r="A7646" s="12" t="s">
        <v>33687</v>
      </c>
      <c r="B7646" s="12" t="s">
        <v>33688</v>
      </c>
      <c r="C7646" s="19">
        <v>2</v>
      </c>
      <c r="D7646" s="19">
        <v>33</v>
      </c>
      <c r="E7646" s="19">
        <v>4</v>
      </c>
      <c r="F7646" s="19">
        <v>38</v>
      </c>
      <c r="G7646" s="15" t="s">
        <v>36</v>
      </c>
      <c r="H7646" s="14" t="s">
        <v>36</v>
      </c>
      <c r="I7646" s="18" t="s">
        <v>36</v>
      </c>
      <c r="J7646" s="12" t="s">
        <v>36</v>
      </c>
      <c r="K7646" s="13" t="s">
        <v>36</v>
      </c>
      <c r="L7646" s="15" t="s">
        <v>94</v>
      </c>
      <c r="M7646" s="12" t="s">
        <v>36</v>
      </c>
      <c r="N7646" s="12" t="s">
        <v>94</v>
      </c>
      <c r="O7646" s="17" t="s">
        <v>36</v>
      </c>
      <c r="P7646" s="12" t="s">
        <v>36</v>
      </c>
      <c r="Q7646" s="12" t="s">
        <v>36</v>
      </c>
      <c r="R7646" s="12" t="s">
        <v>36</v>
      </c>
      <c r="S7646" s="12" t="s">
        <v>36</v>
      </c>
      <c r="T7646" s="12" t="s">
        <v>661</v>
      </c>
      <c r="U7646" s="12" t="s">
        <v>51</v>
      </c>
      <c r="V7646" s="12" t="s">
        <v>52</v>
      </c>
      <c r="W7646" s="12" t="s">
        <v>33689</v>
      </c>
      <c r="X7646" s="16" t="s">
        <v>33690</v>
      </c>
      <c r="Y7646" s="15" t="s">
        <v>108</v>
      </c>
      <c r="Z7646" s="14">
        <v>4.14</v>
      </c>
      <c r="AA7646" s="14" t="s">
        <v>36</v>
      </c>
      <c r="AB7646" s="12" t="s">
        <v>43</v>
      </c>
      <c r="AC7646" s="12" t="s">
        <v>33691</v>
      </c>
      <c r="AD7646" s="13">
        <v>41757</v>
      </c>
      <c r="AE7646" s="12" t="s">
        <v>158</v>
      </c>
      <c r="AF7646" s="12" t="s">
        <v>1166</v>
      </c>
      <c r="AG7646" s="12" t="s">
        <v>33692</v>
      </c>
      <c r="AH7646" s="1">
        <f>HYPERLINK("https://my.pitchbook.com?c=34177-06T","View Company Online")</f>
      </c>
    </row>
    <row r="7647">
      <c r="A7647" s="3" t="s">
        <v>33693</v>
      </c>
      <c r="B7647" s="3" t="s">
        <v>33694</v>
      </c>
      <c r="C7647" s="5" t="s">
        <v>36</v>
      </c>
      <c r="D7647" s="5" t="s">
        <v>36</v>
      </c>
      <c r="E7647" s="5" t="s">
        <v>36</v>
      </c>
      <c r="F7647" s="5" t="s">
        <v>36</v>
      </c>
      <c r="G7647" s="6" t="s">
        <v>36</v>
      </c>
      <c r="H7647" s="4" t="s">
        <v>36</v>
      </c>
      <c r="I7647" s="7" t="s">
        <v>36</v>
      </c>
      <c r="J7647" s="3" t="s">
        <v>36</v>
      </c>
      <c r="K7647" s="9" t="s">
        <v>36</v>
      </c>
      <c r="L7647" s="6" t="s">
        <v>36</v>
      </c>
      <c r="M7647" s="3" t="s">
        <v>36</v>
      </c>
      <c r="N7647" s="3" t="s">
        <v>36</v>
      </c>
      <c r="O7647" s="8" t="s">
        <v>36</v>
      </c>
      <c r="P7647" s="3" t="s">
        <v>36</v>
      </c>
      <c r="Q7647" s="3" t="s">
        <v>36</v>
      </c>
      <c r="R7647" s="3" t="s">
        <v>36</v>
      </c>
      <c r="S7647" s="3" t="s">
        <v>36</v>
      </c>
      <c r="T7647" s="3" t="s">
        <v>550</v>
      </c>
      <c r="U7647" s="3" t="s">
        <v>38</v>
      </c>
      <c r="V7647" s="3" t="s">
        <v>39</v>
      </c>
      <c r="W7647" s="3" t="s">
        <v>33695</v>
      </c>
      <c r="X7647" s="10" t="s">
        <v>33696</v>
      </c>
      <c r="Y7647" s="6" t="s">
        <v>108</v>
      </c>
      <c r="Z7647" s="4">
        <v>0.62</v>
      </c>
      <c r="AA7647" s="4" t="s">
        <v>36</v>
      </c>
      <c r="AB7647" s="3" t="s">
        <v>56</v>
      </c>
      <c r="AC7647" s="3" t="s">
        <v>33697</v>
      </c>
      <c r="AD7647" s="9">
        <v>41757</v>
      </c>
      <c r="AE7647" s="3" t="s">
        <v>554</v>
      </c>
      <c r="AF7647" s="3" t="s">
        <v>1636</v>
      </c>
      <c r="AG7647" s="3" t="s">
        <v>102</v>
      </c>
      <c r="AH7647" s="11">
        <f>HYPERLINK("https://my.pitchbook.com?c=37208-80T","View Company Online")</f>
      </c>
    </row>
    <row r="7648">
      <c r="A7648" s="12" t="s">
        <v>33698</v>
      </c>
      <c r="B7648" s="12" t="s">
        <v>25702</v>
      </c>
      <c r="C7648" s="19">
        <v>1</v>
      </c>
      <c r="D7648" s="19">
        <v>19</v>
      </c>
      <c r="E7648" s="19">
        <v>5</v>
      </c>
      <c r="F7648" s="19">
        <v>23</v>
      </c>
      <c r="G7648" s="15" t="s">
        <v>326</v>
      </c>
      <c r="H7648" s="14">
        <v>9.39</v>
      </c>
      <c r="I7648" s="18">
        <v>54.23</v>
      </c>
      <c r="J7648" s="12" t="s">
        <v>521</v>
      </c>
      <c r="K7648" s="13" t="s">
        <v>36</v>
      </c>
      <c r="L7648" s="15" t="s">
        <v>3736</v>
      </c>
      <c r="M7648" s="12" t="s">
        <v>36</v>
      </c>
      <c r="N7648" s="12" t="s">
        <v>3736</v>
      </c>
      <c r="O7648" s="17" t="s">
        <v>36</v>
      </c>
      <c r="P7648" s="12" t="s">
        <v>36</v>
      </c>
      <c r="Q7648" s="12" t="s">
        <v>36</v>
      </c>
      <c r="R7648" s="12" t="s">
        <v>36</v>
      </c>
      <c r="S7648" s="12" t="s">
        <v>36</v>
      </c>
      <c r="T7648" s="12" t="s">
        <v>189</v>
      </c>
      <c r="U7648" s="12" t="s">
        <v>180</v>
      </c>
      <c r="V7648" s="12" t="s">
        <v>52</v>
      </c>
      <c r="W7648" s="12" t="s">
        <v>25703</v>
      </c>
      <c r="X7648" s="16" t="s">
        <v>33699</v>
      </c>
      <c r="Y7648" s="15" t="s">
        <v>166</v>
      </c>
      <c r="Z7648" s="14">
        <v>28.64</v>
      </c>
      <c r="AA7648" s="14">
        <v>52.81</v>
      </c>
      <c r="AB7648" s="12" t="s">
        <v>56</v>
      </c>
      <c r="AC7648" s="12" t="s">
        <v>25705</v>
      </c>
      <c r="AD7648" s="13">
        <v>41757</v>
      </c>
      <c r="AE7648" s="12" t="s">
        <v>184</v>
      </c>
      <c r="AF7648" s="12" t="s">
        <v>25706</v>
      </c>
      <c r="AG7648" s="12" t="s">
        <v>1202</v>
      </c>
      <c r="AH7648" s="1">
        <f>HYPERLINK("https://my.pitchbook.com?c=33404-50T","View Company Online")</f>
      </c>
    </row>
    <row r="7649">
      <c r="A7649" s="3" t="s">
        <v>33700</v>
      </c>
      <c r="B7649" s="3" t="s">
        <v>33701</v>
      </c>
      <c r="C7649" s="5" t="s">
        <v>36</v>
      </c>
      <c r="D7649" s="5" t="s">
        <v>36</v>
      </c>
      <c r="E7649" s="5" t="s">
        <v>36</v>
      </c>
      <c r="F7649" s="5" t="s">
        <v>36</v>
      </c>
      <c r="G7649" s="6" t="s">
        <v>36</v>
      </c>
      <c r="H7649" s="4">
        <v>738.42</v>
      </c>
      <c r="I7649" s="7">
        <v>36.02</v>
      </c>
      <c r="J7649" s="3" t="s">
        <v>521</v>
      </c>
      <c r="K7649" s="9" t="s">
        <v>36</v>
      </c>
      <c r="L7649" s="6" t="s">
        <v>36</v>
      </c>
      <c r="M7649" s="3" t="s">
        <v>36</v>
      </c>
      <c r="N7649" s="3" t="s">
        <v>36</v>
      </c>
      <c r="O7649" s="8" t="s">
        <v>36</v>
      </c>
      <c r="P7649" s="3" t="s">
        <v>36</v>
      </c>
      <c r="Q7649" s="3" t="s">
        <v>36</v>
      </c>
      <c r="R7649" s="3" t="s">
        <v>36</v>
      </c>
      <c r="S7649" s="3" t="s">
        <v>36</v>
      </c>
      <c r="T7649" s="3" t="s">
        <v>33702</v>
      </c>
      <c r="U7649" s="3" t="s">
        <v>833</v>
      </c>
      <c r="V7649" s="3" t="s">
        <v>64</v>
      </c>
      <c r="W7649" s="3" t="s">
        <v>33703</v>
      </c>
      <c r="X7649" s="10" t="s">
        <v>10302</v>
      </c>
      <c r="Y7649" s="6" t="s">
        <v>42</v>
      </c>
      <c r="Z7649" s="4">
        <v>0.69</v>
      </c>
      <c r="AA7649" s="4">
        <v>1.53</v>
      </c>
      <c r="AB7649" s="3" t="s">
        <v>56</v>
      </c>
      <c r="AC7649" s="3" t="s">
        <v>33704</v>
      </c>
      <c r="AD7649" s="9">
        <v>41754</v>
      </c>
      <c r="AE7649" s="3" t="s">
        <v>1687</v>
      </c>
      <c r="AF7649" s="3" t="s">
        <v>14418</v>
      </c>
      <c r="AG7649" s="3" t="s">
        <v>33705</v>
      </c>
      <c r="AH7649" s="11">
        <f>HYPERLINK("https://my.pitchbook.com?c=37721-98T","View Company Online")</f>
      </c>
    </row>
    <row r="7650">
      <c r="A7650" s="12" t="s">
        <v>33706</v>
      </c>
      <c r="B7650" s="12" t="s">
        <v>33707</v>
      </c>
      <c r="C7650" s="19" t="s">
        <v>36</v>
      </c>
      <c r="D7650" s="19" t="s">
        <v>36</v>
      </c>
      <c r="E7650" s="19" t="s">
        <v>36</v>
      </c>
      <c r="F7650" s="19" t="s">
        <v>36</v>
      </c>
      <c r="G7650" s="15" t="s">
        <v>36</v>
      </c>
      <c r="H7650" s="14">
        <v>498.51</v>
      </c>
      <c r="I7650" s="18">
        <v>35.57</v>
      </c>
      <c r="J7650" s="12" t="s">
        <v>521</v>
      </c>
      <c r="K7650" s="13" t="s">
        <v>36</v>
      </c>
      <c r="L7650" s="15" t="s">
        <v>36</v>
      </c>
      <c r="M7650" s="12" t="s">
        <v>36</v>
      </c>
      <c r="N7650" s="12" t="s">
        <v>36</v>
      </c>
      <c r="O7650" s="17" t="s">
        <v>36</v>
      </c>
      <c r="P7650" s="12" t="s">
        <v>36</v>
      </c>
      <c r="Q7650" s="12" t="s">
        <v>36</v>
      </c>
      <c r="R7650" s="12" t="s">
        <v>36</v>
      </c>
      <c r="S7650" s="12" t="s">
        <v>36</v>
      </c>
      <c r="T7650" s="12" t="s">
        <v>18950</v>
      </c>
      <c r="U7650" s="12" t="s">
        <v>423</v>
      </c>
      <c r="V7650" s="12" t="s">
        <v>64</v>
      </c>
      <c r="W7650" s="12" t="s">
        <v>33708</v>
      </c>
      <c r="X7650" s="16" t="s">
        <v>33709</v>
      </c>
      <c r="Y7650" s="15" t="s">
        <v>42</v>
      </c>
      <c r="Z7650" s="14">
        <v>1.83</v>
      </c>
      <c r="AA7650" s="14">
        <v>5.14</v>
      </c>
      <c r="AB7650" s="12" t="s">
        <v>56</v>
      </c>
      <c r="AC7650" s="12" t="s">
        <v>33710</v>
      </c>
      <c r="AD7650" s="13">
        <v>41754</v>
      </c>
      <c r="AE7650" s="12" t="s">
        <v>562</v>
      </c>
      <c r="AF7650" s="12" t="s">
        <v>90</v>
      </c>
      <c r="AG7650" s="12" t="s">
        <v>3508</v>
      </c>
      <c r="AH7650" s="1">
        <f>HYPERLINK("https://my.pitchbook.com?c=160583-41T","View Company Online")</f>
      </c>
    </row>
    <row r="7651">
      <c r="A7651" s="3" t="s">
        <v>33711</v>
      </c>
      <c r="B7651" s="3" t="s">
        <v>33712</v>
      </c>
      <c r="C7651" s="5" t="s">
        <v>36</v>
      </c>
      <c r="D7651" s="5" t="s">
        <v>36</v>
      </c>
      <c r="E7651" s="5" t="s">
        <v>36</v>
      </c>
      <c r="F7651" s="5" t="s">
        <v>36</v>
      </c>
      <c r="G7651" s="6" t="s">
        <v>36</v>
      </c>
      <c r="H7651" s="4" t="s">
        <v>36</v>
      </c>
      <c r="I7651" s="7" t="s">
        <v>36</v>
      </c>
      <c r="J7651" s="3" t="s">
        <v>36</v>
      </c>
      <c r="K7651" s="9" t="s">
        <v>36</v>
      </c>
      <c r="L7651" s="6" t="s">
        <v>36</v>
      </c>
      <c r="M7651" s="3" t="s">
        <v>36</v>
      </c>
      <c r="N7651" s="3" t="s">
        <v>36</v>
      </c>
      <c r="O7651" s="8" t="s">
        <v>36</v>
      </c>
      <c r="P7651" s="3" t="s">
        <v>36</v>
      </c>
      <c r="Q7651" s="3" t="s">
        <v>36</v>
      </c>
      <c r="R7651" s="3" t="s">
        <v>36</v>
      </c>
      <c r="S7651" s="3" t="s">
        <v>36</v>
      </c>
      <c r="T7651" s="3" t="s">
        <v>9159</v>
      </c>
      <c r="U7651" s="3" t="s">
        <v>74</v>
      </c>
      <c r="V7651" s="3" t="s">
        <v>75</v>
      </c>
      <c r="W7651" s="3" t="s">
        <v>33713</v>
      </c>
      <c r="X7651" s="10" t="s">
        <v>32958</v>
      </c>
      <c r="Y7651" s="6" t="s">
        <v>42</v>
      </c>
      <c r="Z7651" s="4">
        <v>0.14</v>
      </c>
      <c r="AA7651" s="4" t="s">
        <v>36</v>
      </c>
      <c r="AB7651" s="3" t="s">
        <v>43</v>
      </c>
      <c r="AC7651" s="3" t="s">
        <v>33714</v>
      </c>
      <c r="AD7651" s="9">
        <v>41754</v>
      </c>
      <c r="AE7651" s="3" t="s">
        <v>3144</v>
      </c>
      <c r="AF7651" s="3" t="s">
        <v>2830</v>
      </c>
      <c r="AG7651" s="3" t="s">
        <v>382</v>
      </c>
      <c r="AH7651" s="11">
        <f>HYPERLINK("https://my.pitchbook.com?c=51797-44T","View Company Online")</f>
      </c>
    </row>
    <row r="7652">
      <c r="A7652" s="12" t="s">
        <v>33715</v>
      </c>
      <c r="B7652" s="12" t="s">
        <v>33716</v>
      </c>
      <c r="C7652" s="19" t="s">
        <v>36</v>
      </c>
      <c r="D7652" s="19">
        <v>1</v>
      </c>
      <c r="E7652" s="19">
        <v>1</v>
      </c>
      <c r="F7652" s="19">
        <v>2</v>
      </c>
      <c r="G7652" s="15" t="s">
        <v>326</v>
      </c>
      <c r="H7652" s="14">
        <v>129.82</v>
      </c>
      <c r="I7652" s="18">
        <v>45.34</v>
      </c>
      <c r="J7652" s="12" t="s">
        <v>521</v>
      </c>
      <c r="K7652" s="13" t="s">
        <v>36</v>
      </c>
      <c r="L7652" s="15" t="s">
        <v>36</v>
      </c>
      <c r="M7652" s="12" t="s">
        <v>36</v>
      </c>
      <c r="N7652" s="12" t="s">
        <v>36</v>
      </c>
      <c r="O7652" s="17" t="s">
        <v>36</v>
      </c>
      <c r="P7652" s="12" t="s">
        <v>36</v>
      </c>
      <c r="Q7652" s="12" t="s">
        <v>36</v>
      </c>
      <c r="R7652" s="12" t="s">
        <v>36</v>
      </c>
      <c r="S7652" s="12" t="s">
        <v>36</v>
      </c>
      <c r="T7652" s="12" t="s">
        <v>638</v>
      </c>
      <c r="U7652" s="12" t="s">
        <v>63</v>
      </c>
      <c r="V7652" s="12" t="s">
        <v>64</v>
      </c>
      <c r="W7652" s="12" t="s">
        <v>33717</v>
      </c>
      <c r="X7652" s="16" t="s">
        <v>33718</v>
      </c>
      <c r="Y7652" s="15" t="s">
        <v>42</v>
      </c>
      <c r="Z7652" s="14">
        <v>1.93</v>
      </c>
      <c r="AA7652" s="14">
        <v>4.26</v>
      </c>
      <c r="AB7652" s="12" t="s">
        <v>43</v>
      </c>
      <c r="AC7652" s="12" t="s">
        <v>33719</v>
      </c>
      <c r="AD7652" s="13">
        <v>41753</v>
      </c>
      <c r="AE7652" s="12" t="s">
        <v>642</v>
      </c>
      <c r="AF7652" s="12" t="s">
        <v>36</v>
      </c>
      <c r="AG7652" s="12" t="s">
        <v>102</v>
      </c>
      <c r="AH7652" s="1">
        <f>HYPERLINK("https://my.pitchbook.com?c=246442-42T","View Company Online")</f>
      </c>
    </row>
    <row r="7653">
      <c r="A7653" s="3" t="s">
        <v>33720</v>
      </c>
      <c r="B7653" s="3" t="s">
        <v>29878</v>
      </c>
      <c r="C7653" s="5" t="s">
        <v>36</v>
      </c>
      <c r="D7653" s="5" t="s">
        <v>36</v>
      </c>
      <c r="E7653" s="5" t="s">
        <v>36</v>
      </c>
      <c r="F7653" s="5" t="s">
        <v>36</v>
      </c>
      <c r="G7653" s="6" t="s">
        <v>36</v>
      </c>
      <c r="H7653" s="4">
        <v>279.37</v>
      </c>
      <c r="I7653" s="7">
        <v>23.89</v>
      </c>
      <c r="J7653" s="3" t="s">
        <v>36</v>
      </c>
      <c r="K7653" s="9" t="s">
        <v>36</v>
      </c>
      <c r="L7653" s="6" t="s">
        <v>122</v>
      </c>
      <c r="M7653" s="3" t="s">
        <v>36</v>
      </c>
      <c r="N7653" s="3" t="s">
        <v>122</v>
      </c>
      <c r="O7653" s="8" t="s">
        <v>36</v>
      </c>
      <c r="P7653" s="3" t="s">
        <v>36</v>
      </c>
      <c r="Q7653" s="3" t="s">
        <v>36</v>
      </c>
      <c r="R7653" s="3" t="s">
        <v>36</v>
      </c>
      <c r="S7653" s="3" t="s">
        <v>36</v>
      </c>
      <c r="T7653" s="3" t="s">
        <v>13576</v>
      </c>
      <c r="U7653" s="3" t="s">
        <v>438</v>
      </c>
      <c r="V7653" s="3" t="s">
        <v>405</v>
      </c>
      <c r="W7653" s="3" t="s">
        <v>29879</v>
      </c>
      <c r="X7653" s="10" t="s">
        <v>33721</v>
      </c>
      <c r="Y7653" s="6" t="s">
        <v>42</v>
      </c>
      <c r="Z7653" s="4">
        <v>1.38</v>
      </c>
      <c r="AA7653" s="4" t="s">
        <v>36</v>
      </c>
      <c r="AB7653" s="3" t="s">
        <v>43</v>
      </c>
      <c r="AC7653" s="3" t="s">
        <v>29881</v>
      </c>
      <c r="AD7653" s="9">
        <v>41753</v>
      </c>
      <c r="AE7653" s="3" t="s">
        <v>442</v>
      </c>
      <c r="AF7653" s="3" t="s">
        <v>7466</v>
      </c>
      <c r="AG7653" s="3" t="s">
        <v>81</v>
      </c>
      <c r="AH7653" s="11">
        <f>HYPERLINK("https://my.pitchbook.com?c=33348-61T","View Company Online")</f>
      </c>
    </row>
    <row r="7654">
      <c r="A7654" s="12" t="s">
        <v>33722</v>
      </c>
      <c r="B7654" s="12" t="s">
        <v>33723</v>
      </c>
      <c r="C7654" s="19" t="s">
        <v>36</v>
      </c>
      <c r="D7654" s="19" t="s">
        <v>36</v>
      </c>
      <c r="E7654" s="19" t="s">
        <v>36</v>
      </c>
      <c r="F7654" s="19" t="s">
        <v>36</v>
      </c>
      <c r="G7654" s="15" t="s">
        <v>36</v>
      </c>
      <c r="H7654" s="14" t="s">
        <v>36</v>
      </c>
      <c r="I7654" s="18" t="s">
        <v>36</v>
      </c>
      <c r="J7654" s="12" t="s">
        <v>36</v>
      </c>
      <c r="K7654" s="13" t="s">
        <v>36</v>
      </c>
      <c r="L7654" s="15" t="s">
        <v>36</v>
      </c>
      <c r="M7654" s="12" t="s">
        <v>36</v>
      </c>
      <c r="N7654" s="12" t="s">
        <v>36</v>
      </c>
      <c r="O7654" s="17" t="s">
        <v>36</v>
      </c>
      <c r="P7654" s="12" t="s">
        <v>36</v>
      </c>
      <c r="Q7654" s="12" t="s">
        <v>36</v>
      </c>
      <c r="R7654" s="12" t="s">
        <v>36</v>
      </c>
      <c r="S7654" s="12" t="s">
        <v>36</v>
      </c>
      <c r="T7654" s="12" t="s">
        <v>3843</v>
      </c>
      <c r="U7654" s="12" t="s">
        <v>180</v>
      </c>
      <c r="V7654" s="12" t="s">
        <v>52</v>
      </c>
      <c r="W7654" s="12" t="s">
        <v>33724</v>
      </c>
      <c r="X7654" s="16" t="s">
        <v>25462</v>
      </c>
      <c r="Y7654" s="15" t="s">
        <v>42</v>
      </c>
      <c r="Z7654" s="14" t="s">
        <v>36</v>
      </c>
      <c r="AA7654" s="14" t="s">
        <v>36</v>
      </c>
      <c r="AB7654" s="12" t="s">
        <v>56</v>
      </c>
      <c r="AC7654" s="12" t="s">
        <v>33725</v>
      </c>
      <c r="AD7654" s="13">
        <v>41753</v>
      </c>
      <c r="AE7654" s="12" t="s">
        <v>3847</v>
      </c>
      <c r="AF7654" s="12" t="s">
        <v>33726</v>
      </c>
      <c r="AG7654" s="12" t="s">
        <v>652</v>
      </c>
      <c r="AH7654" s="1">
        <f>HYPERLINK("https://my.pitchbook.com?c=44348-50T","View Company Online")</f>
      </c>
    </row>
    <row r="7655">
      <c r="A7655" s="3" t="s">
        <v>33727</v>
      </c>
      <c r="B7655" s="3" t="s">
        <v>23116</v>
      </c>
      <c r="C7655" s="5" t="s">
        <v>36</v>
      </c>
      <c r="D7655" s="5" t="s">
        <v>36</v>
      </c>
      <c r="E7655" s="5" t="s">
        <v>36</v>
      </c>
      <c r="F7655" s="5" t="s">
        <v>36</v>
      </c>
      <c r="G7655" s="6" t="s">
        <v>36</v>
      </c>
      <c r="H7655" s="4" t="s">
        <v>36</v>
      </c>
      <c r="I7655" s="7" t="s">
        <v>36</v>
      </c>
      <c r="J7655" s="3" t="s">
        <v>36</v>
      </c>
      <c r="K7655" s="9" t="s">
        <v>36</v>
      </c>
      <c r="L7655" s="6" t="s">
        <v>36</v>
      </c>
      <c r="M7655" s="3" t="s">
        <v>36</v>
      </c>
      <c r="N7655" s="3" t="s">
        <v>36</v>
      </c>
      <c r="O7655" s="8" t="s">
        <v>36</v>
      </c>
      <c r="P7655" s="3" t="s">
        <v>36</v>
      </c>
      <c r="Q7655" s="3" t="s">
        <v>36</v>
      </c>
      <c r="R7655" s="3" t="s">
        <v>36</v>
      </c>
      <c r="S7655" s="3" t="s">
        <v>36</v>
      </c>
      <c r="T7655" s="3" t="s">
        <v>105</v>
      </c>
      <c r="U7655" s="3" t="s">
        <v>38</v>
      </c>
      <c r="V7655" s="3" t="s">
        <v>39</v>
      </c>
      <c r="W7655" s="3" t="s">
        <v>23117</v>
      </c>
      <c r="X7655" s="10" t="s">
        <v>32975</v>
      </c>
      <c r="Y7655" s="6" t="s">
        <v>108</v>
      </c>
      <c r="Z7655" s="4">
        <v>1.24</v>
      </c>
      <c r="AA7655" s="4" t="s">
        <v>36</v>
      </c>
      <c r="AB7655" s="3" t="s">
        <v>56</v>
      </c>
      <c r="AC7655" s="3" t="s">
        <v>23119</v>
      </c>
      <c r="AD7655" s="9">
        <v>41752</v>
      </c>
      <c r="AE7655" s="3" t="s">
        <v>110</v>
      </c>
      <c r="AF7655" s="3" t="s">
        <v>5001</v>
      </c>
      <c r="AG7655" s="3" t="s">
        <v>81</v>
      </c>
      <c r="AH7655" s="11">
        <f>HYPERLINK("https://my.pitchbook.com?c=214047-10T","View Company Online")</f>
      </c>
    </row>
    <row r="7656">
      <c r="A7656" s="12" t="s">
        <v>33728</v>
      </c>
      <c r="B7656" s="12" t="s">
        <v>33729</v>
      </c>
      <c r="C7656" s="19" t="s">
        <v>36</v>
      </c>
      <c r="D7656" s="19">
        <v>2</v>
      </c>
      <c r="E7656" s="19">
        <v>1</v>
      </c>
      <c r="F7656" s="19">
        <v>2</v>
      </c>
      <c r="G7656" s="15" t="s">
        <v>326</v>
      </c>
      <c r="H7656" s="14">
        <v>17.81</v>
      </c>
      <c r="I7656" s="18">
        <v>25.62</v>
      </c>
      <c r="J7656" s="12" t="s">
        <v>521</v>
      </c>
      <c r="K7656" s="13" t="s">
        <v>36</v>
      </c>
      <c r="L7656" s="15" t="s">
        <v>36</v>
      </c>
      <c r="M7656" s="12" t="s">
        <v>36</v>
      </c>
      <c r="N7656" s="12" t="s">
        <v>36</v>
      </c>
      <c r="O7656" s="17" t="s">
        <v>36</v>
      </c>
      <c r="P7656" s="12" t="s">
        <v>36</v>
      </c>
      <c r="Q7656" s="12" t="s">
        <v>36</v>
      </c>
      <c r="R7656" s="12" t="s">
        <v>36</v>
      </c>
      <c r="S7656" s="12" t="s">
        <v>36</v>
      </c>
      <c r="T7656" s="12" t="s">
        <v>17385</v>
      </c>
      <c r="U7656" s="12" t="s">
        <v>423</v>
      </c>
      <c r="V7656" s="12" t="s">
        <v>64</v>
      </c>
      <c r="W7656" s="12" t="s">
        <v>33730</v>
      </c>
      <c r="X7656" s="16" t="s">
        <v>1598</v>
      </c>
      <c r="Y7656" s="15" t="s">
        <v>55</v>
      </c>
      <c r="Z7656" s="14">
        <v>0.21</v>
      </c>
      <c r="AA7656" s="14">
        <v>0.83</v>
      </c>
      <c r="AB7656" s="12" t="s">
        <v>43</v>
      </c>
      <c r="AC7656" s="12" t="s">
        <v>33731</v>
      </c>
      <c r="AD7656" s="13">
        <v>41752</v>
      </c>
      <c r="AE7656" s="12" t="s">
        <v>562</v>
      </c>
      <c r="AF7656" s="12" t="s">
        <v>36</v>
      </c>
      <c r="AG7656" s="12" t="s">
        <v>7579</v>
      </c>
      <c r="AH7656" s="1">
        <f>HYPERLINK("https://my.pitchbook.com?c=47045-26T","View Company Online")</f>
      </c>
    </row>
    <row r="7657">
      <c r="A7657" s="3" t="s">
        <v>33732</v>
      </c>
      <c r="B7657" s="3" t="s">
        <v>33733</v>
      </c>
      <c r="C7657" s="5" t="s">
        <v>36</v>
      </c>
      <c r="D7657" s="5" t="s">
        <v>36</v>
      </c>
      <c r="E7657" s="5" t="s">
        <v>36</v>
      </c>
      <c r="F7657" s="5" t="s">
        <v>36</v>
      </c>
      <c r="G7657" s="6" t="s">
        <v>36</v>
      </c>
      <c r="H7657" s="4" t="s">
        <v>36</v>
      </c>
      <c r="I7657" s="7" t="s">
        <v>36</v>
      </c>
      <c r="J7657" s="3" t="s">
        <v>36</v>
      </c>
      <c r="K7657" s="9" t="s">
        <v>36</v>
      </c>
      <c r="L7657" s="6" t="s">
        <v>36</v>
      </c>
      <c r="M7657" s="3" t="s">
        <v>36</v>
      </c>
      <c r="N7657" s="3" t="s">
        <v>36</v>
      </c>
      <c r="O7657" s="8" t="s">
        <v>36</v>
      </c>
      <c r="P7657" s="3" t="s">
        <v>36</v>
      </c>
      <c r="Q7657" s="3" t="s">
        <v>36</v>
      </c>
      <c r="R7657" s="3" t="s">
        <v>36</v>
      </c>
      <c r="S7657" s="3" t="s">
        <v>36</v>
      </c>
      <c r="T7657" s="3" t="s">
        <v>33734</v>
      </c>
      <c r="U7657" s="3" t="s">
        <v>279</v>
      </c>
      <c r="V7657" s="3" t="s">
        <v>64</v>
      </c>
      <c r="W7657" s="3" t="s">
        <v>33735</v>
      </c>
      <c r="X7657" s="10" t="s">
        <v>33736</v>
      </c>
      <c r="Y7657" s="6" t="s">
        <v>108</v>
      </c>
      <c r="Z7657" s="4">
        <v>0.55</v>
      </c>
      <c r="AA7657" s="4" t="s">
        <v>36</v>
      </c>
      <c r="AB7657" s="3" t="s">
        <v>43</v>
      </c>
      <c r="AC7657" s="3" t="s">
        <v>33737</v>
      </c>
      <c r="AD7657" s="9">
        <v>41752</v>
      </c>
      <c r="AE7657" s="3" t="s">
        <v>283</v>
      </c>
      <c r="AF7657" s="3" t="s">
        <v>33738</v>
      </c>
      <c r="AG7657" s="3" t="s">
        <v>81</v>
      </c>
      <c r="AH7657" s="11">
        <f>HYPERLINK("https://my.pitchbook.com?c=84848-68T","View Company Online")</f>
      </c>
    </row>
    <row r="7658">
      <c r="A7658" s="12" t="s">
        <v>33739</v>
      </c>
      <c r="B7658" s="12" t="s">
        <v>33740</v>
      </c>
      <c r="C7658" s="19" t="s">
        <v>36</v>
      </c>
      <c r="D7658" s="19" t="s">
        <v>36</v>
      </c>
      <c r="E7658" s="19" t="s">
        <v>36</v>
      </c>
      <c r="F7658" s="19" t="s">
        <v>36</v>
      </c>
      <c r="G7658" s="15" t="s">
        <v>36</v>
      </c>
      <c r="H7658" s="14" t="s">
        <v>36</v>
      </c>
      <c r="I7658" s="18" t="s">
        <v>36</v>
      </c>
      <c r="J7658" s="12" t="s">
        <v>36</v>
      </c>
      <c r="K7658" s="13" t="s">
        <v>36</v>
      </c>
      <c r="L7658" s="15" t="s">
        <v>36</v>
      </c>
      <c r="M7658" s="12" t="s">
        <v>36</v>
      </c>
      <c r="N7658" s="12" t="s">
        <v>36</v>
      </c>
      <c r="O7658" s="17" t="s">
        <v>36</v>
      </c>
      <c r="P7658" s="12" t="s">
        <v>36</v>
      </c>
      <c r="Q7658" s="12" t="s">
        <v>36</v>
      </c>
      <c r="R7658" s="12" t="s">
        <v>36</v>
      </c>
      <c r="S7658" s="12" t="s">
        <v>36</v>
      </c>
      <c r="T7658" s="12" t="s">
        <v>847</v>
      </c>
      <c r="U7658" s="12" t="s">
        <v>279</v>
      </c>
      <c r="V7658" s="12" t="s">
        <v>64</v>
      </c>
      <c r="W7658" s="12" t="s">
        <v>33741</v>
      </c>
      <c r="X7658" s="16" t="s">
        <v>33742</v>
      </c>
      <c r="Y7658" s="15" t="s">
        <v>42</v>
      </c>
      <c r="Z7658" s="14">
        <v>0.41</v>
      </c>
      <c r="AA7658" s="14" t="s">
        <v>36</v>
      </c>
      <c r="AB7658" s="12" t="s">
        <v>43</v>
      </c>
      <c r="AC7658" s="12" t="s">
        <v>33743</v>
      </c>
      <c r="AD7658" s="13">
        <v>41751</v>
      </c>
      <c r="AE7658" s="12" t="s">
        <v>851</v>
      </c>
      <c r="AF7658" s="12" t="s">
        <v>90</v>
      </c>
      <c r="AG7658" s="12" t="s">
        <v>81</v>
      </c>
      <c r="AH7658" s="1">
        <f>HYPERLINK("https://my.pitchbook.com?c=76735-27T","View Company Online")</f>
      </c>
    </row>
    <row r="7659">
      <c r="A7659" s="3" t="s">
        <v>33744</v>
      </c>
      <c r="B7659" s="3" t="s">
        <v>33745</v>
      </c>
      <c r="C7659" s="5" t="s">
        <v>36</v>
      </c>
      <c r="D7659" s="5" t="s">
        <v>36</v>
      </c>
      <c r="E7659" s="5" t="s">
        <v>36</v>
      </c>
      <c r="F7659" s="5" t="s">
        <v>36</v>
      </c>
      <c r="G7659" s="6" t="s">
        <v>36</v>
      </c>
      <c r="H7659" s="4" t="s">
        <v>36</v>
      </c>
      <c r="I7659" s="7" t="s">
        <v>36</v>
      </c>
      <c r="J7659" s="3" t="s">
        <v>36</v>
      </c>
      <c r="K7659" s="9">
        <v>41737</v>
      </c>
      <c r="L7659" s="6" t="s">
        <v>36</v>
      </c>
      <c r="M7659" s="3" t="s">
        <v>36</v>
      </c>
      <c r="N7659" s="3" t="s">
        <v>36</v>
      </c>
      <c r="O7659" s="8" t="s">
        <v>36</v>
      </c>
      <c r="P7659" s="3" t="s">
        <v>36</v>
      </c>
      <c r="Q7659" s="3" t="s">
        <v>36</v>
      </c>
      <c r="R7659" s="3" t="s">
        <v>36</v>
      </c>
      <c r="S7659" s="3" t="s">
        <v>36</v>
      </c>
      <c r="T7659" s="3" t="s">
        <v>707</v>
      </c>
      <c r="U7659" s="3" t="s">
        <v>38</v>
      </c>
      <c r="V7659" s="3" t="s">
        <v>39</v>
      </c>
      <c r="W7659" s="3" t="s">
        <v>33746</v>
      </c>
      <c r="X7659" s="10" t="s">
        <v>33747</v>
      </c>
      <c r="Y7659" s="6" t="s">
        <v>108</v>
      </c>
      <c r="Z7659" s="4">
        <v>2.76</v>
      </c>
      <c r="AA7659" s="4" t="s">
        <v>36</v>
      </c>
      <c r="AB7659" s="3" t="s">
        <v>56</v>
      </c>
      <c r="AC7659" s="3" t="s">
        <v>33748</v>
      </c>
      <c r="AD7659" s="9">
        <v>41746</v>
      </c>
      <c r="AE7659" s="3" t="s">
        <v>688</v>
      </c>
      <c r="AF7659" s="3" t="s">
        <v>1636</v>
      </c>
      <c r="AG7659" s="3" t="s">
        <v>81</v>
      </c>
      <c r="AH7659" s="11">
        <f>HYPERLINK("https://my.pitchbook.com?c=52356-16T","View Company Online")</f>
      </c>
    </row>
    <row r="7660">
      <c r="A7660" s="12" t="s">
        <v>33749</v>
      </c>
      <c r="B7660" s="12" t="s">
        <v>6420</v>
      </c>
      <c r="C7660" s="19" t="s">
        <v>36</v>
      </c>
      <c r="D7660" s="19">
        <v>7</v>
      </c>
      <c r="E7660" s="19">
        <v>1</v>
      </c>
      <c r="F7660" s="19">
        <v>7</v>
      </c>
      <c r="G7660" s="15" t="s">
        <v>36</v>
      </c>
      <c r="H7660" s="14" t="s">
        <v>36</v>
      </c>
      <c r="I7660" s="18" t="s">
        <v>36</v>
      </c>
      <c r="J7660" s="12" t="s">
        <v>36</v>
      </c>
      <c r="K7660" s="13" t="s">
        <v>36</v>
      </c>
      <c r="L7660" s="15" t="s">
        <v>36</v>
      </c>
      <c r="M7660" s="12" t="s">
        <v>36</v>
      </c>
      <c r="N7660" s="12" t="s">
        <v>36</v>
      </c>
      <c r="O7660" s="17" t="s">
        <v>36</v>
      </c>
      <c r="P7660" s="12" t="s">
        <v>36</v>
      </c>
      <c r="Q7660" s="12" t="s">
        <v>36</v>
      </c>
      <c r="R7660" s="12" t="s">
        <v>36</v>
      </c>
      <c r="S7660" s="12" t="s">
        <v>36</v>
      </c>
      <c r="T7660" s="12" t="s">
        <v>4917</v>
      </c>
      <c r="U7660" s="12" t="s">
        <v>38</v>
      </c>
      <c r="V7660" s="12" t="s">
        <v>39</v>
      </c>
      <c r="W7660" s="12" t="s">
        <v>6421</v>
      </c>
      <c r="X7660" s="16" t="s">
        <v>33750</v>
      </c>
      <c r="Y7660" s="15" t="s">
        <v>42</v>
      </c>
      <c r="Z7660" s="14" t="s">
        <v>36</v>
      </c>
      <c r="AA7660" s="14" t="s">
        <v>36</v>
      </c>
      <c r="AB7660" s="12" t="s">
        <v>43</v>
      </c>
      <c r="AC7660" s="12" t="s">
        <v>6423</v>
      </c>
      <c r="AD7660" s="13">
        <v>41746</v>
      </c>
      <c r="AE7660" s="12" t="s">
        <v>134</v>
      </c>
      <c r="AF7660" s="12" t="s">
        <v>135</v>
      </c>
      <c r="AG7660" s="12" t="s">
        <v>81</v>
      </c>
      <c r="AH7660" s="1">
        <f>HYPERLINK("https://my.pitchbook.com?c=125561-80T","View Company Online")</f>
      </c>
    </row>
    <row r="7661">
      <c r="A7661" s="3" t="s">
        <v>33751</v>
      </c>
      <c r="B7661" s="3" t="s">
        <v>26162</v>
      </c>
      <c r="C7661" s="5" t="s">
        <v>36</v>
      </c>
      <c r="D7661" s="5">
        <v>1</v>
      </c>
      <c r="E7661" s="5">
        <v>4</v>
      </c>
      <c r="F7661" s="5">
        <v>5</v>
      </c>
      <c r="G7661" s="6" t="s">
        <v>683</v>
      </c>
      <c r="H7661" s="4">
        <v>0.82</v>
      </c>
      <c r="I7661" s="7">
        <v>15.56</v>
      </c>
      <c r="J7661" s="3" t="s">
        <v>521</v>
      </c>
      <c r="K7661" s="9" t="s">
        <v>36</v>
      </c>
      <c r="L7661" s="6" t="s">
        <v>1981</v>
      </c>
      <c r="M7661" s="3" t="s">
        <v>36</v>
      </c>
      <c r="N7661" s="3" t="s">
        <v>1981</v>
      </c>
      <c r="O7661" s="8" t="s">
        <v>36</v>
      </c>
      <c r="P7661" s="3" t="s">
        <v>3530</v>
      </c>
      <c r="Q7661" s="3" t="s">
        <v>3530</v>
      </c>
      <c r="R7661" s="3" t="s">
        <v>3531</v>
      </c>
      <c r="S7661" s="3" t="s">
        <v>36</v>
      </c>
      <c r="T7661" s="3" t="s">
        <v>5302</v>
      </c>
      <c r="U7661" s="3" t="s">
        <v>74</v>
      </c>
      <c r="V7661" s="3" t="s">
        <v>75</v>
      </c>
      <c r="W7661" s="3" t="s">
        <v>26163</v>
      </c>
      <c r="X7661" s="10" t="s">
        <v>33752</v>
      </c>
      <c r="Y7661" s="6" t="s">
        <v>108</v>
      </c>
      <c r="Z7661" s="4">
        <v>7</v>
      </c>
      <c r="AA7661" s="4">
        <v>45</v>
      </c>
      <c r="AB7661" s="3" t="s">
        <v>43</v>
      </c>
      <c r="AC7661" s="3" t="s">
        <v>26164</v>
      </c>
      <c r="AD7661" s="9">
        <v>41746</v>
      </c>
      <c r="AE7661" s="3" t="s">
        <v>362</v>
      </c>
      <c r="AF7661" s="3" t="s">
        <v>8083</v>
      </c>
      <c r="AG7661" s="3" t="s">
        <v>81</v>
      </c>
      <c r="AH7661" s="11">
        <f>HYPERLINK("https://my.pitchbook.com?c=33127-30T","View Company Online")</f>
      </c>
    </row>
    <row r="7662">
      <c r="A7662" s="12" t="s">
        <v>33753</v>
      </c>
      <c r="B7662" s="12" t="s">
        <v>15060</v>
      </c>
      <c r="C7662" s="19">
        <v>2</v>
      </c>
      <c r="D7662" s="19">
        <v>24</v>
      </c>
      <c r="E7662" s="19">
        <v>7</v>
      </c>
      <c r="F7662" s="19">
        <v>32</v>
      </c>
      <c r="G7662" s="15" t="s">
        <v>36</v>
      </c>
      <c r="H7662" s="14">
        <v>132.94</v>
      </c>
      <c r="I7662" s="18">
        <v>60</v>
      </c>
      <c r="J7662" s="12" t="s">
        <v>521</v>
      </c>
      <c r="K7662" s="13">
        <v>41474</v>
      </c>
      <c r="L7662" s="15" t="s">
        <v>36</v>
      </c>
      <c r="M7662" s="12" t="s">
        <v>36</v>
      </c>
      <c r="N7662" s="12" t="s">
        <v>36</v>
      </c>
      <c r="O7662" s="17" t="s">
        <v>36</v>
      </c>
      <c r="P7662" s="12" t="s">
        <v>36</v>
      </c>
      <c r="Q7662" s="12" t="s">
        <v>36</v>
      </c>
      <c r="R7662" s="12" t="s">
        <v>36</v>
      </c>
      <c r="S7662" s="12" t="s">
        <v>36</v>
      </c>
      <c r="T7662" s="12" t="s">
        <v>139</v>
      </c>
      <c r="U7662" s="12" t="s">
        <v>96</v>
      </c>
      <c r="V7662" s="12" t="s">
        <v>52</v>
      </c>
      <c r="W7662" s="12" t="s">
        <v>15061</v>
      </c>
      <c r="X7662" s="16" t="s">
        <v>33754</v>
      </c>
      <c r="Y7662" s="15" t="s">
        <v>42</v>
      </c>
      <c r="Z7662" s="14">
        <v>1.66</v>
      </c>
      <c r="AA7662" s="14">
        <v>2.76</v>
      </c>
      <c r="AB7662" s="12" t="s">
        <v>43</v>
      </c>
      <c r="AC7662" s="12" t="s">
        <v>15062</v>
      </c>
      <c r="AD7662" s="13">
        <v>41745</v>
      </c>
      <c r="AE7662" s="12" t="s">
        <v>143</v>
      </c>
      <c r="AF7662" s="12" t="s">
        <v>159</v>
      </c>
      <c r="AG7662" s="12" t="s">
        <v>1276</v>
      </c>
      <c r="AH7662" s="1">
        <f>HYPERLINK("https://my.pitchbook.com?c=31617-82T","View Company Online")</f>
      </c>
    </row>
    <row r="7663">
      <c r="A7663" s="3" t="s">
        <v>33755</v>
      </c>
      <c r="B7663" s="3" t="s">
        <v>32422</v>
      </c>
      <c r="C7663" s="5" t="s">
        <v>36</v>
      </c>
      <c r="D7663" s="5" t="s">
        <v>36</v>
      </c>
      <c r="E7663" s="5" t="s">
        <v>36</v>
      </c>
      <c r="F7663" s="5" t="s">
        <v>36</v>
      </c>
      <c r="G7663" s="6" t="s">
        <v>36</v>
      </c>
      <c r="H7663" s="4" t="s">
        <v>36</v>
      </c>
      <c r="I7663" s="7" t="s">
        <v>36</v>
      </c>
      <c r="J7663" s="3" t="s">
        <v>36</v>
      </c>
      <c r="K7663" s="9" t="s">
        <v>36</v>
      </c>
      <c r="L7663" s="6" t="s">
        <v>122</v>
      </c>
      <c r="M7663" s="3" t="s">
        <v>36</v>
      </c>
      <c r="N7663" s="3" t="s">
        <v>122</v>
      </c>
      <c r="O7663" s="8" t="s">
        <v>36</v>
      </c>
      <c r="P7663" s="3" t="s">
        <v>36</v>
      </c>
      <c r="Q7663" s="3" t="s">
        <v>36</v>
      </c>
      <c r="R7663" s="3" t="s">
        <v>36</v>
      </c>
      <c r="S7663" s="3" t="s">
        <v>36</v>
      </c>
      <c r="T7663" s="3" t="s">
        <v>32423</v>
      </c>
      <c r="U7663" s="3" t="s">
        <v>51</v>
      </c>
      <c r="V7663" s="3" t="s">
        <v>52</v>
      </c>
      <c r="W7663" s="3" t="s">
        <v>32424</v>
      </c>
      <c r="X7663" s="10" t="s">
        <v>33756</v>
      </c>
      <c r="Y7663" s="6" t="s">
        <v>42</v>
      </c>
      <c r="Z7663" s="4">
        <v>12</v>
      </c>
      <c r="AA7663" s="4" t="s">
        <v>36</v>
      </c>
      <c r="AB7663" s="3" t="s">
        <v>43</v>
      </c>
      <c r="AC7663" s="3" t="s">
        <v>32425</v>
      </c>
      <c r="AD7663" s="9">
        <v>41744</v>
      </c>
      <c r="AE7663" s="3" t="s">
        <v>504</v>
      </c>
      <c r="AF7663" s="3" t="s">
        <v>159</v>
      </c>
      <c r="AG7663" s="3" t="s">
        <v>81</v>
      </c>
      <c r="AH7663" s="11">
        <f>HYPERLINK("https://my.pitchbook.com?c=33046-21T","View Company Online")</f>
      </c>
    </row>
    <row r="7664">
      <c r="A7664" s="12" t="s">
        <v>33757</v>
      </c>
      <c r="B7664" s="12" t="s">
        <v>23605</v>
      </c>
      <c r="C7664" s="19">
        <v>2</v>
      </c>
      <c r="D7664" s="19" t="s">
        <v>36</v>
      </c>
      <c r="E7664" s="19">
        <v>2</v>
      </c>
      <c r="F7664" s="19">
        <v>2</v>
      </c>
      <c r="G7664" s="15" t="s">
        <v>683</v>
      </c>
      <c r="H7664" s="14">
        <v>31.16</v>
      </c>
      <c r="I7664" s="18">
        <v>31.46</v>
      </c>
      <c r="J7664" s="12" t="s">
        <v>521</v>
      </c>
      <c r="K7664" s="13" t="s">
        <v>36</v>
      </c>
      <c r="L7664" s="15" t="s">
        <v>36</v>
      </c>
      <c r="M7664" s="12" t="s">
        <v>36</v>
      </c>
      <c r="N7664" s="12" t="s">
        <v>36</v>
      </c>
      <c r="O7664" s="17" t="s">
        <v>36</v>
      </c>
      <c r="P7664" s="12" t="s">
        <v>36</v>
      </c>
      <c r="Q7664" s="12" t="s">
        <v>36</v>
      </c>
      <c r="R7664" s="12" t="s">
        <v>36</v>
      </c>
      <c r="S7664" s="12" t="s">
        <v>36</v>
      </c>
      <c r="T7664" s="12" t="s">
        <v>3790</v>
      </c>
      <c r="U7664" s="12" t="s">
        <v>318</v>
      </c>
      <c r="V7664" s="12" t="s">
        <v>39</v>
      </c>
      <c r="W7664" s="12" t="s">
        <v>23606</v>
      </c>
      <c r="X7664" s="16" t="s">
        <v>33758</v>
      </c>
      <c r="Y7664" s="15" t="s">
        <v>108</v>
      </c>
      <c r="Z7664" s="14">
        <v>3.86</v>
      </c>
      <c r="AA7664" s="14">
        <v>12.27</v>
      </c>
      <c r="AB7664" s="12" t="s">
        <v>56</v>
      </c>
      <c r="AC7664" s="12" t="s">
        <v>23608</v>
      </c>
      <c r="AD7664" s="13">
        <v>41743</v>
      </c>
      <c r="AE7664" s="12" t="s">
        <v>763</v>
      </c>
      <c r="AF7664" s="12" t="s">
        <v>23609</v>
      </c>
      <c r="AG7664" s="12" t="s">
        <v>21727</v>
      </c>
      <c r="AH7664" s="1">
        <f>HYPERLINK("https://my.pitchbook.com?c=110737-63T","View Company Online")</f>
      </c>
    </row>
    <row r="7665">
      <c r="A7665" s="3" t="s">
        <v>33759</v>
      </c>
      <c r="B7665" s="3" t="s">
        <v>33760</v>
      </c>
      <c r="C7665" s="5" t="s">
        <v>36</v>
      </c>
      <c r="D7665" s="5" t="s">
        <v>36</v>
      </c>
      <c r="E7665" s="5" t="s">
        <v>36</v>
      </c>
      <c r="F7665" s="5" t="s">
        <v>36</v>
      </c>
      <c r="G7665" s="6" t="s">
        <v>36</v>
      </c>
      <c r="H7665" s="4">
        <v>2888.46</v>
      </c>
      <c r="I7665" s="7">
        <v>28.16</v>
      </c>
      <c r="J7665" s="3" t="s">
        <v>521</v>
      </c>
      <c r="K7665" s="9" t="s">
        <v>36</v>
      </c>
      <c r="L7665" s="6" t="s">
        <v>36</v>
      </c>
      <c r="M7665" s="3" t="s">
        <v>36</v>
      </c>
      <c r="N7665" s="3" t="s">
        <v>36</v>
      </c>
      <c r="O7665" s="8" t="s">
        <v>36</v>
      </c>
      <c r="P7665" s="3" t="s">
        <v>36</v>
      </c>
      <c r="Q7665" s="3" t="s">
        <v>36</v>
      </c>
      <c r="R7665" s="3" t="s">
        <v>36</v>
      </c>
      <c r="S7665" s="3" t="s">
        <v>36</v>
      </c>
      <c r="T7665" s="3" t="s">
        <v>507</v>
      </c>
      <c r="U7665" s="3" t="s">
        <v>51</v>
      </c>
      <c r="V7665" s="3" t="s">
        <v>52</v>
      </c>
      <c r="W7665" s="3" t="s">
        <v>33761</v>
      </c>
      <c r="X7665" s="10" t="s">
        <v>33762</v>
      </c>
      <c r="Y7665" s="6" t="s">
        <v>42</v>
      </c>
      <c r="Z7665" s="4">
        <v>1.5</v>
      </c>
      <c r="AA7665" s="4">
        <v>5.34</v>
      </c>
      <c r="AB7665" s="3" t="s">
        <v>56</v>
      </c>
      <c r="AC7665" s="3" t="s">
        <v>33763</v>
      </c>
      <c r="AD7665" s="9">
        <v>41743</v>
      </c>
      <c r="AE7665" s="3" t="s">
        <v>504</v>
      </c>
      <c r="AF7665" s="3" t="s">
        <v>665</v>
      </c>
      <c r="AG7665" s="3" t="s">
        <v>186</v>
      </c>
      <c r="AH7665" s="11">
        <f>HYPERLINK("https://my.pitchbook.com?c=35764-39T","View Company Online")</f>
      </c>
    </row>
    <row r="7666">
      <c r="A7666" s="12" t="s">
        <v>33764</v>
      </c>
      <c r="B7666" s="12" t="s">
        <v>30784</v>
      </c>
      <c r="C7666" s="19" t="s">
        <v>36</v>
      </c>
      <c r="D7666" s="19" t="s">
        <v>36</v>
      </c>
      <c r="E7666" s="19" t="s">
        <v>36</v>
      </c>
      <c r="F7666" s="19" t="s">
        <v>36</v>
      </c>
      <c r="G7666" s="15" t="s">
        <v>36</v>
      </c>
      <c r="H7666" s="14" t="s">
        <v>36</v>
      </c>
      <c r="I7666" s="18" t="s">
        <v>36</v>
      </c>
      <c r="J7666" s="12" t="s">
        <v>36</v>
      </c>
      <c r="K7666" s="13">
        <v>41481</v>
      </c>
      <c r="L7666" s="15" t="s">
        <v>36</v>
      </c>
      <c r="M7666" s="12" t="s">
        <v>36</v>
      </c>
      <c r="N7666" s="12" t="s">
        <v>36</v>
      </c>
      <c r="O7666" s="17" t="s">
        <v>36</v>
      </c>
      <c r="P7666" s="12" t="s">
        <v>36</v>
      </c>
      <c r="Q7666" s="12" t="s">
        <v>36</v>
      </c>
      <c r="R7666" s="12" t="s">
        <v>36</v>
      </c>
      <c r="S7666" s="12" t="s">
        <v>36</v>
      </c>
      <c r="T7666" s="12" t="s">
        <v>596</v>
      </c>
      <c r="U7666" s="12" t="s">
        <v>366</v>
      </c>
      <c r="V7666" s="12" t="s">
        <v>367</v>
      </c>
      <c r="W7666" s="12" t="s">
        <v>30785</v>
      </c>
      <c r="X7666" s="16" t="s">
        <v>33765</v>
      </c>
      <c r="Y7666" s="15" t="s">
        <v>166</v>
      </c>
      <c r="Z7666" s="14">
        <v>9.25</v>
      </c>
      <c r="AA7666" s="14" t="s">
        <v>36</v>
      </c>
      <c r="AB7666" s="12" t="s">
        <v>56</v>
      </c>
      <c r="AC7666" s="12" t="s">
        <v>30787</v>
      </c>
      <c r="AD7666" s="13">
        <v>41743</v>
      </c>
      <c r="AE7666" s="12" t="s">
        <v>600</v>
      </c>
      <c r="AF7666" s="12" t="s">
        <v>2019</v>
      </c>
      <c r="AG7666" s="12" t="s">
        <v>2246</v>
      </c>
      <c r="AH7666" s="1">
        <f>HYPERLINK("https://my.pitchbook.com?c=27892-54T","View Company Online")</f>
      </c>
    </row>
    <row r="7667">
      <c r="A7667" s="3" t="s">
        <v>33766</v>
      </c>
      <c r="B7667" s="3" t="s">
        <v>33767</v>
      </c>
      <c r="C7667" s="5">
        <v>6</v>
      </c>
      <c r="D7667" s="5">
        <v>24</v>
      </c>
      <c r="E7667" s="5">
        <v>6</v>
      </c>
      <c r="F7667" s="5">
        <v>32</v>
      </c>
      <c r="G7667" s="6" t="s">
        <v>36</v>
      </c>
      <c r="H7667" s="4">
        <v>83.09</v>
      </c>
      <c r="I7667" s="7">
        <v>47.56</v>
      </c>
      <c r="J7667" s="3" t="s">
        <v>521</v>
      </c>
      <c r="K7667" s="9" t="s">
        <v>36</v>
      </c>
      <c r="L7667" s="6" t="s">
        <v>36</v>
      </c>
      <c r="M7667" s="3" t="s">
        <v>36</v>
      </c>
      <c r="N7667" s="3" t="s">
        <v>36</v>
      </c>
      <c r="O7667" s="8" t="s">
        <v>36</v>
      </c>
      <c r="P7667" s="3" t="s">
        <v>36</v>
      </c>
      <c r="Q7667" s="3" t="s">
        <v>36</v>
      </c>
      <c r="R7667" s="3" t="s">
        <v>36</v>
      </c>
      <c r="S7667" s="3" t="s">
        <v>36</v>
      </c>
      <c r="T7667" s="3" t="s">
        <v>33768</v>
      </c>
      <c r="U7667" s="3" t="s">
        <v>1798</v>
      </c>
      <c r="V7667" s="3" t="s">
        <v>39</v>
      </c>
      <c r="W7667" s="3" t="s">
        <v>33769</v>
      </c>
      <c r="X7667" s="10" t="s">
        <v>33770</v>
      </c>
      <c r="Y7667" s="6" t="s">
        <v>42</v>
      </c>
      <c r="Z7667" s="4">
        <v>0.43</v>
      </c>
      <c r="AA7667" s="4">
        <v>0.91</v>
      </c>
      <c r="AB7667" s="3" t="s">
        <v>43</v>
      </c>
      <c r="AC7667" s="3" t="s">
        <v>33771</v>
      </c>
      <c r="AD7667" s="9">
        <v>41739</v>
      </c>
      <c r="AE7667" s="3" t="s">
        <v>1802</v>
      </c>
      <c r="AF7667" s="3" t="s">
        <v>571</v>
      </c>
      <c r="AG7667" s="3" t="s">
        <v>512</v>
      </c>
      <c r="AH7667" s="11">
        <f>HYPERLINK("https://my.pitchbook.com?c=58411-18T","View Company Online")</f>
      </c>
    </row>
    <row r="7668">
      <c r="A7668" s="12" t="s">
        <v>33772</v>
      </c>
      <c r="B7668" s="12" t="s">
        <v>24183</v>
      </c>
      <c r="C7668" s="19">
        <v>10</v>
      </c>
      <c r="D7668" s="19">
        <v>72</v>
      </c>
      <c r="E7668" s="19">
        <v>14</v>
      </c>
      <c r="F7668" s="19">
        <v>84</v>
      </c>
      <c r="G7668" s="15" t="s">
        <v>326</v>
      </c>
      <c r="H7668" s="14">
        <v>43.62</v>
      </c>
      <c r="I7668" s="18">
        <v>6.68</v>
      </c>
      <c r="J7668" s="12" t="s">
        <v>521</v>
      </c>
      <c r="K7668" s="13" t="s">
        <v>36</v>
      </c>
      <c r="L7668" s="15" t="s">
        <v>122</v>
      </c>
      <c r="M7668" s="12" t="s">
        <v>36</v>
      </c>
      <c r="N7668" s="12" t="s">
        <v>122</v>
      </c>
      <c r="O7668" s="17" t="s">
        <v>36</v>
      </c>
      <c r="P7668" s="12" t="s">
        <v>36</v>
      </c>
      <c r="Q7668" s="12" t="s">
        <v>36</v>
      </c>
      <c r="R7668" s="12" t="s">
        <v>36</v>
      </c>
      <c r="S7668" s="12" t="s">
        <v>36</v>
      </c>
      <c r="T7668" s="12" t="s">
        <v>1941</v>
      </c>
      <c r="U7668" s="12" t="s">
        <v>38</v>
      </c>
      <c r="V7668" s="12" t="s">
        <v>39</v>
      </c>
      <c r="W7668" s="12" t="s">
        <v>24184</v>
      </c>
      <c r="X7668" s="16" t="s">
        <v>33773</v>
      </c>
      <c r="Y7668" s="15" t="s">
        <v>55</v>
      </c>
      <c r="Z7668" s="14">
        <v>2.9</v>
      </c>
      <c r="AA7668" s="14">
        <v>14.47</v>
      </c>
      <c r="AB7668" s="12" t="s">
        <v>56</v>
      </c>
      <c r="AC7668" s="12" t="s">
        <v>24186</v>
      </c>
      <c r="AD7668" s="13">
        <v>41739</v>
      </c>
      <c r="AE7668" s="12" t="s">
        <v>1945</v>
      </c>
      <c r="AF7668" s="12" t="s">
        <v>3471</v>
      </c>
      <c r="AG7668" s="12" t="s">
        <v>539</v>
      </c>
      <c r="AH7668" s="1">
        <f>HYPERLINK("https://my.pitchbook.com?c=34956-55T","View Company Online")</f>
      </c>
    </row>
    <row r="7669">
      <c r="A7669" s="3" t="s">
        <v>33774</v>
      </c>
      <c r="B7669" s="3" t="s">
        <v>33775</v>
      </c>
      <c r="C7669" s="5" t="s">
        <v>36</v>
      </c>
      <c r="D7669" s="5" t="s">
        <v>36</v>
      </c>
      <c r="E7669" s="5" t="s">
        <v>36</v>
      </c>
      <c r="F7669" s="5" t="s">
        <v>36</v>
      </c>
      <c r="G7669" s="6" t="s">
        <v>36</v>
      </c>
      <c r="H7669" s="4" t="s">
        <v>36</v>
      </c>
      <c r="I7669" s="7" t="s">
        <v>36</v>
      </c>
      <c r="J7669" s="3" t="s">
        <v>36</v>
      </c>
      <c r="K7669" s="9" t="s">
        <v>36</v>
      </c>
      <c r="L7669" s="6" t="s">
        <v>36</v>
      </c>
      <c r="M7669" s="3" t="s">
        <v>36</v>
      </c>
      <c r="N7669" s="3" t="s">
        <v>36</v>
      </c>
      <c r="O7669" s="8" t="s">
        <v>36</v>
      </c>
      <c r="P7669" s="3" t="s">
        <v>36</v>
      </c>
      <c r="Q7669" s="3" t="s">
        <v>36</v>
      </c>
      <c r="R7669" s="3" t="s">
        <v>36</v>
      </c>
      <c r="S7669" s="3" t="s">
        <v>36</v>
      </c>
      <c r="T7669" s="3" t="s">
        <v>33776</v>
      </c>
      <c r="U7669" s="3" t="s">
        <v>38</v>
      </c>
      <c r="V7669" s="3" t="s">
        <v>39</v>
      </c>
      <c r="W7669" s="3" t="s">
        <v>33777</v>
      </c>
      <c r="X7669" s="10" t="s">
        <v>33778</v>
      </c>
      <c r="Y7669" s="6" t="s">
        <v>55</v>
      </c>
      <c r="Z7669" s="4">
        <v>2.07</v>
      </c>
      <c r="AA7669" s="4" t="s">
        <v>36</v>
      </c>
      <c r="AB7669" s="3" t="s">
        <v>56</v>
      </c>
      <c r="AC7669" s="3" t="s">
        <v>33779</v>
      </c>
      <c r="AD7669" s="9">
        <v>41735</v>
      </c>
      <c r="AE7669" s="3" t="s">
        <v>785</v>
      </c>
      <c r="AF7669" s="3" t="s">
        <v>815</v>
      </c>
      <c r="AG7669" s="3" t="s">
        <v>81</v>
      </c>
      <c r="AH7669" s="11">
        <f>HYPERLINK("https://my.pitchbook.com?c=85081-60T","View Company Online")</f>
      </c>
    </row>
    <row r="7670">
      <c r="A7670" s="12" t="s">
        <v>33780</v>
      </c>
      <c r="B7670" s="12" t="s">
        <v>25480</v>
      </c>
      <c r="C7670" s="19">
        <v>14</v>
      </c>
      <c r="D7670" s="19">
        <v>126</v>
      </c>
      <c r="E7670" s="19">
        <v>32</v>
      </c>
      <c r="F7670" s="19">
        <v>155</v>
      </c>
      <c r="G7670" s="15" t="s">
        <v>326</v>
      </c>
      <c r="H7670" s="14">
        <v>0.01</v>
      </c>
      <c r="I7670" s="18">
        <v>33.87</v>
      </c>
      <c r="J7670" s="12" t="s">
        <v>521</v>
      </c>
      <c r="K7670" s="13" t="s">
        <v>36</v>
      </c>
      <c r="L7670" s="15" t="s">
        <v>36</v>
      </c>
      <c r="M7670" s="12" t="s">
        <v>36</v>
      </c>
      <c r="N7670" s="12" t="s">
        <v>36</v>
      </c>
      <c r="O7670" s="17" t="s">
        <v>36</v>
      </c>
      <c r="P7670" s="12" t="s">
        <v>36</v>
      </c>
      <c r="Q7670" s="12" t="s">
        <v>36</v>
      </c>
      <c r="R7670" s="12" t="s">
        <v>36</v>
      </c>
      <c r="S7670" s="12" t="s">
        <v>36</v>
      </c>
      <c r="T7670" s="12" t="s">
        <v>25481</v>
      </c>
      <c r="U7670" s="12" t="s">
        <v>1798</v>
      </c>
      <c r="V7670" s="12" t="s">
        <v>39</v>
      </c>
      <c r="W7670" s="12" t="s">
        <v>25482</v>
      </c>
      <c r="X7670" s="16" t="s">
        <v>33781</v>
      </c>
      <c r="Y7670" s="15" t="s">
        <v>166</v>
      </c>
      <c r="Z7670" s="14">
        <v>11.06</v>
      </c>
      <c r="AA7670" s="14">
        <v>32.66</v>
      </c>
      <c r="AB7670" s="12" t="s">
        <v>56</v>
      </c>
      <c r="AC7670" s="12" t="s">
        <v>25484</v>
      </c>
      <c r="AD7670" s="13">
        <v>41733</v>
      </c>
      <c r="AE7670" s="12" t="s">
        <v>1802</v>
      </c>
      <c r="AF7670" s="12" t="s">
        <v>1636</v>
      </c>
      <c r="AG7670" s="12" t="s">
        <v>969</v>
      </c>
      <c r="AH7670" s="1">
        <f>HYPERLINK("https://my.pitchbook.com?c=35842-24T","View Company Online")</f>
      </c>
    </row>
    <row r="7671">
      <c r="A7671" s="3" t="s">
        <v>33782</v>
      </c>
      <c r="B7671" s="3" t="s">
        <v>33783</v>
      </c>
      <c r="C7671" s="5" t="s">
        <v>36</v>
      </c>
      <c r="D7671" s="5" t="s">
        <v>36</v>
      </c>
      <c r="E7671" s="5" t="s">
        <v>36</v>
      </c>
      <c r="F7671" s="5" t="s">
        <v>36</v>
      </c>
      <c r="G7671" s="6" t="s">
        <v>36</v>
      </c>
      <c r="H7671" s="4">
        <v>415.43</v>
      </c>
      <c r="I7671" s="7">
        <v>7.2</v>
      </c>
      <c r="J7671" s="3" t="s">
        <v>521</v>
      </c>
      <c r="K7671" s="9" t="s">
        <v>36</v>
      </c>
      <c r="L7671" s="6" t="s">
        <v>36</v>
      </c>
      <c r="M7671" s="3" t="s">
        <v>36</v>
      </c>
      <c r="N7671" s="3" t="s">
        <v>36</v>
      </c>
      <c r="O7671" s="8" t="s">
        <v>36</v>
      </c>
      <c r="P7671" s="3" t="s">
        <v>36</v>
      </c>
      <c r="Q7671" s="3" t="s">
        <v>36</v>
      </c>
      <c r="R7671" s="3" t="s">
        <v>36</v>
      </c>
      <c r="S7671" s="3" t="s">
        <v>36</v>
      </c>
      <c r="T7671" s="3" t="s">
        <v>33784</v>
      </c>
      <c r="U7671" s="3" t="s">
        <v>1580</v>
      </c>
      <c r="V7671" s="3" t="s">
        <v>39</v>
      </c>
      <c r="W7671" s="3" t="s">
        <v>33785</v>
      </c>
      <c r="X7671" s="10" t="s">
        <v>25462</v>
      </c>
      <c r="Y7671" s="6" t="s">
        <v>42</v>
      </c>
      <c r="Z7671" s="4">
        <v>1.39</v>
      </c>
      <c r="AA7671" s="4">
        <v>14.97</v>
      </c>
      <c r="AB7671" s="3" t="s">
        <v>43</v>
      </c>
      <c r="AC7671" s="3" t="s">
        <v>33786</v>
      </c>
      <c r="AD7671" s="9">
        <v>41732</v>
      </c>
      <c r="AE7671" s="3" t="s">
        <v>2785</v>
      </c>
      <c r="AF7671" s="3" t="s">
        <v>11581</v>
      </c>
      <c r="AG7671" s="3" t="s">
        <v>652</v>
      </c>
      <c r="AH7671" s="11">
        <f>HYPERLINK("https://my.pitchbook.com?c=44243-74T","View Company Online")</f>
      </c>
    </row>
    <row r="7672">
      <c r="A7672" s="12" t="s">
        <v>33787</v>
      </c>
      <c r="B7672" s="12" t="s">
        <v>15367</v>
      </c>
      <c r="C7672" s="19" t="s">
        <v>36</v>
      </c>
      <c r="D7672" s="19" t="s">
        <v>36</v>
      </c>
      <c r="E7672" s="19" t="s">
        <v>36</v>
      </c>
      <c r="F7672" s="19" t="s">
        <v>36</v>
      </c>
      <c r="G7672" s="15" t="s">
        <v>36</v>
      </c>
      <c r="H7672" s="14">
        <v>2.49</v>
      </c>
      <c r="I7672" s="18">
        <v>33.33</v>
      </c>
      <c r="J7672" s="12" t="s">
        <v>327</v>
      </c>
      <c r="K7672" s="13" t="s">
        <v>36</v>
      </c>
      <c r="L7672" s="15" t="s">
        <v>36</v>
      </c>
      <c r="M7672" s="12" t="s">
        <v>36</v>
      </c>
      <c r="N7672" s="12" t="s">
        <v>36</v>
      </c>
      <c r="O7672" s="17" t="s">
        <v>36</v>
      </c>
      <c r="P7672" s="12" t="s">
        <v>36</v>
      </c>
      <c r="Q7672" s="12" t="s">
        <v>36</v>
      </c>
      <c r="R7672" s="12" t="s">
        <v>36</v>
      </c>
      <c r="S7672" s="12" t="s">
        <v>36</v>
      </c>
      <c r="T7672" s="12" t="s">
        <v>2044</v>
      </c>
      <c r="U7672" s="12" t="s">
        <v>74</v>
      </c>
      <c r="V7672" s="12" t="s">
        <v>75</v>
      </c>
      <c r="W7672" s="12" t="s">
        <v>15368</v>
      </c>
      <c r="X7672" s="16" t="s">
        <v>33788</v>
      </c>
      <c r="Y7672" s="15" t="s">
        <v>42</v>
      </c>
      <c r="Z7672" s="14">
        <v>4.15</v>
      </c>
      <c r="AA7672" s="14">
        <v>12.44</v>
      </c>
      <c r="AB7672" s="12" t="s">
        <v>56</v>
      </c>
      <c r="AC7672" s="12" t="s">
        <v>15370</v>
      </c>
      <c r="AD7672" s="13">
        <v>41731</v>
      </c>
      <c r="AE7672" s="12" t="s">
        <v>79</v>
      </c>
      <c r="AF7672" s="12" t="s">
        <v>80</v>
      </c>
      <c r="AG7672" s="12" t="s">
        <v>81</v>
      </c>
      <c r="AH7672" s="1">
        <f>HYPERLINK("https://my.pitchbook.com?c=32720-50T","View Company Online")</f>
      </c>
    </row>
    <row r="7673">
      <c r="A7673" s="3" t="s">
        <v>33789</v>
      </c>
      <c r="B7673" s="3" t="s">
        <v>33790</v>
      </c>
      <c r="C7673" s="5">
        <v>4</v>
      </c>
      <c r="D7673" s="5">
        <v>62</v>
      </c>
      <c r="E7673" s="5">
        <v>13</v>
      </c>
      <c r="F7673" s="5">
        <v>89</v>
      </c>
      <c r="G7673" s="6" t="s">
        <v>36</v>
      </c>
      <c r="H7673" s="4" t="s">
        <v>36</v>
      </c>
      <c r="I7673" s="7" t="s">
        <v>36</v>
      </c>
      <c r="J7673" s="3" t="s">
        <v>36</v>
      </c>
      <c r="K7673" s="9" t="s">
        <v>36</v>
      </c>
      <c r="L7673" s="6" t="s">
        <v>36</v>
      </c>
      <c r="M7673" s="3" t="s">
        <v>36</v>
      </c>
      <c r="N7673" s="3" t="s">
        <v>36</v>
      </c>
      <c r="O7673" s="8" t="s">
        <v>36</v>
      </c>
      <c r="P7673" s="3" t="s">
        <v>36</v>
      </c>
      <c r="Q7673" s="3" t="s">
        <v>36</v>
      </c>
      <c r="R7673" s="3" t="s">
        <v>36</v>
      </c>
      <c r="S7673" s="3" t="s">
        <v>36</v>
      </c>
      <c r="T7673" s="3" t="s">
        <v>3790</v>
      </c>
      <c r="U7673" s="3" t="s">
        <v>318</v>
      </c>
      <c r="V7673" s="3" t="s">
        <v>39</v>
      </c>
      <c r="W7673" s="3" t="s">
        <v>33791</v>
      </c>
      <c r="X7673" s="10" t="s">
        <v>33792</v>
      </c>
      <c r="Y7673" s="6" t="s">
        <v>192</v>
      </c>
      <c r="Z7673" s="4">
        <v>3.46</v>
      </c>
      <c r="AA7673" s="4" t="s">
        <v>36</v>
      </c>
      <c r="AB7673" s="3" t="s">
        <v>56</v>
      </c>
      <c r="AC7673" s="3" t="s">
        <v>33793</v>
      </c>
      <c r="AD7673" s="9">
        <v>41731</v>
      </c>
      <c r="AE7673" s="3" t="s">
        <v>763</v>
      </c>
      <c r="AF7673" s="3" t="s">
        <v>33794</v>
      </c>
      <c r="AG7673" s="3" t="s">
        <v>392</v>
      </c>
      <c r="AH7673" s="11">
        <f>HYPERLINK("https://my.pitchbook.com?c=32716-99T","View Company Online")</f>
      </c>
    </row>
    <row r="7674">
      <c r="A7674" s="12" t="s">
        <v>33795</v>
      </c>
      <c r="B7674" s="12" t="s">
        <v>33796</v>
      </c>
      <c r="C7674" s="19" t="s">
        <v>36</v>
      </c>
      <c r="D7674" s="19" t="s">
        <v>36</v>
      </c>
      <c r="E7674" s="19" t="s">
        <v>36</v>
      </c>
      <c r="F7674" s="19" t="s">
        <v>36</v>
      </c>
      <c r="G7674" s="15" t="s">
        <v>36</v>
      </c>
      <c r="H7674" s="14" t="s">
        <v>36</v>
      </c>
      <c r="I7674" s="18" t="s">
        <v>36</v>
      </c>
      <c r="J7674" s="12" t="s">
        <v>36</v>
      </c>
      <c r="K7674" s="13" t="s">
        <v>36</v>
      </c>
      <c r="L7674" s="15" t="s">
        <v>36</v>
      </c>
      <c r="M7674" s="12" t="s">
        <v>36</v>
      </c>
      <c r="N7674" s="12" t="s">
        <v>36</v>
      </c>
      <c r="O7674" s="17" t="s">
        <v>36</v>
      </c>
      <c r="P7674" s="12" t="s">
        <v>36</v>
      </c>
      <c r="Q7674" s="12" t="s">
        <v>36</v>
      </c>
      <c r="R7674" s="12" t="s">
        <v>36</v>
      </c>
      <c r="S7674" s="12" t="s">
        <v>36</v>
      </c>
      <c r="T7674" s="12" t="s">
        <v>1701</v>
      </c>
      <c r="U7674" s="12" t="s">
        <v>74</v>
      </c>
      <c r="V7674" s="12" t="s">
        <v>75</v>
      </c>
      <c r="W7674" s="12" t="s">
        <v>33797</v>
      </c>
      <c r="X7674" s="16" t="s">
        <v>2130</v>
      </c>
      <c r="Y7674" s="15" t="s">
        <v>42</v>
      </c>
      <c r="Z7674" s="14" t="s">
        <v>36</v>
      </c>
      <c r="AA7674" s="14" t="s">
        <v>36</v>
      </c>
      <c r="AB7674" s="12" t="s">
        <v>56</v>
      </c>
      <c r="AC7674" s="12" t="s">
        <v>33798</v>
      </c>
      <c r="AD7674" s="13">
        <v>41730</v>
      </c>
      <c r="AE7674" s="12" t="s">
        <v>79</v>
      </c>
      <c r="AF7674" s="12" t="s">
        <v>4099</v>
      </c>
      <c r="AG7674" s="12" t="s">
        <v>10365</v>
      </c>
      <c r="AH7674" s="1">
        <f>HYPERLINK("https://my.pitchbook.com?c=30533-41T","View Company Online")</f>
      </c>
    </row>
    <row r="7675">
      <c r="A7675" s="3" t="s">
        <v>33799</v>
      </c>
      <c r="B7675" s="3" t="s">
        <v>33800</v>
      </c>
      <c r="C7675" s="5" t="s">
        <v>36</v>
      </c>
      <c r="D7675" s="5" t="s">
        <v>36</v>
      </c>
      <c r="E7675" s="5" t="s">
        <v>36</v>
      </c>
      <c r="F7675" s="5" t="s">
        <v>36</v>
      </c>
      <c r="G7675" s="6" t="s">
        <v>36</v>
      </c>
      <c r="H7675" s="4" t="s">
        <v>36</v>
      </c>
      <c r="I7675" s="7" t="s">
        <v>36</v>
      </c>
      <c r="J7675" s="3" t="s">
        <v>36</v>
      </c>
      <c r="K7675" s="9" t="s">
        <v>36</v>
      </c>
      <c r="L7675" s="6" t="s">
        <v>36</v>
      </c>
      <c r="M7675" s="3" t="s">
        <v>36</v>
      </c>
      <c r="N7675" s="3" t="s">
        <v>36</v>
      </c>
      <c r="O7675" s="8" t="s">
        <v>36</v>
      </c>
      <c r="P7675" s="3" t="s">
        <v>36</v>
      </c>
      <c r="Q7675" s="3" t="s">
        <v>36</v>
      </c>
      <c r="R7675" s="3" t="s">
        <v>36</v>
      </c>
      <c r="S7675" s="3" t="s">
        <v>36</v>
      </c>
      <c r="T7675" s="3" t="s">
        <v>105</v>
      </c>
      <c r="U7675" s="3" t="s">
        <v>38</v>
      </c>
      <c r="V7675" s="3" t="s">
        <v>39</v>
      </c>
      <c r="W7675" s="3" t="s">
        <v>33801</v>
      </c>
      <c r="X7675" s="10" t="s">
        <v>2130</v>
      </c>
      <c r="Y7675" s="6" t="s">
        <v>42</v>
      </c>
      <c r="Z7675" s="4" t="s">
        <v>36</v>
      </c>
      <c r="AA7675" s="4" t="s">
        <v>36</v>
      </c>
      <c r="AB7675" s="3" t="s">
        <v>43</v>
      </c>
      <c r="AC7675" s="3" t="s">
        <v>33802</v>
      </c>
      <c r="AD7675" s="9">
        <v>41730</v>
      </c>
      <c r="AE7675" s="3" t="s">
        <v>110</v>
      </c>
      <c r="AF7675" s="3" t="s">
        <v>4552</v>
      </c>
      <c r="AG7675" s="3" t="s">
        <v>33803</v>
      </c>
      <c r="AH7675" s="11">
        <f>HYPERLINK("https://my.pitchbook.com?c=30529-72T","View Company Online")</f>
      </c>
    </row>
    <row r="7676">
      <c r="A7676" s="12" t="s">
        <v>33804</v>
      </c>
      <c r="B7676" s="12" t="s">
        <v>33805</v>
      </c>
      <c r="C7676" s="19" t="s">
        <v>36</v>
      </c>
      <c r="D7676" s="19" t="s">
        <v>36</v>
      </c>
      <c r="E7676" s="19">
        <v>1</v>
      </c>
      <c r="F7676" s="19">
        <v>1</v>
      </c>
      <c r="G7676" s="15" t="s">
        <v>36</v>
      </c>
      <c r="H7676" s="14" t="s">
        <v>36</v>
      </c>
      <c r="I7676" s="18" t="s">
        <v>36</v>
      </c>
      <c r="J7676" s="12" t="s">
        <v>36</v>
      </c>
      <c r="K7676" s="13" t="s">
        <v>36</v>
      </c>
      <c r="L7676" s="15" t="s">
        <v>36</v>
      </c>
      <c r="M7676" s="12" t="s">
        <v>36</v>
      </c>
      <c r="N7676" s="12" t="s">
        <v>36</v>
      </c>
      <c r="O7676" s="17" t="s">
        <v>36</v>
      </c>
      <c r="P7676" s="12" t="s">
        <v>36</v>
      </c>
      <c r="Q7676" s="12" t="s">
        <v>36</v>
      </c>
      <c r="R7676" s="12" t="s">
        <v>36</v>
      </c>
      <c r="S7676" s="12" t="s">
        <v>36</v>
      </c>
      <c r="T7676" s="12" t="s">
        <v>105</v>
      </c>
      <c r="U7676" s="12" t="s">
        <v>38</v>
      </c>
      <c r="V7676" s="12" t="s">
        <v>39</v>
      </c>
      <c r="W7676" s="12" t="s">
        <v>33806</v>
      </c>
      <c r="X7676" s="16" t="s">
        <v>33231</v>
      </c>
      <c r="Y7676" s="15" t="s">
        <v>42</v>
      </c>
      <c r="Z7676" s="14" t="s">
        <v>36</v>
      </c>
      <c r="AA7676" s="14" t="s">
        <v>36</v>
      </c>
      <c r="AB7676" s="12" t="s">
        <v>43</v>
      </c>
      <c r="AC7676" s="12" t="s">
        <v>33807</v>
      </c>
      <c r="AD7676" s="13">
        <v>41730</v>
      </c>
      <c r="AE7676" s="12" t="s">
        <v>110</v>
      </c>
      <c r="AF7676" s="12" t="s">
        <v>1636</v>
      </c>
      <c r="AG7676" s="12" t="s">
        <v>652</v>
      </c>
      <c r="AH7676" s="1">
        <f>HYPERLINK("https://my.pitchbook.com?c=30331-63T","View Company Online")</f>
      </c>
    </row>
    <row r="7677">
      <c r="A7677" s="3" t="s">
        <v>33808</v>
      </c>
      <c r="B7677" s="3" t="s">
        <v>33809</v>
      </c>
      <c r="C7677" s="5" t="s">
        <v>36</v>
      </c>
      <c r="D7677" s="5">
        <v>2</v>
      </c>
      <c r="E7677" s="5">
        <v>1</v>
      </c>
      <c r="F7677" s="5">
        <v>2</v>
      </c>
      <c r="G7677" s="6" t="s">
        <v>36</v>
      </c>
      <c r="H7677" s="4" t="s">
        <v>36</v>
      </c>
      <c r="I7677" s="7" t="s">
        <v>36</v>
      </c>
      <c r="J7677" s="3" t="s">
        <v>36</v>
      </c>
      <c r="K7677" s="9" t="s">
        <v>36</v>
      </c>
      <c r="L7677" s="6" t="s">
        <v>36</v>
      </c>
      <c r="M7677" s="3" t="s">
        <v>36</v>
      </c>
      <c r="N7677" s="3" t="s">
        <v>36</v>
      </c>
      <c r="O7677" s="8" t="s">
        <v>36</v>
      </c>
      <c r="P7677" s="3" t="s">
        <v>36</v>
      </c>
      <c r="Q7677" s="3" t="s">
        <v>36</v>
      </c>
      <c r="R7677" s="3" t="s">
        <v>36</v>
      </c>
      <c r="S7677" s="3" t="s">
        <v>36</v>
      </c>
      <c r="T7677" s="3" t="s">
        <v>33810</v>
      </c>
      <c r="U7677" s="3" t="s">
        <v>74</v>
      </c>
      <c r="V7677" s="3" t="s">
        <v>75</v>
      </c>
      <c r="W7677" s="3" t="s">
        <v>33811</v>
      </c>
      <c r="X7677" s="10" t="s">
        <v>33231</v>
      </c>
      <c r="Y7677" s="6" t="s">
        <v>42</v>
      </c>
      <c r="Z7677" s="4" t="s">
        <v>36</v>
      </c>
      <c r="AA7677" s="4" t="s">
        <v>36</v>
      </c>
      <c r="AB7677" s="3" t="s">
        <v>43</v>
      </c>
      <c r="AC7677" s="3" t="s">
        <v>33812</v>
      </c>
      <c r="AD7677" s="9">
        <v>41730</v>
      </c>
      <c r="AE7677" s="3" t="s">
        <v>9215</v>
      </c>
      <c r="AF7677" s="3" t="s">
        <v>546</v>
      </c>
      <c r="AG7677" s="3" t="s">
        <v>652</v>
      </c>
      <c r="AH7677" s="11">
        <f>HYPERLINK("https://my.pitchbook.com?c=30270-16T","View Company Online")</f>
      </c>
    </row>
    <row r="7678">
      <c r="A7678" s="12" t="s">
        <v>33813</v>
      </c>
      <c r="B7678" s="12" t="s">
        <v>33814</v>
      </c>
      <c r="C7678" s="19" t="s">
        <v>36</v>
      </c>
      <c r="D7678" s="19" t="s">
        <v>36</v>
      </c>
      <c r="E7678" s="19" t="s">
        <v>36</v>
      </c>
      <c r="F7678" s="19" t="s">
        <v>36</v>
      </c>
      <c r="G7678" s="15" t="s">
        <v>36</v>
      </c>
      <c r="H7678" s="14" t="s">
        <v>36</v>
      </c>
      <c r="I7678" s="18" t="s">
        <v>36</v>
      </c>
      <c r="J7678" s="12" t="s">
        <v>36</v>
      </c>
      <c r="K7678" s="13" t="s">
        <v>36</v>
      </c>
      <c r="L7678" s="15" t="s">
        <v>36</v>
      </c>
      <c r="M7678" s="12" t="s">
        <v>36</v>
      </c>
      <c r="N7678" s="12" t="s">
        <v>36</v>
      </c>
      <c r="O7678" s="17" t="s">
        <v>36</v>
      </c>
      <c r="P7678" s="12" t="s">
        <v>36</v>
      </c>
      <c r="Q7678" s="12" t="s">
        <v>36</v>
      </c>
      <c r="R7678" s="12" t="s">
        <v>36</v>
      </c>
      <c r="S7678" s="12" t="s">
        <v>36</v>
      </c>
      <c r="T7678" s="12" t="s">
        <v>26416</v>
      </c>
      <c r="U7678" s="12" t="s">
        <v>279</v>
      </c>
      <c r="V7678" s="12" t="s">
        <v>64</v>
      </c>
      <c r="W7678" s="12" t="s">
        <v>33815</v>
      </c>
      <c r="X7678" s="16" t="s">
        <v>2130</v>
      </c>
      <c r="Y7678" s="15" t="s">
        <v>42</v>
      </c>
      <c r="Z7678" s="14" t="s">
        <v>36</v>
      </c>
      <c r="AA7678" s="14" t="s">
        <v>36</v>
      </c>
      <c r="AB7678" s="12" t="s">
        <v>56</v>
      </c>
      <c r="AC7678" s="12" t="s">
        <v>33816</v>
      </c>
      <c r="AD7678" s="13">
        <v>41730</v>
      </c>
      <c r="AE7678" s="12" t="s">
        <v>740</v>
      </c>
      <c r="AF7678" s="12" t="s">
        <v>36</v>
      </c>
      <c r="AG7678" s="12" t="s">
        <v>11436</v>
      </c>
      <c r="AH7678" s="1">
        <f>HYPERLINK("https://my.pitchbook.com?c=30529-99T","View Company Online")</f>
      </c>
    </row>
    <row r="7679">
      <c r="A7679" s="3" t="s">
        <v>33817</v>
      </c>
      <c r="B7679" s="3" t="s">
        <v>33818</v>
      </c>
      <c r="C7679" s="5" t="s">
        <v>36</v>
      </c>
      <c r="D7679" s="5" t="s">
        <v>36</v>
      </c>
      <c r="E7679" s="5" t="s">
        <v>36</v>
      </c>
      <c r="F7679" s="5">
        <v>1</v>
      </c>
      <c r="G7679" s="6" t="s">
        <v>36</v>
      </c>
      <c r="H7679" s="4" t="s">
        <v>36</v>
      </c>
      <c r="I7679" s="7" t="s">
        <v>36</v>
      </c>
      <c r="J7679" s="3" t="s">
        <v>36</v>
      </c>
      <c r="K7679" s="9" t="s">
        <v>36</v>
      </c>
      <c r="L7679" s="6" t="s">
        <v>36</v>
      </c>
      <c r="M7679" s="3" t="s">
        <v>36</v>
      </c>
      <c r="N7679" s="3" t="s">
        <v>36</v>
      </c>
      <c r="O7679" s="8" t="s">
        <v>36</v>
      </c>
      <c r="P7679" s="3" t="s">
        <v>36</v>
      </c>
      <c r="Q7679" s="3" t="s">
        <v>36</v>
      </c>
      <c r="R7679" s="3" t="s">
        <v>36</v>
      </c>
      <c r="S7679" s="3" t="s">
        <v>36</v>
      </c>
      <c r="T7679" s="3" t="s">
        <v>33819</v>
      </c>
      <c r="U7679" s="3" t="s">
        <v>1580</v>
      </c>
      <c r="V7679" s="3" t="s">
        <v>39</v>
      </c>
      <c r="W7679" s="3" t="s">
        <v>33820</v>
      </c>
      <c r="X7679" s="10" t="s">
        <v>20527</v>
      </c>
      <c r="Y7679" s="6" t="s">
        <v>42</v>
      </c>
      <c r="Z7679" s="4" t="s">
        <v>36</v>
      </c>
      <c r="AA7679" s="4" t="s">
        <v>36</v>
      </c>
      <c r="AB7679" s="3" t="s">
        <v>43</v>
      </c>
      <c r="AC7679" s="3" t="s">
        <v>33821</v>
      </c>
      <c r="AD7679" s="9">
        <v>41730</v>
      </c>
      <c r="AE7679" s="3" t="s">
        <v>3854</v>
      </c>
      <c r="AF7679" s="3" t="s">
        <v>1636</v>
      </c>
      <c r="AG7679" s="3" t="s">
        <v>12062</v>
      </c>
      <c r="AH7679" s="11">
        <f>HYPERLINK("https://my.pitchbook.com?c=29840-77T","View Company Online")</f>
      </c>
    </row>
    <row r="7680">
      <c r="A7680" s="12" t="s">
        <v>33822</v>
      </c>
      <c r="B7680" s="12" t="s">
        <v>33823</v>
      </c>
      <c r="C7680" s="19" t="s">
        <v>36</v>
      </c>
      <c r="D7680" s="19" t="s">
        <v>36</v>
      </c>
      <c r="E7680" s="19" t="s">
        <v>36</v>
      </c>
      <c r="F7680" s="19" t="s">
        <v>36</v>
      </c>
      <c r="G7680" s="15" t="s">
        <v>36</v>
      </c>
      <c r="H7680" s="14" t="s">
        <v>36</v>
      </c>
      <c r="I7680" s="18" t="s">
        <v>36</v>
      </c>
      <c r="J7680" s="12" t="s">
        <v>36</v>
      </c>
      <c r="K7680" s="13" t="s">
        <v>36</v>
      </c>
      <c r="L7680" s="15" t="s">
        <v>36</v>
      </c>
      <c r="M7680" s="12" t="s">
        <v>36</v>
      </c>
      <c r="N7680" s="12" t="s">
        <v>36</v>
      </c>
      <c r="O7680" s="17" t="s">
        <v>36</v>
      </c>
      <c r="P7680" s="12" t="s">
        <v>36</v>
      </c>
      <c r="Q7680" s="12" t="s">
        <v>36</v>
      </c>
      <c r="R7680" s="12" t="s">
        <v>36</v>
      </c>
      <c r="S7680" s="12" t="s">
        <v>36</v>
      </c>
      <c r="T7680" s="12" t="s">
        <v>33824</v>
      </c>
      <c r="U7680" s="12" t="s">
        <v>289</v>
      </c>
      <c r="V7680" s="12" t="s">
        <v>64</v>
      </c>
      <c r="W7680" s="12" t="s">
        <v>33825</v>
      </c>
      <c r="X7680" s="16" t="s">
        <v>33826</v>
      </c>
      <c r="Y7680" s="15" t="s">
        <v>42</v>
      </c>
      <c r="Z7680" s="14" t="s">
        <v>36</v>
      </c>
      <c r="AA7680" s="14" t="s">
        <v>36</v>
      </c>
      <c r="AB7680" s="12" t="s">
        <v>43</v>
      </c>
      <c r="AC7680" s="12" t="s">
        <v>33827</v>
      </c>
      <c r="AD7680" s="13">
        <v>41730</v>
      </c>
      <c r="AE7680" s="12" t="s">
        <v>9563</v>
      </c>
      <c r="AF7680" s="12" t="s">
        <v>2118</v>
      </c>
      <c r="AG7680" s="12" t="s">
        <v>392</v>
      </c>
      <c r="AH7680" s="1">
        <f>HYPERLINK("https://my.pitchbook.com?c=30332-44T","View Company Online")</f>
      </c>
    </row>
    <row r="7681">
      <c r="A7681" s="3" t="s">
        <v>33828</v>
      </c>
      <c r="B7681" s="3" t="s">
        <v>33829</v>
      </c>
      <c r="C7681" s="5" t="s">
        <v>36</v>
      </c>
      <c r="D7681" s="5" t="s">
        <v>36</v>
      </c>
      <c r="E7681" s="5" t="s">
        <v>36</v>
      </c>
      <c r="F7681" s="5" t="s">
        <v>36</v>
      </c>
      <c r="G7681" s="6" t="s">
        <v>36</v>
      </c>
      <c r="H7681" s="4" t="s">
        <v>36</v>
      </c>
      <c r="I7681" s="7" t="s">
        <v>36</v>
      </c>
      <c r="J7681" s="3" t="s">
        <v>36</v>
      </c>
      <c r="K7681" s="9" t="s">
        <v>36</v>
      </c>
      <c r="L7681" s="6" t="s">
        <v>36</v>
      </c>
      <c r="M7681" s="3" t="s">
        <v>36</v>
      </c>
      <c r="N7681" s="3" t="s">
        <v>36</v>
      </c>
      <c r="O7681" s="8" t="s">
        <v>36</v>
      </c>
      <c r="P7681" s="3" t="s">
        <v>36</v>
      </c>
      <c r="Q7681" s="3" t="s">
        <v>36</v>
      </c>
      <c r="R7681" s="3" t="s">
        <v>36</v>
      </c>
      <c r="S7681" s="3" t="s">
        <v>36</v>
      </c>
      <c r="T7681" s="3" t="s">
        <v>33830</v>
      </c>
      <c r="U7681" s="3" t="s">
        <v>377</v>
      </c>
      <c r="V7681" s="3" t="s">
        <v>378</v>
      </c>
      <c r="W7681" s="3" t="s">
        <v>33831</v>
      </c>
      <c r="X7681" s="10" t="s">
        <v>20527</v>
      </c>
      <c r="Y7681" s="6" t="s">
        <v>42</v>
      </c>
      <c r="Z7681" s="4" t="s">
        <v>36</v>
      </c>
      <c r="AA7681" s="4" t="s">
        <v>36</v>
      </c>
      <c r="AB7681" s="3" t="s">
        <v>56</v>
      </c>
      <c r="AC7681" s="3" t="s">
        <v>33832</v>
      </c>
      <c r="AD7681" s="9">
        <v>41730</v>
      </c>
      <c r="AE7681" s="3" t="s">
        <v>377</v>
      </c>
      <c r="AF7681" s="3" t="s">
        <v>571</v>
      </c>
      <c r="AG7681" s="3" t="s">
        <v>33833</v>
      </c>
      <c r="AH7681" s="11">
        <f>HYPERLINK("https://my.pitchbook.com?c=29851-39T","View Company Online")</f>
      </c>
    </row>
    <row r="7682">
      <c r="A7682" s="12" t="s">
        <v>33834</v>
      </c>
      <c r="B7682" s="12" t="s">
        <v>33835</v>
      </c>
      <c r="C7682" s="19">
        <v>2</v>
      </c>
      <c r="D7682" s="19">
        <v>21</v>
      </c>
      <c r="E7682" s="19">
        <v>17</v>
      </c>
      <c r="F7682" s="19">
        <v>88</v>
      </c>
      <c r="G7682" s="15" t="s">
        <v>36</v>
      </c>
      <c r="H7682" s="14" t="s">
        <v>36</v>
      </c>
      <c r="I7682" s="18" t="s">
        <v>36</v>
      </c>
      <c r="J7682" s="12" t="s">
        <v>36</v>
      </c>
      <c r="K7682" s="13" t="s">
        <v>36</v>
      </c>
      <c r="L7682" s="15" t="s">
        <v>36</v>
      </c>
      <c r="M7682" s="12" t="s">
        <v>36</v>
      </c>
      <c r="N7682" s="12" t="s">
        <v>36</v>
      </c>
      <c r="O7682" s="17" t="s">
        <v>36</v>
      </c>
      <c r="P7682" s="12" t="s">
        <v>36</v>
      </c>
      <c r="Q7682" s="12" t="s">
        <v>36</v>
      </c>
      <c r="R7682" s="12" t="s">
        <v>36</v>
      </c>
      <c r="S7682" s="12" t="s">
        <v>36</v>
      </c>
      <c r="T7682" s="12" t="s">
        <v>507</v>
      </c>
      <c r="U7682" s="12" t="s">
        <v>51</v>
      </c>
      <c r="V7682" s="12" t="s">
        <v>52</v>
      </c>
      <c r="W7682" s="12" t="s">
        <v>33836</v>
      </c>
      <c r="X7682" s="16" t="s">
        <v>33837</v>
      </c>
      <c r="Y7682" s="15" t="s">
        <v>42</v>
      </c>
      <c r="Z7682" s="14" t="s">
        <v>36</v>
      </c>
      <c r="AA7682" s="14" t="s">
        <v>36</v>
      </c>
      <c r="AB7682" s="12" t="s">
        <v>56</v>
      </c>
      <c r="AC7682" s="12" t="s">
        <v>33838</v>
      </c>
      <c r="AD7682" s="13">
        <v>41730</v>
      </c>
      <c r="AE7682" s="12" t="s">
        <v>504</v>
      </c>
      <c r="AF7682" s="12" t="s">
        <v>159</v>
      </c>
      <c r="AG7682" s="12" t="s">
        <v>924</v>
      </c>
      <c r="AH7682" s="1">
        <f>HYPERLINK("https://my.pitchbook.com?c=29859-76T","View Company Online")</f>
      </c>
    </row>
    <row r="7683">
      <c r="A7683" s="3" t="s">
        <v>33839</v>
      </c>
      <c r="B7683" s="3" t="s">
        <v>33840</v>
      </c>
      <c r="C7683" s="5" t="s">
        <v>36</v>
      </c>
      <c r="D7683" s="5" t="s">
        <v>36</v>
      </c>
      <c r="E7683" s="5" t="s">
        <v>36</v>
      </c>
      <c r="F7683" s="5" t="s">
        <v>36</v>
      </c>
      <c r="G7683" s="6" t="s">
        <v>36</v>
      </c>
      <c r="H7683" s="4" t="s">
        <v>36</v>
      </c>
      <c r="I7683" s="7" t="s">
        <v>36</v>
      </c>
      <c r="J7683" s="3" t="s">
        <v>36</v>
      </c>
      <c r="K7683" s="9" t="s">
        <v>36</v>
      </c>
      <c r="L7683" s="6" t="s">
        <v>36</v>
      </c>
      <c r="M7683" s="3" t="s">
        <v>36</v>
      </c>
      <c r="N7683" s="3" t="s">
        <v>36</v>
      </c>
      <c r="O7683" s="8" t="s">
        <v>36</v>
      </c>
      <c r="P7683" s="3" t="s">
        <v>36</v>
      </c>
      <c r="Q7683" s="3" t="s">
        <v>36</v>
      </c>
      <c r="R7683" s="3" t="s">
        <v>36</v>
      </c>
      <c r="S7683" s="3" t="s">
        <v>36</v>
      </c>
      <c r="T7683" s="3" t="s">
        <v>1973</v>
      </c>
      <c r="U7683" s="3" t="s">
        <v>728</v>
      </c>
      <c r="V7683" s="3" t="s">
        <v>64</v>
      </c>
      <c r="W7683" s="3" t="s">
        <v>33841</v>
      </c>
      <c r="X7683" s="10" t="s">
        <v>33842</v>
      </c>
      <c r="Y7683" s="6" t="s">
        <v>42</v>
      </c>
      <c r="Z7683" s="4">
        <v>3.18</v>
      </c>
      <c r="AA7683" s="4" t="s">
        <v>36</v>
      </c>
      <c r="AB7683" s="3" t="s">
        <v>56</v>
      </c>
      <c r="AC7683" s="3" t="s">
        <v>33843</v>
      </c>
      <c r="AD7683" s="9">
        <v>41730</v>
      </c>
      <c r="AE7683" s="3" t="s">
        <v>1600</v>
      </c>
      <c r="AF7683" s="3" t="s">
        <v>90</v>
      </c>
      <c r="AG7683" s="3" t="s">
        <v>81</v>
      </c>
      <c r="AH7683" s="11">
        <f>HYPERLINK("https://my.pitchbook.com?c=29882-53T","View Company Online")</f>
      </c>
    </row>
    <row r="7684">
      <c r="A7684" s="12" t="s">
        <v>33844</v>
      </c>
      <c r="B7684" s="12" t="s">
        <v>16901</v>
      </c>
      <c r="C7684" s="19" t="s">
        <v>36</v>
      </c>
      <c r="D7684" s="19" t="s">
        <v>36</v>
      </c>
      <c r="E7684" s="19" t="s">
        <v>36</v>
      </c>
      <c r="F7684" s="19" t="s">
        <v>36</v>
      </c>
      <c r="G7684" s="15" t="s">
        <v>36</v>
      </c>
      <c r="H7684" s="14" t="s">
        <v>36</v>
      </c>
      <c r="I7684" s="18" t="s">
        <v>36</v>
      </c>
      <c r="J7684" s="12" t="s">
        <v>36</v>
      </c>
      <c r="K7684" s="13" t="s">
        <v>36</v>
      </c>
      <c r="L7684" s="15" t="s">
        <v>36</v>
      </c>
      <c r="M7684" s="12" t="s">
        <v>36</v>
      </c>
      <c r="N7684" s="12" t="s">
        <v>36</v>
      </c>
      <c r="O7684" s="17" t="s">
        <v>36</v>
      </c>
      <c r="P7684" s="12" t="s">
        <v>36</v>
      </c>
      <c r="Q7684" s="12" t="s">
        <v>36</v>
      </c>
      <c r="R7684" s="12" t="s">
        <v>36</v>
      </c>
      <c r="S7684" s="12" t="s">
        <v>36</v>
      </c>
      <c r="T7684" s="12" t="s">
        <v>522</v>
      </c>
      <c r="U7684" s="12" t="s">
        <v>38</v>
      </c>
      <c r="V7684" s="12" t="s">
        <v>39</v>
      </c>
      <c r="W7684" s="12" t="s">
        <v>16902</v>
      </c>
      <c r="X7684" s="16" t="s">
        <v>33845</v>
      </c>
      <c r="Y7684" s="15" t="s">
        <v>42</v>
      </c>
      <c r="Z7684" s="14" t="s">
        <v>36</v>
      </c>
      <c r="AA7684" s="14" t="s">
        <v>36</v>
      </c>
      <c r="AB7684" s="12" t="s">
        <v>56</v>
      </c>
      <c r="AC7684" s="12" t="s">
        <v>16904</v>
      </c>
      <c r="AD7684" s="13">
        <v>41730</v>
      </c>
      <c r="AE7684" s="12" t="s">
        <v>110</v>
      </c>
      <c r="AF7684" s="12" t="s">
        <v>6214</v>
      </c>
      <c r="AG7684" s="12" t="s">
        <v>969</v>
      </c>
      <c r="AH7684" s="1">
        <f>HYPERLINK("https://my.pitchbook.com?c=29890-54T","View Company Online")</f>
      </c>
    </row>
    <row r="7685">
      <c r="A7685" s="3" t="s">
        <v>33846</v>
      </c>
      <c r="B7685" s="3" t="s">
        <v>33847</v>
      </c>
      <c r="C7685" s="5" t="s">
        <v>36</v>
      </c>
      <c r="D7685" s="5" t="s">
        <v>36</v>
      </c>
      <c r="E7685" s="5" t="s">
        <v>36</v>
      </c>
      <c r="F7685" s="5" t="s">
        <v>36</v>
      </c>
      <c r="G7685" s="6" t="s">
        <v>36</v>
      </c>
      <c r="H7685" s="4" t="s">
        <v>36</v>
      </c>
      <c r="I7685" s="7" t="s">
        <v>36</v>
      </c>
      <c r="J7685" s="3" t="s">
        <v>36</v>
      </c>
      <c r="K7685" s="9" t="s">
        <v>36</v>
      </c>
      <c r="L7685" s="6" t="s">
        <v>36</v>
      </c>
      <c r="M7685" s="3" t="s">
        <v>36</v>
      </c>
      <c r="N7685" s="3" t="s">
        <v>36</v>
      </c>
      <c r="O7685" s="8" t="s">
        <v>36</v>
      </c>
      <c r="P7685" s="3" t="s">
        <v>36</v>
      </c>
      <c r="Q7685" s="3" t="s">
        <v>36</v>
      </c>
      <c r="R7685" s="3" t="s">
        <v>36</v>
      </c>
      <c r="S7685" s="3" t="s">
        <v>36</v>
      </c>
      <c r="T7685" s="3" t="s">
        <v>6350</v>
      </c>
      <c r="U7685" s="3" t="s">
        <v>289</v>
      </c>
      <c r="V7685" s="3" t="s">
        <v>64</v>
      </c>
      <c r="W7685" s="3" t="s">
        <v>33848</v>
      </c>
      <c r="X7685" s="10" t="s">
        <v>5661</v>
      </c>
      <c r="Y7685" s="6" t="s">
        <v>42</v>
      </c>
      <c r="Z7685" s="4" t="s">
        <v>36</v>
      </c>
      <c r="AA7685" s="4" t="s">
        <v>36</v>
      </c>
      <c r="AB7685" s="3" t="s">
        <v>43</v>
      </c>
      <c r="AC7685" s="3" t="s">
        <v>33849</v>
      </c>
      <c r="AD7685" s="9">
        <v>41730</v>
      </c>
      <c r="AE7685" s="3" t="s">
        <v>3134</v>
      </c>
      <c r="AF7685" s="3" t="s">
        <v>2118</v>
      </c>
      <c r="AG7685" s="3" t="s">
        <v>644</v>
      </c>
      <c r="AH7685" s="11">
        <f>HYPERLINK("https://my.pitchbook.com?c=82671-04T","View Company Online")</f>
      </c>
    </row>
    <row r="7686">
      <c r="A7686" s="12" t="s">
        <v>33850</v>
      </c>
      <c r="B7686" s="12" t="s">
        <v>33851</v>
      </c>
      <c r="C7686" s="19">
        <v>1</v>
      </c>
      <c r="D7686" s="19" t="s">
        <v>36</v>
      </c>
      <c r="E7686" s="19">
        <v>1</v>
      </c>
      <c r="F7686" s="19">
        <v>1</v>
      </c>
      <c r="G7686" s="15" t="s">
        <v>36</v>
      </c>
      <c r="H7686" s="14" t="s">
        <v>36</v>
      </c>
      <c r="I7686" s="18" t="s">
        <v>36</v>
      </c>
      <c r="J7686" s="12" t="s">
        <v>36</v>
      </c>
      <c r="K7686" s="13" t="s">
        <v>36</v>
      </c>
      <c r="L7686" s="15" t="s">
        <v>122</v>
      </c>
      <c r="M7686" s="12" t="s">
        <v>36</v>
      </c>
      <c r="N7686" s="12" t="s">
        <v>122</v>
      </c>
      <c r="O7686" s="17" t="s">
        <v>36</v>
      </c>
      <c r="P7686" s="12" t="s">
        <v>36</v>
      </c>
      <c r="Q7686" s="12" t="s">
        <v>36</v>
      </c>
      <c r="R7686" s="12" t="s">
        <v>36</v>
      </c>
      <c r="S7686" s="12" t="s">
        <v>36</v>
      </c>
      <c r="T7686" s="12" t="s">
        <v>33852</v>
      </c>
      <c r="U7686" s="12" t="s">
        <v>74</v>
      </c>
      <c r="V7686" s="12" t="s">
        <v>75</v>
      </c>
      <c r="W7686" s="12" t="s">
        <v>33853</v>
      </c>
      <c r="X7686" s="16" t="s">
        <v>33854</v>
      </c>
      <c r="Y7686" s="15" t="s">
        <v>42</v>
      </c>
      <c r="Z7686" s="14" t="s">
        <v>36</v>
      </c>
      <c r="AA7686" s="14" t="s">
        <v>36</v>
      </c>
      <c r="AB7686" s="12" t="s">
        <v>43</v>
      </c>
      <c r="AC7686" s="12" t="s">
        <v>33855</v>
      </c>
      <c r="AD7686" s="13">
        <v>41730</v>
      </c>
      <c r="AE7686" s="12" t="s">
        <v>975</v>
      </c>
      <c r="AF7686" s="12" t="s">
        <v>1636</v>
      </c>
      <c r="AG7686" s="12" t="s">
        <v>81</v>
      </c>
      <c r="AH7686" s="1">
        <f>HYPERLINK("https://my.pitchbook.com?c=29901-34T","View Company Online")</f>
      </c>
    </row>
    <row r="7687">
      <c r="A7687" s="3" t="s">
        <v>33856</v>
      </c>
      <c r="B7687" s="3" t="s">
        <v>33857</v>
      </c>
      <c r="C7687" s="5" t="s">
        <v>36</v>
      </c>
      <c r="D7687" s="5" t="s">
        <v>36</v>
      </c>
      <c r="E7687" s="5" t="s">
        <v>36</v>
      </c>
      <c r="F7687" s="5" t="s">
        <v>36</v>
      </c>
      <c r="G7687" s="6" t="s">
        <v>36</v>
      </c>
      <c r="H7687" s="4" t="s">
        <v>36</v>
      </c>
      <c r="I7687" s="7" t="s">
        <v>36</v>
      </c>
      <c r="J7687" s="3" t="s">
        <v>36</v>
      </c>
      <c r="K7687" s="9" t="s">
        <v>36</v>
      </c>
      <c r="L7687" s="6" t="s">
        <v>36</v>
      </c>
      <c r="M7687" s="3" t="s">
        <v>36</v>
      </c>
      <c r="N7687" s="3" t="s">
        <v>36</v>
      </c>
      <c r="O7687" s="8" t="s">
        <v>36</v>
      </c>
      <c r="P7687" s="3" t="s">
        <v>36</v>
      </c>
      <c r="Q7687" s="3" t="s">
        <v>36</v>
      </c>
      <c r="R7687" s="3" t="s">
        <v>36</v>
      </c>
      <c r="S7687" s="3" t="s">
        <v>36</v>
      </c>
      <c r="T7687" s="3" t="s">
        <v>19945</v>
      </c>
      <c r="U7687" s="3" t="s">
        <v>63</v>
      </c>
      <c r="V7687" s="3" t="s">
        <v>64</v>
      </c>
      <c r="W7687" s="3" t="s">
        <v>33858</v>
      </c>
      <c r="X7687" s="10" t="s">
        <v>2130</v>
      </c>
      <c r="Y7687" s="6" t="s">
        <v>42</v>
      </c>
      <c r="Z7687" s="4">
        <v>2.07</v>
      </c>
      <c r="AA7687" s="4" t="s">
        <v>36</v>
      </c>
      <c r="AB7687" s="3" t="s">
        <v>43</v>
      </c>
      <c r="AC7687" s="3" t="s">
        <v>33859</v>
      </c>
      <c r="AD7687" s="9">
        <v>41730</v>
      </c>
      <c r="AE7687" s="3" t="s">
        <v>642</v>
      </c>
      <c r="AF7687" s="3" t="s">
        <v>36</v>
      </c>
      <c r="AG7687" s="3" t="s">
        <v>33860</v>
      </c>
      <c r="AH7687" s="11">
        <f>HYPERLINK("https://my.pitchbook.com?c=30533-23T","View Company Online")</f>
      </c>
    </row>
    <row r="7688">
      <c r="A7688" s="12" t="s">
        <v>33861</v>
      </c>
      <c r="B7688" s="12" t="s">
        <v>33862</v>
      </c>
      <c r="C7688" s="19" t="s">
        <v>36</v>
      </c>
      <c r="D7688" s="19" t="s">
        <v>36</v>
      </c>
      <c r="E7688" s="19" t="s">
        <v>36</v>
      </c>
      <c r="F7688" s="19" t="s">
        <v>36</v>
      </c>
      <c r="G7688" s="15" t="s">
        <v>36</v>
      </c>
      <c r="H7688" s="14" t="s">
        <v>36</v>
      </c>
      <c r="I7688" s="18" t="s">
        <v>36</v>
      </c>
      <c r="J7688" s="12" t="s">
        <v>36</v>
      </c>
      <c r="K7688" s="13" t="s">
        <v>36</v>
      </c>
      <c r="L7688" s="15" t="s">
        <v>36</v>
      </c>
      <c r="M7688" s="12" t="s">
        <v>36</v>
      </c>
      <c r="N7688" s="12" t="s">
        <v>36</v>
      </c>
      <c r="O7688" s="17" t="s">
        <v>36</v>
      </c>
      <c r="P7688" s="12" t="s">
        <v>36</v>
      </c>
      <c r="Q7688" s="12" t="s">
        <v>36</v>
      </c>
      <c r="R7688" s="12" t="s">
        <v>36</v>
      </c>
      <c r="S7688" s="12" t="s">
        <v>36</v>
      </c>
      <c r="T7688" s="12" t="s">
        <v>33863</v>
      </c>
      <c r="U7688" s="12" t="s">
        <v>619</v>
      </c>
      <c r="V7688" s="12" t="s">
        <v>378</v>
      </c>
      <c r="W7688" s="12" t="s">
        <v>33864</v>
      </c>
      <c r="X7688" s="16" t="s">
        <v>33231</v>
      </c>
      <c r="Y7688" s="15" t="s">
        <v>42</v>
      </c>
      <c r="Z7688" s="14" t="s">
        <v>36</v>
      </c>
      <c r="AA7688" s="14" t="s">
        <v>36</v>
      </c>
      <c r="AB7688" s="12" t="s">
        <v>43</v>
      </c>
      <c r="AC7688" s="12" t="s">
        <v>33865</v>
      </c>
      <c r="AD7688" s="13">
        <v>41730</v>
      </c>
      <c r="AE7688" s="12" t="s">
        <v>2672</v>
      </c>
      <c r="AF7688" s="12" t="s">
        <v>33866</v>
      </c>
      <c r="AG7688" s="12" t="s">
        <v>652</v>
      </c>
      <c r="AH7688" s="1">
        <f>HYPERLINK("https://my.pitchbook.com?c=30273-31T","View Company Online")</f>
      </c>
    </row>
    <row r="7689">
      <c r="A7689" s="3" t="s">
        <v>33867</v>
      </c>
      <c r="B7689" s="3" t="s">
        <v>33868</v>
      </c>
      <c r="C7689" s="5" t="s">
        <v>36</v>
      </c>
      <c r="D7689" s="5" t="s">
        <v>36</v>
      </c>
      <c r="E7689" s="5" t="s">
        <v>36</v>
      </c>
      <c r="F7689" s="5" t="s">
        <v>36</v>
      </c>
      <c r="G7689" s="6" t="s">
        <v>36</v>
      </c>
      <c r="H7689" s="4">
        <v>10.39</v>
      </c>
      <c r="I7689" s="7">
        <v>18.48</v>
      </c>
      <c r="J7689" s="3" t="s">
        <v>521</v>
      </c>
      <c r="K7689" s="9" t="s">
        <v>36</v>
      </c>
      <c r="L7689" s="6" t="s">
        <v>36</v>
      </c>
      <c r="M7689" s="3" t="s">
        <v>36</v>
      </c>
      <c r="N7689" s="3" t="s">
        <v>36</v>
      </c>
      <c r="O7689" s="8" t="s">
        <v>36</v>
      </c>
      <c r="P7689" s="3" t="s">
        <v>36</v>
      </c>
      <c r="Q7689" s="3" t="s">
        <v>36</v>
      </c>
      <c r="R7689" s="3" t="s">
        <v>36</v>
      </c>
      <c r="S7689" s="3" t="s">
        <v>36</v>
      </c>
      <c r="T7689" s="3" t="s">
        <v>4590</v>
      </c>
      <c r="U7689" s="3" t="s">
        <v>1357</v>
      </c>
      <c r="V7689" s="3" t="s">
        <v>52</v>
      </c>
      <c r="W7689" s="3" t="s">
        <v>33869</v>
      </c>
      <c r="X7689" s="10" t="s">
        <v>2130</v>
      </c>
      <c r="Y7689" s="6" t="s">
        <v>42</v>
      </c>
      <c r="Z7689" s="4">
        <v>3.45</v>
      </c>
      <c r="AA7689" s="4">
        <v>18.65</v>
      </c>
      <c r="AB7689" s="3" t="s">
        <v>56</v>
      </c>
      <c r="AC7689" s="3" t="s">
        <v>33870</v>
      </c>
      <c r="AD7689" s="9">
        <v>41730</v>
      </c>
      <c r="AE7689" s="3" t="s">
        <v>2377</v>
      </c>
      <c r="AF7689" s="3" t="s">
        <v>36</v>
      </c>
      <c r="AG7689" s="3" t="s">
        <v>33871</v>
      </c>
      <c r="AH7689" s="11">
        <f>HYPERLINK("https://my.pitchbook.com?c=30537-10T","View Company Online")</f>
      </c>
    </row>
    <row r="7690">
      <c r="A7690" s="12" t="s">
        <v>33872</v>
      </c>
      <c r="B7690" s="12" t="s">
        <v>33873</v>
      </c>
      <c r="C7690" s="19" t="s">
        <v>36</v>
      </c>
      <c r="D7690" s="19" t="s">
        <v>36</v>
      </c>
      <c r="E7690" s="19" t="s">
        <v>36</v>
      </c>
      <c r="F7690" s="19" t="s">
        <v>36</v>
      </c>
      <c r="G7690" s="15" t="s">
        <v>36</v>
      </c>
      <c r="H7690" s="14" t="s">
        <v>36</v>
      </c>
      <c r="I7690" s="18" t="s">
        <v>36</v>
      </c>
      <c r="J7690" s="12" t="s">
        <v>36</v>
      </c>
      <c r="K7690" s="13" t="s">
        <v>36</v>
      </c>
      <c r="L7690" s="15" t="s">
        <v>36</v>
      </c>
      <c r="M7690" s="12" t="s">
        <v>36</v>
      </c>
      <c r="N7690" s="12" t="s">
        <v>36</v>
      </c>
      <c r="O7690" s="17" t="s">
        <v>36</v>
      </c>
      <c r="P7690" s="12" t="s">
        <v>36</v>
      </c>
      <c r="Q7690" s="12" t="s">
        <v>36</v>
      </c>
      <c r="R7690" s="12" t="s">
        <v>36</v>
      </c>
      <c r="S7690" s="12" t="s">
        <v>36</v>
      </c>
      <c r="T7690" s="12" t="s">
        <v>22759</v>
      </c>
      <c r="U7690" s="12" t="s">
        <v>63</v>
      </c>
      <c r="V7690" s="12" t="s">
        <v>64</v>
      </c>
      <c r="W7690" s="12" t="s">
        <v>33874</v>
      </c>
      <c r="X7690" s="16" t="s">
        <v>2130</v>
      </c>
      <c r="Y7690" s="15" t="s">
        <v>42</v>
      </c>
      <c r="Z7690" s="14" t="s">
        <v>36</v>
      </c>
      <c r="AA7690" s="14" t="s">
        <v>36</v>
      </c>
      <c r="AB7690" s="12" t="s">
        <v>43</v>
      </c>
      <c r="AC7690" s="12" t="s">
        <v>33875</v>
      </c>
      <c r="AD7690" s="13">
        <v>41730</v>
      </c>
      <c r="AE7690" s="12" t="s">
        <v>642</v>
      </c>
      <c r="AF7690" s="12" t="s">
        <v>36</v>
      </c>
      <c r="AG7690" s="12" t="s">
        <v>47</v>
      </c>
      <c r="AH7690" s="1">
        <f>HYPERLINK("https://my.pitchbook.com?c=30533-32T","View Company Online")</f>
      </c>
    </row>
    <row r="7691">
      <c r="A7691" s="3" t="s">
        <v>33876</v>
      </c>
      <c r="B7691" s="3" t="s">
        <v>33877</v>
      </c>
      <c r="C7691" s="5" t="s">
        <v>36</v>
      </c>
      <c r="D7691" s="5" t="s">
        <v>36</v>
      </c>
      <c r="E7691" s="5" t="s">
        <v>36</v>
      </c>
      <c r="F7691" s="5" t="s">
        <v>36</v>
      </c>
      <c r="G7691" s="6" t="s">
        <v>36</v>
      </c>
      <c r="H7691" s="4" t="s">
        <v>36</v>
      </c>
      <c r="I7691" s="7" t="s">
        <v>36</v>
      </c>
      <c r="J7691" s="3" t="s">
        <v>36</v>
      </c>
      <c r="K7691" s="9" t="s">
        <v>36</v>
      </c>
      <c r="L7691" s="6" t="s">
        <v>36</v>
      </c>
      <c r="M7691" s="3" t="s">
        <v>36</v>
      </c>
      <c r="N7691" s="3" t="s">
        <v>36</v>
      </c>
      <c r="O7691" s="8" t="s">
        <v>36</v>
      </c>
      <c r="P7691" s="3" t="s">
        <v>36</v>
      </c>
      <c r="Q7691" s="3" t="s">
        <v>36</v>
      </c>
      <c r="R7691" s="3" t="s">
        <v>36</v>
      </c>
      <c r="S7691" s="3" t="s">
        <v>36</v>
      </c>
      <c r="T7691" s="3" t="s">
        <v>9211</v>
      </c>
      <c r="U7691" s="3" t="s">
        <v>74</v>
      </c>
      <c r="V7691" s="3" t="s">
        <v>75</v>
      </c>
      <c r="W7691" s="3" t="s">
        <v>33878</v>
      </c>
      <c r="X7691" s="10" t="s">
        <v>32544</v>
      </c>
      <c r="Y7691" s="6" t="s">
        <v>42</v>
      </c>
      <c r="Z7691" s="4" t="s">
        <v>36</v>
      </c>
      <c r="AA7691" s="4" t="s">
        <v>36</v>
      </c>
      <c r="AB7691" s="3" t="s">
        <v>56</v>
      </c>
      <c r="AC7691" s="3" t="s">
        <v>33879</v>
      </c>
      <c r="AD7691" s="9">
        <v>41730</v>
      </c>
      <c r="AE7691" s="3" t="s">
        <v>9215</v>
      </c>
      <c r="AF7691" s="3" t="s">
        <v>546</v>
      </c>
      <c r="AG7691" s="3" t="s">
        <v>33880</v>
      </c>
      <c r="AH7691" s="11">
        <f>HYPERLINK("https://my.pitchbook.com?c=29956-78T","View Company Online")</f>
      </c>
    </row>
    <row r="7692">
      <c r="A7692" s="12" t="s">
        <v>33881</v>
      </c>
      <c r="B7692" s="12" t="s">
        <v>33882</v>
      </c>
      <c r="C7692" s="19" t="s">
        <v>36</v>
      </c>
      <c r="D7692" s="19" t="s">
        <v>36</v>
      </c>
      <c r="E7692" s="19" t="s">
        <v>36</v>
      </c>
      <c r="F7692" s="19" t="s">
        <v>36</v>
      </c>
      <c r="G7692" s="15" t="s">
        <v>36</v>
      </c>
      <c r="H7692" s="14" t="s">
        <v>36</v>
      </c>
      <c r="I7692" s="18" t="s">
        <v>36</v>
      </c>
      <c r="J7692" s="12" t="s">
        <v>36</v>
      </c>
      <c r="K7692" s="13" t="s">
        <v>36</v>
      </c>
      <c r="L7692" s="15" t="s">
        <v>36</v>
      </c>
      <c r="M7692" s="12" t="s">
        <v>36</v>
      </c>
      <c r="N7692" s="12" t="s">
        <v>36</v>
      </c>
      <c r="O7692" s="17" t="s">
        <v>36</v>
      </c>
      <c r="P7692" s="12" t="s">
        <v>36</v>
      </c>
      <c r="Q7692" s="12" t="s">
        <v>36</v>
      </c>
      <c r="R7692" s="12" t="s">
        <v>36</v>
      </c>
      <c r="S7692" s="12" t="s">
        <v>36</v>
      </c>
      <c r="T7692" s="12" t="s">
        <v>17953</v>
      </c>
      <c r="U7692" s="12" t="s">
        <v>423</v>
      </c>
      <c r="V7692" s="12" t="s">
        <v>64</v>
      </c>
      <c r="W7692" s="12" t="s">
        <v>33883</v>
      </c>
      <c r="X7692" s="16" t="s">
        <v>20527</v>
      </c>
      <c r="Y7692" s="15" t="s">
        <v>42</v>
      </c>
      <c r="Z7692" s="14" t="s">
        <v>36</v>
      </c>
      <c r="AA7692" s="14" t="s">
        <v>36</v>
      </c>
      <c r="AB7692" s="12" t="s">
        <v>43</v>
      </c>
      <c r="AC7692" s="12" t="s">
        <v>33884</v>
      </c>
      <c r="AD7692" s="13">
        <v>41730</v>
      </c>
      <c r="AE7692" s="12" t="s">
        <v>562</v>
      </c>
      <c r="AF7692" s="12" t="s">
        <v>1977</v>
      </c>
      <c r="AG7692" s="12" t="s">
        <v>24593</v>
      </c>
      <c r="AH7692" s="1">
        <f>HYPERLINK("https://my.pitchbook.com?c=29980-45T","View Company Online")</f>
      </c>
    </row>
    <row r="7693">
      <c r="A7693" s="3" t="s">
        <v>33885</v>
      </c>
      <c r="B7693" s="3" t="s">
        <v>32517</v>
      </c>
      <c r="C7693" s="5">
        <v>1</v>
      </c>
      <c r="D7693" s="5">
        <v>13</v>
      </c>
      <c r="E7693" s="5">
        <v>7</v>
      </c>
      <c r="F7693" s="5">
        <v>18</v>
      </c>
      <c r="G7693" s="6" t="s">
        <v>36</v>
      </c>
      <c r="H7693" s="4" t="s">
        <v>36</v>
      </c>
      <c r="I7693" s="7" t="s">
        <v>36</v>
      </c>
      <c r="J7693" s="3" t="s">
        <v>36</v>
      </c>
      <c r="K7693" s="9" t="s">
        <v>36</v>
      </c>
      <c r="L7693" s="6" t="s">
        <v>36</v>
      </c>
      <c r="M7693" s="3" t="s">
        <v>36</v>
      </c>
      <c r="N7693" s="3" t="s">
        <v>36</v>
      </c>
      <c r="O7693" s="8" t="s">
        <v>36</v>
      </c>
      <c r="P7693" s="3" t="s">
        <v>36</v>
      </c>
      <c r="Q7693" s="3" t="s">
        <v>36</v>
      </c>
      <c r="R7693" s="3" t="s">
        <v>36</v>
      </c>
      <c r="S7693" s="3" t="s">
        <v>36</v>
      </c>
      <c r="T7693" s="3" t="s">
        <v>32518</v>
      </c>
      <c r="U7693" s="3" t="s">
        <v>219</v>
      </c>
      <c r="V7693" s="3" t="s">
        <v>75</v>
      </c>
      <c r="W7693" s="3" t="s">
        <v>32519</v>
      </c>
      <c r="X7693" s="10" t="s">
        <v>33886</v>
      </c>
      <c r="Y7693" s="6" t="s">
        <v>42</v>
      </c>
      <c r="Z7693" s="4" t="s">
        <v>36</v>
      </c>
      <c r="AA7693" s="4" t="s">
        <v>36</v>
      </c>
      <c r="AB7693" s="3" t="s">
        <v>43</v>
      </c>
      <c r="AC7693" s="3" t="s">
        <v>32521</v>
      </c>
      <c r="AD7693" s="9">
        <v>41730</v>
      </c>
      <c r="AE7693" s="3" t="s">
        <v>1032</v>
      </c>
      <c r="AF7693" s="3" t="s">
        <v>4668</v>
      </c>
      <c r="AG7693" s="3" t="s">
        <v>144</v>
      </c>
      <c r="AH7693" s="11">
        <f>HYPERLINK("https://my.pitchbook.com?c=29983-06T","View Company Online")</f>
      </c>
    </row>
    <row r="7694">
      <c r="A7694" s="12" t="s">
        <v>33887</v>
      </c>
      <c r="B7694" s="12" t="s">
        <v>33888</v>
      </c>
      <c r="C7694" s="19" t="s">
        <v>36</v>
      </c>
      <c r="D7694" s="19" t="s">
        <v>36</v>
      </c>
      <c r="E7694" s="19" t="s">
        <v>36</v>
      </c>
      <c r="F7694" s="19" t="s">
        <v>36</v>
      </c>
      <c r="G7694" s="15" t="s">
        <v>36</v>
      </c>
      <c r="H7694" s="14" t="s">
        <v>36</v>
      </c>
      <c r="I7694" s="18" t="s">
        <v>36</v>
      </c>
      <c r="J7694" s="12" t="s">
        <v>36</v>
      </c>
      <c r="K7694" s="13" t="s">
        <v>36</v>
      </c>
      <c r="L7694" s="15" t="s">
        <v>36</v>
      </c>
      <c r="M7694" s="12" t="s">
        <v>36</v>
      </c>
      <c r="N7694" s="12" t="s">
        <v>36</v>
      </c>
      <c r="O7694" s="17" t="s">
        <v>36</v>
      </c>
      <c r="P7694" s="12" t="s">
        <v>36</v>
      </c>
      <c r="Q7694" s="12" t="s">
        <v>36</v>
      </c>
      <c r="R7694" s="12" t="s">
        <v>36</v>
      </c>
      <c r="S7694" s="12" t="s">
        <v>36</v>
      </c>
      <c r="T7694" s="12" t="s">
        <v>3125</v>
      </c>
      <c r="U7694" s="12" t="s">
        <v>279</v>
      </c>
      <c r="V7694" s="12" t="s">
        <v>64</v>
      </c>
      <c r="W7694" s="12" t="s">
        <v>33889</v>
      </c>
      <c r="X7694" s="16" t="s">
        <v>33890</v>
      </c>
      <c r="Y7694" s="15" t="s">
        <v>42</v>
      </c>
      <c r="Z7694" s="14" t="s">
        <v>36</v>
      </c>
      <c r="AA7694" s="14" t="s">
        <v>36</v>
      </c>
      <c r="AB7694" s="12" t="s">
        <v>43</v>
      </c>
      <c r="AC7694" s="12" t="s">
        <v>33891</v>
      </c>
      <c r="AD7694" s="13">
        <v>41730</v>
      </c>
      <c r="AE7694" s="12" t="s">
        <v>283</v>
      </c>
      <c r="AF7694" s="12" t="s">
        <v>1636</v>
      </c>
      <c r="AG7694" s="12" t="s">
        <v>33892</v>
      </c>
      <c r="AH7694" s="1">
        <f>HYPERLINK("https://my.pitchbook.com?c=29983-15T","View Company Online")</f>
      </c>
    </row>
    <row r="7695">
      <c r="A7695" s="3" t="s">
        <v>33893</v>
      </c>
      <c r="B7695" s="3" t="s">
        <v>33894</v>
      </c>
      <c r="C7695" s="5" t="s">
        <v>36</v>
      </c>
      <c r="D7695" s="5" t="s">
        <v>36</v>
      </c>
      <c r="E7695" s="5" t="s">
        <v>36</v>
      </c>
      <c r="F7695" s="5" t="s">
        <v>36</v>
      </c>
      <c r="G7695" s="6" t="s">
        <v>36</v>
      </c>
      <c r="H7695" s="4" t="s">
        <v>36</v>
      </c>
      <c r="I7695" s="7" t="s">
        <v>36</v>
      </c>
      <c r="J7695" s="3" t="s">
        <v>36</v>
      </c>
      <c r="K7695" s="9" t="s">
        <v>36</v>
      </c>
      <c r="L7695" s="6" t="s">
        <v>36</v>
      </c>
      <c r="M7695" s="3" t="s">
        <v>36</v>
      </c>
      <c r="N7695" s="3" t="s">
        <v>36</v>
      </c>
      <c r="O7695" s="8" t="s">
        <v>36</v>
      </c>
      <c r="P7695" s="3" t="s">
        <v>36</v>
      </c>
      <c r="Q7695" s="3" t="s">
        <v>36</v>
      </c>
      <c r="R7695" s="3" t="s">
        <v>36</v>
      </c>
      <c r="S7695" s="3" t="s">
        <v>36</v>
      </c>
      <c r="T7695" s="3" t="s">
        <v>33895</v>
      </c>
      <c r="U7695" s="3" t="s">
        <v>233</v>
      </c>
      <c r="V7695" s="3" t="s">
        <v>39</v>
      </c>
      <c r="W7695" s="3" t="s">
        <v>33896</v>
      </c>
      <c r="X7695" s="10" t="s">
        <v>20527</v>
      </c>
      <c r="Y7695" s="6" t="s">
        <v>42</v>
      </c>
      <c r="Z7695" s="4" t="s">
        <v>36</v>
      </c>
      <c r="AA7695" s="4" t="s">
        <v>36</v>
      </c>
      <c r="AB7695" s="3" t="s">
        <v>43</v>
      </c>
      <c r="AC7695" s="3" t="s">
        <v>33897</v>
      </c>
      <c r="AD7695" s="9">
        <v>41730</v>
      </c>
      <c r="AE7695" s="3" t="s">
        <v>236</v>
      </c>
      <c r="AF7695" s="3" t="s">
        <v>21884</v>
      </c>
      <c r="AG7695" s="3" t="s">
        <v>5193</v>
      </c>
      <c r="AH7695" s="11">
        <f>HYPERLINK("https://my.pitchbook.com?c=29992-69T","View Company Online")</f>
      </c>
    </row>
    <row r="7696">
      <c r="A7696" s="12" t="s">
        <v>33898</v>
      </c>
      <c r="B7696" s="12" t="s">
        <v>33899</v>
      </c>
      <c r="C7696" s="19" t="s">
        <v>36</v>
      </c>
      <c r="D7696" s="19" t="s">
        <v>36</v>
      </c>
      <c r="E7696" s="19" t="s">
        <v>36</v>
      </c>
      <c r="F7696" s="19" t="s">
        <v>36</v>
      </c>
      <c r="G7696" s="15" t="s">
        <v>36</v>
      </c>
      <c r="H7696" s="14" t="s">
        <v>36</v>
      </c>
      <c r="I7696" s="18" t="s">
        <v>36</v>
      </c>
      <c r="J7696" s="12" t="s">
        <v>36</v>
      </c>
      <c r="K7696" s="13" t="s">
        <v>36</v>
      </c>
      <c r="L7696" s="15" t="s">
        <v>36</v>
      </c>
      <c r="M7696" s="12" t="s">
        <v>36</v>
      </c>
      <c r="N7696" s="12" t="s">
        <v>36</v>
      </c>
      <c r="O7696" s="17" t="s">
        <v>36</v>
      </c>
      <c r="P7696" s="12" t="s">
        <v>36</v>
      </c>
      <c r="Q7696" s="12" t="s">
        <v>36</v>
      </c>
      <c r="R7696" s="12" t="s">
        <v>36</v>
      </c>
      <c r="S7696" s="12" t="s">
        <v>36</v>
      </c>
      <c r="T7696" s="12" t="s">
        <v>472</v>
      </c>
      <c r="U7696" s="12" t="s">
        <v>38</v>
      </c>
      <c r="V7696" s="12" t="s">
        <v>39</v>
      </c>
      <c r="W7696" s="12" t="s">
        <v>33900</v>
      </c>
      <c r="X7696" s="16" t="s">
        <v>11407</v>
      </c>
      <c r="Y7696" s="15" t="s">
        <v>42</v>
      </c>
      <c r="Z7696" s="14" t="s">
        <v>36</v>
      </c>
      <c r="AA7696" s="14" t="s">
        <v>36</v>
      </c>
      <c r="AB7696" s="12" t="s">
        <v>43</v>
      </c>
      <c r="AC7696" s="12" t="s">
        <v>33901</v>
      </c>
      <c r="AD7696" s="13">
        <v>41730</v>
      </c>
      <c r="AE7696" s="12" t="s">
        <v>110</v>
      </c>
      <c r="AF7696" s="12" t="s">
        <v>11479</v>
      </c>
      <c r="AG7696" s="12" t="s">
        <v>81</v>
      </c>
      <c r="AH7696" s="1">
        <f>HYPERLINK("https://my.pitchbook.com?c=29992-15T","View Company Online")</f>
      </c>
    </row>
    <row r="7697">
      <c r="A7697" s="3" t="s">
        <v>33902</v>
      </c>
      <c r="B7697" s="3" t="s">
        <v>33903</v>
      </c>
      <c r="C7697" s="5" t="s">
        <v>36</v>
      </c>
      <c r="D7697" s="5">
        <v>9</v>
      </c>
      <c r="E7697" s="5">
        <v>3</v>
      </c>
      <c r="F7697" s="5">
        <v>12</v>
      </c>
      <c r="G7697" s="6" t="s">
        <v>36</v>
      </c>
      <c r="H7697" s="4" t="s">
        <v>36</v>
      </c>
      <c r="I7697" s="7" t="s">
        <v>36</v>
      </c>
      <c r="J7697" s="3" t="s">
        <v>36</v>
      </c>
      <c r="K7697" s="9" t="s">
        <v>36</v>
      </c>
      <c r="L7697" s="6" t="s">
        <v>36</v>
      </c>
      <c r="M7697" s="3" t="s">
        <v>36</v>
      </c>
      <c r="N7697" s="3" t="s">
        <v>36</v>
      </c>
      <c r="O7697" s="8" t="s">
        <v>36</v>
      </c>
      <c r="P7697" s="3" t="s">
        <v>36</v>
      </c>
      <c r="Q7697" s="3" t="s">
        <v>36</v>
      </c>
      <c r="R7697" s="3" t="s">
        <v>36</v>
      </c>
      <c r="S7697" s="3" t="s">
        <v>36</v>
      </c>
      <c r="T7697" s="3" t="s">
        <v>661</v>
      </c>
      <c r="U7697" s="3" t="s">
        <v>51</v>
      </c>
      <c r="V7697" s="3" t="s">
        <v>52</v>
      </c>
      <c r="W7697" s="3" t="s">
        <v>33904</v>
      </c>
      <c r="X7697" s="10" t="s">
        <v>33905</v>
      </c>
      <c r="Y7697" s="6" t="s">
        <v>42</v>
      </c>
      <c r="Z7697" s="4" t="s">
        <v>36</v>
      </c>
      <c r="AA7697" s="4" t="s">
        <v>36</v>
      </c>
      <c r="AB7697" s="3" t="s">
        <v>43</v>
      </c>
      <c r="AC7697" s="3" t="s">
        <v>33906</v>
      </c>
      <c r="AD7697" s="9">
        <v>41730</v>
      </c>
      <c r="AE7697" s="3" t="s">
        <v>158</v>
      </c>
      <c r="AF7697" s="3" t="s">
        <v>665</v>
      </c>
      <c r="AG7697" s="3" t="s">
        <v>2370</v>
      </c>
      <c r="AH7697" s="11">
        <f>HYPERLINK("https://my.pitchbook.com?c=29711-71T","View Company Online")</f>
      </c>
    </row>
    <row r="7698">
      <c r="A7698" s="12" t="s">
        <v>33907</v>
      </c>
      <c r="B7698" s="12" t="s">
        <v>33908</v>
      </c>
      <c r="C7698" s="19" t="s">
        <v>36</v>
      </c>
      <c r="D7698" s="19" t="s">
        <v>36</v>
      </c>
      <c r="E7698" s="19" t="s">
        <v>36</v>
      </c>
      <c r="F7698" s="19" t="s">
        <v>36</v>
      </c>
      <c r="G7698" s="15" t="s">
        <v>36</v>
      </c>
      <c r="H7698" s="14" t="s">
        <v>36</v>
      </c>
      <c r="I7698" s="18" t="s">
        <v>36</v>
      </c>
      <c r="J7698" s="12" t="s">
        <v>36</v>
      </c>
      <c r="K7698" s="13" t="s">
        <v>36</v>
      </c>
      <c r="L7698" s="15" t="s">
        <v>36</v>
      </c>
      <c r="M7698" s="12" t="s">
        <v>36</v>
      </c>
      <c r="N7698" s="12" t="s">
        <v>36</v>
      </c>
      <c r="O7698" s="17" t="s">
        <v>36</v>
      </c>
      <c r="P7698" s="12" t="s">
        <v>36</v>
      </c>
      <c r="Q7698" s="12" t="s">
        <v>36</v>
      </c>
      <c r="R7698" s="12" t="s">
        <v>36</v>
      </c>
      <c r="S7698" s="12" t="s">
        <v>36</v>
      </c>
      <c r="T7698" s="12" t="s">
        <v>1162</v>
      </c>
      <c r="U7698" s="12" t="s">
        <v>423</v>
      </c>
      <c r="V7698" s="12" t="s">
        <v>64</v>
      </c>
      <c r="W7698" s="12" t="s">
        <v>33909</v>
      </c>
      <c r="X7698" s="16" t="s">
        <v>33910</v>
      </c>
      <c r="Y7698" s="15" t="s">
        <v>42</v>
      </c>
      <c r="Z7698" s="14">
        <v>0.83</v>
      </c>
      <c r="AA7698" s="14" t="s">
        <v>36</v>
      </c>
      <c r="AB7698" s="12" t="s">
        <v>43</v>
      </c>
      <c r="AC7698" s="12" t="s">
        <v>33911</v>
      </c>
      <c r="AD7698" s="13">
        <v>41730</v>
      </c>
      <c r="AE7698" s="12" t="s">
        <v>562</v>
      </c>
      <c r="AF7698" s="12" t="s">
        <v>571</v>
      </c>
      <c r="AG7698" s="12" t="s">
        <v>4558</v>
      </c>
      <c r="AH7698" s="1">
        <f>HYPERLINK("https://my.pitchbook.com?c=30116-71T","View Company Online")</f>
      </c>
    </row>
    <row r="7699">
      <c r="A7699" s="3" t="s">
        <v>33912</v>
      </c>
      <c r="B7699" s="3" t="s">
        <v>33913</v>
      </c>
      <c r="C7699" s="5" t="s">
        <v>36</v>
      </c>
      <c r="D7699" s="5">
        <v>2</v>
      </c>
      <c r="E7699" s="5">
        <v>2</v>
      </c>
      <c r="F7699" s="5">
        <v>3</v>
      </c>
      <c r="G7699" s="6" t="s">
        <v>36</v>
      </c>
      <c r="H7699" s="4" t="s">
        <v>36</v>
      </c>
      <c r="I7699" s="7" t="s">
        <v>36</v>
      </c>
      <c r="J7699" s="3" t="s">
        <v>36</v>
      </c>
      <c r="K7699" s="9" t="s">
        <v>36</v>
      </c>
      <c r="L7699" s="6" t="s">
        <v>36</v>
      </c>
      <c r="M7699" s="3" t="s">
        <v>36</v>
      </c>
      <c r="N7699" s="3" t="s">
        <v>36</v>
      </c>
      <c r="O7699" s="8" t="s">
        <v>36</v>
      </c>
      <c r="P7699" s="3" t="s">
        <v>36</v>
      </c>
      <c r="Q7699" s="3" t="s">
        <v>36</v>
      </c>
      <c r="R7699" s="3" t="s">
        <v>36</v>
      </c>
      <c r="S7699" s="3" t="s">
        <v>36</v>
      </c>
      <c r="T7699" s="3" t="s">
        <v>33914</v>
      </c>
      <c r="U7699" s="3" t="s">
        <v>1798</v>
      </c>
      <c r="V7699" s="3" t="s">
        <v>39</v>
      </c>
      <c r="W7699" s="3" t="s">
        <v>33915</v>
      </c>
      <c r="X7699" s="10" t="s">
        <v>18390</v>
      </c>
      <c r="Y7699" s="6" t="s">
        <v>42</v>
      </c>
      <c r="Z7699" s="4" t="s">
        <v>36</v>
      </c>
      <c r="AA7699" s="4" t="s">
        <v>36</v>
      </c>
      <c r="AB7699" s="3" t="s">
        <v>43</v>
      </c>
      <c r="AC7699" s="3" t="s">
        <v>33916</v>
      </c>
      <c r="AD7699" s="9">
        <v>41730</v>
      </c>
      <c r="AE7699" s="3" t="s">
        <v>1802</v>
      </c>
      <c r="AF7699" s="3" t="s">
        <v>10379</v>
      </c>
      <c r="AG7699" s="3" t="s">
        <v>81</v>
      </c>
      <c r="AH7699" s="11">
        <f>HYPERLINK("https://my.pitchbook.com?c=29774-80T","View Company Online")</f>
      </c>
    </row>
    <row r="7700">
      <c r="A7700" s="12" t="s">
        <v>33917</v>
      </c>
      <c r="B7700" s="12" t="s">
        <v>33918</v>
      </c>
      <c r="C7700" s="19" t="s">
        <v>36</v>
      </c>
      <c r="D7700" s="19">
        <v>1</v>
      </c>
      <c r="E7700" s="19">
        <v>2</v>
      </c>
      <c r="F7700" s="19">
        <v>3</v>
      </c>
      <c r="G7700" s="15" t="s">
        <v>36</v>
      </c>
      <c r="H7700" s="14" t="s">
        <v>36</v>
      </c>
      <c r="I7700" s="18" t="s">
        <v>36</v>
      </c>
      <c r="J7700" s="12" t="s">
        <v>36</v>
      </c>
      <c r="K7700" s="13" t="s">
        <v>36</v>
      </c>
      <c r="L7700" s="15" t="s">
        <v>36</v>
      </c>
      <c r="M7700" s="12" t="s">
        <v>36</v>
      </c>
      <c r="N7700" s="12" t="s">
        <v>36</v>
      </c>
      <c r="O7700" s="17" t="s">
        <v>36</v>
      </c>
      <c r="P7700" s="12" t="s">
        <v>36</v>
      </c>
      <c r="Q7700" s="12" t="s">
        <v>36</v>
      </c>
      <c r="R7700" s="12" t="s">
        <v>36</v>
      </c>
      <c r="S7700" s="12" t="s">
        <v>36</v>
      </c>
      <c r="T7700" s="12" t="s">
        <v>1106</v>
      </c>
      <c r="U7700" s="12" t="s">
        <v>38</v>
      </c>
      <c r="V7700" s="12" t="s">
        <v>39</v>
      </c>
      <c r="W7700" s="12" t="s">
        <v>33919</v>
      </c>
      <c r="X7700" s="16" t="s">
        <v>33886</v>
      </c>
      <c r="Y7700" s="15" t="s">
        <v>42</v>
      </c>
      <c r="Z7700" s="14" t="s">
        <v>36</v>
      </c>
      <c r="AA7700" s="14" t="s">
        <v>36</v>
      </c>
      <c r="AB7700" s="12" t="s">
        <v>56</v>
      </c>
      <c r="AC7700" s="12" t="s">
        <v>33920</v>
      </c>
      <c r="AD7700" s="13">
        <v>41730</v>
      </c>
      <c r="AE7700" s="12" t="s">
        <v>110</v>
      </c>
      <c r="AF7700" s="12" t="s">
        <v>815</v>
      </c>
      <c r="AG7700" s="12" t="s">
        <v>21461</v>
      </c>
      <c r="AH7700" s="1">
        <f>HYPERLINK("https://my.pitchbook.com?c=29876-50T","View Company Online")</f>
      </c>
    </row>
    <row r="7701">
      <c r="A7701" s="3" t="s">
        <v>33921</v>
      </c>
      <c r="B7701" s="3" t="s">
        <v>33922</v>
      </c>
      <c r="C7701" s="5">
        <v>2</v>
      </c>
      <c r="D7701" s="5" t="s">
        <v>36</v>
      </c>
      <c r="E7701" s="5">
        <v>3</v>
      </c>
      <c r="F7701" s="5">
        <v>4</v>
      </c>
      <c r="G7701" s="6" t="s">
        <v>36</v>
      </c>
      <c r="H7701" s="4" t="s">
        <v>36</v>
      </c>
      <c r="I7701" s="7" t="s">
        <v>36</v>
      </c>
      <c r="J7701" s="3" t="s">
        <v>36</v>
      </c>
      <c r="K7701" s="9" t="s">
        <v>36</v>
      </c>
      <c r="L7701" s="6" t="s">
        <v>36</v>
      </c>
      <c r="M7701" s="3" t="s">
        <v>36</v>
      </c>
      <c r="N7701" s="3" t="s">
        <v>36</v>
      </c>
      <c r="O7701" s="8" t="s">
        <v>36</v>
      </c>
      <c r="P7701" s="3" t="s">
        <v>36</v>
      </c>
      <c r="Q7701" s="3" t="s">
        <v>36</v>
      </c>
      <c r="R7701" s="3" t="s">
        <v>36</v>
      </c>
      <c r="S7701" s="3" t="s">
        <v>36</v>
      </c>
      <c r="T7701" s="3" t="s">
        <v>23517</v>
      </c>
      <c r="U7701" s="3" t="s">
        <v>318</v>
      </c>
      <c r="V7701" s="3" t="s">
        <v>39</v>
      </c>
      <c r="W7701" s="3" t="s">
        <v>33923</v>
      </c>
      <c r="X7701" s="10" t="s">
        <v>33924</v>
      </c>
      <c r="Y7701" s="6" t="s">
        <v>42</v>
      </c>
      <c r="Z7701" s="4" t="s">
        <v>36</v>
      </c>
      <c r="AA7701" s="4" t="s">
        <v>36</v>
      </c>
      <c r="AB7701" s="3" t="s">
        <v>43</v>
      </c>
      <c r="AC7701" s="3" t="s">
        <v>33925</v>
      </c>
      <c r="AD7701" s="9">
        <v>41730</v>
      </c>
      <c r="AE7701" s="3" t="s">
        <v>763</v>
      </c>
      <c r="AF7701" s="3" t="s">
        <v>571</v>
      </c>
      <c r="AG7701" s="3" t="s">
        <v>652</v>
      </c>
      <c r="AH7701" s="11">
        <f>HYPERLINK("https://my.pitchbook.com?c=30052-18T","View Company Online")</f>
      </c>
    </row>
    <row r="7702">
      <c r="A7702" s="12" t="s">
        <v>33926</v>
      </c>
      <c r="B7702" s="12" t="s">
        <v>33927</v>
      </c>
      <c r="C7702" s="19" t="s">
        <v>36</v>
      </c>
      <c r="D7702" s="19" t="s">
        <v>36</v>
      </c>
      <c r="E7702" s="19" t="s">
        <v>36</v>
      </c>
      <c r="F7702" s="19" t="s">
        <v>36</v>
      </c>
      <c r="G7702" s="15" t="s">
        <v>36</v>
      </c>
      <c r="H7702" s="14" t="s">
        <v>36</v>
      </c>
      <c r="I7702" s="18" t="s">
        <v>36</v>
      </c>
      <c r="J7702" s="12" t="s">
        <v>36</v>
      </c>
      <c r="K7702" s="13" t="s">
        <v>36</v>
      </c>
      <c r="L7702" s="15" t="s">
        <v>36</v>
      </c>
      <c r="M7702" s="12" t="s">
        <v>36</v>
      </c>
      <c r="N7702" s="12" t="s">
        <v>36</v>
      </c>
      <c r="O7702" s="17" t="s">
        <v>36</v>
      </c>
      <c r="P7702" s="12" t="s">
        <v>36</v>
      </c>
      <c r="Q7702" s="12" t="s">
        <v>36</v>
      </c>
      <c r="R7702" s="12" t="s">
        <v>36</v>
      </c>
      <c r="S7702" s="12" t="s">
        <v>36</v>
      </c>
      <c r="T7702" s="12" t="s">
        <v>33928</v>
      </c>
      <c r="U7702" s="12" t="s">
        <v>219</v>
      </c>
      <c r="V7702" s="12" t="s">
        <v>75</v>
      </c>
      <c r="W7702" s="12" t="s">
        <v>33929</v>
      </c>
      <c r="X7702" s="16" t="s">
        <v>32544</v>
      </c>
      <c r="Y7702" s="15" t="s">
        <v>42</v>
      </c>
      <c r="Z7702" s="14" t="s">
        <v>36</v>
      </c>
      <c r="AA7702" s="14" t="s">
        <v>36</v>
      </c>
      <c r="AB7702" s="12" t="s">
        <v>56</v>
      </c>
      <c r="AC7702" s="12" t="s">
        <v>33930</v>
      </c>
      <c r="AD7702" s="13">
        <v>41730</v>
      </c>
      <c r="AE7702" s="12" t="s">
        <v>1007</v>
      </c>
      <c r="AF7702" s="12" t="s">
        <v>546</v>
      </c>
      <c r="AG7702" s="12" t="s">
        <v>33931</v>
      </c>
      <c r="AH7702" s="1">
        <f>HYPERLINK("https://my.pitchbook.com?c=30051-19T","View Company Online")</f>
      </c>
    </row>
    <row r="7703">
      <c r="A7703" s="3" t="s">
        <v>33932</v>
      </c>
      <c r="B7703" s="3" t="s">
        <v>33933</v>
      </c>
      <c r="C7703" s="5" t="s">
        <v>36</v>
      </c>
      <c r="D7703" s="5" t="s">
        <v>36</v>
      </c>
      <c r="E7703" s="5" t="s">
        <v>36</v>
      </c>
      <c r="F7703" s="5" t="s">
        <v>36</v>
      </c>
      <c r="G7703" s="6" t="s">
        <v>36</v>
      </c>
      <c r="H7703" s="4" t="s">
        <v>36</v>
      </c>
      <c r="I7703" s="7" t="s">
        <v>36</v>
      </c>
      <c r="J7703" s="3" t="s">
        <v>36</v>
      </c>
      <c r="K7703" s="9" t="s">
        <v>36</v>
      </c>
      <c r="L7703" s="6" t="s">
        <v>36</v>
      </c>
      <c r="M7703" s="3" t="s">
        <v>36</v>
      </c>
      <c r="N7703" s="3" t="s">
        <v>36</v>
      </c>
      <c r="O7703" s="8" t="s">
        <v>36</v>
      </c>
      <c r="P7703" s="3" t="s">
        <v>36</v>
      </c>
      <c r="Q7703" s="3" t="s">
        <v>36</v>
      </c>
      <c r="R7703" s="3" t="s">
        <v>36</v>
      </c>
      <c r="S7703" s="3" t="s">
        <v>36</v>
      </c>
      <c r="T7703" s="3" t="s">
        <v>33934</v>
      </c>
      <c r="U7703" s="3" t="s">
        <v>74</v>
      </c>
      <c r="V7703" s="3" t="s">
        <v>75</v>
      </c>
      <c r="W7703" s="3" t="s">
        <v>33935</v>
      </c>
      <c r="X7703" s="10" t="s">
        <v>33936</v>
      </c>
      <c r="Y7703" s="6" t="s">
        <v>42</v>
      </c>
      <c r="Z7703" s="4" t="s">
        <v>36</v>
      </c>
      <c r="AA7703" s="4" t="s">
        <v>36</v>
      </c>
      <c r="AB7703" s="3" t="s">
        <v>43</v>
      </c>
      <c r="AC7703" s="3" t="s">
        <v>33937</v>
      </c>
      <c r="AD7703" s="9">
        <v>41730</v>
      </c>
      <c r="AE7703" s="3" t="s">
        <v>79</v>
      </c>
      <c r="AF7703" s="3" t="s">
        <v>1636</v>
      </c>
      <c r="AG7703" s="3" t="s">
        <v>81</v>
      </c>
      <c r="AH7703" s="11">
        <f>HYPERLINK("https://my.pitchbook.com?c=30001-33T","View Company Online")</f>
      </c>
    </row>
    <row r="7704">
      <c r="A7704" s="12" t="s">
        <v>33938</v>
      </c>
      <c r="B7704" s="12" t="s">
        <v>33939</v>
      </c>
      <c r="C7704" s="19" t="s">
        <v>36</v>
      </c>
      <c r="D7704" s="19">
        <v>1</v>
      </c>
      <c r="E7704" s="19">
        <v>2</v>
      </c>
      <c r="F7704" s="19">
        <v>4</v>
      </c>
      <c r="G7704" s="15" t="s">
        <v>36</v>
      </c>
      <c r="H7704" s="14" t="s">
        <v>36</v>
      </c>
      <c r="I7704" s="18" t="s">
        <v>36</v>
      </c>
      <c r="J7704" s="12" t="s">
        <v>36</v>
      </c>
      <c r="K7704" s="13" t="s">
        <v>36</v>
      </c>
      <c r="L7704" s="15" t="s">
        <v>36</v>
      </c>
      <c r="M7704" s="12" t="s">
        <v>36</v>
      </c>
      <c r="N7704" s="12" t="s">
        <v>36</v>
      </c>
      <c r="O7704" s="17" t="s">
        <v>36</v>
      </c>
      <c r="P7704" s="12" t="s">
        <v>36</v>
      </c>
      <c r="Q7704" s="12" t="s">
        <v>36</v>
      </c>
      <c r="R7704" s="12" t="s">
        <v>36</v>
      </c>
      <c r="S7704" s="12" t="s">
        <v>36</v>
      </c>
      <c r="T7704" s="12" t="s">
        <v>33940</v>
      </c>
      <c r="U7704" s="12" t="s">
        <v>51</v>
      </c>
      <c r="V7704" s="12" t="s">
        <v>52</v>
      </c>
      <c r="W7704" s="12" t="s">
        <v>33941</v>
      </c>
      <c r="X7704" s="16" t="s">
        <v>20527</v>
      </c>
      <c r="Y7704" s="15" t="s">
        <v>42</v>
      </c>
      <c r="Z7704" s="14" t="s">
        <v>36</v>
      </c>
      <c r="AA7704" s="14" t="s">
        <v>36</v>
      </c>
      <c r="AB7704" s="12" t="s">
        <v>43</v>
      </c>
      <c r="AC7704" s="12" t="s">
        <v>33942</v>
      </c>
      <c r="AD7704" s="13">
        <v>41730</v>
      </c>
      <c r="AE7704" s="12" t="s">
        <v>158</v>
      </c>
      <c r="AF7704" s="12" t="s">
        <v>159</v>
      </c>
      <c r="AG7704" s="12" t="s">
        <v>33943</v>
      </c>
      <c r="AH7704" s="1">
        <f>HYPERLINK("https://my.pitchbook.com?c=30094-12T","View Company Online")</f>
      </c>
    </row>
    <row r="7705">
      <c r="A7705" s="3" t="s">
        <v>33944</v>
      </c>
      <c r="B7705" s="3" t="s">
        <v>33945</v>
      </c>
      <c r="C7705" s="5" t="s">
        <v>36</v>
      </c>
      <c r="D7705" s="5" t="s">
        <v>36</v>
      </c>
      <c r="E7705" s="5" t="s">
        <v>36</v>
      </c>
      <c r="F7705" s="5" t="s">
        <v>36</v>
      </c>
      <c r="G7705" s="6" t="s">
        <v>36</v>
      </c>
      <c r="H7705" s="4" t="s">
        <v>36</v>
      </c>
      <c r="I7705" s="7" t="s">
        <v>36</v>
      </c>
      <c r="J7705" s="3" t="s">
        <v>36</v>
      </c>
      <c r="K7705" s="9" t="s">
        <v>36</v>
      </c>
      <c r="L7705" s="6" t="s">
        <v>36</v>
      </c>
      <c r="M7705" s="3" t="s">
        <v>36</v>
      </c>
      <c r="N7705" s="3" t="s">
        <v>36</v>
      </c>
      <c r="O7705" s="8" t="s">
        <v>36</v>
      </c>
      <c r="P7705" s="3" t="s">
        <v>36</v>
      </c>
      <c r="Q7705" s="3" t="s">
        <v>36</v>
      </c>
      <c r="R7705" s="3" t="s">
        <v>36</v>
      </c>
      <c r="S7705" s="3" t="s">
        <v>36</v>
      </c>
      <c r="T7705" s="3" t="s">
        <v>19983</v>
      </c>
      <c r="U7705" s="3" t="s">
        <v>219</v>
      </c>
      <c r="V7705" s="3" t="s">
        <v>75</v>
      </c>
      <c r="W7705" s="3" t="s">
        <v>33946</v>
      </c>
      <c r="X7705" s="10" t="s">
        <v>32544</v>
      </c>
      <c r="Y7705" s="6" t="s">
        <v>42</v>
      </c>
      <c r="Z7705" s="4" t="s">
        <v>36</v>
      </c>
      <c r="AA7705" s="4" t="s">
        <v>36</v>
      </c>
      <c r="AB7705" s="3" t="s">
        <v>56</v>
      </c>
      <c r="AC7705" s="3" t="s">
        <v>33947</v>
      </c>
      <c r="AD7705" s="9">
        <v>41730</v>
      </c>
      <c r="AE7705" s="3" t="s">
        <v>2914</v>
      </c>
      <c r="AF7705" s="3" t="s">
        <v>546</v>
      </c>
      <c r="AG7705" s="3" t="s">
        <v>33948</v>
      </c>
      <c r="AH7705" s="11">
        <f>HYPERLINK("https://my.pitchbook.com?c=30097-18T","View Company Online")</f>
      </c>
    </row>
    <row r="7706">
      <c r="A7706" s="12" t="s">
        <v>33949</v>
      </c>
      <c r="B7706" s="12" t="s">
        <v>33950</v>
      </c>
      <c r="C7706" s="19" t="s">
        <v>36</v>
      </c>
      <c r="D7706" s="19" t="s">
        <v>36</v>
      </c>
      <c r="E7706" s="19" t="s">
        <v>36</v>
      </c>
      <c r="F7706" s="19" t="s">
        <v>36</v>
      </c>
      <c r="G7706" s="15" t="s">
        <v>36</v>
      </c>
      <c r="H7706" s="14" t="s">
        <v>36</v>
      </c>
      <c r="I7706" s="18" t="s">
        <v>36</v>
      </c>
      <c r="J7706" s="12" t="s">
        <v>36</v>
      </c>
      <c r="K7706" s="13" t="s">
        <v>36</v>
      </c>
      <c r="L7706" s="15" t="s">
        <v>36</v>
      </c>
      <c r="M7706" s="12" t="s">
        <v>36</v>
      </c>
      <c r="N7706" s="12" t="s">
        <v>36</v>
      </c>
      <c r="O7706" s="17" t="s">
        <v>36</v>
      </c>
      <c r="P7706" s="12" t="s">
        <v>36</v>
      </c>
      <c r="Q7706" s="12" t="s">
        <v>36</v>
      </c>
      <c r="R7706" s="12" t="s">
        <v>36</v>
      </c>
      <c r="S7706" s="12" t="s">
        <v>36</v>
      </c>
      <c r="T7706" s="12" t="s">
        <v>33951</v>
      </c>
      <c r="U7706" s="12" t="s">
        <v>233</v>
      </c>
      <c r="V7706" s="12" t="s">
        <v>39</v>
      </c>
      <c r="W7706" s="12" t="s">
        <v>33952</v>
      </c>
      <c r="X7706" s="16" t="s">
        <v>20527</v>
      </c>
      <c r="Y7706" s="15" t="s">
        <v>42</v>
      </c>
      <c r="Z7706" s="14" t="s">
        <v>36</v>
      </c>
      <c r="AA7706" s="14" t="s">
        <v>36</v>
      </c>
      <c r="AB7706" s="12" t="s">
        <v>43</v>
      </c>
      <c r="AC7706" s="12" t="s">
        <v>33953</v>
      </c>
      <c r="AD7706" s="13">
        <v>41730</v>
      </c>
      <c r="AE7706" s="12" t="s">
        <v>12061</v>
      </c>
      <c r="AF7706" s="12" t="s">
        <v>2830</v>
      </c>
      <c r="AG7706" s="12" t="s">
        <v>512</v>
      </c>
      <c r="AH7706" s="1">
        <f>HYPERLINK("https://my.pitchbook.com?c=29808-19T","View Company Online")</f>
      </c>
    </row>
    <row r="7707">
      <c r="A7707" s="3" t="s">
        <v>33954</v>
      </c>
      <c r="B7707" s="3" t="s">
        <v>33955</v>
      </c>
      <c r="C7707" s="5">
        <v>1</v>
      </c>
      <c r="D7707" s="5">
        <v>1</v>
      </c>
      <c r="E7707" s="5">
        <v>1</v>
      </c>
      <c r="F7707" s="5">
        <v>5</v>
      </c>
      <c r="G7707" s="6" t="s">
        <v>36</v>
      </c>
      <c r="H7707" s="4" t="s">
        <v>36</v>
      </c>
      <c r="I7707" s="7" t="s">
        <v>36</v>
      </c>
      <c r="J7707" s="3" t="s">
        <v>36</v>
      </c>
      <c r="K7707" s="9" t="s">
        <v>36</v>
      </c>
      <c r="L7707" s="6" t="s">
        <v>36</v>
      </c>
      <c r="M7707" s="3" t="s">
        <v>36</v>
      </c>
      <c r="N7707" s="3" t="s">
        <v>36</v>
      </c>
      <c r="O7707" s="8" t="s">
        <v>36</v>
      </c>
      <c r="P7707" s="3" t="s">
        <v>36</v>
      </c>
      <c r="Q7707" s="3" t="s">
        <v>36</v>
      </c>
      <c r="R7707" s="3" t="s">
        <v>36</v>
      </c>
      <c r="S7707" s="3" t="s">
        <v>36</v>
      </c>
      <c r="T7707" s="3" t="s">
        <v>3277</v>
      </c>
      <c r="U7707" s="3" t="s">
        <v>1357</v>
      </c>
      <c r="V7707" s="3" t="s">
        <v>52</v>
      </c>
      <c r="W7707" s="3" t="s">
        <v>33956</v>
      </c>
      <c r="X7707" s="10" t="s">
        <v>33957</v>
      </c>
      <c r="Y7707" s="6" t="s">
        <v>42</v>
      </c>
      <c r="Z7707" s="4" t="s">
        <v>36</v>
      </c>
      <c r="AA7707" s="4" t="s">
        <v>36</v>
      </c>
      <c r="AB7707" s="3" t="s">
        <v>43</v>
      </c>
      <c r="AC7707" s="3" t="s">
        <v>33958</v>
      </c>
      <c r="AD7707" s="9">
        <v>41730</v>
      </c>
      <c r="AE7707" s="3" t="s">
        <v>3204</v>
      </c>
      <c r="AF7707" s="3" t="s">
        <v>14380</v>
      </c>
      <c r="AG7707" s="3" t="s">
        <v>81</v>
      </c>
      <c r="AH7707" s="11">
        <f>HYPERLINK("https://my.pitchbook.com?c=30112-75T","View Company Online")</f>
      </c>
    </row>
    <row r="7708">
      <c r="A7708" s="12" t="s">
        <v>33959</v>
      </c>
      <c r="B7708" s="12" t="s">
        <v>33960</v>
      </c>
      <c r="C7708" s="19" t="s">
        <v>36</v>
      </c>
      <c r="D7708" s="19" t="s">
        <v>36</v>
      </c>
      <c r="E7708" s="19" t="s">
        <v>36</v>
      </c>
      <c r="F7708" s="19" t="s">
        <v>36</v>
      </c>
      <c r="G7708" s="15" t="s">
        <v>683</v>
      </c>
      <c r="H7708" s="14">
        <v>2644.19</v>
      </c>
      <c r="I7708" s="18">
        <v>35.73</v>
      </c>
      <c r="J7708" s="12" t="s">
        <v>521</v>
      </c>
      <c r="K7708" s="13" t="s">
        <v>36</v>
      </c>
      <c r="L7708" s="15" t="s">
        <v>36</v>
      </c>
      <c r="M7708" s="12" t="s">
        <v>36</v>
      </c>
      <c r="N7708" s="12" t="s">
        <v>36</v>
      </c>
      <c r="O7708" s="17" t="s">
        <v>36</v>
      </c>
      <c r="P7708" s="12" t="s">
        <v>36</v>
      </c>
      <c r="Q7708" s="12" t="s">
        <v>36</v>
      </c>
      <c r="R7708" s="12" t="s">
        <v>36</v>
      </c>
      <c r="S7708" s="12" t="s">
        <v>36</v>
      </c>
      <c r="T7708" s="12" t="s">
        <v>6557</v>
      </c>
      <c r="U7708" s="12" t="s">
        <v>648</v>
      </c>
      <c r="V7708" s="12" t="s">
        <v>64</v>
      </c>
      <c r="W7708" s="12" t="s">
        <v>33961</v>
      </c>
      <c r="X7708" s="16" t="s">
        <v>16103</v>
      </c>
      <c r="Y7708" s="15" t="s">
        <v>42</v>
      </c>
      <c r="Z7708" s="14">
        <v>1.38</v>
      </c>
      <c r="AA7708" s="14">
        <v>3.87</v>
      </c>
      <c r="AB7708" s="12" t="s">
        <v>56</v>
      </c>
      <c r="AC7708" s="12" t="s">
        <v>33962</v>
      </c>
      <c r="AD7708" s="13">
        <v>41730</v>
      </c>
      <c r="AE7708" s="12" t="s">
        <v>1897</v>
      </c>
      <c r="AF7708" s="12" t="s">
        <v>33963</v>
      </c>
      <c r="AG7708" s="12" t="s">
        <v>81</v>
      </c>
      <c r="AH7708" s="1">
        <f>HYPERLINK("https://my.pitchbook.com?c=44190-01T","View Company Online")</f>
      </c>
    </row>
    <row r="7709">
      <c r="A7709" s="3" t="s">
        <v>33964</v>
      </c>
      <c r="B7709" s="3" t="s">
        <v>33965</v>
      </c>
      <c r="C7709" s="5" t="s">
        <v>36</v>
      </c>
      <c r="D7709" s="5" t="s">
        <v>36</v>
      </c>
      <c r="E7709" s="5" t="s">
        <v>36</v>
      </c>
      <c r="F7709" s="5" t="s">
        <v>36</v>
      </c>
      <c r="G7709" s="6" t="s">
        <v>36</v>
      </c>
      <c r="H7709" s="4" t="s">
        <v>36</v>
      </c>
      <c r="I7709" s="7" t="s">
        <v>36</v>
      </c>
      <c r="J7709" s="3" t="s">
        <v>36</v>
      </c>
      <c r="K7709" s="9" t="s">
        <v>36</v>
      </c>
      <c r="L7709" s="6" t="s">
        <v>36</v>
      </c>
      <c r="M7709" s="3" t="s">
        <v>36</v>
      </c>
      <c r="N7709" s="3" t="s">
        <v>36</v>
      </c>
      <c r="O7709" s="8" t="s">
        <v>36</v>
      </c>
      <c r="P7709" s="3" t="s">
        <v>36</v>
      </c>
      <c r="Q7709" s="3" t="s">
        <v>36</v>
      </c>
      <c r="R7709" s="3" t="s">
        <v>36</v>
      </c>
      <c r="S7709" s="3" t="s">
        <v>36</v>
      </c>
      <c r="T7709" s="3" t="s">
        <v>33966</v>
      </c>
      <c r="U7709" s="3" t="s">
        <v>38</v>
      </c>
      <c r="V7709" s="3" t="s">
        <v>39</v>
      </c>
      <c r="W7709" s="3" t="s">
        <v>33967</v>
      </c>
      <c r="X7709" s="10" t="s">
        <v>11407</v>
      </c>
      <c r="Y7709" s="6" t="s">
        <v>42</v>
      </c>
      <c r="Z7709" s="4" t="s">
        <v>36</v>
      </c>
      <c r="AA7709" s="4" t="s">
        <v>36</v>
      </c>
      <c r="AB7709" s="3" t="s">
        <v>43</v>
      </c>
      <c r="AC7709" s="3" t="s">
        <v>33968</v>
      </c>
      <c r="AD7709" s="9">
        <v>41730</v>
      </c>
      <c r="AE7709" s="3" t="s">
        <v>110</v>
      </c>
      <c r="AF7709" s="3" t="s">
        <v>4552</v>
      </c>
      <c r="AG7709" s="3" t="s">
        <v>2760</v>
      </c>
      <c r="AH7709" s="11">
        <f>HYPERLINK("https://my.pitchbook.com?c=30120-31T","View Company Online")</f>
      </c>
    </row>
    <row r="7710">
      <c r="A7710" s="12" t="s">
        <v>33969</v>
      </c>
      <c r="B7710" s="12" t="s">
        <v>33970</v>
      </c>
      <c r="C7710" s="19" t="s">
        <v>36</v>
      </c>
      <c r="D7710" s="19" t="s">
        <v>36</v>
      </c>
      <c r="E7710" s="19" t="s">
        <v>36</v>
      </c>
      <c r="F7710" s="19" t="s">
        <v>36</v>
      </c>
      <c r="G7710" s="15" t="s">
        <v>36</v>
      </c>
      <c r="H7710" s="14" t="s">
        <v>36</v>
      </c>
      <c r="I7710" s="18" t="s">
        <v>36</v>
      </c>
      <c r="J7710" s="12" t="s">
        <v>36</v>
      </c>
      <c r="K7710" s="13" t="s">
        <v>36</v>
      </c>
      <c r="L7710" s="15" t="s">
        <v>36</v>
      </c>
      <c r="M7710" s="12" t="s">
        <v>36</v>
      </c>
      <c r="N7710" s="12" t="s">
        <v>36</v>
      </c>
      <c r="O7710" s="17" t="s">
        <v>36</v>
      </c>
      <c r="P7710" s="12" t="s">
        <v>36</v>
      </c>
      <c r="Q7710" s="12" t="s">
        <v>36</v>
      </c>
      <c r="R7710" s="12" t="s">
        <v>36</v>
      </c>
      <c r="S7710" s="12" t="s">
        <v>36</v>
      </c>
      <c r="T7710" s="12" t="s">
        <v>5159</v>
      </c>
      <c r="U7710" s="12" t="s">
        <v>74</v>
      </c>
      <c r="V7710" s="12" t="s">
        <v>75</v>
      </c>
      <c r="W7710" s="12" t="s">
        <v>33971</v>
      </c>
      <c r="X7710" s="16" t="s">
        <v>20527</v>
      </c>
      <c r="Y7710" s="15" t="s">
        <v>42</v>
      </c>
      <c r="Z7710" s="14" t="s">
        <v>36</v>
      </c>
      <c r="AA7710" s="14" t="s">
        <v>36</v>
      </c>
      <c r="AB7710" s="12" t="s">
        <v>43</v>
      </c>
      <c r="AC7710" s="12" t="s">
        <v>33972</v>
      </c>
      <c r="AD7710" s="13">
        <v>41730</v>
      </c>
      <c r="AE7710" s="12" t="s">
        <v>79</v>
      </c>
      <c r="AF7710" s="12" t="s">
        <v>4668</v>
      </c>
      <c r="AG7710" s="12" t="s">
        <v>652</v>
      </c>
      <c r="AH7710" s="1">
        <f>HYPERLINK("https://my.pitchbook.com?c=29854-00T","View Company Online")</f>
      </c>
    </row>
    <row r="7711">
      <c r="A7711" s="3" t="s">
        <v>33973</v>
      </c>
      <c r="B7711" s="3" t="s">
        <v>33974</v>
      </c>
      <c r="C7711" s="5" t="s">
        <v>36</v>
      </c>
      <c r="D7711" s="5" t="s">
        <v>36</v>
      </c>
      <c r="E7711" s="5" t="s">
        <v>36</v>
      </c>
      <c r="F7711" s="5" t="s">
        <v>36</v>
      </c>
      <c r="G7711" s="6" t="s">
        <v>36</v>
      </c>
      <c r="H7711" s="4" t="s">
        <v>36</v>
      </c>
      <c r="I7711" s="7" t="s">
        <v>36</v>
      </c>
      <c r="J7711" s="3" t="s">
        <v>36</v>
      </c>
      <c r="K7711" s="9" t="s">
        <v>36</v>
      </c>
      <c r="L7711" s="6" t="s">
        <v>36</v>
      </c>
      <c r="M7711" s="3" t="s">
        <v>36</v>
      </c>
      <c r="N7711" s="3" t="s">
        <v>36</v>
      </c>
      <c r="O7711" s="8" t="s">
        <v>36</v>
      </c>
      <c r="P7711" s="3" t="s">
        <v>36</v>
      </c>
      <c r="Q7711" s="3" t="s">
        <v>36</v>
      </c>
      <c r="R7711" s="3" t="s">
        <v>36</v>
      </c>
      <c r="S7711" s="3" t="s">
        <v>36</v>
      </c>
      <c r="T7711" s="3" t="s">
        <v>33975</v>
      </c>
      <c r="U7711" s="3" t="s">
        <v>74</v>
      </c>
      <c r="V7711" s="3" t="s">
        <v>75</v>
      </c>
      <c r="W7711" s="3" t="s">
        <v>33976</v>
      </c>
      <c r="X7711" s="10" t="s">
        <v>33977</v>
      </c>
      <c r="Y7711" s="6" t="s">
        <v>42</v>
      </c>
      <c r="Z7711" s="4" t="s">
        <v>36</v>
      </c>
      <c r="AA7711" s="4" t="s">
        <v>36</v>
      </c>
      <c r="AB7711" s="3" t="s">
        <v>43</v>
      </c>
      <c r="AC7711" s="3" t="s">
        <v>33978</v>
      </c>
      <c r="AD7711" s="9">
        <v>41730</v>
      </c>
      <c r="AE7711" s="3" t="s">
        <v>79</v>
      </c>
      <c r="AF7711" s="3" t="s">
        <v>372</v>
      </c>
      <c r="AG7711" s="3" t="s">
        <v>33979</v>
      </c>
      <c r="AH7711" s="11">
        <f>HYPERLINK("https://my.pitchbook.com?c=29707-21T","View Company Online")</f>
      </c>
    </row>
    <row r="7712">
      <c r="A7712" s="12" t="s">
        <v>33980</v>
      </c>
      <c r="B7712" s="12" t="s">
        <v>33981</v>
      </c>
      <c r="C7712" s="19" t="s">
        <v>36</v>
      </c>
      <c r="D7712" s="19" t="s">
        <v>36</v>
      </c>
      <c r="E7712" s="19" t="s">
        <v>36</v>
      </c>
      <c r="F7712" s="19" t="s">
        <v>36</v>
      </c>
      <c r="G7712" s="15" t="s">
        <v>36</v>
      </c>
      <c r="H7712" s="14" t="s">
        <v>36</v>
      </c>
      <c r="I7712" s="18" t="s">
        <v>36</v>
      </c>
      <c r="J7712" s="12" t="s">
        <v>36</v>
      </c>
      <c r="K7712" s="13" t="s">
        <v>36</v>
      </c>
      <c r="L7712" s="15" t="s">
        <v>36</v>
      </c>
      <c r="M7712" s="12" t="s">
        <v>36</v>
      </c>
      <c r="N7712" s="12" t="s">
        <v>36</v>
      </c>
      <c r="O7712" s="17" t="s">
        <v>36</v>
      </c>
      <c r="P7712" s="12" t="s">
        <v>36</v>
      </c>
      <c r="Q7712" s="12" t="s">
        <v>36</v>
      </c>
      <c r="R7712" s="12" t="s">
        <v>36</v>
      </c>
      <c r="S7712" s="12" t="s">
        <v>36</v>
      </c>
      <c r="T7712" s="12" t="s">
        <v>17549</v>
      </c>
      <c r="U7712" s="12" t="s">
        <v>423</v>
      </c>
      <c r="V7712" s="12" t="s">
        <v>64</v>
      </c>
      <c r="W7712" s="12" t="s">
        <v>33982</v>
      </c>
      <c r="X7712" s="16" t="s">
        <v>2130</v>
      </c>
      <c r="Y7712" s="15" t="s">
        <v>42</v>
      </c>
      <c r="Z7712" s="14" t="s">
        <v>36</v>
      </c>
      <c r="AA7712" s="14" t="s">
        <v>36</v>
      </c>
      <c r="AB7712" s="12" t="s">
        <v>56</v>
      </c>
      <c r="AC7712" s="12" t="s">
        <v>33983</v>
      </c>
      <c r="AD7712" s="13">
        <v>41730</v>
      </c>
      <c r="AE7712" s="12" t="s">
        <v>1051</v>
      </c>
      <c r="AF7712" s="12" t="s">
        <v>733</v>
      </c>
      <c r="AG7712" s="12" t="s">
        <v>81</v>
      </c>
      <c r="AH7712" s="1">
        <f>HYPERLINK("https://my.pitchbook.com?c=30530-89T","View Company Online")</f>
      </c>
    </row>
    <row r="7713">
      <c r="A7713" s="3" t="s">
        <v>33984</v>
      </c>
      <c r="B7713" s="3" t="s">
        <v>33985</v>
      </c>
      <c r="C7713" s="5" t="s">
        <v>36</v>
      </c>
      <c r="D7713" s="5" t="s">
        <v>36</v>
      </c>
      <c r="E7713" s="5" t="s">
        <v>36</v>
      </c>
      <c r="F7713" s="5" t="s">
        <v>36</v>
      </c>
      <c r="G7713" s="6" t="s">
        <v>36</v>
      </c>
      <c r="H7713" s="4" t="s">
        <v>36</v>
      </c>
      <c r="I7713" s="7" t="s">
        <v>36</v>
      </c>
      <c r="J7713" s="3" t="s">
        <v>36</v>
      </c>
      <c r="K7713" s="9" t="s">
        <v>36</v>
      </c>
      <c r="L7713" s="6" t="s">
        <v>122</v>
      </c>
      <c r="M7713" s="3" t="s">
        <v>36</v>
      </c>
      <c r="N7713" s="3" t="s">
        <v>122</v>
      </c>
      <c r="O7713" s="8" t="s">
        <v>36</v>
      </c>
      <c r="P7713" s="3" t="s">
        <v>36</v>
      </c>
      <c r="Q7713" s="3" t="s">
        <v>36</v>
      </c>
      <c r="R7713" s="3" t="s">
        <v>36</v>
      </c>
      <c r="S7713" s="3" t="s">
        <v>36</v>
      </c>
      <c r="T7713" s="3" t="s">
        <v>588</v>
      </c>
      <c r="U7713" s="3" t="s">
        <v>318</v>
      </c>
      <c r="V7713" s="3" t="s">
        <v>39</v>
      </c>
      <c r="W7713" s="3" t="s">
        <v>33986</v>
      </c>
      <c r="X7713" s="10" t="s">
        <v>33987</v>
      </c>
      <c r="Y7713" s="6" t="s">
        <v>42</v>
      </c>
      <c r="Z7713" s="4">
        <v>0.28</v>
      </c>
      <c r="AA7713" s="4" t="s">
        <v>36</v>
      </c>
      <c r="AB7713" s="3" t="s">
        <v>43</v>
      </c>
      <c r="AC7713" s="3" t="s">
        <v>33988</v>
      </c>
      <c r="AD7713" s="9">
        <v>41730</v>
      </c>
      <c r="AE7713" s="3" t="s">
        <v>417</v>
      </c>
      <c r="AF7713" s="3" t="s">
        <v>28412</v>
      </c>
      <c r="AG7713" s="3" t="s">
        <v>2450</v>
      </c>
      <c r="AH7713" s="11">
        <f>HYPERLINK("https://my.pitchbook.com?c=29930-68T","View Company Online")</f>
      </c>
    </row>
    <row r="7714">
      <c r="A7714" s="12" t="s">
        <v>33989</v>
      </c>
      <c r="B7714" s="12" t="s">
        <v>33990</v>
      </c>
      <c r="C7714" s="19" t="s">
        <v>36</v>
      </c>
      <c r="D7714" s="19" t="s">
        <v>36</v>
      </c>
      <c r="E7714" s="19" t="s">
        <v>36</v>
      </c>
      <c r="F7714" s="19" t="s">
        <v>36</v>
      </c>
      <c r="G7714" s="15" t="s">
        <v>36</v>
      </c>
      <c r="H7714" s="14" t="s">
        <v>36</v>
      </c>
      <c r="I7714" s="18" t="s">
        <v>36</v>
      </c>
      <c r="J7714" s="12" t="s">
        <v>36</v>
      </c>
      <c r="K7714" s="13" t="s">
        <v>36</v>
      </c>
      <c r="L7714" s="15" t="s">
        <v>36</v>
      </c>
      <c r="M7714" s="12" t="s">
        <v>36</v>
      </c>
      <c r="N7714" s="12" t="s">
        <v>36</v>
      </c>
      <c r="O7714" s="17" t="s">
        <v>36</v>
      </c>
      <c r="P7714" s="12" t="s">
        <v>36</v>
      </c>
      <c r="Q7714" s="12" t="s">
        <v>36</v>
      </c>
      <c r="R7714" s="12" t="s">
        <v>36</v>
      </c>
      <c r="S7714" s="12" t="s">
        <v>36</v>
      </c>
      <c r="T7714" s="12" t="s">
        <v>3118</v>
      </c>
      <c r="U7714" s="12" t="s">
        <v>648</v>
      </c>
      <c r="V7714" s="12" t="s">
        <v>64</v>
      </c>
      <c r="W7714" s="12" t="s">
        <v>33991</v>
      </c>
      <c r="X7714" s="16" t="s">
        <v>33992</v>
      </c>
      <c r="Y7714" s="15" t="s">
        <v>42</v>
      </c>
      <c r="Z7714" s="14">
        <v>2.21</v>
      </c>
      <c r="AA7714" s="14" t="s">
        <v>36</v>
      </c>
      <c r="AB7714" s="12" t="s">
        <v>43</v>
      </c>
      <c r="AC7714" s="12" t="s">
        <v>33993</v>
      </c>
      <c r="AD7714" s="13">
        <v>41730</v>
      </c>
      <c r="AE7714" s="12" t="s">
        <v>651</v>
      </c>
      <c r="AF7714" s="12" t="s">
        <v>29190</v>
      </c>
      <c r="AG7714" s="12" t="s">
        <v>81</v>
      </c>
      <c r="AH7714" s="1">
        <f>HYPERLINK("https://my.pitchbook.com?c=68294-35T","View Company Online")</f>
      </c>
    </row>
    <row r="7715">
      <c r="A7715" s="3" t="s">
        <v>33994</v>
      </c>
      <c r="B7715" s="3" t="s">
        <v>33995</v>
      </c>
      <c r="C7715" s="5" t="s">
        <v>36</v>
      </c>
      <c r="D7715" s="5" t="s">
        <v>36</v>
      </c>
      <c r="E7715" s="5" t="s">
        <v>36</v>
      </c>
      <c r="F7715" s="5" t="s">
        <v>36</v>
      </c>
      <c r="G7715" s="6" t="s">
        <v>36</v>
      </c>
      <c r="H7715" s="4" t="s">
        <v>36</v>
      </c>
      <c r="I7715" s="7" t="s">
        <v>36</v>
      </c>
      <c r="J7715" s="3" t="s">
        <v>36</v>
      </c>
      <c r="K7715" s="9" t="s">
        <v>36</v>
      </c>
      <c r="L7715" s="6" t="s">
        <v>36</v>
      </c>
      <c r="M7715" s="3" t="s">
        <v>36</v>
      </c>
      <c r="N7715" s="3" t="s">
        <v>36</v>
      </c>
      <c r="O7715" s="8" t="s">
        <v>36</v>
      </c>
      <c r="P7715" s="3" t="s">
        <v>36</v>
      </c>
      <c r="Q7715" s="3" t="s">
        <v>36</v>
      </c>
      <c r="R7715" s="3" t="s">
        <v>36</v>
      </c>
      <c r="S7715" s="3" t="s">
        <v>36</v>
      </c>
      <c r="T7715" s="3" t="s">
        <v>147</v>
      </c>
      <c r="U7715" s="3" t="s">
        <v>74</v>
      </c>
      <c r="V7715" s="3" t="s">
        <v>75</v>
      </c>
      <c r="W7715" s="3" t="s">
        <v>33996</v>
      </c>
      <c r="X7715" s="10" t="s">
        <v>33905</v>
      </c>
      <c r="Y7715" s="6" t="s">
        <v>42</v>
      </c>
      <c r="Z7715" s="4" t="s">
        <v>36</v>
      </c>
      <c r="AA7715" s="4" t="s">
        <v>36</v>
      </c>
      <c r="AB7715" s="3" t="s">
        <v>43</v>
      </c>
      <c r="AC7715" s="3" t="s">
        <v>33997</v>
      </c>
      <c r="AD7715" s="9">
        <v>41730</v>
      </c>
      <c r="AE7715" s="3" t="s">
        <v>79</v>
      </c>
      <c r="AF7715" s="3" t="s">
        <v>1077</v>
      </c>
      <c r="AG7715" s="3" t="s">
        <v>787</v>
      </c>
      <c r="AH7715" s="11">
        <f>HYPERLINK("https://my.pitchbook.com?c=29713-51T","View Company Online")</f>
      </c>
    </row>
    <row r="7716">
      <c r="A7716" s="12" t="s">
        <v>33998</v>
      </c>
      <c r="B7716" s="12" t="s">
        <v>33999</v>
      </c>
      <c r="C7716" s="19" t="s">
        <v>36</v>
      </c>
      <c r="D7716" s="19" t="s">
        <v>36</v>
      </c>
      <c r="E7716" s="19" t="s">
        <v>36</v>
      </c>
      <c r="F7716" s="19" t="s">
        <v>36</v>
      </c>
      <c r="G7716" s="15" t="s">
        <v>36</v>
      </c>
      <c r="H7716" s="14" t="s">
        <v>36</v>
      </c>
      <c r="I7716" s="18" t="s">
        <v>36</v>
      </c>
      <c r="J7716" s="12" t="s">
        <v>36</v>
      </c>
      <c r="K7716" s="13" t="s">
        <v>36</v>
      </c>
      <c r="L7716" s="15" t="s">
        <v>122</v>
      </c>
      <c r="M7716" s="12" t="s">
        <v>36</v>
      </c>
      <c r="N7716" s="12" t="s">
        <v>122</v>
      </c>
      <c r="O7716" s="17" t="s">
        <v>36</v>
      </c>
      <c r="P7716" s="12" t="s">
        <v>36</v>
      </c>
      <c r="Q7716" s="12" t="s">
        <v>36</v>
      </c>
      <c r="R7716" s="12" t="s">
        <v>36</v>
      </c>
      <c r="S7716" s="12" t="s">
        <v>36</v>
      </c>
      <c r="T7716" s="12" t="s">
        <v>522</v>
      </c>
      <c r="U7716" s="12" t="s">
        <v>38</v>
      </c>
      <c r="V7716" s="12" t="s">
        <v>39</v>
      </c>
      <c r="W7716" s="12" t="s">
        <v>34000</v>
      </c>
      <c r="X7716" s="16" t="s">
        <v>34001</v>
      </c>
      <c r="Y7716" s="15" t="s">
        <v>108</v>
      </c>
      <c r="Z7716" s="14">
        <v>4.84</v>
      </c>
      <c r="AA7716" s="14" t="s">
        <v>36</v>
      </c>
      <c r="AB7716" s="12" t="s">
        <v>43</v>
      </c>
      <c r="AC7716" s="12" t="s">
        <v>34002</v>
      </c>
      <c r="AD7716" s="13">
        <v>41729</v>
      </c>
      <c r="AE7716" s="12" t="s">
        <v>110</v>
      </c>
      <c r="AF7716" s="12" t="s">
        <v>1077</v>
      </c>
      <c r="AG7716" s="12" t="s">
        <v>81</v>
      </c>
      <c r="AH7716" s="1">
        <f>HYPERLINK("https://my.pitchbook.com?c=48341-26T","View Company Online")</f>
      </c>
    </row>
    <row r="7717">
      <c r="A7717" s="3" t="s">
        <v>34003</v>
      </c>
      <c r="B7717" s="3" t="s">
        <v>26829</v>
      </c>
      <c r="C7717" s="5" t="s">
        <v>36</v>
      </c>
      <c r="D7717" s="5">
        <v>3</v>
      </c>
      <c r="E7717" s="5">
        <v>1</v>
      </c>
      <c r="F7717" s="5">
        <v>4</v>
      </c>
      <c r="G7717" s="6" t="s">
        <v>36</v>
      </c>
      <c r="H7717" s="4" t="s">
        <v>36</v>
      </c>
      <c r="I7717" s="7" t="s">
        <v>36</v>
      </c>
      <c r="J7717" s="3" t="s">
        <v>36</v>
      </c>
      <c r="K7717" s="9" t="s">
        <v>36</v>
      </c>
      <c r="L7717" s="6" t="s">
        <v>36</v>
      </c>
      <c r="M7717" s="3" t="s">
        <v>36</v>
      </c>
      <c r="N7717" s="3" t="s">
        <v>36</v>
      </c>
      <c r="O7717" s="8" t="s">
        <v>36</v>
      </c>
      <c r="P7717" s="3" t="s">
        <v>36</v>
      </c>
      <c r="Q7717" s="3" t="s">
        <v>36</v>
      </c>
      <c r="R7717" s="3" t="s">
        <v>36</v>
      </c>
      <c r="S7717" s="3" t="s">
        <v>36</v>
      </c>
      <c r="T7717" s="3" t="s">
        <v>26830</v>
      </c>
      <c r="U7717" s="3" t="s">
        <v>38</v>
      </c>
      <c r="V7717" s="3" t="s">
        <v>39</v>
      </c>
      <c r="W7717" s="3" t="s">
        <v>26831</v>
      </c>
      <c r="X7717" s="10" t="s">
        <v>34004</v>
      </c>
      <c r="Y7717" s="6" t="s">
        <v>42</v>
      </c>
      <c r="Z7717" s="4">
        <v>2.76</v>
      </c>
      <c r="AA7717" s="4" t="s">
        <v>36</v>
      </c>
      <c r="AB7717" s="3" t="s">
        <v>43</v>
      </c>
      <c r="AC7717" s="3" t="s">
        <v>26833</v>
      </c>
      <c r="AD7717" s="9">
        <v>41726</v>
      </c>
      <c r="AE7717" s="3" t="s">
        <v>110</v>
      </c>
      <c r="AF7717" s="3" t="s">
        <v>1331</v>
      </c>
      <c r="AG7717" s="3" t="s">
        <v>81</v>
      </c>
      <c r="AH7717" s="11">
        <f>HYPERLINK("https://my.pitchbook.com?c=34747-21T","View Company Online")</f>
      </c>
    </row>
    <row r="7718">
      <c r="A7718" s="12" t="s">
        <v>34005</v>
      </c>
      <c r="B7718" s="12" t="s">
        <v>34006</v>
      </c>
      <c r="C7718" s="19" t="s">
        <v>36</v>
      </c>
      <c r="D7718" s="19" t="s">
        <v>36</v>
      </c>
      <c r="E7718" s="19" t="s">
        <v>36</v>
      </c>
      <c r="F7718" s="19" t="s">
        <v>36</v>
      </c>
      <c r="G7718" s="15" t="s">
        <v>36</v>
      </c>
      <c r="H7718" s="14" t="s">
        <v>36</v>
      </c>
      <c r="I7718" s="18" t="s">
        <v>36</v>
      </c>
      <c r="J7718" s="12" t="s">
        <v>36</v>
      </c>
      <c r="K7718" s="13" t="s">
        <v>36</v>
      </c>
      <c r="L7718" s="15" t="s">
        <v>122</v>
      </c>
      <c r="M7718" s="12" t="s">
        <v>36</v>
      </c>
      <c r="N7718" s="12" t="s">
        <v>122</v>
      </c>
      <c r="O7718" s="17" t="s">
        <v>36</v>
      </c>
      <c r="P7718" s="12" t="s">
        <v>36</v>
      </c>
      <c r="Q7718" s="12" t="s">
        <v>36</v>
      </c>
      <c r="R7718" s="12" t="s">
        <v>36</v>
      </c>
      <c r="S7718" s="12" t="s">
        <v>36</v>
      </c>
      <c r="T7718" s="12" t="s">
        <v>1125</v>
      </c>
      <c r="U7718" s="12" t="s">
        <v>74</v>
      </c>
      <c r="V7718" s="12" t="s">
        <v>75</v>
      </c>
      <c r="W7718" s="12" t="s">
        <v>34007</v>
      </c>
      <c r="X7718" s="16" t="s">
        <v>34008</v>
      </c>
      <c r="Y7718" s="15" t="s">
        <v>42</v>
      </c>
      <c r="Z7718" s="14" t="s">
        <v>36</v>
      </c>
      <c r="AA7718" s="14" t="s">
        <v>36</v>
      </c>
      <c r="AB7718" s="12" t="s">
        <v>43</v>
      </c>
      <c r="AC7718" s="12" t="s">
        <v>34009</v>
      </c>
      <c r="AD7718" s="13">
        <v>41726</v>
      </c>
      <c r="AE7718" s="12" t="s">
        <v>975</v>
      </c>
      <c r="AF7718" s="12" t="s">
        <v>36</v>
      </c>
      <c r="AG7718" s="12" t="s">
        <v>81</v>
      </c>
      <c r="AH7718" s="1">
        <f>HYPERLINK("https://my.pitchbook.com?c=171213-40T","View Company Online")</f>
      </c>
    </row>
    <row r="7719">
      <c r="A7719" s="3" t="s">
        <v>34010</v>
      </c>
      <c r="B7719" s="3" t="s">
        <v>27969</v>
      </c>
      <c r="C7719" s="5">
        <v>3</v>
      </c>
      <c r="D7719" s="5">
        <v>87</v>
      </c>
      <c r="E7719" s="5">
        <v>40</v>
      </c>
      <c r="F7719" s="5">
        <v>123</v>
      </c>
      <c r="G7719" s="6" t="s">
        <v>326</v>
      </c>
      <c r="H7719" s="4">
        <v>16.05</v>
      </c>
      <c r="I7719" s="7">
        <v>35.3</v>
      </c>
      <c r="J7719" s="3" t="s">
        <v>521</v>
      </c>
      <c r="K7719" s="9" t="s">
        <v>36</v>
      </c>
      <c r="L7719" s="6" t="s">
        <v>94</v>
      </c>
      <c r="M7719" s="3" t="s">
        <v>36</v>
      </c>
      <c r="N7719" s="3" t="s">
        <v>94</v>
      </c>
      <c r="O7719" s="8" t="s">
        <v>36</v>
      </c>
      <c r="P7719" s="3" t="s">
        <v>36</v>
      </c>
      <c r="Q7719" s="3" t="s">
        <v>36</v>
      </c>
      <c r="R7719" s="3" t="s">
        <v>36</v>
      </c>
      <c r="S7719" s="3" t="s">
        <v>20994</v>
      </c>
      <c r="T7719" s="3" t="s">
        <v>27970</v>
      </c>
      <c r="U7719" s="3" t="s">
        <v>1580</v>
      </c>
      <c r="V7719" s="3" t="s">
        <v>39</v>
      </c>
      <c r="W7719" s="3" t="s">
        <v>27971</v>
      </c>
      <c r="X7719" s="10" t="s">
        <v>34011</v>
      </c>
      <c r="Y7719" s="6" t="s">
        <v>55</v>
      </c>
      <c r="Z7719" s="4">
        <v>20.74</v>
      </c>
      <c r="AA7719" s="4">
        <v>58.75</v>
      </c>
      <c r="AB7719" s="3" t="s">
        <v>43</v>
      </c>
      <c r="AC7719" s="3" t="s">
        <v>27973</v>
      </c>
      <c r="AD7719" s="9">
        <v>41726</v>
      </c>
      <c r="AE7719" s="3" t="s">
        <v>3854</v>
      </c>
      <c r="AF7719" s="3" t="s">
        <v>24285</v>
      </c>
      <c r="AG7719" s="3" t="s">
        <v>539</v>
      </c>
      <c r="AH7719" s="11">
        <f>HYPERLINK("https://my.pitchbook.com?c=32610-07T","View Company Online")</f>
      </c>
    </row>
    <row r="7720">
      <c r="A7720" s="12" t="s">
        <v>34012</v>
      </c>
      <c r="B7720" s="12" t="s">
        <v>34013</v>
      </c>
      <c r="C7720" s="19" t="s">
        <v>36</v>
      </c>
      <c r="D7720" s="19" t="s">
        <v>36</v>
      </c>
      <c r="E7720" s="19" t="s">
        <v>36</v>
      </c>
      <c r="F7720" s="19" t="s">
        <v>36</v>
      </c>
      <c r="G7720" s="15" t="s">
        <v>36</v>
      </c>
      <c r="H7720" s="14" t="s">
        <v>36</v>
      </c>
      <c r="I7720" s="18" t="s">
        <v>36</v>
      </c>
      <c r="J7720" s="12" t="s">
        <v>36</v>
      </c>
      <c r="K7720" s="13" t="s">
        <v>36</v>
      </c>
      <c r="L7720" s="15" t="s">
        <v>36</v>
      </c>
      <c r="M7720" s="12" t="s">
        <v>36</v>
      </c>
      <c r="N7720" s="12" t="s">
        <v>36</v>
      </c>
      <c r="O7720" s="17" t="s">
        <v>36</v>
      </c>
      <c r="P7720" s="12" t="s">
        <v>36</v>
      </c>
      <c r="Q7720" s="12" t="s">
        <v>36</v>
      </c>
      <c r="R7720" s="12" t="s">
        <v>36</v>
      </c>
      <c r="S7720" s="12" t="s">
        <v>36</v>
      </c>
      <c r="T7720" s="12" t="s">
        <v>2867</v>
      </c>
      <c r="U7720" s="12" t="s">
        <v>423</v>
      </c>
      <c r="V7720" s="12" t="s">
        <v>64</v>
      </c>
      <c r="W7720" s="12" t="s">
        <v>34014</v>
      </c>
      <c r="X7720" s="16" t="s">
        <v>34015</v>
      </c>
      <c r="Y7720" s="15" t="s">
        <v>42</v>
      </c>
      <c r="Z7720" s="14">
        <v>0.44</v>
      </c>
      <c r="AA7720" s="14" t="s">
        <v>36</v>
      </c>
      <c r="AB7720" s="12" t="s">
        <v>43</v>
      </c>
      <c r="AC7720" s="12" t="s">
        <v>34016</v>
      </c>
      <c r="AD7720" s="13">
        <v>41725</v>
      </c>
      <c r="AE7720" s="12" t="s">
        <v>2871</v>
      </c>
      <c r="AF7720" s="12" t="s">
        <v>2118</v>
      </c>
      <c r="AG7720" s="12" t="s">
        <v>81</v>
      </c>
      <c r="AH7720" s="1">
        <f>HYPERLINK("https://my.pitchbook.com?c=39544-30T","View Company Online")</f>
      </c>
    </row>
    <row r="7721">
      <c r="A7721" s="3" t="s">
        <v>34017</v>
      </c>
      <c r="B7721" s="3" t="s">
        <v>28259</v>
      </c>
      <c r="C7721" s="5" t="s">
        <v>36</v>
      </c>
      <c r="D7721" s="5" t="s">
        <v>36</v>
      </c>
      <c r="E7721" s="5" t="s">
        <v>36</v>
      </c>
      <c r="F7721" s="5" t="s">
        <v>36</v>
      </c>
      <c r="G7721" s="6" t="s">
        <v>36</v>
      </c>
      <c r="H7721" s="4">
        <v>9.05</v>
      </c>
      <c r="I7721" s="7">
        <v>15.83</v>
      </c>
      <c r="J7721" s="3" t="s">
        <v>521</v>
      </c>
      <c r="K7721" s="9" t="s">
        <v>36</v>
      </c>
      <c r="L7721" s="6" t="s">
        <v>36</v>
      </c>
      <c r="M7721" s="3" t="s">
        <v>36</v>
      </c>
      <c r="N7721" s="3" t="s">
        <v>36</v>
      </c>
      <c r="O7721" s="8" t="s">
        <v>36</v>
      </c>
      <c r="P7721" s="3" t="s">
        <v>36</v>
      </c>
      <c r="Q7721" s="3" t="s">
        <v>36</v>
      </c>
      <c r="R7721" s="3" t="s">
        <v>36</v>
      </c>
      <c r="S7721" s="3" t="s">
        <v>36</v>
      </c>
      <c r="T7721" s="3" t="s">
        <v>28260</v>
      </c>
      <c r="U7721" s="3" t="s">
        <v>74</v>
      </c>
      <c r="V7721" s="3" t="s">
        <v>75</v>
      </c>
      <c r="W7721" s="3" t="s">
        <v>28261</v>
      </c>
      <c r="X7721" s="10" t="s">
        <v>2130</v>
      </c>
      <c r="Y7721" s="6" t="s">
        <v>42</v>
      </c>
      <c r="Z7721" s="4">
        <v>3.35</v>
      </c>
      <c r="AA7721" s="4">
        <v>21.17</v>
      </c>
      <c r="AB7721" s="3" t="s">
        <v>43</v>
      </c>
      <c r="AC7721" s="3" t="s">
        <v>28263</v>
      </c>
      <c r="AD7721" s="9">
        <v>41724</v>
      </c>
      <c r="AE7721" s="3" t="s">
        <v>79</v>
      </c>
      <c r="AF7721" s="3" t="s">
        <v>10797</v>
      </c>
      <c r="AG7721" s="3" t="s">
        <v>2033</v>
      </c>
      <c r="AH7721" s="11">
        <f>HYPERLINK("https://my.pitchbook.com?c=66814-84T","View Company Online")</f>
      </c>
    </row>
    <row r="7722">
      <c r="A7722" s="12" t="s">
        <v>34018</v>
      </c>
      <c r="B7722" s="12" t="s">
        <v>14745</v>
      </c>
      <c r="C7722" s="19" t="s">
        <v>36</v>
      </c>
      <c r="D7722" s="19" t="s">
        <v>36</v>
      </c>
      <c r="E7722" s="19" t="s">
        <v>36</v>
      </c>
      <c r="F7722" s="19" t="s">
        <v>36</v>
      </c>
      <c r="G7722" s="15" t="s">
        <v>36</v>
      </c>
      <c r="H7722" s="14" t="s">
        <v>36</v>
      </c>
      <c r="I7722" s="18" t="s">
        <v>36</v>
      </c>
      <c r="J7722" s="12" t="s">
        <v>36</v>
      </c>
      <c r="K7722" s="13" t="s">
        <v>36</v>
      </c>
      <c r="L7722" s="15" t="s">
        <v>36</v>
      </c>
      <c r="M7722" s="12" t="s">
        <v>36</v>
      </c>
      <c r="N7722" s="12" t="s">
        <v>36</v>
      </c>
      <c r="O7722" s="17" t="s">
        <v>36</v>
      </c>
      <c r="P7722" s="12" t="s">
        <v>36</v>
      </c>
      <c r="Q7722" s="12" t="s">
        <v>36</v>
      </c>
      <c r="R7722" s="12" t="s">
        <v>36</v>
      </c>
      <c r="S7722" s="12" t="s">
        <v>36</v>
      </c>
      <c r="T7722" s="12" t="s">
        <v>522</v>
      </c>
      <c r="U7722" s="12" t="s">
        <v>38</v>
      </c>
      <c r="V7722" s="12" t="s">
        <v>39</v>
      </c>
      <c r="W7722" s="12" t="s">
        <v>14746</v>
      </c>
      <c r="X7722" s="16" t="s">
        <v>34019</v>
      </c>
      <c r="Y7722" s="15" t="s">
        <v>42</v>
      </c>
      <c r="Z7722" s="14">
        <v>2.76</v>
      </c>
      <c r="AA7722" s="14" t="s">
        <v>36</v>
      </c>
      <c r="AB7722" s="12" t="s">
        <v>43</v>
      </c>
      <c r="AC7722" s="12" t="s">
        <v>14748</v>
      </c>
      <c r="AD7722" s="13">
        <v>41723</v>
      </c>
      <c r="AE7722" s="12" t="s">
        <v>110</v>
      </c>
      <c r="AF7722" s="12" t="s">
        <v>111</v>
      </c>
      <c r="AG7722" s="12" t="s">
        <v>899</v>
      </c>
      <c r="AH7722" s="1">
        <f>HYPERLINK("https://my.pitchbook.com?c=199779-76T","View Company Online")</f>
      </c>
    </row>
    <row r="7723">
      <c r="A7723" s="3" t="s">
        <v>34020</v>
      </c>
      <c r="B7723" s="3" t="s">
        <v>31539</v>
      </c>
      <c r="C7723" s="5" t="s">
        <v>36</v>
      </c>
      <c r="D7723" s="5" t="s">
        <v>36</v>
      </c>
      <c r="E7723" s="5" t="s">
        <v>36</v>
      </c>
      <c r="F7723" s="5" t="s">
        <v>36</v>
      </c>
      <c r="G7723" s="6" t="s">
        <v>2497</v>
      </c>
      <c r="H7723" s="4">
        <v>1.84</v>
      </c>
      <c r="I7723" s="7">
        <v>31.66</v>
      </c>
      <c r="J7723" s="3" t="s">
        <v>521</v>
      </c>
      <c r="K7723" s="9">
        <v>41716</v>
      </c>
      <c r="L7723" s="6" t="s">
        <v>122</v>
      </c>
      <c r="M7723" s="3" t="s">
        <v>36</v>
      </c>
      <c r="N7723" s="3" t="s">
        <v>122</v>
      </c>
      <c r="O7723" s="8" t="s">
        <v>36</v>
      </c>
      <c r="P7723" s="3" t="s">
        <v>36</v>
      </c>
      <c r="Q7723" s="3" t="s">
        <v>36</v>
      </c>
      <c r="R7723" s="3" t="s">
        <v>36</v>
      </c>
      <c r="S7723" s="3" t="s">
        <v>36</v>
      </c>
      <c r="T7723" s="3" t="s">
        <v>522</v>
      </c>
      <c r="U7723" s="3" t="s">
        <v>38</v>
      </c>
      <c r="V7723" s="3" t="s">
        <v>39</v>
      </c>
      <c r="W7723" s="3" t="s">
        <v>31540</v>
      </c>
      <c r="X7723" s="10" t="s">
        <v>34021</v>
      </c>
      <c r="Y7723" s="6" t="s">
        <v>55</v>
      </c>
      <c r="Z7723" s="4">
        <v>3.05</v>
      </c>
      <c r="AA7723" s="4">
        <v>9.63</v>
      </c>
      <c r="AB7723" s="3" t="s">
        <v>43</v>
      </c>
      <c r="AC7723" s="3" t="s">
        <v>31542</v>
      </c>
      <c r="AD7723" s="9">
        <v>41722</v>
      </c>
      <c r="AE7723" s="3" t="s">
        <v>110</v>
      </c>
      <c r="AF7723" s="3" t="s">
        <v>4552</v>
      </c>
      <c r="AG7723" s="3" t="s">
        <v>81</v>
      </c>
      <c r="AH7723" s="11">
        <f>HYPERLINK("https://my.pitchbook.com?c=53541-28T","View Company Online")</f>
      </c>
    </row>
    <row r="7724">
      <c r="A7724" s="12" t="s">
        <v>34022</v>
      </c>
      <c r="B7724" s="12" t="s">
        <v>34023</v>
      </c>
      <c r="C7724" s="19" t="s">
        <v>36</v>
      </c>
      <c r="D7724" s="19" t="s">
        <v>36</v>
      </c>
      <c r="E7724" s="19" t="s">
        <v>36</v>
      </c>
      <c r="F7724" s="19" t="s">
        <v>36</v>
      </c>
      <c r="G7724" s="15" t="s">
        <v>36</v>
      </c>
      <c r="H7724" s="14" t="s">
        <v>36</v>
      </c>
      <c r="I7724" s="18" t="s">
        <v>36</v>
      </c>
      <c r="J7724" s="12" t="s">
        <v>36</v>
      </c>
      <c r="K7724" s="13" t="s">
        <v>36</v>
      </c>
      <c r="L7724" s="15" t="s">
        <v>36</v>
      </c>
      <c r="M7724" s="12" t="s">
        <v>36</v>
      </c>
      <c r="N7724" s="12" t="s">
        <v>36</v>
      </c>
      <c r="O7724" s="17" t="s">
        <v>36</v>
      </c>
      <c r="P7724" s="12" t="s">
        <v>36</v>
      </c>
      <c r="Q7724" s="12" t="s">
        <v>36</v>
      </c>
      <c r="R7724" s="12" t="s">
        <v>36</v>
      </c>
      <c r="S7724" s="12" t="s">
        <v>36</v>
      </c>
      <c r="T7724" s="12" t="s">
        <v>105</v>
      </c>
      <c r="U7724" s="12" t="s">
        <v>38</v>
      </c>
      <c r="V7724" s="12" t="s">
        <v>39</v>
      </c>
      <c r="W7724" s="12" t="s">
        <v>34024</v>
      </c>
      <c r="X7724" s="16" t="s">
        <v>34025</v>
      </c>
      <c r="Y7724" s="15" t="s">
        <v>42</v>
      </c>
      <c r="Z7724" s="14">
        <v>0.83</v>
      </c>
      <c r="AA7724" s="14" t="s">
        <v>36</v>
      </c>
      <c r="AB7724" s="12" t="s">
        <v>43</v>
      </c>
      <c r="AC7724" s="12" t="s">
        <v>34026</v>
      </c>
      <c r="AD7724" s="13">
        <v>41719</v>
      </c>
      <c r="AE7724" s="12" t="s">
        <v>110</v>
      </c>
      <c r="AF7724" s="12" t="s">
        <v>7466</v>
      </c>
      <c r="AG7724" s="12" t="s">
        <v>899</v>
      </c>
      <c r="AH7724" s="1">
        <f>HYPERLINK("https://my.pitchbook.com?c=53214-13T","View Company Online")</f>
      </c>
    </row>
    <row r="7725">
      <c r="A7725" s="3" t="s">
        <v>34027</v>
      </c>
      <c r="B7725" s="3" t="s">
        <v>34028</v>
      </c>
      <c r="C7725" s="5" t="s">
        <v>36</v>
      </c>
      <c r="D7725" s="5" t="s">
        <v>36</v>
      </c>
      <c r="E7725" s="5">
        <v>1</v>
      </c>
      <c r="F7725" s="5">
        <v>2</v>
      </c>
      <c r="G7725" s="6" t="s">
        <v>36</v>
      </c>
      <c r="H7725" s="4" t="s">
        <v>36</v>
      </c>
      <c r="I7725" s="7" t="s">
        <v>36</v>
      </c>
      <c r="J7725" s="3" t="s">
        <v>36</v>
      </c>
      <c r="K7725" s="9" t="s">
        <v>36</v>
      </c>
      <c r="L7725" s="6" t="s">
        <v>36</v>
      </c>
      <c r="M7725" s="3" t="s">
        <v>36</v>
      </c>
      <c r="N7725" s="3" t="s">
        <v>36</v>
      </c>
      <c r="O7725" s="8" t="s">
        <v>36</v>
      </c>
      <c r="P7725" s="3" t="s">
        <v>36</v>
      </c>
      <c r="Q7725" s="3" t="s">
        <v>36</v>
      </c>
      <c r="R7725" s="3" t="s">
        <v>36</v>
      </c>
      <c r="S7725" s="3" t="s">
        <v>36</v>
      </c>
      <c r="T7725" s="3" t="s">
        <v>295</v>
      </c>
      <c r="U7725" s="3" t="s">
        <v>219</v>
      </c>
      <c r="V7725" s="3" t="s">
        <v>75</v>
      </c>
      <c r="W7725" s="3" t="s">
        <v>220</v>
      </c>
      <c r="X7725" s="10" t="s">
        <v>1872</v>
      </c>
      <c r="Y7725" s="6" t="s">
        <v>42</v>
      </c>
      <c r="Z7725" s="4" t="s">
        <v>36</v>
      </c>
      <c r="AA7725" s="4" t="s">
        <v>36</v>
      </c>
      <c r="AB7725" s="3" t="s">
        <v>56</v>
      </c>
      <c r="AC7725" s="3" t="s">
        <v>34029</v>
      </c>
      <c r="AD7725" s="9">
        <v>41719</v>
      </c>
      <c r="AE7725" s="3" t="s">
        <v>223</v>
      </c>
      <c r="AF7725" s="3" t="s">
        <v>546</v>
      </c>
      <c r="AG7725" s="3" t="s">
        <v>34030</v>
      </c>
      <c r="AH7725" s="11">
        <f>HYPERLINK("https://my.pitchbook.com?c=116754-49T","View Company Online")</f>
      </c>
    </row>
    <row r="7726">
      <c r="A7726" s="12" t="s">
        <v>34031</v>
      </c>
      <c r="B7726" s="12" t="s">
        <v>34032</v>
      </c>
      <c r="C7726" s="19" t="s">
        <v>36</v>
      </c>
      <c r="D7726" s="19" t="s">
        <v>36</v>
      </c>
      <c r="E7726" s="19" t="s">
        <v>36</v>
      </c>
      <c r="F7726" s="19" t="s">
        <v>36</v>
      </c>
      <c r="G7726" s="15" t="s">
        <v>36</v>
      </c>
      <c r="H7726" s="14">
        <v>74.08</v>
      </c>
      <c r="I7726" s="18">
        <v>28.35</v>
      </c>
      <c r="J7726" s="12" t="s">
        <v>521</v>
      </c>
      <c r="K7726" s="13" t="s">
        <v>36</v>
      </c>
      <c r="L7726" s="15" t="s">
        <v>36</v>
      </c>
      <c r="M7726" s="12" t="s">
        <v>36</v>
      </c>
      <c r="N7726" s="12" t="s">
        <v>36</v>
      </c>
      <c r="O7726" s="17" t="s">
        <v>36</v>
      </c>
      <c r="P7726" s="12" t="s">
        <v>36</v>
      </c>
      <c r="Q7726" s="12" t="s">
        <v>36</v>
      </c>
      <c r="R7726" s="12" t="s">
        <v>36</v>
      </c>
      <c r="S7726" s="12" t="s">
        <v>36</v>
      </c>
      <c r="T7726" s="12" t="s">
        <v>19823</v>
      </c>
      <c r="U7726" s="12" t="s">
        <v>38</v>
      </c>
      <c r="V7726" s="12" t="s">
        <v>39</v>
      </c>
      <c r="W7726" s="12" t="s">
        <v>34033</v>
      </c>
      <c r="X7726" s="16" t="s">
        <v>34034</v>
      </c>
      <c r="Y7726" s="15" t="s">
        <v>42</v>
      </c>
      <c r="Z7726" s="14">
        <v>0.39</v>
      </c>
      <c r="AA7726" s="14">
        <v>1.37</v>
      </c>
      <c r="AB7726" s="12" t="s">
        <v>43</v>
      </c>
      <c r="AC7726" s="12" t="s">
        <v>34035</v>
      </c>
      <c r="AD7726" s="13">
        <v>41717</v>
      </c>
      <c r="AE7726" s="12" t="s">
        <v>110</v>
      </c>
      <c r="AF7726" s="12" t="s">
        <v>34036</v>
      </c>
      <c r="AG7726" s="12" t="s">
        <v>47</v>
      </c>
      <c r="AH7726" s="1">
        <f>HYPERLINK("https://my.pitchbook.com?c=105232-33T","View Company Online")</f>
      </c>
    </row>
    <row r="7727">
      <c r="A7727" s="3" t="s">
        <v>34037</v>
      </c>
      <c r="B7727" s="3" t="s">
        <v>18696</v>
      </c>
      <c r="C7727" s="5" t="s">
        <v>36</v>
      </c>
      <c r="D7727" s="5">
        <v>6</v>
      </c>
      <c r="E7727" s="5">
        <v>2</v>
      </c>
      <c r="F7727" s="5">
        <v>10</v>
      </c>
      <c r="G7727" s="6" t="s">
        <v>36</v>
      </c>
      <c r="H7727" s="4">
        <v>313.77</v>
      </c>
      <c r="I7727" s="7">
        <v>24.92</v>
      </c>
      <c r="J7727" s="3" t="s">
        <v>521</v>
      </c>
      <c r="K7727" s="9" t="s">
        <v>36</v>
      </c>
      <c r="L7727" s="6" t="s">
        <v>36</v>
      </c>
      <c r="M7727" s="3" t="s">
        <v>36</v>
      </c>
      <c r="N7727" s="3" t="s">
        <v>36</v>
      </c>
      <c r="O7727" s="8" t="s">
        <v>36</v>
      </c>
      <c r="P7727" s="3" t="s">
        <v>36</v>
      </c>
      <c r="Q7727" s="3" t="s">
        <v>36</v>
      </c>
      <c r="R7727" s="3" t="s">
        <v>36</v>
      </c>
      <c r="S7727" s="3" t="s">
        <v>36</v>
      </c>
      <c r="T7727" s="3" t="s">
        <v>1162</v>
      </c>
      <c r="U7727" s="3" t="s">
        <v>423</v>
      </c>
      <c r="V7727" s="3" t="s">
        <v>64</v>
      </c>
      <c r="W7727" s="3" t="s">
        <v>18697</v>
      </c>
      <c r="X7727" s="10" t="s">
        <v>34038</v>
      </c>
      <c r="Y7727" s="6" t="s">
        <v>42</v>
      </c>
      <c r="Z7727" s="4">
        <v>6.92</v>
      </c>
      <c r="AA7727" s="4">
        <v>27.77</v>
      </c>
      <c r="AB7727" s="3" t="s">
        <v>43</v>
      </c>
      <c r="AC7727" s="3" t="s">
        <v>18699</v>
      </c>
      <c r="AD7727" s="9">
        <v>41716</v>
      </c>
      <c r="AE7727" s="3" t="s">
        <v>562</v>
      </c>
      <c r="AF7727" s="3" t="s">
        <v>18700</v>
      </c>
      <c r="AG7727" s="3" t="s">
        <v>18701</v>
      </c>
      <c r="AH7727" s="11">
        <f>HYPERLINK("https://my.pitchbook.com?c=77174-65T","View Company Online")</f>
      </c>
    </row>
    <row r="7728">
      <c r="A7728" s="12" t="s">
        <v>34039</v>
      </c>
      <c r="B7728" s="12" t="s">
        <v>29380</v>
      </c>
      <c r="C7728" s="19" t="s">
        <v>36</v>
      </c>
      <c r="D7728" s="19" t="s">
        <v>36</v>
      </c>
      <c r="E7728" s="19" t="s">
        <v>36</v>
      </c>
      <c r="F7728" s="19" t="s">
        <v>36</v>
      </c>
      <c r="G7728" s="15" t="s">
        <v>36</v>
      </c>
      <c r="H7728" s="14">
        <v>14.19</v>
      </c>
      <c r="I7728" s="18">
        <v>21.18</v>
      </c>
      <c r="J7728" s="12" t="s">
        <v>521</v>
      </c>
      <c r="K7728" s="13" t="s">
        <v>36</v>
      </c>
      <c r="L7728" s="15" t="s">
        <v>36</v>
      </c>
      <c r="M7728" s="12" t="s">
        <v>36</v>
      </c>
      <c r="N7728" s="12" t="s">
        <v>36</v>
      </c>
      <c r="O7728" s="17" t="s">
        <v>36</v>
      </c>
      <c r="P7728" s="12" t="s">
        <v>36</v>
      </c>
      <c r="Q7728" s="12" t="s">
        <v>36</v>
      </c>
      <c r="R7728" s="12" t="s">
        <v>36</v>
      </c>
      <c r="S7728" s="12" t="s">
        <v>36</v>
      </c>
      <c r="T7728" s="12" t="s">
        <v>1106</v>
      </c>
      <c r="U7728" s="12" t="s">
        <v>38</v>
      </c>
      <c r="V7728" s="12" t="s">
        <v>39</v>
      </c>
      <c r="W7728" s="12" t="s">
        <v>29381</v>
      </c>
      <c r="X7728" s="16" t="s">
        <v>34040</v>
      </c>
      <c r="Y7728" s="15" t="s">
        <v>55</v>
      </c>
      <c r="Z7728" s="14">
        <v>4.83</v>
      </c>
      <c r="AA7728" s="14">
        <v>20.25</v>
      </c>
      <c r="AB7728" s="12" t="s">
        <v>56</v>
      </c>
      <c r="AC7728" s="12" t="s">
        <v>29383</v>
      </c>
      <c r="AD7728" s="13">
        <v>41715</v>
      </c>
      <c r="AE7728" s="12" t="s">
        <v>110</v>
      </c>
      <c r="AF7728" s="12" t="s">
        <v>3172</v>
      </c>
      <c r="AG7728" s="12" t="s">
        <v>652</v>
      </c>
      <c r="AH7728" s="1">
        <f>HYPERLINK("https://my.pitchbook.com?c=32252-14T","View Company Online")</f>
      </c>
    </row>
    <row r="7729">
      <c r="A7729" s="3" t="s">
        <v>34041</v>
      </c>
      <c r="B7729" s="3" t="s">
        <v>34042</v>
      </c>
      <c r="C7729" s="5" t="s">
        <v>36</v>
      </c>
      <c r="D7729" s="5" t="s">
        <v>36</v>
      </c>
      <c r="E7729" s="5" t="s">
        <v>36</v>
      </c>
      <c r="F7729" s="5" t="s">
        <v>36</v>
      </c>
      <c r="G7729" s="6" t="s">
        <v>36</v>
      </c>
      <c r="H7729" s="4" t="s">
        <v>36</v>
      </c>
      <c r="I7729" s="7" t="s">
        <v>36</v>
      </c>
      <c r="J7729" s="3" t="s">
        <v>36</v>
      </c>
      <c r="K7729" s="9" t="s">
        <v>36</v>
      </c>
      <c r="L7729" s="6" t="s">
        <v>36</v>
      </c>
      <c r="M7729" s="3" t="s">
        <v>36</v>
      </c>
      <c r="N7729" s="3" t="s">
        <v>36</v>
      </c>
      <c r="O7729" s="8" t="s">
        <v>36</v>
      </c>
      <c r="P7729" s="3" t="s">
        <v>36</v>
      </c>
      <c r="Q7729" s="3" t="s">
        <v>36</v>
      </c>
      <c r="R7729" s="3" t="s">
        <v>36</v>
      </c>
      <c r="S7729" s="3" t="s">
        <v>36</v>
      </c>
      <c r="T7729" s="3" t="s">
        <v>16928</v>
      </c>
      <c r="U7729" s="3" t="s">
        <v>648</v>
      </c>
      <c r="V7729" s="3" t="s">
        <v>64</v>
      </c>
      <c r="W7729" s="3" t="s">
        <v>34043</v>
      </c>
      <c r="X7729" s="10" t="s">
        <v>34044</v>
      </c>
      <c r="Y7729" s="6" t="s">
        <v>55</v>
      </c>
      <c r="Z7729" s="4">
        <v>3.45</v>
      </c>
      <c r="AA7729" s="4" t="s">
        <v>36</v>
      </c>
      <c r="AB7729" s="3" t="s">
        <v>56</v>
      </c>
      <c r="AC7729" s="3" t="s">
        <v>34045</v>
      </c>
      <c r="AD7729" s="9">
        <v>41715</v>
      </c>
      <c r="AE7729" s="3" t="s">
        <v>651</v>
      </c>
      <c r="AF7729" s="3" t="s">
        <v>4552</v>
      </c>
      <c r="AG7729" s="3" t="s">
        <v>81</v>
      </c>
      <c r="AH7729" s="11">
        <f>HYPERLINK("https://my.pitchbook.com?c=32299-84T","View Company Online")</f>
      </c>
    </row>
    <row r="7730">
      <c r="A7730" s="12" t="s">
        <v>34046</v>
      </c>
      <c r="B7730" s="12" t="s">
        <v>9275</v>
      </c>
      <c r="C7730" s="19">
        <v>17</v>
      </c>
      <c r="D7730" s="19">
        <v>10</v>
      </c>
      <c r="E7730" s="19">
        <v>6</v>
      </c>
      <c r="F7730" s="19">
        <v>29</v>
      </c>
      <c r="G7730" s="15" t="s">
        <v>36</v>
      </c>
      <c r="H7730" s="14">
        <v>57.12</v>
      </c>
      <c r="I7730" s="18">
        <v>89.16</v>
      </c>
      <c r="J7730" s="12" t="s">
        <v>521</v>
      </c>
      <c r="K7730" s="13">
        <v>41703</v>
      </c>
      <c r="L7730" s="15" t="s">
        <v>122</v>
      </c>
      <c r="M7730" s="12" t="s">
        <v>36</v>
      </c>
      <c r="N7730" s="12" t="s">
        <v>122</v>
      </c>
      <c r="O7730" s="17" t="s">
        <v>36</v>
      </c>
      <c r="P7730" s="12" t="s">
        <v>36</v>
      </c>
      <c r="Q7730" s="12" t="s">
        <v>36</v>
      </c>
      <c r="R7730" s="12" t="s">
        <v>36</v>
      </c>
      <c r="S7730" s="12" t="s">
        <v>36</v>
      </c>
      <c r="T7730" s="12" t="s">
        <v>881</v>
      </c>
      <c r="U7730" s="12" t="s">
        <v>51</v>
      </c>
      <c r="V7730" s="12" t="s">
        <v>52</v>
      </c>
      <c r="W7730" s="12" t="s">
        <v>9276</v>
      </c>
      <c r="X7730" s="16" t="s">
        <v>34047</v>
      </c>
      <c r="Y7730" s="15" t="s">
        <v>108</v>
      </c>
      <c r="Z7730" s="14">
        <v>24.9</v>
      </c>
      <c r="AA7730" s="14">
        <v>27.93</v>
      </c>
      <c r="AB7730" s="12" t="s">
        <v>43</v>
      </c>
      <c r="AC7730" s="12" t="s">
        <v>9278</v>
      </c>
      <c r="AD7730" s="13">
        <v>41711</v>
      </c>
      <c r="AE7730" s="12" t="s">
        <v>504</v>
      </c>
      <c r="AF7730" s="12" t="s">
        <v>159</v>
      </c>
      <c r="AG7730" s="12" t="s">
        <v>81</v>
      </c>
      <c r="AH7730" s="1">
        <f>HYPERLINK("https://my.pitchbook.com?c=32230-90T","View Company Online")</f>
      </c>
    </row>
    <row r="7731">
      <c r="A7731" s="3" t="s">
        <v>34048</v>
      </c>
      <c r="B7731" s="3" t="s">
        <v>34049</v>
      </c>
      <c r="C7731" s="5" t="s">
        <v>36</v>
      </c>
      <c r="D7731" s="5" t="s">
        <v>36</v>
      </c>
      <c r="E7731" s="5" t="s">
        <v>36</v>
      </c>
      <c r="F7731" s="5" t="s">
        <v>36</v>
      </c>
      <c r="G7731" s="6" t="s">
        <v>36</v>
      </c>
      <c r="H7731" s="4" t="s">
        <v>36</v>
      </c>
      <c r="I7731" s="7" t="s">
        <v>36</v>
      </c>
      <c r="J7731" s="3" t="s">
        <v>36</v>
      </c>
      <c r="K7731" s="9" t="s">
        <v>36</v>
      </c>
      <c r="L7731" s="6" t="s">
        <v>36</v>
      </c>
      <c r="M7731" s="3" t="s">
        <v>36</v>
      </c>
      <c r="N7731" s="3" t="s">
        <v>36</v>
      </c>
      <c r="O7731" s="8" t="s">
        <v>36</v>
      </c>
      <c r="P7731" s="3" t="s">
        <v>36</v>
      </c>
      <c r="Q7731" s="3" t="s">
        <v>36</v>
      </c>
      <c r="R7731" s="3" t="s">
        <v>36</v>
      </c>
      <c r="S7731" s="3" t="s">
        <v>36</v>
      </c>
      <c r="T7731" s="3" t="s">
        <v>3253</v>
      </c>
      <c r="U7731" s="3" t="s">
        <v>38</v>
      </c>
      <c r="V7731" s="3" t="s">
        <v>39</v>
      </c>
      <c r="W7731" s="3" t="s">
        <v>34050</v>
      </c>
      <c r="X7731" s="10" t="s">
        <v>29451</v>
      </c>
      <c r="Y7731" s="6" t="s">
        <v>42</v>
      </c>
      <c r="Z7731" s="4">
        <v>0.28</v>
      </c>
      <c r="AA7731" s="4" t="s">
        <v>36</v>
      </c>
      <c r="AB7731" s="3" t="s">
        <v>43</v>
      </c>
      <c r="AC7731" s="3" t="s">
        <v>34051</v>
      </c>
      <c r="AD7731" s="9">
        <v>41711</v>
      </c>
      <c r="AE7731" s="3" t="s">
        <v>785</v>
      </c>
      <c r="AF7731" s="3" t="s">
        <v>4552</v>
      </c>
      <c r="AG7731" s="3" t="s">
        <v>81</v>
      </c>
      <c r="AH7731" s="11">
        <f>HYPERLINK("https://my.pitchbook.com?c=82193-23T","View Company Online")</f>
      </c>
    </row>
    <row r="7732">
      <c r="A7732" s="12" t="s">
        <v>34052</v>
      </c>
      <c r="B7732" s="12" t="s">
        <v>34053</v>
      </c>
      <c r="C7732" s="19" t="s">
        <v>36</v>
      </c>
      <c r="D7732" s="19" t="s">
        <v>36</v>
      </c>
      <c r="E7732" s="19" t="s">
        <v>36</v>
      </c>
      <c r="F7732" s="19" t="s">
        <v>36</v>
      </c>
      <c r="G7732" s="15" t="s">
        <v>36</v>
      </c>
      <c r="H7732" s="14" t="s">
        <v>36</v>
      </c>
      <c r="I7732" s="18" t="s">
        <v>36</v>
      </c>
      <c r="J7732" s="12" t="s">
        <v>36</v>
      </c>
      <c r="K7732" s="13" t="s">
        <v>36</v>
      </c>
      <c r="L7732" s="15" t="s">
        <v>36</v>
      </c>
      <c r="M7732" s="12" t="s">
        <v>36</v>
      </c>
      <c r="N7732" s="12" t="s">
        <v>36</v>
      </c>
      <c r="O7732" s="17" t="s">
        <v>36</v>
      </c>
      <c r="P7732" s="12" t="s">
        <v>36</v>
      </c>
      <c r="Q7732" s="12" t="s">
        <v>36</v>
      </c>
      <c r="R7732" s="12" t="s">
        <v>36</v>
      </c>
      <c r="S7732" s="12" t="s">
        <v>36</v>
      </c>
      <c r="T7732" s="12" t="s">
        <v>34054</v>
      </c>
      <c r="U7732" s="12" t="s">
        <v>74</v>
      </c>
      <c r="V7732" s="12" t="s">
        <v>75</v>
      </c>
      <c r="W7732" s="12" t="s">
        <v>34055</v>
      </c>
      <c r="X7732" s="16" t="s">
        <v>34056</v>
      </c>
      <c r="Y7732" s="15" t="s">
        <v>42</v>
      </c>
      <c r="Z7732" s="14">
        <v>2.75</v>
      </c>
      <c r="AA7732" s="14" t="s">
        <v>36</v>
      </c>
      <c r="AB7732" s="12" t="s">
        <v>43</v>
      </c>
      <c r="AC7732" s="12" t="s">
        <v>34057</v>
      </c>
      <c r="AD7732" s="13">
        <v>41709</v>
      </c>
      <c r="AE7732" s="12" t="s">
        <v>79</v>
      </c>
      <c r="AF7732" s="12" t="s">
        <v>15548</v>
      </c>
      <c r="AG7732" s="12" t="s">
        <v>81</v>
      </c>
      <c r="AH7732" s="1">
        <f>HYPERLINK("https://my.pitchbook.com?c=54448-21T","View Company Online")</f>
      </c>
    </row>
    <row r="7733">
      <c r="A7733" s="3" t="s">
        <v>34058</v>
      </c>
      <c r="B7733" s="3" t="s">
        <v>34059</v>
      </c>
      <c r="C7733" s="5" t="s">
        <v>36</v>
      </c>
      <c r="D7733" s="5" t="s">
        <v>36</v>
      </c>
      <c r="E7733" s="5" t="s">
        <v>36</v>
      </c>
      <c r="F7733" s="5" t="s">
        <v>36</v>
      </c>
      <c r="G7733" s="6" t="s">
        <v>36</v>
      </c>
      <c r="H7733" s="4" t="s">
        <v>36</v>
      </c>
      <c r="I7733" s="7" t="s">
        <v>36</v>
      </c>
      <c r="J7733" s="3" t="s">
        <v>36</v>
      </c>
      <c r="K7733" s="9" t="s">
        <v>36</v>
      </c>
      <c r="L7733" s="6" t="s">
        <v>36</v>
      </c>
      <c r="M7733" s="3" t="s">
        <v>36</v>
      </c>
      <c r="N7733" s="3" t="s">
        <v>36</v>
      </c>
      <c r="O7733" s="8" t="s">
        <v>36</v>
      </c>
      <c r="P7733" s="3" t="s">
        <v>36</v>
      </c>
      <c r="Q7733" s="3" t="s">
        <v>36</v>
      </c>
      <c r="R7733" s="3" t="s">
        <v>36</v>
      </c>
      <c r="S7733" s="3" t="s">
        <v>36</v>
      </c>
      <c r="T7733" s="3" t="s">
        <v>10694</v>
      </c>
      <c r="U7733" s="3" t="s">
        <v>74</v>
      </c>
      <c r="V7733" s="3" t="s">
        <v>75</v>
      </c>
      <c r="W7733" s="3" t="s">
        <v>34060</v>
      </c>
      <c r="X7733" s="10" t="s">
        <v>34061</v>
      </c>
      <c r="Y7733" s="6" t="s">
        <v>108</v>
      </c>
      <c r="Z7733" s="4">
        <v>2.1</v>
      </c>
      <c r="AA7733" s="4" t="s">
        <v>36</v>
      </c>
      <c r="AB7733" s="3" t="s">
        <v>43</v>
      </c>
      <c r="AC7733" s="3" t="s">
        <v>34062</v>
      </c>
      <c r="AD7733" s="9">
        <v>41709</v>
      </c>
      <c r="AE7733" s="3" t="s">
        <v>79</v>
      </c>
      <c r="AF7733" s="3" t="s">
        <v>1077</v>
      </c>
      <c r="AG7733" s="3" t="s">
        <v>899</v>
      </c>
      <c r="AH7733" s="11">
        <f>HYPERLINK("https://my.pitchbook.com?c=32166-82T","View Company Online")</f>
      </c>
    </row>
    <row r="7734">
      <c r="A7734" s="12" t="s">
        <v>34063</v>
      </c>
      <c r="B7734" s="12" t="s">
        <v>19275</v>
      </c>
      <c r="C7734" s="19" t="s">
        <v>36</v>
      </c>
      <c r="D7734" s="19" t="s">
        <v>36</v>
      </c>
      <c r="E7734" s="19" t="s">
        <v>36</v>
      </c>
      <c r="F7734" s="19" t="s">
        <v>36</v>
      </c>
      <c r="G7734" s="15" t="s">
        <v>683</v>
      </c>
      <c r="H7734" s="14">
        <v>122.56</v>
      </c>
      <c r="I7734" s="18">
        <v>44.86</v>
      </c>
      <c r="J7734" s="12" t="s">
        <v>327</v>
      </c>
      <c r="K7734" s="13">
        <v>41529</v>
      </c>
      <c r="L7734" s="15" t="s">
        <v>36</v>
      </c>
      <c r="M7734" s="12" t="s">
        <v>36</v>
      </c>
      <c r="N7734" s="12" t="s">
        <v>36</v>
      </c>
      <c r="O7734" s="17" t="s">
        <v>36</v>
      </c>
      <c r="P7734" s="12" t="s">
        <v>36</v>
      </c>
      <c r="Q7734" s="12" t="s">
        <v>36</v>
      </c>
      <c r="R7734" s="12" t="s">
        <v>36</v>
      </c>
      <c r="S7734" s="12" t="s">
        <v>36</v>
      </c>
      <c r="T7734" s="12" t="s">
        <v>522</v>
      </c>
      <c r="U7734" s="12" t="s">
        <v>38</v>
      </c>
      <c r="V7734" s="12" t="s">
        <v>39</v>
      </c>
      <c r="W7734" s="12" t="s">
        <v>19276</v>
      </c>
      <c r="X7734" s="16" t="s">
        <v>34064</v>
      </c>
      <c r="Y7734" s="15" t="s">
        <v>108</v>
      </c>
      <c r="Z7734" s="14">
        <v>6.87</v>
      </c>
      <c r="AA7734" s="14">
        <v>15.31</v>
      </c>
      <c r="AB7734" s="12" t="s">
        <v>56</v>
      </c>
      <c r="AC7734" s="12" t="s">
        <v>19278</v>
      </c>
      <c r="AD7734" s="13">
        <v>41708</v>
      </c>
      <c r="AE7734" s="12" t="s">
        <v>110</v>
      </c>
      <c r="AF7734" s="12" t="s">
        <v>36</v>
      </c>
      <c r="AG7734" s="12" t="s">
        <v>81</v>
      </c>
      <c r="AH7734" s="1">
        <f>HYPERLINK("https://my.pitchbook.com?c=32088-61T","View Company Online")</f>
      </c>
    </row>
    <row r="7735">
      <c r="A7735" s="3" t="s">
        <v>34065</v>
      </c>
      <c r="B7735" s="3" t="s">
        <v>34066</v>
      </c>
      <c r="C7735" s="5" t="s">
        <v>36</v>
      </c>
      <c r="D7735" s="5" t="s">
        <v>36</v>
      </c>
      <c r="E7735" s="5" t="s">
        <v>36</v>
      </c>
      <c r="F7735" s="5" t="s">
        <v>36</v>
      </c>
      <c r="G7735" s="6" t="s">
        <v>326</v>
      </c>
      <c r="H7735" s="4">
        <v>15.7</v>
      </c>
      <c r="I7735" s="7">
        <v>18.82</v>
      </c>
      <c r="J7735" s="3" t="s">
        <v>521</v>
      </c>
      <c r="K7735" s="9" t="s">
        <v>36</v>
      </c>
      <c r="L7735" s="6" t="s">
        <v>94</v>
      </c>
      <c r="M7735" s="3" t="s">
        <v>36</v>
      </c>
      <c r="N7735" s="3" t="s">
        <v>94</v>
      </c>
      <c r="O7735" s="8" t="s">
        <v>36</v>
      </c>
      <c r="P7735" s="3" t="s">
        <v>36</v>
      </c>
      <c r="Q7735" s="3" t="s">
        <v>36</v>
      </c>
      <c r="R7735" s="3" t="s">
        <v>36</v>
      </c>
      <c r="S7735" s="3" t="s">
        <v>36</v>
      </c>
      <c r="T7735" s="3" t="s">
        <v>522</v>
      </c>
      <c r="U7735" s="3" t="s">
        <v>38</v>
      </c>
      <c r="V7735" s="3" t="s">
        <v>39</v>
      </c>
      <c r="W7735" s="3" t="s">
        <v>34067</v>
      </c>
      <c r="X7735" s="10" t="s">
        <v>34068</v>
      </c>
      <c r="Y7735" s="6" t="s">
        <v>192</v>
      </c>
      <c r="Z7735" s="4">
        <v>9.25</v>
      </c>
      <c r="AA7735" s="4">
        <v>42.61</v>
      </c>
      <c r="AB7735" s="3" t="s">
        <v>56</v>
      </c>
      <c r="AC7735" s="3" t="s">
        <v>34069</v>
      </c>
      <c r="AD7735" s="9">
        <v>41704</v>
      </c>
      <c r="AE7735" s="3" t="s">
        <v>110</v>
      </c>
      <c r="AF7735" s="3" t="s">
        <v>1842</v>
      </c>
      <c r="AG7735" s="3" t="s">
        <v>81</v>
      </c>
      <c r="AH7735" s="11">
        <f>HYPERLINK("https://my.pitchbook.com?c=32013-01T","View Company Online")</f>
      </c>
    </row>
    <row r="7736">
      <c r="A7736" s="12" t="s">
        <v>34070</v>
      </c>
      <c r="B7736" s="12" t="s">
        <v>18562</v>
      </c>
      <c r="C7736" s="19" t="s">
        <v>36</v>
      </c>
      <c r="D7736" s="19" t="s">
        <v>36</v>
      </c>
      <c r="E7736" s="19" t="s">
        <v>36</v>
      </c>
      <c r="F7736" s="19" t="s">
        <v>36</v>
      </c>
      <c r="G7736" s="15" t="s">
        <v>36</v>
      </c>
      <c r="H7736" s="14">
        <v>249.26</v>
      </c>
      <c r="I7736" s="18">
        <v>37.93</v>
      </c>
      <c r="J7736" s="12" t="s">
        <v>521</v>
      </c>
      <c r="K7736" s="13">
        <v>41671</v>
      </c>
      <c r="L7736" s="15" t="s">
        <v>36</v>
      </c>
      <c r="M7736" s="12" t="s">
        <v>36</v>
      </c>
      <c r="N7736" s="12" t="s">
        <v>36</v>
      </c>
      <c r="O7736" s="17" t="s">
        <v>36</v>
      </c>
      <c r="P7736" s="12" t="s">
        <v>36</v>
      </c>
      <c r="Q7736" s="12" t="s">
        <v>36</v>
      </c>
      <c r="R7736" s="12" t="s">
        <v>36</v>
      </c>
      <c r="S7736" s="12" t="s">
        <v>36</v>
      </c>
      <c r="T7736" s="12" t="s">
        <v>6614</v>
      </c>
      <c r="U7736" s="12" t="s">
        <v>279</v>
      </c>
      <c r="V7736" s="12" t="s">
        <v>64</v>
      </c>
      <c r="W7736" s="12" t="s">
        <v>18563</v>
      </c>
      <c r="X7736" s="16" t="s">
        <v>25524</v>
      </c>
      <c r="Y7736" s="15" t="s">
        <v>42</v>
      </c>
      <c r="Z7736" s="14">
        <v>1.51</v>
      </c>
      <c r="AA7736" s="14">
        <v>3.97</v>
      </c>
      <c r="AB7736" s="12" t="s">
        <v>43</v>
      </c>
      <c r="AC7736" s="12" t="s">
        <v>18565</v>
      </c>
      <c r="AD7736" s="13">
        <v>41703</v>
      </c>
      <c r="AE7736" s="12" t="s">
        <v>740</v>
      </c>
      <c r="AF7736" s="12" t="s">
        <v>1380</v>
      </c>
      <c r="AG7736" s="12" t="s">
        <v>741</v>
      </c>
      <c r="AH7736" s="1">
        <f>HYPERLINK("https://my.pitchbook.com?c=56842-66T","View Company Online")</f>
      </c>
    </row>
    <row r="7737">
      <c r="A7737" s="3" t="s">
        <v>34071</v>
      </c>
      <c r="B7737" s="3" t="s">
        <v>7970</v>
      </c>
      <c r="C7737" s="5">
        <v>59</v>
      </c>
      <c r="D7737" s="5">
        <v>148</v>
      </c>
      <c r="E7737" s="5">
        <v>35</v>
      </c>
      <c r="F7737" s="5">
        <v>232</v>
      </c>
      <c r="G7737" s="6" t="s">
        <v>36</v>
      </c>
      <c r="H7737" s="4" t="s">
        <v>36</v>
      </c>
      <c r="I7737" s="7">
        <v>42.15</v>
      </c>
      <c r="J7737" s="3" t="s">
        <v>327</v>
      </c>
      <c r="K7737" s="9" t="s">
        <v>36</v>
      </c>
      <c r="L7737" s="6" t="s">
        <v>122</v>
      </c>
      <c r="M7737" s="3" t="s">
        <v>36</v>
      </c>
      <c r="N7737" s="3" t="s">
        <v>122</v>
      </c>
      <c r="O7737" s="8" t="s">
        <v>36</v>
      </c>
      <c r="P7737" s="3" t="s">
        <v>36</v>
      </c>
      <c r="Q7737" s="3" t="s">
        <v>36</v>
      </c>
      <c r="R7737" s="3" t="s">
        <v>36</v>
      </c>
      <c r="S7737" s="3" t="s">
        <v>2699</v>
      </c>
      <c r="T7737" s="3" t="s">
        <v>7971</v>
      </c>
      <c r="U7737" s="3" t="s">
        <v>1082</v>
      </c>
      <c r="V7737" s="3" t="s">
        <v>378</v>
      </c>
      <c r="W7737" s="3" t="s">
        <v>7972</v>
      </c>
      <c r="X7737" s="10" t="s">
        <v>34072</v>
      </c>
      <c r="Y7737" s="6" t="s">
        <v>42</v>
      </c>
      <c r="Z7737" s="4">
        <v>2.46</v>
      </c>
      <c r="AA7737" s="4">
        <v>5.85</v>
      </c>
      <c r="AB7737" s="3" t="s">
        <v>43</v>
      </c>
      <c r="AC7737" s="3" t="s">
        <v>7974</v>
      </c>
      <c r="AD7737" s="9">
        <v>41703</v>
      </c>
      <c r="AE7737" s="3" t="s">
        <v>1086</v>
      </c>
      <c r="AF7737" s="3" t="s">
        <v>7975</v>
      </c>
      <c r="AG7737" s="3" t="s">
        <v>2370</v>
      </c>
      <c r="AH7737" s="11">
        <f>HYPERLINK("https://my.pitchbook.com?c=31974-76T","View Company Online")</f>
      </c>
    </row>
    <row r="7738">
      <c r="A7738" s="12" t="s">
        <v>34073</v>
      </c>
      <c r="B7738" s="12" t="s">
        <v>31551</v>
      </c>
      <c r="C7738" s="19" t="s">
        <v>36</v>
      </c>
      <c r="D7738" s="19" t="s">
        <v>36</v>
      </c>
      <c r="E7738" s="19" t="s">
        <v>36</v>
      </c>
      <c r="F7738" s="19" t="s">
        <v>36</v>
      </c>
      <c r="G7738" s="15" t="s">
        <v>36</v>
      </c>
      <c r="H7738" s="14" t="s">
        <v>36</v>
      </c>
      <c r="I7738" s="18" t="s">
        <v>36</v>
      </c>
      <c r="J7738" s="12" t="s">
        <v>36</v>
      </c>
      <c r="K7738" s="13" t="s">
        <v>36</v>
      </c>
      <c r="L7738" s="15" t="s">
        <v>36</v>
      </c>
      <c r="M7738" s="12" t="s">
        <v>36</v>
      </c>
      <c r="N7738" s="12" t="s">
        <v>36</v>
      </c>
      <c r="O7738" s="17" t="s">
        <v>36</v>
      </c>
      <c r="P7738" s="12" t="s">
        <v>36</v>
      </c>
      <c r="Q7738" s="12" t="s">
        <v>36</v>
      </c>
      <c r="R7738" s="12" t="s">
        <v>36</v>
      </c>
      <c r="S7738" s="12" t="s">
        <v>36</v>
      </c>
      <c r="T7738" s="12" t="s">
        <v>31552</v>
      </c>
      <c r="U7738" s="12" t="s">
        <v>289</v>
      </c>
      <c r="V7738" s="12" t="s">
        <v>64</v>
      </c>
      <c r="W7738" s="12" t="s">
        <v>31553</v>
      </c>
      <c r="X7738" s="16" t="s">
        <v>34074</v>
      </c>
      <c r="Y7738" s="15" t="s">
        <v>55</v>
      </c>
      <c r="Z7738" s="14">
        <v>2.74</v>
      </c>
      <c r="AA7738" s="14" t="s">
        <v>36</v>
      </c>
      <c r="AB7738" s="12" t="s">
        <v>43</v>
      </c>
      <c r="AC7738" s="12" t="s">
        <v>31555</v>
      </c>
      <c r="AD7738" s="13">
        <v>41702</v>
      </c>
      <c r="AE7738" s="12" t="s">
        <v>3134</v>
      </c>
      <c r="AF7738" s="12" t="s">
        <v>20865</v>
      </c>
      <c r="AG7738" s="12" t="s">
        <v>652</v>
      </c>
      <c r="AH7738" s="1">
        <f>HYPERLINK("https://my.pitchbook.com?c=53213-14T","View Company Online")</f>
      </c>
    </row>
    <row r="7739">
      <c r="A7739" s="3" t="s">
        <v>34075</v>
      </c>
      <c r="B7739" s="3" t="s">
        <v>31796</v>
      </c>
      <c r="C7739" s="5" t="s">
        <v>36</v>
      </c>
      <c r="D7739" s="5" t="s">
        <v>36</v>
      </c>
      <c r="E7739" s="5" t="s">
        <v>36</v>
      </c>
      <c r="F7739" s="5" t="s">
        <v>36</v>
      </c>
      <c r="G7739" s="6" t="s">
        <v>326</v>
      </c>
      <c r="H7739" s="4">
        <v>27.77</v>
      </c>
      <c r="I7739" s="7">
        <v>37.06</v>
      </c>
      <c r="J7739" s="3" t="s">
        <v>521</v>
      </c>
      <c r="K7739" s="9" t="s">
        <v>36</v>
      </c>
      <c r="L7739" s="6" t="s">
        <v>36</v>
      </c>
      <c r="M7739" s="3" t="s">
        <v>36</v>
      </c>
      <c r="N7739" s="3" t="s">
        <v>36</v>
      </c>
      <c r="O7739" s="8" t="s">
        <v>36</v>
      </c>
      <c r="P7739" s="3" t="s">
        <v>36</v>
      </c>
      <c r="Q7739" s="3" t="s">
        <v>36</v>
      </c>
      <c r="R7739" s="3" t="s">
        <v>36</v>
      </c>
      <c r="S7739" s="3" t="s">
        <v>2489</v>
      </c>
      <c r="T7739" s="3" t="s">
        <v>31797</v>
      </c>
      <c r="U7739" s="3" t="s">
        <v>318</v>
      </c>
      <c r="V7739" s="3" t="s">
        <v>39</v>
      </c>
      <c r="W7739" s="3" t="s">
        <v>31798</v>
      </c>
      <c r="X7739" s="10" t="s">
        <v>31799</v>
      </c>
      <c r="Y7739" s="6" t="s">
        <v>108</v>
      </c>
      <c r="Z7739" s="4">
        <v>1.37</v>
      </c>
      <c r="AA7739" s="4">
        <v>3.69</v>
      </c>
      <c r="AB7739" s="3" t="s">
        <v>43</v>
      </c>
      <c r="AC7739" s="3" t="s">
        <v>31800</v>
      </c>
      <c r="AD7739" s="9">
        <v>41701</v>
      </c>
      <c r="AE7739" s="3" t="s">
        <v>763</v>
      </c>
      <c r="AF7739" s="3" t="s">
        <v>31801</v>
      </c>
      <c r="AG7739" s="3" t="s">
        <v>81</v>
      </c>
      <c r="AH7739" s="11">
        <f>HYPERLINK("https://my.pitchbook.com?c=44117-38T","View Company Online")</f>
      </c>
    </row>
    <row r="7740">
      <c r="A7740" s="12" t="s">
        <v>34076</v>
      </c>
      <c r="B7740" s="12" t="s">
        <v>15460</v>
      </c>
      <c r="C7740" s="19">
        <v>1</v>
      </c>
      <c r="D7740" s="19">
        <v>14</v>
      </c>
      <c r="E7740" s="19">
        <v>6</v>
      </c>
      <c r="F7740" s="19">
        <v>20</v>
      </c>
      <c r="G7740" s="15" t="s">
        <v>36</v>
      </c>
      <c r="H7740" s="14" t="s">
        <v>36</v>
      </c>
      <c r="I7740" s="18" t="s">
        <v>36</v>
      </c>
      <c r="J7740" s="12" t="s">
        <v>36</v>
      </c>
      <c r="K7740" s="13" t="s">
        <v>36</v>
      </c>
      <c r="L7740" s="15" t="s">
        <v>36</v>
      </c>
      <c r="M7740" s="12" t="s">
        <v>36</v>
      </c>
      <c r="N7740" s="12" t="s">
        <v>36</v>
      </c>
      <c r="O7740" s="17" t="s">
        <v>36</v>
      </c>
      <c r="P7740" s="12" t="s">
        <v>36</v>
      </c>
      <c r="Q7740" s="12" t="s">
        <v>36</v>
      </c>
      <c r="R7740" s="12" t="s">
        <v>36</v>
      </c>
      <c r="S7740" s="12" t="s">
        <v>36</v>
      </c>
      <c r="T7740" s="12" t="s">
        <v>2321</v>
      </c>
      <c r="U7740" s="12" t="s">
        <v>51</v>
      </c>
      <c r="V7740" s="12" t="s">
        <v>52</v>
      </c>
      <c r="W7740" s="12" t="s">
        <v>15461</v>
      </c>
      <c r="X7740" s="16" t="s">
        <v>34077</v>
      </c>
      <c r="Y7740" s="15" t="s">
        <v>108</v>
      </c>
      <c r="Z7740" s="14">
        <v>1.5</v>
      </c>
      <c r="AA7740" s="14" t="s">
        <v>36</v>
      </c>
      <c r="AB7740" s="12" t="s">
        <v>43</v>
      </c>
      <c r="AC7740" s="12" t="s">
        <v>15463</v>
      </c>
      <c r="AD7740" s="13">
        <v>41701</v>
      </c>
      <c r="AE7740" s="12" t="s">
        <v>504</v>
      </c>
      <c r="AF7740" s="12" t="s">
        <v>665</v>
      </c>
      <c r="AG7740" s="12" t="s">
        <v>144</v>
      </c>
      <c r="AH7740" s="1">
        <f>HYPERLINK("https://my.pitchbook.com?c=35717-86T","View Company Online")</f>
      </c>
    </row>
    <row r="7741">
      <c r="A7741" s="3" t="s">
        <v>34078</v>
      </c>
      <c r="B7741" s="3" t="s">
        <v>34079</v>
      </c>
      <c r="C7741" s="5" t="s">
        <v>36</v>
      </c>
      <c r="D7741" s="5" t="s">
        <v>36</v>
      </c>
      <c r="E7741" s="5">
        <v>1</v>
      </c>
      <c r="F7741" s="5">
        <v>2</v>
      </c>
      <c r="G7741" s="6" t="s">
        <v>36</v>
      </c>
      <c r="H7741" s="4" t="s">
        <v>36</v>
      </c>
      <c r="I7741" s="7" t="s">
        <v>36</v>
      </c>
      <c r="J7741" s="3" t="s">
        <v>36</v>
      </c>
      <c r="K7741" s="9" t="s">
        <v>36</v>
      </c>
      <c r="L7741" s="6" t="s">
        <v>122</v>
      </c>
      <c r="M7741" s="3" t="s">
        <v>36</v>
      </c>
      <c r="N7741" s="3" t="s">
        <v>122</v>
      </c>
      <c r="O7741" s="8" t="s">
        <v>36</v>
      </c>
      <c r="P7741" s="3" t="s">
        <v>36</v>
      </c>
      <c r="Q7741" s="3" t="s">
        <v>36</v>
      </c>
      <c r="R7741" s="3" t="s">
        <v>36</v>
      </c>
      <c r="S7741" s="3" t="s">
        <v>36</v>
      </c>
      <c r="T7741" s="3" t="s">
        <v>34080</v>
      </c>
      <c r="U7741" s="3" t="s">
        <v>219</v>
      </c>
      <c r="V7741" s="3" t="s">
        <v>75</v>
      </c>
      <c r="W7741" s="3" t="s">
        <v>34081</v>
      </c>
      <c r="X7741" s="10" t="s">
        <v>20527</v>
      </c>
      <c r="Y7741" s="6" t="s">
        <v>42</v>
      </c>
      <c r="Z7741" s="4" t="s">
        <v>36</v>
      </c>
      <c r="AA7741" s="4" t="s">
        <v>36</v>
      </c>
      <c r="AB7741" s="3" t="s">
        <v>43</v>
      </c>
      <c r="AC7741" s="3" t="s">
        <v>34082</v>
      </c>
      <c r="AD7741" s="9">
        <v>41699</v>
      </c>
      <c r="AE7741" s="3" t="s">
        <v>1912</v>
      </c>
      <c r="AF7741" s="3" t="s">
        <v>30848</v>
      </c>
      <c r="AG7741" s="3" t="s">
        <v>34083</v>
      </c>
      <c r="AH7741" s="11">
        <f>HYPERLINK("https://my.pitchbook.com?c=29808-28T","View Company Online")</f>
      </c>
    </row>
    <row r="7742">
      <c r="A7742" s="12" t="s">
        <v>34084</v>
      </c>
      <c r="B7742" s="12" t="s">
        <v>34085</v>
      </c>
      <c r="C7742" s="19" t="s">
        <v>36</v>
      </c>
      <c r="D7742" s="19" t="s">
        <v>36</v>
      </c>
      <c r="E7742" s="19" t="s">
        <v>36</v>
      </c>
      <c r="F7742" s="19" t="s">
        <v>36</v>
      </c>
      <c r="G7742" s="15" t="s">
        <v>36</v>
      </c>
      <c r="H7742" s="14" t="s">
        <v>36</v>
      </c>
      <c r="I7742" s="18" t="s">
        <v>36</v>
      </c>
      <c r="J7742" s="12" t="s">
        <v>36</v>
      </c>
      <c r="K7742" s="13" t="s">
        <v>36</v>
      </c>
      <c r="L7742" s="15" t="s">
        <v>36</v>
      </c>
      <c r="M7742" s="12" t="s">
        <v>36</v>
      </c>
      <c r="N7742" s="12" t="s">
        <v>36</v>
      </c>
      <c r="O7742" s="17" t="s">
        <v>36</v>
      </c>
      <c r="P7742" s="12" t="s">
        <v>36</v>
      </c>
      <c r="Q7742" s="12" t="s">
        <v>36</v>
      </c>
      <c r="R7742" s="12" t="s">
        <v>36</v>
      </c>
      <c r="S7742" s="12" t="s">
        <v>36</v>
      </c>
      <c r="T7742" s="12" t="s">
        <v>34086</v>
      </c>
      <c r="U7742" s="12" t="s">
        <v>74</v>
      </c>
      <c r="V7742" s="12" t="s">
        <v>75</v>
      </c>
      <c r="W7742" s="12" t="s">
        <v>34087</v>
      </c>
      <c r="X7742" s="16" t="s">
        <v>20527</v>
      </c>
      <c r="Y7742" s="15" t="s">
        <v>42</v>
      </c>
      <c r="Z7742" s="14" t="s">
        <v>36</v>
      </c>
      <c r="AA7742" s="14" t="s">
        <v>36</v>
      </c>
      <c r="AB7742" s="12" t="s">
        <v>43</v>
      </c>
      <c r="AC7742" s="12" t="s">
        <v>34088</v>
      </c>
      <c r="AD7742" s="13">
        <v>41699</v>
      </c>
      <c r="AE7742" s="12" t="s">
        <v>1243</v>
      </c>
      <c r="AF7742" s="12" t="s">
        <v>25016</v>
      </c>
      <c r="AG7742" s="12" t="s">
        <v>5670</v>
      </c>
      <c r="AH7742" s="1">
        <f>HYPERLINK("https://my.pitchbook.com?c=29735-47T","View Company Online")</f>
      </c>
    </row>
    <row r="7743">
      <c r="A7743" s="3" t="s">
        <v>34089</v>
      </c>
      <c r="B7743" s="3" t="s">
        <v>34090</v>
      </c>
      <c r="C7743" s="5" t="s">
        <v>36</v>
      </c>
      <c r="D7743" s="5" t="s">
        <v>36</v>
      </c>
      <c r="E7743" s="5" t="s">
        <v>36</v>
      </c>
      <c r="F7743" s="5" t="s">
        <v>36</v>
      </c>
      <c r="G7743" s="6" t="s">
        <v>36</v>
      </c>
      <c r="H7743" s="4" t="s">
        <v>36</v>
      </c>
      <c r="I7743" s="7" t="s">
        <v>36</v>
      </c>
      <c r="J7743" s="3" t="s">
        <v>36</v>
      </c>
      <c r="K7743" s="9" t="s">
        <v>36</v>
      </c>
      <c r="L7743" s="6" t="s">
        <v>36</v>
      </c>
      <c r="M7743" s="3" t="s">
        <v>36</v>
      </c>
      <c r="N7743" s="3" t="s">
        <v>36</v>
      </c>
      <c r="O7743" s="8" t="s">
        <v>36</v>
      </c>
      <c r="P7743" s="3" t="s">
        <v>36</v>
      </c>
      <c r="Q7743" s="3" t="s">
        <v>36</v>
      </c>
      <c r="R7743" s="3" t="s">
        <v>36</v>
      </c>
      <c r="S7743" s="3" t="s">
        <v>36</v>
      </c>
      <c r="T7743" s="3" t="s">
        <v>34091</v>
      </c>
      <c r="U7743" s="3" t="s">
        <v>1082</v>
      </c>
      <c r="V7743" s="3" t="s">
        <v>378</v>
      </c>
      <c r="W7743" s="3" t="s">
        <v>34092</v>
      </c>
      <c r="X7743" s="10" t="s">
        <v>33905</v>
      </c>
      <c r="Y7743" s="6" t="s">
        <v>42</v>
      </c>
      <c r="Z7743" s="4" t="s">
        <v>36</v>
      </c>
      <c r="AA7743" s="4" t="s">
        <v>36</v>
      </c>
      <c r="AB7743" s="3" t="s">
        <v>43</v>
      </c>
      <c r="AC7743" s="3" t="s">
        <v>34093</v>
      </c>
      <c r="AD7743" s="9">
        <v>41699</v>
      </c>
      <c r="AE7743" s="3" t="s">
        <v>2061</v>
      </c>
      <c r="AF7743" s="3" t="s">
        <v>8789</v>
      </c>
      <c r="AG7743" s="3" t="s">
        <v>21957</v>
      </c>
      <c r="AH7743" s="11">
        <f>HYPERLINK("https://my.pitchbook.com?c=29710-27T","View Company Online")</f>
      </c>
    </row>
    <row r="7744">
      <c r="A7744" s="12" t="s">
        <v>34094</v>
      </c>
      <c r="B7744" s="12" t="s">
        <v>34095</v>
      </c>
      <c r="C7744" s="19" t="s">
        <v>36</v>
      </c>
      <c r="D7744" s="19" t="s">
        <v>36</v>
      </c>
      <c r="E7744" s="19" t="s">
        <v>36</v>
      </c>
      <c r="F7744" s="19" t="s">
        <v>36</v>
      </c>
      <c r="G7744" s="15" t="s">
        <v>36</v>
      </c>
      <c r="H7744" s="14" t="s">
        <v>36</v>
      </c>
      <c r="I7744" s="18" t="s">
        <v>36</v>
      </c>
      <c r="J7744" s="12" t="s">
        <v>36</v>
      </c>
      <c r="K7744" s="13" t="s">
        <v>36</v>
      </c>
      <c r="L7744" s="15" t="s">
        <v>36</v>
      </c>
      <c r="M7744" s="12" t="s">
        <v>36</v>
      </c>
      <c r="N7744" s="12" t="s">
        <v>36</v>
      </c>
      <c r="O7744" s="17" t="s">
        <v>36</v>
      </c>
      <c r="P7744" s="12" t="s">
        <v>36</v>
      </c>
      <c r="Q7744" s="12" t="s">
        <v>36</v>
      </c>
      <c r="R7744" s="12" t="s">
        <v>36</v>
      </c>
      <c r="S7744" s="12" t="s">
        <v>36</v>
      </c>
      <c r="T7744" s="12" t="s">
        <v>34096</v>
      </c>
      <c r="U7744" s="12" t="s">
        <v>219</v>
      </c>
      <c r="V7744" s="12" t="s">
        <v>75</v>
      </c>
      <c r="W7744" s="12" t="s">
        <v>34097</v>
      </c>
      <c r="X7744" s="16" t="s">
        <v>20527</v>
      </c>
      <c r="Y7744" s="15" t="s">
        <v>42</v>
      </c>
      <c r="Z7744" s="14" t="s">
        <v>36</v>
      </c>
      <c r="AA7744" s="14" t="s">
        <v>36</v>
      </c>
      <c r="AB7744" s="12" t="s">
        <v>56</v>
      </c>
      <c r="AC7744" s="12" t="s">
        <v>34098</v>
      </c>
      <c r="AD7744" s="13">
        <v>41699</v>
      </c>
      <c r="AE7744" s="12" t="s">
        <v>1032</v>
      </c>
      <c r="AF7744" s="12" t="s">
        <v>571</v>
      </c>
      <c r="AG7744" s="12" t="s">
        <v>34099</v>
      </c>
      <c r="AH7744" s="1">
        <f>HYPERLINK("https://my.pitchbook.com?c=29806-84T","View Company Online")</f>
      </c>
    </row>
    <row r="7745">
      <c r="A7745" s="3" t="s">
        <v>34100</v>
      </c>
      <c r="B7745" s="3" t="s">
        <v>34101</v>
      </c>
      <c r="C7745" s="5" t="s">
        <v>36</v>
      </c>
      <c r="D7745" s="5" t="s">
        <v>36</v>
      </c>
      <c r="E7745" s="5" t="s">
        <v>36</v>
      </c>
      <c r="F7745" s="5" t="s">
        <v>36</v>
      </c>
      <c r="G7745" s="6" t="s">
        <v>36</v>
      </c>
      <c r="H7745" s="4" t="s">
        <v>36</v>
      </c>
      <c r="I7745" s="7" t="s">
        <v>36</v>
      </c>
      <c r="J7745" s="3" t="s">
        <v>36</v>
      </c>
      <c r="K7745" s="9" t="s">
        <v>36</v>
      </c>
      <c r="L7745" s="6" t="s">
        <v>36</v>
      </c>
      <c r="M7745" s="3" t="s">
        <v>36</v>
      </c>
      <c r="N7745" s="3" t="s">
        <v>36</v>
      </c>
      <c r="O7745" s="8" t="s">
        <v>36</v>
      </c>
      <c r="P7745" s="3" t="s">
        <v>36</v>
      </c>
      <c r="Q7745" s="3" t="s">
        <v>36</v>
      </c>
      <c r="R7745" s="3" t="s">
        <v>36</v>
      </c>
      <c r="S7745" s="3" t="s">
        <v>36</v>
      </c>
      <c r="T7745" s="3" t="s">
        <v>105</v>
      </c>
      <c r="U7745" s="3" t="s">
        <v>38</v>
      </c>
      <c r="V7745" s="3" t="s">
        <v>39</v>
      </c>
      <c r="W7745" s="3" t="s">
        <v>34102</v>
      </c>
      <c r="X7745" s="10" t="s">
        <v>33905</v>
      </c>
      <c r="Y7745" s="6" t="s">
        <v>42</v>
      </c>
      <c r="Z7745" s="4" t="s">
        <v>36</v>
      </c>
      <c r="AA7745" s="4" t="s">
        <v>36</v>
      </c>
      <c r="AB7745" s="3" t="s">
        <v>43</v>
      </c>
      <c r="AC7745" s="3" t="s">
        <v>34103</v>
      </c>
      <c r="AD7745" s="9">
        <v>41699</v>
      </c>
      <c r="AE7745" s="3" t="s">
        <v>110</v>
      </c>
      <c r="AF7745" s="3" t="s">
        <v>4552</v>
      </c>
      <c r="AG7745" s="3" t="s">
        <v>81</v>
      </c>
      <c r="AH7745" s="11">
        <f>HYPERLINK("https://my.pitchbook.com?c=29710-72T","View Company Online")</f>
      </c>
    </row>
    <row r="7746">
      <c r="A7746" s="12" t="s">
        <v>34104</v>
      </c>
      <c r="B7746" s="12" t="s">
        <v>34105</v>
      </c>
      <c r="C7746" s="19" t="s">
        <v>36</v>
      </c>
      <c r="D7746" s="19" t="s">
        <v>36</v>
      </c>
      <c r="E7746" s="19" t="s">
        <v>36</v>
      </c>
      <c r="F7746" s="19" t="s">
        <v>36</v>
      </c>
      <c r="G7746" s="15" t="s">
        <v>36</v>
      </c>
      <c r="H7746" s="14" t="s">
        <v>36</v>
      </c>
      <c r="I7746" s="18">
        <v>38.64</v>
      </c>
      <c r="J7746" s="12" t="s">
        <v>36</v>
      </c>
      <c r="K7746" s="13" t="s">
        <v>36</v>
      </c>
      <c r="L7746" s="15" t="s">
        <v>36</v>
      </c>
      <c r="M7746" s="12" t="s">
        <v>36</v>
      </c>
      <c r="N7746" s="12" t="s">
        <v>36</v>
      </c>
      <c r="O7746" s="17" t="s">
        <v>36</v>
      </c>
      <c r="P7746" s="12" t="s">
        <v>36</v>
      </c>
      <c r="Q7746" s="12" t="s">
        <v>36</v>
      </c>
      <c r="R7746" s="12" t="s">
        <v>36</v>
      </c>
      <c r="S7746" s="12" t="s">
        <v>36</v>
      </c>
      <c r="T7746" s="12" t="s">
        <v>18335</v>
      </c>
      <c r="U7746" s="12" t="s">
        <v>279</v>
      </c>
      <c r="V7746" s="12" t="s">
        <v>64</v>
      </c>
      <c r="W7746" s="12" t="s">
        <v>34106</v>
      </c>
      <c r="X7746" s="16" t="s">
        <v>34107</v>
      </c>
      <c r="Y7746" s="15" t="s">
        <v>42</v>
      </c>
      <c r="Z7746" s="14" t="s">
        <v>36</v>
      </c>
      <c r="AA7746" s="14" t="s">
        <v>36</v>
      </c>
      <c r="AB7746" s="12" t="s">
        <v>56</v>
      </c>
      <c r="AC7746" s="12" t="s">
        <v>34108</v>
      </c>
      <c r="AD7746" s="13">
        <v>41699</v>
      </c>
      <c r="AE7746" s="12" t="s">
        <v>740</v>
      </c>
      <c r="AF7746" s="12" t="s">
        <v>36</v>
      </c>
      <c r="AG7746" s="12" t="s">
        <v>81</v>
      </c>
      <c r="AH7746" s="1">
        <f>HYPERLINK("https://my.pitchbook.com?c=29479-33T","View Company Online")</f>
      </c>
    </row>
    <row r="7747">
      <c r="A7747" s="3" t="s">
        <v>34109</v>
      </c>
      <c r="B7747" s="3" t="s">
        <v>34110</v>
      </c>
      <c r="C7747" s="5">
        <v>2</v>
      </c>
      <c r="D7747" s="5">
        <v>9</v>
      </c>
      <c r="E7747" s="5">
        <v>4</v>
      </c>
      <c r="F7747" s="5">
        <v>17</v>
      </c>
      <c r="G7747" s="6" t="s">
        <v>326</v>
      </c>
      <c r="H7747" s="4" t="s">
        <v>36</v>
      </c>
      <c r="I7747" s="7">
        <v>10</v>
      </c>
      <c r="J7747" s="3" t="s">
        <v>521</v>
      </c>
      <c r="K7747" s="9" t="s">
        <v>36</v>
      </c>
      <c r="L7747" s="6" t="s">
        <v>122</v>
      </c>
      <c r="M7747" s="3" t="s">
        <v>36</v>
      </c>
      <c r="N7747" s="3" t="s">
        <v>122</v>
      </c>
      <c r="O7747" s="8" t="s">
        <v>36</v>
      </c>
      <c r="P7747" s="3" t="s">
        <v>36</v>
      </c>
      <c r="Q7747" s="3" t="s">
        <v>36</v>
      </c>
      <c r="R7747" s="3" t="s">
        <v>36</v>
      </c>
      <c r="S7747" s="3" t="s">
        <v>36</v>
      </c>
      <c r="T7747" s="3" t="s">
        <v>550</v>
      </c>
      <c r="U7747" s="3" t="s">
        <v>38</v>
      </c>
      <c r="V7747" s="3" t="s">
        <v>39</v>
      </c>
      <c r="W7747" s="3" t="s">
        <v>34111</v>
      </c>
      <c r="X7747" s="10" t="s">
        <v>13670</v>
      </c>
      <c r="Y7747" s="6" t="s">
        <v>108</v>
      </c>
      <c r="Z7747" s="4">
        <v>1.4</v>
      </c>
      <c r="AA7747" s="4">
        <v>14</v>
      </c>
      <c r="AB7747" s="3" t="s">
        <v>43</v>
      </c>
      <c r="AC7747" s="3" t="s">
        <v>34112</v>
      </c>
      <c r="AD7747" s="9">
        <v>41699</v>
      </c>
      <c r="AE7747" s="3" t="s">
        <v>554</v>
      </c>
      <c r="AF7747" s="3" t="s">
        <v>34113</v>
      </c>
      <c r="AG7747" s="3" t="s">
        <v>81</v>
      </c>
      <c r="AH7747" s="11">
        <f>HYPERLINK("https://my.pitchbook.com?c=118299-07T","View Company Online")</f>
      </c>
    </row>
    <row r="7748">
      <c r="A7748" s="12" t="s">
        <v>34114</v>
      </c>
      <c r="B7748" s="12" t="s">
        <v>27486</v>
      </c>
      <c r="C7748" s="19" t="s">
        <v>36</v>
      </c>
      <c r="D7748" s="19">
        <v>2</v>
      </c>
      <c r="E7748" s="19">
        <v>1</v>
      </c>
      <c r="F7748" s="19">
        <v>2</v>
      </c>
      <c r="G7748" s="15" t="s">
        <v>36</v>
      </c>
      <c r="H7748" s="14">
        <v>2.03</v>
      </c>
      <c r="I7748" s="18">
        <v>62.91</v>
      </c>
      <c r="J7748" s="12" t="s">
        <v>521</v>
      </c>
      <c r="K7748" s="13" t="s">
        <v>36</v>
      </c>
      <c r="L7748" s="15" t="s">
        <v>36</v>
      </c>
      <c r="M7748" s="12" t="s">
        <v>36</v>
      </c>
      <c r="N7748" s="12" t="s">
        <v>36</v>
      </c>
      <c r="O7748" s="17" t="s">
        <v>36</v>
      </c>
      <c r="P7748" s="12" t="s">
        <v>36</v>
      </c>
      <c r="Q7748" s="12" t="s">
        <v>36</v>
      </c>
      <c r="R7748" s="12" t="s">
        <v>36</v>
      </c>
      <c r="S7748" s="12" t="s">
        <v>36</v>
      </c>
      <c r="T7748" s="12" t="s">
        <v>2584</v>
      </c>
      <c r="U7748" s="12" t="s">
        <v>96</v>
      </c>
      <c r="V7748" s="12" t="s">
        <v>52</v>
      </c>
      <c r="W7748" s="12" t="s">
        <v>27487</v>
      </c>
      <c r="X7748" s="16" t="s">
        <v>34115</v>
      </c>
      <c r="Y7748" s="15" t="s">
        <v>108</v>
      </c>
      <c r="Z7748" s="14">
        <v>11.06</v>
      </c>
      <c r="AA7748" s="14">
        <v>13.46</v>
      </c>
      <c r="AB7748" s="12" t="s">
        <v>56</v>
      </c>
      <c r="AC7748" s="12" t="s">
        <v>27489</v>
      </c>
      <c r="AD7748" s="13">
        <v>41699</v>
      </c>
      <c r="AE7748" s="12" t="s">
        <v>100</v>
      </c>
      <c r="AF7748" s="12" t="s">
        <v>1636</v>
      </c>
      <c r="AG7748" s="12" t="s">
        <v>81</v>
      </c>
      <c r="AH7748" s="1">
        <f>HYPERLINK("https://my.pitchbook.com?c=25324-57T","View Company Online")</f>
      </c>
    </row>
    <row r="7749">
      <c r="A7749" s="3" t="s">
        <v>34116</v>
      </c>
      <c r="B7749" s="3" t="s">
        <v>34117</v>
      </c>
      <c r="C7749" s="5" t="s">
        <v>36</v>
      </c>
      <c r="D7749" s="5" t="s">
        <v>36</v>
      </c>
      <c r="E7749" s="5" t="s">
        <v>36</v>
      </c>
      <c r="F7749" s="5" t="s">
        <v>36</v>
      </c>
      <c r="G7749" s="6" t="s">
        <v>326</v>
      </c>
      <c r="H7749" s="4">
        <v>7.03</v>
      </c>
      <c r="I7749" s="7">
        <v>38.59</v>
      </c>
      <c r="J7749" s="3" t="s">
        <v>521</v>
      </c>
      <c r="K7749" s="9">
        <v>41659</v>
      </c>
      <c r="L7749" s="6" t="s">
        <v>36</v>
      </c>
      <c r="M7749" s="3" t="s">
        <v>36</v>
      </c>
      <c r="N7749" s="3" t="s">
        <v>36</v>
      </c>
      <c r="O7749" s="8" t="s">
        <v>36</v>
      </c>
      <c r="P7749" s="3" t="s">
        <v>36</v>
      </c>
      <c r="Q7749" s="3" t="s">
        <v>36</v>
      </c>
      <c r="R7749" s="3" t="s">
        <v>36</v>
      </c>
      <c r="S7749" s="3" t="s">
        <v>36</v>
      </c>
      <c r="T7749" s="3" t="s">
        <v>3125</v>
      </c>
      <c r="U7749" s="3" t="s">
        <v>279</v>
      </c>
      <c r="V7749" s="3" t="s">
        <v>64</v>
      </c>
      <c r="W7749" s="3" t="s">
        <v>34118</v>
      </c>
      <c r="X7749" s="10" t="s">
        <v>34119</v>
      </c>
      <c r="Y7749" s="6" t="s">
        <v>42</v>
      </c>
      <c r="Z7749" s="4">
        <v>8.58</v>
      </c>
      <c r="AA7749" s="4">
        <v>22.24</v>
      </c>
      <c r="AB7749" s="3" t="s">
        <v>43</v>
      </c>
      <c r="AC7749" s="3" t="s">
        <v>34120</v>
      </c>
      <c r="AD7749" s="9">
        <v>41699</v>
      </c>
      <c r="AE7749" s="3" t="s">
        <v>283</v>
      </c>
      <c r="AF7749" s="3" t="s">
        <v>1636</v>
      </c>
      <c r="AG7749" s="3" t="s">
        <v>34121</v>
      </c>
      <c r="AH7749" s="11">
        <f>HYPERLINK("https://my.pitchbook.com?c=61118-29T","View Company Online")</f>
      </c>
    </row>
    <row r="7750">
      <c r="A7750" s="12" t="s">
        <v>34122</v>
      </c>
      <c r="B7750" s="12" t="s">
        <v>34123</v>
      </c>
      <c r="C7750" s="19">
        <v>1</v>
      </c>
      <c r="D7750" s="19">
        <v>2</v>
      </c>
      <c r="E7750" s="19">
        <v>2</v>
      </c>
      <c r="F7750" s="19">
        <v>5</v>
      </c>
      <c r="G7750" s="15" t="s">
        <v>36</v>
      </c>
      <c r="H7750" s="14" t="s">
        <v>36</v>
      </c>
      <c r="I7750" s="18" t="s">
        <v>36</v>
      </c>
      <c r="J7750" s="12" t="s">
        <v>36</v>
      </c>
      <c r="K7750" s="13" t="s">
        <v>36</v>
      </c>
      <c r="L7750" s="15" t="s">
        <v>36</v>
      </c>
      <c r="M7750" s="12" t="s">
        <v>36</v>
      </c>
      <c r="N7750" s="12" t="s">
        <v>36</v>
      </c>
      <c r="O7750" s="17" t="s">
        <v>36</v>
      </c>
      <c r="P7750" s="12" t="s">
        <v>36</v>
      </c>
      <c r="Q7750" s="12" t="s">
        <v>36</v>
      </c>
      <c r="R7750" s="12" t="s">
        <v>36</v>
      </c>
      <c r="S7750" s="12" t="s">
        <v>36</v>
      </c>
      <c r="T7750" s="12" t="s">
        <v>34124</v>
      </c>
      <c r="U7750" s="12" t="s">
        <v>1580</v>
      </c>
      <c r="V7750" s="12" t="s">
        <v>39</v>
      </c>
      <c r="W7750" s="12" t="s">
        <v>34125</v>
      </c>
      <c r="X7750" s="16" t="s">
        <v>34126</v>
      </c>
      <c r="Y7750" s="15" t="s">
        <v>42</v>
      </c>
      <c r="Z7750" s="14" t="s">
        <v>36</v>
      </c>
      <c r="AA7750" s="14" t="s">
        <v>36</v>
      </c>
      <c r="AB7750" s="12" t="s">
        <v>56</v>
      </c>
      <c r="AC7750" s="12" t="s">
        <v>34127</v>
      </c>
      <c r="AD7750" s="13">
        <v>41699</v>
      </c>
      <c r="AE7750" s="12" t="s">
        <v>4387</v>
      </c>
      <c r="AF7750" s="12" t="s">
        <v>34128</v>
      </c>
      <c r="AG7750" s="12" t="s">
        <v>5554</v>
      </c>
      <c r="AH7750" s="1">
        <f>HYPERLINK("https://my.pitchbook.com?c=27271-27T","View Company Online")</f>
      </c>
    </row>
    <row r="7751">
      <c r="A7751" s="3" t="s">
        <v>34129</v>
      </c>
      <c r="B7751" s="3" t="s">
        <v>9903</v>
      </c>
      <c r="C7751" s="5">
        <v>12</v>
      </c>
      <c r="D7751" s="5">
        <v>33</v>
      </c>
      <c r="E7751" s="5">
        <v>15</v>
      </c>
      <c r="F7751" s="5">
        <v>47</v>
      </c>
      <c r="G7751" s="6" t="s">
        <v>36</v>
      </c>
      <c r="H7751" s="4">
        <v>15.58</v>
      </c>
      <c r="I7751" s="7">
        <v>63.74</v>
      </c>
      <c r="J7751" s="3" t="s">
        <v>521</v>
      </c>
      <c r="K7751" s="9" t="s">
        <v>36</v>
      </c>
      <c r="L7751" s="6" t="s">
        <v>36</v>
      </c>
      <c r="M7751" s="3" t="s">
        <v>36</v>
      </c>
      <c r="N7751" s="3" t="s">
        <v>36</v>
      </c>
      <c r="O7751" s="8" t="s">
        <v>36</v>
      </c>
      <c r="P7751" s="3" t="s">
        <v>36</v>
      </c>
      <c r="Q7751" s="3" t="s">
        <v>36</v>
      </c>
      <c r="R7751" s="3" t="s">
        <v>36</v>
      </c>
      <c r="S7751" s="3" t="s">
        <v>36</v>
      </c>
      <c r="T7751" s="3" t="s">
        <v>9904</v>
      </c>
      <c r="U7751" s="3" t="s">
        <v>51</v>
      </c>
      <c r="V7751" s="3" t="s">
        <v>52</v>
      </c>
      <c r="W7751" s="3" t="s">
        <v>9905</v>
      </c>
      <c r="X7751" s="10" t="s">
        <v>34130</v>
      </c>
      <c r="Y7751" s="6" t="s">
        <v>42</v>
      </c>
      <c r="Z7751" s="4">
        <v>2.77</v>
      </c>
      <c r="AA7751" s="4">
        <v>4.34</v>
      </c>
      <c r="AB7751" s="3" t="s">
        <v>56</v>
      </c>
      <c r="AC7751" s="3" t="s">
        <v>9907</v>
      </c>
      <c r="AD7751" s="9">
        <v>41698</v>
      </c>
      <c r="AE7751" s="3" t="s">
        <v>158</v>
      </c>
      <c r="AF7751" s="3" t="s">
        <v>9908</v>
      </c>
      <c r="AG7751" s="3" t="s">
        <v>9909</v>
      </c>
      <c r="AH7751" s="11">
        <f>HYPERLINK("https://my.pitchbook.com?c=31906-09T","View Company Online")</f>
      </c>
    </row>
    <row r="7752">
      <c r="A7752" s="12" t="s">
        <v>34131</v>
      </c>
      <c r="B7752" s="12" t="s">
        <v>30152</v>
      </c>
      <c r="C7752" s="19" t="s">
        <v>36</v>
      </c>
      <c r="D7752" s="19">
        <v>5</v>
      </c>
      <c r="E7752" s="19">
        <v>2</v>
      </c>
      <c r="F7752" s="19">
        <v>7</v>
      </c>
      <c r="G7752" s="15" t="s">
        <v>683</v>
      </c>
      <c r="H7752" s="14">
        <v>6.17</v>
      </c>
      <c r="I7752" s="18">
        <v>18.54</v>
      </c>
      <c r="J7752" s="12" t="s">
        <v>521</v>
      </c>
      <c r="K7752" s="13" t="s">
        <v>36</v>
      </c>
      <c r="L7752" s="15" t="s">
        <v>36</v>
      </c>
      <c r="M7752" s="12" t="s">
        <v>36</v>
      </c>
      <c r="N7752" s="12" t="s">
        <v>36</v>
      </c>
      <c r="O7752" s="17" t="s">
        <v>36</v>
      </c>
      <c r="P7752" s="12" t="s">
        <v>36</v>
      </c>
      <c r="Q7752" s="12" t="s">
        <v>36</v>
      </c>
      <c r="R7752" s="12" t="s">
        <v>36</v>
      </c>
      <c r="S7752" s="12" t="s">
        <v>36</v>
      </c>
      <c r="T7752" s="12" t="s">
        <v>1701</v>
      </c>
      <c r="U7752" s="12" t="s">
        <v>74</v>
      </c>
      <c r="V7752" s="12" t="s">
        <v>75</v>
      </c>
      <c r="W7752" s="12" t="s">
        <v>30153</v>
      </c>
      <c r="X7752" s="16" t="s">
        <v>34132</v>
      </c>
      <c r="Y7752" s="15" t="s">
        <v>55</v>
      </c>
      <c r="Z7752" s="14">
        <v>1.72</v>
      </c>
      <c r="AA7752" s="14">
        <v>9.28</v>
      </c>
      <c r="AB7752" s="12" t="s">
        <v>43</v>
      </c>
      <c r="AC7752" s="12" t="s">
        <v>30155</v>
      </c>
      <c r="AD7752" s="13">
        <v>41696</v>
      </c>
      <c r="AE7752" s="12" t="s">
        <v>79</v>
      </c>
      <c r="AF7752" s="12" t="s">
        <v>30156</v>
      </c>
      <c r="AG7752" s="12" t="s">
        <v>652</v>
      </c>
      <c r="AH7752" s="1">
        <f>HYPERLINK("https://my.pitchbook.com?c=29637-28T","View Company Online")</f>
      </c>
    </row>
    <row r="7753">
      <c r="A7753" s="3" t="s">
        <v>34133</v>
      </c>
      <c r="B7753" s="3" t="s">
        <v>34134</v>
      </c>
      <c r="C7753" s="5" t="s">
        <v>36</v>
      </c>
      <c r="D7753" s="5" t="s">
        <v>36</v>
      </c>
      <c r="E7753" s="5" t="s">
        <v>36</v>
      </c>
      <c r="F7753" s="5" t="s">
        <v>36</v>
      </c>
      <c r="G7753" s="6" t="s">
        <v>36</v>
      </c>
      <c r="H7753" s="4" t="s">
        <v>36</v>
      </c>
      <c r="I7753" s="7">
        <v>33.33</v>
      </c>
      <c r="J7753" s="3" t="s">
        <v>327</v>
      </c>
      <c r="K7753" s="9" t="s">
        <v>36</v>
      </c>
      <c r="L7753" s="6" t="s">
        <v>36</v>
      </c>
      <c r="M7753" s="3" t="s">
        <v>36</v>
      </c>
      <c r="N7753" s="3" t="s">
        <v>36</v>
      </c>
      <c r="O7753" s="8" t="s">
        <v>36</v>
      </c>
      <c r="P7753" s="3" t="s">
        <v>36</v>
      </c>
      <c r="Q7753" s="3" t="s">
        <v>36</v>
      </c>
      <c r="R7753" s="3" t="s">
        <v>36</v>
      </c>
      <c r="S7753" s="3" t="s">
        <v>36</v>
      </c>
      <c r="T7753" s="3" t="s">
        <v>4822</v>
      </c>
      <c r="U7753" s="3" t="s">
        <v>38</v>
      </c>
      <c r="V7753" s="3" t="s">
        <v>39</v>
      </c>
      <c r="W7753" s="3" t="s">
        <v>34135</v>
      </c>
      <c r="X7753" s="10" t="s">
        <v>5661</v>
      </c>
      <c r="Y7753" s="6" t="s">
        <v>42</v>
      </c>
      <c r="Z7753" s="4">
        <v>0.03</v>
      </c>
      <c r="AA7753" s="4">
        <v>0.1</v>
      </c>
      <c r="AB7753" s="3" t="s">
        <v>43</v>
      </c>
      <c r="AC7753" s="3" t="s">
        <v>34136</v>
      </c>
      <c r="AD7753" s="9">
        <v>41696</v>
      </c>
      <c r="AE7753" s="3" t="s">
        <v>110</v>
      </c>
      <c r="AF7753" s="3" t="s">
        <v>36</v>
      </c>
      <c r="AG7753" s="3" t="s">
        <v>8939</v>
      </c>
      <c r="AH7753" s="11">
        <f>HYPERLINK("https://my.pitchbook.com?c=82674-64T","View Company Online")</f>
      </c>
    </row>
    <row r="7754">
      <c r="A7754" s="12" t="s">
        <v>34137</v>
      </c>
      <c r="B7754" s="12" t="s">
        <v>34138</v>
      </c>
      <c r="C7754" s="19" t="s">
        <v>36</v>
      </c>
      <c r="D7754" s="19" t="s">
        <v>36</v>
      </c>
      <c r="E7754" s="19" t="s">
        <v>36</v>
      </c>
      <c r="F7754" s="19" t="s">
        <v>36</v>
      </c>
      <c r="G7754" s="15" t="s">
        <v>36</v>
      </c>
      <c r="H7754" s="14" t="s">
        <v>36</v>
      </c>
      <c r="I7754" s="18" t="s">
        <v>36</v>
      </c>
      <c r="J7754" s="12" t="s">
        <v>36</v>
      </c>
      <c r="K7754" s="13" t="s">
        <v>36</v>
      </c>
      <c r="L7754" s="15" t="s">
        <v>36</v>
      </c>
      <c r="M7754" s="12" t="s">
        <v>36</v>
      </c>
      <c r="N7754" s="12" t="s">
        <v>36</v>
      </c>
      <c r="O7754" s="17" t="s">
        <v>36</v>
      </c>
      <c r="P7754" s="12" t="s">
        <v>36</v>
      </c>
      <c r="Q7754" s="12" t="s">
        <v>36</v>
      </c>
      <c r="R7754" s="12" t="s">
        <v>36</v>
      </c>
      <c r="S7754" s="12" t="s">
        <v>36</v>
      </c>
      <c r="T7754" s="12" t="s">
        <v>4230</v>
      </c>
      <c r="U7754" s="12" t="s">
        <v>38</v>
      </c>
      <c r="V7754" s="12" t="s">
        <v>39</v>
      </c>
      <c r="W7754" s="12" t="s">
        <v>34139</v>
      </c>
      <c r="X7754" s="16" t="s">
        <v>34140</v>
      </c>
      <c r="Y7754" s="15" t="s">
        <v>192</v>
      </c>
      <c r="Z7754" s="14">
        <v>3.54</v>
      </c>
      <c r="AA7754" s="14" t="s">
        <v>36</v>
      </c>
      <c r="AB7754" s="12" t="s">
        <v>56</v>
      </c>
      <c r="AC7754" s="12" t="s">
        <v>34141</v>
      </c>
      <c r="AD7754" s="13">
        <v>41689</v>
      </c>
      <c r="AE7754" s="12" t="s">
        <v>110</v>
      </c>
      <c r="AF7754" s="12" t="s">
        <v>2019</v>
      </c>
      <c r="AG7754" s="12" t="s">
        <v>81</v>
      </c>
      <c r="AH7754" s="1">
        <f>HYPERLINK("https://my.pitchbook.com?c=31694-95T","View Company Online")</f>
      </c>
    </row>
    <row r="7755">
      <c r="A7755" s="3" t="s">
        <v>34142</v>
      </c>
      <c r="B7755" s="3" t="s">
        <v>31740</v>
      </c>
      <c r="C7755" s="5">
        <v>39</v>
      </c>
      <c r="D7755" s="5">
        <v>144</v>
      </c>
      <c r="E7755" s="5">
        <v>51</v>
      </c>
      <c r="F7755" s="5">
        <v>241</v>
      </c>
      <c r="G7755" s="6" t="s">
        <v>326</v>
      </c>
      <c r="H7755" s="4">
        <v>5.07</v>
      </c>
      <c r="I7755" s="7">
        <v>16.44</v>
      </c>
      <c r="J7755" s="3" t="s">
        <v>521</v>
      </c>
      <c r="K7755" s="9" t="s">
        <v>36</v>
      </c>
      <c r="L7755" s="6" t="s">
        <v>36</v>
      </c>
      <c r="M7755" s="3" t="s">
        <v>36</v>
      </c>
      <c r="N7755" s="3" t="s">
        <v>36</v>
      </c>
      <c r="O7755" s="8" t="s">
        <v>36</v>
      </c>
      <c r="P7755" s="3" t="s">
        <v>36</v>
      </c>
      <c r="Q7755" s="3" t="s">
        <v>36</v>
      </c>
      <c r="R7755" s="3" t="s">
        <v>36</v>
      </c>
      <c r="S7755" s="3" t="s">
        <v>36</v>
      </c>
      <c r="T7755" s="3" t="s">
        <v>4876</v>
      </c>
      <c r="U7755" s="3" t="s">
        <v>1357</v>
      </c>
      <c r="V7755" s="3" t="s">
        <v>52</v>
      </c>
      <c r="W7755" s="3" t="s">
        <v>31741</v>
      </c>
      <c r="X7755" s="10" t="s">
        <v>34143</v>
      </c>
      <c r="Y7755" s="6" t="s">
        <v>192</v>
      </c>
      <c r="Z7755" s="4">
        <v>68.73</v>
      </c>
      <c r="AA7755" s="4">
        <v>418.08</v>
      </c>
      <c r="AB7755" s="3" t="s">
        <v>56</v>
      </c>
      <c r="AC7755" s="3" t="s">
        <v>31743</v>
      </c>
      <c r="AD7755" s="9">
        <v>41687</v>
      </c>
      <c r="AE7755" s="3" t="s">
        <v>2808</v>
      </c>
      <c r="AF7755" s="3" t="s">
        <v>665</v>
      </c>
      <c r="AG7755" s="3" t="s">
        <v>13998</v>
      </c>
      <c r="AH7755" s="11">
        <f>HYPERLINK("https://my.pitchbook.com?c=31651-57T","View Company Online")</f>
      </c>
    </row>
    <row r="7756">
      <c r="A7756" s="12" t="s">
        <v>34144</v>
      </c>
      <c r="B7756" s="12" t="s">
        <v>6216</v>
      </c>
      <c r="C7756" s="19" t="s">
        <v>36</v>
      </c>
      <c r="D7756" s="19" t="s">
        <v>36</v>
      </c>
      <c r="E7756" s="19" t="s">
        <v>36</v>
      </c>
      <c r="F7756" s="19" t="s">
        <v>36</v>
      </c>
      <c r="G7756" s="15" t="s">
        <v>36</v>
      </c>
      <c r="H7756" s="14">
        <v>2.6</v>
      </c>
      <c r="I7756" s="18">
        <v>32.68</v>
      </c>
      <c r="J7756" s="12" t="s">
        <v>521</v>
      </c>
      <c r="K7756" s="13" t="s">
        <v>36</v>
      </c>
      <c r="L7756" s="15" t="s">
        <v>94</v>
      </c>
      <c r="M7756" s="12" t="s">
        <v>36</v>
      </c>
      <c r="N7756" s="12" t="s">
        <v>94</v>
      </c>
      <c r="O7756" s="17" t="s">
        <v>36</v>
      </c>
      <c r="P7756" s="12" t="s">
        <v>36</v>
      </c>
      <c r="Q7756" s="12" t="s">
        <v>36</v>
      </c>
      <c r="R7756" s="12" t="s">
        <v>36</v>
      </c>
      <c r="S7756" s="12" t="s">
        <v>36</v>
      </c>
      <c r="T7756" s="12" t="s">
        <v>6217</v>
      </c>
      <c r="U7756" s="12" t="s">
        <v>38</v>
      </c>
      <c r="V7756" s="12" t="s">
        <v>39</v>
      </c>
      <c r="W7756" s="12" t="s">
        <v>6218</v>
      </c>
      <c r="X7756" s="16" t="s">
        <v>34145</v>
      </c>
      <c r="Y7756" s="15" t="s">
        <v>42</v>
      </c>
      <c r="Z7756" s="14">
        <v>2.72</v>
      </c>
      <c r="AA7756" s="14">
        <v>5.83</v>
      </c>
      <c r="AB7756" s="12" t="s">
        <v>43</v>
      </c>
      <c r="AC7756" s="12" t="s">
        <v>6220</v>
      </c>
      <c r="AD7756" s="13">
        <v>41687</v>
      </c>
      <c r="AE7756" s="12" t="s">
        <v>1200</v>
      </c>
      <c r="AF7756" s="12" t="s">
        <v>6221</v>
      </c>
      <c r="AG7756" s="12" t="s">
        <v>924</v>
      </c>
      <c r="AH7756" s="1">
        <f>HYPERLINK("https://my.pitchbook.com?c=31679-83T","View Company Online")</f>
      </c>
    </row>
    <row r="7757">
      <c r="A7757" s="3" t="s">
        <v>34146</v>
      </c>
      <c r="B7757" s="3" t="s">
        <v>34147</v>
      </c>
      <c r="C7757" s="5" t="s">
        <v>36</v>
      </c>
      <c r="D7757" s="5" t="s">
        <v>36</v>
      </c>
      <c r="E7757" s="5" t="s">
        <v>36</v>
      </c>
      <c r="F7757" s="5" t="s">
        <v>36</v>
      </c>
      <c r="G7757" s="6" t="s">
        <v>36</v>
      </c>
      <c r="H7757" s="4" t="s">
        <v>36</v>
      </c>
      <c r="I7757" s="7" t="s">
        <v>36</v>
      </c>
      <c r="J7757" s="3" t="s">
        <v>36</v>
      </c>
      <c r="K7757" s="9" t="s">
        <v>36</v>
      </c>
      <c r="L7757" s="6" t="s">
        <v>36</v>
      </c>
      <c r="M7757" s="3" t="s">
        <v>36</v>
      </c>
      <c r="N7757" s="3" t="s">
        <v>36</v>
      </c>
      <c r="O7757" s="8" t="s">
        <v>36</v>
      </c>
      <c r="P7757" s="3" t="s">
        <v>36</v>
      </c>
      <c r="Q7757" s="3" t="s">
        <v>36</v>
      </c>
      <c r="R7757" s="3" t="s">
        <v>36</v>
      </c>
      <c r="S7757" s="3" t="s">
        <v>36</v>
      </c>
      <c r="T7757" s="3" t="s">
        <v>265</v>
      </c>
      <c r="U7757" s="3" t="s">
        <v>85</v>
      </c>
      <c r="V7757" s="3" t="s">
        <v>64</v>
      </c>
      <c r="W7757" s="3" t="s">
        <v>34148</v>
      </c>
      <c r="X7757" s="10" t="s">
        <v>34149</v>
      </c>
      <c r="Y7757" s="6" t="s">
        <v>108</v>
      </c>
      <c r="Z7757" s="4">
        <v>4.08</v>
      </c>
      <c r="AA7757" s="4" t="s">
        <v>36</v>
      </c>
      <c r="AB7757" s="3" t="s">
        <v>56</v>
      </c>
      <c r="AC7757" s="3" t="s">
        <v>34150</v>
      </c>
      <c r="AD7757" s="9">
        <v>41684</v>
      </c>
      <c r="AE7757" s="3" t="s">
        <v>89</v>
      </c>
      <c r="AF7757" s="3" t="s">
        <v>12769</v>
      </c>
      <c r="AG7757" s="3" t="s">
        <v>81</v>
      </c>
      <c r="AH7757" s="11">
        <f>HYPERLINK("https://my.pitchbook.com?c=31887-82T","View Company Online")</f>
      </c>
    </row>
    <row r="7758">
      <c r="A7758" s="12" t="s">
        <v>34151</v>
      </c>
      <c r="B7758" s="12" t="s">
        <v>34152</v>
      </c>
      <c r="C7758" s="19" t="s">
        <v>36</v>
      </c>
      <c r="D7758" s="19" t="s">
        <v>36</v>
      </c>
      <c r="E7758" s="19" t="s">
        <v>36</v>
      </c>
      <c r="F7758" s="19" t="s">
        <v>36</v>
      </c>
      <c r="G7758" s="15" t="s">
        <v>36</v>
      </c>
      <c r="H7758" s="14" t="s">
        <v>36</v>
      </c>
      <c r="I7758" s="18" t="s">
        <v>36</v>
      </c>
      <c r="J7758" s="12" t="s">
        <v>36</v>
      </c>
      <c r="K7758" s="13" t="s">
        <v>36</v>
      </c>
      <c r="L7758" s="15" t="s">
        <v>36</v>
      </c>
      <c r="M7758" s="12" t="s">
        <v>36</v>
      </c>
      <c r="N7758" s="12" t="s">
        <v>36</v>
      </c>
      <c r="O7758" s="17" t="s">
        <v>36</v>
      </c>
      <c r="P7758" s="12" t="s">
        <v>36</v>
      </c>
      <c r="Q7758" s="12" t="s">
        <v>36</v>
      </c>
      <c r="R7758" s="12" t="s">
        <v>36</v>
      </c>
      <c r="S7758" s="12" t="s">
        <v>36</v>
      </c>
      <c r="T7758" s="12" t="s">
        <v>34153</v>
      </c>
      <c r="U7758" s="12" t="s">
        <v>423</v>
      </c>
      <c r="V7758" s="12" t="s">
        <v>64</v>
      </c>
      <c r="W7758" s="12" t="s">
        <v>34154</v>
      </c>
      <c r="X7758" s="16" t="s">
        <v>34155</v>
      </c>
      <c r="Y7758" s="15" t="s">
        <v>42</v>
      </c>
      <c r="Z7758" s="14">
        <v>1.36</v>
      </c>
      <c r="AA7758" s="14" t="s">
        <v>36</v>
      </c>
      <c r="AB7758" s="12" t="s">
        <v>43</v>
      </c>
      <c r="AC7758" s="12" t="s">
        <v>34156</v>
      </c>
      <c r="AD7758" s="13">
        <v>41683</v>
      </c>
      <c r="AE7758" s="12" t="s">
        <v>562</v>
      </c>
      <c r="AF7758" s="12" t="s">
        <v>36</v>
      </c>
      <c r="AG7758" s="12" t="s">
        <v>9060</v>
      </c>
      <c r="AH7758" s="1">
        <f>HYPERLINK("https://my.pitchbook.com?c=44864-74T","View Company Online")</f>
      </c>
    </row>
    <row r="7759">
      <c r="A7759" s="3" t="s">
        <v>34157</v>
      </c>
      <c r="B7759" s="3" t="s">
        <v>34158</v>
      </c>
      <c r="C7759" s="5" t="s">
        <v>36</v>
      </c>
      <c r="D7759" s="5">
        <v>2</v>
      </c>
      <c r="E7759" s="5">
        <v>1</v>
      </c>
      <c r="F7759" s="5">
        <v>6</v>
      </c>
      <c r="G7759" s="6" t="s">
        <v>36</v>
      </c>
      <c r="H7759" s="4" t="s">
        <v>36</v>
      </c>
      <c r="I7759" s="7" t="s">
        <v>36</v>
      </c>
      <c r="J7759" s="3" t="s">
        <v>36</v>
      </c>
      <c r="K7759" s="9" t="s">
        <v>36</v>
      </c>
      <c r="L7759" s="6" t="s">
        <v>94</v>
      </c>
      <c r="M7759" s="3" t="s">
        <v>36</v>
      </c>
      <c r="N7759" s="3" t="s">
        <v>94</v>
      </c>
      <c r="O7759" s="8" t="s">
        <v>36</v>
      </c>
      <c r="P7759" s="3" t="s">
        <v>36</v>
      </c>
      <c r="Q7759" s="3" t="s">
        <v>36</v>
      </c>
      <c r="R7759" s="3" t="s">
        <v>36</v>
      </c>
      <c r="S7759" s="3" t="s">
        <v>36</v>
      </c>
      <c r="T7759" s="3" t="s">
        <v>154</v>
      </c>
      <c r="U7759" s="3" t="s">
        <v>51</v>
      </c>
      <c r="V7759" s="3" t="s">
        <v>52</v>
      </c>
      <c r="W7759" s="3" t="s">
        <v>34159</v>
      </c>
      <c r="X7759" s="10" t="s">
        <v>34160</v>
      </c>
      <c r="Y7759" s="6" t="s">
        <v>108</v>
      </c>
      <c r="Z7759" s="4">
        <v>0.73</v>
      </c>
      <c r="AA7759" s="4" t="s">
        <v>36</v>
      </c>
      <c r="AB7759" s="3" t="s">
        <v>56</v>
      </c>
      <c r="AC7759" s="3" t="s">
        <v>34161</v>
      </c>
      <c r="AD7759" s="9">
        <v>41682</v>
      </c>
      <c r="AE7759" s="3" t="s">
        <v>158</v>
      </c>
      <c r="AF7759" s="3" t="s">
        <v>159</v>
      </c>
      <c r="AG7759" s="3" t="s">
        <v>34162</v>
      </c>
      <c r="AH7759" s="11">
        <f>HYPERLINK("https://my.pitchbook.com?c=46395-82T","View Company Online")</f>
      </c>
    </row>
    <row r="7760">
      <c r="A7760" s="12" t="s">
        <v>34163</v>
      </c>
      <c r="B7760" s="12" t="s">
        <v>34164</v>
      </c>
      <c r="C7760" s="19" t="s">
        <v>36</v>
      </c>
      <c r="D7760" s="19" t="s">
        <v>36</v>
      </c>
      <c r="E7760" s="19" t="s">
        <v>36</v>
      </c>
      <c r="F7760" s="19" t="s">
        <v>36</v>
      </c>
      <c r="G7760" s="15" t="s">
        <v>36</v>
      </c>
      <c r="H7760" s="14" t="s">
        <v>36</v>
      </c>
      <c r="I7760" s="18" t="s">
        <v>36</v>
      </c>
      <c r="J7760" s="12" t="s">
        <v>36</v>
      </c>
      <c r="K7760" s="13" t="s">
        <v>36</v>
      </c>
      <c r="L7760" s="15" t="s">
        <v>36</v>
      </c>
      <c r="M7760" s="12" t="s">
        <v>36</v>
      </c>
      <c r="N7760" s="12" t="s">
        <v>36</v>
      </c>
      <c r="O7760" s="17" t="s">
        <v>36</v>
      </c>
      <c r="P7760" s="12" t="s">
        <v>36</v>
      </c>
      <c r="Q7760" s="12" t="s">
        <v>36</v>
      </c>
      <c r="R7760" s="12" t="s">
        <v>36</v>
      </c>
      <c r="S7760" s="12" t="s">
        <v>36</v>
      </c>
      <c r="T7760" s="12" t="s">
        <v>34165</v>
      </c>
      <c r="U7760" s="12" t="s">
        <v>438</v>
      </c>
      <c r="V7760" s="12" t="s">
        <v>405</v>
      </c>
      <c r="W7760" s="12" t="s">
        <v>34166</v>
      </c>
      <c r="X7760" s="16" t="s">
        <v>34167</v>
      </c>
      <c r="Y7760" s="15" t="s">
        <v>42</v>
      </c>
      <c r="Z7760" s="14">
        <v>0.75</v>
      </c>
      <c r="AA7760" s="14" t="s">
        <v>36</v>
      </c>
      <c r="AB7760" s="12" t="s">
        <v>43</v>
      </c>
      <c r="AC7760" s="12" t="s">
        <v>34168</v>
      </c>
      <c r="AD7760" s="13">
        <v>41681</v>
      </c>
      <c r="AE7760" s="12" t="s">
        <v>438</v>
      </c>
      <c r="AF7760" s="12" t="s">
        <v>1636</v>
      </c>
      <c r="AG7760" s="12" t="s">
        <v>25531</v>
      </c>
      <c r="AH7760" s="1">
        <f>HYPERLINK("https://my.pitchbook.com?c=31527-28T","View Company Online")</f>
      </c>
    </row>
    <row r="7761">
      <c r="A7761" s="3" t="s">
        <v>34169</v>
      </c>
      <c r="B7761" s="3" t="s">
        <v>34170</v>
      </c>
      <c r="C7761" s="5" t="s">
        <v>36</v>
      </c>
      <c r="D7761" s="5" t="s">
        <v>36</v>
      </c>
      <c r="E7761" s="5" t="s">
        <v>36</v>
      </c>
      <c r="F7761" s="5" t="s">
        <v>36</v>
      </c>
      <c r="G7761" s="6" t="s">
        <v>36</v>
      </c>
      <c r="H7761" s="4">
        <v>10.39</v>
      </c>
      <c r="I7761" s="7">
        <v>39.87</v>
      </c>
      <c r="J7761" s="3" t="s">
        <v>521</v>
      </c>
      <c r="K7761" s="9" t="s">
        <v>36</v>
      </c>
      <c r="L7761" s="6" t="s">
        <v>36</v>
      </c>
      <c r="M7761" s="3" t="s">
        <v>36</v>
      </c>
      <c r="N7761" s="3" t="s">
        <v>36</v>
      </c>
      <c r="O7761" s="8" t="s">
        <v>36</v>
      </c>
      <c r="P7761" s="3" t="s">
        <v>36</v>
      </c>
      <c r="Q7761" s="3" t="s">
        <v>36</v>
      </c>
      <c r="R7761" s="3" t="s">
        <v>36</v>
      </c>
      <c r="S7761" s="3" t="s">
        <v>36</v>
      </c>
      <c r="T7761" s="3" t="s">
        <v>638</v>
      </c>
      <c r="U7761" s="3" t="s">
        <v>63</v>
      </c>
      <c r="V7761" s="3" t="s">
        <v>64</v>
      </c>
      <c r="W7761" s="3" t="s">
        <v>34171</v>
      </c>
      <c r="X7761" s="10" t="s">
        <v>2130</v>
      </c>
      <c r="Y7761" s="6" t="s">
        <v>42</v>
      </c>
      <c r="Z7761" s="4">
        <v>1.33</v>
      </c>
      <c r="AA7761" s="4">
        <v>3.35</v>
      </c>
      <c r="AB7761" s="3" t="s">
        <v>43</v>
      </c>
      <c r="AC7761" s="3" t="s">
        <v>34172</v>
      </c>
      <c r="AD7761" s="9">
        <v>41681</v>
      </c>
      <c r="AE7761" s="3" t="s">
        <v>642</v>
      </c>
      <c r="AF7761" s="3" t="s">
        <v>1977</v>
      </c>
      <c r="AG7761" s="3" t="s">
        <v>186</v>
      </c>
      <c r="AH7761" s="11">
        <f>HYPERLINK("https://my.pitchbook.com?c=30534-85T","View Company Online")</f>
      </c>
    </row>
    <row r="7762">
      <c r="A7762" s="12" t="s">
        <v>34173</v>
      </c>
      <c r="B7762" s="12" t="s">
        <v>34174</v>
      </c>
      <c r="C7762" s="19" t="s">
        <v>36</v>
      </c>
      <c r="D7762" s="19" t="s">
        <v>36</v>
      </c>
      <c r="E7762" s="19" t="s">
        <v>36</v>
      </c>
      <c r="F7762" s="19" t="s">
        <v>36</v>
      </c>
      <c r="G7762" s="15" t="s">
        <v>36</v>
      </c>
      <c r="H7762" s="14" t="s">
        <v>36</v>
      </c>
      <c r="I7762" s="18" t="s">
        <v>36</v>
      </c>
      <c r="J7762" s="12" t="s">
        <v>36</v>
      </c>
      <c r="K7762" s="13" t="s">
        <v>36</v>
      </c>
      <c r="L7762" s="15" t="s">
        <v>36</v>
      </c>
      <c r="M7762" s="12" t="s">
        <v>36</v>
      </c>
      <c r="N7762" s="12" t="s">
        <v>36</v>
      </c>
      <c r="O7762" s="17" t="s">
        <v>36</v>
      </c>
      <c r="P7762" s="12" t="s">
        <v>36</v>
      </c>
      <c r="Q7762" s="12" t="s">
        <v>36</v>
      </c>
      <c r="R7762" s="12" t="s">
        <v>36</v>
      </c>
      <c r="S7762" s="12" t="s">
        <v>36</v>
      </c>
      <c r="T7762" s="12" t="s">
        <v>34175</v>
      </c>
      <c r="U7762" s="12" t="s">
        <v>74</v>
      </c>
      <c r="V7762" s="12" t="s">
        <v>75</v>
      </c>
      <c r="W7762" s="12" t="s">
        <v>34176</v>
      </c>
      <c r="X7762" s="16" t="s">
        <v>34177</v>
      </c>
      <c r="Y7762" s="15" t="s">
        <v>55</v>
      </c>
      <c r="Z7762" s="14">
        <v>2.52</v>
      </c>
      <c r="AA7762" s="14" t="s">
        <v>36</v>
      </c>
      <c r="AB7762" s="12" t="s">
        <v>43</v>
      </c>
      <c r="AC7762" s="12" t="s">
        <v>34178</v>
      </c>
      <c r="AD7762" s="13">
        <v>41680</v>
      </c>
      <c r="AE7762" s="12" t="s">
        <v>570</v>
      </c>
      <c r="AF7762" s="12" t="s">
        <v>34179</v>
      </c>
      <c r="AG7762" s="12" t="s">
        <v>81</v>
      </c>
      <c r="AH7762" s="1">
        <f>HYPERLINK("https://my.pitchbook.com?c=33237-19T","View Company Online")</f>
      </c>
    </row>
    <row r="7763">
      <c r="A7763" s="3" t="s">
        <v>34180</v>
      </c>
      <c r="B7763" s="3" t="s">
        <v>30730</v>
      </c>
      <c r="C7763" s="5" t="s">
        <v>36</v>
      </c>
      <c r="D7763" s="5" t="s">
        <v>36</v>
      </c>
      <c r="E7763" s="5" t="s">
        <v>36</v>
      </c>
      <c r="F7763" s="5" t="s">
        <v>36</v>
      </c>
      <c r="G7763" s="6" t="s">
        <v>2497</v>
      </c>
      <c r="H7763" s="4">
        <v>20.46</v>
      </c>
      <c r="I7763" s="7">
        <v>37.15</v>
      </c>
      <c r="J7763" s="3" t="s">
        <v>521</v>
      </c>
      <c r="K7763" s="9" t="s">
        <v>36</v>
      </c>
      <c r="L7763" s="6" t="s">
        <v>36</v>
      </c>
      <c r="M7763" s="3" t="s">
        <v>36</v>
      </c>
      <c r="N7763" s="3" t="s">
        <v>36</v>
      </c>
      <c r="O7763" s="8" t="s">
        <v>36</v>
      </c>
      <c r="P7763" s="3" t="s">
        <v>36</v>
      </c>
      <c r="Q7763" s="3" t="s">
        <v>36</v>
      </c>
      <c r="R7763" s="3" t="s">
        <v>36</v>
      </c>
      <c r="S7763" s="3" t="s">
        <v>36</v>
      </c>
      <c r="T7763" s="3" t="s">
        <v>105</v>
      </c>
      <c r="U7763" s="3" t="s">
        <v>38</v>
      </c>
      <c r="V7763" s="3" t="s">
        <v>39</v>
      </c>
      <c r="W7763" s="3" t="s">
        <v>30731</v>
      </c>
      <c r="X7763" s="10" t="s">
        <v>34181</v>
      </c>
      <c r="Y7763" s="6" t="s">
        <v>108</v>
      </c>
      <c r="Z7763" s="4">
        <v>2.02</v>
      </c>
      <c r="AA7763" s="4">
        <v>5.42</v>
      </c>
      <c r="AB7763" s="3" t="s">
        <v>56</v>
      </c>
      <c r="AC7763" s="3" t="s">
        <v>30733</v>
      </c>
      <c r="AD7763" s="9">
        <v>41680</v>
      </c>
      <c r="AE7763" s="3" t="s">
        <v>110</v>
      </c>
      <c r="AF7763" s="3" t="s">
        <v>1636</v>
      </c>
      <c r="AG7763" s="3" t="s">
        <v>81</v>
      </c>
      <c r="AH7763" s="11">
        <f>HYPERLINK("https://my.pitchbook.com?c=252318-88T","View Company Online")</f>
      </c>
    </row>
    <row r="7764">
      <c r="A7764" s="12" t="s">
        <v>34182</v>
      </c>
      <c r="B7764" s="12" t="s">
        <v>16697</v>
      </c>
      <c r="C7764" s="19" t="s">
        <v>36</v>
      </c>
      <c r="D7764" s="19" t="s">
        <v>36</v>
      </c>
      <c r="E7764" s="19" t="s">
        <v>36</v>
      </c>
      <c r="F7764" s="19" t="s">
        <v>36</v>
      </c>
      <c r="G7764" s="15" t="s">
        <v>326</v>
      </c>
      <c r="H7764" s="14">
        <v>8.88</v>
      </c>
      <c r="I7764" s="18">
        <v>13.23</v>
      </c>
      <c r="J7764" s="12" t="s">
        <v>521</v>
      </c>
      <c r="K7764" s="13" t="s">
        <v>36</v>
      </c>
      <c r="L7764" s="15" t="s">
        <v>36</v>
      </c>
      <c r="M7764" s="12" t="s">
        <v>36</v>
      </c>
      <c r="N7764" s="12" t="s">
        <v>36</v>
      </c>
      <c r="O7764" s="17" t="s">
        <v>36</v>
      </c>
      <c r="P7764" s="12" t="s">
        <v>36</v>
      </c>
      <c r="Q7764" s="12" t="s">
        <v>36</v>
      </c>
      <c r="R7764" s="12" t="s">
        <v>36</v>
      </c>
      <c r="S7764" s="12" t="s">
        <v>36</v>
      </c>
      <c r="T7764" s="12" t="s">
        <v>7415</v>
      </c>
      <c r="U7764" s="12" t="s">
        <v>38</v>
      </c>
      <c r="V7764" s="12" t="s">
        <v>39</v>
      </c>
      <c r="W7764" s="12" t="s">
        <v>16698</v>
      </c>
      <c r="X7764" s="16" t="s">
        <v>33014</v>
      </c>
      <c r="Y7764" s="15" t="s">
        <v>108</v>
      </c>
      <c r="Z7764" s="14">
        <v>1.36</v>
      </c>
      <c r="AA7764" s="14">
        <v>8.22</v>
      </c>
      <c r="AB7764" s="12" t="s">
        <v>56</v>
      </c>
      <c r="AC7764" s="12" t="s">
        <v>16700</v>
      </c>
      <c r="AD7764" s="13">
        <v>41677</v>
      </c>
      <c r="AE7764" s="12" t="s">
        <v>1422</v>
      </c>
      <c r="AF7764" s="12" t="s">
        <v>4842</v>
      </c>
      <c r="AG7764" s="12" t="s">
        <v>81</v>
      </c>
      <c r="AH7764" s="1">
        <f>HYPERLINK("https://my.pitchbook.com?c=31467-25T","View Company Online")</f>
      </c>
    </row>
    <row r="7765">
      <c r="A7765" s="3" t="s">
        <v>34183</v>
      </c>
      <c r="B7765" s="3" t="s">
        <v>13160</v>
      </c>
      <c r="C7765" s="5" t="s">
        <v>36</v>
      </c>
      <c r="D7765" s="5" t="s">
        <v>36</v>
      </c>
      <c r="E7765" s="5" t="s">
        <v>36</v>
      </c>
      <c r="F7765" s="5" t="s">
        <v>36</v>
      </c>
      <c r="G7765" s="6" t="s">
        <v>36</v>
      </c>
      <c r="H7765" s="4" t="s">
        <v>36</v>
      </c>
      <c r="I7765" s="7" t="s">
        <v>36</v>
      </c>
      <c r="J7765" s="3" t="s">
        <v>36</v>
      </c>
      <c r="K7765" s="9" t="s">
        <v>36</v>
      </c>
      <c r="L7765" s="6" t="s">
        <v>36</v>
      </c>
      <c r="M7765" s="3" t="s">
        <v>36</v>
      </c>
      <c r="N7765" s="3" t="s">
        <v>36</v>
      </c>
      <c r="O7765" s="8" t="s">
        <v>36</v>
      </c>
      <c r="P7765" s="3" t="s">
        <v>36</v>
      </c>
      <c r="Q7765" s="3" t="s">
        <v>36</v>
      </c>
      <c r="R7765" s="3" t="s">
        <v>36</v>
      </c>
      <c r="S7765" s="3" t="s">
        <v>36</v>
      </c>
      <c r="T7765" s="3" t="s">
        <v>189</v>
      </c>
      <c r="U7765" s="3" t="s">
        <v>180</v>
      </c>
      <c r="V7765" s="3" t="s">
        <v>52</v>
      </c>
      <c r="W7765" s="3" t="s">
        <v>13161</v>
      </c>
      <c r="X7765" s="10" t="s">
        <v>34184</v>
      </c>
      <c r="Y7765" s="6" t="s">
        <v>42</v>
      </c>
      <c r="Z7765" s="4">
        <v>1.4</v>
      </c>
      <c r="AA7765" s="4" t="s">
        <v>36</v>
      </c>
      <c r="AB7765" s="3" t="s">
        <v>43</v>
      </c>
      <c r="AC7765" s="3" t="s">
        <v>13163</v>
      </c>
      <c r="AD7765" s="9">
        <v>41674</v>
      </c>
      <c r="AE7765" s="3" t="s">
        <v>184</v>
      </c>
      <c r="AF7765" s="3" t="s">
        <v>7086</v>
      </c>
      <c r="AG7765" s="3" t="s">
        <v>2088</v>
      </c>
      <c r="AH7765" s="11">
        <f>HYPERLINK("https://my.pitchbook.com?c=33841-18T","View Company Online")</f>
      </c>
    </row>
    <row r="7766">
      <c r="A7766" s="12" t="s">
        <v>34185</v>
      </c>
      <c r="B7766" s="12" t="s">
        <v>34186</v>
      </c>
      <c r="C7766" s="19" t="s">
        <v>36</v>
      </c>
      <c r="D7766" s="19" t="s">
        <v>36</v>
      </c>
      <c r="E7766" s="19" t="s">
        <v>36</v>
      </c>
      <c r="F7766" s="19" t="s">
        <v>36</v>
      </c>
      <c r="G7766" s="15" t="s">
        <v>36</v>
      </c>
      <c r="H7766" s="14">
        <v>1.33</v>
      </c>
      <c r="I7766" s="18">
        <v>24.07</v>
      </c>
      <c r="J7766" s="12" t="s">
        <v>521</v>
      </c>
      <c r="K7766" s="13">
        <v>41662</v>
      </c>
      <c r="L7766" s="15" t="s">
        <v>122</v>
      </c>
      <c r="M7766" s="12" t="s">
        <v>36</v>
      </c>
      <c r="N7766" s="12" t="s">
        <v>122</v>
      </c>
      <c r="O7766" s="17" t="s">
        <v>36</v>
      </c>
      <c r="P7766" s="12" t="s">
        <v>36</v>
      </c>
      <c r="Q7766" s="12" t="s">
        <v>36</v>
      </c>
      <c r="R7766" s="12" t="s">
        <v>36</v>
      </c>
      <c r="S7766" s="12" t="s">
        <v>36</v>
      </c>
      <c r="T7766" s="12" t="s">
        <v>34187</v>
      </c>
      <c r="U7766" s="12" t="s">
        <v>38</v>
      </c>
      <c r="V7766" s="12" t="s">
        <v>39</v>
      </c>
      <c r="W7766" s="12" t="s">
        <v>34188</v>
      </c>
      <c r="X7766" s="16" t="s">
        <v>33014</v>
      </c>
      <c r="Y7766" s="15" t="s">
        <v>42</v>
      </c>
      <c r="Z7766" s="14">
        <v>2.04</v>
      </c>
      <c r="AA7766" s="14">
        <v>7.34</v>
      </c>
      <c r="AB7766" s="12" t="s">
        <v>43</v>
      </c>
      <c r="AC7766" s="12" t="s">
        <v>34189</v>
      </c>
      <c r="AD7766" s="13">
        <v>41674</v>
      </c>
      <c r="AE7766" s="12" t="s">
        <v>339</v>
      </c>
      <c r="AF7766" s="12" t="s">
        <v>1636</v>
      </c>
      <c r="AG7766" s="12" t="s">
        <v>81</v>
      </c>
      <c r="AH7766" s="1">
        <f>HYPERLINK("https://my.pitchbook.com?c=31386-79T","View Company Online")</f>
      </c>
    </row>
    <row r="7767">
      <c r="A7767" s="3" t="s">
        <v>34190</v>
      </c>
      <c r="B7767" s="3" t="s">
        <v>34191</v>
      </c>
      <c r="C7767" s="5" t="s">
        <v>36</v>
      </c>
      <c r="D7767" s="5" t="s">
        <v>36</v>
      </c>
      <c r="E7767" s="5" t="s">
        <v>36</v>
      </c>
      <c r="F7767" s="5" t="s">
        <v>36</v>
      </c>
      <c r="G7767" s="6" t="s">
        <v>36</v>
      </c>
      <c r="H7767" s="4" t="s">
        <v>36</v>
      </c>
      <c r="I7767" s="7" t="s">
        <v>36</v>
      </c>
      <c r="J7767" s="3" t="s">
        <v>36</v>
      </c>
      <c r="K7767" s="9" t="s">
        <v>36</v>
      </c>
      <c r="L7767" s="6" t="s">
        <v>36</v>
      </c>
      <c r="M7767" s="3" t="s">
        <v>36</v>
      </c>
      <c r="N7767" s="3" t="s">
        <v>36</v>
      </c>
      <c r="O7767" s="8" t="s">
        <v>36</v>
      </c>
      <c r="P7767" s="3" t="s">
        <v>36</v>
      </c>
      <c r="Q7767" s="3" t="s">
        <v>36</v>
      </c>
      <c r="R7767" s="3" t="s">
        <v>36</v>
      </c>
      <c r="S7767" s="3" t="s">
        <v>36</v>
      </c>
      <c r="T7767" s="3" t="s">
        <v>34192</v>
      </c>
      <c r="U7767" s="3" t="s">
        <v>233</v>
      </c>
      <c r="V7767" s="3" t="s">
        <v>39</v>
      </c>
      <c r="W7767" s="3" t="s">
        <v>34193</v>
      </c>
      <c r="X7767" s="10" t="s">
        <v>10302</v>
      </c>
      <c r="Y7767" s="6" t="s">
        <v>42</v>
      </c>
      <c r="Z7767" s="4" t="s">
        <v>36</v>
      </c>
      <c r="AA7767" s="4" t="s">
        <v>36</v>
      </c>
      <c r="AB7767" s="3" t="s">
        <v>56</v>
      </c>
      <c r="AC7767" s="3" t="s">
        <v>34194</v>
      </c>
      <c r="AD7767" s="9">
        <v>41673</v>
      </c>
      <c r="AE7767" s="3" t="s">
        <v>12061</v>
      </c>
      <c r="AF7767" s="3" t="s">
        <v>34195</v>
      </c>
      <c r="AG7767" s="3" t="s">
        <v>12751</v>
      </c>
      <c r="AH7767" s="11">
        <f>HYPERLINK("https://my.pitchbook.com?c=51797-08T","View Company Online")</f>
      </c>
    </row>
    <row r="7768">
      <c r="A7768" s="12" t="s">
        <v>34196</v>
      </c>
      <c r="B7768" s="12" t="s">
        <v>34197</v>
      </c>
      <c r="C7768" s="19" t="s">
        <v>36</v>
      </c>
      <c r="D7768" s="19" t="s">
        <v>36</v>
      </c>
      <c r="E7768" s="19" t="s">
        <v>36</v>
      </c>
      <c r="F7768" s="19" t="s">
        <v>36</v>
      </c>
      <c r="G7768" s="15" t="s">
        <v>36</v>
      </c>
      <c r="H7768" s="14" t="s">
        <v>36</v>
      </c>
      <c r="I7768" s="18" t="s">
        <v>36</v>
      </c>
      <c r="J7768" s="12" t="s">
        <v>36</v>
      </c>
      <c r="K7768" s="13" t="s">
        <v>36</v>
      </c>
      <c r="L7768" s="15" t="s">
        <v>36</v>
      </c>
      <c r="M7768" s="12" t="s">
        <v>36</v>
      </c>
      <c r="N7768" s="12" t="s">
        <v>36</v>
      </c>
      <c r="O7768" s="17" t="s">
        <v>36</v>
      </c>
      <c r="P7768" s="12" t="s">
        <v>36</v>
      </c>
      <c r="Q7768" s="12" t="s">
        <v>36</v>
      </c>
      <c r="R7768" s="12" t="s">
        <v>36</v>
      </c>
      <c r="S7768" s="12" t="s">
        <v>36</v>
      </c>
      <c r="T7768" s="12" t="s">
        <v>29193</v>
      </c>
      <c r="U7768" s="12" t="s">
        <v>219</v>
      </c>
      <c r="V7768" s="12" t="s">
        <v>75</v>
      </c>
      <c r="W7768" s="12" t="s">
        <v>34198</v>
      </c>
      <c r="X7768" s="16" t="s">
        <v>34199</v>
      </c>
      <c r="Y7768" s="15" t="s">
        <v>42</v>
      </c>
      <c r="Z7768" s="14" t="s">
        <v>36</v>
      </c>
      <c r="AA7768" s="14" t="s">
        <v>36</v>
      </c>
      <c r="AB7768" s="12" t="s">
        <v>56</v>
      </c>
      <c r="AC7768" s="12" t="s">
        <v>34200</v>
      </c>
      <c r="AD7768" s="13">
        <v>41671</v>
      </c>
      <c r="AE7768" s="12" t="s">
        <v>2914</v>
      </c>
      <c r="AF7768" s="12" t="s">
        <v>1969</v>
      </c>
      <c r="AG7768" s="12" t="s">
        <v>3968</v>
      </c>
      <c r="AH7768" s="1">
        <f>HYPERLINK("https://my.pitchbook.com?c=28613-62T","View Company Online")</f>
      </c>
    </row>
    <row r="7769">
      <c r="A7769" s="3" t="s">
        <v>34201</v>
      </c>
      <c r="B7769" s="3" t="s">
        <v>34202</v>
      </c>
      <c r="C7769" s="5" t="s">
        <v>36</v>
      </c>
      <c r="D7769" s="5" t="s">
        <v>36</v>
      </c>
      <c r="E7769" s="5" t="s">
        <v>36</v>
      </c>
      <c r="F7769" s="5" t="s">
        <v>36</v>
      </c>
      <c r="G7769" s="6" t="s">
        <v>36</v>
      </c>
      <c r="H7769" s="4" t="s">
        <v>36</v>
      </c>
      <c r="I7769" s="7" t="s">
        <v>36</v>
      </c>
      <c r="J7769" s="3" t="s">
        <v>36</v>
      </c>
      <c r="K7769" s="9" t="s">
        <v>36</v>
      </c>
      <c r="L7769" s="6" t="s">
        <v>36</v>
      </c>
      <c r="M7769" s="3" t="s">
        <v>36</v>
      </c>
      <c r="N7769" s="3" t="s">
        <v>36</v>
      </c>
      <c r="O7769" s="8" t="s">
        <v>36</v>
      </c>
      <c r="P7769" s="3" t="s">
        <v>36</v>
      </c>
      <c r="Q7769" s="3" t="s">
        <v>36</v>
      </c>
      <c r="R7769" s="3" t="s">
        <v>36</v>
      </c>
      <c r="S7769" s="3" t="s">
        <v>36</v>
      </c>
      <c r="T7769" s="3" t="s">
        <v>2044</v>
      </c>
      <c r="U7769" s="3" t="s">
        <v>74</v>
      </c>
      <c r="V7769" s="3" t="s">
        <v>75</v>
      </c>
      <c r="W7769" s="3" t="s">
        <v>34203</v>
      </c>
      <c r="X7769" s="10" t="s">
        <v>22004</v>
      </c>
      <c r="Y7769" s="6" t="s">
        <v>42</v>
      </c>
      <c r="Z7769" s="4" t="s">
        <v>36</v>
      </c>
      <c r="AA7769" s="4" t="s">
        <v>36</v>
      </c>
      <c r="AB7769" s="3" t="s">
        <v>43</v>
      </c>
      <c r="AC7769" s="3" t="s">
        <v>34204</v>
      </c>
      <c r="AD7769" s="9">
        <v>41671</v>
      </c>
      <c r="AE7769" s="3" t="s">
        <v>79</v>
      </c>
      <c r="AF7769" s="3" t="s">
        <v>2759</v>
      </c>
      <c r="AG7769" s="3" t="s">
        <v>81</v>
      </c>
      <c r="AH7769" s="11">
        <f>HYPERLINK("https://my.pitchbook.com?c=28630-09T","View Company Online")</f>
      </c>
    </row>
    <row r="7770">
      <c r="A7770" s="12" t="s">
        <v>34205</v>
      </c>
      <c r="B7770" s="12" t="s">
        <v>34206</v>
      </c>
      <c r="C7770" s="19" t="s">
        <v>36</v>
      </c>
      <c r="D7770" s="19" t="s">
        <v>36</v>
      </c>
      <c r="E7770" s="19" t="s">
        <v>36</v>
      </c>
      <c r="F7770" s="19" t="s">
        <v>36</v>
      </c>
      <c r="G7770" s="15" t="s">
        <v>36</v>
      </c>
      <c r="H7770" s="14" t="s">
        <v>36</v>
      </c>
      <c r="I7770" s="18" t="s">
        <v>36</v>
      </c>
      <c r="J7770" s="12" t="s">
        <v>36</v>
      </c>
      <c r="K7770" s="13" t="s">
        <v>36</v>
      </c>
      <c r="L7770" s="15" t="s">
        <v>36</v>
      </c>
      <c r="M7770" s="12" t="s">
        <v>36</v>
      </c>
      <c r="N7770" s="12" t="s">
        <v>36</v>
      </c>
      <c r="O7770" s="17" t="s">
        <v>36</v>
      </c>
      <c r="P7770" s="12" t="s">
        <v>36</v>
      </c>
      <c r="Q7770" s="12" t="s">
        <v>36</v>
      </c>
      <c r="R7770" s="12" t="s">
        <v>36</v>
      </c>
      <c r="S7770" s="12" t="s">
        <v>36</v>
      </c>
      <c r="T7770" s="12" t="s">
        <v>34207</v>
      </c>
      <c r="U7770" s="12" t="s">
        <v>233</v>
      </c>
      <c r="V7770" s="12" t="s">
        <v>39</v>
      </c>
      <c r="W7770" s="12" t="s">
        <v>34208</v>
      </c>
      <c r="X7770" s="16" t="s">
        <v>22004</v>
      </c>
      <c r="Y7770" s="15" t="s">
        <v>42</v>
      </c>
      <c r="Z7770" s="14" t="s">
        <v>36</v>
      </c>
      <c r="AA7770" s="14" t="s">
        <v>36</v>
      </c>
      <c r="AB7770" s="12" t="s">
        <v>43</v>
      </c>
      <c r="AC7770" s="12" t="s">
        <v>34209</v>
      </c>
      <c r="AD7770" s="13">
        <v>41671</v>
      </c>
      <c r="AE7770" s="12" t="s">
        <v>236</v>
      </c>
      <c r="AF7770" s="12" t="s">
        <v>1636</v>
      </c>
      <c r="AG7770" s="12" t="s">
        <v>81</v>
      </c>
      <c r="AH7770" s="1">
        <f>HYPERLINK("https://my.pitchbook.com?c=28530-82T","View Company Online")</f>
      </c>
    </row>
    <row r="7771">
      <c r="A7771" s="3" t="s">
        <v>34210</v>
      </c>
      <c r="B7771" s="3" t="s">
        <v>34211</v>
      </c>
      <c r="C7771" s="5" t="s">
        <v>36</v>
      </c>
      <c r="D7771" s="5" t="s">
        <v>36</v>
      </c>
      <c r="E7771" s="5" t="s">
        <v>36</v>
      </c>
      <c r="F7771" s="5" t="s">
        <v>36</v>
      </c>
      <c r="G7771" s="6" t="s">
        <v>36</v>
      </c>
      <c r="H7771" s="4" t="s">
        <v>36</v>
      </c>
      <c r="I7771" s="7" t="s">
        <v>36</v>
      </c>
      <c r="J7771" s="3" t="s">
        <v>36</v>
      </c>
      <c r="K7771" s="9" t="s">
        <v>36</v>
      </c>
      <c r="L7771" s="6" t="s">
        <v>36</v>
      </c>
      <c r="M7771" s="3" t="s">
        <v>36</v>
      </c>
      <c r="N7771" s="3" t="s">
        <v>36</v>
      </c>
      <c r="O7771" s="8" t="s">
        <v>36</v>
      </c>
      <c r="P7771" s="3" t="s">
        <v>36</v>
      </c>
      <c r="Q7771" s="3" t="s">
        <v>36</v>
      </c>
      <c r="R7771" s="3" t="s">
        <v>36</v>
      </c>
      <c r="S7771" s="3" t="s">
        <v>36</v>
      </c>
      <c r="T7771" s="3" t="s">
        <v>1023</v>
      </c>
      <c r="U7771" s="3" t="s">
        <v>74</v>
      </c>
      <c r="V7771" s="3" t="s">
        <v>75</v>
      </c>
      <c r="W7771" s="3" t="s">
        <v>34212</v>
      </c>
      <c r="X7771" s="10" t="s">
        <v>22004</v>
      </c>
      <c r="Y7771" s="6" t="s">
        <v>108</v>
      </c>
      <c r="Z7771" s="4" t="s">
        <v>36</v>
      </c>
      <c r="AA7771" s="4" t="s">
        <v>36</v>
      </c>
      <c r="AB7771" s="3" t="s">
        <v>43</v>
      </c>
      <c r="AC7771" s="3" t="s">
        <v>34213</v>
      </c>
      <c r="AD7771" s="9">
        <v>41671</v>
      </c>
      <c r="AE7771" s="3" t="s">
        <v>79</v>
      </c>
      <c r="AF7771" s="3" t="s">
        <v>2759</v>
      </c>
      <c r="AG7771" s="3" t="s">
        <v>32665</v>
      </c>
      <c r="AH7771" s="11">
        <f>HYPERLINK("https://my.pitchbook.com?c=28532-89T","View Company Online")</f>
      </c>
    </row>
    <row r="7772">
      <c r="A7772" s="12" t="s">
        <v>34214</v>
      </c>
      <c r="B7772" s="12" t="s">
        <v>34215</v>
      </c>
      <c r="C7772" s="19" t="s">
        <v>36</v>
      </c>
      <c r="D7772" s="19">
        <v>2</v>
      </c>
      <c r="E7772" s="19">
        <v>1</v>
      </c>
      <c r="F7772" s="19">
        <v>3</v>
      </c>
      <c r="G7772" s="15" t="s">
        <v>36</v>
      </c>
      <c r="H7772" s="14" t="s">
        <v>36</v>
      </c>
      <c r="I7772" s="18" t="s">
        <v>36</v>
      </c>
      <c r="J7772" s="12" t="s">
        <v>36</v>
      </c>
      <c r="K7772" s="13" t="s">
        <v>36</v>
      </c>
      <c r="L7772" s="15" t="s">
        <v>36</v>
      </c>
      <c r="M7772" s="12" t="s">
        <v>36</v>
      </c>
      <c r="N7772" s="12" t="s">
        <v>36</v>
      </c>
      <c r="O7772" s="17" t="s">
        <v>36</v>
      </c>
      <c r="P7772" s="12" t="s">
        <v>36</v>
      </c>
      <c r="Q7772" s="12" t="s">
        <v>36</v>
      </c>
      <c r="R7772" s="12" t="s">
        <v>36</v>
      </c>
      <c r="S7772" s="12" t="s">
        <v>36</v>
      </c>
      <c r="T7772" s="12" t="s">
        <v>2255</v>
      </c>
      <c r="U7772" s="12" t="s">
        <v>833</v>
      </c>
      <c r="V7772" s="12" t="s">
        <v>64</v>
      </c>
      <c r="W7772" s="12" t="s">
        <v>34216</v>
      </c>
      <c r="X7772" s="16" t="s">
        <v>22004</v>
      </c>
      <c r="Y7772" s="15" t="s">
        <v>42</v>
      </c>
      <c r="Z7772" s="14" t="s">
        <v>36</v>
      </c>
      <c r="AA7772" s="14" t="s">
        <v>36</v>
      </c>
      <c r="AB7772" s="12" t="s">
        <v>43</v>
      </c>
      <c r="AC7772" s="12" t="s">
        <v>34217</v>
      </c>
      <c r="AD7772" s="13">
        <v>41671</v>
      </c>
      <c r="AE7772" s="12" t="s">
        <v>1769</v>
      </c>
      <c r="AF7772" s="12" t="s">
        <v>571</v>
      </c>
      <c r="AG7772" s="12" t="s">
        <v>81</v>
      </c>
      <c r="AH7772" s="1">
        <f>HYPERLINK("https://my.pitchbook.com?c=28530-64T","View Company Online")</f>
      </c>
    </row>
    <row r="7773">
      <c r="A7773" s="3" t="s">
        <v>34218</v>
      </c>
      <c r="B7773" s="3" t="s">
        <v>34219</v>
      </c>
      <c r="C7773" s="5" t="s">
        <v>36</v>
      </c>
      <c r="D7773" s="5" t="s">
        <v>36</v>
      </c>
      <c r="E7773" s="5" t="s">
        <v>36</v>
      </c>
      <c r="F7773" s="5" t="s">
        <v>36</v>
      </c>
      <c r="G7773" s="6" t="s">
        <v>36</v>
      </c>
      <c r="H7773" s="4" t="s">
        <v>36</v>
      </c>
      <c r="I7773" s="7" t="s">
        <v>36</v>
      </c>
      <c r="J7773" s="3" t="s">
        <v>36</v>
      </c>
      <c r="K7773" s="9" t="s">
        <v>36</v>
      </c>
      <c r="L7773" s="6" t="s">
        <v>36</v>
      </c>
      <c r="M7773" s="3" t="s">
        <v>36</v>
      </c>
      <c r="N7773" s="3" t="s">
        <v>36</v>
      </c>
      <c r="O7773" s="8" t="s">
        <v>36</v>
      </c>
      <c r="P7773" s="3" t="s">
        <v>36</v>
      </c>
      <c r="Q7773" s="3" t="s">
        <v>36</v>
      </c>
      <c r="R7773" s="3" t="s">
        <v>36</v>
      </c>
      <c r="S7773" s="3" t="s">
        <v>36</v>
      </c>
      <c r="T7773" s="3" t="s">
        <v>11006</v>
      </c>
      <c r="U7773" s="3" t="s">
        <v>279</v>
      </c>
      <c r="V7773" s="3" t="s">
        <v>64</v>
      </c>
      <c r="W7773" s="3" t="s">
        <v>34220</v>
      </c>
      <c r="X7773" s="10" t="s">
        <v>26888</v>
      </c>
      <c r="Y7773" s="6" t="s">
        <v>108</v>
      </c>
      <c r="Z7773" s="4" t="s">
        <v>36</v>
      </c>
      <c r="AA7773" s="4" t="s">
        <v>36</v>
      </c>
      <c r="AB7773" s="3" t="s">
        <v>43</v>
      </c>
      <c r="AC7773" s="3" t="s">
        <v>34221</v>
      </c>
      <c r="AD7773" s="9">
        <v>41671</v>
      </c>
      <c r="AE7773" s="3" t="s">
        <v>283</v>
      </c>
      <c r="AF7773" s="3" t="s">
        <v>28702</v>
      </c>
      <c r="AG7773" s="3" t="s">
        <v>81</v>
      </c>
      <c r="AH7773" s="11">
        <f>HYPERLINK("https://my.pitchbook.com?c=60654-07T","View Company Online")</f>
      </c>
    </row>
    <row r="7774">
      <c r="A7774" s="12" t="s">
        <v>34222</v>
      </c>
      <c r="B7774" s="12" t="s">
        <v>34223</v>
      </c>
      <c r="C7774" s="19" t="s">
        <v>36</v>
      </c>
      <c r="D7774" s="19" t="s">
        <v>36</v>
      </c>
      <c r="E7774" s="19" t="s">
        <v>36</v>
      </c>
      <c r="F7774" s="19" t="s">
        <v>36</v>
      </c>
      <c r="G7774" s="15" t="s">
        <v>36</v>
      </c>
      <c r="H7774" s="14" t="s">
        <v>36</v>
      </c>
      <c r="I7774" s="18" t="s">
        <v>36</v>
      </c>
      <c r="J7774" s="12" t="s">
        <v>36</v>
      </c>
      <c r="K7774" s="13" t="s">
        <v>36</v>
      </c>
      <c r="L7774" s="15" t="s">
        <v>36</v>
      </c>
      <c r="M7774" s="12" t="s">
        <v>36</v>
      </c>
      <c r="N7774" s="12" t="s">
        <v>36</v>
      </c>
      <c r="O7774" s="17" t="s">
        <v>36</v>
      </c>
      <c r="P7774" s="12" t="s">
        <v>36</v>
      </c>
      <c r="Q7774" s="12" t="s">
        <v>36</v>
      </c>
      <c r="R7774" s="12" t="s">
        <v>36</v>
      </c>
      <c r="S7774" s="12" t="s">
        <v>36</v>
      </c>
      <c r="T7774" s="12" t="s">
        <v>847</v>
      </c>
      <c r="U7774" s="12" t="s">
        <v>279</v>
      </c>
      <c r="V7774" s="12" t="s">
        <v>64</v>
      </c>
      <c r="W7774" s="12" t="s">
        <v>34224</v>
      </c>
      <c r="X7774" s="16" t="s">
        <v>34199</v>
      </c>
      <c r="Y7774" s="15" t="s">
        <v>42</v>
      </c>
      <c r="Z7774" s="14" t="s">
        <v>36</v>
      </c>
      <c r="AA7774" s="14" t="s">
        <v>36</v>
      </c>
      <c r="AB7774" s="12" t="s">
        <v>43</v>
      </c>
      <c r="AC7774" s="12" t="s">
        <v>34225</v>
      </c>
      <c r="AD7774" s="13">
        <v>41671</v>
      </c>
      <c r="AE7774" s="12" t="s">
        <v>851</v>
      </c>
      <c r="AF7774" s="12" t="s">
        <v>1636</v>
      </c>
      <c r="AG7774" s="12" t="s">
        <v>81</v>
      </c>
      <c r="AH7774" s="1">
        <f>HYPERLINK("https://my.pitchbook.com?c=28531-36T","View Company Online")</f>
      </c>
    </row>
    <row r="7775">
      <c r="A7775" s="3" t="s">
        <v>34226</v>
      </c>
      <c r="B7775" s="3" t="s">
        <v>18747</v>
      </c>
      <c r="C7775" s="5" t="s">
        <v>36</v>
      </c>
      <c r="D7775" s="5" t="s">
        <v>36</v>
      </c>
      <c r="E7775" s="5" t="s">
        <v>36</v>
      </c>
      <c r="F7775" s="5" t="s">
        <v>36</v>
      </c>
      <c r="G7775" s="6" t="s">
        <v>683</v>
      </c>
      <c r="H7775" s="4">
        <v>29.36</v>
      </c>
      <c r="I7775" s="7">
        <v>9.85</v>
      </c>
      <c r="J7775" s="3" t="s">
        <v>521</v>
      </c>
      <c r="K7775" s="9" t="s">
        <v>36</v>
      </c>
      <c r="L7775" s="6" t="s">
        <v>36</v>
      </c>
      <c r="M7775" s="3" t="s">
        <v>36</v>
      </c>
      <c r="N7775" s="3" t="s">
        <v>36</v>
      </c>
      <c r="O7775" s="8" t="s">
        <v>36</v>
      </c>
      <c r="P7775" s="3" t="s">
        <v>36</v>
      </c>
      <c r="Q7775" s="3" t="s">
        <v>36</v>
      </c>
      <c r="R7775" s="3" t="s">
        <v>36</v>
      </c>
      <c r="S7775" s="3" t="s">
        <v>6677</v>
      </c>
      <c r="T7775" s="3" t="s">
        <v>18748</v>
      </c>
      <c r="U7775" s="3" t="s">
        <v>74</v>
      </c>
      <c r="V7775" s="3" t="s">
        <v>75</v>
      </c>
      <c r="W7775" s="3" t="s">
        <v>18749</v>
      </c>
      <c r="X7775" s="10" t="s">
        <v>34227</v>
      </c>
      <c r="Y7775" s="6" t="s">
        <v>55</v>
      </c>
      <c r="Z7775" s="4">
        <v>0.41</v>
      </c>
      <c r="AA7775" s="4">
        <v>4.14</v>
      </c>
      <c r="AB7775" s="3" t="s">
        <v>56</v>
      </c>
      <c r="AC7775" s="3" t="s">
        <v>18751</v>
      </c>
      <c r="AD7775" s="9">
        <v>41671</v>
      </c>
      <c r="AE7775" s="3" t="s">
        <v>79</v>
      </c>
      <c r="AF7775" s="3" t="s">
        <v>18752</v>
      </c>
      <c r="AG7775" s="3" t="s">
        <v>1078</v>
      </c>
      <c r="AH7775" s="11">
        <f>HYPERLINK("https://my.pitchbook.com?c=132211-99T","View Company Online")</f>
      </c>
    </row>
    <row r="7776">
      <c r="A7776" s="12" t="s">
        <v>34228</v>
      </c>
      <c r="B7776" s="12" t="s">
        <v>5313</v>
      </c>
      <c r="C7776" s="19" t="s">
        <v>36</v>
      </c>
      <c r="D7776" s="19" t="s">
        <v>36</v>
      </c>
      <c r="E7776" s="19" t="s">
        <v>36</v>
      </c>
      <c r="F7776" s="19" t="s">
        <v>36</v>
      </c>
      <c r="G7776" s="15" t="s">
        <v>36</v>
      </c>
      <c r="H7776" s="14" t="s">
        <v>36</v>
      </c>
      <c r="I7776" s="18" t="s">
        <v>36</v>
      </c>
      <c r="J7776" s="12" t="s">
        <v>36</v>
      </c>
      <c r="K7776" s="13" t="s">
        <v>36</v>
      </c>
      <c r="L7776" s="15" t="s">
        <v>36</v>
      </c>
      <c r="M7776" s="12" t="s">
        <v>36</v>
      </c>
      <c r="N7776" s="12" t="s">
        <v>36</v>
      </c>
      <c r="O7776" s="17" t="s">
        <v>36</v>
      </c>
      <c r="P7776" s="12" t="s">
        <v>36</v>
      </c>
      <c r="Q7776" s="12" t="s">
        <v>36</v>
      </c>
      <c r="R7776" s="12" t="s">
        <v>36</v>
      </c>
      <c r="S7776" s="12" t="s">
        <v>36</v>
      </c>
      <c r="T7776" s="12" t="s">
        <v>596</v>
      </c>
      <c r="U7776" s="12" t="s">
        <v>366</v>
      </c>
      <c r="V7776" s="12" t="s">
        <v>367</v>
      </c>
      <c r="W7776" s="12" t="s">
        <v>5314</v>
      </c>
      <c r="X7776" s="16" t="s">
        <v>1840</v>
      </c>
      <c r="Y7776" s="15" t="s">
        <v>42</v>
      </c>
      <c r="Z7776" s="14" t="s">
        <v>36</v>
      </c>
      <c r="AA7776" s="14" t="s">
        <v>36</v>
      </c>
      <c r="AB7776" s="12" t="s">
        <v>43</v>
      </c>
      <c r="AC7776" s="12" t="s">
        <v>5316</v>
      </c>
      <c r="AD7776" s="13">
        <v>41671</v>
      </c>
      <c r="AE7776" s="12" t="s">
        <v>600</v>
      </c>
      <c r="AF7776" s="12" t="s">
        <v>982</v>
      </c>
      <c r="AG7776" s="12" t="s">
        <v>5317</v>
      </c>
      <c r="AH7776" s="1">
        <f>HYPERLINK("https://my.pitchbook.com?c=107967-16T","View Company Online")</f>
      </c>
    </row>
    <row r="7777">
      <c r="A7777" s="3" t="s">
        <v>34229</v>
      </c>
      <c r="B7777" s="3" t="s">
        <v>34230</v>
      </c>
      <c r="C7777" s="5" t="s">
        <v>36</v>
      </c>
      <c r="D7777" s="5" t="s">
        <v>36</v>
      </c>
      <c r="E7777" s="5" t="s">
        <v>36</v>
      </c>
      <c r="F7777" s="5" t="s">
        <v>36</v>
      </c>
      <c r="G7777" s="6" t="s">
        <v>36</v>
      </c>
      <c r="H7777" s="4" t="s">
        <v>36</v>
      </c>
      <c r="I7777" s="7" t="s">
        <v>36</v>
      </c>
      <c r="J7777" s="3" t="s">
        <v>36</v>
      </c>
      <c r="K7777" s="9" t="s">
        <v>36</v>
      </c>
      <c r="L7777" s="6" t="s">
        <v>36</v>
      </c>
      <c r="M7777" s="3" t="s">
        <v>36</v>
      </c>
      <c r="N7777" s="3" t="s">
        <v>36</v>
      </c>
      <c r="O7777" s="8" t="s">
        <v>36</v>
      </c>
      <c r="P7777" s="3" t="s">
        <v>36</v>
      </c>
      <c r="Q7777" s="3" t="s">
        <v>36</v>
      </c>
      <c r="R7777" s="3" t="s">
        <v>36</v>
      </c>
      <c r="S7777" s="3" t="s">
        <v>36</v>
      </c>
      <c r="T7777" s="3" t="s">
        <v>1023</v>
      </c>
      <c r="U7777" s="3" t="s">
        <v>74</v>
      </c>
      <c r="V7777" s="3" t="s">
        <v>75</v>
      </c>
      <c r="W7777" s="3" t="s">
        <v>34231</v>
      </c>
      <c r="X7777" s="10" t="s">
        <v>34232</v>
      </c>
      <c r="Y7777" s="6" t="s">
        <v>42</v>
      </c>
      <c r="Z7777" s="4" t="s">
        <v>36</v>
      </c>
      <c r="AA7777" s="4" t="s">
        <v>36</v>
      </c>
      <c r="AB7777" s="3" t="s">
        <v>56</v>
      </c>
      <c r="AC7777" s="3" t="s">
        <v>34233</v>
      </c>
      <c r="AD7777" s="9">
        <v>41671</v>
      </c>
      <c r="AE7777" s="3" t="s">
        <v>79</v>
      </c>
      <c r="AF7777" s="3" t="s">
        <v>36</v>
      </c>
      <c r="AG7777" s="3" t="s">
        <v>81</v>
      </c>
      <c r="AH7777" s="11">
        <f>HYPERLINK("https://my.pitchbook.com?c=28550-26T","View Company Online")</f>
      </c>
    </row>
    <row r="7778">
      <c r="A7778" s="12" t="s">
        <v>34234</v>
      </c>
      <c r="B7778" s="12" t="s">
        <v>34235</v>
      </c>
      <c r="C7778" s="19" t="s">
        <v>36</v>
      </c>
      <c r="D7778" s="19" t="s">
        <v>36</v>
      </c>
      <c r="E7778" s="19" t="s">
        <v>36</v>
      </c>
      <c r="F7778" s="19" t="s">
        <v>36</v>
      </c>
      <c r="G7778" s="15" t="s">
        <v>36</v>
      </c>
      <c r="H7778" s="14" t="s">
        <v>36</v>
      </c>
      <c r="I7778" s="18" t="s">
        <v>36</v>
      </c>
      <c r="J7778" s="12" t="s">
        <v>36</v>
      </c>
      <c r="K7778" s="13" t="s">
        <v>36</v>
      </c>
      <c r="L7778" s="15" t="s">
        <v>36</v>
      </c>
      <c r="M7778" s="12" t="s">
        <v>36</v>
      </c>
      <c r="N7778" s="12" t="s">
        <v>36</v>
      </c>
      <c r="O7778" s="17" t="s">
        <v>36</v>
      </c>
      <c r="P7778" s="12" t="s">
        <v>36</v>
      </c>
      <c r="Q7778" s="12" t="s">
        <v>36</v>
      </c>
      <c r="R7778" s="12" t="s">
        <v>36</v>
      </c>
      <c r="S7778" s="12" t="s">
        <v>36</v>
      </c>
      <c r="T7778" s="12" t="s">
        <v>26736</v>
      </c>
      <c r="U7778" s="12" t="s">
        <v>289</v>
      </c>
      <c r="V7778" s="12" t="s">
        <v>64</v>
      </c>
      <c r="W7778" s="12" t="s">
        <v>34236</v>
      </c>
      <c r="X7778" s="16" t="s">
        <v>34199</v>
      </c>
      <c r="Y7778" s="15" t="s">
        <v>42</v>
      </c>
      <c r="Z7778" s="14" t="s">
        <v>36</v>
      </c>
      <c r="AA7778" s="14" t="s">
        <v>36</v>
      </c>
      <c r="AB7778" s="12" t="s">
        <v>43</v>
      </c>
      <c r="AC7778" s="12" t="s">
        <v>34237</v>
      </c>
      <c r="AD7778" s="13">
        <v>41671</v>
      </c>
      <c r="AE7778" s="12" t="s">
        <v>292</v>
      </c>
      <c r="AF7778" s="12" t="s">
        <v>571</v>
      </c>
      <c r="AG7778" s="12" t="s">
        <v>12998</v>
      </c>
      <c r="AH7778" s="1">
        <f>HYPERLINK("https://my.pitchbook.com?c=28552-15T","View Company Online")</f>
      </c>
    </row>
    <row r="7779">
      <c r="A7779" s="3" t="s">
        <v>34238</v>
      </c>
      <c r="B7779" s="3" t="s">
        <v>34239</v>
      </c>
      <c r="C7779" s="5" t="s">
        <v>36</v>
      </c>
      <c r="D7779" s="5" t="s">
        <v>36</v>
      </c>
      <c r="E7779" s="5" t="s">
        <v>36</v>
      </c>
      <c r="F7779" s="5" t="s">
        <v>36</v>
      </c>
      <c r="G7779" s="6" t="s">
        <v>36</v>
      </c>
      <c r="H7779" s="4" t="s">
        <v>36</v>
      </c>
      <c r="I7779" s="7" t="s">
        <v>36</v>
      </c>
      <c r="J7779" s="3" t="s">
        <v>36</v>
      </c>
      <c r="K7779" s="9" t="s">
        <v>36</v>
      </c>
      <c r="L7779" s="6" t="s">
        <v>36</v>
      </c>
      <c r="M7779" s="3" t="s">
        <v>36</v>
      </c>
      <c r="N7779" s="3" t="s">
        <v>36</v>
      </c>
      <c r="O7779" s="8" t="s">
        <v>36</v>
      </c>
      <c r="P7779" s="3" t="s">
        <v>36</v>
      </c>
      <c r="Q7779" s="3" t="s">
        <v>36</v>
      </c>
      <c r="R7779" s="3" t="s">
        <v>36</v>
      </c>
      <c r="S7779" s="3" t="s">
        <v>36</v>
      </c>
      <c r="T7779" s="3" t="s">
        <v>34240</v>
      </c>
      <c r="U7779" s="3" t="s">
        <v>85</v>
      </c>
      <c r="V7779" s="3" t="s">
        <v>64</v>
      </c>
      <c r="W7779" s="3" t="s">
        <v>34241</v>
      </c>
      <c r="X7779" s="10" t="s">
        <v>11111</v>
      </c>
      <c r="Y7779" s="6" t="s">
        <v>42</v>
      </c>
      <c r="Z7779" s="4" t="s">
        <v>36</v>
      </c>
      <c r="AA7779" s="4" t="s">
        <v>36</v>
      </c>
      <c r="AB7779" s="3" t="s">
        <v>43</v>
      </c>
      <c r="AC7779" s="3" t="s">
        <v>34242</v>
      </c>
      <c r="AD7779" s="9">
        <v>41671</v>
      </c>
      <c r="AE7779" s="3" t="s">
        <v>89</v>
      </c>
      <c r="AF7779" s="3" t="s">
        <v>11966</v>
      </c>
      <c r="AG7779" s="3" t="s">
        <v>34243</v>
      </c>
      <c r="AH7779" s="11">
        <f>HYPERLINK("https://my.pitchbook.com?c=28750-87T","View Company Online")</f>
      </c>
    </row>
    <row r="7780">
      <c r="A7780" s="12" t="s">
        <v>34244</v>
      </c>
      <c r="B7780" s="12" t="s">
        <v>34245</v>
      </c>
      <c r="C7780" s="19" t="s">
        <v>36</v>
      </c>
      <c r="D7780" s="19" t="s">
        <v>36</v>
      </c>
      <c r="E7780" s="19" t="s">
        <v>36</v>
      </c>
      <c r="F7780" s="19" t="s">
        <v>36</v>
      </c>
      <c r="G7780" s="15" t="s">
        <v>36</v>
      </c>
      <c r="H7780" s="14" t="s">
        <v>36</v>
      </c>
      <c r="I7780" s="18" t="s">
        <v>36</v>
      </c>
      <c r="J7780" s="12" t="s">
        <v>36</v>
      </c>
      <c r="K7780" s="13" t="s">
        <v>36</v>
      </c>
      <c r="L7780" s="15" t="s">
        <v>36</v>
      </c>
      <c r="M7780" s="12" t="s">
        <v>36</v>
      </c>
      <c r="N7780" s="12" t="s">
        <v>36</v>
      </c>
      <c r="O7780" s="17" t="s">
        <v>36</v>
      </c>
      <c r="P7780" s="12" t="s">
        <v>36</v>
      </c>
      <c r="Q7780" s="12" t="s">
        <v>36</v>
      </c>
      <c r="R7780" s="12" t="s">
        <v>36</v>
      </c>
      <c r="S7780" s="12" t="s">
        <v>36</v>
      </c>
      <c r="T7780" s="12" t="s">
        <v>17385</v>
      </c>
      <c r="U7780" s="12" t="s">
        <v>423</v>
      </c>
      <c r="V7780" s="12" t="s">
        <v>64</v>
      </c>
      <c r="W7780" s="12" t="s">
        <v>34246</v>
      </c>
      <c r="X7780" s="16" t="s">
        <v>34247</v>
      </c>
      <c r="Y7780" s="15" t="s">
        <v>42</v>
      </c>
      <c r="Z7780" s="14" t="s">
        <v>36</v>
      </c>
      <c r="AA7780" s="14" t="s">
        <v>36</v>
      </c>
      <c r="AB7780" s="12" t="s">
        <v>43</v>
      </c>
      <c r="AC7780" s="12" t="s">
        <v>34248</v>
      </c>
      <c r="AD7780" s="13">
        <v>41671</v>
      </c>
      <c r="AE7780" s="12" t="s">
        <v>562</v>
      </c>
      <c r="AF7780" s="12" t="s">
        <v>571</v>
      </c>
      <c r="AG7780" s="12" t="s">
        <v>4637</v>
      </c>
      <c r="AH7780" s="1">
        <f>HYPERLINK("https://my.pitchbook.com?c=28562-77T","View Company Online")</f>
      </c>
    </row>
    <row r="7781">
      <c r="A7781" s="3" t="s">
        <v>34249</v>
      </c>
      <c r="B7781" s="3" t="s">
        <v>34250</v>
      </c>
      <c r="C7781" s="5" t="s">
        <v>36</v>
      </c>
      <c r="D7781" s="5" t="s">
        <v>36</v>
      </c>
      <c r="E7781" s="5" t="s">
        <v>36</v>
      </c>
      <c r="F7781" s="5" t="s">
        <v>36</v>
      </c>
      <c r="G7781" s="6" t="s">
        <v>36</v>
      </c>
      <c r="H7781" s="4" t="s">
        <v>36</v>
      </c>
      <c r="I7781" s="7" t="s">
        <v>36</v>
      </c>
      <c r="J7781" s="3" t="s">
        <v>36</v>
      </c>
      <c r="K7781" s="9" t="s">
        <v>36</v>
      </c>
      <c r="L7781" s="6" t="s">
        <v>36</v>
      </c>
      <c r="M7781" s="3" t="s">
        <v>36</v>
      </c>
      <c r="N7781" s="3" t="s">
        <v>36</v>
      </c>
      <c r="O7781" s="8" t="s">
        <v>36</v>
      </c>
      <c r="P7781" s="3" t="s">
        <v>36</v>
      </c>
      <c r="Q7781" s="3" t="s">
        <v>36</v>
      </c>
      <c r="R7781" s="3" t="s">
        <v>36</v>
      </c>
      <c r="S7781" s="3" t="s">
        <v>36</v>
      </c>
      <c r="T7781" s="3" t="s">
        <v>550</v>
      </c>
      <c r="U7781" s="3" t="s">
        <v>38</v>
      </c>
      <c r="V7781" s="3" t="s">
        <v>39</v>
      </c>
      <c r="W7781" s="3" t="s">
        <v>34251</v>
      </c>
      <c r="X7781" s="10" t="s">
        <v>34252</v>
      </c>
      <c r="Y7781" s="6" t="s">
        <v>42</v>
      </c>
      <c r="Z7781" s="4" t="s">
        <v>36</v>
      </c>
      <c r="AA7781" s="4" t="s">
        <v>36</v>
      </c>
      <c r="AB7781" s="3" t="s">
        <v>56</v>
      </c>
      <c r="AC7781" s="3" t="s">
        <v>34253</v>
      </c>
      <c r="AD7781" s="9">
        <v>41671</v>
      </c>
      <c r="AE7781" s="3" t="s">
        <v>554</v>
      </c>
      <c r="AF7781" s="3" t="s">
        <v>28043</v>
      </c>
      <c r="AG7781" s="3" t="s">
        <v>81</v>
      </c>
      <c r="AH7781" s="11">
        <f>HYPERLINK("https://my.pitchbook.com?c=28582-03T","View Company Online")</f>
      </c>
    </row>
    <row r="7782">
      <c r="A7782" s="12" t="s">
        <v>34254</v>
      </c>
      <c r="B7782" s="12" t="s">
        <v>34255</v>
      </c>
      <c r="C7782" s="19" t="s">
        <v>36</v>
      </c>
      <c r="D7782" s="19" t="s">
        <v>36</v>
      </c>
      <c r="E7782" s="19" t="s">
        <v>36</v>
      </c>
      <c r="F7782" s="19" t="s">
        <v>36</v>
      </c>
      <c r="G7782" s="15" t="s">
        <v>36</v>
      </c>
      <c r="H7782" s="14" t="s">
        <v>36</v>
      </c>
      <c r="I7782" s="18" t="s">
        <v>36</v>
      </c>
      <c r="J7782" s="12" t="s">
        <v>36</v>
      </c>
      <c r="K7782" s="13" t="s">
        <v>36</v>
      </c>
      <c r="L7782" s="15" t="s">
        <v>36</v>
      </c>
      <c r="M7782" s="12" t="s">
        <v>36</v>
      </c>
      <c r="N7782" s="12" t="s">
        <v>36</v>
      </c>
      <c r="O7782" s="17" t="s">
        <v>36</v>
      </c>
      <c r="P7782" s="12" t="s">
        <v>36</v>
      </c>
      <c r="Q7782" s="12" t="s">
        <v>36</v>
      </c>
      <c r="R7782" s="12" t="s">
        <v>36</v>
      </c>
      <c r="S7782" s="12" t="s">
        <v>36</v>
      </c>
      <c r="T7782" s="12" t="s">
        <v>34256</v>
      </c>
      <c r="U7782" s="12" t="s">
        <v>74</v>
      </c>
      <c r="V7782" s="12" t="s">
        <v>75</v>
      </c>
      <c r="W7782" s="12" t="s">
        <v>34257</v>
      </c>
      <c r="X7782" s="16" t="s">
        <v>34232</v>
      </c>
      <c r="Y7782" s="15" t="s">
        <v>42</v>
      </c>
      <c r="Z7782" s="14" t="s">
        <v>36</v>
      </c>
      <c r="AA7782" s="14" t="s">
        <v>36</v>
      </c>
      <c r="AB7782" s="12" t="s">
        <v>43</v>
      </c>
      <c r="AC7782" s="12" t="s">
        <v>34258</v>
      </c>
      <c r="AD7782" s="13">
        <v>41671</v>
      </c>
      <c r="AE7782" s="12" t="s">
        <v>975</v>
      </c>
      <c r="AF7782" s="12" t="s">
        <v>4668</v>
      </c>
      <c r="AG7782" s="12" t="s">
        <v>81</v>
      </c>
      <c r="AH7782" s="1">
        <f>HYPERLINK("https://my.pitchbook.com?c=28586-17T","View Company Online")</f>
      </c>
    </row>
    <row r="7783">
      <c r="A7783" s="3" t="s">
        <v>34259</v>
      </c>
      <c r="B7783" s="3" t="s">
        <v>28375</v>
      </c>
      <c r="C7783" s="5">
        <v>3</v>
      </c>
      <c r="D7783" s="5">
        <v>28</v>
      </c>
      <c r="E7783" s="5">
        <v>4</v>
      </c>
      <c r="F7783" s="5">
        <v>31</v>
      </c>
      <c r="G7783" s="6" t="s">
        <v>683</v>
      </c>
      <c r="H7783" s="4">
        <v>16.72</v>
      </c>
      <c r="I7783" s="7">
        <v>30.49</v>
      </c>
      <c r="J7783" s="3" t="s">
        <v>521</v>
      </c>
      <c r="K7783" s="9" t="s">
        <v>36</v>
      </c>
      <c r="L7783" s="6" t="s">
        <v>94</v>
      </c>
      <c r="M7783" s="3" t="s">
        <v>36</v>
      </c>
      <c r="N7783" s="3" t="s">
        <v>94</v>
      </c>
      <c r="O7783" s="8" t="s">
        <v>36</v>
      </c>
      <c r="P7783" s="3" t="s">
        <v>36</v>
      </c>
      <c r="Q7783" s="3" t="s">
        <v>36</v>
      </c>
      <c r="R7783" s="3" t="s">
        <v>36</v>
      </c>
      <c r="S7783" s="3" t="s">
        <v>36</v>
      </c>
      <c r="T7783" s="3" t="s">
        <v>15724</v>
      </c>
      <c r="U7783" s="3" t="s">
        <v>51</v>
      </c>
      <c r="V7783" s="3" t="s">
        <v>52</v>
      </c>
      <c r="W7783" s="3" t="s">
        <v>28376</v>
      </c>
      <c r="X7783" s="10" t="s">
        <v>34260</v>
      </c>
      <c r="Y7783" s="6" t="s">
        <v>55</v>
      </c>
      <c r="Z7783" s="4">
        <v>5.18</v>
      </c>
      <c r="AA7783" s="4">
        <v>16.98</v>
      </c>
      <c r="AB7783" s="3" t="s">
        <v>56</v>
      </c>
      <c r="AC7783" s="3" t="s">
        <v>28378</v>
      </c>
      <c r="AD7783" s="9">
        <v>41669</v>
      </c>
      <c r="AE7783" s="3" t="s">
        <v>6868</v>
      </c>
      <c r="AF7783" s="3" t="s">
        <v>159</v>
      </c>
      <c r="AG7783" s="3" t="s">
        <v>81</v>
      </c>
      <c r="AH7783" s="11">
        <f>HYPERLINK("https://my.pitchbook.com?c=251976-25T","View Company Online")</f>
      </c>
    </row>
    <row r="7784">
      <c r="A7784" s="12" t="s">
        <v>34261</v>
      </c>
      <c r="B7784" s="12" t="s">
        <v>30805</v>
      </c>
      <c r="C7784" s="19" t="s">
        <v>36</v>
      </c>
      <c r="D7784" s="19">
        <v>26</v>
      </c>
      <c r="E7784" s="19">
        <v>14</v>
      </c>
      <c r="F7784" s="19">
        <v>34</v>
      </c>
      <c r="G7784" s="15" t="s">
        <v>36</v>
      </c>
      <c r="H7784" s="14">
        <v>10.39</v>
      </c>
      <c r="I7784" s="18">
        <v>8.21</v>
      </c>
      <c r="J7784" s="12" t="s">
        <v>521</v>
      </c>
      <c r="K7784" s="13" t="s">
        <v>36</v>
      </c>
      <c r="L7784" s="15" t="s">
        <v>36</v>
      </c>
      <c r="M7784" s="12" t="s">
        <v>36</v>
      </c>
      <c r="N7784" s="12" t="s">
        <v>36</v>
      </c>
      <c r="O7784" s="17" t="s">
        <v>36</v>
      </c>
      <c r="P7784" s="12" t="s">
        <v>36</v>
      </c>
      <c r="Q7784" s="12" t="s">
        <v>36</v>
      </c>
      <c r="R7784" s="12" t="s">
        <v>36</v>
      </c>
      <c r="S7784" s="12" t="s">
        <v>36</v>
      </c>
      <c r="T7784" s="12" t="s">
        <v>30806</v>
      </c>
      <c r="U7784" s="12" t="s">
        <v>1580</v>
      </c>
      <c r="V7784" s="12" t="s">
        <v>39</v>
      </c>
      <c r="W7784" s="12" t="s">
        <v>30807</v>
      </c>
      <c r="X7784" s="16" t="s">
        <v>28910</v>
      </c>
      <c r="Y7784" s="15" t="s">
        <v>108</v>
      </c>
      <c r="Z7784" s="14">
        <v>0.31</v>
      </c>
      <c r="AA7784" s="14">
        <v>3.77</v>
      </c>
      <c r="AB7784" s="12" t="s">
        <v>43</v>
      </c>
      <c r="AC7784" s="12" t="s">
        <v>30809</v>
      </c>
      <c r="AD7784" s="13">
        <v>41668</v>
      </c>
      <c r="AE7784" s="12" t="s">
        <v>4086</v>
      </c>
      <c r="AF7784" s="12" t="s">
        <v>30810</v>
      </c>
      <c r="AG7784" s="12" t="s">
        <v>30811</v>
      </c>
      <c r="AH7784" s="1">
        <f>HYPERLINK("https://my.pitchbook.com?c=207990-19T","View Company Online")</f>
      </c>
    </row>
    <row r="7785">
      <c r="A7785" s="3" t="s">
        <v>34262</v>
      </c>
      <c r="B7785" s="3" t="s">
        <v>21810</v>
      </c>
      <c r="C7785" s="5" t="s">
        <v>36</v>
      </c>
      <c r="D7785" s="5">
        <v>2</v>
      </c>
      <c r="E7785" s="5">
        <v>2</v>
      </c>
      <c r="F7785" s="5">
        <v>7</v>
      </c>
      <c r="G7785" s="6" t="s">
        <v>683</v>
      </c>
      <c r="H7785" s="4">
        <v>0.19</v>
      </c>
      <c r="I7785" s="7">
        <v>24.98</v>
      </c>
      <c r="J7785" s="3" t="s">
        <v>521</v>
      </c>
      <c r="K7785" s="9" t="s">
        <v>36</v>
      </c>
      <c r="L7785" s="6" t="s">
        <v>36</v>
      </c>
      <c r="M7785" s="3" t="s">
        <v>36</v>
      </c>
      <c r="N7785" s="3" t="s">
        <v>36</v>
      </c>
      <c r="O7785" s="8" t="s">
        <v>36</v>
      </c>
      <c r="P7785" s="3" t="s">
        <v>36</v>
      </c>
      <c r="Q7785" s="3" t="s">
        <v>36</v>
      </c>
      <c r="R7785" s="3" t="s">
        <v>36</v>
      </c>
      <c r="S7785" s="3" t="s">
        <v>36</v>
      </c>
      <c r="T7785" s="3" t="s">
        <v>21811</v>
      </c>
      <c r="U7785" s="3" t="s">
        <v>1798</v>
      </c>
      <c r="V7785" s="3" t="s">
        <v>39</v>
      </c>
      <c r="W7785" s="3" t="s">
        <v>21812</v>
      </c>
      <c r="X7785" s="10" t="s">
        <v>34263</v>
      </c>
      <c r="Y7785" s="6" t="s">
        <v>55</v>
      </c>
      <c r="Z7785" s="4">
        <v>1.34</v>
      </c>
      <c r="AA7785" s="4">
        <v>5.36</v>
      </c>
      <c r="AB7785" s="3" t="s">
        <v>56</v>
      </c>
      <c r="AC7785" s="3" t="s">
        <v>21814</v>
      </c>
      <c r="AD7785" s="9">
        <v>41668</v>
      </c>
      <c r="AE7785" s="3" t="s">
        <v>4247</v>
      </c>
      <c r="AF7785" s="3" t="s">
        <v>4668</v>
      </c>
      <c r="AG7785" s="3" t="s">
        <v>21815</v>
      </c>
      <c r="AH7785" s="11">
        <f>HYPERLINK("https://my.pitchbook.com?c=28564-12T","View Company Online")</f>
      </c>
    </row>
    <row r="7786">
      <c r="A7786" s="12" t="s">
        <v>34264</v>
      </c>
      <c r="B7786" s="12" t="s">
        <v>34265</v>
      </c>
      <c r="C7786" s="19" t="s">
        <v>36</v>
      </c>
      <c r="D7786" s="19" t="s">
        <v>36</v>
      </c>
      <c r="E7786" s="19" t="s">
        <v>36</v>
      </c>
      <c r="F7786" s="19" t="s">
        <v>36</v>
      </c>
      <c r="G7786" s="15" t="s">
        <v>36</v>
      </c>
      <c r="H7786" s="14" t="s">
        <v>36</v>
      </c>
      <c r="I7786" s="18" t="s">
        <v>36</v>
      </c>
      <c r="J7786" s="12" t="s">
        <v>36</v>
      </c>
      <c r="K7786" s="13" t="s">
        <v>36</v>
      </c>
      <c r="L7786" s="15" t="s">
        <v>36</v>
      </c>
      <c r="M7786" s="12" t="s">
        <v>36</v>
      </c>
      <c r="N7786" s="12" t="s">
        <v>36</v>
      </c>
      <c r="O7786" s="17" t="s">
        <v>36</v>
      </c>
      <c r="P7786" s="12" t="s">
        <v>36</v>
      </c>
      <c r="Q7786" s="12" t="s">
        <v>36</v>
      </c>
      <c r="R7786" s="12" t="s">
        <v>36</v>
      </c>
      <c r="S7786" s="12" t="s">
        <v>36</v>
      </c>
      <c r="T7786" s="12" t="s">
        <v>4230</v>
      </c>
      <c r="U7786" s="12" t="s">
        <v>38</v>
      </c>
      <c r="V7786" s="12" t="s">
        <v>39</v>
      </c>
      <c r="W7786" s="12" t="s">
        <v>34266</v>
      </c>
      <c r="X7786" s="16" t="s">
        <v>11058</v>
      </c>
      <c r="Y7786" s="15" t="s">
        <v>42</v>
      </c>
      <c r="Z7786" s="14" t="s">
        <v>36</v>
      </c>
      <c r="AA7786" s="14" t="s">
        <v>36</v>
      </c>
      <c r="AB7786" s="12" t="s">
        <v>43</v>
      </c>
      <c r="AC7786" s="12" t="s">
        <v>34267</v>
      </c>
      <c r="AD7786" s="13">
        <v>41667</v>
      </c>
      <c r="AE7786" s="12" t="s">
        <v>110</v>
      </c>
      <c r="AF7786" s="12" t="s">
        <v>786</v>
      </c>
      <c r="AG7786" s="12" t="s">
        <v>3077</v>
      </c>
      <c r="AH7786" s="1">
        <f>HYPERLINK("https://my.pitchbook.com?c=89327-08T","View Company Online")</f>
      </c>
    </row>
    <row r="7787">
      <c r="A7787" s="3" t="s">
        <v>34268</v>
      </c>
      <c r="B7787" s="3" t="s">
        <v>6131</v>
      </c>
      <c r="C7787" s="5">
        <v>180</v>
      </c>
      <c r="D7787" s="5">
        <v>606</v>
      </c>
      <c r="E7787" s="5">
        <v>197</v>
      </c>
      <c r="F7787" s="5">
        <v>860</v>
      </c>
      <c r="G7787" s="6" t="s">
        <v>36</v>
      </c>
      <c r="H7787" s="4">
        <v>25.13</v>
      </c>
      <c r="I7787" s="7">
        <v>67.11</v>
      </c>
      <c r="J7787" s="3" t="s">
        <v>521</v>
      </c>
      <c r="K7787" s="9">
        <v>41367</v>
      </c>
      <c r="L7787" s="6" t="s">
        <v>122</v>
      </c>
      <c r="M7787" s="3" t="s">
        <v>36</v>
      </c>
      <c r="N7787" s="3" t="s">
        <v>122</v>
      </c>
      <c r="O7787" s="8" t="s">
        <v>36</v>
      </c>
      <c r="P7787" s="3" t="s">
        <v>3530</v>
      </c>
      <c r="Q7787" s="3" t="s">
        <v>36</v>
      </c>
      <c r="R7787" s="3" t="s">
        <v>36</v>
      </c>
      <c r="S7787" s="3" t="s">
        <v>36</v>
      </c>
      <c r="T7787" s="3" t="s">
        <v>317</v>
      </c>
      <c r="U7787" s="3" t="s">
        <v>318</v>
      </c>
      <c r="V7787" s="3" t="s">
        <v>39</v>
      </c>
      <c r="W7787" s="3" t="s">
        <v>6132</v>
      </c>
      <c r="X7787" s="10" t="s">
        <v>34269</v>
      </c>
      <c r="Y7787" s="6" t="s">
        <v>42</v>
      </c>
      <c r="Z7787" s="4">
        <v>13.47</v>
      </c>
      <c r="AA7787" s="4">
        <v>20.08</v>
      </c>
      <c r="AB7787" s="3" t="s">
        <v>43</v>
      </c>
      <c r="AC7787" s="3" t="s">
        <v>6134</v>
      </c>
      <c r="AD7787" s="9">
        <v>41663</v>
      </c>
      <c r="AE7787" s="3" t="s">
        <v>323</v>
      </c>
      <c r="AF7787" s="3" t="s">
        <v>6135</v>
      </c>
      <c r="AG7787" s="3" t="s">
        <v>6136</v>
      </c>
      <c r="AH7787" s="11">
        <f>HYPERLINK("https://my.pitchbook.com?c=25828-48T","View Company Online")</f>
      </c>
    </row>
    <row r="7788">
      <c r="A7788" s="12" t="s">
        <v>34270</v>
      </c>
      <c r="B7788" s="12" t="s">
        <v>8784</v>
      </c>
      <c r="C7788" s="19" t="s">
        <v>36</v>
      </c>
      <c r="D7788" s="19">
        <v>8</v>
      </c>
      <c r="E7788" s="19">
        <v>5</v>
      </c>
      <c r="F7788" s="19">
        <v>11</v>
      </c>
      <c r="G7788" s="15" t="s">
        <v>326</v>
      </c>
      <c r="H7788" s="14">
        <v>5</v>
      </c>
      <c r="I7788" s="18">
        <v>21.08</v>
      </c>
      <c r="J7788" s="12" t="s">
        <v>521</v>
      </c>
      <c r="K7788" s="13" t="s">
        <v>36</v>
      </c>
      <c r="L7788" s="15" t="s">
        <v>36</v>
      </c>
      <c r="M7788" s="12" t="s">
        <v>36</v>
      </c>
      <c r="N7788" s="12" t="s">
        <v>36</v>
      </c>
      <c r="O7788" s="17" t="s">
        <v>36</v>
      </c>
      <c r="P7788" s="12" t="s">
        <v>36</v>
      </c>
      <c r="Q7788" s="12" t="s">
        <v>36</v>
      </c>
      <c r="R7788" s="12" t="s">
        <v>36</v>
      </c>
      <c r="S7788" s="12" t="s">
        <v>36</v>
      </c>
      <c r="T7788" s="12" t="s">
        <v>8785</v>
      </c>
      <c r="U7788" s="12" t="s">
        <v>219</v>
      </c>
      <c r="V7788" s="12" t="s">
        <v>75</v>
      </c>
      <c r="W7788" s="12" t="s">
        <v>8786</v>
      </c>
      <c r="X7788" s="16" t="s">
        <v>34271</v>
      </c>
      <c r="Y7788" s="15" t="s">
        <v>108</v>
      </c>
      <c r="Z7788" s="14">
        <v>1.43</v>
      </c>
      <c r="AA7788" s="14">
        <v>6.8</v>
      </c>
      <c r="AB7788" s="12" t="s">
        <v>43</v>
      </c>
      <c r="AC7788" s="12" t="s">
        <v>8788</v>
      </c>
      <c r="AD7788" s="13">
        <v>41663</v>
      </c>
      <c r="AE7788" s="12" t="s">
        <v>223</v>
      </c>
      <c r="AF7788" s="12" t="s">
        <v>8789</v>
      </c>
      <c r="AG7788" s="12" t="s">
        <v>8790</v>
      </c>
      <c r="AH7788" s="1">
        <f>HYPERLINK("https://my.pitchbook.com?c=71652-88T","View Company Online")</f>
      </c>
    </row>
    <row r="7789">
      <c r="A7789" s="3" t="s">
        <v>34272</v>
      </c>
      <c r="B7789" s="3" t="s">
        <v>20300</v>
      </c>
      <c r="C7789" s="5" t="s">
        <v>36</v>
      </c>
      <c r="D7789" s="5" t="s">
        <v>36</v>
      </c>
      <c r="E7789" s="5" t="s">
        <v>36</v>
      </c>
      <c r="F7789" s="5" t="s">
        <v>36</v>
      </c>
      <c r="G7789" s="6" t="s">
        <v>36</v>
      </c>
      <c r="H7789" s="4">
        <v>71.78</v>
      </c>
      <c r="I7789" s="7">
        <v>31.03</v>
      </c>
      <c r="J7789" s="3" t="s">
        <v>521</v>
      </c>
      <c r="K7789" s="9">
        <v>41637</v>
      </c>
      <c r="L7789" s="6" t="s">
        <v>122</v>
      </c>
      <c r="M7789" s="3" t="s">
        <v>36</v>
      </c>
      <c r="N7789" s="3" t="s">
        <v>122</v>
      </c>
      <c r="O7789" s="8" t="s">
        <v>36</v>
      </c>
      <c r="P7789" s="3" t="s">
        <v>36</v>
      </c>
      <c r="Q7789" s="3" t="s">
        <v>36</v>
      </c>
      <c r="R7789" s="3" t="s">
        <v>36</v>
      </c>
      <c r="S7789" s="3" t="s">
        <v>36</v>
      </c>
      <c r="T7789" s="3" t="s">
        <v>522</v>
      </c>
      <c r="U7789" s="3" t="s">
        <v>38</v>
      </c>
      <c r="V7789" s="3" t="s">
        <v>39</v>
      </c>
      <c r="W7789" s="3" t="s">
        <v>20301</v>
      </c>
      <c r="X7789" s="10" t="s">
        <v>34273</v>
      </c>
      <c r="Y7789" s="6" t="s">
        <v>192</v>
      </c>
      <c r="Z7789" s="4">
        <v>4.91</v>
      </c>
      <c r="AA7789" s="4">
        <v>15.82</v>
      </c>
      <c r="AB7789" s="3" t="s">
        <v>56</v>
      </c>
      <c r="AC7789" s="3" t="s">
        <v>20303</v>
      </c>
      <c r="AD7789" s="9">
        <v>41662</v>
      </c>
      <c r="AE7789" s="3" t="s">
        <v>110</v>
      </c>
      <c r="AF7789" s="3" t="s">
        <v>6214</v>
      </c>
      <c r="AG7789" s="3" t="s">
        <v>81</v>
      </c>
      <c r="AH7789" s="11">
        <f>HYPERLINK("https://my.pitchbook.com?c=35155-36T","View Company Online")</f>
      </c>
    </row>
    <row r="7790">
      <c r="A7790" s="12" t="s">
        <v>34274</v>
      </c>
      <c r="B7790" s="12" t="s">
        <v>27437</v>
      </c>
      <c r="C7790" s="19" t="s">
        <v>36</v>
      </c>
      <c r="D7790" s="19" t="s">
        <v>36</v>
      </c>
      <c r="E7790" s="19" t="s">
        <v>36</v>
      </c>
      <c r="F7790" s="19" t="s">
        <v>36</v>
      </c>
      <c r="G7790" s="15" t="s">
        <v>326</v>
      </c>
      <c r="H7790" s="14">
        <v>240.68</v>
      </c>
      <c r="I7790" s="18">
        <v>10.66</v>
      </c>
      <c r="J7790" s="12" t="s">
        <v>327</v>
      </c>
      <c r="K7790" s="13" t="s">
        <v>36</v>
      </c>
      <c r="L7790" s="15" t="s">
        <v>36</v>
      </c>
      <c r="M7790" s="12" t="s">
        <v>36</v>
      </c>
      <c r="N7790" s="12" t="s">
        <v>36</v>
      </c>
      <c r="O7790" s="17" t="s">
        <v>36</v>
      </c>
      <c r="P7790" s="12" t="s">
        <v>36</v>
      </c>
      <c r="Q7790" s="12" t="s">
        <v>36</v>
      </c>
      <c r="R7790" s="12" t="s">
        <v>36</v>
      </c>
      <c r="S7790" s="12" t="s">
        <v>36</v>
      </c>
      <c r="T7790" s="12" t="s">
        <v>27438</v>
      </c>
      <c r="U7790" s="12" t="s">
        <v>289</v>
      </c>
      <c r="V7790" s="12" t="s">
        <v>64</v>
      </c>
      <c r="W7790" s="12" t="s">
        <v>27439</v>
      </c>
      <c r="X7790" s="16" t="s">
        <v>29175</v>
      </c>
      <c r="Y7790" s="15" t="s">
        <v>108</v>
      </c>
      <c r="Z7790" s="14">
        <v>3.96</v>
      </c>
      <c r="AA7790" s="14">
        <v>37.1</v>
      </c>
      <c r="AB7790" s="12" t="s">
        <v>56</v>
      </c>
      <c r="AC7790" s="12" t="s">
        <v>27441</v>
      </c>
      <c r="AD7790" s="13">
        <v>41661</v>
      </c>
      <c r="AE7790" s="12" t="s">
        <v>292</v>
      </c>
      <c r="AF7790" s="12" t="s">
        <v>2118</v>
      </c>
      <c r="AG7790" s="12" t="s">
        <v>2133</v>
      </c>
      <c r="AH7790" s="1">
        <f>HYPERLINK("https://my.pitchbook.com?c=34278-31T","View Company Online")</f>
      </c>
    </row>
    <row r="7791">
      <c r="A7791" s="3" t="s">
        <v>34275</v>
      </c>
      <c r="B7791" s="3" t="s">
        <v>29974</v>
      </c>
      <c r="C7791" s="5" t="s">
        <v>36</v>
      </c>
      <c r="D7791" s="5">
        <v>2</v>
      </c>
      <c r="E7791" s="5">
        <v>1</v>
      </c>
      <c r="F7791" s="5">
        <v>2</v>
      </c>
      <c r="G7791" s="6" t="s">
        <v>36</v>
      </c>
      <c r="H7791" s="4">
        <v>54.66</v>
      </c>
      <c r="I7791" s="7">
        <v>24.64</v>
      </c>
      <c r="J7791" s="3" t="s">
        <v>327</v>
      </c>
      <c r="K7791" s="9" t="s">
        <v>36</v>
      </c>
      <c r="L7791" s="6" t="s">
        <v>122</v>
      </c>
      <c r="M7791" s="3" t="s">
        <v>36</v>
      </c>
      <c r="N7791" s="3" t="s">
        <v>122</v>
      </c>
      <c r="O7791" s="8" t="s">
        <v>36</v>
      </c>
      <c r="P7791" s="3" t="s">
        <v>36</v>
      </c>
      <c r="Q7791" s="3" t="s">
        <v>36</v>
      </c>
      <c r="R7791" s="3" t="s">
        <v>36</v>
      </c>
      <c r="S7791" s="3" t="s">
        <v>36</v>
      </c>
      <c r="T7791" s="3" t="s">
        <v>881</v>
      </c>
      <c r="U7791" s="3" t="s">
        <v>51</v>
      </c>
      <c r="V7791" s="3" t="s">
        <v>52</v>
      </c>
      <c r="W7791" s="3" t="s">
        <v>29975</v>
      </c>
      <c r="X7791" s="10" t="s">
        <v>34276</v>
      </c>
      <c r="Y7791" s="6" t="s">
        <v>42</v>
      </c>
      <c r="Z7791" s="4">
        <v>0.94</v>
      </c>
      <c r="AA7791" s="4">
        <v>1.64</v>
      </c>
      <c r="AB7791" s="3" t="s">
        <v>43</v>
      </c>
      <c r="AC7791" s="3" t="s">
        <v>29976</v>
      </c>
      <c r="AD7791" s="9">
        <v>41660</v>
      </c>
      <c r="AE7791" s="3" t="s">
        <v>504</v>
      </c>
      <c r="AF7791" s="3" t="s">
        <v>159</v>
      </c>
      <c r="AG7791" s="3" t="s">
        <v>969</v>
      </c>
      <c r="AH7791" s="11">
        <f>HYPERLINK("https://my.pitchbook.com?c=31077-91T","View Company Online")</f>
      </c>
    </row>
    <row r="7792">
      <c r="A7792" s="12" t="s">
        <v>34277</v>
      </c>
      <c r="B7792" s="12" t="s">
        <v>34278</v>
      </c>
      <c r="C7792" s="19" t="s">
        <v>36</v>
      </c>
      <c r="D7792" s="19" t="s">
        <v>36</v>
      </c>
      <c r="E7792" s="19" t="s">
        <v>36</v>
      </c>
      <c r="F7792" s="19" t="s">
        <v>36</v>
      </c>
      <c r="G7792" s="15" t="s">
        <v>36</v>
      </c>
      <c r="H7792" s="14" t="s">
        <v>36</v>
      </c>
      <c r="I7792" s="18" t="s">
        <v>36</v>
      </c>
      <c r="J7792" s="12" t="s">
        <v>36</v>
      </c>
      <c r="K7792" s="13" t="s">
        <v>36</v>
      </c>
      <c r="L7792" s="15" t="s">
        <v>36</v>
      </c>
      <c r="M7792" s="12" t="s">
        <v>36</v>
      </c>
      <c r="N7792" s="12" t="s">
        <v>21485</v>
      </c>
      <c r="O7792" s="17" t="s">
        <v>36</v>
      </c>
      <c r="P7792" s="12" t="s">
        <v>36</v>
      </c>
      <c r="Q7792" s="12" t="s">
        <v>36</v>
      </c>
      <c r="R7792" s="12" t="s">
        <v>36</v>
      </c>
      <c r="S7792" s="12" t="s">
        <v>36</v>
      </c>
      <c r="T7792" s="12" t="s">
        <v>684</v>
      </c>
      <c r="U7792" s="12" t="s">
        <v>38</v>
      </c>
      <c r="V7792" s="12" t="s">
        <v>39</v>
      </c>
      <c r="W7792" s="12" t="s">
        <v>34279</v>
      </c>
      <c r="X7792" s="16" t="s">
        <v>34280</v>
      </c>
      <c r="Y7792" s="15" t="s">
        <v>42</v>
      </c>
      <c r="Z7792" s="14">
        <v>1.64</v>
      </c>
      <c r="AA7792" s="14" t="s">
        <v>36</v>
      </c>
      <c r="AB7792" s="12" t="s">
        <v>43</v>
      </c>
      <c r="AC7792" s="12" t="s">
        <v>34281</v>
      </c>
      <c r="AD7792" s="13">
        <v>41660</v>
      </c>
      <c r="AE7792" s="12" t="s">
        <v>688</v>
      </c>
      <c r="AF7792" s="12" t="s">
        <v>1636</v>
      </c>
      <c r="AG7792" s="12" t="s">
        <v>81</v>
      </c>
      <c r="AH7792" s="1">
        <f>HYPERLINK("https://my.pitchbook.com?c=31141-45T","View Company Online")</f>
      </c>
    </row>
    <row r="7793">
      <c r="A7793" s="3" t="s">
        <v>34282</v>
      </c>
      <c r="B7793" s="3" t="s">
        <v>34283</v>
      </c>
      <c r="C7793" s="5" t="s">
        <v>36</v>
      </c>
      <c r="D7793" s="5" t="s">
        <v>36</v>
      </c>
      <c r="E7793" s="5" t="s">
        <v>36</v>
      </c>
      <c r="F7793" s="5" t="s">
        <v>36</v>
      </c>
      <c r="G7793" s="6" t="s">
        <v>36</v>
      </c>
      <c r="H7793" s="4" t="s">
        <v>36</v>
      </c>
      <c r="I7793" s="7" t="s">
        <v>36</v>
      </c>
      <c r="J7793" s="3" t="s">
        <v>36</v>
      </c>
      <c r="K7793" s="9" t="s">
        <v>36</v>
      </c>
      <c r="L7793" s="6" t="s">
        <v>36</v>
      </c>
      <c r="M7793" s="3" t="s">
        <v>36</v>
      </c>
      <c r="N7793" s="3" t="s">
        <v>36</v>
      </c>
      <c r="O7793" s="8" t="s">
        <v>36</v>
      </c>
      <c r="P7793" s="3" t="s">
        <v>36</v>
      </c>
      <c r="Q7793" s="3" t="s">
        <v>36</v>
      </c>
      <c r="R7793" s="3" t="s">
        <v>36</v>
      </c>
      <c r="S7793" s="3" t="s">
        <v>36</v>
      </c>
      <c r="T7793" s="3" t="s">
        <v>34284</v>
      </c>
      <c r="U7793" s="3" t="s">
        <v>1798</v>
      </c>
      <c r="V7793" s="3" t="s">
        <v>39</v>
      </c>
      <c r="W7793" s="3" t="s">
        <v>34285</v>
      </c>
      <c r="X7793" s="10" t="s">
        <v>27377</v>
      </c>
      <c r="Y7793" s="6" t="s">
        <v>108</v>
      </c>
      <c r="Z7793" s="4" t="s">
        <v>36</v>
      </c>
      <c r="AA7793" s="4" t="s">
        <v>36</v>
      </c>
      <c r="AB7793" s="3" t="s">
        <v>43</v>
      </c>
      <c r="AC7793" s="3" t="s">
        <v>34286</v>
      </c>
      <c r="AD7793" s="9">
        <v>41659</v>
      </c>
      <c r="AE7793" s="3" t="s">
        <v>1802</v>
      </c>
      <c r="AF7793" s="3" t="s">
        <v>1636</v>
      </c>
      <c r="AG7793" s="3" t="s">
        <v>34287</v>
      </c>
      <c r="AH7793" s="11">
        <f>HYPERLINK("https://my.pitchbook.com?c=77981-95T","View Company Online")</f>
      </c>
    </row>
    <row r="7794">
      <c r="A7794" s="12" t="s">
        <v>34288</v>
      </c>
      <c r="B7794" s="12" t="s">
        <v>34289</v>
      </c>
      <c r="C7794" s="19" t="s">
        <v>36</v>
      </c>
      <c r="D7794" s="19" t="s">
        <v>36</v>
      </c>
      <c r="E7794" s="19" t="s">
        <v>36</v>
      </c>
      <c r="F7794" s="19" t="s">
        <v>36</v>
      </c>
      <c r="G7794" s="15" t="s">
        <v>36</v>
      </c>
      <c r="H7794" s="14" t="s">
        <v>36</v>
      </c>
      <c r="I7794" s="18" t="s">
        <v>36</v>
      </c>
      <c r="J7794" s="12" t="s">
        <v>36</v>
      </c>
      <c r="K7794" s="13" t="s">
        <v>36</v>
      </c>
      <c r="L7794" s="15" t="s">
        <v>36</v>
      </c>
      <c r="M7794" s="12" t="s">
        <v>36</v>
      </c>
      <c r="N7794" s="12" t="s">
        <v>36</v>
      </c>
      <c r="O7794" s="17" t="s">
        <v>36</v>
      </c>
      <c r="P7794" s="12" t="s">
        <v>36</v>
      </c>
      <c r="Q7794" s="12" t="s">
        <v>36</v>
      </c>
      <c r="R7794" s="12" t="s">
        <v>36</v>
      </c>
      <c r="S7794" s="12" t="s">
        <v>36</v>
      </c>
      <c r="T7794" s="12" t="s">
        <v>5911</v>
      </c>
      <c r="U7794" s="12" t="s">
        <v>74</v>
      </c>
      <c r="V7794" s="12" t="s">
        <v>75</v>
      </c>
      <c r="W7794" s="12" t="s">
        <v>34290</v>
      </c>
      <c r="X7794" s="16" t="s">
        <v>20527</v>
      </c>
      <c r="Y7794" s="15" t="s">
        <v>108</v>
      </c>
      <c r="Z7794" s="14">
        <v>0.68</v>
      </c>
      <c r="AA7794" s="14" t="s">
        <v>36</v>
      </c>
      <c r="AB7794" s="12" t="s">
        <v>56</v>
      </c>
      <c r="AC7794" s="12" t="s">
        <v>34291</v>
      </c>
      <c r="AD7794" s="13">
        <v>41655</v>
      </c>
      <c r="AE7794" s="12" t="s">
        <v>79</v>
      </c>
      <c r="AF7794" s="12" t="s">
        <v>2210</v>
      </c>
      <c r="AG7794" s="12" t="s">
        <v>12062</v>
      </c>
      <c r="AH7794" s="1">
        <f>HYPERLINK("https://my.pitchbook.com?c=44348-14T","View Company Online")</f>
      </c>
    </row>
    <row r="7795">
      <c r="A7795" s="3" t="s">
        <v>34292</v>
      </c>
      <c r="B7795" s="3" t="s">
        <v>34293</v>
      </c>
      <c r="C7795" s="5" t="s">
        <v>36</v>
      </c>
      <c r="D7795" s="5" t="s">
        <v>36</v>
      </c>
      <c r="E7795" s="5" t="s">
        <v>36</v>
      </c>
      <c r="F7795" s="5" t="s">
        <v>36</v>
      </c>
      <c r="G7795" s="6" t="s">
        <v>36</v>
      </c>
      <c r="H7795" s="4" t="s">
        <v>36</v>
      </c>
      <c r="I7795" s="7" t="s">
        <v>36</v>
      </c>
      <c r="J7795" s="3" t="s">
        <v>36</v>
      </c>
      <c r="K7795" s="9" t="s">
        <v>36</v>
      </c>
      <c r="L7795" s="6" t="s">
        <v>36</v>
      </c>
      <c r="M7795" s="3" t="s">
        <v>36</v>
      </c>
      <c r="N7795" s="3" t="s">
        <v>36</v>
      </c>
      <c r="O7795" s="8" t="s">
        <v>36</v>
      </c>
      <c r="P7795" s="3" t="s">
        <v>36</v>
      </c>
      <c r="Q7795" s="3" t="s">
        <v>36</v>
      </c>
      <c r="R7795" s="3" t="s">
        <v>36</v>
      </c>
      <c r="S7795" s="3" t="s">
        <v>36</v>
      </c>
      <c r="T7795" s="3" t="s">
        <v>34294</v>
      </c>
      <c r="U7795" s="3" t="s">
        <v>38</v>
      </c>
      <c r="V7795" s="3" t="s">
        <v>39</v>
      </c>
      <c r="W7795" s="3" t="s">
        <v>34295</v>
      </c>
      <c r="X7795" s="10" t="s">
        <v>13368</v>
      </c>
      <c r="Y7795" s="6" t="s">
        <v>108</v>
      </c>
      <c r="Z7795" s="4">
        <v>0.23</v>
      </c>
      <c r="AA7795" s="4" t="s">
        <v>36</v>
      </c>
      <c r="AB7795" s="3" t="s">
        <v>43</v>
      </c>
      <c r="AC7795" s="3" t="s">
        <v>34296</v>
      </c>
      <c r="AD7795" s="9">
        <v>41654</v>
      </c>
      <c r="AE7795" s="3" t="s">
        <v>110</v>
      </c>
      <c r="AF7795" s="3" t="s">
        <v>30292</v>
      </c>
      <c r="AG7795" s="3" t="s">
        <v>652</v>
      </c>
      <c r="AH7795" s="11">
        <f>HYPERLINK("https://my.pitchbook.com?c=67495-51T","View Company Online")</f>
      </c>
    </row>
    <row r="7796">
      <c r="A7796" s="12" t="s">
        <v>34297</v>
      </c>
      <c r="B7796" s="12" t="s">
        <v>34298</v>
      </c>
      <c r="C7796" s="19" t="s">
        <v>36</v>
      </c>
      <c r="D7796" s="19" t="s">
        <v>36</v>
      </c>
      <c r="E7796" s="19" t="s">
        <v>36</v>
      </c>
      <c r="F7796" s="19" t="s">
        <v>36</v>
      </c>
      <c r="G7796" s="15" t="s">
        <v>36</v>
      </c>
      <c r="H7796" s="14" t="s">
        <v>36</v>
      </c>
      <c r="I7796" s="18" t="s">
        <v>36</v>
      </c>
      <c r="J7796" s="12" t="s">
        <v>36</v>
      </c>
      <c r="K7796" s="13" t="s">
        <v>36</v>
      </c>
      <c r="L7796" s="15" t="s">
        <v>36</v>
      </c>
      <c r="M7796" s="12" t="s">
        <v>36</v>
      </c>
      <c r="N7796" s="12" t="s">
        <v>36</v>
      </c>
      <c r="O7796" s="17" t="s">
        <v>36</v>
      </c>
      <c r="P7796" s="12" t="s">
        <v>36</v>
      </c>
      <c r="Q7796" s="12" t="s">
        <v>36</v>
      </c>
      <c r="R7796" s="12" t="s">
        <v>36</v>
      </c>
      <c r="S7796" s="12" t="s">
        <v>36</v>
      </c>
      <c r="T7796" s="12" t="s">
        <v>2515</v>
      </c>
      <c r="U7796" s="12" t="s">
        <v>74</v>
      </c>
      <c r="V7796" s="12" t="s">
        <v>75</v>
      </c>
      <c r="W7796" s="12" t="s">
        <v>34299</v>
      </c>
      <c r="X7796" s="16" t="s">
        <v>34300</v>
      </c>
      <c r="Y7796" s="15" t="s">
        <v>42</v>
      </c>
      <c r="Z7796" s="14" t="s">
        <v>36</v>
      </c>
      <c r="AA7796" s="14" t="s">
        <v>36</v>
      </c>
      <c r="AB7796" s="12" t="s">
        <v>56</v>
      </c>
      <c r="AC7796" s="12" t="s">
        <v>34301</v>
      </c>
      <c r="AD7796" s="13">
        <v>41653</v>
      </c>
      <c r="AE7796" s="12" t="s">
        <v>570</v>
      </c>
      <c r="AF7796" s="12" t="s">
        <v>372</v>
      </c>
      <c r="AG7796" s="12" t="s">
        <v>34302</v>
      </c>
      <c r="AH7796" s="1">
        <f>HYPERLINK("https://my.pitchbook.com?c=39186-46T","View Company Online")</f>
      </c>
    </row>
    <row r="7797">
      <c r="A7797" s="3" t="s">
        <v>34303</v>
      </c>
      <c r="B7797" s="3" t="s">
        <v>9800</v>
      </c>
      <c r="C7797" s="5" t="s">
        <v>36</v>
      </c>
      <c r="D7797" s="5" t="s">
        <v>36</v>
      </c>
      <c r="E7797" s="5" t="s">
        <v>36</v>
      </c>
      <c r="F7797" s="5" t="s">
        <v>36</v>
      </c>
      <c r="G7797" s="6" t="s">
        <v>326</v>
      </c>
      <c r="H7797" s="4">
        <v>763.35</v>
      </c>
      <c r="I7797" s="7">
        <v>25.17</v>
      </c>
      <c r="J7797" s="3" t="s">
        <v>521</v>
      </c>
      <c r="K7797" s="9" t="s">
        <v>36</v>
      </c>
      <c r="L7797" s="6" t="s">
        <v>94</v>
      </c>
      <c r="M7797" s="3" t="s">
        <v>36</v>
      </c>
      <c r="N7797" s="3" t="s">
        <v>94</v>
      </c>
      <c r="O7797" s="8" t="s">
        <v>36</v>
      </c>
      <c r="P7797" s="3" t="s">
        <v>36</v>
      </c>
      <c r="Q7797" s="3" t="s">
        <v>36</v>
      </c>
      <c r="R7797" s="3" t="s">
        <v>36</v>
      </c>
      <c r="S7797" s="3" t="s">
        <v>36</v>
      </c>
      <c r="T7797" s="3" t="s">
        <v>115</v>
      </c>
      <c r="U7797" s="3" t="s">
        <v>63</v>
      </c>
      <c r="V7797" s="3" t="s">
        <v>64</v>
      </c>
      <c r="W7797" s="3" t="s">
        <v>9801</v>
      </c>
      <c r="X7797" s="10" t="s">
        <v>34304</v>
      </c>
      <c r="Y7797" s="6" t="s">
        <v>108</v>
      </c>
      <c r="Z7797" s="4">
        <v>6.05</v>
      </c>
      <c r="AA7797" s="4">
        <v>24.05</v>
      </c>
      <c r="AB7797" s="3" t="s">
        <v>56</v>
      </c>
      <c r="AC7797" s="3" t="s">
        <v>9803</v>
      </c>
      <c r="AD7797" s="9">
        <v>41652</v>
      </c>
      <c r="AE7797" s="3" t="s">
        <v>68</v>
      </c>
      <c r="AF7797" s="3" t="s">
        <v>176</v>
      </c>
      <c r="AG7797" s="3" t="s">
        <v>81</v>
      </c>
      <c r="AH7797" s="11">
        <f>HYPERLINK("https://my.pitchbook.com?c=30890-89T","View Company Online")</f>
      </c>
    </row>
    <row r="7798">
      <c r="A7798" s="12" t="s">
        <v>34305</v>
      </c>
      <c r="B7798" s="12" t="s">
        <v>34306</v>
      </c>
      <c r="C7798" s="19" t="s">
        <v>36</v>
      </c>
      <c r="D7798" s="19" t="s">
        <v>36</v>
      </c>
      <c r="E7798" s="19" t="s">
        <v>36</v>
      </c>
      <c r="F7798" s="19" t="s">
        <v>36</v>
      </c>
      <c r="G7798" s="15" t="s">
        <v>36</v>
      </c>
      <c r="H7798" s="14" t="s">
        <v>36</v>
      </c>
      <c r="I7798" s="18" t="s">
        <v>36</v>
      </c>
      <c r="J7798" s="12" t="s">
        <v>36</v>
      </c>
      <c r="K7798" s="13" t="s">
        <v>36</v>
      </c>
      <c r="L7798" s="15" t="s">
        <v>36</v>
      </c>
      <c r="M7798" s="12" t="s">
        <v>36</v>
      </c>
      <c r="N7798" s="12" t="s">
        <v>36</v>
      </c>
      <c r="O7798" s="17" t="s">
        <v>36</v>
      </c>
      <c r="P7798" s="12" t="s">
        <v>36</v>
      </c>
      <c r="Q7798" s="12" t="s">
        <v>36</v>
      </c>
      <c r="R7798" s="12" t="s">
        <v>36</v>
      </c>
      <c r="S7798" s="12" t="s">
        <v>36</v>
      </c>
      <c r="T7798" s="12" t="s">
        <v>855</v>
      </c>
      <c r="U7798" s="12" t="s">
        <v>648</v>
      </c>
      <c r="V7798" s="12" t="s">
        <v>64</v>
      </c>
      <c r="W7798" s="12" t="s">
        <v>34307</v>
      </c>
      <c r="X7798" s="16" t="s">
        <v>11111</v>
      </c>
      <c r="Y7798" s="15" t="s">
        <v>42</v>
      </c>
      <c r="Z7798" s="14">
        <v>0.7</v>
      </c>
      <c r="AA7798" s="14" t="s">
        <v>36</v>
      </c>
      <c r="AB7798" s="12" t="s">
        <v>43</v>
      </c>
      <c r="AC7798" s="12" t="s">
        <v>34308</v>
      </c>
      <c r="AD7798" s="13">
        <v>41649</v>
      </c>
      <c r="AE7798" s="12" t="s">
        <v>651</v>
      </c>
      <c r="AF7798" s="12" t="s">
        <v>2343</v>
      </c>
      <c r="AG7798" s="12" t="s">
        <v>81</v>
      </c>
      <c r="AH7798" s="1">
        <f>HYPERLINK("https://my.pitchbook.com?c=44926-66T","View Company Online")</f>
      </c>
    </row>
    <row r="7799">
      <c r="A7799" s="3" t="s">
        <v>34309</v>
      </c>
      <c r="B7799" s="3" t="s">
        <v>30589</v>
      </c>
      <c r="C7799" s="5" t="s">
        <v>36</v>
      </c>
      <c r="D7799" s="5" t="s">
        <v>36</v>
      </c>
      <c r="E7799" s="5" t="s">
        <v>36</v>
      </c>
      <c r="F7799" s="5" t="s">
        <v>36</v>
      </c>
      <c r="G7799" s="6" t="s">
        <v>36</v>
      </c>
      <c r="H7799" s="4">
        <v>150.66</v>
      </c>
      <c r="I7799" s="7">
        <v>24.13</v>
      </c>
      <c r="J7799" s="3" t="s">
        <v>521</v>
      </c>
      <c r="K7799" s="9" t="s">
        <v>36</v>
      </c>
      <c r="L7799" s="6" t="s">
        <v>36</v>
      </c>
      <c r="M7799" s="3" t="s">
        <v>36</v>
      </c>
      <c r="N7799" s="3" t="s">
        <v>36</v>
      </c>
      <c r="O7799" s="8" t="s">
        <v>36</v>
      </c>
      <c r="P7799" s="3" t="s">
        <v>36</v>
      </c>
      <c r="Q7799" s="3" t="s">
        <v>36</v>
      </c>
      <c r="R7799" s="3" t="s">
        <v>36</v>
      </c>
      <c r="S7799" s="3" t="s">
        <v>36</v>
      </c>
      <c r="T7799" s="3" t="s">
        <v>30590</v>
      </c>
      <c r="U7799" s="3" t="s">
        <v>38</v>
      </c>
      <c r="V7799" s="3" t="s">
        <v>39</v>
      </c>
      <c r="W7799" s="3" t="s">
        <v>30591</v>
      </c>
      <c r="X7799" s="10" t="s">
        <v>34310</v>
      </c>
      <c r="Y7799" s="6" t="s">
        <v>42</v>
      </c>
      <c r="Z7799" s="4">
        <v>0.21</v>
      </c>
      <c r="AA7799" s="4">
        <v>0.85</v>
      </c>
      <c r="AB7799" s="3" t="s">
        <v>43</v>
      </c>
      <c r="AC7799" s="3" t="s">
        <v>30592</v>
      </c>
      <c r="AD7799" s="9">
        <v>41649</v>
      </c>
      <c r="AE7799" s="3" t="s">
        <v>110</v>
      </c>
      <c r="AF7799" s="3" t="s">
        <v>1842</v>
      </c>
      <c r="AG7799" s="3" t="s">
        <v>6528</v>
      </c>
      <c r="AH7799" s="11">
        <f>HYPERLINK("https://my.pitchbook.com?c=204829-84T","View Company Online")</f>
      </c>
    </row>
    <row r="7800">
      <c r="A7800" s="12" t="s">
        <v>34311</v>
      </c>
      <c r="B7800" s="12" t="s">
        <v>34312</v>
      </c>
      <c r="C7800" s="19" t="s">
        <v>36</v>
      </c>
      <c r="D7800" s="19" t="s">
        <v>36</v>
      </c>
      <c r="E7800" s="19" t="s">
        <v>36</v>
      </c>
      <c r="F7800" s="19" t="s">
        <v>36</v>
      </c>
      <c r="G7800" s="15" t="s">
        <v>36</v>
      </c>
      <c r="H7800" s="14" t="s">
        <v>36</v>
      </c>
      <c r="I7800" s="18" t="s">
        <v>36</v>
      </c>
      <c r="J7800" s="12" t="s">
        <v>36</v>
      </c>
      <c r="K7800" s="13" t="s">
        <v>36</v>
      </c>
      <c r="L7800" s="15" t="s">
        <v>36</v>
      </c>
      <c r="M7800" s="12" t="s">
        <v>36</v>
      </c>
      <c r="N7800" s="12" t="s">
        <v>36</v>
      </c>
      <c r="O7800" s="17" t="s">
        <v>36</v>
      </c>
      <c r="P7800" s="12" t="s">
        <v>36</v>
      </c>
      <c r="Q7800" s="12" t="s">
        <v>36</v>
      </c>
      <c r="R7800" s="12" t="s">
        <v>36</v>
      </c>
      <c r="S7800" s="12" t="s">
        <v>36</v>
      </c>
      <c r="T7800" s="12" t="s">
        <v>8394</v>
      </c>
      <c r="U7800" s="12" t="s">
        <v>85</v>
      </c>
      <c r="V7800" s="12" t="s">
        <v>64</v>
      </c>
      <c r="W7800" s="12" t="s">
        <v>34313</v>
      </c>
      <c r="X7800" s="16" t="s">
        <v>29106</v>
      </c>
      <c r="Y7800" s="15" t="s">
        <v>42</v>
      </c>
      <c r="Z7800" s="14">
        <v>2.74</v>
      </c>
      <c r="AA7800" s="14" t="s">
        <v>36</v>
      </c>
      <c r="AB7800" s="12" t="s">
        <v>43</v>
      </c>
      <c r="AC7800" s="12" t="s">
        <v>34314</v>
      </c>
      <c r="AD7800" s="13">
        <v>41647</v>
      </c>
      <c r="AE7800" s="12" t="s">
        <v>89</v>
      </c>
      <c r="AF7800" s="12" t="s">
        <v>1077</v>
      </c>
      <c r="AG7800" s="12" t="s">
        <v>81</v>
      </c>
      <c r="AH7800" s="1">
        <f>HYPERLINK("https://my.pitchbook.com?c=48766-33T","View Company Online")</f>
      </c>
    </row>
    <row r="7801">
      <c r="A7801" s="3" t="s">
        <v>34315</v>
      </c>
      <c r="B7801" s="3" t="s">
        <v>34316</v>
      </c>
      <c r="C7801" s="5" t="s">
        <v>36</v>
      </c>
      <c r="D7801" s="5" t="s">
        <v>36</v>
      </c>
      <c r="E7801" s="5">
        <v>1</v>
      </c>
      <c r="F7801" s="5">
        <v>1</v>
      </c>
      <c r="G7801" s="6" t="s">
        <v>36</v>
      </c>
      <c r="H7801" s="4" t="s">
        <v>36</v>
      </c>
      <c r="I7801" s="7" t="s">
        <v>36</v>
      </c>
      <c r="J7801" s="3" t="s">
        <v>36</v>
      </c>
      <c r="K7801" s="9">
        <v>41275</v>
      </c>
      <c r="L7801" s="6" t="s">
        <v>36</v>
      </c>
      <c r="M7801" s="3" t="s">
        <v>36</v>
      </c>
      <c r="N7801" s="3" t="s">
        <v>36</v>
      </c>
      <c r="O7801" s="8" t="s">
        <v>36</v>
      </c>
      <c r="P7801" s="3" t="s">
        <v>36</v>
      </c>
      <c r="Q7801" s="3" t="s">
        <v>36</v>
      </c>
      <c r="R7801" s="3" t="s">
        <v>36</v>
      </c>
      <c r="S7801" s="3" t="s">
        <v>36</v>
      </c>
      <c r="T7801" s="3" t="s">
        <v>34317</v>
      </c>
      <c r="U7801" s="3" t="s">
        <v>74</v>
      </c>
      <c r="V7801" s="3" t="s">
        <v>75</v>
      </c>
      <c r="W7801" s="3" t="s">
        <v>34318</v>
      </c>
      <c r="X7801" s="10" t="s">
        <v>34319</v>
      </c>
      <c r="Y7801" s="6" t="s">
        <v>42</v>
      </c>
      <c r="Z7801" s="4">
        <v>1.92</v>
      </c>
      <c r="AA7801" s="4" t="s">
        <v>36</v>
      </c>
      <c r="AB7801" s="3" t="s">
        <v>43</v>
      </c>
      <c r="AC7801" s="3" t="s">
        <v>34320</v>
      </c>
      <c r="AD7801" s="9">
        <v>41647</v>
      </c>
      <c r="AE7801" s="3" t="s">
        <v>570</v>
      </c>
      <c r="AF7801" s="3" t="s">
        <v>26350</v>
      </c>
      <c r="AG7801" s="3" t="s">
        <v>14890</v>
      </c>
      <c r="AH7801" s="11">
        <f>HYPERLINK("https://my.pitchbook.com?c=71890-84T","View Company Online")</f>
      </c>
    </row>
    <row r="7802">
      <c r="A7802" s="12" t="s">
        <v>34321</v>
      </c>
      <c r="B7802" s="12" t="s">
        <v>34322</v>
      </c>
      <c r="C7802" s="19" t="s">
        <v>36</v>
      </c>
      <c r="D7802" s="19" t="s">
        <v>36</v>
      </c>
      <c r="E7802" s="19" t="s">
        <v>36</v>
      </c>
      <c r="F7802" s="19" t="s">
        <v>36</v>
      </c>
      <c r="G7802" s="15" t="s">
        <v>36</v>
      </c>
      <c r="H7802" s="14">
        <v>311.57</v>
      </c>
      <c r="I7802" s="18">
        <v>16.77</v>
      </c>
      <c r="J7802" s="12" t="s">
        <v>521</v>
      </c>
      <c r="K7802" s="13" t="s">
        <v>36</v>
      </c>
      <c r="L7802" s="15" t="s">
        <v>36</v>
      </c>
      <c r="M7802" s="12" t="s">
        <v>36</v>
      </c>
      <c r="N7802" s="12" t="s">
        <v>36</v>
      </c>
      <c r="O7802" s="17" t="s">
        <v>36</v>
      </c>
      <c r="P7802" s="12" t="s">
        <v>36</v>
      </c>
      <c r="Q7802" s="12" t="s">
        <v>36</v>
      </c>
      <c r="R7802" s="12" t="s">
        <v>36</v>
      </c>
      <c r="S7802" s="12" t="s">
        <v>36</v>
      </c>
      <c r="T7802" s="12" t="s">
        <v>1106</v>
      </c>
      <c r="U7802" s="12" t="s">
        <v>38</v>
      </c>
      <c r="V7802" s="12" t="s">
        <v>39</v>
      </c>
      <c r="W7802" s="12" t="s">
        <v>34323</v>
      </c>
      <c r="X7802" s="16" t="s">
        <v>34324</v>
      </c>
      <c r="Y7802" s="15" t="s">
        <v>42</v>
      </c>
      <c r="Z7802" s="14">
        <v>0.17</v>
      </c>
      <c r="AA7802" s="14">
        <v>0.99</v>
      </c>
      <c r="AB7802" s="12" t="s">
        <v>56</v>
      </c>
      <c r="AC7802" s="12" t="s">
        <v>34325</v>
      </c>
      <c r="AD7802" s="13">
        <v>41644</v>
      </c>
      <c r="AE7802" s="12" t="s">
        <v>110</v>
      </c>
      <c r="AF7802" s="12" t="s">
        <v>4552</v>
      </c>
      <c r="AG7802" s="12" t="s">
        <v>34326</v>
      </c>
      <c r="AH7802" s="1">
        <f>HYPERLINK("https://my.pitchbook.com?c=53216-38T","View Company Online")</f>
      </c>
    </row>
    <row r="7803">
      <c r="A7803" s="3" t="s">
        <v>34327</v>
      </c>
      <c r="B7803" s="3" t="s">
        <v>34328</v>
      </c>
      <c r="C7803" s="5" t="s">
        <v>36</v>
      </c>
      <c r="D7803" s="5" t="s">
        <v>36</v>
      </c>
      <c r="E7803" s="5" t="s">
        <v>36</v>
      </c>
      <c r="F7803" s="5" t="s">
        <v>36</v>
      </c>
      <c r="G7803" s="6" t="s">
        <v>36</v>
      </c>
      <c r="H7803" s="4" t="s">
        <v>36</v>
      </c>
      <c r="I7803" s="7" t="s">
        <v>36</v>
      </c>
      <c r="J7803" s="3" t="s">
        <v>36</v>
      </c>
      <c r="K7803" s="9" t="s">
        <v>36</v>
      </c>
      <c r="L7803" s="6" t="s">
        <v>36</v>
      </c>
      <c r="M7803" s="3" t="s">
        <v>36</v>
      </c>
      <c r="N7803" s="3" t="s">
        <v>36</v>
      </c>
      <c r="O7803" s="8" t="s">
        <v>36</v>
      </c>
      <c r="P7803" s="3" t="s">
        <v>36</v>
      </c>
      <c r="Q7803" s="3" t="s">
        <v>36</v>
      </c>
      <c r="R7803" s="3" t="s">
        <v>36</v>
      </c>
      <c r="S7803" s="3" t="s">
        <v>36</v>
      </c>
      <c r="T7803" s="3" t="s">
        <v>3907</v>
      </c>
      <c r="U7803" s="3" t="s">
        <v>279</v>
      </c>
      <c r="V7803" s="3" t="s">
        <v>64</v>
      </c>
      <c r="W7803" s="3" t="s">
        <v>34329</v>
      </c>
      <c r="X7803" s="10" t="s">
        <v>9764</v>
      </c>
      <c r="Y7803" s="6" t="s">
        <v>42</v>
      </c>
      <c r="Z7803" s="4" t="s">
        <v>36</v>
      </c>
      <c r="AA7803" s="4" t="s">
        <v>36</v>
      </c>
      <c r="AB7803" s="3" t="s">
        <v>43</v>
      </c>
      <c r="AC7803" s="3" t="s">
        <v>34330</v>
      </c>
      <c r="AD7803" s="9">
        <v>41643</v>
      </c>
      <c r="AE7803" s="3" t="s">
        <v>851</v>
      </c>
      <c r="AF7803" s="3" t="s">
        <v>36</v>
      </c>
      <c r="AG7803" s="3" t="s">
        <v>81</v>
      </c>
      <c r="AH7803" s="11">
        <f>HYPERLINK("https://my.pitchbook.com?c=186691-51T","View Company Online")</f>
      </c>
    </row>
    <row r="7804">
      <c r="A7804" s="12" t="s">
        <v>34331</v>
      </c>
      <c r="B7804" s="12" t="s">
        <v>34332</v>
      </c>
      <c r="C7804" s="19" t="s">
        <v>36</v>
      </c>
      <c r="D7804" s="19">
        <v>10</v>
      </c>
      <c r="E7804" s="19">
        <v>5</v>
      </c>
      <c r="F7804" s="19">
        <v>11</v>
      </c>
      <c r="G7804" s="15" t="s">
        <v>36</v>
      </c>
      <c r="H7804" s="14">
        <v>346.19</v>
      </c>
      <c r="I7804" s="18">
        <v>21.26</v>
      </c>
      <c r="J7804" s="12" t="s">
        <v>521</v>
      </c>
      <c r="K7804" s="13" t="s">
        <v>36</v>
      </c>
      <c r="L7804" s="15" t="s">
        <v>36</v>
      </c>
      <c r="M7804" s="12" t="s">
        <v>36</v>
      </c>
      <c r="N7804" s="12" t="s">
        <v>36</v>
      </c>
      <c r="O7804" s="17" t="s">
        <v>36</v>
      </c>
      <c r="P7804" s="12" t="s">
        <v>36</v>
      </c>
      <c r="Q7804" s="12" t="s">
        <v>36</v>
      </c>
      <c r="R7804" s="12" t="s">
        <v>36</v>
      </c>
      <c r="S7804" s="12" t="s">
        <v>36</v>
      </c>
      <c r="T7804" s="12" t="s">
        <v>34333</v>
      </c>
      <c r="U7804" s="12" t="s">
        <v>1082</v>
      </c>
      <c r="V7804" s="12" t="s">
        <v>378</v>
      </c>
      <c r="W7804" s="12" t="s">
        <v>34334</v>
      </c>
      <c r="X7804" s="16" t="s">
        <v>29606</v>
      </c>
      <c r="Y7804" s="15" t="s">
        <v>42</v>
      </c>
      <c r="Z7804" s="14">
        <v>0.37</v>
      </c>
      <c r="AA7804" s="14">
        <v>1.74</v>
      </c>
      <c r="AB7804" s="12" t="s">
        <v>43</v>
      </c>
      <c r="AC7804" s="12" t="s">
        <v>34335</v>
      </c>
      <c r="AD7804" s="13">
        <v>41641</v>
      </c>
      <c r="AE7804" s="12" t="s">
        <v>7876</v>
      </c>
      <c r="AF7804" s="12" t="s">
        <v>159</v>
      </c>
      <c r="AG7804" s="12" t="s">
        <v>26774</v>
      </c>
      <c r="AH7804" s="1">
        <f>HYPERLINK("https://my.pitchbook.com?c=84834-10T","View Company Online")</f>
      </c>
    </row>
    <row r="7805">
      <c r="A7805" s="3" t="s">
        <v>34336</v>
      </c>
      <c r="B7805" s="3" t="s">
        <v>34337</v>
      </c>
      <c r="C7805" s="5" t="s">
        <v>36</v>
      </c>
      <c r="D7805" s="5" t="s">
        <v>36</v>
      </c>
      <c r="E7805" s="5" t="s">
        <v>36</v>
      </c>
      <c r="F7805" s="5" t="s">
        <v>36</v>
      </c>
      <c r="G7805" s="6" t="s">
        <v>36</v>
      </c>
      <c r="H7805" s="4" t="s">
        <v>36</v>
      </c>
      <c r="I7805" s="7">
        <v>20</v>
      </c>
      <c r="J7805" s="3" t="s">
        <v>36</v>
      </c>
      <c r="K7805" s="9" t="s">
        <v>36</v>
      </c>
      <c r="L7805" s="6" t="s">
        <v>36</v>
      </c>
      <c r="M7805" s="3" t="s">
        <v>36</v>
      </c>
      <c r="N7805" s="3" t="s">
        <v>36</v>
      </c>
      <c r="O7805" s="8" t="s">
        <v>36</v>
      </c>
      <c r="P7805" s="3" t="s">
        <v>36</v>
      </c>
      <c r="Q7805" s="3" t="s">
        <v>36</v>
      </c>
      <c r="R7805" s="3" t="s">
        <v>36</v>
      </c>
      <c r="S7805" s="3" t="s">
        <v>36</v>
      </c>
      <c r="T7805" s="3" t="s">
        <v>34338</v>
      </c>
      <c r="U7805" s="3" t="s">
        <v>74</v>
      </c>
      <c r="V7805" s="3" t="s">
        <v>75</v>
      </c>
      <c r="W7805" s="3" t="s">
        <v>34339</v>
      </c>
      <c r="X7805" s="10" t="s">
        <v>32876</v>
      </c>
      <c r="Y7805" s="6" t="s">
        <v>42</v>
      </c>
      <c r="Z7805" s="4" t="s">
        <v>36</v>
      </c>
      <c r="AA7805" s="4" t="s">
        <v>36</v>
      </c>
      <c r="AB7805" s="3" t="s">
        <v>43</v>
      </c>
      <c r="AC7805" s="3" t="s">
        <v>34340</v>
      </c>
      <c r="AD7805" s="9">
        <v>41640</v>
      </c>
      <c r="AE7805" s="3" t="s">
        <v>1243</v>
      </c>
      <c r="AF7805" s="3" t="s">
        <v>176</v>
      </c>
      <c r="AG7805" s="3" t="s">
        <v>5718</v>
      </c>
      <c r="AH7805" s="11">
        <f>HYPERLINK("https://my.pitchbook.com?c=27108-73T","View Company Online")</f>
      </c>
    </row>
    <row r="7806">
      <c r="A7806" s="12" t="s">
        <v>34341</v>
      </c>
      <c r="B7806" s="12" t="s">
        <v>34342</v>
      </c>
      <c r="C7806" s="19" t="s">
        <v>36</v>
      </c>
      <c r="D7806" s="19">
        <v>1</v>
      </c>
      <c r="E7806" s="19">
        <v>1</v>
      </c>
      <c r="F7806" s="19">
        <v>2</v>
      </c>
      <c r="G7806" s="15" t="s">
        <v>36</v>
      </c>
      <c r="H7806" s="14" t="s">
        <v>36</v>
      </c>
      <c r="I7806" s="18" t="s">
        <v>36</v>
      </c>
      <c r="J7806" s="12" t="s">
        <v>36</v>
      </c>
      <c r="K7806" s="13" t="s">
        <v>36</v>
      </c>
      <c r="L7806" s="15" t="s">
        <v>36</v>
      </c>
      <c r="M7806" s="12" t="s">
        <v>36</v>
      </c>
      <c r="N7806" s="12" t="s">
        <v>36</v>
      </c>
      <c r="O7806" s="17" t="s">
        <v>36</v>
      </c>
      <c r="P7806" s="12" t="s">
        <v>36</v>
      </c>
      <c r="Q7806" s="12" t="s">
        <v>36</v>
      </c>
      <c r="R7806" s="12" t="s">
        <v>36</v>
      </c>
      <c r="S7806" s="12" t="s">
        <v>36</v>
      </c>
      <c r="T7806" s="12" t="s">
        <v>34343</v>
      </c>
      <c r="U7806" s="12" t="s">
        <v>74</v>
      </c>
      <c r="V7806" s="12" t="s">
        <v>75</v>
      </c>
      <c r="W7806" s="12" t="s">
        <v>34344</v>
      </c>
      <c r="X7806" s="16" t="s">
        <v>5661</v>
      </c>
      <c r="Y7806" s="15" t="s">
        <v>42</v>
      </c>
      <c r="Z7806" s="14" t="s">
        <v>36</v>
      </c>
      <c r="AA7806" s="14" t="s">
        <v>36</v>
      </c>
      <c r="AB7806" s="12" t="s">
        <v>56</v>
      </c>
      <c r="AC7806" s="12" t="s">
        <v>34345</v>
      </c>
      <c r="AD7806" s="13">
        <v>41640</v>
      </c>
      <c r="AE7806" s="12" t="s">
        <v>1888</v>
      </c>
      <c r="AF7806" s="12" t="s">
        <v>34346</v>
      </c>
      <c r="AG7806" s="12" t="s">
        <v>34347</v>
      </c>
      <c r="AH7806" s="1">
        <f>HYPERLINK("https://my.pitchbook.com?c=27773-74T","View Company Online")</f>
      </c>
    </row>
    <row r="7807">
      <c r="A7807" s="3" t="s">
        <v>34348</v>
      </c>
      <c r="B7807" s="3" t="s">
        <v>34349</v>
      </c>
      <c r="C7807" s="5" t="s">
        <v>36</v>
      </c>
      <c r="D7807" s="5" t="s">
        <v>36</v>
      </c>
      <c r="E7807" s="5" t="s">
        <v>36</v>
      </c>
      <c r="F7807" s="5" t="s">
        <v>36</v>
      </c>
      <c r="G7807" s="6" t="s">
        <v>36</v>
      </c>
      <c r="H7807" s="4" t="s">
        <v>36</v>
      </c>
      <c r="I7807" s="7" t="s">
        <v>36</v>
      </c>
      <c r="J7807" s="3" t="s">
        <v>36</v>
      </c>
      <c r="K7807" s="9" t="s">
        <v>36</v>
      </c>
      <c r="L7807" s="6" t="s">
        <v>36</v>
      </c>
      <c r="M7807" s="3" t="s">
        <v>36</v>
      </c>
      <c r="N7807" s="3" t="s">
        <v>36</v>
      </c>
      <c r="O7807" s="8" t="s">
        <v>36</v>
      </c>
      <c r="P7807" s="3" t="s">
        <v>36</v>
      </c>
      <c r="Q7807" s="3" t="s">
        <v>36</v>
      </c>
      <c r="R7807" s="3" t="s">
        <v>36</v>
      </c>
      <c r="S7807" s="3" t="s">
        <v>36</v>
      </c>
      <c r="T7807" s="3" t="s">
        <v>34350</v>
      </c>
      <c r="U7807" s="3" t="s">
        <v>219</v>
      </c>
      <c r="V7807" s="3" t="s">
        <v>75</v>
      </c>
      <c r="W7807" s="3" t="s">
        <v>34351</v>
      </c>
      <c r="X7807" s="10" t="s">
        <v>34352</v>
      </c>
      <c r="Y7807" s="6" t="s">
        <v>42</v>
      </c>
      <c r="Z7807" s="4" t="s">
        <v>36</v>
      </c>
      <c r="AA7807" s="4" t="s">
        <v>36</v>
      </c>
      <c r="AB7807" s="3" t="s">
        <v>43</v>
      </c>
      <c r="AC7807" s="3" t="s">
        <v>34353</v>
      </c>
      <c r="AD7807" s="9">
        <v>41640</v>
      </c>
      <c r="AE7807" s="3" t="s">
        <v>7093</v>
      </c>
      <c r="AF7807" s="3" t="s">
        <v>1969</v>
      </c>
      <c r="AG7807" s="3" t="s">
        <v>34354</v>
      </c>
      <c r="AH7807" s="11">
        <f>HYPERLINK("https://my.pitchbook.com?c=27519-40T","View Company Online")</f>
      </c>
    </row>
    <row r="7808">
      <c r="A7808" s="12" t="s">
        <v>34355</v>
      </c>
      <c r="B7808" s="12" t="s">
        <v>34356</v>
      </c>
      <c r="C7808" s="19" t="s">
        <v>36</v>
      </c>
      <c r="D7808" s="19" t="s">
        <v>36</v>
      </c>
      <c r="E7808" s="19" t="s">
        <v>36</v>
      </c>
      <c r="F7808" s="19" t="s">
        <v>36</v>
      </c>
      <c r="G7808" s="15" t="s">
        <v>36</v>
      </c>
      <c r="H7808" s="14" t="s">
        <v>36</v>
      </c>
      <c r="I7808" s="18" t="s">
        <v>36</v>
      </c>
      <c r="J7808" s="12" t="s">
        <v>36</v>
      </c>
      <c r="K7808" s="13" t="s">
        <v>36</v>
      </c>
      <c r="L7808" s="15" t="s">
        <v>36</v>
      </c>
      <c r="M7808" s="12" t="s">
        <v>36</v>
      </c>
      <c r="N7808" s="12" t="s">
        <v>36</v>
      </c>
      <c r="O7808" s="17" t="s">
        <v>36</v>
      </c>
      <c r="P7808" s="12" t="s">
        <v>36</v>
      </c>
      <c r="Q7808" s="12" t="s">
        <v>36</v>
      </c>
      <c r="R7808" s="12" t="s">
        <v>36</v>
      </c>
      <c r="S7808" s="12" t="s">
        <v>36</v>
      </c>
      <c r="T7808" s="12" t="s">
        <v>8811</v>
      </c>
      <c r="U7808" s="12" t="s">
        <v>74</v>
      </c>
      <c r="V7808" s="12" t="s">
        <v>75</v>
      </c>
      <c r="W7808" s="12" t="s">
        <v>34357</v>
      </c>
      <c r="X7808" s="16" t="s">
        <v>2485</v>
      </c>
      <c r="Y7808" s="15" t="s">
        <v>42</v>
      </c>
      <c r="Z7808" s="14" t="s">
        <v>36</v>
      </c>
      <c r="AA7808" s="14" t="s">
        <v>36</v>
      </c>
      <c r="AB7808" s="12" t="s">
        <v>56</v>
      </c>
      <c r="AC7808" s="12" t="s">
        <v>34358</v>
      </c>
      <c r="AD7808" s="13">
        <v>41640</v>
      </c>
      <c r="AE7808" s="12" t="s">
        <v>1243</v>
      </c>
      <c r="AF7808" s="12" t="s">
        <v>36</v>
      </c>
      <c r="AG7808" s="12" t="s">
        <v>34359</v>
      </c>
      <c r="AH7808" s="1">
        <f>HYPERLINK("https://my.pitchbook.com?c=35135-29T","View Company Online")</f>
      </c>
    </row>
    <row r="7809">
      <c r="A7809" s="3" t="s">
        <v>34360</v>
      </c>
      <c r="B7809" s="3" t="s">
        <v>34361</v>
      </c>
      <c r="C7809" s="5" t="s">
        <v>36</v>
      </c>
      <c r="D7809" s="5" t="s">
        <v>36</v>
      </c>
      <c r="E7809" s="5" t="s">
        <v>36</v>
      </c>
      <c r="F7809" s="5" t="s">
        <v>36</v>
      </c>
      <c r="G7809" s="6" t="s">
        <v>36</v>
      </c>
      <c r="H7809" s="4" t="s">
        <v>36</v>
      </c>
      <c r="I7809" s="7" t="s">
        <v>36</v>
      </c>
      <c r="J7809" s="3" t="s">
        <v>36</v>
      </c>
      <c r="K7809" s="9" t="s">
        <v>36</v>
      </c>
      <c r="L7809" s="6" t="s">
        <v>36</v>
      </c>
      <c r="M7809" s="3" t="s">
        <v>36</v>
      </c>
      <c r="N7809" s="3" t="s">
        <v>36</v>
      </c>
      <c r="O7809" s="8" t="s">
        <v>36</v>
      </c>
      <c r="P7809" s="3" t="s">
        <v>36</v>
      </c>
      <c r="Q7809" s="3" t="s">
        <v>36</v>
      </c>
      <c r="R7809" s="3" t="s">
        <v>36</v>
      </c>
      <c r="S7809" s="3" t="s">
        <v>36</v>
      </c>
      <c r="T7809" s="3" t="s">
        <v>31732</v>
      </c>
      <c r="U7809" s="3" t="s">
        <v>85</v>
      </c>
      <c r="V7809" s="3" t="s">
        <v>64</v>
      </c>
      <c r="W7809" s="3" t="s">
        <v>34362</v>
      </c>
      <c r="X7809" s="10" t="s">
        <v>5661</v>
      </c>
      <c r="Y7809" s="6" t="s">
        <v>42</v>
      </c>
      <c r="Z7809" s="4" t="s">
        <v>36</v>
      </c>
      <c r="AA7809" s="4" t="s">
        <v>36</v>
      </c>
      <c r="AB7809" s="3" t="s">
        <v>56</v>
      </c>
      <c r="AC7809" s="3" t="s">
        <v>34363</v>
      </c>
      <c r="AD7809" s="9">
        <v>41640</v>
      </c>
      <c r="AE7809" s="3" t="s">
        <v>89</v>
      </c>
      <c r="AF7809" s="3" t="s">
        <v>29190</v>
      </c>
      <c r="AG7809" s="3" t="s">
        <v>34364</v>
      </c>
      <c r="AH7809" s="11">
        <f>HYPERLINK("https://my.pitchbook.com?c=27787-51T","View Company Online")</f>
      </c>
    </row>
    <row r="7810">
      <c r="A7810" s="12" t="s">
        <v>34365</v>
      </c>
      <c r="B7810" s="12" t="s">
        <v>28062</v>
      </c>
      <c r="C7810" s="19" t="s">
        <v>36</v>
      </c>
      <c r="D7810" s="19" t="s">
        <v>36</v>
      </c>
      <c r="E7810" s="19" t="s">
        <v>36</v>
      </c>
      <c r="F7810" s="19" t="s">
        <v>36</v>
      </c>
      <c r="G7810" s="15" t="s">
        <v>36</v>
      </c>
      <c r="H7810" s="14" t="s">
        <v>36</v>
      </c>
      <c r="I7810" s="18" t="s">
        <v>36</v>
      </c>
      <c r="J7810" s="12" t="s">
        <v>36</v>
      </c>
      <c r="K7810" s="13" t="s">
        <v>36</v>
      </c>
      <c r="L7810" s="15" t="s">
        <v>36</v>
      </c>
      <c r="M7810" s="12" t="s">
        <v>36</v>
      </c>
      <c r="N7810" s="12" t="s">
        <v>36</v>
      </c>
      <c r="O7810" s="17" t="s">
        <v>36</v>
      </c>
      <c r="P7810" s="12" t="s">
        <v>36</v>
      </c>
      <c r="Q7810" s="12" t="s">
        <v>36</v>
      </c>
      <c r="R7810" s="12" t="s">
        <v>36</v>
      </c>
      <c r="S7810" s="12" t="s">
        <v>36</v>
      </c>
      <c r="T7810" s="12" t="s">
        <v>28063</v>
      </c>
      <c r="U7810" s="12" t="s">
        <v>74</v>
      </c>
      <c r="V7810" s="12" t="s">
        <v>75</v>
      </c>
      <c r="W7810" s="12" t="s">
        <v>28064</v>
      </c>
      <c r="X7810" s="16" t="s">
        <v>34366</v>
      </c>
      <c r="Y7810" s="15" t="s">
        <v>42</v>
      </c>
      <c r="Z7810" s="14" t="s">
        <v>36</v>
      </c>
      <c r="AA7810" s="14" t="s">
        <v>36</v>
      </c>
      <c r="AB7810" s="12" t="s">
        <v>43</v>
      </c>
      <c r="AC7810" s="12" t="s">
        <v>28066</v>
      </c>
      <c r="AD7810" s="13">
        <v>41640</v>
      </c>
      <c r="AE7810" s="12" t="s">
        <v>975</v>
      </c>
      <c r="AF7810" s="12" t="s">
        <v>36</v>
      </c>
      <c r="AG7810" s="12" t="s">
        <v>47</v>
      </c>
      <c r="AH7810" s="1">
        <f>HYPERLINK("https://my.pitchbook.com?c=101504-62T","View Company Online")</f>
      </c>
    </row>
    <row r="7811">
      <c r="A7811" s="3" t="s">
        <v>34367</v>
      </c>
      <c r="B7811" s="3" t="s">
        <v>34368</v>
      </c>
      <c r="C7811" s="5" t="s">
        <v>36</v>
      </c>
      <c r="D7811" s="5" t="s">
        <v>36</v>
      </c>
      <c r="E7811" s="5" t="s">
        <v>36</v>
      </c>
      <c r="F7811" s="5" t="s">
        <v>36</v>
      </c>
      <c r="G7811" s="6" t="s">
        <v>36</v>
      </c>
      <c r="H7811" s="4" t="s">
        <v>36</v>
      </c>
      <c r="I7811" s="7" t="s">
        <v>36</v>
      </c>
      <c r="J7811" s="3" t="s">
        <v>36</v>
      </c>
      <c r="K7811" s="9" t="s">
        <v>36</v>
      </c>
      <c r="L7811" s="6" t="s">
        <v>36</v>
      </c>
      <c r="M7811" s="3" t="s">
        <v>36</v>
      </c>
      <c r="N7811" s="3" t="s">
        <v>36</v>
      </c>
      <c r="O7811" s="8" t="s">
        <v>36</v>
      </c>
      <c r="P7811" s="3" t="s">
        <v>36</v>
      </c>
      <c r="Q7811" s="3" t="s">
        <v>36</v>
      </c>
      <c r="R7811" s="3" t="s">
        <v>36</v>
      </c>
      <c r="S7811" s="3" t="s">
        <v>36</v>
      </c>
      <c r="T7811" s="3" t="s">
        <v>34369</v>
      </c>
      <c r="U7811" s="3" t="s">
        <v>648</v>
      </c>
      <c r="V7811" s="3" t="s">
        <v>64</v>
      </c>
      <c r="W7811" s="3" t="s">
        <v>34370</v>
      </c>
      <c r="X7811" s="10" t="s">
        <v>5661</v>
      </c>
      <c r="Y7811" s="6" t="s">
        <v>42</v>
      </c>
      <c r="Z7811" s="4" t="s">
        <v>36</v>
      </c>
      <c r="AA7811" s="4" t="s">
        <v>36</v>
      </c>
      <c r="AB7811" s="3" t="s">
        <v>43</v>
      </c>
      <c r="AC7811" s="3" t="s">
        <v>34371</v>
      </c>
      <c r="AD7811" s="9">
        <v>41640</v>
      </c>
      <c r="AE7811" s="3" t="s">
        <v>651</v>
      </c>
      <c r="AF7811" s="3" t="s">
        <v>1636</v>
      </c>
      <c r="AG7811" s="3" t="s">
        <v>34372</v>
      </c>
      <c r="AH7811" s="11">
        <f>HYPERLINK("https://my.pitchbook.com?c=27787-60T","View Company Online")</f>
      </c>
    </row>
    <row r="7812">
      <c r="A7812" s="12" t="s">
        <v>34373</v>
      </c>
      <c r="B7812" s="12" t="s">
        <v>34374</v>
      </c>
      <c r="C7812" s="19" t="s">
        <v>36</v>
      </c>
      <c r="D7812" s="19" t="s">
        <v>36</v>
      </c>
      <c r="E7812" s="19" t="s">
        <v>36</v>
      </c>
      <c r="F7812" s="19" t="s">
        <v>36</v>
      </c>
      <c r="G7812" s="15" t="s">
        <v>36</v>
      </c>
      <c r="H7812" s="14" t="s">
        <v>36</v>
      </c>
      <c r="I7812" s="18" t="s">
        <v>36</v>
      </c>
      <c r="J7812" s="12" t="s">
        <v>36</v>
      </c>
      <c r="K7812" s="13" t="s">
        <v>36</v>
      </c>
      <c r="L7812" s="15" t="s">
        <v>36</v>
      </c>
      <c r="M7812" s="12" t="s">
        <v>36</v>
      </c>
      <c r="N7812" s="12" t="s">
        <v>36</v>
      </c>
      <c r="O7812" s="17" t="s">
        <v>36</v>
      </c>
      <c r="P7812" s="12" t="s">
        <v>36</v>
      </c>
      <c r="Q7812" s="12" t="s">
        <v>36</v>
      </c>
      <c r="R7812" s="12" t="s">
        <v>36</v>
      </c>
      <c r="S7812" s="12" t="s">
        <v>36</v>
      </c>
      <c r="T7812" s="12" t="s">
        <v>34375</v>
      </c>
      <c r="U7812" s="12" t="s">
        <v>38</v>
      </c>
      <c r="V7812" s="12" t="s">
        <v>39</v>
      </c>
      <c r="W7812" s="12" t="s">
        <v>34376</v>
      </c>
      <c r="X7812" s="16" t="s">
        <v>34126</v>
      </c>
      <c r="Y7812" s="15" t="s">
        <v>42</v>
      </c>
      <c r="Z7812" s="14" t="s">
        <v>36</v>
      </c>
      <c r="AA7812" s="14" t="s">
        <v>36</v>
      </c>
      <c r="AB7812" s="12" t="s">
        <v>43</v>
      </c>
      <c r="AC7812" s="12" t="s">
        <v>34377</v>
      </c>
      <c r="AD7812" s="13">
        <v>41640</v>
      </c>
      <c r="AE7812" s="12" t="s">
        <v>110</v>
      </c>
      <c r="AF7812" s="12" t="s">
        <v>25016</v>
      </c>
      <c r="AG7812" s="12" t="s">
        <v>34378</v>
      </c>
      <c r="AH7812" s="1">
        <f>HYPERLINK("https://my.pitchbook.com?c=27222-31T","View Company Online")</f>
      </c>
    </row>
    <row r="7813">
      <c r="A7813" s="3" t="s">
        <v>34379</v>
      </c>
      <c r="B7813" s="3" t="s">
        <v>34380</v>
      </c>
      <c r="C7813" s="5">
        <v>1</v>
      </c>
      <c r="D7813" s="5">
        <v>2</v>
      </c>
      <c r="E7813" s="5">
        <v>3</v>
      </c>
      <c r="F7813" s="5">
        <v>5</v>
      </c>
      <c r="G7813" s="6" t="s">
        <v>36</v>
      </c>
      <c r="H7813" s="4" t="s">
        <v>36</v>
      </c>
      <c r="I7813" s="7" t="s">
        <v>36</v>
      </c>
      <c r="J7813" s="3" t="s">
        <v>36</v>
      </c>
      <c r="K7813" s="9" t="s">
        <v>36</v>
      </c>
      <c r="L7813" s="6" t="s">
        <v>36</v>
      </c>
      <c r="M7813" s="3" t="s">
        <v>36</v>
      </c>
      <c r="N7813" s="3" t="s">
        <v>36</v>
      </c>
      <c r="O7813" s="8" t="s">
        <v>36</v>
      </c>
      <c r="P7813" s="3" t="s">
        <v>36</v>
      </c>
      <c r="Q7813" s="3" t="s">
        <v>36</v>
      </c>
      <c r="R7813" s="3" t="s">
        <v>36</v>
      </c>
      <c r="S7813" s="3" t="s">
        <v>36</v>
      </c>
      <c r="T7813" s="3" t="s">
        <v>7815</v>
      </c>
      <c r="U7813" s="3" t="s">
        <v>219</v>
      </c>
      <c r="V7813" s="3" t="s">
        <v>75</v>
      </c>
      <c r="W7813" s="3" t="s">
        <v>34381</v>
      </c>
      <c r="X7813" s="10" t="s">
        <v>34352</v>
      </c>
      <c r="Y7813" s="6" t="s">
        <v>42</v>
      </c>
      <c r="Z7813" s="4" t="s">
        <v>36</v>
      </c>
      <c r="AA7813" s="4" t="s">
        <v>36</v>
      </c>
      <c r="AB7813" s="3" t="s">
        <v>43</v>
      </c>
      <c r="AC7813" s="3" t="s">
        <v>34382</v>
      </c>
      <c r="AD7813" s="9">
        <v>41640</v>
      </c>
      <c r="AE7813" s="3" t="s">
        <v>7093</v>
      </c>
      <c r="AF7813" s="3" t="s">
        <v>546</v>
      </c>
      <c r="AG7813" s="3" t="s">
        <v>34383</v>
      </c>
      <c r="AH7813" s="11">
        <f>HYPERLINK("https://my.pitchbook.com?c=27548-83T","View Company Online")</f>
      </c>
    </row>
    <row r="7814">
      <c r="A7814" s="12" t="s">
        <v>34384</v>
      </c>
      <c r="B7814" s="12" t="s">
        <v>34385</v>
      </c>
      <c r="C7814" s="19">
        <v>2</v>
      </c>
      <c r="D7814" s="19" t="s">
        <v>36</v>
      </c>
      <c r="E7814" s="19">
        <v>3</v>
      </c>
      <c r="F7814" s="19">
        <v>3</v>
      </c>
      <c r="G7814" s="15" t="s">
        <v>36</v>
      </c>
      <c r="H7814" s="14" t="s">
        <v>36</v>
      </c>
      <c r="I7814" s="18" t="s">
        <v>36</v>
      </c>
      <c r="J7814" s="12" t="s">
        <v>36</v>
      </c>
      <c r="K7814" s="13" t="s">
        <v>36</v>
      </c>
      <c r="L7814" s="15" t="s">
        <v>36</v>
      </c>
      <c r="M7814" s="12" t="s">
        <v>36</v>
      </c>
      <c r="N7814" s="12" t="s">
        <v>36</v>
      </c>
      <c r="O7814" s="17" t="s">
        <v>36</v>
      </c>
      <c r="P7814" s="12" t="s">
        <v>36</v>
      </c>
      <c r="Q7814" s="12" t="s">
        <v>36</v>
      </c>
      <c r="R7814" s="12" t="s">
        <v>36</v>
      </c>
      <c r="S7814" s="12" t="s">
        <v>36</v>
      </c>
      <c r="T7814" s="12" t="s">
        <v>34386</v>
      </c>
      <c r="U7814" s="12" t="s">
        <v>648</v>
      </c>
      <c r="V7814" s="12" t="s">
        <v>64</v>
      </c>
      <c r="W7814" s="12" t="s">
        <v>220</v>
      </c>
      <c r="X7814" s="16" t="s">
        <v>5661</v>
      </c>
      <c r="Y7814" s="15" t="s">
        <v>42</v>
      </c>
      <c r="Z7814" s="14" t="s">
        <v>36</v>
      </c>
      <c r="AA7814" s="14" t="s">
        <v>36</v>
      </c>
      <c r="AB7814" s="12" t="s">
        <v>43</v>
      </c>
      <c r="AC7814" s="12" t="s">
        <v>34387</v>
      </c>
      <c r="AD7814" s="13">
        <v>41640</v>
      </c>
      <c r="AE7814" s="12" t="s">
        <v>651</v>
      </c>
      <c r="AF7814" s="12" t="s">
        <v>36</v>
      </c>
      <c r="AG7814" s="12" t="s">
        <v>1823</v>
      </c>
      <c r="AH7814" s="1">
        <f>HYPERLINK("https://my.pitchbook.com?c=27788-68T","View Company Online")</f>
      </c>
    </row>
    <row r="7815">
      <c r="A7815" s="3" t="s">
        <v>34388</v>
      </c>
      <c r="B7815" s="3" t="s">
        <v>29453</v>
      </c>
      <c r="C7815" s="5" t="s">
        <v>36</v>
      </c>
      <c r="D7815" s="5" t="s">
        <v>36</v>
      </c>
      <c r="E7815" s="5" t="s">
        <v>36</v>
      </c>
      <c r="F7815" s="5" t="s">
        <v>36</v>
      </c>
      <c r="G7815" s="6" t="s">
        <v>36</v>
      </c>
      <c r="H7815" s="4">
        <v>1544.34</v>
      </c>
      <c r="I7815" s="7">
        <v>34.98</v>
      </c>
      <c r="J7815" s="3" t="s">
        <v>327</v>
      </c>
      <c r="K7815" s="9" t="s">
        <v>36</v>
      </c>
      <c r="L7815" s="6" t="s">
        <v>36</v>
      </c>
      <c r="M7815" s="3" t="s">
        <v>36</v>
      </c>
      <c r="N7815" s="3" t="s">
        <v>36</v>
      </c>
      <c r="O7815" s="8" t="s">
        <v>36</v>
      </c>
      <c r="P7815" s="3" t="s">
        <v>36</v>
      </c>
      <c r="Q7815" s="3" t="s">
        <v>36</v>
      </c>
      <c r="R7815" s="3" t="s">
        <v>36</v>
      </c>
      <c r="S7815" s="3" t="s">
        <v>36</v>
      </c>
      <c r="T7815" s="3" t="s">
        <v>395</v>
      </c>
      <c r="U7815" s="3" t="s">
        <v>63</v>
      </c>
      <c r="V7815" s="3" t="s">
        <v>64</v>
      </c>
      <c r="W7815" s="3" t="s">
        <v>29454</v>
      </c>
      <c r="X7815" s="10" t="s">
        <v>11579</v>
      </c>
      <c r="Y7815" s="6" t="s">
        <v>42</v>
      </c>
      <c r="Z7815" s="4">
        <v>1.1</v>
      </c>
      <c r="AA7815" s="4">
        <v>3.14</v>
      </c>
      <c r="AB7815" s="3" t="s">
        <v>43</v>
      </c>
      <c r="AC7815" s="3" t="s">
        <v>29456</v>
      </c>
      <c r="AD7815" s="9">
        <v>41640</v>
      </c>
      <c r="AE7815" s="3" t="s">
        <v>399</v>
      </c>
      <c r="AF7815" s="3" t="s">
        <v>643</v>
      </c>
      <c r="AG7815" s="3" t="s">
        <v>81</v>
      </c>
      <c r="AH7815" s="11">
        <f>HYPERLINK("https://my.pitchbook.com?c=84833-74T","View Company Online")</f>
      </c>
    </row>
    <row r="7816">
      <c r="A7816" s="12" t="s">
        <v>34389</v>
      </c>
      <c r="B7816" s="12" t="s">
        <v>34390</v>
      </c>
      <c r="C7816" s="19" t="s">
        <v>36</v>
      </c>
      <c r="D7816" s="19" t="s">
        <v>36</v>
      </c>
      <c r="E7816" s="19" t="s">
        <v>36</v>
      </c>
      <c r="F7816" s="19" t="s">
        <v>36</v>
      </c>
      <c r="G7816" s="15" t="s">
        <v>36</v>
      </c>
      <c r="H7816" s="14" t="s">
        <v>36</v>
      </c>
      <c r="I7816" s="18" t="s">
        <v>36</v>
      </c>
      <c r="J7816" s="12" t="s">
        <v>36</v>
      </c>
      <c r="K7816" s="13" t="s">
        <v>36</v>
      </c>
      <c r="L7816" s="15" t="s">
        <v>36</v>
      </c>
      <c r="M7816" s="12" t="s">
        <v>36</v>
      </c>
      <c r="N7816" s="12" t="s">
        <v>36</v>
      </c>
      <c r="O7816" s="17" t="s">
        <v>36</v>
      </c>
      <c r="P7816" s="12" t="s">
        <v>36</v>
      </c>
      <c r="Q7816" s="12" t="s">
        <v>36</v>
      </c>
      <c r="R7816" s="12" t="s">
        <v>36</v>
      </c>
      <c r="S7816" s="12" t="s">
        <v>36</v>
      </c>
      <c r="T7816" s="12" t="s">
        <v>583</v>
      </c>
      <c r="U7816" s="12" t="s">
        <v>423</v>
      </c>
      <c r="V7816" s="12" t="s">
        <v>64</v>
      </c>
      <c r="W7816" s="12" t="s">
        <v>34391</v>
      </c>
      <c r="X7816" s="16" t="s">
        <v>5661</v>
      </c>
      <c r="Y7816" s="15" t="s">
        <v>42</v>
      </c>
      <c r="Z7816" s="14" t="s">
        <v>36</v>
      </c>
      <c r="AA7816" s="14" t="s">
        <v>36</v>
      </c>
      <c r="AB7816" s="12" t="s">
        <v>56</v>
      </c>
      <c r="AC7816" s="12" t="s">
        <v>34392</v>
      </c>
      <c r="AD7816" s="13">
        <v>41640</v>
      </c>
      <c r="AE7816" s="12" t="s">
        <v>562</v>
      </c>
      <c r="AF7816" s="12" t="s">
        <v>90</v>
      </c>
      <c r="AG7816" s="12" t="s">
        <v>644</v>
      </c>
      <c r="AH7816" s="1">
        <f>HYPERLINK("https://my.pitchbook.com?c=43971-94T","View Company Online")</f>
      </c>
    </row>
    <row r="7817">
      <c r="A7817" s="3" t="s">
        <v>34393</v>
      </c>
      <c r="B7817" s="3" t="s">
        <v>34394</v>
      </c>
      <c r="C7817" s="5" t="s">
        <v>36</v>
      </c>
      <c r="D7817" s="5" t="s">
        <v>36</v>
      </c>
      <c r="E7817" s="5" t="s">
        <v>36</v>
      </c>
      <c r="F7817" s="5" t="s">
        <v>36</v>
      </c>
      <c r="G7817" s="6" t="s">
        <v>36</v>
      </c>
      <c r="H7817" s="4" t="s">
        <v>36</v>
      </c>
      <c r="I7817" s="7" t="s">
        <v>36</v>
      </c>
      <c r="J7817" s="3" t="s">
        <v>36</v>
      </c>
      <c r="K7817" s="9" t="s">
        <v>36</v>
      </c>
      <c r="L7817" s="6" t="s">
        <v>36</v>
      </c>
      <c r="M7817" s="3" t="s">
        <v>36</v>
      </c>
      <c r="N7817" s="3" t="s">
        <v>36</v>
      </c>
      <c r="O7817" s="8" t="s">
        <v>36</v>
      </c>
      <c r="P7817" s="3" t="s">
        <v>36</v>
      </c>
      <c r="Q7817" s="3" t="s">
        <v>36</v>
      </c>
      <c r="R7817" s="3" t="s">
        <v>36</v>
      </c>
      <c r="S7817" s="3" t="s">
        <v>36</v>
      </c>
      <c r="T7817" s="3" t="s">
        <v>1884</v>
      </c>
      <c r="U7817" s="3" t="s">
        <v>74</v>
      </c>
      <c r="V7817" s="3" t="s">
        <v>75</v>
      </c>
      <c r="W7817" s="3" t="s">
        <v>34395</v>
      </c>
      <c r="X7817" s="10" t="s">
        <v>34396</v>
      </c>
      <c r="Y7817" s="6" t="s">
        <v>42</v>
      </c>
      <c r="Z7817" s="4">
        <v>0.41</v>
      </c>
      <c r="AA7817" s="4" t="s">
        <v>36</v>
      </c>
      <c r="AB7817" s="3" t="s">
        <v>56</v>
      </c>
      <c r="AC7817" s="3" t="s">
        <v>34397</v>
      </c>
      <c r="AD7817" s="9">
        <v>41640</v>
      </c>
      <c r="AE7817" s="3" t="s">
        <v>1888</v>
      </c>
      <c r="AF7817" s="3" t="s">
        <v>33288</v>
      </c>
      <c r="AG7817" s="3" t="s">
        <v>34398</v>
      </c>
      <c r="AH7817" s="11">
        <f>HYPERLINK("https://my.pitchbook.com?c=27554-50T","View Company Online")</f>
      </c>
    </row>
    <row r="7818">
      <c r="A7818" s="12" t="s">
        <v>34399</v>
      </c>
      <c r="B7818" s="12" t="s">
        <v>34400</v>
      </c>
      <c r="C7818" s="19" t="s">
        <v>36</v>
      </c>
      <c r="D7818" s="19" t="s">
        <v>36</v>
      </c>
      <c r="E7818" s="19" t="s">
        <v>36</v>
      </c>
      <c r="F7818" s="19" t="s">
        <v>36</v>
      </c>
      <c r="G7818" s="15" t="s">
        <v>36</v>
      </c>
      <c r="H7818" s="14" t="s">
        <v>36</v>
      </c>
      <c r="I7818" s="18" t="s">
        <v>36</v>
      </c>
      <c r="J7818" s="12" t="s">
        <v>36</v>
      </c>
      <c r="K7818" s="13" t="s">
        <v>36</v>
      </c>
      <c r="L7818" s="15" t="s">
        <v>36</v>
      </c>
      <c r="M7818" s="12" t="s">
        <v>36</v>
      </c>
      <c r="N7818" s="12" t="s">
        <v>36</v>
      </c>
      <c r="O7818" s="17" t="s">
        <v>36</v>
      </c>
      <c r="P7818" s="12" t="s">
        <v>36</v>
      </c>
      <c r="Q7818" s="12" t="s">
        <v>36</v>
      </c>
      <c r="R7818" s="12" t="s">
        <v>36</v>
      </c>
      <c r="S7818" s="12" t="s">
        <v>36</v>
      </c>
      <c r="T7818" s="12" t="s">
        <v>34401</v>
      </c>
      <c r="U7818" s="12" t="s">
        <v>833</v>
      </c>
      <c r="V7818" s="12" t="s">
        <v>64</v>
      </c>
      <c r="W7818" s="12" t="s">
        <v>34402</v>
      </c>
      <c r="X7818" s="16" t="s">
        <v>22004</v>
      </c>
      <c r="Y7818" s="15" t="s">
        <v>42</v>
      </c>
      <c r="Z7818" s="14" t="s">
        <v>36</v>
      </c>
      <c r="AA7818" s="14" t="s">
        <v>36</v>
      </c>
      <c r="AB7818" s="12" t="s">
        <v>43</v>
      </c>
      <c r="AC7818" s="12" t="s">
        <v>34403</v>
      </c>
      <c r="AD7818" s="13">
        <v>41640</v>
      </c>
      <c r="AE7818" s="12" t="s">
        <v>13403</v>
      </c>
      <c r="AF7818" s="12" t="s">
        <v>36</v>
      </c>
      <c r="AG7818" s="12" t="s">
        <v>81</v>
      </c>
      <c r="AH7818" s="1">
        <f>HYPERLINK("https://my.pitchbook.com?c=28628-29T","View Company Online")</f>
      </c>
    </row>
    <row r="7819">
      <c r="A7819" s="3" t="s">
        <v>34404</v>
      </c>
      <c r="B7819" s="3" t="s">
        <v>34405</v>
      </c>
      <c r="C7819" s="5" t="s">
        <v>36</v>
      </c>
      <c r="D7819" s="5" t="s">
        <v>36</v>
      </c>
      <c r="E7819" s="5" t="s">
        <v>36</v>
      </c>
      <c r="F7819" s="5" t="s">
        <v>36</v>
      </c>
      <c r="G7819" s="6" t="s">
        <v>36</v>
      </c>
      <c r="H7819" s="4" t="s">
        <v>36</v>
      </c>
      <c r="I7819" s="7" t="s">
        <v>36</v>
      </c>
      <c r="J7819" s="3" t="s">
        <v>36</v>
      </c>
      <c r="K7819" s="9" t="s">
        <v>36</v>
      </c>
      <c r="L7819" s="6" t="s">
        <v>36</v>
      </c>
      <c r="M7819" s="3" t="s">
        <v>36</v>
      </c>
      <c r="N7819" s="3" t="s">
        <v>36</v>
      </c>
      <c r="O7819" s="8" t="s">
        <v>36</v>
      </c>
      <c r="P7819" s="3" t="s">
        <v>36</v>
      </c>
      <c r="Q7819" s="3" t="s">
        <v>36</v>
      </c>
      <c r="R7819" s="3" t="s">
        <v>36</v>
      </c>
      <c r="S7819" s="3" t="s">
        <v>36</v>
      </c>
      <c r="T7819" s="3" t="s">
        <v>34406</v>
      </c>
      <c r="U7819" s="3" t="s">
        <v>289</v>
      </c>
      <c r="V7819" s="3" t="s">
        <v>64</v>
      </c>
      <c r="W7819" s="3" t="s">
        <v>34407</v>
      </c>
      <c r="X7819" s="10" t="s">
        <v>34408</v>
      </c>
      <c r="Y7819" s="6" t="s">
        <v>42</v>
      </c>
      <c r="Z7819" s="4" t="s">
        <v>36</v>
      </c>
      <c r="AA7819" s="4" t="s">
        <v>36</v>
      </c>
      <c r="AB7819" s="3" t="s">
        <v>56</v>
      </c>
      <c r="AC7819" s="3" t="s">
        <v>34409</v>
      </c>
      <c r="AD7819" s="9">
        <v>41640</v>
      </c>
      <c r="AE7819" s="3" t="s">
        <v>292</v>
      </c>
      <c r="AF7819" s="3" t="s">
        <v>19161</v>
      </c>
      <c r="AG7819" s="3" t="s">
        <v>81</v>
      </c>
      <c r="AH7819" s="11">
        <f>HYPERLINK("https://my.pitchbook.com?c=49622-41T","View Company Online")</f>
      </c>
    </row>
    <row r="7820">
      <c r="A7820" s="12" t="s">
        <v>34410</v>
      </c>
      <c r="B7820" s="12" t="s">
        <v>34411</v>
      </c>
      <c r="C7820" s="19" t="s">
        <v>36</v>
      </c>
      <c r="D7820" s="19" t="s">
        <v>36</v>
      </c>
      <c r="E7820" s="19" t="s">
        <v>36</v>
      </c>
      <c r="F7820" s="19" t="s">
        <v>36</v>
      </c>
      <c r="G7820" s="15" t="s">
        <v>36</v>
      </c>
      <c r="H7820" s="14" t="s">
        <v>36</v>
      </c>
      <c r="I7820" s="18" t="s">
        <v>36</v>
      </c>
      <c r="J7820" s="12" t="s">
        <v>36</v>
      </c>
      <c r="K7820" s="13" t="s">
        <v>36</v>
      </c>
      <c r="L7820" s="15" t="s">
        <v>36</v>
      </c>
      <c r="M7820" s="12" t="s">
        <v>36</v>
      </c>
      <c r="N7820" s="12" t="s">
        <v>36</v>
      </c>
      <c r="O7820" s="17" t="s">
        <v>36</v>
      </c>
      <c r="P7820" s="12" t="s">
        <v>36</v>
      </c>
      <c r="Q7820" s="12" t="s">
        <v>36</v>
      </c>
      <c r="R7820" s="12" t="s">
        <v>36</v>
      </c>
      <c r="S7820" s="12" t="s">
        <v>36</v>
      </c>
      <c r="T7820" s="12" t="s">
        <v>34412</v>
      </c>
      <c r="U7820" s="12" t="s">
        <v>1502</v>
      </c>
      <c r="V7820" s="12" t="s">
        <v>75</v>
      </c>
      <c r="W7820" s="12" t="s">
        <v>34413</v>
      </c>
      <c r="X7820" s="16" t="s">
        <v>34352</v>
      </c>
      <c r="Y7820" s="15" t="s">
        <v>42</v>
      </c>
      <c r="Z7820" s="14" t="s">
        <v>36</v>
      </c>
      <c r="AA7820" s="14" t="s">
        <v>36</v>
      </c>
      <c r="AB7820" s="12" t="s">
        <v>43</v>
      </c>
      <c r="AC7820" s="12" t="s">
        <v>34414</v>
      </c>
      <c r="AD7820" s="13">
        <v>41640</v>
      </c>
      <c r="AE7820" s="12" t="s">
        <v>1822</v>
      </c>
      <c r="AF7820" s="12" t="s">
        <v>36</v>
      </c>
      <c r="AG7820" s="12" t="s">
        <v>419</v>
      </c>
      <c r="AH7820" s="1">
        <f>HYPERLINK("https://my.pitchbook.com?c=27577-81T","View Company Online")</f>
      </c>
    </row>
    <row r="7821">
      <c r="A7821" s="3" t="s">
        <v>34415</v>
      </c>
      <c r="B7821" s="3" t="s">
        <v>34416</v>
      </c>
      <c r="C7821" s="5" t="s">
        <v>36</v>
      </c>
      <c r="D7821" s="5" t="s">
        <v>36</v>
      </c>
      <c r="E7821" s="5" t="s">
        <v>36</v>
      </c>
      <c r="F7821" s="5" t="s">
        <v>36</v>
      </c>
      <c r="G7821" s="6" t="s">
        <v>36</v>
      </c>
      <c r="H7821" s="4" t="s">
        <v>36</v>
      </c>
      <c r="I7821" s="7" t="s">
        <v>36</v>
      </c>
      <c r="J7821" s="3" t="s">
        <v>36</v>
      </c>
      <c r="K7821" s="9" t="s">
        <v>36</v>
      </c>
      <c r="L7821" s="6" t="s">
        <v>36</v>
      </c>
      <c r="M7821" s="3" t="s">
        <v>36</v>
      </c>
      <c r="N7821" s="3" t="s">
        <v>36</v>
      </c>
      <c r="O7821" s="8" t="s">
        <v>36</v>
      </c>
      <c r="P7821" s="3" t="s">
        <v>36</v>
      </c>
      <c r="Q7821" s="3" t="s">
        <v>36</v>
      </c>
      <c r="R7821" s="3" t="s">
        <v>36</v>
      </c>
      <c r="S7821" s="3" t="s">
        <v>36</v>
      </c>
      <c r="T7821" s="3" t="s">
        <v>2811</v>
      </c>
      <c r="U7821" s="3" t="s">
        <v>219</v>
      </c>
      <c r="V7821" s="3" t="s">
        <v>75</v>
      </c>
      <c r="W7821" s="3" t="s">
        <v>34417</v>
      </c>
      <c r="X7821" s="10" t="s">
        <v>27377</v>
      </c>
      <c r="Y7821" s="6" t="s">
        <v>42</v>
      </c>
      <c r="Z7821" s="4" t="s">
        <v>36</v>
      </c>
      <c r="AA7821" s="4" t="s">
        <v>36</v>
      </c>
      <c r="AB7821" s="3" t="s">
        <v>56</v>
      </c>
      <c r="AC7821" s="3" t="s">
        <v>34418</v>
      </c>
      <c r="AD7821" s="9">
        <v>41640</v>
      </c>
      <c r="AE7821" s="3" t="s">
        <v>223</v>
      </c>
      <c r="AF7821" s="3" t="s">
        <v>8789</v>
      </c>
      <c r="AG7821" s="3" t="s">
        <v>24593</v>
      </c>
      <c r="AH7821" s="11">
        <f>HYPERLINK("https://my.pitchbook.com?c=199043-11T","View Company Online")</f>
      </c>
    </row>
    <row r="7822">
      <c r="A7822" s="12" t="s">
        <v>34419</v>
      </c>
      <c r="B7822" s="12" t="s">
        <v>32065</v>
      </c>
      <c r="C7822" s="19" t="s">
        <v>36</v>
      </c>
      <c r="D7822" s="19" t="s">
        <v>36</v>
      </c>
      <c r="E7822" s="19" t="s">
        <v>36</v>
      </c>
      <c r="F7822" s="19" t="s">
        <v>36</v>
      </c>
      <c r="G7822" s="15" t="s">
        <v>36</v>
      </c>
      <c r="H7822" s="14" t="s">
        <v>36</v>
      </c>
      <c r="I7822" s="18" t="s">
        <v>36</v>
      </c>
      <c r="J7822" s="12" t="s">
        <v>36</v>
      </c>
      <c r="K7822" s="13" t="s">
        <v>36</v>
      </c>
      <c r="L7822" s="15" t="s">
        <v>36</v>
      </c>
      <c r="M7822" s="12" t="s">
        <v>36</v>
      </c>
      <c r="N7822" s="12" t="s">
        <v>36</v>
      </c>
      <c r="O7822" s="17" t="s">
        <v>36</v>
      </c>
      <c r="P7822" s="12" t="s">
        <v>36</v>
      </c>
      <c r="Q7822" s="12" t="s">
        <v>36</v>
      </c>
      <c r="R7822" s="12" t="s">
        <v>36</v>
      </c>
      <c r="S7822" s="12" t="s">
        <v>36</v>
      </c>
      <c r="T7822" s="12" t="s">
        <v>1941</v>
      </c>
      <c r="U7822" s="12" t="s">
        <v>38</v>
      </c>
      <c r="V7822" s="12" t="s">
        <v>39</v>
      </c>
      <c r="W7822" s="12" t="s">
        <v>32066</v>
      </c>
      <c r="X7822" s="16" t="s">
        <v>32975</v>
      </c>
      <c r="Y7822" s="15" t="s">
        <v>42</v>
      </c>
      <c r="Z7822" s="14" t="s">
        <v>36</v>
      </c>
      <c r="AA7822" s="14" t="s">
        <v>36</v>
      </c>
      <c r="AB7822" s="12" t="s">
        <v>43</v>
      </c>
      <c r="AC7822" s="12" t="s">
        <v>32067</v>
      </c>
      <c r="AD7822" s="13">
        <v>41640</v>
      </c>
      <c r="AE7822" s="12" t="s">
        <v>1945</v>
      </c>
      <c r="AF7822" s="12" t="s">
        <v>331</v>
      </c>
      <c r="AG7822" s="12" t="s">
        <v>81</v>
      </c>
      <c r="AH7822" s="1">
        <f>HYPERLINK("https://my.pitchbook.com?c=214605-37T","View Company Online")</f>
      </c>
    </row>
    <row r="7823">
      <c r="A7823" s="3" t="s">
        <v>34420</v>
      </c>
      <c r="B7823" s="3" t="s">
        <v>34421</v>
      </c>
      <c r="C7823" s="5" t="s">
        <v>36</v>
      </c>
      <c r="D7823" s="5" t="s">
        <v>36</v>
      </c>
      <c r="E7823" s="5" t="s">
        <v>36</v>
      </c>
      <c r="F7823" s="5" t="s">
        <v>36</v>
      </c>
      <c r="G7823" s="6" t="s">
        <v>36</v>
      </c>
      <c r="H7823" s="4" t="s">
        <v>36</v>
      </c>
      <c r="I7823" s="7" t="s">
        <v>36</v>
      </c>
      <c r="J7823" s="3" t="s">
        <v>36</v>
      </c>
      <c r="K7823" s="9" t="s">
        <v>36</v>
      </c>
      <c r="L7823" s="6" t="s">
        <v>36</v>
      </c>
      <c r="M7823" s="3" t="s">
        <v>36</v>
      </c>
      <c r="N7823" s="3" t="s">
        <v>36</v>
      </c>
      <c r="O7823" s="8" t="s">
        <v>36</v>
      </c>
      <c r="P7823" s="3" t="s">
        <v>36</v>
      </c>
      <c r="Q7823" s="3" t="s">
        <v>36</v>
      </c>
      <c r="R7823" s="3" t="s">
        <v>36</v>
      </c>
      <c r="S7823" s="3" t="s">
        <v>36</v>
      </c>
      <c r="T7823" s="3" t="s">
        <v>1397</v>
      </c>
      <c r="U7823" s="3" t="s">
        <v>38</v>
      </c>
      <c r="V7823" s="3" t="s">
        <v>39</v>
      </c>
      <c r="W7823" s="3" t="s">
        <v>34422</v>
      </c>
      <c r="X7823" s="10" t="s">
        <v>34423</v>
      </c>
      <c r="Y7823" s="6" t="s">
        <v>108</v>
      </c>
      <c r="Z7823" s="4" t="s">
        <v>36</v>
      </c>
      <c r="AA7823" s="4" t="s">
        <v>36</v>
      </c>
      <c r="AB7823" s="3" t="s">
        <v>56</v>
      </c>
      <c r="AC7823" s="3" t="s">
        <v>34424</v>
      </c>
      <c r="AD7823" s="9">
        <v>41640</v>
      </c>
      <c r="AE7823" s="3" t="s">
        <v>110</v>
      </c>
      <c r="AF7823" s="3" t="s">
        <v>1636</v>
      </c>
      <c r="AG7823" s="3" t="s">
        <v>81</v>
      </c>
      <c r="AH7823" s="11">
        <f>HYPERLINK("https://my.pitchbook.com?c=40726-18T","View Company Online")</f>
      </c>
    </row>
    <row r="7824">
      <c r="A7824" s="12" t="s">
        <v>34425</v>
      </c>
      <c r="B7824" s="12" t="s">
        <v>34426</v>
      </c>
      <c r="C7824" s="19" t="s">
        <v>36</v>
      </c>
      <c r="D7824" s="19" t="s">
        <v>36</v>
      </c>
      <c r="E7824" s="19" t="s">
        <v>36</v>
      </c>
      <c r="F7824" s="19" t="s">
        <v>36</v>
      </c>
      <c r="G7824" s="15" t="s">
        <v>36</v>
      </c>
      <c r="H7824" s="14" t="s">
        <v>36</v>
      </c>
      <c r="I7824" s="18" t="s">
        <v>36</v>
      </c>
      <c r="J7824" s="12" t="s">
        <v>36</v>
      </c>
      <c r="K7824" s="13" t="s">
        <v>36</v>
      </c>
      <c r="L7824" s="15" t="s">
        <v>36</v>
      </c>
      <c r="M7824" s="12" t="s">
        <v>36</v>
      </c>
      <c r="N7824" s="12" t="s">
        <v>36</v>
      </c>
      <c r="O7824" s="17" t="s">
        <v>36</v>
      </c>
      <c r="P7824" s="12" t="s">
        <v>36</v>
      </c>
      <c r="Q7824" s="12" t="s">
        <v>36</v>
      </c>
      <c r="R7824" s="12" t="s">
        <v>36</v>
      </c>
      <c r="S7824" s="12" t="s">
        <v>36</v>
      </c>
      <c r="T7824" s="12" t="s">
        <v>10629</v>
      </c>
      <c r="U7824" s="12" t="s">
        <v>728</v>
      </c>
      <c r="V7824" s="12" t="s">
        <v>64</v>
      </c>
      <c r="W7824" s="12" t="s">
        <v>34427</v>
      </c>
      <c r="X7824" s="16" t="s">
        <v>5661</v>
      </c>
      <c r="Y7824" s="15" t="s">
        <v>42</v>
      </c>
      <c r="Z7824" s="14" t="s">
        <v>36</v>
      </c>
      <c r="AA7824" s="14" t="s">
        <v>36</v>
      </c>
      <c r="AB7824" s="12" t="s">
        <v>56</v>
      </c>
      <c r="AC7824" s="12" t="s">
        <v>34428</v>
      </c>
      <c r="AD7824" s="13">
        <v>41640</v>
      </c>
      <c r="AE7824" s="12" t="s">
        <v>732</v>
      </c>
      <c r="AF7824" s="12" t="s">
        <v>90</v>
      </c>
      <c r="AG7824" s="12" t="s">
        <v>34429</v>
      </c>
      <c r="AH7824" s="1">
        <f>HYPERLINK("https://my.pitchbook.com?c=27803-71T","View Company Online")</f>
      </c>
    </row>
    <row r="7825">
      <c r="A7825" s="3" t="s">
        <v>34430</v>
      </c>
      <c r="B7825" s="3" t="s">
        <v>34431</v>
      </c>
      <c r="C7825" s="5" t="s">
        <v>36</v>
      </c>
      <c r="D7825" s="5" t="s">
        <v>36</v>
      </c>
      <c r="E7825" s="5" t="s">
        <v>36</v>
      </c>
      <c r="F7825" s="5" t="s">
        <v>36</v>
      </c>
      <c r="G7825" s="6" t="s">
        <v>36</v>
      </c>
      <c r="H7825" s="4" t="s">
        <v>36</v>
      </c>
      <c r="I7825" s="7" t="s">
        <v>36</v>
      </c>
      <c r="J7825" s="3" t="s">
        <v>36</v>
      </c>
      <c r="K7825" s="9" t="s">
        <v>36</v>
      </c>
      <c r="L7825" s="6" t="s">
        <v>36</v>
      </c>
      <c r="M7825" s="3" t="s">
        <v>36</v>
      </c>
      <c r="N7825" s="3" t="s">
        <v>36</v>
      </c>
      <c r="O7825" s="8" t="s">
        <v>36</v>
      </c>
      <c r="P7825" s="3" t="s">
        <v>36</v>
      </c>
      <c r="Q7825" s="3" t="s">
        <v>36</v>
      </c>
      <c r="R7825" s="3" t="s">
        <v>36</v>
      </c>
      <c r="S7825" s="3" t="s">
        <v>36</v>
      </c>
      <c r="T7825" s="3" t="s">
        <v>550</v>
      </c>
      <c r="U7825" s="3" t="s">
        <v>38</v>
      </c>
      <c r="V7825" s="3" t="s">
        <v>39</v>
      </c>
      <c r="W7825" s="3" t="s">
        <v>34432</v>
      </c>
      <c r="X7825" s="10" t="s">
        <v>34433</v>
      </c>
      <c r="Y7825" s="6" t="s">
        <v>42</v>
      </c>
      <c r="Z7825" s="4" t="s">
        <v>36</v>
      </c>
      <c r="AA7825" s="4" t="s">
        <v>36</v>
      </c>
      <c r="AB7825" s="3" t="s">
        <v>7220</v>
      </c>
      <c r="AC7825" s="3" t="s">
        <v>34434</v>
      </c>
      <c r="AD7825" s="9">
        <v>41640</v>
      </c>
      <c r="AE7825" s="3" t="s">
        <v>554</v>
      </c>
      <c r="AF7825" s="3" t="s">
        <v>28043</v>
      </c>
      <c r="AG7825" s="3" t="s">
        <v>47</v>
      </c>
      <c r="AH7825" s="11">
        <f>HYPERLINK("https://my.pitchbook.com?c=71675-92T","View Company Online")</f>
      </c>
    </row>
    <row r="7826">
      <c r="A7826" s="12" t="s">
        <v>34435</v>
      </c>
      <c r="B7826" s="12" t="s">
        <v>16431</v>
      </c>
      <c r="C7826" s="19" t="s">
        <v>36</v>
      </c>
      <c r="D7826" s="19">
        <v>20</v>
      </c>
      <c r="E7826" s="19">
        <v>5</v>
      </c>
      <c r="F7826" s="19">
        <v>24</v>
      </c>
      <c r="G7826" s="15" t="s">
        <v>36</v>
      </c>
      <c r="H7826" s="14" t="s">
        <v>36</v>
      </c>
      <c r="I7826" s="18">
        <v>15</v>
      </c>
      <c r="J7826" s="12" t="s">
        <v>36</v>
      </c>
      <c r="K7826" s="13" t="s">
        <v>36</v>
      </c>
      <c r="L7826" s="15" t="s">
        <v>36</v>
      </c>
      <c r="M7826" s="12" t="s">
        <v>36</v>
      </c>
      <c r="N7826" s="12" t="s">
        <v>36</v>
      </c>
      <c r="O7826" s="17" t="s">
        <v>36</v>
      </c>
      <c r="P7826" s="12" t="s">
        <v>36</v>
      </c>
      <c r="Q7826" s="12" t="s">
        <v>36</v>
      </c>
      <c r="R7826" s="12" t="s">
        <v>36</v>
      </c>
      <c r="S7826" s="12" t="s">
        <v>36</v>
      </c>
      <c r="T7826" s="12" t="s">
        <v>9198</v>
      </c>
      <c r="U7826" s="12" t="s">
        <v>318</v>
      </c>
      <c r="V7826" s="12" t="s">
        <v>39</v>
      </c>
      <c r="W7826" s="12" t="s">
        <v>16432</v>
      </c>
      <c r="X7826" s="16" t="s">
        <v>34436</v>
      </c>
      <c r="Y7826" s="15" t="s">
        <v>42</v>
      </c>
      <c r="Z7826" s="14" t="s">
        <v>36</v>
      </c>
      <c r="AA7826" s="14" t="s">
        <v>36</v>
      </c>
      <c r="AB7826" s="12" t="s">
        <v>43</v>
      </c>
      <c r="AC7826" s="12" t="s">
        <v>16434</v>
      </c>
      <c r="AD7826" s="13">
        <v>41640</v>
      </c>
      <c r="AE7826" s="12" t="s">
        <v>417</v>
      </c>
      <c r="AF7826" s="12" t="s">
        <v>12607</v>
      </c>
      <c r="AG7826" s="12" t="s">
        <v>11767</v>
      </c>
      <c r="AH7826" s="1">
        <f>HYPERLINK("https://my.pitchbook.com?c=85515-31T","View Company Online")</f>
      </c>
    </row>
    <row r="7827">
      <c r="A7827" s="3" t="s">
        <v>34437</v>
      </c>
      <c r="B7827" s="3" t="s">
        <v>34438</v>
      </c>
      <c r="C7827" s="5" t="s">
        <v>36</v>
      </c>
      <c r="D7827" s="5">
        <v>3</v>
      </c>
      <c r="E7827" s="5">
        <v>1</v>
      </c>
      <c r="F7827" s="5">
        <v>4</v>
      </c>
      <c r="G7827" s="6" t="s">
        <v>36</v>
      </c>
      <c r="H7827" s="4" t="s">
        <v>36</v>
      </c>
      <c r="I7827" s="7" t="s">
        <v>36</v>
      </c>
      <c r="J7827" s="3" t="s">
        <v>36</v>
      </c>
      <c r="K7827" s="9" t="s">
        <v>36</v>
      </c>
      <c r="L7827" s="6" t="s">
        <v>36</v>
      </c>
      <c r="M7827" s="3" t="s">
        <v>36</v>
      </c>
      <c r="N7827" s="3" t="s">
        <v>36</v>
      </c>
      <c r="O7827" s="8" t="s">
        <v>36</v>
      </c>
      <c r="P7827" s="3" t="s">
        <v>36</v>
      </c>
      <c r="Q7827" s="3" t="s">
        <v>36</v>
      </c>
      <c r="R7827" s="3" t="s">
        <v>36</v>
      </c>
      <c r="S7827" s="3" t="s">
        <v>36</v>
      </c>
      <c r="T7827" s="3" t="s">
        <v>34439</v>
      </c>
      <c r="U7827" s="3" t="s">
        <v>833</v>
      </c>
      <c r="V7827" s="3" t="s">
        <v>64</v>
      </c>
      <c r="W7827" s="3" t="s">
        <v>34440</v>
      </c>
      <c r="X7827" s="10" t="s">
        <v>5661</v>
      </c>
      <c r="Y7827" s="6" t="s">
        <v>42</v>
      </c>
      <c r="Z7827" s="4" t="s">
        <v>36</v>
      </c>
      <c r="AA7827" s="4" t="s">
        <v>36</v>
      </c>
      <c r="AB7827" s="3" t="s">
        <v>56</v>
      </c>
      <c r="AC7827" s="3" t="s">
        <v>34441</v>
      </c>
      <c r="AD7827" s="9">
        <v>41640</v>
      </c>
      <c r="AE7827" s="3" t="s">
        <v>1687</v>
      </c>
      <c r="AF7827" s="3" t="s">
        <v>10379</v>
      </c>
      <c r="AG7827" s="3" t="s">
        <v>81</v>
      </c>
      <c r="AH7827" s="11">
        <f>HYPERLINK("https://my.pitchbook.com?c=27882-37T","View Company Online")</f>
      </c>
    </row>
    <row r="7828">
      <c r="A7828" s="12" t="s">
        <v>34442</v>
      </c>
      <c r="B7828" s="12" t="s">
        <v>34443</v>
      </c>
      <c r="C7828" s="19" t="s">
        <v>36</v>
      </c>
      <c r="D7828" s="19" t="s">
        <v>36</v>
      </c>
      <c r="E7828" s="19" t="s">
        <v>36</v>
      </c>
      <c r="F7828" s="19" t="s">
        <v>36</v>
      </c>
      <c r="G7828" s="15" t="s">
        <v>36</v>
      </c>
      <c r="H7828" s="14" t="s">
        <v>36</v>
      </c>
      <c r="I7828" s="18" t="s">
        <v>36</v>
      </c>
      <c r="J7828" s="12" t="s">
        <v>36</v>
      </c>
      <c r="K7828" s="13" t="s">
        <v>36</v>
      </c>
      <c r="L7828" s="15" t="s">
        <v>36</v>
      </c>
      <c r="M7828" s="12" t="s">
        <v>36</v>
      </c>
      <c r="N7828" s="12" t="s">
        <v>36</v>
      </c>
      <c r="O7828" s="17" t="s">
        <v>36</v>
      </c>
      <c r="P7828" s="12" t="s">
        <v>36</v>
      </c>
      <c r="Q7828" s="12" t="s">
        <v>36</v>
      </c>
      <c r="R7828" s="12" t="s">
        <v>36</v>
      </c>
      <c r="S7828" s="12" t="s">
        <v>36</v>
      </c>
      <c r="T7828" s="12" t="s">
        <v>1965</v>
      </c>
      <c r="U7828" s="12" t="s">
        <v>219</v>
      </c>
      <c r="V7828" s="12" t="s">
        <v>75</v>
      </c>
      <c r="W7828" s="12" t="s">
        <v>34444</v>
      </c>
      <c r="X7828" s="16" t="s">
        <v>34352</v>
      </c>
      <c r="Y7828" s="15" t="s">
        <v>42</v>
      </c>
      <c r="Z7828" s="14" t="s">
        <v>36</v>
      </c>
      <c r="AA7828" s="14" t="s">
        <v>36</v>
      </c>
      <c r="AB7828" s="12" t="s">
        <v>43</v>
      </c>
      <c r="AC7828" s="12" t="s">
        <v>34445</v>
      </c>
      <c r="AD7828" s="13">
        <v>41640</v>
      </c>
      <c r="AE7828" s="12" t="s">
        <v>1912</v>
      </c>
      <c r="AF7828" s="12" t="s">
        <v>546</v>
      </c>
      <c r="AG7828" s="12" t="s">
        <v>34446</v>
      </c>
      <c r="AH7828" s="1">
        <f>HYPERLINK("https://my.pitchbook.com?c=27590-68T","View Company Online")</f>
      </c>
    </row>
    <row r="7829">
      <c r="A7829" s="3" t="s">
        <v>34447</v>
      </c>
      <c r="B7829" s="3" t="s">
        <v>34448</v>
      </c>
      <c r="C7829" s="5" t="s">
        <v>36</v>
      </c>
      <c r="D7829" s="5" t="s">
        <v>36</v>
      </c>
      <c r="E7829" s="5" t="s">
        <v>36</v>
      </c>
      <c r="F7829" s="5" t="s">
        <v>36</v>
      </c>
      <c r="G7829" s="6" t="s">
        <v>36</v>
      </c>
      <c r="H7829" s="4" t="s">
        <v>36</v>
      </c>
      <c r="I7829" s="7" t="s">
        <v>36</v>
      </c>
      <c r="J7829" s="3" t="s">
        <v>36</v>
      </c>
      <c r="K7829" s="9" t="s">
        <v>36</v>
      </c>
      <c r="L7829" s="6" t="s">
        <v>36</v>
      </c>
      <c r="M7829" s="3" t="s">
        <v>36</v>
      </c>
      <c r="N7829" s="3" t="s">
        <v>36</v>
      </c>
      <c r="O7829" s="8" t="s">
        <v>36</v>
      </c>
      <c r="P7829" s="3" t="s">
        <v>36</v>
      </c>
      <c r="Q7829" s="3" t="s">
        <v>36</v>
      </c>
      <c r="R7829" s="3" t="s">
        <v>36</v>
      </c>
      <c r="S7829" s="3" t="s">
        <v>36</v>
      </c>
      <c r="T7829" s="3" t="s">
        <v>2213</v>
      </c>
      <c r="U7829" s="3" t="s">
        <v>219</v>
      </c>
      <c r="V7829" s="3" t="s">
        <v>75</v>
      </c>
      <c r="W7829" s="3" t="s">
        <v>34449</v>
      </c>
      <c r="X7829" s="10" t="s">
        <v>34352</v>
      </c>
      <c r="Y7829" s="6" t="s">
        <v>42</v>
      </c>
      <c r="Z7829" s="4">
        <v>0.41</v>
      </c>
      <c r="AA7829" s="4" t="s">
        <v>36</v>
      </c>
      <c r="AB7829" s="3" t="s">
        <v>43</v>
      </c>
      <c r="AC7829" s="3" t="s">
        <v>34450</v>
      </c>
      <c r="AD7829" s="9">
        <v>41640</v>
      </c>
      <c r="AE7829" s="3" t="s">
        <v>1912</v>
      </c>
      <c r="AF7829" s="3" t="s">
        <v>1969</v>
      </c>
      <c r="AG7829" s="3" t="s">
        <v>34451</v>
      </c>
      <c r="AH7829" s="11">
        <f>HYPERLINK("https://my.pitchbook.com?c=27591-94T","View Company Online")</f>
      </c>
    </row>
    <row r="7830">
      <c r="A7830" s="12" t="s">
        <v>34452</v>
      </c>
      <c r="B7830" s="12" t="s">
        <v>8693</v>
      </c>
      <c r="C7830" s="19" t="s">
        <v>36</v>
      </c>
      <c r="D7830" s="19" t="s">
        <v>36</v>
      </c>
      <c r="E7830" s="19" t="s">
        <v>36</v>
      </c>
      <c r="F7830" s="19" t="s">
        <v>36</v>
      </c>
      <c r="G7830" s="15" t="s">
        <v>36</v>
      </c>
      <c r="H7830" s="14" t="s">
        <v>36</v>
      </c>
      <c r="I7830" s="18" t="s">
        <v>36</v>
      </c>
      <c r="J7830" s="12" t="s">
        <v>36</v>
      </c>
      <c r="K7830" s="13" t="s">
        <v>36</v>
      </c>
      <c r="L7830" s="15" t="s">
        <v>36</v>
      </c>
      <c r="M7830" s="12" t="s">
        <v>36</v>
      </c>
      <c r="N7830" s="12" t="s">
        <v>36</v>
      </c>
      <c r="O7830" s="17" t="s">
        <v>36</v>
      </c>
      <c r="P7830" s="12" t="s">
        <v>36</v>
      </c>
      <c r="Q7830" s="12" t="s">
        <v>36</v>
      </c>
      <c r="R7830" s="12" t="s">
        <v>36</v>
      </c>
      <c r="S7830" s="12" t="s">
        <v>36</v>
      </c>
      <c r="T7830" s="12" t="s">
        <v>8694</v>
      </c>
      <c r="U7830" s="12" t="s">
        <v>279</v>
      </c>
      <c r="V7830" s="12" t="s">
        <v>64</v>
      </c>
      <c r="W7830" s="12" t="s">
        <v>8695</v>
      </c>
      <c r="X7830" s="16" t="s">
        <v>28566</v>
      </c>
      <c r="Y7830" s="15" t="s">
        <v>42</v>
      </c>
      <c r="Z7830" s="14" t="s">
        <v>36</v>
      </c>
      <c r="AA7830" s="14" t="s">
        <v>36</v>
      </c>
      <c r="AB7830" s="12" t="s">
        <v>43</v>
      </c>
      <c r="AC7830" s="12" t="s">
        <v>8697</v>
      </c>
      <c r="AD7830" s="13">
        <v>41640</v>
      </c>
      <c r="AE7830" s="12" t="s">
        <v>283</v>
      </c>
      <c r="AF7830" s="12" t="s">
        <v>90</v>
      </c>
      <c r="AG7830" s="12" t="s">
        <v>102</v>
      </c>
      <c r="AH7830" s="1">
        <f>HYPERLINK("https://my.pitchbook.com?c=198690-40T","View Company Online")</f>
      </c>
    </row>
    <row r="7831">
      <c r="A7831" s="3" t="s">
        <v>34453</v>
      </c>
      <c r="B7831" s="3" t="s">
        <v>34454</v>
      </c>
      <c r="C7831" s="5" t="s">
        <v>36</v>
      </c>
      <c r="D7831" s="5" t="s">
        <v>36</v>
      </c>
      <c r="E7831" s="5" t="s">
        <v>36</v>
      </c>
      <c r="F7831" s="5" t="s">
        <v>36</v>
      </c>
      <c r="G7831" s="6" t="s">
        <v>36</v>
      </c>
      <c r="H7831" s="4">
        <v>717.43</v>
      </c>
      <c r="I7831" s="7">
        <v>35.18</v>
      </c>
      <c r="J7831" s="3" t="s">
        <v>521</v>
      </c>
      <c r="K7831" s="9" t="s">
        <v>36</v>
      </c>
      <c r="L7831" s="6" t="s">
        <v>36</v>
      </c>
      <c r="M7831" s="3" t="s">
        <v>36</v>
      </c>
      <c r="N7831" s="3" t="s">
        <v>36</v>
      </c>
      <c r="O7831" s="8" t="s">
        <v>36</v>
      </c>
      <c r="P7831" s="3" t="s">
        <v>36</v>
      </c>
      <c r="Q7831" s="3" t="s">
        <v>36</v>
      </c>
      <c r="R7831" s="3" t="s">
        <v>36</v>
      </c>
      <c r="S7831" s="3" t="s">
        <v>36</v>
      </c>
      <c r="T7831" s="3" t="s">
        <v>1056</v>
      </c>
      <c r="U7831" s="3" t="s">
        <v>51</v>
      </c>
      <c r="V7831" s="3" t="s">
        <v>52</v>
      </c>
      <c r="W7831" s="3" t="s">
        <v>34455</v>
      </c>
      <c r="X7831" s="10" t="s">
        <v>14317</v>
      </c>
      <c r="Y7831" s="6" t="s">
        <v>42</v>
      </c>
      <c r="Z7831" s="4">
        <v>2.06</v>
      </c>
      <c r="AA7831" s="4">
        <v>5.85</v>
      </c>
      <c r="AB7831" s="3" t="s">
        <v>43</v>
      </c>
      <c r="AC7831" s="3" t="s">
        <v>34456</v>
      </c>
      <c r="AD7831" s="9">
        <v>41640</v>
      </c>
      <c r="AE7831" s="3" t="s">
        <v>1060</v>
      </c>
      <c r="AF7831" s="3" t="s">
        <v>159</v>
      </c>
      <c r="AG7831" s="3" t="s">
        <v>81</v>
      </c>
      <c r="AH7831" s="11">
        <f>HYPERLINK("https://my.pitchbook.com?c=52462-63T","View Company Online")</f>
      </c>
    </row>
    <row r="7832">
      <c r="A7832" s="12" t="s">
        <v>34457</v>
      </c>
      <c r="B7832" s="12" t="s">
        <v>34458</v>
      </c>
      <c r="C7832" s="19" t="s">
        <v>36</v>
      </c>
      <c r="D7832" s="19" t="s">
        <v>36</v>
      </c>
      <c r="E7832" s="19" t="s">
        <v>36</v>
      </c>
      <c r="F7832" s="19" t="s">
        <v>36</v>
      </c>
      <c r="G7832" s="15" t="s">
        <v>36</v>
      </c>
      <c r="H7832" s="14" t="s">
        <v>36</v>
      </c>
      <c r="I7832" s="18" t="s">
        <v>36</v>
      </c>
      <c r="J7832" s="12" t="s">
        <v>36</v>
      </c>
      <c r="K7832" s="13" t="s">
        <v>36</v>
      </c>
      <c r="L7832" s="15" t="s">
        <v>36</v>
      </c>
      <c r="M7832" s="12" t="s">
        <v>36</v>
      </c>
      <c r="N7832" s="12" t="s">
        <v>36</v>
      </c>
      <c r="O7832" s="17" t="s">
        <v>36</v>
      </c>
      <c r="P7832" s="12" t="s">
        <v>36</v>
      </c>
      <c r="Q7832" s="12" t="s">
        <v>36</v>
      </c>
      <c r="R7832" s="12" t="s">
        <v>36</v>
      </c>
      <c r="S7832" s="12" t="s">
        <v>36</v>
      </c>
      <c r="T7832" s="12" t="s">
        <v>3611</v>
      </c>
      <c r="U7832" s="12" t="s">
        <v>833</v>
      </c>
      <c r="V7832" s="12" t="s">
        <v>64</v>
      </c>
      <c r="W7832" s="12" t="s">
        <v>34459</v>
      </c>
      <c r="X7832" s="16" t="s">
        <v>5661</v>
      </c>
      <c r="Y7832" s="15" t="s">
        <v>42</v>
      </c>
      <c r="Z7832" s="14" t="s">
        <v>36</v>
      </c>
      <c r="AA7832" s="14" t="s">
        <v>36</v>
      </c>
      <c r="AB7832" s="12" t="s">
        <v>56</v>
      </c>
      <c r="AC7832" s="12" t="s">
        <v>34460</v>
      </c>
      <c r="AD7832" s="13">
        <v>41640</v>
      </c>
      <c r="AE7832" s="12" t="s">
        <v>3615</v>
      </c>
      <c r="AF7832" s="12" t="s">
        <v>571</v>
      </c>
      <c r="AG7832" s="12" t="s">
        <v>8939</v>
      </c>
      <c r="AH7832" s="1">
        <f>HYPERLINK("https://my.pitchbook.com?c=43984-18T","View Company Online")</f>
      </c>
    </row>
    <row r="7833">
      <c r="A7833" s="3" t="s">
        <v>34461</v>
      </c>
      <c r="B7833" s="3" t="s">
        <v>34462</v>
      </c>
      <c r="C7833" s="5" t="s">
        <v>36</v>
      </c>
      <c r="D7833" s="5" t="s">
        <v>36</v>
      </c>
      <c r="E7833" s="5" t="s">
        <v>36</v>
      </c>
      <c r="F7833" s="5" t="s">
        <v>36</v>
      </c>
      <c r="G7833" s="6" t="s">
        <v>36</v>
      </c>
      <c r="H7833" s="4" t="s">
        <v>36</v>
      </c>
      <c r="I7833" s="7" t="s">
        <v>36</v>
      </c>
      <c r="J7833" s="3" t="s">
        <v>36</v>
      </c>
      <c r="K7833" s="9" t="s">
        <v>36</v>
      </c>
      <c r="L7833" s="6" t="s">
        <v>36</v>
      </c>
      <c r="M7833" s="3" t="s">
        <v>36</v>
      </c>
      <c r="N7833" s="3" t="s">
        <v>36</v>
      </c>
      <c r="O7833" s="8" t="s">
        <v>36</v>
      </c>
      <c r="P7833" s="3" t="s">
        <v>36</v>
      </c>
      <c r="Q7833" s="3" t="s">
        <v>36</v>
      </c>
      <c r="R7833" s="3" t="s">
        <v>36</v>
      </c>
      <c r="S7833" s="3" t="s">
        <v>36</v>
      </c>
      <c r="T7833" s="3" t="s">
        <v>33632</v>
      </c>
      <c r="U7833" s="3" t="s">
        <v>74</v>
      </c>
      <c r="V7833" s="3" t="s">
        <v>75</v>
      </c>
      <c r="W7833" s="3" t="s">
        <v>34463</v>
      </c>
      <c r="X7833" s="10" t="s">
        <v>34464</v>
      </c>
      <c r="Y7833" s="6" t="s">
        <v>42</v>
      </c>
      <c r="Z7833" s="4" t="s">
        <v>36</v>
      </c>
      <c r="AA7833" s="4" t="s">
        <v>36</v>
      </c>
      <c r="AB7833" s="3" t="s">
        <v>56</v>
      </c>
      <c r="AC7833" s="3" t="s">
        <v>34465</v>
      </c>
      <c r="AD7833" s="9">
        <v>41640</v>
      </c>
      <c r="AE7833" s="3" t="s">
        <v>1888</v>
      </c>
      <c r="AF7833" s="3" t="s">
        <v>546</v>
      </c>
      <c r="AG7833" s="3" t="s">
        <v>32268</v>
      </c>
      <c r="AH7833" s="11">
        <f>HYPERLINK("https://my.pitchbook.com?c=27238-78T","View Company Online")</f>
      </c>
    </row>
    <row r="7834">
      <c r="A7834" s="12" t="s">
        <v>34466</v>
      </c>
      <c r="B7834" s="12" t="s">
        <v>34467</v>
      </c>
      <c r="C7834" s="19" t="s">
        <v>36</v>
      </c>
      <c r="D7834" s="19" t="s">
        <v>36</v>
      </c>
      <c r="E7834" s="19" t="s">
        <v>36</v>
      </c>
      <c r="F7834" s="19" t="s">
        <v>36</v>
      </c>
      <c r="G7834" s="15" t="s">
        <v>36</v>
      </c>
      <c r="H7834" s="14" t="s">
        <v>36</v>
      </c>
      <c r="I7834" s="18" t="s">
        <v>36</v>
      </c>
      <c r="J7834" s="12" t="s">
        <v>36</v>
      </c>
      <c r="K7834" s="13" t="s">
        <v>36</v>
      </c>
      <c r="L7834" s="15" t="s">
        <v>36</v>
      </c>
      <c r="M7834" s="12" t="s">
        <v>36</v>
      </c>
      <c r="N7834" s="12" t="s">
        <v>36</v>
      </c>
      <c r="O7834" s="17" t="s">
        <v>36</v>
      </c>
      <c r="P7834" s="12" t="s">
        <v>36</v>
      </c>
      <c r="Q7834" s="12" t="s">
        <v>36</v>
      </c>
      <c r="R7834" s="12" t="s">
        <v>36</v>
      </c>
      <c r="S7834" s="12" t="s">
        <v>36</v>
      </c>
      <c r="T7834" s="12" t="s">
        <v>34468</v>
      </c>
      <c r="U7834" s="12" t="s">
        <v>289</v>
      </c>
      <c r="V7834" s="12" t="s">
        <v>64</v>
      </c>
      <c r="W7834" s="12" t="s">
        <v>34469</v>
      </c>
      <c r="X7834" s="16" t="s">
        <v>5661</v>
      </c>
      <c r="Y7834" s="15" t="s">
        <v>42</v>
      </c>
      <c r="Z7834" s="14" t="s">
        <v>36</v>
      </c>
      <c r="AA7834" s="14" t="s">
        <v>36</v>
      </c>
      <c r="AB7834" s="12" t="s">
        <v>56</v>
      </c>
      <c r="AC7834" s="12" t="s">
        <v>34470</v>
      </c>
      <c r="AD7834" s="13">
        <v>41640</v>
      </c>
      <c r="AE7834" s="12" t="s">
        <v>9563</v>
      </c>
      <c r="AF7834" s="12" t="s">
        <v>90</v>
      </c>
      <c r="AG7834" s="12" t="s">
        <v>1823</v>
      </c>
      <c r="AH7834" s="1">
        <f>HYPERLINK("https://my.pitchbook.com?c=81884-17T","View Company Online")</f>
      </c>
    </row>
    <row r="7835">
      <c r="A7835" s="3" t="s">
        <v>34471</v>
      </c>
      <c r="B7835" s="3" t="s">
        <v>34472</v>
      </c>
      <c r="C7835" s="5" t="s">
        <v>36</v>
      </c>
      <c r="D7835" s="5" t="s">
        <v>36</v>
      </c>
      <c r="E7835" s="5" t="s">
        <v>36</v>
      </c>
      <c r="F7835" s="5" t="s">
        <v>36</v>
      </c>
      <c r="G7835" s="6" t="s">
        <v>36</v>
      </c>
      <c r="H7835" s="4" t="s">
        <v>36</v>
      </c>
      <c r="I7835" s="7" t="s">
        <v>36</v>
      </c>
      <c r="J7835" s="3" t="s">
        <v>36</v>
      </c>
      <c r="K7835" s="9" t="s">
        <v>36</v>
      </c>
      <c r="L7835" s="6" t="s">
        <v>36</v>
      </c>
      <c r="M7835" s="3" t="s">
        <v>36</v>
      </c>
      <c r="N7835" s="3" t="s">
        <v>36</v>
      </c>
      <c r="O7835" s="8" t="s">
        <v>36</v>
      </c>
      <c r="P7835" s="3" t="s">
        <v>36</v>
      </c>
      <c r="Q7835" s="3" t="s">
        <v>36</v>
      </c>
      <c r="R7835" s="3" t="s">
        <v>36</v>
      </c>
      <c r="S7835" s="3" t="s">
        <v>36</v>
      </c>
      <c r="T7835" s="3" t="s">
        <v>1893</v>
      </c>
      <c r="U7835" s="3" t="s">
        <v>648</v>
      </c>
      <c r="V7835" s="3" t="s">
        <v>64</v>
      </c>
      <c r="W7835" s="3" t="s">
        <v>34473</v>
      </c>
      <c r="X7835" s="10" t="s">
        <v>9641</v>
      </c>
      <c r="Y7835" s="6" t="s">
        <v>42</v>
      </c>
      <c r="Z7835" s="4" t="s">
        <v>36</v>
      </c>
      <c r="AA7835" s="4" t="s">
        <v>36</v>
      </c>
      <c r="AB7835" s="3" t="s">
        <v>43</v>
      </c>
      <c r="AC7835" s="3" t="s">
        <v>34474</v>
      </c>
      <c r="AD7835" s="9">
        <v>41640</v>
      </c>
      <c r="AE7835" s="3" t="s">
        <v>1897</v>
      </c>
      <c r="AF7835" s="3" t="s">
        <v>36</v>
      </c>
      <c r="AG7835" s="3" t="s">
        <v>34475</v>
      </c>
      <c r="AH7835" s="11">
        <f>HYPERLINK("https://my.pitchbook.com?c=131556-16T","View Company Online")</f>
      </c>
    </row>
    <row r="7836">
      <c r="A7836" s="12" t="s">
        <v>34476</v>
      </c>
      <c r="B7836" s="12" t="s">
        <v>34477</v>
      </c>
      <c r="C7836" s="19" t="s">
        <v>36</v>
      </c>
      <c r="D7836" s="19" t="s">
        <v>36</v>
      </c>
      <c r="E7836" s="19" t="s">
        <v>36</v>
      </c>
      <c r="F7836" s="19" t="s">
        <v>36</v>
      </c>
      <c r="G7836" s="15" t="s">
        <v>36</v>
      </c>
      <c r="H7836" s="14" t="s">
        <v>36</v>
      </c>
      <c r="I7836" s="18" t="s">
        <v>36</v>
      </c>
      <c r="J7836" s="12" t="s">
        <v>36</v>
      </c>
      <c r="K7836" s="13" t="s">
        <v>36</v>
      </c>
      <c r="L7836" s="15" t="s">
        <v>36</v>
      </c>
      <c r="M7836" s="12" t="s">
        <v>36</v>
      </c>
      <c r="N7836" s="12" t="s">
        <v>36</v>
      </c>
      <c r="O7836" s="17" t="s">
        <v>36</v>
      </c>
      <c r="P7836" s="12" t="s">
        <v>36</v>
      </c>
      <c r="Q7836" s="12" t="s">
        <v>36</v>
      </c>
      <c r="R7836" s="12" t="s">
        <v>36</v>
      </c>
      <c r="S7836" s="12" t="s">
        <v>36</v>
      </c>
      <c r="T7836" s="12" t="s">
        <v>6299</v>
      </c>
      <c r="U7836" s="12" t="s">
        <v>728</v>
      </c>
      <c r="V7836" s="12" t="s">
        <v>64</v>
      </c>
      <c r="W7836" s="12" t="s">
        <v>34478</v>
      </c>
      <c r="X7836" s="16" t="s">
        <v>34479</v>
      </c>
      <c r="Y7836" s="15" t="s">
        <v>42</v>
      </c>
      <c r="Z7836" s="14" t="s">
        <v>36</v>
      </c>
      <c r="AA7836" s="14" t="s">
        <v>36</v>
      </c>
      <c r="AB7836" s="12" t="s">
        <v>43</v>
      </c>
      <c r="AC7836" s="12" t="s">
        <v>34480</v>
      </c>
      <c r="AD7836" s="13">
        <v>41640</v>
      </c>
      <c r="AE7836" s="12" t="s">
        <v>1600</v>
      </c>
      <c r="AF7836" s="12" t="s">
        <v>36</v>
      </c>
      <c r="AG7836" s="12" t="s">
        <v>81</v>
      </c>
      <c r="AH7836" s="1">
        <f>HYPERLINK("https://my.pitchbook.com?c=141391-99T","View Company Online")</f>
      </c>
    </row>
    <row r="7837">
      <c r="A7837" s="3" t="s">
        <v>34481</v>
      </c>
      <c r="B7837" s="3" t="s">
        <v>34482</v>
      </c>
      <c r="C7837" s="5" t="s">
        <v>36</v>
      </c>
      <c r="D7837" s="5" t="s">
        <v>36</v>
      </c>
      <c r="E7837" s="5" t="s">
        <v>36</v>
      </c>
      <c r="F7837" s="5" t="s">
        <v>36</v>
      </c>
      <c r="G7837" s="6" t="s">
        <v>36</v>
      </c>
      <c r="H7837" s="4" t="s">
        <v>36</v>
      </c>
      <c r="I7837" s="7" t="s">
        <v>36</v>
      </c>
      <c r="J7837" s="3" t="s">
        <v>36</v>
      </c>
      <c r="K7837" s="9" t="s">
        <v>36</v>
      </c>
      <c r="L7837" s="6" t="s">
        <v>36</v>
      </c>
      <c r="M7837" s="3" t="s">
        <v>36</v>
      </c>
      <c r="N7837" s="3" t="s">
        <v>36</v>
      </c>
      <c r="O7837" s="8" t="s">
        <v>36</v>
      </c>
      <c r="P7837" s="3" t="s">
        <v>36</v>
      </c>
      <c r="Q7837" s="3" t="s">
        <v>36</v>
      </c>
      <c r="R7837" s="3" t="s">
        <v>36</v>
      </c>
      <c r="S7837" s="3" t="s">
        <v>36</v>
      </c>
      <c r="T7837" s="3" t="s">
        <v>33810</v>
      </c>
      <c r="U7837" s="3" t="s">
        <v>74</v>
      </c>
      <c r="V7837" s="3" t="s">
        <v>75</v>
      </c>
      <c r="W7837" s="3" t="s">
        <v>34483</v>
      </c>
      <c r="X7837" s="10" t="s">
        <v>5661</v>
      </c>
      <c r="Y7837" s="6" t="s">
        <v>42</v>
      </c>
      <c r="Z7837" s="4" t="s">
        <v>36</v>
      </c>
      <c r="AA7837" s="4" t="s">
        <v>36</v>
      </c>
      <c r="AB7837" s="3" t="s">
        <v>43</v>
      </c>
      <c r="AC7837" s="3" t="s">
        <v>34484</v>
      </c>
      <c r="AD7837" s="9">
        <v>41640</v>
      </c>
      <c r="AE7837" s="3" t="s">
        <v>9215</v>
      </c>
      <c r="AF7837" s="3" t="s">
        <v>546</v>
      </c>
      <c r="AG7837" s="3" t="s">
        <v>644</v>
      </c>
      <c r="AH7837" s="11">
        <f>HYPERLINK("https://my.pitchbook.com?c=27942-13T","View Company Online")</f>
      </c>
    </row>
    <row r="7838">
      <c r="A7838" s="12" t="s">
        <v>34485</v>
      </c>
      <c r="B7838" s="12" t="s">
        <v>32350</v>
      </c>
      <c r="C7838" s="19" t="s">
        <v>36</v>
      </c>
      <c r="D7838" s="19" t="s">
        <v>36</v>
      </c>
      <c r="E7838" s="19" t="s">
        <v>36</v>
      </c>
      <c r="F7838" s="19" t="s">
        <v>36</v>
      </c>
      <c r="G7838" s="15" t="s">
        <v>36</v>
      </c>
      <c r="H7838" s="14" t="s">
        <v>36</v>
      </c>
      <c r="I7838" s="18" t="s">
        <v>36</v>
      </c>
      <c r="J7838" s="12" t="s">
        <v>36</v>
      </c>
      <c r="K7838" s="13" t="s">
        <v>36</v>
      </c>
      <c r="L7838" s="15" t="s">
        <v>36</v>
      </c>
      <c r="M7838" s="12" t="s">
        <v>36</v>
      </c>
      <c r="N7838" s="12" t="s">
        <v>36</v>
      </c>
      <c r="O7838" s="17" t="s">
        <v>36</v>
      </c>
      <c r="P7838" s="12" t="s">
        <v>36</v>
      </c>
      <c r="Q7838" s="12" t="s">
        <v>36</v>
      </c>
      <c r="R7838" s="12" t="s">
        <v>36</v>
      </c>
      <c r="S7838" s="12" t="s">
        <v>36</v>
      </c>
      <c r="T7838" s="12" t="s">
        <v>32351</v>
      </c>
      <c r="U7838" s="12" t="s">
        <v>74</v>
      </c>
      <c r="V7838" s="12" t="s">
        <v>75</v>
      </c>
      <c r="W7838" s="12" t="s">
        <v>32352</v>
      </c>
      <c r="X7838" s="16" t="s">
        <v>1598</v>
      </c>
      <c r="Y7838" s="15" t="s">
        <v>42</v>
      </c>
      <c r="Z7838" s="14" t="s">
        <v>36</v>
      </c>
      <c r="AA7838" s="14" t="s">
        <v>36</v>
      </c>
      <c r="AB7838" s="12" t="s">
        <v>43</v>
      </c>
      <c r="AC7838" s="12" t="s">
        <v>32354</v>
      </c>
      <c r="AD7838" s="13">
        <v>41640</v>
      </c>
      <c r="AE7838" s="12" t="s">
        <v>1888</v>
      </c>
      <c r="AF7838" s="12" t="s">
        <v>1969</v>
      </c>
      <c r="AG7838" s="12" t="s">
        <v>32355</v>
      </c>
      <c r="AH7838" s="1">
        <f>HYPERLINK("https://my.pitchbook.com?c=51055-75T","View Company Online")</f>
      </c>
    </row>
    <row r="7839">
      <c r="A7839" s="3" t="s">
        <v>34486</v>
      </c>
      <c r="B7839" s="3" t="s">
        <v>28193</v>
      </c>
      <c r="C7839" s="5" t="s">
        <v>36</v>
      </c>
      <c r="D7839" s="5" t="s">
        <v>36</v>
      </c>
      <c r="E7839" s="5">
        <v>1</v>
      </c>
      <c r="F7839" s="5">
        <v>1</v>
      </c>
      <c r="G7839" s="6" t="s">
        <v>36</v>
      </c>
      <c r="H7839" s="4" t="s">
        <v>36</v>
      </c>
      <c r="I7839" s="7" t="s">
        <v>36</v>
      </c>
      <c r="J7839" s="3" t="s">
        <v>36</v>
      </c>
      <c r="K7839" s="9" t="s">
        <v>36</v>
      </c>
      <c r="L7839" s="6" t="s">
        <v>36</v>
      </c>
      <c r="M7839" s="3" t="s">
        <v>36</v>
      </c>
      <c r="N7839" s="3" t="s">
        <v>36</v>
      </c>
      <c r="O7839" s="8" t="s">
        <v>36</v>
      </c>
      <c r="P7839" s="3" t="s">
        <v>36</v>
      </c>
      <c r="Q7839" s="3" t="s">
        <v>36</v>
      </c>
      <c r="R7839" s="3" t="s">
        <v>36</v>
      </c>
      <c r="S7839" s="3" t="s">
        <v>36</v>
      </c>
      <c r="T7839" s="3" t="s">
        <v>4692</v>
      </c>
      <c r="U7839" s="3" t="s">
        <v>85</v>
      </c>
      <c r="V7839" s="3" t="s">
        <v>64</v>
      </c>
      <c r="W7839" s="3" t="s">
        <v>28194</v>
      </c>
      <c r="X7839" s="10" t="s">
        <v>34487</v>
      </c>
      <c r="Y7839" s="6" t="s">
        <v>42</v>
      </c>
      <c r="Z7839" s="4">
        <v>9.35</v>
      </c>
      <c r="AA7839" s="4" t="s">
        <v>36</v>
      </c>
      <c r="AB7839" s="3" t="s">
        <v>43</v>
      </c>
      <c r="AC7839" s="3" t="s">
        <v>28196</v>
      </c>
      <c r="AD7839" s="9">
        <v>41640</v>
      </c>
      <c r="AE7839" s="3" t="s">
        <v>89</v>
      </c>
      <c r="AF7839" s="3" t="s">
        <v>28197</v>
      </c>
      <c r="AG7839" s="3" t="s">
        <v>461</v>
      </c>
      <c r="AH7839" s="11">
        <f>HYPERLINK("https://my.pitchbook.com?c=86637-70T","View Company Online")</f>
      </c>
    </row>
    <row r="7840">
      <c r="A7840" s="12" t="s">
        <v>34488</v>
      </c>
      <c r="B7840" s="12" t="s">
        <v>34489</v>
      </c>
      <c r="C7840" s="19" t="s">
        <v>36</v>
      </c>
      <c r="D7840" s="19" t="s">
        <v>36</v>
      </c>
      <c r="E7840" s="19" t="s">
        <v>36</v>
      </c>
      <c r="F7840" s="19" t="s">
        <v>36</v>
      </c>
      <c r="G7840" s="15" t="s">
        <v>36</v>
      </c>
      <c r="H7840" s="14" t="s">
        <v>36</v>
      </c>
      <c r="I7840" s="18" t="s">
        <v>36</v>
      </c>
      <c r="J7840" s="12" t="s">
        <v>36</v>
      </c>
      <c r="K7840" s="13" t="s">
        <v>36</v>
      </c>
      <c r="L7840" s="15" t="s">
        <v>36</v>
      </c>
      <c r="M7840" s="12" t="s">
        <v>36</v>
      </c>
      <c r="N7840" s="12" t="s">
        <v>36</v>
      </c>
      <c r="O7840" s="17" t="s">
        <v>36</v>
      </c>
      <c r="P7840" s="12" t="s">
        <v>36</v>
      </c>
      <c r="Q7840" s="12" t="s">
        <v>36</v>
      </c>
      <c r="R7840" s="12" t="s">
        <v>36</v>
      </c>
      <c r="S7840" s="12" t="s">
        <v>36</v>
      </c>
      <c r="T7840" s="12" t="s">
        <v>1701</v>
      </c>
      <c r="U7840" s="12" t="s">
        <v>74</v>
      </c>
      <c r="V7840" s="12" t="s">
        <v>75</v>
      </c>
      <c r="W7840" s="12" t="s">
        <v>34490</v>
      </c>
      <c r="X7840" s="16" t="s">
        <v>5661</v>
      </c>
      <c r="Y7840" s="15" t="s">
        <v>42</v>
      </c>
      <c r="Z7840" s="14" t="s">
        <v>36</v>
      </c>
      <c r="AA7840" s="14" t="s">
        <v>36</v>
      </c>
      <c r="AB7840" s="12" t="s">
        <v>56</v>
      </c>
      <c r="AC7840" s="12" t="s">
        <v>34491</v>
      </c>
      <c r="AD7840" s="13">
        <v>41640</v>
      </c>
      <c r="AE7840" s="12" t="s">
        <v>79</v>
      </c>
      <c r="AF7840" s="12" t="s">
        <v>1636</v>
      </c>
      <c r="AG7840" s="12" t="s">
        <v>1353</v>
      </c>
      <c r="AH7840" s="1">
        <f>HYPERLINK("https://my.pitchbook.com?c=82694-62T","View Company Online")</f>
      </c>
    </row>
    <row r="7841">
      <c r="A7841" s="3" t="s">
        <v>34492</v>
      </c>
      <c r="B7841" s="3" t="s">
        <v>34493</v>
      </c>
      <c r="C7841" s="5" t="s">
        <v>36</v>
      </c>
      <c r="D7841" s="5" t="s">
        <v>36</v>
      </c>
      <c r="E7841" s="5" t="s">
        <v>36</v>
      </c>
      <c r="F7841" s="5" t="s">
        <v>36</v>
      </c>
      <c r="G7841" s="6" t="s">
        <v>36</v>
      </c>
      <c r="H7841" s="4" t="s">
        <v>36</v>
      </c>
      <c r="I7841" s="7" t="s">
        <v>36</v>
      </c>
      <c r="J7841" s="3" t="s">
        <v>36</v>
      </c>
      <c r="K7841" s="9" t="s">
        <v>36</v>
      </c>
      <c r="L7841" s="6" t="s">
        <v>36</v>
      </c>
      <c r="M7841" s="3" t="s">
        <v>36</v>
      </c>
      <c r="N7841" s="3" t="s">
        <v>36</v>
      </c>
      <c r="O7841" s="8" t="s">
        <v>36</v>
      </c>
      <c r="P7841" s="3" t="s">
        <v>36</v>
      </c>
      <c r="Q7841" s="3" t="s">
        <v>36</v>
      </c>
      <c r="R7841" s="3" t="s">
        <v>36</v>
      </c>
      <c r="S7841" s="3" t="s">
        <v>36</v>
      </c>
      <c r="T7841" s="3" t="s">
        <v>34494</v>
      </c>
      <c r="U7841" s="3" t="s">
        <v>74</v>
      </c>
      <c r="V7841" s="3" t="s">
        <v>75</v>
      </c>
      <c r="W7841" s="3" t="s">
        <v>34495</v>
      </c>
      <c r="X7841" s="10" t="s">
        <v>26808</v>
      </c>
      <c r="Y7841" s="6" t="s">
        <v>42</v>
      </c>
      <c r="Z7841" s="4" t="s">
        <v>36</v>
      </c>
      <c r="AA7841" s="4" t="s">
        <v>36</v>
      </c>
      <c r="AB7841" s="3" t="s">
        <v>43</v>
      </c>
      <c r="AC7841" s="3" t="s">
        <v>34496</v>
      </c>
      <c r="AD7841" s="9">
        <v>41640</v>
      </c>
      <c r="AE7841" s="3" t="s">
        <v>79</v>
      </c>
      <c r="AF7841" s="3" t="s">
        <v>80</v>
      </c>
      <c r="AG7841" s="3" t="s">
        <v>81</v>
      </c>
      <c r="AH7841" s="11">
        <f>HYPERLINK("https://my.pitchbook.com?c=112850-47T","View Company Online")</f>
      </c>
    </row>
    <row r="7842">
      <c r="A7842" s="12" t="s">
        <v>34497</v>
      </c>
      <c r="B7842" s="12" t="s">
        <v>34498</v>
      </c>
      <c r="C7842" s="19" t="s">
        <v>36</v>
      </c>
      <c r="D7842" s="19">
        <v>1</v>
      </c>
      <c r="E7842" s="19">
        <v>1</v>
      </c>
      <c r="F7842" s="19">
        <v>1</v>
      </c>
      <c r="G7842" s="15" t="s">
        <v>36</v>
      </c>
      <c r="H7842" s="14" t="s">
        <v>36</v>
      </c>
      <c r="I7842" s="18" t="s">
        <v>36</v>
      </c>
      <c r="J7842" s="12" t="s">
        <v>36</v>
      </c>
      <c r="K7842" s="13" t="s">
        <v>36</v>
      </c>
      <c r="L7842" s="15" t="s">
        <v>36</v>
      </c>
      <c r="M7842" s="12" t="s">
        <v>36</v>
      </c>
      <c r="N7842" s="12" t="s">
        <v>36</v>
      </c>
      <c r="O7842" s="17" t="s">
        <v>36</v>
      </c>
      <c r="P7842" s="12" t="s">
        <v>36</v>
      </c>
      <c r="Q7842" s="12" t="s">
        <v>36</v>
      </c>
      <c r="R7842" s="12" t="s">
        <v>36</v>
      </c>
      <c r="S7842" s="12" t="s">
        <v>36</v>
      </c>
      <c r="T7842" s="12" t="s">
        <v>4733</v>
      </c>
      <c r="U7842" s="12" t="s">
        <v>423</v>
      </c>
      <c r="V7842" s="12" t="s">
        <v>64</v>
      </c>
      <c r="W7842" s="12" t="s">
        <v>34499</v>
      </c>
      <c r="X7842" s="16" t="s">
        <v>5661</v>
      </c>
      <c r="Y7842" s="15" t="s">
        <v>42</v>
      </c>
      <c r="Z7842" s="14" t="s">
        <v>36</v>
      </c>
      <c r="AA7842" s="14" t="s">
        <v>36</v>
      </c>
      <c r="AB7842" s="12" t="s">
        <v>43</v>
      </c>
      <c r="AC7842" s="12" t="s">
        <v>34500</v>
      </c>
      <c r="AD7842" s="13">
        <v>41640</v>
      </c>
      <c r="AE7842" s="12" t="s">
        <v>1051</v>
      </c>
      <c r="AF7842" s="12" t="s">
        <v>4397</v>
      </c>
      <c r="AG7842" s="12" t="s">
        <v>6013</v>
      </c>
      <c r="AH7842" s="1">
        <f>HYPERLINK("https://my.pitchbook.com?c=82789-21T","View Company Online")</f>
      </c>
    </row>
    <row r="7843">
      <c r="A7843" s="3" t="s">
        <v>34501</v>
      </c>
      <c r="B7843" s="3" t="s">
        <v>25498</v>
      </c>
      <c r="C7843" s="5" t="s">
        <v>36</v>
      </c>
      <c r="D7843" s="5">
        <v>1</v>
      </c>
      <c r="E7843" s="5">
        <v>1</v>
      </c>
      <c r="F7843" s="5">
        <v>3</v>
      </c>
      <c r="G7843" s="6" t="s">
        <v>36</v>
      </c>
      <c r="H7843" s="4" t="s">
        <v>36</v>
      </c>
      <c r="I7843" s="7" t="s">
        <v>36</v>
      </c>
      <c r="J7843" s="3" t="s">
        <v>36</v>
      </c>
      <c r="K7843" s="9" t="s">
        <v>36</v>
      </c>
      <c r="L7843" s="6" t="s">
        <v>36</v>
      </c>
      <c r="M7843" s="3" t="s">
        <v>36</v>
      </c>
      <c r="N7843" s="3" t="s">
        <v>36</v>
      </c>
      <c r="O7843" s="8" t="s">
        <v>36</v>
      </c>
      <c r="P7843" s="3" t="s">
        <v>36</v>
      </c>
      <c r="Q7843" s="3" t="s">
        <v>36</v>
      </c>
      <c r="R7843" s="3" t="s">
        <v>36</v>
      </c>
      <c r="S7843" s="3" t="s">
        <v>36</v>
      </c>
      <c r="T7843" s="3" t="s">
        <v>1941</v>
      </c>
      <c r="U7843" s="3" t="s">
        <v>38</v>
      </c>
      <c r="V7843" s="3" t="s">
        <v>39</v>
      </c>
      <c r="W7843" s="3" t="s">
        <v>25499</v>
      </c>
      <c r="X7843" s="10" t="s">
        <v>34502</v>
      </c>
      <c r="Y7843" s="6" t="s">
        <v>42</v>
      </c>
      <c r="Z7843" s="4">
        <v>0.45</v>
      </c>
      <c r="AA7843" s="4" t="s">
        <v>36</v>
      </c>
      <c r="AB7843" s="3" t="s">
        <v>43</v>
      </c>
      <c r="AC7843" s="3" t="s">
        <v>25501</v>
      </c>
      <c r="AD7843" s="9">
        <v>41640</v>
      </c>
      <c r="AE7843" s="3" t="s">
        <v>1945</v>
      </c>
      <c r="AF7843" s="3" t="s">
        <v>25502</v>
      </c>
      <c r="AG7843" s="3" t="s">
        <v>25503</v>
      </c>
      <c r="AH7843" s="11">
        <f>HYPERLINK("https://my.pitchbook.com?c=282047-77T","View Company Online")</f>
      </c>
    </row>
    <row r="7844">
      <c r="A7844" s="12" t="s">
        <v>34503</v>
      </c>
      <c r="B7844" s="12" t="s">
        <v>34504</v>
      </c>
      <c r="C7844" s="19" t="s">
        <v>36</v>
      </c>
      <c r="D7844" s="19" t="s">
        <v>36</v>
      </c>
      <c r="E7844" s="19" t="s">
        <v>36</v>
      </c>
      <c r="F7844" s="19" t="s">
        <v>36</v>
      </c>
      <c r="G7844" s="15" t="s">
        <v>36</v>
      </c>
      <c r="H7844" s="14" t="s">
        <v>36</v>
      </c>
      <c r="I7844" s="18" t="s">
        <v>36</v>
      </c>
      <c r="J7844" s="12" t="s">
        <v>36</v>
      </c>
      <c r="K7844" s="13" t="s">
        <v>36</v>
      </c>
      <c r="L7844" s="15" t="s">
        <v>36</v>
      </c>
      <c r="M7844" s="12" t="s">
        <v>36</v>
      </c>
      <c r="N7844" s="12" t="s">
        <v>36</v>
      </c>
      <c r="O7844" s="17" t="s">
        <v>36</v>
      </c>
      <c r="P7844" s="12" t="s">
        <v>36</v>
      </c>
      <c r="Q7844" s="12" t="s">
        <v>36</v>
      </c>
      <c r="R7844" s="12" t="s">
        <v>36</v>
      </c>
      <c r="S7844" s="12" t="s">
        <v>36</v>
      </c>
      <c r="T7844" s="12" t="s">
        <v>2009</v>
      </c>
      <c r="U7844" s="12" t="s">
        <v>219</v>
      </c>
      <c r="V7844" s="12" t="s">
        <v>75</v>
      </c>
      <c r="W7844" s="12" t="s">
        <v>34505</v>
      </c>
      <c r="X7844" s="16" t="s">
        <v>34352</v>
      </c>
      <c r="Y7844" s="15" t="s">
        <v>42</v>
      </c>
      <c r="Z7844" s="14" t="s">
        <v>36</v>
      </c>
      <c r="AA7844" s="14" t="s">
        <v>36</v>
      </c>
      <c r="AB7844" s="12" t="s">
        <v>43</v>
      </c>
      <c r="AC7844" s="12" t="s">
        <v>34506</v>
      </c>
      <c r="AD7844" s="13">
        <v>41640</v>
      </c>
      <c r="AE7844" s="12" t="s">
        <v>223</v>
      </c>
      <c r="AF7844" s="12" t="s">
        <v>4668</v>
      </c>
      <c r="AG7844" s="12" t="s">
        <v>34507</v>
      </c>
      <c r="AH7844" s="1">
        <f>HYPERLINK("https://my.pitchbook.com?c=27652-87T","View Company Online")</f>
      </c>
    </row>
    <row r="7845">
      <c r="A7845" s="3" t="s">
        <v>34508</v>
      </c>
      <c r="B7845" s="3" t="s">
        <v>34509</v>
      </c>
      <c r="C7845" s="5" t="s">
        <v>36</v>
      </c>
      <c r="D7845" s="5" t="s">
        <v>36</v>
      </c>
      <c r="E7845" s="5" t="s">
        <v>36</v>
      </c>
      <c r="F7845" s="5" t="s">
        <v>36</v>
      </c>
      <c r="G7845" s="6" t="s">
        <v>36</v>
      </c>
      <c r="H7845" s="4" t="s">
        <v>36</v>
      </c>
      <c r="I7845" s="7" t="s">
        <v>36</v>
      </c>
      <c r="J7845" s="3" t="s">
        <v>36</v>
      </c>
      <c r="K7845" s="9" t="s">
        <v>36</v>
      </c>
      <c r="L7845" s="6" t="s">
        <v>36</v>
      </c>
      <c r="M7845" s="3" t="s">
        <v>36</v>
      </c>
      <c r="N7845" s="3" t="s">
        <v>36</v>
      </c>
      <c r="O7845" s="8" t="s">
        <v>36</v>
      </c>
      <c r="P7845" s="3" t="s">
        <v>36</v>
      </c>
      <c r="Q7845" s="3" t="s">
        <v>36</v>
      </c>
      <c r="R7845" s="3" t="s">
        <v>36</v>
      </c>
      <c r="S7845" s="3" t="s">
        <v>36</v>
      </c>
      <c r="T7845" s="3" t="s">
        <v>34510</v>
      </c>
      <c r="U7845" s="3" t="s">
        <v>63</v>
      </c>
      <c r="V7845" s="3" t="s">
        <v>64</v>
      </c>
      <c r="W7845" s="3" t="s">
        <v>34511</v>
      </c>
      <c r="X7845" s="10" t="s">
        <v>34512</v>
      </c>
      <c r="Y7845" s="6" t="s">
        <v>42</v>
      </c>
      <c r="Z7845" s="4" t="s">
        <v>36</v>
      </c>
      <c r="AA7845" s="4" t="s">
        <v>36</v>
      </c>
      <c r="AB7845" s="3" t="s">
        <v>43</v>
      </c>
      <c r="AC7845" s="3" t="s">
        <v>34513</v>
      </c>
      <c r="AD7845" s="9">
        <v>41640</v>
      </c>
      <c r="AE7845" s="3" t="s">
        <v>399</v>
      </c>
      <c r="AF7845" s="3" t="s">
        <v>938</v>
      </c>
      <c r="AG7845" s="3" t="s">
        <v>10342</v>
      </c>
      <c r="AH7845" s="11">
        <f>HYPERLINK("https://my.pitchbook.com?c=274294-09T","View Company Online")</f>
      </c>
    </row>
    <row r="7846">
      <c r="A7846" s="12" t="s">
        <v>34514</v>
      </c>
      <c r="B7846" s="12" t="s">
        <v>34515</v>
      </c>
      <c r="C7846" s="19" t="s">
        <v>36</v>
      </c>
      <c r="D7846" s="19" t="s">
        <v>36</v>
      </c>
      <c r="E7846" s="19" t="s">
        <v>36</v>
      </c>
      <c r="F7846" s="19" t="s">
        <v>36</v>
      </c>
      <c r="G7846" s="15" t="s">
        <v>36</v>
      </c>
      <c r="H7846" s="14">
        <v>10.39</v>
      </c>
      <c r="I7846" s="18">
        <v>31.71</v>
      </c>
      <c r="J7846" s="12" t="s">
        <v>521</v>
      </c>
      <c r="K7846" s="13" t="s">
        <v>36</v>
      </c>
      <c r="L7846" s="15" t="s">
        <v>36</v>
      </c>
      <c r="M7846" s="12" t="s">
        <v>36</v>
      </c>
      <c r="N7846" s="12" t="s">
        <v>36</v>
      </c>
      <c r="O7846" s="17" t="s">
        <v>36</v>
      </c>
      <c r="P7846" s="12" t="s">
        <v>36</v>
      </c>
      <c r="Q7846" s="12" t="s">
        <v>36</v>
      </c>
      <c r="R7846" s="12" t="s">
        <v>36</v>
      </c>
      <c r="S7846" s="12" t="s">
        <v>36</v>
      </c>
      <c r="T7846" s="12" t="s">
        <v>638</v>
      </c>
      <c r="U7846" s="12" t="s">
        <v>63</v>
      </c>
      <c r="V7846" s="12" t="s">
        <v>64</v>
      </c>
      <c r="W7846" s="12" t="s">
        <v>34516</v>
      </c>
      <c r="X7846" s="16" t="s">
        <v>2130</v>
      </c>
      <c r="Y7846" s="15" t="s">
        <v>42</v>
      </c>
      <c r="Z7846" s="14">
        <v>2.21</v>
      </c>
      <c r="AA7846" s="14">
        <v>6.98</v>
      </c>
      <c r="AB7846" s="12" t="s">
        <v>56</v>
      </c>
      <c r="AC7846" s="12" t="s">
        <v>34517</v>
      </c>
      <c r="AD7846" s="13">
        <v>41640</v>
      </c>
      <c r="AE7846" s="12" t="s">
        <v>642</v>
      </c>
      <c r="AF7846" s="12" t="s">
        <v>36</v>
      </c>
      <c r="AG7846" s="12" t="s">
        <v>81</v>
      </c>
      <c r="AH7846" s="1">
        <f>HYPERLINK("https://my.pitchbook.com?c=50526-10T","View Company Online")</f>
      </c>
    </row>
    <row r="7847">
      <c r="A7847" s="3" t="s">
        <v>34518</v>
      </c>
      <c r="B7847" s="3" t="s">
        <v>34519</v>
      </c>
      <c r="C7847" s="5" t="s">
        <v>36</v>
      </c>
      <c r="D7847" s="5">
        <v>3</v>
      </c>
      <c r="E7847" s="5">
        <v>3</v>
      </c>
      <c r="F7847" s="5">
        <v>5</v>
      </c>
      <c r="G7847" s="6" t="s">
        <v>36</v>
      </c>
      <c r="H7847" s="4" t="s">
        <v>36</v>
      </c>
      <c r="I7847" s="7" t="s">
        <v>36</v>
      </c>
      <c r="J7847" s="3" t="s">
        <v>36</v>
      </c>
      <c r="K7847" s="9" t="s">
        <v>36</v>
      </c>
      <c r="L7847" s="6" t="s">
        <v>36</v>
      </c>
      <c r="M7847" s="3" t="s">
        <v>36</v>
      </c>
      <c r="N7847" s="3" t="s">
        <v>36</v>
      </c>
      <c r="O7847" s="8" t="s">
        <v>36</v>
      </c>
      <c r="P7847" s="3" t="s">
        <v>36</v>
      </c>
      <c r="Q7847" s="3" t="s">
        <v>36</v>
      </c>
      <c r="R7847" s="3" t="s">
        <v>36</v>
      </c>
      <c r="S7847" s="3" t="s">
        <v>36</v>
      </c>
      <c r="T7847" s="3" t="s">
        <v>34520</v>
      </c>
      <c r="U7847" s="3" t="s">
        <v>728</v>
      </c>
      <c r="V7847" s="3" t="s">
        <v>64</v>
      </c>
      <c r="W7847" s="3" t="s">
        <v>34521</v>
      </c>
      <c r="X7847" s="10" t="s">
        <v>34522</v>
      </c>
      <c r="Y7847" s="6" t="s">
        <v>42</v>
      </c>
      <c r="Z7847" s="4" t="s">
        <v>36</v>
      </c>
      <c r="AA7847" s="4" t="s">
        <v>36</v>
      </c>
      <c r="AB7847" s="3" t="s">
        <v>56</v>
      </c>
      <c r="AC7847" s="3" t="s">
        <v>34523</v>
      </c>
      <c r="AD7847" s="9">
        <v>41640</v>
      </c>
      <c r="AE7847" s="3" t="s">
        <v>2154</v>
      </c>
      <c r="AF7847" s="3" t="s">
        <v>90</v>
      </c>
      <c r="AG7847" s="3" t="s">
        <v>34524</v>
      </c>
      <c r="AH7847" s="11">
        <f>HYPERLINK("https://my.pitchbook.com?c=27610-84T","View Company Online")</f>
      </c>
    </row>
    <row r="7848">
      <c r="A7848" s="12" t="s">
        <v>34525</v>
      </c>
      <c r="B7848" s="12" t="s">
        <v>34526</v>
      </c>
      <c r="C7848" s="19" t="s">
        <v>36</v>
      </c>
      <c r="D7848" s="19" t="s">
        <v>36</v>
      </c>
      <c r="E7848" s="19" t="s">
        <v>36</v>
      </c>
      <c r="F7848" s="19" t="s">
        <v>36</v>
      </c>
      <c r="G7848" s="15" t="s">
        <v>36</v>
      </c>
      <c r="H7848" s="14" t="s">
        <v>36</v>
      </c>
      <c r="I7848" s="18" t="s">
        <v>36</v>
      </c>
      <c r="J7848" s="12" t="s">
        <v>36</v>
      </c>
      <c r="K7848" s="13" t="s">
        <v>36</v>
      </c>
      <c r="L7848" s="15" t="s">
        <v>36</v>
      </c>
      <c r="M7848" s="12" t="s">
        <v>36</v>
      </c>
      <c r="N7848" s="12" t="s">
        <v>36</v>
      </c>
      <c r="O7848" s="17" t="s">
        <v>36</v>
      </c>
      <c r="P7848" s="12" t="s">
        <v>36</v>
      </c>
      <c r="Q7848" s="12" t="s">
        <v>36</v>
      </c>
      <c r="R7848" s="12" t="s">
        <v>36</v>
      </c>
      <c r="S7848" s="12" t="s">
        <v>36</v>
      </c>
      <c r="T7848" s="12" t="s">
        <v>676</v>
      </c>
      <c r="U7848" s="12" t="s">
        <v>438</v>
      </c>
      <c r="V7848" s="12" t="s">
        <v>405</v>
      </c>
      <c r="W7848" s="12" t="s">
        <v>34527</v>
      </c>
      <c r="X7848" s="16" t="s">
        <v>34528</v>
      </c>
      <c r="Y7848" s="15" t="s">
        <v>42</v>
      </c>
      <c r="Z7848" s="14" t="s">
        <v>36</v>
      </c>
      <c r="AA7848" s="14" t="s">
        <v>36</v>
      </c>
      <c r="AB7848" s="12" t="s">
        <v>43</v>
      </c>
      <c r="AC7848" s="12" t="s">
        <v>34529</v>
      </c>
      <c r="AD7848" s="13">
        <v>41640</v>
      </c>
      <c r="AE7848" s="12" t="s">
        <v>438</v>
      </c>
      <c r="AF7848" s="12" t="s">
        <v>36</v>
      </c>
      <c r="AG7848" s="12" t="s">
        <v>81</v>
      </c>
      <c r="AH7848" s="1">
        <f>HYPERLINK("https://my.pitchbook.com?c=27768-61T","View Company Online")</f>
      </c>
    </row>
    <row r="7849">
      <c r="A7849" s="3" t="s">
        <v>34530</v>
      </c>
      <c r="B7849" s="3" t="s">
        <v>34531</v>
      </c>
      <c r="C7849" s="5" t="s">
        <v>36</v>
      </c>
      <c r="D7849" s="5" t="s">
        <v>36</v>
      </c>
      <c r="E7849" s="5" t="s">
        <v>36</v>
      </c>
      <c r="F7849" s="5" t="s">
        <v>36</v>
      </c>
      <c r="G7849" s="6" t="s">
        <v>36</v>
      </c>
      <c r="H7849" s="4" t="s">
        <v>36</v>
      </c>
      <c r="I7849" s="7" t="s">
        <v>36</v>
      </c>
      <c r="J7849" s="3" t="s">
        <v>36</v>
      </c>
      <c r="K7849" s="9" t="s">
        <v>36</v>
      </c>
      <c r="L7849" s="6" t="s">
        <v>36</v>
      </c>
      <c r="M7849" s="3" t="s">
        <v>36</v>
      </c>
      <c r="N7849" s="3" t="s">
        <v>36</v>
      </c>
      <c r="O7849" s="8" t="s">
        <v>36</v>
      </c>
      <c r="P7849" s="3" t="s">
        <v>36</v>
      </c>
      <c r="Q7849" s="3" t="s">
        <v>36</v>
      </c>
      <c r="R7849" s="3" t="s">
        <v>36</v>
      </c>
      <c r="S7849" s="3" t="s">
        <v>36</v>
      </c>
      <c r="T7849" s="3" t="s">
        <v>29193</v>
      </c>
      <c r="U7849" s="3" t="s">
        <v>219</v>
      </c>
      <c r="V7849" s="3" t="s">
        <v>75</v>
      </c>
      <c r="W7849" s="3" t="s">
        <v>34532</v>
      </c>
      <c r="X7849" s="10" t="s">
        <v>34352</v>
      </c>
      <c r="Y7849" s="6" t="s">
        <v>42</v>
      </c>
      <c r="Z7849" s="4" t="s">
        <v>36</v>
      </c>
      <c r="AA7849" s="4" t="s">
        <v>36</v>
      </c>
      <c r="AB7849" s="3" t="s">
        <v>56</v>
      </c>
      <c r="AC7849" s="3" t="s">
        <v>34533</v>
      </c>
      <c r="AD7849" s="9">
        <v>41640</v>
      </c>
      <c r="AE7849" s="3" t="s">
        <v>2914</v>
      </c>
      <c r="AF7849" s="3" t="s">
        <v>1969</v>
      </c>
      <c r="AG7849" s="3" t="s">
        <v>22318</v>
      </c>
      <c r="AH7849" s="11">
        <f>HYPERLINK("https://my.pitchbook.com?c=27686-35T","View Company Online")</f>
      </c>
    </row>
    <row r="7850">
      <c r="A7850" s="12" t="s">
        <v>34534</v>
      </c>
      <c r="B7850" s="12" t="s">
        <v>18989</v>
      </c>
      <c r="C7850" s="19" t="s">
        <v>36</v>
      </c>
      <c r="D7850" s="19" t="s">
        <v>36</v>
      </c>
      <c r="E7850" s="19" t="s">
        <v>36</v>
      </c>
      <c r="F7850" s="19" t="s">
        <v>36</v>
      </c>
      <c r="G7850" s="15" t="s">
        <v>36</v>
      </c>
      <c r="H7850" s="14" t="s">
        <v>36</v>
      </c>
      <c r="I7850" s="18" t="s">
        <v>36</v>
      </c>
      <c r="J7850" s="12" t="s">
        <v>36</v>
      </c>
      <c r="K7850" s="13" t="s">
        <v>36</v>
      </c>
      <c r="L7850" s="15" t="s">
        <v>36</v>
      </c>
      <c r="M7850" s="12" t="s">
        <v>36</v>
      </c>
      <c r="N7850" s="12" t="s">
        <v>36</v>
      </c>
      <c r="O7850" s="17" t="s">
        <v>36</v>
      </c>
      <c r="P7850" s="12" t="s">
        <v>36</v>
      </c>
      <c r="Q7850" s="12" t="s">
        <v>36</v>
      </c>
      <c r="R7850" s="12" t="s">
        <v>36</v>
      </c>
      <c r="S7850" s="12" t="s">
        <v>36</v>
      </c>
      <c r="T7850" s="12" t="s">
        <v>1725</v>
      </c>
      <c r="U7850" s="12" t="s">
        <v>318</v>
      </c>
      <c r="V7850" s="12" t="s">
        <v>39</v>
      </c>
      <c r="W7850" s="12" t="s">
        <v>18990</v>
      </c>
      <c r="X7850" s="16" t="s">
        <v>11579</v>
      </c>
      <c r="Y7850" s="15" t="s">
        <v>42</v>
      </c>
      <c r="Z7850" s="14">
        <v>1.17</v>
      </c>
      <c r="AA7850" s="14" t="s">
        <v>36</v>
      </c>
      <c r="AB7850" s="12" t="s">
        <v>43</v>
      </c>
      <c r="AC7850" s="12" t="s">
        <v>18992</v>
      </c>
      <c r="AD7850" s="13">
        <v>41640</v>
      </c>
      <c r="AE7850" s="12" t="s">
        <v>763</v>
      </c>
      <c r="AF7850" s="12" t="s">
        <v>571</v>
      </c>
      <c r="AG7850" s="12" t="s">
        <v>18993</v>
      </c>
      <c r="AH7850" s="1">
        <f>HYPERLINK("https://my.pitchbook.com?c=86621-59T","View Company Online")</f>
      </c>
    </row>
    <row r="7851">
      <c r="A7851" s="3" t="s">
        <v>34535</v>
      </c>
      <c r="B7851" s="3" t="s">
        <v>34536</v>
      </c>
      <c r="C7851" s="5" t="s">
        <v>36</v>
      </c>
      <c r="D7851" s="5" t="s">
        <v>36</v>
      </c>
      <c r="E7851" s="5" t="s">
        <v>36</v>
      </c>
      <c r="F7851" s="5" t="s">
        <v>36</v>
      </c>
      <c r="G7851" s="6" t="s">
        <v>36</v>
      </c>
      <c r="H7851" s="4" t="s">
        <v>36</v>
      </c>
      <c r="I7851" s="7" t="s">
        <v>36</v>
      </c>
      <c r="J7851" s="3" t="s">
        <v>36</v>
      </c>
      <c r="K7851" s="9" t="s">
        <v>36</v>
      </c>
      <c r="L7851" s="6" t="s">
        <v>36</v>
      </c>
      <c r="M7851" s="3" t="s">
        <v>36</v>
      </c>
      <c r="N7851" s="3" t="s">
        <v>36</v>
      </c>
      <c r="O7851" s="8" t="s">
        <v>36</v>
      </c>
      <c r="P7851" s="3" t="s">
        <v>36</v>
      </c>
      <c r="Q7851" s="3" t="s">
        <v>36</v>
      </c>
      <c r="R7851" s="3" t="s">
        <v>36</v>
      </c>
      <c r="S7851" s="3" t="s">
        <v>36</v>
      </c>
      <c r="T7851" s="3" t="s">
        <v>1106</v>
      </c>
      <c r="U7851" s="3" t="s">
        <v>38</v>
      </c>
      <c r="V7851" s="3" t="s">
        <v>39</v>
      </c>
      <c r="W7851" s="3" t="s">
        <v>34537</v>
      </c>
      <c r="X7851" s="10" t="s">
        <v>5661</v>
      </c>
      <c r="Y7851" s="6" t="s">
        <v>42</v>
      </c>
      <c r="Z7851" s="4" t="s">
        <v>36</v>
      </c>
      <c r="AA7851" s="4" t="s">
        <v>36</v>
      </c>
      <c r="AB7851" s="3" t="s">
        <v>43</v>
      </c>
      <c r="AC7851" s="3" t="s">
        <v>34538</v>
      </c>
      <c r="AD7851" s="9">
        <v>41640</v>
      </c>
      <c r="AE7851" s="3" t="s">
        <v>110</v>
      </c>
      <c r="AF7851" s="3" t="s">
        <v>34539</v>
      </c>
      <c r="AG7851" s="3" t="s">
        <v>34540</v>
      </c>
      <c r="AH7851" s="11">
        <f>HYPERLINK("https://my.pitchbook.com?c=120496-51T","View Company Online")</f>
      </c>
    </row>
    <row r="7852">
      <c r="A7852" s="12" t="s">
        <v>34541</v>
      </c>
      <c r="B7852" s="12" t="s">
        <v>34542</v>
      </c>
      <c r="C7852" s="19" t="s">
        <v>36</v>
      </c>
      <c r="D7852" s="19" t="s">
        <v>36</v>
      </c>
      <c r="E7852" s="19" t="s">
        <v>36</v>
      </c>
      <c r="F7852" s="19" t="s">
        <v>36</v>
      </c>
      <c r="G7852" s="15" t="s">
        <v>36</v>
      </c>
      <c r="H7852" s="14" t="s">
        <v>36</v>
      </c>
      <c r="I7852" s="18" t="s">
        <v>36</v>
      </c>
      <c r="J7852" s="12" t="s">
        <v>36</v>
      </c>
      <c r="K7852" s="13" t="s">
        <v>36</v>
      </c>
      <c r="L7852" s="15" t="s">
        <v>36</v>
      </c>
      <c r="M7852" s="12" t="s">
        <v>36</v>
      </c>
      <c r="N7852" s="12" t="s">
        <v>36</v>
      </c>
      <c r="O7852" s="17" t="s">
        <v>36</v>
      </c>
      <c r="P7852" s="12" t="s">
        <v>36</v>
      </c>
      <c r="Q7852" s="12" t="s">
        <v>36</v>
      </c>
      <c r="R7852" s="12" t="s">
        <v>36</v>
      </c>
      <c r="S7852" s="12" t="s">
        <v>36</v>
      </c>
      <c r="T7852" s="12" t="s">
        <v>34543</v>
      </c>
      <c r="U7852" s="12" t="s">
        <v>833</v>
      </c>
      <c r="V7852" s="12" t="s">
        <v>64</v>
      </c>
      <c r="W7852" s="12" t="s">
        <v>34544</v>
      </c>
      <c r="X7852" s="16" t="s">
        <v>34545</v>
      </c>
      <c r="Y7852" s="15" t="s">
        <v>42</v>
      </c>
      <c r="Z7852" s="14">
        <v>0.89</v>
      </c>
      <c r="AA7852" s="14" t="s">
        <v>36</v>
      </c>
      <c r="AB7852" s="12" t="s">
        <v>43</v>
      </c>
      <c r="AC7852" s="12" t="s">
        <v>34546</v>
      </c>
      <c r="AD7852" s="13">
        <v>41640</v>
      </c>
      <c r="AE7852" s="12" t="s">
        <v>1069</v>
      </c>
      <c r="AF7852" s="12" t="s">
        <v>34547</v>
      </c>
      <c r="AG7852" s="12" t="s">
        <v>81</v>
      </c>
      <c r="AH7852" s="1">
        <f>HYPERLINK("https://my.pitchbook.com?c=51733-45T","View Company Online")</f>
      </c>
    </row>
    <row r="7853">
      <c r="A7853" s="3" t="s">
        <v>34548</v>
      </c>
      <c r="B7853" s="3" t="s">
        <v>34549</v>
      </c>
      <c r="C7853" s="5" t="s">
        <v>36</v>
      </c>
      <c r="D7853" s="5" t="s">
        <v>36</v>
      </c>
      <c r="E7853" s="5" t="s">
        <v>36</v>
      </c>
      <c r="F7853" s="5" t="s">
        <v>36</v>
      </c>
      <c r="G7853" s="6" t="s">
        <v>36</v>
      </c>
      <c r="H7853" s="4">
        <v>27.52</v>
      </c>
      <c r="I7853" s="7">
        <v>10.01</v>
      </c>
      <c r="J7853" s="3" t="s">
        <v>521</v>
      </c>
      <c r="K7853" s="9" t="s">
        <v>36</v>
      </c>
      <c r="L7853" s="6" t="s">
        <v>36</v>
      </c>
      <c r="M7853" s="3" t="s">
        <v>36</v>
      </c>
      <c r="N7853" s="3" t="s">
        <v>36</v>
      </c>
      <c r="O7853" s="8" t="s">
        <v>36</v>
      </c>
      <c r="P7853" s="3" t="s">
        <v>36</v>
      </c>
      <c r="Q7853" s="3" t="s">
        <v>36</v>
      </c>
      <c r="R7853" s="3" t="s">
        <v>36</v>
      </c>
      <c r="S7853" s="3" t="s">
        <v>36</v>
      </c>
      <c r="T7853" s="3" t="s">
        <v>1596</v>
      </c>
      <c r="U7853" s="3" t="s">
        <v>728</v>
      </c>
      <c r="V7853" s="3" t="s">
        <v>64</v>
      </c>
      <c r="W7853" s="3" t="s">
        <v>34550</v>
      </c>
      <c r="X7853" s="10" t="s">
        <v>33014</v>
      </c>
      <c r="Y7853" s="6" t="s">
        <v>42</v>
      </c>
      <c r="Z7853" s="4">
        <v>0.03</v>
      </c>
      <c r="AA7853" s="4">
        <v>0.3</v>
      </c>
      <c r="AB7853" s="3" t="s">
        <v>43</v>
      </c>
      <c r="AC7853" s="3" t="s">
        <v>34551</v>
      </c>
      <c r="AD7853" s="9">
        <v>41640</v>
      </c>
      <c r="AE7853" s="3" t="s">
        <v>1600</v>
      </c>
      <c r="AF7853" s="3" t="s">
        <v>733</v>
      </c>
      <c r="AG7853" s="3" t="s">
        <v>81</v>
      </c>
      <c r="AH7853" s="11">
        <f>HYPERLINK("https://my.pitchbook.com?c=110266-75T","View Company Online")</f>
      </c>
    </row>
    <row r="7854">
      <c r="A7854" s="12" t="s">
        <v>34552</v>
      </c>
      <c r="B7854" s="12" t="s">
        <v>11544</v>
      </c>
      <c r="C7854" s="19" t="s">
        <v>36</v>
      </c>
      <c r="D7854" s="19" t="s">
        <v>36</v>
      </c>
      <c r="E7854" s="19" t="s">
        <v>36</v>
      </c>
      <c r="F7854" s="19" t="s">
        <v>36</v>
      </c>
      <c r="G7854" s="15" t="s">
        <v>36</v>
      </c>
      <c r="H7854" s="14" t="s">
        <v>36</v>
      </c>
      <c r="I7854" s="18" t="s">
        <v>36</v>
      </c>
      <c r="J7854" s="12" t="s">
        <v>36</v>
      </c>
      <c r="K7854" s="13" t="s">
        <v>36</v>
      </c>
      <c r="L7854" s="15" t="s">
        <v>36</v>
      </c>
      <c r="M7854" s="12" t="s">
        <v>36</v>
      </c>
      <c r="N7854" s="12" t="s">
        <v>36</v>
      </c>
      <c r="O7854" s="17" t="s">
        <v>36</v>
      </c>
      <c r="P7854" s="12" t="s">
        <v>36</v>
      </c>
      <c r="Q7854" s="12" t="s">
        <v>36</v>
      </c>
      <c r="R7854" s="12" t="s">
        <v>36</v>
      </c>
      <c r="S7854" s="12" t="s">
        <v>36</v>
      </c>
      <c r="T7854" s="12" t="s">
        <v>62</v>
      </c>
      <c r="U7854" s="12" t="s">
        <v>63</v>
      </c>
      <c r="V7854" s="12" t="s">
        <v>64</v>
      </c>
      <c r="W7854" s="12" t="s">
        <v>11545</v>
      </c>
      <c r="X7854" s="16" t="s">
        <v>2688</v>
      </c>
      <c r="Y7854" s="15" t="s">
        <v>42</v>
      </c>
      <c r="Z7854" s="14" t="s">
        <v>36</v>
      </c>
      <c r="AA7854" s="14" t="s">
        <v>36</v>
      </c>
      <c r="AB7854" s="12" t="s">
        <v>43</v>
      </c>
      <c r="AC7854" s="12" t="s">
        <v>11547</v>
      </c>
      <c r="AD7854" s="13">
        <v>41640</v>
      </c>
      <c r="AE7854" s="12" t="s">
        <v>68</v>
      </c>
      <c r="AF7854" s="12" t="s">
        <v>36</v>
      </c>
      <c r="AG7854" s="12" t="s">
        <v>81</v>
      </c>
      <c r="AH7854" s="1">
        <f>HYPERLINK("https://my.pitchbook.com?c=267691-60T","View Company Online")</f>
      </c>
    </row>
    <row r="7855">
      <c r="A7855" s="3" t="s">
        <v>34553</v>
      </c>
      <c r="B7855" s="3" t="s">
        <v>27372</v>
      </c>
      <c r="C7855" s="5" t="s">
        <v>36</v>
      </c>
      <c r="D7855" s="5" t="s">
        <v>36</v>
      </c>
      <c r="E7855" s="5" t="s">
        <v>36</v>
      </c>
      <c r="F7855" s="5" t="s">
        <v>36</v>
      </c>
      <c r="G7855" s="6" t="s">
        <v>36</v>
      </c>
      <c r="H7855" s="4" t="s">
        <v>36</v>
      </c>
      <c r="I7855" s="7" t="s">
        <v>36</v>
      </c>
      <c r="J7855" s="3" t="s">
        <v>36</v>
      </c>
      <c r="K7855" s="9" t="s">
        <v>36</v>
      </c>
      <c r="L7855" s="6" t="s">
        <v>36</v>
      </c>
      <c r="M7855" s="3" t="s">
        <v>36</v>
      </c>
      <c r="N7855" s="3" t="s">
        <v>36</v>
      </c>
      <c r="O7855" s="8" t="s">
        <v>36</v>
      </c>
      <c r="P7855" s="3" t="s">
        <v>36</v>
      </c>
      <c r="Q7855" s="3" t="s">
        <v>36</v>
      </c>
      <c r="R7855" s="3" t="s">
        <v>36</v>
      </c>
      <c r="S7855" s="3" t="s">
        <v>36</v>
      </c>
      <c r="T7855" s="3" t="s">
        <v>2601</v>
      </c>
      <c r="U7855" s="3" t="s">
        <v>74</v>
      </c>
      <c r="V7855" s="3" t="s">
        <v>75</v>
      </c>
      <c r="W7855" s="3" t="s">
        <v>27373</v>
      </c>
      <c r="X7855" s="10" t="s">
        <v>12094</v>
      </c>
      <c r="Y7855" s="6" t="s">
        <v>42</v>
      </c>
      <c r="Z7855" s="4">
        <v>0.41</v>
      </c>
      <c r="AA7855" s="4" t="s">
        <v>36</v>
      </c>
      <c r="AB7855" s="3" t="s">
        <v>43</v>
      </c>
      <c r="AC7855" s="3" t="s">
        <v>27375</v>
      </c>
      <c r="AD7855" s="9">
        <v>41640</v>
      </c>
      <c r="AE7855" s="3" t="s">
        <v>79</v>
      </c>
      <c r="AF7855" s="3" t="s">
        <v>36</v>
      </c>
      <c r="AG7855" s="3" t="s">
        <v>81</v>
      </c>
      <c r="AH7855" s="11">
        <f>HYPERLINK("https://my.pitchbook.com?c=93693-70T","View Company Online")</f>
      </c>
    </row>
    <row r="7856">
      <c r="A7856" s="12" t="s">
        <v>34554</v>
      </c>
      <c r="B7856" s="12" t="s">
        <v>34555</v>
      </c>
      <c r="C7856" s="19" t="s">
        <v>36</v>
      </c>
      <c r="D7856" s="19" t="s">
        <v>36</v>
      </c>
      <c r="E7856" s="19" t="s">
        <v>36</v>
      </c>
      <c r="F7856" s="19" t="s">
        <v>36</v>
      </c>
      <c r="G7856" s="15" t="s">
        <v>36</v>
      </c>
      <c r="H7856" s="14" t="s">
        <v>36</v>
      </c>
      <c r="I7856" s="18" t="s">
        <v>36</v>
      </c>
      <c r="J7856" s="12" t="s">
        <v>36</v>
      </c>
      <c r="K7856" s="13" t="s">
        <v>36</v>
      </c>
      <c r="L7856" s="15" t="s">
        <v>36</v>
      </c>
      <c r="M7856" s="12" t="s">
        <v>36</v>
      </c>
      <c r="N7856" s="12" t="s">
        <v>36</v>
      </c>
      <c r="O7856" s="17" t="s">
        <v>36</v>
      </c>
      <c r="P7856" s="12" t="s">
        <v>36</v>
      </c>
      <c r="Q7856" s="12" t="s">
        <v>36</v>
      </c>
      <c r="R7856" s="12" t="s">
        <v>36</v>
      </c>
      <c r="S7856" s="12" t="s">
        <v>36</v>
      </c>
      <c r="T7856" s="12" t="s">
        <v>34556</v>
      </c>
      <c r="U7856" s="12" t="s">
        <v>74</v>
      </c>
      <c r="V7856" s="12" t="s">
        <v>75</v>
      </c>
      <c r="W7856" s="12" t="s">
        <v>34557</v>
      </c>
      <c r="X7856" s="16" t="s">
        <v>11579</v>
      </c>
      <c r="Y7856" s="15" t="s">
        <v>108</v>
      </c>
      <c r="Z7856" s="14" t="s">
        <v>36</v>
      </c>
      <c r="AA7856" s="14" t="s">
        <v>36</v>
      </c>
      <c r="AB7856" s="12" t="s">
        <v>56</v>
      </c>
      <c r="AC7856" s="12" t="s">
        <v>34558</v>
      </c>
      <c r="AD7856" s="13">
        <v>41640</v>
      </c>
      <c r="AE7856" s="12" t="s">
        <v>79</v>
      </c>
      <c r="AF7856" s="12" t="s">
        <v>34559</v>
      </c>
      <c r="AG7856" s="12" t="s">
        <v>3250</v>
      </c>
      <c r="AH7856" s="1">
        <f>HYPERLINK("https://my.pitchbook.com?c=85105-09T","View Company Online")</f>
      </c>
    </row>
    <row r="7857">
      <c r="A7857" s="3" t="s">
        <v>34560</v>
      </c>
      <c r="B7857" s="3" t="s">
        <v>34561</v>
      </c>
      <c r="C7857" s="5" t="s">
        <v>36</v>
      </c>
      <c r="D7857" s="5" t="s">
        <v>36</v>
      </c>
      <c r="E7857" s="5" t="s">
        <v>36</v>
      </c>
      <c r="F7857" s="5" t="s">
        <v>36</v>
      </c>
      <c r="G7857" s="6" t="s">
        <v>36</v>
      </c>
      <c r="H7857" s="4" t="s">
        <v>36</v>
      </c>
      <c r="I7857" s="7" t="s">
        <v>36</v>
      </c>
      <c r="J7857" s="3" t="s">
        <v>36</v>
      </c>
      <c r="K7857" s="9" t="s">
        <v>36</v>
      </c>
      <c r="L7857" s="6" t="s">
        <v>36</v>
      </c>
      <c r="M7857" s="3" t="s">
        <v>36</v>
      </c>
      <c r="N7857" s="3" t="s">
        <v>36</v>
      </c>
      <c r="O7857" s="8" t="s">
        <v>36</v>
      </c>
      <c r="P7857" s="3" t="s">
        <v>36</v>
      </c>
      <c r="Q7857" s="3" t="s">
        <v>36</v>
      </c>
      <c r="R7857" s="3" t="s">
        <v>36</v>
      </c>
      <c r="S7857" s="3" t="s">
        <v>36</v>
      </c>
      <c r="T7857" s="3" t="s">
        <v>522</v>
      </c>
      <c r="U7857" s="3" t="s">
        <v>38</v>
      </c>
      <c r="V7857" s="3" t="s">
        <v>39</v>
      </c>
      <c r="W7857" s="3" t="s">
        <v>34562</v>
      </c>
      <c r="X7857" s="10" t="s">
        <v>32013</v>
      </c>
      <c r="Y7857" s="6" t="s">
        <v>108</v>
      </c>
      <c r="Z7857" s="4">
        <v>1.23</v>
      </c>
      <c r="AA7857" s="4" t="s">
        <v>36</v>
      </c>
      <c r="AB7857" s="3" t="s">
        <v>43</v>
      </c>
      <c r="AC7857" s="3" t="s">
        <v>34563</v>
      </c>
      <c r="AD7857" s="9">
        <v>41640</v>
      </c>
      <c r="AE7857" s="3" t="s">
        <v>110</v>
      </c>
      <c r="AF7857" s="3" t="s">
        <v>6214</v>
      </c>
      <c r="AG7857" s="3" t="s">
        <v>16218</v>
      </c>
      <c r="AH7857" s="11">
        <f>HYPERLINK("https://my.pitchbook.com?c=51222-70T","View Company Online")</f>
      </c>
    </row>
    <row r="7858">
      <c r="A7858" s="12" t="s">
        <v>34564</v>
      </c>
      <c r="B7858" s="12" t="s">
        <v>34565</v>
      </c>
      <c r="C7858" s="19" t="s">
        <v>36</v>
      </c>
      <c r="D7858" s="19" t="s">
        <v>36</v>
      </c>
      <c r="E7858" s="19" t="s">
        <v>36</v>
      </c>
      <c r="F7858" s="19" t="s">
        <v>36</v>
      </c>
      <c r="G7858" s="15" t="s">
        <v>36</v>
      </c>
      <c r="H7858" s="14" t="s">
        <v>36</v>
      </c>
      <c r="I7858" s="18" t="s">
        <v>36</v>
      </c>
      <c r="J7858" s="12" t="s">
        <v>36</v>
      </c>
      <c r="K7858" s="13" t="s">
        <v>36</v>
      </c>
      <c r="L7858" s="15" t="s">
        <v>36</v>
      </c>
      <c r="M7858" s="12" t="s">
        <v>36</v>
      </c>
      <c r="N7858" s="12" t="s">
        <v>36</v>
      </c>
      <c r="O7858" s="17" t="s">
        <v>36</v>
      </c>
      <c r="P7858" s="12" t="s">
        <v>36</v>
      </c>
      <c r="Q7858" s="12" t="s">
        <v>36</v>
      </c>
      <c r="R7858" s="12" t="s">
        <v>36</v>
      </c>
      <c r="S7858" s="12" t="s">
        <v>36</v>
      </c>
      <c r="T7858" s="12" t="s">
        <v>15345</v>
      </c>
      <c r="U7858" s="12" t="s">
        <v>318</v>
      </c>
      <c r="V7858" s="12" t="s">
        <v>39</v>
      </c>
      <c r="W7858" s="12" t="s">
        <v>34566</v>
      </c>
      <c r="X7858" s="16" t="s">
        <v>34567</v>
      </c>
      <c r="Y7858" s="15" t="s">
        <v>42</v>
      </c>
      <c r="Z7858" s="14" t="s">
        <v>36</v>
      </c>
      <c r="AA7858" s="14" t="s">
        <v>36</v>
      </c>
      <c r="AB7858" s="12" t="s">
        <v>43</v>
      </c>
      <c r="AC7858" s="12" t="s">
        <v>34568</v>
      </c>
      <c r="AD7858" s="13">
        <v>41640</v>
      </c>
      <c r="AE7858" s="12" t="s">
        <v>763</v>
      </c>
      <c r="AF7858" s="12" t="s">
        <v>34569</v>
      </c>
      <c r="AG7858" s="12" t="s">
        <v>3006</v>
      </c>
      <c r="AH7858" s="1">
        <f>HYPERLINK("https://my.pitchbook.com?c=44006-68T","View Company Online")</f>
      </c>
    </row>
    <row r="7859">
      <c r="A7859" s="3" t="s">
        <v>34570</v>
      </c>
      <c r="B7859" s="3" t="s">
        <v>34571</v>
      </c>
      <c r="C7859" s="5" t="s">
        <v>36</v>
      </c>
      <c r="D7859" s="5" t="s">
        <v>36</v>
      </c>
      <c r="E7859" s="5" t="s">
        <v>36</v>
      </c>
      <c r="F7859" s="5" t="s">
        <v>36</v>
      </c>
      <c r="G7859" s="6" t="s">
        <v>36</v>
      </c>
      <c r="H7859" s="4" t="s">
        <v>36</v>
      </c>
      <c r="I7859" s="7" t="s">
        <v>36</v>
      </c>
      <c r="J7859" s="3" t="s">
        <v>36</v>
      </c>
      <c r="K7859" s="9" t="s">
        <v>36</v>
      </c>
      <c r="L7859" s="6" t="s">
        <v>36</v>
      </c>
      <c r="M7859" s="3" t="s">
        <v>36</v>
      </c>
      <c r="N7859" s="3" t="s">
        <v>36</v>
      </c>
      <c r="O7859" s="8" t="s">
        <v>36</v>
      </c>
      <c r="P7859" s="3" t="s">
        <v>36</v>
      </c>
      <c r="Q7859" s="3" t="s">
        <v>36</v>
      </c>
      <c r="R7859" s="3" t="s">
        <v>36</v>
      </c>
      <c r="S7859" s="3" t="s">
        <v>36</v>
      </c>
      <c r="T7859" s="3" t="s">
        <v>34572</v>
      </c>
      <c r="U7859" s="3" t="s">
        <v>74</v>
      </c>
      <c r="V7859" s="3" t="s">
        <v>75</v>
      </c>
      <c r="W7859" s="3" t="s">
        <v>34573</v>
      </c>
      <c r="X7859" s="10" t="s">
        <v>5661</v>
      </c>
      <c r="Y7859" s="6" t="s">
        <v>42</v>
      </c>
      <c r="Z7859" s="4" t="s">
        <v>36</v>
      </c>
      <c r="AA7859" s="4" t="s">
        <v>36</v>
      </c>
      <c r="AB7859" s="3" t="s">
        <v>43</v>
      </c>
      <c r="AC7859" s="3" t="s">
        <v>34574</v>
      </c>
      <c r="AD7859" s="9">
        <v>41640</v>
      </c>
      <c r="AE7859" s="3" t="s">
        <v>975</v>
      </c>
      <c r="AF7859" s="3" t="s">
        <v>25016</v>
      </c>
      <c r="AG7859" s="3" t="s">
        <v>34372</v>
      </c>
      <c r="AH7859" s="11">
        <f>HYPERLINK("https://my.pitchbook.com?c=43995-25T","View Company Online")</f>
      </c>
    </row>
    <row r="7860">
      <c r="A7860" s="12" t="s">
        <v>34575</v>
      </c>
      <c r="B7860" s="12" t="s">
        <v>32676</v>
      </c>
      <c r="C7860" s="19" t="s">
        <v>36</v>
      </c>
      <c r="D7860" s="19" t="s">
        <v>36</v>
      </c>
      <c r="E7860" s="19" t="s">
        <v>36</v>
      </c>
      <c r="F7860" s="19" t="s">
        <v>36</v>
      </c>
      <c r="G7860" s="15" t="s">
        <v>36</v>
      </c>
      <c r="H7860" s="14" t="s">
        <v>36</v>
      </c>
      <c r="I7860" s="18" t="s">
        <v>36</v>
      </c>
      <c r="J7860" s="12" t="s">
        <v>36</v>
      </c>
      <c r="K7860" s="13" t="s">
        <v>36</v>
      </c>
      <c r="L7860" s="15" t="s">
        <v>36</v>
      </c>
      <c r="M7860" s="12" t="s">
        <v>36</v>
      </c>
      <c r="N7860" s="12" t="s">
        <v>36</v>
      </c>
      <c r="O7860" s="17" t="s">
        <v>36</v>
      </c>
      <c r="P7860" s="12" t="s">
        <v>36</v>
      </c>
      <c r="Q7860" s="12" t="s">
        <v>36</v>
      </c>
      <c r="R7860" s="12" t="s">
        <v>36</v>
      </c>
      <c r="S7860" s="12" t="s">
        <v>36</v>
      </c>
      <c r="T7860" s="12" t="s">
        <v>32677</v>
      </c>
      <c r="U7860" s="12" t="s">
        <v>74</v>
      </c>
      <c r="V7860" s="12" t="s">
        <v>75</v>
      </c>
      <c r="W7860" s="12" t="s">
        <v>32678</v>
      </c>
      <c r="X7860" s="16" t="s">
        <v>34576</v>
      </c>
      <c r="Y7860" s="15" t="s">
        <v>42</v>
      </c>
      <c r="Z7860" s="14" t="s">
        <v>36</v>
      </c>
      <c r="AA7860" s="14" t="s">
        <v>36</v>
      </c>
      <c r="AB7860" s="12" t="s">
        <v>43</v>
      </c>
      <c r="AC7860" s="12" t="s">
        <v>32680</v>
      </c>
      <c r="AD7860" s="13">
        <v>41640</v>
      </c>
      <c r="AE7860" s="12" t="s">
        <v>1888</v>
      </c>
      <c r="AF7860" s="12" t="s">
        <v>28578</v>
      </c>
      <c r="AG7860" s="12" t="s">
        <v>81</v>
      </c>
      <c r="AH7860" s="1">
        <f>HYPERLINK("https://my.pitchbook.com?c=72794-53T","View Company Online")</f>
      </c>
    </row>
    <row r="7861">
      <c r="A7861" s="3" t="s">
        <v>34577</v>
      </c>
      <c r="B7861" s="3" t="s">
        <v>34578</v>
      </c>
      <c r="C7861" s="5" t="s">
        <v>36</v>
      </c>
      <c r="D7861" s="5" t="s">
        <v>36</v>
      </c>
      <c r="E7861" s="5" t="s">
        <v>36</v>
      </c>
      <c r="F7861" s="5" t="s">
        <v>36</v>
      </c>
      <c r="G7861" s="6" t="s">
        <v>36</v>
      </c>
      <c r="H7861" s="4" t="s">
        <v>36</v>
      </c>
      <c r="I7861" s="7" t="s">
        <v>36</v>
      </c>
      <c r="J7861" s="3" t="s">
        <v>36</v>
      </c>
      <c r="K7861" s="9" t="s">
        <v>36</v>
      </c>
      <c r="L7861" s="6" t="s">
        <v>36</v>
      </c>
      <c r="M7861" s="3" t="s">
        <v>36</v>
      </c>
      <c r="N7861" s="3" t="s">
        <v>36</v>
      </c>
      <c r="O7861" s="8" t="s">
        <v>36</v>
      </c>
      <c r="P7861" s="3" t="s">
        <v>36</v>
      </c>
      <c r="Q7861" s="3" t="s">
        <v>36</v>
      </c>
      <c r="R7861" s="3" t="s">
        <v>36</v>
      </c>
      <c r="S7861" s="3" t="s">
        <v>36</v>
      </c>
      <c r="T7861" s="3" t="s">
        <v>34579</v>
      </c>
      <c r="U7861" s="3" t="s">
        <v>74</v>
      </c>
      <c r="V7861" s="3" t="s">
        <v>75</v>
      </c>
      <c r="W7861" s="3" t="s">
        <v>34580</v>
      </c>
      <c r="X7861" s="10" t="s">
        <v>34126</v>
      </c>
      <c r="Y7861" s="6" t="s">
        <v>42</v>
      </c>
      <c r="Z7861" s="4" t="s">
        <v>36</v>
      </c>
      <c r="AA7861" s="4" t="s">
        <v>36</v>
      </c>
      <c r="AB7861" s="3" t="s">
        <v>56</v>
      </c>
      <c r="AC7861" s="3" t="s">
        <v>34581</v>
      </c>
      <c r="AD7861" s="9">
        <v>41640</v>
      </c>
      <c r="AE7861" s="3" t="s">
        <v>696</v>
      </c>
      <c r="AF7861" s="3" t="s">
        <v>546</v>
      </c>
      <c r="AG7861" s="3" t="s">
        <v>81</v>
      </c>
      <c r="AH7861" s="11">
        <f>HYPERLINK("https://my.pitchbook.com?c=27271-45T","View Company Online")</f>
      </c>
    </row>
    <row r="7862">
      <c r="A7862" s="12" t="s">
        <v>34582</v>
      </c>
      <c r="B7862" s="12" t="s">
        <v>34583</v>
      </c>
      <c r="C7862" s="19" t="s">
        <v>36</v>
      </c>
      <c r="D7862" s="19" t="s">
        <v>36</v>
      </c>
      <c r="E7862" s="19" t="s">
        <v>36</v>
      </c>
      <c r="F7862" s="19" t="s">
        <v>36</v>
      </c>
      <c r="G7862" s="15" t="s">
        <v>36</v>
      </c>
      <c r="H7862" s="14" t="s">
        <v>36</v>
      </c>
      <c r="I7862" s="18" t="s">
        <v>36</v>
      </c>
      <c r="J7862" s="12" t="s">
        <v>36</v>
      </c>
      <c r="K7862" s="13" t="s">
        <v>36</v>
      </c>
      <c r="L7862" s="15" t="s">
        <v>36</v>
      </c>
      <c r="M7862" s="12" t="s">
        <v>36</v>
      </c>
      <c r="N7862" s="12" t="s">
        <v>36</v>
      </c>
      <c r="O7862" s="17" t="s">
        <v>36</v>
      </c>
      <c r="P7862" s="12" t="s">
        <v>36</v>
      </c>
      <c r="Q7862" s="12" t="s">
        <v>36</v>
      </c>
      <c r="R7862" s="12" t="s">
        <v>36</v>
      </c>
      <c r="S7862" s="12" t="s">
        <v>36</v>
      </c>
      <c r="T7862" s="12" t="s">
        <v>638</v>
      </c>
      <c r="U7862" s="12" t="s">
        <v>63</v>
      </c>
      <c r="V7862" s="12" t="s">
        <v>64</v>
      </c>
      <c r="W7862" s="12" t="s">
        <v>34584</v>
      </c>
      <c r="X7862" s="16" t="s">
        <v>2130</v>
      </c>
      <c r="Y7862" s="15" t="s">
        <v>42</v>
      </c>
      <c r="Z7862" s="14" t="s">
        <v>36</v>
      </c>
      <c r="AA7862" s="14" t="s">
        <v>36</v>
      </c>
      <c r="AB7862" s="12" t="s">
        <v>56</v>
      </c>
      <c r="AC7862" s="12" t="s">
        <v>34585</v>
      </c>
      <c r="AD7862" s="13">
        <v>41640</v>
      </c>
      <c r="AE7862" s="12" t="s">
        <v>642</v>
      </c>
      <c r="AF7862" s="12" t="s">
        <v>36</v>
      </c>
      <c r="AG7862" s="12" t="s">
        <v>1078</v>
      </c>
      <c r="AH7862" s="1">
        <f>HYPERLINK("https://my.pitchbook.com?c=50559-58T","View Company Online")</f>
      </c>
    </row>
    <row r="7863">
      <c r="A7863" s="3" t="s">
        <v>34586</v>
      </c>
      <c r="B7863" s="3" t="s">
        <v>34587</v>
      </c>
      <c r="C7863" s="5" t="s">
        <v>36</v>
      </c>
      <c r="D7863" s="5" t="s">
        <v>36</v>
      </c>
      <c r="E7863" s="5" t="s">
        <v>36</v>
      </c>
      <c r="F7863" s="5" t="s">
        <v>36</v>
      </c>
      <c r="G7863" s="6" t="s">
        <v>36</v>
      </c>
      <c r="H7863" s="4" t="s">
        <v>36</v>
      </c>
      <c r="I7863" s="7" t="s">
        <v>36</v>
      </c>
      <c r="J7863" s="3" t="s">
        <v>36</v>
      </c>
      <c r="K7863" s="9" t="s">
        <v>36</v>
      </c>
      <c r="L7863" s="6" t="s">
        <v>36</v>
      </c>
      <c r="M7863" s="3" t="s">
        <v>36</v>
      </c>
      <c r="N7863" s="3" t="s">
        <v>36</v>
      </c>
      <c r="O7863" s="8" t="s">
        <v>36</v>
      </c>
      <c r="P7863" s="3" t="s">
        <v>36</v>
      </c>
      <c r="Q7863" s="3" t="s">
        <v>36</v>
      </c>
      <c r="R7863" s="3" t="s">
        <v>36</v>
      </c>
      <c r="S7863" s="3" t="s">
        <v>36</v>
      </c>
      <c r="T7863" s="3" t="s">
        <v>34588</v>
      </c>
      <c r="U7863" s="3" t="s">
        <v>74</v>
      </c>
      <c r="V7863" s="3" t="s">
        <v>75</v>
      </c>
      <c r="W7863" s="3" t="s">
        <v>34589</v>
      </c>
      <c r="X7863" s="10" t="s">
        <v>33186</v>
      </c>
      <c r="Y7863" s="6" t="s">
        <v>42</v>
      </c>
      <c r="Z7863" s="4">
        <v>0.21</v>
      </c>
      <c r="AA7863" s="4" t="s">
        <v>36</v>
      </c>
      <c r="AB7863" s="3" t="s">
        <v>43</v>
      </c>
      <c r="AC7863" s="3" t="s">
        <v>34590</v>
      </c>
      <c r="AD7863" s="9">
        <v>41639</v>
      </c>
      <c r="AE7863" s="3" t="s">
        <v>696</v>
      </c>
      <c r="AF7863" s="3" t="s">
        <v>36</v>
      </c>
      <c r="AG7863" s="3" t="s">
        <v>2760</v>
      </c>
      <c r="AH7863" s="11">
        <f>HYPERLINK("https://my.pitchbook.com?c=132268-78T","View Company Online")</f>
      </c>
    </row>
    <row r="7864">
      <c r="A7864" s="12" t="s">
        <v>34591</v>
      </c>
      <c r="B7864" s="12" t="s">
        <v>17548</v>
      </c>
      <c r="C7864" s="19" t="s">
        <v>36</v>
      </c>
      <c r="D7864" s="19">
        <v>6</v>
      </c>
      <c r="E7864" s="19">
        <v>3</v>
      </c>
      <c r="F7864" s="19">
        <v>6</v>
      </c>
      <c r="G7864" s="15" t="s">
        <v>36</v>
      </c>
      <c r="H7864" s="14">
        <v>10.41</v>
      </c>
      <c r="I7864" s="18">
        <v>39.95</v>
      </c>
      <c r="J7864" s="12" t="s">
        <v>327</v>
      </c>
      <c r="K7864" s="13" t="s">
        <v>36</v>
      </c>
      <c r="L7864" s="15" t="s">
        <v>36</v>
      </c>
      <c r="M7864" s="12" t="s">
        <v>36</v>
      </c>
      <c r="N7864" s="12" t="s">
        <v>36</v>
      </c>
      <c r="O7864" s="17" t="s">
        <v>36</v>
      </c>
      <c r="P7864" s="12" t="s">
        <v>36</v>
      </c>
      <c r="Q7864" s="12" t="s">
        <v>36</v>
      </c>
      <c r="R7864" s="12" t="s">
        <v>36</v>
      </c>
      <c r="S7864" s="12" t="s">
        <v>36</v>
      </c>
      <c r="T7864" s="12" t="s">
        <v>17549</v>
      </c>
      <c r="U7864" s="12" t="s">
        <v>423</v>
      </c>
      <c r="V7864" s="12" t="s">
        <v>64</v>
      </c>
      <c r="W7864" s="12" t="s">
        <v>17550</v>
      </c>
      <c r="X7864" s="16" t="s">
        <v>2130</v>
      </c>
      <c r="Y7864" s="15" t="s">
        <v>42</v>
      </c>
      <c r="Z7864" s="14">
        <v>1.37</v>
      </c>
      <c r="AA7864" s="14">
        <v>3.43</v>
      </c>
      <c r="AB7864" s="12" t="s">
        <v>56</v>
      </c>
      <c r="AC7864" s="12" t="s">
        <v>17552</v>
      </c>
      <c r="AD7864" s="13">
        <v>41638</v>
      </c>
      <c r="AE7864" s="12" t="s">
        <v>1051</v>
      </c>
      <c r="AF7864" s="12" t="s">
        <v>4397</v>
      </c>
      <c r="AG7864" s="12" t="s">
        <v>144</v>
      </c>
      <c r="AH7864" s="1">
        <f>HYPERLINK("https://my.pitchbook.com?c=30533-68T","View Company Online")</f>
      </c>
    </row>
    <row r="7865">
      <c r="A7865" s="3" t="s">
        <v>34592</v>
      </c>
      <c r="B7865" s="3" t="s">
        <v>34593</v>
      </c>
      <c r="C7865" s="5">
        <v>6</v>
      </c>
      <c r="D7865" s="5">
        <v>33</v>
      </c>
      <c r="E7865" s="5">
        <v>15</v>
      </c>
      <c r="F7865" s="5">
        <v>75</v>
      </c>
      <c r="G7865" s="6" t="s">
        <v>36</v>
      </c>
      <c r="H7865" s="4">
        <v>10.39</v>
      </c>
      <c r="I7865" s="7">
        <v>8.87</v>
      </c>
      <c r="J7865" s="3" t="s">
        <v>521</v>
      </c>
      <c r="K7865" s="9" t="s">
        <v>36</v>
      </c>
      <c r="L7865" s="6" t="s">
        <v>36</v>
      </c>
      <c r="M7865" s="3" t="s">
        <v>36</v>
      </c>
      <c r="N7865" s="3" t="s">
        <v>36</v>
      </c>
      <c r="O7865" s="8" t="s">
        <v>36</v>
      </c>
      <c r="P7865" s="3" t="s">
        <v>36</v>
      </c>
      <c r="Q7865" s="3" t="s">
        <v>36</v>
      </c>
      <c r="R7865" s="3" t="s">
        <v>36</v>
      </c>
      <c r="S7865" s="3" t="s">
        <v>36</v>
      </c>
      <c r="T7865" s="3" t="s">
        <v>2213</v>
      </c>
      <c r="U7865" s="3" t="s">
        <v>219</v>
      </c>
      <c r="V7865" s="3" t="s">
        <v>75</v>
      </c>
      <c r="W7865" s="3" t="s">
        <v>34594</v>
      </c>
      <c r="X7865" s="10" t="s">
        <v>2130</v>
      </c>
      <c r="Y7865" s="6" t="s">
        <v>108</v>
      </c>
      <c r="Z7865" s="4">
        <v>1.37</v>
      </c>
      <c r="AA7865" s="4">
        <v>15.39</v>
      </c>
      <c r="AB7865" s="3" t="s">
        <v>56</v>
      </c>
      <c r="AC7865" s="3" t="s">
        <v>34595</v>
      </c>
      <c r="AD7865" s="9">
        <v>41635</v>
      </c>
      <c r="AE7865" s="3" t="s">
        <v>1912</v>
      </c>
      <c r="AF7865" s="3" t="s">
        <v>34596</v>
      </c>
      <c r="AG7865" s="3" t="s">
        <v>34597</v>
      </c>
      <c r="AH7865" s="11">
        <f>HYPERLINK("https://my.pitchbook.com?c=30529-36T","View Company Online")</f>
      </c>
    </row>
    <row r="7866">
      <c r="A7866" s="12" t="s">
        <v>34598</v>
      </c>
      <c r="B7866" s="12" t="s">
        <v>34599</v>
      </c>
      <c r="C7866" s="19" t="s">
        <v>36</v>
      </c>
      <c r="D7866" s="19" t="s">
        <v>36</v>
      </c>
      <c r="E7866" s="19" t="s">
        <v>36</v>
      </c>
      <c r="F7866" s="19" t="s">
        <v>36</v>
      </c>
      <c r="G7866" s="15" t="s">
        <v>326</v>
      </c>
      <c r="H7866" s="14">
        <v>10.39</v>
      </c>
      <c r="I7866" s="18">
        <v>31.14</v>
      </c>
      <c r="J7866" s="12" t="s">
        <v>521</v>
      </c>
      <c r="K7866" s="13" t="s">
        <v>36</v>
      </c>
      <c r="L7866" s="15" t="s">
        <v>36</v>
      </c>
      <c r="M7866" s="12" t="s">
        <v>36</v>
      </c>
      <c r="N7866" s="12" t="s">
        <v>36</v>
      </c>
      <c r="O7866" s="17" t="s">
        <v>36</v>
      </c>
      <c r="P7866" s="12" t="s">
        <v>36</v>
      </c>
      <c r="Q7866" s="12" t="s">
        <v>36</v>
      </c>
      <c r="R7866" s="12" t="s">
        <v>36</v>
      </c>
      <c r="S7866" s="12" t="s">
        <v>36</v>
      </c>
      <c r="T7866" s="12" t="s">
        <v>3397</v>
      </c>
      <c r="U7866" s="12" t="s">
        <v>423</v>
      </c>
      <c r="V7866" s="12" t="s">
        <v>64</v>
      </c>
      <c r="W7866" s="12" t="s">
        <v>34600</v>
      </c>
      <c r="X7866" s="16" t="s">
        <v>2130</v>
      </c>
      <c r="Y7866" s="15" t="s">
        <v>42</v>
      </c>
      <c r="Z7866" s="14">
        <v>2.04</v>
      </c>
      <c r="AA7866" s="14">
        <v>6.56</v>
      </c>
      <c r="AB7866" s="12" t="s">
        <v>56</v>
      </c>
      <c r="AC7866" s="12" t="s">
        <v>34601</v>
      </c>
      <c r="AD7866" s="13">
        <v>41635</v>
      </c>
      <c r="AE7866" s="12" t="s">
        <v>562</v>
      </c>
      <c r="AF7866" s="12" t="s">
        <v>36</v>
      </c>
      <c r="AG7866" s="12" t="s">
        <v>81</v>
      </c>
      <c r="AH7866" s="1">
        <f>HYPERLINK("https://my.pitchbook.com?c=30531-79T","View Company Online")</f>
      </c>
    </row>
    <row r="7867">
      <c r="A7867" s="3" t="s">
        <v>34602</v>
      </c>
      <c r="B7867" s="3" t="s">
        <v>34603</v>
      </c>
      <c r="C7867" s="5" t="s">
        <v>36</v>
      </c>
      <c r="D7867" s="5" t="s">
        <v>36</v>
      </c>
      <c r="E7867" s="5" t="s">
        <v>36</v>
      </c>
      <c r="F7867" s="5" t="s">
        <v>36</v>
      </c>
      <c r="G7867" s="6" t="s">
        <v>36</v>
      </c>
      <c r="H7867" s="4" t="s">
        <v>36</v>
      </c>
      <c r="I7867" s="7" t="s">
        <v>36</v>
      </c>
      <c r="J7867" s="3" t="s">
        <v>36</v>
      </c>
      <c r="K7867" s="9">
        <v>41603</v>
      </c>
      <c r="L7867" s="6" t="s">
        <v>36</v>
      </c>
      <c r="M7867" s="3" t="s">
        <v>36</v>
      </c>
      <c r="N7867" s="3" t="s">
        <v>36</v>
      </c>
      <c r="O7867" s="8" t="s">
        <v>36</v>
      </c>
      <c r="P7867" s="3" t="s">
        <v>36</v>
      </c>
      <c r="Q7867" s="3" t="s">
        <v>36</v>
      </c>
      <c r="R7867" s="3" t="s">
        <v>36</v>
      </c>
      <c r="S7867" s="3" t="s">
        <v>36</v>
      </c>
      <c r="T7867" s="3" t="s">
        <v>7582</v>
      </c>
      <c r="U7867" s="3" t="s">
        <v>63</v>
      </c>
      <c r="V7867" s="3" t="s">
        <v>64</v>
      </c>
      <c r="W7867" s="3" t="s">
        <v>34604</v>
      </c>
      <c r="X7867" s="10" t="s">
        <v>34605</v>
      </c>
      <c r="Y7867" s="6" t="s">
        <v>42</v>
      </c>
      <c r="Z7867" s="4">
        <v>0.1</v>
      </c>
      <c r="AA7867" s="4" t="s">
        <v>36</v>
      </c>
      <c r="AB7867" s="3" t="s">
        <v>43</v>
      </c>
      <c r="AC7867" s="3" t="s">
        <v>34606</v>
      </c>
      <c r="AD7867" s="9">
        <v>41631</v>
      </c>
      <c r="AE7867" s="3" t="s">
        <v>68</v>
      </c>
      <c r="AF7867" s="3" t="s">
        <v>1636</v>
      </c>
      <c r="AG7867" s="3" t="s">
        <v>12512</v>
      </c>
      <c r="AH7867" s="11">
        <f>HYPERLINK("https://my.pitchbook.com?c=60778-45T","View Company Online")</f>
      </c>
    </row>
    <row r="7868">
      <c r="A7868" s="12" t="s">
        <v>34607</v>
      </c>
      <c r="B7868" s="12" t="s">
        <v>34608</v>
      </c>
      <c r="C7868" s="19">
        <v>38</v>
      </c>
      <c r="D7868" s="19">
        <v>76</v>
      </c>
      <c r="E7868" s="19">
        <v>63</v>
      </c>
      <c r="F7868" s="19">
        <v>141</v>
      </c>
      <c r="G7868" s="15" t="s">
        <v>36</v>
      </c>
      <c r="H7868" s="14" t="s">
        <v>36</v>
      </c>
      <c r="I7868" s="18" t="s">
        <v>36</v>
      </c>
      <c r="J7868" s="12" t="s">
        <v>36</v>
      </c>
      <c r="K7868" s="13">
        <v>41360</v>
      </c>
      <c r="L7868" s="15" t="s">
        <v>1279</v>
      </c>
      <c r="M7868" s="12" t="s">
        <v>36</v>
      </c>
      <c r="N7868" s="12" t="s">
        <v>1279</v>
      </c>
      <c r="O7868" s="17" t="s">
        <v>36</v>
      </c>
      <c r="P7868" s="12" t="s">
        <v>36</v>
      </c>
      <c r="Q7868" s="12" t="s">
        <v>36</v>
      </c>
      <c r="R7868" s="12" t="s">
        <v>36</v>
      </c>
      <c r="S7868" s="12" t="s">
        <v>36</v>
      </c>
      <c r="T7868" s="12" t="s">
        <v>31106</v>
      </c>
      <c r="U7868" s="12" t="s">
        <v>833</v>
      </c>
      <c r="V7868" s="12" t="s">
        <v>64</v>
      </c>
      <c r="W7868" s="12" t="s">
        <v>34609</v>
      </c>
      <c r="X7868" s="16" t="s">
        <v>34610</v>
      </c>
      <c r="Y7868" s="15" t="s">
        <v>55</v>
      </c>
      <c r="Z7868" s="14">
        <v>20.47</v>
      </c>
      <c r="AA7868" s="14" t="s">
        <v>36</v>
      </c>
      <c r="AB7868" s="12" t="s">
        <v>56</v>
      </c>
      <c r="AC7868" s="12" t="s">
        <v>34611</v>
      </c>
      <c r="AD7868" s="13">
        <v>41628</v>
      </c>
      <c r="AE7868" s="12" t="s">
        <v>1687</v>
      </c>
      <c r="AF7868" s="12" t="s">
        <v>30848</v>
      </c>
      <c r="AG7868" s="12" t="s">
        <v>34612</v>
      </c>
      <c r="AH7868" s="1">
        <f>HYPERLINK("https://my.pitchbook.com?c=24521-50T","View Company Online")</f>
      </c>
    </row>
    <row r="7869">
      <c r="A7869" s="3" t="s">
        <v>34613</v>
      </c>
      <c r="B7869" s="3" t="s">
        <v>24970</v>
      </c>
      <c r="C7869" s="5" t="s">
        <v>36</v>
      </c>
      <c r="D7869" s="5">
        <v>3</v>
      </c>
      <c r="E7869" s="5">
        <v>1</v>
      </c>
      <c r="F7869" s="5">
        <v>4</v>
      </c>
      <c r="G7869" s="6" t="s">
        <v>36</v>
      </c>
      <c r="H7869" s="4" t="s">
        <v>36</v>
      </c>
      <c r="I7869" s="7">
        <v>13.76</v>
      </c>
      <c r="J7869" s="3" t="s">
        <v>327</v>
      </c>
      <c r="K7869" s="9" t="s">
        <v>36</v>
      </c>
      <c r="L7869" s="6" t="s">
        <v>36</v>
      </c>
      <c r="M7869" s="3" t="s">
        <v>36</v>
      </c>
      <c r="N7869" s="3" t="s">
        <v>36</v>
      </c>
      <c r="O7869" s="8" t="s">
        <v>36</v>
      </c>
      <c r="P7869" s="3" t="s">
        <v>36</v>
      </c>
      <c r="Q7869" s="3" t="s">
        <v>36</v>
      </c>
      <c r="R7869" s="3" t="s">
        <v>36</v>
      </c>
      <c r="S7869" s="3" t="s">
        <v>36</v>
      </c>
      <c r="T7869" s="3" t="s">
        <v>2992</v>
      </c>
      <c r="U7869" s="3" t="s">
        <v>96</v>
      </c>
      <c r="V7869" s="3" t="s">
        <v>52</v>
      </c>
      <c r="W7869" s="3" t="s">
        <v>24971</v>
      </c>
      <c r="X7869" s="10" t="s">
        <v>34614</v>
      </c>
      <c r="Y7869" s="6" t="s">
        <v>108</v>
      </c>
      <c r="Z7869" s="4">
        <v>1.5</v>
      </c>
      <c r="AA7869" s="4">
        <v>10.91</v>
      </c>
      <c r="AB7869" s="3" t="s">
        <v>43</v>
      </c>
      <c r="AC7869" s="3" t="s">
        <v>24973</v>
      </c>
      <c r="AD7869" s="9">
        <v>41628</v>
      </c>
      <c r="AE7869" s="3" t="s">
        <v>100</v>
      </c>
      <c r="AF7869" s="3" t="s">
        <v>15704</v>
      </c>
      <c r="AG7869" s="3" t="s">
        <v>991</v>
      </c>
      <c r="AH7869" s="11">
        <f>HYPERLINK("https://my.pitchbook.com?c=77611-78T","View Company Online")</f>
      </c>
    </row>
    <row r="7870">
      <c r="A7870" s="12" t="s">
        <v>34615</v>
      </c>
      <c r="B7870" s="12" t="s">
        <v>34616</v>
      </c>
      <c r="C7870" s="19" t="s">
        <v>36</v>
      </c>
      <c r="D7870" s="19">
        <v>12</v>
      </c>
      <c r="E7870" s="19">
        <v>7</v>
      </c>
      <c r="F7870" s="19">
        <v>14</v>
      </c>
      <c r="G7870" s="15" t="s">
        <v>36</v>
      </c>
      <c r="H7870" s="14" t="s">
        <v>36</v>
      </c>
      <c r="I7870" s="18" t="s">
        <v>36</v>
      </c>
      <c r="J7870" s="12" t="s">
        <v>36</v>
      </c>
      <c r="K7870" s="13" t="s">
        <v>36</v>
      </c>
      <c r="L7870" s="15" t="s">
        <v>36</v>
      </c>
      <c r="M7870" s="12" t="s">
        <v>36</v>
      </c>
      <c r="N7870" s="12" t="s">
        <v>36</v>
      </c>
      <c r="O7870" s="17" t="s">
        <v>36</v>
      </c>
      <c r="P7870" s="12" t="s">
        <v>36</v>
      </c>
      <c r="Q7870" s="12" t="s">
        <v>36</v>
      </c>
      <c r="R7870" s="12" t="s">
        <v>36</v>
      </c>
      <c r="S7870" s="12" t="s">
        <v>36</v>
      </c>
      <c r="T7870" s="12" t="s">
        <v>34617</v>
      </c>
      <c r="U7870" s="12" t="s">
        <v>96</v>
      </c>
      <c r="V7870" s="12" t="s">
        <v>52</v>
      </c>
      <c r="W7870" s="12" t="s">
        <v>34618</v>
      </c>
      <c r="X7870" s="16" t="s">
        <v>32144</v>
      </c>
      <c r="Y7870" s="15" t="s">
        <v>42</v>
      </c>
      <c r="Z7870" s="14">
        <v>3.41</v>
      </c>
      <c r="AA7870" s="14" t="s">
        <v>36</v>
      </c>
      <c r="AB7870" s="12" t="s">
        <v>56</v>
      </c>
      <c r="AC7870" s="12" t="s">
        <v>34619</v>
      </c>
      <c r="AD7870" s="13">
        <v>41627</v>
      </c>
      <c r="AE7870" s="12" t="s">
        <v>496</v>
      </c>
      <c r="AF7870" s="12" t="s">
        <v>571</v>
      </c>
      <c r="AG7870" s="12" t="s">
        <v>34620</v>
      </c>
      <c r="AH7870" s="1">
        <f>HYPERLINK("https://my.pitchbook.com?c=30531-25T","View Company Online")</f>
      </c>
    </row>
    <row r="7871">
      <c r="A7871" s="3" t="s">
        <v>34621</v>
      </c>
      <c r="B7871" s="3" t="s">
        <v>34622</v>
      </c>
      <c r="C7871" s="5" t="s">
        <v>36</v>
      </c>
      <c r="D7871" s="5">
        <v>149</v>
      </c>
      <c r="E7871" s="5">
        <v>48</v>
      </c>
      <c r="F7871" s="5">
        <v>253</v>
      </c>
      <c r="G7871" s="6" t="s">
        <v>36</v>
      </c>
      <c r="H7871" s="4" t="s">
        <v>36</v>
      </c>
      <c r="I7871" s="7" t="s">
        <v>36</v>
      </c>
      <c r="J7871" s="3" t="s">
        <v>36</v>
      </c>
      <c r="K7871" s="9" t="s">
        <v>36</v>
      </c>
      <c r="L7871" s="6" t="s">
        <v>36</v>
      </c>
      <c r="M7871" s="3" t="s">
        <v>36</v>
      </c>
      <c r="N7871" s="3" t="s">
        <v>36</v>
      </c>
      <c r="O7871" s="8" t="s">
        <v>36</v>
      </c>
      <c r="P7871" s="3" t="s">
        <v>36</v>
      </c>
      <c r="Q7871" s="3" t="s">
        <v>36</v>
      </c>
      <c r="R7871" s="3" t="s">
        <v>36</v>
      </c>
      <c r="S7871" s="3" t="s">
        <v>36</v>
      </c>
      <c r="T7871" s="3" t="s">
        <v>34623</v>
      </c>
      <c r="U7871" s="3" t="s">
        <v>74</v>
      </c>
      <c r="V7871" s="3" t="s">
        <v>75</v>
      </c>
      <c r="W7871" s="3" t="s">
        <v>34624</v>
      </c>
      <c r="X7871" s="10" t="s">
        <v>34625</v>
      </c>
      <c r="Y7871" s="6" t="s">
        <v>166</v>
      </c>
      <c r="Z7871" s="4">
        <v>2.05</v>
      </c>
      <c r="AA7871" s="4" t="s">
        <v>36</v>
      </c>
      <c r="AB7871" s="3" t="s">
        <v>56</v>
      </c>
      <c r="AC7871" s="3" t="s">
        <v>34626</v>
      </c>
      <c r="AD7871" s="9">
        <v>41627</v>
      </c>
      <c r="AE7871" s="3" t="s">
        <v>1243</v>
      </c>
      <c r="AF7871" s="3" t="s">
        <v>22942</v>
      </c>
      <c r="AG7871" s="3" t="s">
        <v>34627</v>
      </c>
      <c r="AH7871" s="11">
        <f>HYPERLINK("https://my.pitchbook.com?c=30403-99T","View Company Online")</f>
      </c>
    </row>
    <row r="7872">
      <c r="A7872" s="12" t="s">
        <v>34628</v>
      </c>
      <c r="B7872" s="12" t="s">
        <v>26065</v>
      </c>
      <c r="C7872" s="19" t="s">
        <v>36</v>
      </c>
      <c r="D7872" s="19">
        <v>25</v>
      </c>
      <c r="E7872" s="19">
        <v>12</v>
      </c>
      <c r="F7872" s="19">
        <v>37</v>
      </c>
      <c r="G7872" s="15" t="s">
        <v>2497</v>
      </c>
      <c r="H7872" s="14">
        <v>254.2</v>
      </c>
      <c r="I7872" s="18">
        <v>18.64</v>
      </c>
      <c r="J7872" s="12" t="s">
        <v>521</v>
      </c>
      <c r="K7872" s="13" t="s">
        <v>36</v>
      </c>
      <c r="L7872" s="15" t="s">
        <v>36</v>
      </c>
      <c r="M7872" s="12" t="s">
        <v>36</v>
      </c>
      <c r="N7872" s="12" t="s">
        <v>36</v>
      </c>
      <c r="O7872" s="17" t="s">
        <v>36</v>
      </c>
      <c r="P7872" s="12" t="s">
        <v>36</v>
      </c>
      <c r="Q7872" s="12" t="s">
        <v>36</v>
      </c>
      <c r="R7872" s="12" t="s">
        <v>36</v>
      </c>
      <c r="S7872" s="12" t="s">
        <v>36</v>
      </c>
      <c r="T7872" s="12" t="s">
        <v>2811</v>
      </c>
      <c r="U7872" s="12" t="s">
        <v>219</v>
      </c>
      <c r="V7872" s="12" t="s">
        <v>75</v>
      </c>
      <c r="W7872" s="12" t="s">
        <v>26066</v>
      </c>
      <c r="X7872" s="16" t="s">
        <v>34629</v>
      </c>
      <c r="Y7872" s="15" t="s">
        <v>192</v>
      </c>
      <c r="Z7872" s="14">
        <v>3.26</v>
      </c>
      <c r="AA7872" s="14">
        <v>17.5</v>
      </c>
      <c r="AB7872" s="12" t="s">
        <v>56</v>
      </c>
      <c r="AC7872" s="12" t="s">
        <v>26068</v>
      </c>
      <c r="AD7872" s="13">
        <v>41626</v>
      </c>
      <c r="AE7872" s="12" t="s">
        <v>223</v>
      </c>
      <c r="AF7872" s="12" t="s">
        <v>822</v>
      </c>
      <c r="AG7872" s="12" t="s">
        <v>26069</v>
      </c>
      <c r="AH7872" s="1">
        <f>HYPERLINK("https://my.pitchbook.com?c=30381-58T","View Company Online")</f>
      </c>
    </row>
    <row r="7873">
      <c r="A7873" s="3" t="s">
        <v>34630</v>
      </c>
      <c r="B7873" s="3" t="s">
        <v>8665</v>
      </c>
      <c r="C7873" s="5">
        <v>12</v>
      </c>
      <c r="D7873" s="5">
        <v>31</v>
      </c>
      <c r="E7873" s="5">
        <v>11</v>
      </c>
      <c r="F7873" s="5">
        <v>49</v>
      </c>
      <c r="G7873" s="6" t="s">
        <v>36</v>
      </c>
      <c r="H7873" s="4">
        <v>38.19</v>
      </c>
      <c r="I7873" s="7">
        <v>63.31</v>
      </c>
      <c r="J7873" s="3" t="s">
        <v>521</v>
      </c>
      <c r="K7873" s="9" t="s">
        <v>36</v>
      </c>
      <c r="L7873" s="6" t="s">
        <v>122</v>
      </c>
      <c r="M7873" s="3" t="s">
        <v>36</v>
      </c>
      <c r="N7873" s="3" t="s">
        <v>122</v>
      </c>
      <c r="O7873" s="8" t="s">
        <v>36</v>
      </c>
      <c r="P7873" s="3" t="s">
        <v>36</v>
      </c>
      <c r="Q7873" s="3" t="s">
        <v>36</v>
      </c>
      <c r="R7873" s="3" t="s">
        <v>36</v>
      </c>
      <c r="S7873" s="3" t="s">
        <v>36</v>
      </c>
      <c r="T7873" s="3" t="s">
        <v>881</v>
      </c>
      <c r="U7873" s="3" t="s">
        <v>51</v>
      </c>
      <c r="V7873" s="3" t="s">
        <v>52</v>
      </c>
      <c r="W7873" s="3" t="s">
        <v>8666</v>
      </c>
      <c r="X7873" s="10" t="s">
        <v>21035</v>
      </c>
      <c r="Y7873" s="6" t="s">
        <v>42</v>
      </c>
      <c r="Z7873" s="4">
        <v>10.22</v>
      </c>
      <c r="AA7873" s="4">
        <v>15.3</v>
      </c>
      <c r="AB7873" s="3" t="s">
        <v>43</v>
      </c>
      <c r="AC7873" s="3" t="s">
        <v>8668</v>
      </c>
      <c r="AD7873" s="9">
        <v>41625</v>
      </c>
      <c r="AE7873" s="3" t="s">
        <v>504</v>
      </c>
      <c r="AF7873" s="3" t="s">
        <v>3193</v>
      </c>
      <c r="AG7873" s="3" t="s">
        <v>8669</v>
      </c>
      <c r="AH7873" s="11">
        <f>HYPERLINK("https://my.pitchbook.com?c=45117-46T","View Company Online")</f>
      </c>
    </row>
    <row r="7874">
      <c r="A7874" s="12" t="s">
        <v>34631</v>
      </c>
      <c r="B7874" s="12" t="s">
        <v>31135</v>
      </c>
      <c r="C7874" s="19" t="s">
        <v>36</v>
      </c>
      <c r="D7874" s="19">
        <v>4</v>
      </c>
      <c r="E7874" s="19">
        <v>1</v>
      </c>
      <c r="F7874" s="19">
        <v>4</v>
      </c>
      <c r="G7874" s="15" t="s">
        <v>36</v>
      </c>
      <c r="H7874" s="14">
        <v>29.51</v>
      </c>
      <c r="I7874" s="18">
        <v>19.25</v>
      </c>
      <c r="J7874" s="12" t="s">
        <v>521</v>
      </c>
      <c r="K7874" s="13" t="s">
        <v>36</v>
      </c>
      <c r="L7874" s="15" t="s">
        <v>36</v>
      </c>
      <c r="M7874" s="12" t="s">
        <v>36</v>
      </c>
      <c r="N7874" s="12" t="s">
        <v>36</v>
      </c>
      <c r="O7874" s="17" t="s">
        <v>36</v>
      </c>
      <c r="P7874" s="12" t="s">
        <v>36</v>
      </c>
      <c r="Q7874" s="12" t="s">
        <v>36</v>
      </c>
      <c r="R7874" s="12" t="s">
        <v>36</v>
      </c>
      <c r="S7874" s="12" t="s">
        <v>36</v>
      </c>
      <c r="T7874" s="12" t="s">
        <v>31136</v>
      </c>
      <c r="U7874" s="12" t="s">
        <v>74</v>
      </c>
      <c r="V7874" s="12" t="s">
        <v>75</v>
      </c>
      <c r="W7874" s="12" t="s">
        <v>31137</v>
      </c>
      <c r="X7874" s="16" t="s">
        <v>34632</v>
      </c>
      <c r="Y7874" s="15" t="s">
        <v>42</v>
      </c>
      <c r="Z7874" s="14">
        <v>0.42</v>
      </c>
      <c r="AA7874" s="14">
        <v>2.18</v>
      </c>
      <c r="AB7874" s="12" t="s">
        <v>43</v>
      </c>
      <c r="AC7874" s="12" t="s">
        <v>31139</v>
      </c>
      <c r="AD7874" s="13">
        <v>41625</v>
      </c>
      <c r="AE7874" s="12" t="s">
        <v>30255</v>
      </c>
      <c r="AF7874" s="12" t="s">
        <v>4668</v>
      </c>
      <c r="AG7874" s="12" t="s">
        <v>1978</v>
      </c>
      <c r="AH7874" s="1">
        <f>HYPERLINK("https://my.pitchbook.com?c=35779-15T","View Company Online")</f>
      </c>
    </row>
    <row r="7875">
      <c r="A7875" s="3" t="s">
        <v>34633</v>
      </c>
      <c r="B7875" s="3" t="s">
        <v>32118</v>
      </c>
      <c r="C7875" s="5" t="s">
        <v>36</v>
      </c>
      <c r="D7875" s="5">
        <v>3</v>
      </c>
      <c r="E7875" s="5">
        <v>3</v>
      </c>
      <c r="F7875" s="5">
        <v>6</v>
      </c>
      <c r="G7875" s="6" t="s">
        <v>36</v>
      </c>
      <c r="H7875" s="4">
        <v>155.78</v>
      </c>
      <c r="I7875" s="7">
        <v>20</v>
      </c>
      <c r="J7875" s="3" t="s">
        <v>521</v>
      </c>
      <c r="K7875" s="9" t="s">
        <v>36</v>
      </c>
      <c r="L7875" s="6" t="s">
        <v>36</v>
      </c>
      <c r="M7875" s="3" t="s">
        <v>36</v>
      </c>
      <c r="N7875" s="3" t="s">
        <v>36</v>
      </c>
      <c r="O7875" s="8" t="s">
        <v>36</v>
      </c>
      <c r="P7875" s="3" t="s">
        <v>36</v>
      </c>
      <c r="Q7875" s="3" t="s">
        <v>36</v>
      </c>
      <c r="R7875" s="3" t="s">
        <v>36</v>
      </c>
      <c r="S7875" s="3" t="s">
        <v>36</v>
      </c>
      <c r="T7875" s="3" t="s">
        <v>2910</v>
      </c>
      <c r="U7875" s="3" t="s">
        <v>219</v>
      </c>
      <c r="V7875" s="3" t="s">
        <v>75</v>
      </c>
      <c r="W7875" s="3" t="s">
        <v>32119</v>
      </c>
      <c r="X7875" s="10" t="s">
        <v>1685</v>
      </c>
      <c r="Y7875" s="6" t="s">
        <v>42</v>
      </c>
      <c r="Z7875" s="4">
        <v>0.61</v>
      </c>
      <c r="AA7875" s="4">
        <v>3.06</v>
      </c>
      <c r="AB7875" s="3" t="s">
        <v>56</v>
      </c>
      <c r="AC7875" s="3" t="s">
        <v>32121</v>
      </c>
      <c r="AD7875" s="9">
        <v>41624</v>
      </c>
      <c r="AE7875" s="3" t="s">
        <v>2914</v>
      </c>
      <c r="AF7875" s="3" t="s">
        <v>1969</v>
      </c>
      <c r="AG7875" s="3" t="s">
        <v>32122</v>
      </c>
      <c r="AH7875" s="11">
        <f>HYPERLINK("https://my.pitchbook.com?c=135786-34T","View Company Online")</f>
      </c>
    </row>
    <row r="7876">
      <c r="A7876" s="12" t="s">
        <v>34634</v>
      </c>
      <c r="B7876" s="12" t="s">
        <v>25405</v>
      </c>
      <c r="C7876" s="19" t="s">
        <v>36</v>
      </c>
      <c r="D7876" s="19" t="s">
        <v>36</v>
      </c>
      <c r="E7876" s="19" t="s">
        <v>36</v>
      </c>
      <c r="F7876" s="19" t="s">
        <v>36</v>
      </c>
      <c r="G7876" s="15" t="s">
        <v>326</v>
      </c>
      <c r="H7876" s="14">
        <v>74.26</v>
      </c>
      <c r="I7876" s="18">
        <v>21.43</v>
      </c>
      <c r="J7876" s="12" t="s">
        <v>521</v>
      </c>
      <c r="K7876" s="13" t="s">
        <v>36</v>
      </c>
      <c r="L7876" s="15" t="s">
        <v>36</v>
      </c>
      <c r="M7876" s="12" t="s">
        <v>36</v>
      </c>
      <c r="N7876" s="12" t="s">
        <v>36</v>
      </c>
      <c r="O7876" s="17" t="s">
        <v>36</v>
      </c>
      <c r="P7876" s="12" t="s">
        <v>36</v>
      </c>
      <c r="Q7876" s="12" t="s">
        <v>36</v>
      </c>
      <c r="R7876" s="12" t="s">
        <v>36</v>
      </c>
      <c r="S7876" s="12" t="s">
        <v>6531</v>
      </c>
      <c r="T7876" s="12" t="s">
        <v>105</v>
      </c>
      <c r="U7876" s="12" t="s">
        <v>38</v>
      </c>
      <c r="V7876" s="12" t="s">
        <v>39</v>
      </c>
      <c r="W7876" s="12" t="s">
        <v>25406</v>
      </c>
      <c r="X7876" s="16" t="s">
        <v>34635</v>
      </c>
      <c r="Y7876" s="15" t="s">
        <v>108</v>
      </c>
      <c r="Z7876" s="14">
        <v>0.41</v>
      </c>
      <c r="AA7876" s="14">
        <v>1.91</v>
      </c>
      <c r="AB7876" s="12" t="s">
        <v>43</v>
      </c>
      <c r="AC7876" s="12" t="s">
        <v>25408</v>
      </c>
      <c r="AD7876" s="13">
        <v>41624</v>
      </c>
      <c r="AE7876" s="12" t="s">
        <v>110</v>
      </c>
      <c r="AF7876" s="12" t="s">
        <v>6488</v>
      </c>
      <c r="AG7876" s="12" t="s">
        <v>25409</v>
      </c>
      <c r="AH7876" s="1">
        <f>HYPERLINK("https://my.pitchbook.com?c=114923-26T","View Company Online")</f>
      </c>
    </row>
    <row r="7877">
      <c r="A7877" s="3" t="s">
        <v>34636</v>
      </c>
      <c r="B7877" s="3" t="s">
        <v>34637</v>
      </c>
      <c r="C7877" s="5" t="s">
        <v>36</v>
      </c>
      <c r="D7877" s="5" t="s">
        <v>36</v>
      </c>
      <c r="E7877" s="5" t="s">
        <v>36</v>
      </c>
      <c r="F7877" s="5" t="s">
        <v>36</v>
      </c>
      <c r="G7877" s="6" t="s">
        <v>36</v>
      </c>
      <c r="H7877" s="4" t="s">
        <v>36</v>
      </c>
      <c r="I7877" s="7" t="s">
        <v>36</v>
      </c>
      <c r="J7877" s="3" t="s">
        <v>36</v>
      </c>
      <c r="K7877" s="9" t="s">
        <v>36</v>
      </c>
      <c r="L7877" s="6" t="s">
        <v>122</v>
      </c>
      <c r="M7877" s="3" t="s">
        <v>36</v>
      </c>
      <c r="N7877" s="3" t="s">
        <v>122</v>
      </c>
      <c r="O7877" s="8" t="s">
        <v>36</v>
      </c>
      <c r="P7877" s="3" t="s">
        <v>36</v>
      </c>
      <c r="Q7877" s="3" t="s">
        <v>36</v>
      </c>
      <c r="R7877" s="3" t="s">
        <v>36</v>
      </c>
      <c r="S7877" s="3" t="s">
        <v>36</v>
      </c>
      <c r="T7877" s="3" t="s">
        <v>1344</v>
      </c>
      <c r="U7877" s="3" t="s">
        <v>38</v>
      </c>
      <c r="V7877" s="3" t="s">
        <v>39</v>
      </c>
      <c r="W7877" s="3" t="s">
        <v>34638</v>
      </c>
      <c r="X7877" s="10" t="s">
        <v>31667</v>
      </c>
      <c r="Y7877" s="6" t="s">
        <v>42</v>
      </c>
      <c r="Z7877" s="4">
        <v>7</v>
      </c>
      <c r="AA7877" s="4" t="s">
        <v>36</v>
      </c>
      <c r="AB7877" s="3" t="s">
        <v>56</v>
      </c>
      <c r="AC7877" s="3" t="s">
        <v>34639</v>
      </c>
      <c r="AD7877" s="9">
        <v>41624</v>
      </c>
      <c r="AE7877" s="3" t="s">
        <v>110</v>
      </c>
      <c r="AF7877" s="3" t="s">
        <v>176</v>
      </c>
      <c r="AG7877" s="3" t="s">
        <v>34640</v>
      </c>
      <c r="AH7877" s="11">
        <f>HYPERLINK("https://my.pitchbook.com?c=30305-89T","View Company Online")</f>
      </c>
    </row>
    <row r="7878">
      <c r="A7878" s="12" t="s">
        <v>34641</v>
      </c>
      <c r="B7878" s="12" t="s">
        <v>34642</v>
      </c>
      <c r="C7878" s="19">
        <v>10</v>
      </c>
      <c r="D7878" s="19">
        <v>53</v>
      </c>
      <c r="E7878" s="19">
        <v>8</v>
      </c>
      <c r="F7878" s="19">
        <v>68</v>
      </c>
      <c r="G7878" s="15" t="s">
        <v>36</v>
      </c>
      <c r="H7878" s="14" t="s">
        <v>36</v>
      </c>
      <c r="I7878" s="18" t="s">
        <v>36</v>
      </c>
      <c r="J7878" s="12" t="s">
        <v>36</v>
      </c>
      <c r="K7878" s="13" t="s">
        <v>36</v>
      </c>
      <c r="L7878" s="15" t="s">
        <v>36</v>
      </c>
      <c r="M7878" s="12" t="s">
        <v>36</v>
      </c>
      <c r="N7878" s="12" t="s">
        <v>36</v>
      </c>
      <c r="O7878" s="17" t="s">
        <v>36</v>
      </c>
      <c r="P7878" s="12" t="s">
        <v>36</v>
      </c>
      <c r="Q7878" s="12" t="s">
        <v>36</v>
      </c>
      <c r="R7878" s="12" t="s">
        <v>36</v>
      </c>
      <c r="S7878" s="12" t="s">
        <v>36</v>
      </c>
      <c r="T7878" s="12" t="s">
        <v>34643</v>
      </c>
      <c r="U7878" s="12" t="s">
        <v>38</v>
      </c>
      <c r="V7878" s="12" t="s">
        <v>39</v>
      </c>
      <c r="W7878" s="12" t="s">
        <v>34644</v>
      </c>
      <c r="X7878" s="16" t="s">
        <v>34645</v>
      </c>
      <c r="Y7878" s="15" t="s">
        <v>42</v>
      </c>
      <c r="Z7878" s="14" t="s">
        <v>36</v>
      </c>
      <c r="AA7878" s="14" t="s">
        <v>36</v>
      </c>
      <c r="AB7878" s="12" t="s">
        <v>43</v>
      </c>
      <c r="AC7878" s="12" t="s">
        <v>34646</v>
      </c>
      <c r="AD7878" s="13">
        <v>41622</v>
      </c>
      <c r="AE7878" s="12" t="s">
        <v>134</v>
      </c>
      <c r="AF7878" s="12" t="s">
        <v>2752</v>
      </c>
      <c r="AG7878" s="12" t="s">
        <v>11582</v>
      </c>
      <c r="AH7878" s="1">
        <f>HYPERLINK("https://my.pitchbook.com?c=53044-66T","View Company Online")</f>
      </c>
    </row>
    <row r="7879">
      <c r="A7879" s="3" t="s">
        <v>34647</v>
      </c>
      <c r="B7879" s="3" t="s">
        <v>34648</v>
      </c>
      <c r="C7879" s="5">
        <v>27</v>
      </c>
      <c r="D7879" s="5">
        <v>59</v>
      </c>
      <c r="E7879" s="5">
        <v>29</v>
      </c>
      <c r="F7879" s="5">
        <v>92</v>
      </c>
      <c r="G7879" s="6" t="s">
        <v>36</v>
      </c>
      <c r="H7879" s="4" t="s">
        <v>36</v>
      </c>
      <c r="I7879" s="7" t="s">
        <v>36</v>
      </c>
      <c r="J7879" s="3" t="s">
        <v>36</v>
      </c>
      <c r="K7879" s="9" t="s">
        <v>36</v>
      </c>
      <c r="L7879" s="6" t="s">
        <v>94</v>
      </c>
      <c r="M7879" s="3" t="s">
        <v>36</v>
      </c>
      <c r="N7879" s="3" t="s">
        <v>94</v>
      </c>
      <c r="O7879" s="8" t="s">
        <v>36</v>
      </c>
      <c r="P7879" s="3" t="s">
        <v>36</v>
      </c>
      <c r="Q7879" s="3" t="s">
        <v>36</v>
      </c>
      <c r="R7879" s="3" t="s">
        <v>36</v>
      </c>
      <c r="S7879" s="3" t="s">
        <v>36</v>
      </c>
      <c r="T7879" s="3" t="s">
        <v>34649</v>
      </c>
      <c r="U7879" s="3" t="s">
        <v>96</v>
      </c>
      <c r="V7879" s="3" t="s">
        <v>52</v>
      </c>
      <c r="W7879" s="3" t="s">
        <v>34650</v>
      </c>
      <c r="X7879" s="10" t="s">
        <v>34651</v>
      </c>
      <c r="Y7879" s="6" t="s">
        <v>55</v>
      </c>
      <c r="Z7879" s="4">
        <v>4.75</v>
      </c>
      <c r="AA7879" s="4" t="s">
        <v>36</v>
      </c>
      <c r="AB7879" s="3" t="s">
        <v>56</v>
      </c>
      <c r="AC7879" s="3" t="s">
        <v>34652</v>
      </c>
      <c r="AD7879" s="9">
        <v>41620</v>
      </c>
      <c r="AE7879" s="3" t="s">
        <v>755</v>
      </c>
      <c r="AF7879" s="3" t="s">
        <v>36</v>
      </c>
      <c r="AG7879" s="3" t="s">
        <v>34653</v>
      </c>
      <c r="AH7879" s="11">
        <f>HYPERLINK("https://my.pitchbook.com?c=34321-78T","View Company Online")</f>
      </c>
    </row>
    <row r="7880">
      <c r="A7880" s="12" t="s">
        <v>34654</v>
      </c>
      <c r="B7880" s="12" t="s">
        <v>34655</v>
      </c>
      <c r="C7880" s="19" t="s">
        <v>36</v>
      </c>
      <c r="D7880" s="19" t="s">
        <v>36</v>
      </c>
      <c r="E7880" s="19" t="s">
        <v>36</v>
      </c>
      <c r="F7880" s="19" t="s">
        <v>36</v>
      </c>
      <c r="G7880" s="15" t="s">
        <v>36</v>
      </c>
      <c r="H7880" s="14" t="s">
        <v>36</v>
      </c>
      <c r="I7880" s="18" t="s">
        <v>36</v>
      </c>
      <c r="J7880" s="12" t="s">
        <v>36</v>
      </c>
      <c r="K7880" s="13" t="s">
        <v>36</v>
      </c>
      <c r="L7880" s="15" t="s">
        <v>36</v>
      </c>
      <c r="M7880" s="12" t="s">
        <v>36</v>
      </c>
      <c r="N7880" s="12" t="s">
        <v>36</v>
      </c>
      <c r="O7880" s="17" t="s">
        <v>36</v>
      </c>
      <c r="P7880" s="12" t="s">
        <v>36</v>
      </c>
      <c r="Q7880" s="12" t="s">
        <v>36</v>
      </c>
      <c r="R7880" s="12" t="s">
        <v>36</v>
      </c>
      <c r="S7880" s="12" t="s">
        <v>36</v>
      </c>
      <c r="T7880" s="12" t="s">
        <v>34656</v>
      </c>
      <c r="U7880" s="12" t="s">
        <v>219</v>
      </c>
      <c r="V7880" s="12" t="s">
        <v>75</v>
      </c>
      <c r="W7880" s="12" t="s">
        <v>34657</v>
      </c>
      <c r="X7880" s="16" t="s">
        <v>12059</v>
      </c>
      <c r="Y7880" s="15" t="s">
        <v>42</v>
      </c>
      <c r="Z7880" s="14">
        <v>0.82</v>
      </c>
      <c r="AA7880" s="14" t="s">
        <v>36</v>
      </c>
      <c r="AB7880" s="12" t="s">
        <v>43</v>
      </c>
      <c r="AC7880" s="12" t="s">
        <v>34658</v>
      </c>
      <c r="AD7880" s="13">
        <v>41620</v>
      </c>
      <c r="AE7880" s="12" t="s">
        <v>223</v>
      </c>
      <c r="AF7880" s="12" t="s">
        <v>546</v>
      </c>
      <c r="AG7880" s="12" t="s">
        <v>34659</v>
      </c>
      <c r="AH7880" s="1">
        <f>HYPERLINK("https://my.pitchbook.com?c=77389-93T","View Company Online")</f>
      </c>
    </row>
    <row r="7881">
      <c r="A7881" s="3" t="s">
        <v>34660</v>
      </c>
      <c r="B7881" s="3" t="s">
        <v>34661</v>
      </c>
      <c r="C7881" s="5" t="s">
        <v>36</v>
      </c>
      <c r="D7881" s="5" t="s">
        <v>36</v>
      </c>
      <c r="E7881" s="5" t="s">
        <v>36</v>
      </c>
      <c r="F7881" s="5" t="s">
        <v>36</v>
      </c>
      <c r="G7881" s="6" t="s">
        <v>36</v>
      </c>
      <c r="H7881" s="4" t="s">
        <v>36</v>
      </c>
      <c r="I7881" s="7" t="s">
        <v>36</v>
      </c>
      <c r="J7881" s="3" t="s">
        <v>36</v>
      </c>
      <c r="K7881" s="9" t="s">
        <v>36</v>
      </c>
      <c r="L7881" s="6" t="s">
        <v>122</v>
      </c>
      <c r="M7881" s="3" t="s">
        <v>36</v>
      </c>
      <c r="N7881" s="3" t="s">
        <v>122</v>
      </c>
      <c r="O7881" s="8" t="s">
        <v>36</v>
      </c>
      <c r="P7881" s="3" t="s">
        <v>36</v>
      </c>
      <c r="Q7881" s="3" t="s">
        <v>36</v>
      </c>
      <c r="R7881" s="3" t="s">
        <v>36</v>
      </c>
      <c r="S7881" s="3" t="s">
        <v>36</v>
      </c>
      <c r="T7881" s="3" t="s">
        <v>34662</v>
      </c>
      <c r="U7881" s="3" t="s">
        <v>38</v>
      </c>
      <c r="V7881" s="3" t="s">
        <v>39</v>
      </c>
      <c r="W7881" s="3" t="s">
        <v>34663</v>
      </c>
      <c r="X7881" s="10" t="s">
        <v>34664</v>
      </c>
      <c r="Y7881" s="6" t="s">
        <v>108</v>
      </c>
      <c r="Z7881" s="4">
        <v>4.67</v>
      </c>
      <c r="AA7881" s="4" t="s">
        <v>36</v>
      </c>
      <c r="AB7881" s="3" t="s">
        <v>56</v>
      </c>
      <c r="AC7881" s="3" t="s">
        <v>34665</v>
      </c>
      <c r="AD7881" s="9">
        <v>41620</v>
      </c>
      <c r="AE7881" s="3" t="s">
        <v>110</v>
      </c>
      <c r="AF7881" s="3" t="s">
        <v>12769</v>
      </c>
      <c r="AG7881" s="3" t="s">
        <v>4172</v>
      </c>
      <c r="AH7881" s="11">
        <f>HYPERLINK("https://my.pitchbook.com?c=39001-96T","View Company Online")</f>
      </c>
    </row>
    <row r="7882">
      <c r="A7882" s="12" t="s">
        <v>34666</v>
      </c>
      <c r="B7882" s="12" t="s">
        <v>27702</v>
      </c>
      <c r="C7882" s="19" t="s">
        <v>36</v>
      </c>
      <c r="D7882" s="19" t="s">
        <v>36</v>
      </c>
      <c r="E7882" s="19" t="s">
        <v>36</v>
      </c>
      <c r="F7882" s="19" t="s">
        <v>36</v>
      </c>
      <c r="G7882" s="15" t="s">
        <v>36</v>
      </c>
      <c r="H7882" s="14">
        <v>104.86</v>
      </c>
      <c r="I7882" s="18">
        <v>43.42</v>
      </c>
      <c r="J7882" s="12" t="s">
        <v>521</v>
      </c>
      <c r="K7882" s="13" t="s">
        <v>36</v>
      </c>
      <c r="L7882" s="15" t="s">
        <v>36</v>
      </c>
      <c r="M7882" s="12" t="s">
        <v>36</v>
      </c>
      <c r="N7882" s="12" t="s">
        <v>36</v>
      </c>
      <c r="O7882" s="17" t="s">
        <v>36</v>
      </c>
      <c r="P7882" s="12" t="s">
        <v>36</v>
      </c>
      <c r="Q7882" s="12" t="s">
        <v>36</v>
      </c>
      <c r="R7882" s="12" t="s">
        <v>36</v>
      </c>
      <c r="S7882" s="12" t="s">
        <v>36</v>
      </c>
      <c r="T7882" s="12" t="s">
        <v>27703</v>
      </c>
      <c r="U7882" s="12" t="s">
        <v>289</v>
      </c>
      <c r="V7882" s="12" t="s">
        <v>64</v>
      </c>
      <c r="W7882" s="12" t="s">
        <v>27704</v>
      </c>
      <c r="X7882" s="16" t="s">
        <v>22994</v>
      </c>
      <c r="Y7882" s="15" t="s">
        <v>42</v>
      </c>
      <c r="Z7882" s="14">
        <v>1.05</v>
      </c>
      <c r="AA7882" s="14">
        <v>2.42</v>
      </c>
      <c r="AB7882" s="12" t="s">
        <v>43</v>
      </c>
      <c r="AC7882" s="12" t="s">
        <v>27706</v>
      </c>
      <c r="AD7882" s="13">
        <v>41620</v>
      </c>
      <c r="AE7882" s="12" t="s">
        <v>292</v>
      </c>
      <c r="AF7882" s="12" t="s">
        <v>2118</v>
      </c>
      <c r="AG7882" s="12" t="s">
        <v>81</v>
      </c>
      <c r="AH7882" s="1">
        <f>HYPERLINK("https://my.pitchbook.com?c=77620-24T","View Company Online")</f>
      </c>
    </row>
    <row r="7883">
      <c r="A7883" s="3" t="s">
        <v>34667</v>
      </c>
      <c r="B7883" s="3" t="s">
        <v>34668</v>
      </c>
      <c r="C7883" s="5" t="s">
        <v>36</v>
      </c>
      <c r="D7883" s="5" t="s">
        <v>36</v>
      </c>
      <c r="E7883" s="5" t="s">
        <v>36</v>
      </c>
      <c r="F7883" s="5" t="s">
        <v>36</v>
      </c>
      <c r="G7883" s="6" t="s">
        <v>36</v>
      </c>
      <c r="H7883" s="4">
        <v>599.28</v>
      </c>
      <c r="I7883" s="7">
        <v>26.37</v>
      </c>
      <c r="J7883" s="3" t="s">
        <v>521</v>
      </c>
      <c r="K7883" s="9" t="s">
        <v>36</v>
      </c>
      <c r="L7883" s="6" t="s">
        <v>36</v>
      </c>
      <c r="M7883" s="3" t="s">
        <v>36</v>
      </c>
      <c r="N7883" s="3" t="s">
        <v>36</v>
      </c>
      <c r="O7883" s="8" t="s">
        <v>36</v>
      </c>
      <c r="P7883" s="3" t="s">
        <v>36</v>
      </c>
      <c r="Q7883" s="3" t="s">
        <v>36</v>
      </c>
      <c r="R7883" s="3" t="s">
        <v>36</v>
      </c>
      <c r="S7883" s="3" t="s">
        <v>36</v>
      </c>
      <c r="T7883" s="3" t="s">
        <v>13078</v>
      </c>
      <c r="U7883" s="3" t="s">
        <v>219</v>
      </c>
      <c r="V7883" s="3" t="s">
        <v>75</v>
      </c>
      <c r="W7883" s="3" t="s">
        <v>34669</v>
      </c>
      <c r="X7883" s="10" t="s">
        <v>34670</v>
      </c>
      <c r="Y7883" s="6" t="s">
        <v>42</v>
      </c>
      <c r="Z7883" s="4">
        <v>0.4</v>
      </c>
      <c r="AA7883" s="4">
        <v>1.53</v>
      </c>
      <c r="AB7883" s="3" t="s">
        <v>56</v>
      </c>
      <c r="AC7883" s="3" t="s">
        <v>34671</v>
      </c>
      <c r="AD7883" s="9">
        <v>41619</v>
      </c>
      <c r="AE7883" s="3" t="s">
        <v>223</v>
      </c>
      <c r="AF7883" s="3" t="s">
        <v>36</v>
      </c>
      <c r="AG7883" s="3" t="s">
        <v>47</v>
      </c>
      <c r="AH7883" s="11">
        <f>HYPERLINK("https://my.pitchbook.com?c=208375-93T","View Company Online")</f>
      </c>
    </row>
    <row r="7884">
      <c r="A7884" s="12" t="s">
        <v>34672</v>
      </c>
      <c r="B7884" s="12" t="s">
        <v>26273</v>
      </c>
      <c r="C7884" s="19" t="s">
        <v>36</v>
      </c>
      <c r="D7884" s="19" t="s">
        <v>36</v>
      </c>
      <c r="E7884" s="19" t="s">
        <v>36</v>
      </c>
      <c r="F7884" s="19" t="s">
        <v>36</v>
      </c>
      <c r="G7884" s="15" t="s">
        <v>36</v>
      </c>
      <c r="H7884" s="14">
        <v>11.94</v>
      </c>
      <c r="I7884" s="18">
        <v>8</v>
      </c>
      <c r="J7884" s="12" t="s">
        <v>521</v>
      </c>
      <c r="K7884" s="13" t="s">
        <v>36</v>
      </c>
      <c r="L7884" s="15" t="s">
        <v>36</v>
      </c>
      <c r="M7884" s="12" t="s">
        <v>36</v>
      </c>
      <c r="N7884" s="12" t="s">
        <v>36</v>
      </c>
      <c r="O7884" s="17" t="s">
        <v>36</v>
      </c>
      <c r="P7884" s="12" t="s">
        <v>36</v>
      </c>
      <c r="Q7884" s="12" t="s">
        <v>36</v>
      </c>
      <c r="R7884" s="12" t="s">
        <v>36</v>
      </c>
      <c r="S7884" s="12" t="s">
        <v>36</v>
      </c>
      <c r="T7884" s="12" t="s">
        <v>1701</v>
      </c>
      <c r="U7884" s="12" t="s">
        <v>74</v>
      </c>
      <c r="V7884" s="12" t="s">
        <v>75</v>
      </c>
      <c r="W7884" s="12" t="s">
        <v>26274</v>
      </c>
      <c r="X7884" s="16" t="s">
        <v>34673</v>
      </c>
      <c r="Y7884" s="15" t="s">
        <v>42</v>
      </c>
      <c r="Z7884" s="14">
        <v>0.07</v>
      </c>
      <c r="AA7884" s="14">
        <v>0.85</v>
      </c>
      <c r="AB7884" s="12" t="s">
        <v>43</v>
      </c>
      <c r="AC7884" s="12" t="s">
        <v>26276</v>
      </c>
      <c r="AD7884" s="13">
        <v>41619</v>
      </c>
      <c r="AE7884" s="12" t="s">
        <v>79</v>
      </c>
      <c r="AF7884" s="12" t="s">
        <v>36</v>
      </c>
      <c r="AG7884" s="12" t="s">
        <v>5193</v>
      </c>
      <c r="AH7884" s="1">
        <f>HYPERLINK("https://my.pitchbook.com?c=30271-87T","View Company Online")</f>
      </c>
    </row>
    <row r="7885">
      <c r="A7885" s="3" t="s">
        <v>34674</v>
      </c>
      <c r="B7885" s="3" t="s">
        <v>32372</v>
      </c>
      <c r="C7885" s="5" t="s">
        <v>36</v>
      </c>
      <c r="D7885" s="5" t="s">
        <v>36</v>
      </c>
      <c r="E7885" s="5" t="s">
        <v>36</v>
      </c>
      <c r="F7885" s="5" t="s">
        <v>36</v>
      </c>
      <c r="G7885" s="6" t="s">
        <v>326</v>
      </c>
      <c r="H7885" s="4">
        <v>7.43</v>
      </c>
      <c r="I7885" s="7">
        <v>24.47</v>
      </c>
      <c r="J7885" s="3" t="s">
        <v>521</v>
      </c>
      <c r="K7885" s="9" t="s">
        <v>36</v>
      </c>
      <c r="L7885" s="6" t="s">
        <v>36</v>
      </c>
      <c r="M7885" s="3" t="s">
        <v>36</v>
      </c>
      <c r="N7885" s="3" t="s">
        <v>36</v>
      </c>
      <c r="O7885" s="8" t="s">
        <v>36</v>
      </c>
      <c r="P7885" s="3" t="s">
        <v>36</v>
      </c>
      <c r="Q7885" s="3" t="s">
        <v>36</v>
      </c>
      <c r="R7885" s="3" t="s">
        <v>36</v>
      </c>
      <c r="S7885" s="3" t="s">
        <v>36</v>
      </c>
      <c r="T7885" s="3" t="s">
        <v>4692</v>
      </c>
      <c r="U7885" s="3" t="s">
        <v>85</v>
      </c>
      <c r="V7885" s="3" t="s">
        <v>64</v>
      </c>
      <c r="W7885" s="3" t="s">
        <v>32373</v>
      </c>
      <c r="X7885" s="10" t="s">
        <v>34675</v>
      </c>
      <c r="Y7885" s="6" t="s">
        <v>108</v>
      </c>
      <c r="Z7885" s="4">
        <v>0.97</v>
      </c>
      <c r="AA7885" s="4">
        <v>3.95</v>
      </c>
      <c r="AB7885" s="3" t="s">
        <v>43</v>
      </c>
      <c r="AC7885" s="3" t="s">
        <v>32375</v>
      </c>
      <c r="AD7885" s="9">
        <v>41618</v>
      </c>
      <c r="AE7885" s="3" t="s">
        <v>89</v>
      </c>
      <c r="AF7885" s="3" t="s">
        <v>32376</v>
      </c>
      <c r="AG7885" s="3" t="s">
        <v>32377</v>
      </c>
      <c r="AH7885" s="11">
        <f>HYPERLINK("https://my.pitchbook.com?c=77482-18T","View Company Online")</f>
      </c>
    </row>
    <row r="7886">
      <c r="A7886" s="12" t="s">
        <v>34676</v>
      </c>
      <c r="B7886" s="12" t="s">
        <v>34677</v>
      </c>
      <c r="C7886" s="19" t="s">
        <v>36</v>
      </c>
      <c r="D7886" s="19" t="s">
        <v>36</v>
      </c>
      <c r="E7886" s="19" t="s">
        <v>36</v>
      </c>
      <c r="F7886" s="19" t="s">
        <v>36</v>
      </c>
      <c r="G7886" s="15" t="s">
        <v>2497</v>
      </c>
      <c r="H7886" s="14">
        <v>491.49</v>
      </c>
      <c r="I7886" s="18">
        <v>23.91</v>
      </c>
      <c r="J7886" s="12" t="s">
        <v>521</v>
      </c>
      <c r="K7886" s="13" t="s">
        <v>36</v>
      </c>
      <c r="L7886" s="15" t="s">
        <v>36</v>
      </c>
      <c r="M7886" s="12" t="s">
        <v>36</v>
      </c>
      <c r="N7886" s="12" t="s">
        <v>36</v>
      </c>
      <c r="O7886" s="17" t="s">
        <v>36</v>
      </c>
      <c r="P7886" s="12" t="s">
        <v>36</v>
      </c>
      <c r="Q7886" s="12" t="s">
        <v>36</v>
      </c>
      <c r="R7886" s="12" t="s">
        <v>36</v>
      </c>
      <c r="S7886" s="12" t="s">
        <v>36</v>
      </c>
      <c r="T7886" s="12" t="s">
        <v>522</v>
      </c>
      <c r="U7886" s="12" t="s">
        <v>38</v>
      </c>
      <c r="V7886" s="12" t="s">
        <v>39</v>
      </c>
      <c r="W7886" s="12" t="s">
        <v>34678</v>
      </c>
      <c r="X7886" s="16" t="s">
        <v>34679</v>
      </c>
      <c r="Y7886" s="15" t="s">
        <v>192</v>
      </c>
      <c r="Z7886" s="14">
        <v>2.43</v>
      </c>
      <c r="AA7886" s="14">
        <v>10.16</v>
      </c>
      <c r="AB7886" s="12" t="s">
        <v>56</v>
      </c>
      <c r="AC7886" s="12" t="s">
        <v>34680</v>
      </c>
      <c r="AD7886" s="13">
        <v>41618</v>
      </c>
      <c r="AE7886" s="12" t="s">
        <v>110</v>
      </c>
      <c r="AF7886" s="12" t="s">
        <v>25548</v>
      </c>
      <c r="AG7886" s="12" t="s">
        <v>16218</v>
      </c>
      <c r="AH7886" s="1">
        <f>HYPERLINK("https://my.pitchbook.com?c=136298-35T","View Company Online")</f>
      </c>
    </row>
    <row r="7887">
      <c r="A7887" s="3" t="s">
        <v>34681</v>
      </c>
      <c r="B7887" s="3" t="s">
        <v>34682</v>
      </c>
      <c r="C7887" s="5" t="s">
        <v>36</v>
      </c>
      <c r="D7887" s="5" t="s">
        <v>36</v>
      </c>
      <c r="E7887" s="5" t="s">
        <v>36</v>
      </c>
      <c r="F7887" s="5" t="s">
        <v>36</v>
      </c>
      <c r="G7887" s="6" t="s">
        <v>36</v>
      </c>
      <c r="H7887" s="4" t="s">
        <v>36</v>
      </c>
      <c r="I7887" s="7" t="s">
        <v>36</v>
      </c>
      <c r="J7887" s="3" t="s">
        <v>36</v>
      </c>
      <c r="K7887" s="9" t="s">
        <v>36</v>
      </c>
      <c r="L7887" s="6" t="s">
        <v>36</v>
      </c>
      <c r="M7887" s="3" t="s">
        <v>36</v>
      </c>
      <c r="N7887" s="3" t="s">
        <v>36</v>
      </c>
      <c r="O7887" s="8" t="s">
        <v>36</v>
      </c>
      <c r="P7887" s="3" t="s">
        <v>36</v>
      </c>
      <c r="Q7887" s="3" t="s">
        <v>36</v>
      </c>
      <c r="R7887" s="3" t="s">
        <v>36</v>
      </c>
      <c r="S7887" s="3" t="s">
        <v>36</v>
      </c>
      <c r="T7887" s="3" t="s">
        <v>2213</v>
      </c>
      <c r="U7887" s="3" t="s">
        <v>219</v>
      </c>
      <c r="V7887" s="3" t="s">
        <v>75</v>
      </c>
      <c r="W7887" s="3" t="s">
        <v>34683</v>
      </c>
      <c r="X7887" s="10" t="s">
        <v>34684</v>
      </c>
      <c r="Y7887" s="6" t="s">
        <v>42</v>
      </c>
      <c r="Z7887" s="4">
        <v>2.03</v>
      </c>
      <c r="AA7887" s="4" t="s">
        <v>36</v>
      </c>
      <c r="AB7887" s="3" t="s">
        <v>43</v>
      </c>
      <c r="AC7887" s="3" t="s">
        <v>34685</v>
      </c>
      <c r="AD7887" s="9">
        <v>41615</v>
      </c>
      <c r="AE7887" s="3" t="s">
        <v>1912</v>
      </c>
      <c r="AF7887" s="3" t="s">
        <v>546</v>
      </c>
      <c r="AG7887" s="3" t="s">
        <v>81</v>
      </c>
      <c r="AH7887" s="11">
        <f>HYPERLINK("https://my.pitchbook.com?c=36276-13T","View Company Online")</f>
      </c>
    </row>
    <row r="7888">
      <c r="A7888" s="12" t="s">
        <v>34686</v>
      </c>
      <c r="B7888" s="12" t="s">
        <v>34687</v>
      </c>
      <c r="C7888" s="19">
        <v>1</v>
      </c>
      <c r="D7888" s="19">
        <v>46</v>
      </c>
      <c r="E7888" s="19">
        <v>8</v>
      </c>
      <c r="F7888" s="19">
        <v>50</v>
      </c>
      <c r="G7888" s="15" t="s">
        <v>36</v>
      </c>
      <c r="H7888" s="14" t="s">
        <v>36</v>
      </c>
      <c r="I7888" s="18" t="s">
        <v>36</v>
      </c>
      <c r="J7888" s="12" t="s">
        <v>36</v>
      </c>
      <c r="K7888" s="13" t="s">
        <v>36</v>
      </c>
      <c r="L7888" s="15" t="s">
        <v>36</v>
      </c>
      <c r="M7888" s="12" t="s">
        <v>36</v>
      </c>
      <c r="N7888" s="12" t="s">
        <v>36</v>
      </c>
      <c r="O7888" s="17" t="s">
        <v>36</v>
      </c>
      <c r="P7888" s="12" t="s">
        <v>36</v>
      </c>
      <c r="Q7888" s="12" t="s">
        <v>36</v>
      </c>
      <c r="R7888" s="12" t="s">
        <v>36</v>
      </c>
      <c r="S7888" s="12" t="s">
        <v>36</v>
      </c>
      <c r="T7888" s="12" t="s">
        <v>3264</v>
      </c>
      <c r="U7888" s="12" t="s">
        <v>96</v>
      </c>
      <c r="V7888" s="12" t="s">
        <v>52</v>
      </c>
      <c r="W7888" s="12" t="s">
        <v>34688</v>
      </c>
      <c r="X7888" s="16" t="s">
        <v>34689</v>
      </c>
      <c r="Y7888" s="15" t="s">
        <v>55</v>
      </c>
      <c r="Z7888" s="14">
        <v>5.41</v>
      </c>
      <c r="AA7888" s="14" t="s">
        <v>36</v>
      </c>
      <c r="AB7888" s="12" t="s">
        <v>56</v>
      </c>
      <c r="AC7888" s="12" t="s">
        <v>34690</v>
      </c>
      <c r="AD7888" s="13">
        <v>41614</v>
      </c>
      <c r="AE7888" s="12" t="s">
        <v>496</v>
      </c>
      <c r="AF7888" s="12" t="s">
        <v>34691</v>
      </c>
      <c r="AG7888" s="12" t="s">
        <v>7425</v>
      </c>
      <c r="AH7888" s="1">
        <f>HYPERLINK("https://my.pitchbook.com?c=32438-35T","View Company Online")</f>
      </c>
    </row>
    <row r="7889">
      <c r="A7889" s="3" t="s">
        <v>34692</v>
      </c>
      <c r="B7889" s="3" t="s">
        <v>27847</v>
      </c>
      <c r="C7889" s="5" t="s">
        <v>36</v>
      </c>
      <c r="D7889" s="5" t="s">
        <v>36</v>
      </c>
      <c r="E7889" s="5" t="s">
        <v>36</v>
      </c>
      <c r="F7889" s="5" t="s">
        <v>36</v>
      </c>
      <c r="G7889" s="6" t="s">
        <v>36</v>
      </c>
      <c r="H7889" s="4">
        <v>5.61</v>
      </c>
      <c r="I7889" s="7">
        <v>29.13</v>
      </c>
      <c r="J7889" s="3" t="s">
        <v>521</v>
      </c>
      <c r="K7889" s="9" t="s">
        <v>36</v>
      </c>
      <c r="L7889" s="6" t="s">
        <v>36</v>
      </c>
      <c r="M7889" s="3" t="s">
        <v>36</v>
      </c>
      <c r="N7889" s="3" t="s">
        <v>36</v>
      </c>
      <c r="O7889" s="8" t="s">
        <v>36</v>
      </c>
      <c r="P7889" s="3" t="s">
        <v>36</v>
      </c>
      <c r="Q7889" s="3" t="s">
        <v>36</v>
      </c>
      <c r="R7889" s="3" t="s">
        <v>36</v>
      </c>
      <c r="S7889" s="3" t="s">
        <v>36</v>
      </c>
      <c r="T7889" s="3" t="s">
        <v>27848</v>
      </c>
      <c r="U7889" s="3" t="s">
        <v>74</v>
      </c>
      <c r="V7889" s="3" t="s">
        <v>75</v>
      </c>
      <c r="W7889" s="3" t="s">
        <v>27849</v>
      </c>
      <c r="X7889" s="10" t="s">
        <v>34693</v>
      </c>
      <c r="Y7889" s="6" t="s">
        <v>42</v>
      </c>
      <c r="Z7889" s="4">
        <v>1.35</v>
      </c>
      <c r="AA7889" s="4">
        <v>2.57</v>
      </c>
      <c r="AB7889" s="3" t="s">
        <v>43</v>
      </c>
      <c r="AC7889" s="3" t="s">
        <v>27851</v>
      </c>
      <c r="AD7889" s="9">
        <v>41613</v>
      </c>
      <c r="AE7889" s="3" t="s">
        <v>79</v>
      </c>
      <c r="AF7889" s="3" t="s">
        <v>1401</v>
      </c>
      <c r="AG7889" s="3" t="s">
        <v>373</v>
      </c>
      <c r="AH7889" s="11">
        <f>HYPERLINK("https://my.pitchbook.com?c=34794-19T","View Company Online")</f>
      </c>
    </row>
    <row r="7890">
      <c r="A7890" s="12" t="s">
        <v>34694</v>
      </c>
      <c r="B7890" s="12" t="s">
        <v>33353</v>
      </c>
      <c r="C7890" s="19">
        <v>4</v>
      </c>
      <c r="D7890" s="19">
        <v>21</v>
      </c>
      <c r="E7890" s="19">
        <v>7</v>
      </c>
      <c r="F7890" s="19">
        <v>50</v>
      </c>
      <c r="G7890" s="15" t="s">
        <v>36</v>
      </c>
      <c r="H7890" s="14" t="s">
        <v>36</v>
      </c>
      <c r="I7890" s="18" t="s">
        <v>36</v>
      </c>
      <c r="J7890" s="12" t="s">
        <v>36</v>
      </c>
      <c r="K7890" s="13" t="s">
        <v>36</v>
      </c>
      <c r="L7890" s="15" t="s">
        <v>36</v>
      </c>
      <c r="M7890" s="12" t="s">
        <v>36</v>
      </c>
      <c r="N7890" s="12" t="s">
        <v>36</v>
      </c>
      <c r="O7890" s="17" t="s">
        <v>36</v>
      </c>
      <c r="P7890" s="12" t="s">
        <v>36</v>
      </c>
      <c r="Q7890" s="12" t="s">
        <v>36</v>
      </c>
      <c r="R7890" s="12" t="s">
        <v>36</v>
      </c>
      <c r="S7890" s="12" t="s">
        <v>36</v>
      </c>
      <c r="T7890" s="12" t="s">
        <v>33354</v>
      </c>
      <c r="U7890" s="12" t="s">
        <v>1580</v>
      </c>
      <c r="V7890" s="12" t="s">
        <v>39</v>
      </c>
      <c r="W7890" s="12" t="s">
        <v>33355</v>
      </c>
      <c r="X7890" s="16" t="s">
        <v>34695</v>
      </c>
      <c r="Y7890" s="15" t="s">
        <v>321</v>
      </c>
      <c r="Z7890" s="14">
        <v>3.78</v>
      </c>
      <c r="AA7890" s="14" t="s">
        <v>36</v>
      </c>
      <c r="AB7890" s="12" t="s">
        <v>56</v>
      </c>
      <c r="AC7890" s="12" t="s">
        <v>33357</v>
      </c>
      <c r="AD7890" s="13">
        <v>41611</v>
      </c>
      <c r="AE7890" s="12" t="s">
        <v>4387</v>
      </c>
      <c r="AF7890" s="12" t="s">
        <v>1077</v>
      </c>
      <c r="AG7890" s="12" t="s">
        <v>33358</v>
      </c>
      <c r="AH7890" s="1">
        <f>HYPERLINK("https://my.pitchbook.com?c=30066-40T","View Company Online")</f>
      </c>
    </row>
    <row r="7891">
      <c r="A7891" s="3" t="s">
        <v>34696</v>
      </c>
      <c r="B7891" s="3" t="s">
        <v>34697</v>
      </c>
      <c r="C7891" s="5" t="s">
        <v>36</v>
      </c>
      <c r="D7891" s="5">
        <v>5</v>
      </c>
      <c r="E7891" s="5">
        <v>1</v>
      </c>
      <c r="F7891" s="5">
        <v>5</v>
      </c>
      <c r="G7891" s="6" t="s">
        <v>36</v>
      </c>
      <c r="H7891" s="4" t="s">
        <v>36</v>
      </c>
      <c r="I7891" s="7" t="s">
        <v>36</v>
      </c>
      <c r="J7891" s="3" t="s">
        <v>36</v>
      </c>
      <c r="K7891" s="9" t="s">
        <v>36</v>
      </c>
      <c r="L7891" s="6" t="s">
        <v>36</v>
      </c>
      <c r="M7891" s="3" t="s">
        <v>36</v>
      </c>
      <c r="N7891" s="3" t="s">
        <v>36</v>
      </c>
      <c r="O7891" s="8" t="s">
        <v>36</v>
      </c>
      <c r="P7891" s="3" t="s">
        <v>36</v>
      </c>
      <c r="Q7891" s="3" t="s">
        <v>36</v>
      </c>
      <c r="R7891" s="3" t="s">
        <v>36</v>
      </c>
      <c r="S7891" s="3" t="s">
        <v>36</v>
      </c>
      <c r="T7891" s="3" t="s">
        <v>34698</v>
      </c>
      <c r="U7891" s="3" t="s">
        <v>289</v>
      </c>
      <c r="V7891" s="3" t="s">
        <v>64</v>
      </c>
      <c r="W7891" s="3" t="s">
        <v>34699</v>
      </c>
      <c r="X7891" s="10" t="s">
        <v>34700</v>
      </c>
      <c r="Y7891" s="6" t="s">
        <v>108</v>
      </c>
      <c r="Z7891" s="4">
        <v>13.5</v>
      </c>
      <c r="AA7891" s="4" t="s">
        <v>36</v>
      </c>
      <c r="AB7891" s="3" t="s">
        <v>43</v>
      </c>
      <c r="AC7891" s="3" t="s">
        <v>34701</v>
      </c>
      <c r="AD7891" s="9">
        <v>41611</v>
      </c>
      <c r="AE7891" s="3" t="s">
        <v>292</v>
      </c>
      <c r="AF7891" s="3" t="s">
        <v>34702</v>
      </c>
      <c r="AG7891" s="3" t="s">
        <v>10955</v>
      </c>
      <c r="AH7891" s="11">
        <f>HYPERLINK("https://my.pitchbook.com?c=30064-06T","View Company Online")</f>
      </c>
    </row>
    <row r="7892">
      <c r="A7892" s="12" t="s">
        <v>34703</v>
      </c>
      <c r="B7892" s="12" t="s">
        <v>34704</v>
      </c>
      <c r="C7892" s="19" t="s">
        <v>36</v>
      </c>
      <c r="D7892" s="19" t="s">
        <v>36</v>
      </c>
      <c r="E7892" s="19" t="s">
        <v>36</v>
      </c>
      <c r="F7892" s="19" t="s">
        <v>36</v>
      </c>
      <c r="G7892" s="15" t="s">
        <v>36</v>
      </c>
      <c r="H7892" s="14">
        <v>6750.68</v>
      </c>
      <c r="I7892" s="18">
        <v>23.64</v>
      </c>
      <c r="J7892" s="12" t="s">
        <v>521</v>
      </c>
      <c r="K7892" s="13" t="s">
        <v>36</v>
      </c>
      <c r="L7892" s="15" t="s">
        <v>36</v>
      </c>
      <c r="M7892" s="12" t="s">
        <v>36</v>
      </c>
      <c r="N7892" s="12" t="s">
        <v>36</v>
      </c>
      <c r="O7892" s="17" t="s">
        <v>36</v>
      </c>
      <c r="P7892" s="12" t="s">
        <v>36</v>
      </c>
      <c r="Q7892" s="12" t="s">
        <v>36</v>
      </c>
      <c r="R7892" s="12" t="s">
        <v>36</v>
      </c>
      <c r="S7892" s="12" t="s">
        <v>36</v>
      </c>
      <c r="T7892" s="12" t="s">
        <v>3168</v>
      </c>
      <c r="U7892" s="12" t="s">
        <v>289</v>
      </c>
      <c r="V7892" s="12" t="s">
        <v>64</v>
      </c>
      <c r="W7892" s="12" t="s">
        <v>34705</v>
      </c>
      <c r="X7892" s="16" t="s">
        <v>34706</v>
      </c>
      <c r="Y7892" s="15" t="s">
        <v>42</v>
      </c>
      <c r="Z7892" s="14">
        <v>4.57</v>
      </c>
      <c r="AA7892" s="14">
        <v>10.8</v>
      </c>
      <c r="AB7892" s="12" t="s">
        <v>56</v>
      </c>
      <c r="AC7892" s="12" t="s">
        <v>34707</v>
      </c>
      <c r="AD7892" s="13">
        <v>41611</v>
      </c>
      <c r="AE7892" s="12" t="s">
        <v>3134</v>
      </c>
      <c r="AF7892" s="12" t="s">
        <v>2118</v>
      </c>
      <c r="AG7892" s="12" t="s">
        <v>5474</v>
      </c>
      <c r="AH7892" s="1">
        <f>HYPERLINK("https://my.pitchbook.com?c=36398-98T","View Company Online")</f>
      </c>
    </row>
    <row r="7893">
      <c r="A7893" s="3" t="s">
        <v>34708</v>
      </c>
      <c r="B7893" s="3" t="s">
        <v>9835</v>
      </c>
      <c r="C7893" s="5">
        <v>2</v>
      </c>
      <c r="D7893" s="5">
        <v>21</v>
      </c>
      <c r="E7893" s="5">
        <v>6</v>
      </c>
      <c r="F7893" s="5">
        <v>23</v>
      </c>
      <c r="G7893" s="6" t="s">
        <v>36</v>
      </c>
      <c r="H7893" s="4">
        <v>51.93</v>
      </c>
      <c r="I7893" s="7" t="s">
        <v>36</v>
      </c>
      <c r="J7893" s="3" t="s">
        <v>327</v>
      </c>
      <c r="K7893" s="9">
        <v>41316</v>
      </c>
      <c r="L7893" s="6" t="s">
        <v>36</v>
      </c>
      <c r="M7893" s="3" t="s">
        <v>36</v>
      </c>
      <c r="N7893" s="3" t="s">
        <v>36</v>
      </c>
      <c r="O7893" s="8" t="s">
        <v>36</v>
      </c>
      <c r="P7893" s="3" t="s">
        <v>36</v>
      </c>
      <c r="Q7893" s="3" t="s">
        <v>36</v>
      </c>
      <c r="R7893" s="3" t="s">
        <v>36</v>
      </c>
      <c r="S7893" s="3" t="s">
        <v>36</v>
      </c>
      <c r="T7893" s="3" t="s">
        <v>9836</v>
      </c>
      <c r="U7893" s="3" t="s">
        <v>96</v>
      </c>
      <c r="V7893" s="3" t="s">
        <v>52</v>
      </c>
      <c r="W7893" s="3" t="s">
        <v>9837</v>
      </c>
      <c r="X7893" s="10" t="s">
        <v>9838</v>
      </c>
      <c r="Y7893" s="6" t="s">
        <v>42</v>
      </c>
      <c r="Z7893" s="4">
        <v>5.53</v>
      </c>
      <c r="AA7893" s="4">
        <v>7.15</v>
      </c>
      <c r="AB7893" s="3" t="s">
        <v>43</v>
      </c>
      <c r="AC7893" s="3" t="s">
        <v>9839</v>
      </c>
      <c r="AD7893" s="9">
        <v>41610</v>
      </c>
      <c r="AE7893" s="3" t="s">
        <v>100</v>
      </c>
      <c r="AF7893" s="3" t="s">
        <v>9840</v>
      </c>
      <c r="AG7893" s="3" t="s">
        <v>1843</v>
      </c>
      <c r="AH7893" s="11">
        <f>HYPERLINK("https://my.pitchbook.com?c=40779-73T","View Company Online")</f>
      </c>
    </row>
    <row r="7894">
      <c r="A7894" s="12" t="s">
        <v>34709</v>
      </c>
      <c r="B7894" s="12" t="s">
        <v>22524</v>
      </c>
      <c r="C7894" s="19" t="s">
        <v>36</v>
      </c>
      <c r="D7894" s="19" t="s">
        <v>36</v>
      </c>
      <c r="E7894" s="19" t="s">
        <v>36</v>
      </c>
      <c r="F7894" s="19" t="s">
        <v>36</v>
      </c>
      <c r="G7894" s="15" t="s">
        <v>326</v>
      </c>
      <c r="H7894" s="14">
        <v>23.25</v>
      </c>
      <c r="I7894" s="18">
        <v>34.86</v>
      </c>
      <c r="J7894" s="12" t="s">
        <v>521</v>
      </c>
      <c r="K7894" s="13" t="s">
        <v>36</v>
      </c>
      <c r="L7894" s="15" t="s">
        <v>36</v>
      </c>
      <c r="M7894" s="12" t="s">
        <v>36</v>
      </c>
      <c r="N7894" s="12" t="s">
        <v>36</v>
      </c>
      <c r="O7894" s="17" t="s">
        <v>36</v>
      </c>
      <c r="P7894" s="12" t="s">
        <v>36</v>
      </c>
      <c r="Q7894" s="12" t="s">
        <v>36</v>
      </c>
      <c r="R7894" s="12" t="s">
        <v>36</v>
      </c>
      <c r="S7894" s="12" t="s">
        <v>36</v>
      </c>
      <c r="T7894" s="12" t="s">
        <v>1701</v>
      </c>
      <c r="U7894" s="12" t="s">
        <v>74</v>
      </c>
      <c r="V7894" s="12" t="s">
        <v>75</v>
      </c>
      <c r="W7894" s="12" t="s">
        <v>22525</v>
      </c>
      <c r="X7894" s="16" t="s">
        <v>34710</v>
      </c>
      <c r="Y7894" s="15" t="s">
        <v>108</v>
      </c>
      <c r="Z7894" s="14">
        <v>1.96</v>
      </c>
      <c r="AA7894" s="14">
        <v>5.61</v>
      </c>
      <c r="AB7894" s="12" t="s">
        <v>43</v>
      </c>
      <c r="AC7894" s="12" t="s">
        <v>22527</v>
      </c>
      <c r="AD7894" s="13">
        <v>41610</v>
      </c>
      <c r="AE7894" s="12" t="s">
        <v>79</v>
      </c>
      <c r="AF7894" s="12" t="s">
        <v>176</v>
      </c>
      <c r="AG7894" s="12" t="s">
        <v>580</v>
      </c>
      <c r="AH7894" s="1">
        <f>HYPERLINK("https://my.pitchbook.com?c=79021-27T","View Company Online")</f>
      </c>
    </row>
    <row r="7895">
      <c r="A7895" s="3" t="s">
        <v>34711</v>
      </c>
      <c r="B7895" s="3" t="s">
        <v>34712</v>
      </c>
      <c r="C7895" s="5" t="s">
        <v>36</v>
      </c>
      <c r="D7895" s="5" t="s">
        <v>36</v>
      </c>
      <c r="E7895" s="5" t="s">
        <v>36</v>
      </c>
      <c r="F7895" s="5" t="s">
        <v>36</v>
      </c>
      <c r="G7895" s="6" t="s">
        <v>36</v>
      </c>
      <c r="H7895" s="4" t="s">
        <v>36</v>
      </c>
      <c r="I7895" s="7" t="s">
        <v>36</v>
      </c>
      <c r="J7895" s="3" t="s">
        <v>36</v>
      </c>
      <c r="K7895" s="9" t="s">
        <v>36</v>
      </c>
      <c r="L7895" s="6" t="s">
        <v>36</v>
      </c>
      <c r="M7895" s="3" t="s">
        <v>36</v>
      </c>
      <c r="N7895" s="3" t="s">
        <v>36</v>
      </c>
      <c r="O7895" s="8" t="s">
        <v>36</v>
      </c>
      <c r="P7895" s="3" t="s">
        <v>36</v>
      </c>
      <c r="Q7895" s="3" t="s">
        <v>36</v>
      </c>
      <c r="R7895" s="3" t="s">
        <v>36</v>
      </c>
      <c r="S7895" s="3" t="s">
        <v>36</v>
      </c>
      <c r="T7895" s="3" t="s">
        <v>23600</v>
      </c>
      <c r="U7895" s="3" t="s">
        <v>74</v>
      </c>
      <c r="V7895" s="3" t="s">
        <v>75</v>
      </c>
      <c r="W7895" s="3" t="s">
        <v>34713</v>
      </c>
      <c r="X7895" s="10" t="s">
        <v>34714</v>
      </c>
      <c r="Y7895" s="6" t="s">
        <v>108</v>
      </c>
      <c r="Z7895" s="4">
        <v>26.99</v>
      </c>
      <c r="AA7895" s="4" t="s">
        <v>36</v>
      </c>
      <c r="AB7895" s="3" t="s">
        <v>56</v>
      </c>
      <c r="AC7895" s="3" t="s">
        <v>34715</v>
      </c>
      <c r="AD7895" s="9">
        <v>41609</v>
      </c>
      <c r="AE7895" s="3" t="s">
        <v>1243</v>
      </c>
      <c r="AF7895" s="3" t="s">
        <v>25016</v>
      </c>
      <c r="AG7895" s="3" t="s">
        <v>1078</v>
      </c>
      <c r="AH7895" s="11">
        <f>HYPERLINK("https://my.pitchbook.com?c=26119-27T","View Company Online")</f>
      </c>
    </row>
    <row r="7896">
      <c r="A7896" s="12" t="s">
        <v>34716</v>
      </c>
      <c r="B7896" s="12" t="s">
        <v>34717</v>
      </c>
      <c r="C7896" s="19" t="s">
        <v>36</v>
      </c>
      <c r="D7896" s="19" t="s">
        <v>36</v>
      </c>
      <c r="E7896" s="19" t="s">
        <v>36</v>
      </c>
      <c r="F7896" s="19" t="s">
        <v>36</v>
      </c>
      <c r="G7896" s="15" t="s">
        <v>36</v>
      </c>
      <c r="H7896" s="14" t="s">
        <v>36</v>
      </c>
      <c r="I7896" s="18" t="s">
        <v>36</v>
      </c>
      <c r="J7896" s="12" t="s">
        <v>36</v>
      </c>
      <c r="K7896" s="13" t="s">
        <v>36</v>
      </c>
      <c r="L7896" s="15" t="s">
        <v>36</v>
      </c>
      <c r="M7896" s="12" t="s">
        <v>36</v>
      </c>
      <c r="N7896" s="12" t="s">
        <v>36</v>
      </c>
      <c r="O7896" s="17" t="s">
        <v>36</v>
      </c>
      <c r="P7896" s="12" t="s">
        <v>36</v>
      </c>
      <c r="Q7896" s="12" t="s">
        <v>36</v>
      </c>
      <c r="R7896" s="12" t="s">
        <v>36</v>
      </c>
      <c r="S7896" s="12" t="s">
        <v>36</v>
      </c>
      <c r="T7896" s="12" t="s">
        <v>2483</v>
      </c>
      <c r="U7896" s="12" t="s">
        <v>63</v>
      </c>
      <c r="V7896" s="12" t="s">
        <v>64</v>
      </c>
      <c r="W7896" s="12" t="s">
        <v>34718</v>
      </c>
      <c r="X7896" s="16" t="s">
        <v>12372</v>
      </c>
      <c r="Y7896" s="15" t="s">
        <v>42</v>
      </c>
      <c r="Z7896" s="14" t="s">
        <v>36</v>
      </c>
      <c r="AA7896" s="14" t="s">
        <v>36</v>
      </c>
      <c r="AB7896" s="12" t="s">
        <v>56</v>
      </c>
      <c r="AC7896" s="12" t="s">
        <v>34719</v>
      </c>
      <c r="AD7896" s="13">
        <v>41609</v>
      </c>
      <c r="AE7896" s="12" t="s">
        <v>399</v>
      </c>
      <c r="AF7896" s="12" t="s">
        <v>36</v>
      </c>
      <c r="AG7896" s="12" t="s">
        <v>34720</v>
      </c>
      <c r="AH7896" s="1">
        <f>HYPERLINK("https://my.pitchbook.com?c=76268-17T","View Company Online")</f>
      </c>
    </row>
    <row r="7897">
      <c r="A7897" s="3" t="s">
        <v>34721</v>
      </c>
      <c r="B7897" s="3" t="s">
        <v>34722</v>
      </c>
      <c r="C7897" s="5" t="s">
        <v>36</v>
      </c>
      <c r="D7897" s="5" t="s">
        <v>36</v>
      </c>
      <c r="E7897" s="5" t="s">
        <v>36</v>
      </c>
      <c r="F7897" s="5" t="s">
        <v>36</v>
      </c>
      <c r="G7897" s="6" t="s">
        <v>36</v>
      </c>
      <c r="H7897" s="4" t="s">
        <v>36</v>
      </c>
      <c r="I7897" s="7" t="s">
        <v>36</v>
      </c>
      <c r="J7897" s="3" t="s">
        <v>36</v>
      </c>
      <c r="K7897" s="9" t="s">
        <v>36</v>
      </c>
      <c r="L7897" s="6" t="s">
        <v>36</v>
      </c>
      <c r="M7897" s="3" t="s">
        <v>36</v>
      </c>
      <c r="N7897" s="3" t="s">
        <v>36</v>
      </c>
      <c r="O7897" s="8" t="s">
        <v>36</v>
      </c>
      <c r="P7897" s="3" t="s">
        <v>36</v>
      </c>
      <c r="Q7897" s="3" t="s">
        <v>36</v>
      </c>
      <c r="R7897" s="3" t="s">
        <v>36</v>
      </c>
      <c r="S7897" s="3" t="s">
        <v>36</v>
      </c>
      <c r="T7897" s="3" t="s">
        <v>8394</v>
      </c>
      <c r="U7897" s="3" t="s">
        <v>85</v>
      </c>
      <c r="V7897" s="3" t="s">
        <v>64</v>
      </c>
      <c r="W7897" s="3" t="s">
        <v>34723</v>
      </c>
      <c r="X7897" s="10" t="s">
        <v>34724</v>
      </c>
      <c r="Y7897" s="6" t="s">
        <v>42</v>
      </c>
      <c r="Z7897" s="4">
        <v>3.37</v>
      </c>
      <c r="AA7897" s="4" t="s">
        <v>36</v>
      </c>
      <c r="AB7897" s="3" t="s">
        <v>56</v>
      </c>
      <c r="AC7897" s="3" t="s">
        <v>34725</v>
      </c>
      <c r="AD7897" s="9">
        <v>41609</v>
      </c>
      <c r="AE7897" s="3" t="s">
        <v>89</v>
      </c>
      <c r="AF7897" s="3" t="s">
        <v>15336</v>
      </c>
      <c r="AG7897" s="3" t="s">
        <v>81</v>
      </c>
      <c r="AH7897" s="11">
        <f>HYPERLINK("https://my.pitchbook.com?c=26272-81T","View Company Online")</f>
      </c>
    </row>
    <row r="7898">
      <c r="A7898" s="12" t="s">
        <v>34726</v>
      </c>
      <c r="B7898" s="12" t="s">
        <v>3263</v>
      </c>
      <c r="C7898" s="19">
        <v>10</v>
      </c>
      <c r="D7898" s="19">
        <v>52</v>
      </c>
      <c r="E7898" s="19">
        <v>11</v>
      </c>
      <c r="F7898" s="19">
        <v>62</v>
      </c>
      <c r="G7898" s="15" t="s">
        <v>36</v>
      </c>
      <c r="H7898" s="14">
        <v>2.23</v>
      </c>
      <c r="I7898" s="18">
        <v>55.63</v>
      </c>
      <c r="J7898" s="12" t="s">
        <v>521</v>
      </c>
      <c r="K7898" s="13" t="s">
        <v>36</v>
      </c>
      <c r="L7898" s="15" t="s">
        <v>122</v>
      </c>
      <c r="M7898" s="12" t="s">
        <v>36</v>
      </c>
      <c r="N7898" s="12" t="s">
        <v>122</v>
      </c>
      <c r="O7898" s="17" t="s">
        <v>36</v>
      </c>
      <c r="P7898" s="12" t="s">
        <v>36</v>
      </c>
      <c r="Q7898" s="12" t="s">
        <v>36</v>
      </c>
      <c r="R7898" s="12" t="s">
        <v>36</v>
      </c>
      <c r="S7898" s="12" t="s">
        <v>36</v>
      </c>
      <c r="T7898" s="12" t="s">
        <v>3264</v>
      </c>
      <c r="U7898" s="12" t="s">
        <v>96</v>
      </c>
      <c r="V7898" s="12" t="s">
        <v>52</v>
      </c>
      <c r="W7898" s="12" t="s">
        <v>3265</v>
      </c>
      <c r="X7898" s="16" t="s">
        <v>34727</v>
      </c>
      <c r="Y7898" s="15" t="s">
        <v>42</v>
      </c>
      <c r="Z7898" s="14">
        <v>4.55</v>
      </c>
      <c r="AA7898" s="14">
        <v>8.18</v>
      </c>
      <c r="AB7898" s="12" t="s">
        <v>43</v>
      </c>
      <c r="AC7898" s="12" t="s">
        <v>3267</v>
      </c>
      <c r="AD7898" s="13">
        <v>41609</v>
      </c>
      <c r="AE7898" s="12" t="s">
        <v>496</v>
      </c>
      <c r="AF7898" s="12" t="s">
        <v>159</v>
      </c>
      <c r="AG7898" s="12" t="s">
        <v>347</v>
      </c>
      <c r="AH7898" s="1">
        <f>HYPERLINK("https://my.pitchbook.com?c=39043-36T","View Company Online")</f>
      </c>
    </row>
    <row r="7899">
      <c r="A7899" s="3" t="s">
        <v>34728</v>
      </c>
      <c r="B7899" s="3" t="s">
        <v>34729</v>
      </c>
      <c r="C7899" s="5" t="s">
        <v>36</v>
      </c>
      <c r="D7899" s="5" t="s">
        <v>36</v>
      </c>
      <c r="E7899" s="5" t="s">
        <v>36</v>
      </c>
      <c r="F7899" s="5" t="s">
        <v>36</v>
      </c>
      <c r="G7899" s="6" t="s">
        <v>36</v>
      </c>
      <c r="H7899" s="4" t="s">
        <v>36</v>
      </c>
      <c r="I7899" s="7" t="s">
        <v>36</v>
      </c>
      <c r="J7899" s="3" t="s">
        <v>36</v>
      </c>
      <c r="K7899" s="9" t="s">
        <v>36</v>
      </c>
      <c r="L7899" s="6" t="s">
        <v>36</v>
      </c>
      <c r="M7899" s="3" t="s">
        <v>36</v>
      </c>
      <c r="N7899" s="3" t="s">
        <v>36</v>
      </c>
      <c r="O7899" s="8" t="s">
        <v>36</v>
      </c>
      <c r="P7899" s="3" t="s">
        <v>36</v>
      </c>
      <c r="Q7899" s="3" t="s">
        <v>36</v>
      </c>
      <c r="R7899" s="3" t="s">
        <v>36</v>
      </c>
      <c r="S7899" s="3" t="s">
        <v>36</v>
      </c>
      <c r="T7899" s="3" t="s">
        <v>34730</v>
      </c>
      <c r="U7899" s="3" t="s">
        <v>74</v>
      </c>
      <c r="V7899" s="3" t="s">
        <v>75</v>
      </c>
      <c r="W7899" s="3" t="s">
        <v>34731</v>
      </c>
      <c r="X7899" s="10" t="s">
        <v>3098</v>
      </c>
      <c r="Y7899" s="6" t="s">
        <v>42</v>
      </c>
      <c r="Z7899" s="4">
        <v>1.35</v>
      </c>
      <c r="AA7899" s="4" t="s">
        <v>36</v>
      </c>
      <c r="AB7899" s="3" t="s">
        <v>56</v>
      </c>
      <c r="AC7899" s="3" t="s">
        <v>34732</v>
      </c>
      <c r="AD7899" s="9">
        <v>41609</v>
      </c>
      <c r="AE7899" s="3" t="s">
        <v>975</v>
      </c>
      <c r="AF7899" s="3" t="s">
        <v>34733</v>
      </c>
      <c r="AG7899" s="3" t="s">
        <v>666</v>
      </c>
      <c r="AH7899" s="11">
        <f>HYPERLINK("https://my.pitchbook.com?c=85648-51T","View Company Online")</f>
      </c>
    </row>
    <row r="7900">
      <c r="A7900" s="12" t="s">
        <v>34734</v>
      </c>
      <c r="B7900" s="12" t="s">
        <v>34735</v>
      </c>
      <c r="C7900" s="19" t="s">
        <v>36</v>
      </c>
      <c r="D7900" s="19" t="s">
        <v>36</v>
      </c>
      <c r="E7900" s="19" t="s">
        <v>36</v>
      </c>
      <c r="F7900" s="19" t="s">
        <v>36</v>
      </c>
      <c r="G7900" s="15" t="s">
        <v>36</v>
      </c>
      <c r="H7900" s="14" t="s">
        <v>36</v>
      </c>
      <c r="I7900" s="18" t="s">
        <v>36</v>
      </c>
      <c r="J7900" s="12" t="s">
        <v>36</v>
      </c>
      <c r="K7900" s="13" t="s">
        <v>36</v>
      </c>
      <c r="L7900" s="15" t="s">
        <v>36</v>
      </c>
      <c r="M7900" s="12" t="s">
        <v>36</v>
      </c>
      <c r="N7900" s="12" t="s">
        <v>36</v>
      </c>
      <c r="O7900" s="17" t="s">
        <v>36</v>
      </c>
      <c r="P7900" s="12" t="s">
        <v>36</v>
      </c>
      <c r="Q7900" s="12" t="s">
        <v>36</v>
      </c>
      <c r="R7900" s="12" t="s">
        <v>36</v>
      </c>
      <c r="S7900" s="12" t="s">
        <v>36</v>
      </c>
      <c r="T7900" s="12" t="s">
        <v>34736</v>
      </c>
      <c r="U7900" s="12" t="s">
        <v>728</v>
      </c>
      <c r="V7900" s="12" t="s">
        <v>64</v>
      </c>
      <c r="W7900" s="12" t="s">
        <v>34737</v>
      </c>
      <c r="X7900" s="16" t="s">
        <v>34738</v>
      </c>
      <c r="Y7900" s="15" t="s">
        <v>42</v>
      </c>
      <c r="Z7900" s="14">
        <v>1.35</v>
      </c>
      <c r="AA7900" s="14" t="s">
        <v>36</v>
      </c>
      <c r="AB7900" s="12" t="s">
        <v>43</v>
      </c>
      <c r="AC7900" s="12" t="s">
        <v>34739</v>
      </c>
      <c r="AD7900" s="13">
        <v>41609</v>
      </c>
      <c r="AE7900" s="12" t="s">
        <v>6717</v>
      </c>
      <c r="AF7900" s="12" t="s">
        <v>90</v>
      </c>
      <c r="AG7900" s="12" t="s">
        <v>81</v>
      </c>
      <c r="AH7900" s="1">
        <f>HYPERLINK("https://my.pitchbook.com?c=30149-20T","View Company Online")</f>
      </c>
    </row>
    <row r="7901">
      <c r="A7901" s="3" t="s">
        <v>34740</v>
      </c>
      <c r="B7901" s="3" t="s">
        <v>34741</v>
      </c>
      <c r="C7901" s="5" t="s">
        <v>36</v>
      </c>
      <c r="D7901" s="5" t="s">
        <v>36</v>
      </c>
      <c r="E7901" s="5" t="s">
        <v>36</v>
      </c>
      <c r="F7901" s="5" t="s">
        <v>36</v>
      </c>
      <c r="G7901" s="6" t="s">
        <v>36</v>
      </c>
      <c r="H7901" s="4" t="s">
        <v>36</v>
      </c>
      <c r="I7901" s="7" t="s">
        <v>36</v>
      </c>
      <c r="J7901" s="3" t="s">
        <v>36</v>
      </c>
      <c r="K7901" s="9" t="s">
        <v>36</v>
      </c>
      <c r="L7901" s="6" t="s">
        <v>36</v>
      </c>
      <c r="M7901" s="3" t="s">
        <v>36</v>
      </c>
      <c r="N7901" s="3" t="s">
        <v>36</v>
      </c>
      <c r="O7901" s="8" t="s">
        <v>36</v>
      </c>
      <c r="P7901" s="3" t="s">
        <v>36</v>
      </c>
      <c r="Q7901" s="3" t="s">
        <v>36</v>
      </c>
      <c r="R7901" s="3" t="s">
        <v>36</v>
      </c>
      <c r="S7901" s="3" t="s">
        <v>36</v>
      </c>
      <c r="T7901" s="3" t="s">
        <v>2639</v>
      </c>
      <c r="U7901" s="3" t="s">
        <v>74</v>
      </c>
      <c r="V7901" s="3" t="s">
        <v>75</v>
      </c>
      <c r="W7901" s="3" t="s">
        <v>34742</v>
      </c>
      <c r="X7901" s="10" t="s">
        <v>857</v>
      </c>
      <c r="Y7901" s="6" t="s">
        <v>42</v>
      </c>
      <c r="Z7901" s="4">
        <v>1.02</v>
      </c>
      <c r="AA7901" s="4" t="s">
        <v>36</v>
      </c>
      <c r="AB7901" s="3" t="s">
        <v>43</v>
      </c>
      <c r="AC7901" s="3" t="s">
        <v>34743</v>
      </c>
      <c r="AD7901" s="9">
        <v>41609</v>
      </c>
      <c r="AE7901" s="3" t="s">
        <v>1888</v>
      </c>
      <c r="AF7901" s="3" t="s">
        <v>546</v>
      </c>
      <c r="AG7901" s="3" t="s">
        <v>16838</v>
      </c>
      <c r="AH7901" s="11">
        <f>HYPERLINK("https://my.pitchbook.com?c=26296-75T","View Company Online")</f>
      </c>
    </row>
    <row r="7902">
      <c r="A7902" s="12" t="s">
        <v>34744</v>
      </c>
      <c r="B7902" s="12" t="s">
        <v>34745</v>
      </c>
      <c r="C7902" s="19" t="s">
        <v>36</v>
      </c>
      <c r="D7902" s="19" t="s">
        <v>36</v>
      </c>
      <c r="E7902" s="19" t="s">
        <v>36</v>
      </c>
      <c r="F7902" s="19" t="s">
        <v>36</v>
      </c>
      <c r="G7902" s="15" t="s">
        <v>36</v>
      </c>
      <c r="H7902" s="14" t="s">
        <v>36</v>
      </c>
      <c r="I7902" s="18" t="s">
        <v>36</v>
      </c>
      <c r="J7902" s="12" t="s">
        <v>36</v>
      </c>
      <c r="K7902" s="13" t="s">
        <v>36</v>
      </c>
      <c r="L7902" s="15" t="s">
        <v>36</v>
      </c>
      <c r="M7902" s="12" t="s">
        <v>36</v>
      </c>
      <c r="N7902" s="12" t="s">
        <v>36</v>
      </c>
      <c r="O7902" s="17" t="s">
        <v>36</v>
      </c>
      <c r="P7902" s="12" t="s">
        <v>36</v>
      </c>
      <c r="Q7902" s="12" t="s">
        <v>36</v>
      </c>
      <c r="R7902" s="12" t="s">
        <v>36</v>
      </c>
      <c r="S7902" s="12" t="s">
        <v>36</v>
      </c>
      <c r="T7902" s="12" t="s">
        <v>26329</v>
      </c>
      <c r="U7902" s="12" t="s">
        <v>279</v>
      </c>
      <c r="V7902" s="12" t="s">
        <v>64</v>
      </c>
      <c r="W7902" s="12" t="s">
        <v>34746</v>
      </c>
      <c r="X7902" s="16" t="s">
        <v>26808</v>
      </c>
      <c r="Y7902" s="15" t="s">
        <v>108</v>
      </c>
      <c r="Z7902" s="14">
        <v>0.2</v>
      </c>
      <c r="AA7902" s="14" t="s">
        <v>36</v>
      </c>
      <c r="AB7902" s="12" t="s">
        <v>56</v>
      </c>
      <c r="AC7902" s="12" t="s">
        <v>34747</v>
      </c>
      <c r="AD7902" s="13">
        <v>41609</v>
      </c>
      <c r="AE7902" s="12" t="s">
        <v>740</v>
      </c>
      <c r="AF7902" s="12" t="s">
        <v>1636</v>
      </c>
      <c r="AG7902" s="12" t="s">
        <v>47</v>
      </c>
      <c r="AH7902" s="1">
        <f>HYPERLINK("https://my.pitchbook.com?c=111966-85T","View Company Online")</f>
      </c>
    </row>
    <row r="7903">
      <c r="A7903" s="3" t="s">
        <v>34748</v>
      </c>
      <c r="B7903" s="3" t="s">
        <v>34749</v>
      </c>
      <c r="C7903" s="5" t="s">
        <v>36</v>
      </c>
      <c r="D7903" s="5" t="s">
        <v>36</v>
      </c>
      <c r="E7903" s="5" t="s">
        <v>36</v>
      </c>
      <c r="F7903" s="5" t="s">
        <v>36</v>
      </c>
      <c r="G7903" s="6" t="s">
        <v>36</v>
      </c>
      <c r="H7903" s="4" t="s">
        <v>36</v>
      </c>
      <c r="I7903" s="7" t="s">
        <v>36</v>
      </c>
      <c r="J7903" s="3" t="s">
        <v>36</v>
      </c>
      <c r="K7903" s="9" t="s">
        <v>36</v>
      </c>
      <c r="L7903" s="6" t="s">
        <v>36</v>
      </c>
      <c r="M7903" s="3" t="s">
        <v>36</v>
      </c>
      <c r="N7903" s="3" t="s">
        <v>36</v>
      </c>
      <c r="O7903" s="8" t="s">
        <v>36</v>
      </c>
      <c r="P7903" s="3" t="s">
        <v>36</v>
      </c>
      <c r="Q7903" s="3" t="s">
        <v>36</v>
      </c>
      <c r="R7903" s="3" t="s">
        <v>36</v>
      </c>
      <c r="S7903" s="3" t="s">
        <v>36</v>
      </c>
      <c r="T7903" s="3" t="s">
        <v>22759</v>
      </c>
      <c r="U7903" s="3" t="s">
        <v>63</v>
      </c>
      <c r="V7903" s="3" t="s">
        <v>64</v>
      </c>
      <c r="W7903" s="3" t="s">
        <v>34750</v>
      </c>
      <c r="X7903" s="10" t="s">
        <v>34751</v>
      </c>
      <c r="Y7903" s="6" t="s">
        <v>42</v>
      </c>
      <c r="Z7903" s="4">
        <v>3.37</v>
      </c>
      <c r="AA7903" s="4" t="s">
        <v>36</v>
      </c>
      <c r="AB7903" s="3" t="s">
        <v>56</v>
      </c>
      <c r="AC7903" s="3" t="s">
        <v>34752</v>
      </c>
      <c r="AD7903" s="9">
        <v>41609</v>
      </c>
      <c r="AE7903" s="3" t="s">
        <v>642</v>
      </c>
      <c r="AF7903" s="3" t="s">
        <v>36</v>
      </c>
      <c r="AG7903" s="3" t="s">
        <v>5193</v>
      </c>
      <c r="AH7903" s="11">
        <f>HYPERLINK("https://my.pitchbook.com?c=30538-54T","View Company Online")</f>
      </c>
    </row>
    <row r="7904">
      <c r="A7904" s="12" t="s">
        <v>34753</v>
      </c>
      <c r="B7904" s="12" t="s">
        <v>28488</v>
      </c>
      <c r="C7904" s="19">
        <v>1</v>
      </c>
      <c r="D7904" s="19">
        <v>22</v>
      </c>
      <c r="E7904" s="19">
        <v>7</v>
      </c>
      <c r="F7904" s="19">
        <v>24</v>
      </c>
      <c r="G7904" s="15" t="s">
        <v>36</v>
      </c>
      <c r="H7904" s="14" t="s">
        <v>36</v>
      </c>
      <c r="I7904" s="18" t="s">
        <v>36</v>
      </c>
      <c r="J7904" s="12" t="s">
        <v>36</v>
      </c>
      <c r="K7904" s="13" t="s">
        <v>36</v>
      </c>
      <c r="L7904" s="15" t="s">
        <v>36</v>
      </c>
      <c r="M7904" s="12" t="s">
        <v>36</v>
      </c>
      <c r="N7904" s="12" t="s">
        <v>36</v>
      </c>
      <c r="O7904" s="17" t="s">
        <v>36</v>
      </c>
      <c r="P7904" s="12" t="s">
        <v>36</v>
      </c>
      <c r="Q7904" s="12" t="s">
        <v>36</v>
      </c>
      <c r="R7904" s="12" t="s">
        <v>36</v>
      </c>
      <c r="S7904" s="12" t="s">
        <v>36</v>
      </c>
      <c r="T7904" s="12" t="s">
        <v>3996</v>
      </c>
      <c r="U7904" s="12" t="s">
        <v>74</v>
      </c>
      <c r="V7904" s="12" t="s">
        <v>75</v>
      </c>
      <c r="W7904" s="12" t="s">
        <v>28489</v>
      </c>
      <c r="X7904" s="16" t="s">
        <v>3098</v>
      </c>
      <c r="Y7904" s="15" t="s">
        <v>42</v>
      </c>
      <c r="Z7904" s="14" t="s">
        <v>36</v>
      </c>
      <c r="AA7904" s="14" t="s">
        <v>36</v>
      </c>
      <c r="AB7904" s="12" t="s">
        <v>43</v>
      </c>
      <c r="AC7904" s="12" t="s">
        <v>28491</v>
      </c>
      <c r="AD7904" s="13">
        <v>41609</v>
      </c>
      <c r="AE7904" s="12" t="s">
        <v>79</v>
      </c>
      <c r="AF7904" s="12" t="s">
        <v>28492</v>
      </c>
      <c r="AG7904" s="12" t="s">
        <v>81</v>
      </c>
      <c r="AH7904" s="1">
        <f>HYPERLINK("https://my.pitchbook.com?c=207328-15T","View Company Online")</f>
      </c>
    </row>
    <row r="7905">
      <c r="A7905" s="3" t="s">
        <v>34754</v>
      </c>
      <c r="B7905" s="3" t="s">
        <v>29812</v>
      </c>
      <c r="C7905" s="5">
        <v>17</v>
      </c>
      <c r="D7905" s="5">
        <v>53</v>
      </c>
      <c r="E7905" s="5">
        <v>13</v>
      </c>
      <c r="F7905" s="5">
        <v>75</v>
      </c>
      <c r="G7905" s="6" t="s">
        <v>36</v>
      </c>
      <c r="H7905" s="4" t="s">
        <v>36</v>
      </c>
      <c r="I7905" s="7" t="s">
        <v>36</v>
      </c>
      <c r="J7905" s="3" t="s">
        <v>36</v>
      </c>
      <c r="K7905" s="9" t="s">
        <v>36</v>
      </c>
      <c r="L7905" s="6" t="s">
        <v>122</v>
      </c>
      <c r="M7905" s="3" t="s">
        <v>36</v>
      </c>
      <c r="N7905" s="3" t="s">
        <v>122</v>
      </c>
      <c r="O7905" s="8" t="s">
        <v>36</v>
      </c>
      <c r="P7905" s="3" t="s">
        <v>36</v>
      </c>
      <c r="Q7905" s="3" t="s">
        <v>36</v>
      </c>
      <c r="R7905" s="3" t="s">
        <v>36</v>
      </c>
      <c r="S7905" s="3" t="s">
        <v>36</v>
      </c>
      <c r="T7905" s="3" t="s">
        <v>9836</v>
      </c>
      <c r="U7905" s="3" t="s">
        <v>96</v>
      </c>
      <c r="V7905" s="3" t="s">
        <v>52</v>
      </c>
      <c r="W7905" s="3" t="s">
        <v>29813</v>
      </c>
      <c r="X7905" s="10" t="s">
        <v>34755</v>
      </c>
      <c r="Y7905" s="6" t="s">
        <v>42</v>
      </c>
      <c r="Z7905" s="4">
        <v>2.56</v>
      </c>
      <c r="AA7905" s="4" t="s">
        <v>36</v>
      </c>
      <c r="AB7905" s="3" t="s">
        <v>43</v>
      </c>
      <c r="AC7905" s="3" t="s">
        <v>29814</v>
      </c>
      <c r="AD7905" s="9">
        <v>41605</v>
      </c>
      <c r="AE7905" s="3" t="s">
        <v>100</v>
      </c>
      <c r="AF7905" s="3" t="s">
        <v>9908</v>
      </c>
      <c r="AG7905" s="3" t="s">
        <v>81</v>
      </c>
      <c r="AH7905" s="11">
        <f>HYPERLINK("https://my.pitchbook.com?c=29954-08T","View Company Online")</f>
      </c>
    </row>
    <row r="7906">
      <c r="A7906" s="12" t="s">
        <v>34756</v>
      </c>
      <c r="B7906" s="12" t="s">
        <v>33582</v>
      </c>
      <c r="C7906" s="19">
        <v>3</v>
      </c>
      <c r="D7906" s="19">
        <v>94</v>
      </c>
      <c r="E7906" s="19">
        <v>21</v>
      </c>
      <c r="F7906" s="19">
        <v>110</v>
      </c>
      <c r="G7906" s="15" t="s">
        <v>36</v>
      </c>
      <c r="H7906" s="14">
        <v>22.74</v>
      </c>
      <c r="I7906" s="18">
        <v>31.32</v>
      </c>
      <c r="J7906" s="12" t="s">
        <v>521</v>
      </c>
      <c r="K7906" s="13" t="s">
        <v>36</v>
      </c>
      <c r="L7906" s="15" t="s">
        <v>36</v>
      </c>
      <c r="M7906" s="12" t="s">
        <v>36</v>
      </c>
      <c r="N7906" s="12" t="s">
        <v>36</v>
      </c>
      <c r="O7906" s="17" t="s">
        <v>36</v>
      </c>
      <c r="P7906" s="12" t="s">
        <v>36</v>
      </c>
      <c r="Q7906" s="12" t="s">
        <v>36</v>
      </c>
      <c r="R7906" s="12" t="s">
        <v>36</v>
      </c>
      <c r="S7906" s="12" t="s">
        <v>36</v>
      </c>
      <c r="T7906" s="12" t="s">
        <v>33583</v>
      </c>
      <c r="U7906" s="12" t="s">
        <v>366</v>
      </c>
      <c r="V7906" s="12" t="s">
        <v>367</v>
      </c>
      <c r="W7906" s="12" t="s">
        <v>33584</v>
      </c>
      <c r="X7906" s="16" t="s">
        <v>34757</v>
      </c>
      <c r="Y7906" s="15" t="s">
        <v>42</v>
      </c>
      <c r="Z7906" s="14">
        <v>1.85</v>
      </c>
      <c r="AA7906" s="14">
        <v>5.92</v>
      </c>
      <c r="AB7906" s="12" t="s">
        <v>43</v>
      </c>
      <c r="AC7906" s="12" t="s">
        <v>33586</v>
      </c>
      <c r="AD7906" s="13">
        <v>41605</v>
      </c>
      <c r="AE7906" s="12" t="s">
        <v>7565</v>
      </c>
      <c r="AF7906" s="12" t="s">
        <v>33587</v>
      </c>
      <c r="AG7906" s="12" t="s">
        <v>1369</v>
      </c>
      <c r="AH7906" s="1">
        <f>HYPERLINK("https://my.pitchbook.com?c=48826-00T","View Company Online")</f>
      </c>
    </row>
    <row r="7907">
      <c r="A7907" s="3" t="s">
        <v>34758</v>
      </c>
      <c r="B7907" s="3" t="s">
        <v>32849</v>
      </c>
      <c r="C7907" s="5" t="s">
        <v>36</v>
      </c>
      <c r="D7907" s="5" t="s">
        <v>36</v>
      </c>
      <c r="E7907" s="5" t="s">
        <v>36</v>
      </c>
      <c r="F7907" s="5" t="s">
        <v>36</v>
      </c>
      <c r="G7907" s="6" t="s">
        <v>36</v>
      </c>
      <c r="H7907" s="4" t="s">
        <v>36</v>
      </c>
      <c r="I7907" s="7" t="s">
        <v>36</v>
      </c>
      <c r="J7907" s="3" t="s">
        <v>36</v>
      </c>
      <c r="K7907" s="9" t="s">
        <v>36</v>
      </c>
      <c r="L7907" s="6" t="s">
        <v>36</v>
      </c>
      <c r="M7907" s="3" t="s">
        <v>36</v>
      </c>
      <c r="N7907" s="3" t="s">
        <v>36</v>
      </c>
      <c r="O7907" s="8" t="s">
        <v>36</v>
      </c>
      <c r="P7907" s="3" t="s">
        <v>36</v>
      </c>
      <c r="Q7907" s="3" t="s">
        <v>36</v>
      </c>
      <c r="R7907" s="3" t="s">
        <v>36</v>
      </c>
      <c r="S7907" s="3" t="s">
        <v>36</v>
      </c>
      <c r="T7907" s="3" t="s">
        <v>32850</v>
      </c>
      <c r="U7907" s="3" t="s">
        <v>289</v>
      </c>
      <c r="V7907" s="3" t="s">
        <v>64</v>
      </c>
      <c r="W7907" s="3" t="s">
        <v>32851</v>
      </c>
      <c r="X7907" s="10" t="s">
        <v>34759</v>
      </c>
      <c r="Y7907" s="6" t="s">
        <v>55</v>
      </c>
      <c r="Z7907" s="4">
        <v>2.03</v>
      </c>
      <c r="AA7907" s="4" t="s">
        <v>36</v>
      </c>
      <c r="AB7907" s="3" t="s">
        <v>43</v>
      </c>
      <c r="AC7907" s="3" t="s">
        <v>32853</v>
      </c>
      <c r="AD7907" s="9">
        <v>41604</v>
      </c>
      <c r="AE7907" s="3" t="s">
        <v>292</v>
      </c>
      <c r="AF7907" s="3" t="s">
        <v>2118</v>
      </c>
      <c r="AG7907" s="3" t="s">
        <v>81</v>
      </c>
      <c r="AH7907" s="11">
        <f>HYPERLINK("https://my.pitchbook.com?c=29954-26T","View Company Online")</f>
      </c>
    </row>
    <row r="7908">
      <c r="A7908" s="12" t="s">
        <v>34760</v>
      </c>
      <c r="B7908" s="12" t="s">
        <v>34761</v>
      </c>
      <c r="C7908" s="19">
        <v>19</v>
      </c>
      <c r="D7908" s="19">
        <v>166</v>
      </c>
      <c r="E7908" s="19">
        <v>44</v>
      </c>
      <c r="F7908" s="19">
        <v>296</v>
      </c>
      <c r="G7908" s="15" t="s">
        <v>36</v>
      </c>
      <c r="H7908" s="14" t="s">
        <v>36</v>
      </c>
      <c r="I7908" s="18" t="s">
        <v>36</v>
      </c>
      <c r="J7908" s="12" t="s">
        <v>36</v>
      </c>
      <c r="K7908" s="13" t="s">
        <v>36</v>
      </c>
      <c r="L7908" s="15" t="s">
        <v>122</v>
      </c>
      <c r="M7908" s="12" t="s">
        <v>36</v>
      </c>
      <c r="N7908" s="12" t="s">
        <v>122</v>
      </c>
      <c r="O7908" s="17" t="s">
        <v>36</v>
      </c>
      <c r="P7908" s="12" t="s">
        <v>36</v>
      </c>
      <c r="Q7908" s="12" t="s">
        <v>36</v>
      </c>
      <c r="R7908" s="12" t="s">
        <v>36</v>
      </c>
      <c r="S7908" s="12" t="s">
        <v>36</v>
      </c>
      <c r="T7908" s="12" t="s">
        <v>6904</v>
      </c>
      <c r="U7908" s="12" t="s">
        <v>96</v>
      </c>
      <c r="V7908" s="12" t="s">
        <v>52</v>
      </c>
      <c r="W7908" s="12" t="s">
        <v>34762</v>
      </c>
      <c r="X7908" s="16" t="s">
        <v>34763</v>
      </c>
      <c r="Y7908" s="15" t="s">
        <v>108</v>
      </c>
      <c r="Z7908" s="14">
        <v>20.27</v>
      </c>
      <c r="AA7908" s="14" t="s">
        <v>36</v>
      </c>
      <c r="AB7908" s="12" t="s">
        <v>43</v>
      </c>
      <c r="AC7908" s="12" t="s">
        <v>34764</v>
      </c>
      <c r="AD7908" s="13">
        <v>41603</v>
      </c>
      <c r="AE7908" s="12" t="s">
        <v>143</v>
      </c>
      <c r="AF7908" s="12" t="s">
        <v>885</v>
      </c>
      <c r="AG7908" s="12" t="s">
        <v>81</v>
      </c>
      <c r="AH7908" s="1">
        <f>HYPERLINK("https://my.pitchbook.com?c=29892-25T","View Company Online")</f>
      </c>
    </row>
    <row r="7909">
      <c r="A7909" s="3" t="s">
        <v>34765</v>
      </c>
      <c r="B7909" s="3" t="s">
        <v>34766</v>
      </c>
      <c r="C7909" s="5" t="s">
        <v>36</v>
      </c>
      <c r="D7909" s="5" t="s">
        <v>36</v>
      </c>
      <c r="E7909" s="5" t="s">
        <v>36</v>
      </c>
      <c r="F7909" s="5" t="s">
        <v>36</v>
      </c>
      <c r="G7909" s="6" t="s">
        <v>36</v>
      </c>
      <c r="H7909" s="4" t="s">
        <v>36</v>
      </c>
      <c r="I7909" s="7" t="s">
        <v>36</v>
      </c>
      <c r="J7909" s="3" t="s">
        <v>36</v>
      </c>
      <c r="K7909" s="9" t="s">
        <v>36</v>
      </c>
      <c r="L7909" s="6" t="s">
        <v>36</v>
      </c>
      <c r="M7909" s="3" t="s">
        <v>36</v>
      </c>
      <c r="N7909" s="3" t="s">
        <v>36</v>
      </c>
      <c r="O7909" s="8" t="s">
        <v>36</v>
      </c>
      <c r="P7909" s="3" t="s">
        <v>36</v>
      </c>
      <c r="Q7909" s="3" t="s">
        <v>36</v>
      </c>
      <c r="R7909" s="3" t="s">
        <v>36</v>
      </c>
      <c r="S7909" s="3" t="s">
        <v>36</v>
      </c>
      <c r="T7909" s="3" t="s">
        <v>1831</v>
      </c>
      <c r="U7909" s="3" t="s">
        <v>387</v>
      </c>
      <c r="V7909" s="3" t="s">
        <v>367</v>
      </c>
      <c r="W7909" s="3" t="s">
        <v>34767</v>
      </c>
      <c r="X7909" s="10" t="s">
        <v>11579</v>
      </c>
      <c r="Y7909" s="6" t="s">
        <v>108</v>
      </c>
      <c r="Z7909" s="4">
        <v>1.35</v>
      </c>
      <c r="AA7909" s="4" t="s">
        <v>36</v>
      </c>
      <c r="AB7909" s="3" t="s">
        <v>43</v>
      </c>
      <c r="AC7909" s="3" t="s">
        <v>34768</v>
      </c>
      <c r="AD7909" s="9">
        <v>41601</v>
      </c>
      <c r="AE7909" s="3" t="s">
        <v>391</v>
      </c>
      <c r="AF7909" s="3" t="s">
        <v>22942</v>
      </c>
      <c r="AG7909" s="3" t="s">
        <v>19828</v>
      </c>
      <c r="AH7909" s="11">
        <f>HYPERLINK("https://my.pitchbook.com?c=85183-39T","View Company Online")</f>
      </c>
    </row>
    <row r="7910">
      <c r="A7910" s="12" t="s">
        <v>34769</v>
      </c>
      <c r="B7910" s="12" t="s">
        <v>34770</v>
      </c>
      <c r="C7910" s="19" t="s">
        <v>36</v>
      </c>
      <c r="D7910" s="19" t="s">
        <v>36</v>
      </c>
      <c r="E7910" s="19" t="s">
        <v>36</v>
      </c>
      <c r="F7910" s="19" t="s">
        <v>36</v>
      </c>
      <c r="G7910" s="15" t="s">
        <v>36</v>
      </c>
      <c r="H7910" s="14" t="s">
        <v>36</v>
      </c>
      <c r="I7910" s="18" t="s">
        <v>36</v>
      </c>
      <c r="J7910" s="12" t="s">
        <v>36</v>
      </c>
      <c r="K7910" s="13" t="s">
        <v>36</v>
      </c>
      <c r="L7910" s="15" t="s">
        <v>122</v>
      </c>
      <c r="M7910" s="12" t="s">
        <v>36</v>
      </c>
      <c r="N7910" s="12" t="s">
        <v>122</v>
      </c>
      <c r="O7910" s="17" t="s">
        <v>36</v>
      </c>
      <c r="P7910" s="12" t="s">
        <v>36</v>
      </c>
      <c r="Q7910" s="12" t="s">
        <v>36</v>
      </c>
      <c r="R7910" s="12" t="s">
        <v>36</v>
      </c>
      <c r="S7910" s="12" t="s">
        <v>36</v>
      </c>
      <c r="T7910" s="12" t="s">
        <v>105</v>
      </c>
      <c r="U7910" s="12" t="s">
        <v>38</v>
      </c>
      <c r="V7910" s="12" t="s">
        <v>39</v>
      </c>
      <c r="W7910" s="12" t="s">
        <v>34771</v>
      </c>
      <c r="X7910" s="16" t="s">
        <v>34772</v>
      </c>
      <c r="Y7910" s="15" t="s">
        <v>42</v>
      </c>
      <c r="Z7910" s="14">
        <v>4</v>
      </c>
      <c r="AA7910" s="14" t="s">
        <v>36</v>
      </c>
      <c r="AB7910" s="12" t="s">
        <v>43</v>
      </c>
      <c r="AC7910" s="12" t="s">
        <v>34773</v>
      </c>
      <c r="AD7910" s="13">
        <v>41599</v>
      </c>
      <c r="AE7910" s="12" t="s">
        <v>110</v>
      </c>
      <c r="AF7910" s="12" t="s">
        <v>3860</v>
      </c>
      <c r="AG7910" s="12" t="s">
        <v>652</v>
      </c>
      <c r="AH7910" s="1">
        <f>HYPERLINK("https://my.pitchbook.com?c=29833-57T","View Company Online")</f>
      </c>
    </row>
    <row r="7911">
      <c r="A7911" s="3" t="s">
        <v>34774</v>
      </c>
      <c r="B7911" s="3" t="s">
        <v>34775</v>
      </c>
      <c r="C7911" s="5" t="s">
        <v>36</v>
      </c>
      <c r="D7911" s="5">
        <v>2</v>
      </c>
      <c r="E7911" s="5">
        <v>1</v>
      </c>
      <c r="F7911" s="5">
        <v>2</v>
      </c>
      <c r="G7911" s="6" t="s">
        <v>326</v>
      </c>
      <c r="H7911" s="4">
        <v>10.75</v>
      </c>
      <c r="I7911" s="7">
        <v>33.38</v>
      </c>
      <c r="J7911" s="3" t="s">
        <v>521</v>
      </c>
      <c r="K7911" s="9" t="s">
        <v>36</v>
      </c>
      <c r="L7911" s="6" t="s">
        <v>122</v>
      </c>
      <c r="M7911" s="3" t="s">
        <v>36</v>
      </c>
      <c r="N7911" s="3" t="s">
        <v>122</v>
      </c>
      <c r="O7911" s="8" t="s">
        <v>36</v>
      </c>
      <c r="P7911" s="3" t="s">
        <v>36</v>
      </c>
      <c r="Q7911" s="3" t="s">
        <v>36</v>
      </c>
      <c r="R7911" s="3" t="s">
        <v>36</v>
      </c>
      <c r="S7911" s="3" t="s">
        <v>36</v>
      </c>
      <c r="T7911" s="3" t="s">
        <v>123</v>
      </c>
      <c r="U7911" s="3" t="s">
        <v>38</v>
      </c>
      <c r="V7911" s="3" t="s">
        <v>39</v>
      </c>
      <c r="W7911" s="3" t="s">
        <v>34776</v>
      </c>
      <c r="X7911" s="10" t="s">
        <v>27657</v>
      </c>
      <c r="Y7911" s="6" t="s">
        <v>42</v>
      </c>
      <c r="Z7911" s="4">
        <v>1.35</v>
      </c>
      <c r="AA7911" s="4">
        <v>4.05</v>
      </c>
      <c r="AB7911" s="3" t="s">
        <v>56</v>
      </c>
      <c r="AC7911" s="3" t="s">
        <v>34777</v>
      </c>
      <c r="AD7911" s="9">
        <v>41599</v>
      </c>
      <c r="AE7911" s="3" t="s">
        <v>110</v>
      </c>
      <c r="AF7911" s="3" t="s">
        <v>546</v>
      </c>
      <c r="AG7911" s="3" t="s">
        <v>186</v>
      </c>
      <c r="AH7911" s="11">
        <f>HYPERLINK("https://my.pitchbook.com?c=54741-88T","View Company Online")</f>
      </c>
    </row>
    <row r="7912">
      <c r="A7912" s="12" t="s">
        <v>34778</v>
      </c>
      <c r="B7912" s="12" t="s">
        <v>34779</v>
      </c>
      <c r="C7912" s="19" t="s">
        <v>36</v>
      </c>
      <c r="D7912" s="19" t="s">
        <v>36</v>
      </c>
      <c r="E7912" s="19" t="s">
        <v>36</v>
      </c>
      <c r="F7912" s="19" t="s">
        <v>36</v>
      </c>
      <c r="G7912" s="15" t="s">
        <v>36</v>
      </c>
      <c r="H7912" s="14" t="s">
        <v>36</v>
      </c>
      <c r="I7912" s="18" t="s">
        <v>36</v>
      </c>
      <c r="J7912" s="12" t="s">
        <v>36</v>
      </c>
      <c r="K7912" s="13">
        <v>41333</v>
      </c>
      <c r="L7912" s="15" t="s">
        <v>36</v>
      </c>
      <c r="M7912" s="12" t="s">
        <v>36</v>
      </c>
      <c r="N7912" s="12" t="s">
        <v>36</v>
      </c>
      <c r="O7912" s="17" t="s">
        <v>36</v>
      </c>
      <c r="P7912" s="12" t="s">
        <v>36</v>
      </c>
      <c r="Q7912" s="12" t="s">
        <v>36</v>
      </c>
      <c r="R7912" s="12" t="s">
        <v>36</v>
      </c>
      <c r="S7912" s="12" t="s">
        <v>36</v>
      </c>
      <c r="T7912" s="12" t="s">
        <v>2925</v>
      </c>
      <c r="U7912" s="12" t="s">
        <v>38</v>
      </c>
      <c r="V7912" s="12" t="s">
        <v>39</v>
      </c>
      <c r="W7912" s="12" t="s">
        <v>34780</v>
      </c>
      <c r="X7912" s="16" t="s">
        <v>34781</v>
      </c>
      <c r="Y7912" s="15" t="s">
        <v>42</v>
      </c>
      <c r="Z7912" s="14">
        <v>0.14</v>
      </c>
      <c r="AA7912" s="14" t="s">
        <v>36</v>
      </c>
      <c r="AB7912" s="12" t="s">
        <v>43</v>
      </c>
      <c r="AC7912" s="12" t="s">
        <v>34782</v>
      </c>
      <c r="AD7912" s="13">
        <v>41598</v>
      </c>
      <c r="AE7912" s="12" t="s">
        <v>110</v>
      </c>
      <c r="AF7912" s="12" t="s">
        <v>4552</v>
      </c>
      <c r="AG7912" s="12" t="s">
        <v>186</v>
      </c>
      <c r="AH7912" s="1">
        <f>HYPERLINK("https://my.pitchbook.com?c=56332-72T","View Company Online")</f>
      </c>
    </row>
    <row r="7913">
      <c r="A7913" s="3" t="s">
        <v>34783</v>
      </c>
      <c r="B7913" s="3" t="s">
        <v>27399</v>
      </c>
      <c r="C7913" s="5" t="s">
        <v>36</v>
      </c>
      <c r="D7913" s="5" t="s">
        <v>36</v>
      </c>
      <c r="E7913" s="5" t="s">
        <v>36</v>
      </c>
      <c r="F7913" s="5" t="s">
        <v>36</v>
      </c>
      <c r="G7913" s="6" t="s">
        <v>36</v>
      </c>
      <c r="H7913" s="4">
        <v>13.85</v>
      </c>
      <c r="I7913" s="7">
        <v>27.01</v>
      </c>
      <c r="J7913" s="3" t="s">
        <v>521</v>
      </c>
      <c r="K7913" s="9" t="s">
        <v>36</v>
      </c>
      <c r="L7913" s="6" t="s">
        <v>36</v>
      </c>
      <c r="M7913" s="3" t="s">
        <v>36</v>
      </c>
      <c r="N7913" s="3" t="s">
        <v>36</v>
      </c>
      <c r="O7913" s="8" t="s">
        <v>36</v>
      </c>
      <c r="P7913" s="3" t="s">
        <v>36</v>
      </c>
      <c r="Q7913" s="3" t="s">
        <v>36</v>
      </c>
      <c r="R7913" s="3" t="s">
        <v>36</v>
      </c>
      <c r="S7913" s="3" t="s">
        <v>36</v>
      </c>
      <c r="T7913" s="3" t="s">
        <v>3790</v>
      </c>
      <c r="U7913" s="3" t="s">
        <v>318</v>
      </c>
      <c r="V7913" s="3" t="s">
        <v>39</v>
      </c>
      <c r="W7913" s="3" t="s">
        <v>27400</v>
      </c>
      <c r="X7913" s="10" t="s">
        <v>34784</v>
      </c>
      <c r="Y7913" s="6" t="s">
        <v>42</v>
      </c>
      <c r="Z7913" s="4">
        <v>0.5</v>
      </c>
      <c r="AA7913" s="4">
        <v>1.86</v>
      </c>
      <c r="AB7913" s="3" t="s">
        <v>43</v>
      </c>
      <c r="AC7913" s="3" t="s">
        <v>27401</v>
      </c>
      <c r="AD7913" s="9">
        <v>41598</v>
      </c>
      <c r="AE7913" s="3" t="s">
        <v>763</v>
      </c>
      <c r="AF7913" s="3" t="s">
        <v>36</v>
      </c>
      <c r="AG7913" s="3" t="s">
        <v>3406</v>
      </c>
      <c r="AH7913" s="11">
        <f>HYPERLINK("https://my.pitchbook.com?c=78991-21T","View Company Online")</f>
      </c>
    </row>
    <row r="7914">
      <c r="A7914" s="12" t="s">
        <v>34785</v>
      </c>
      <c r="B7914" s="12" t="s">
        <v>34786</v>
      </c>
      <c r="C7914" s="19" t="s">
        <v>36</v>
      </c>
      <c r="D7914" s="19" t="s">
        <v>36</v>
      </c>
      <c r="E7914" s="19" t="s">
        <v>36</v>
      </c>
      <c r="F7914" s="19" t="s">
        <v>36</v>
      </c>
      <c r="G7914" s="15" t="s">
        <v>36</v>
      </c>
      <c r="H7914" s="14" t="s">
        <v>36</v>
      </c>
      <c r="I7914" s="18" t="s">
        <v>36</v>
      </c>
      <c r="J7914" s="12" t="s">
        <v>36</v>
      </c>
      <c r="K7914" s="13" t="s">
        <v>36</v>
      </c>
      <c r="L7914" s="15" t="s">
        <v>36</v>
      </c>
      <c r="M7914" s="12" t="s">
        <v>36</v>
      </c>
      <c r="N7914" s="12" t="s">
        <v>36</v>
      </c>
      <c r="O7914" s="17" t="s">
        <v>36</v>
      </c>
      <c r="P7914" s="12" t="s">
        <v>36</v>
      </c>
      <c r="Q7914" s="12" t="s">
        <v>36</v>
      </c>
      <c r="R7914" s="12" t="s">
        <v>36</v>
      </c>
      <c r="S7914" s="12" t="s">
        <v>36</v>
      </c>
      <c r="T7914" s="12" t="s">
        <v>34787</v>
      </c>
      <c r="U7914" s="12" t="s">
        <v>289</v>
      </c>
      <c r="V7914" s="12" t="s">
        <v>64</v>
      </c>
      <c r="W7914" s="12" t="s">
        <v>34788</v>
      </c>
      <c r="X7914" s="16" t="s">
        <v>34789</v>
      </c>
      <c r="Y7914" s="15" t="s">
        <v>42</v>
      </c>
      <c r="Z7914" s="14">
        <v>6.1</v>
      </c>
      <c r="AA7914" s="14" t="s">
        <v>36</v>
      </c>
      <c r="AB7914" s="12" t="s">
        <v>56</v>
      </c>
      <c r="AC7914" s="12" t="s">
        <v>34790</v>
      </c>
      <c r="AD7914" s="13">
        <v>41598</v>
      </c>
      <c r="AE7914" s="12" t="s">
        <v>3134</v>
      </c>
      <c r="AF7914" s="12" t="s">
        <v>2343</v>
      </c>
      <c r="AG7914" s="12" t="s">
        <v>10645</v>
      </c>
      <c r="AH7914" s="1">
        <f>HYPERLINK("https://my.pitchbook.com?c=29886-40T","View Company Online")</f>
      </c>
    </row>
    <row r="7915">
      <c r="A7915" s="3" t="s">
        <v>34791</v>
      </c>
      <c r="B7915" s="3" t="s">
        <v>34792</v>
      </c>
      <c r="C7915" s="5" t="s">
        <v>36</v>
      </c>
      <c r="D7915" s="5" t="s">
        <v>36</v>
      </c>
      <c r="E7915" s="5" t="s">
        <v>36</v>
      </c>
      <c r="F7915" s="5" t="s">
        <v>36</v>
      </c>
      <c r="G7915" s="6" t="s">
        <v>36</v>
      </c>
      <c r="H7915" s="4" t="s">
        <v>36</v>
      </c>
      <c r="I7915" s="7" t="s">
        <v>36</v>
      </c>
      <c r="J7915" s="3" t="s">
        <v>36</v>
      </c>
      <c r="K7915" s="9" t="s">
        <v>36</v>
      </c>
      <c r="L7915" s="6" t="s">
        <v>36</v>
      </c>
      <c r="M7915" s="3" t="s">
        <v>36</v>
      </c>
      <c r="N7915" s="3" t="s">
        <v>36</v>
      </c>
      <c r="O7915" s="8" t="s">
        <v>36</v>
      </c>
      <c r="P7915" s="3" t="s">
        <v>36</v>
      </c>
      <c r="Q7915" s="3" t="s">
        <v>36</v>
      </c>
      <c r="R7915" s="3" t="s">
        <v>36</v>
      </c>
      <c r="S7915" s="3" t="s">
        <v>36</v>
      </c>
      <c r="T7915" s="3" t="s">
        <v>34793</v>
      </c>
      <c r="U7915" s="3" t="s">
        <v>279</v>
      </c>
      <c r="V7915" s="3" t="s">
        <v>64</v>
      </c>
      <c r="W7915" s="3" t="s">
        <v>34794</v>
      </c>
      <c r="X7915" s="10" t="s">
        <v>221</v>
      </c>
      <c r="Y7915" s="6" t="s">
        <v>42</v>
      </c>
      <c r="Z7915" s="4" t="s">
        <v>36</v>
      </c>
      <c r="AA7915" s="4" t="s">
        <v>36</v>
      </c>
      <c r="AB7915" s="3" t="s">
        <v>56</v>
      </c>
      <c r="AC7915" s="3" t="s">
        <v>34795</v>
      </c>
      <c r="AD7915" s="9">
        <v>41598</v>
      </c>
      <c r="AE7915" s="3" t="s">
        <v>8519</v>
      </c>
      <c r="AF7915" s="3" t="s">
        <v>1636</v>
      </c>
      <c r="AG7915" s="3" t="s">
        <v>34796</v>
      </c>
      <c r="AH7915" s="11">
        <f>HYPERLINK("https://my.pitchbook.com?c=63347-68T","View Company Online")</f>
      </c>
    </row>
    <row r="7916">
      <c r="A7916" s="12" t="s">
        <v>34797</v>
      </c>
      <c r="B7916" s="12" t="s">
        <v>2918</v>
      </c>
      <c r="C7916" s="19" t="s">
        <v>36</v>
      </c>
      <c r="D7916" s="19" t="s">
        <v>36</v>
      </c>
      <c r="E7916" s="19" t="s">
        <v>36</v>
      </c>
      <c r="F7916" s="19" t="s">
        <v>36</v>
      </c>
      <c r="G7916" s="15" t="s">
        <v>36</v>
      </c>
      <c r="H7916" s="14">
        <v>10.39</v>
      </c>
      <c r="I7916" s="18">
        <v>6.85</v>
      </c>
      <c r="J7916" s="12" t="s">
        <v>521</v>
      </c>
      <c r="K7916" s="13" t="s">
        <v>36</v>
      </c>
      <c r="L7916" s="15" t="s">
        <v>36</v>
      </c>
      <c r="M7916" s="12" t="s">
        <v>36</v>
      </c>
      <c r="N7916" s="12" t="s">
        <v>36</v>
      </c>
      <c r="O7916" s="17" t="s">
        <v>36</v>
      </c>
      <c r="P7916" s="12" t="s">
        <v>36</v>
      </c>
      <c r="Q7916" s="12" t="s">
        <v>36</v>
      </c>
      <c r="R7916" s="12" t="s">
        <v>36</v>
      </c>
      <c r="S7916" s="12" t="s">
        <v>36</v>
      </c>
      <c r="T7916" s="12" t="s">
        <v>2919</v>
      </c>
      <c r="U7916" s="12" t="s">
        <v>728</v>
      </c>
      <c r="V7916" s="12" t="s">
        <v>64</v>
      </c>
      <c r="W7916" s="12" t="s">
        <v>2920</v>
      </c>
      <c r="X7916" s="16" t="s">
        <v>2130</v>
      </c>
      <c r="Y7916" s="15" t="s">
        <v>108</v>
      </c>
      <c r="Z7916" s="14">
        <v>2.69</v>
      </c>
      <c r="AA7916" s="14">
        <v>39.27</v>
      </c>
      <c r="AB7916" s="12" t="s">
        <v>56</v>
      </c>
      <c r="AC7916" s="12" t="s">
        <v>2922</v>
      </c>
      <c r="AD7916" s="13">
        <v>41596</v>
      </c>
      <c r="AE7916" s="12" t="s">
        <v>2154</v>
      </c>
      <c r="AF7916" s="12" t="s">
        <v>90</v>
      </c>
      <c r="AG7916" s="12" t="s">
        <v>81</v>
      </c>
      <c r="AH7916" s="1">
        <f>HYPERLINK("https://my.pitchbook.com?c=30534-04T","View Company Online")</f>
      </c>
    </row>
    <row r="7917">
      <c r="A7917" s="3" t="s">
        <v>34798</v>
      </c>
      <c r="B7917" s="3" t="s">
        <v>34799</v>
      </c>
      <c r="C7917" s="5" t="s">
        <v>36</v>
      </c>
      <c r="D7917" s="5" t="s">
        <v>36</v>
      </c>
      <c r="E7917" s="5" t="s">
        <v>36</v>
      </c>
      <c r="F7917" s="5" t="s">
        <v>36</v>
      </c>
      <c r="G7917" s="6" t="s">
        <v>36</v>
      </c>
      <c r="H7917" s="4" t="s">
        <v>36</v>
      </c>
      <c r="I7917" s="7" t="s">
        <v>36</v>
      </c>
      <c r="J7917" s="3" t="s">
        <v>36</v>
      </c>
      <c r="K7917" s="9" t="s">
        <v>36</v>
      </c>
      <c r="L7917" s="6" t="s">
        <v>36</v>
      </c>
      <c r="M7917" s="3" t="s">
        <v>36</v>
      </c>
      <c r="N7917" s="3" t="s">
        <v>36</v>
      </c>
      <c r="O7917" s="8" t="s">
        <v>36</v>
      </c>
      <c r="P7917" s="3" t="s">
        <v>36</v>
      </c>
      <c r="Q7917" s="3" t="s">
        <v>36</v>
      </c>
      <c r="R7917" s="3" t="s">
        <v>36</v>
      </c>
      <c r="S7917" s="3" t="s">
        <v>36</v>
      </c>
      <c r="T7917" s="3" t="s">
        <v>34800</v>
      </c>
      <c r="U7917" s="3" t="s">
        <v>38</v>
      </c>
      <c r="V7917" s="3" t="s">
        <v>39</v>
      </c>
      <c r="W7917" s="3" t="s">
        <v>34801</v>
      </c>
      <c r="X7917" s="10" t="s">
        <v>34802</v>
      </c>
      <c r="Y7917" s="6" t="s">
        <v>42</v>
      </c>
      <c r="Z7917" s="4">
        <v>0.45</v>
      </c>
      <c r="AA7917" s="4" t="s">
        <v>36</v>
      </c>
      <c r="AB7917" s="3" t="s">
        <v>43</v>
      </c>
      <c r="AC7917" s="3" t="s">
        <v>34803</v>
      </c>
      <c r="AD7917" s="9">
        <v>41594</v>
      </c>
      <c r="AE7917" s="3" t="s">
        <v>688</v>
      </c>
      <c r="AF7917" s="3" t="s">
        <v>32809</v>
      </c>
      <c r="AG7917" s="3" t="s">
        <v>81</v>
      </c>
      <c r="AH7917" s="11">
        <f>HYPERLINK("https://my.pitchbook.com?c=74379-70T","View Company Online")</f>
      </c>
    </row>
    <row r="7918">
      <c r="A7918" s="12" t="s">
        <v>34804</v>
      </c>
      <c r="B7918" s="12" t="s">
        <v>16063</v>
      </c>
      <c r="C7918" s="19" t="s">
        <v>36</v>
      </c>
      <c r="D7918" s="19" t="s">
        <v>36</v>
      </c>
      <c r="E7918" s="19" t="s">
        <v>36</v>
      </c>
      <c r="F7918" s="19" t="s">
        <v>36</v>
      </c>
      <c r="G7918" s="15" t="s">
        <v>36</v>
      </c>
      <c r="H7918" s="14" t="s">
        <v>36</v>
      </c>
      <c r="I7918" s="18" t="s">
        <v>36</v>
      </c>
      <c r="J7918" s="12" t="s">
        <v>36</v>
      </c>
      <c r="K7918" s="13" t="s">
        <v>36</v>
      </c>
      <c r="L7918" s="15" t="s">
        <v>122</v>
      </c>
      <c r="M7918" s="12" t="s">
        <v>36</v>
      </c>
      <c r="N7918" s="12" t="s">
        <v>122</v>
      </c>
      <c r="O7918" s="17" t="s">
        <v>36</v>
      </c>
      <c r="P7918" s="12" t="s">
        <v>36</v>
      </c>
      <c r="Q7918" s="12" t="s">
        <v>36</v>
      </c>
      <c r="R7918" s="12" t="s">
        <v>36</v>
      </c>
      <c r="S7918" s="12" t="s">
        <v>36</v>
      </c>
      <c r="T7918" s="12" t="s">
        <v>522</v>
      </c>
      <c r="U7918" s="12" t="s">
        <v>38</v>
      </c>
      <c r="V7918" s="12" t="s">
        <v>39</v>
      </c>
      <c r="W7918" s="12" t="s">
        <v>16064</v>
      </c>
      <c r="X7918" s="16" t="s">
        <v>34805</v>
      </c>
      <c r="Y7918" s="15" t="s">
        <v>108</v>
      </c>
      <c r="Z7918" s="14">
        <v>1.83</v>
      </c>
      <c r="AA7918" s="14" t="s">
        <v>36</v>
      </c>
      <c r="AB7918" s="12" t="s">
        <v>43</v>
      </c>
      <c r="AC7918" s="12" t="s">
        <v>16066</v>
      </c>
      <c r="AD7918" s="13">
        <v>41591</v>
      </c>
      <c r="AE7918" s="12" t="s">
        <v>110</v>
      </c>
      <c r="AF7918" s="12" t="s">
        <v>16067</v>
      </c>
      <c r="AG7918" s="12" t="s">
        <v>81</v>
      </c>
      <c r="AH7918" s="1">
        <f>HYPERLINK("https://my.pitchbook.com?c=29658-43T","View Company Online")</f>
      </c>
    </row>
    <row r="7919">
      <c r="A7919" s="3" t="s">
        <v>34806</v>
      </c>
      <c r="B7919" s="3" t="s">
        <v>20229</v>
      </c>
      <c r="C7919" s="5" t="s">
        <v>36</v>
      </c>
      <c r="D7919" s="5">
        <v>1</v>
      </c>
      <c r="E7919" s="5">
        <v>1</v>
      </c>
      <c r="F7919" s="5">
        <v>1</v>
      </c>
      <c r="G7919" s="6" t="s">
        <v>36</v>
      </c>
      <c r="H7919" s="4">
        <v>19.07</v>
      </c>
      <c r="I7919" s="7">
        <v>24.93</v>
      </c>
      <c r="J7919" s="3" t="s">
        <v>327</v>
      </c>
      <c r="K7919" s="9" t="s">
        <v>36</v>
      </c>
      <c r="L7919" s="6" t="s">
        <v>122</v>
      </c>
      <c r="M7919" s="3" t="s">
        <v>36</v>
      </c>
      <c r="N7919" s="3" t="s">
        <v>122</v>
      </c>
      <c r="O7919" s="8" t="s">
        <v>36</v>
      </c>
      <c r="P7919" s="3" t="s">
        <v>36</v>
      </c>
      <c r="Q7919" s="3" t="s">
        <v>36</v>
      </c>
      <c r="R7919" s="3" t="s">
        <v>36</v>
      </c>
      <c r="S7919" s="3" t="s">
        <v>36</v>
      </c>
      <c r="T7919" s="3" t="s">
        <v>9281</v>
      </c>
      <c r="U7919" s="3" t="s">
        <v>38</v>
      </c>
      <c r="V7919" s="3" t="s">
        <v>39</v>
      </c>
      <c r="W7919" s="3" t="s">
        <v>20230</v>
      </c>
      <c r="X7919" s="10" t="s">
        <v>34807</v>
      </c>
      <c r="Y7919" s="6" t="s">
        <v>42</v>
      </c>
      <c r="Z7919" s="4">
        <v>1.9</v>
      </c>
      <c r="AA7919" s="4">
        <v>7.62</v>
      </c>
      <c r="AB7919" s="3" t="s">
        <v>43</v>
      </c>
      <c r="AC7919" s="3" t="s">
        <v>20232</v>
      </c>
      <c r="AD7919" s="9">
        <v>41590</v>
      </c>
      <c r="AE7919" s="3" t="s">
        <v>1945</v>
      </c>
      <c r="AF7919" s="3" t="s">
        <v>7844</v>
      </c>
      <c r="AG7919" s="3" t="s">
        <v>81</v>
      </c>
      <c r="AH7919" s="11">
        <f>HYPERLINK("https://my.pitchbook.com?c=29621-98T","View Company Online")</f>
      </c>
    </row>
    <row r="7920">
      <c r="A7920" s="12" t="s">
        <v>34808</v>
      </c>
      <c r="B7920" s="12" t="s">
        <v>34809</v>
      </c>
      <c r="C7920" s="19" t="s">
        <v>36</v>
      </c>
      <c r="D7920" s="19" t="s">
        <v>36</v>
      </c>
      <c r="E7920" s="19" t="s">
        <v>36</v>
      </c>
      <c r="F7920" s="19" t="s">
        <v>36</v>
      </c>
      <c r="G7920" s="15" t="s">
        <v>36</v>
      </c>
      <c r="H7920" s="14" t="s">
        <v>36</v>
      </c>
      <c r="I7920" s="18" t="s">
        <v>36</v>
      </c>
      <c r="J7920" s="12" t="s">
        <v>36</v>
      </c>
      <c r="K7920" s="13" t="s">
        <v>36</v>
      </c>
      <c r="L7920" s="15" t="s">
        <v>36</v>
      </c>
      <c r="M7920" s="12" t="s">
        <v>36</v>
      </c>
      <c r="N7920" s="12" t="s">
        <v>36</v>
      </c>
      <c r="O7920" s="17" t="s">
        <v>36</v>
      </c>
      <c r="P7920" s="12" t="s">
        <v>36</v>
      </c>
      <c r="Q7920" s="12" t="s">
        <v>36</v>
      </c>
      <c r="R7920" s="12" t="s">
        <v>36</v>
      </c>
      <c r="S7920" s="12" t="s">
        <v>36</v>
      </c>
      <c r="T7920" s="12" t="s">
        <v>4758</v>
      </c>
      <c r="U7920" s="12" t="s">
        <v>38</v>
      </c>
      <c r="V7920" s="12" t="s">
        <v>39</v>
      </c>
      <c r="W7920" s="12" t="s">
        <v>34810</v>
      </c>
      <c r="X7920" s="16" t="s">
        <v>11058</v>
      </c>
      <c r="Y7920" s="15" t="s">
        <v>42</v>
      </c>
      <c r="Z7920" s="14" t="s">
        <v>36</v>
      </c>
      <c r="AA7920" s="14" t="s">
        <v>36</v>
      </c>
      <c r="AB7920" s="12" t="s">
        <v>43</v>
      </c>
      <c r="AC7920" s="12" t="s">
        <v>34811</v>
      </c>
      <c r="AD7920" s="13">
        <v>41586</v>
      </c>
      <c r="AE7920" s="12" t="s">
        <v>1330</v>
      </c>
      <c r="AF7920" s="12" t="s">
        <v>32830</v>
      </c>
      <c r="AG7920" s="12" t="s">
        <v>102</v>
      </c>
      <c r="AH7920" s="1">
        <f>HYPERLINK("https://my.pitchbook.com?c=89265-52T","View Company Online")</f>
      </c>
    </row>
    <row r="7921">
      <c r="A7921" s="3" t="s">
        <v>34812</v>
      </c>
      <c r="B7921" s="3" t="s">
        <v>18541</v>
      </c>
      <c r="C7921" s="5" t="s">
        <v>36</v>
      </c>
      <c r="D7921" s="5" t="s">
        <v>36</v>
      </c>
      <c r="E7921" s="5" t="s">
        <v>36</v>
      </c>
      <c r="F7921" s="5" t="s">
        <v>36</v>
      </c>
      <c r="G7921" s="6" t="s">
        <v>326</v>
      </c>
      <c r="H7921" s="4">
        <v>20.31</v>
      </c>
      <c r="I7921" s="7">
        <v>40.45</v>
      </c>
      <c r="J7921" s="3" t="s">
        <v>521</v>
      </c>
      <c r="K7921" s="9">
        <v>41526</v>
      </c>
      <c r="L7921" s="6" t="s">
        <v>122</v>
      </c>
      <c r="M7921" s="3" t="s">
        <v>36</v>
      </c>
      <c r="N7921" s="3" t="s">
        <v>122</v>
      </c>
      <c r="O7921" s="8" t="s">
        <v>36</v>
      </c>
      <c r="P7921" s="3" t="s">
        <v>36</v>
      </c>
      <c r="Q7921" s="3" t="s">
        <v>36</v>
      </c>
      <c r="R7921" s="3" t="s">
        <v>36</v>
      </c>
      <c r="S7921" s="3" t="s">
        <v>36</v>
      </c>
      <c r="T7921" s="3" t="s">
        <v>522</v>
      </c>
      <c r="U7921" s="3" t="s">
        <v>38</v>
      </c>
      <c r="V7921" s="3" t="s">
        <v>39</v>
      </c>
      <c r="W7921" s="3" t="s">
        <v>18542</v>
      </c>
      <c r="X7921" s="10" t="s">
        <v>34813</v>
      </c>
      <c r="Y7921" s="6" t="s">
        <v>42</v>
      </c>
      <c r="Z7921" s="4">
        <v>1.36</v>
      </c>
      <c r="AA7921" s="4">
        <v>3.37</v>
      </c>
      <c r="AB7921" s="3" t="s">
        <v>56</v>
      </c>
      <c r="AC7921" s="3" t="s">
        <v>18544</v>
      </c>
      <c r="AD7921" s="9">
        <v>41586</v>
      </c>
      <c r="AE7921" s="3" t="s">
        <v>110</v>
      </c>
      <c r="AF7921" s="3" t="s">
        <v>6214</v>
      </c>
      <c r="AG7921" s="3" t="s">
        <v>81</v>
      </c>
      <c r="AH7921" s="11">
        <f>HYPERLINK("https://my.pitchbook.com?c=53711-92T","View Company Online")</f>
      </c>
    </row>
    <row r="7922">
      <c r="A7922" s="12" t="s">
        <v>34814</v>
      </c>
      <c r="B7922" s="12" t="s">
        <v>34815</v>
      </c>
      <c r="C7922" s="19" t="s">
        <v>36</v>
      </c>
      <c r="D7922" s="19" t="s">
        <v>36</v>
      </c>
      <c r="E7922" s="19" t="s">
        <v>36</v>
      </c>
      <c r="F7922" s="19" t="s">
        <v>36</v>
      </c>
      <c r="G7922" s="15" t="s">
        <v>326</v>
      </c>
      <c r="H7922" s="14">
        <v>17.66</v>
      </c>
      <c r="I7922" s="18">
        <v>5.3</v>
      </c>
      <c r="J7922" s="12" t="s">
        <v>521</v>
      </c>
      <c r="K7922" s="13" t="s">
        <v>36</v>
      </c>
      <c r="L7922" s="15" t="s">
        <v>36</v>
      </c>
      <c r="M7922" s="12" t="s">
        <v>36</v>
      </c>
      <c r="N7922" s="12" t="s">
        <v>36</v>
      </c>
      <c r="O7922" s="17" t="s">
        <v>36</v>
      </c>
      <c r="P7922" s="12" t="s">
        <v>36</v>
      </c>
      <c r="Q7922" s="12" t="s">
        <v>36</v>
      </c>
      <c r="R7922" s="12" t="s">
        <v>36</v>
      </c>
      <c r="S7922" s="12" t="s">
        <v>36</v>
      </c>
      <c r="T7922" s="12" t="s">
        <v>8811</v>
      </c>
      <c r="U7922" s="12" t="s">
        <v>74</v>
      </c>
      <c r="V7922" s="12" t="s">
        <v>75</v>
      </c>
      <c r="W7922" s="12" t="s">
        <v>34816</v>
      </c>
      <c r="X7922" s="16" t="s">
        <v>12123</v>
      </c>
      <c r="Y7922" s="15" t="s">
        <v>55</v>
      </c>
      <c r="Z7922" s="14">
        <v>0.21</v>
      </c>
      <c r="AA7922" s="14">
        <v>3.98</v>
      </c>
      <c r="AB7922" s="12" t="s">
        <v>43</v>
      </c>
      <c r="AC7922" s="12" t="s">
        <v>34817</v>
      </c>
      <c r="AD7922" s="13">
        <v>41586</v>
      </c>
      <c r="AE7922" s="12" t="s">
        <v>1243</v>
      </c>
      <c r="AF7922" s="12" t="s">
        <v>36</v>
      </c>
      <c r="AG7922" s="12" t="s">
        <v>34818</v>
      </c>
      <c r="AH7922" s="1">
        <f>HYPERLINK("https://my.pitchbook.com?c=188155-18T","View Company Online")</f>
      </c>
    </row>
    <row r="7923">
      <c r="A7923" s="3" t="s">
        <v>34819</v>
      </c>
      <c r="B7923" s="3" t="s">
        <v>34820</v>
      </c>
      <c r="C7923" s="5" t="s">
        <v>36</v>
      </c>
      <c r="D7923" s="5">
        <v>1</v>
      </c>
      <c r="E7923" s="5">
        <v>1</v>
      </c>
      <c r="F7923" s="5">
        <v>2</v>
      </c>
      <c r="G7923" s="6" t="s">
        <v>36</v>
      </c>
      <c r="H7923" s="4" t="s">
        <v>36</v>
      </c>
      <c r="I7923" s="7" t="s">
        <v>36</v>
      </c>
      <c r="J7923" s="3" t="s">
        <v>36</v>
      </c>
      <c r="K7923" s="9" t="s">
        <v>36</v>
      </c>
      <c r="L7923" s="6" t="s">
        <v>36</v>
      </c>
      <c r="M7923" s="3" t="s">
        <v>36</v>
      </c>
      <c r="N7923" s="3" t="s">
        <v>36</v>
      </c>
      <c r="O7923" s="8" t="s">
        <v>36</v>
      </c>
      <c r="P7923" s="3" t="s">
        <v>36</v>
      </c>
      <c r="Q7923" s="3" t="s">
        <v>36</v>
      </c>
      <c r="R7923" s="3" t="s">
        <v>36</v>
      </c>
      <c r="S7923" s="3" t="s">
        <v>36</v>
      </c>
      <c r="T7923" s="3" t="s">
        <v>5123</v>
      </c>
      <c r="U7923" s="3" t="s">
        <v>74</v>
      </c>
      <c r="V7923" s="3" t="s">
        <v>75</v>
      </c>
      <c r="W7923" s="3" t="s">
        <v>34821</v>
      </c>
      <c r="X7923" s="10" t="s">
        <v>1840</v>
      </c>
      <c r="Y7923" s="6" t="s">
        <v>108</v>
      </c>
      <c r="Z7923" s="4">
        <v>1.09</v>
      </c>
      <c r="AA7923" s="4" t="s">
        <v>36</v>
      </c>
      <c r="AB7923" s="3" t="s">
        <v>56</v>
      </c>
      <c r="AC7923" s="3" t="s">
        <v>34822</v>
      </c>
      <c r="AD7923" s="9">
        <v>41585</v>
      </c>
      <c r="AE7923" s="3" t="s">
        <v>1888</v>
      </c>
      <c r="AF7923" s="3" t="s">
        <v>22942</v>
      </c>
      <c r="AG7923" s="3" t="s">
        <v>9146</v>
      </c>
      <c r="AH7923" s="11">
        <f>HYPERLINK("https://my.pitchbook.com?c=35417-80T","View Company Online")</f>
      </c>
    </row>
    <row r="7924">
      <c r="A7924" s="12" t="s">
        <v>34823</v>
      </c>
      <c r="B7924" s="12" t="s">
        <v>7936</v>
      </c>
      <c r="C7924" s="19" t="s">
        <v>36</v>
      </c>
      <c r="D7924" s="19" t="s">
        <v>36</v>
      </c>
      <c r="E7924" s="19" t="s">
        <v>36</v>
      </c>
      <c r="F7924" s="19" t="s">
        <v>36</v>
      </c>
      <c r="G7924" s="15" t="s">
        <v>36</v>
      </c>
      <c r="H7924" s="14">
        <v>193.57</v>
      </c>
      <c r="I7924" s="18">
        <v>23.37</v>
      </c>
      <c r="J7924" s="12" t="s">
        <v>521</v>
      </c>
      <c r="K7924" s="13" t="s">
        <v>36</v>
      </c>
      <c r="L7924" s="15" t="s">
        <v>36</v>
      </c>
      <c r="M7924" s="12" t="s">
        <v>36</v>
      </c>
      <c r="N7924" s="12" t="s">
        <v>36</v>
      </c>
      <c r="O7924" s="17" t="s">
        <v>36</v>
      </c>
      <c r="P7924" s="12" t="s">
        <v>36</v>
      </c>
      <c r="Q7924" s="12" t="s">
        <v>36</v>
      </c>
      <c r="R7924" s="12" t="s">
        <v>36</v>
      </c>
      <c r="S7924" s="12" t="s">
        <v>36</v>
      </c>
      <c r="T7924" s="12" t="s">
        <v>2151</v>
      </c>
      <c r="U7924" s="12" t="s">
        <v>728</v>
      </c>
      <c r="V7924" s="12" t="s">
        <v>64</v>
      </c>
      <c r="W7924" s="12" t="s">
        <v>7937</v>
      </c>
      <c r="X7924" s="16" t="s">
        <v>34824</v>
      </c>
      <c r="Y7924" s="15" t="s">
        <v>42</v>
      </c>
      <c r="Z7924" s="14">
        <v>0.83</v>
      </c>
      <c r="AA7924" s="14">
        <v>3.56</v>
      </c>
      <c r="AB7924" s="12" t="s">
        <v>56</v>
      </c>
      <c r="AC7924" s="12" t="s">
        <v>7939</v>
      </c>
      <c r="AD7924" s="13">
        <v>41585</v>
      </c>
      <c r="AE7924" s="12" t="s">
        <v>2154</v>
      </c>
      <c r="AF7924" s="12" t="s">
        <v>733</v>
      </c>
      <c r="AG7924" s="12" t="s">
        <v>81</v>
      </c>
      <c r="AH7924" s="1">
        <f>HYPERLINK("https://my.pitchbook.com?c=186581-62T","View Company Online")</f>
      </c>
    </row>
    <row r="7925">
      <c r="A7925" s="3" t="s">
        <v>34825</v>
      </c>
      <c r="B7925" s="3" t="s">
        <v>18567</v>
      </c>
      <c r="C7925" s="5" t="s">
        <v>36</v>
      </c>
      <c r="D7925" s="5" t="s">
        <v>36</v>
      </c>
      <c r="E7925" s="5" t="s">
        <v>36</v>
      </c>
      <c r="F7925" s="5" t="s">
        <v>36</v>
      </c>
      <c r="G7925" s="6" t="s">
        <v>326</v>
      </c>
      <c r="H7925" s="4">
        <v>64.52</v>
      </c>
      <c r="I7925" s="7">
        <v>17.58</v>
      </c>
      <c r="J7925" s="3" t="s">
        <v>521</v>
      </c>
      <c r="K7925" s="9" t="s">
        <v>36</v>
      </c>
      <c r="L7925" s="6" t="s">
        <v>36</v>
      </c>
      <c r="M7925" s="3" t="s">
        <v>36</v>
      </c>
      <c r="N7925" s="3" t="s">
        <v>36</v>
      </c>
      <c r="O7925" s="8" t="s">
        <v>36</v>
      </c>
      <c r="P7925" s="3" t="s">
        <v>36</v>
      </c>
      <c r="Q7925" s="3" t="s">
        <v>36</v>
      </c>
      <c r="R7925" s="3" t="s">
        <v>36</v>
      </c>
      <c r="S7925" s="3" t="s">
        <v>36</v>
      </c>
      <c r="T7925" s="3" t="s">
        <v>611</v>
      </c>
      <c r="U7925" s="3" t="s">
        <v>38</v>
      </c>
      <c r="V7925" s="3" t="s">
        <v>39</v>
      </c>
      <c r="W7925" s="3" t="s">
        <v>18568</v>
      </c>
      <c r="X7925" s="10" t="s">
        <v>34826</v>
      </c>
      <c r="Y7925" s="6" t="s">
        <v>55</v>
      </c>
      <c r="Z7925" s="4">
        <v>13.62</v>
      </c>
      <c r="AA7925" s="4">
        <v>44.14</v>
      </c>
      <c r="AB7925" s="3" t="s">
        <v>56</v>
      </c>
      <c r="AC7925" s="3" t="s">
        <v>18570</v>
      </c>
      <c r="AD7925" s="9">
        <v>41585</v>
      </c>
      <c r="AE7925" s="3" t="s">
        <v>45</v>
      </c>
      <c r="AF7925" s="3" t="s">
        <v>331</v>
      </c>
      <c r="AG7925" s="3" t="s">
        <v>81</v>
      </c>
      <c r="AH7925" s="11">
        <f>HYPERLINK("https://my.pitchbook.com?c=29535-22T","View Company Online")</f>
      </c>
    </row>
    <row r="7926">
      <c r="A7926" s="12" t="s">
        <v>34827</v>
      </c>
      <c r="B7926" s="12" t="s">
        <v>30100</v>
      </c>
      <c r="C7926" s="19" t="s">
        <v>36</v>
      </c>
      <c r="D7926" s="19" t="s">
        <v>36</v>
      </c>
      <c r="E7926" s="19" t="s">
        <v>36</v>
      </c>
      <c r="F7926" s="19" t="s">
        <v>36</v>
      </c>
      <c r="G7926" s="15" t="s">
        <v>36</v>
      </c>
      <c r="H7926" s="14" t="s">
        <v>36</v>
      </c>
      <c r="I7926" s="18" t="s">
        <v>36</v>
      </c>
      <c r="J7926" s="12" t="s">
        <v>36</v>
      </c>
      <c r="K7926" s="13" t="s">
        <v>36</v>
      </c>
      <c r="L7926" s="15" t="s">
        <v>122</v>
      </c>
      <c r="M7926" s="12" t="s">
        <v>36</v>
      </c>
      <c r="N7926" s="12" t="s">
        <v>122</v>
      </c>
      <c r="O7926" s="17" t="s">
        <v>36</v>
      </c>
      <c r="P7926" s="12" t="s">
        <v>36</v>
      </c>
      <c r="Q7926" s="12" t="s">
        <v>36</v>
      </c>
      <c r="R7926" s="12" t="s">
        <v>36</v>
      </c>
      <c r="S7926" s="12" t="s">
        <v>36</v>
      </c>
      <c r="T7926" s="12" t="s">
        <v>522</v>
      </c>
      <c r="U7926" s="12" t="s">
        <v>38</v>
      </c>
      <c r="V7926" s="12" t="s">
        <v>39</v>
      </c>
      <c r="W7926" s="12" t="s">
        <v>30101</v>
      </c>
      <c r="X7926" s="16" t="s">
        <v>34828</v>
      </c>
      <c r="Y7926" s="15" t="s">
        <v>42</v>
      </c>
      <c r="Z7926" s="14">
        <v>1.36</v>
      </c>
      <c r="AA7926" s="14" t="s">
        <v>36</v>
      </c>
      <c r="AB7926" s="12" t="s">
        <v>43</v>
      </c>
      <c r="AC7926" s="12" t="s">
        <v>30103</v>
      </c>
      <c r="AD7926" s="13">
        <v>41584</v>
      </c>
      <c r="AE7926" s="12" t="s">
        <v>110</v>
      </c>
      <c r="AF7926" s="12" t="s">
        <v>30104</v>
      </c>
      <c r="AG7926" s="12" t="s">
        <v>81</v>
      </c>
      <c r="AH7926" s="1">
        <f>HYPERLINK("https://my.pitchbook.com?c=29654-02T","View Company Online")</f>
      </c>
    </row>
    <row r="7927">
      <c r="A7927" s="3" t="s">
        <v>34829</v>
      </c>
      <c r="B7927" s="3" t="s">
        <v>28012</v>
      </c>
      <c r="C7927" s="5" t="s">
        <v>36</v>
      </c>
      <c r="D7927" s="5">
        <v>6</v>
      </c>
      <c r="E7927" s="5">
        <v>2</v>
      </c>
      <c r="F7927" s="5">
        <v>7</v>
      </c>
      <c r="G7927" s="6" t="s">
        <v>36</v>
      </c>
      <c r="H7927" s="4">
        <v>93.47</v>
      </c>
      <c r="I7927" s="7">
        <v>28.77</v>
      </c>
      <c r="J7927" s="3" t="s">
        <v>521</v>
      </c>
      <c r="K7927" s="9" t="s">
        <v>36</v>
      </c>
      <c r="L7927" s="6" t="s">
        <v>36</v>
      </c>
      <c r="M7927" s="3" t="s">
        <v>36</v>
      </c>
      <c r="N7927" s="3" t="s">
        <v>36</v>
      </c>
      <c r="O7927" s="8" t="s">
        <v>36</v>
      </c>
      <c r="P7927" s="3" t="s">
        <v>36</v>
      </c>
      <c r="Q7927" s="3" t="s">
        <v>36</v>
      </c>
      <c r="R7927" s="3" t="s">
        <v>36</v>
      </c>
      <c r="S7927" s="3" t="s">
        <v>36</v>
      </c>
      <c r="T7927" s="3" t="s">
        <v>4917</v>
      </c>
      <c r="U7927" s="3" t="s">
        <v>38</v>
      </c>
      <c r="V7927" s="3" t="s">
        <v>39</v>
      </c>
      <c r="W7927" s="3" t="s">
        <v>28013</v>
      </c>
      <c r="X7927" s="10" t="s">
        <v>34830</v>
      </c>
      <c r="Y7927" s="6" t="s">
        <v>42</v>
      </c>
      <c r="Z7927" s="4">
        <v>1.67</v>
      </c>
      <c r="AA7927" s="4">
        <v>5.8</v>
      </c>
      <c r="AB7927" s="3" t="s">
        <v>56</v>
      </c>
      <c r="AC7927" s="3" t="s">
        <v>28015</v>
      </c>
      <c r="AD7927" s="9">
        <v>41583</v>
      </c>
      <c r="AE7927" s="3" t="s">
        <v>134</v>
      </c>
      <c r="AF7927" s="3" t="s">
        <v>2752</v>
      </c>
      <c r="AG7927" s="3" t="s">
        <v>17393</v>
      </c>
      <c r="AH7927" s="11">
        <f>HYPERLINK("https://my.pitchbook.com?c=30714-40T","View Company Online")</f>
      </c>
    </row>
    <row r="7928">
      <c r="A7928" s="12" t="s">
        <v>34831</v>
      </c>
      <c r="B7928" s="12" t="s">
        <v>34832</v>
      </c>
      <c r="C7928" s="19" t="s">
        <v>36</v>
      </c>
      <c r="D7928" s="19" t="s">
        <v>36</v>
      </c>
      <c r="E7928" s="19" t="s">
        <v>36</v>
      </c>
      <c r="F7928" s="19" t="s">
        <v>36</v>
      </c>
      <c r="G7928" s="15" t="s">
        <v>36</v>
      </c>
      <c r="H7928" s="14" t="s">
        <v>36</v>
      </c>
      <c r="I7928" s="18" t="s">
        <v>36</v>
      </c>
      <c r="J7928" s="12" t="s">
        <v>36</v>
      </c>
      <c r="K7928" s="13" t="s">
        <v>36</v>
      </c>
      <c r="L7928" s="15" t="s">
        <v>36</v>
      </c>
      <c r="M7928" s="12" t="s">
        <v>36</v>
      </c>
      <c r="N7928" s="12" t="s">
        <v>36</v>
      </c>
      <c r="O7928" s="17" t="s">
        <v>36</v>
      </c>
      <c r="P7928" s="12" t="s">
        <v>36</v>
      </c>
      <c r="Q7928" s="12" t="s">
        <v>36</v>
      </c>
      <c r="R7928" s="12" t="s">
        <v>36</v>
      </c>
      <c r="S7928" s="12" t="s">
        <v>36</v>
      </c>
      <c r="T7928" s="12" t="s">
        <v>23643</v>
      </c>
      <c r="U7928" s="12" t="s">
        <v>833</v>
      </c>
      <c r="V7928" s="12" t="s">
        <v>64</v>
      </c>
      <c r="W7928" s="12" t="s">
        <v>34833</v>
      </c>
      <c r="X7928" s="16" t="s">
        <v>34834</v>
      </c>
      <c r="Y7928" s="15" t="s">
        <v>42</v>
      </c>
      <c r="Z7928" s="14">
        <v>0.31</v>
      </c>
      <c r="AA7928" s="14" t="s">
        <v>36</v>
      </c>
      <c r="AB7928" s="12" t="s">
        <v>56</v>
      </c>
      <c r="AC7928" s="12" t="s">
        <v>34835</v>
      </c>
      <c r="AD7928" s="13">
        <v>41579</v>
      </c>
      <c r="AE7928" s="12" t="s">
        <v>1769</v>
      </c>
      <c r="AF7928" s="12" t="s">
        <v>90</v>
      </c>
      <c r="AG7928" s="12" t="s">
        <v>461</v>
      </c>
      <c r="AH7928" s="1">
        <f>HYPERLINK("https://my.pitchbook.com?c=126490-69T","View Company Online")</f>
      </c>
    </row>
    <row r="7929">
      <c r="A7929" s="3" t="s">
        <v>34836</v>
      </c>
      <c r="B7929" s="3" t="s">
        <v>34837</v>
      </c>
      <c r="C7929" s="5" t="s">
        <v>36</v>
      </c>
      <c r="D7929" s="5" t="s">
        <v>36</v>
      </c>
      <c r="E7929" s="5" t="s">
        <v>36</v>
      </c>
      <c r="F7929" s="5" t="s">
        <v>36</v>
      </c>
      <c r="G7929" s="6" t="s">
        <v>36</v>
      </c>
      <c r="H7929" s="4" t="s">
        <v>36</v>
      </c>
      <c r="I7929" s="7" t="s">
        <v>36</v>
      </c>
      <c r="J7929" s="3" t="s">
        <v>36</v>
      </c>
      <c r="K7929" s="9" t="s">
        <v>36</v>
      </c>
      <c r="L7929" s="6" t="s">
        <v>36</v>
      </c>
      <c r="M7929" s="3" t="s">
        <v>36</v>
      </c>
      <c r="N7929" s="3" t="s">
        <v>36</v>
      </c>
      <c r="O7929" s="8" t="s">
        <v>36</v>
      </c>
      <c r="P7929" s="3" t="s">
        <v>36</v>
      </c>
      <c r="Q7929" s="3" t="s">
        <v>36</v>
      </c>
      <c r="R7929" s="3" t="s">
        <v>36</v>
      </c>
      <c r="S7929" s="3" t="s">
        <v>36</v>
      </c>
      <c r="T7929" s="3" t="s">
        <v>34838</v>
      </c>
      <c r="U7929" s="3" t="s">
        <v>38</v>
      </c>
      <c r="V7929" s="3" t="s">
        <v>39</v>
      </c>
      <c r="W7929" s="3" t="s">
        <v>34839</v>
      </c>
      <c r="X7929" s="10" t="s">
        <v>34840</v>
      </c>
      <c r="Y7929" s="6" t="s">
        <v>42</v>
      </c>
      <c r="Z7929" s="4" t="s">
        <v>36</v>
      </c>
      <c r="AA7929" s="4" t="s">
        <v>36</v>
      </c>
      <c r="AB7929" s="3" t="s">
        <v>56</v>
      </c>
      <c r="AC7929" s="3" t="s">
        <v>34841</v>
      </c>
      <c r="AD7929" s="9">
        <v>41579</v>
      </c>
      <c r="AE7929" s="3" t="s">
        <v>110</v>
      </c>
      <c r="AF7929" s="3" t="s">
        <v>9908</v>
      </c>
      <c r="AG7929" s="3" t="s">
        <v>81</v>
      </c>
      <c r="AH7929" s="11">
        <f>HYPERLINK("https://my.pitchbook.com?c=25371-64T","View Company Online")</f>
      </c>
    </row>
    <row r="7930">
      <c r="A7930" s="12" t="s">
        <v>34842</v>
      </c>
      <c r="B7930" s="12" t="s">
        <v>31878</v>
      </c>
      <c r="C7930" s="19" t="s">
        <v>36</v>
      </c>
      <c r="D7930" s="19" t="s">
        <v>36</v>
      </c>
      <c r="E7930" s="19" t="s">
        <v>36</v>
      </c>
      <c r="F7930" s="19" t="s">
        <v>36</v>
      </c>
      <c r="G7930" s="15" t="s">
        <v>36</v>
      </c>
      <c r="H7930" s="14" t="s">
        <v>36</v>
      </c>
      <c r="I7930" s="18" t="s">
        <v>36</v>
      </c>
      <c r="J7930" s="12" t="s">
        <v>36</v>
      </c>
      <c r="K7930" s="13" t="s">
        <v>36</v>
      </c>
      <c r="L7930" s="15" t="s">
        <v>36</v>
      </c>
      <c r="M7930" s="12" t="s">
        <v>36</v>
      </c>
      <c r="N7930" s="12" t="s">
        <v>36</v>
      </c>
      <c r="O7930" s="17" t="s">
        <v>36</v>
      </c>
      <c r="P7930" s="12" t="s">
        <v>36</v>
      </c>
      <c r="Q7930" s="12" t="s">
        <v>36</v>
      </c>
      <c r="R7930" s="12" t="s">
        <v>36</v>
      </c>
      <c r="S7930" s="12" t="s">
        <v>36</v>
      </c>
      <c r="T7930" s="12" t="s">
        <v>31879</v>
      </c>
      <c r="U7930" s="12" t="s">
        <v>219</v>
      </c>
      <c r="V7930" s="12" t="s">
        <v>75</v>
      </c>
      <c r="W7930" s="12" t="s">
        <v>31880</v>
      </c>
      <c r="X7930" s="16" t="s">
        <v>34843</v>
      </c>
      <c r="Y7930" s="15" t="s">
        <v>42</v>
      </c>
      <c r="Z7930" s="14" t="s">
        <v>36</v>
      </c>
      <c r="AA7930" s="14" t="s">
        <v>36</v>
      </c>
      <c r="AB7930" s="12" t="s">
        <v>43</v>
      </c>
      <c r="AC7930" s="12" t="s">
        <v>31882</v>
      </c>
      <c r="AD7930" s="13">
        <v>41579</v>
      </c>
      <c r="AE7930" s="12" t="s">
        <v>1007</v>
      </c>
      <c r="AF7930" s="12" t="s">
        <v>24005</v>
      </c>
      <c r="AG7930" s="12" t="s">
        <v>1447</v>
      </c>
      <c r="AH7930" s="1">
        <f>HYPERLINK("https://my.pitchbook.com?c=25504-30T","View Company Online")</f>
      </c>
    </row>
    <row r="7931">
      <c r="A7931" s="3" t="s">
        <v>34844</v>
      </c>
      <c r="B7931" s="3" t="s">
        <v>34845</v>
      </c>
      <c r="C7931" s="5" t="s">
        <v>36</v>
      </c>
      <c r="D7931" s="5" t="s">
        <v>36</v>
      </c>
      <c r="E7931" s="5" t="s">
        <v>36</v>
      </c>
      <c r="F7931" s="5" t="s">
        <v>36</v>
      </c>
      <c r="G7931" s="6" t="s">
        <v>36</v>
      </c>
      <c r="H7931" s="4" t="s">
        <v>36</v>
      </c>
      <c r="I7931" s="7" t="s">
        <v>36</v>
      </c>
      <c r="J7931" s="3" t="s">
        <v>36</v>
      </c>
      <c r="K7931" s="9" t="s">
        <v>36</v>
      </c>
      <c r="L7931" s="6" t="s">
        <v>36</v>
      </c>
      <c r="M7931" s="3" t="s">
        <v>36</v>
      </c>
      <c r="N7931" s="3" t="s">
        <v>36</v>
      </c>
      <c r="O7931" s="8" t="s">
        <v>36</v>
      </c>
      <c r="P7931" s="3" t="s">
        <v>36</v>
      </c>
      <c r="Q7931" s="3" t="s">
        <v>36</v>
      </c>
      <c r="R7931" s="3" t="s">
        <v>36</v>
      </c>
      <c r="S7931" s="3" t="s">
        <v>36</v>
      </c>
      <c r="T7931" s="3" t="s">
        <v>34846</v>
      </c>
      <c r="U7931" s="3" t="s">
        <v>219</v>
      </c>
      <c r="V7931" s="3" t="s">
        <v>75</v>
      </c>
      <c r="W7931" s="3" t="s">
        <v>34847</v>
      </c>
      <c r="X7931" s="10" t="s">
        <v>33164</v>
      </c>
      <c r="Y7931" s="6" t="s">
        <v>42</v>
      </c>
      <c r="Z7931" s="4" t="s">
        <v>36</v>
      </c>
      <c r="AA7931" s="4" t="s">
        <v>36</v>
      </c>
      <c r="AB7931" s="3" t="s">
        <v>43</v>
      </c>
      <c r="AC7931" s="3" t="s">
        <v>34848</v>
      </c>
      <c r="AD7931" s="9">
        <v>41579</v>
      </c>
      <c r="AE7931" s="3" t="s">
        <v>1007</v>
      </c>
      <c r="AF7931" s="3" t="s">
        <v>26350</v>
      </c>
      <c r="AG7931" s="3" t="s">
        <v>2760</v>
      </c>
      <c r="AH7931" s="11">
        <f>HYPERLINK("https://my.pitchbook.com?c=25394-86T","View Company Online")</f>
      </c>
    </row>
    <row r="7932">
      <c r="A7932" s="12" t="s">
        <v>34849</v>
      </c>
      <c r="B7932" s="12" t="s">
        <v>34850</v>
      </c>
      <c r="C7932" s="19" t="s">
        <v>36</v>
      </c>
      <c r="D7932" s="19" t="s">
        <v>36</v>
      </c>
      <c r="E7932" s="19" t="s">
        <v>36</v>
      </c>
      <c r="F7932" s="19" t="s">
        <v>36</v>
      </c>
      <c r="G7932" s="15" t="s">
        <v>36</v>
      </c>
      <c r="H7932" s="14" t="s">
        <v>36</v>
      </c>
      <c r="I7932" s="18" t="s">
        <v>36</v>
      </c>
      <c r="J7932" s="12" t="s">
        <v>36</v>
      </c>
      <c r="K7932" s="13" t="s">
        <v>36</v>
      </c>
      <c r="L7932" s="15" t="s">
        <v>36</v>
      </c>
      <c r="M7932" s="12" t="s">
        <v>36</v>
      </c>
      <c r="N7932" s="12" t="s">
        <v>36</v>
      </c>
      <c r="O7932" s="17" t="s">
        <v>36</v>
      </c>
      <c r="P7932" s="12" t="s">
        <v>36</v>
      </c>
      <c r="Q7932" s="12" t="s">
        <v>36</v>
      </c>
      <c r="R7932" s="12" t="s">
        <v>36</v>
      </c>
      <c r="S7932" s="12" t="s">
        <v>36</v>
      </c>
      <c r="T7932" s="12" t="s">
        <v>2044</v>
      </c>
      <c r="U7932" s="12" t="s">
        <v>74</v>
      </c>
      <c r="V7932" s="12" t="s">
        <v>75</v>
      </c>
      <c r="W7932" s="12" t="s">
        <v>34851</v>
      </c>
      <c r="X7932" s="16" t="s">
        <v>34852</v>
      </c>
      <c r="Y7932" s="15" t="s">
        <v>42</v>
      </c>
      <c r="Z7932" s="14">
        <v>2.05</v>
      </c>
      <c r="AA7932" s="14" t="s">
        <v>36</v>
      </c>
      <c r="AB7932" s="12" t="s">
        <v>43</v>
      </c>
      <c r="AC7932" s="12" t="s">
        <v>34853</v>
      </c>
      <c r="AD7932" s="13">
        <v>41579</v>
      </c>
      <c r="AE7932" s="12" t="s">
        <v>79</v>
      </c>
      <c r="AF7932" s="12" t="s">
        <v>3904</v>
      </c>
      <c r="AG7932" s="12" t="s">
        <v>81</v>
      </c>
      <c r="AH7932" s="1">
        <f>HYPERLINK("https://my.pitchbook.com?c=114111-28T","View Company Online")</f>
      </c>
    </row>
    <row r="7933">
      <c r="A7933" s="3" t="s">
        <v>34854</v>
      </c>
      <c r="B7933" s="3" t="s">
        <v>34855</v>
      </c>
      <c r="C7933" s="5" t="s">
        <v>36</v>
      </c>
      <c r="D7933" s="5" t="s">
        <v>36</v>
      </c>
      <c r="E7933" s="5" t="s">
        <v>36</v>
      </c>
      <c r="F7933" s="5" t="s">
        <v>36</v>
      </c>
      <c r="G7933" s="6" t="s">
        <v>36</v>
      </c>
      <c r="H7933" s="4" t="s">
        <v>36</v>
      </c>
      <c r="I7933" s="7" t="s">
        <v>36</v>
      </c>
      <c r="J7933" s="3" t="s">
        <v>36</v>
      </c>
      <c r="K7933" s="9" t="s">
        <v>36</v>
      </c>
      <c r="L7933" s="6" t="s">
        <v>36</v>
      </c>
      <c r="M7933" s="3" t="s">
        <v>36</v>
      </c>
      <c r="N7933" s="3" t="s">
        <v>36</v>
      </c>
      <c r="O7933" s="8" t="s">
        <v>36</v>
      </c>
      <c r="P7933" s="3" t="s">
        <v>36</v>
      </c>
      <c r="Q7933" s="3" t="s">
        <v>36</v>
      </c>
      <c r="R7933" s="3" t="s">
        <v>36</v>
      </c>
      <c r="S7933" s="3" t="s">
        <v>36</v>
      </c>
      <c r="T7933" s="3" t="s">
        <v>15660</v>
      </c>
      <c r="U7933" s="3" t="s">
        <v>38</v>
      </c>
      <c r="V7933" s="3" t="s">
        <v>39</v>
      </c>
      <c r="W7933" s="3" t="s">
        <v>34856</v>
      </c>
      <c r="X7933" s="10" t="s">
        <v>3098</v>
      </c>
      <c r="Y7933" s="6" t="s">
        <v>108</v>
      </c>
      <c r="Z7933" s="4" t="s">
        <v>36</v>
      </c>
      <c r="AA7933" s="4" t="s">
        <v>36</v>
      </c>
      <c r="AB7933" s="3" t="s">
        <v>56</v>
      </c>
      <c r="AC7933" s="3" t="s">
        <v>34857</v>
      </c>
      <c r="AD7933" s="9">
        <v>41579</v>
      </c>
      <c r="AE7933" s="3" t="s">
        <v>110</v>
      </c>
      <c r="AF7933" s="3" t="s">
        <v>4552</v>
      </c>
      <c r="AG7933" s="3" t="s">
        <v>11436</v>
      </c>
      <c r="AH7933" s="11">
        <f>HYPERLINK("https://my.pitchbook.com?c=25677-64T","View Company Online")</f>
      </c>
    </row>
    <row r="7934">
      <c r="A7934" s="12" t="s">
        <v>34858</v>
      </c>
      <c r="B7934" s="12" t="s">
        <v>34859</v>
      </c>
      <c r="C7934" s="19" t="s">
        <v>36</v>
      </c>
      <c r="D7934" s="19" t="s">
        <v>36</v>
      </c>
      <c r="E7934" s="19" t="s">
        <v>36</v>
      </c>
      <c r="F7934" s="19" t="s">
        <v>36</v>
      </c>
      <c r="G7934" s="15" t="s">
        <v>36</v>
      </c>
      <c r="H7934" s="14" t="s">
        <v>36</v>
      </c>
      <c r="I7934" s="18" t="s">
        <v>36</v>
      </c>
      <c r="J7934" s="12" t="s">
        <v>36</v>
      </c>
      <c r="K7934" s="13" t="s">
        <v>36</v>
      </c>
      <c r="L7934" s="15" t="s">
        <v>36</v>
      </c>
      <c r="M7934" s="12" t="s">
        <v>36</v>
      </c>
      <c r="N7934" s="12" t="s">
        <v>36</v>
      </c>
      <c r="O7934" s="17" t="s">
        <v>36</v>
      </c>
      <c r="P7934" s="12" t="s">
        <v>36</v>
      </c>
      <c r="Q7934" s="12" t="s">
        <v>36</v>
      </c>
      <c r="R7934" s="12" t="s">
        <v>36</v>
      </c>
      <c r="S7934" s="12" t="s">
        <v>36</v>
      </c>
      <c r="T7934" s="12" t="s">
        <v>34860</v>
      </c>
      <c r="U7934" s="12" t="s">
        <v>63</v>
      </c>
      <c r="V7934" s="12" t="s">
        <v>64</v>
      </c>
      <c r="W7934" s="12" t="s">
        <v>34861</v>
      </c>
      <c r="X7934" s="16" t="s">
        <v>34862</v>
      </c>
      <c r="Y7934" s="15" t="s">
        <v>42</v>
      </c>
      <c r="Z7934" s="14" t="s">
        <v>36</v>
      </c>
      <c r="AA7934" s="14" t="s">
        <v>36</v>
      </c>
      <c r="AB7934" s="12" t="s">
        <v>56</v>
      </c>
      <c r="AC7934" s="12" t="s">
        <v>34863</v>
      </c>
      <c r="AD7934" s="13">
        <v>41579</v>
      </c>
      <c r="AE7934" s="12" t="s">
        <v>68</v>
      </c>
      <c r="AF7934" s="12" t="s">
        <v>90</v>
      </c>
      <c r="AG7934" s="12" t="s">
        <v>81</v>
      </c>
      <c r="AH7934" s="1">
        <f>HYPERLINK("https://my.pitchbook.com?c=25696-81T","View Company Online")</f>
      </c>
    </row>
    <row r="7935">
      <c r="A7935" s="3" t="s">
        <v>34864</v>
      </c>
      <c r="B7935" s="3" t="s">
        <v>34865</v>
      </c>
      <c r="C7935" s="5">
        <v>1</v>
      </c>
      <c r="D7935" s="5">
        <v>11</v>
      </c>
      <c r="E7935" s="5">
        <v>7</v>
      </c>
      <c r="F7935" s="5">
        <v>31</v>
      </c>
      <c r="G7935" s="6" t="s">
        <v>36</v>
      </c>
      <c r="H7935" s="4" t="s">
        <v>36</v>
      </c>
      <c r="I7935" s="7" t="s">
        <v>36</v>
      </c>
      <c r="J7935" s="3" t="s">
        <v>36</v>
      </c>
      <c r="K7935" s="9" t="s">
        <v>36</v>
      </c>
      <c r="L7935" s="6" t="s">
        <v>36</v>
      </c>
      <c r="M7935" s="3" t="s">
        <v>36</v>
      </c>
      <c r="N7935" s="3" t="s">
        <v>36</v>
      </c>
      <c r="O7935" s="8" t="s">
        <v>36</v>
      </c>
      <c r="P7935" s="3" t="s">
        <v>36</v>
      </c>
      <c r="Q7935" s="3" t="s">
        <v>36</v>
      </c>
      <c r="R7935" s="3" t="s">
        <v>36</v>
      </c>
      <c r="S7935" s="3" t="s">
        <v>36</v>
      </c>
      <c r="T7935" s="3" t="s">
        <v>34866</v>
      </c>
      <c r="U7935" s="3" t="s">
        <v>1580</v>
      </c>
      <c r="V7935" s="3" t="s">
        <v>39</v>
      </c>
      <c r="W7935" s="3" t="s">
        <v>34867</v>
      </c>
      <c r="X7935" s="10" t="s">
        <v>87</v>
      </c>
      <c r="Y7935" s="6" t="s">
        <v>108</v>
      </c>
      <c r="Z7935" s="4">
        <v>8.18</v>
      </c>
      <c r="AA7935" s="4" t="s">
        <v>36</v>
      </c>
      <c r="AB7935" s="3" t="s">
        <v>56</v>
      </c>
      <c r="AC7935" s="3" t="s">
        <v>34868</v>
      </c>
      <c r="AD7935" s="9">
        <v>41579</v>
      </c>
      <c r="AE7935" s="3" t="s">
        <v>3854</v>
      </c>
      <c r="AF7935" s="3" t="s">
        <v>11581</v>
      </c>
      <c r="AG7935" s="3" t="s">
        <v>81</v>
      </c>
      <c r="AH7935" s="11">
        <f>HYPERLINK("https://my.pitchbook.com?c=25460-47T","View Company Online")</f>
      </c>
    </row>
    <row r="7936">
      <c r="A7936" s="12" t="s">
        <v>34869</v>
      </c>
      <c r="B7936" s="12" t="s">
        <v>34870</v>
      </c>
      <c r="C7936" s="19" t="s">
        <v>36</v>
      </c>
      <c r="D7936" s="19" t="s">
        <v>36</v>
      </c>
      <c r="E7936" s="19" t="s">
        <v>36</v>
      </c>
      <c r="F7936" s="19" t="s">
        <v>36</v>
      </c>
      <c r="G7936" s="15" t="s">
        <v>326</v>
      </c>
      <c r="H7936" s="14">
        <v>17.66</v>
      </c>
      <c r="I7936" s="18">
        <v>34.79</v>
      </c>
      <c r="J7936" s="12" t="s">
        <v>521</v>
      </c>
      <c r="K7936" s="13">
        <v>40910</v>
      </c>
      <c r="L7936" s="15" t="s">
        <v>36</v>
      </c>
      <c r="M7936" s="12" t="s">
        <v>36</v>
      </c>
      <c r="N7936" s="12" t="s">
        <v>36</v>
      </c>
      <c r="O7936" s="17" t="s">
        <v>36</v>
      </c>
      <c r="P7936" s="12" t="s">
        <v>36</v>
      </c>
      <c r="Q7936" s="12" t="s">
        <v>36</v>
      </c>
      <c r="R7936" s="12" t="s">
        <v>36</v>
      </c>
      <c r="S7936" s="12" t="s">
        <v>36</v>
      </c>
      <c r="T7936" s="12" t="s">
        <v>26157</v>
      </c>
      <c r="U7936" s="12" t="s">
        <v>279</v>
      </c>
      <c r="V7936" s="12" t="s">
        <v>64</v>
      </c>
      <c r="W7936" s="12" t="s">
        <v>34871</v>
      </c>
      <c r="X7936" s="16" t="s">
        <v>34872</v>
      </c>
      <c r="Y7936" s="15" t="s">
        <v>42</v>
      </c>
      <c r="Z7936" s="14">
        <v>0.98</v>
      </c>
      <c r="AA7936" s="14">
        <v>2.82</v>
      </c>
      <c r="AB7936" s="12" t="s">
        <v>43</v>
      </c>
      <c r="AC7936" s="12" t="s">
        <v>34873</v>
      </c>
      <c r="AD7936" s="13">
        <v>41578</v>
      </c>
      <c r="AE7936" s="12" t="s">
        <v>283</v>
      </c>
      <c r="AF7936" s="12" t="s">
        <v>34874</v>
      </c>
      <c r="AG7936" s="12" t="s">
        <v>34875</v>
      </c>
      <c r="AH7936" s="1">
        <f>HYPERLINK("https://my.pitchbook.com?c=54749-71T","View Company Online")</f>
      </c>
    </row>
    <row r="7937">
      <c r="A7937" s="3" t="s">
        <v>34876</v>
      </c>
      <c r="B7937" s="3" t="s">
        <v>26341</v>
      </c>
      <c r="C7937" s="5" t="s">
        <v>36</v>
      </c>
      <c r="D7937" s="5" t="s">
        <v>36</v>
      </c>
      <c r="E7937" s="5" t="s">
        <v>36</v>
      </c>
      <c r="F7937" s="5" t="s">
        <v>36</v>
      </c>
      <c r="G7937" s="6" t="s">
        <v>36</v>
      </c>
      <c r="H7937" s="4" t="s">
        <v>36</v>
      </c>
      <c r="I7937" s="7" t="s">
        <v>36</v>
      </c>
      <c r="J7937" s="3" t="s">
        <v>36</v>
      </c>
      <c r="K7937" s="9" t="s">
        <v>36</v>
      </c>
      <c r="L7937" s="6" t="s">
        <v>122</v>
      </c>
      <c r="M7937" s="3" t="s">
        <v>36</v>
      </c>
      <c r="N7937" s="3" t="s">
        <v>122</v>
      </c>
      <c r="O7937" s="8" t="s">
        <v>36</v>
      </c>
      <c r="P7937" s="3" t="s">
        <v>36</v>
      </c>
      <c r="Q7937" s="3" t="s">
        <v>36</v>
      </c>
      <c r="R7937" s="3" t="s">
        <v>36</v>
      </c>
      <c r="S7937" s="3" t="s">
        <v>36</v>
      </c>
      <c r="T7937" s="3" t="s">
        <v>105</v>
      </c>
      <c r="U7937" s="3" t="s">
        <v>38</v>
      </c>
      <c r="V7937" s="3" t="s">
        <v>39</v>
      </c>
      <c r="W7937" s="3" t="s">
        <v>26342</v>
      </c>
      <c r="X7937" s="10" t="s">
        <v>33577</v>
      </c>
      <c r="Y7937" s="6" t="s">
        <v>55</v>
      </c>
      <c r="Z7937" s="4">
        <v>0.3</v>
      </c>
      <c r="AA7937" s="4" t="s">
        <v>36</v>
      </c>
      <c r="AB7937" s="3" t="s">
        <v>43</v>
      </c>
      <c r="AC7937" s="3" t="s">
        <v>26344</v>
      </c>
      <c r="AD7937" s="9">
        <v>41578</v>
      </c>
      <c r="AE7937" s="3" t="s">
        <v>110</v>
      </c>
      <c r="AF7937" s="3" t="s">
        <v>1401</v>
      </c>
      <c r="AG7937" s="3" t="s">
        <v>3595</v>
      </c>
      <c r="AH7937" s="11">
        <f>HYPERLINK("https://my.pitchbook.com?c=48833-47T","View Company Online")</f>
      </c>
    </row>
    <row r="7938">
      <c r="A7938" s="12" t="s">
        <v>34877</v>
      </c>
      <c r="B7938" s="12" t="s">
        <v>28511</v>
      </c>
      <c r="C7938" s="19">
        <v>1</v>
      </c>
      <c r="D7938" s="19">
        <v>2</v>
      </c>
      <c r="E7938" s="19">
        <v>3</v>
      </c>
      <c r="F7938" s="19">
        <v>5</v>
      </c>
      <c r="G7938" s="15" t="s">
        <v>36</v>
      </c>
      <c r="H7938" s="14" t="s">
        <v>36</v>
      </c>
      <c r="I7938" s="18" t="s">
        <v>36</v>
      </c>
      <c r="J7938" s="12" t="s">
        <v>36</v>
      </c>
      <c r="K7938" s="13" t="s">
        <v>36</v>
      </c>
      <c r="L7938" s="15" t="s">
        <v>36</v>
      </c>
      <c r="M7938" s="12" t="s">
        <v>36</v>
      </c>
      <c r="N7938" s="12" t="s">
        <v>36</v>
      </c>
      <c r="O7938" s="17" t="s">
        <v>36</v>
      </c>
      <c r="P7938" s="12" t="s">
        <v>36</v>
      </c>
      <c r="Q7938" s="12" t="s">
        <v>36</v>
      </c>
      <c r="R7938" s="12" t="s">
        <v>36</v>
      </c>
      <c r="S7938" s="12" t="s">
        <v>36</v>
      </c>
      <c r="T7938" s="12" t="s">
        <v>28512</v>
      </c>
      <c r="U7938" s="12" t="s">
        <v>38</v>
      </c>
      <c r="V7938" s="12" t="s">
        <v>39</v>
      </c>
      <c r="W7938" s="12" t="s">
        <v>28513</v>
      </c>
      <c r="X7938" s="16" t="s">
        <v>34878</v>
      </c>
      <c r="Y7938" s="15" t="s">
        <v>42</v>
      </c>
      <c r="Z7938" s="14">
        <v>1</v>
      </c>
      <c r="AA7938" s="14" t="s">
        <v>36</v>
      </c>
      <c r="AB7938" s="12" t="s">
        <v>43</v>
      </c>
      <c r="AC7938" s="12" t="s">
        <v>28515</v>
      </c>
      <c r="AD7938" s="13">
        <v>41575</v>
      </c>
      <c r="AE7938" s="12" t="s">
        <v>110</v>
      </c>
      <c r="AF7938" s="12" t="s">
        <v>19493</v>
      </c>
      <c r="AG7938" s="12" t="s">
        <v>81</v>
      </c>
      <c r="AH7938" s="1">
        <f>HYPERLINK("https://my.pitchbook.com?c=47028-25T","View Company Online")</f>
      </c>
    </row>
    <row r="7939">
      <c r="A7939" s="3" t="s">
        <v>34879</v>
      </c>
      <c r="B7939" s="3" t="s">
        <v>8286</v>
      </c>
      <c r="C7939" s="5" t="s">
        <v>36</v>
      </c>
      <c r="D7939" s="5" t="s">
        <v>36</v>
      </c>
      <c r="E7939" s="5" t="s">
        <v>36</v>
      </c>
      <c r="F7939" s="5" t="s">
        <v>36</v>
      </c>
      <c r="G7939" s="6" t="s">
        <v>683</v>
      </c>
      <c r="H7939" s="4">
        <v>4.36</v>
      </c>
      <c r="I7939" s="7">
        <v>6.09</v>
      </c>
      <c r="J7939" s="3" t="s">
        <v>521</v>
      </c>
      <c r="K7939" s="9" t="s">
        <v>36</v>
      </c>
      <c r="L7939" s="6" t="s">
        <v>36</v>
      </c>
      <c r="M7939" s="3" t="s">
        <v>36</v>
      </c>
      <c r="N7939" s="3" t="s">
        <v>36</v>
      </c>
      <c r="O7939" s="8" t="s">
        <v>36</v>
      </c>
      <c r="P7939" s="3" t="s">
        <v>36</v>
      </c>
      <c r="Q7939" s="3" t="s">
        <v>36</v>
      </c>
      <c r="R7939" s="3" t="s">
        <v>36</v>
      </c>
      <c r="S7939" s="3" t="s">
        <v>36</v>
      </c>
      <c r="T7939" s="3" t="s">
        <v>8287</v>
      </c>
      <c r="U7939" s="3" t="s">
        <v>180</v>
      </c>
      <c r="V7939" s="3" t="s">
        <v>52</v>
      </c>
      <c r="W7939" s="3" t="s">
        <v>8288</v>
      </c>
      <c r="X7939" s="10" t="s">
        <v>34880</v>
      </c>
      <c r="Y7939" s="6" t="s">
        <v>192</v>
      </c>
      <c r="Z7939" s="4">
        <v>0.66</v>
      </c>
      <c r="AA7939" s="4">
        <v>10.91</v>
      </c>
      <c r="AB7939" s="3" t="s">
        <v>56</v>
      </c>
      <c r="AC7939" s="3" t="s">
        <v>8290</v>
      </c>
      <c r="AD7939" s="9">
        <v>41572</v>
      </c>
      <c r="AE7939" s="3" t="s">
        <v>8291</v>
      </c>
      <c r="AF7939" s="3" t="s">
        <v>101</v>
      </c>
      <c r="AG7939" s="3" t="s">
        <v>787</v>
      </c>
      <c r="AH7939" s="11">
        <f>HYPERLINK("https://my.pitchbook.com?c=219294-82T","View Company Online")</f>
      </c>
    </row>
    <row r="7940">
      <c r="A7940" s="12" t="s">
        <v>34881</v>
      </c>
      <c r="B7940" s="12" t="s">
        <v>34882</v>
      </c>
      <c r="C7940" s="19" t="s">
        <v>36</v>
      </c>
      <c r="D7940" s="19" t="s">
        <v>36</v>
      </c>
      <c r="E7940" s="19" t="s">
        <v>36</v>
      </c>
      <c r="F7940" s="19" t="s">
        <v>36</v>
      </c>
      <c r="G7940" s="15" t="s">
        <v>36</v>
      </c>
      <c r="H7940" s="14">
        <v>1515.27</v>
      </c>
      <c r="I7940" s="18">
        <v>40</v>
      </c>
      <c r="J7940" s="12" t="s">
        <v>521</v>
      </c>
      <c r="K7940" s="13" t="s">
        <v>36</v>
      </c>
      <c r="L7940" s="15" t="s">
        <v>36</v>
      </c>
      <c r="M7940" s="12" t="s">
        <v>36</v>
      </c>
      <c r="N7940" s="12" t="s">
        <v>36</v>
      </c>
      <c r="O7940" s="17" t="s">
        <v>36</v>
      </c>
      <c r="P7940" s="12" t="s">
        <v>36</v>
      </c>
      <c r="Q7940" s="12" t="s">
        <v>36</v>
      </c>
      <c r="R7940" s="12" t="s">
        <v>36</v>
      </c>
      <c r="S7940" s="12" t="s">
        <v>36</v>
      </c>
      <c r="T7940" s="12" t="s">
        <v>8159</v>
      </c>
      <c r="U7940" s="12" t="s">
        <v>63</v>
      </c>
      <c r="V7940" s="12" t="s">
        <v>64</v>
      </c>
      <c r="W7940" s="12" t="s">
        <v>34883</v>
      </c>
      <c r="X7940" s="16" t="s">
        <v>2130</v>
      </c>
      <c r="Y7940" s="15" t="s">
        <v>42</v>
      </c>
      <c r="Z7940" s="14">
        <v>5.58</v>
      </c>
      <c r="AA7940" s="14">
        <v>13.96</v>
      </c>
      <c r="AB7940" s="12" t="s">
        <v>43</v>
      </c>
      <c r="AC7940" s="12" t="s">
        <v>34884</v>
      </c>
      <c r="AD7940" s="13">
        <v>41571</v>
      </c>
      <c r="AE7940" s="12" t="s">
        <v>642</v>
      </c>
      <c r="AF7940" s="12" t="s">
        <v>36</v>
      </c>
      <c r="AG7940" s="12" t="s">
        <v>81</v>
      </c>
      <c r="AH7940" s="1">
        <f>HYPERLINK("https://my.pitchbook.com?c=30531-88T","View Company Online")</f>
      </c>
    </row>
    <row r="7941">
      <c r="A7941" s="3" t="s">
        <v>34885</v>
      </c>
      <c r="B7941" s="3" t="s">
        <v>34886</v>
      </c>
      <c r="C7941" s="5" t="s">
        <v>36</v>
      </c>
      <c r="D7941" s="5">
        <v>2</v>
      </c>
      <c r="E7941" s="5">
        <v>3</v>
      </c>
      <c r="F7941" s="5">
        <v>4</v>
      </c>
      <c r="G7941" s="6" t="s">
        <v>36</v>
      </c>
      <c r="H7941" s="4" t="s">
        <v>36</v>
      </c>
      <c r="I7941" s="7" t="s">
        <v>36</v>
      </c>
      <c r="J7941" s="3" t="s">
        <v>36</v>
      </c>
      <c r="K7941" s="9" t="s">
        <v>36</v>
      </c>
      <c r="L7941" s="6" t="s">
        <v>36</v>
      </c>
      <c r="M7941" s="3" t="s">
        <v>36</v>
      </c>
      <c r="N7941" s="3" t="s">
        <v>36</v>
      </c>
      <c r="O7941" s="8" t="s">
        <v>36</v>
      </c>
      <c r="P7941" s="3" t="s">
        <v>36</v>
      </c>
      <c r="Q7941" s="3" t="s">
        <v>36</v>
      </c>
      <c r="R7941" s="3" t="s">
        <v>36</v>
      </c>
      <c r="S7941" s="3" t="s">
        <v>36</v>
      </c>
      <c r="T7941" s="3" t="s">
        <v>34887</v>
      </c>
      <c r="U7941" s="3" t="s">
        <v>38</v>
      </c>
      <c r="V7941" s="3" t="s">
        <v>39</v>
      </c>
      <c r="W7941" s="3" t="s">
        <v>34888</v>
      </c>
      <c r="X7941" s="10" t="s">
        <v>34889</v>
      </c>
      <c r="Y7941" s="6" t="s">
        <v>42</v>
      </c>
      <c r="Z7941" s="4">
        <v>2.04</v>
      </c>
      <c r="AA7941" s="4" t="s">
        <v>36</v>
      </c>
      <c r="AB7941" s="3" t="s">
        <v>43</v>
      </c>
      <c r="AC7941" s="3" t="s">
        <v>34890</v>
      </c>
      <c r="AD7941" s="9">
        <v>41569</v>
      </c>
      <c r="AE7941" s="3" t="s">
        <v>1330</v>
      </c>
      <c r="AF7941" s="3" t="s">
        <v>1077</v>
      </c>
      <c r="AG7941" s="3" t="s">
        <v>1078</v>
      </c>
      <c r="AH7941" s="11">
        <f>HYPERLINK("https://my.pitchbook.com?c=29276-11T","View Company Online")</f>
      </c>
    </row>
    <row r="7942">
      <c r="A7942" s="12" t="s">
        <v>34891</v>
      </c>
      <c r="B7942" s="12" t="s">
        <v>34892</v>
      </c>
      <c r="C7942" s="19" t="s">
        <v>36</v>
      </c>
      <c r="D7942" s="19" t="s">
        <v>36</v>
      </c>
      <c r="E7942" s="19" t="s">
        <v>36</v>
      </c>
      <c r="F7942" s="19" t="s">
        <v>36</v>
      </c>
      <c r="G7942" s="15" t="s">
        <v>36</v>
      </c>
      <c r="H7942" s="14" t="s">
        <v>36</v>
      </c>
      <c r="I7942" s="18" t="s">
        <v>36</v>
      </c>
      <c r="J7942" s="12" t="s">
        <v>36</v>
      </c>
      <c r="K7942" s="13" t="s">
        <v>36</v>
      </c>
      <c r="L7942" s="15" t="s">
        <v>94</v>
      </c>
      <c r="M7942" s="12" t="s">
        <v>36</v>
      </c>
      <c r="N7942" s="12" t="s">
        <v>94</v>
      </c>
      <c r="O7942" s="17" t="s">
        <v>36</v>
      </c>
      <c r="P7942" s="12" t="s">
        <v>36</v>
      </c>
      <c r="Q7942" s="12" t="s">
        <v>36</v>
      </c>
      <c r="R7942" s="12" t="s">
        <v>36</v>
      </c>
      <c r="S7942" s="12" t="s">
        <v>36</v>
      </c>
      <c r="T7942" s="12" t="s">
        <v>23878</v>
      </c>
      <c r="U7942" s="12" t="s">
        <v>279</v>
      </c>
      <c r="V7942" s="12" t="s">
        <v>64</v>
      </c>
      <c r="W7942" s="12" t="s">
        <v>34893</v>
      </c>
      <c r="X7942" s="16" t="s">
        <v>34894</v>
      </c>
      <c r="Y7942" s="15" t="s">
        <v>55</v>
      </c>
      <c r="Z7942" s="14">
        <v>6</v>
      </c>
      <c r="AA7942" s="14" t="s">
        <v>36</v>
      </c>
      <c r="AB7942" s="12" t="s">
        <v>43</v>
      </c>
      <c r="AC7942" s="12" t="s">
        <v>34895</v>
      </c>
      <c r="AD7942" s="13">
        <v>41569</v>
      </c>
      <c r="AE7942" s="12" t="s">
        <v>851</v>
      </c>
      <c r="AF7942" s="12" t="s">
        <v>1077</v>
      </c>
      <c r="AG7942" s="12" t="s">
        <v>102</v>
      </c>
      <c r="AH7942" s="1">
        <f>HYPERLINK("https://my.pitchbook.com?c=29301-40T","View Company Online")</f>
      </c>
    </row>
    <row r="7943">
      <c r="A7943" s="3" t="s">
        <v>34896</v>
      </c>
      <c r="B7943" s="3" t="s">
        <v>34897</v>
      </c>
      <c r="C7943" s="5" t="s">
        <v>36</v>
      </c>
      <c r="D7943" s="5" t="s">
        <v>36</v>
      </c>
      <c r="E7943" s="5" t="s">
        <v>36</v>
      </c>
      <c r="F7943" s="5" t="s">
        <v>36</v>
      </c>
      <c r="G7943" s="6" t="s">
        <v>36</v>
      </c>
      <c r="H7943" s="4" t="s">
        <v>36</v>
      </c>
      <c r="I7943" s="7" t="s">
        <v>36</v>
      </c>
      <c r="J7943" s="3" t="s">
        <v>36</v>
      </c>
      <c r="K7943" s="9" t="s">
        <v>36</v>
      </c>
      <c r="L7943" s="6" t="s">
        <v>36</v>
      </c>
      <c r="M7943" s="3" t="s">
        <v>36</v>
      </c>
      <c r="N7943" s="3" t="s">
        <v>36</v>
      </c>
      <c r="O7943" s="8" t="s">
        <v>36</v>
      </c>
      <c r="P7943" s="3" t="s">
        <v>36</v>
      </c>
      <c r="Q7943" s="3" t="s">
        <v>36</v>
      </c>
      <c r="R7943" s="3" t="s">
        <v>36</v>
      </c>
      <c r="S7943" s="3" t="s">
        <v>36</v>
      </c>
      <c r="T7943" s="3" t="s">
        <v>6557</v>
      </c>
      <c r="U7943" s="3" t="s">
        <v>648</v>
      </c>
      <c r="V7943" s="3" t="s">
        <v>64</v>
      </c>
      <c r="W7943" s="3" t="s">
        <v>34898</v>
      </c>
      <c r="X7943" s="10" t="s">
        <v>34899</v>
      </c>
      <c r="Y7943" s="6" t="s">
        <v>108</v>
      </c>
      <c r="Z7943" s="4">
        <v>0.47</v>
      </c>
      <c r="AA7943" s="4" t="s">
        <v>36</v>
      </c>
      <c r="AB7943" s="3" t="s">
        <v>43</v>
      </c>
      <c r="AC7943" s="3" t="s">
        <v>34900</v>
      </c>
      <c r="AD7943" s="9">
        <v>41565</v>
      </c>
      <c r="AE7943" s="3" t="s">
        <v>1897</v>
      </c>
      <c r="AF7943" s="3" t="s">
        <v>14418</v>
      </c>
      <c r="AG7943" s="3" t="s">
        <v>81</v>
      </c>
      <c r="AH7943" s="11">
        <f>HYPERLINK("https://my.pitchbook.com?c=51359-32T","View Company Online")</f>
      </c>
    </row>
    <row r="7944">
      <c r="A7944" s="12" t="s">
        <v>34901</v>
      </c>
      <c r="B7944" s="12" t="s">
        <v>34902</v>
      </c>
      <c r="C7944" s="19" t="s">
        <v>36</v>
      </c>
      <c r="D7944" s="19">
        <v>1</v>
      </c>
      <c r="E7944" s="19">
        <v>1</v>
      </c>
      <c r="F7944" s="19">
        <v>2</v>
      </c>
      <c r="G7944" s="15" t="s">
        <v>2497</v>
      </c>
      <c r="H7944" s="14">
        <v>10.81</v>
      </c>
      <c r="I7944" s="18">
        <v>48.95</v>
      </c>
      <c r="J7944" s="12" t="s">
        <v>521</v>
      </c>
      <c r="K7944" s="13" t="s">
        <v>36</v>
      </c>
      <c r="L7944" s="15" t="s">
        <v>36</v>
      </c>
      <c r="M7944" s="12" t="s">
        <v>36</v>
      </c>
      <c r="N7944" s="12" t="s">
        <v>36</v>
      </c>
      <c r="O7944" s="17" t="s">
        <v>36</v>
      </c>
      <c r="P7944" s="12" t="s">
        <v>36</v>
      </c>
      <c r="Q7944" s="12" t="s">
        <v>36</v>
      </c>
      <c r="R7944" s="12" t="s">
        <v>36</v>
      </c>
      <c r="S7944" s="12" t="s">
        <v>36</v>
      </c>
      <c r="T7944" s="12" t="s">
        <v>1335</v>
      </c>
      <c r="U7944" s="12" t="s">
        <v>1336</v>
      </c>
      <c r="V7944" s="12" t="s">
        <v>367</v>
      </c>
      <c r="W7944" s="12" t="s">
        <v>34903</v>
      </c>
      <c r="X7944" s="16" t="s">
        <v>34904</v>
      </c>
      <c r="Y7944" s="15" t="s">
        <v>192</v>
      </c>
      <c r="Z7944" s="14">
        <v>9.48</v>
      </c>
      <c r="AA7944" s="14">
        <v>18.43</v>
      </c>
      <c r="AB7944" s="12" t="s">
        <v>56</v>
      </c>
      <c r="AC7944" s="12" t="s">
        <v>34905</v>
      </c>
      <c r="AD7944" s="13">
        <v>41564</v>
      </c>
      <c r="AE7944" s="12" t="s">
        <v>1339</v>
      </c>
      <c r="AF7944" s="12" t="s">
        <v>8789</v>
      </c>
      <c r="AG7944" s="12" t="s">
        <v>434</v>
      </c>
      <c r="AH7944" s="1">
        <f>HYPERLINK("https://my.pitchbook.com?c=29222-20T","View Company Online")</f>
      </c>
    </row>
    <row r="7945">
      <c r="A7945" s="3" t="s">
        <v>34906</v>
      </c>
      <c r="B7945" s="3" t="s">
        <v>28770</v>
      </c>
      <c r="C7945" s="5" t="s">
        <v>36</v>
      </c>
      <c r="D7945" s="5" t="s">
        <v>36</v>
      </c>
      <c r="E7945" s="5" t="s">
        <v>36</v>
      </c>
      <c r="F7945" s="5" t="s">
        <v>36</v>
      </c>
      <c r="G7945" s="6" t="s">
        <v>683</v>
      </c>
      <c r="H7945" s="4">
        <v>40.59</v>
      </c>
      <c r="I7945" s="7">
        <v>37.28</v>
      </c>
      <c r="J7945" s="3" t="s">
        <v>521</v>
      </c>
      <c r="K7945" s="9" t="s">
        <v>36</v>
      </c>
      <c r="L7945" s="6" t="s">
        <v>36</v>
      </c>
      <c r="M7945" s="3" t="s">
        <v>36</v>
      </c>
      <c r="N7945" s="3" t="s">
        <v>36</v>
      </c>
      <c r="O7945" s="8" t="s">
        <v>36</v>
      </c>
      <c r="P7945" s="3" t="s">
        <v>36</v>
      </c>
      <c r="Q7945" s="3" t="s">
        <v>36</v>
      </c>
      <c r="R7945" s="3" t="s">
        <v>36</v>
      </c>
      <c r="S7945" s="3" t="s">
        <v>36</v>
      </c>
      <c r="T7945" s="3" t="s">
        <v>28771</v>
      </c>
      <c r="U7945" s="3" t="s">
        <v>38</v>
      </c>
      <c r="V7945" s="3" t="s">
        <v>39</v>
      </c>
      <c r="W7945" s="3" t="s">
        <v>28772</v>
      </c>
      <c r="X7945" s="10" t="s">
        <v>34907</v>
      </c>
      <c r="Y7945" s="6" t="s">
        <v>108</v>
      </c>
      <c r="Z7945" s="4">
        <v>9.23</v>
      </c>
      <c r="AA7945" s="4">
        <v>24.76</v>
      </c>
      <c r="AB7945" s="3" t="s">
        <v>43</v>
      </c>
      <c r="AC7945" s="3" t="s">
        <v>28773</v>
      </c>
      <c r="AD7945" s="9">
        <v>41563</v>
      </c>
      <c r="AE7945" s="3" t="s">
        <v>45</v>
      </c>
      <c r="AF7945" s="3" t="s">
        <v>28774</v>
      </c>
      <c r="AG7945" s="3" t="s">
        <v>28775</v>
      </c>
      <c r="AH7945" s="11">
        <f>HYPERLINK("https://my.pitchbook.com?c=40132-54T","View Company Online")</f>
      </c>
    </row>
    <row r="7946">
      <c r="A7946" s="12" t="s">
        <v>34908</v>
      </c>
      <c r="B7946" s="12" t="s">
        <v>17282</v>
      </c>
      <c r="C7946" s="19">
        <v>37</v>
      </c>
      <c r="D7946" s="19">
        <v>69</v>
      </c>
      <c r="E7946" s="19">
        <v>18</v>
      </c>
      <c r="F7946" s="19">
        <v>121</v>
      </c>
      <c r="G7946" s="15" t="s">
        <v>36</v>
      </c>
      <c r="H7946" s="14" t="s">
        <v>36</v>
      </c>
      <c r="I7946" s="18" t="s">
        <v>36</v>
      </c>
      <c r="J7946" s="12" t="s">
        <v>36</v>
      </c>
      <c r="K7946" s="13" t="s">
        <v>36</v>
      </c>
      <c r="L7946" s="15" t="s">
        <v>36</v>
      </c>
      <c r="M7946" s="12" t="s">
        <v>36</v>
      </c>
      <c r="N7946" s="12" t="s">
        <v>36</v>
      </c>
      <c r="O7946" s="17" t="s">
        <v>36</v>
      </c>
      <c r="P7946" s="12" t="s">
        <v>36</v>
      </c>
      <c r="Q7946" s="12" t="s">
        <v>36</v>
      </c>
      <c r="R7946" s="12" t="s">
        <v>36</v>
      </c>
      <c r="S7946" s="12" t="s">
        <v>36</v>
      </c>
      <c r="T7946" s="12" t="s">
        <v>17283</v>
      </c>
      <c r="U7946" s="12" t="s">
        <v>51</v>
      </c>
      <c r="V7946" s="12" t="s">
        <v>52</v>
      </c>
      <c r="W7946" s="12" t="s">
        <v>17284</v>
      </c>
      <c r="X7946" s="16" t="s">
        <v>34909</v>
      </c>
      <c r="Y7946" s="15" t="s">
        <v>55</v>
      </c>
      <c r="Z7946" s="14">
        <v>19.89</v>
      </c>
      <c r="AA7946" s="14" t="s">
        <v>36</v>
      </c>
      <c r="AB7946" s="12" t="s">
        <v>56</v>
      </c>
      <c r="AC7946" s="12" t="s">
        <v>17286</v>
      </c>
      <c r="AD7946" s="13">
        <v>41563</v>
      </c>
      <c r="AE7946" s="12" t="s">
        <v>504</v>
      </c>
      <c r="AF7946" s="12" t="s">
        <v>159</v>
      </c>
      <c r="AG7946" s="12" t="s">
        <v>81</v>
      </c>
      <c r="AH7946" s="1">
        <f>HYPERLINK("https://my.pitchbook.com?c=29224-00T","View Company Online")</f>
      </c>
    </row>
    <row r="7947">
      <c r="A7947" s="3" t="s">
        <v>34910</v>
      </c>
      <c r="B7947" s="3" t="s">
        <v>34911</v>
      </c>
      <c r="C7947" s="5" t="s">
        <v>36</v>
      </c>
      <c r="D7947" s="5" t="s">
        <v>36</v>
      </c>
      <c r="E7947" s="5" t="s">
        <v>36</v>
      </c>
      <c r="F7947" s="5" t="s">
        <v>36</v>
      </c>
      <c r="G7947" s="6" t="s">
        <v>36</v>
      </c>
      <c r="H7947" s="4" t="s">
        <v>36</v>
      </c>
      <c r="I7947" s="7" t="s">
        <v>36</v>
      </c>
      <c r="J7947" s="3" t="s">
        <v>36</v>
      </c>
      <c r="K7947" s="9" t="s">
        <v>36</v>
      </c>
      <c r="L7947" s="6" t="s">
        <v>36</v>
      </c>
      <c r="M7947" s="3" t="s">
        <v>36</v>
      </c>
      <c r="N7947" s="3" t="s">
        <v>36</v>
      </c>
      <c r="O7947" s="8" t="s">
        <v>36</v>
      </c>
      <c r="P7947" s="3" t="s">
        <v>36</v>
      </c>
      <c r="Q7947" s="3" t="s">
        <v>36</v>
      </c>
      <c r="R7947" s="3" t="s">
        <v>36</v>
      </c>
      <c r="S7947" s="3" t="s">
        <v>36</v>
      </c>
      <c r="T7947" s="3" t="s">
        <v>34912</v>
      </c>
      <c r="U7947" s="3" t="s">
        <v>38</v>
      </c>
      <c r="V7947" s="3" t="s">
        <v>39</v>
      </c>
      <c r="W7947" s="3" t="s">
        <v>34913</v>
      </c>
      <c r="X7947" s="10" t="s">
        <v>34914</v>
      </c>
      <c r="Y7947" s="6" t="s">
        <v>42</v>
      </c>
      <c r="Z7947" s="4">
        <v>1.01</v>
      </c>
      <c r="AA7947" s="4" t="s">
        <v>36</v>
      </c>
      <c r="AB7947" s="3" t="s">
        <v>43</v>
      </c>
      <c r="AC7947" s="3" t="s">
        <v>34915</v>
      </c>
      <c r="AD7947" s="9">
        <v>41563</v>
      </c>
      <c r="AE7947" s="3" t="s">
        <v>1330</v>
      </c>
      <c r="AF7947" s="3" t="s">
        <v>4552</v>
      </c>
      <c r="AG7947" s="3" t="s">
        <v>47</v>
      </c>
      <c r="AH7947" s="11">
        <f>HYPERLINK("https://my.pitchbook.com?c=44864-29T","View Company Online")</f>
      </c>
    </row>
    <row r="7948">
      <c r="A7948" s="12" t="s">
        <v>34916</v>
      </c>
      <c r="B7948" s="12" t="s">
        <v>34917</v>
      </c>
      <c r="C7948" s="19" t="s">
        <v>36</v>
      </c>
      <c r="D7948" s="19" t="s">
        <v>36</v>
      </c>
      <c r="E7948" s="19" t="s">
        <v>36</v>
      </c>
      <c r="F7948" s="19" t="s">
        <v>36</v>
      </c>
      <c r="G7948" s="15" t="s">
        <v>36</v>
      </c>
      <c r="H7948" s="14" t="s">
        <v>36</v>
      </c>
      <c r="I7948" s="18">
        <v>8.87</v>
      </c>
      <c r="J7948" s="12" t="s">
        <v>327</v>
      </c>
      <c r="K7948" s="13" t="s">
        <v>36</v>
      </c>
      <c r="L7948" s="15" t="s">
        <v>36</v>
      </c>
      <c r="M7948" s="12" t="s">
        <v>36</v>
      </c>
      <c r="N7948" s="12" t="s">
        <v>36</v>
      </c>
      <c r="O7948" s="17" t="s">
        <v>36</v>
      </c>
      <c r="P7948" s="12" t="s">
        <v>36</v>
      </c>
      <c r="Q7948" s="12" t="s">
        <v>36</v>
      </c>
      <c r="R7948" s="12" t="s">
        <v>36</v>
      </c>
      <c r="S7948" s="12" t="s">
        <v>36</v>
      </c>
      <c r="T7948" s="12" t="s">
        <v>34918</v>
      </c>
      <c r="U7948" s="12" t="s">
        <v>404</v>
      </c>
      <c r="V7948" s="12" t="s">
        <v>405</v>
      </c>
      <c r="W7948" s="12" t="s">
        <v>34919</v>
      </c>
      <c r="X7948" s="16" t="s">
        <v>4794</v>
      </c>
      <c r="Y7948" s="15" t="s">
        <v>42</v>
      </c>
      <c r="Z7948" s="14">
        <v>0.19</v>
      </c>
      <c r="AA7948" s="14">
        <v>2.18</v>
      </c>
      <c r="AB7948" s="12" t="s">
        <v>56</v>
      </c>
      <c r="AC7948" s="12" t="s">
        <v>34920</v>
      </c>
      <c r="AD7948" s="13">
        <v>41561</v>
      </c>
      <c r="AE7948" s="12" t="s">
        <v>9685</v>
      </c>
      <c r="AF7948" s="12" t="s">
        <v>36</v>
      </c>
      <c r="AG7948" s="12" t="s">
        <v>332</v>
      </c>
      <c r="AH7948" s="1">
        <f>HYPERLINK("https://my.pitchbook.com?c=204183-82T","View Company Online")</f>
      </c>
    </row>
    <row r="7949">
      <c r="A7949" s="3" t="s">
        <v>34921</v>
      </c>
      <c r="B7949" s="3" t="s">
        <v>34922</v>
      </c>
      <c r="C7949" s="5">
        <v>1</v>
      </c>
      <c r="D7949" s="5">
        <v>2</v>
      </c>
      <c r="E7949" s="5">
        <v>3</v>
      </c>
      <c r="F7949" s="5">
        <v>4</v>
      </c>
      <c r="G7949" s="6" t="s">
        <v>36</v>
      </c>
      <c r="H7949" s="4" t="s">
        <v>36</v>
      </c>
      <c r="I7949" s="7" t="s">
        <v>36</v>
      </c>
      <c r="J7949" s="3" t="s">
        <v>36</v>
      </c>
      <c r="K7949" s="9" t="s">
        <v>36</v>
      </c>
      <c r="L7949" s="6" t="s">
        <v>36</v>
      </c>
      <c r="M7949" s="3" t="s">
        <v>36</v>
      </c>
      <c r="N7949" s="3" t="s">
        <v>36</v>
      </c>
      <c r="O7949" s="8" t="s">
        <v>36</v>
      </c>
      <c r="P7949" s="3" t="s">
        <v>36</v>
      </c>
      <c r="Q7949" s="3" t="s">
        <v>36</v>
      </c>
      <c r="R7949" s="3" t="s">
        <v>36</v>
      </c>
      <c r="S7949" s="3" t="s">
        <v>36</v>
      </c>
      <c r="T7949" s="3" t="s">
        <v>17704</v>
      </c>
      <c r="U7949" s="3" t="s">
        <v>833</v>
      </c>
      <c r="V7949" s="3" t="s">
        <v>64</v>
      </c>
      <c r="W7949" s="3" t="s">
        <v>34923</v>
      </c>
      <c r="X7949" s="10" t="s">
        <v>34924</v>
      </c>
      <c r="Y7949" s="6" t="s">
        <v>42</v>
      </c>
      <c r="Z7949" s="4">
        <v>0.74</v>
      </c>
      <c r="AA7949" s="4" t="s">
        <v>36</v>
      </c>
      <c r="AB7949" s="3" t="s">
        <v>43</v>
      </c>
      <c r="AC7949" s="3" t="s">
        <v>34925</v>
      </c>
      <c r="AD7949" s="9">
        <v>41560</v>
      </c>
      <c r="AE7949" s="3" t="s">
        <v>1069</v>
      </c>
      <c r="AF7949" s="3" t="s">
        <v>10379</v>
      </c>
      <c r="AG7949" s="3" t="s">
        <v>47</v>
      </c>
      <c r="AH7949" s="11">
        <f>HYPERLINK("https://my.pitchbook.com?c=79721-83T","View Company Online")</f>
      </c>
    </row>
    <row r="7950">
      <c r="A7950" s="12" t="s">
        <v>34926</v>
      </c>
      <c r="B7950" s="12" t="s">
        <v>34927</v>
      </c>
      <c r="C7950" s="19" t="s">
        <v>36</v>
      </c>
      <c r="D7950" s="19">
        <v>4</v>
      </c>
      <c r="E7950" s="19">
        <v>2</v>
      </c>
      <c r="F7950" s="19">
        <v>4</v>
      </c>
      <c r="G7950" s="15" t="s">
        <v>36</v>
      </c>
      <c r="H7950" s="14" t="s">
        <v>36</v>
      </c>
      <c r="I7950" s="18" t="s">
        <v>36</v>
      </c>
      <c r="J7950" s="12" t="s">
        <v>36</v>
      </c>
      <c r="K7950" s="13" t="s">
        <v>36</v>
      </c>
      <c r="L7950" s="15" t="s">
        <v>36</v>
      </c>
      <c r="M7950" s="12" t="s">
        <v>36</v>
      </c>
      <c r="N7950" s="12" t="s">
        <v>36</v>
      </c>
      <c r="O7950" s="17" t="s">
        <v>36</v>
      </c>
      <c r="P7950" s="12" t="s">
        <v>36</v>
      </c>
      <c r="Q7950" s="12" t="s">
        <v>36</v>
      </c>
      <c r="R7950" s="12" t="s">
        <v>36</v>
      </c>
      <c r="S7950" s="12" t="s">
        <v>36</v>
      </c>
      <c r="T7950" s="12" t="s">
        <v>6040</v>
      </c>
      <c r="U7950" s="12" t="s">
        <v>833</v>
      </c>
      <c r="V7950" s="12" t="s">
        <v>64</v>
      </c>
      <c r="W7950" s="12" t="s">
        <v>34928</v>
      </c>
      <c r="X7950" s="16" t="s">
        <v>33065</v>
      </c>
      <c r="Y7950" s="15" t="s">
        <v>42</v>
      </c>
      <c r="Z7950" s="14">
        <v>2.7</v>
      </c>
      <c r="AA7950" s="14" t="s">
        <v>36</v>
      </c>
      <c r="AB7950" s="12" t="s">
        <v>56</v>
      </c>
      <c r="AC7950" s="12" t="s">
        <v>34929</v>
      </c>
      <c r="AD7950" s="13">
        <v>41558</v>
      </c>
      <c r="AE7950" s="12" t="s">
        <v>837</v>
      </c>
      <c r="AF7950" s="12" t="s">
        <v>10379</v>
      </c>
      <c r="AG7950" s="12" t="s">
        <v>81</v>
      </c>
      <c r="AH7950" s="1">
        <f>HYPERLINK("https://my.pitchbook.com?c=36445-06T","View Company Online")</f>
      </c>
    </row>
    <row r="7951">
      <c r="A7951" s="3" t="s">
        <v>34930</v>
      </c>
      <c r="B7951" s="3" t="s">
        <v>34931</v>
      </c>
      <c r="C7951" s="5" t="s">
        <v>36</v>
      </c>
      <c r="D7951" s="5" t="s">
        <v>36</v>
      </c>
      <c r="E7951" s="5" t="s">
        <v>36</v>
      </c>
      <c r="F7951" s="5" t="s">
        <v>36</v>
      </c>
      <c r="G7951" s="6" t="s">
        <v>36</v>
      </c>
      <c r="H7951" s="4">
        <v>122.28</v>
      </c>
      <c r="I7951" s="7">
        <v>32.43</v>
      </c>
      <c r="J7951" s="3" t="s">
        <v>521</v>
      </c>
      <c r="K7951" s="9" t="s">
        <v>36</v>
      </c>
      <c r="L7951" s="6" t="s">
        <v>36</v>
      </c>
      <c r="M7951" s="3" t="s">
        <v>36</v>
      </c>
      <c r="N7951" s="3" t="s">
        <v>36</v>
      </c>
      <c r="O7951" s="8" t="s">
        <v>36</v>
      </c>
      <c r="P7951" s="3" t="s">
        <v>36</v>
      </c>
      <c r="Q7951" s="3" t="s">
        <v>36</v>
      </c>
      <c r="R7951" s="3" t="s">
        <v>36</v>
      </c>
      <c r="S7951" s="3" t="s">
        <v>36</v>
      </c>
      <c r="T7951" s="3" t="s">
        <v>20587</v>
      </c>
      <c r="U7951" s="3" t="s">
        <v>74</v>
      </c>
      <c r="V7951" s="3" t="s">
        <v>75</v>
      </c>
      <c r="W7951" s="3" t="s">
        <v>34932</v>
      </c>
      <c r="X7951" s="10" t="s">
        <v>34933</v>
      </c>
      <c r="Y7951" s="6" t="s">
        <v>42</v>
      </c>
      <c r="Z7951" s="4">
        <v>0.81</v>
      </c>
      <c r="AA7951" s="4">
        <v>2.5</v>
      </c>
      <c r="AB7951" s="3" t="s">
        <v>43</v>
      </c>
      <c r="AC7951" s="3" t="s">
        <v>34934</v>
      </c>
      <c r="AD7951" s="9">
        <v>41557</v>
      </c>
      <c r="AE7951" s="3" t="s">
        <v>79</v>
      </c>
      <c r="AF7951" s="3" t="s">
        <v>1401</v>
      </c>
      <c r="AG7951" s="3" t="s">
        <v>81</v>
      </c>
      <c r="AH7951" s="11">
        <f>HYPERLINK("https://my.pitchbook.com?c=29667-79T","View Company Online")</f>
      </c>
    </row>
    <row r="7952">
      <c r="A7952" s="12" t="s">
        <v>34935</v>
      </c>
      <c r="B7952" s="12" t="s">
        <v>34936</v>
      </c>
      <c r="C7952" s="19" t="s">
        <v>36</v>
      </c>
      <c r="D7952" s="19" t="s">
        <v>36</v>
      </c>
      <c r="E7952" s="19" t="s">
        <v>36</v>
      </c>
      <c r="F7952" s="19" t="s">
        <v>36</v>
      </c>
      <c r="G7952" s="15" t="s">
        <v>36</v>
      </c>
      <c r="H7952" s="14" t="s">
        <v>36</v>
      </c>
      <c r="I7952" s="18" t="s">
        <v>36</v>
      </c>
      <c r="J7952" s="12" t="s">
        <v>36</v>
      </c>
      <c r="K7952" s="13" t="s">
        <v>36</v>
      </c>
      <c r="L7952" s="15" t="s">
        <v>36</v>
      </c>
      <c r="M7952" s="12" t="s">
        <v>36</v>
      </c>
      <c r="N7952" s="12" t="s">
        <v>36</v>
      </c>
      <c r="O7952" s="17" t="s">
        <v>36</v>
      </c>
      <c r="P7952" s="12" t="s">
        <v>36</v>
      </c>
      <c r="Q7952" s="12" t="s">
        <v>36</v>
      </c>
      <c r="R7952" s="12" t="s">
        <v>36</v>
      </c>
      <c r="S7952" s="12" t="s">
        <v>36</v>
      </c>
      <c r="T7952" s="12" t="s">
        <v>34937</v>
      </c>
      <c r="U7952" s="12" t="s">
        <v>38</v>
      </c>
      <c r="V7952" s="12" t="s">
        <v>39</v>
      </c>
      <c r="W7952" s="12" t="s">
        <v>34938</v>
      </c>
      <c r="X7952" s="16" t="s">
        <v>34939</v>
      </c>
      <c r="Y7952" s="15" t="s">
        <v>55</v>
      </c>
      <c r="Z7952" s="14">
        <v>1.35</v>
      </c>
      <c r="AA7952" s="14" t="s">
        <v>36</v>
      </c>
      <c r="AB7952" s="12" t="s">
        <v>43</v>
      </c>
      <c r="AC7952" s="12" t="s">
        <v>34940</v>
      </c>
      <c r="AD7952" s="13">
        <v>41555</v>
      </c>
      <c r="AE7952" s="12" t="s">
        <v>110</v>
      </c>
      <c r="AF7952" s="12" t="s">
        <v>1842</v>
      </c>
      <c r="AG7952" s="12" t="s">
        <v>81</v>
      </c>
      <c r="AH7952" s="1">
        <f>HYPERLINK("https://my.pitchbook.com?c=69336-73T","View Company Online")</f>
      </c>
    </row>
    <row r="7953">
      <c r="A7953" s="3" t="s">
        <v>34941</v>
      </c>
      <c r="B7953" s="3" t="s">
        <v>34942</v>
      </c>
      <c r="C7953" s="5" t="s">
        <v>36</v>
      </c>
      <c r="D7953" s="5" t="s">
        <v>36</v>
      </c>
      <c r="E7953" s="5" t="s">
        <v>36</v>
      </c>
      <c r="F7953" s="5" t="s">
        <v>36</v>
      </c>
      <c r="G7953" s="6" t="s">
        <v>36</v>
      </c>
      <c r="H7953" s="4" t="s">
        <v>36</v>
      </c>
      <c r="I7953" s="7" t="s">
        <v>36</v>
      </c>
      <c r="J7953" s="3" t="s">
        <v>36</v>
      </c>
      <c r="K7953" s="9" t="s">
        <v>36</v>
      </c>
      <c r="L7953" s="6" t="s">
        <v>122</v>
      </c>
      <c r="M7953" s="3" t="s">
        <v>36</v>
      </c>
      <c r="N7953" s="3" t="s">
        <v>122</v>
      </c>
      <c r="O7953" s="8" t="s">
        <v>36</v>
      </c>
      <c r="P7953" s="3" t="s">
        <v>36</v>
      </c>
      <c r="Q7953" s="3" t="s">
        <v>36</v>
      </c>
      <c r="R7953" s="3" t="s">
        <v>36</v>
      </c>
      <c r="S7953" s="3" t="s">
        <v>36</v>
      </c>
      <c r="T7953" s="3" t="s">
        <v>34943</v>
      </c>
      <c r="U7953" s="3" t="s">
        <v>38</v>
      </c>
      <c r="V7953" s="3" t="s">
        <v>39</v>
      </c>
      <c r="W7953" s="3" t="s">
        <v>34944</v>
      </c>
      <c r="X7953" s="10" t="s">
        <v>5892</v>
      </c>
      <c r="Y7953" s="6" t="s">
        <v>42</v>
      </c>
      <c r="Z7953" s="4" t="s">
        <v>36</v>
      </c>
      <c r="AA7953" s="4" t="s">
        <v>36</v>
      </c>
      <c r="AB7953" s="3" t="s">
        <v>43</v>
      </c>
      <c r="AC7953" s="3" t="s">
        <v>34945</v>
      </c>
      <c r="AD7953" s="9">
        <v>41555</v>
      </c>
      <c r="AE7953" s="3" t="s">
        <v>688</v>
      </c>
      <c r="AF7953" s="3" t="s">
        <v>2210</v>
      </c>
      <c r="AG7953" s="3" t="s">
        <v>332</v>
      </c>
      <c r="AH7953" s="11">
        <f>HYPERLINK("https://my.pitchbook.com?c=54730-99T","View Company Online")</f>
      </c>
    </row>
    <row r="7954">
      <c r="A7954" s="12" t="s">
        <v>34946</v>
      </c>
      <c r="B7954" s="12" t="s">
        <v>34947</v>
      </c>
      <c r="C7954" s="19" t="s">
        <v>36</v>
      </c>
      <c r="D7954" s="19" t="s">
        <v>36</v>
      </c>
      <c r="E7954" s="19" t="s">
        <v>36</v>
      </c>
      <c r="F7954" s="19" t="s">
        <v>36</v>
      </c>
      <c r="G7954" s="15" t="s">
        <v>36</v>
      </c>
      <c r="H7954" s="14">
        <v>5192.83</v>
      </c>
      <c r="I7954" s="18">
        <v>29.89</v>
      </c>
      <c r="J7954" s="12" t="s">
        <v>521</v>
      </c>
      <c r="K7954" s="13" t="s">
        <v>36</v>
      </c>
      <c r="L7954" s="15" t="s">
        <v>36</v>
      </c>
      <c r="M7954" s="12" t="s">
        <v>36</v>
      </c>
      <c r="N7954" s="12" t="s">
        <v>36</v>
      </c>
      <c r="O7954" s="17" t="s">
        <v>36</v>
      </c>
      <c r="P7954" s="12" t="s">
        <v>36</v>
      </c>
      <c r="Q7954" s="12" t="s">
        <v>36</v>
      </c>
      <c r="R7954" s="12" t="s">
        <v>36</v>
      </c>
      <c r="S7954" s="12" t="s">
        <v>36</v>
      </c>
      <c r="T7954" s="12" t="s">
        <v>15544</v>
      </c>
      <c r="U7954" s="12" t="s">
        <v>289</v>
      </c>
      <c r="V7954" s="12" t="s">
        <v>64</v>
      </c>
      <c r="W7954" s="12" t="s">
        <v>34948</v>
      </c>
      <c r="X7954" s="16" t="s">
        <v>31667</v>
      </c>
      <c r="Y7954" s="15" t="s">
        <v>42</v>
      </c>
      <c r="Z7954" s="14">
        <v>2.29</v>
      </c>
      <c r="AA7954" s="14">
        <v>7.67</v>
      </c>
      <c r="AB7954" s="12" t="s">
        <v>43</v>
      </c>
      <c r="AC7954" s="12" t="s">
        <v>34949</v>
      </c>
      <c r="AD7954" s="13">
        <v>41553</v>
      </c>
      <c r="AE7954" s="12" t="s">
        <v>292</v>
      </c>
      <c r="AF7954" s="12" t="s">
        <v>90</v>
      </c>
      <c r="AG7954" s="12" t="s">
        <v>6814</v>
      </c>
      <c r="AH7954" s="1">
        <f>HYPERLINK("https://my.pitchbook.com?c=36443-44T","View Company Online")</f>
      </c>
    </row>
    <row r="7955">
      <c r="A7955" s="3" t="s">
        <v>34950</v>
      </c>
      <c r="B7955" s="3" t="s">
        <v>25057</v>
      </c>
      <c r="C7955" s="5" t="s">
        <v>36</v>
      </c>
      <c r="D7955" s="5" t="s">
        <v>36</v>
      </c>
      <c r="E7955" s="5">
        <v>1</v>
      </c>
      <c r="F7955" s="5">
        <v>2</v>
      </c>
      <c r="G7955" s="6" t="s">
        <v>36</v>
      </c>
      <c r="H7955" s="4">
        <v>12.46</v>
      </c>
      <c r="I7955" s="7">
        <v>65.49</v>
      </c>
      <c r="J7955" s="3" t="s">
        <v>521</v>
      </c>
      <c r="K7955" s="9" t="s">
        <v>36</v>
      </c>
      <c r="L7955" s="6" t="s">
        <v>36</v>
      </c>
      <c r="M7955" s="3" t="s">
        <v>36</v>
      </c>
      <c r="N7955" s="3" t="s">
        <v>36</v>
      </c>
      <c r="O7955" s="8" t="s">
        <v>36</v>
      </c>
      <c r="P7955" s="3" t="s">
        <v>36</v>
      </c>
      <c r="Q7955" s="3" t="s">
        <v>36</v>
      </c>
      <c r="R7955" s="3" t="s">
        <v>36</v>
      </c>
      <c r="S7955" s="3" t="s">
        <v>25058</v>
      </c>
      <c r="T7955" s="3" t="s">
        <v>942</v>
      </c>
      <c r="U7955" s="3" t="s">
        <v>38</v>
      </c>
      <c r="V7955" s="3" t="s">
        <v>39</v>
      </c>
      <c r="W7955" s="3" t="s">
        <v>25059</v>
      </c>
      <c r="X7955" s="10" t="s">
        <v>34951</v>
      </c>
      <c r="Y7955" s="6" t="s">
        <v>55</v>
      </c>
      <c r="Z7955" s="4">
        <v>2.16</v>
      </c>
      <c r="AA7955" s="4">
        <v>3.3</v>
      </c>
      <c r="AB7955" s="3" t="s">
        <v>56</v>
      </c>
      <c r="AC7955" s="3" t="s">
        <v>25061</v>
      </c>
      <c r="AD7955" s="9">
        <v>41550</v>
      </c>
      <c r="AE7955" s="3" t="s">
        <v>45</v>
      </c>
      <c r="AF7955" s="3" t="s">
        <v>25062</v>
      </c>
      <c r="AG7955" s="3" t="s">
        <v>81</v>
      </c>
      <c r="AH7955" s="11">
        <f>HYPERLINK("https://my.pitchbook.com?c=28979-83T","View Company Online")</f>
      </c>
    </row>
    <row r="7956">
      <c r="A7956" s="12" t="s">
        <v>34952</v>
      </c>
      <c r="B7956" s="12" t="s">
        <v>34953</v>
      </c>
      <c r="C7956" s="19" t="s">
        <v>36</v>
      </c>
      <c r="D7956" s="19" t="s">
        <v>36</v>
      </c>
      <c r="E7956" s="19">
        <v>2</v>
      </c>
      <c r="F7956" s="19">
        <v>3</v>
      </c>
      <c r="G7956" s="15" t="s">
        <v>683</v>
      </c>
      <c r="H7956" s="14">
        <v>375.96</v>
      </c>
      <c r="I7956" s="18">
        <v>17.51</v>
      </c>
      <c r="J7956" s="12" t="s">
        <v>521</v>
      </c>
      <c r="K7956" s="13" t="s">
        <v>36</v>
      </c>
      <c r="L7956" s="15" t="s">
        <v>36</v>
      </c>
      <c r="M7956" s="12" t="s">
        <v>36</v>
      </c>
      <c r="N7956" s="12" t="s">
        <v>36</v>
      </c>
      <c r="O7956" s="17" t="s">
        <v>36</v>
      </c>
      <c r="P7956" s="12" t="s">
        <v>36</v>
      </c>
      <c r="Q7956" s="12" t="s">
        <v>36</v>
      </c>
      <c r="R7956" s="12" t="s">
        <v>36</v>
      </c>
      <c r="S7956" s="12" t="s">
        <v>36</v>
      </c>
      <c r="T7956" s="12" t="s">
        <v>317</v>
      </c>
      <c r="U7956" s="12" t="s">
        <v>318</v>
      </c>
      <c r="V7956" s="12" t="s">
        <v>39</v>
      </c>
      <c r="W7956" s="12" t="s">
        <v>34954</v>
      </c>
      <c r="X7956" s="16" t="s">
        <v>34955</v>
      </c>
      <c r="Y7956" s="15" t="s">
        <v>55</v>
      </c>
      <c r="Z7956" s="14">
        <v>0.18</v>
      </c>
      <c r="AA7956" s="14">
        <v>1.05</v>
      </c>
      <c r="AB7956" s="12" t="s">
        <v>56</v>
      </c>
      <c r="AC7956" s="12" t="s">
        <v>34956</v>
      </c>
      <c r="AD7956" s="13">
        <v>41550</v>
      </c>
      <c r="AE7956" s="12" t="s">
        <v>323</v>
      </c>
      <c r="AF7956" s="12" t="s">
        <v>10379</v>
      </c>
      <c r="AG7956" s="12" t="s">
        <v>34957</v>
      </c>
      <c r="AH7956" s="1">
        <f>HYPERLINK("https://my.pitchbook.com?c=129633-04T","View Company Online")</f>
      </c>
    </row>
    <row r="7957">
      <c r="A7957" s="3" t="s">
        <v>34958</v>
      </c>
      <c r="B7957" s="3" t="s">
        <v>22816</v>
      </c>
      <c r="C7957" s="5" t="s">
        <v>36</v>
      </c>
      <c r="D7957" s="5" t="s">
        <v>36</v>
      </c>
      <c r="E7957" s="5" t="s">
        <v>36</v>
      </c>
      <c r="F7957" s="5" t="s">
        <v>36</v>
      </c>
      <c r="G7957" s="6" t="s">
        <v>36</v>
      </c>
      <c r="H7957" s="4">
        <v>3.12</v>
      </c>
      <c r="I7957" s="7">
        <v>36.46</v>
      </c>
      <c r="J7957" s="3" t="s">
        <v>521</v>
      </c>
      <c r="K7957" s="9" t="s">
        <v>36</v>
      </c>
      <c r="L7957" s="6" t="s">
        <v>36</v>
      </c>
      <c r="M7957" s="3" t="s">
        <v>36</v>
      </c>
      <c r="N7957" s="3" t="s">
        <v>36</v>
      </c>
      <c r="O7957" s="8" t="s">
        <v>36</v>
      </c>
      <c r="P7957" s="3" t="s">
        <v>36</v>
      </c>
      <c r="Q7957" s="3" t="s">
        <v>36</v>
      </c>
      <c r="R7957" s="3" t="s">
        <v>36</v>
      </c>
      <c r="S7957" s="3" t="s">
        <v>36</v>
      </c>
      <c r="T7957" s="3" t="s">
        <v>4529</v>
      </c>
      <c r="U7957" s="3" t="s">
        <v>38</v>
      </c>
      <c r="V7957" s="3" t="s">
        <v>39</v>
      </c>
      <c r="W7957" s="3" t="s">
        <v>22817</v>
      </c>
      <c r="X7957" s="10" t="s">
        <v>34959</v>
      </c>
      <c r="Y7957" s="6" t="s">
        <v>42</v>
      </c>
      <c r="Z7957" s="4">
        <v>1.61</v>
      </c>
      <c r="AA7957" s="4">
        <v>4.41</v>
      </c>
      <c r="AB7957" s="3" t="s">
        <v>43</v>
      </c>
      <c r="AC7957" s="3" t="s">
        <v>22819</v>
      </c>
      <c r="AD7957" s="9">
        <v>41549</v>
      </c>
      <c r="AE7957" s="3" t="s">
        <v>1422</v>
      </c>
      <c r="AF7957" s="3" t="s">
        <v>15204</v>
      </c>
      <c r="AG7957" s="3" t="s">
        <v>81</v>
      </c>
      <c r="AH7957" s="11">
        <f>HYPERLINK("https://my.pitchbook.com?c=28956-43T","View Company Online")</f>
      </c>
    </row>
    <row r="7958">
      <c r="A7958" s="12" t="s">
        <v>34960</v>
      </c>
      <c r="B7958" s="12" t="s">
        <v>15588</v>
      </c>
      <c r="C7958" s="19" t="s">
        <v>36</v>
      </c>
      <c r="D7958" s="19">
        <v>2</v>
      </c>
      <c r="E7958" s="19">
        <v>1</v>
      </c>
      <c r="F7958" s="19">
        <v>2</v>
      </c>
      <c r="G7958" s="15" t="s">
        <v>36</v>
      </c>
      <c r="H7958" s="14">
        <v>20.77</v>
      </c>
      <c r="I7958" s="18">
        <v>20</v>
      </c>
      <c r="J7958" s="12" t="s">
        <v>521</v>
      </c>
      <c r="K7958" s="13" t="s">
        <v>36</v>
      </c>
      <c r="L7958" s="15" t="s">
        <v>36</v>
      </c>
      <c r="M7958" s="12" t="s">
        <v>36</v>
      </c>
      <c r="N7958" s="12" t="s">
        <v>36</v>
      </c>
      <c r="O7958" s="17" t="s">
        <v>36</v>
      </c>
      <c r="P7958" s="12" t="s">
        <v>36</v>
      </c>
      <c r="Q7958" s="12" t="s">
        <v>36</v>
      </c>
      <c r="R7958" s="12" t="s">
        <v>36</v>
      </c>
      <c r="S7958" s="12" t="s">
        <v>36</v>
      </c>
      <c r="T7958" s="12" t="s">
        <v>522</v>
      </c>
      <c r="U7958" s="12" t="s">
        <v>38</v>
      </c>
      <c r="V7958" s="12" t="s">
        <v>39</v>
      </c>
      <c r="W7958" s="12" t="s">
        <v>15589</v>
      </c>
      <c r="X7958" s="16" t="s">
        <v>34961</v>
      </c>
      <c r="Y7958" s="15" t="s">
        <v>42</v>
      </c>
      <c r="Z7958" s="14">
        <v>6.69</v>
      </c>
      <c r="AA7958" s="14">
        <v>33.43</v>
      </c>
      <c r="AB7958" s="12" t="s">
        <v>43</v>
      </c>
      <c r="AC7958" s="12" t="s">
        <v>15591</v>
      </c>
      <c r="AD7958" s="13">
        <v>41548</v>
      </c>
      <c r="AE7958" s="12" t="s">
        <v>110</v>
      </c>
      <c r="AF7958" s="12" t="s">
        <v>748</v>
      </c>
      <c r="AG7958" s="12" t="s">
        <v>81</v>
      </c>
      <c r="AH7958" s="1">
        <f>HYPERLINK("https://my.pitchbook.com?c=136295-11T","View Company Online")</f>
      </c>
    </row>
    <row r="7959">
      <c r="A7959" s="3" t="s">
        <v>34962</v>
      </c>
      <c r="B7959" s="3" t="s">
        <v>34963</v>
      </c>
      <c r="C7959" s="5" t="s">
        <v>36</v>
      </c>
      <c r="D7959" s="5" t="s">
        <v>36</v>
      </c>
      <c r="E7959" s="5" t="s">
        <v>36</v>
      </c>
      <c r="F7959" s="5" t="s">
        <v>36</v>
      </c>
      <c r="G7959" s="6" t="s">
        <v>36</v>
      </c>
      <c r="H7959" s="4" t="s">
        <v>36</v>
      </c>
      <c r="I7959" s="7" t="s">
        <v>36</v>
      </c>
      <c r="J7959" s="3" t="s">
        <v>36</v>
      </c>
      <c r="K7959" s="9" t="s">
        <v>36</v>
      </c>
      <c r="L7959" s="6" t="s">
        <v>36</v>
      </c>
      <c r="M7959" s="3" t="s">
        <v>36</v>
      </c>
      <c r="N7959" s="3" t="s">
        <v>36</v>
      </c>
      <c r="O7959" s="8" t="s">
        <v>36</v>
      </c>
      <c r="P7959" s="3" t="s">
        <v>36</v>
      </c>
      <c r="Q7959" s="3" t="s">
        <v>36</v>
      </c>
      <c r="R7959" s="3" t="s">
        <v>36</v>
      </c>
      <c r="S7959" s="3" t="s">
        <v>36</v>
      </c>
      <c r="T7959" s="3" t="s">
        <v>11857</v>
      </c>
      <c r="U7959" s="3" t="s">
        <v>38</v>
      </c>
      <c r="V7959" s="3" t="s">
        <v>39</v>
      </c>
      <c r="W7959" s="3" t="s">
        <v>34964</v>
      </c>
      <c r="X7959" s="10" t="s">
        <v>221</v>
      </c>
      <c r="Y7959" s="6" t="s">
        <v>108</v>
      </c>
      <c r="Z7959" s="4" t="s">
        <v>36</v>
      </c>
      <c r="AA7959" s="4" t="s">
        <v>36</v>
      </c>
      <c r="AB7959" s="3" t="s">
        <v>43</v>
      </c>
      <c r="AC7959" s="3" t="s">
        <v>34965</v>
      </c>
      <c r="AD7959" s="9">
        <v>41548</v>
      </c>
      <c r="AE7959" s="3" t="s">
        <v>554</v>
      </c>
      <c r="AF7959" s="3" t="s">
        <v>4117</v>
      </c>
      <c r="AG7959" s="3" t="s">
        <v>81</v>
      </c>
      <c r="AH7959" s="11">
        <f>HYPERLINK("https://my.pitchbook.com?c=24553-63T","View Company Online")</f>
      </c>
    </row>
    <row r="7960">
      <c r="A7960" s="12" t="s">
        <v>34966</v>
      </c>
      <c r="B7960" s="12" t="s">
        <v>34967</v>
      </c>
      <c r="C7960" s="19" t="s">
        <v>36</v>
      </c>
      <c r="D7960" s="19" t="s">
        <v>36</v>
      </c>
      <c r="E7960" s="19" t="s">
        <v>36</v>
      </c>
      <c r="F7960" s="19" t="s">
        <v>36</v>
      </c>
      <c r="G7960" s="15" t="s">
        <v>36</v>
      </c>
      <c r="H7960" s="14" t="s">
        <v>36</v>
      </c>
      <c r="I7960" s="18" t="s">
        <v>36</v>
      </c>
      <c r="J7960" s="12" t="s">
        <v>36</v>
      </c>
      <c r="K7960" s="13" t="s">
        <v>36</v>
      </c>
      <c r="L7960" s="15" t="s">
        <v>36</v>
      </c>
      <c r="M7960" s="12" t="s">
        <v>36</v>
      </c>
      <c r="N7960" s="12" t="s">
        <v>36</v>
      </c>
      <c r="O7960" s="17" t="s">
        <v>36</v>
      </c>
      <c r="P7960" s="12" t="s">
        <v>36</v>
      </c>
      <c r="Q7960" s="12" t="s">
        <v>36</v>
      </c>
      <c r="R7960" s="12" t="s">
        <v>36</v>
      </c>
      <c r="S7960" s="12" t="s">
        <v>36</v>
      </c>
      <c r="T7960" s="12" t="s">
        <v>1106</v>
      </c>
      <c r="U7960" s="12" t="s">
        <v>38</v>
      </c>
      <c r="V7960" s="12" t="s">
        <v>39</v>
      </c>
      <c r="W7960" s="12" t="s">
        <v>34968</v>
      </c>
      <c r="X7960" s="16" t="s">
        <v>34969</v>
      </c>
      <c r="Y7960" s="15" t="s">
        <v>42</v>
      </c>
      <c r="Z7960" s="14" t="s">
        <v>36</v>
      </c>
      <c r="AA7960" s="14" t="s">
        <v>36</v>
      </c>
      <c r="AB7960" s="12" t="s">
        <v>43</v>
      </c>
      <c r="AC7960" s="12" t="s">
        <v>34970</v>
      </c>
      <c r="AD7960" s="13">
        <v>41548</v>
      </c>
      <c r="AE7960" s="12" t="s">
        <v>110</v>
      </c>
      <c r="AF7960" s="12" t="s">
        <v>4552</v>
      </c>
      <c r="AG7960" s="12" t="s">
        <v>81</v>
      </c>
      <c r="AH7960" s="1">
        <f>HYPERLINK("https://my.pitchbook.com?c=24554-53T","View Company Online")</f>
      </c>
    </row>
    <row r="7961">
      <c r="A7961" s="3" t="s">
        <v>34971</v>
      </c>
      <c r="B7961" s="3" t="s">
        <v>34972</v>
      </c>
      <c r="C7961" s="5" t="s">
        <v>36</v>
      </c>
      <c r="D7961" s="5" t="s">
        <v>36</v>
      </c>
      <c r="E7961" s="5" t="s">
        <v>36</v>
      </c>
      <c r="F7961" s="5" t="s">
        <v>36</v>
      </c>
      <c r="G7961" s="6" t="s">
        <v>36</v>
      </c>
      <c r="H7961" s="4" t="s">
        <v>36</v>
      </c>
      <c r="I7961" s="7" t="s">
        <v>36</v>
      </c>
      <c r="J7961" s="3" t="s">
        <v>36</v>
      </c>
      <c r="K7961" s="9" t="s">
        <v>36</v>
      </c>
      <c r="L7961" s="6" t="s">
        <v>36</v>
      </c>
      <c r="M7961" s="3" t="s">
        <v>36</v>
      </c>
      <c r="N7961" s="3" t="s">
        <v>36</v>
      </c>
      <c r="O7961" s="8" t="s">
        <v>36</v>
      </c>
      <c r="P7961" s="3" t="s">
        <v>36</v>
      </c>
      <c r="Q7961" s="3" t="s">
        <v>36</v>
      </c>
      <c r="R7961" s="3" t="s">
        <v>36</v>
      </c>
      <c r="S7961" s="3" t="s">
        <v>36</v>
      </c>
      <c r="T7961" s="3" t="s">
        <v>422</v>
      </c>
      <c r="U7961" s="3" t="s">
        <v>423</v>
      </c>
      <c r="V7961" s="3" t="s">
        <v>64</v>
      </c>
      <c r="W7961" s="3" t="s">
        <v>34973</v>
      </c>
      <c r="X7961" s="10" t="s">
        <v>34974</v>
      </c>
      <c r="Y7961" s="6" t="s">
        <v>42</v>
      </c>
      <c r="Z7961" s="4" t="s">
        <v>36</v>
      </c>
      <c r="AA7961" s="4" t="s">
        <v>36</v>
      </c>
      <c r="AB7961" s="3" t="s">
        <v>43</v>
      </c>
      <c r="AC7961" s="3" t="s">
        <v>34975</v>
      </c>
      <c r="AD7961" s="9">
        <v>41548</v>
      </c>
      <c r="AE7961" s="3" t="s">
        <v>427</v>
      </c>
      <c r="AF7961" s="3" t="s">
        <v>36</v>
      </c>
      <c r="AG7961" s="3" t="s">
        <v>81</v>
      </c>
      <c r="AH7961" s="11">
        <f>HYPERLINK("https://my.pitchbook.com?c=24692-95T","View Company Online")</f>
      </c>
    </row>
    <row r="7962">
      <c r="A7962" s="12" t="s">
        <v>34976</v>
      </c>
      <c r="B7962" s="12" t="s">
        <v>34977</v>
      </c>
      <c r="C7962" s="19" t="s">
        <v>36</v>
      </c>
      <c r="D7962" s="19" t="s">
        <v>36</v>
      </c>
      <c r="E7962" s="19" t="s">
        <v>36</v>
      </c>
      <c r="F7962" s="19" t="s">
        <v>36</v>
      </c>
      <c r="G7962" s="15" t="s">
        <v>36</v>
      </c>
      <c r="H7962" s="14" t="s">
        <v>36</v>
      </c>
      <c r="I7962" s="18" t="s">
        <v>36</v>
      </c>
      <c r="J7962" s="12" t="s">
        <v>36</v>
      </c>
      <c r="K7962" s="13" t="s">
        <v>36</v>
      </c>
      <c r="L7962" s="15" t="s">
        <v>122</v>
      </c>
      <c r="M7962" s="12" t="s">
        <v>36</v>
      </c>
      <c r="N7962" s="12" t="s">
        <v>122</v>
      </c>
      <c r="O7962" s="17" t="s">
        <v>36</v>
      </c>
      <c r="P7962" s="12" t="s">
        <v>36</v>
      </c>
      <c r="Q7962" s="12" t="s">
        <v>36</v>
      </c>
      <c r="R7962" s="12" t="s">
        <v>36</v>
      </c>
      <c r="S7962" s="12" t="s">
        <v>36</v>
      </c>
      <c r="T7962" s="12" t="s">
        <v>647</v>
      </c>
      <c r="U7962" s="12" t="s">
        <v>648</v>
      </c>
      <c r="V7962" s="12" t="s">
        <v>64</v>
      </c>
      <c r="W7962" s="12" t="s">
        <v>34978</v>
      </c>
      <c r="X7962" s="16" t="s">
        <v>34979</v>
      </c>
      <c r="Y7962" s="15" t="s">
        <v>42</v>
      </c>
      <c r="Z7962" s="14">
        <v>7.35</v>
      </c>
      <c r="AA7962" s="14" t="s">
        <v>36</v>
      </c>
      <c r="AB7962" s="12" t="s">
        <v>43</v>
      </c>
      <c r="AC7962" s="12" t="s">
        <v>34980</v>
      </c>
      <c r="AD7962" s="13">
        <v>41548</v>
      </c>
      <c r="AE7962" s="12" t="s">
        <v>651</v>
      </c>
      <c r="AF7962" s="12" t="s">
        <v>1636</v>
      </c>
      <c r="AG7962" s="12" t="s">
        <v>81</v>
      </c>
      <c r="AH7962" s="1">
        <f>HYPERLINK("https://my.pitchbook.com?c=119774-62T","View Company Online")</f>
      </c>
    </row>
    <row r="7963">
      <c r="A7963" s="3" t="s">
        <v>34981</v>
      </c>
      <c r="B7963" s="3" t="s">
        <v>15460</v>
      </c>
      <c r="C7963" s="5">
        <v>1</v>
      </c>
      <c r="D7963" s="5">
        <v>14</v>
      </c>
      <c r="E7963" s="5">
        <v>6</v>
      </c>
      <c r="F7963" s="5">
        <v>20</v>
      </c>
      <c r="G7963" s="6" t="s">
        <v>36</v>
      </c>
      <c r="H7963" s="4">
        <v>97.37</v>
      </c>
      <c r="I7963" s="7">
        <v>75.3</v>
      </c>
      <c r="J7963" s="3" t="s">
        <v>521</v>
      </c>
      <c r="K7963" s="9" t="s">
        <v>36</v>
      </c>
      <c r="L7963" s="6" t="s">
        <v>122</v>
      </c>
      <c r="M7963" s="3" t="s">
        <v>36</v>
      </c>
      <c r="N7963" s="3" t="s">
        <v>122</v>
      </c>
      <c r="O7963" s="8" t="s">
        <v>36</v>
      </c>
      <c r="P7963" s="3" t="s">
        <v>36</v>
      </c>
      <c r="Q7963" s="3" t="s">
        <v>36</v>
      </c>
      <c r="R7963" s="3" t="s">
        <v>36</v>
      </c>
      <c r="S7963" s="3" t="s">
        <v>36</v>
      </c>
      <c r="T7963" s="3" t="s">
        <v>2321</v>
      </c>
      <c r="U7963" s="3" t="s">
        <v>51</v>
      </c>
      <c r="V7963" s="3" t="s">
        <v>52</v>
      </c>
      <c r="W7963" s="3" t="s">
        <v>15461</v>
      </c>
      <c r="X7963" s="10" t="s">
        <v>34982</v>
      </c>
      <c r="Y7963" s="6" t="s">
        <v>42</v>
      </c>
      <c r="Z7963" s="4">
        <v>4.81</v>
      </c>
      <c r="AA7963" s="4">
        <v>6.39</v>
      </c>
      <c r="AB7963" s="3" t="s">
        <v>43</v>
      </c>
      <c r="AC7963" s="3" t="s">
        <v>15463</v>
      </c>
      <c r="AD7963" s="9">
        <v>41547</v>
      </c>
      <c r="AE7963" s="3" t="s">
        <v>504</v>
      </c>
      <c r="AF7963" s="3" t="s">
        <v>665</v>
      </c>
      <c r="AG7963" s="3" t="s">
        <v>144</v>
      </c>
      <c r="AH7963" s="11">
        <f>HYPERLINK("https://my.pitchbook.com?c=28895-50T","View Company Online")</f>
      </c>
    </row>
    <row r="7964">
      <c r="A7964" s="12" t="s">
        <v>34983</v>
      </c>
      <c r="B7964" s="12" t="s">
        <v>32153</v>
      </c>
      <c r="C7964" s="19" t="s">
        <v>36</v>
      </c>
      <c r="D7964" s="19" t="s">
        <v>36</v>
      </c>
      <c r="E7964" s="19" t="s">
        <v>36</v>
      </c>
      <c r="F7964" s="19" t="s">
        <v>36</v>
      </c>
      <c r="G7964" s="15" t="s">
        <v>36</v>
      </c>
      <c r="H7964" s="14" t="s">
        <v>36</v>
      </c>
      <c r="I7964" s="18" t="s">
        <v>36</v>
      </c>
      <c r="J7964" s="12" t="s">
        <v>36</v>
      </c>
      <c r="K7964" s="13" t="s">
        <v>36</v>
      </c>
      <c r="L7964" s="15" t="s">
        <v>36</v>
      </c>
      <c r="M7964" s="12" t="s">
        <v>36</v>
      </c>
      <c r="N7964" s="12" t="s">
        <v>36</v>
      </c>
      <c r="O7964" s="17" t="s">
        <v>36</v>
      </c>
      <c r="P7964" s="12" t="s">
        <v>36</v>
      </c>
      <c r="Q7964" s="12" t="s">
        <v>36</v>
      </c>
      <c r="R7964" s="12" t="s">
        <v>36</v>
      </c>
      <c r="S7964" s="12" t="s">
        <v>36</v>
      </c>
      <c r="T7964" s="12" t="s">
        <v>32154</v>
      </c>
      <c r="U7964" s="12" t="s">
        <v>38</v>
      </c>
      <c r="V7964" s="12" t="s">
        <v>39</v>
      </c>
      <c r="W7964" s="12" t="s">
        <v>32155</v>
      </c>
      <c r="X7964" s="16" t="s">
        <v>34984</v>
      </c>
      <c r="Y7964" s="15" t="s">
        <v>108</v>
      </c>
      <c r="Z7964" s="14">
        <v>0.13</v>
      </c>
      <c r="AA7964" s="14" t="s">
        <v>36</v>
      </c>
      <c r="AB7964" s="12" t="s">
        <v>43</v>
      </c>
      <c r="AC7964" s="12" t="s">
        <v>32157</v>
      </c>
      <c r="AD7964" s="13">
        <v>41544</v>
      </c>
      <c r="AE7964" s="12" t="s">
        <v>1330</v>
      </c>
      <c r="AF7964" s="12" t="s">
        <v>30292</v>
      </c>
      <c r="AG7964" s="12" t="s">
        <v>400</v>
      </c>
      <c r="AH7964" s="1">
        <f>HYPERLINK("https://my.pitchbook.com?c=29736-01T","View Company Online")</f>
      </c>
    </row>
    <row r="7965">
      <c r="A7965" s="3" t="s">
        <v>34985</v>
      </c>
      <c r="B7965" s="3" t="s">
        <v>34986</v>
      </c>
      <c r="C7965" s="5" t="s">
        <v>36</v>
      </c>
      <c r="D7965" s="5" t="s">
        <v>36</v>
      </c>
      <c r="E7965" s="5" t="s">
        <v>36</v>
      </c>
      <c r="F7965" s="5" t="s">
        <v>36</v>
      </c>
      <c r="G7965" s="6" t="s">
        <v>36</v>
      </c>
      <c r="H7965" s="4">
        <v>81.01</v>
      </c>
      <c r="I7965" s="7">
        <v>26.81</v>
      </c>
      <c r="J7965" s="3" t="s">
        <v>521</v>
      </c>
      <c r="K7965" s="9" t="s">
        <v>36</v>
      </c>
      <c r="L7965" s="6" t="s">
        <v>36</v>
      </c>
      <c r="M7965" s="3" t="s">
        <v>36</v>
      </c>
      <c r="N7965" s="3" t="s">
        <v>36</v>
      </c>
      <c r="O7965" s="8" t="s">
        <v>36</v>
      </c>
      <c r="P7965" s="3" t="s">
        <v>36</v>
      </c>
      <c r="Q7965" s="3" t="s">
        <v>36</v>
      </c>
      <c r="R7965" s="3" t="s">
        <v>36</v>
      </c>
      <c r="S7965" s="3" t="s">
        <v>36</v>
      </c>
      <c r="T7965" s="3" t="s">
        <v>11136</v>
      </c>
      <c r="U7965" s="3" t="s">
        <v>219</v>
      </c>
      <c r="V7965" s="3" t="s">
        <v>75</v>
      </c>
      <c r="W7965" s="3" t="s">
        <v>34987</v>
      </c>
      <c r="X7965" s="10" t="s">
        <v>34988</v>
      </c>
      <c r="Y7965" s="6" t="s">
        <v>42</v>
      </c>
      <c r="Z7965" s="4">
        <v>1.33</v>
      </c>
      <c r="AA7965" s="4">
        <v>4.97</v>
      </c>
      <c r="AB7965" s="3" t="s">
        <v>43</v>
      </c>
      <c r="AC7965" s="3" t="s">
        <v>34989</v>
      </c>
      <c r="AD7965" s="9">
        <v>41543</v>
      </c>
      <c r="AE7965" s="3" t="s">
        <v>1007</v>
      </c>
      <c r="AF7965" s="3" t="s">
        <v>20661</v>
      </c>
      <c r="AG7965" s="3" t="s">
        <v>34990</v>
      </c>
      <c r="AH7965" s="11">
        <f>HYPERLINK("https://my.pitchbook.com?c=28886-95T","View Company Online")</f>
      </c>
    </row>
    <row r="7966">
      <c r="A7966" s="12" t="s">
        <v>34991</v>
      </c>
      <c r="B7966" s="12" t="s">
        <v>34992</v>
      </c>
      <c r="C7966" s="19">
        <v>1</v>
      </c>
      <c r="D7966" s="19">
        <v>46</v>
      </c>
      <c r="E7966" s="19">
        <v>13</v>
      </c>
      <c r="F7966" s="19">
        <v>55</v>
      </c>
      <c r="G7966" s="15" t="s">
        <v>36</v>
      </c>
      <c r="H7966" s="14" t="s">
        <v>36</v>
      </c>
      <c r="I7966" s="18" t="s">
        <v>36</v>
      </c>
      <c r="J7966" s="12" t="s">
        <v>36</v>
      </c>
      <c r="K7966" s="13" t="s">
        <v>36</v>
      </c>
      <c r="L7966" s="15" t="s">
        <v>36</v>
      </c>
      <c r="M7966" s="12" t="s">
        <v>36</v>
      </c>
      <c r="N7966" s="12" t="s">
        <v>36</v>
      </c>
      <c r="O7966" s="17" t="s">
        <v>36</v>
      </c>
      <c r="P7966" s="12" t="s">
        <v>36</v>
      </c>
      <c r="Q7966" s="12" t="s">
        <v>36</v>
      </c>
      <c r="R7966" s="12" t="s">
        <v>36</v>
      </c>
      <c r="S7966" s="12" t="s">
        <v>36</v>
      </c>
      <c r="T7966" s="12" t="s">
        <v>3790</v>
      </c>
      <c r="U7966" s="12" t="s">
        <v>318</v>
      </c>
      <c r="V7966" s="12" t="s">
        <v>39</v>
      </c>
      <c r="W7966" s="12" t="s">
        <v>34993</v>
      </c>
      <c r="X7966" s="16" t="s">
        <v>33792</v>
      </c>
      <c r="Y7966" s="15" t="s">
        <v>55</v>
      </c>
      <c r="Z7966" s="14">
        <v>2</v>
      </c>
      <c r="AA7966" s="14" t="s">
        <v>36</v>
      </c>
      <c r="AB7966" s="12" t="s">
        <v>56</v>
      </c>
      <c r="AC7966" s="12" t="s">
        <v>34994</v>
      </c>
      <c r="AD7966" s="13">
        <v>41542</v>
      </c>
      <c r="AE7966" s="12" t="s">
        <v>763</v>
      </c>
      <c r="AF7966" s="12" t="s">
        <v>4668</v>
      </c>
      <c r="AG7966" s="12" t="s">
        <v>34995</v>
      </c>
      <c r="AH7966" s="1">
        <f>HYPERLINK("https://my.pitchbook.com?c=34776-82T","View Company Online")</f>
      </c>
    </row>
    <row r="7967">
      <c r="A7967" s="3" t="s">
        <v>34996</v>
      </c>
      <c r="B7967" s="3" t="s">
        <v>34997</v>
      </c>
      <c r="C7967" s="5" t="s">
        <v>36</v>
      </c>
      <c r="D7967" s="5" t="s">
        <v>36</v>
      </c>
      <c r="E7967" s="5" t="s">
        <v>36</v>
      </c>
      <c r="F7967" s="5" t="s">
        <v>36</v>
      </c>
      <c r="G7967" s="6" t="s">
        <v>36</v>
      </c>
      <c r="H7967" s="4" t="s">
        <v>36</v>
      </c>
      <c r="I7967" s="7" t="s">
        <v>36</v>
      </c>
      <c r="J7967" s="3" t="s">
        <v>36</v>
      </c>
      <c r="K7967" s="9" t="s">
        <v>36</v>
      </c>
      <c r="L7967" s="6" t="s">
        <v>36</v>
      </c>
      <c r="M7967" s="3" t="s">
        <v>36</v>
      </c>
      <c r="N7967" s="3" t="s">
        <v>36</v>
      </c>
      <c r="O7967" s="8" t="s">
        <v>36</v>
      </c>
      <c r="P7967" s="3" t="s">
        <v>36</v>
      </c>
      <c r="Q7967" s="3" t="s">
        <v>36</v>
      </c>
      <c r="R7967" s="3" t="s">
        <v>36</v>
      </c>
      <c r="S7967" s="3" t="s">
        <v>36</v>
      </c>
      <c r="T7967" s="3" t="s">
        <v>18335</v>
      </c>
      <c r="U7967" s="3" t="s">
        <v>279</v>
      </c>
      <c r="V7967" s="3" t="s">
        <v>64</v>
      </c>
      <c r="W7967" s="3" t="s">
        <v>34998</v>
      </c>
      <c r="X7967" s="10" t="s">
        <v>20672</v>
      </c>
      <c r="Y7967" s="6" t="s">
        <v>42</v>
      </c>
      <c r="Z7967" s="4">
        <v>19.98</v>
      </c>
      <c r="AA7967" s="4" t="s">
        <v>36</v>
      </c>
      <c r="AB7967" s="3" t="s">
        <v>56</v>
      </c>
      <c r="AC7967" s="3" t="s">
        <v>34999</v>
      </c>
      <c r="AD7967" s="9">
        <v>41541</v>
      </c>
      <c r="AE7967" s="3" t="s">
        <v>740</v>
      </c>
      <c r="AF7967" s="3" t="s">
        <v>1636</v>
      </c>
      <c r="AG7967" s="3" t="s">
        <v>11936</v>
      </c>
      <c r="AH7967" s="11">
        <f>HYPERLINK("https://my.pitchbook.com?c=28933-66T","View Company Online")</f>
      </c>
    </row>
    <row r="7968">
      <c r="A7968" s="12" t="s">
        <v>35000</v>
      </c>
      <c r="B7968" s="12" t="s">
        <v>35001</v>
      </c>
      <c r="C7968" s="19">
        <v>47</v>
      </c>
      <c r="D7968" s="19">
        <v>163</v>
      </c>
      <c r="E7968" s="19">
        <v>48</v>
      </c>
      <c r="F7968" s="19">
        <v>279</v>
      </c>
      <c r="G7968" s="15" t="s">
        <v>36</v>
      </c>
      <c r="H7968" s="14" t="s">
        <v>36</v>
      </c>
      <c r="I7968" s="18" t="s">
        <v>36</v>
      </c>
      <c r="J7968" s="12" t="s">
        <v>36</v>
      </c>
      <c r="K7968" s="13" t="s">
        <v>36</v>
      </c>
      <c r="L7968" s="15" t="s">
        <v>36</v>
      </c>
      <c r="M7968" s="12" t="s">
        <v>36</v>
      </c>
      <c r="N7968" s="12" t="s">
        <v>36</v>
      </c>
      <c r="O7968" s="17" t="s">
        <v>36</v>
      </c>
      <c r="P7968" s="12" t="s">
        <v>36</v>
      </c>
      <c r="Q7968" s="12" t="s">
        <v>36</v>
      </c>
      <c r="R7968" s="12" t="s">
        <v>36</v>
      </c>
      <c r="S7968" s="12" t="s">
        <v>36</v>
      </c>
      <c r="T7968" s="12" t="s">
        <v>154</v>
      </c>
      <c r="U7968" s="12" t="s">
        <v>51</v>
      </c>
      <c r="V7968" s="12" t="s">
        <v>52</v>
      </c>
      <c r="W7968" s="12" t="s">
        <v>35002</v>
      </c>
      <c r="X7968" s="16" t="s">
        <v>35003</v>
      </c>
      <c r="Y7968" s="15" t="s">
        <v>192</v>
      </c>
      <c r="Z7968" s="14">
        <v>15.98</v>
      </c>
      <c r="AA7968" s="14" t="s">
        <v>36</v>
      </c>
      <c r="AB7968" s="12" t="s">
        <v>43</v>
      </c>
      <c r="AC7968" s="12" t="s">
        <v>35004</v>
      </c>
      <c r="AD7968" s="13">
        <v>41541</v>
      </c>
      <c r="AE7968" s="12" t="s">
        <v>158</v>
      </c>
      <c r="AF7968" s="12" t="s">
        <v>35005</v>
      </c>
      <c r="AG7968" s="12" t="s">
        <v>13364</v>
      </c>
      <c r="AH7968" s="1">
        <f>HYPERLINK("https://my.pitchbook.com?c=28777-96T","View Company Online")</f>
      </c>
    </row>
    <row r="7969">
      <c r="A7969" s="3" t="s">
        <v>35006</v>
      </c>
      <c r="B7969" s="3" t="s">
        <v>23631</v>
      </c>
      <c r="C7969" s="5">
        <v>6</v>
      </c>
      <c r="D7969" s="5">
        <v>45</v>
      </c>
      <c r="E7969" s="5">
        <v>12</v>
      </c>
      <c r="F7969" s="5">
        <v>56</v>
      </c>
      <c r="G7969" s="6" t="s">
        <v>326</v>
      </c>
      <c r="H7969" s="4">
        <v>124.63</v>
      </c>
      <c r="I7969" s="7">
        <v>30.77</v>
      </c>
      <c r="J7969" s="3" t="s">
        <v>521</v>
      </c>
      <c r="K7969" s="9" t="s">
        <v>36</v>
      </c>
      <c r="L7969" s="6" t="s">
        <v>94</v>
      </c>
      <c r="M7969" s="3" t="s">
        <v>36</v>
      </c>
      <c r="N7969" s="3" t="s">
        <v>94</v>
      </c>
      <c r="O7969" s="8" t="s">
        <v>36</v>
      </c>
      <c r="P7969" s="3" t="s">
        <v>36</v>
      </c>
      <c r="Q7969" s="3" t="s">
        <v>36</v>
      </c>
      <c r="R7969" s="3" t="s">
        <v>36</v>
      </c>
      <c r="S7969" s="3" t="s">
        <v>36</v>
      </c>
      <c r="T7969" s="3" t="s">
        <v>3264</v>
      </c>
      <c r="U7969" s="3" t="s">
        <v>96</v>
      </c>
      <c r="V7969" s="3" t="s">
        <v>52</v>
      </c>
      <c r="W7969" s="3" t="s">
        <v>23632</v>
      </c>
      <c r="X7969" s="10" t="s">
        <v>35007</v>
      </c>
      <c r="Y7969" s="6" t="s">
        <v>108</v>
      </c>
      <c r="Z7969" s="4">
        <v>2.66</v>
      </c>
      <c r="AA7969" s="4">
        <v>8.66</v>
      </c>
      <c r="AB7969" s="3" t="s">
        <v>43</v>
      </c>
      <c r="AC7969" s="3" t="s">
        <v>23634</v>
      </c>
      <c r="AD7969" s="9">
        <v>41541</v>
      </c>
      <c r="AE7969" s="3" t="s">
        <v>496</v>
      </c>
      <c r="AF7969" s="3" t="s">
        <v>23635</v>
      </c>
      <c r="AG7969" s="3" t="s">
        <v>969</v>
      </c>
      <c r="AH7969" s="11">
        <f>HYPERLINK("https://my.pitchbook.com?c=35108-56T","View Company Online")</f>
      </c>
    </row>
    <row r="7970">
      <c r="A7970" s="12" t="s">
        <v>35008</v>
      </c>
      <c r="B7970" s="12" t="s">
        <v>19950</v>
      </c>
      <c r="C7970" s="19" t="s">
        <v>36</v>
      </c>
      <c r="D7970" s="19">
        <v>2</v>
      </c>
      <c r="E7970" s="19">
        <v>1</v>
      </c>
      <c r="F7970" s="19">
        <v>2</v>
      </c>
      <c r="G7970" s="15" t="s">
        <v>36</v>
      </c>
      <c r="H7970" s="14">
        <v>10121.46</v>
      </c>
      <c r="I7970" s="18">
        <v>14.24</v>
      </c>
      <c r="J7970" s="12" t="s">
        <v>521</v>
      </c>
      <c r="K7970" s="13" t="s">
        <v>36</v>
      </c>
      <c r="L7970" s="15" t="s">
        <v>36</v>
      </c>
      <c r="M7970" s="12" t="s">
        <v>36</v>
      </c>
      <c r="N7970" s="12" t="s">
        <v>36</v>
      </c>
      <c r="O7970" s="17" t="s">
        <v>36</v>
      </c>
      <c r="P7970" s="12" t="s">
        <v>36</v>
      </c>
      <c r="Q7970" s="12" t="s">
        <v>36</v>
      </c>
      <c r="R7970" s="12" t="s">
        <v>36</v>
      </c>
      <c r="S7970" s="12" t="s">
        <v>36</v>
      </c>
      <c r="T7970" s="12" t="s">
        <v>19951</v>
      </c>
      <c r="U7970" s="12" t="s">
        <v>38</v>
      </c>
      <c r="V7970" s="12" t="s">
        <v>39</v>
      </c>
      <c r="W7970" s="12" t="s">
        <v>19952</v>
      </c>
      <c r="X7970" s="16" t="s">
        <v>35009</v>
      </c>
      <c r="Y7970" s="15" t="s">
        <v>108</v>
      </c>
      <c r="Z7970" s="14">
        <v>2.5</v>
      </c>
      <c r="AA7970" s="14">
        <v>17.55</v>
      </c>
      <c r="AB7970" s="12" t="s">
        <v>43</v>
      </c>
      <c r="AC7970" s="12" t="s">
        <v>19954</v>
      </c>
      <c r="AD7970" s="13">
        <v>41541</v>
      </c>
      <c r="AE7970" s="12" t="s">
        <v>1945</v>
      </c>
      <c r="AF7970" s="12" t="s">
        <v>19955</v>
      </c>
      <c r="AG7970" s="12" t="s">
        <v>81</v>
      </c>
      <c r="AH7970" s="1">
        <f>HYPERLINK("https://my.pitchbook.com?c=28796-59T","View Company Online")</f>
      </c>
    </row>
    <row r="7971">
      <c r="A7971" s="3" t="s">
        <v>35010</v>
      </c>
      <c r="B7971" s="3" t="s">
        <v>23877</v>
      </c>
      <c r="C7971" s="5" t="s">
        <v>36</v>
      </c>
      <c r="D7971" s="5" t="s">
        <v>36</v>
      </c>
      <c r="E7971" s="5" t="s">
        <v>36</v>
      </c>
      <c r="F7971" s="5" t="s">
        <v>36</v>
      </c>
      <c r="G7971" s="6" t="s">
        <v>36</v>
      </c>
      <c r="H7971" s="4" t="s">
        <v>36</v>
      </c>
      <c r="I7971" s="7" t="s">
        <v>36</v>
      </c>
      <c r="J7971" s="3" t="s">
        <v>36</v>
      </c>
      <c r="K7971" s="9">
        <v>41458</v>
      </c>
      <c r="L7971" s="6" t="s">
        <v>36</v>
      </c>
      <c r="M7971" s="3" t="s">
        <v>36</v>
      </c>
      <c r="N7971" s="3" t="s">
        <v>36</v>
      </c>
      <c r="O7971" s="8" t="s">
        <v>36</v>
      </c>
      <c r="P7971" s="3" t="s">
        <v>36</v>
      </c>
      <c r="Q7971" s="3" t="s">
        <v>36</v>
      </c>
      <c r="R7971" s="3" t="s">
        <v>36</v>
      </c>
      <c r="S7971" s="3" t="s">
        <v>36</v>
      </c>
      <c r="T7971" s="3" t="s">
        <v>23878</v>
      </c>
      <c r="U7971" s="3" t="s">
        <v>279</v>
      </c>
      <c r="V7971" s="3" t="s">
        <v>64</v>
      </c>
      <c r="W7971" s="3" t="s">
        <v>23879</v>
      </c>
      <c r="X7971" s="10" t="s">
        <v>35011</v>
      </c>
      <c r="Y7971" s="6" t="s">
        <v>42</v>
      </c>
      <c r="Z7971" s="4">
        <v>2.17</v>
      </c>
      <c r="AA7971" s="4" t="s">
        <v>36</v>
      </c>
      <c r="AB7971" s="3" t="s">
        <v>43</v>
      </c>
      <c r="AC7971" s="3" t="s">
        <v>23880</v>
      </c>
      <c r="AD7971" s="9">
        <v>41541</v>
      </c>
      <c r="AE7971" s="3" t="s">
        <v>851</v>
      </c>
      <c r="AF7971" s="3" t="s">
        <v>1077</v>
      </c>
      <c r="AG7971" s="3" t="s">
        <v>81</v>
      </c>
      <c r="AH7971" s="11">
        <f>HYPERLINK("https://my.pitchbook.com?c=28802-08T","View Company Online")</f>
      </c>
    </row>
    <row r="7972">
      <c r="A7972" s="12" t="s">
        <v>35012</v>
      </c>
      <c r="B7972" s="12" t="s">
        <v>31042</v>
      </c>
      <c r="C7972" s="19" t="s">
        <v>36</v>
      </c>
      <c r="D7972" s="19" t="s">
        <v>36</v>
      </c>
      <c r="E7972" s="19" t="s">
        <v>36</v>
      </c>
      <c r="F7972" s="19" t="s">
        <v>36</v>
      </c>
      <c r="G7972" s="15" t="s">
        <v>36</v>
      </c>
      <c r="H7972" s="14" t="s">
        <v>36</v>
      </c>
      <c r="I7972" s="18">
        <v>28.2</v>
      </c>
      <c r="J7972" s="12" t="s">
        <v>327</v>
      </c>
      <c r="K7972" s="13" t="s">
        <v>36</v>
      </c>
      <c r="L7972" s="15" t="s">
        <v>36</v>
      </c>
      <c r="M7972" s="12" t="s">
        <v>36</v>
      </c>
      <c r="N7972" s="12" t="s">
        <v>36</v>
      </c>
      <c r="O7972" s="17" t="s">
        <v>36</v>
      </c>
      <c r="P7972" s="12" t="s">
        <v>36</v>
      </c>
      <c r="Q7972" s="12" t="s">
        <v>36</v>
      </c>
      <c r="R7972" s="12" t="s">
        <v>36</v>
      </c>
      <c r="S7972" s="12" t="s">
        <v>6677</v>
      </c>
      <c r="T7972" s="12" t="s">
        <v>6288</v>
      </c>
      <c r="U7972" s="12" t="s">
        <v>85</v>
      </c>
      <c r="V7972" s="12" t="s">
        <v>64</v>
      </c>
      <c r="W7972" s="12" t="s">
        <v>31043</v>
      </c>
      <c r="X7972" s="16" t="s">
        <v>35013</v>
      </c>
      <c r="Y7972" s="15" t="s">
        <v>42</v>
      </c>
      <c r="Z7972" s="14">
        <v>0.77</v>
      </c>
      <c r="AA7972" s="14">
        <v>2.74</v>
      </c>
      <c r="AB7972" s="12" t="s">
        <v>43</v>
      </c>
      <c r="AC7972" s="12" t="s">
        <v>31045</v>
      </c>
      <c r="AD7972" s="13">
        <v>41540</v>
      </c>
      <c r="AE7972" s="12" t="s">
        <v>89</v>
      </c>
      <c r="AF7972" s="12" t="s">
        <v>26900</v>
      </c>
      <c r="AG7972" s="12" t="s">
        <v>81</v>
      </c>
      <c r="AH7972" s="1">
        <f>HYPERLINK("https://my.pitchbook.com?c=40756-51T","View Company Online")</f>
      </c>
    </row>
    <row r="7973">
      <c r="A7973" s="3" t="s">
        <v>35014</v>
      </c>
      <c r="B7973" s="3" t="s">
        <v>32513</v>
      </c>
      <c r="C7973" s="5" t="s">
        <v>36</v>
      </c>
      <c r="D7973" s="5">
        <v>1</v>
      </c>
      <c r="E7973" s="5">
        <v>1</v>
      </c>
      <c r="F7973" s="5">
        <v>1</v>
      </c>
      <c r="G7973" s="6" t="s">
        <v>36</v>
      </c>
      <c r="H7973" s="4" t="s">
        <v>36</v>
      </c>
      <c r="I7973" s="7" t="s">
        <v>36</v>
      </c>
      <c r="J7973" s="3" t="s">
        <v>36</v>
      </c>
      <c r="K7973" s="9" t="s">
        <v>36</v>
      </c>
      <c r="L7973" s="6" t="s">
        <v>36</v>
      </c>
      <c r="M7973" s="3" t="s">
        <v>36</v>
      </c>
      <c r="N7973" s="3" t="s">
        <v>36</v>
      </c>
      <c r="O7973" s="8" t="s">
        <v>36</v>
      </c>
      <c r="P7973" s="3" t="s">
        <v>36</v>
      </c>
      <c r="Q7973" s="3" t="s">
        <v>36</v>
      </c>
      <c r="R7973" s="3" t="s">
        <v>36</v>
      </c>
      <c r="S7973" s="3" t="s">
        <v>36</v>
      </c>
      <c r="T7973" s="3" t="s">
        <v>529</v>
      </c>
      <c r="U7973" s="3" t="s">
        <v>38</v>
      </c>
      <c r="V7973" s="3" t="s">
        <v>39</v>
      </c>
      <c r="W7973" s="3" t="s">
        <v>32514</v>
      </c>
      <c r="X7973" s="10" t="s">
        <v>30275</v>
      </c>
      <c r="Y7973" s="6" t="s">
        <v>108</v>
      </c>
      <c r="Z7973" s="4">
        <v>0.67</v>
      </c>
      <c r="AA7973" s="4" t="s">
        <v>36</v>
      </c>
      <c r="AB7973" s="3" t="s">
        <v>56</v>
      </c>
      <c r="AC7973" s="3" t="s">
        <v>32515</v>
      </c>
      <c r="AD7973" s="9">
        <v>41540</v>
      </c>
      <c r="AE7973" s="3" t="s">
        <v>134</v>
      </c>
      <c r="AF7973" s="3" t="s">
        <v>7730</v>
      </c>
      <c r="AG7973" s="3" t="s">
        <v>666</v>
      </c>
      <c r="AH7973" s="11">
        <f>HYPERLINK("https://my.pitchbook.com?c=29886-49T","View Company Online")</f>
      </c>
    </row>
    <row r="7974">
      <c r="A7974" s="12" t="s">
        <v>35015</v>
      </c>
      <c r="B7974" s="12" t="s">
        <v>35016</v>
      </c>
      <c r="C7974" s="19" t="s">
        <v>36</v>
      </c>
      <c r="D7974" s="19" t="s">
        <v>36</v>
      </c>
      <c r="E7974" s="19">
        <v>1</v>
      </c>
      <c r="F7974" s="19">
        <v>1</v>
      </c>
      <c r="G7974" s="15" t="s">
        <v>36</v>
      </c>
      <c r="H7974" s="14" t="s">
        <v>36</v>
      </c>
      <c r="I7974" s="18" t="s">
        <v>36</v>
      </c>
      <c r="J7974" s="12" t="s">
        <v>36</v>
      </c>
      <c r="K7974" s="13" t="s">
        <v>36</v>
      </c>
      <c r="L7974" s="15" t="s">
        <v>36</v>
      </c>
      <c r="M7974" s="12" t="s">
        <v>36</v>
      </c>
      <c r="N7974" s="12" t="s">
        <v>36</v>
      </c>
      <c r="O7974" s="17" t="s">
        <v>36</v>
      </c>
      <c r="P7974" s="12" t="s">
        <v>36</v>
      </c>
      <c r="Q7974" s="12" t="s">
        <v>36</v>
      </c>
      <c r="R7974" s="12" t="s">
        <v>36</v>
      </c>
      <c r="S7974" s="12" t="s">
        <v>36</v>
      </c>
      <c r="T7974" s="12" t="s">
        <v>2044</v>
      </c>
      <c r="U7974" s="12" t="s">
        <v>74</v>
      </c>
      <c r="V7974" s="12" t="s">
        <v>75</v>
      </c>
      <c r="W7974" s="12" t="s">
        <v>35017</v>
      </c>
      <c r="X7974" s="16" t="s">
        <v>25429</v>
      </c>
      <c r="Y7974" s="15" t="s">
        <v>108</v>
      </c>
      <c r="Z7974" s="14">
        <v>3.4</v>
      </c>
      <c r="AA7974" s="14" t="s">
        <v>36</v>
      </c>
      <c r="AB7974" s="12" t="s">
        <v>43</v>
      </c>
      <c r="AC7974" s="12" t="s">
        <v>35018</v>
      </c>
      <c r="AD7974" s="13">
        <v>41540</v>
      </c>
      <c r="AE7974" s="12" t="s">
        <v>79</v>
      </c>
      <c r="AF7974" s="12" t="s">
        <v>1636</v>
      </c>
      <c r="AG7974" s="12" t="s">
        <v>102</v>
      </c>
      <c r="AH7974" s="1">
        <f>HYPERLINK("https://my.pitchbook.com?c=28745-65T","View Company Online")</f>
      </c>
    </row>
    <row r="7975">
      <c r="A7975" s="3" t="s">
        <v>35019</v>
      </c>
      <c r="B7975" s="3" t="s">
        <v>22320</v>
      </c>
      <c r="C7975" s="5" t="s">
        <v>36</v>
      </c>
      <c r="D7975" s="5" t="s">
        <v>36</v>
      </c>
      <c r="E7975" s="5" t="s">
        <v>36</v>
      </c>
      <c r="F7975" s="5" t="s">
        <v>36</v>
      </c>
      <c r="G7975" s="6" t="s">
        <v>36</v>
      </c>
      <c r="H7975" s="4" t="s">
        <v>36</v>
      </c>
      <c r="I7975" s="7" t="s">
        <v>36</v>
      </c>
      <c r="J7975" s="3" t="s">
        <v>36</v>
      </c>
      <c r="K7975" s="9" t="s">
        <v>36</v>
      </c>
      <c r="L7975" s="6" t="s">
        <v>36</v>
      </c>
      <c r="M7975" s="3" t="s">
        <v>36</v>
      </c>
      <c r="N7975" s="3" t="s">
        <v>36</v>
      </c>
      <c r="O7975" s="8" t="s">
        <v>36</v>
      </c>
      <c r="P7975" s="3" t="s">
        <v>36</v>
      </c>
      <c r="Q7975" s="3" t="s">
        <v>36</v>
      </c>
      <c r="R7975" s="3" t="s">
        <v>36</v>
      </c>
      <c r="S7975" s="3" t="s">
        <v>36</v>
      </c>
      <c r="T7975" s="3" t="s">
        <v>5218</v>
      </c>
      <c r="U7975" s="3" t="s">
        <v>74</v>
      </c>
      <c r="V7975" s="3" t="s">
        <v>75</v>
      </c>
      <c r="W7975" s="3" t="s">
        <v>22321</v>
      </c>
      <c r="X7975" s="10" t="s">
        <v>35020</v>
      </c>
      <c r="Y7975" s="6" t="s">
        <v>42</v>
      </c>
      <c r="Z7975" s="4" t="s">
        <v>36</v>
      </c>
      <c r="AA7975" s="4" t="s">
        <v>36</v>
      </c>
      <c r="AB7975" s="3" t="s">
        <v>43</v>
      </c>
      <c r="AC7975" s="3" t="s">
        <v>22323</v>
      </c>
      <c r="AD7975" s="9">
        <v>41537</v>
      </c>
      <c r="AE7975" s="3" t="s">
        <v>3144</v>
      </c>
      <c r="AF7975" s="3" t="s">
        <v>13299</v>
      </c>
      <c r="AG7975" s="3" t="s">
        <v>81</v>
      </c>
      <c r="AH7975" s="11">
        <f>HYPERLINK("https://my.pitchbook.com?c=38667-52T","View Company Online")</f>
      </c>
    </row>
    <row r="7976">
      <c r="A7976" s="12" t="s">
        <v>35021</v>
      </c>
      <c r="B7976" s="12" t="s">
        <v>35022</v>
      </c>
      <c r="C7976" s="19" t="s">
        <v>36</v>
      </c>
      <c r="D7976" s="19" t="s">
        <v>36</v>
      </c>
      <c r="E7976" s="19" t="s">
        <v>36</v>
      </c>
      <c r="F7976" s="19" t="s">
        <v>36</v>
      </c>
      <c r="G7976" s="15" t="s">
        <v>326</v>
      </c>
      <c r="H7976" s="14">
        <v>85.16</v>
      </c>
      <c r="I7976" s="18">
        <v>26.01</v>
      </c>
      <c r="J7976" s="12" t="s">
        <v>521</v>
      </c>
      <c r="K7976" s="13" t="s">
        <v>36</v>
      </c>
      <c r="L7976" s="15" t="s">
        <v>36</v>
      </c>
      <c r="M7976" s="12" t="s">
        <v>36</v>
      </c>
      <c r="N7976" s="12" t="s">
        <v>36</v>
      </c>
      <c r="O7976" s="17" t="s">
        <v>36</v>
      </c>
      <c r="P7976" s="12" t="s">
        <v>36</v>
      </c>
      <c r="Q7976" s="12" t="s">
        <v>36</v>
      </c>
      <c r="R7976" s="12" t="s">
        <v>36</v>
      </c>
      <c r="S7976" s="12" t="s">
        <v>36</v>
      </c>
      <c r="T7976" s="12" t="s">
        <v>13111</v>
      </c>
      <c r="U7976" s="12" t="s">
        <v>74</v>
      </c>
      <c r="V7976" s="12" t="s">
        <v>75</v>
      </c>
      <c r="W7976" s="12" t="s">
        <v>35023</v>
      </c>
      <c r="X7976" s="16" t="s">
        <v>35024</v>
      </c>
      <c r="Y7976" s="15" t="s">
        <v>108</v>
      </c>
      <c r="Z7976" s="14">
        <v>0.81</v>
      </c>
      <c r="AA7976" s="14">
        <v>3.13</v>
      </c>
      <c r="AB7976" s="12" t="s">
        <v>43</v>
      </c>
      <c r="AC7976" s="12" t="s">
        <v>35025</v>
      </c>
      <c r="AD7976" s="13">
        <v>41536</v>
      </c>
      <c r="AE7976" s="12" t="s">
        <v>79</v>
      </c>
      <c r="AF7976" s="12" t="s">
        <v>1636</v>
      </c>
      <c r="AG7976" s="12" t="s">
        <v>400</v>
      </c>
      <c r="AH7976" s="1">
        <f>HYPERLINK("https://my.pitchbook.com?c=192381-49T","View Company Online")</f>
      </c>
    </row>
    <row r="7977">
      <c r="A7977" s="3" t="s">
        <v>35026</v>
      </c>
      <c r="B7977" s="3" t="s">
        <v>21228</v>
      </c>
      <c r="C7977" s="5" t="s">
        <v>36</v>
      </c>
      <c r="D7977" s="5" t="s">
        <v>36</v>
      </c>
      <c r="E7977" s="5" t="s">
        <v>36</v>
      </c>
      <c r="F7977" s="5" t="s">
        <v>36</v>
      </c>
      <c r="G7977" s="6" t="s">
        <v>36</v>
      </c>
      <c r="H7977" s="4">
        <v>0.29</v>
      </c>
      <c r="I7977" s="7">
        <v>39.92</v>
      </c>
      <c r="J7977" s="3" t="s">
        <v>327</v>
      </c>
      <c r="K7977" s="9" t="s">
        <v>36</v>
      </c>
      <c r="L7977" s="6" t="s">
        <v>36</v>
      </c>
      <c r="M7977" s="3" t="s">
        <v>36</v>
      </c>
      <c r="N7977" s="3" t="s">
        <v>36</v>
      </c>
      <c r="O7977" s="8" t="s">
        <v>36</v>
      </c>
      <c r="P7977" s="3" t="s">
        <v>36</v>
      </c>
      <c r="Q7977" s="3" t="s">
        <v>36</v>
      </c>
      <c r="R7977" s="3" t="s">
        <v>36</v>
      </c>
      <c r="S7977" s="3" t="s">
        <v>36</v>
      </c>
      <c r="T7977" s="3" t="s">
        <v>472</v>
      </c>
      <c r="U7977" s="3" t="s">
        <v>38</v>
      </c>
      <c r="V7977" s="3" t="s">
        <v>39</v>
      </c>
      <c r="W7977" s="3" t="s">
        <v>21229</v>
      </c>
      <c r="X7977" s="10" t="s">
        <v>35027</v>
      </c>
      <c r="Y7977" s="6" t="s">
        <v>108</v>
      </c>
      <c r="Z7977" s="4">
        <v>0.8</v>
      </c>
      <c r="AA7977" s="4">
        <v>2</v>
      </c>
      <c r="AB7977" s="3" t="s">
        <v>43</v>
      </c>
      <c r="AC7977" s="3" t="s">
        <v>21231</v>
      </c>
      <c r="AD7977" s="9">
        <v>41534</v>
      </c>
      <c r="AE7977" s="3" t="s">
        <v>110</v>
      </c>
      <c r="AF7977" s="3" t="s">
        <v>21232</v>
      </c>
      <c r="AG7977" s="3" t="s">
        <v>81</v>
      </c>
      <c r="AH7977" s="11">
        <f>HYPERLINK("https://my.pitchbook.com?c=40694-23T","View Company Online")</f>
      </c>
    </row>
    <row r="7978">
      <c r="A7978" s="12" t="s">
        <v>35028</v>
      </c>
      <c r="B7978" s="12" t="s">
        <v>31765</v>
      </c>
      <c r="C7978" s="19" t="s">
        <v>36</v>
      </c>
      <c r="D7978" s="19" t="s">
        <v>36</v>
      </c>
      <c r="E7978" s="19" t="s">
        <v>36</v>
      </c>
      <c r="F7978" s="19" t="s">
        <v>36</v>
      </c>
      <c r="G7978" s="15" t="s">
        <v>326</v>
      </c>
      <c r="H7978" s="14">
        <v>1071.8</v>
      </c>
      <c r="I7978" s="18">
        <v>29.06</v>
      </c>
      <c r="J7978" s="12" t="s">
        <v>521</v>
      </c>
      <c r="K7978" s="13" t="s">
        <v>36</v>
      </c>
      <c r="L7978" s="15" t="s">
        <v>36</v>
      </c>
      <c r="M7978" s="12" t="s">
        <v>36</v>
      </c>
      <c r="N7978" s="12" t="s">
        <v>36</v>
      </c>
      <c r="O7978" s="17" t="s">
        <v>36</v>
      </c>
      <c r="P7978" s="12" t="s">
        <v>36</v>
      </c>
      <c r="Q7978" s="12" t="s">
        <v>36</v>
      </c>
      <c r="R7978" s="12" t="s">
        <v>36</v>
      </c>
      <c r="S7978" s="12" t="s">
        <v>36</v>
      </c>
      <c r="T7978" s="12" t="s">
        <v>855</v>
      </c>
      <c r="U7978" s="12" t="s">
        <v>648</v>
      </c>
      <c r="V7978" s="12" t="s">
        <v>64</v>
      </c>
      <c r="W7978" s="12" t="s">
        <v>31766</v>
      </c>
      <c r="X7978" s="16" t="s">
        <v>35029</v>
      </c>
      <c r="Y7978" s="15" t="s">
        <v>108</v>
      </c>
      <c r="Z7978" s="14">
        <v>0.4</v>
      </c>
      <c r="AA7978" s="14">
        <v>1.29</v>
      </c>
      <c r="AB7978" s="12" t="s">
        <v>43</v>
      </c>
      <c r="AC7978" s="12" t="s">
        <v>31768</v>
      </c>
      <c r="AD7978" s="13">
        <v>41533</v>
      </c>
      <c r="AE7978" s="12" t="s">
        <v>651</v>
      </c>
      <c r="AF7978" s="12" t="s">
        <v>1077</v>
      </c>
      <c r="AG7978" s="12" t="s">
        <v>81</v>
      </c>
      <c r="AH7978" s="1">
        <f>HYPERLINK("https://my.pitchbook.com?c=52115-68T","View Company Online")</f>
      </c>
    </row>
    <row r="7979">
      <c r="A7979" s="3" t="s">
        <v>35030</v>
      </c>
      <c r="B7979" s="3" t="s">
        <v>35031</v>
      </c>
      <c r="C7979" s="5" t="s">
        <v>36</v>
      </c>
      <c r="D7979" s="5" t="s">
        <v>36</v>
      </c>
      <c r="E7979" s="5" t="s">
        <v>36</v>
      </c>
      <c r="F7979" s="5" t="s">
        <v>36</v>
      </c>
      <c r="G7979" s="6" t="s">
        <v>36</v>
      </c>
      <c r="H7979" s="4" t="s">
        <v>36</v>
      </c>
      <c r="I7979" s="7" t="s">
        <v>36</v>
      </c>
      <c r="J7979" s="3" t="s">
        <v>36</v>
      </c>
      <c r="K7979" s="9" t="s">
        <v>36</v>
      </c>
      <c r="L7979" s="6" t="s">
        <v>36</v>
      </c>
      <c r="M7979" s="3" t="s">
        <v>36</v>
      </c>
      <c r="N7979" s="3" t="s">
        <v>36</v>
      </c>
      <c r="O7979" s="8" t="s">
        <v>36</v>
      </c>
      <c r="P7979" s="3" t="s">
        <v>36</v>
      </c>
      <c r="Q7979" s="3" t="s">
        <v>36</v>
      </c>
      <c r="R7979" s="3" t="s">
        <v>36</v>
      </c>
      <c r="S7979" s="3" t="s">
        <v>36</v>
      </c>
      <c r="T7979" s="3" t="s">
        <v>26757</v>
      </c>
      <c r="U7979" s="3" t="s">
        <v>233</v>
      </c>
      <c r="V7979" s="3" t="s">
        <v>39</v>
      </c>
      <c r="W7979" s="3" t="s">
        <v>35032</v>
      </c>
      <c r="X7979" s="10" t="s">
        <v>35033</v>
      </c>
      <c r="Y7979" s="6" t="s">
        <v>42</v>
      </c>
      <c r="Z7979" s="4">
        <v>3.32</v>
      </c>
      <c r="AA7979" s="4" t="s">
        <v>36</v>
      </c>
      <c r="AB7979" s="3" t="s">
        <v>43</v>
      </c>
      <c r="AC7979" s="3" t="s">
        <v>35034</v>
      </c>
      <c r="AD7979" s="9">
        <v>41533</v>
      </c>
      <c r="AE7979" s="3" t="s">
        <v>236</v>
      </c>
      <c r="AF7979" s="3" t="s">
        <v>4668</v>
      </c>
      <c r="AG7979" s="3" t="s">
        <v>81</v>
      </c>
      <c r="AH7979" s="11">
        <f>HYPERLINK("https://my.pitchbook.com?c=30537-82T","View Company Online")</f>
      </c>
    </row>
    <row r="7980">
      <c r="A7980" s="12" t="s">
        <v>35035</v>
      </c>
      <c r="B7980" s="12" t="s">
        <v>35036</v>
      </c>
      <c r="C7980" s="19" t="s">
        <v>36</v>
      </c>
      <c r="D7980" s="19" t="s">
        <v>36</v>
      </c>
      <c r="E7980" s="19" t="s">
        <v>36</v>
      </c>
      <c r="F7980" s="19" t="s">
        <v>36</v>
      </c>
      <c r="G7980" s="15" t="s">
        <v>36</v>
      </c>
      <c r="H7980" s="14" t="s">
        <v>36</v>
      </c>
      <c r="I7980" s="18" t="s">
        <v>36</v>
      </c>
      <c r="J7980" s="12" t="s">
        <v>36</v>
      </c>
      <c r="K7980" s="13" t="s">
        <v>36</v>
      </c>
      <c r="L7980" s="15" t="s">
        <v>122</v>
      </c>
      <c r="M7980" s="12" t="s">
        <v>36</v>
      </c>
      <c r="N7980" s="12" t="s">
        <v>122</v>
      </c>
      <c r="O7980" s="17" t="s">
        <v>36</v>
      </c>
      <c r="P7980" s="12" t="s">
        <v>36</v>
      </c>
      <c r="Q7980" s="12" t="s">
        <v>36</v>
      </c>
      <c r="R7980" s="12" t="s">
        <v>36</v>
      </c>
      <c r="S7980" s="12" t="s">
        <v>36</v>
      </c>
      <c r="T7980" s="12" t="s">
        <v>35037</v>
      </c>
      <c r="U7980" s="12" t="s">
        <v>38</v>
      </c>
      <c r="V7980" s="12" t="s">
        <v>39</v>
      </c>
      <c r="W7980" s="12" t="s">
        <v>35038</v>
      </c>
      <c r="X7980" s="16" t="s">
        <v>35039</v>
      </c>
      <c r="Y7980" s="15" t="s">
        <v>108</v>
      </c>
      <c r="Z7980" s="14">
        <v>1.38</v>
      </c>
      <c r="AA7980" s="14" t="s">
        <v>36</v>
      </c>
      <c r="AB7980" s="12" t="s">
        <v>56</v>
      </c>
      <c r="AC7980" s="12" t="s">
        <v>35040</v>
      </c>
      <c r="AD7980" s="13">
        <v>41529</v>
      </c>
      <c r="AE7980" s="12" t="s">
        <v>785</v>
      </c>
      <c r="AF7980" s="12" t="s">
        <v>4552</v>
      </c>
      <c r="AG7980" s="12" t="s">
        <v>969</v>
      </c>
      <c r="AH7980" s="1">
        <f>HYPERLINK("https://my.pitchbook.com?c=34173-28T","View Company Online")</f>
      </c>
    </row>
    <row r="7981">
      <c r="A7981" s="3" t="s">
        <v>35041</v>
      </c>
      <c r="B7981" s="3" t="s">
        <v>23576</v>
      </c>
      <c r="C7981" s="5" t="s">
        <v>36</v>
      </c>
      <c r="D7981" s="5" t="s">
        <v>36</v>
      </c>
      <c r="E7981" s="5" t="s">
        <v>36</v>
      </c>
      <c r="F7981" s="5" t="s">
        <v>36</v>
      </c>
      <c r="G7981" s="6" t="s">
        <v>36</v>
      </c>
      <c r="H7981" s="4" t="s">
        <v>36</v>
      </c>
      <c r="I7981" s="7" t="s">
        <v>36</v>
      </c>
      <c r="J7981" s="3" t="s">
        <v>36</v>
      </c>
      <c r="K7981" s="9" t="s">
        <v>36</v>
      </c>
      <c r="L7981" s="6" t="s">
        <v>36</v>
      </c>
      <c r="M7981" s="3" t="s">
        <v>36</v>
      </c>
      <c r="N7981" s="3" t="s">
        <v>36</v>
      </c>
      <c r="O7981" s="8" t="s">
        <v>36</v>
      </c>
      <c r="P7981" s="3" t="s">
        <v>36</v>
      </c>
      <c r="Q7981" s="3" t="s">
        <v>36</v>
      </c>
      <c r="R7981" s="3" t="s">
        <v>36</v>
      </c>
      <c r="S7981" s="3" t="s">
        <v>36</v>
      </c>
      <c r="T7981" s="3" t="s">
        <v>464</v>
      </c>
      <c r="U7981" s="3" t="s">
        <v>38</v>
      </c>
      <c r="V7981" s="3" t="s">
        <v>39</v>
      </c>
      <c r="W7981" s="3" t="s">
        <v>23577</v>
      </c>
      <c r="X7981" s="10" t="s">
        <v>35042</v>
      </c>
      <c r="Y7981" s="6" t="s">
        <v>192</v>
      </c>
      <c r="Z7981" s="4">
        <v>19.92</v>
      </c>
      <c r="AA7981" s="4" t="s">
        <v>36</v>
      </c>
      <c r="AB7981" s="3" t="s">
        <v>56</v>
      </c>
      <c r="AC7981" s="3" t="s">
        <v>23579</v>
      </c>
      <c r="AD7981" s="9">
        <v>41529</v>
      </c>
      <c r="AE7981" s="3" t="s">
        <v>110</v>
      </c>
      <c r="AF7981" s="3" t="s">
        <v>19562</v>
      </c>
      <c r="AG7981" s="3" t="s">
        <v>2760</v>
      </c>
      <c r="AH7981" s="11">
        <f>HYPERLINK("https://my.pitchbook.com?c=28617-49T","View Company Online")</f>
      </c>
    </row>
    <row r="7982">
      <c r="A7982" s="12" t="s">
        <v>35043</v>
      </c>
      <c r="B7982" s="12" t="s">
        <v>35044</v>
      </c>
      <c r="C7982" s="19" t="s">
        <v>36</v>
      </c>
      <c r="D7982" s="19" t="s">
        <v>36</v>
      </c>
      <c r="E7982" s="19" t="s">
        <v>36</v>
      </c>
      <c r="F7982" s="19" t="s">
        <v>36</v>
      </c>
      <c r="G7982" s="15" t="s">
        <v>36</v>
      </c>
      <c r="H7982" s="14" t="s">
        <v>36</v>
      </c>
      <c r="I7982" s="18" t="s">
        <v>36</v>
      </c>
      <c r="J7982" s="12" t="s">
        <v>36</v>
      </c>
      <c r="K7982" s="13" t="s">
        <v>36</v>
      </c>
      <c r="L7982" s="15" t="s">
        <v>36</v>
      </c>
      <c r="M7982" s="12" t="s">
        <v>36</v>
      </c>
      <c r="N7982" s="12" t="s">
        <v>36</v>
      </c>
      <c r="O7982" s="17" t="s">
        <v>36</v>
      </c>
      <c r="P7982" s="12" t="s">
        <v>36</v>
      </c>
      <c r="Q7982" s="12" t="s">
        <v>36</v>
      </c>
      <c r="R7982" s="12" t="s">
        <v>36</v>
      </c>
      <c r="S7982" s="12" t="s">
        <v>36</v>
      </c>
      <c r="T7982" s="12" t="s">
        <v>35045</v>
      </c>
      <c r="U7982" s="12" t="s">
        <v>318</v>
      </c>
      <c r="V7982" s="12" t="s">
        <v>39</v>
      </c>
      <c r="W7982" s="12" t="s">
        <v>35046</v>
      </c>
      <c r="X7982" s="16" t="s">
        <v>35047</v>
      </c>
      <c r="Y7982" s="15" t="s">
        <v>42</v>
      </c>
      <c r="Z7982" s="14">
        <v>3.98</v>
      </c>
      <c r="AA7982" s="14" t="s">
        <v>36</v>
      </c>
      <c r="AB7982" s="12" t="s">
        <v>56</v>
      </c>
      <c r="AC7982" s="12" t="s">
        <v>35048</v>
      </c>
      <c r="AD7982" s="13">
        <v>41527</v>
      </c>
      <c r="AE7982" s="12" t="s">
        <v>417</v>
      </c>
      <c r="AF7982" s="12" t="s">
        <v>30848</v>
      </c>
      <c r="AG7982" s="12" t="s">
        <v>35049</v>
      </c>
      <c r="AH7982" s="1">
        <f>HYPERLINK("https://my.pitchbook.com?c=28875-25T","View Company Online")</f>
      </c>
    </row>
    <row r="7983">
      <c r="A7983" s="3" t="s">
        <v>35050</v>
      </c>
      <c r="B7983" s="3" t="s">
        <v>35051</v>
      </c>
      <c r="C7983" s="5" t="s">
        <v>36</v>
      </c>
      <c r="D7983" s="5" t="s">
        <v>36</v>
      </c>
      <c r="E7983" s="5" t="s">
        <v>36</v>
      </c>
      <c r="F7983" s="5" t="s">
        <v>36</v>
      </c>
      <c r="G7983" s="6" t="s">
        <v>36</v>
      </c>
      <c r="H7983" s="4">
        <v>10.39</v>
      </c>
      <c r="I7983" s="7">
        <v>13.95</v>
      </c>
      <c r="J7983" s="3" t="s">
        <v>521</v>
      </c>
      <c r="K7983" s="9" t="s">
        <v>36</v>
      </c>
      <c r="L7983" s="6" t="s">
        <v>36</v>
      </c>
      <c r="M7983" s="3" t="s">
        <v>36</v>
      </c>
      <c r="N7983" s="3" t="s">
        <v>36</v>
      </c>
      <c r="O7983" s="8" t="s">
        <v>36</v>
      </c>
      <c r="P7983" s="3" t="s">
        <v>36</v>
      </c>
      <c r="Q7983" s="3" t="s">
        <v>36</v>
      </c>
      <c r="R7983" s="3" t="s">
        <v>36</v>
      </c>
      <c r="S7983" s="3" t="s">
        <v>36</v>
      </c>
      <c r="T7983" s="3" t="s">
        <v>5490</v>
      </c>
      <c r="U7983" s="3" t="s">
        <v>648</v>
      </c>
      <c r="V7983" s="3" t="s">
        <v>64</v>
      </c>
      <c r="W7983" s="3" t="s">
        <v>35052</v>
      </c>
      <c r="X7983" s="10" t="s">
        <v>2130</v>
      </c>
      <c r="Y7983" s="6" t="s">
        <v>42</v>
      </c>
      <c r="Z7983" s="4">
        <v>1.72</v>
      </c>
      <c r="AA7983" s="4">
        <v>12.35</v>
      </c>
      <c r="AB7983" s="3" t="s">
        <v>43</v>
      </c>
      <c r="AC7983" s="3" t="s">
        <v>35053</v>
      </c>
      <c r="AD7983" s="9">
        <v>41527</v>
      </c>
      <c r="AE7983" s="3" t="s">
        <v>3988</v>
      </c>
      <c r="AF7983" s="3" t="s">
        <v>36</v>
      </c>
      <c r="AG7983" s="3" t="s">
        <v>81</v>
      </c>
      <c r="AH7983" s="11">
        <f>HYPERLINK("https://my.pitchbook.com?c=30538-72T","View Company Online")</f>
      </c>
    </row>
    <row r="7984">
      <c r="A7984" s="12" t="s">
        <v>35054</v>
      </c>
      <c r="B7984" s="12" t="s">
        <v>35055</v>
      </c>
      <c r="C7984" s="19" t="s">
        <v>36</v>
      </c>
      <c r="D7984" s="19" t="s">
        <v>36</v>
      </c>
      <c r="E7984" s="19" t="s">
        <v>36</v>
      </c>
      <c r="F7984" s="19" t="s">
        <v>36</v>
      </c>
      <c r="G7984" s="15" t="s">
        <v>36</v>
      </c>
      <c r="H7984" s="14">
        <v>11.31</v>
      </c>
      <c r="I7984" s="18">
        <v>20.47</v>
      </c>
      <c r="J7984" s="12" t="s">
        <v>521</v>
      </c>
      <c r="K7984" s="13" t="s">
        <v>36</v>
      </c>
      <c r="L7984" s="15" t="s">
        <v>36</v>
      </c>
      <c r="M7984" s="12" t="s">
        <v>36</v>
      </c>
      <c r="N7984" s="12" t="s">
        <v>36</v>
      </c>
      <c r="O7984" s="17" t="s">
        <v>36</v>
      </c>
      <c r="P7984" s="12" t="s">
        <v>36</v>
      </c>
      <c r="Q7984" s="12" t="s">
        <v>36</v>
      </c>
      <c r="R7984" s="12" t="s">
        <v>36</v>
      </c>
      <c r="S7984" s="12" t="s">
        <v>36</v>
      </c>
      <c r="T7984" s="12" t="s">
        <v>35056</v>
      </c>
      <c r="U7984" s="12" t="s">
        <v>74</v>
      </c>
      <c r="V7984" s="12" t="s">
        <v>75</v>
      </c>
      <c r="W7984" s="12" t="s">
        <v>35057</v>
      </c>
      <c r="X7984" s="16" t="s">
        <v>35058</v>
      </c>
      <c r="Y7984" s="15" t="s">
        <v>42</v>
      </c>
      <c r="Z7984" s="14">
        <v>1.97</v>
      </c>
      <c r="AA7984" s="14">
        <v>9.62</v>
      </c>
      <c r="AB7984" s="12" t="s">
        <v>43</v>
      </c>
      <c r="AC7984" s="12" t="s">
        <v>35059</v>
      </c>
      <c r="AD7984" s="13">
        <v>41522</v>
      </c>
      <c r="AE7984" s="12" t="s">
        <v>9215</v>
      </c>
      <c r="AF7984" s="12" t="s">
        <v>1636</v>
      </c>
      <c r="AG7984" s="12" t="s">
        <v>81</v>
      </c>
      <c r="AH7984" s="1">
        <f>HYPERLINK("https://my.pitchbook.com?c=36296-47T","View Company Online")</f>
      </c>
    </row>
    <row r="7985">
      <c r="A7985" s="3" t="s">
        <v>35060</v>
      </c>
      <c r="B7985" s="3" t="s">
        <v>35061</v>
      </c>
      <c r="C7985" s="5" t="s">
        <v>36</v>
      </c>
      <c r="D7985" s="5" t="s">
        <v>36</v>
      </c>
      <c r="E7985" s="5" t="s">
        <v>36</v>
      </c>
      <c r="F7985" s="5" t="s">
        <v>36</v>
      </c>
      <c r="G7985" s="6" t="s">
        <v>36</v>
      </c>
      <c r="H7985" s="4" t="s">
        <v>36</v>
      </c>
      <c r="I7985" s="7" t="s">
        <v>36</v>
      </c>
      <c r="J7985" s="3" t="s">
        <v>36</v>
      </c>
      <c r="K7985" s="9" t="s">
        <v>36</v>
      </c>
      <c r="L7985" s="6" t="s">
        <v>36</v>
      </c>
      <c r="M7985" s="3" t="s">
        <v>36</v>
      </c>
      <c r="N7985" s="3" t="s">
        <v>36</v>
      </c>
      <c r="O7985" s="8" t="s">
        <v>36</v>
      </c>
      <c r="P7985" s="3" t="s">
        <v>36</v>
      </c>
      <c r="Q7985" s="3" t="s">
        <v>36</v>
      </c>
      <c r="R7985" s="3" t="s">
        <v>36</v>
      </c>
      <c r="S7985" s="3" t="s">
        <v>36</v>
      </c>
      <c r="T7985" s="3" t="s">
        <v>1870</v>
      </c>
      <c r="U7985" s="3" t="s">
        <v>38</v>
      </c>
      <c r="V7985" s="3" t="s">
        <v>39</v>
      </c>
      <c r="W7985" s="3" t="s">
        <v>35062</v>
      </c>
      <c r="X7985" s="10" t="s">
        <v>9680</v>
      </c>
      <c r="Y7985" s="6" t="s">
        <v>108</v>
      </c>
      <c r="Z7985" s="4">
        <v>1.33</v>
      </c>
      <c r="AA7985" s="4" t="s">
        <v>36</v>
      </c>
      <c r="AB7985" s="3" t="s">
        <v>56</v>
      </c>
      <c r="AC7985" s="3" t="s">
        <v>35063</v>
      </c>
      <c r="AD7985" s="9">
        <v>41522</v>
      </c>
      <c r="AE7985" s="3" t="s">
        <v>554</v>
      </c>
      <c r="AF7985" s="3" t="s">
        <v>3471</v>
      </c>
      <c r="AG7985" s="3" t="s">
        <v>741</v>
      </c>
      <c r="AH7985" s="11">
        <f>HYPERLINK("https://my.pitchbook.com?c=76838-05T","View Company Online")</f>
      </c>
    </row>
    <row r="7986">
      <c r="A7986" s="12" t="s">
        <v>35064</v>
      </c>
      <c r="B7986" s="12" t="s">
        <v>18161</v>
      </c>
      <c r="C7986" s="19" t="s">
        <v>36</v>
      </c>
      <c r="D7986" s="19" t="s">
        <v>36</v>
      </c>
      <c r="E7986" s="19" t="s">
        <v>36</v>
      </c>
      <c r="F7986" s="19" t="s">
        <v>36</v>
      </c>
      <c r="G7986" s="15" t="s">
        <v>36</v>
      </c>
      <c r="H7986" s="14" t="s">
        <v>36</v>
      </c>
      <c r="I7986" s="18" t="s">
        <v>36</v>
      </c>
      <c r="J7986" s="12" t="s">
        <v>36</v>
      </c>
      <c r="K7986" s="13" t="s">
        <v>36</v>
      </c>
      <c r="L7986" s="15" t="s">
        <v>36</v>
      </c>
      <c r="M7986" s="12" t="s">
        <v>36</v>
      </c>
      <c r="N7986" s="12" t="s">
        <v>36</v>
      </c>
      <c r="O7986" s="17" t="s">
        <v>36</v>
      </c>
      <c r="P7986" s="12" t="s">
        <v>36</v>
      </c>
      <c r="Q7986" s="12" t="s">
        <v>36</v>
      </c>
      <c r="R7986" s="12" t="s">
        <v>36</v>
      </c>
      <c r="S7986" s="12" t="s">
        <v>36</v>
      </c>
      <c r="T7986" s="12" t="s">
        <v>522</v>
      </c>
      <c r="U7986" s="12" t="s">
        <v>38</v>
      </c>
      <c r="V7986" s="12" t="s">
        <v>39</v>
      </c>
      <c r="W7986" s="12" t="s">
        <v>18162</v>
      </c>
      <c r="X7986" s="16" t="s">
        <v>29038</v>
      </c>
      <c r="Y7986" s="15" t="s">
        <v>42</v>
      </c>
      <c r="Z7986" s="14">
        <v>1.33</v>
      </c>
      <c r="AA7986" s="14" t="s">
        <v>36</v>
      </c>
      <c r="AB7986" s="12" t="s">
        <v>56</v>
      </c>
      <c r="AC7986" s="12" t="s">
        <v>18164</v>
      </c>
      <c r="AD7986" s="13">
        <v>41520</v>
      </c>
      <c r="AE7986" s="12" t="s">
        <v>110</v>
      </c>
      <c r="AF7986" s="12" t="s">
        <v>526</v>
      </c>
      <c r="AG7986" s="12" t="s">
        <v>47</v>
      </c>
      <c r="AH7986" s="1">
        <f>HYPERLINK("https://my.pitchbook.com?c=28306-27T","View Company Online")</f>
      </c>
    </row>
    <row r="7987">
      <c r="A7987" s="3" t="s">
        <v>35065</v>
      </c>
      <c r="B7987" s="3" t="s">
        <v>31428</v>
      </c>
      <c r="C7987" s="5">
        <v>1</v>
      </c>
      <c r="D7987" s="5">
        <v>2</v>
      </c>
      <c r="E7987" s="5">
        <v>1</v>
      </c>
      <c r="F7987" s="5">
        <v>3</v>
      </c>
      <c r="G7987" s="6" t="s">
        <v>36</v>
      </c>
      <c r="H7987" s="4" t="s">
        <v>36</v>
      </c>
      <c r="I7987" s="7" t="s">
        <v>36</v>
      </c>
      <c r="J7987" s="3" t="s">
        <v>36</v>
      </c>
      <c r="K7987" s="9" t="s">
        <v>36</v>
      </c>
      <c r="L7987" s="6" t="s">
        <v>36</v>
      </c>
      <c r="M7987" s="3" t="s">
        <v>36</v>
      </c>
      <c r="N7987" s="3" t="s">
        <v>36</v>
      </c>
      <c r="O7987" s="8" t="s">
        <v>36</v>
      </c>
      <c r="P7987" s="3" t="s">
        <v>36</v>
      </c>
      <c r="Q7987" s="3" t="s">
        <v>36</v>
      </c>
      <c r="R7987" s="3" t="s">
        <v>36</v>
      </c>
      <c r="S7987" s="3" t="s">
        <v>36</v>
      </c>
      <c r="T7987" s="3" t="s">
        <v>522</v>
      </c>
      <c r="U7987" s="3" t="s">
        <v>38</v>
      </c>
      <c r="V7987" s="3" t="s">
        <v>39</v>
      </c>
      <c r="W7987" s="3" t="s">
        <v>31429</v>
      </c>
      <c r="X7987" s="10" t="s">
        <v>35066</v>
      </c>
      <c r="Y7987" s="6" t="s">
        <v>108</v>
      </c>
      <c r="Z7987" s="4">
        <v>0.4</v>
      </c>
      <c r="AA7987" s="4" t="s">
        <v>36</v>
      </c>
      <c r="AB7987" s="3" t="s">
        <v>43</v>
      </c>
      <c r="AC7987" s="3" t="s">
        <v>31431</v>
      </c>
      <c r="AD7987" s="9">
        <v>41520</v>
      </c>
      <c r="AE7987" s="3" t="s">
        <v>110</v>
      </c>
      <c r="AF7987" s="3" t="s">
        <v>6214</v>
      </c>
      <c r="AG7987" s="3" t="s">
        <v>81</v>
      </c>
      <c r="AH7987" s="11">
        <f>HYPERLINK("https://my.pitchbook.com?c=61498-81T","View Company Online")</f>
      </c>
    </row>
    <row r="7988">
      <c r="A7988" s="12" t="s">
        <v>35067</v>
      </c>
      <c r="B7988" s="12" t="s">
        <v>5706</v>
      </c>
      <c r="C7988" s="19" t="s">
        <v>36</v>
      </c>
      <c r="D7988" s="19" t="s">
        <v>36</v>
      </c>
      <c r="E7988" s="19" t="s">
        <v>36</v>
      </c>
      <c r="F7988" s="19" t="s">
        <v>36</v>
      </c>
      <c r="G7988" s="15" t="s">
        <v>683</v>
      </c>
      <c r="H7988" s="14">
        <v>0.37</v>
      </c>
      <c r="I7988" s="18">
        <v>44.14</v>
      </c>
      <c r="J7988" s="12" t="s">
        <v>521</v>
      </c>
      <c r="K7988" s="13">
        <v>41467</v>
      </c>
      <c r="L7988" s="15" t="s">
        <v>1279</v>
      </c>
      <c r="M7988" s="12" t="s">
        <v>36</v>
      </c>
      <c r="N7988" s="12" t="s">
        <v>1279</v>
      </c>
      <c r="O7988" s="17" t="s">
        <v>36</v>
      </c>
      <c r="P7988" s="12" t="s">
        <v>36</v>
      </c>
      <c r="Q7988" s="12" t="s">
        <v>36</v>
      </c>
      <c r="R7988" s="12" t="s">
        <v>36</v>
      </c>
      <c r="S7988" s="12" t="s">
        <v>36</v>
      </c>
      <c r="T7988" s="12" t="s">
        <v>5707</v>
      </c>
      <c r="U7988" s="12" t="s">
        <v>279</v>
      </c>
      <c r="V7988" s="12" t="s">
        <v>64</v>
      </c>
      <c r="W7988" s="12" t="s">
        <v>5708</v>
      </c>
      <c r="X7988" s="16" t="s">
        <v>35068</v>
      </c>
      <c r="Y7988" s="15" t="s">
        <v>192</v>
      </c>
      <c r="Z7988" s="14">
        <v>20.97</v>
      </c>
      <c r="AA7988" s="14">
        <v>47.52</v>
      </c>
      <c r="AB7988" s="12" t="s">
        <v>56</v>
      </c>
      <c r="AC7988" s="12" t="s">
        <v>5711</v>
      </c>
      <c r="AD7988" s="13">
        <v>41519</v>
      </c>
      <c r="AE7988" s="12" t="s">
        <v>283</v>
      </c>
      <c r="AF7988" s="12" t="s">
        <v>2363</v>
      </c>
      <c r="AG7988" s="12" t="s">
        <v>81</v>
      </c>
      <c r="AH7988" s="1">
        <f>HYPERLINK("https://my.pitchbook.com?c=28277-02T","View Company Online")</f>
      </c>
    </row>
    <row r="7989">
      <c r="A7989" s="3" t="s">
        <v>35069</v>
      </c>
      <c r="B7989" s="3" t="s">
        <v>24740</v>
      </c>
      <c r="C7989" s="5" t="s">
        <v>36</v>
      </c>
      <c r="D7989" s="5" t="s">
        <v>36</v>
      </c>
      <c r="E7989" s="5" t="s">
        <v>36</v>
      </c>
      <c r="F7989" s="5" t="s">
        <v>36</v>
      </c>
      <c r="G7989" s="6" t="s">
        <v>36</v>
      </c>
      <c r="H7989" s="4" t="s">
        <v>36</v>
      </c>
      <c r="I7989" s="7" t="s">
        <v>36</v>
      </c>
      <c r="J7989" s="3" t="s">
        <v>36</v>
      </c>
      <c r="K7989" s="9" t="s">
        <v>36</v>
      </c>
      <c r="L7989" s="6" t="s">
        <v>36</v>
      </c>
      <c r="M7989" s="3" t="s">
        <v>36</v>
      </c>
      <c r="N7989" s="3" t="s">
        <v>36</v>
      </c>
      <c r="O7989" s="8" t="s">
        <v>36</v>
      </c>
      <c r="P7989" s="3" t="s">
        <v>36</v>
      </c>
      <c r="Q7989" s="3" t="s">
        <v>36</v>
      </c>
      <c r="R7989" s="3" t="s">
        <v>36</v>
      </c>
      <c r="S7989" s="3" t="s">
        <v>36</v>
      </c>
      <c r="T7989" s="3" t="s">
        <v>24741</v>
      </c>
      <c r="U7989" s="3" t="s">
        <v>38</v>
      </c>
      <c r="V7989" s="3" t="s">
        <v>39</v>
      </c>
      <c r="W7989" s="3" t="s">
        <v>24742</v>
      </c>
      <c r="X7989" s="10" t="s">
        <v>35070</v>
      </c>
      <c r="Y7989" s="6" t="s">
        <v>42</v>
      </c>
      <c r="Z7989" s="4">
        <v>1</v>
      </c>
      <c r="AA7989" s="4" t="s">
        <v>36</v>
      </c>
      <c r="AB7989" s="3" t="s">
        <v>43</v>
      </c>
      <c r="AC7989" s="3" t="s">
        <v>24744</v>
      </c>
      <c r="AD7989" s="9">
        <v>41518</v>
      </c>
      <c r="AE7989" s="3" t="s">
        <v>1330</v>
      </c>
      <c r="AF7989" s="3" t="s">
        <v>24745</v>
      </c>
      <c r="AG7989" s="3" t="s">
        <v>81</v>
      </c>
      <c r="AH7989" s="11">
        <f>HYPERLINK("https://my.pitchbook.com?c=29558-98T","View Company Online")</f>
      </c>
    </row>
    <row r="7990">
      <c r="A7990" s="12" t="s">
        <v>35071</v>
      </c>
      <c r="B7990" s="12" t="s">
        <v>27428</v>
      </c>
      <c r="C7990" s="19" t="s">
        <v>36</v>
      </c>
      <c r="D7990" s="19" t="s">
        <v>36</v>
      </c>
      <c r="E7990" s="19" t="s">
        <v>36</v>
      </c>
      <c r="F7990" s="19" t="s">
        <v>36</v>
      </c>
      <c r="G7990" s="15" t="s">
        <v>36</v>
      </c>
      <c r="H7990" s="14" t="s">
        <v>36</v>
      </c>
      <c r="I7990" s="18" t="s">
        <v>36</v>
      </c>
      <c r="J7990" s="12" t="s">
        <v>36</v>
      </c>
      <c r="K7990" s="13" t="s">
        <v>36</v>
      </c>
      <c r="L7990" s="15" t="s">
        <v>36</v>
      </c>
      <c r="M7990" s="12" t="s">
        <v>36</v>
      </c>
      <c r="N7990" s="12" t="s">
        <v>36</v>
      </c>
      <c r="O7990" s="17" t="s">
        <v>36</v>
      </c>
      <c r="P7990" s="12" t="s">
        <v>36</v>
      </c>
      <c r="Q7990" s="12" t="s">
        <v>36</v>
      </c>
      <c r="R7990" s="12" t="s">
        <v>36</v>
      </c>
      <c r="S7990" s="12" t="s">
        <v>36</v>
      </c>
      <c r="T7990" s="12" t="s">
        <v>27429</v>
      </c>
      <c r="U7990" s="12" t="s">
        <v>648</v>
      </c>
      <c r="V7990" s="12" t="s">
        <v>64</v>
      </c>
      <c r="W7990" s="12" t="s">
        <v>27430</v>
      </c>
      <c r="X7990" s="16" t="s">
        <v>35072</v>
      </c>
      <c r="Y7990" s="15" t="s">
        <v>192</v>
      </c>
      <c r="Z7990" s="14">
        <v>3</v>
      </c>
      <c r="AA7990" s="14" t="s">
        <v>36</v>
      </c>
      <c r="AB7990" s="12" t="s">
        <v>56</v>
      </c>
      <c r="AC7990" s="12" t="s">
        <v>27431</v>
      </c>
      <c r="AD7990" s="13">
        <v>41518</v>
      </c>
      <c r="AE7990" s="12" t="s">
        <v>3988</v>
      </c>
      <c r="AF7990" s="12" t="s">
        <v>4842</v>
      </c>
      <c r="AG7990" s="12" t="s">
        <v>4449</v>
      </c>
      <c r="AH7990" s="1">
        <f>HYPERLINK("https://my.pitchbook.com?c=94423-24T","View Company Online")</f>
      </c>
    </row>
    <row r="7991">
      <c r="A7991" s="3" t="s">
        <v>35073</v>
      </c>
      <c r="B7991" s="3" t="s">
        <v>35074</v>
      </c>
      <c r="C7991" s="5" t="s">
        <v>36</v>
      </c>
      <c r="D7991" s="5" t="s">
        <v>36</v>
      </c>
      <c r="E7991" s="5" t="s">
        <v>36</v>
      </c>
      <c r="F7991" s="5" t="s">
        <v>36</v>
      </c>
      <c r="G7991" s="6" t="s">
        <v>36</v>
      </c>
      <c r="H7991" s="4">
        <v>2.99</v>
      </c>
      <c r="I7991" s="7">
        <v>20.7</v>
      </c>
      <c r="J7991" s="3" t="s">
        <v>521</v>
      </c>
      <c r="K7991" s="9" t="s">
        <v>36</v>
      </c>
      <c r="L7991" s="6" t="s">
        <v>36</v>
      </c>
      <c r="M7991" s="3" t="s">
        <v>36</v>
      </c>
      <c r="N7991" s="3" t="s">
        <v>36</v>
      </c>
      <c r="O7991" s="8" t="s">
        <v>36</v>
      </c>
      <c r="P7991" s="3" t="s">
        <v>36</v>
      </c>
      <c r="Q7991" s="3" t="s">
        <v>36</v>
      </c>
      <c r="R7991" s="3" t="s">
        <v>36</v>
      </c>
      <c r="S7991" s="3" t="s">
        <v>36</v>
      </c>
      <c r="T7991" s="3" t="s">
        <v>105</v>
      </c>
      <c r="U7991" s="3" t="s">
        <v>38</v>
      </c>
      <c r="V7991" s="3" t="s">
        <v>39</v>
      </c>
      <c r="W7991" s="3" t="s">
        <v>35075</v>
      </c>
      <c r="X7991" s="10" t="s">
        <v>35076</v>
      </c>
      <c r="Y7991" s="6" t="s">
        <v>42</v>
      </c>
      <c r="Z7991" s="4">
        <v>0.4</v>
      </c>
      <c r="AA7991" s="4">
        <v>0.97</v>
      </c>
      <c r="AB7991" s="3" t="s">
        <v>43</v>
      </c>
      <c r="AC7991" s="3" t="s">
        <v>35077</v>
      </c>
      <c r="AD7991" s="9">
        <v>41518</v>
      </c>
      <c r="AE7991" s="3" t="s">
        <v>110</v>
      </c>
      <c r="AF7991" s="3" t="s">
        <v>36</v>
      </c>
      <c r="AG7991" s="3" t="s">
        <v>765</v>
      </c>
      <c r="AH7991" s="11">
        <f>HYPERLINK("https://my.pitchbook.com?c=29564-29T","View Company Online")</f>
      </c>
    </row>
    <row r="7992">
      <c r="A7992" s="12" t="s">
        <v>35078</v>
      </c>
      <c r="B7992" s="12" t="s">
        <v>35079</v>
      </c>
      <c r="C7992" s="19" t="s">
        <v>36</v>
      </c>
      <c r="D7992" s="19" t="s">
        <v>36</v>
      </c>
      <c r="E7992" s="19" t="s">
        <v>36</v>
      </c>
      <c r="F7992" s="19" t="s">
        <v>36</v>
      </c>
      <c r="G7992" s="15" t="s">
        <v>36</v>
      </c>
      <c r="H7992" s="14">
        <v>281.43</v>
      </c>
      <c r="I7992" s="18">
        <v>25</v>
      </c>
      <c r="J7992" s="12" t="s">
        <v>521</v>
      </c>
      <c r="K7992" s="13" t="s">
        <v>36</v>
      </c>
      <c r="L7992" s="15" t="s">
        <v>36</v>
      </c>
      <c r="M7992" s="12" t="s">
        <v>36</v>
      </c>
      <c r="N7992" s="12" t="s">
        <v>36</v>
      </c>
      <c r="O7992" s="17" t="s">
        <v>36</v>
      </c>
      <c r="P7992" s="12" t="s">
        <v>36</v>
      </c>
      <c r="Q7992" s="12" t="s">
        <v>36</v>
      </c>
      <c r="R7992" s="12" t="s">
        <v>36</v>
      </c>
      <c r="S7992" s="12" t="s">
        <v>36</v>
      </c>
      <c r="T7992" s="12" t="s">
        <v>6539</v>
      </c>
      <c r="U7992" s="12" t="s">
        <v>1336</v>
      </c>
      <c r="V7992" s="12" t="s">
        <v>367</v>
      </c>
      <c r="W7992" s="12" t="s">
        <v>35080</v>
      </c>
      <c r="X7992" s="16" t="s">
        <v>560</v>
      </c>
      <c r="Y7992" s="15" t="s">
        <v>42</v>
      </c>
      <c r="Z7992" s="14">
        <v>0.5</v>
      </c>
      <c r="AA7992" s="14">
        <v>2</v>
      </c>
      <c r="AB7992" s="12" t="s">
        <v>43</v>
      </c>
      <c r="AC7992" s="12" t="s">
        <v>35081</v>
      </c>
      <c r="AD7992" s="13">
        <v>41515</v>
      </c>
      <c r="AE7992" s="12" t="s">
        <v>2464</v>
      </c>
      <c r="AF7992" s="12" t="s">
        <v>372</v>
      </c>
      <c r="AG7992" s="12" t="s">
        <v>81</v>
      </c>
      <c r="AH7992" s="1">
        <f>HYPERLINK("https://my.pitchbook.com?c=35286-58T","View Company Online")</f>
      </c>
    </row>
    <row r="7993">
      <c r="A7993" s="3" t="s">
        <v>35082</v>
      </c>
      <c r="B7993" s="3" t="s">
        <v>27721</v>
      </c>
      <c r="C7993" s="5" t="s">
        <v>36</v>
      </c>
      <c r="D7993" s="5" t="s">
        <v>36</v>
      </c>
      <c r="E7993" s="5" t="s">
        <v>36</v>
      </c>
      <c r="F7993" s="5" t="s">
        <v>36</v>
      </c>
      <c r="G7993" s="6" t="s">
        <v>326</v>
      </c>
      <c r="H7993" s="4">
        <v>49.03</v>
      </c>
      <c r="I7993" s="7">
        <v>36.15</v>
      </c>
      <c r="J7993" s="3" t="s">
        <v>521</v>
      </c>
      <c r="K7993" s="9" t="s">
        <v>36</v>
      </c>
      <c r="L7993" s="6" t="s">
        <v>122</v>
      </c>
      <c r="M7993" s="3" t="s">
        <v>36</v>
      </c>
      <c r="N7993" s="3" t="s">
        <v>122</v>
      </c>
      <c r="O7993" s="8" t="s">
        <v>36</v>
      </c>
      <c r="P7993" s="3" t="s">
        <v>36</v>
      </c>
      <c r="Q7993" s="3" t="s">
        <v>36</v>
      </c>
      <c r="R7993" s="3" t="s">
        <v>36</v>
      </c>
      <c r="S7993" s="3" t="s">
        <v>36</v>
      </c>
      <c r="T7993" s="3" t="s">
        <v>10338</v>
      </c>
      <c r="U7993" s="3" t="s">
        <v>648</v>
      </c>
      <c r="V7993" s="3" t="s">
        <v>64</v>
      </c>
      <c r="W7993" s="3" t="s">
        <v>27722</v>
      </c>
      <c r="X7993" s="10" t="s">
        <v>35083</v>
      </c>
      <c r="Y7993" s="6" t="s">
        <v>55</v>
      </c>
      <c r="Z7993" s="4">
        <v>5.74</v>
      </c>
      <c r="AA7993" s="4">
        <v>15.86</v>
      </c>
      <c r="AB7993" s="3" t="s">
        <v>43</v>
      </c>
      <c r="AC7993" s="3" t="s">
        <v>27724</v>
      </c>
      <c r="AD7993" s="9">
        <v>41515</v>
      </c>
      <c r="AE7993" s="3" t="s">
        <v>651</v>
      </c>
      <c r="AF7993" s="3" t="s">
        <v>2118</v>
      </c>
      <c r="AG7993" s="3" t="s">
        <v>81</v>
      </c>
      <c r="AH7993" s="11">
        <f>HYPERLINK("https://my.pitchbook.com?c=25555-60T","View Company Online")</f>
      </c>
    </row>
    <row r="7994">
      <c r="A7994" s="12" t="s">
        <v>35084</v>
      </c>
      <c r="B7994" s="12" t="s">
        <v>35085</v>
      </c>
      <c r="C7994" s="19" t="s">
        <v>36</v>
      </c>
      <c r="D7994" s="19" t="s">
        <v>36</v>
      </c>
      <c r="E7994" s="19" t="s">
        <v>36</v>
      </c>
      <c r="F7994" s="19" t="s">
        <v>36</v>
      </c>
      <c r="G7994" s="15" t="s">
        <v>36</v>
      </c>
      <c r="H7994" s="14">
        <v>9.72</v>
      </c>
      <c r="I7994" s="18">
        <v>12.85</v>
      </c>
      <c r="J7994" s="12" t="s">
        <v>521</v>
      </c>
      <c r="K7994" s="13" t="s">
        <v>36</v>
      </c>
      <c r="L7994" s="15" t="s">
        <v>36</v>
      </c>
      <c r="M7994" s="12" t="s">
        <v>36</v>
      </c>
      <c r="N7994" s="12" t="s">
        <v>36</v>
      </c>
      <c r="O7994" s="17" t="s">
        <v>36</v>
      </c>
      <c r="P7994" s="12" t="s">
        <v>36</v>
      </c>
      <c r="Q7994" s="12" t="s">
        <v>36</v>
      </c>
      <c r="R7994" s="12" t="s">
        <v>36</v>
      </c>
      <c r="S7994" s="12" t="s">
        <v>36</v>
      </c>
      <c r="T7994" s="12" t="s">
        <v>34153</v>
      </c>
      <c r="U7994" s="12" t="s">
        <v>423</v>
      </c>
      <c r="V7994" s="12" t="s">
        <v>64</v>
      </c>
      <c r="W7994" s="12" t="s">
        <v>35086</v>
      </c>
      <c r="X7994" s="16" t="s">
        <v>35087</v>
      </c>
      <c r="Y7994" s="15" t="s">
        <v>42</v>
      </c>
      <c r="Z7994" s="14">
        <v>0.72</v>
      </c>
      <c r="AA7994" s="14">
        <v>5.6</v>
      </c>
      <c r="AB7994" s="12" t="s">
        <v>43</v>
      </c>
      <c r="AC7994" s="12" t="s">
        <v>35088</v>
      </c>
      <c r="AD7994" s="13">
        <v>41514</v>
      </c>
      <c r="AE7994" s="12" t="s">
        <v>562</v>
      </c>
      <c r="AF7994" s="12" t="s">
        <v>1977</v>
      </c>
      <c r="AG7994" s="12" t="s">
        <v>12608</v>
      </c>
      <c r="AH7994" s="1">
        <f>HYPERLINK("https://my.pitchbook.com?c=53218-36T","View Company Online")</f>
      </c>
    </row>
    <row r="7995">
      <c r="A7995" s="3" t="s">
        <v>35089</v>
      </c>
      <c r="B7995" s="3" t="s">
        <v>25511</v>
      </c>
      <c r="C7995" s="5" t="s">
        <v>36</v>
      </c>
      <c r="D7995" s="5" t="s">
        <v>36</v>
      </c>
      <c r="E7995" s="5" t="s">
        <v>36</v>
      </c>
      <c r="F7995" s="5" t="s">
        <v>36</v>
      </c>
      <c r="G7995" s="6" t="s">
        <v>2497</v>
      </c>
      <c r="H7995" s="4">
        <v>111.83</v>
      </c>
      <c r="I7995" s="7">
        <v>29.62</v>
      </c>
      <c r="J7995" s="3" t="s">
        <v>521</v>
      </c>
      <c r="K7995" s="9" t="s">
        <v>36</v>
      </c>
      <c r="L7995" s="6" t="s">
        <v>94</v>
      </c>
      <c r="M7995" s="3" t="s">
        <v>36</v>
      </c>
      <c r="N7995" s="3" t="s">
        <v>94</v>
      </c>
      <c r="O7995" s="8" t="s">
        <v>36</v>
      </c>
      <c r="P7995" s="3" t="s">
        <v>36</v>
      </c>
      <c r="Q7995" s="3" t="s">
        <v>36</v>
      </c>
      <c r="R7995" s="3" t="s">
        <v>36</v>
      </c>
      <c r="S7995" s="3" t="s">
        <v>36</v>
      </c>
      <c r="T7995" s="3" t="s">
        <v>25512</v>
      </c>
      <c r="U7995" s="3" t="s">
        <v>38</v>
      </c>
      <c r="V7995" s="3" t="s">
        <v>39</v>
      </c>
      <c r="W7995" s="3" t="s">
        <v>25513</v>
      </c>
      <c r="X7995" s="10" t="s">
        <v>35090</v>
      </c>
      <c r="Y7995" s="6" t="s">
        <v>192</v>
      </c>
      <c r="Z7995" s="4">
        <v>2.68</v>
      </c>
      <c r="AA7995" s="4">
        <v>9.05</v>
      </c>
      <c r="AB7995" s="3" t="s">
        <v>56</v>
      </c>
      <c r="AC7995" s="3" t="s">
        <v>25515</v>
      </c>
      <c r="AD7995" s="9">
        <v>41512</v>
      </c>
      <c r="AE7995" s="3" t="s">
        <v>785</v>
      </c>
      <c r="AF7995" s="3" t="s">
        <v>3040</v>
      </c>
      <c r="AG7995" s="3" t="s">
        <v>787</v>
      </c>
      <c r="AH7995" s="11">
        <f>HYPERLINK("https://my.pitchbook.com?c=28304-38T","View Company Online")</f>
      </c>
    </row>
    <row r="7996">
      <c r="A7996" s="12" t="s">
        <v>35091</v>
      </c>
      <c r="B7996" s="12" t="s">
        <v>35092</v>
      </c>
      <c r="C7996" s="19" t="s">
        <v>36</v>
      </c>
      <c r="D7996" s="19" t="s">
        <v>36</v>
      </c>
      <c r="E7996" s="19" t="s">
        <v>36</v>
      </c>
      <c r="F7996" s="19" t="s">
        <v>36</v>
      </c>
      <c r="G7996" s="15" t="s">
        <v>36</v>
      </c>
      <c r="H7996" s="14" t="s">
        <v>36</v>
      </c>
      <c r="I7996" s="18" t="s">
        <v>36</v>
      </c>
      <c r="J7996" s="12" t="s">
        <v>36</v>
      </c>
      <c r="K7996" s="13">
        <v>41450</v>
      </c>
      <c r="L7996" s="15" t="s">
        <v>36</v>
      </c>
      <c r="M7996" s="12" t="s">
        <v>36</v>
      </c>
      <c r="N7996" s="12" t="s">
        <v>36</v>
      </c>
      <c r="O7996" s="17" t="s">
        <v>36</v>
      </c>
      <c r="P7996" s="12" t="s">
        <v>36</v>
      </c>
      <c r="Q7996" s="12" t="s">
        <v>36</v>
      </c>
      <c r="R7996" s="12" t="s">
        <v>36</v>
      </c>
      <c r="S7996" s="12" t="s">
        <v>36</v>
      </c>
      <c r="T7996" s="12" t="s">
        <v>35093</v>
      </c>
      <c r="U7996" s="12" t="s">
        <v>38</v>
      </c>
      <c r="V7996" s="12" t="s">
        <v>39</v>
      </c>
      <c r="W7996" s="12" t="s">
        <v>35094</v>
      </c>
      <c r="X7996" s="16" t="s">
        <v>35095</v>
      </c>
      <c r="Y7996" s="15" t="s">
        <v>42</v>
      </c>
      <c r="Z7996" s="14">
        <v>1.03</v>
      </c>
      <c r="AA7996" s="14" t="s">
        <v>36</v>
      </c>
      <c r="AB7996" s="12" t="s">
        <v>43</v>
      </c>
      <c r="AC7996" s="12" t="s">
        <v>35096</v>
      </c>
      <c r="AD7996" s="13">
        <v>41512</v>
      </c>
      <c r="AE7996" s="12" t="s">
        <v>1330</v>
      </c>
      <c r="AF7996" s="12" t="s">
        <v>1636</v>
      </c>
      <c r="AG7996" s="12" t="s">
        <v>47</v>
      </c>
      <c r="AH7996" s="1">
        <f>HYPERLINK("https://my.pitchbook.com?c=34182-01T","View Company Online")</f>
      </c>
    </row>
    <row r="7997">
      <c r="A7997" s="3" t="s">
        <v>35097</v>
      </c>
      <c r="B7997" s="3" t="s">
        <v>28580</v>
      </c>
      <c r="C7997" s="5" t="s">
        <v>36</v>
      </c>
      <c r="D7997" s="5" t="s">
        <v>36</v>
      </c>
      <c r="E7997" s="5" t="s">
        <v>36</v>
      </c>
      <c r="F7997" s="5" t="s">
        <v>36</v>
      </c>
      <c r="G7997" s="6" t="s">
        <v>326</v>
      </c>
      <c r="H7997" s="4">
        <v>30.34</v>
      </c>
      <c r="I7997" s="7">
        <v>13.22</v>
      </c>
      <c r="J7997" s="3" t="s">
        <v>521</v>
      </c>
      <c r="K7997" s="9" t="s">
        <v>36</v>
      </c>
      <c r="L7997" s="6" t="s">
        <v>36</v>
      </c>
      <c r="M7997" s="3" t="s">
        <v>36</v>
      </c>
      <c r="N7997" s="3" t="s">
        <v>36</v>
      </c>
      <c r="O7997" s="8" t="s">
        <v>36</v>
      </c>
      <c r="P7997" s="3" t="s">
        <v>36</v>
      </c>
      <c r="Q7997" s="3" t="s">
        <v>36</v>
      </c>
      <c r="R7997" s="3" t="s">
        <v>36</v>
      </c>
      <c r="S7997" s="3" t="s">
        <v>36</v>
      </c>
      <c r="T7997" s="3" t="s">
        <v>647</v>
      </c>
      <c r="U7997" s="3" t="s">
        <v>648</v>
      </c>
      <c r="V7997" s="3" t="s">
        <v>64</v>
      </c>
      <c r="W7997" s="3" t="s">
        <v>28581</v>
      </c>
      <c r="X7997" s="10" t="s">
        <v>35098</v>
      </c>
      <c r="Y7997" s="6" t="s">
        <v>108</v>
      </c>
      <c r="Z7997" s="4">
        <v>0.91</v>
      </c>
      <c r="AA7997" s="4">
        <v>6.86</v>
      </c>
      <c r="AB7997" s="3" t="s">
        <v>56</v>
      </c>
      <c r="AC7997" s="3" t="s">
        <v>28583</v>
      </c>
      <c r="AD7997" s="9">
        <v>41509</v>
      </c>
      <c r="AE7997" s="3" t="s">
        <v>651</v>
      </c>
      <c r="AF7997" s="3" t="s">
        <v>36</v>
      </c>
      <c r="AG7997" s="3" t="s">
        <v>81</v>
      </c>
      <c r="AH7997" s="11">
        <f>HYPERLINK("https://my.pitchbook.com?c=109237-15T","View Company Online")</f>
      </c>
    </row>
    <row r="7998">
      <c r="A7998" s="12" t="s">
        <v>35099</v>
      </c>
      <c r="B7998" s="12" t="s">
        <v>35100</v>
      </c>
      <c r="C7998" s="19" t="s">
        <v>36</v>
      </c>
      <c r="D7998" s="19" t="s">
        <v>36</v>
      </c>
      <c r="E7998" s="19" t="s">
        <v>36</v>
      </c>
      <c r="F7998" s="19" t="s">
        <v>36</v>
      </c>
      <c r="G7998" s="15" t="s">
        <v>36</v>
      </c>
      <c r="H7998" s="14">
        <v>311.57</v>
      </c>
      <c r="I7998" s="18">
        <v>40.02</v>
      </c>
      <c r="J7998" s="12" t="s">
        <v>521</v>
      </c>
      <c r="K7998" s="13" t="s">
        <v>36</v>
      </c>
      <c r="L7998" s="15" t="s">
        <v>36</v>
      </c>
      <c r="M7998" s="12" t="s">
        <v>36</v>
      </c>
      <c r="N7998" s="12" t="s">
        <v>36</v>
      </c>
      <c r="O7998" s="17" t="s">
        <v>36</v>
      </c>
      <c r="P7998" s="12" t="s">
        <v>36</v>
      </c>
      <c r="Q7998" s="12" t="s">
        <v>36</v>
      </c>
      <c r="R7998" s="12" t="s">
        <v>36</v>
      </c>
      <c r="S7998" s="12" t="s">
        <v>36</v>
      </c>
      <c r="T7998" s="12" t="s">
        <v>2799</v>
      </c>
      <c r="U7998" s="12" t="s">
        <v>366</v>
      </c>
      <c r="V7998" s="12" t="s">
        <v>367</v>
      </c>
      <c r="W7998" s="12" t="s">
        <v>35101</v>
      </c>
      <c r="X7998" s="16" t="s">
        <v>26808</v>
      </c>
      <c r="Y7998" s="15" t="s">
        <v>42</v>
      </c>
      <c r="Z7998" s="14">
        <v>0.33</v>
      </c>
      <c r="AA7998" s="14">
        <v>0.83</v>
      </c>
      <c r="AB7998" s="12" t="s">
        <v>56</v>
      </c>
      <c r="AC7998" s="12" t="s">
        <v>35102</v>
      </c>
      <c r="AD7998" s="13">
        <v>41501</v>
      </c>
      <c r="AE7998" s="12" t="s">
        <v>600</v>
      </c>
      <c r="AF7998" s="12" t="s">
        <v>10212</v>
      </c>
      <c r="AG7998" s="12" t="s">
        <v>47</v>
      </c>
      <c r="AH7998" s="1">
        <f>HYPERLINK("https://my.pitchbook.com?c=36350-20T","View Company Online")</f>
      </c>
    </row>
    <row r="7999">
      <c r="A7999" s="3" t="s">
        <v>35103</v>
      </c>
      <c r="B7999" s="3" t="s">
        <v>32832</v>
      </c>
      <c r="C7999" s="5">
        <v>1</v>
      </c>
      <c r="D7999" s="5">
        <v>2</v>
      </c>
      <c r="E7999" s="5">
        <v>1</v>
      </c>
      <c r="F7999" s="5">
        <v>3</v>
      </c>
      <c r="G7999" s="6" t="s">
        <v>36</v>
      </c>
      <c r="H7999" s="4">
        <v>798.9</v>
      </c>
      <c r="I7999" s="7">
        <v>12.76</v>
      </c>
      <c r="J7999" s="3" t="s">
        <v>521</v>
      </c>
      <c r="K7999" s="9" t="s">
        <v>36</v>
      </c>
      <c r="L7999" s="6" t="s">
        <v>36</v>
      </c>
      <c r="M7999" s="3" t="s">
        <v>36</v>
      </c>
      <c r="N7999" s="3" t="s">
        <v>36</v>
      </c>
      <c r="O7999" s="8" t="s">
        <v>36</v>
      </c>
      <c r="P7999" s="3" t="s">
        <v>36</v>
      </c>
      <c r="Q7999" s="3" t="s">
        <v>36</v>
      </c>
      <c r="R7999" s="3" t="s">
        <v>36</v>
      </c>
      <c r="S7999" s="3" t="s">
        <v>36</v>
      </c>
      <c r="T7999" s="3" t="s">
        <v>32833</v>
      </c>
      <c r="U7999" s="3" t="s">
        <v>1336</v>
      </c>
      <c r="V7999" s="3" t="s">
        <v>367</v>
      </c>
      <c r="W7999" s="3" t="s">
        <v>32834</v>
      </c>
      <c r="X7999" s="10" t="s">
        <v>35104</v>
      </c>
      <c r="Y7999" s="6" t="s">
        <v>42</v>
      </c>
      <c r="Z7999" s="4">
        <v>0.2</v>
      </c>
      <c r="AA7999" s="4">
        <v>1.56</v>
      </c>
      <c r="AB7999" s="3" t="s">
        <v>43</v>
      </c>
      <c r="AC7999" s="3" t="s">
        <v>32836</v>
      </c>
      <c r="AD7999" s="9">
        <v>41500</v>
      </c>
      <c r="AE7999" s="3" t="s">
        <v>3712</v>
      </c>
      <c r="AF7999" s="3" t="s">
        <v>571</v>
      </c>
      <c r="AG7999" s="3" t="s">
        <v>32837</v>
      </c>
      <c r="AH7999" s="11">
        <f>HYPERLINK("https://my.pitchbook.com?c=215607-70T","View Company Online")</f>
      </c>
    </row>
    <row r="8000">
      <c r="A8000" s="12" t="s">
        <v>35105</v>
      </c>
      <c r="B8000" s="12" t="s">
        <v>28496</v>
      </c>
      <c r="C8000" s="19" t="s">
        <v>36</v>
      </c>
      <c r="D8000" s="19" t="s">
        <v>36</v>
      </c>
      <c r="E8000" s="19" t="s">
        <v>36</v>
      </c>
      <c r="F8000" s="19" t="s">
        <v>36</v>
      </c>
      <c r="G8000" s="15" t="s">
        <v>36</v>
      </c>
      <c r="H8000" s="14">
        <v>16.62</v>
      </c>
      <c r="I8000" s="18">
        <v>20</v>
      </c>
      <c r="J8000" s="12" t="s">
        <v>521</v>
      </c>
      <c r="K8000" s="13" t="s">
        <v>36</v>
      </c>
      <c r="L8000" s="15" t="s">
        <v>36</v>
      </c>
      <c r="M8000" s="12" t="s">
        <v>36</v>
      </c>
      <c r="N8000" s="12" t="s">
        <v>36</v>
      </c>
      <c r="O8000" s="17" t="s">
        <v>36</v>
      </c>
      <c r="P8000" s="12" t="s">
        <v>36</v>
      </c>
      <c r="Q8000" s="12" t="s">
        <v>36</v>
      </c>
      <c r="R8000" s="12" t="s">
        <v>36</v>
      </c>
      <c r="S8000" s="12" t="s">
        <v>6677</v>
      </c>
      <c r="T8000" s="12" t="s">
        <v>8394</v>
      </c>
      <c r="U8000" s="12" t="s">
        <v>85</v>
      </c>
      <c r="V8000" s="12" t="s">
        <v>64</v>
      </c>
      <c r="W8000" s="12" t="s">
        <v>28497</v>
      </c>
      <c r="X8000" s="16" t="s">
        <v>35106</v>
      </c>
      <c r="Y8000" s="15" t="s">
        <v>42</v>
      </c>
      <c r="Z8000" s="14">
        <v>0.05</v>
      </c>
      <c r="AA8000" s="14">
        <v>0.26</v>
      </c>
      <c r="AB8000" s="12" t="s">
        <v>43</v>
      </c>
      <c r="AC8000" s="12" t="s">
        <v>28499</v>
      </c>
      <c r="AD8000" s="13">
        <v>41498</v>
      </c>
      <c r="AE8000" s="12" t="s">
        <v>89</v>
      </c>
      <c r="AF8000" s="12" t="s">
        <v>28500</v>
      </c>
      <c r="AG8000" s="12" t="s">
        <v>81</v>
      </c>
      <c r="AH8000" s="1">
        <f>HYPERLINK("https://my.pitchbook.com?c=116810-92T","View Company Online")</f>
      </c>
    </row>
    <row r="8001">
      <c r="A8001" s="3" t="s">
        <v>35107</v>
      </c>
      <c r="B8001" s="3" t="s">
        <v>11067</v>
      </c>
      <c r="C8001" s="5" t="s">
        <v>36</v>
      </c>
      <c r="D8001" s="5" t="s">
        <v>36</v>
      </c>
      <c r="E8001" s="5" t="s">
        <v>36</v>
      </c>
      <c r="F8001" s="5" t="s">
        <v>36</v>
      </c>
      <c r="G8001" s="6" t="s">
        <v>36</v>
      </c>
      <c r="H8001" s="4">
        <v>238.91</v>
      </c>
      <c r="I8001" s="7">
        <v>42.5</v>
      </c>
      <c r="J8001" s="3" t="s">
        <v>521</v>
      </c>
      <c r="K8001" s="9" t="s">
        <v>36</v>
      </c>
      <c r="L8001" s="6" t="s">
        <v>36</v>
      </c>
      <c r="M8001" s="3" t="s">
        <v>36</v>
      </c>
      <c r="N8001" s="3" t="s">
        <v>36</v>
      </c>
      <c r="O8001" s="8" t="s">
        <v>36</v>
      </c>
      <c r="P8001" s="3" t="s">
        <v>36</v>
      </c>
      <c r="Q8001" s="3" t="s">
        <v>36</v>
      </c>
      <c r="R8001" s="3" t="s">
        <v>36</v>
      </c>
      <c r="S8001" s="3" t="s">
        <v>36</v>
      </c>
      <c r="T8001" s="3" t="s">
        <v>11068</v>
      </c>
      <c r="U8001" s="3" t="s">
        <v>219</v>
      </c>
      <c r="V8001" s="3" t="s">
        <v>75</v>
      </c>
      <c r="W8001" s="3" t="s">
        <v>11069</v>
      </c>
      <c r="X8001" s="10" t="s">
        <v>35108</v>
      </c>
      <c r="Y8001" s="6" t="s">
        <v>42</v>
      </c>
      <c r="Z8001" s="4">
        <v>1.12</v>
      </c>
      <c r="AA8001" s="4">
        <v>2.63</v>
      </c>
      <c r="AB8001" s="3" t="s">
        <v>56</v>
      </c>
      <c r="AC8001" s="3" t="s">
        <v>11071</v>
      </c>
      <c r="AD8001" s="9">
        <v>41491</v>
      </c>
      <c r="AE8001" s="3" t="s">
        <v>1007</v>
      </c>
      <c r="AF8001" s="3" t="s">
        <v>571</v>
      </c>
      <c r="AG8001" s="3" t="s">
        <v>382</v>
      </c>
      <c r="AH8001" s="11">
        <f>HYPERLINK("https://my.pitchbook.com?c=204604-75T","View Company Online")</f>
      </c>
    </row>
    <row r="8002">
      <c r="A8002" s="12" t="s">
        <v>35109</v>
      </c>
      <c r="B8002" s="12" t="s">
        <v>35110</v>
      </c>
      <c r="C8002" s="19" t="s">
        <v>36</v>
      </c>
      <c r="D8002" s="19" t="s">
        <v>36</v>
      </c>
      <c r="E8002" s="19" t="s">
        <v>36</v>
      </c>
      <c r="F8002" s="19" t="s">
        <v>36</v>
      </c>
      <c r="G8002" s="15" t="s">
        <v>683</v>
      </c>
      <c r="H8002" s="14">
        <v>61.81</v>
      </c>
      <c r="I8002" s="18">
        <v>7.99</v>
      </c>
      <c r="J8002" s="12" t="s">
        <v>521</v>
      </c>
      <c r="K8002" s="13" t="s">
        <v>36</v>
      </c>
      <c r="L8002" s="15" t="s">
        <v>36</v>
      </c>
      <c r="M8002" s="12" t="s">
        <v>36</v>
      </c>
      <c r="N8002" s="12" t="s">
        <v>36</v>
      </c>
      <c r="O8002" s="17" t="s">
        <v>36</v>
      </c>
      <c r="P8002" s="12" t="s">
        <v>36</v>
      </c>
      <c r="Q8002" s="12" t="s">
        <v>36</v>
      </c>
      <c r="R8002" s="12" t="s">
        <v>36</v>
      </c>
      <c r="S8002" s="12" t="s">
        <v>36</v>
      </c>
      <c r="T8002" s="12" t="s">
        <v>35111</v>
      </c>
      <c r="U8002" s="12" t="s">
        <v>318</v>
      </c>
      <c r="V8002" s="12" t="s">
        <v>39</v>
      </c>
      <c r="W8002" s="12" t="s">
        <v>35112</v>
      </c>
      <c r="X8002" s="16" t="s">
        <v>25110</v>
      </c>
      <c r="Y8002" s="15" t="s">
        <v>42</v>
      </c>
      <c r="Z8002" s="14">
        <v>0.09</v>
      </c>
      <c r="AA8002" s="14">
        <v>1.07</v>
      </c>
      <c r="AB8002" s="12" t="s">
        <v>43</v>
      </c>
      <c r="AC8002" s="12" t="s">
        <v>35113</v>
      </c>
      <c r="AD8002" s="13">
        <v>41484</v>
      </c>
      <c r="AE8002" s="12" t="s">
        <v>417</v>
      </c>
      <c r="AF8002" s="12" t="s">
        <v>35114</v>
      </c>
      <c r="AG8002" s="12" t="s">
        <v>13897</v>
      </c>
      <c r="AH8002" s="1">
        <f>HYPERLINK("https://my.pitchbook.com?c=189691-39T","View Company Online")</f>
      </c>
    </row>
    <row r="8003">
      <c r="A8003" s="3" t="s">
        <v>35115</v>
      </c>
      <c r="B8003" s="3" t="s">
        <v>35116</v>
      </c>
      <c r="C8003" s="5" t="s">
        <v>36</v>
      </c>
      <c r="D8003" s="5">
        <v>3</v>
      </c>
      <c r="E8003" s="5">
        <v>1</v>
      </c>
      <c r="F8003" s="5">
        <v>5</v>
      </c>
      <c r="G8003" s="6" t="s">
        <v>36</v>
      </c>
      <c r="H8003" s="4">
        <v>42.22</v>
      </c>
      <c r="I8003" s="7">
        <v>19.51</v>
      </c>
      <c r="J8003" s="3" t="s">
        <v>521</v>
      </c>
      <c r="K8003" s="9" t="s">
        <v>36</v>
      </c>
      <c r="L8003" s="6" t="s">
        <v>36</v>
      </c>
      <c r="M8003" s="3" t="s">
        <v>36</v>
      </c>
      <c r="N8003" s="3" t="s">
        <v>36</v>
      </c>
      <c r="O8003" s="8" t="s">
        <v>36</v>
      </c>
      <c r="P8003" s="3" t="s">
        <v>36</v>
      </c>
      <c r="Q8003" s="3" t="s">
        <v>36</v>
      </c>
      <c r="R8003" s="3" t="s">
        <v>36</v>
      </c>
      <c r="S8003" s="3" t="s">
        <v>36</v>
      </c>
      <c r="T8003" s="3" t="s">
        <v>692</v>
      </c>
      <c r="U8003" s="3" t="s">
        <v>74</v>
      </c>
      <c r="V8003" s="3" t="s">
        <v>75</v>
      </c>
      <c r="W8003" s="3" t="s">
        <v>35117</v>
      </c>
      <c r="X8003" s="10" t="s">
        <v>11058</v>
      </c>
      <c r="Y8003" s="6" t="s">
        <v>42</v>
      </c>
      <c r="Z8003" s="4">
        <v>0.21</v>
      </c>
      <c r="AA8003" s="4">
        <v>1.05</v>
      </c>
      <c r="AB8003" s="3" t="s">
        <v>56</v>
      </c>
      <c r="AC8003" s="3" t="s">
        <v>35118</v>
      </c>
      <c r="AD8003" s="9">
        <v>41481</v>
      </c>
      <c r="AE8003" s="3" t="s">
        <v>696</v>
      </c>
      <c r="AF8003" s="3" t="s">
        <v>4284</v>
      </c>
      <c r="AG8003" s="3" t="s">
        <v>10540</v>
      </c>
      <c r="AH8003" s="11">
        <f>HYPERLINK("https://my.pitchbook.com?c=204429-34T","View Company Online")</f>
      </c>
    </row>
    <row r="8004">
      <c r="A8004" s="12" t="s">
        <v>35119</v>
      </c>
      <c r="B8004" s="12" t="s">
        <v>24875</v>
      </c>
      <c r="C8004" s="19" t="s">
        <v>36</v>
      </c>
      <c r="D8004" s="19" t="s">
        <v>36</v>
      </c>
      <c r="E8004" s="19" t="s">
        <v>36</v>
      </c>
      <c r="F8004" s="19" t="s">
        <v>36</v>
      </c>
      <c r="G8004" s="15" t="s">
        <v>36</v>
      </c>
      <c r="H8004" s="14">
        <v>75.82</v>
      </c>
      <c r="I8004" s="18">
        <v>26.63</v>
      </c>
      <c r="J8004" s="12" t="s">
        <v>521</v>
      </c>
      <c r="K8004" s="13" t="s">
        <v>36</v>
      </c>
      <c r="L8004" s="15" t="s">
        <v>36</v>
      </c>
      <c r="M8004" s="12" t="s">
        <v>36</v>
      </c>
      <c r="N8004" s="12" t="s">
        <v>36</v>
      </c>
      <c r="O8004" s="17" t="s">
        <v>36</v>
      </c>
      <c r="P8004" s="12" t="s">
        <v>36</v>
      </c>
      <c r="Q8004" s="12" t="s">
        <v>36</v>
      </c>
      <c r="R8004" s="12" t="s">
        <v>36</v>
      </c>
      <c r="S8004" s="12" t="s">
        <v>36</v>
      </c>
      <c r="T8004" s="12" t="s">
        <v>5490</v>
      </c>
      <c r="U8004" s="12" t="s">
        <v>648</v>
      </c>
      <c r="V8004" s="12" t="s">
        <v>64</v>
      </c>
      <c r="W8004" s="12" t="s">
        <v>24876</v>
      </c>
      <c r="X8004" s="16" t="s">
        <v>35120</v>
      </c>
      <c r="Y8004" s="15" t="s">
        <v>42</v>
      </c>
      <c r="Z8004" s="14">
        <v>0.65</v>
      </c>
      <c r="AA8004" s="14">
        <v>1.57</v>
      </c>
      <c r="AB8004" s="12" t="s">
        <v>43</v>
      </c>
      <c r="AC8004" s="12" t="s">
        <v>24878</v>
      </c>
      <c r="AD8004" s="13">
        <v>41481</v>
      </c>
      <c r="AE8004" s="12" t="s">
        <v>3988</v>
      </c>
      <c r="AF8004" s="12" t="s">
        <v>24879</v>
      </c>
      <c r="AG8004" s="12" t="s">
        <v>81</v>
      </c>
      <c r="AH8004" s="1">
        <f>HYPERLINK("https://my.pitchbook.com?c=116550-28T","View Company Online")</f>
      </c>
    </row>
    <row r="8005">
      <c r="A8005" s="3" t="s">
        <v>35121</v>
      </c>
      <c r="B8005" s="3" t="s">
        <v>30784</v>
      </c>
      <c r="C8005" s="5" t="s">
        <v>36</v>
      </c>
      <c r="D8005" s="5" t="s">
        <v>36</v>
      </c>
      <c r="E8005" s="5" t="s">
        <v>36</v>
      </c>
      <c r="F8005" s="5" t="s">
        <v>36</v>
      </c>
      <c r="G8005" s="6" t="s">
        <v>36</v>
      </c>
      <c r="H8005" s="4" t="s">
        <v>36</v>
      </c>
      <c r="I8005" s="7" t="s">
        <v>36</v>
      </c>
      <c r="J8005" s="3" t="s">
        <v>36</v>
      </c>
      <c r="K8005" s="9">
        <v>41086</v>
      </c>
      <c r="L8005" s="6" t="s">
        <v>36</v>
      </c>
      <c r="M8005" s="3" t="s">
        <v>36</v>
      </c>
      <c r="N8005" s="3" t="s">
        <v>36</v>
      </c>
      <c r="O8005" s="8" t="s">
        <v>36</v>
      </c>
      <c r="P8005" s="3" t="s">
        <v>36</v>
      </c>
      <c r="Q8005" s="3" t="s">
        <v>36</v>
      </c>
      <c r="R8005" s="3" t="s">
        <v>36</v>
      </c>
      <c r="S8005" s="3" t="s">
        <v>36</v>
      </c>
      <c r="T8005" s="3" t="s">
        <v>596</v>
      </c>
      <c r="U8005" s="3" t="s">
        <v>366</v>
      </c>
      <c r="V8005" s="3" t="s">
        <v>367</v>
      </c>
      <c r="W8005" s="3" t="s">
        <v>30785</v>
      </c>
      <c r="X8005" s="10" t="s">
        <v>35122</v>
      </c>
      <c r="Y8005" s="6" t="s">
        <v>192</v>
      </c>
      <c r="Z8005" s="4">
        <v>5.19</v>
      </c>
      <c r="AA8005" s="4" t="s">
        <v>36</v>
      </c>
      <c r="AB8005" s="3" t="s">
        <v>43</v>
      </c>
      <c r="AC8005" s="3" t="s">
        <v>30787</v>
      </c>
      <c r="AD8005" s="9">
        <v>41481</v>
      </c>
      <c r="AE8005" s="3" t="s">
        <v>600</v>
      </c>
      <c r="AF8005" s="3" t="s">
        <v>2019</v>
      </c>
      <c r="AG8005" s="3" t="s">
        <v>2246</v>
      </c>
      <c r="AH8005" s="11">
        <f>HYPERLINK("https://my.pitchbook.com?c=27891-37T","View Company Online")</f>
      </c>
    </row>
    <row r="8006">
      <c r="A8006" s="12" t="s">
        <v>35123</v>
      </c>
      <c r="B8006" s="12" t="s">
        <v>35124</v>
      </c>
      <c r="C8006" s="19" t="s">
        <v>36</v>
      </c>
      <c r="D8006" s="19" t="s">
        <v>36</v>
      </c>
      <c r="E8006" s="19" t="s">
        <v>36</v>
      </c>
      <c r="F8006" s="19" t="s">
        <v>36</v>
      </c>
      <c r="G8006" s="15" t="s">
        <v>36</v>
      </c>
      <c r="H8006" s="14" t="s">
        <v>36</v>
      </c>
      <c r="I8006" s="18" t="s">
        <v>36</v>
      </c>
      <c r="J8006" s="12" t="s">
        <v>36</v>
      </c>
      <c r="K8006" s="13" t="s">
        <v>36</v>
      </c>
      <c r="L8006" s="15" t="s">
        <v>122</v>
      </c>
      <c r="M8006" s="12" t="s">
        <v>36</v>
      </c>
      <c r="N8006" s="12" t="s">
        <v>122</v>
      </c>
      <c r="O8006" s="17" t="s">
        <v>36</v>
      </c>
      <c r="P8006" s="12" t="s">
        <v>36</v>
      </c>
      <c r="Q8006" s="12" t="s">
        <v>36</v>
      </c>
      <c r="R8006" s="12" t="s">
        <v>36</v>
      </c>
      <c r="S8006" s="12" t="s">
        <v>36</v>
      </c>
      <c r="T8006" s="12" t="s">
        <v>35125</v>
      </c>
      <c r="U8006" s="12" t="s">
        <v>74</v>
      </c>
      <c r="V8006" s="12" t="s">
        <v>75</v>
      </c>
      <c r="W8006" s="12" t="s">
        <v>35126</v>
      </c>
      <c r="X8006" s="16" t="s">
        <v>35127</v>
      </c>
      <c r="Y8006" s="15" t="s">
        <v>42</v>
      </c>
      <c r="Z8006" s="14">
        <v>2</v>
      </c>
      <c r="AA8006" s="14" t="s">
        <v>36</v>
      </c>
      <c r="AB8006" s="12" t="s">
        <v>43</v>
      </c>
      <c r="AC8006" s="12" t="s">
        <v>35128</v>
      </c>
      <c r="AD8006" s="13">
        <v>41480</v>
      </c>
      <c r="AE8006" s="12" t="s">
        <v>1243</v>
      </c>
      <c r="AF8006" s="12" t="s">
        <v>35129</v>
      </c>
      <c r="AG8006" s="12" t="s">
        <v>81</v>
      </c>
      <c r="AH8006" s="1">
        <f>HYPERLINK("https://my.pitchbook.com?c=29418-22T","View Company Online")</f>
      </c>
    </row>
    <row r="8007">
      <c r="A8007" s="3" t="s">
        <v>35130</v>
      </c>
      <c r="B8007" s="3" t="s">
        <v>35131</v>
      </c>
      <c r="C8007" s="5" t="s">
        <v>36</v>
      </c>
      <c r="D8007" s="5" t="s">
        <v>36</v>
      </c>
      <c r="E8007" s="5" t="s">
        <v>36</v>
      </c>
      <c r="F8007" s="5" t="s">
        <v>36</v>
      </c>
      <c r="G8007" s="6" t="s">
        <v>36</v>
      </c>
      <c r="H8007" s="4">
        <v>379.08</v>
      </c>
      <c r="I8007" s="7">
        <v>52.29</v>
      </c>
      <c r="J8007" s="3" t="s">
        <v>521</v>
      </c>
      <c r="K8007" s="9" t="s">
        <v>36</v>
      </c>
      <c r="L8007" s="6" t="s">
        <v>36</v>
      </c>
      <c r="M8007" s="3" t="s">
        <v>36</v>
      </c>
      <c r="N8007" s="3" t="s">
        <v>36</v>
      </c>
      <c r="O8007" s="8" t="s">
        <v>36</v>
      </c>
      <c r="P8007" s="3" t="s">
        <v>36</v>
      </c>
      <c r="Q8007" s="3" t="s">
        <v>36</v>
      </c>
      <c r="R8007" s="3" t="s">
        <v>36</v>
      </c>
      <c r="S8007" s="3" t="s">
        <v>36</v>
      </c>
      <c r="T8007" s="3" t="s">
        <v>30766</v>
      </c>
      <c r="U8007" s="3" t="s">
        <v>289</v>
      </c>
      <c r="V8007" s="3" t="s">
        <v>64</v>
      </c>
      <c r="W8007" s="3" t="s">
        <v>35132</v>
      </c>
      <c r="X8007" s="10" t="s">
        <v>35133</v>
      </c>
      <c r="Y8007" s="6" t="s">
        <v>42</v>
      </c>
      <c r="Z8007" s="4">
        <v>1.04</v>
      </c>
      <c r="AA8007" s="4">
        <v>2</v>
      </c>
      <c r="AB8007" s="3" t="s">
        <v>56</v>
      </c>
      <c r="AC8007" s="3" t="s">
        <v>35134</v>
      </c>
      <c r="AD8007" s="9">
        <v>41480</v>
      </c>
      <c r="AE8007" s="3" t="s">
        <v>292</v>
      </c>
      <c r="AF8007" s="3" t="s">
        <v>90</v>
      </c>
      <c r="AG8007" s="3" t="s">
        <v>35135</v>
      </c>
      <c r="AH8007" s="11">
        <f>HYPERLINK("https://my.pitchbook.com?c=51842-62T","View Company Online")</f>
      </c>
    </row>
    <row r="8008">
      <c r="A8008" s="12" t="s">
        <v>35136</v>
      </c>
      <c r="B8008" s="12" t="s">
        <v>10535</v>
      </c>
      <c r="C8008" s="19">
        <v>2</v>
      </c>
      <c r="D8008" s="19">
        <v>42</v>
      </c>
      <c r="E8008" s="19">
        <v>8</v>
      </c>
      <c r="F8008" s="19">
        <v>45</v>
      </c>
      <c r="G8008" s="15" t="s">
        <v>36</v>
      </c>
      <c r="H8008" s="14">
        <v>415.43</v>
      </c>
      <c r="I8008" s="18">
        <v>38.46</v>
      </c>
      <c r="J8008" s="12" t="s">
        <v>521</v>
      </c>
      <c r="K8008" s="13" t="s">
        <v>36</v>
      </c>
      <c r="L8008" s="15" t="s">
        <v>36</v>
      </c>
      <c r="M8008" s="12" t="s">
        <v>36</v>
      </c>
      <c r="N8008" s="12" t="s">
        <v>36</v>
      </c>
      <c r="O8008" s="17" t="s">
        <v>36</v>
      </c>
      <c r="P8008" s="12" t="s">
        <v>36</v>
      </c>
      <c r="Q8008" s="12" t="s">
        <v>36</v>
      </c>
      <c r="R8008" s="12" t="s">
        <v>36</v>
      </c>
      <c r="S8008" s="12" t="s">
        <v>36</v>
      </c>
      <c r="T8008" s="12" t="s">
        <v>10536</v>
      </c>
      <c r="U8008" s="12" t="s">
        <v>180</v>
      </c>
      <c r="V8008" s="12" t="s">
        <v>52</v>
      </c>
      <c r="W8008" s="12" t="s">
        <v>10537</v>
      </c>
      <c r="X8008" s="16" t="s">
        <v>32872</v>
      </c>
      <c r="Y8008" s="15" t="s">
        <v>42</v>
      </c>
      <c r="Z8008" s="14">
        <v>0.65</v>
      </c>
      <c r="AA8008" s="14">
        <v>1.69</v>
      </c>
      <c r="AB8008" s="12" t="s">
        <v>43</v>
      </c>
      <c r="AC8008" s="12" t="s">
        <v>10538</v>
      </c>
      <c r="AD8008" s="13">
        <v>41478</v>
      </c>
      <c r="AE8008" s="12" t="s">
        <v>10539</v>
      </c>
      <c r="AF8008" s="12" t="s">
        <v>756</v>
      </c>
      <c r="AG8008" s="12" t="s">
        <v>10540</v>
      </c>
      <c r="AH8008" s="1">
        <f>HYPERLINK("https://my.pitchbook.com?c=88204-42T","View Company Online")</f>
      </c>
    </row>
    <row r="8009">
      <c r="A8009" s="3" t="s">
        <v>35137</v>
      </c>
      <c r="B8009" s="3" t="s">
        <v>18939</v>
      </c>
      <c r="C8009" s="5">
        <v>78</v>
      </c>
      <c r="D8009" s="5">
        <v>238</v>
      </c>
      <c r="E8009" s="5">
        <v>125</v>
      </c>
      <c r="F8009" s="5">
        <v>352</v>
      </c>
      <c r="G8009" s="6" t="s">
        <v>36</v>
      </c>
      <c r="H8009" s="4" t="s">
        <v>36</v>
      </c>
      <c r="I8009" s="7" t="s">
        <v>36</v>
      </c>
      <c r="J8009" s="3" t="s">
        <v>36</v>
      </c>
      <c r="K8009" s="9" t="s">
        <v>36</v>
      </c>
      <c r="L8009" s="6" t="s">
        <v>36</v>
      </c>
      <c r="M8009" s="3" t="s">
        <v>36</v>
      </c>
      <c r="N8009" s="3" t="s">
        <v>36</v>
      </c>
      <c r="O8009" s="8" t="s">
        <v>36</v>
      </c>
      <c r="P8009" s="3" t="s">
        <v>36</v>
      </c>
      <c r="Q8009" s="3" t="s">
        <v>36</v>
      </c>
      <c r="R8009" s="3" t="s">
        <v>36</v>
      </c>
      <c r="S8009" s="3" t="s">
        <v>18940</v>
      </c>
      <c r="T8009" s="3" t="s">
        <v>18941</v>
      </c>
      <c r="U8009" s="3" t="s">
        <v>96</v>
      </c>
      <c r="V8009" s="3" t="s">
        <v>52</v>
      </c>
      <c r="W8009" s="3" t="s">
        <v>18942</v>
      </c>
      <c r="X8009" s="10" t="s">
        <v>35138</v>
      </c>
      <c r="Y8009" s="6" t="s">
        <v>108</v>
      </c>
      <c r="Z8009" s="4">
        <v>30</v>
      </c>
      <c r="AA8009" s="4" t="s">
        <v>36</v>
      </c>
      <c r="AB8009" s="3" t="s">
        <v>56</v>
      </c>
      <c r="AC8009" s="3" t="s">
        <v>18944</v>
      </c>
      <c r="AD8009" s="9">
        <v>41472</v>
      </c>
      <c r="AE8009" s="3" t="s">
        <v>100</v>
      </c>
      <c r="AF8009" s="3" t="s">
        <v>18945</v>
      </c>
      <c r="AG8009" s="3" t="s">
        <v>81</v>
      </c>
      <c r="AH8009" s="11">
        <f>HYPERLINK("https://my.pitchbook.com?c=27275-50T","View Company Online")</f>
      </c>
    </row>
    <row r="8010">
      <c r="A8010" s="12" t="s">
        <v>35139</v>
      </c>
      <c r="B8010" s="12" t="s">
        <v>11005</v>
      </c>
      <c r="C8010" s="19" t="s">
        <v>36</v>
      </c>
      <c r="D8010" s="19" t="s">
        <v>36</v>
      </c>
      <c r="E8010" s="19" t="s">
        <v>36</v>
      </c>
      <c r="F8010" s="19" t="s">
        <v>36</v>
      </c>
      <c r="G8010" s="15" t="s">
        <v>326</v>
      </c>
      <c r="H8010" s="14">
        <v>63.25</v>
      </c>
      <c r="I8010" s="18">
        <v>11.14</v>
      </c>
      <c r="J8010" s="12" t="s">
        <v>521</v>
      </c>
      <c r="K8010" s="13">
        <v>41435</v>
      </c>
      <c r="L8010" s="15" t="s">
        <v>36</v>
      </c>
      <c r="M8010" s="12" t="s">
        <v>36</v>
      </c>
      <c r="N8010" s="12" t="s">
        <v>36</v>
      </c>
      <c r="O8010" s="17" t="s">
        <v>36</v>
      </c>
      <c r="P8010" s="12" t="s">
        <v>36</v>
      </c>
      <c r="Q8010" s="12" t="s">
        <v>36</v>
      </c>
      <c r="R8010" s="12" t="s">
        <v>36</v>
      </c>
      <c r="S8010" s="12" t="s">
        <v>36</v>
      </c>
      <c r="T8010" s="12" t="s">
        <v>11006</v>
      </c>
      <c r="U8010" s="12" t="s">
        <v>279</v>
      </c>
      <c r="V8010" s="12" t="s">
        <v>64</v>
      </c>
      <c r="W8010" s="12" t="s">
        <v>11007</v>
      </c>
      <c r="X8010" s="16" t="s">
        <v>35140</v>
      </c>
      <c r="Y8010" s="15" t="s">
        <v>108</v>
      </c>
      <c r="Z8010" s="14">
        <v>1.04</v>
      </c>
      <c r="AA8010" s="14">
        <v>3.53</v>
      </c>
      <c r="AB8010" s="12" t="s">
        <v>43</v>
      </c>
      <c r="AC8010" s="12" t="s">
        <v>11009</v>
      </c>
      <c r="AD8010" s="13">
        <v>41471</v>
      </c>
      <c r="AE8010" s="12" t="s">
        <v>283</v>
      </c>
      <c r="AF8010" s="12" t="s">
        <v>11010</v>
      </c>
      <c r="AG8010" s="12" t="s">
        <v>969</v>
      </c>
      <c r="AH8010" s="1">
        <f>HYPERLINK("https://my.pitchbook.com?c=46964-44T","View Company Online")</f>
      </c>
    </row>
    <row r="8011">
      <c r="A8011" s="3" t="s">
        <v>35141</v>
      </c>
      <c r="B8011" s="3" t="s">
        <v>35142</v>
      </c>
      <c r="C8011" s="5" t="s">
        <v>36</v>
      </c>
      <c r="D8011" s="5" t="s">
        <v>36</v>
      </c>
      <c r="E8011" s="5" t="s">
        <v>36</v>
      </c>
      <c r="F8011" s="5" t="s">
        <v>36</v>
      </c>
      <c r="G8011" s="6" t="s">
        <v>36</v>
      </c>
      <c r="H8011" s="4" t="s">
        <v>36</v>
      </c>
      <c r="I8011" s="7" t="s">
        <v>36</v>
      </c>
      <c r="J8011" s="3" t="s">
        <v>36</v>
      </c>
      <c r="K8011" s="9" t="s">
        <v>36</v>
      </c>
      <c r="L8011" s="6" t="s">
        <v>36</v>
      </c>
      <c r="M8011" s="3" t="s">
        <v>36</v>
      </c>
      <c r="N8011" s="3" t="s">
        <v>36</v>
      </c>
      <c r="O8011" s="8" t="s">
        <v>36</v>
      </c>
      <c r="P8011" s="3" t="s">
        <v>36</v>
      </c>
      <c r="Q8011" s="3" t="s">
        <v>36</v>
      </c>
      <c r="R8011" s="3" t="s">
        <v>36</v>
      </c>
      <c r="S8011" s="3" t="s">
        <v>36</v>
      </c>
      <c r="T8011" s="3" t="s">
        <v>588</v>
      </c>
      <c r="U8011" s="3" t="s">
        <v>318</v>
      </c>
      <c r="V8011" s="3" t="s">
        <v>39</v>
      </c>
      <c r="W8011" s="3" t="s">
        <v>35143</v>
      </c>
      <c r="X8011" s="10" t="s">
        <v>35144</v>
      </c>
      <c r="Y8011" s="6" t="s">
        <v>42</v>
      </c>
      <c r="Z8011" s="4">
        <v>1.31</v>
      </c>
      <c r="AA8011" s="4" t="s">
        <v>36</v>
      </c>
      <c r="AB8011" s="3" t="s">
        <v>43</v>
      </c>
      <c r="AC8011" s="3" t="s">
        <v>35145</v>
      </c>
      <c r="AD8011" s="9">
        <v>41470</v>
      </c>
      <c r="AE8011" s="3" t="s">
        <v>417</v>
      </c>
      <c r="AF8011" s="3" t="s">
        <v>1969</v>
      </c>
      <c r="AG8011" s="3" t="s">
        <v>6368</v>
      </c>
      <c r="AH8011" s="11">
        <f>HYPERLINK("https://my.pitchbook.com?c=34181-02T","View Company Online")</f>
      </c>
    </row>
    <row r="8012">
      <c r="A8012" s="12" t="s">
        <v>35146</v>
      </c>
      <c r="B8012" s="12" t="s">
        <v>33036</v>
      </c>
      <c r="C8012" s="19" t="s">
        <v>36</v>
      </c>
      <c r="D8012" s="19">
        <v>4</v>
      </c>
      <c r="E8012" s="19">
        <v>2</v>
      </c>
      <c r="F8012" s="19">
        <v>6</v>
      </c>
      <c r="G8012" s="15" t="s">
        <v>36</v>
      </c>
      <c r="H8012" s="14" t="s">
        <v>36</v>
      </c>
      <c r="I8012" s="18" t="s">
        <v>36</v>
      </c>
      <c r="J8012" s="12" t="s">
        <v>36</v>
      </c>
      <c r="K8012" s="13" t="s">
        <v>36</v>
      </c>
      <c r="L8012" s="15" t="s">
        <v>36</v>
      </c>
      <c r="M8012" s="12" t="s">
        <v>36</v>
      </c>
      <c r="N8012" s="12" t="s">
        <v>36</v>
      </c>
      <c r="O8012" s="17" t="s">
        <v>36</v>
      </c>
      <c r="P8012" s="12" t="s">
        <v>36</v>
      </c>
      <c r="Q8012" s="12" t="s">
        <v>36</v>
      </c>
      <c r="R8012" s="12" t="s">
        <v>36</v>
      </c>
      <c r="S8012" s="12" t="s">
        <v>36</v>
      </c>
      <c r="T8012" s="12" t="s">
        <v>33037</v>
      </c>
      <c r="U8012" s="12" t="s">
        <v>7149</v>
      </c>
      <c r="V8012" s="12" t="s">
        <v>378</v>
      </c>
      <c r="W8012" s="12" t="s">
        <v>33038</v>
      </c>
      <c r="X8012" s="16" t="s">
        <v>35147</v>
      </c>
      <c r="Y8012" s="15" t="s">
        <v>42</v>
      </c>
      <c r="Z8012" s="14">
        <v>1.57</v>
      </c>
      <c r="AA8012" s="14" t="s">
        <v>36</v>
      </c>
      <c r="AB8012" s="12" t="s">
        <v>43</v>
      </c>
      <c r="AC8012" s="12" t="s">
        <v>33040</v>
      </c>
      <c r="AD8012" s="13">
        <v>41470</v>
      </c>
      <c r="AE8012" s="12" t="s">
        <v>7153</v>
      </c>
      <c r="AF8012" s="12" t="s">
        <v>1969</v>
      </c>
      <c r="AG8012" s="12" t="s">
        <v>10521</v>
      </c>
      <c r="AH8012" s="1">
        <f>HYPERLINK("https://my.pitchbook.com?c=37752-31T","View Company Online")</f>
      </c>
    </row>
    <row r="8013">
      <c r="A8013" s="3" t="s">
        <v>35148</v>
      </c>
      <c r="B8013" s="3" t="s">
        <v>35149</v>
      </c>
      <c r="C8013" s="5" t="s">
        <v>36</v>
      </c>
      <c r="D8013" s="5" t="s">
        <v>36</v>
      </c>
      <c r="E8013" s="5" t="s">
        <v>36</v>
      </c>
      <c r="F8013" s="5" t="s">
        <v>36</v>
      </c>
      <c r="G8013" s="6" t="s">
        <v>36</v>
      </c>
      <c r="H8013" s="4" t="s">
        <v>36</v>
      </c>
      <c r="I8013" s="7" t="s">
        <v>36</v>
      </c>
      <c r="J8013" s="3" t="s">
        <v>36</v>
      </c>
      <c r="K8013" s="9" t="s">
        <v>36</v>
      </c>
      <c r="L8013" s="6" t="s">
        <v>36</v>
      </c>
      <c r="M8013" s="3" t="s">
        <v>36</v>
      </c>
      <c r="N8013" s="3" t="s">
        <v>36</v>
      </c>
      <c r="O8013" s="8" t="s">
        <v>36</v>
      </c>
      <c r="P8013" s="3" t="s">
        <v>36</v>
      </c>
      <c r="Q8013" s="3" t="s">
        <v>36</v>
      </c>
      <c r="R8013" s="3" t="s">
        <v>36</v>
      </c>
      <c r="S8013" s="3" t="s">
        <v>36</v>
      </c>
      <c r="T8013" s="3" t="s">
        <v>3168</v>
      </c>
      <c r="U8013" s="3" t="s">
        <v>289</v>
      </c>
      <c r="V8013" s="3" t="s">
        <v>64</v>
      </c>
      <c r="W8013" s="3" t="s">
        <v>35150</v>
      </c>
      <c r="X8013" s="10" t="s">
        <v>35151</v>
      </c>
      <c r="Y8013" s="6" t="s">
        <v>108</v>
      </c>
      <c r="Z8013" s="4">
        <v>9.14</v>
      </c>
      <c r="AA8013" s="4" t="s">
        <v>36</v>
      </c>
      <c r="AB8013" s="3" t="s">
        <v>43</v>
      </c>
      <c r="AC8013" s="3" t="s">
        <v>35152</v>
      </c>
      <c r="AD8013" s="9">
        <v>41470</v>
      </c>
      <c r="AE8013" s="3" t="s">
        <v>3134</v>
      </c>
      <c r="AF8013" s="3" t="s">
        <v>2118</v>
      </c>
      <c r="AG8013" s="3" t="s">
        <v>35153</v>
      </c>
      <c r="AH8013" s="11">
        <f>HYPERLINK("https://my.pitchbook.com?c=34135-57T","View Company Online")</f>
      </c>
    </row>
    <row r="8014">
      <c r="A8014" s="12" t="s">
        <v>35154</v>
      </c>
      <c r="B8014" s="12" t="s">
        <v>35155</v>
      </c>
      <c r="C8014" s="19" t="s">
        <v>36</v>
      </c>
      <c r="D8014" s="19" t="s">
        <v>36</v>
      </c>
      <c r="E8014" s="19" t="s">
        <v>36</v>
      </c>
      <c r="F8014" s="19" t="s">
        <v>36</v>
      </c>
      <c r="G8014" s="15" t="s">
        <v>326</v>
      </c>
      <c r="H8014" s="14">
        <v>163.19</v>
      </c>
      <c r="I8014" s="18">
        <v>40</v>
      </c>
      <c r="J8014" s="12" t="s">
        <v>521</v>
      </c>
      <c r="K8014" s="13" t="s">
        <v>36</v>
      </c>
      <c r="L8014" s="15" t="s">
        <v>36</v>
      </c>
      <c r="M8014" s="12" t="s">
        <v>36</v>
      </c>
      <c r="N8014" s="12" t="s">
        <v>36</v>
      </c>
      <c r="O8014" s="17" t="s">
        <v>36</v>
      </c>
      <c r="P8014" s="12" t="s">
        <v>36</v>
      </c>
      <c r="Q8014" s="12" t="s">
        <v>36</v>
      </c>
      <c r="R8014" s="12" t="s">
        <v>36</v>
      </c>
      <c r="S8014" s="12" t="s">
        <v>36</v>
      </c>
      <c r="T8014" s="12" t="s">
        <v>18203</v>
      </c>
      <c r="U8014" s="12" t="s">
        <v>38</v>
      </c>
      <c r="V8014" s="12" t="s">
        <v>39</v>
      </c>
      <c r="W8014" s="12" t="s">
        <v>35156</v>
      </c>
      <c r="X8014" s="16" t="s">
        <v>35157</v>
      </c>
      <c r="Y8014" s="15" t="s">
        <v>42</v>
      </c>
      <c r="Z8014" s="14">
        <v>0.87</v>
      </c>
      <c r="AA8014" s="14">
        <v>1.64</v>
      </c>
      <c r="AB8014" s="12" t="s">
        <v>56</v>
      </c>
      <c r="AC8014" s="12" t="s">
        <v>35158</v>
      </c>
      <c r="AD8014" s="13">
        <v>41467</v>
      </c>
      <c r="AE8014" s="12" t="s">
        <v>110</v>
      </c>
      <c r="AF8014" s="12" t="s">
        <v>176</v>
      </c>
      <c r="AG8014" s="12" t="s">
        <v>35159</v>
      </c>
      <c r="AH8014" s="1">
        <f>HYPERLINK("https://my.pitchbook.com?c=76266-73T","View Company Online")</f>
      </c>
    </row>
    <row r="8015">
      <c r="A8015" s="3" t="s">
        <v>35160</v>
      </c>
      <c r="B8015" s="3" t="s">
        <v>19768</v>
      </c>
      <c r="C8015" s="5" t="s">
        <v>36</v>
      </c>
      <c r="D8015" s="5">
        <v>6</v>
      </c>
      <c r="E8015" s="5">
        <v>3</v>
      </c>
      <c r="F8015" s="5">
        <v>6</v>
      </c>
      <c r="G8015" s="6" t="s">
        <v>36</v>
      </c>
      <c r="H8015" s="4">
        <v>117.77</v>
      </c>
      <c r="I8015" s="7">
        <v>15.01</v>
      </c>
      <c r="J8015" s="3" t="s">
        <v>521</v>
      </c>
      <c r="K8015" s="9" t="s">
        <v>36</v>
      </c>
      <c r="L8015" s="6" t="s">
        <v>36</v>
      </c>
      <c r="M8015" s="3" t="s">
        <v>36</v>
      </c>
      <c r="N8015" s="3" t="s">
        <v>36</v>
      </c>
      <c r="O8015" s="8" t="s">
        <v>36</v>
      </c>
      <c r="P8015" s="3" t="s">
        <v>36</v>
      </c>
      <c r="Q8015" s="3" t="s">
        <v>36</v>
      </c>
      <c r="R8015" s="3" t="s">
        <v>36</v>
      </c>
      <c r="S8015" s="3" t="s">
        <v>36</v>
      </c>
      <c r="T8015" s="3" t="s">
        <v>19769</v>
      </c>
      <c r="U8015" s="3" t="s">
        <v>423</v>
      </c>
      <c r="V8015" s="3" t="s">
        <v>64</v>
      </c>
      <c r="W8015" s="3" t="s">
        <v>19770</v>
      </c>
      <c r="X8015" s="10" t="s">
        <v>20076</v>
      </c>
      <c r="Y8015" s="6" t="s">
        <v>42</v>
      </c>
      <c r="Z8015" s="4">
        <v>0.13</v>
      </c>
      <c r="AA8015" s="4">
        <v>0.87</v>
      </c>
      <c r="AB8015" s="3" t="s">
        <v>43</v>
      </c>
      <c r="AC8015" s="3" t="s">
        <v>19772</v>
      </c>
      <c r="AD8015" s="9">
        <v>41467</v>
      </c>
      <c r="AE8015" s="3" t="s">
        <v>562</v>
      </c>
      <c r="AF8015" s="3" t="s">
        <v>19773</v>
      </c>
      <c r="AG8015" s="3" t="s">
        <v>19774</v>
      </c>
      <c r="AH8015" s="11">
        <f>HYPERLINK("https://my.pitchbook.com?c=204446-53T","View Company Online")</f>
      </c>
    </row>
    <row r="8016">
      <c r="A8016" s="12" t="s">
        <v>35161</v>
      </c>
      <c r="B8016" s="12" t="s">
        <v>35162</v>
      </c>
      <c r="C8016" s="19">
        <v>16</v>
      </c>
      <c r="D8016" s="19">
        <v>190</v>
      </c>
      <c r="E8016" s="19">
        <v>45</v>
      </c>
      <c r="F8016" s="19">
        <v>349</v>
      </c>
      <c r="G8016" s="15" t="s">
        <v>36</v>
      </c>
      <c r="H8016" s="14" t="s">
        <v>36</v>
      </c>
      <c r="I8016" s="18" t="s">
        <v>36</v>
      </c>
      <c r="J8016" s="12" t="s">
        <v>36</v>
      </c>
      <c r="K8016" s="13" t="s">
        <v>36</v>
      </c>
      <c r="L8016" s="15" t="s">
        <v>36</v>
      </c>
      <c r="M8016" s="12" t="s">
        <v>36</v>
      </c>
      <c r="N8016" s="12" t="s">
        <v>36</v>
      </c>
      <c r="O8016" s="17" t="s">
        <v>36</v>
      </c>
      <c r="P8016" s="12" t="s">
        <v>36</v>
      </c>
      <c r="Q8016" s="12" t="s">
        <v>36</v>
      </c>
      <c r="R8016" s="12" t="s">
        <v>36</v>
      </c>
      <c r="S8016" s="12" t="s">
        <v>36</v>
      </c>
      <c r="T8016" s="12" t="s">
        <v>35163</v>
      </c>
      <c r="U8016" s="12" t="s">
        <v>96</v>
      </c>
      <c r="V8016" s="12" t="s">
        <v>52</v>
      </c>
      <c r="W8016" s="12" t="s">
        <v>35164</v>
      </c>
      <c r="X8016" s="16" t="s">
        <v>35165</v>
      </c>
      <c r="Y8016" s="15" t="s">
        <v>321</v>
      </c>
      <c r="Z8016" s="14">
        <v>6.03</v>
      </c>
      <c r="AA8016" s="14" t="s">
        <v>36</v>
      </c>
      <c r="AB8016" s="12" t="s">
        <v>56</v>
      </c>
      <c r="AC8016" s="12" t="s">
        <v>35166</v>
      </c>
      <c r="AD8016" s="13">
        <v>41464</v>
      </c>
      <c r="AE8016" s="12" t="s">
        <v>12392</v>
      </c>
      <c r="AF8016" s="12" t="s">
        <v>571</v>
      </c>
      <c r="AG8016" s="12" t="s">
        <v>580</v>
      </c>
      <c r="AH8016" s="1">
        <f>HYPERLINK("https://my.pitchbook.com?c=31400-92T","View Company Online")</f>
      </c>
    </row>
    <row r="8017">
      <c r="A8017" s="3" t="s">
        <v>35167</v>
      </c>
      <c r="B8017" s="3" t="s">
        <v>35168</v>
      </c>
      <c r="C8017" s="5" t="s">
        <v>36</v>
      </c>
      <c r="D8017" s="5" t="s">
        <v>36</v>
      </c>
      <c r="E8017" s="5" t="s">
        <v>36</v>
      </c>
      <c r="F8017" s="5" t="s">
        <v>36</v>
      </c>
      <c r="G8017" s="6" t="s">
        <v>36</v>
      </c>
      <c r="H8017" s="4" t="s">
        <v>36</v>
      </c>
      <c r="I8017" s="7">
        <v>26.43</v>
      </c>
      <c r="J8017" s="3" t="s">
        <v>327</v>
      </c>
      <c r="K8017" s="9" t="s">
        <v>36</v>
      </c>
      <c r="L8017" s="6" t="s">
        <v>36</v>
      </c>
      <c r="M8017" s="3" t="s">
        <v>36</v>
      </c>
      <c r="N8017" s="3" t="s">
        <v>36</v>
      </c>
      <c r="O8017" s="8" t="s">
        <v>36</v>
      </c>
      <c r="P8017" s="3" t="s">
        <v>36</v>
      </c>
      <c r="Q8017" s="3" t="s">
        <v>36</v>
      </c>
      <c r="R8017" s="3" t="s">
        <v>36</v>
      </c>
      <c r="S8017" s="3" t="s">
        <v>36</v>
      </c>
      <c r="T8017" s="3" t="s">
        <v>9159</v>
      </c>
      <c r="U8017" s="3" t="s">
        <v>74</v>
      </c>
      <c r="V8017" s="3" t="s">
        <v>75</v>
      </c>
      <c r="W8017" s="3" t="s">
        <v>35169</v>
      </c>
      <c r="X8017" s="10" t="s">
        <v>11579</v>
      </c>
      <c r="Y8017" s="6" t="s">
        <v>42</v>
      </c>
      <c r="Z8017" s="4">
        <v>0.56</v>
      </c>
      <c r="AA8017" s="4">
        <v>2.13</v>
      </c>
      <c r="AB8017" s="3" t="s">
        <v>56</v>
      </c>
      <c r="AC8017" s="3" t="s">
        <v>35170</v>
      </c>
      <c r="AD8017" s="9">
        <v>41464</v>
      </c>
      <c r="AE8017" s="3" t="s">
        <v>3144</v>
      </c>
      <c r="AF8017" s="3" t="s">
        <v>35171</v>
      </c>
      <c r="AG8017" s="3" t="s">
        <v>81</v>
      </c>
      <c r="AH8017" s="11">
        <f>HYPERLINK("https://my.pitchbook.com?c=86610-07T","View Company Online")</f>
      </c>
    </row>
    <row r="8018">
      <c r="A8018" s="12" t="s">
        <v>35172</v>
      </c>
      <c r="B8018" s="12" t="s">
        <v>35173</v>
      </c>
      <c r="C8018" s="19" t="s">
        <v>36</v>
      </c>
      <c r="D8018" s="19" t="s">
        <v>36</v>
      </c>
      <c r="E8018" s="19" t="s">
        <v>36</v>
      </c>
      <c r="F8018" s="19" t="s">
        <v>36</v>
      </c>
      <c r="G8018" s="15" t="s">
        <v>36</v>
      </c>
      <c r="H8018" s="14" t="s">
        <v>36</v>
      </c>
      <c r="I8018" s="18" t="s">
        <v>36</v>
      </c>
      <c r="J8018" s="12" t="s">
        <v>36</v>
      </c>
      <c r="K8018" s="13" t="s">
        <v>36</v>
      </c>
      <c r="L8018" s="15" t="s">
        <v>36</v>
      </c>
      <c r="M8018" s="12" t="s">
        <v>36</v>
      </c>
      <c r="N8018" s="12" t="s">
        <v>36</v>
      </c>
      <c r="O8018" s="17" t="s">
        <v>36</v>
      </c>
      <c r="P8018" s="12" t="s">
        <v>36</v>
      </c>
      <c r="Q8018" s="12" t="s">
        <v>36</v>
      </c>
      <c r="R8018" s="12" t="s">
        <v>36</v>
      </c>
      <c r="S8018" s="12" t="s">
        <v>36</v>
      </c>
      <c r="T8018" s="12" t="s">
        <v>1973</v>
      </c>
      <c r="U8018" s="12" t="s">
        <v>728</v>
      </c>
      <c r="V8018" s="12" t="s">
        <v>64</v>
      </c>
      <c r="W8018" s="12" t="s">
        <v>35174</v>
      </c>
      <c r="X8018" s="16" t="s">
        <v>35175</v>
      </c>
      <c r="Y8018" s="15" t="s">
        <v>42</v>
      </c>
      <c r="Z8018" s="14">
        <v>1.31</v>
      </c>
      <c r="AA8018" s="14" t="s">
        <v>36</v>
      </c>
      <c r="AB8018" s="12" t="s">
        <v>43</v>
      </c>
      <c r="AC8018" s="12" t="s">
        <v>35176</v>
      </c>
      <c r="AD8018" s="13">
        <v>41463</v>
      </c>
      <c r="AE8018" s="12" t="s">
        <v>1600</v>
      </c>
      <c r="AF8018" s="12" t="s">
        <v>36</v>
      </c>
      <c r="AG8018" s="12" t="s">
        <v>81</v>
      </c>
      <c r="AH8018" s="1">
        <f>HYPERLINK("https://my.pitchbook.com?c=71537-68T","View Company Online")</f>
      </c>
    </row>
    <row r="8019">
      <c r="A8019" s="3" t="s">
        <v>35177</v>
      </c>
      <c r="B8019" s="3" t="s">
        <v>9925</v>
      </c>
      <c r="C8019" s="5" t="s">
        <v>36</v>
      </c>
      <c r="D8019" s="5" t="s">
        <v>36</v>
      </c>
      <c r="E8019" s="5" t="s">
        <v>36</v>
      </c>
      <c r="F8019" s="5" t="s">
        <v>36</v>
      </c>
      <c r="G8019" s="6" t="s">
        <v>36</v>
      </c>
      <c r="H8019" s="4">
        <v>490.16</v>
      </c>
      <c r="I8019" s="7">
        <v>40.66</v>
      </c>
      <c r="J8019" s="3" t="s">
        <v>521</v>
      </c>
      <c r="K8019" s="9" t="s">
        <v>36</v>
      </c>
      <c r="L8019" s="6" t="s">
        <v>36</v>
      </c>
      <c r="M8019" s="3" t="s">
        <v>36</v>
      </c>
      <c r="N8019" s="3" t="s">
        <v>36</v>
      </c>
      <c r="O8019" s="8" t="s">
        <v>36</v>
      </c>
      <c r="P8019" s="3" t="s">
        <v>36</v>
      </c>
      <c r="Q8019" s="3" t="s">
        <v>36</v>
      </c>
      <c r="R8019" s="3" t="s">
        <v>36</v>
      </c>
      <c r="S8019" s="3" t="s">
        <v>36</v>
      </c>
      <c r="T8019" s="3" t="s">
        <v>7452</v>
      </c>
      <c r="U8019" s="3" t="s">
        <v>38</v>
      </c>
      <c r="V8019" s="3" t="s">
        <v>39</v>
      </c>
      <c r="W8019" s="3" t="s">
        <v>9926</v>
      </c>
      <c r="X8019" s="10" t="s">
        <v>35178</v>
      </c>
      <c r="Y8019" s="6" t="s">
        <v>42</v>
      </c>
      <c r="Z8019" s="4">
        <v>1.32</v>
      </c>
      <c r="AA8019" s="4">
        <v>3.25</v>
      </c>
      <c r="AB8019" s="3" t="s">
        <v>43</v>
      </c>
      <c r="AC8019" s="3" t="s">
        <v>9928</v>
      </c>
      <c r="AD8019" s="9">
        <v>41463</v>
      </c>
      <c r="AE8019" s="3" t="s">
        <v>45</v>
      </c>
      <c r="AF8019" s="3" t="s">
        <v>7466</v>
      </c>
      <c r="AG8019" s="3" t="s">
        <v>102</v>
      </c>
      <c r="AH8019" s="11">
        <f>HYPERLINK("https://my.pitchbook.com?c=181492-30T","View Company Online")</f>
      </c>
    </row>
    <row r="8020">
      <c r="A8020" s="12" t="s">
        <v>35179</v>
      </c>
      <c r="B8020" s="12" t="s">
        <v>35180</v>
      </c>
      <c r="C8020" s="19">
        <v>1</v>
      </c>
      <c r="D8020" s="19">
        <v>10</v>
      </c>
      <c r="E8020" s="19">
        <v>3</v>
      </c>
      <c r="F8020" s="19">
        <v>15</v>
      </c>
      <c r="G8020" s="15" t="s">
        <v>36</v>
      </c>
      <c r="H8020" s="14">
        <v>7.62</v>
      </c>
      <c r="I8020" s="18">
        <v>14.28</v>
      </c>
      <c r="J8020" s="12" t="s">
        <v>521</v>
      </c>
      <c r="K8020" s="13" t="s">
        <v>36</v>
      </c>
      <c r="L8020" s="15" t="s">
        <v>36</v>
      </c>
      <c r="M8020" s="12" t="s">
        <v>36</v>
      </c>
      <c r="N8020" s="12" t="s">
        <v>36</v>
      </c>
      <c r="O8020" s="17" t="s">
        <v>36</v>
      </c>
      <c r="P8020" s="12" t="s">
        <v>36</v>
      </c>
      <c r="Q8020" s="12" t="s">
        <v>36</v>
      </c>
      <c r="R8020" s="12" t="s">
        <v>36</v>
      </c>
      <c r="S8020" s="12" t="s">
        <v>36</v>
      </c>
      <c r="T8020" s="12" t="s">
        <v>35181</v>
      </c>
      <c r="U8020" s="12" t="s">
        <v>96</v>
      </c>
      <c r="V8020" s="12" t="s">
        <v>52</v>
      </c>
      <c r="W8020" s="12" t="s">
        <v>35182</v>
      </c>
      <c r="X8020" s="16" t="s">
        <v>35183</v>
      </c>
      <c r="Y8020" s="15" t="s">
        <v>108</v>
      </c>
      <c r="Z8020" s="14">
        <v>1.95</v>
      </c>
      <c r="AA8020" s="14">
        <v>13.67</v>
      </c>
      <c r="AB8020" s="12" t="s">
        <v>56</v>
      </c>
      <c r="AC8020" s="12" t="s">
        <v>35184</v>
      </c>
      <c r="AD8020" s="13">
        <v>41459</v>
      </c>
      <c r="AE8020" s="12" t="s">
        <v>755</v>
      </c>
      <c r="AF8020" s="12" t="s">
        <v>885</v>
      </c>
      <c r="AG8020" s="12" t="s">
        <v>35185</v>
      </c>
      <c r="AH8020" s="1">
        <f>HYPERLINK("https://my.pitchbook.com?c=55962-64T","View Company Online")</f>
      </c>
    </row>
    <row r="8021">
      <c r="A8021" s="3" t="s">
        <v>35186</v>
      </c>
      <c r="B8021" s="3" t="s">
        <v>21722</v>
      </c>
      <c r="C8021" s="5" t="s">
        <v>36</v>
      </c>
      <c r="D8021" s="5" t="s">
        <v>36</v>
      </c>
      <c r="E8021" s="5">
        <v>1</v>
      </c>
      <c r="F8021" s="5">
        <v>1</v>
      </c>
      <c r="G8021" s="6" t="s">
        <v>36</v>
      </c>
      <c r="H8021" s="4" t="s">
        <v>36</v>
      </c>
      <c r="I8021" s="7" t="s">
        <v>36</v>
      </c>
      <c r="J8021" s="3" t="s">
        <v>36</v>
      </c>
      <c r="K8021" s="9" t="s">
        <v>36</v>
      </c>
      <c r="L8021" s="6" t="s">
        <v>36</v>
      </c>
      <c r="M8021" s="3" t="s">
        <v>36</v>
      </c>
      <c r="N8021" s="3" t="s">
        <v>36</v>
      </c>
      <c r="O8021" s="8" t="s">
        <v>36</v>
      </c>
      <c r="P8021" s="3" t="s">
        <v>36</v>
      </c>
      <c r="Q8021" s="3" t="s">
        <v>36</v>
      </c>
      <c r="R8021" s="3" t="s">
        <v>36</v>
      </c>
      <c r="S8021" s="3" t="s">
        <v>36</v>
      </c>
      <c r="T8021" s="3" t="s">
        <v>21723</v>
      </c>
      <c r="U8021" s="3" t="s">
        <v>423</v>
      </c>
      <c r="V8021" s="3" t="s">
        <v>64</v>
      </c>
      <c r="W8021" s="3" t="s">
        <v>21724</v>
      </c>
      <c r="X8021" s="10" t="s">
        <v>10702</v>
      </c>
      <c r="Y8021" s="6" t="s">
        <v>42</v>
      </c>
      <c r="Z8021" s="4" t="s">
        <v>36</v>
      </c>
      <c r="AA8021" s="4" t="s">
        <v>36</v>
      </c>
      <c r="AB8021" s="3" t="s">
        <v>43</v>
      </c>
      <c r="AC8021" s="3" t="s">
        <v>21726</v>
      </c>
      <c r="AD8021" s="9">
        <v>41459</v>
      </c>
      <c r="AE8021" s="3" t="s">
        <v>427</v>
      </c>
      <c r="AF8021" s="3" t="s">
        <v>733</v>
      </c>
      <c r="AG8021" s="3" t="s">
        <v>21727</v>
      </c>
      <c r="AH8021" s="11">
        <f>HYPERLINK("https://my.pitchbook.com?c=30532-69T","View Company Online")</f>
      </c>
    </row>
    <row r="8022">
      <c r="A8022" s="12" t="s">
        <v>35187</v>
      </c>
      <c r="B8022" s="12" t="s">
        <v>34219</v>
      </c>
      <c r="C8022" s="19" t="s">
        <v>36</v>
      </c>
      <c r="D8022" s="19" t="s">
        <v>36</v>
      </c>
      <c r="E8022" s="19" t="s">
        <v>36</v>
      </c>
      <c r="F8022" s="19" t="s">
        <v>36</v>
      </c>
      <c r="G8022" s="15" t="s">
        <v>36</v>
      </c>
      <c r="H8022" s="14" t="s">
        <v>36</v>
      </c>
      <c r="I8022" s="18" t="s">
        <v>36</v>
      </c>
      <c r="J8022" s="12" t="s">
        <v>36</v>
      </c>
      <c r="K8022" s="13" t="s">
        <v>36</v>
      </c>
      <c r="L8022" s="15" t="s">
        <v>36</v>
      </c>
      <c r="M8022" s="12" t="s">
        <v>36</v>
      </c>
      <c r="N8022" s="12" t="s">
        <v>36</v>
      </c>
      <c r="O8022" s="17" t="s">
        <v>36</v>
      </c>
      <c r="P8022" s="12" t="s">
        <v>36</v>
      </c>
      <c r="Q8022" s="12" t="s">
        <v>36</v>
      </c>
      <c r="R8022" s="12" t="s">
        <v>36</v>
      </c>
      <c r="S8022" s="12" t="s">
        <v>36</v>
      </c>
      <c r="T8022" s="12" t="s">
        <v>11006</v>
      </c>
      <c r="U8022" s="12" t="s">
        <v>279</v>
      </c>
      <c r="V8022" s="12" t="s">
        <v>64</v>
      </c>
      <c r="W8022" s="12" t="s">
        <v>34220</v>
      </c>
      <c r="X8022" s="16" t="s">
        <v>35188</v>
      </c>
      <c r="Y8022" s="15" t="s">
        <v>42</v>
      </c>
      <c r="Z8022" s="14">
        <v>1.32</v>
      </c>
      <c r="AA8022" s="14" t="s">
        <v>36</v>
      </c>
      <c r="AB8022" s="12" t="s">
        <v>43</v>
      </c>
      <c r="AC8022" s="12" t="s">
        <v>34221</v>
      </c>
      <c r="AD8022" s="13">
        <v>41458</v>
      </c>
      <c r="AE8022" s="12" t="s">
        <v>283</v>
      </c>
      <c r="AF8022" s="12" t="s">
        <v>28702</v>
      </c>
      <c r="AG8022" s="12" t="s">
        <v>81</v>
      </c>
      <c r="AH8022" s="1">
        <f>HYPERLINK("https://my.pitchbook.com?c=29439-73T","View Company Online")</f>
      </c>
    </row>
    <row r="8023">
      <c r="A8023" s="3" t="s">
        <v>35189</v>
      </c>
      <c r="B8023" s="3" t="s">
        <v>13872</v>
      </c>
      <c r="C8023" s="5">
        <v>17</v>
      </c>
      <c r="D8023" s="5">
        <v>68</v>
      </c>
      <c r="E8023" s="5">
        <v>22</v>
      </c>
      <c r="F8023" s="5">
        <v>88</v>
      </c>
      <c r="G8023" s="6" t="s">
        <v>36</v>
      </c>
      <c r="H8023" s="4">
        <v>20.08</v>
      </c>
      <c r="I8023" s="7">
        <v>17.14</v>
      </c>
      <c r="J8023" s="3" t="s">
        <v>327</v>
      </c>
      <c r="K8023" s="9" t="s">
        <v>36</v>
      </c>
      <c r="L8023" s="6" t="s">
        <v>36</v>
      </c>
      <c r="M8023" s="3" t="s">
        <v>36</v>
      </c>
      <c r="N8023" s="3" t="s">
        <v>36</v>
      </c>
      <c r="O8023" s="8" t="s">
        <v>36</v>
      </c>
      <c r="P8023" s="3" t="s">
        <v>36</v>
      </c>
      <c r="Q8023" s="3" t="s">
        <v>36</v>
      </c>
      <c r="R8023" s="3" t="s">
        <v>36</v>
      </c>
      <c r="S8023" s="3" t="s">
        <v>13873</v>
      </c>
      <c r="T8023" s="3" t="s">
        <v>13874</v>
      </c>
      <c r="U8023" s="3" t="s">
        <v>96</v>
      </c>
      <c r="V8023" s="3" t="s">
        <v>52</v>
      </c>
      <c r="W8023" s="3" t="s">
        <v>13875</v>
      </c>
      <c r="X8023" s="10" t="s">
        <v>35190</v>
      </c>
      <c r="Y8023" s="6" t="s">
        <v>42</v>
      </c>
      <c r="Z8023" s="4">
        <v>0.79</v>
      </c>
      <c r="AA8023" s="4">
        <v>4.61</v>
      </c>
      <c r="AB8023" s="3" t="s">
        <v>43</v>
      </c>
      <c r="AC8023" s="3" t="s">
        <v>13877</v>
      </c>
      <c r="AD8023" s="9">
        <v>41457</v>
      </c>
      <c r="AE8023" s="3" t="s">
        <v>143</v>
      </c>
      <c r="AF8023" s="3" t="s">
        <v>13878</v>
      </c>
      <c r="AG8023" s="3" t="s">
        <v>81</v>
      </c>
      <c r="AH8023" s="11">
        <f>HYPERLINK("https://my.pitchbook.com?c=59321-17T","View Company Online")</f>
      </c>
    </row>
    <row r="8024">
      <c r="A8024" s="12" t="s">
        <v>35191</v>
      </c>
      <c r="B8024" s="12" t="s">
        <v>35192</v>
      </c>
      <c r="C8024" s="19" t="s">
        <v>36</v>
      </c>
      <c r="D8024" s="19" t="s">
        <v>36</v>
      </c>
      <c r="E8024" s="19" t="s">
        <v>36</v>
      </c>
      <c r="F8024" s="19" t="s">
        <v>36</v>
      </c>
      <c r="G8024" s="15" t="s">
        <v>326</v>
      </c>
      <c r="H8024" s="14">
        <v>306.38</v>
      </c>
      <c r="I8024" s="18">
        <v>27.74</v>
      </c>
      <c r="J8024" s="12" t="s">
        <v>521</v>
      </c>
      <c r="K8024" s="13" t="s">
        <v>36</v>
      </c>
      <c r="L8024" s="15" t="s">
        <v>36</v>
      </c>
      <c r="M8024" s="12" t="s">
        <v>36</v>
      </c>
      <c r="N8024" s="12" t="s">
        <v>36</v>
      </c>
      <c r="O8024" s="17" t="s">
        <v>36</v>
      </c>
      <c r="P8024" s="12" t="s">
        <v>36</v>
      </c>
      <c r="Q8024" s="12" t="s">
        <v>36</v>
      </c>
      <c r="R8024" s="12" t="s">
        <v>36</v>
      </c>
      <c r="S8024" s="12" t="s">
        <v>36</v>
      </c>
      <c r="T8024" s="12" t="s">
        <v>9726</v>
      </c>
      <c r="U8024" s="12" t="s">
        <v>318</v>
      </c>
      <c r="V8024" s="12" t="s">
        <v>39</v>
      </c>
      <c r="W8024" s="12" t="s">
        <v>35193</v>
      </c>
      <c r="X8024" s="16" t="s">
        <v>18222</v>
      </c>
      <c r="Y8024" s="15" t="s">
        <v>42</v>
      </c>
      <c r="Z8024" s="14">
        <v>0.66</v>
      </c>
      <c r="AA8024" s="14">
        <v>2.37</v>
      </c>
      <c r="AB8024" s="12" t="s">
        <v>56</v>
      </c>
      <c r="AC8024" s="12" t="s">
        <v>35194</v>
      </c>
      <c r="AD8024" s="13">
        <v>41456</v>
      </c>
      <c r="AE8024" s="12" t="s">
        <v>323</v>
      </c>
      <c r="AF8024" s="12" t="s">
        <v>118</v>
      </c>
      <c r="AG8024" s="12" t="s">
        <v>186</v>
      </c>
      <c r="AH8024" s="1">
        <f>HYPERLINK("https://my.pitchbook.com?c=138862-90T","View Company Online")</f>
      </c>
    </row>
    <row r="8025">
      <c r="A8025" s="3" t="s">
        <v>35195</v>
      </c>
      <c r="B8025" s="3" t="s">
        <v>31557</v>
      </c>
      <c r="C8025" s="5" t="s">
        <v>36</v>
      </c>
      <c r="D8025" s="5" t="s">
        <v>36</v>
      </c>
      <c r="E8025" s="5" t="s">
        <v>36</v>
      </c>
      <c r="F8025" s="5" t="s">
        <v>36</v>
      </c>
      <c r="G8025" s="6" t="s">
        <v>36</v>
      </c>
      <c r="H8025" s="4" t="s">
        <v>36</v>
      </c>
      <c r="I8025" s="7" t="s">
        <v>36</v>
      </c>
      <c r="J8025" s="3" t="s">
        <v>36</v>
      </c>
      <c r="K8025" s="9" t="s">
        <v>36</v>
      </c>
      <c r="L8025" s="6" t="s">
        <v>36</v>
      </c>
      <c r="M8025" s="3" t="s">
        <v>36</v>
      </c>
      <c r="N8025" s="3" t="s">
        <v>36</v>
      </c>
      <c r="O8025" s="8" t="s">
        <v>36</v>
      </c>
      <c r="P8025" s="3" t="s">
        <v>36</v>
      </c>
      <c r="Q8025" s="3" t="s">
        <v>36</v>
      </c>
      <c r="R8025" s="3" t="s">
        <v>36</v>
      </c>
      <c r="S8025" s="3" t="s">
        <v>36</v>
      </c>
      <c r="T8025" s="3" t="s">
        <v>522</v>
      </c>
      <c r="U8025" s="3" t="s">
        <v>38</v>
      </c>
      <c r="V8025" s="3" t="s">
        <v>39</v>
      </c>
      <c r="W8025" s="3" t="s">
        <v>31558</v>
      </c>
      <c r="X8025" s="10" t="s">
        <v>35196</v>
      </c>
      <c r="Y8025" s="6" t="s">
        <v>42</v>
      </c>
      <c r="Z8025" s="4">
        <v>0.99</v>
      </c>
      <c r="AA8025" s="4" t="s">
        <v>36</v>
      </c>
      <c r="AB8025" s="3" t="s">
        <v>43</v>
      </c>
      <c r="AC8025" s="3" t="s">
        <v>31560</v>
      </c>
      <c r="AD8025" s="9">
        <v>41456</v>
      </c>
      <c r="AE8025" s="3" t="s">
        <v>110</v>
      </c>
      <c r="AF8025" s="3" t="s">
        <v>1842</v>
      </c>
      <c r="AG8025" s="3" t="s">
        <v>741</v>
      </c>
      <c r="AH8025" s="11">
        <f>HYPERLINK("https://my.pitchbook.com?c=34142-05T","View Company Online")</f>
      </c>
    </row>
    <row r="8026">
      <c r="A8026" s="12" t="s">
        <v>35197</v>
      </c>
      <c r="B8026" s="12" t="s">
        <v>35198</v>
      </c>
      <c r="C8026" s="19" t="s">
        <v>36</v>
      </c>
      <c r="D8026" s="19">
        <v>4</v>
      </c>
      <c r="E8026" s="19">
        <v>1</v>
      </c>
      <c r="F8026" s="19">
        <v>6</v>
      </c>
      <c r="G8026" s="15" t="s">
        <v>36</v>
      </c>
      <c r="H8026" s="14" t="s">
        <v>36</v>
      </c>
      <c r="I8026" s="18" t="s">
        <v>36</v>
      </c>
      <c r="J8026" s="12" t="s">
        <v>36</v>
      </c>
      <c r="K8026" s="13" t="s">
        <v>36</v>
      </c>
      <c r="L8026" s="15" t="s">
        <v>36</v>
      </c>
      <c r="M8026" s="12" t="s">
        <v>36</v>
      </c>
      <c r="N8026" s="12" t="s">
        <v>36</v>
      </c>
      <c r="O8026" s="17" t="s">
        <v>36</v>
      </c>
      <c r="P8026" s="12" t="s">
        <v>36</v>
      </c>
      <c r="Q8026" s="12" t="s">
        <v>36</v>
      </c>
      <c r="R8026" s="12" t="s">
        <v>36</v>
      </c>
      <c r="S8026" s="12" t="s">
        <v>36</v>
      </c>
      <c r="T8026" s="12" t="s">
        <v>35199</v>
      </c>
      <c r="U8026" s="12" t="s">
        <v>7149</v>
      </c>
      <c r="V8026" s="12" t="s">
        <v>378</v>
      </c>
      <c r="W8026" s="12" t="s">
        <v>35200</v>
      </c>
      <c r="X8026" s="16" t="s">
        <v>3098</v>
      </c>
      <c r="Y8026" s="15" t="s">
        <v>42</v>
      </c>
      <c r="Z8026" s="14" t="s">
        <v>36</v>
      </c>
      <c r="AA8026" s="14" t="s">
        <v>36</v>
      </c>
      <c r="AB8026" s="12" t="s">
        <v>43</v>
      </c>
      <c r="AC8026" s="12" t="s">
        <v>35201</v>
      </c>
      <c r="AD8026" s="13">
        <v>41456</v>
      </c>
      <c r="AE8026" s="12" t="s">
        <v>8230</v>
      </c>
      <c r="AF8026" s="12" t="s">
        <v>6149</v>
      </c>
      <c r="AG8026" s="12" t="s">
        <v>35202</v>
      </c>
      <c r="AH8026" s="1">
        <f>HYPERLINK("https://my.pitchbook.com?c=160591-78T","View Company Online")</f>
      </c>
    </row>
    <row r="8027">
      <c r="A8027" s="3" t="s">
        <v>35203</v>
      </c>
      <c r="B8027" s="3" t="s">
        <v>8128</v>
      </c>
      <c r="C8027" s="5">
        <v>4</v>
      </c>
      <c r="D8027" s="5">
        <v>33</v>
      </c>
      <c r="E8027" s="5">
        <v>9</v>
      </c>
      <c r="F8027" s="5">
        <v>45</v>
      </c>
      <c r="G8027" s="6" t="s">
        <v>326</v>
      </c>
      <c r="H8027" s="4">
        <v>181.98</v>
      </c>
      <c r="I8027" s="7">
        <v>45.66</v>
      </c>
      <c r="J8027" s="3" t="s">
        <v>521</v>
      </c>
      <c r="K8027" s="9">
        <v>41425</v>
      </c>
      <c r="L8027" s="6" t="s">
        <v>94</v>
      </c>
      <c r="M8027" s="3" t="s">
        <v>36</v>
      </c>
      <c r="N8027" s="3" t="s">
        <v>94</v>
      </c>
      <c r="O8027" s="8" t="s">
        <v>36</v>
      </c>
      <c r="P8027" s="3" t="s">
        <v>36</v>
      </c>
      <c r="Q8027" s="3" t="s">
        <v>36</v>
      </c>
      <c r="R8027" s="3" t="s">
        <v>36</v>
      </c>
      <c r="S8027" s="3" t="s">
        <v>36</v>
      </c>
      <c r="T8027" s="3" t="s">
        <v>2176</v>
      </c>
      <c r="U8027" s="3" t="s">
        <v>51</v>
      </c>
      <c r="V8027" s="3" t="s">
        <v>52</v>
      </c>
      <c r="W8027" s="3" t="s">
        <v>8129</v>
      </c>
      <c r="X8027" s="10" t="s">
        <v>35204</v>
      </c>
      <c r="Y8027" s="6" t="s">
        <v>108</v>
      </c>
      <c r="Z8027" s="4">
        <v>5.01</v>
      </c>
      <c r="AA8027" s="4">
        <v>7.48</v>
      </c>
      <c r="AB8027" s="3" t="s">
        <v>43</v>
      </c>
      <c r="AC8027" s="3" t="s">
        <v>8131</v>
      </c>
      <c r="AD8027" s="9">
        <v>41456</v>
      </c>
      <c r="AE8027" s="3" t="s">
        <v>158</v>
      </c>
      <c r="AF8027" s="3" t="s">
        <v>8132</v>
      </c>
      <c r="AG8027" s="3" t="s">
        <v>81</v>
      </c>
      <c r="AH8027" s="11">
        <f>HYPERLINK("https://my.pitchbook.com?c=27190-45T","View Company Online")</f>
      </c>
    </row>
    <row r="8028">
      <c r="A8028" s="12" t="s">
        <v>35205</v>
      </c>
      <c r="B8028" s="12" t="s">
        <v>35206</v>
      </c>
      <c r="C8028" s="19" t="s">
        <v>36</v>
      </c>
      <c r="D8028" s="19" t="s">
        <v>36</v>
      </c>
      <c r="E8028" s="19" t="s">
        <v>36</v>
      </c>
      <c r="F8028" s="19" t="s">
        <v>36</v>
      </c>
      <c r="G8028" s="15" t="s">
        <v>36</v>
      </c>
      <c r="H8028" s="14" t="s">
        <v>36</v>
      </c>
      <c r="I8028" s="18" t="s">
        <v>36</v>
      </c>
      <c r="J8028" s="12" t="s">
        <v>36</v>
      </c>
      <c r="K8028" s="13" t="s">
        <v>36</v>
      </c>
      <c r="L8028" s="15" t="s">
        <v>36</v>
      </c>
      <c r="M8028" s="12" t="s">
        <v>36</v>
      </c>
      <c r="N8028" s="12" t="s">
        <v>36</v>
      </c>
      <c r="O8028" s="17" t="s">
        <v>36</v>
      </c>
      <c r="P8028" s="12" t="s">
        <v>36</v>
      </c>
      <c r="Q8028" s="12" t="s">
        <v>36</v>
      </c>
      <c r="R8028" s="12" t="s">
        <v>36</v>
      </c>
      <c r="S8028" s="12" t="s">
        <v>36</v>
      </c>
      <c r="T8028" s="12" t="s">
        <v>35207</v>
      </c>
      <c r="U8028" s="12" t="s">
        <v>833</v>
      </c>
      <c r="V8028" s="12" t="s">
        <v>64</v>
      </c>
      <c r="W8028" s="12" t="s">
        <v>35208</v>
      </c>
      <c r="X8028" s="16" t="s">
        <v>3098</v>
      </c>
      <c r="Y8028" s="15" t="s">
        <v>42</v>
      </c>
      <c r="Z8028" s="14" t="s">
        <v>36</v>
      </c>
      <c r="AA8028" s="14" t="s">
        <v>36</v>
      </c>
      <c r="AB8028" s="12" t="s">
        <v>43</v>
      </c>
      <c r="AC8028" s="12" t="s">
        <v>35209</v>
      </c>
      <c r="AD8028" s="13">
        <v>41456</v>
      </c>
      <c r="AE8028" s="12" t="s">
        <v>1687</v>
      </c>
      <c r="AF8028" s="12" t="s">
        <v>2118</v>
      </c>
      <c r="AG8028" s="12" t="s">
        <v>81</v>
      </c>
      <c r="AH8028" s="1">
        <f>HYPERLINK("https://my.pitchbook.com?c=71895-16T","View Company Online")</f>
      </c>
    </row>
    <row r="8029">
      <c r="A8029" s="3" t="s">
        <v>35210</v>
      </c>
      <c r="B8029" s="3" t="s">
        <v>35211</v>
      </c>
      <c r="C8029" s="5" t="s">
        <v>36</v>
      </c>
      <c r="D8029" s="5" t="s">
        <v>36</v>
      </c>
      <c r="E8029" s="5" t="s">
        <v>36</v>
      </c>
      <c r="F8029" s="5" t="s">
        <v>36</v>
      </c>
      <c r="G8029" s="6" t="s">
        <v>36</v>
      </c>
      <c r="H8029" s="4" t="s">
        <v>36</v>
      </c>
      <c r="I8029" s="7" t="s">
        <v>36</v>
      </c>
      <c r="J8029" s="3" t="s">
        <v>36</v>
      </c>
      <c r="K8029" s="9" t="s">
        <v>36</v>
      </c>
      <c r="L8029" s="6" t="s">
        <v>36</v>
      </c>
      <c r="M8029" s="3" t="s">
        <v>36</v>
      </c>
      <c r="N8029" s="3" t="s">
        <v>36</v>
      </c>
      <c r="O8029" s="8" t="s">
        <v>36</v>
      </c>
      <c r="P8029" s="3" t="s">
        <v>36</v>
      </c>
      <c r="Q8029" s="3" t="s">
        <v>36</v>
      </c>
      <c r="R8029" s="3" t="s">
        <v>36</v>
      </c>
      <c r="S8029" s="3" t="s">
        <v>36</v>
      </c>
      <c r="T8029" s="3" t="s">
        <v>30454</v>
      </c>
      <c r="U8029" s="3" t="s">
        <v>233</v>
      </c>
      <c r="V8029" s="3" t="s">
        <v>39</v>
      </c>
      <c r="W8029" s="3" t="s">
        <v>35212</v>
      </c>
      <c r="X8029" s="10" t="s">
        <v>35213</v>
      </c>
      <c r="Y8029" s="6" t="s">
        <v>108</v>
      </c>
      <c r="Z8029" s="4">
        <v>7.91</v>
      </c>
      <c r="AA8029" s="4" t="s">
        <v>36</v>
      </c>
      <c r="AB8029" s="3" t="s">
        <v>56</v>
      </c>
      <c r="AC8029" s="3" t="s">
        <v>35214</v>
      </c>
      <c r="AD8029" s="9">
        <v>41453</v>
      </c>
      <c r="AE8029" s="3" t="s">
        <v>12061</v>
      </c>
      <c r="AF8029" s="3" t="s">
        <v>4552</v>
      </c>
      <c r="AG8029" s="3" t="s">
        <v>81</v>
      </c>
      <c r="AH8029" s="11">
        <f>HYPERLINK("https://my.pitchbook.com?c=27048-16T","View Company Online")</f>
      </c>
    </row>
    <row r="8030">
      <c r="A8030" s="12" t="s">
        <v>35215</v>
      </c>
      <c r="B8030" s="12" t="s">
        <v>21838</v>
      </c>
      <c r="C8030" s="19" t="s">
        <v>36</v>
      </c>
      <c r="D8030" s="19" t="s">
        <v>36</v>
      </c>
      <c r="E8030" s="19" t="s">
        <v>36</v>
      </c>
      <c r="F8030" s="19" t="s">
        <v>36</v>
      </c>
      <c r="G8030" s="15" t="s">
        <v>36</v>
      </c>
      <c r="H8030" s="14" t="s">
        <v>36</v>
      </c>
      <c r="I8030" s="18" t="s">
        <v>36</v>
      </c>
      <c r="J8030" s="12" t="s">
        <v>36</v>
      </c>
      <c r="K8030" s="13" t="s">
        <v>36</v>
      </c>
      <c r="L8030" s="15" t="s">
        <v>36</v>
      </c>
      <c r="M8030" s="12" t="s">
        <v>36</v>
      </c>
      <c r="N8030" s="12" t="s">
        <v>36</v>
      </c>
      <c r="O8030" s="17" t="s">
        <v>36</v>
      </c>
      <c r="P8030" s="12" t="s">
        <v>36</v>
      </c>
      <c r="Q8030" s="12" t="s">
        <v>36</v>
      </c>
      <c r="R8030" s="12" t="s">
        <v>36</v>
      </c>
      <c r="S8030" s="12" t="s">
        <v>36</v>
      </c>
      <c r="T8030" s="12" t="s">
        <v>7415</v>
      </c>
      <c r="U8030" s="12" t="s">
        <v>38</v>
      </c>
      <c r="V8030" s="12" t="s">
        <v>39</v>
      </c>
      <c r="W8030" s="12" t="s">
        <v>21839</v>
      </c>
      <c r="X8030" s="16" t="s">
        <v>35216</v>
      </c>
      <c r="Y8030" s="15" t="s">
        <v>42</v>
      </c>
      <c r="Z8030" s="14">
        <v>3.95</v>
      </c>
      <c r="AA8030" s="14" t="s">
        <v>36</v>
      </c>
      <c r="AB8030" s="12" t="s">
        <v>56</v>
      </c>
      <c r="AC8030" s="12" t="s">
        <v>21841</v>
      </c>
      <c r="AD8030" s="13">
        <v>41450</v>
      </c>
      <c r="AE8030" s="12" t="s">
        <v>1422</v>
      </c>
      <c r="AF8030" s="12" t="s">
        <v>7239</v>
      </c>
      <c r="AG8030" s="12" t="s">
        <v>47</v>
      </c>
      <c r="AH8030" s="1">
        <f>HYPERLINK("https://my.pitchbook.com?c=28362-43T","View Company Online")</f>
      </c>
    </row>
    <row r="8031">
      <c r="A8031" s="3" t="s">
        <v>35217</v>
      </c>
      <c r="B8031" s="3" t="s">
        <v>35218</v>
      </c>
      <c r="C8031" s="5">
        <v>15</v>
      </c>
      <c r="D8031" s="5">
        <v>40</v>
      </c>
      <c r="E8031" s="5">
        <v>18</v>
      </c>
      <c r="F8031" s="5">
        <v>86</v>
      </c>
      <c r="G8031" s="6" t="s">
        <v>36</v>
      </c>
      <c r="H8031" s="4" t="s">
        <v>36</v>
      </c>
      <c r="I8031" s="7" t="s">
        <v>36</v>
      </c>
      <c r="J8031" s="3" t="s">
        <v>36</v>
      </c>
      <c r="K8031" s="9" t="s">
        <v>36</v>
      </c>
      <c r="L8031" s="6" t="s">
        <v>36</v>
      </c>
      <c r="M8031" s="3" t="s">
        <v>36</v>
      </c>
      <c r="N8031" s="3" t="s">
        <v>36</v>
      </c>
      <c r="O8031" s="8" t="s">
        <v>36</v>
      </c>
      <c r="P8031" s="3" t="s">
        <v>36</v>
      </c>
      <c r="Q8031" s="3" t="s">
        <v>36</v>
      </c>
      <c r="R8031" s="3" t="s">
        <v>36</v>
      </c>
      <c r="S8031" s="3" t="s">
        <v>36</v>
      </c>
      <c r="T8031" s="3" t="s">
        <v>1125</v>
      </c>
      <c r="U8031" s="3" t="s">
        <v>74</v>
      </c>
      <c r="V8031" s="3" t="s">
        <v>75</v>
      </c>
      <c r="W8031" s="3" t="s">
        <v>35219</v>
      </c>
      <c r="X8031" s="10" t="s">
        <v>35220</v>
      </c>
      <c r="Y8031" s="6" t="s">
        <v>108</v>
      </c>
      <c r="Z8031" s="4">
        <v>12.24</v>
      </c>
      <c r="AA8031" s="4" t="s">
        <v>36</v>
      </c>
      <c r="AB8031" s="3" t="s">
        <v>56</v>
      </c>
      <c r="AC8031" s="3" t="s">
        <v>35221</v>
      </c>
      <c r="AD8031" s="9">
        <v>41449</v>
      </c>
      <c r="AE8031" s="3" t="s">
        <v>975</v>
      </c>
      <c r="AF8031" s="3" t="s">
        <v>1969</v>
      </c>
      <c r="AG8031" s="3" t="s">
        <v>35222</v>
      </c>
      <c r="AH8031" s="11">
        <f>HYPERLINK("https://my.pitchbook.com?c=35618-32T","View Company Online")</f>
      </c>
    </row>
    <row r="8032">
      <c r="A8032" s="12" t="s">
        <v>35223</v>
      </c>
      <c r="B8032" s="12" t="s">
        <v>30041</v>
      </c>
      <c r="C8032" s="19" t="s">
        <v>36</v>
      </c>
      <c r="D8032" s="19">
        <v>7</v>
      </c>
      <c r="E8032" s="19">
        <v>5</v>
      </c>
      <c r="F8032" s="19">
        <v>14</v>
      </c>
      <c r="G8032" s="15" t="s">
        <v>36</v>
      </c>
      <c r="H8032" s="14">
        <v>233.68</v>
      </c>
      <c r="I8032" s="18">
        <v>23.04</v>
      </c>
      <c r="J8032" s="12" t="s">
        <v>521</v>
      </c>
      <c r="K8032" s="13">
        <v>40921</v>
      </c>
      <c r="L8032" s="15" t="s">
        <v>36</v>
      </c>
      <c r="M8032" s="12" t="s">
        <v>36</v>
      </c>
      <c r="N8032" s="12" t="s">
        <v>36</v>
      </c>
      <c r="O8032" s="17" t="s">
        <v>36</v>
      </c>
      <c r="P8032" s="12" t="s">
        <v>36</v>
      </c>
      <c r="Q8032" s="12" t="s">
        <v>36</v>
      </c>
      <c r="R8032" s="12" t="s">
        <v>36</v>
      </c>
      <c r="S8032" s="12" t="s">
        <v>36</v>
      </c>
      <c r="T8032" s="12" t="s">
        <v>30042</v>
      </c>
      <c r="U8032" s="12" t="s">
        <v>74</v>
      </c>
      <c r="V8032" s="12" t="s">
        <v>75</v>
      </c>
      <c r="W8032" s="12" t="s">
        <v>30043</v>
      </c>
      <c r="X8032" s="16" t="s">
        <v>6176</v>
      </c>
      <c r="Y8032" s="15" t="s">
        <v>42</v>
      </c>
      <c r="Z8032" s="14">
        <v>0.1</v>
      </c>
      <c r="AA8032" s="14">
        <v>0.43</v>
      </c>
      <c r="AB8032" s="12" t="s">
        <v>43</v>
      </c>
      <c r="AC8032" s="12" t="s">
        <v>30045</v>
      </c>
      <c r="AD8032" s="13">
        <v>41449</v>
      </c>
      <c r="AE8032" s="12" t="s">
        <v>975</v>
      </c>
      <c r="AF8032" s="12" t="s">
        <v>36</v>
      </c>
      <c r="AG8032" s="12" t="s">
        <v>144</v>
      </c>
      <c r="AH8032" s="1">
        <f>HYPERLINK("https://my.pitchbook.com?c=49827-34T","View Company Online")</f>
      </c>
    </row>
    <row r="8033">
      <c r="A8033" s="3" t="s">
        <v>35224</v>
      </c>
      <c r="B8033" s="3" t="s">
        <v>26366</v>
      </c>
      <c r="C8033" s="5" t="s">
        <v>36</v>
      </c>
      <c r="D8033" s="5" t="s">
        <v>36</v>
      </c>
      <c r="E8033" s="5" t="s">
        <v>36</v>
      </c>
      <c r="F8033" s="5" t="s">
        <v>36</v>
      </c>
      <c r="G8033" s="6" t="s">
        <v>36</v>
      </c>
      <c r="H8033" s="4">
        <v>3.62</v>
      </c>
      <c r="I8033" s="7">
        <v>24.34</v>
      </c>
      <c r="J8033" s="3" t="s">
        <v>521</v>
      </c>
      <c r="K8033" s="9" t="s">
        <v>36</v>
      </c>
      <c r="L8033" s="6" t="s">
        <v>122</v>
      </c>
      <c r="M8033" s="3" t="s">
        <v>36</v>
      </c>
      <c r="N8033" s="3" t="s">
        <v>122</v>
      </c>
      <c r="O8033" s="8" t="s">
        <v>36</v>
      </c>
      <c r="P8033" s="3" t="s">
        <v>36</v>
      </c>
      <c r="Q8033" s="3" t="s">
        <v>36</v>
      </c>
      <c r="R8033" s="3" t="s">
        <v>36</v>
      </c>
      <c r="S8033" s="3" t="s">
        <v>36</v>
      </c>
      <c r="T8033" s="3" t="s">
        <v>7351</v>
      </c>
      <c r="U8033" s="3" t="s">
        <v>728</v>
      </c>
      <c r="V8033" s="3" t="s">
        <v>64</v>
      </c>
      <c r="W8033" s="3" t="s">
        <v>26367</v>
      </c>
      <c r="X8033" s="10" t="s">
        <v>35225</v>
      </c>
      <c r="Y8033" s="6" t="s">
        <v>42</v>
      </c>
      <c r="Z8033" s="4">
        <v>3.28</v>
      </c>
      <c r="AA8033" s="4">
        <v>12.11</v>
      </c>
      <c r="AB8033" s="3" t="s">
        <v>43</v>
      </c>
      <c r="AC8033" s="3" t="s">
        <v>26369</v>
      </c>
      <c r="AD8033" s="9">
        <v>41445</v>
      </c>
      <c r="AE8033" s="3" t="s">
        <v>1600</v>
      </c>
      <c r="AF8033" s="3" t="s">
        <v>2118</v>
      </c>
      <c r="AG8033" s="3" t="s">
        <v>26370</v>
      </c>
      <c r="AH8033" s="11">
        <f>HYPERLINK("https://my.pitchbook.com?c=26661-07T","View Company Online")</f>
      </c>
    </row>
    <row r="8034">
      <c r="A8034" s="12" t="s">
        <v>35226</v>
      </c>
      <c r="B8034" s="12" t="s">
        <v>35227</v>
      </c>
      <c r="C8034" s="19" t="s">
        <v>36</v>
      </c>
      <c r="D8034" s="19" t="s">
        <v>36</v>
      </c>
      <c r="E8034" s="19" t="s">
        <v>36</v>
      </c>
      <c r="F8034" s="19" t="s">
        <v>36</v>
      </c>
      <c r="G8034" s="15" t="s">
        <v>36</v>
      </c>
      <c r="H8034" s="14" t="s">
        <v>36</v>
      </c>
      <c r="I8034" s="18" t="s">
        <v>36</v>
      </c>
      <c r="J8034" s="12" t="s">
        <v>36</v>
      </c>
      <c r="K8034" s="13" t="s">
        <v>36</v>
      </c>
      <c r="L8034" s="15" t="s">
        <v>36</v>
      </c>
      <c r="M8034" s="12" t="s">
        <v>36</v>
      </c>
      <c r="N8034" s="12" t="s">
        <v>36</v>
      </c>
      <c r="O8034" s="17" t="s">
        <v>36</v>
      </c>
      <c r="P8034" s="12" t="s">
        <v>36</v>
      </c>
      <c r="Q8034" s="12" t="s">
        <v>36</v>
      </c>
      <c r="R8034" s="12" t="s">
        <v>36</v>
      </c>
      <c r="S8034" s="12" t="s">
        <v>36</v>
      </c>
      <c r="T8034" s="12" t="s">
        <v>26693</v>
      </c>
      <c r="U8034" s="12" t="s">
        <v>728</v>
      </c>
      <c r="V8034" s="12" t="s">
        <v>64</v>
      </c>
      <c r="W8034" s="12" t="s">
        <v>35228</v>
      </c>
      <c r="X8034" s="16" t="s">
        <v>35229</v>
      </c>
      <c r="Y8034" s="15" t="s">
        <v>108</v>
      </c>
      <c r="Z8034" s="14">
        <v>3.28</v>
      </c>
      <c r="AA8034" s="14" t="s">
        <v>36</v>
      </c>
      <c r="AB8034" s="12" t="s">
        <v>56</v>
      </c>
      <c r="AC8034" s="12" t="s">
        <v>35230</v>
      </c>
      <c r="AD8034" s="13">
        <v>41444</v>
      </c>
      <c r="AE8034" s="12" t="s">
        <v>2154</v>
      </c>
      <c r="AF8034" s="12" t="s">
        <v>36</v>
      </c>
      <c r="AG8034" s="12" t="s">
        <v>47</v>
      </c>
      <c r="AH8034" s="1">
        <f>HYPERLINK("https://my.pitchbook.com?c=30531-07T","View Company Online")</f>
      </c>
    </row>
    <row r="8035">
      <c r="A8035" s="3" t="s">
        <v>35231</v>
      </c>
      <c r="B8035" s="3" t="s">
        <v>35232</v>
      </c>
      <c r="C8035" s="5">
        <v>9</v>
      </c>
      <c r="D8035" s="5">
        <v>58</v>
      </c>
      <c r="E8035" s="5">
        <v>32</v>
      </c>
      <c r="F8035" s="5">
        <v>101</v>
      </c>
      <c r="G8035" s="6" t="s">
        <v>36</v>
      </c>
      <c r="H8035" s="4" t="s">
        <v>36</v>
      </c>
      <c r="I8035" s="7" t="s">
        <v>36</v>
      </c>
      <c r="J8035" s="3" t="s">
        <v>36</v>
      </c>
      <c r="K8035" s="9" t="s">
        <v>36</v>
      </c>
      <c r="L8035" s="6" t="s">
        <v>36</v>
      </c>
      <c r="M8035" s="3" t="s">
        <v>36</v>
      </c>
      <c r="N8035" s="3" t="s">
        <v>36</v>
      </c>
      <c r="O8035" s="8" t="s">
        <v>36</v>
      </c>
      <c r="P8035" s="3" t="s">
        <v>36</v>
      </c>
      <c r="Q8035" s="3" t="s">
        <v>36</v>
      </c>
      <c r="R8035" s="3" t="s">
        <v>36</v>
      </c>
      <c r="S8035" s="3" t="s">
        <v>36</v>
      </c>
      <c r="T8035" s="3" t="s">
        <v>8799</v>
      </c>
      <c r="U8035" s="3" t="s">
        <v>51</v>
      </c>
      <c r="V8035" s="3" t="s">
        <v>52</v>
      </c>
      <c r="W8035" s="3" t="s">
        <v>35233</v>
      </c>
      <c r="X8035" s="10" t="s">
        <v>13138</v>
      </c>
      <c r="Y8035" s="6" t="s">
        <v>42</v>
      </c>
      <c r="Z8035" s="4" t="s">
        <v>36</v>
      </c>
      <c r="AA8035" s="4" t="s">
        <v>36</v>
      </c>
      <c r="AB8035" s="3" t="s">
        <v>56</v>
      </c>
      <c r="AC8035" s="3" t="s">
        <v>35234</v>
      </c>
      <c r="AD8035" s="9">
        <v>41444</v>
      </c>
      <c r="AE8035" s="3" t="s">
        <v>158</v>
      </c>
      <c r="AF8035" s="3" t="s">
        <v>1166</v>
      </c>
      <c r="AG8035" s="3" t="s">
        <v>1362</v>
      </c>
      <c r="AH8035" s="11">
        <f>HYPERLINK("https://my.pitchbook.com?c=225372-70T","View Company Online")</f>
      </c>
    </row>
    <row r="8036">
      <c r="A8036" s="12" t="s">
        <v>35235</v>
      </c>
      <c r="B8036" s="12" t="s">
        <v>32739</v>
      </c>
      <c r="C8036" s="19" t="s">
        <v>36</v>
      </c>
      <c r="D8036" s="19" t="s">
        <v>36</v>
      </c>
      <c r="E8036" s="19" t="s">
        <v>36</v>
      </c>
      <c r="F8036" s="19" t="s">
        <v>36</v>
      </c>
      <c r="G8036" s="15" t="s">
        <v>36</v>
      </c>
      <c r="H8036" s="14" t="s">
        <v>36</v>
      </c>
      <c r="I8036" s="18" t="s">
        <v>36</v>
      </c>
      <c r="J8036" s="12" t="s">
        <v>36</v>
      </c>
      <c r="K8036" s="13" t="s">
        <v>36</v>
      </c>
      <c r="L8036" s="15" t="s">
        <v>36</v>
      </c>
      <c r="M8036" s="12" t="s">
        <v>36</v>
      </c>
      <c r="N8036" s="12" t="s">
        <v>36</v>
      </c>
      <c r="O8036" s="17" t="s">
        <v>36</v>
      </c>
      <c r="P8036" s="12" t="s">
        <v>36</v>
      </c>
      <c r="Q8036" s="12" t="s">
        <v>36</v>
      </c>
      <c r="R8036" s="12" t="s">
        <v>36</v>
      </c>
      <c r="S8036" s="12" t="s">
        <v>36</v>
      </c>
      <c r="T8036" s="12" t="s">
        <v>4412</v>
      </c>
      <c r="U8036" s="12" t="s">
        <v>38</v>
      </c>
      <c r="V8036" s="12" t="s">
        <v>39</v>
      </c>
      <c r="W8036" s="12" t="s">
        <v>32740</v>
      </c>
      <c r="X8036" s="16" t="s">
        <v>35236</v>
      </c>
      <c r="Y8036" s="15" t="s">
        <v>108</v>
      </c>
      <c r="Z8036" s="14">
        <v>3.28</v>
      </c>
      <c r="AA8036" s="14" t="s">
        <v>36</v>
      </c>
      <c r="AB8036" s="12" t="s">
        <v>43</v>
      </c>
      <c r="AC8036" s="12" t="s">
        <v>32742</v>
      </c>
      <c r="AD8036" s="13">
        <v>41444</v>
      </c>
      <c r="AE8036" s="12" t="s">
        <v>688</v>
      </c>
      <c r="AF8036" s="12" t="s">
        <v>1636</v>
      </c>
      <c r="AG8036" s="12" t="s">
        <v>81</v>
      </c>
      <c r="AH8036" s="1">
        <f>HYPERLINK("https://my.pitchbook.com?c=26671-15T","View Company Online")</f>
      </c>
    </row>
    <row r="8037">
      <c r="A8037" s="3" t="s">
        <v>35237</v>
      </c>
      <c r="B8037" s="3" t="s">
        <v>35238</v>
      </c>
      <c r="C8037" s="5" t="s">
        <v>36</v>
      </c>
      <c r="D8037" s="5" t="s">
        <v>36</v>
      </c>
      <c r="E8037" s="5" t="s">
        <v>36</v>
      </c>
      <c r="F8037" s="5" t="s">
        <v>36</v>
      </c>
      <c r="G8037" s="6" t="s">
        <v>36</v>
      </c>
      <c r="H8037" s="4" t="s">
        <v>36</v>
      </c>
      <c r="I8037" s="7" t="s">
        <v>36</v>
      </c>
      <c r="J8037" s="3" t="s">
        <v>36</v>
      </c>
      <c r="K8037" s="9" t="s">
        <v>36</v>
      </c>
      <c r="L8037" s="6" t="s">
        <v>36</v>
      </c>
      <c r="M8037" s="3" t="s">
        <v>36</v>
      </c>
      <c r="N8037" s="3" t="s">
        <v>36</v>
      </c>
      <c r="O8037" s="8" t="s">
        <v>36</v>
      </c>
      <c r="P8037" s="3" t="s">
        <v>36</v>
      </c>
      <c r="Q8037" s="3" t="s">
        <v>36</v>
      </c>
      <c r="R8037" s="3" t="s">
        <v>36</v>
      </c>
      <c r="S8037" s="3" t="s">
        <v>36</v>
      </c>
      <c r="T8037" s="3" t="s">
        <v>35239</v>
      </c>
      <c r="U8037" s="3" t="s">
        <v>1580</v>
      </c>
      <c r="V8037" s="3" t="s">
        <v>39</v>
      </c>
      <c r="W8037" s="3" t="s">
        <v>35240</v>
      </c>
      <c r="X8037" s="10" t="s">
        <v>35241</v>
      </c>
      <c r="Y8037" s="6" t="s">
        <v>42</v>
      </c>
      <c r="Z8037" s="4">
        <v>0.98</v>
      </c>
      <c r="AA8037" s="4" t="s">
        <v>36</v>
      </c>
      <c r="AB8037" s="3" t="s">
        <v>56</v>
      </c>
      <c r="AC8037" s="3" t="s">
        <v>35242</v>
      </c>
      <c r="AD8037" s="9">
        <v>41443</v>
      </c>
      <c r="AE8037" s="3" t="s">
        <v>4086</v>
      </c>
      <c r="AF8037" s="3" t="s">
        <v>24285</v>
      </c>
      <c r="AG8037" s="3" t="s">
        <v>969</v>
      </c>
      <c r="AH8037" s="11">
        <f>HYPERLINK("https://my.pitchbook.com?c=40711-78T","View Company Online")</f>
      </c>
    </row>
    <row r="8038">
      <c r="A8038" s="12" t="s">
        <v>35243</v>
      </c>
      <c r="B8038" s="12" t="s">
        <v>35244</v>
      </c>
      <c r="C8038" s="19" t="s">
        <v>36</v>
      </c>
      <c r="D8038" s="19" t="s">
        <v>36</v>
      </c>
      <c r="E8038" s="19" t="s">
        <v>36</v>
      </c>
      <c r="F8038" s="19" t="s">
        <v>36</v>
      </c>
      <c r="G8038" s="15" t="s">
        <v>36</v>
      </c>
      <c r="H8038" s="14" t="s">
        <v>36</v>
      </c>
      <c r="I8038" s="18" t="s">
        <v>36</v>
      </c>
      <c r="J8038" s="12" t="s">
        <v>36</v>
      </c>
      <c r="K8038" s="13" t="s">
        <v>36</v>
      </c>
      <c r="L8038" s="15" t="s">
        <v>36</v>
      </c>
      <c r="M8038" s="12" t="s">
        <v>36</v>
      </c>
      <c r="N8038" s="12" t="s">
        <v>36</v>
      </c>
      <c r="O8038" s="17" t="s">
        <v>36</v>
      </c>
      <c r="P8038" s="12" t="s">
        <v>36</v>
      </c>
      <c r="Q8038" s="12" t="s">
        <v>36</v>
      </c>
      <c r="R8038" s="12" t="s">
        <v>36</v>
      </c>
      <c r="S8038" s="12" t="s">
        <v>36</v>
      </c>
      <c r="T8038" s="12" t="s">
        <v>27412</v>
      </c>
      <c r="U8038" s="12" t="s">
        <v>648</v>
      </c>
      <c r="V8038" s="12" t="s">
        <v>64</v>
      </c>
      <c r="W8038" s="12" t="s">
        <v>35245</v>
      </c>
      <c r="X8038" s="16" t="s">
        <v>35246</v>
      </c>
      <c r="Y8038" s="15" t="s">
        <v>55</v>
      </c>
      <c r="Z8038" s="14">
        <v>19.66</v>
      </c>
      <c r="AA8038" s="14" t="s">
        <v>36</v>
      </c>
      <c r="AB8038" s="12" t="s">
        <v>56</v>
      </c>
      <c r="AC8038" s="12" t="s">
        <v>35247</v>
      </c>
      <c r="AD8038" s="13">
        <v>41443</v>
      </c>
      <c r="AE8038" s="12" t="s">
        <v>651</v>
      </c>
      <c r="AF8038" s="12" t="s">
        <v>1077</v>
      </c>
      <c r="AG8038" s="12" t="s">
        <v>81</v>
      </c>
      <c r="AH8038" s="1">
        <f>HYPERLINK("https://my.pitchbook.com?c=28795-33T","View Company Online")</f>
      </c>
    </row>
    <row r="8039">
      <c r="A8039" s="3" t="s">
        <v>35248</v>
      </c>
      <c r="B8039" s="3" t="s">
        <v>35249</v>
      </c>
      <c r="C8039" s="5" t="s">
        <v>36</v>
      </c>
      <c r="D8039" s="5" t="s">
        <v>36</v>
      </c>
      <c r="E8039" s="5" t="s">
        <v>36</v>
      </c>
      <c r="F8039" s="5" t="s">
        <v>36</v>
      </c>
      <c r="G8039" s="6" t="s">
        <v>36</v>
      </c>
      <c r="H8039" s="4" t="s">
        <v>36</v>
      </c>
      <c r="I8039" s="7">
        <v>30</v>
      </c>
      <c r="J8039" s="3" t="s">
        <v>521</v>
      </c>
      <c r="K8039" s="9" t="s">
        <v>36</v>
      </c>
      <c r="L8039" s="6" t="s">
        <v>36</v>
      </c>
      <c r="M8039" s="3" t="s">
        <v>36</v>
      </c>
      <c r="N8039" s="3" t="s">
        <v>36</v>
      </c>
      <c r="O8039" s="8" t="s">
        <v>36</v>
      </c>
      <c r="P8039" s="3" t="s">
        <v>36</v>
      </c>
      <c r="Q8039" s="3" t="s">
        <v>36</v>
      </c>
      <c r="R8039" s="3" t="s">
        <v>36</v>
      </c>
      <c r="S8039" s="3" t="s">
        <v>36</v>
      </c>
      <c r="T8039" s="3" t="s">
        <v>35250</v>
      </c>
      <c r="U8039" s="3" t="s">
        <v>1082</v>
      </c>
      <c r="V8039" s="3" t="s">
        <v>378</v>
      </c>
      <c r="W8039" s="3" t="s">
        <v>35251</v>
      </c>
      <c r="X8039" s="10" t="s">
        <v>2130</v>
      </c>
      <c r="Y8039" s="6" t="s">
        <v>42</v>
      </c>
      <c r="Z8039" s="4">
        <v>3.28</v>
      </c>
      <c r="AA8039" s="4">
        <v>10.92</v>
      </c>
      <c r="AB8039" s="3" t="s">
        <v>56</v>
      </c>
      <c r="AC8039" s="3" t="s">
        <v>35252</v>
      </c>
      <c r="AD8039" s="9">
        <v>41443</v>
      </c>
      <c r="AE8039" s="3" t="s">
        <v>10211</v>
      </c>
      <c r="AF8039" s="3" t="s">
        <v>36</v>
      </c>
      <c r="AG8039" s="3" t="s">
        <v>35253</v>
      </c>
      <c r="AH8039" s="11">
        <f>HYPERLINK("https://my.pitchbook.com?c=30539-35T","View Company Online")</f>
      </c>
    </row>
    <row r="8040">
      <c r="A8040" s="12" t="s">
        <v>35254</v>
      </c>
      <c r="B8040" s="12" t="s">
        <v>22058</v>
      </c>
      <c r="C8040" s="19">
        <v>5</v>
      </c>
      <c r="D8040" s="19">
        <v>24</v>
      </c>
      <c r="E8040" s="19">
        <v>19</v>
      </c>
      <c r="F8040" s="19">
        <v>59</v>
      </c>
      <c r="G8040" s="15" t="s">
        <v>36</v>
      </c>
      <c r="H8040" s="14" t="s">
        <v>36</v>
      </c>
      <c r="I8040" s="18" t="s">
        <v>36</v>
      </c>
      <c r="J8040" s="12" t="s">
        <v>36</v>
      </c>
      <c r="K8040" s="13" t="s">
        <v>36</v>
      </c>
      <c r="L8040" s="15" t="s">
        <v>36</v>
      </c>
      <c r="M8040" s="12" t="s">
        <v>36</v>
      </c>
      <c r="N8040" s="12" t="s">
        <v>36</v>
      </c>
      <c r="O8040" s="17" t="s">
        <v>36</v>
      </c>
      <c r="P8040" s="12" t="s">
        <v>36</v>
      </c>
      <c r="Q8040" s="12" t="s">
        <v>36</v>
      </c>
      <c r="R8040" s="12" t="s">
        <v>36</v>
      </c>
      <c r="S8040" s="12" t="s">
        <v>13873</v>
      </c>
      <c r="T8040" s="12" t="s">
        <v>588</v>
      </c>
      <c r="U8040" s="12" t="s">
        <v>318</v>
      </c>
      <c r="V8040" s="12" t="s">
        <v>39</v>
      </c>
      <c r="W8040" s="12" t="s">
        <v>22059</v>
      </c>
      <c r="X8040" s="16" t="s">
        <v>35255</v>
      </c>
      <c r="Y8040" s="15" t="s">
        <v>42</v>
      </c>
      <c r="Z8040" s="14">
        <v>2.62</v>
      </c>
      <c r="AA8040" s="14" t="s">
        <v>36</v>
      </c>
      <c r="AB8040" s="12" t="s">
        <v>56</v>
      </c>
      <c r="AC8040" s="12" t="s">
        <v>22060</v>
      </c>
      <c r="AD8040" s="13">
        <v>41443</v>
      </c>
      <c r="AE8040" s="12" t="s">
        <v>417</v>
      </c>
      <c r="AF8040" s="12" t="s">
        <v>22061</v>
      </c>
      <c r="AG8040" s="12" t="s">
        <v>22062</v>
      </c>
      <c r="AH8040" s="1">
        <f>HYPERLINK("https://my.pitchbook.com?c=88456-96T","View Company Online")</f>
      </c>
    </row>
    <row r="8041">
      <c r="A8041" s="3" t="s">
        <v>35256</v>
      </c>
      <c r="B8041" s="3" t="s">
        <v>35257</v>
      </c>
      <c r="C8041" s="5" t="s">
        <v>36</v>
      </c>
      <c r="D8041" s="5" t="s">
        <v>36</v>
      </c>
      <c r="E8041" s="5" t="s">
        <v>36</v>
      </c>
      <c r="F8041" s="5" t="s">
        <v>36</v>
      </c>
      <c r="G8041" s="6" t="s">
        <v>36</v>
      </c>
      <c r="H8041" s="4" t="s">
        <v>36</v>
      </c>
      <c r="I8041" s="7" t="s">
        <v>36</v>
      </c>
      <c r="J8041" s="3" t="s">
        <v>36</v>
      </c>
      <c r="K8041" s="9" t="s">
        <v>36</v>
      </c>
      <c r="L8041" s="6" t="s">
        <v>36</v>
      </c>
      <c r="M8041" s="3" t="s">
        <v>36</v>
      </c>
      <c r="N8041" s="3" t="s">
        <v>36</v>
      </c>
      <c r="O8041" s="8" t="s">
        <v>36</v>
      </c>
      <c r="P8041" s="3" t="s">
        <v>36</v>
      </c>
      <c r="Q8041" s="3" t="s">
        <v>36</v>
      </c>
      <c r="R8041" s="3" t="s">
        <v>36</v>
      </c>
      <c r="S8041" s="3" t="s">
        <v>36</v>
      </c>
      <c r="T8041" s="3" t="s">
        <v>35258</v>
      </c>
      <c r="U8041" s="3" t="s">
        <v>648</v>
      </c>
      <c r="V8041" s="3" t="s">
        <v>64</v>
      </c>
      <c r="W8041" s="3" t="s">
        <v>35259</v>
      </c>
      <c r="X8041" s="10" t="s">
        <v>35260</v>
      </c>
      <c r="Y8041" s="6" t="s">
        <v>55</v>
      </c>
      <c r="Z8041" s="4">
        <v>0.52</v>
      </c>
      <c r="AA8041" s="4" t="s">
        <v>36</v>
      </c>
      <c r="AB8041" s="3" t="s">
        <v>43</v>
      </c>
      <c r="AC8041" s="3" t="s">
        <v>35261</v>
      </c>
      <c r="AD8041" s="9">
        <v>41443</v>
      </c>
      <c r="AE8041" s="3" t="s">
        <v>1897</v>
      </c>
      <c r="AF8041" s="3" t="s">
        <v>4552</v>
      </c>
      <c r="AG8041" s="3" t="s">
        <v>81</v>
      </c>
      <c r="AH8041" s="11">
        <f>HYPERLINK("https://my.pitchbook.com?c=28751-41T","View Company Online")</f>
      </c>
    </row>
    <row r="8042">
      <c r="A8042" s="12" t="s">
        <v>35262</v>
      </c>
      <c r="B8042" s="12" t="s">
        <v>35263</v>
      </c>
      <c r="C8042" s="19" t="s">
        <v>36</v>
      </c>
      <c r="D8042" s="19" t="s">
        <v>36</v>
      </c>
      <c r="E8042" s="19" t="s">
        <v>36</v>
      </c>
      <c r="F8042" s="19" t="s">
        <v>36</v>
      </c>
      <c r="G8042" s="15" t="s">
        <v>36</v>
      </c>
      <c r="H8042" s="14" t="s">
        <v>36</v>
      </c>
      <c r="I8042" s="18">
        <v>11.84</v>
      </c>
      <c r="J8042" s="12" t="s">
        <v>327</v>
      </c>
      <c r="K8042" s="13" t="s">
        <v>36</v>
      </c>
      <c r="L8042" s="15" t="s">
        <v>36</v>
      </c>
      <c r="M8042" s="12" t="s">
        <v>36</v>
      </c>
      <c r="N8042" s="12" t="s">
        <v>36</v>
      </c>
      <c r="O8042" s="17" t="s">
        <v>36</v>
      </c>
      <c r="P8042" s="12" t="s">
        <v>36</v>
      </c>
      <c r="Q8042" s="12" t="s">
        <v>36</v>
      </c>
      <c r="R8042" s="12" t="s">
        <v>36</v>
      </c>
      <c r="S8042" s="12" t="s">
        <v>36</v>
      </c>
      <c r="T8042" s="12" t="s">
        <v>1935</v>
      </c>
      <c r="U8042" s="12" t="s">
        <v>38</v>
      </c>
      <c r="V8042" s="12" t="s">
        <v>39</v>
      </c>
      <c r="W8042" s="12" t="s">
        <v>35264</v>
      </c>
      <c r="X8042" s="16" t="s">
        <v>35265</v>
      </c>
      <c r="Y8042" s="15" t="s">
        <v>42</v>
      </c>
      <c r="Z8042" s="14">
        <v>1.31</v>
      </c>
      <c r="AA8042" s="14">
        <v>11.07</v>
      </c>
      <c r="AB8042" s="12" t="s">
        <v>56</v>
      </c>
      <c r="AC8042" s="12" t="s">
        <v>35266</v>
      </c>
      <c r="AD8042" s="13">
        <v>41443</v>
      </c>
      <c r="AE8042" s="12" t="s">
        <v>45</v>
      </c>
      <c r="AF8042" s="12" t="s">
        <v>215</v>
      </c>
      <c r="AG8042" s="12" t="s">
        <v>81</v>
      </c>
      <c r="AH8042" s="1">
        <f>HYPERLINK("https://my.pitchbook.com?c=85247-83T","View Company Online")</f>
      </c>
    </row>
    <row r="8043">
      <c r="A8043" s="3" t="s">
        <v>35267</v>
      </c>
      <c r="B8043" s="3" t="s">
        <v>9346</v>
      </c>
      <c r="C8043" s="5" t="s">
        <v>36</v>
      </c>
      <c r="D8043" s="5" t="s">
        <v>36</v>
      </c>
      <c r="E8043" s="5" t="s">
        <v>36</v>
      </c>
      <c r="F8043" s="5" t="s">
        <v>36</v>
      </c>
      <c r="G8043" s="6" t="s">
        <v>36</v>
      </c>
      <c r="H8043" s="4" t="s">
        <v>36</v>
      </c>
      <c r="I8043" s="7" t="s">
        <v>36</v>
      </c>
      <c r="J8043" s="3" t="s">
        <v>36</v>
      </c>
      <c r="K8043" s="9" t="s">
        <v>36</v>
      </c>
      <c r="L8043" s="6" t="s">
        <v>36</v>
      </c>
      <c r="M8043" s="3" t="s">
        <v>36</v>
      </c>
      <c r="N8043" s="3" t="s">
        <v>36</v>
      </c>
      <c r="O8043" s="8" t="s">
        <v>36</v>
      </c>
      <c r="P8043" s="3" t="s">
        <v>36</v>
      </c>
      <c r="Q8043" s="3" t="s">
        <v>36</v>
      </c>
      <c r="R8043" s="3" t="s">
        <v>36</v>
      </c>
      <c r="S8043" s="3" t="s">
        <v>36</v>
      </c>
      <c r="T8043" s="3" t="s">
        <v>1701</v>
      </c>
      <c r="U8043" s="3" t="s">
        <v>74</v>
      </c>
      <c r="V8043" s="3" t="s">
        <v>75</v>
      </c>
      <c r="W8043" s="3" t="s">
        <v>9347</v>
      </c>
      <c r="X8043" s="10" t="s">
        <v>35268</v>
      </c>
      <c r="Y8043" s="6" t="s">
        <v>42</v>
      </c>
      <c r="Z8043" s="4">
        <v>2.08</v>
      </c>
      <c r="AA8043" s="4" t="s">
        <v>36</v>
      </c>
      <c r="AB8043" s="3" t="s">
        <v>43</v>
      </c>
      <c r="AC8043" s="3" t="s">
        <v>9349</v>
      </c>
      <c r="AD8043" s="9">
        <v>41440</v>
      </c>
      <c r="AE8043" s="3" t="s">
        <v>79</v>
      </c>
      <c r="AF8043" s="3" t="s">
        <v>905</v>
      </c>
      <c r="AG8043" s="3" t="s">
        <v>81</v>
      </c>
      <c r="AH8043" s="11">
        <f>HYPERLINK("https://my.pitchbook.com?c=43994-35T","View Company Online")</f>
      </c>
    </row>
    <row r="8044">
      <c r="A8044" s="12" t="s">
        <v>35269</v>
      </c>
      <c r="B8044" s="12" t="s">
        <v>31322</v>
      </c>
      <c r="C8044" s="19" t="s">
        <v>36</v>
      </c>
      <c r="D8044" s="19" t="s">
        <v>36</v>
      </c>
      <c r="E8044" s="19" t="s">
        <v>36</v>
      </c>
      <c r="F8044" s="19" t="s">
        <v>36</v>
      </c>
      <c r="G8044" s="15" t="s">
        <v>2497</v>
      </c>
      <c r="H8044" s="14">
        <v>9.58</v>
      </c>
      <c r="I8044" s="18">
        <v>11.56</v>
      </c>
      <c r="J8044" s="12" t="s">
        <v>521</v>
      </c>
      <c r="K8044" s="13" t="s">
        <v>36</v>
      </c>
      <c r="L8044" s="15" t="s">
        <v>36</v>
      </c>
      <c r="M8044" s="12" t="s">
        <v>36</v>
      </c>
      <c r="N8044" s="12" t="s">
        <v>36</v>
      </c>
      <c r="O8044" s="17" t="s">
        <v>36</v>
      </c>
      <c r="P8044" s="12" t="s">
        <v>36</v>
      </c>
      <c r="Q8044" s="12" t="s">
        <v>36</v>
      </c>
      <c r="R8044" s="12" t="s">
        <v>36</v>
      </c>
      <c r="S8044" s="12" t="s">
        <v>36</v>
      </c>
      <c r="T8044" s="12" t="s">
        <v>31323</v>
      </c>
      <c r="U8044" s="12" t="s">
        <v>728</v>
      </c>
      <c r="V8044" s="12" t="s">
        <v>64</v>
      </c>
      <c r="W8044" s="12" t="s">
        <v>31324</v>
      </c>
      <c r="X8044" s="16" t="s">
        <v>35270</v>
      </c>
      <c r="Y8044" s="15" t="s">
        <v>108</v>
      </c>
      <c r="Z8044" s="14">
        <v>0.41</v>
      </c>
      <c r="AA8044" s="14">
        <v>3.54</v>
      </c>
      <c r="AB8044" s="12" t="s">
        <v>43</v>
      </c>
      <c r="AC8044" s="12" t="s">
        <v>31326</v>
      </c>
      <c r="AD8044" s="13">
        <v>41439</v>
      </c>
      <c r="AE8044" s="12" t="s">
        <v>2154</v>
      </c>
      <c r="AF8044" s="12" t="s">
        <v>2118</v>
      </c>
      <c r="AG8044" s="12" t="s">
        <v>969</v>
      </c>
      <c r="AH8044" s="1">
        <f>HYPERLINK("https://my.pitchbook.com?c=76729-42T","View Company Online")</f>
      </c>
    </row>
    <row r="8045">
      <c r="A8045" s="3" t="s">
        <v>35271</v>
      </c>
      <c r="B8045" s="3" t="s">
        <v>35272</v>
      </c>
      <c r="C8045" s="5" t="s">
        <v>36</v>
      </c>
      <c r="D8045" s="5" t="s">
        <v>36</v>
      </c>
      <c r="E8045" s="5">
        <v>1</v>
      </c>
      <c r="F8045" s="5">
        <v>1</v>
      </c>
      <c r="G8045" s="6" t="s">
        <v>326</v>
      </c>
      <c r="H8045" s="4">
        <v>10.39</v>
      </c>
      <c r="I8045" s="7">
        <v>9.25</v>
      </c>
      <c r="J8045" s="3" t="s">
        <v>521</v>
      </c>
      <c r="K8045" s="9" t="s">
        <v>36</v>
      </c>
      <c r="L8045" s="6" t="s">
        <v>36</v>
      </c>
      <c r="M8045" s="3" t="s">
        <v>36</v>
      </c>
      <c r="N8045" s="3" t="s">
        <v>36</v>
      </c>
      <c r="O8045" s="8" t="s">
        <v>36</v>
      </c>
      <c r="P8045" s="3" t="s">
        <v>36</v>
      </c>
      <c r="Q8045" s="3" t="s">
        <v>36</v>
      </c>
      <c r="R8045" s="3" t="s">
        <v>36</v>
      </c>
      <c r="S8045" s="3" t="s">
        <v>36</v>
      </c>
      <c r="T8045" s="3" t="s">
        <v>35273</v>
      </c>
      <c r="U8045" s="3" t="s">
        <v>74</v>
      </c>
      <c r="V8045" s="3" t="s">
        <v>75</v>
      </c>
      <c r="W8045" s="3" t="s">
        <v>35274</v>
      </c>
      <c r="X8045" s="10" t="s">
        <v>2130</v>
      </c>
      <c r="Y8045" s="6" t="s">
        <v>42</v>
      </c>
      <c r="Z8045" s="4">
        <v>1.56</v>
      </c>
      <c r="AA8045" s="4">
        <v>16.89</v>
      </c>
      <c r="AB8045" s="3" t="s">
        <v>56</v>
      </c>
      <c r="AC8045" s="3" t="s">
        <v>35275</v>
      </c>
      <c r="AD8045" s="9">
        <v>41439</v>
      </c>
      <c r="AE8045" s="3" t="s">
        <v>79</v>
      </c>
      <c r="AF8045" s="3" t="s">
        <v>34874</v>
      </c>
      <c r="AG8045" s="3" t="s">
        <v>81</v>
      </c>
      <c r="AH8045" s="11">
        <f>HYPERLINK("https://my.pitchbook.com?c=30540-34T","View Company Online")</f>
      </c>
    </row>
    <row r="8046">
      <c r="A8046" s="12" t="s">
        <v>35276</v>
      </c>
      <c r="B8046" s="12" t="s">
        <v>25170</v>
      </c>
      <c r="C8046" s="19" t="s">
        <v>36</v>
      </c>
      <c r="D8046" s="19" t="s">
        <v>36</v>
      </c>
      <c r="E8046" s="19" t="s">
        <v>36</v>
      </c>
      <c r="F8046" s="19" t="s">
        <v>36</v>
      </c>
      <c r="G8046" s="15" t="s">
        <v>2497</v>
      </c>
      <c r="H8046" s="14" t="s">
        <v>36</v>
      </c>
      <c r="I8046" s="18">
        <v>33.33</v>
      </c>
      <c r="J8046" s="12" t="s">
        <v>327</v>
      </c>
      <c r="K8046" s="13" t="s">
        <v>36</v>
      </c>
      <c r="L8046" s="15" t="s">
        <v>36</v>
      </c>
      <c r="M8046" s="12" t="s">
        <v>36</v>
      </c>
      <c r="N8046" s="12" t="s">
        <v>36</v>
      </c>
      <c r="O8046" s="17" t="s">
        <v>36</v>
      </c>
      <c r="P8046" s="12" t="s">
        <v>36</v>
      </c>
      <c r="Q8046" s="12" t="s">
        <v>36</v>
      </c>
      <c r="R8046" s="12" t="s">
        <v>36</v>
      </c>
      <c r="S8046" s="12" t="s">
        <v>36</v>
      </c>
      <c r="T8046" s="12" t="s">
        <v>25171</v>
      </c>
      <c r="U8046" s="12" t="s">
        <v>38</v>
      </c>
      <c r="V8046" s="12" t="s">
        <v>39</v>
      </c>
      <c r="W8046" s="12" t="s">
        <v>25172</v>
      </c>
      <c r="X8046" s="16" t="s">
        <v>11579</v>
      </c>
      <c r="Y8046" s="15" t="s">
        <v>108</v>
      </c>
      <c r="Z8046" s="14">
        <v>0.39</v>
      </c>
      <c r="AA8046" s="14">
        <v>1.17</v>
      </c>
      <c r="AB8046" s="12" t="s">
        <v>43</v>
      </c>
      <c r="AC8046" s="12" t="s">
        <v>25174</v>
      </c>
      <c r="AD8046" s="13">
        <v>41439</v>
      </c>
      <c r="AE8046" s="12" t="s">
        <v>110</v>
      </c>
      <c r="AF8046" s="12" t="s">
        <v>17475</v>
      </c>
      <c r="AG8046" s="12" t="s">
        <v>6368</v>
      </c>
      <c r="AH8046" s="1">
        <f>HYPERLINK("https://my.pitchbook.com?c=85068-82T","View Company Online")</f>
      </c>
    </row>
    <row r="8047">
      <c r="A8047" s="3" t="s">
        <v>35277</v>
      </c>
      <c r="B8047" s="3" t="s">
        <v>35278</v>
      </c>
      <c r="C8047" s="5" t="s">
        <v>36</v>
      </c>
      <c r="D8047" s="5" t="s">
        <v>36</v>
      </c>
      <c r="E8047" s="5" t="s">
        <v>36</v>
      </c>
      <c r="F8047" s="5" t="s">
        <v>36</v>
      </c>
      <c r="G8047" s="6" t="s">
        <v>36</v>
      </c>
      <c r="H8047" s="4">
        <v>10.39</v>
      </c>
      <c r="I8047" s="7">
        <v>29.94</v>
      </c>
      <c r="J8047" s="3" t="s">
        <v>521</v>
      </c>
      <c r="K8047" s="9">
        <v>41408</v>
      </c>
      <c r="L8047" s="6" t="s">
        <v>36</v>
      </c>
      <c r="M8047" s="3" t="s">
        <v>36</v>
      </c>
      <c r="N8047" s="3" t="s">
        <v>36</v>
      </c>
      <c r="O8047" s="8" t="s">
        <v>36</v>
      </c>
      <c r="P8047" s="3" t="s">
        <v>36</v>
      </c>
      <c r="Q8047" s="3" t="s">
        <v>36</v>
      </c>
      <c r="R8047" s="3" t="s">
        <v>36</v>
      </c>
      <c r="S8047" s="3" t="s">
        <v>36</v>
      </c>
      <c r="T8047" s="3" t="s">
        <v>35279</v>
      </c>
      <c r="U8047" s="3" t="s">
        <v>63</v>
      </c>
      <c r="V8047" s="3" t="s">
        <v>64</v>
      </c>
      <c r="W8047" s="3" t="s">
        <v>35280</v>
      </c>
      <c r="X8047" s="10" t="s">
        <v>35281</v>
      </c>
      <c r="Y8047" s="6" t="s">
        <v>42</v>
      </c>
      <c r="Z8047" s="4">
        <v>1.95</v>
      </c>
      <c r="AA8047" s="4">
        <v>6.51</v>
      </c>
      <c r="AB8047" s="3" t="s">
        <v>43</v>
      </c>
      <c r="AC8047" s="3" t="s">
        <v>35282</v>
      </c>
      <c r="AD8047" s="9">
        <v>41438</v>
      </c>
      <c r="AE8047" s="3" t="s">
        <v>399</v>
      </c>
      <c r="AF8047" s="3" t="s">
        <v>36</v>
      </c>
      <c r="AG8047" s="3" t="s">
        <v>81</v>
      </c>
      <c r="AH8047" s="11">
        <f>HYPERLINK("https://my.pitchbook.com?c=30541-24T","View Company Online")</f>
      </c>
    </row>
    <row r="8048">
      <c r="A8048" s="12" t="s">
        <v>35283</v>
      </c>
      <c r="B8048" s="12" t="s">
        <v>34293</v>
      </c>
      <c r="C8048" s="19" t="s">
        <v>36</v>
      </c>
      <c r="D8048" s="19" t="s">
        <v>36</v>
      </c>
      <c r="E8048" s="19" t="s">
        <v>36</v>
      </c>
      <c r="F8048" s="19" t="s">
        <v>36</v>
      </c>
      <c r="G8048" s="15" t="s">
        <v>36</v>
      </c>
      <c r="H8048" s="14" t="s">
        <v>36</v>
      </c>
      <c r="I8048" s="18" t="s">
        <v>36</v>
      </c>
      <c r="J8048" s="12" t="s">
        <v>36</v>
      </c>
      <c r="K8048" s="13" t="s">
        <v>36</v>
      </c>
      <c r="L8048" s="15" t="s">
        <v>36</v>
      </c>
      <c r="M8048" s="12" t="s">
        <v>36</v>
      </c>
      <c r="N8048" s="12" t="s">
        <v>36</v>
      </c>
      <c r="O8048" s="17" t="s">
        <v>36</v>
      </c>
      <c r="P8048" s="12" t="s">
        <v>36</v>
      </c>
      <c r="Q8048" s="12" t="s">
        <v>36</v>
      </c>
      <c r="R8048" s="12" t="s">
        <v>36</v>
      </c>
      <c r="S8048" s="12" t="s">
        <v>36</v>
      </c>
      <c r="T8048" s="12" t="s">
        <v>34294</v>
      </c>
      <c r="U8048" s="12" t="s">
        <v>38</v>
      </c>
      <c r="V8048" s="12" t="s">
        <v>39</v>
      </c>
      <c r="W8048" s="12" t="s">
        <v>34295</v>
      </c>
      <c r="X8048" s="16" t="s">
        <v>35284</v>
      </c>
      <c r="Y8048" s="15" t="s">
        <v>42</v>
      </c>
      <c r="Z8048" s="14">
        <v>0.59</v>
      </c>
      <c r="AA8048" s="14" t="s">
        <v>36</v>
      </c>
      <c r="AB8048" s="12" t="s">
        <v>43</v>
      </c>
      <c r="AC8048" s="12" t="s">
        <v>34296</v>
      </c>
      <c r="AD8048" s="13">
        <v>41437</v>
      </c>
      <c r="AE8048" s="12" t="s">
        <v>110</v>
      </c>
      <c r="AF8048" s="12" t="s">
        <v>30292</v>
      </c>
      <c r="AG8048" s="12" t="s">
        <v>652</v>
      </c>
      <c r="AH8048" s="1">
        <f>HYPERLINK("https://my.pitchbook.com?c=29732-68T","View Company Online")</f>
      </c>
    </row>
    <row r="8049">
      <c r="A8049" s="3" t="s">
        <v>35285</v>
      </c>
      <c r="B8049" s="3" t="s">
        <v>26823</v>
      </c>
      <c r="C8049" s="5">
        <v>3</v>
      </c>
      <c r="D8049" s="5">
        <v>7</v>
      </c>
      <c r="E8049" s="5">
        <v>6</v>
      </c>
      <c r="F8049" s="5">
        <v>13</v>
      </c>
      <c r="G8049" s="6" t="s">
        <v>36</v>
      </c>
      <c r="H8049" s="4" t="s">
        <v>36</v>
      </c>
      <c r="I8049" s="7" t="s">
        <v>36</v>
      </c>
      <c r="J8049" s="3" t="s">
        <v>36</v>
      </c>
      <c r="K8049" s="9">
        <v>41074</v>
      </c>
      <c r="L8049" s="6" t="s">
        <v>36</v>
      </c>
      <c r="M8049" s="3" t="s">
        <v>36</v>
      </c>
      <c r="N8049" s="3" t="s">
        <v>36</v>
      </c>
      <c r="O8049" s="8" t="s">
        <v>36</v>
      </c>
      <c r="P8049" s="3" t="s">
        <v>36</v>
      </c>
      <c r="Q8049" s="3" t="s">
        <v>36</v>
      </c>
      <c r="R8049" s="3" t="s">
        <v>36</v>
      </c>
      <c r="S8049" s="3" t="s">
        <v>36</v>
      </c>
      <c r="T8049" s="3" t="s">
        <v>18982</v>
      </c>
      <c r="U8049" s="3" t="s">
        <v>1798</v>
      </c>
      <c r="V8049" s="3" t="s">
        <v>39</v>
      </c>
      <c r="W8049" s="3" t="s">
        <v>26824</v>
      </c>
      <c r="X8049" s="10" t="s">
        <v>35286</v>
      </c>
      <c r="Y8049" s="6" t="s">
        <v>192</v>
      </c>
      <c r="Z8049" s="4">
        <v>1.69</v>
      </c>
      <c r="AA8049" s="4" t="s">
        <v>36</v>
      </c>
      <c r="AB8049" s="3" t="s">
        <v>56</v>
      </c>
      <c r="AC8049" s="3" t="s">
        <v>26826</v>
      </c>
      <c r="AD8049" s="9">
        <v>41436</v>
      </c>
      <c r="AE8049" s="3" t="s">
        <v>1802</v>
      </c>
      <c r="AF8049" s="3" t="s">
        <v>10379</v>
      </c>
      <c r="AG8049" s="3" t="s">
        <v>26827</v>
      </c>
      <c r="AH8049" s="11">
        <f>HYPERLINK("https://my.pitchbook.com?c=39171-88T","View Company Online")</f>
      </c>
    </row>
    <row r="8050">
      <c r="A8050" s="12" t="s">
        <v>35287</v>
      </c>
      <c r="B8050" s="12" t="s">
        <v>30923</v>
      </c>
      <c r="C8050" s="19" t="s">
        <v>36</v>
      </c>
      <c r="D8050" s="19" t="s">
        <v>36</v>
      </c>
      <c r="E8050" s="19" t="s">
        <v>36</v>
      </c>
      <c r="F8050" s="19" t="s">
        <v>36</v>
      </c>
      <c r="G8050" s="15" t="s">
        <v>36</v>
      </c>
      <c r="H8050" s="14" t="s">
        <v>36</v>
      </c>
      <c r="I8050" s="18" t="s">
        <v>36</v>
      </c>
      <c r="J8050" s="12" t="s">
        <v>36</v>
      </c>
      <c r="K8050" s="13" t="s">
        <v>36</v>
      </c>
      <c r="L8050" s="15" t="s">
        <v>36</v>
      </c>
      <c r="M8050" s="12" t="s">
        <v>36</v>
      </c>
      <c r="N8050" s="12" t="s">
        <v>36</v>
      </c>
      <c r="O8050" s="17" t="s">
        <v>36</v>
      </c>
      <c r="P8050" s="12" t="s">
        <v>36</v>
      </c>
      <c r="Q8050" s="12" t="s">
        <v>36</v>
      </c>
      <c r="R8050" s="12" t="s">
        <v>36</v>
      </c>
      <c r="S8050" s="12" t="s">
        <v>36</v>
      </c>
      <c r="T8050" s="12" t="s">
        <v>22034</v>
      </c>
      <c r="U8050" s="12" t="s">
        <v>833</v>
      </c>
      <c r="V8050" s="12" t="s">
        <v>64</v>
      </c>
      <c r="W8050" s="12" t="s">
        <v>30924</v>
      </c>
      <c r="X8050" s="16" t="s">
        <v>35288</v>
      </c>
      <c r="Y8050" s="15" t="s">
        <v>55</v>
      </c>
      <c r="Z8050" s="14">
        <v>2.6</v>
      </c>
      <c r="AA8050" s="14" t="s">
        <v>36</v>
      </c>
      <c r="AB8050" s="12" t="s">
        <v>56</v>
      </c>
      <c r="AC8050" s="12" t="s">
        <v>30925</v>
      </c>
      <c r="AD8050" s="13">
        <v>41436</v>
      </c>
      <c r="AE8050" s="12" t="s">
        <v>1069</v>
      </c>
      <c r="AF8050" s="12" t="s">
        <v>4200</v>
      </c>
      <c r="AG8050" s="12" t="s">
        <v>2618</v>
      </c>
      <c r="AH8050" s="1">
        <f>HYPERLINK("https://my.pitchbook.com?c=31979-53T","View Company Online")</f>
      </c>
    </row>
    <row r="8051">
      <c r="A8051" s="3" t="s">
        <v>35289</v>
      </c>
      <c r="B8051" s="3" t="s">
        <v>35290</v>
      </c>
      <c r="C8051" s="5" t="s">
        <v>36</v>
      </c>
      <c r="D8051" s="5" t="s">
        <v>36</v>
      </c>
      <c r="E8051" s="5" t="s">
        <v>36</v>
      </c>
      <c r="F8051" s="5" t="s">
        <v>36</v>
      </c>
      <c r="G8051" s="6" t="s">
        <v>36</v>
      </c>
      <c r="H8051" s="4">
        <v>1142.42</v>
      </c>
      <c r="I8051" s="7">
        <v>25</v>
      </c>
      <c r="J8051" s="3" t="s">
        <v>521</v>
      </c>
      <c r="K8051" s="9" t="s">
        <v>36</v>
      </c>
      <c r="L8051" s="6" t="s">
        <v>36</v>
      </c>
      <c r="M8051" s="3" t="s">
        <v>36</v>
      </c>
      <c r="N8051" s="3" t="s">
        <v>36</v>
      </c>
      <c r="O8051" s="8" t="s">
        <v>36</v>
      </c>
      <c r="P8051" s="3" t="s">
        <v>36</v>
      </c>
      <c r="Q8051" s="3" t="s">
        <v>36</v>
      </c>
      <c r="R8051" s="3" t="s">
        <v>36</v>
      </c>
      <c r="S8051" s="3" t="s">
        <v>36</v>
      </c>
      <c r="T8051" s="3" t="s">
        <v>522</v>
      </c>
      <c r="U8051" s="3" t="s">
        <v>38</v>
      </c>
      <c r="V8051" s="3" t="s">
        <v>39</v>
      </c>
      <c r="W8051" s="3" t="s">
        <v>35291</v>
      </c>
      <c r="X8051" s="10" t="s">
        <v>35292</v>
      </c>
      <c r="Y8051" s="6" t="s">
        <v>42</v>
      </c>
      <c r="Z8051" s="4">
        <v>0.26</v>
      </c>
      <c r="AA8051" s="4">
        <v>0.55</v>
      </c>
      <c r="AB8051" s="3" t="s">
        <v>43</v>
      </c>
      <c r="AC8051" s="3" t="s">
        <v>35293</v>
      </c>
      <c r="AD8051" s="9">
        <v>41436</v>
      </c>
      <c r="AE8051" s="3" t="s">
        <v>110</v>
      </c>
      <c r="AF8051" s="3" t="s">
        <v>31510</v>
      </c>
      <c r="AG8051" s="3" t="s">
        <v>899</v>
      </c>
      <c r="AH8051" s="11">
        <f>HYPERLINK("https://my.pitchbook.com?c=84908-53T","View Company Online")</f>
      </c>
    </row>
    <row r="8052">
      <c r="A8052" s="12" t="s">
        <v>35294</v>
      </c>
      <c r="B8052" s="12" t="s">
        <v>35295</v>
      </c>
      <c r="C8052" s="19" t="s">
        <v>36</v>
      </c>
      <c r="D8052" s="19" t="s">
        <v>36</v>
      </c>
      <c r="E8052" s="19" t="s">
        <v>36</v>
      </c>
      <c r="F8052" s="19" t="s">
        <v>36</v>
      </c>
      <c r="G8052" s="15" t="s">
        <v>36</v>
      </c>
      <c r="H8052" s="14">
        <v>10.39</v>
      </c>
      <c r="I8052" s="18">
        <v>47.18</v>
      </c>
      <c r="J8052" s="12" t="s">
        <v>521</v>
      </c>
      <c r="K8052" s="13" t="s">
        <v>36</v>
      </c>
      <c r="L8052" s="15" t="s">
        <v>36</v>
      </c>
      <c r="M8052" s="12" t="s">
        <v>36</v>
      </c>
      <c r="N8052" s="12" t="s">
        <v>36</v>
      </c>
      <c r="O8052" s="17" t="s">
        <v>36</v>
      </c>
      <c r="P8052" s="12" t="s">
        <v>36</v>
      </c>
      <c r="Q8052" s="12" t="s">
        <v>36</v>
      </c>
      <c r="R8052" s="12" t="s">
        <v>36</v>
      </c>
      <c r="S8052" s="12" t="s">
        <v>36</v>
      </c>
      <c r="T8052" s="12" t="s">
        <v>2811</v>
      </c>
      <c r="U8052" s="12" t="s">
        <v>219</v>
      </c>
      <c r="V8052" s="12" t="s">
        <v>75</v>
      </c>
      <c r="W8052" s="12" t="s">
        <v>35296</v>
      </c>
      <c r="X8052" s="16" t="s">
        <v>2130</v>
      </c>
      <c r="Y8052" s="15" t="s">
        <v>42</v>
      </c>
      <c r="Z8052" s="14">
        <v>2.2</v>
      </c>
      <c r="AA8052" s="14">
        <v>4.67</v>
      </c>
      <c r="AB8052" s="12" t="s">
        <v>56</v>
      </c>
      <c r="AC8052" s="12" t="s">
        <v>35297</v>
      </c>
      <c r="AD8052" s="13">
        <v>41435</v>
      </c>
      <c r="AE8052" s="12" t="s">
        <v>223</v>
      </c>
      <c r="AF8052" s="12" t="s">
        <v>36</v>
      </c>
      <c r="AG8052" s="12" t="s">
        <v>35298</v>
      </c>
      <c r="AH8052" s="1">
        <f>HYPERLINK("https://my.pitchbook.com?c=30541-15T","View Company Online")</f>
      </c>
    </row>
    <row r="8053">
      <c r="A8053" s="3" t="s">
        <v>35299</v>
      </c>
      <c r="B8053" s="3" t="s">
        <v>35300</v>
      </c>
      <c r="C8053" s="5" t="s">
        <v>36</v>
      </c>
      <c r="D8053" s="5" t="s">
        <v>36</v>
      </c>
      <c r="E8053" s="5" t="s">
        <v>36</v>
      </c>
      <c r="F8053" s="5" t="s">
        <v>36</v>
      </c>
      <c r="G8053" s="6" t="s">
        <v>326</v>
      </c>
      <c r="H8053" s="4">
        <v>5.81</v>
      </c>
      <c r="I8053" s="7">
        <v>37.71</v>
      </c>
      <c r="J8053" s="3" t="s">
        <v>521</v>
      </c>
      <c r="K8053" s="9">
        <v>41426</v>
      </c>
      <c r="L8053" s="6" t="s">
        <v>1279</v>
      </c>
      <c r="M8053" s="3" t="s">
        <v>36</v>
      </c>
      <c r="N8053" s="3" t="s">
        <v>1279</v>
      </c>
      <c r="O8053" s="8" t="s">
        <v>36</v>
      </c>
      <c r="P8053" s="3" t="s">
        <v>36</v>
      </c>
      <c r="Q8053" s="3" t="s">
        <v>36</v>
      </c>
      <c r="R8053" s="3" t="s">
        <v>36</v>
      </c>
      <c r="S8053" s="3" t="s">
        <v>36</v>
      </c>
      <c r="T8053" s="3" t="s">
        <v>4045</v>
      </c>
      <c r="U8053" s="3" t="s">
        <v>728</v>
      </c>
      <c r="V8053" s="3" t="s">
        <v>64</v>
      </c>
      <c r="W8053" s="3" t="s">
        <v>35301</v>
      </c>
      <c r="X8053" s="10" t="s">
        <v>35302</v>
      </c>
      <c r="Y8053" s="6" t="s">
        <v>55</v>
      </c>
      <c r="Z8053" s="4">
        <v>4.08</v>
      </c>
      <c r="AA8053" s="4">
        <v>10.83</v>
      </c>
      <c r="AB8053" s="3" t="s">
        <v>56</v>
      </c>
      <c r="AC8053" s="3" t="s">
        <v>35303</v>
      </c>
      <c r="AD8053" s="9">
        <v>41432</v>
      </c>
      <c r="AE8053" s="3" t="s">
        <v>2154</v>
      </c>
      <c r="AF8053" s="3" t="s">
        <v>2118</v>
      </c>
      <c r="AG8053" s="3" t="s">
        <v>81</v>
      </c>
      <c r="AH8053" s="11">
        <f>HYPERLINK("https://my.pitchbook.com?c=26425-00T","View Company Online")</f>
      </c>
    </row>
    <row r="8054">
      <c r="A8054" s="12" t="s">
        <v>35304</v>
      </c>
      <c r="B8054" s="12" t="s">
        <v>31203</v>
      </c>
      <c r="C8054" s="19">
        <v>11</v>
      </c>
      <c r="D8054" s="19">
        <v>50</v>
      </c>
      <c r="E8054" s="19">
        <v>28</v>
      </c>
      <c r="F8054" s="19">
        <v>79</v>
      </c>
      <c r="G8054" s="15" t="s">
        <v>36</v>
      </c>
      <c r="H8054" s="14" t="s">
        <v>36</v>
      </c>
      <c r="I8054" s="18" t="s">
        <v>36</v>
      </c>
      <c r="J8054" s="12" t="s">
        <v>36</v>
      </c>
      <c r="K8054" s="13" t="s">
        <v>36</v>
      </c>
      <c r="L8054" s="15" t="s">
        <v>122</v>
      </c>
      <c r="M8054" s="12" t="s">
        <v>36</v>
      </c>
      <c r="N8054" s="12" t="s">
        <v>122</v>
      </c>
      <c r="O8054" s="17" t="s">
        <v>36</v>
      </c>
      <c r="P8054" s="12" t="s">
        <v>36</v>
      </c>
      <c r="Q8054" s="12" t="s">
        <v>36</v>
      </c>
      <c r="R8054" s="12" t="s">
        <v>36</v>
      </c>
      <c r="S8054" s="12" t="s">
        <v>36</v>
      </c>
      <c r="T8054" s="12" t="s">
        <v>7701</v>
      </c>
      <c r="U8054" s="12" t="s">
        <v>833</v>
      </c>
      <c r="V8054" s="12" t="s">
        <v>64</v>
      </c>
      <c r="W8054" s="12" t="s">
        <v>31204</v>
      </c>
      <c r="X8054" s="16" t="s">
        <v>35305</v>
      </c>
      <c r="Y8054" s="15" t="s">
        <v>42</v>
      </c>
      <c r="Z8054" s="14">
        <v>5.83</v>
      </c>
      <c r="AA8054" s="14" t="s">
        <v>36</v>
      </c>
      <c r="AB8054" s="12" t="s">
        <v>43</v>
      </c>
      <c r="AC8054" s="12" t="s">
        <v>31206</v>
      </c>
      <c r="AD8054" s="13">
        <v>41431</v>
      </c>
      <c r="AE8054" s="12" t="s">
        <v>1069</v>
      </c>
      <c r="AF8054" s="12" t="s">
        <v>31207</v>
      </c>
      <c r="AG8054" s="12" t="s">
        <v>2760</v>
      </c>
      <c r="AH8054" s="1">
        <f>HYPERLINK("https://my.pitchbook.com?c=26368-21T","View Company Online")</f>
      </c>
    </row>
    <row r="8055">
      <c r="A8055" s="3" t="s">
        <v>35306</v>
      </c>
      <c r="B8055" s="3" t="s">
        <v>35307</v>
      </c>
      <c r="C8055" s="5" t="s">
        <v>36</v>
      </c>
      <c r="D8055" s="5" t="s">
        <v>36</v>
      </c>
      <c r="E8055" s="5" t="s">
        <v>36</v>
      </c>
      <c r="F8055" s="5" t="s">
        <v>36</v>
      </c>
      <c r="G8055" s="6" t="s">
        <v>36</v>
      </c>
      <c r="H8055" s="4" t="s">
        <v>36</v>
      </c>
      <c r="I8055" s="7" t="s">
        <v>36</v>
      </c>
      <c r="J8055" s="3" t="s">
        <v>36</v>
      </c>
      <c r="K8055" s="9" t="s">
        <v>36</v>
      </c>
      <c r="L8055" s="6" t="s">
        <v>36</v>
      </c>
      <c r="M8055" s="3" t="s">
        <v>36</v>
      </c>
      <c r="N8055" s="3" t="s">
        <v>36</v>
      </c>
      <c r="O8055" s="8" t="s">
        <v>36</v>
      </c>
      <c r="P8055" s="3" t="s">
        <v>36</v>
      </c>
      <c r="Q8055" s="3" t="s">
        <v>36</v>
      </c>
      <c r="R8055" s="3" t="s">
        <v>36</v>
      </c>
      <c r="S8055" s="3" t="s">
        <v>36</v>
      </c>
      <c r="T8055" s="3" t="s">
        <v>35308</v>
      </c>
      <c r="U8055" s="3" t="s">
        <v>279</v>
      </c>
      <c r="V8055" s="3" t="s">
        <v>64</v>
      </c>
      <c r="W8055" s="3" t="s">
        <v>35309</v>
      </c>
      <c r="X8055" s="10" t="s">
        <v>35310</v>
      </c>
      <c r="Y8055" s="6" t="s">
        <v>42</v>
      </c>
      <c r="Z8055" s="4">
        <v>0.52</v>
      </c>
      <c r="AA8055" s="4" t="s">
        <v>36</v>
      </c>
      <c r="AB8055" s="3" t="s">
        <v>56</v>
      </c>
      <c r="AC8055" s="3" t="s">
        <v>35311</v>
      </c>
      <c r="AD8055" s="9">
        <v>41431</v>
      </c>
      <c r="AE8055" s="3" t="s">
        <v>851</v>
      </c>
      <c r="AF8055" s="3" t="s">
        <v>1636</v>
      </c>
      <c r="AG8055" s="3" t="s">
        <v>186</v>
      </c>
      <c r="AH8055" s="11">
        <f>HYPERLINK("https://my.pitchbook.com?c=35807-86T","View Company Online")</f>
      </c>
    </row>
    <row r="8056">
      <c r="A8056" s="12" t="s">
        <v>35312</v>
      </c>
      <c r="B8056" s="12" t="s">
        <v>35313</v>
      </c>
      <c r="C8056" s="19" t="s">
        <v>36</v>
      </c>
      <c r="D8056" s="19" t="s">
        <v>36</v>
      </c>
      <c r="E8056" s="19">
        <v>1</v>
      </c>
      <c r="F8056" s="19">
        <v>1</v>
      </c>
      <c r="G8056" s="15" t="s">
        <v>36</v>
      </c>
      <c r="H8056" s="14">
        <v>113.98</v>
      </c>
      <c r="I8056" s="18">
        <v>5.66</v>
      </c>
      <c r="J8056" s="12" t="s">
        <v>521</v>
      </c>
      <c r="K8056" s="13" t="s">
        <v>36</v>
      </c>
      <c r="L8056" s="15" t="s">
        <v>36</v>
      </c>
      <c r="M8056" s="12" t="s">
        <v>36</v>
      </c>
      <c r="N8056" s="12" t="s">
        <v>36</v>
      </c>
      <c r="O8056" s="17" t="s">
        <v>36</v>
      </c>
      <c r="P8056" s="12" t="s">
        <v>36</v>
      </c>
      <c r="Q8056" s="12" t="s">
        <v>36</v>
      </c>
      <c r="R8056" s="12" t="s">
        <v>36</v>
      </c>
      <c r="S8056" s="12" t="s">
        <v>36</v>
      </c>
      <c r="T8056" s="12" t="s">
        <v>29311</v>
      </c>
      <c r="U8056" s="12" t="s">
        <v>1502</v>
      </c>
      <c r="V8056" s="12" t="s">
        <v>75</v>
      </c>
      <c r="W8056" s="12" t="s">
        <v>35314</v>
      </c>
      <c r="X8056" s="16" t="s">
        <v>35315</v>
      </c>
      <c r="Y8056" s="15" t="s">
        <v>42</v>
      </c>
      <c r="Z8056" s="14">
        <v>0.17</v>
      </c>
      <c r="AA8056" s="14">
        <v>3.02</v>
      </c>
      <c r="AB8056" s="12" t="s">
        <v>56</v>
      </c>
      <c r="AC8056" s="12" t="s">
        <v>35316</v>
      </c>
      <c r="AD8056" s="13">
        <v>41431</v>
      </c>
      <c r="AE8056" s="12" t="s">
        <v>1506</v>
      </c>
      <c r="AF8056" s="12" t="s">
        <v>36</v>
      </c>
      <c r="AG8056" s="12" t="s">
        <v>580</v>
      </c>
      <c r="AH8056" s="1">
        <f>HYPERLINK("https://my.pitchbook.com?c=212103-91T","View Company Online")</f>
      </c>
    </row>
    <row r="8057">
      <c r="A8057" s="3" t="s">
        <v>35317</v>
      </c>
      <c r="B8057" s="3" t="s">
        <v>35318</v>
      </c>
      <c r="C8057" s="5" t="s">
        <v>36</v>
      </c>
      <c r="D8057" s="5">
        <v>1</v>
      </c>
      <c r="E8057" s="5">
        <v>1</v>
      </c>
      <c r="F8057" s="5">
        <v>2</v>
      </c>
      <c r="G8057" s="6" t="s">
        <v>36</v>
      </c>
      <c r="H8057" s="4" t="s">
        <v>36</v>
      </c>
      <c r="I8057" s="7" t="s">
        <v>36</v>
      </c>
      <c r="J8057" s="3" t="s">
        <v>36</v>
      </c>
      <c r="K8057" s="9" t="s">
        <v>36</v>
      </c>
      <c r="L8057" s="6" t="s">
        <v>36</v>
      </c>
      <c r="M8057" s="3" t="s">
        <v>36</v>
      </c>
      <c r="N8057" s="3" t="s">
        <v>36</v>
      </c>
      <c r="O8057" s="8" t="s">
        <v>36</v>
      </c>
      <c r="P8057" s="3" t="s">
        <v>36</v>
      </c>
      <c r="Q8057" s="3" t="s">
        <v>36</v>
      </c>
      <c r="R8057" s="3" t="s">
        <v>36</v>
      </c>
      <c r="S8057" s="3" t="s">
        <v>36</v>
      </c>
      <c r="T8057" s="3" t="s">
        <v>35319</v>
      </c>
      <c r="U8057" s="3" t="s">
        <v>85</v>
      </c>
      <c r="V8057" s="3" t="s">
        <v>64</v>
      </c>
      <c r="W8057" s="3" t="s">
        <v>35320</v>
      </c>
      <c r="X8057" s="10" t="s">
        <v>35321</v>
      </c>
      <c r="Y8057" s="6" t="s">
        <v>42</v>
      </c>
      <c r="Z8057" s="4">
        <v>0.08</v>
      </c>
      <c r="AA8057" s="4" t="s">
        <v>36</v>
      </c>
      <c r="AB8057" s="3" t="s">
        <v>56</v>
      </c>
      <c r="AC8057" s="3" t="s">
        <v>35322</v>
      </c>
      <c r="AD8057" s="9">
        <v>41430</v>
      </c>
      <c r="AE8057" s="3" t="s">
        <v>89</v>
      </c>
      <c r="AF8057" s="3" t="s">
        <v>1507</v>
      </c>
      <c r="AG8057" s="3" t="s">
        <v>35323</v>
      </c>
      <c r="AH8057" s="11">
        <f>HYPERLINK("https://my.pitchbook.com?c=118257-94T","View Company Online")</f>
      </c>
    </row>
    <row r="8058">
      <c r="A8058" s="12" t="s">
        <v>35324</v>
      </c>
      <c r="B8058" s="12" t="s">
        <v>35325</v>
      </c>
      <c r="C8058" s="19" t="s">
        <v>36</v>
      </c>
      <c r="D8058" s="19" t="s">
        <v>36</v>
      </c>
      <c r="E8058" s="19" t="s">
        <v>36</v>
      </c>
      <c r="F8058" s="19" t="s">
        <v>36</v>
      </c>
      <c r="G8058" s="15" t="s">
        <v>36</v>
      </c>
      <c r="H8058" s="14" t="s">
        <v>36</v>
      </c>
      <c r="I8058" s="18" t="s">
        <v>36</v>
      </c>
      <c r="J8058" s="12" t="s">
        <v>36</v>
      </c>
      <c r="K8058" s="13">
        <v>41369</v>
      </c>
      <c r="L8058" s="15" t="s">
        <v>36</v>
      </c>
      <c r="M8058" s="12" t="s">
        <v>36</v>
      </c>
      <c r="N8058" s="12" t="s">
        <v>36</v>
      </c>
      <c r="O8058" s="17" t="s">
        <v>36</v>
      </c>
      <c r="P8058" s="12" t="s">
        <v>36</v>
      </c>
      <c r="Q8058" s="12" t="s">
        <v>36</v>
      </c>
      <c r="R8058" s="12" t="s">
        <v>36</v>
      </c>
      <c r="S8058" s="12" t="s">
        <v>36</v>
      </c>
      <c r="T8058" s="12" t="s">
        <v>12800</v>
      </c>
      <c r="U8058" s="12" t="s">
        <v>833</v>
      </c>
      <c r="V8058" s="12" t="s">
        <v>64</v>
      </c>
      <c r="W8058" s="12" t="s">
        <v>35326</v>
      </c>
      <c r="X8058" s="16" t="s">
        <v>35327</v>
      </c>
      <c r="Y8058" s="15" t="s">
        <v>108</v>
      </c>
      <c r="Z8058" s="14">
        <v>5.96</v>
      </c>
      <c r="AA8058" s="14" t="s">
        <v>36</v>
      </c>
      <c r="AB8058" s="12" t="s">
        <v>56</v>
      </c>
      <c r="AC8058" s="12" t="s">
        <v>35328</v>
      </c>
      <c r="AD8058" s="13">
        <v>41428</v>
      </c>
      <c r="AE8058" s="12" t="s">
        <v>1687</v>
      </c>
      <c r="AF8058" s="12" t="s">
        <v>2118</v>
      </c>
      <c r="AG8058" s="12" t="s">
        <v>6136</v>
      </c>
      <c r="AH8058" s="1">
        <f>HYPERLINK("https://my.pitchbook.com?c=26554-96T","View Company Online")</f>
      </c>
    </row>
    <row r="8059">
      <c r="A8059" s="3" t="s">
        <v>35329</v>
      </c>
      <c r="B8059" s="3" t="s">
        <v>29208</v>
      </c>
      <c r="C8059" s="5" t="s">
        <v>36</v>
      </c>
      <c r="D8059" s="5">
        <v>3</v>
      </c>
      <c r="E8059" s="5">
        <v>2</v>
      </c>
      <c r="F8059" s="5">
        <v>6</v>
      </c>
      <c r="G8059" s="6" t="s">
        <v>36</v>
      </c>
      <c r="H8059" s="4" t="s">
        <v>36</v>
      </c>
      <c r="I8059" s="7" t="s">
        <v>36</v>
      </c>
      <c r="J8059" s="3" t="s">
        <v>327</v>
      </c>
      <c r="K8059" s="9" t="s">
        <v>36</v>
      </c>
      <c r="L8059" s="6" t="s">
        <v>36</v>
      </c>
      <c r="M8059" s="3" t="s">
        <v>36</v>
      </c>
      <c r="N8059" s="3" t="s">
        <v>36</v>
      </c>
      <c r="O8059" s="8" t="s">
        <v>36</v>
      </c>
      <c r="P8059" s="3" t="s">
        <v>36</v>
      </c>
      <c r="Q8059" s="3" t="s">
        <v>36</v>
      </c>
      <c r="R8059" s="3" t="s">
        <v>36</v>
      </c>
      <c r="S8059" s="3" t="s">
        <v>36</v>
      </c>
      <c r="T8059" s="3" t="s">
        <v>1701</v>
      </c>
      <c r="U8059" s="3" t="s">
        <v>74</v>
      </c>
      <c r="V8059" s="3" t="s">
        <v>75</v>
      </c>
      <c r="W8059" s="3" t="s">
        <v>29209</v>
      </c>
      <c r="X8059" s="10" t="s">
        <v>35330</v>
      </c>
      <c r="Y8059" s="6" t="s">
        <v>42</v>
      </c>
      <c r="Z8059" s="4">
        <v>0.39</v>
      </c>
      <c r="AA8059" s="4">
        <v>1.57</v>
      </c>
      <c r="AB8059" s="3" t="s">
        <v>43</v>
      </c>
      <c r="AC8059" s="3" t="s">
        <v>29211</v>
      </c>
      <c r="AD8059" s="9">
        <v>41428</v>
      </c>
      <c r="AE8059" s="3" t="s">
        <v>79</v>
      </c>
      <c r="AF8059" s="3" t="s">
        <v>2759</v>
      </c>
      <c r="AG8059" s="3" t="s">
        <v>347</v>
      </c>
      <c r="AH8059" s="11">
        <f>HYPERLINK("https://my.pitchbook.com?c=46899-19T","View Company Online")</f>
      </c>
    </row>
    <row r="8060">
      <c r="A8060" s="12" t="s">
        <v>35331</v>
      </c>
      <c r="B8060" s="12" t="s">
        <v>35332</v>
      </c>
      <c r="C8060" s="19" t="s">
        <v>36</v>
      </c>
      <c r="D8060" s="19" t="s">
        <v>36</v>
      </c>
      <c r="E8060" s="19" t="s">
        <v>36</v>
      </c>
      <c r="F8060" s="19" t="s">
        <v>36</v>
      </c>
      <c r="G8060" s="15" t="s">
        <v>36</v>
      </c>
      <c r="H8060" s="14" t="s">
        <v>36</v>
      </c>
      <c r="I8060" s="18" t="s">
        <v>36</v>
      </c>
      <c r="J8060" s="12" t="s">
        <v>36</v>
      </c>
      <c r="K8060" s="13" t="s">
        <v>36</v>
      </c>
      <c r="L8060" s="15" t="s">
        <v>94</v>
      </c>
      <c r="M8060" s="12" t="s">
        <v>36</v>
      </c>
      <c r="N8060" s="12" t="s">
        <v>94</v>
      </c>
      <c r="O8060" s="17" t="s">
        <v>36</v>
      </c>
      <c r="P8060" s="12" t="s">
        <v>36</v>
      </c>
      <c r="Q8060" s="12" t="s">
        <v>36</v>
      </c>
      <c r="R8060" s="12" t="s">
        <v>36</v>
      </c>
      <c r="S8060" s="12" t="s">
        <v>36</v>
      </c>
      <c r="T8060" s="12" t="s">
        <v>4640</v>
      </c>
      <c r="U8060" s="12" t="s">
        <v>833</v>
      </c>
      <c r="V8060" s="12" t="s">
        <v>64</v>
      </c>
      <c r="W8060" s="12" t="s">
        <v>35333</v>
      </c>
      <c r="X8060" s="16" t="s">
        <v>35334</v>
      </c>
      <c r="Y8060" s="15" t="s">
        <v>108</v>
      </c>
      <c r="Z8060" s="14">
        <v>5.18</v>
      </c>
      <c r="AA8060" s="14" t="s">
        <v>36</v>
      </c>
      <c r="AB8060" s="12" t="s">
        <v>56</v>
      </c>
      <c r="AC8060" s="12" t="s">
        <v>35335</v>
      </c>
      <c r="AD8060" s="13">
        <v>41428</v>
      </c>
      <c r="AE8060" s="12" t="s">
        <v>1687</v>
      </c>
      <c r="AF8060" s="12" t="s">
        <v>2118</v>
      </c>
      <c r="AG8060" s="12" t="s">
        <v>81</v>
      </c>
      <c r="AH8060" s="1">
        <f>HYPERLINK("https://my.pitchbook.com?c=29231-92T","View Company Online")</f>
      </c>
    </row>
    <row r="8061">
      <c r="A8061" s="3" t="s">
        <v>35336</v>
      </c>
      <c r="B8061" s="3" t="s">
        <v>14849</v>
      </c>
      <c r="C8061" s="5" t="s">
        <v>36</v>
      </c>
      <c r="D8061" s="5">
        <v>3</v>
      </c>
      <c r="E8061" s="5">
        <v>1</v>
      </c>
      <c r="F8061" s="5">
        <v>6</v>
      </c>
      <c r="G8061" s="6" t="s">
        <v>36</v>
      </c>
      <c r="H8061" s="4" t="s">
        <v>36</v>
      </c>
      <c r="I8061" s="7" t="s">
        <v>36</v>
      </c>
      <c r="J8061" s="3" t="s">
        <v>36</v>
      </c>
      <c r="K8061" s="9" t="s">
        <v>36</v>
      </c>
      <c r="L8061" s="6" t="s">
        <v>122</v>
      </c>
      <c r="M8061" s="3" t="s">
        <v>36</v>
      </c>
      <c r="N8061" s="3" t="s">
        <v>122</v>
      </c>
      <c r="O8061" s="8" t="s">
        <v>36</v>
      </c>
      <c r="P8061" s="3" t="s">
        <v>36</v>
      </c>
      <c r="Q8061" s="3" t="s">
        <v>36</v>
      </c>
      <c r="R8061" s="3" t="s">
        <v>36</v>
      </c>
      <c r="S8061" s="3" t="s">
        <v>36</v>
      </c>
      <c r="T8061" s="3" t="s">
        <v>818</v>
      </c>
      <c r="U8061" s="3" t="s">
        <v>74</v>
      </c>
      <c r="V8061" s="3" t="s">
        <v>75</v>
      </c>
      <c r="W8061" s="3" t="s">
        <v>14850</v>
      </c>
      <c r="X8061" s="10" t="s">
        <v>21035</v>
      </c>
      <c r="Y8061" s="6" t="s">
        <v>42</v>
      </c>
      <c r="Z8061" s="4">
        <v>6.74</v>
      </c>
      <c r="AA8061" s="4" t="s">
        <v>36</v>
      </c>
      <c r="AB8061" s="3" t="s">
        <v>56</v>
      </c>
      <c r="AC8061" s="3" t="s">
        <v>14851</v>
      </c>
      <c r="AD8061" s="9">
        <v>41426</v>
      </c>
      <c r="AE8061" s="3" t="s">
        <v>570</v>
      </c>
      <c r="AF8061" s="3" t="s">
        <v>14852</v>
      </c>
      <c r="AG8061" s="3" t="s">
        <v>14853</v>
      </c>
      <c r="AH8061" s="11">
        <f>HYPERLINK("https://my.pitchbook.com?c=45031-06T","View Company Online")</f>
      </c>
    </row>
    <row r="8062">
      <c r="A8062" s="12" t="s">
        <v>35337</v>
      </c>
      <c r="B8062" s="12" t="s">
        <v>35338</v>
      </c>
      <c r="C8062" s="19">
        <v>3</v>
      </c>
      <c r="D8062" s="19">
        <v>12</v>
      </c>
      <c r="E8062" s="19">
        <v>3</v>
      </c>
      <c r="F8062" s="19">
        <v>17</v>
      </c>
      <c r="G8062" s="15" t="s">
        <v>36</v>
      </c>
      <c r="H8062" s="14" t="s">
        <v>36</v>
      </c>
      <c r="I8062" s="18" t="s">
        <v>36</v>
      </c>
      <c r="J8062" s="12" t="s">
        <v>36</v>
      </c>
      <c r="K8062" s="13" t="s">
        <v>36</v>
      </c>
      <c r="L8062" s="15" t="s">
        <v>36</v>
      </c>
      <c r="M8062" s="12" t="s">
        <v>36</v>
      </c>
      <c r="N8062" s="12" t="s">
        <v>36</v>
      </c>
      <c r="O8062" s="17" t="s">
        <v>36</v>
      </c>
      <c r="P8062" s="12" t="s">
        <v>36</v>
      </c>
      <c r="Q8062" s="12" t="s">
        <v>36</v>
      </c>
      <c r="R8062" s="12" t="s">
        <v>36</v>
      </c>
      <c r="S8062" s="12" t="s">
        <v>36</v>
      </c>
      <c r="T8062" s="12" t="s">
        <v>29297</v>
      </c>
      <c r="U8062" s="12" t="s">
        <v>51</v>
      </c>
      <c r="V8062" s="12" t="s">
        <v>52</v>
      </c>
      <c r="W8062" s="12" t="s">
        <v>35339</v>
      </c>
      <c r="X8062" s="16" t="s">
        <v>1840</v>
      </c>
      <c r="Y8062" s="15" t="s">
        <v>108</v>
      </c>
      <c r="Z8062" s="14">
        <v>7.91</v>
      </c>
      <c r="AA8062" s="14" t="s">
        <v>36</v>
      </c>
      <c r="AB8062" s="12" t="s">
        <v>56</v>
      </c>
      <c r="AC8062" s="12" t="s">
        <v>35340</v>
      </c>
      <c r="AD8062" s="13">
        <v>41426</v>
      </c>
      <c r="AE8062" s="12" t="s">
        <v>158</v>
      </c>
      <c r="AF8062" s="12" t="s">
        <v>159</v>
      </c>
      <c r="AG8062" s="12" t="s">
        <v>34162</v>
      </c>
      <c r="AH8062" s="1">
        <f>HYPERLINK("https://my.pitchbook.com?c=38959-03T","View Company Online")</f>
      </c>
    </row>
    <row r="8063">
      <c r="A8063" s="3" t="s">
        <v>35341</v>
      </c>
      <c r="B8063" s="3" t="s">
        <v>35342</v>
      </c>
      <c r="C8063" s="5" t="s">
        <v>36</v>
      </c>
      <c r="D8063" s="5" t="s">
        <v>36</v>
      </c>
      <c r="E8063" s="5" t="s">
        <v>36</v>
      </c>
      <c r="F8063" s="5" t="s">
        <v>36</v>
      </c>
      <c r="G8063" s="6" t="s">
        <v>36</v>
      </c>
      <c r="H8063" s="4" t="s">
        <v>36</v>
      </c>
      <c r="I8063" s="7" t="s">
        <v>36</v>
      </c>
      <c r="J8063" s="3" t="s">
        <v>36</v>
      </c>
      <c r="K8063" s="9" t="s">
        <v>36</v>
      </c>
      <c r="L8063" s="6" t="s">
        <v>36</v>
      </c>
      <c r="M8063" s="3" t="s">
        <v>36</v>
      </c>
      <c r="N8063" s="3" t="s">
        <v>36</v>
      </c>
      <c r="O8063" s="8" t="s">
        <v>36</v>
      </c>
      <c r="P8063" s="3" t="s">
        <v>36</v>
      </c>
      <c r="Q8063" s="3" t="s">
        <v>36</v>
      </c>
      <c r="R8063" s="3" t="s">
        <v>36</v>
      </c>
      <c r="S8063" s="3" t="s">
        <v>36</v>
      </c>
      <c r="T8063" s="3" t="s">
        <v>17269</v>
      </c>
      <c r="U8063" s="3" t="s">
        <v>51</v>
      </c>
      <c r="V8063" s="3" t="s">
        <v>52</v>
      </c>
      <c r="W8063" s="3" t="s">
        <v>35343</v>
      </c>
      <c r="X8063" s="10" t="s">
        <v>12817</v>
      </c>
      <c r="Y8063" s="6" t="s">
        <v>42</v>
      </c>
      <c r="Z8063" s="4">
        <v>0.13</v>
      </c>
      <c r="AA8063" s="4" t="s">
        <v>36</v>
      </c>
      <c r="AB8063" s="3" t="s">
        <v>56</v>
      </c>
      <c r="AC8063" s="3" t="s">
        <v>35344</v>
      </c>
      <c r="AD8063" s="9">
        <v>41426</v>
      </c>
      <c r="AE8063" s="3" t="s">
        <v>58</v>
      </c>
      <c r="AF8063" s="3" t="s">
        <v>101</v>
      </c>
      <c r="AG8063" s="3" t="s">
        <v>35345</v>
      </c>
      <c r="AH8063" s="11">
        <f>HYPERLINK("https://my.pitchbook.com?c=178191-28T","View Company Online")</f>
      </c>
    </row>
    <row r="8064">
      <c r="A8064" s="12" t="s">
        <v>35346</v>
      </c>
      <c r="B8064" s="12" t="s">
        <v>34608</v>
      </c>
      <c r="C8064" s="19">
        <v>38</v>
      </c>
      <c r="D8064" s="19">
        <v>76</v>
      </c>
      <c r="E8064" s="19">
        <v>63</v>
      </c>
      <c r="F8064" s="19">
        <v>141</v>
      </c>
      <c r="G8064" s="15" t="s">
        <v>36</v>
      </c>
      <c r="H8064" s="14" t="s">
        <v>36</v>
      </c>
      <c r="I8064" s="18" t="s">
        <v>36</v>
      </c>
      <c r="J8064" s="12" t="s">
        <v>36</v>
      </c>
      <c r="K8064" s="13" t="s">
        <v>36</v>
      </c>
      <c r="L8064" s="15" t="s">
        <v>36</v>
      </c>
      <c r="M8064" s="12" t="s">
        <v>36</v>
      </c>
      <c r="N8064" s="12" t="s">
        <v>36</v>
      </c>
      <c r="O8064" s="17" t="s">
        <v>36</v>
      </c>
      <c r="P8064" s="12" t="s">
        <v>36</v>
      </c>
      <c r="Q8064" s="12" t="s">
        <v>36</v>
      </c>
      <c r="R8064" s="12" t="s">
        <v>36</v>
      </c>
      <c r="S8064" s="12" t="s">
        <v>36</v>
      </c>
      <c r="T8064" s="12" t="s">
        <v>31106</v>
      </c>
      <c r="U8064" s="12" t="s">
        <v>833</v>
      </c>
      <c r="V8064" s="12" t="s">
        <v>64</v>
      </c>
      <c r="W8064" s="12" t="s">
        <v>34609</v>
      </c>
      <c r="X8064" s="16" t="s">
        <v>35347</v>
      </c>
      <c r="Y8064" s="15" t="s">
        <v>108</v>
      </c>
      <c r="Z8064" s="14">
        <v>1.94</v>
      </c>
      <c r="AA8064" s="14" t="s">
        <v>36</v>
      </c>
      <c r="AB8064" s="12" t="s">
        <v>56</v>
      </c>
      <c r="AC8064" s="12" t="s">
        <v>34611</v>
      </c>
      <c r="AD8064" s="13">
        <v>41426</v>
      </c>
      <c r="AE8064" s="12" t="s">
        <v>1687</v>
      </c>
      <c r="AF8064" s="12" t="s">
        <v>30848</v>
      </c>
      <c r="AG8064" s="12" t="s">
        <v>34612</v>
      </c>
      <c r="AH8064" s="1">
        <f>HYPERLINK("https://my.pitchbook.com?c=29193-31T","View Company Online")</f>
      </c>
    </row>
    <row r="8065">
      <c r="A8065" s="3" t="s">
        <v>35348</v>
      </c>
      <c r="B8065" s="3" t="s">
        <v>35349</v>
      </c>
      <c r="C8065" s="5" t="s">
        <v>36</v>
      </c>
      <c r="D8065" s="5">
        <v>16</v>
      </c>
      <c r="E8065" s="5">
        <v>5</v>
      </c>
      <c r="F8065" s="5">
        <v>18</v>
      </c>
      <c r="G8065" s="6" t="s">
        <v>683</v>
      </c>
      <c r="H8065" s="4">
        <v>10.39</v>
      </c>
      <c r="I8065" s="7">
        <v>29.01</v>
      </c>
      <c r="J8065" s="3" t="s">
        <v>521</v>
      </c>
      <c r="K8065" s="9" t="s">
        <v>36</v>
      </c>
      <c r="L8065" s="6" t="s">
        <v>36</v>
      </c>
      <c r="M8065" s="3" t="s">
        <v>36</v>
      </c>
      <c r="N8065" s="3" t="s">
        <v>36</v>
      </c>
      <c r="O8065" s="8" t="s">
        <v>36</v>
      </c>
      <c r="P8065" s="3" t="s">
        <v>36</v>
      </c>
      <c r="Q8065" s="3" t="s">
        <v>36</v>
      </c>
      <c r="R8065" s="3" t="s">
        <v>36</v>
      </c>
      <c r="S8065" s="3" t="s">
        <v>36</v>
      </c>
      <c r="T8065" s="3" t="s">
        <v>6281</v>
      </c>
      <c r="U8065" s="3" t="s">
        <v>96</v>
      </c>
      <c r="V8065" s="3" t="s">
        <v>52</v>
      </c>
      <c r="W8065" s="3" t="s">
        <v>35350</v>
      </c>
      <c r="X8065" s="10" t="s">
        <v>2130</v>
      </c>
      <c r="Y8065" s="6" t="s">
        <v>108</v>
      </c>
      <c r="Z8065" s="4">
        <v>3.23</v>
      </c>
      <c r="AA8065" s="4">
        <v>11.14</v>
      </c>
      <c r="AB8065" s="3" t="s">
        <v>56</v>
      </c>
      <c r="AC8065" s="3" t="s">
        <v>35351</v>
      </c>
      <c r="AD8065" s="9">
        <v>41426</v>
      </c>
      <c r="AE8065" s="3" t="s">
        <v>1414</v>
      </c>
      <c r="AF8065" s="3" t="s">
        <v>9908</v>
      </c>
      <c r="AG8065" s="3" t="s">
        <v>28138</v>
      </c>
      <c r="AH8065" s="11">
        <f>HYPERLINK("https://my.pitchbook.com?c=30541-06T","View Company Online")</f>
      </c>
    </row>
    <row r="8066">
      <c r="A8066" s="12" t="s">
        <v>35352</v>
      </c>
      <c r="B8066" s="12" t="s">
        <v>35353</v>
      </c>
      <c r="C8066" s="19" t="s">
        <v>36</v>
      </c>
      <c r="D8066" s="19" t="s">
        <v>36</v>
      </c>
      <c r="E8066" s="19" t="s">
        <v>36</v>
      </c>
      <c r="F8066" s="19" t="s">
        <v>36</v>
      </c>
      <c r="G8066" s="15" t="s">
        <v>36</v>
      </c>
      <c r="H8066" s="14">
        <v>10.3</v>
      </c>
      <c r="I8066" s="18">
        <v>25.97</v>
      </c>
      <c r="J8066" s="12" t="s">
        <v>521</v>
      </c>
      <c r="K8066" s="13" t="s">
        <v>36</v>
      </c>
      <c r="L8066" s="15" t="s">
        <v>36</v>
      </c>
      <c r="M8066" s="12" t="s">
        <v>36</v>
      </c>
      <c r="N8066" s="12" t="s">
        <v>36</v>
      </c>
      <c r="O8066" s="17" t="s">
        <v>36</v>
      </c>
      <c r="P8066" s="12" t="s">
        <v>36</v>
      </c>
      <c r="Q8066" s="12" t="s">
        <v>36</v>
      </c>
      <c r="R8066" s="12" t="s">
        <v>36</v>
      </c>
      <c r="S8066" s="12" t="s">
        <v>36</v>
      </c>
      <c r="T8066" s="12" t="s">
        <v>35354</v>
      </c>
      <c r="U8066" s="12" t="s">
        <v>1580</v>
      </c>
      <c r="V8066" s="12" t="s">
        <v>39</v>
      </c>
      <c r="W8066" s="12" t="s">
        <v>35355</v>
      </c>
      <c r="X8066" s="16" t="s">
        <v>35356</v>
      </c>
      <c r="Y8066" s="15" t="s">
        <v>108</v>
      </c>
      <c r="Z8066" s="14">
        <v>1.95</v>
      </c>
      <c r="AA8066" s="14">
        <v>7.49</v>
      </c>
      <c r="AB8066" s="12" t="s">
        <v>56</v>
      </c>
      <c r="AC8066" s="12" t="s">
        <v>35357</v>
      </c>
      <c r="AD8066" s="13">
        <v>41424</v>
      </c>
      <c r="AE8066" s="12" t="s">
        <v>2785</v>
      </c>
      <c r="AF8066" s="12" t="s">
        <v>35358</v>
      </c>
      <c r="AG8066" s="12" t="s">
        <v>35359</v>
      </c>
      <c r="AH8066" s="1">
        <f>HYPERLINK("https://my.pitchbook.com?c=29767-87T","View Company Online")</f>
      </c>
    </row>
    <row r="8067">
      <c r="A8067" s="3" t="s">
        <v>35360</v>
      </c>
      <c r="B8067" s="3" t="s">
        <v>35361</v>
      </c>
      <c r="C8067" s="5" t="s">
        <v>36</v>
      </c>
      <c r="D8067" s="5" t="s">
        <v>36</v>
      </c>
      <c r="E8067" s="5" t="s">
        <v>36</v>
      </c>
      <c r="F8067" s="5" t="s">
        <v>36</v>
      </c>
      <c r="G8067" s="6" t="s">
        <v>36</v>
      </c>
      <c r="H8067" s="4" t="s">
        <v>36</v>
      </c>
      <c r="I8067" s="7" t="s">
        <v>36</v>
      </c>
      <c r="J8067" s="3" t="s">
        <v>36</v>
      </c>
      <c r="K8067" s="9" t="s">
        <v>36</v>
      </c>
      <c r="L8067" s="6" t="s">
        <v>36</v>
      </c>
      <c r="M8067" s="3" t="s">
        <v>36</v>
      </c>
      <c r="N8067" s="3" t="s">
        <v>36</v>
      </c>
      <c r="O8067" s="8" t="s">
        <v>36</v>
      </c>
      <c r="P8067" s="3" t="s">
        <v>36</v>
      </c>
      <c r="Q8067" s="3" t="s">
        <v>36</v>
      </c>
      <c r="R8067" s="3" t="s">
        <v>36</v>
      </c>
      <c r="S8067" s="3" t="s">
        <v>36</v>
      </c>
      <c r="T8067" s="3" t="s">
        <v>35362</v>
      </c>
      <c r="U8067" s="3" t="s">
        <v>38</v>
      </c>
      <c r="V8067" s="3" t="s">
        <v>39</v>
      </c>
      <c r="W8067" s="3" t="s">
        <v>35363</v>
      </c>
      <c r="X8067" s="10" t="s">
        <v>35364</v>
      </c>
      <c r="Y8067" s="6" t="s">
        <v>108</v>
      </c>
      <c r="Z8067" s="4">
        <v>0.26</v>
      </c>
      <c r="AA8067" s="4" t="s">
        <v>36</v>
      </c>
      <c r="AB8067" s="3" t="s">
        <v>56</v>
      </c>
      <c r="AC8067" s="3" t="s">
        <v>35365</v>
      </c>
      <c r="AD8067" s="9">
        <v>41423</v>
      </c>
      <c r="AE8067" s="3" t="s">
        <v>688</v>
      </c>
      <c r="AF8067" s="3" t="s">
        <v>2118</v>
      </c>
      <c r="AG8067" s="3" t="s">
        <v>6013</v>
      </c>
      <c r="AH8067" s="11">
        <f>HYPERLINK("https://my.pitchbook.com?c=28029-88T","View Company Online")</f>
      </c>
    </row>
    <row r="8068">
      <c r="A8068" s="12" t="s">
        <v>35366</v>
      </c>
      <c r="B8068" s="12" t="s">
        <v>26346</v>
      </c>
      <c r="C8068" s="19">
        <v>1</v>
      </c>
      <c r="D8068" s="19">
        <v>1</v>
      </c>
      <c r="E8068" s="19">
        <v>2</v>
      </c>
      <c r="F8068" s="19">
        <v>5</v>
      </c>
      <c r="G8068" s="15" t="s">
        <v>36</v>
      </c>
      <c r="H8068" s="14" t="s">
        <v>36</v>
      </c>
      <c r="I8068" s="18" t="s">
        <v>36</v>
      </c>
      <c r="J8068" s="12" t="s">
        <v>36</v>
      </c>
      <c r="K8068" s="13" t="s">
        <v>36</v>
      </c>
      <c r="L8068" s="15" t="s">
        <v>36</v>
      </c>
      <c r="M8068" s="12" t="s">
        <v>36</v>
      </c>
      <c r="N8068" s="12" t="s">
        <v>36</v>
      </c>
      <c r="O8068" s="17" t="s">
        <v>36</v>
      </c>
      <c r="P8068" s="12" t="s">
        <v>36</v>
      </c>
      <c r="Q8068" s="12" t="s">
        <v>36</v>
      </c>
      <c r="R8068" s="12" t="s">
        <v>36</v>
      </c>
      <c r="S8068" s="12" t="s">
        <v>36</v>
      </c>
      <c r="T8068" s="12" t="s">
        <v>596</v>
      </c>
      <c r="U8068" s="12" t="s">
        <v>366</v>
      </c>
      <c r="V8068" s="12" t="s">
        <v>367</v>
      </c>
      <c r="W8068" s="12" t="s">
        <v>26347</v>
      </c>
      <c r="X8068" s="16" t="s">
        <v>35367</v>
      </c>
      <c r="Y8068" s="15" t="s">
        <v>42</v>
      </c>
      <c r="Z8068" s="14">
        <v>1.3</v>
      </c>
      <c r="AA8068" s="14" t="s">
        <v>36</v>
      </c>
      <c r="AB8068" s="12" t="s">
        <v>43</v>
      </c>
      <c r="AC8068" s="12" t="s">
        <v>26349</v>
      </c>
      <c r="AD8068" s="13">
        <v>41422</v>
      </c>
      <c r="AE8068" s="12" t="s">
        <v>600</v>
      </c>
      <c r="AF8068" s="12" t="s">
        <v>26350</v>
      </c>
      <c r="AG8068" s="12" t="s">
        <v>26351</v>
      </c>
      <c r="AH8068" s="1">
        <f>HYPERLINK("https://my.pitchbook.com?c=29070-91T","View Company Online")</f>
      </c>
    </row>
    <row r="8069">
      <c r="A8069" s="3" t="s">
        <v>35368</v>
      </c>
      <c r="B8069" s="3" t="s">
        <v>35369</v>
      </c>
      <c r="C8069" s="5" t="s">
        <v>36</v>
      </c>
      <c r="D8069" s="5" t="s">
        <v>36</v>
      </c>
      <c r="E8069" s="5" t="s">
        <v>36</v>
      </c>
      <c r="F8069" s="5" t="s">
        <v>36</v>
      </c>
      <c r="G8069" s="6" t="s">
        <v>36</v>
      </c>
      <c r="H8069" s="4" t="s">
        <v>36</v>
      </c>
      <c r="I8069" s="7" t="s">
        <v>36</v>
      </c>
      <c r="J8069" s="3" t="s">
        <v>36</v>
      </c>
      <c r="K8069" s="9" t="s">
        <v>36</v>
      </c>
      <c r="L8069" s="6" t="s">
        <v>94</v>
      </c>
      <c r="M8069" s="3" t="s">
        <v>36</v>
      </c>
      <c r="N8069" s="3" t="s">
        <v>94</v>
      </c>
      <c r="O8069" s="8" t="s">
        <v>36</v>
      </c>
      <c r="P8069" s="3" t="s">
        <v>36</v>
      </c>
      <c r="Q8069" s="3" t="s">
        <v>36</v>
      </c>
      <c r="R8069" s="3" t="s">
        <v>36</v>
      </c>
      <c r="S8069" s="3" t="s">
        <v>36</v>
      </c>
      <c r="T8069" s="3" t="s">
        <v>2044</v>
      </c>
      <c r="U8069" s="3" t="s">
        <v>74</v>
      </c>
      <c r="V8069" s="3" t="s">
        <v>75</v>
      </c>
      <c r="W8069" s="3" t="s">
        <v>35370</v>
      </c>
      <c r="X8069" s="10" t="s">
        <v>35371</v>
      </c>
      <c r="Y8069" s="6" t="s">
        <v>108</v>
      </c>
      <c r="Z8069" s="4">
        <v>4.02</v>
      </c>
      <c r="AA8069" s="4" t="s">
        <v>36</v>
      </c>
      <c r="AB8069" s="3" t="s">
        <v>43</v>
      </c>
      <c r="AC8069" s="3" t="s">
        <v>35372</v>
      </c>
      <c r="AD8069" s="9">
        <v>41422</v>
      </c>
      <c r="AE8069" s="3" t="s">
        <v>79</v>
      </c>
      <c r="AF8069" s="3" t="s">
        <v>4099</v>
      </c>
      <c r="AG8069" s="3" t="s">
        <v>81</v>
      </c>
      <c r="AH8069" s="11">
        <f>HYPERLINK("https://my.pitchbook.com?c=29077-84T","View Company Online")</f>
      </c>
    </row>
    <row r="8070">
      <c r="A8070" s="12" t="s">
        <v>35373</v>
      </c>
      <c r="B8070" s="12" t="s">
        <v>35374</v>
      </c>
      <c r="C8070" s="19" t="s">
        <v>36</v>
      </c>
      <c r="D8070" s="19" t="s">
        <v>36</v>
      </c>
      <c r="E8070" s="19" t="s">
        <v>36</v>
      </c>
      <c r="F8070" s="19" t="s">
        <v>36</v>
      </c>
      <c r="G8070" s="15" t="s">
        <v>36</v>
      </c>
      <c r="H8070" s="14" t="s">
        <v>36</v>
      </c>
      <c r="I8070" s="18" t="s">
        <v>36</v>
      </c>
      <c r="J8070" s="12" t="s">
        <v>36</v>
      </c>
      <c r="K8070" s="13" t="s">
        <v>36</v>
      </c>
      <c r="L8070" s="15" t="s">
        <v>36</v>
      </c>
      <c r="M8070" s="12" t="s">
        <v>36</v>
      </c>
      <c r="N8070" s="12" t="s">
        <v>36</v>
      </c>
      <c r="O8070" s="17" t="s">
        <v>36</v>
      </c>
      <c r="P8070" s="12" t="s">
        <v>36</v>
      </c>
      <c r="Q8070" s="12" t="s">
        <v>36</v>
      </c>
      <c r="R8070" s="12" t="s">
        <v>36</v>
      </c>
      <c r="S8070" s="12" t="s">
        <v>36</v>
      </c>
      <c r="T8070" s="12" t="s">
        <v>18932</v>
      </c>
      <c r="U8070" s="12" t="s">
        <v>423</v>
      </c>
      <c r="V8070" s="12" t="s">
        <v>64</v>
      </c>
      <c r="W8070" s="12" t="s">
        <v>35375</v>
      </c>
      <c r="X8070" s="16" t="s">
        <v>12372</v>
      </c>
      <c r="Y8070" s="15" t="s">
        <v>42</v>
      </c>
      <c r="Z8070" s="14">
        <v>1.06</v>
      </c>
      <c r="AA8070" s="14" t="s">
        <v>36</v>
      </c>
      <c r="AB8070" s="12" t="s">
        <v>43</v>
      </c>
      <c r="AC8070" s="12" t="s">
        <v>35376</v>
      </c>
      <c r="AD8070" s="13">
        <v>41422</v>
      </c>
      <c r="AE8070" s="12" t="s">
        <v>2871</v>
      </c>
      <c r="AF8070" s="12" t="s">
        <v>9611</v>
      </c>
      <c r="AG8070" s="12" t="s">
        <v>35377</v>
      </c>
      <c r="AH8070" s="1">
        <f>HYPERLINK("https://my.pitchbook.com?c=76292-92T","View Company Online")</f>
      </c>
    </row>
    <row r="8071">
      <c r="A8071" s="3" t="s">
        <v>35378</v>
      </c>
      <c r="B8071" s="3" t="s">
        <v>35379</v>
      </c>
      <c r="C8071" s="5" t="s">
        <v>36</v>
      </c>
      <c r="D8071" s="5" t="s">
        <v>36</v>
      </c>
      <c r="E8071" s="5" t="s">
        <v>36</v>
      </c>
      <c r="F8071" s="5" t="s">
        <v>36</v>
      </c>
      <c r="G8071" s="6" t="s">
        <v>36</v>
      </c>
      <c r="H8071" s="4" t="s">
        <v>36</v>
      </c>
      <c r="I8071" s="7" t="s">
        <v>36</v>
      </c>
      <c r="J8071" s="3" t="s">
        <v>36</v>
      </c>
      <c r="K8071" s="9" t="s">
        <v>36</v>
      </c>
      <c r="L8071" s="6" t="s">
        <v>36</v>
      </c>
      <c r="M8071" s="3" t="s">
        <v>36</v>
      </c>
      <c r="N8071" s="3" t="s">
        <v>36</v>
      </c>
      <c r="O8071" s="8" t="s">
        <v>36</v>
      </c>
      <c r="P8071" s="3" t="s">
        <v>36</v>
      </c>
      <c r="Q8071" s="3" t="s">
        <v>36</v>
      </c>
      <c r="R8071" s="3" t="s">
        <v>36</v>
      </c>
      <c r="S8071" s="3" t="s">
        <v>36</v>
      </c>
      <c r="T8071" s="3" t="s">
        <v>10741</v>
      </c>
      <c r="U8071" s="3" t="s">
        <v>833</v>
      </c>
      <c r="V8071" s="3" t="s">
        <v>64</v>
      </c>
      <c r="W8071" s="3" t="s">
        <v>35380</v>
      </c>
      <c r="X8071" s="10" t="s">
        <v>35381</v>
      </c>
      <c r="Y8071" s="6" t="s">
        <v>42</v>
      </c>
      <c r="Z8071" s="4" t="s">
        <v>36</v>
      </c>
      <c r="AA8071" s="4" t="s">
        <v>36</v>
      </c>
      <c r="AB8071" s="3" t="s">
        <v>43</v>
      </c>
      <c r="AC8071" s="3" t="s">
        <v>35382</v>
      </c>
      <c r="AD8071" s="9">
        <v>41421</v>
      </c>
      <c r="AE8071" s="3" t="s">
        <v>1687</v>
      </c>
      <c r="AF8071" s="3" t="s">
        <v>1216</v>
      </c>
      <c r="AG8071" s="3" t="s">
        <v>35383</v>
      </c>
      <c r="AH8071" s="11">
        <f>HYPERLINK("https://my.pitchbook.com?c=28622-26T","View Company Online")</f>
      </c>
    </row>
    <row r="8072">
      <c r="A8072" s="12" t="s">
        <v>35384</v>
      </c>
      <c r="B8072" s="12" t="s">
        <v>32493</v>
      </c>
      <c r="C8072" s="19" t="s">
        <v>36</v>
      </c>
      <c r="D8072" s="19" t="s">
        <v>36</v>
      </c>
      <c r="E8072" s="19" t="s">
        <v>36</v>
      </c>
      <c r="F8072" s="19" t="s">
        <v>36</v>
      </c>
      <c r="G8072" s="15" t="s">
        <v>326</v>
      </c>
      <c r="H8072" s="14">
        <v>99.83</v>
      </c>
      <c r="I8072" s="18">
        <v>16.67</v>
      </c>
      <c r="J8072" s="12" t="s">
        <v>521</v>
      </c>
      <c r="K8072" s="13" t="s">
        <v>36</v>
      </c>
      <c r="L8072" s="15" t="s">
        <v>36</v>
      </c>
      <c r="M8072" s="12" t="s">
        <v>36</v>
      </c>
      <c r="N8072" s="12" t="s">
        <v>36</v>
      </c>
      <c r="O8072" s="17" t="s">
        <v>36</v>
      </c>
      <c r="P8072" s="12" t="s">
        <v>36</v>
      </c>
      <c r="Q8072" s="12" t="s">
        <v>36</v>
      </c>
      <c r="R8072" s="12" t="s">
        <v>36</v>
      </c>
      <c r="S8072" s="12" t="s">
        <v>36</v>
      </c>
      <c r="T8072" s="12" t="s">
        <v>12800</v>
      </c>
      <c r="U8072" s="12" t="s">
        <v>833</v>
      </c>
      <c r="V8072" s="12" t="s">
        <v>64</v>
      </c>
      <c r="W8072" s="12" t="s">
        <v>32494</v>
      </c>
      <c r="X8072" s="16" t="s">
        <v>11579</v>
      </c>
      <c r="Y8072" s="15" t="s">
        <v>108</v>
      </c>
      <c r="Z8072" s="14">
        <v>0.39</v>
      </c>
      <c r="AA8072" s="14">
        <v>2.34</v>
      </c>
      <c r="AB8072" s="12" t="s">
        <v>43</v>
      </c>
      <c r="AC8072" s="12" t="s">
        <v>32495</v>
      </c>
      <c r="AD8072" s="13">
        <v>41421</v>
      </c>
      <c r="AE8072" s="12" t="s">
        <v>1687</v>
      </c>
      <c r="AF8072" s="12" t="s">
        <v>90</v>
      </c>
      <c r="AG8072" s="12" t="s">
        <v>81</v>
      </c>
      <c r="AH8072" s="1">
        <f>HYPERLINK("https://my.pitchbook.com?c=188070-49T","View Company Online")</f>
      </c>
    </row>
    <row r="8073">
      <c r="A8073" s="3" t="s">
        <v>35385</v>
      </c>
      <c r="B8073" s="3" t="s">
        <v>35386</v>
      </c>
      <c r="C8073" s="5" t="s">
        <v>36</v>
      </c>
      <c r="D8073" s="5" t="s">
        <v>36</v>
      </c>
      <c r="E8073" s="5" t="s">
        <v>36</v>
      </c>
      <c r="F8073" s="5" t="s">
        <v>36</v>
      </c>
      <c r="G8073" s="6" t="s">
        <v>683</v>
      </c>
      <c r="H8073" s="4">
        <v>58.44</v>
      </c>
      <c r="I8073" s="7">
        <v>13.54</v>
      </c>
      <c r="J8073" s="3" t="s">
        <v>521</v>
      </c>
      <c r="K8073" s="9" t="s">
        <v>36</v>
      </c>
      <c r="L8073" s="6" t="s">
        <v>36</v>
      </c>
      <c r="M8073" s="3" t="s">
        <v>36</v>
      </c>
      <c r="N8073" s="3" t="s">
        <v>36</v>
      </c>
      <c r="O8073" s="8" t="s">
        <v>36</v>
      </c>
      <c r="P8073" s="3" t="s">
        <v>36</v>
      </c>
      <c r="Q8073" s="3" t="s">
        <v>36</v>
      </c>
      <c r="R8073" s="3" t="s">
        <v>36</v>
      </c>
      <c r="S8073" s="3" t="s">
        <v>36</v>
      </c>
      <c r="T8073" s="3" t="s">
        <v>2285</v>
      </c>
      <c r="U8073" s="3" t="s">
        <v>38</v>
      </c>
      <c r="V8073" s="3" t="s">
        <v>39</v>
      </c>
      <c r="W8073" s="3" t="s">
        <v>35387</v>
      </c>
      <c r="X8073" s="10" t="s">
        <v>35388</v>
      </c>
      <c r="Y8073" s="6" t="s">
        <v>108</v>
      </c>
      <c r="Z8073" s="4">
        <v>0.23</v>
      </c>
      <c r="AA8073" s="4">
        <v>1.69</v>
      </c>
      <c r="AB8073" s="3" t="s">
        <v>43</v>
      </c>
      <c r="AC8073" s="3" t="s">
        <v>35389</v>
      </c>
      <c r="AD8073" s="9">
        <v>41421</v>
      </c>
      <c r="AE8073" s="3" t="s">
        <v>110</v>
      </c>
      <c r="AF8073" s="3" t="s">
        <v>815</v>
      </c>
      <c r="AG8073" s="3" t="s">
        <v>81</v>
      </c>
      <c r="AH8073" s="11">
        <f>HYPERLINK("https://my.pitchbook.com?c=123522-94T","View Company Online")</f>
      </c>
    </row>
    <row r="8074">
      <c r="A8074" s="12" t="s">
        <v>35390</v>
      </c>
      <c r="B8074" s="12" t="s">
        <v>33220</v>
      </c>
      <c r="C8074" s="19" t="s">
        <v>36</v>
      </c>
      <c r="D8074" s="19" t="s">
        <v>36</v>
      </c>
      <c r="E8074" s="19" t="s">
        <v>36</v>
      </c>
      <c r="F8074" s="19" t="s">
        <v>36</v>
      </c>
      <c r="G8074" s="15" t="s">
        <v>2497</v>
      </c>
      <c r="H8074" s="14">
        <v>36.47</v>
      </c>
      <c r="I8074" s="18">
        <v>40.04</v>
      </c>
      <c r="J8074" s="12" t="s">
        <v>521</v>
      </c>
      <c r="K8074" s="13" t="s">
        <v>36</v>
      </c>
      <c r="L8074" s="15" t="s">
        <v>94</v>
      </c>
      <c r="M8074" s="12" t="s">
        <v>36</v>
      </c>
      <c r="N8074" s="12" t="s">
        <v>94</v>
      </c>
      <c r="O8074" s="17" t="s">
        <v>36</v>
      </c>
      <c r="P8074" s="12" t="s">
        <v>36</v>
      </c>
      <c r="Q8074" s="12" t="s">
        <v>36</v>
      </c>
      <c r="R8074" s="12" t="s">
        <v>36</v>
      </c>
      <c r="S8074" s="12" t="s">
        <v>36</v>
      </c>
      <c r="T8074" s="12" t="s">
        <v>3303</v>
      </c>
      <c r="U8074" s="12" t="s">
        <v>38</v>
      </c>
      <c r="V8074" s="12" t="s">
        <v>39</v>
      </c>
      <c r="W8074" s="12" t="s">
        <v>33221</v>
      </c>
      <c r="X8074" s="16" t="s">
        <v>35391</v>
      </c>
      <c r="Y8074" s="15" t="s">
        <v>55</v>
      </c>
      <c r="Z8074" s="14">
        <v>4.62</v>
      </c>
      <c r="AA8074" s="14">
        <v>11.53</v>
      </c>
      <c r="AB8074" s="12" t="s">
        <v>43</v>
      </c>
      <c r="AC8074" s="12" t="s">
        <v>33222</v>
      </c>
      <c r="AD8074" s="13">
        <v>41418</v>
      </c>
      <c r="AE8074" s="12" t="s">
        <v>1945</v>
      </c>
      <c r="AF8074" s="12" t="s">
        <v>33223</v>
      </c>
      <c r="AG8074" s="12" t="s">
        <v>1078</v>
      </c>
      <c r="AH8074" s="1">
        <f>HYPERLINK("https://my.pitchbook.com?c=45951-04T","View Company Online")</f>
      </c>
    </row>
    <row r="8075">
      <c r="A8075" s="3" t="s">
        <v>35392</v>
      </c>
      <c r="B8075" s="3" t="s">
        <v>34174</v>
      </c>
      <c r="C8075" s="5" t="s">
        <v>36</v>
      </c>
      <c r="D8075" s="5" t="s">
        <v>36</v>
      </c>
      <c r="E8075" s="5" t="s">
        <v>36</v>
      </c>
      <c r="F8075" s="5" t="s">
        <v>36</v>
      </c>
      <c r="G8075" s="6" t="s">
        <v>36</v>
      </c>
      <c r="H8075" s="4" t="s">
        <v>36</v>
      </c>
      <c r="I8075" s="7" t="s">
        <v>36</v>
      </c>
      <c r="J8075" s="3" t="s">
        <v>36</v>
      </c>
      <c r="K8075" s="9" t="s">
        <v>36</v>
      </c>
      <c r="L8075" s="6" t="s">
        <v>36</v>
      </c>
      <c r="M8075" s="3" t="s">
        <v>36</v>
      </c>
      <c r="N8075" s="3" t="s">
        <v>36</v>
      </c>
      <c r="O8075" s="8" t="s">
        <v>36</v>
      </c>
      <c r="P8075" s="3" t="s">
        <v>36</v>
      </c>
      <c r="Q8075" s="3" t="s">
        <v>36</v>
      </c>
      <c r="R8075" s="3" t="s">
        <v>36</v>
      </c>
      <c r="S8075" s="3" t="s">
        <v>36</v>
      </c>
      <c r="T8075" s="3" t="s">
        <v>34175</v>
      </c>
      <c r="U8075" s="3" t="s">
        <v>74</v>
      </c>
      <c r="V8075" s="3" t="s">
        <v>75</v>
      </c>
      <c r="W8075" s="3" t="s">
        <v>34176</v>
      </c>
      <c r="X8075" s="10" t="s">
        <v>35393</v>
      </c>
      <c r="Y8075" s="6" t="s">
        <v>108</v>
      </c>
      <c r="Z8075" s="4">
        <v>3.38</v>
      </c>
      <c r="AA8075" s="4" t="s">
        <v>36</v>
      </c>
      <c r="AB8075" s="3" t="s">
        <v>43</v>
      </c>
      <c r="AC8075" s="3" t="s">
        <v>34178</v>
      </c>
      <c r="AD8075" s="9">
        <v>41417</v>
      </c>
      <c r="AE8075" s="3" t="s">
        <v>570</v>
      </c>
      <c r="AF8075" s="3" t="s">
        <v>34179</v>
      </c>
      <c r="AG8075" s="3" t="s">
        <v>81</v>
      </c>
      <c r="AH8075" s="11">
        <f>HYPERLINK("https://my.pitchbook.com?c=33237-10T","View Company Online")</f>
      </c>
    </row>
    <row r="8076">
      <c r="A8076" s="12" t="s">
        <v>35394</v>
      </c>
      <c r="B8076" s="12" t="s">
        <v>35395</v>
      </c>
      <c r="C8076" s="19">
        <v>4</v>
      </c>
      <c r="D8076" s="19">
        <v>14</v>
      </c>
      <c r="E8076" s="19">
        <v>8</v>
      </c>
      <c r="F8076" s="19">
        <v>21</v>
      </c>
      <c r="G8076" s="15" t="s">
        <v>36</v>
      </c>
      <c r="H8076" s="14" t="s">
        <v>36</v>
      </c>
      <c r="I8076" s="18" t="s">
        <v>36</v>
      </c>
      <c r="J8076" s="12" t="s">
        <v>36</v>
      </c>
      <c r="K8076" s="13" t="s">
        <v>36</v>
      </c>
      <c r="L8076" s="15" t="s">
        <v>36</v>
      </c>
      <c r="M8076" s="12" t="s">
        <v>36</v>
      </c>
      <c r="N8076" s="12" t="s">
        <v>36</v>
      </c>
      <c r="O8076" s="17" t="s">
        <v>36</v>
      </c>
      <c r="P8076" s="12" t="s">
        <v>36</v>
      </c>
      <c r="Q8076" s="12" t="s">
        <v>36</v>
      </c>
      <c r="R8076" s="12" t="s">
        <v>36</v>
      </c>
      <c r="S8076" s="12" t="s">
        <v>36</v>
      </c>
      <c r="T8076" s="12" t="s">
        <v>35396</v>
      </c>
      <c r="U8076" s="12" t="s">
        <v>318</v>
      </c>
      <c r="V8076" s="12" t="s">
        <v>39</v>
      </c>
      <c r="W8076" s="12" t="s">
        <v>35397</v>
      </c>
      <c r="X8076" s="16" t="s">
        <v>13138</v>
      </c>
      <c r="Y8076" s="15" t="s">
        <v>108</v>
      </c>
      <c r="Z8076" s="14" t="s">
        <v>36</v>
      </c>
      <c r="AA8076" s="14" t="s">
        <v>36</v>
      </c>
      <c r="AB8076" s="12" t="s">
        <v>43</v>
      </c>
      <c r="AC8076" s="12" t="s">
        <v>35398</v>
      </c>
      <c r="AD8076" s="13">
        <v>41415</v>
      </c>
      <c r="AE8076" s="12" t="s">
        <v>417</v>
      </c>
      <c r="AF8076" s="12" t="s">
        <v>35399</v>
      </c>
      <c r="AG8076" s="12" t="s">
        <v>35400</v>
      </c>
      <c r="AH8076" s="1">
        <f>HYPERLINK("https://my.pitchbook.com?c=213949-27T","View Company Online")</f>
      </c>
    </row>
    <row r="8077">
      <c r="A8077" s="3" t="s">
        <v>35401</v>
      </c>
      <c r="B8077" s="3" t="s">
        <v>21372</v>
      </c>
      <c r="C8077" s="5" t="s">
        <v>36</v>
      </c>
      <c r="D8077" s="5" t="s">
        <v>36</v>
      </c>
      <c r="E8077" s="5" t="s">
        <v>36</v>
      </c>
      <c r="F8077" s="5" t="s">
        <v>36</v>
      </c>
      <c r="G8077" s="6" t="s">
        <v>36</v>
      </c>
      <c r="H8077" s="4">
        <v>155.27</v>
      </c>
      <c r="I8077" s="7">
        <v>44.17</v>
      </c>
      <c r="J8077" s="3" t="s">
        <v>521</v>
      </c>
      <c r="K8077" s="9" t="s">
        <v>36</v>
      </c>
      <c r="L8077" s="6" t="s">
        <v>36</v>
      </c>
      <c r="M8077" s="3" t="s">
        <v>36</v>
      </c>
      <c r="N8077" s="3" t="s">
        <v>36</v>
      </c>
      <c r="O8077" s="8" t="s">
        <v>36</v>
      </c>
      <c r="P8077" s="3" t="s">
        <v>36</v>
      </c>
      <c r="Q8077" s="3" t="s">
        <v>36</v>
      </c>
      <c r="R8077" s="3" t="s">
        <v>36</v>
      </c>
      <c r="S8077" s="3" t="s">
        <v>36</v>
      </c>
      <c r="T8077" s="3" t="s">
        <v>522</v>
      </c>
      <c r="U8077" s="3" t="s">
        <v>38</v>
      </c>
      <c r="V8077" s="3" t="s">
        <v>39</v>
      </c>
      <c r="W8077" s="3" t="s">
        <v>21373</v>
      </c>
      <c r="X8077" s="10" t="s">
        <v>35402</v>
      </c>
      <c r="Y8077" s="6" t="s">
        <v>42</v>
      </c>
      <c r="Z8077" s="4">
        <v>0.52</v>
      </c>
      <c r="AA8077" s="4">
        <v>1.05</v>
      </c>
      <c r="AB8077" s="3" t="s">
        <v>43</v>
      </c>
      <c r="AC8077" s="3" t="s">
        <v>21375</v>
      </c>
      <c r="AD8077" s="9">
        <v>41415</v>
      </c>
      <c r="AE8077" s="3" t="s">
        <v>110</v>
      </c>
      <c r="AF8077" s="3" t="s">
        <v>176</v>
      </c>
      <c r="AG8077" s="3" t="s">
        <v>741</v>
      </c>
      <c r="AH8077" s="11">
        <f>HYPERLINK("https://my.pitchbook.com?c=51747-76T","View Company Online")</f>
      </c>
    </row>
    <row r="8078">
      <c r="A8078" s="12" t="s">
        <v>35403</v>
      </c>
      <c r="B8078" s="12" t="s">
        <v>32523</v>
      </c>
      <c r="C8078" s="19">
        <v>10</v>
      </c>
      <c r="D8078" s="19">
        <v>22</v>
      </c>
      <c r="E8078" s="19">
        <v>10</v>
      </c>
      <c r="F8078" s="19">
        <v>40</v>
      </c>
      <c r="G8078" s="15" t="s">
        <v>683</v>
      </c>
      <c r="H8078" s="14">
        <v>24.93</v>
      </c>
      <c r="I8078" s="18">
        <v>47.97</v>
      </c>
      <c r="J8078" s="12" t="s">
        <v>521</v>
      </c>
      <c r="K8078" s="13" t="s">
        <v>36</v>
      </c>
      <c r="L8078" s="15" t="s">
        <v>36</v>
      </c>
      <c r="M8078" s="12" t="s">
        <v>36</v>
      </c>
      <c r="N8078" s="12" t="s">
        <v>36</v>
      </c>
      <c r="O8078" s="17" t="s">
        <v>36</v>
      </c>
      <c r="P8078" s="12" t="s">
        <v>36</v>
      </c>
      <c r="Q8078" s="12" t="s">
        <v>36</v>
      </c>
      <c r="R8078" s="12" t="s">
        <v>36</v>
      </c>
      <c r="S8078" s="12" t="s">
        <v>36</v>
      </c>
      <c r="T8078" s="12" t="s">
        <v>9893</v>
      </c>
      <c r="U8078" s="12" t="s">
        <v>51</v>
      </c>
      <c r="V8078" s="12" t="s">
        <v>52</v>
      </c>
      <c r="W8078" s="12" t="s">
        <v>32524</v>
      </c>
      <c r="X8078" s="16" t="s">
        <v>35404</v>
      </c>
      <c r="Y8078" s="15" t="s">
        <v>108</v>
      </c>
      <c r="Z8078" s="14">
        <v>2.6</v>
      </c>
      <c r="AA8078" s="14">
        <v>3.67</v>
      </c>
      <c r="AB8078" s="12" t="s">
        <v>43</v>
      </c>
      <c r="AC8078" s="12" t="s">
        <v>32526</v>
      </c>
      <c r="AD8078" s="13">
        <v>41413</v>
      </c>
      <c r="AE8078" s="12" t="s">
        <v>158</v>
      </c>
      <c r="AF8078" s="12" t="s">
        <v>36</v>
      </c>
      <c r="AG8078" s="12" t="s">
        <v>652</v>
      </c>
      <c r="AH8078" s="1">
        <f>HYPERLINK("https://my.pitchbook.com?c=44688-88T","View Company Online")</f>
      </c>
    </row>
    <row r="8079">
      <c r="A8079" s="3" t="s">
        <v>35405</v>
      </c>
      <c r="B8079" s="3" t="s">
        <v>35406</v>
      </c>
      <c r="C8079" s="5" t="s">
        <v>36</v>
      </c>
      <c r="D8079" s="5" t="s">
        <v>36</v>
      </c>
      <c r="E8079" s="5" t="s">
        <v>36</v>
      </c>
      <c r="F8079" s="5" t="s">
        <v>36</v>
      </c>
      <c r="G8079" s="6" t="s">
        <v>36</v>
      </c>
      <c r="H8079" s="4" t="s">
        <v>36</v>
      </c>
      <c r="I8079" s="7">
        <v>61.1</v>
      </c>
      <c r="J8079" s="3" t="s">
        <v>521</v>
      </c>
      <c r="K8079" s="9" t="s">
        <v>36</v>
      </c>
      <c r="L8079" s="6" t="s">
        <v>36</v>
      </c>
      <c r="M8079" s="3" t="s">
        <v>36</v>
      </c>
      <c r="N8079" s="3" t="s">
        <v>36</v>
      </c>
      <c r="O8079" s="8" t="s">
        <v>36</v>
      </c>
      <c r="P8079" s="3" t="s">
        <v>36</v>
      </c>
      <c r="Q8079" s="3" t="s">
        <v>36</v>
      </c>
      <c r="R8079" s="3" t="s">
        <v>36</v>
      </c>
      <c r="S8079" s="3" t="s">
        <v>36</v>
      </c>
      <c r="T8079" s="3" t="s">
        <v>10014</v>
      </c>
      <c r="U8079" s="3" t="s">
        <v>438</v>
      </c>
      <c r="V8079" s="3" t="s">
        <v>405</v>
      </c>
      <c r="W8079" s="3" t="s">
        <v>35407</v>
      </c>
      <c r="X8079" s="10" t="s">
        <v>35408</v>
      </c>
      <c r="Y8079" s="6" t="s">
        <v>192</v>
      </c>
      <c r="Z8079" s="4">
        <v>2.61</v>
      </c>
      <c r="AA8079" s="4">
        <v>4.26</v>
      </c>
      <c r="AB8079" s="3" t="s">
        <v>56</v>
      </c>
      <c r="AC8079" s="3" t="s">
        <v>35409</v>
      </c>
      <c r="AD8079" s="9">
        <v>41411</v>
      </c>
      <c r="AE8079" s="3" t="s">
        <v>10018</v>
      </c>
      <c r="AF8079" s="3" t="s">
        <v>36</v>
      </c>
      <c r="AG8079" s="3" t="s">
        <v>81</v>
      </c>
      <c r="AH8079" s="11">
        <f>HYPERLINK("https://my.pitchbook.com?c=38606-41T","View Company Online")</f>
      </c>
    </row>
    <row r="8080">
      <c r="A8080" s="12" t="s">
        <v>35410</v>
      </c>
      <c r="B8080" s="12" t="s">
        <v>31186</v>
      </c>
      <c r="C8080" s="19">
        <v>2</v>
      </c>
      <c r="D8080" s="19">
        <v>11</v>
      </c>
      <c r="E8080" s="19">
        <v>3</v>
      </c>
      <c r="F8080" s="19">
        <v>18</v>
      </c>
      <c r="G8080" s="15" t="s">
        <v>36</v>
      </c>
      <c r="H8080" s="14" t="s">
        <v>36</v>
      </c>
      <c r="I8080" s="18" t="s">
        <v>36</v>
      </c>
      <c r="J8080" s="12" t="s">
        <v>36</v>
      </c>
      <c r="K8080" s="13" t="s">
        <v>36</v>
      </c>
      <c r="L8080" s="15" t="s">
        <v>36</v>
      </c>
      <c r="M8080" s="12" t="s">
        <v>36</v>
      </c>
      <c r="N8080" s="12" t="s">
        <v>36</v>
      </c>
      <c r="O8080" s="17" t="s">
        <v>36</v>
      </c>
      <c r="P8080" s="12" t="s">
        <v>36</v>
      </c>
      <c r="Q8080" s="12" t="s">
        <v>36</v>
      </c>
      <c r="R8080" s="12" t="s">
        <v>36</v>
      </c>
      <c r="S8080" s="12" t="s">
        <v>36</v>
      </c>
      <c r="T8080" s="12" t="s">
        <v>9709</v>
      </c>
      <c r="U8080" s="12" t="s">
        <v>51</v>
      </c>
      <c r="V8080" s="12" t="s">
        <v>52</v>
      </c>
      <c r="W8080" s="12" t="s">
        <v>31187</v>
      </c>
      <c r="X8080" s="16" t="s">
        <v>35411</v>
      </c>
      <c r="Y8080" s="15" t="s">
        <v>42</v>
      </c>
      <c r="Z8080" s="14">
        <v>2.74</v>
      </c>
      <c r="AA8080" s="14" t="s">
        <v>36</v>
      </c>
      <c r="AB8080" s="12" t="s">
        <v>43</v>
      </c>
      <c r="AC8080" s="12" t="s">
        <v>31189</v>
      </c>
      <c r="AD8080" s="13">
        <v>41411</v>
      </c>
      <c r="AE8080" s="12" t="s">
        <v>158</v>
      </c>
      <c r="AF8080" s="12" t="s">
        <v>665</v>
      </c>
      <c r="AG8080" s="12" t="s">
        <v>47</v>
      </c>
      <c r="AH8080" s="1">
        <f>HYPERLINK("https://my.pitchbook.com?c=29161-45T","View Company Online")</f>
      </c>
    </row>
    <row r="8081">
      <c r="A8081" s="3" t="s">
        <v>35412</v>
      </c>
      <c r="B8081" s="3" t="s">
        <v>23621</v>
      </c>
      <c r="C8081" s="5" t="s">
        <v>36</v>
      </c>
      <c r="D8081" s="5" t="s">
        <v>36</v>
      </c>
      <c r="E8081" s="5" t="s">
        <v>36</v>
      </c>
      <c r="F8081" s="5" t="s">
        <v>36</v>
      </c>
      <c r="G8081" s="6" t="s">
        <v>36</v>
      </c>
      <c r="H8081" s="4" t="s">
        <v>36</v>
      </c>
      <c r="I8081" s="7" t="s">
        <v>36</v>
      </c>
      <c r="J8081" s="3" t="s">
        <v>36</v>
      </c>
      <c r="K8081" s="9" t="s">
        <v>36</v>
      </c>
      <c r="L8081" s="6" t="s">
        <v>36</v>
      </c>
      <c r="M8081" s="3" t="s">
        <v>36</v>
      </c>
      <c r="N8081" s="3" t="s">
        <v>36</v>
      </c>
      <c r="O8081" s="8" t="s">
        <v>36</v>
      </c>
      <c r="P8081" s="3" t="s">
        <v>36</v>
      </c>
      <c r="Q8081" s="3" t="s">
        <v>36</v>
      </c>
      <c r="R8081" s="3" t="s">
        <v>36</v>
      </c>
      <c r="S8081" s="3" t="s">
        <v>36</v>
      </c>
      <c r="T8081" s="3" t="s">
        <v>1162</v>
      </c>
      <c r="U8081" s="3" t="s">
        <v>423</v>
      </c>
      <c r="V8081" s="3" t="s">
        <v>64</v>
      </c>
      <c r="W8081" s="3" t="s">
        <v>23622</v>
      </c>
      <c r="X8081" s="10" t="s">
        <v>35413</v>
      </c>
      <c r="Y8081" s="6" t="s">
        <v>108</v>
      </c>
      <c r="Z8081" s="4">
        <v>7.82</v>
      </c>
      <c r="AA8081" s="4" t="s">
        <v>36</v>
      </c>
      <c r="AB8081" s="3" t="s">
        <v>56</v>
      </c>
      <c r="AC8081" s="3" t="s">
        <v>23624</v>
      </c>
      <c r="AD8081" s="9">
        <v>41411</v>
      </c>
      <c r="AE8081" s="3" t="s">
        <v>562</v>
      </c>
      <c r="AF8081" s="3" t="s">
        <v>90</v>
      </c>
      <c r="AG8081" s="3" t="s">
        <v>23625</v>
      </c>
      <c r="AH8081" s="11">
        <f>HYPERLINK("https://my.pitchbook.com?c=27217-54T","View Company Online")</f>
      </c>
    </row>
    <row r="8082">
      <c r="A8082" s="12" t="s">
        <v>35414</v>
      </c>
      <c r="B8082" s="12" t="s">
        <v>32915</v>
      </c>
      <c r="C8082" s="19" t="s">
        <v>36</v>
      </c>
      <c r="D8082" s="19" t="s">
        <v>36</v>
      </c>
      <c r="E8082" s="19" t="s">
        <v>36</v>
      </c>
      <c r="F8082" s="19" t="s">
        <v>36</v>
      </c>
      <c r="G8082" s="15" t="s">
        <v>36</v>
      </c>
      <c r="H8082" s="14" t="s">
        <v>36</v>
      </c>
      <c r="I8082" s="18" t="s">
        <v>36</v>
      </c>
      <c r="J8082" s="12" t="s">
        <v>36</v>
      </c>
      <c r="K8082" s="13" t="s">
        <v>36</v>
      </c>
      <c r="L8082" s="15" t="s">
        <v>1279</v>
      </c>
      <c r="M8082" s="12" t="s">
        <v>36</v>
      </c>
      <c r="N8082" s="12" t="s">
        <v>1279</v>
      </c>
      <c r="O8082" s="17" t="s">
        <v>36</v>
      </c>
      <c r="P8082" s="12" t="s">
        <v>36</v>
      </c>
      <c r="Q8082" s="12" t="s">
        <v>36</v>
      </c>
      <c r="R8082" s="12" t="s">
        <v>36</v>
      </c>
      <c r="S8082" s="12" t="s">
        <v>36</v>
      </c>
      <c r="T8082" s="12" t="s">
        <v>123</v>
      </c>
      <c r="U8082" s="12" t="s">
        <v>38</v>
      </c>
      <c r="V8082" s="12" t="s">
        <v>39</v>
      </c>
      <c r="W8082" s="12" t="s">
        <v>32916</v>
      </c>
      <c r="X8082" s="16" t="s">
        <v>35415</v>
      </c>
      <c r="Y8082" s="15" t="s">
        <v>55</v>
      </c>
      <c r="Z8082" s="14">
        <v>13.04</v>
      </c>
      <c r="AA8082" s="14" t="s">
        <v>36</v>
      </c>
      <c r="AB8082" s="12" t="s">
        <v>56</v>
      </c>
      <c r="AC8082" s="12" t="s">
        <v>32918</v>
      </c>
      <c r="AD8082" s="13">
        <v>41410</v>
      </c>
      <c r="AE8082" s="12" t="s">
        <v>110</v>
      </c>
      <c r="AF8082" s="12" t="s">
        <v>4552</v>
      </c>
      <c r="AG8082" s="12" t="s">
        <v>2760</v>
      </c>
      <c r="AH8082" s="1">
        <f>HYPERLINK("https://my.pitchbook.com?c=25998-58T","View Company Online")</f>
      </c>
    </row>
    <row r="8083">
      <c r="A8083" s="3" t="s">
        <v>35416</v>
      </c>
      <c r="B8083" s="3" t="s">
        <v>35417</v>
      </c>
      <c r="C8083" s="5" t="s">
        <v>36</v>
      </c>
      <c r="D8083" s="5" t="s">
        <v>36</v>
      </c>
      <c r="E8083" s="5" t="s">
        <v>36</v>
      </c>
      <c r="F8083" s="5" t="s">
        <v>36</v>
      </c>
      <c r="G8083" s="6" t="s">
        <v>326</v>
      </c>
      <c r="H8083" s="4">
        <v>10.39</v>
      </c>
      <c r="I8083" s="7">
        <v>33.35</v>
      </c>
      <c r="J8083" s="3" t="s">
        <v>521</v>
      </c>
      <c r="K8083" s="9" t="s">
        <v>36</v>
      </c>
      <c r="L8083" s="6" t="s">
        <v>36</v>
      </c>
      <c r="M8083" s="3" t="s">
        <v>36</v>
      </c>
      <c r="N8083" s="3" t="s">
        <v>36</v>
      </c>
      <c r="O8083" s="8" t="s">
        <v>36</v>
      </c>
      <c r="P8083" s="3" t="s">
        <v>36</v>
      </c>
      <c r="Q8083" s="3" t="s">
        <v>36</v>
      </c>
      <c r="R8083" s="3" t="s">
        <v>36</v>
      </c>
      <c r="S8083" s="3" t="s">
        <v>36</v>
      </c>
      <c r="T8083" s="3" t="s">
        <v>26693</v>
      </c>
      <c r="U8083" s="3" t="s">
        <v>728</v>
      </c>
      <c r="V8083" s="3" t="s">
        <v>64</v>
      </c>
      <c r="W8083" s="3" t="s">
        <v>35418</v>
      </c>
      <c r="X8083" s="10" t="s">
        <v>2130</v>
      </c>
      <c r="Y8083" s="6" t="s">
        <v>108</v>
      </c>
      <c r="Z8083" s="4">
        <v>3.26</v>
      </c>
      <c r="AA8083" s="4">
        <v>9.78</v>
      </c>
      <c r="AB8083" s="3" t="s">
        <v>56</v>
      </c>
      <c r="AC8083" s="3" t="s">
        <v>35419</v>
      </c>
      <c r="AD8083" s="9">
        <v>41409</v>
      </c>
      <c r="AE8083" s="3" t="s">
        <v>2154</v>
      </c>
      <c r="AF8083" s="3" t="s">
        <v>571</v>
      </c>
      <c r="AG8083" s="3" t="s">
        <v>35420</v>
      </c>
      <c r="AH8083" s="11">
        <f>HYPERLINK("https://my.pitchbook.com?c=30539-08T","View Company Online")</f>
      </c>
    </row>
    <row r="8084">
      <c r="A8084" s="12" t="s">
        <v>35421</v>
      </c>
      <c r="B8084" s="12" t="s">
        <v>35422</v>
      </c>
      <c r="C8084" s="19" t="s">
        <v>36</v>
      </c>
      <c r="D8084" s="19">
        <v>13</v>
      </c>
      <c r="E8084" s="19">
        <v>5</v>
      </c>
      <c r="F8084" s="19">
        <v>29</v>
      </c>
      <c r="G8084" s="15" t="s">
        <v>36</v>
      </c>
      <c r="H8084" s="14" t="s">
        <v>36</v>
      </c>
      <c r="I8084" s="18" t="s">
        <v>36</v>
      </c>
      <c r="J8084" s="12" t="s">
        <v>36</v>
      </c>
      <c r="K8084" s="13" t="s">
        <v>36</v>
      </c>
      <c r="L8084" s="15" t="s">
        <v>36</v>
      </c>
      <c r="M8084" s="12" t="s">
        <v>36</v>
      </c>
      <c r="N8084" s="12" t="s">
        <v>36</v>
      </c>
      <c r="O8084" s="17" t="s">
        <v>36</v>
      </c>
      <c r="P8084" s="12" t="s">
        <v>36</v>
      </c>
      <c r="Q8084" s="12" t="s">
        <v>36</v>
      </c>
      <c r="R8084" s="12" t="s">
        <v>36</v>
      </c>
      <c r="S8084" s="12" t="s">
        <v>36</v>
      </c>
      <c r="T8084" s="12" t="s">
        <v>35423</v>
      </c>
      <c r="U8084" s="12" t="s">
        <v>423</v>
      </c>
      <c r="V8084" s="12" t="s">
        <v>64</v>
      </c>
      <c r="W8084" s="12" t="s">
        <v>35424</v>
      </c>
      <c r="X8084" s="16" t="s">
        <v>35425</v>
      </c>
      <c r="Y8084" s="15" t="s">
        <v>42</v>
      </c>
      <c r="Z8084" s="14">
        <v>0.52</v>
      </c>
      <c r="AA8084" s="14" t="s">
        <v>36</v>
      </c>
      <c r="AB8084" s="12" t="s">
        <v>43</v>
      </c>
      <c r="AC8084" s="12" t="s">
        <v>35426</v>
      </c>
      <c r="AD8084" s="13">
        <v>41409</v>
      </c>
      <c r="AE8084" s="12" t="s">
        <v>5969</v>
      </c>
      <c r="AF8084" s="12" t="s">
        <v>36</v>
      </c>
      <c r="AG8084" s="12" t="s">
        <v>35427</v>
      </c>
      <c r="AH8084" s="1">
        <f>HYPERLINK("https://my.pitchbook.com?c=108455-95T","View Company Online")</f>
      </c>
    </row>
    <row r="8085">
      <c r="A8085" s="3" t="s">
        <v>35428</v>
      </c>
      <c r="B8085" s="3" t="s">
        <v>26528</v>
      </c>
      <c r="C8085" s="5" t="s">
        <v>36</v>
      </c>
      <c r="D8085" s="5" t="s">
        <v>36</v>
      </c>
      <c r="E8085" s="5" t="s">
        <v>36</v>
      </c>
      <c r="F8085" s="5" t="s">
        <v>36</v>
      </c>
      <c r="G8085" s="6" t="s">
        <v>36</v>
      </c>
      <c r="H8085" s="4">
        <v>10.39</v>
      </c>
      <c r="I8085" s="7">
        <v>47.67</v>
      </c>
      <c r="J8085" s="3" t="s">
        <v>521</v>
      </c>
      <c r="K8085" s="9" t="s">
        <v>36</v>
      </c>
      <c r="L8085" s="6" t="s">
        <v>36</v>
      </c>
      <c r="M8085" s="3" t="s">
        <v>36</v>
      </c>
      <c r="N8085" s="3" t="s">
        <v>36</v>
      </c>
      <c r="O8085" s="8" t="s">
        <v>36</v>
      </c>
      <c r="P8085" s="3" t="s">
        <v>36</v>
      </c>
      <c r="Q8085" s="3" t="s">
        <v>36</v>
      </c>
      <c r="R8085" s="3" t="s">
        <v>36</v>
      </c>
      <c r="S8085" s="3" t="s">
        <v>36</v>
      </c>
      <c r="T8085" s="3" t="s">
        <v>4911</v>
      </c>
      <c r="U8085" s="3" t="s">
        <v>63</v>
      </c>
      <c r="V8085" s="3" t="s">
        <v>64</v>
      </c>
      <c r="W8085" s="3" t="s">
        <v>26529</v>
      </c>
      <c r="X8085" s="10" t="s">
        <v>35429</v>
      </c>
      <c r="Y8085" s="6" t="s">
        <v>42</v>
      </c>
      <c r="Z8085" s="4">
        <v>2.22</v>
      </c>
      <c r="AA8085" s="4">
        <v>4.65</v>
      </c>
      <c r="AB8085" s="3" t="s">
        <v>43</v>
      </c>
      <c r="AC8085" s="3" t="s">
        <v>26531</v>
      </c>
      <c r="AD8085" s="9">
        <v>41407</v>
      </c>
      <c r="AE8085" s="3" t="s">
        <v>399</v>
      </c>
      <c r="AF8085" s="3" t="s">
        <v>36</v>
      </c>
      <c r="AG8085" s="3" t="s">
        <v>81</v>
      </c>
      <c r="AH8085" s="11">
        <f>HYPERLINK("https://my.pitchbook.com?c=30531-61T","View Company Online")</f>
      </c>
    </row>
    <row r="8086">
      <c r="A8086" s="12" t="s">
        <v>35430</v>
      </c>
      <c r="B8086" s="12" t="s">
        <v>13084</v>
      </c>
      <c r="C8086" s="19">
        <v>40</v>
      </c>
      <c r="D8086" s="19">
        <v>97</v>
      </c>
      <c r="E8086" s="19">
        <v>38</v>
      </c>
      <c r="F8086" s="19">
        <v>142</v>
      </c>
      <c r="G8086" s="15" t="s">
        <v>36</v>
      </c>
      <c r="H8086" s="14">
        <v>290.8</v>
      </c>
      <c r="I8086" s="18">
        <v>34.87</v>
      </c>
      <c r="J8086" s="12" t="s">
        <v>521</v>
      </c>
      <c r="K8086" s="13" t="s">
        <v>36</v>
      </c>
      <c r="L8086" s="15" t="s">
        <v>36</v>
      </c>
      <c r="M8086" s="12" t="s">
        <v>36</v>
      </c>
      <c r="N8086" s="12" t="s">
        <v>36</v>
      </c>
      <c r="O8086" s="17" t="s">
        <v>36</v>
      </c>
      <c r="P8086" s="12" t="s">
        <v>36</v>
      </c>
      <c r="Q8086" s="12" t="s">
        <v>36</v>
      </c>
      <c r="R8086" s="12" t="s">
        <v>36</v>
      </c>
      <c r="S8086" s="12" t="s">
        <v>36</v>
      </c>
      <c r="T8086" s="12" t="s">
        <v>13085</v>
      </c>
      <c r="U8086" s="12" t="s">
        <v>96</v>
      </c>
      <c r="V8086" s="12" t="s">
        <v>52</v>
      </c>
      <c r="W8086" s="12" t="s">
        <v>13086</v>
      </c>
      <c r="X8086" s="16" t="s">
        <v>32082</v>
      </c>
      <c r="Y8086" s="15" t="s">
        <v>42</v>
      </c>
      <c r="Z8086" s="14">
        <v>1.18</v>
      </c>
      <c r="AA8086" s="14">
        <v>3.37</v>
      </c>
      <c r="AB8086" s="12" t="s">
        <v>43</v>
      </c>
      <c r="AC8086" s="12" t="s">
        <v>13088</v>
      </c>
      <c r="AD8086" s="13">
        <v>41407</v>
      </c>
      <c r="AE8086" s="12" t="s">
        <v>496</v>
      </c>
      <c r="AF8086" s="12" t="s">
        <v>885</v>
      </c>
      <c r="AG8086" s="12" t="s">
        <v>1978</v>
      </c>
      <c r="AH8086" s="1">
        <f>HYPERLINK("https://my.pitchbook.com?c=43862-41T","View Company Online")</f>
      </c>
    </row>
    <row r="8087">
      <c r="A8087" s="3" t="s">
        <v>35431</v>
      </c>
      <c r="B8087" s="3" t="s">
        <v>35432</v>
      </c>
      <c r="C8087" s="5" t="s">
        <v>36</v>
      </c>
      <c r="D8087" s="5" t="s">
        <v>36</v>
      </c>
      <c r="E8087" s="5">
        <v>2</v>
      </c>
      <c r="F8087" s="5">
        <v>8</v>
      </c>
      <c r="G8087" s="6" t="s">
        <v>36</v>
      </c>
      <c r="H8087" s="4" t="s">
        <v>36</v>
      </c>
      <c r="I8087" s="7" t="s">
        <v>36</v>
      </c>
      <c r="J8087" s="3" t="s">
        <v>36</v>
      </c>
      <c r="K8087" s="9" t="s">
        <v>36</v>
      </c>
      <c r="L8087" s="6" t="s">
        <v>36</v>
      </c>
      <c r="M8087" s="3" t="s">
        <v>36</v>
      </c>
      <c r="N8087" s="3" t="s">
        <v>36</v>
      </c>
      <c r="O8087" s="8" t="s">
        <v>36</v>
      </c>
      <c r="P8087" s="3" t="s">
        <v>36</v>
      </c>
      <c r="Q8087" s="3" t="s">
        <v>36</v>
      </c>
      <c r="R8087" s="3" t="s">
        <v>36</v>
      </c>
      <c r="S8087" s="3" t="s">
        <v>36</v>
      </c>
      <c r="T8087" s="3" t="s">
        <v>35433</v>
      </c>
      <c r="U8087" s="3" t="s">
        <v>1357</v>
      </c>
      <c r="V8087" s="3" t="s">
        <v>52</v>
      </c>
      <c r="W8087" s="3" t="s">
        <v>35434</v>
      </c>
      <c r="X8087" s="10" t="s">
        <v>35435</v>
      </c>
      <c r="Y8087" s="6" t="s">
        <v>108</v>
      </c>
      <c r="Z8087" s="4">
        <v>1.96</v>
      </c>
      <c r="AA8087" s="4" t="s">
        <v>36</v>
      </c>
      <c r="AB8087" s="3" t="s">
        <v>56</v>
      </c>
      <c r="AC8087" s="3" t="s">
        <v>35436</v>
      </c>
      <c r="AD8087" s="9">
        <v>41406</v>
      </c>
      <c r="AE8087" s="3" t="s">
        <v>10392</v>
      </c>
      <c r="AF8087" s="3" t="s">
        <v>36</v>
      </c>
      <c r="AG8087" s="3" t="s">
        <v>81</v>
      </c>
      <c r="AH8087" s="11">
        <f>HYPERLINK("https://my.pitchbook.com?c=26102-35T","View Company Online")</f>
      </c>
    </row>
    <row r="8088">
      <c r="A8088" s="12" t="s">
        <v>35437</v>
      </c>
      <c r="B8088" s="12" t="s">
        <v>31698</v>
      </c>
      <c r="C8088" s="19" t="s">
        <v>36</v>
      </c>
      <c r="D8088" s="19" t="s">
        <v>36</v>
      </c>
      <c r="E8088" s="19" t="s">
        <v>36</v>
      </c>
      <c r="F8088" s="19" t="s">
        <v>36</v>
      </c>
      <c r="G8088" s="15" t="s">
        <v>2497</v>
      </c>
      <c r="H8088" s="14">
        <v>0.32</v>
      </c>
      <c r="I8088" s="18">
        <v>53.75</v>
      </c>
      <c r="J8088" s="12" t="s">
        <v>521</v>
      </c>
      <c r="K8088" s="13" t="s">
        <v>36</v>
      </c>
      <c r="L8088" s="15" t="s">
        <v>36</v>
      </c>
      <c r="M8088" s="12" t="s">
        <v>36</v>
      </c>
      <c r="N8088" s="12" t="s">
        <v>36</v>
      </c>
      <c r="O8088" s="17" t="s">
        <v>36</v>
      </c>
      <c r="P8088" s="12" t="s">
        <v>36</v>
      </c>
      <c r="Q8088" s="12" t="s">
        <v>36</v>
      </c>
      <c r="R8088" s="12" t="s">
        <v>36</v>
      </c>
      <c r="S8088" s="12" t="s">
        <v>36</v>
      </c>
      <c r="T8088" s="12" t="s">
        <v>25552</v>
      </c>
      <c r="U8088" s="12" t="s">
        <v>180</v>
      </c>
      <c r="V8088" s="12" t="s">
        <v>52</v>
      </c>
      <c r="W8088" s="12" t="s">
        <v>31699</v>
      </c>
      <c r="X8088" s="16" t="s">
        <v>35438</v>
      </c>
      <c r="Y8088" s="15" t="s">
        <v>108</v>
      </c>
      <c r="Z8088" s="14">
        <v>1.1</v>
      </c>
      <c r="AA8088" s="14">
        <v>2.05</v>
      </c>
      <c r="AB8088" s="12" t="s">
        <v>43</v>
      </c>
      <c r="AC8088" s="12" t="s">
        <v>31701</v>
      </c>
      <c r="AD8088" s="13">
        <v>41401</v>
      </c>
      <c r="AE8088" s="12" t="s">
        <v>8291</v>
      </c>
      <c r="AF8088" s="12" t="s">
        <v>15704</v>
      </c>
      <c r="AG8088" s="12" t="s">
        <v>1843</v>
      </c>
      <c r="AH8088" s="1">
        <f>HYPERLINK("https://my.pitchbook.com?c=187883-83T","View Company Online")</f>
      </c>
    </row>
    <row r="8089">
      <c r="A8089" s="3" t="s">
        <v>35439</v>
      </c>
      <c r="B8089" s="3" t="s">
        <v>35440</v>
      </c>
      <c r="C8089" s="5" t="s">
        <v>36</v>
      </c>
      <c r="D8089" s="5" t="s">
        <v>36</v>
      </c>
      <c r="E8089" s="5" t="s">
        <v>36</v>
      </c>
      <c r="F8089" s="5" t="s">
        <v>36</v>
      </c>
      <c r="G8089" s="6" t="s">
        <v>683</v>
      </c>
      <c r="H8089" s="4">
        <v>19.39</v>
      </c>
      <c r="I8089" s="7">
        <v>41.97</v>
      </c>
      <c r="J8089" s="3" t="s">
        <v>521</v>
      </c>
      <c r="K8089" s="9" t="s">
        <v>36</v>
      </c>
      <c r="L8089" s="6" t="s">
        <v>36</v>
      </c>
      <c r="M8089" s="3" t="s">
        <v>36</v>
      </c>
      <c r="N8089" s="3" t="s">
        <v>36</v>
      </c>
      <c r="O8089" s="8" t="s">
        <v>36</v>
      </c>
      <c r="P8089" s="3" t="s">
        <v>36</v>
      </c>
      <c r="Q8089" s="3" t="s">
        <v>36</v>
      </c>
      <c r="R8089" s="3" t="s">
        <v>36</v>
      </c>
      <c r="S8089" s="3" t="s">
        <v>36</v>
      </c>
      <c r="T8089" s="3" t="s">
        <v>35441</v>
      </c>
      <c r="U8089" s="3" t="s">
        <v>63</v>
      </c>
      <c r="V8089" s="3" t="s">
        <v>64</v>
      </c>
      <c r="W8089" s="3" t="s">
        <v>35442</v>
      </c>
      <c r="X8089" s="10" t="s">
        <v>26808</v>
      </c>
      <c r="Y8089" s="6" t="s">
        <v>42</v>
      </c>
      <c r="Z8089" s="4">
        <v>0.78</v>
      </c>
      <c r="AA8089" s="4">
        <v>1.85</v>
      </c>
      <c r="AB8089" s="3" t="s">
        <v>43</v>
      </c>
      <c r="AC8089" s="3" t="s">
        <v>35443</v>
      </c>
      <c r="AD8089" s="9">
        <v>41400</v>
      </c>
      <c r="AE8089" s="3" t="s">
        <v>4310</v>
      </c>
      <c r="AF8089" s="3" t="s">
        <v>1977</v>
      </c>
      <c r="AG8089" s="3" t="s">
        <v>35444</v>
      </c>
      <c r="AH8089" s="11">
        <f>HYPERLINK("https://my.pitchbook.com?c=35057-35T","View Company Online")</f>
      </c>
    </row>
    <row r="8090">
      <c r="A8090" s="12" t="s">
        <v>35445</v>
      </c>
      <c r="B8090" s="12" t="s">
        <v>35446</v>
      </c>
      <c r="C8090" s="19" t="s">
        <v>36</v>
      </c>
      <c r="D8090" s="19" t="s">
        <v>36</v>
      </c>
      <c r="E8090" s="19" t="s">
        <v>36</v>
      </c>
      <c r="F8090" s="19" t="s">
        <v>36</v>
      </c>
      <c r="G8090" s="15" t="s">
        <v>36</v>
      </c>
      <c r="H8090" s="14" t="s">
        <v>36</v>
      </c>
      <c r="I8090" s="18" t="s">
        <v>36</v>
      </c>
      <c r="J8090" s="12" t="s">
        <v>36</v>
      </c>
      <c r="K8090" s="13" t="s">
        <v>36</v>
      </c>
      <c r="L8090" s="15" t="s">
        <v>36</v>
      </c>
      <c r="M8090" s="12" t="s">
        <v>36</v>
      </c>
      <c r="N8090" s="12" t="s">
        <v>36</v>
      </c>
      <c r="O8090" s="17" t="s">
        <v>36</v>
      </c>
      <c r="P8090" s="12" t="s">
        <v>36</v>
      </c>
      <c r="Q8090" s="12" t="s">
        <v>36</v>
      </c>
      <c r="R8090" s="12" t="s">
        <v>36</v>
      </c>
      <c r="S8090" s="12" t="s">
        <v>36</v>
      </c>
      <c r="T8090" s="12" t="s">
        <v>35447</v>
      </c>
      <c r="U8090" s="12" t="s">
        <v>38</v>
      </c>
      <c r="V8090" s="12" t="s">
        <v>39</v>
      </c>
      <c r="W8090" s="12" t="s">
        <v>35448</v>
      </c>
      <c r="X8090" s="16" t="s">
        <v>35449</v>
      </c>
      <c r="Y8090" s="15" t="s">
        <v>42</v>
      </c>
      <c r="Z8090" s="14">
        <v>0.04</v>
      </c>
      <c r="AA8090" s="14" t="s">
        <v>36</v>
      </c>
      <c r="AB8090" s="12" t="s">
        <v>43</v>
      </c>
      <c r="AC8090" s="12" t="s">
        <v>35450</v>
      </c>
      <c r="AD8090" s="13">
        <v>41400</v>
      </c>
      <c r="AE8090" s="12" t="s">
        <v>1945</v>
      </c>
      <c r="AF8090" s="12" t="s">
        <v>2210</v>
      </c>
      <c r="AG8090" s="12" t="s">
        <v>81</v>
      </c>
      <c r="AH8090" s="1">
        <f>HYPERLINK("https://my.pitchbook.com?c=60707-98T","View Company Online")</f>
      </c>
    </row>
    <row r="8091">
      <c r="A8091" s="3" t="s">
        <v>35451</v>
      </c>
      <c r="B8091" s="3" t="s">
        <v>35452</v>
      </c>
      <c r="C8091" s="5" t="s">
        <v>36</v>
      </c>
      <c r="D8091" s="5" t="s">
        <v>36</v>
      </c>
      <c r="E8091" s="5" t="s">
        <v>36</v>
      </c>
      <c r="F8091" s="5" t="s">
        <v>36</v>
      </c>
      <c r="G8091" s="6" t="s">
        <v>36</v>
      </c>
      <c r="H8091" s="4" t="s">
        <v>36</v>
      </c>
      <c r="I8091" s="7" t="s">
        <v>36</v>
      </c>
      <c r="J8091" s="3" t="s">
        <v>36</v>
      </c>
      <c r="K8091" s="9" t="s">
        <v>36</v>
      </c>
      <c r="L8091" s="6" t="s">
        <v>36</v>
      </c>
      <c r="M8091" s="3" t="s">
        <v>36</v>
      </c>
      <c r="N8091" s="3" t="s">
        <v>36</v>
      </c>
      <c r="O8091" s="8" t="s">
        <v>36</v>
      </c>
      <c r="P8091" s="3" t="s">
        <v>36</v>
      </c>
      <c r="Q8091" s="3" t="s">
        <v>36</v>
      </c>
      <c r="R8091" s="3" t="s">
        <v>36</v>
      </c>
      <c r="S8091" s="3" t="s">
        <v>36</v>
      </c>
      <c r="T8091" s="3" t="s">
        <v>4225</v>
      </c>
      <c r="U8091" s="3" t="s">
        <v>96</v>
      </c>
      <c r="V8091" s="3" t="s">
        <v>52</v>
      </c>
      <c r="W8091" s="3" t="s">
        <v>35453</v>
      </c>
      <c r="X8091" s="10" t="s">
        <v>35454</v>
      </c>
      <c r="Y8091" s="6" t="s">
        <v>108</v>
      </c>
      <c r="Z8091" s="4">
        <v>2.61</v>
      </c>
      <c r="AA8091" s="4" t="s">
        <v>36</v>
      </c>
      <c r="AB8091" s="3" t="s">
        <v>43</v>
      </c>
      <c r="AC8091" s="3" t="s">
        <v>35455</v>
      </c>
      <c r="AD8091" s="9">
        <v>41400</v>
      </c>
      <c r="AE8091" s="3" t="s">
        <v>143</v>
      </c>
      <c r="AF8091" s="3" t="s">
        <v>571</v>
      </c>
      <c r="AG8091" s="3" t="s">
        <v>35456</v>
      </c>
      <c r="AH8091" s="11">
        <f>HYPERLINK("https://my.pitchbook.com?c=119771-11T","View Company Online")</f>
      </c>
    </row>
    <row r="8092">
      <c r="A8092" s="12" t="s">
        <v>35457</v>
      </c>
      <c r="B8092" s="12" t="s">
        <v>35458</v>
      </c>
      <c r="C8092" s="19" t="s">
        <v>36</v>
      </c>
      <c r="D8092" s="19" t="s">
        <v>36</v>
      </c>
      <c r="E8092" s="19" t="s">
        <v>36</v>
      </c>
      <c r="F8092" s="19" t="s">
        <v>36</v>
      </c>
      <c r="G8092" s="15" t="s">
        <v>326</v>
      </c>
      <c r="H8092" s="14">
        <v>43.62</v>
      </c>
      <c r="I8092" s="18">
        <v>13.16</v>
      </c>
      <c r="J8092" s="12" t="s">
        <v>521</v>
      </c>
      <c r="K8092" s="13" t="s">
        <v>36</v>
      </c>
      <c r="L8092" s="15" t="s">
        <v>36</v>
      </c>
      <c r="M8092" s="12" t="s">
        <v>36</v>
      </c>
      <c r="N8092" s="12" t="s">
        <v>36</v>
      </c>
      <c r="O8092" s="17" t="s">
        <v>36</v>
      </c>
      <c r="P8092" s="12" t="s">
        <v>36</v>
      </c>
      <c r="Q8092" s="12" t="s">
        <v>36</v>
      </c>
      <c r="R8092" s="12" t="s">
        <v>36</v>
      </c>
      <c r="S8092" s="12" t="s">
        <v>36</v>
      </c>
      <c r="T8092" s="12" t="s">
        <v>3826</v>
      </c>
      <c r="U8092" s="12" t="s">
        <v>423</v>
      </c>
      <c r="V8092" s="12" t="s">
        <v>64</v>
      </c>
      <c r="W8092" s="12" t="s">
        <v>35459</v>
      </c>
      <c r="X8092" s="16" t="s">
        <v>35460</v>
      </c>
      <c r="Y8092" s="15" t="s">
        <v>55</v>
      </c>
      <c r="Z8092" s="14">
        <v>0.08</v>
      </c>
      <c r="AA8092" s="14">
        <v>0.59</v>
      </c>
      <c r="AB8092" s="12" t="s">
        <v>56</v>
      </c>
      <c r="AC8092" s="12" t="s">
        <v>35461</v>
      </c>
      <c r="AD8092" s="13">
        <v>41395</v>
      </c>
      <c r="AE8092" s="12" t="s">
        <v>1051</v>
      </c>
      <c r="AF8092" s="12" t="s">
        <v>36</v>
      </c>
      <c r="AG8092" s="12" t="s">
        <v>35462</v>
      </c>
      <c r="AH8092" s="1">
        <f>HYPERLINK("https://my.pitchbook.com?c=218396-26T","View Company Online")</f>
      </c>
    </row>
    <row r="8093">
      <c r="A8093" s="3" t="s">
        <v>35463</v>
      </c>
      <c r="B8093" s="3" t="s">
        <v>35464</v>
      </c>
      <c r="C8093" s="5" t="s">
        <v>36</v>
      </c>
      <c r="D8093" s="5" t="s">
        <v>36</v>
      </c>
      <c r="E8093" s="5" t="s">
        <v>36</v>
      </c>
      <c r="F8093" s="5" t="s">
        <v>36</v>
      </c>
      <c r="G8093" s="6" t="s">
        <v>36</v>
      </c>
      <c r="H8093" s="4" t="s">
        <v>36</v>
      </c>
      <c r="I8093" s="7" t="s">
        <v>36</v>
      </c>
      <c r="J8093" s="3" t="s">
        <v>36</v>
      </c>
      <c r="K8093" s="9" t="s">
        <v>36</v>
      </c>
      <c r="L8093" s="6" t="s">
        <v>36</v>
      </c>
      <c r="M8093" s="3" t="s">
        <v>36</v>
      </c>
      <c r="N8093" s="3" t="s">
        <v>36</v>
      </c>
      <c r="O8093" s="8" t="s">
        <v>36</v>
      </c>
      <c r="P8093" s="3" t="s">
        <v>36</v>
      </c>
      <c r="Q8093" s="3" t="s">
        <v>36</v>
      </c>
      <c r="R8093" s="3" t="s">
        <v>36</v>
      </c>
      <c r="S8093" s="3" t="s">
        <v>36</v>
      </c>
      <c r="T8093" s="3" t="s">
        <v>31065</v>
      </c>
      <c r="U8093" s="3" t="s">
        <v>219</v>
      </c>
      <c r="V8093" s="3" t="s">
        <v>75</v>
      </c>
      <c r="W8093" s="3" t="s">
        <v>35465</v>
      </c>
      <c r="X8093" s="10" t="s">
        <v>35466</v>
      </c>
      <c r="Y8093" s="6" t="s">
        <v>42</v>
      </c>
      <c r="Z8093" s="4" t="s">
        <v>36</v>
      </c>
      <c r="AA8093" s="4" t="s">
        <v>36</v>
      </c>
      <c r="AB8093" s="3" t="s">
        <v>43</v>
      </c>
      <c r="AC8093" s="3" t="s">
        <v>35467</v>
      </c>
      <c r="AD8093" s="9">
        <v>41395</v>
      </c>
      <c r="AE8093" s="3" t="s">
        <v>1912</v>
      </c>
      <c r="AF8093" s="3" t="s">
        <v>546</v>
      </c>
      <c r="AG8093" s="3" t="s">
        <v>35468</v>
      </c>
      <c r="AH8093" s="11">
        <f>HYPERLINK("https://my.pitchbook.com?c=109964-62T","View Company Online")</f>
      </c>
    </row>
    <row r="8094">
      <c r="A8094" s="12" t="s">
        <v>35469</v>
      </c>
      <c r="B8094" s="12" t="s">
        <v>35470</v>
      </c>
      <c r="C8094" s="19" t="s">
        <v>36</v>
      </c>
      <c r="D8094" s="19" t="s">
        <v>36</v>
      </c>
      <c r="E8094" s="19" t="s">
        <v>36</v>
      </c>
      <c r="F8094" s="19" t="s">
        <v>36</v>
      </c>
      <c r="G8094" s="15" t="s">
        <v>36</v>
      </c>
      <c r="H8094" s="14" t="s">
        <v>36</v>
      </c>
      <c r="I8094" s="18" t="s">
        <v>36</v>
      </c>
      <c r="J8094" s="12" t="s">
        <v>36</v>
      </c>
      <c r="K8094" s="13" t="s">
        <v>36</v>
      </c>
      <c r="L8094" s="15" t="s">
        <v>36</v>
      </c>
      <c r="M8094" s="12" t="s">
        <v>36</v>
      </c>
      <c r="N8094" s="12" t="s">
        <v>36</v>
      </c>
      <c r="O8094" s="17" t="s">
        <v>36</v>
      </c>
      <c r="P8094" s="12" t="s">
        <v>36</v>
      </c>
      <c r="Q8094" s="12" t="s">
        <v>36</v>
      </c>
      <c r="R8094" s="12" t="s">
        <v>36</v>
      </c>
      <c r="S8094" s="12" t="s">
        <v>36</v>
      </c>
      <c r="T8094" s="12" t="s">
        <v>9494</v>
      </c>
      <c r="U8094" s="12" t="s">
        <v>38</v>
      </c>
      <c r="V8094" s="12" t="s">
        <v>39</v>
      </c>
      <c r="W8094" s="12" t="s">
        <v>35471</v>
      </c>
      <c r="X8094" s="16" t="s">
        <v>35472</v>
      </c>
      <c r="Y8094" s="15" t="s">
        <v>42</v>
      </c>
      <c r="Z8094" s="14">
        <v>1.96</v>
      </c>
      <c r="AA8094" s="14" t="s">
        <v>36</v>
      </c>
      <c r="AB8094" s="12" t="s">
        <v>43</v>
      </c>
      <c r="AC8094" s="12" t="s">
        <v>35473</v>
      </c>
      <c r="AD8094" s="13">
        <v>41395</v>
      </c>
      <c r="AE8094" s="12" t="s">
        <v>554</v>
      </c>
      <c r="AF8094" s="12" t="s">
        <v>1636</v>
      </c>
      <c r="AG8094" s="12" t="s">
        <v>12575</v>
      </c>
      <c r="AH8094" s="1">
        <f>HYPERLINK("https://my.pitchbook.com?c=81280-72T","View Company Online")</f>
      </c>
    </row>
    <row r="8095">
      <c r="A8095" s="3" t="s">
        <v>35474</v>
      </c>
      <c r="B8095" s="3" t="s">
        <v>35475</v>
      </c>
      <c r="C8095" s="5" t="s">
        <v>36</v>
      </c>
      <c r="D8095" s="5" t="s">
        <v>36</v>
      </c>
      <c r="E8095" s="5" t="s">
        <v>36</v>
      </c>
      <c r="F8095" s="5" t="s">
        <v>36</v>
      </c>
      <c r="G8095" s="6" t="s">
        <v>36</v>
      </c>
      <c r="H8095" s="4" t="s">
        <v>36</v>
      </c>
      <c r="I8095" s="7" t="s">
        <v>36</v>
      </c>
      <c r="J8095" s="3" t="s">
        <v>36</v>
      </c>
      <c r="K8095" s="9" t="s">
        <v>36</v>
      </c>
      <c r="L8095" s="6" t="s">
        <v>36</v>
      </c>
      <c r="M8095" s="3" t="s">
        <v>36</v>
      </c>
      <c r="N8095" s="3" t="s">
        <v>36</v>
      </c>
      <c r="O8095" s="8" t="s">
        <v>36</v>
      </c>
      <c r="P8095" s="3" t="s">
        <v>36</v>
      </c>
      <c r="Q8095" s="3" t="s">
        <v>36</v>
      </c>
      <c r="R8095" s="3" t="s">
        <v>36</v>
      </c>
      <c r="S8095" s="3" t="s">
        <v>36</v>
      </c>
      <c r="T8095" s="3" t="s">
        <v>2213</v>
      </c>
      <c r="U8095" s="3" t="s">
        <v>219</v>
      </c>
      <c r="V8095" s="3" t="s">
        <v>75</v>
      </c>
      <c r="W8095" s="3" t="s">
        <v>35476</v>
      </c>
      <c r="X8095" s="10" t="s">
        <v>34352</v>
      </c>
      <c r="Y8095" s="6" t="s">
        <v>42</v>
      </c>
      <c r="Z8095" s="4" t="s">
        <v>36</v>
      </c>
      <c r="AA8095" s="4" t="s">
        <v>36</v>
      </c>
      <c r="AB8095" s="3" t="s">
        <v>56</v>
      </c>
      <c r="AC8095" s="3" t="s">
        <v>35477</v>
      </c>
      <c r="AD8095" s="9">
        <v>41395</v>
      </c>
      <c r="AE8095" s="3" t="s">
        <v>1912</v>
      </c>
      <c r="AF8095" s="3" t="s">
        <v>4477</v>
      </c>
      <c r="AG8095" s="3" t="s">
        <v>35478</v>
      </c>
      <c r="AH8095" s="11">
        <f>HYPERLINK("https://my.pitchbook.com?c=27611-29T","View Company Online")</f>
      </c>
    </row>
    <row r="8096">
      <c r="A8096" s="12" t="s">
        <v>35479</v>
      </c>
      <c r="B8096" s="12" t="s">
        <v>35480</v>
      </c>
      <c r="C8096" s="19" t="s">
        <v>36</v>
      </c>
      <c r="D8096" s="19" t="s">
        <v>36</v>
      </c>
      <c r="E8096" s="19" t="s">
        <v>36</v>
      </c>
      <c r="F8096" s="19" t="s">
        <v>36</v>
      </c>
      <c r="G8096" s="15" t="s">
        <v>36</v>
      </c>
      <c r="H8096" s="14" t="s">
        <v>36</v>
      </c>
      <c r="I8096" s="18" t="s">
        <v>36</v>
      </c>
      <c r="J8096" s="12" t="s">
        <v>36</v>
      </c>
      <c r="K8096" s="13" t="s">
        <v>36</v>
      </c>
      <c r="L8096" s="15" t="s">
        <v>36</v>
      </c>
      <c r="M8096" s="12" t="s">
        <v>36</v>
      </c>
      <c r="N8096" s="12" t="s">
        <v>36</v>
      </c>
      <c r="O8096" s="17" t="s">
        <v>36</v>
      </c>
      <c r="P8096" s="12" t="s">
        <v>36</v>
      </c>
      <c r="Q8096" s="12" t="s">
        <v>36</v>
      </c>
      <c r="R8096" s="12" t="s">
        <v>36</v>
      </c>
      <c r="S8096" s="12" t="s">
        <v>36</v>
      </c>
      <c r="T8096" s="12" t="s">
        <v>24063</v>
      </c>
      <c r="U8096" s="12" t="s">
        <v>404</v>
      </c>
      <c r="V8096" s="12" t="s">
        <v>405</v>
      </c>
      <c r="W8096" s="12" t="s">
        <v>35481</v>
      </c>
      <c r="X8096" s="16" t="s">
        <v>35482</v>
      </c>
      <c r="Y8096" s="15" t="s">
        <v>42</v>
      </c>
      <c r="Z8096" s="14">
        <v>7.03</v>
      </c>
      <c r="AA8096" s="14" t="s">
        <v>36</v>
      </c>
      <c r="AB8096" s="12" t="s">
        <v>56</v>
      </c>
      <c r="AC8096" s="12" t="s">
        <v>35483</v>
      </c>
      <c r="AD8096" s="13">
        <v>41393</v>
      </c>
      <c r="AE8096" s="12" t="s">
        <v>409</v>
      </c>
      <c r="AF8096" s="12" t="s">
        <v>35484</v>
      </c>
      <c r="AG8096" s="12" t="s">
        <v>35485</v>
      </c>
      <c r="AH8096" s="1">
        <f>HYPERLINK("https://my.pitchbook.com?c=29759-86T","View Company Online")</f>
      </c>
    </row>
    <row r="8097">
      <c r="A8097" s="3" t="s">
        <v>35486</v>
      </c>
      <c r="B8097" s="3" t="s">
        <v>33319</v>
      </c>
      <c r="C8097" s="5" t="s">
        <v>36</v>
      </c>
      <c r="D8097" s="5" t="s">
        <v>36</v>
      </c>
      <c r="E8097" s="5" t="s">
        <v>36</v>
      </c>
      <c r="F8097" s="5" t="s">
        <v>36</v>
      </c>
      <c r="G8097" s="6" t="s">
        <v>36</v>
      </c>
      <c r="H8097" s="4" t="s">
        <v>36</v>
      </c>
      <c r="I8097" s="7" t="s">
        <v>36</v>
      </c>
      <c r="J8097" s="3" t="s">
        <v>36</v>
      </c>
      <c r="K8097" s="9" t="s">
        <v>36</v>
      </c>
      <c r="L8097" s="6" t="s">
        <v>36</v>
      </c>
      <c r="M8097" s="3" t="s">
        <v>36</v>
      </c>
      <c r="N8097" s="3" t="s">
        <v>36</v>
      </c>
      <c r="O8097" s="8" t="s">
        <v>36</v>
      </c>
      <c r="P8097" s="3" t="s">
        <v>36</v>
      </c>
      <c r="Q8097" s="3" t="s">
        <v>36</v>
      </c>
      <c r="R8097" s="3" t="s">
        <v>36</v>
      </c>
      <c r="S8097" s="3" t="s">
        <v>36</v>
      </c>
      <c r="T8097" s="3" t="s">
        <v>6462</v>
      </c>
      <c r="U8097" s="3" t="s">
        <v>1357</v>
      </c>
      <c r="V8097" s="3" t="s">
        <v>52</v>
      </c>
      <c r="W8097" s="3" t="s">
        <v>33320</v>
      </c>
      <c r="X8097" s="10" t="s">
        <v>35487</v>
      </c>
      <c r="Y8097" s="6" t="s">
        <v>42</v>
      </c>
      <c r="Z8097" s="4">
        <v>0.91</v>
      </c>
      <c r="AA8097" s="4" t="s">
        <v>36</v>
      </c>
      <c r="AB8097" s="3" t="s">
        <v>43</v>
      </c>
      <c r="AC8097" s="3" t="s">
        <v>33322</v>
      </c>
      <c r="AD8097" s="9">
        <v>41389</v>
      </c>
      <c r="AE8097" s="3" t="s">
        <v>2808</v>
      </c>
      <c r="AF8097" s="3" t="s">
        <v>15704</v>
      </c>
      <c r="AG8097" s="3" t="s">
        <v>81</v>
      </c>
      <c r="AH8097" s="11">
        <f>HYPERLINK("https://my.pitchbook.com?c=28792-00T","View Company Online")</f>
      </c>
    </row>
    <row r="8098">
      <c r="A8098" s="12" t="s">
        <v>35488</v>
      </c>
      <c r="B8098" s="12" t="s">
        <v>34059</v>
      </c>
      <c r="C8098" s="19" t="s">
        <v>36</v>
      </c>
      <c r="D8098" s="19" t="s">
        <v>36</v>
      </c>
      <c r="E8098" s="19" t="s">
        <v>36</v>
      </c>
      <c r="F8098" s="19" t="s">
        <v>36</v>
      </c>
      <c r="G8098" s="15" t="s">
        <v>36</v>
      </c>
      <c r="H8098" s="14" t="s">
        <v>36</v>
      </c>
      <c r="I8098" s="18" t="s">
        <v>36</v>
      </c>
      <c r="J8098" s="12" t="s">
        <v>36</v>
      </c>
      <c r="K8098" s="13" t="s">
        <v>36</v>
      </c>
      <c r="L8098" s="15" t="s">
        <v>36</v>
      </c>
      <c r="M8098" s="12" t="s">
        <v>36</v>
      </c>
      <c r="N8098" s="12" t="s">
        <v>36</v>
      </c>
      <c r="O8098" s="17" t="s">
        <v>36</v>
      </c>
      <c r="P8098" s="12" t="s">
        <v>36</v>
      </c>
      <c r="Q8098" s="12" t="s">
        <v>36</v>
      </c>
      <c r="R8098" s="12" t="s">
        <v>36</v>
      </c>
      <c r="S8098" s="12" t="s">
        <v>36</v>
      </c>
      <c r="T8098" s="12" t="s">
        <v>10694</v>
      </c>
      <c r="U8098" s="12" t="s">
        <v>74</v>
      </c>
      <c r="V8098" s="12" t="s">
        <v>75</v>
      </c>
      <c r="W8098" s="12" t="s">
        <v>34060</v>
      </c>
      <c r="X8098" s="16" t="s">
        <v>35489</v>
      </c>
      <c r="Y8098" s="15" t="s">
        <v>42</v>
      </c>
      <c r="Z8098" s="14">
        <v>0.52</v>
      </c>
      <c r="AA8098" s="14" t="s">
        <v>36</v>
      </c>
      <c r="AB8098" s="12" t="s">
        <v>43</v>
      </c>
      <c r="AC8098" s="12" t="s">
        <v>34062</v>
      </c>
      <c r="AD8098" s="13">
        <v>41389</v>
      </c>
      <c r="AE8098" s="12" t="s">
        <v>79</v>
      </c>
      <c r="AF8098" s="12" t="s">
        <v>1077</v>
      </c>
      <c r="AG8098" s="12" t="s">
        <v>899</v>
      </c>
      <c r="AH8098" s="1">
        <f>HYPERLINK("https://my.pitchbook.com?c=29187-91T","View Company Online")</f>
      </c>
    </row>
    <row r="8099">
      <c r="A8099" s="3" t="s">
        <v>35490</v>
      </c>
      <c r="B8099" s="3" t="s">
        <v>32153</v>
      </c>
      <c r="C8099" s="5" t="s">
        <v>36</v>
      </c>
      <c r="D8099" s="5" t="s">
        <v>36</v>
      </c>
      <c r="E8099" s="5" t="s">
        <v>36</v>
      </c>
      <c r="F8099" s="5" t="s">
        <v>36</v>
      </c>
      <c r="G8099" s="6" t="s">
        <v>36</v>
      </c>
      <c r="H8099" s="4" t="s">
        <v>36</v>
      </c>
      <c r="I8099" s="7">
        <v>39.92</v>
      </c>
      <c r="J8099" s="3" t="s">
        <v>327</v>
      </c>
      <c r="K8099" s="9" t="s">
        <v>36</v>
      </c>
      <c r="L8099" s="6" t="s">
        <v>36</v>
      </c>
      <c r="M8099" s="3" t="s">
        <v>36</v>
      </c>
      <c r="N8099" s="3" t="s">
        <v>36</v>
      </c>
      <c r="O8099" s="8" t="s">
        <v>36</v>
      </c>
      <c r="P8099" s="3" t="s">
        <v>36</v>
      </c>
      <c r="Q8099" s="3" t="s">
        <v>36</v>
      </c>
      <c r="R8099" s="3" t="s">
        <v>36</v>
      </c>
      <c r="S8099" s="3" t="s">
        <v>36</v>
      </c>
      <c r="T8099" s="3" t="s">
        <v>32154</v>
      </c>
      <c r="U8099" s="3" t="s">
        <v>38</v>
      </c>
      <c r="V8099" s="3" t="s">
        <v>39</v>
      </c>
      <c r="W8099" s="3" t="s">
        <v>32155</v>
      </c>
      <c r="X8099" s="10" t="s">
        <v>35491</v>
      </c>
      <c r="Y8099" s="6" t="s">
        <v>42</v>
      </c>
      <c r="Z8099" s="4">
        <v>0.97</v>
      </c>
      <c r="AA8099" s="4">
        <v>2.44</v>
      </c>
      <c r="AB8099" s="3" t="s">
        <v>43</v>
      </c>
      <c r="AC8099" s="3" t="s">
        <v>32157</v>
      </c>
      <c r="AD8099" s="9">
        <v>41388</v>
      </c>
      <c r="AE8099" s="3" t="s">
        <v>1330</v>
      </c>
      <c r="AF8099" s="3" t="s">
        <v>30292</v>
      </c>
      <c r="AG8099" s="3" t="s">
        <v>400</v>
      </c>
      <c r="AH8099" s="11">
        <f>HYPERLINK("https://my.pitchbook.com?c=29736-82T","View Company Online")</f>
      </c>
    </row>
    <row r="8100">
      <c r="A8100" s="12" t="s">
        <v>35492</v>
      </c>
      <c r="B8100" s="12" t="s">
        <v>35493</v>
      </c>
      <c r="C8100" s="19">
        <v>1</v>
      </c>
      <c r="D8100" s="19">
        <v>7</v>
      </c>
      <c r="E8100" s="19">
        <v>6</v>
      </c>
      <c r="F8100" s="19">
        <v>11</v>
      </c>
      <c r="G8100" s="15" t="s">
        <v>326</v>
      </c>
      <c r="H8100" s="14">
        <v>9.35</v>
      </c>
      <c r="I8100" s="18">
        <v>27.12</v>
      </c>
      <c r="J8100" s="12" t="s">
        <v>521</v>
      </c>
      <c r="K8100" s="13" t="s">
        <v>36</v>
      </c>
      <c r="L8100" s="15" t="s">
        <v>36</v>
      </c>
      <c r="M8100" s="12" t="s">
        <v>36</v>
      </c>
      <c r="N8100" s="12" t="s">
        <v>36</v>
      </c>
      <c r="O8100" s="17" t="s">
        <v>36</v>
      </c>
      <c r="P8100" s="12" t="s">
        <v>36</v>
      </c>
      <c r="Q8100" s="12" t="s">
        <v>36</v>
      </c>
      <c r="R8100" s="12" t="s">
        <v>36</v>
      </c>
      <c r="S8100" s="12" t="s">
        <v>36</v>
      </c>
      <c r="T8100" s="12" t="s">
        <v>35494</v>
      </c>
      <c r="U8100" s="12" t="s">
        <v>1502</v>
      </c>
      <c r="V8100" s="12" t="s">
        <v>75</v>
      </c>
      <c r="W8100" s="12" t="s">
        <v>35495</v>
      </c>
      <c r="X8100" s="16" t="s">
        <v>35496</v>
      </c>
      <c r="Y8100" s="15" t="s">
        <v>55</v>
      </c>
      <c r="Z8100" s="14">
        <v>0.76</v>
      </c>
      <c r="AA8100" s="14">
        <v>2.82</v>
      </c>
      <c r="AB8100" s="12" t="s">
        <v>56</v>
      </c>
      <c r="AC8100" s="12" t="s">
        <v>35497</v>
      </c>
      <c r="AD8100" s="13">
        <v>41388</v>
      </c>
      <c r="AE8100" s="12" t="s">
        <v>1506</v>
      </c>
      <c r="AF8100" s="12" t="s">
        <v>269</v>
      </c>
      <c r="AG8100" s="12" t="s">
        <v>35498</v>
      </c>
      <c r="AH8100" s="1">
        <f>HYPERLINK("https://my.pitchbook.com?c=30140-74T","View Company Online")</f>
      </c>
    </row>
    <row r="8101">
      <c r="A8101" s="3" t="s">
        <v>35499</v>
      </c>
      <c r="B8101" s="3" t="s">
        <v>32126</v>
      </c>
      <c r="C8101" s="5" t="s">
        <v>36</v>
      </c>
      <c r="D8101" s="5" t="s">
        <v>36</v>
      </c>
      <c r="E8101" s="5" t="s">
        <v>36</v>
      </c>
      <c r="F8101" s="5" t="s">
        <v>36</v>
      </c>
      <c r="G8101" s="6" t="s">
        <v>36</v>
      </c>
      <c r="H8101" s="4">
        <v>51.01</v>
      </c>
      <c r="I8101" s="7">
        <v>41.15</v>
      </c>
      <c r="J8101" s="3" t="s">
        <v>521</v>
      </c>
      <c r="K8101" s="9" t="s">
        <v>36</v>
      </c>
      <c r="L8101" s="6" t="s">
        <v>36</v>
      </c>
      <c r="M8101" s="3" t="s">
        <v>36</v>
      </c>
      <c r="N8101" s="3" t="s">
        <v>36</v>
      </c>
      <c r="O8101" s="8" t="s">
        <v>36</v>
      </c>
      <c r="P8101" s="3" t="s">
        <v>36</v>
      </c>
      <c r="Q8101" s="3" t="s">
        <v>36</v>
      </c>
      <c r="R8101" s="3" t="s">
        <v>36</v>
      </c>
      <c r="S8101" s="3" t="s">
        <v>36</v>
      </c>
      <c r="T8101" s="3" t="s">
        <v>647</v>
      </c>
      <c r="U8101" s="3" t="s">
        <v>648</v>
      </c>
      <c r="V8101" s="3" t="s">
        <v>64</v>
      </c>
      <c r="W8101" s="3" t="s">
        <v>32127</v>
      </c>
      <c r="X8101" s="10" t="s">
        <v>35500</v>
      </c>
      <c r="Y8101" s="6" t="s">
        <v>42</v>
      </c>
      <c r="Z8101" s="4">
        <v>0.5</v>
      </c>
      <c r="AA8101" s="4">
        <v>1.2</v>
      </c>
      <c r="AB8101" s="3" t="s">
        <v>43</v>
      </c>
      <c r="AC8101" s="3" t="s">
        <v>32129</v>
      </c>
      <c r="AD8101" s="9">
        <v>41388</v>
      </c>
      <c r="AE8101" s="3" t="s">
        <v>651</v>
      </c>
      <c r="AF8101" s="3" t="s">
        <v>32130</v>
      </c>
      <c r="AG8101" s="3" t="s">
        <v>81</v>
      </c>
      <c r="AH8101" s="11">
        <f>HYPERLINK("https://my.pitchbook.com?c=48013-21T","View Company Online")</f>
      </c>
    </row>
    <row r="8102">
      <c r="A8102" s="12" t="s">
        <v>35501</v>
      </c>
      <c r="B8102" s="12" t="s">
        <v>32791</v>
      </c>
      <c r="C8102" s="19" t="s">
        <v>36</v>
      </c>
      <c r="D8102" s="19" t="s">
        <v>36</v>
      </c>
      <c r="E8102" s="19" t="s">
        <v>36</v>
      </c>
      <c r="F8102" s="19" t="s">
        <v>36</v>
      </c>
      <c r="G8102" s="15" t="s">
        <v>36</v>
      </c>
      <c r="H8102" s="14">
        <v>305.27</v>
      </c>
      <c r="I8102" s="18">
        <v>15.02</v>
      </c>
      <c r="J8102" s="12" t="s">
        <v>521</v>
      </c>
      <c r="K8102" s="13" t="s">
        <v>36</v>
      </c>
      <c r="L8102" s="15" t="s">
        <v>36</v>
      </c>
      <c r="M8102" s="12" t="s">
        <v>36</v>
      </c>
      <c r="N8102" s="12" t="s">
        <v>36</v>
      </c>
      <c r="O8102" s="17" t="s">
        <v>36</v>
      </c>
      <c r="P8102" s="12" t="s">
        <v>36</v>
      </c>
      <c r="Q8102" s="12" t="s">
        <v>36</v>
      </c>
      <c r="R8102" s="12" t="s">
        <v>36</v>
      </c>
      <c r="S8102" s="12" t="s">
        <v>36</v>
      </c>
      <c r="T8102" s="12" t="s">
        <v>3571</v>
      </c>
      <c r="U8102" s="12" t="s">
        <v>289</v>
      </c>
      <c r="V8102" s="12" t="s">
        <v>64</v>
      </c>
      <c r="W8102" s="12" t="s">
        <v>32792</v>
      </c>
      <c r="X8102" s="16" t="s">
        <v>35502</v>
      </c>
      <c r="Y8102" s="15" t="s">
        <v>42</v>
      </c>
      <c r="Z8102" s="14">
        <v>2.21</v>
      </c>
      <c r="AA8102" s="14">
        <v>14.68</v>
      </c>
      <c r="AB8102" s="12" t="s">
        <v>56</v>
      </c>
      <c r="AC8102" s="12" t="s">
        <v>32794</v>
      </c>
      <c r="AD8102" s="13">
        <v>41387</v>
      </c>
      <c r="AE8102" s="12" t="s">
        <v>292</v>
      </c>
      <c r="AF8102" s="12" t="s">
        <v>2118</v>
      </c>
      <c r="AG8102" s="12" t="s">
        <v>81</v>
      </c>
      <c r="AH8102" s="1">
        <f>HYPERLINK("https://my.pitchbook.com?c=36443-53T","View Company Online")</f>
      </c>
    </row>
    <row r="8103">
      <c r="A8103" s="3" t="s">
        <v>35503</v>
      </c>
      <c r="B8103" s="3" t="s">
        <v>35504</v>
      </c>
      <c r="C8103" s="5" t="s">
        <v>36</v>
      </c>
      <c r="D8103" s="5" t="s">
        <v>36</v>
      </c>
      <c r="E8103" s="5" t="s">
        <v>36</v>
      </c>
      <c r="F8103" s="5" t="s">
        <v>36</v>
      </c>
      <c r="G8103" s="6" t="s">
        <v>36</v>
      </c>
      <c r="H8103" s="4" t="s">
        <v>36</v>
      </c>
      <c r="I8103" s="7" t="s">
        <v>36</v>
      </c>
      <c r="J8103" s="3" t="s">
        <v>36</v>
      </c>
      <c r="K8103" s="9" t="s">
        <v>36</v>
      </c>
      <c r="L8103" s="6" t="s">
        <v>1279</v>
      </c>
      <c r="M8103" s="3" t="s">
        <v>36</v>
      </c>
      <c r="N8103" s="3" t="s">
        <v>1279</v>
      </c>
      <c r="O8103" s="8" t="s">
        <v>36</v>
      </c>
      <c r="P8103" s="3" t="s">
        <v>36</v>
      </c>
      <c r="Q8103" s="3" t="s">
        <v>36</v>
      </c>
      <c r="R8103" s="3" t="s">
        <v>36</v>
      </c>
      <c r="S8103" s="3" t="s">
        <v>36</v>
      </c>
      <c r="T8103" s="3" t="s">
        <v>661</v>
      </c>
      <c r="U8103" s="3" t="s">
        <v>51</v>
      </c>
      <c r="V8103" s="3" t="s">
        <v>52</v>
      </c>
      <c r="W8103" s="3" t="s">
        <v>35505</v>
      </c>
      <c r="X8103" s="10" t="s">
        <v>35506</v>
      </c>
      <c r="Y8103" s="6" t="s">
        <v>166</v>
      </c>
      <c r="Z8103" s="4">
        <v>23.61</v>
      </c>
      <c r="AA8103" s="4" t="s">
        <v>36</v>
      </c>
      <c r="AB8103" s="3" t="s">
        <v>56</v>
      </c>
      <c r="AC8103" s="3" t="s">
        <v>35507</v>
      </c>
      <c r="AD8103" s="9">
        <v>41386</v>
      </c>
      <c r="AE8103" s="3" t="s">
        <v>158</v>
      </c>
      <c r="AF8103" s="3" t="s">
        <v>16640</v>
      </c>
      <c r="AG8103" s="3" t="s">
        <v>35508</v>
      </c>
      <c r="AH8103" s="11">
        <f>HYPERLINK("https://my.pitchbook.com?c=28515-61T","View Company Online")</f>
      </c>
    </row>
    <row r="8104">
      <c r="A8104" s="12" t="s">
        <v>35509</v>
      </c>
      <c r="B8104" s="12" t="s">
        <v>35510</v>
      </c>
      <c r="C8104" s="19" t="s">
        <v>36</v>
      </c>
      <c r="D8104" s="19">
        <v>1</v>
      </c>
      <c r="E8104" s="19">
        <v>1</v>
      </c>
      <c r="F8104" s="19">
        <v>3</v>
      </c>
      <c r="G8104" s="15" t="s">
        <v>36</v>
      </c>
      <c r="H8104" s="14" t="s">
        <v>36</v>
      </c>
      <c r="I8104" s="18" t="s">
        <v>36</v>
      </c>
      <c r="J8104" s="12" t="s">
        <v>36</v>
      </c>
      <c r="K8104" s="13" t="s">
        <v>36</v>
      </c>
      <c r="L8104" s="15" t="s">
        <v>36</v>
      </c>
      <c r="M8104" s="12" t="s">
        <v>36</v>
      </c>
      <c r="N8104" s="12" t="s">
        <v>36</v>
      </c>
      <c r="O8104" s="17" t="s">
        <v>36</v>
      </c>
      <c r="P8104" s="12" t="s">
        <v>36</v>
      </c>
      <c r="Q8104" s="12" t="s">
        <v>36</v>
      </c>
      <c r="R8104" s="12" t="s">
        <v>36</v>
      </c>
      <c r="S8104" s="12" t="s">
        <v>36</v>
      </c>
      <c r="T8104" s="12" t="s">
        <v>35511</v>
      </c>
      <c r="U8104" s="12" t="s">
        <v>366</v>
      </c>
      <c r="V8104" s="12" t="s">
        <v>367</v>
      </c>
      <c r="W8104" s="12" t="s">
        <v>35512</v>
      </c>
      <c r="X8104" s="16" t="s">
        <v>35513</v>
      </c>
      <c r="Y8104" s="15" t="s">
        <v>42</v>
      </c>
      <c r="Z8104" s="14">
        <v>0.49</v>
      </c>
      <c r="AA8104" s="14" t="s">
        <v>36</v>
      </c>
      <c r="AB8104" s="12" t="s">
        <v>43</v>
      </c>
      <c r="AC8104" s="12" t="s">
        <v>35514</v>
      </c>
      <c r="AD8104" s="13">
        <v>41382</v>
      </c>
      <c r="AE8104" s="12" t="s">
        <v>600</v>
      </c>
      <c r="AF8104" s="12" t="s">
        <v>36</v>
      </c>
      <c r="AG8104" s="12" t="s">
        <v>10565</v>
      </c>
      <c r="AH8104" s="1">
        <f>HYPERLINK("https://my.pitchbook.com?c=53208-46T","View Company Online")</f>
      </c>
    </row>
    <row r="8105">
      <c r="A8105" s="3" t="s">
        <v>35515</v>
      </c>
      <c r="B8105" s="3" t="s">
        <v>24556</v>
      </c>
      <c r="C8105" s="5" t="s">
        <v>36</v>
      </c>
      <c r="D8105" s="5" t="s">
        <v>36</v>
      </c>
      <c r="E8105" s="5" t="s">
        <v>36</v>
      </c>
      <c r="F8105" s="5" t="s">
        <v>36</v>
      </c>
      <c r="G8105" s="6" t="s">
        <v>36</v>
      </c>
      <c r="H8105" s="4">
        <v>27.95</v>
      </c>
      <c r="I8105" s="7">
        <v>18.92</v>
      </c>
      <c r="J8105" s="3" t="s">
        <v>521</v>
      </c>
      <c r="K8105" s="9" t="s">
        <v>36</v>
      </c>
      <c r="L8105" s="6" t="s">
        <v>36</v>
      </c>
      <c r="M8105" s="3" t="s">
        <v>36</v>
      </c>
      <c r="N8105" s="3" t="s">
        <v>36</v>
      </c>
      <c r="O8105" s="8" t="s">
        <v>36</v>
      </c>
      <c r="P8105" s="3" t="s">
        <v>36</v>
      </c>
      <c r="Q8105" s="3" t="s">
        <v>36</v>
      </c>
      <c r="R8105" s="3" t="s">
        <v>36</v>
      </c>
      <c r="S8105" s="3" t="s">
        <v>36</v>
      </c>
      <c r="T8105" s="3" t="s">
        <v>5929</v>
      </c>
      <c r="U8105" s="3" t="s">
        <v>38</v>
      </c>
      <c r="V8105" s="3" t="s">
        <v>39</v>
      </c>
      <c r="W8105" s="3" t="s">
        <v>24557</v>
      </c>
      <c r="X8105" s="10" t="s">
        <v>35516</v>
      </c>
      <c r="Y8105" s="6" t="s">
        <v>108</v>
      </c>
      <c r="Z8105" s="4">
        <v>3.37</v>
      </c>
      <c r="AA8105" s="4">
        <v>8.9</v>
      </c>
      <c r="AB8105" s="3" t="s">
        <v>56</v>
      </c>
      <c r="AC8105" s="3" t="s">
        <v>24559</v>
      </c>
      <c r="AD8105" s="9">
        <v>41382</v>
      </c>
      <c r="AE8105" s="3" t="s">
        <v>110</v>
      </c>
      <c r="AF8105" s="3" t="s">
        <v>4891</v>
      </c>
      <c r="AG8105" s="3" t="s">
        <v>81</v>
      </c>
      <c r="AH8105" s="11">
        <f>HYPERLINK("https://my.pitchbook.com?c=31093-75T","View Company Online")</f>
      </c>
    </row>
    <row r="8106">
      <c r="A8106" s="12" t="s">
        <v>35517</v>
      </c>
      <c r="B8106" s="12" t="s">
        <v>35518</v>
      </c>
      <c r="C8106" s="19" t="s">
        <v>36</v>
      </c>
      <c r="D8106" s="19" t="s">
        <v>36</v>
      </c>
      <c r="E8106" s="19" t="s">
        <v>36</v>
      </c>
      <c r="F8106" s="19" t="s">
        <v>36</v>
      </c>
      <c r="G8106" s="15" t="s">
        <v>36</v>
      </c>
      <c r="H8106" s="14">
        <v>2.42</v>
      </c>
      <c r="I8106" s="18">
        <v>39.16</v>
      </c>
      <c r="J8106" s="12" t="s">
        <v>521</v>
      </c>
      <c r="K8106" s="13" t="s">
        <v>36</v>
      </c>
      <c r="L8106" s="15" t="s">
        <v>36</v>
      </c>
      <c r="M8106" s="12" t="s">
        <v>36</v>
      </c>
      <c r="N8106" s="12" t="s">
        <v>21485</v>
      </c>
      <c r="O8106" s="17" t="s">
        <v>36</v>
      </c>
      <c r="P8106" s="12" t="s">
        <v>36</v>
      </c>
      <c r="Q8106" s="12" t="s">
        <v>36</v>
      </c>
      <c r="R8106" s="12" t="s">
        <v>36</v>
      </c>
      <c r="S8106" s="12" t="s">
        <v>36</v>
      </c>
      <c r="T8106" s="12" t="s">
        <v>647</v>
      </c>
      <c r="U8106" s="12" t="s">
        <v>648</v>
      </c>
      <c r="V8106" s="12" t="s">
        <v>64</v>
      </c>
      <c r="W8106" s="12" t="s">
        <v>35519</v>
      </c>
      <c r="X8106" s="16" t="s">
        <v>35520</v>
      </c>
      <c r="Y8106" s="15" t="s">
        <v>42</v>
      </c>
      <c r="Z8106" s="14">
        <v>0.58</v>
      </c>
      <c r="AA8106" s="14">
        <v>1.49</v>
      </c>
      <c r="AB8106" s="12" t="s">
        <v>56</v>
      </c>
      <c r="AC8106" s="12" t="s">
        <v>35521</v>
      </c>
      <c r="AD8106" s="13">
        <v>41380</v>
      </c>
      <c r="AE8106" s="12" t="s">
        <v>651</v>
      </c>
      <c r="AF8106" s="12" t="s">
        <v>36</v>
      </c>
      <c r="AG8106" s="12" t="s">
        <v>35522</v>
      </c>
      <c r="AH8106" s="1">
        <f>HYPERLINK("https://my.pitchbook.com?c=29760-04T","View Company Online")</f>
      </c>
    </row>
    <row r="8107">
      <c r="A8107" s="3" t="s">
        <v>35523</v>
      </c>
      <c r="B8107" s="3" t="s">
        <v>29868</v>
      </c>
      <c r="C8107" s="5" t="s">
        <v>36</v>
      </c>
      <c r="D8107" s="5" t="s">
        <v>36</v>
      </c>
      <c r="E8107" s="5" t="s">
        <v>36</v>
      </c>
      <c r="F8107" s="5" t="s">
        <v>36</v>
      </c>
      <c r="G8107" s="6" t="s">
        <v>36</v>
      </c>
      <c r="H8107" s="4" t="s">
        <v>36</v>
      </c>
      <c r="I8107" s="7" t="s">
        <v>36</v>
      </c>
      <c r="J8107" s="3" t="s">
        <v>36</v>
      </c>
      <c r="K8107" s="9" t="s">
        <v>36</v>
      </c>
      <c r="L8107" s="6" t="s">
        <v>36</v>
      </c>
      <c r="M8107" s="3" t="s">
        <v>36</v>
      </c>
      <c r="N8107" s="3" t="s">
        <v>36</v>
      </c>
      <c r="O8107" s="8" t="s">
        <v>36</v>
      </c>
      <c r="P8107" s="3" t="s">
        <v>36</v>
      </c>
      <c r="Q8107" s="3" t="s">
        <v>36</v>
      </c>
      <c r="R8107" s="3" t="s">
        <v>36</v>
      </c>
      <c r="S8107" s="3" t="s">
        <v>36</v>
      </c>
      <c r="T8107" s="3" t="s">
        <v>123</v>
      </c>
      <c r="U8107" s="3" t="s">
        <v>38</v>
      </c>
      <c r="V8107" s="3" t="s">
        <v>39</v>
      </c>
      <c r="W8107" s="3" t="s">
        <v>29869</v>
      </c>
      <c r="X8107" s="10" t="s">
        <v>35524</v>
      </c>
      <c r="Y8107" s="6" t="s">
        <v>108</v>
      </c>
      <c r="Z8107" s="4">
        <v>2.59</v>
      </c>
      <c r="AA8107" s="4" t="s">
        <v>36</v>
      </c>
      <c r="AB8107" s="3" t="s">
        <v>56</v>
      </c>
      <c r="AC8107" s="3" t="s">
        <v>29871</v>
      </c>
      <c r="AD8107" s="9">
        <v>41378</v>
      </c>
      <c r="AE8107" s="3" t="s">
        <v>110</v>
      </c>
      <c r="AF8107" s="3" t="s">
        <v>28526</v>
      </c>
      <c r="AG8107" s="3" t="s">
        <v>29872</v>
      </c>
      <c r="AH8107" s="11">
        <f>HYPERLINK("https://my.pitchbook.com?c=45920-98T","View Company Online")</f>
      </c>
    </row>
    <row r="8108">
      <c r="A8108" s="12" t="s">
        <v>35525</v>
      </c>
      <c r="B8108" s="12" t="s">
        <v>35526</v>
      </c>
      <c r="C8108" s="19">
        <v>3</v>
      </c>
      <c r="D8108" s="19">
        <v>82</v>
      </c>
      <c r="E8108" s="19">
        <v>34</v>
      </c>
      <c r="F8108" s="19">
        <v>182</v>
      </c>
      <c r="G8108" s="15" t="s">
        <v>36</v>
      </c>
      <c r="H8108" s="14" t="s">
        <v>36</v>
      </c>
      <c r="I8108" s="18" t="s">
        <v>36</v>
      </c>
      <c r="J8108" s="12" t="s">
        <v>36</v>
      </c>
      <c r="K8108" s="13" t="s">
        <v>36</v>
      </c>
      <c r="L8108" s="15" t="s">
        <v>36</v>
      </c>
      <c r="M8108" s="12" t="s">
        <v>36</v>
      </c>
      <c r="N8108" s="12" t="s">
        <v>36</v>
      </c>
      <c r="O8108" s="17" t="s">
        <v>36</v>
      </c>
      <c r="P8108" s="12" t="s">
        <v>36</v>
      </c>
      <c r="Q8108" s="12" t="s">
        <v>36</v>
      </c>
      <c r="R8108" s="12" t="s">
        <v>36</v>
      </c>
      <c r="S8108" s="12" t="s">
        <v>36</v>
      </c>
      <c r="T8108" s="12" t="s">
        <v>7773</v>
      </c>
      <c r="U8108" s="12" t="s">
        <v>96</v>
      </c>
      <c r="V8108" s="12" t="s">
        <v>52</v>
      </c>
      <c r="W8108" s="12" t="s">
        <v>35527</v>
      </c>
      <c r="X8108" s="16" t="s">
        <v>35528</v>
      </c>
      <c r="Y8108" s="15" t="s">
        <v>108</v>
      </c>
      <c r="Z8108" s="14">
        <v>10</v>
      </c>
      <c r="AA8108" s="14" t="s">
        <v>36</v>
      </c>
      <c r="AB8108" s="12" t="s">
        <v>43</v>
      </c>
      <c r="AC8108" s="12" t="s">
        <v>35529</v>
      </c>
      <c r="AD8108" s="13">
        <v>41376</v>
      </c>
      <c r="AE8108" s="12" t="s">
        <v>143</v>
      </c>
      <c r="AF8108" s="12" t="s">
        <v>16640</v>
      </c>
      <c r="AG8108" s="12" t="s">
        <v>29872</v>
      </c>
      <c r="AH8108" s="1">
        <f>HYPERLINK("https://my.pitchbook.com?c=25841-89T","View Company Online")</f>
      </c>
    </row>
    <row r="8109">
      <c r="A8109" s="3" t="s">
        <v>35530</v>
      </c>
      <c r="B8109" s="3" t="s">
        <v>27827</v>
      </c>
      <c r="C8109" s="5" t="s">
        <v>36</v>
      </c>
      <c r="D8109" s="5">
        <v>42</v>
      </c>
      <c r="E8109" s="5">
        <v>5</v>
      </c>
      <c r="F8109" s="5">
        <v>48</v>
      </c>
      <c r="G8109" s="6" t="s">
        <v>36</v>
      </c>
      <c r="H8109" s="4" t="s">
        <v>36</v>
      </c>
      <c r="I8109" s="7" t="s">
        <v>36</v>
      </c>
      <c r="J8109" s="3" t="s">
        <v>36</v>
      </c>
      <c r="K8109" s="9" t="s">
        <v>36</v>
      </c>
      <c r="L8109" s="6" t="s">
        <v>36</v>
      </c>
      <c r="M8109" s="3" t="s">
        <v>36</v>
      </c>
      <c r="N8109" s="3" t="s">
        <v>36</v>
      </c>
      <c r="O8109" s="8" t="s">
        <v>36</v>
      </c>
      <c r="P8109" s="3" t="s">
        <v>36</v>
      </c>
      <c r="Q8109" s="3" t="s">
        <v>36</v>
      </c>
      <c r="R8109" s="3" t="s">
        <v>36</v>
      </c>
      <c r="S8109" s="3" t="s">
        <v>36</v>
      </c>
      <c r="T8109" s="3" t="s">
        <v>27828</v>
      </c>
      <c r="U8109" s="3" t="s">
        <v>387</v>
      </c>
      <c r="V8109" s="3" t="s">
        <v>367</v>
      </c>
      <c r="W8109" s="3" t="s">
        <v>27829</v>
      </c>
      <c r="X8109" s="10" t="s">
        <v>35531</v>
      </c>
      <c r="Y8109" s="6" t="s">
        <v>108</v>
      </c>
      <c r="Z8109" s="4">
        <v>9.05</v>
      </c>
      <c r="AA8109" s="4" t="s">
        <v>36</v>
      </c>
      <c r="AB8109" s="3" t="s">
        <v>43</v>
      </c>
      <c r="AC8109" s="3" t="s">
        <v>27831</v>
      </c>
      <c r="AD8109" s="9">
        <v>41375</v>
      </c>
      <c r="AE8109" s="3" t="s">
        <v>391</v>
      </c>
      <c r="AF8109" s="3" t="s">
        <v>7368</v>
      </c>
      <c r="AG8109" s="3" t="s">
        <v>8850</v>
      </c>
      <c r="AH8109" s="11">
        <f>HYPERLINK("https://my.pitchbook.com?c=29193-76T","View Company Online")</f>
      </c>
    </row>
    <row r="8110">
      <c r="A8110" s="12" t="s">
        <v>35532</v>
      </c>
      <c r="B8110" s="12" t="s">
        <v>4119</v>
      </c>
      <c r="C8110" s="19">
        <v>10</v>
      </c>
      <c r="D8110" s="19">
        <v>14</v>
      </c>
      <c r="E8110" s="19">
        <v>5</v>
      </c>
      <c r="F8110" s="19">
        <v>27</v>
      </c>
      <c r="G8110" s="15" t="s">
        <v>36</v>
      </c>
      <c r="H8110" s="14">
        <v>15.89</v>
      </c>
      <c r="I8110" s="18">
        <v>73.69</v>
      </c>
      <c r="J8110" s="12" t="s">
        <v>521</v>
      </c>
      <c r="K8110" s="13" t="s">
        <v>36</v>
      </c>
      <c r="L8110" s="15" t="s">
        <v>36</v>
      </c>
      <c r="M8110" s="12" t="s">
        <v>36</v>
      </c>
      <c r="N8110" s="12" t="s">
        <v>36</v>
      </c>
      <c r="O8110" s="17" t="s">
        <v>36</v>
      </c>
      <c r="P8110" s="12" t="s">
        <v>36</v>
      </c>
      <c r="Q8110" s="12" t="s">
        <v>36</v>
      </c>
      <c r="R8110" s="12" t="s">
        <v>36</v>
      </c>
      <c r="S8110" s="12" t="s">
        <v>36</v>
      </c>
      <c r="T8110" s="12" t="s">
        <v>881</v>
      </c>
      <c r="U8110" s="12" t="s">
        <v>51</v>
      </c>
      <c r="V8110" s="12" t="s">
        <v>52</v>
      </c>
      <c r="W8110" s="12" t="s">
        <v>4120</v>
      </c>
      <c r="X8110" s="16" t="s">
        <v>35533</v>
      </c>
      <c r="Y8110" s="15" t="s">
        <v>42</v>
      </c>
      <c r="Z8110" s="14">
        <v>2.77</v>
      </c>
      <c r="AA8110" s="14">
        <v>3.76</v>
      </c>
      <c r="AB8110" s="12" t="s">
        <v>56</v>
      </c>
      <c r="AC8110" s="12" t="s">
        <v>4122</v>
      </c>
      <c r="AD8110" s="13">
        <v>41375</v>
      </c>
      <c r="AE8110" s="12" t="s">
        <v>504</v>
      </c>
      <c r="AF8110" s="12" t="s">
        <v>159</v>
      </c>
      <c r="AG8110" s="12" t="s">
        <v>81</v>
      </c>
      <c r="AH8110" s="1">
        <f>HYPERLINK("https://my.pitchbook.com?c=25489-09T","View Company Online")</f>
      </c>
    </row>
    <row r="8111">
      <c r="A8111" s="3" t="s">
        <v>35534</v>
      </c>
      <c r="B8111" s="3" t="s">
        <v>35535</v>
      </c>
      <c r="C8111" s="5" t="s">
        <v>36</v>
      </c>
      <c r="D8111" s="5" t="s">
        <v>36</v>
      </c>
      <c r="E8111" s="5" t="s">
        <v>36</v>
      </c>
      <c r="F8111" s="5" t="s">
        <v>36</v>
      </c>
      <c r="G8111" s="6" t="s">
        <v>36</v>
      </c>
      <c r="H8111" s="4" t="s">
        <v>36</v>
      </c>
      <c r="I8111" s="7" t="s">
        <v>36</v>
      </c>
      <c r="J8111" s="3" t="s">
        <v>36</v>
      </c>
      <c r="K8111" s="9" t="s">
        <v>36</v>
      </c>
      <c r="L8111" s="6" t="s">
        <v>36</v>
      </c>
      <c r="M8111" s="3" t="s">
        <v>36</v>
      </c>
      <c r="N8111" s="3" t="s">
        <v>36</v>
      </c>
      <c r="O8111" s="8" t="s">
        <v>36</v>
      </c>
      <c r="P8111" s="3" t="s">
        <v>36</v>
      </c>
      <c r="Q8111" s="3" t="s">
        <v>36</v>
      </c>
      <c r="R8111" s="3" t="s">
        <v>36</v>
      </c>
      <c r="S8111" s="3" t="s">
        <v>36</v>
      </c>
      <c r="T8111" s="3" t="s">
        <v>11092</v>
      </c>
      <c r="U8111" s="3" t="s">
        <v>74</v>
      </c>
      <c r="V8111" s="3" t="s">
        <v>75</v>
      </c>
      <c r="W8111" s="3" t="s">
        <v>35536</v>
      </c>
      <c r="X8111" s="10" t="s">
        <v>9641</v>
      </c>
      <c r="Y8111" s="6" t="s">
        <v>42</v>
      </c>
      <c r="Z8111" s="4" t="s">
        <v>36</v>
      </c>
      <c r="AA8111" s="4" t="s">
        <v>36</v>
      </c>
      <c r="AB8111" s="3" t="s">
        <v>43</v>
      </c>
      <c r="AC8111" s="3" t="s">
        <v>35537</v>
      </c>
      <c r="AD8111" s="9">
        <v>41375</v>
      </c>
      <c r="AE8111" s="3" t="s">
        <v>1888</v>
      </c>
      <c r="AF8111" s="3" t="s">
        <v>36</v>
      </c>
      <c r="AG8111" s="3" t="s">
        <v>81</v>
      </c>
      <c r="AH8111" s="11">
        <f>HYPERLINK("https://my.pitchbook.com?c=35360-65T","View Company Online")</f>
      </c>
    </row>
    <row r="8112">
      <c r="A8112" s="12" t="s">
        <v>35538</v>
      </c>
      <c r="B8112" s="12" t="s">
        <v>35539</v>
      </c>
      <c r="C8112" s="19" t="s">
        <v>36</v>
      </c>
      <c r="D8112" s="19" t="s">
        <v>36</v>
      </c>
      <c r="E8112" s="19" t="s">
        <v>36</v>
      </c>
      <c r="F8112" s="19" t="s">
        <v>36</v>
      </c>
      <c r="G8112" s="15" t="s">
        <v>36</v>
      </c>
      <c r="H8112" s="14" t="s">
        <v>36</v>
      </c>
      <c r="I8112" s="18" t="s">
        <v>36</v>
      </c>
      <c r="J8112" s="12" t="s">
        <v>36</v>
      </c>
      <c r="K8112" s="13" t="s">
        <v>36</v>
      </c>
      <c r="L8112" s="15" t="s">
        <v>122</v>
      </c>
      <c r="M8112" s="12" t="s">
        <v>36</v>
      </c>
      <c r="N8112" s="12" t="s">
        <v>122</v>
      </c>
      <c r="O8112" s="17" t="s">
        <v>36</v>
      </c>
      <c r="P8112" s="12" t="s">
        <v>36</v>
      </c>
      <c r="Q8112" s="12" t="s">
        <v>36</v>
      </c>
      <c r="R8112" s="12" t="s">
        <v>36</v>
      </c>
      <c r="S8112" s="12" t="s">
        <v>36</v>
      </c>
      <c r="T8112" s="12" t="s">
        <v>3168</v>
      </c>
      <c r="U8112" s="12" t="s">
        <v>289</v>
      </c>
      <c r="V8112" s="12" t="s">
        <v>64</v>
      </c>
      <c r="W8112" s="12" t="s">
        <v>35540</v>
      </c>
      <c r="X8112" s="16" t="s">
        <v>35541</v>
      </c>
      <c r="Y8112" s="15" t="s">
        <v>108</v>
      </c>
      <c r="Z8112" s="14">
        <v>1.5</v>
      </c>
      <c r="AA8112" s="14" t="s">
        <v>36</v>
      </c>
      <c r="AB8112" s="12" t="s">
        <v>43</v>
      </c>
      <c r="AC8112" s="12" t="s">
        <v>35542</v>
      </c>
      <c r="AD8112" s="13">
        <v>41374</v>
      </c>
      <c r="AE8112" s="12" t="s">
        <v>3134</v>
      </c>
      <c r="AF8112" s="12" t="s">
        <v>2118</v>
      </c>
      <c r="AG8112" s="12" t="s">
        <v>81</v>
      </c>
      <c r="AH8112" s="1">
        <f>HYPERLINK("https://my.pitchbook.com?c=28515-79T","View Company Online")</f>
      </c>
    </row>
    <row r="8113">
      <c r="A8113" s="3" t="s">
        <v>35543</v>
      </c>
      <c r="B8113" s="3" t="s">
        <v>34622</v>
      </c>
      <c r="C8113" s="5" t="s">
        <v>36</v>
      </c>
      <c r="D8113" s="5">
        <v>149</v>
      </c>
      <c r="E8113" s="5">
        <v>48</v>
      </c>
      <c r="F8113" s="5">
        <v>253</v>
      </c>
      <c r="G8113" s="6" t="s">
        <v>2497</v>
      </c>
      <c r="H8113" s="4">
        <v>1.04</v>
      </c>
      <c r="I8113" s="7">
        <v>40.95</v>
      </c>
      <c r="J8113" s="3" t="s">
        <v>521</v>
      </c>
      <c r="K8113" s="9" t="s">
        <v>36</v>
      </c>
      <c r="L8113" s="6" t="s">
        <v>36</v>
      </c>
      <c r="M8113" s="3" t="s">
        <v>36</v>
      </c>
      <c r="N8113" s="3" t="s">
        <v>36</v>
      </c>
      <c r="O8113" s="8" t="s">
        <v>36</v>
      </c>
      <c r="P8113" s="3" t="s">
        <v>36</v>
      </c>
      <c r="Q8113" s="3" t="s">
        <v>36</v>
      </c>
      <c r="R8113" s="3" t="s">
        <v>36</v>
      </c>
      <c r="S8113" s="3" t="s">
        <v>36</v>
      </c>
      <c r="T8113" s="3" t="s">
        <v>34623</v>
      </c>
      <c r="U8113" s="3" t="s">
        <v>74</v>
      </c>
      <c r="V8113" s="3" t="s">
        <v>75</v>
      </c>
      <c r="W8113" s="3" t="s">
        <v>34624</v>
      </c>
      <c r="X8113" s="10" t="s">
        <v>35544</v>
      </c>
      <c r="Y8113" s="6" t="s">
        <v>192</v>
      </c>
      <c r="Z8113" s="4">
        <v>10.34</v>
      </c>
      <c r="AA8113" s="4">
        <v>25.25</v>
      </c>
      <c r="AB8113" s="3" t="s">
        <v>56</v>
      </c>
      <c r="AC8113" s="3" t="s">
        <v>34626</v>
      </c>
      <c r="AD8113" s="9">
        <v>41374</v>
      </c>
      <c r="AE8113" s="3" t="s">
        <v>1243</v>
      </c>
      <c r="AF8113" s="3" t="s">
        <v>22942</v>
      </c>
      <c r="AG8113" s="3" t="s">
        <v>34627</v>
      </c>
      <c r="AH8113" s="11">
        <f>HYPERLINK("https://my.pitchbook.com?c=29226-16T","View Company Online")</f>
      </c>
    </row>
    <row r="8114">
      <c r="A8114" s="12" t="s">
        <v>35545</v>
      </c>
      <c r="B8114" s="12" t="s">
        <v>35546</v>
      </c>
      <c r="C8114" s="19">
        <v>1</v>
      </c>
      <c r="D8114" s="19">
        <v>3</v>
      </c>
      <c r="E8114" s="19">
        <v>3</v>
      </c>
      <c r="F8114" s="19">
        <v>10</v>
      </c>
      <c r="G8114" s="15" t="s">
        <v>36</v>
      </c>
      <c r="H8114" s="14" t="s">
        <v>36</v>
      </c>
      <c r="I8114" s="18" t="s">
        <v>36</v>
      </c>
      <c r="J8114" s="12" t="s">
        <v>36</v>
      </c>
      <c r="K8114" s="13" t="s">
        <v>36</v>
      </c>
      <c r="L8114" s="15" t="s">
        <v>36</v>
      </c>
      <c r="M8114" s="12" t="s">
        <v>36</v>
      </c>
      <c r="N8114" s="12" t="s">
        <v>36</v>
      </c>
      <c r="O8114" s="17" t="s">
        <v>36</v>
      </c>
      <c r="P8114" s="12" t="s">
        <v>36</v>
      </c>
      <c r="Q8114" s="12" t="s">
        <v>36</v>
      </c>
      <c r="R8114" s="12" t="s">
        <v>36</v>
      </c>
      <c r="S8114" s="12" t="s">
        <v>36</v>
      </c>
      <c r="T8114" s="12" t="s">
        <v>35547</v>
      </c>
      <c r="U8114" s="12" t="s">
        <v>85</v>
      </c>
      <c r="V8114" s="12" t="s">
        <v>64</v>
      </c>
      <c r="W8114" s="12" t="s">
        <v>35548</v>
      </c>
      <c r="X8114" s="16" t="s">
        <v>35549</v>
      </c>
      <c r="Y8114" s="15" t="s">
        <v>42</v>
      </c>
      <c r="Z8114" s="14" t="s">
        <v>36</v>
      </c>
      <c r="AA8114" s="14" t="s">
        <v>36</v>
      </c>
      <c r="AB8114" s="12" t="s">
        <v>56</v>
      </c>
      <c r="AC8114" s="12" t="s">
        <v>35550</v>
      </c>
      <c r="AD8114" s="13">
        <v>41374</v>
      </c>
      <c r="AE8114" s="12" t="s">
        <v>2823</v>
      </c>
      <c r="AF8114" s="12" t="s">
        <v>35551</v>
      </c>
      <c r="AG8114" s="12" t="s">
        <v>13897</v>
      </c>
      <c r="AH8114" s="1">
        <f>HYPERLINK("https://my.pitchbook.com?c=29191-24T","View Company Online")</f>
      </c>
    </row>
    <row r="8115">
      <c r="A8115" s="3" t="s">
        <v>35552</v>
      </c>
      <c r="B8115" s="3" t="s">
        <v>31572</v>
      </c>
      <c r="C8115" s="5">
        <v>26</v>
      </c>
      <c r="D8115" s="5">
        <v>26</v>
      </c>
      <c r="E8115" s="5">
        <v>9</v>
      </c>
      <c r="F8115" s="5">
        <v>59</v>
      </c>
      <c r="G8115" s="6" t="s">
        <v>36</v>
      </c>
      <c r="H8115" s="4" t="s">
        <v>36</v>
      </c>
      <c r="I8115" s="7" t="s">
        <v>36</v>
      </c>
      <c r="J8115" s="3" t="s">
        <v>36</v>
      </c>
      <c r="K8115" s="9">
        <v>41359</v>
      </c>
      <c r="L8115" s="6" t="s">
        <v>122</v>
      </c>
      <c r="M8115" s="3" t="s">
        <v>36</v>
      </c>
      <c r="N8115" s="3" t="s">
        <v>122</v>
      </c>
      <c r="O8115" s="8" t="s">
        <v>36</v>
      </c>
      <c r="P8115" s="3" t="s">
        <v>36</v>
      </c>
      <c r="Q8115" s="3" t="s">
        <v>36</v>
      </c>
      <c r="R8115" s="3" t="s">
        <v>36</v>
      </c>
      <c r="S8115" s="3" t="s">
        <v>36</v>
      </c>
      <c r="T8115" s="3" t="s">
        <v>31573</v>
      </c>
      <c r="U8115" s="3" t="s">
        <v>51</v>
      </c>
      <c r="V8115" s="3" t="s">
        <v>52</v>
      </c>
      <c r="W8115" s="3" t="s">
        <v>31574</v>
      </c>
      <c r="X8115" s="10" t="s">
        <v>35553</v>
      </c>
      <c r="Y8115" s="6" t="s">
        <v>42</v>
      </c>
      <c r="Z8115" s="4">
        <v>41.36</v>
      </c>
      <c r="AA8115" s="4" t="s">
        <v>36</v>
      </c>
      <c r="AB8115" s="3" t="s">
        <v>43</v>
      </c>
      <c r="AC8115" s="3" t="s">
        <v>31576</v>
      </c>
      <c r="AD8115" s="9">
        <v>41373</v>
      </c>
      <c r="AE8115" s="3" t="s">
        <v>158</v>
      </c>
      <c r="AF8115" s="3" t="s">
        <v>159</v>
      </c>
      <c r="AG8115" s="3" t="s">
        <v>81</v>
      </c>
      <c r="AH8115" s="11">
        <f>HYPERLINK("https://my.pitchbook.com?c=25460-38T","View Company Online")</f>
      </c>
    </row>
    <row r="8116">
      <c r="A8116" s="12" t="s">
        <v>35554</v>
      </c>
      <c r="B8116" s="12" t="s">
        <v>30393</v>
      </c>
      <c r="C8116" s="19">
        <v>1</v>
      </c>
      <c r="D8116" s="19">
        <v>11</v>
      </c>
      <c r="E8116" s="19">
        <v>4</v>
      </c>
      <c r="F8116" s="19">
        <v>25</v>
      </c>
      <c r="G8116" s="15" t="s">
        <v>36</v>
      </c>
      <c r="H8116" s="14">
        <v>1246.28</v>
      </c>
      <c r="I8116" s="18">
        <v>57.14</v>
      </c>
      <c r="J8116" s="12" t="s">
        <v>521</v>
      </c>
      <c r="K8116" s="13" t="s">
        <v>36</v>
      </c>
      <c r="L8116" s="15" t="s">
        <v>122</v>
      </c>
      <c r="M8116" s="12" t="s">
        <v>36</v>
      </c>
      <c r="N8116" s="12" t="s">
        <v>122</v>
      </c>
      <c r="O8116" s="17" t="s">
        <v>36</v>
      </c>
      <c r="P8116" s="12" t="s">
        <v>36</v>
      </c>
      <c r="Q8116" s="12" t="s">
        <v>36</v>
      </c>
      <c r="R8116" s="12" t="s">
        <v>36</v>
      </c>
      <c r="S8116" s="12" t="s">
        <v>36</v>
      </c>
      <c r="T8116" s="12" t="s">
        <v>9709</v>
      </c>
      <c r="U8116" s="12" t="s">
        <v>51</v>
      </c>
      <c r="V8116" s="12" t="s">
        <v>52</v>
      </c>
      <c r="W8116" s="12" t="s">
        <v>30394</v>
      </c>
      <c r="X8116" s="16" t="s">
        <v>35555</v>
      </c>
      <c r="Y8116" s="15" t="s">
        <v>42</v>
      </c>
      <c r="Z8116" s="14">
        <v>10.34</v>
      </c>
      <c r="AA8116" s="14">
        <v>18.09</v>
      </c>
      <c r="AB8116" s="12" t="s">
        <v>43</v>
      </c>
      <c r="AC8116" s="12" t="s">
        <v>30396</v>
      </c>
      <c r="AD8116" s="13">
        <v>41373</v>
      </c>
      <c r="AE8116" s="12" t="s">
        <v>158</v>
      </c>
      <c r="AF8116" s="12" t="s">
        <v>159</v>
      </c>
      <c r="AG8116" s="12" t="s">
        <v>81</v>
      </c>
      <c r="AH8116" s="1">
        <f>HYPERLINK("https://my.pitchbook.com?c=25415-56T","View Company Online")</f>
      </c>
    </row>
    <row r="8117">
      <c r="A8117" s="3" t="s">
        <v>35556</v>
      </c>
      <c r="B8117" s="3" t="s">
        <v>35557</v>
      </c>
      <c r="C8117" s="5" t="s">
        <v>36</v>
      </c>
      <c r="D8117" s="5" t="s">
        <v>36</v>
      </c>
      <c r="E8117" s="5" t="s">
        <v>36</v>
      </c>
      <c r="F8117" s="5" t="s">
        <v>36</v>
      </c>
      <c r="G8117" s="6" t="s">
        <v>36</v>
      </c>
      <c r="H8117" s="4" t="s">
        <v>36</v>
      </c>
      <c r="I8117" s="7" t="s">
        <v>36</v>
      </c>
      <c r="J8117" s="3" t="s">
        <v>36</v>
      </c>
      <c r="K8117" s="9" t="s">
        <v>36</v>
      </c>
      <c r="L8117" s="6" t="s">
        <v>36</v>
      </c>
      <c r="M8117" s="3" t="s">
        <v>36</v>
      </c>
      <c r="N8117" s="3" t="s">
        <v>36</v>
      </c>
      <c r="O8117" s="8" t="s">
        <v>36</v>
      </c>
      <c r="P8117" s="3" t="s">
        <v>36</v>
      </c>
      <c r="Q8117" s="3" t="s">
        <v>36</v>
      </c>
      <c r="R8117" s="3" t="s">
        <v>36</v>
      </c>
      <c r="S8117" s="3" t="s">
        <v>36</v>
      </c>
      <c r="T8117" s="3" t="s">
        <v>1106</v>
      </c>
      <c r="U8117" s="3" t="s">
        <v>38</v>
      </c>
      <c r="V8117" s="3" t="s">
        <v>39</v>
      </c>
      <c r="W8117" s="3" t="s">
        <v>35558</v>
      </c>
      <c r="X8117" s="10" t="s">
        <v>35559</v>
      </c>
      <c r="Y8117" s="6" t="s">
        <v>42</v>
      </c>
      <c r="Z8117" s="4">
        <v>0.52</v>
      </c>
      <c r="AA8117" s="4" t="s">
        <v>36</v>
      </c>
      <c r="AB8117" s="3" t="s">
        <v>56</v>
      </c>
      <c r="AC8117" s="3" t="s">
        <v>35560</v>
      </c>
      <c r="AD8117" s="9">
        <v>41372</v>
      </c>
      <c r="AE8117" s="3" t="s">
        <v>110</v>
      </c>
      <c r="AF8117" s="3" t="s">
        <v>4552</v>
      </c>
      <c r="AG8117" s="3" t="s">
        <v>373</v>
      </c>
      <c r="AH8117" s="11">
        <f>HYPERLINK("https://my.pitchbook.com?c=88206-31T","View Company Online")</f>
      </c>
    </row>
    <row r="8118">
      <c r="A8118" s="12" t="s">
        <v>35561</v>
      </c>
      <c r="B8118" s="12" t="s">
        <v>35562</v>
      </c>
      <c r="C8118" s="19" t="s">
        <v>36</v>
      </c>
      <c r="D8118" s="19" t="s">
        <v>36</v>
      </c>
      <c r="E8118" s="19" t="s">
        <v>36</v>
      </c>
      <c r="F8118" s="19" t="s">
        <v>36</v>
      </c>
      <c r="G8118" s="15" t="s">
        <v>36</v>
      </c>
      <c r="H8118" s="14">
        <v>928.48</v>
      </c>
      <c r="I8118" s="18">
        <v>48.88</v>
      </c>
      <c r="J8118" s="12" t="s">
        <v>521</v>
      </c>
      <c r="K8118" s="13" t="s">
        <v>36</v>
      </c>
      <c r="L8118" s="15" t="s">
        <v>36</v>
      </c>
      <c r="M8118" s="12" t="s">
        <v>36</v>
      </c>
      <c r="N8118" s="12" t="s">
        <v>36</v>
      </c>
      <c r="O8118" s="17" t="s">
        <v>36</v>
      </c>
      <c r="P8118" s="12" t="s">
        <v>36</v>
      </c>
      <c r="Q8118" s="12" t="s">
        <v>36</v>
      </c>
      <c r="R8118" s="12" t="s">
        <v>36</v>
      </c>
      <c r="S8118" s="12" t="s">
        <v>36</v>
      </c>
      <c r="T8118" s="12" t="s">
        <v>35563</v>
      </c>
      <c r="U8118" s="12" t="s">
        <v>7149</v>
      </c>
      <c r="V8118" s="12" t="s">
        <v>378</v>
      </c>
      <c r="W8118" s="12" t="s">
        <v>35564</v>
      </c>
      <c r="X8118" s="16" t="s">
        <v>27657</v>
      </c>
      <c r="Y8118" s="15" t="s">
        <v>42</v>
      </c>
      <c r="Z8118" s="14">
        <v>0.84</v>
      </c>
      <c r="AA8118" s="14">
        <v>1.13</v>
      </c>
      <c r="AB8118" s="12" t="s">
        <v>56</v>
      </c>
      <c r="AC8118" s="12" t="s">
        <v>35565</v>
      </c>
      <c r="AD8118" s="13">
        <v>41367</v>
      </c>
      <c r="AE8118" s="12" t="s">
        <v>9635</v>
      </c>
      <c r="AF8118" s="12" t="s">
        <v>601</v>
      </c>
      <c r="AG8118" s="12" t="s">
        <v>35566</v>
      </c>
      <c r="AH8118" s="1">
        <f>HYPERLINK("https://my.pitchbook.com?c=29214-19T","View Company Online")</f>
      </c>
    </row>
    <row r="8119">
      <c r="A8119" s="3" t="s">
        <v>35567</v>
      </c>
      <c r="B8119" s="3" t="s">
        <v>35568</v>
      </c>
      <c r="C8119" s="5" t="s">
        <v>36</v>
      </c>
      <c r="D8119" s="5" t="s">
        <v>36</v>
      </c>
      <c r="E8119" s="5" t="s">
        <v>36</v>
      </c>
      <c r="F8119" s="5" t="s">
        <v>36</v>
      </c>
      <c r="G8119" s="6" t="s">
        <v>36</v>
      </c>
      <c r="H8119" s="4" t="s">
        <v>36</v>
      </c>
      <c r="I8119" s="7" t="s">
        <v>36</v>
      </c>
      <c r="J8119" s="3" t="s">
        <v>36</v>
      </c>
      <c r="K8119" s="9" t="s">
        <v>36</v>
      </c>
      <c r="L8119" s="6" t="s">
        <v>36</v>
      </c>
      <c r="M8119" s="3" t="s">
        <v>36</v>
      </c>
      <c r="N8119" s="3" t="s">
        <v>36</v>
      </c>
      <c r="O8119" s="8" t="s">
        <v>36</v>
      </c>
      <c r="P8119" s="3" t="s">
        <v>36</v>
      </c>
      <c r="Q8119" s="3" t="s">
        <v>36</v>
      </c>
      <c r="R8119" s="3" t="s">
        <v>36</v>
      </c>
      <c r="S8119" s="3" t="s">
        <v>36</v>
      </c>
      <c r="T8119" s="3" t="s">
        <v>35569</v>
      </c>
      <c r="U8119" s="3" t="s">
        <v>289</v>
      </c>
      <c r="V8119" s="3" t="s">
        <v>64</v>
      </c>
      <c r="W8119" s="3" t="s">
        <v>35570</v>
      </c>
      <c r="X8119" s="10" t="s">
        <v>35571</v>
      </c>
      <c r="Y8119" s="6" t="s">
        <v>108</v>
      </c>
      <c r="Z8119" s="4">
        <v>2.59</v>
      </c>
      <c r="AA8119" s="4" t="s">
        <v>36</v>
      </c>
      <c r="AB8119" s="3" t="s">
        <v>43</v>
      </c>
      <c r="AC8119" s="3" t="s">
        <v>35572</v>
      </c>
      <c r="AD8119" s="9">
        <v>41367</v>
      </c>
      <c r="AE8119" s="3" t="s">
        <v>292</v>
      </c>
      <c r="AF8119" s="3" t="s">
        <v>2118</v>
      </c>
      <c r="AG8119" s="3" t="s">
        <v>81</v>
      </c>
      <c r="AH8119" s="11">
        <f>HYPERLINK("https://my.pitchbook.com?c=25455-79T","View Company Online")</f>
      </c>
    </row>
    <row r="8120">
      <c r="A8120" s="12" t="s">
        <v>35573</v>
      </c>
      <c r="B8120" s="12" t="s">
        <v>35574</v>
      </c>
      <c r="C8120" s="19">
        <v>132</v>
      </c>
      <c r="D8120" s="19">
        <v>276</v>
      </c>
      <c r="E8120" s="19">
        <v>82</v>
      </c>
      <c r="F8120" s="19">
        <v>450</v>
      </c>
      <c r="G8120" s="15" t="s">
        <v>36</v>
      </c>
      <c r="H8120" s="14" t="s">
        <v>36</v>
      </c>
      <c r="I8120" s="18" t="s">
        <v>36</v>
      </c>
      <c r="J8120" s="12" t="s">
        <v>36</v>
      </c>
      <c r="K8120" s="13" t="s">
        <v>36</v>
      </c>
      <c r="L8120" s="15" t="s">
        <v>3736</v>
      </c>
      <c r="M8120" s="12" t="s">
        <v>36</v>
      </c>
      <c r="N8120" s="12" t="s">
        <v>3736</v>
      </c>
      <c r="O8120" s="17" t="s">
        <v>36</v>
      </c>
      <c r="P8120" s="12" t="s">
        <v>36</v>
      </c>
      <c r="Q8120" s="12" t="s">
        <v>36</v>
      </c>
      <c r="R8120" s="12" t="s">
        <v>36</v>
      </c>
      <c r="S8120" s="12" t="s">
        <v>36</v>
      </c>
      <c r="T8120" s="12" t="s">
        <v>1628</v>
      </c>
      <c r="U8120" s="12" t="s">
        <v>96</v>
      </c>
      <c r="V8120" s="12" t="s">
        <v>52</v>
      </c>
      <c r="W8120" s="12" t="s">
        <v>35575</v>
      </c>
      <c r="X8120" s="16" t="s">
        <v>35576</v>
      </c>
      <c r="Y8120" s="15" t="s">
        <v>166</v>
      </c>
      <c r="Z8120" s="14">
        <v>36.22</v>
      </c>
      <c r="AA8120" s="14" t="s">
        <v>36</v>
      </c>
      <c r="AB8120" s="12" t="s">
        <v>56</v>
      </c>
      <c r="AC8120" s="12" t="s">
        <v>35577</v>
      </c>
      <c r="AD8120" s="13">
        <v>41366</v>
      </c>
      <c r="AE8120" s="12" t="s">
        <v>755</v>
      </c>
      <c r="AF8120" s="12" t="s">
        <v>29370</v>
      </c>
      <c r="AG8120" s="12" t="s">
        <v>392</v>
      </c>
      <c r="AH8120" s="1">
        <f>HYPERLINK("https://my.pitchbook.com?c=27000-37T","View Company Online")</f>
      </c>
    </row>
    <row r="8121">
      <c r="A8121" s="3" t="s">
        <v>35578</v>
      </c>
      <c r="B8121" s="3" t="s">
        <v>35579</v>
      </c>
      <c r="C8121" s="5" t="s">
        <v>36</v>
      </c>
      <c r="D8121" s="5" t="s">
        <v>36</v>
      </c>
      <c r="E8121" s="5" t="s">
        <v>36</v>
      </c>
      <c r="F8121" s="5" t="s">
        <v>36</v>
      </c>
      <c r="G8121" s="6" t="s">
        <v>36</v>
      </c>
      <c r="H8121" s="4" t="s">
        <v>36</v>
      </c>
      <c r="I8121" s="7" t="s">
        <v>36</v>
      </c>
      <c r="J8121" s="3" t="s">
        <v>36</v>
      </c>
      <c r="K8121" s="9" t="s">
        <v>36</v>
      </c>
      <c r="L8121" s="6" t="s">
        <v>36</v>
      </c>
      <c r="M8121" s="3" t="s">
        <v>36</v>
      </c>
      <c r="N8121" s="3" t="s">
        <v>36</v>
      </c>
      <c r="O8121" s="8" t="s">
        <v>36</v>
      </c>
      <c r="P8121" s="3" t="s">
        <v>36</v>
      </c>
      <c r="Q8121" s="3" t="s">
        <v>36</v>
      </c>
      <c r="R8121" s="3" t="s">
        <v>36</v>
      </c>
      <c r="S8121" s="3" t="s">
        <v>36</v>
      </c>
      <c r="T8121" s="3" t="s">
        <v>35580</v>
      </c>
      <c r="U8121" s="3" t="s">
        <v>289</v>
      </c>
      <c r="V8121" s="3" t="s">
        <v>64</v>
      </c>
      <c r="W8121" s="3" t="s">
        <v>35581</v>
      </c>
      <c r="X8121" s="10" t="s">
        <v>1399</v>
      </c>
      <c r="Y8121" s="6" t="s">
        <v>42</v>
      </c>
      <c r="Z8121" s="4" t="s">
        <v>36</v>
      </c>
      <c r="AA8121" s="4" t="s">
        <v>36</v>
      </c>
      <c r="AB8121" s="3" t="s">
        <v>56</v>
      </c>
      <c r="AC8121" s="3" t="s">
        <v>35582</v>
      </c>
      <c r="AD8121" s="9">
        <v>41365</v>
      </c>
      <c r="AE8121" s="3" t="s">
        <v>35583</v>
      </c>
      <c r="AF8121" s="3" t="s">
        <v>36</v>
      </c>
      <c r="AG8121" s="3" t="s">
        <v>35584</v>
      </c>
      <c r="AH8121" s="11">
        <f>HYPERLINK("https://my.pitchbook.com?c=218399-41T","View Company Online")</f>
      </c>
    </row>
    <row r="8122">
      <c r="A8122" s="12" t="s">
        <v>35585</v>
      </c>
      <c r="B8122" s="12" t="s">
        <v>35586</v>
      </c>
      <c r="C8122" s="19" t="s">
        <v>36</v>
      </c>
      <c r="D8122" s="19">
        <v>4</v>
      </c>
      <c r="E8122" s="19">
        <v>1</v>
      </c>
      <c r="F8122" s="19">
        <v>5</v>
      </c>
      <c r="G8122" s="15" t="s">
        <v>36</v>
      </c>
      <c r="H8122" s="14">
        <v>3757.97</v>
      </c>
      <c r="I8122" s="18">
        <v>19.58</v>
      </c>
      <c r="J8122" s="12" t="s">
        <v>521</v>
      </c>
      <c r="K8122" s="13" t="s">
        <v>36</v>
      </c>
      <c r="L8122" s="15" t="s">
        <v>36</v>
      </c>
      <c r="M8122" s="12" t="s">
        <v>36</v>
      </c>
      <c r="N8122" s="12" t="s">
        <v>36</v>
      </c>
      <c r="O8122" s="17" t="s">
        <v>36</v>
      </c>
      <c r="P8122" s="12" t="s">
        <v>36</v>
      </c>
      <c r="Q8122" s="12" t="s">
        <v>36</v>
      </c>
      <c r="R8122" s="12" t="s">
        <v>36</v>
      </c>
      <c r="S8122" s="12" t="s">
        <v>36</v>
      </c>
      <c r="T8122" s="12" t="s">
        <v>35587</v>
      </c>
      <c r="U8122" s="12" t="s">
        <v>219</v>
      </c>
      <c r="V8122" s="12" t="s">
        <v>75</v>
      </c>
      <c r="W8122" s="12" t="s">
        <v>35588</v>
      </c>
      <c r="X8122" s="16" t="s">
        <v>35589</v>
      </c>
      <c r="Y8122" s="15" t="s">
        <v>42</v>
      </c>
      <c r="Z8122" s="14">
        <v>0.17</v>
      </c>
      <c r="AA8122" s="14">
        <v>0.89</v>
      </c>
      <c r="AB8122" s="12" t="s">
        <v>56</v>
      </c>
      <c r="AC8122" s="12" t="s">
        <v>35590</v>
      </c>
      <c r="AD8122" s="13">
        <v>41365</v>
      </c>
      <c r="AE8122" s="12" t="s">
        <v>1912</v>
      </c>
      <c r="AF8122" s="12" t="s">
        <v>1969</v>
      </c>
      <c r="AG8122" s="12" t="s">
        <v>9713</v>
      </c>
      <c r="AH8122" s="1">
        <f>HYPERLINK("https://my.pitchbook.com?c=51635-71T","View Company Online")</f>
      </c>
    </row>
    <row r="8123">
      <c r="A8123" s="3" t="s">
        <v>35591</v>
      </c>
      <c r="B8123" s="3" t="s">
        <v>29127</v>
      </c>
      <c r="C8123" s="5" t="s">
        <v>36</v>
      </c>
      <c r="D8123" s="5" t="s">
        <v>36</v>
      </c>
      <c r="E8123" s="5" t="s">
        <v>36</v>
      </c>
      <c r="F8123" s="5" t="s">
        <v>36</v>
      </c>
      <c r="G8123" s="6" t="s">
        <v>683</v>
      </c>
      <c r="H8123" s="4">
        <v>1.77</v>
      </c>
      <c r="I8123" s="7">
        <v>7.1</v>
      </c>
      <c r="J8123" s="3" t="s">
        <v>521</v>
      </c>
      <c r="K8123" s="9" t="s">
        <v>36</v>
      </c>
      <c r="L8123" s="6" t="s">
        <v>36</v>
      </c>
      <c r="M8123" s="3" t="s">
        <v>36</v>
      </c>
      <c r="N8123" s="3" t="s">
        <v>36</v>
      </c>
      <c r="O8123" s="8" t="s">
        <v>36</v>
      </c>
      <c r="P8123" s="3" t="s">
        <v>36</v>
      </c>
      <c r="Q8123" s="3" t="s">
        <v>36</v>
      </c>
      <c r="R8123" s="3" t="s">
        <v>36</v>
      </c>
      <c r="S8123" s="3" t="s">
        <v>36</v>
      </c>
      <c r="T8123" s="3" t="s">
        <v>6557</v>
      </c>
      <c r="U8123" s="3" t="s">
        <v>648</v>
      </c>
      <c r="V8123" s="3" t="s">
        <v>64</v>
      </c>
      <c r="W8123" s="3" t="s">
        <v>29128</v>
      </c>
      <c r="X8123" s="10" t="s">
        <v>33014</v>
      </c>
      <c r="Y8123" s="6" t="s">
        <v>55</v>
      </c>
      <c r="Z8123" s="4">
        <v>1.24</v>
      </c>
      <c r="AA8123" s="4">
        <v>17.4</v>
      </c>
      <c r="AB8123" s="3" t="s">
        <v>43</v>
      </c>
      <c r="AC8123" s="3" t="s">
        <v>29130</v>
      </c>
      <c r="AD8123" s="9">
        <v>41360</v>
      </c>
      <c r="AE8123" s="3" t="s">
        <v>1897</v>
      </c>
      <c r="AF8123" s="3" t="s">
        <v>14418</v>
      </c>
      <c r="AG8123" s="3" t="s">
        <v>81</v>
      </c>
      <c r="AH8123" s="11">
        <f>HYPERLINK("https://my.pitchbook.com?c=116636-95T","View Company Online")</f>
      </c>
    </row>
    <row r="8124">
      <c r="A8124" s="12" t="s">
        <v>35592</v>
      </c>
      <c r="B8124" s="12" t="s">
        <v>32220</v>
      </c>
      <c r="C8124" s="19" t="s">
        <v>36</v>
      </c>
      <c r="D8124" s="19">
        <v>19</v>
      </c>
      <c r="E8124" s="19">
        <v>11</v>
      </c>
      <c r="F8124" s="19">
        <v>26</v>
      </c>
      <c r="G8124" s="15" t="s">
        <v>36</v>
      </c>
      <c r="H8124" s="14">
        <v>1.25</v>
      </c>
      <c r="I8124" s="18">
        <v>30.94</v>
      </c>
      <c r="J8124" s="12" t="s">
        <v>521</v>
      </c>
      <c r="K8124" s="13" t="s">
        <v>36</v>
      </c>
      <c r="L8124" s="15" t="s">
        <v>122</v>
      </c>
      <c r="M8124" s="12" t="s">
        <v>36</v>
      </c>
      <c r="N8124" s="12" t="s">
        <v>122</v>
      </c>
      <c r="O8124" s="17" t="s">
        <v>36</v>
      </c>
      <c r="P8124" s="12" t="s">
        <v>36</v>
      </c>
      <c r="Q8124" s="12" t="s">
        <v>36</v>
      </c>
      <c r="R8124" s="12" t="s">
        <v>36</v>
      </c>
      <c r="S8124" s="12" t="s">
        <v>36</v>
      </c>
      <c r="T8124" s="12" t="s">
        <v>32221</v>
      </c>
      <c r="U8124" s="12" t="s">
        <v>38</v>
      </c>
      <c r="V8124" s="12" t="s">
        <v>39</v>
      </c>
      <c r="W8124" s="12" t="s">
        <v>32222</v>
      </c>
      <c r="X8124" s="16" t="s">
        <v>35593</v>
      </c>
      <c r="Y8124" s="15" t="s">
        <v>42</v>
      </c>
      <c r="Z8124" s="14">
        <v>4.06</v>
      </c>
      <c r="AA8124" s="14">
        <v>13.13</v>
      </c>
      <c r="AB8124" s="12" t="s">
        <v>43</v>
      </c>
      <c r="AC8124" s="12" t="s">
        <v>32224</v>
      </c>
      <c r="AD8124" s="13">
        <v>41360</v>
      </c>
      <c r="AE8124" s="12" t="s">
        <v>1330</v>
      </c>
      <c r="AF8124" s="12" t="s">
        <v>1636</v>
      </c>
      <c r="AG8124" s="12" t="s">
        <v>539</v>
      </c>
      <c r="AH8124" s="1">
        <f>HYPERLINK("https://my.pitchbook.com?c=29737-90T","View Company Online")</f>
      </c>
    </row>
    <row r="8125">
      <c r="A8125" s="3" t="s">
        <v>35594</v>
      </c>
      <c r="B8125" s="3" t="s">
        <v>35595</v>
      </c>
      <c r="C8125" s="5" t="s">
        <v>36</v>
      </c>
      <c r="D8125" s="5" t="s">
        <v>36</v>
      </c>
      <c r="E8125" s="5" t="s">
        <v>36</v>
      </c>
      <c r="F8125" s="5" t="s">
        <v>36</v>
      </c>
      <c r="G8125" s="6" t="s">
        <v>36</v>
      </c>
      <c r="H8125" s="4" t="s">
        <v>36</v>
      </c>
      <c r="I8125" s="7" t="s">
        <v>36</v>
      </c>
      <c r="J8125" s="3" t="s">
        <v>36</v>
      </c>
      <c r="K8125" s="9" t="s">
        <v>36</v>
      </c>
      <c r="L8125" s="6" t="s">
        <v>36</v>
      </c>
      <c r="M8125" s="3" t="s">
        <v>36</v>
      </c>
      <c r="N8125" s="3" t="s">
        <v>36</v>
      </c>
      <c r="O8125" s="8" t="s">
        <v>36</v>
      </c>
      <c r="P8125" s="3" t="s">
        <v>36</v>
      </c>
      <c r="Q8125" s="3" t="s">
        <v>36</v>
      </c>
      <c r="R8125" s="3" t="s">
        <v>36</v>
      </c>
      <c r="S8125" s="3" t="s">
        <v>36</v>
      </c>
      <c r="T8125" s="3" t="s">
        <v>278</v>
      </c>
      <c r="U8125" s="3" t="s">
        <v>279</v>
      </c>
      <c r="V8125" s="3" t="s">
        <v>64</v>
      </c>
      <c r="W8125" s="3" t="s">
        <v>35596</v>
      </c>
      <c r="X8125" s="10" t="s">
        <v>35597</v>
      </c>
      <c r="Y8125" s="6" t="s">
        <v>42</v>
      </c>
      <c r="Z8125" s="4">
        <v>1.76</v>
      </c>
      <c r="AA8125" s="4" t="s">
        <v>36</v>
      </c>
      <c r="AB8125" s="3" t="s">
        <v>43</v>
      </c>
      <c r="AC8125" s="3" t="s">
        <v>35598</v>
      </c>
      <c r="AD8125" s="9">
        <v>41358</v>
      </c>
      <c r="AE8125" s="3" t="s">
        <v>283</v>
      </c>
      <c r="AF8125" s="3" t="s">
        <v>1636</v>
      </c>
      <c r="AG8125" s="3" t="s">
        <v>186</v>
      </c>
      <c r="AH8125" s="11">
        <f>HYPERLINK("https://my.pitchbook.com?c=35806-15T","View Company Online")</f>
      </c>
    </row>
    <row r="8126">
      <c r="A8126" s="12" t="s">
        <v>35599</v>
      </c>
      <c r="B8126" s="12" t="s">
        <v>35600</v>
      </c>
      <c r="C8126" s="19">
        <v>2</v>
      </c>
      <c r="D8126" s="19">
        <v>13</v>
      </c>
      <c r="E8126" s="19">
        <v>3</v>
      </c>
      <c r="F8126" s="19">
        <v>22</v>
      </c>
      <c r="G8126" s="15" t="s">
        <v>36</v>
      </c>
      <c r="H8126" s="14" t="s">
        <v>36</v>
      </c>
      <c r="I8126" s="18" t="s">
        <v>36</v>
      </c>
      <c r="J8126" s="12" t="s">
        <v>36</v>
      </c>
      <c r="K8126" s="13" t="s">
        <v>36</v>
      </c>
      <c r="L8126" s="15" t="s">
        <v>36</v>
      </c>
      <c r="M8126" s="12" t="s">
        <v>36</v>
      </c>
      <c r="N8126" s="12" t="s">
        <v>36</v>
      </c>
      <c r="O8126" s="17" t="s">
        <v>36</v>
      </c>
      <c r="P8126" s="12" t="s">
        <v>36</v>
      </c>
      <c r="Q8126" s="12" t="s">
        <v>36</v>
      </c>
      <c r="R8126" s="12" t="s">
        <v>36</v>
      </c>
      <c r="S8126" s="12" t="s">
        <v>36</v>
      </c>
      <c r="T8126" s="12" t="s">
        <v>35601</v>
      </c>
      <c r="U8126" s="12" t="s">
        <v>219</v>
      </c>
      <c r="V8126" s="12" t="s">
        <v>75</v>
      </c>
      <c r="W8126" s="12" t="s">
        <v>35602</v>
      </c>
      <c r="X8126" s="16" t="s">
        <v>35603</v>
      </c>
      <c r="Y8126" s="15" t="s">
        <v>42</v>
      </c>
      <c r="Z8126" s="14">
        <v>1.3</v>
      </c>
      <c r="AA8126" s="14" t="s">
        <v>36</v>
      </c>
      <c r="AB8126" s="12" t="s">
        <v>56</v>
      </c>
      <c r="AC8126" s="12" t="s">
        <v>35604</v>
      </c>
      <c r="AD8126" s="13">
        <v>41355</v>
      </c>
      <c r="AE8126" s="12" t="s">
        <v>1912</v>
      </c>
      <c r="AF8126" s="12" t="s">
        <v>601</v>
      </c>
      <c r="AG8126" s="12" t="s">
        <v>35605</v>
      </c>
      <c r="AH8126" s="1">
        <f>HYPERLINK("https://my.pitchbook.com?c=29226-70T","View Company Online")</f>
      </c>
    </row>
    <row r="8127">
      <c r="A8127" s="3" t="s">
        <v>35606</v>
      </c>
      <c r="B8127" s="3" t="s">
        <v>35607</v>
      </c>
      <c r="C8127" s="5" t="s">
        <v>36</v>
      </c>
      <c r="D8127" s="5" t="s">
        <v>36</v>
      </c>
      <c r="E8127" s="5" t="s">
        <v>36</v>
      </c>
      <c r="F8127" s="5" t="s">
        <v>36</v>
      </c>
      <c r="G8127" s="6" t="s">
        <v>36</v>
      </c>
      <c r="H8127" s="4" t="s">
        <v>36</v>
      </c>
      <c r="I8127" s="7" t="s">
        <v>36</v>
      </c>
      <c r="J8127" s="3" t="s">
        <v>36</v>
      </c>
      <c r="K8127" s="9" t="s">
        <v>36</v>
      </c>
      <c r="L8127" s="6" t="s">
        <v>36</v>
      </c>
      <c r="M8127" s="3" t="s">
        <v>36</v>
      </c>
      <c r="N8127" s="3" t="s">
        <v>36</v>
      </c>
      <c r="O8127" s="8" t="s">
        <v>36</v>
      </c>
      <c r="P8127" s="3" t="s">
        <v>36</v>
      </c>
      <c r="Q8127" s="3" t="s">
        <v>36</v>
      </c>
      <c r="R8127" s="3" t="s">
        <v>36</v>
      </c>
      <c r="S8127" s="3" t="s">
        <v>36</v>
      </c>
      <c r="T8127" s="3" t="s">
        <v>3125</v>
      </c>
      <c r="U8127" s="3" t="s">
        <v>279</v>
      </c>
      <c r="V8127" s="3" t="s">
        <v>64</v>
      </c>
      <c r="W8127" s="3" t="s">
        <v>35608</v>
      </c>
      <c r="X8127" s="10" t="s">
        <v>35609</v>
      </c>
      <c r="Y8127" s="6" t="s">
        <v>108</v>
      </c>
      <c r="Z8127" s="4">
        <v>0.36</v>
      </c>
      <c r="AA8127" s="4" t="s">
        <v>36</v>
      </c>
      <c r="AB8127" s="3" t="s">
        <v>43</v>
      </c>
      <c r="AC8127" s="3" t="s">
        <v>35610</v>
      </c>
      <c r="AD8127" s="9">
        <v>41355</v>
      </c>
      <c r="AE8127" s="3" t="s">
        <v>283</v>
      </c>
      <c r="AF8127" s="3" t="s">
        <v>2118</v>
      </c>
      <c r="AG8127" s="3" t="s">
        <v>382</v>
      </c>
      <c r="AH8127" s="11">
        <f>HYPERLINK("https://my.pitchbook.com?c=36331-12T","View Company Online")</f>
      </c>
    </row>
    <row r="8128">
      <c r="A8128" s="12" t="s">
        <v>35611</v>
      </c>
      <c r="B8128" s="12" t="s">
        <v>35612</v>
      </c>
      <c r="C8128" s="19" t="s">
        <v>36</v>
      </c>
      <c r="D8128" s="19">
        <v>37</v>
      </c>
      <c r="E8128" s="19">
        <v>14</v>
      </c>
      <c r="F8128" s="19">
        <v>54</v>
      </c>
      <c r="G8128" s="15" t="s">
        <v>36</v>
      </c>
      <c r="H8128" s="14">
        <v>0.25</v>
      </c>
      <c r="I8128" s="18">
        <v>76.3</v>
      </c>
      <c r="J8128" s="12" t="s">
        <v>521</v>
      </c>
      <c r="K8128" s="13">
        <v>40578</v>
      </c>
      <c r="L8128" s="15" t="s">
        <v>94</v>
      </c>
      <c r="M8128" s="12" t="s">
        <v>36</v>
      </c>
      <c r="N8128" s="12" t="s">
        <v>94</v>
      </c>
      <c r="O8128" s="17" t="s">
        <v>36</v>
      </c>
      <c r="P8128" s="12" t="s">
        <v>36</v>
      </c>
      <c r="Q8128" s="12" t="s">
        <v>36</v>
      </c>
      <c r="R8128" s="12" t="s">
        <v>36</v>
      </c>
      <c r="S8128" s="12" t="s">
        <v>36</v>
      </c>
      <c r="T8128" s="12" t="s">
        <v>35613</v>
      </c>
      <c r="U8128" s="12" t="s">
        <v>96</v>
      </c>
      <c r="V8128" s="12" t="s">
        <v>52</v>
      </c>
      <c r="W8128" s="12" t="s">
        <v>35614</v>
      </c>
      <c r="X8128" s="16" t="s">
        <v>35615</v>
      </c>
      <c r="Y8128" s="15" t="s">
        <v>108</v>
      </c>
      <c r="Z8128" s="14">
        <v>45.82</v>
      </c>
      <c r="AA8128" s="14">
        <v>60.05</v>
      </c>
      <c r="AB8128" s="12" t="s">
        <v>56</v>
      </c>
      <c r="AC8128" s="12" t="s">
        <v>35616</v>
      </c>
      <c r="AD8128" s="13">
        <v>41354</v>
      </c>
      <c r="AE8128" s="12" t="s">
        <v>100</v>
      </c>
      <c r="AF8128" s="12" t="s">
        <v>1077</v>
      </c>
      <c r="AG8128" s="12" t="s">
        <v>81</v>
      </c>
      <c r="AH8128" s="1">
        <f>HYPERLINK("https://my.pitchbook.com?c=24657-85T","View Company Online")</f>
      </c>
    </row>
    <row r="8129">
      <c r="A8129" s="3" t="s">
        <v>35617</v>
      </c>
      <c r="B8129" s="3" t="s">
        <v>31312</v>
      </c>
      <c r="C8129" s="5" t="s">
        <v>36</v>
      </c>
      <c r="D8129" s="5" t="s">
        <v>36</v>
      </c>
      <c r="E8129" s="5" t="s">
        <v>36</v>
      </c>
      <c r="F8129" s="5" t="s">
        <v>36</v>
      </c>
      <c r="G8129" s="6" t="s">
        <v>36</v>
      </c>
      <c r="H8129" s="4" t="s">
        <v>36</v>
      </c>
      <c r="I8129" s="7" t="s">
        <v>36</v>
      </c>
      <c r="J8129" s="3" t="s">
        <v>36</v>
      </c>
      <c r="K8129" s="9" t="s">
        <v>36</v>
      </c>
      <c r="L8129" s="6" t="s">
        <v>36</v>
      </c>
      <c r="M8129" s="3" t="s">
        <v>36</v>
      </c>
      <c r="N8129" s="3" t="s">
        <v>36</v>
      </c>
      <c r="O8129" s="8" t="s">
        <v>36</v>
      </c>
      <c r="P8129" s="3" t="s">
        <v>36</v>
      </c>
      <c r="Q8129" s="3" t="s">
        <v>36</v>
      </c>
      <c r="R8129" s="3" t="s">
        <v>36</v>
      </c>
      <c r="S8129" s="3" t="s">
        <v>36</v>
      </c>
      <c r="T8129" s="3" t="s">
        <v>6614</v>
      </c>
      <c r="U8129" s="3" t="s">
        <v>279</v>
      </c>
      <c r="V8129" s="3" t="s">
        <v>64</v>
      </c>
      <c r="W8129" s="3" t="s">
        <v>31313</v>
      </c>
      <c r="X8129" s="10" t="s">
        <v>8971</v>
      </c>
      <c r="Y8129" s="6" t="s">
        <v>192</v>
      </c>
      <c r="Z8129" s="4" t="s">
        <v>36</v>
      </c>
      <c r="AA8129" s="4" t="s">
        <v>36</v>
      </c>
      <c r="AB8129" s="3" t="s">
        <v>56</v>
      </c>
      <c r="AC8129" s="3" t="s">
        <v>31315</v>
      </c>
      <c r="AD8129" s="9">
        <v>41353</v>
      </c>
      <c r="AE8129" s="3" t="s">
        <v>740</v>
      </c>
      <c r="AF8129" s="3" t="s">
        <v>1636</v>
      </c>
      <c r="AG8129" s="3" t="s">
        <v>81</v>
      </c>
      <c r="AH8129" s="11">
        <f>HYPERLINK("https://my.pitchbook.com?c=153628-48T","View Company Online")</f>
      </c>
    </row>
    <row r="8130">
      <c r="A8130" s="12" t="s">
        <v>35618</v>
      </c>
      <c r="B8130" s="12" t="s">
        <v>35619</v>
      </c>
      <c r="C8130" s="19" t="s">
        <v>36</v>
      </c>
      <c r="D8130" s="19" t="s">
        <v>36</v>
      </c>
      <c r="E8130" s="19" t="s">
        <v>36</v>
      </c>
      <c r="F8130" s="19" t="s">
        <v>36</v>
      </c>
      <c r="G8130" s="15" t="s">
        <v>36</v>
      </c>
      <c r="H8130" s="14">
        <v>51.93</v>
      </c>
      <c r="I8130" s="18">
        <v>11.11</v>
      </c>
      <c r="J8130" s="12" t="s">
        <v>521</v>
      </c>
      <c r="K8130" s="13" t="s">
        <v>36</v>
      </c>
      <c r="L8130" s="15" t="s">
        <v>36</v>
      </c>
      <c r="M8130" s="12" t="s">
        <v>36</v>
      </c>
      <c r="N8130" s="12" t="s">
        <v>36</v>
      </c>
      <c r="O8130" s="17" t="s">
        <v>36</v>
      </c>
      <c r="P8130" s="12" t="s">
        <v>36</v>
      </c>
      <c r="Q8130" s="12" t="s">
        <v>36</v>
      </c>
      <c r="R8130" s="12" t="s">
        <v>36</v>
      </c>
      <c r="S8130" s="12" t="s">
        <v>36</v>
      </c>
      <c r="T8130" s="12" t="s">
        <v>35620</v>
      </c>
      <c r="U8130" s="12" t="s">
        <v>74</v>
      </c>
      <c r="V8130" s="12" t="s">
        <v>75</v>
      </c>
      <c r="W8130" s="12" t="s">
        <v>35621</v>
      </c>
      <c r="X8130" s="16" t="s">
        <v>5661</v>
      </c>
      <c r="Y8130" s="15" t="s">
        <v>108</v>
      </c>
      <c r="Z8130" s="14">
        <v>0.07</v>
      </c>
      <c r="AA8130" s="14">
        <v>0.59</v>
      </c>
      <c r="AB8130" s="12" t="s">
        <v>56</v>
      </c>
      <c r="AC8130" s="12" t="s">
        <v>35622</v>
      </c>
      <c r="AD8130" s="13">
        <v>41353</v>
      </c>
      <c r="AE8130" s="12" t="s">
        <v>975</v>
      </c>
      <c r="AF8130" s="12" t="s">
        <v>1969</v>
      </c>
      <c r="AG8130" s="12" t="s">
        <v>35623</v>
      </c>
      <c r="AH8130" s="1">
        <f>HYPERLINK("https://my.pitchbook.com?c=28012-60T","View Company Online")</f>
      </c>
    </row>
    <row r="8131">
      <c r="A8131" s="3" t="s">
        <v>35624</v>
      </c>
      <c r="B8131" s="3" t="s">
        <v>7376</v>
      </c>
      <c r="C8131" s="5" t="s">
        <v>36</v>
      </c>
      <c r="D8131" s="5" t="s">
        <v>36</v>
      </c>
      <c r="E8131" s="5" t="s">
        <v>36</v>
      </c>
      <c r="F8131" s="5" t="s">
        <v>36</v>
      </c>
      <c r="G8131" s="6" t="s">
        <v>326</v>
      </c>
      <c r="H8131" s="4">
        <v>15.58</v>
      </c>
      <c r="I8131" s="7">
        <v>42.77</v>
      </c>
      <c r="J8131" s="3" t="s">
        <v>521</v>
      </c>
      <c r="K8131" s="9" t="s">
        <v>36</v>
      </c>
      <c r="L8131" s="6" t="s">
        <v>36</v>
      </c>
      <c r="M8131" s="3" t="s">
        <v>36</v>
      </c>
      <c r="N8131" s="3" t="s">
        <v>36</v>
      </c>
      <c r="O8131" s="8" t="s">
        <v>36</v>
      </c>
      <c r="P8131" s="3" t="s">
        <v>36</v>
      </c>
      <c r="Q8131" s="3" t="s">
        <v>36</v>
      </c>
      <c r="R8131" s="3" t="s">
        <v>36</v>
      </c>
      <c r="S8131" s="3" t="s">
        <v>36</v>
      </c>
      <c r="T8131" s="3" t="s">
        <v>596</v>
      </c>
      <c r="U8131" s="3" t="s">
        <v>366</v>
      </c>
      <c r="V8131" s="3" t="s">
        <v>367</v>
      </c>
      <c r="W8131" s="3" t="s">
        <v>7377</v>
      </c>
      <c r="X8131" s="10" t="s">
        <v>35625</v>
      </c>
      <c r="Y8131" s="6" t="s">
        <v>55</v>
      </c>
      <c r="Z8131" s="4">
        <v>3.52</v>
      </c>
      <c r="AA8131" s="4">
        <v>5.32</v>
      </c>
      <c r="AB8131" s="3" t="s">
        <v>56</v>
      </c>
      <c r="AC8131" s="3" t="s">
        <v>7378</v>
      </c>
      <c r="AD8131" s="9">
        <v>41353</v>
      </c>
      <c r="AE8131" s="3" t="s">
        <v>600</v>
      </c>
      <c r="AF8131" s="3" t="s">
        <v>7379</v>
      </c>
      <c r="AG8131" s="3" t="s">
        <v>2180</v>
      </c>
      <c r="AH8131" s="11">
        <f>HYPERLINK("https://my.pitchbook.com?c=71005-96T","View Company Online")</f>
      </c>
    </row>
    <row r="8132">
      <c r="A8132" s="12" t="s">
        <v>35626</v>
      </c>
      <c r="B8132" s="12" t="s">
        <v>17703</v>
      </c>
      <c r="C8132" s="19">
        <v>3</v>
      </c>
      <c r="D8132" s="19">
        <v>19</v>
      </c>
      <c r="E8132" s="19">
        <v>6</v>
      </c>
      <c r="F8132" s="19">
        <v>31</v>
      </c>
      <c r="G8132" s="15" t="s">
        <v>326</v>
      </c>
      <c r="H8132" s="14">
        <v>53.98</v>
      </c>
      <c r="I8132" s="18">
        <v>32.91</v>
      </c>
      <c r="J8132" s="12" t="s">
        <v>521</v>
      </c>
      <c r="K8132" s="13" t="s">
        <v>36</v>
      </c>
      <c r="L8132" s="15" t="s">
        <v>36</v>
      </c>
      <c r="M8132" s="12" t="s">
        <v>36</v>
      </c>
      <c r="N8132" s="12" t="s">
        <v>36</v>
      </c>
      <c r="O8132" s="17" t="s">
        <v>36</v>
      </c>
      <c r="P8132" s="12" t="s">
        <v>36</v>
      </c>
      <c r="Q8132" s="12" t="s">
        <v>36</v>
      </c>
      <c r="R8132" s="12" t="s">
        <v>36</v>
      </c>
      <c r="S8132" s="12" t="s">
        <v>36</v>
      </c>
      <c r="T8132" s="12" t="s">
        <v>17704</v>
      </c>
      <c r="U8132" s="12" t="s">
        <v>833</v>
      </c>
      <c r="V8132" s="12" t="s">
        <v>64</v>
      </c>
      <c r="W8132" s="12" t="s">
        <v>17705</v>
      </c>
      <c r="X8132" s="16" t="s">
        <v>35627</v>
      </c>
      <c r="Y8132" s="15" t="s">
        <v>108</v>
      </c>
      <c r="Z8132" s="14">
        <v>3.92</v>
      </c>
      <c r="AA8132" s="14">
        <v>6.75</v>
      </c>
      <c r="AB8132" s="12" t="s">
        <v>43</v>
      </c>
      <c r="AC8132" s="12" t="s">
        <v>17706</v>
      </c>
      <c r="AD8132" s="13">
        <v>41352</v>
      </c>
      <c r="AE8132" s="12" t="s">
        <v>1069</v>
      </c>
      <c r="AF8132" s="12" t="s">
        <v>17707</v>
      </c>
      <c r="AG8132" s="12" t="s">
        <v>14890</v>
      </c>
      <c r="AH8132" s="1">
        <f>HYPERLINK("https://my.pitchbook.com?c=55361-98T","View Company Online")</f>
      </c>
    </row>
    <row r="8133">
      <c r="A8133" s="3" t="s">
        <v>35628</v>
      </c>
      <c r="B8133" s="3" t="s">
        <v>16834</v>
      </c>
      <c r="C8133" s="5" t="s">
        <v>36</v>
      </c>
      <c r="D8133" s="5">
        <v>33</v>
      </c>
      <c r="E8133" s="5">
        <v>14</v>
      </c>
      <c r="F8133" s="5">
        <v>34</v>
      </c>
      <c r="G8133" s="6" t="s">
        <v>36</v>
      </c>
      <c r="H8133" s="4" t="s">
        <v>36</v>
      </c>
      <c r="I8133" s="7" t="s">
        <v>36</v>
      </c>
      <c r="J8133" s="3" t="s">
        <v>36</v>
      </c>
      <c r="K8133" s="9" t="s">
        <v>36</v>
      </c>
      <c r="L8133" s="6" t="s">
        <v>122</v>
      </c>
      <c r="M8133" s="3" t="s">
        <v>36</v>
      </c>
      <c r="N8133" s="3" t="s">
        <v>122</v>
      </c>
      <c r="O8133" s="8" t="s">
        <v>36</v>
      </c>
      <c r="P8133" s="3" t="s">
        <v>36</v>
      </c>
      <c r="Q8133" s="3" t="s">
        <v>36</v>
      </c>
      <c r="R8133" s="3" t="s">
        <v>36</v>
      </c>
      <c r="S8133" s="3" t="s">
        <v>36</v>
      </c>
      <c r="T8133" s="3" t="s">
        <v>596</v>
      </c>
      <c r="U8133" s="3" t="s">
        <v>366</v>
      </c>
      <c r="V8133" s="3" t="s">
        <v>367</v>
      </c>
      <c r="W8133" s="3" t="s">
        <v>16835</v>
      </c>
      <c r="X8133" s="10" t="s">
        <v>35629</v>
      </c>
      <c r="Y8133" s="6" t="s">
        <v>108</v>
      </c>
      <c r="Z8133" s="4">
        <v>1.7</v>
      </c>
      <c r="AA8133" s="4" t="s">
        <v>36</v>
      </c>
      <c r="AB8133" s="3" t="s">
        <v>43</v>
      </c>
      <c r="AC8133" s="3" t="s">
        <v>16837</v>
      </c>
      <c r="AD8133" s="9">
        <v>41351</v>
      </c>
      <c r="AE8133" s="3" t="s">
        <v>600</v>
      </c>
      <c r="AF8133" s="3" t="s">
        <v>7379</v>
      </c>
      <c r="AG8133" s="3" t="s">
        <v>16838</v>
      </c>
      <c r="AH8133" s="11">
        <f>HYPERLINK("https://my.pitchbook.com?c=29228-05T","View Company Online")</f>
      </c>
    </row>
    <row r="8134">
      <c r="A8134" s="12" t="s">
        <v>35630</v>
      </c>
      <c r="B8134" s="12" t="s">
        <v>35631</v>
      </c>
      <c r="C8134" s="19" t="s">
        <v>36</v>
      </c>
      <c r="D8134" s="19" t="s">
        <v>36</v>
      </c>
      <c r="E8134" s="19" t="s">
        <v>36</v>
      </c>
      <c r="F8134" s="19" t="s">
        <v>36</v>
      </c>
      <c r="G8134" s="15" t="s">
        <v>36</v>
      </c>
      <c r="H8134" s="14" t="s">
        <v>36</v>
      </c>
      <c r="I8134" s="18" t="s">
        <v>36</v>
      </c>
      <c r="J8134" s="12" t="s">
        <v>36</v>
      </c>
      <c r="K8134" s="13" t="s">
        <v>36</v>
      </c>
      <c r="L8134" s="15" t="s">
        <v>36</v>
      </c>
      <c r="M8134" s="12" t="s">
        <v>36</v>
      </c>
      <c r="N8134" s="12" t="s">
        <v>36</v>
      </c>
      <c r="O8134" s="17" t="s">
        <v>36</v>
      </c>
      <c r="P8134" s="12" t="s">
        <v>36</v>
      </c>
      <c r="Q8134" s="12" t="s">
        <v>36</v>
      </c>
      <c r="R8134" s="12" t="s">
        <v>36</v>
      </c>
      <c r="S8134" s="12" t="s">
        <v>36</v>
      </c>
      <c r="T8134" s="12" t="s">
        <v>1162</v>
      </c>
      <c r="U8134" s="12" t="s">
        <v>423</v>
      </c>
      <c r="V8134" s="12" t="s">
        <v>64</v>
      </c>
      <c r="W8134" s="12" t="s">
        <v>35632</v>
      </c>
      <c r="X8134" s="16" t="s">
        <v>2130</v>
      </c>
      <c r="Y8134" s="15" t="s">
        <v>42</v>
      </c>
      <c r="Z8134" s="14">
        <v>0.79</v>
      </c>
      <c r="AA8134" s="14" t="s">
        <v>36</v>
      </c>
      <c r="AB8134" s="12" t="s">
        <v>43</v>
      </c>
      <c r="AC8134" s="12" t="s">
        <v>35633</v>
      </c>
      <c r="AD8134" s="13">
        <v>41348</v>
      </c>
      <c r="AE8134" s="12" t="s">
        <v>562</v>
      </c>
      <c r="AF8134" s="12" t="s">
        <v>36</v>
      </c>
      <c r="AG8134" s="12" t="s">
        <v>81</v>
      </c>
      <c r="AH8134" s="1">
        <f>HYPERLINK("https://my.pitchbook.com?c=121249-81T","View Company Online")</f>
      </c>
    </row>
    <row r="8135">
      <c r="A8135" s="3" t="s">
        <v>35634</v>
      </c>
      <c r="B8135" s="3" t="s">
        <v>32857</v>
      </c>
      <c r="C8135" s="5" t="s">
        <v>36</v>
      </c>
      <c r="D8135" s="5" t="s">
        <v>36</v>
      </c>
      <c r="E8135" s="5">
        <v>1</v>
      </c>
      <c r="F8135" s="5">
        <v>3</v>
      </c>
      <c r="G8135" s="6" t="s">
        <v>36</v>
      </c>
      <c r="H8135" s="4" t="s">
        <v>36</v>
      </c>
      <c r="I8135" s="7" t="s">
        <v>36</v>
      </c>
      <c r="J8135" s="3" t="s">
        <v>36</v>
      </c>
      <c r="K8135" s="9" t="s">
        <v>36</v>
      </c>
      <c r="L8135" s="6" t="s">
        <v>36</v>
      </c>
      <c r="M8135" s="3" t="s">
        <v>36</v>
      </c>
      <c r="N8135" s="3" t="s">
        <v>36</v>
      </c>
      <c r="O8135" s="8" t="s">
        <v>36</v>
      </c>
      <c r="P8135" s="3" t="s">
        <v>36</v>
      </c>
      <c r="Q8135" s="3" t="s">
        <v>36</v>
      </c>
      <c r="R8135" s="3" t="s">
        <v>36</v>
      </c>
      <c r="S8135" s="3" t="s">
        <v>16636</v>
      </c>
      <c r="T8135" s="3" t="s">
        <v>29297</v>
      </c>
      <c r="U8135" s="3" t="s">
        <v>51</v>
      </c>
      <c r="V8135" s="3" t="s">
        <v>52</v>
      </c>
      <c r="W8135" s="3" t="s">
        <v>32858</v>
      </c>
      <c r="X8135" s="10" t="s">
        <v>35635</v>
      </c>
      <c r="Y8135" s="6" t="s">
        <v>108</v>
      </c>
      <c r="Z8135" s="4" t="s">
        <v>36</v>
      </c>
      <c r="AA8135" s="4" t="s">
        <v>36</v>
      </c>
      <c r="AB8135" s="3" t="s">
        <v>43</v>
      </c>
      <c r="AC8135" s="3" t="s">
        <v>32860</v>
      </c>
      <c r="AD8135" s="9">
        <v>41339</v>
      </c>
      <c r="AE8135" s="3" t="s">
        <v>158</v>
      </c>
      <c r="AF8135" s="3" t="s">
        <v>159</v>
      </c>
      <c r="AG8135" s="3" t="s">
        <v>2450</v>
      </c>
      <c r="AH8135" s="11">
        <f>HYPERLINK("https://my.pitchbook.com?c=40747-87T","View Company Online")</f>
      </c>
    </row>
    <row r="8136">
      <c r="A8136" s="12" t="s">
        <v>35636</v>
      </c>
      <c r="B8136" s="12" t="s">
        <v>35637</v>
      </c>
      <c r="C8136" s="19">
        <v>1</v>
      </c>
      <c r="D8136" s="19">
        <v>4</v>
      </c>
      <c r="E8136" s="19">
        <v>1</v>
      </c>
      <c r="F8136" s="19">
        <v>5</v>
      </c>
      <c r="G8136" s="15" t="s">
        <v>36</v>
      </c>
      <c r="H8136" s="14" t="s">
        <v>36</v>
      </c>
      <c r="I8136" s="18" t="s">
        <v>36</v>
      </c>
      <c r="J8136" s="12" t="s">
        <v>36</v>
      </c>
      <c r="K8136" s="13" t="s">
        <v>36</v>
      </c>
      <c r="L8136" s="15" t="s">
        <v>36</v>
      </c>
      <c r="M8136" s="12" t="s">
        <v>36</v>
      </c>
      <c r="N8136" s="12" t="s">
        <v>36</v>
      </c>
      <c r="O8136" s="17" t="s">
        <v>36</v>
      </c>
      <c r="P8136" s="12" t="s">
        <v>36</v>
      </c>
      <c r="Q8136" s="12" t="s">
        <v>36</v>
      </c>
      <c r="R8136" s="12" t="s">
        <v>36</v>
      </c>
      <c r="S8136" s="12" t="s">
        <v>36</v>
      </c>
      <c r="T8136" s="12" t="s">
        <v>35638</v>
      </c>
      <c r="U8136" s="12" t="s">
        <v>1580</v>
      </c>
      <c r="V8136" s="12" t="s">
        <v>39</v>
      </c>
      <c r="W8136" s="12" t="s">
        <v>35639</v>
      </c>
      <c r="X8136" s="16" t="s">
        <v>17328</v>
      </c>
      <c r="Y8136" s="15" t="s">
        <v>108</v>
      </c>
      <c r="Z8136" s="14">
        <v>0.8</v>
      </c>
      <c r="AA8136" s="14" t="s">
        <v>36</v>
      </c>
      <c r="AB8136" s="12" t="s">
        <v>43</v>
      </c>
      <c r="AC8136" s="12" t="s">
        <v>35640</v>
      </c>
      <c r="AD8136" s="13">
        <v>41338</v>
      </c>
      <c r="AE8136" s="12" t="s">
        <v>4086</v>
      </c>
      <c r="AF8136" s="12" t="s">
        <v>24285</v>
      </c>
      <c r="AG8136" s="12" t="s">
        <v>8217</v>
      </c>
      <c r="AH8136" s="1">
        <f>HYPERLINK("https://my.pitchbook.com?c=29251-18T","View Company Online")</f>
      </c>
    </row>
    <row r="8137">
      <c r="A8137" s="3" t="s">
        <v>35641</v>
      </c>
      <c r="B8137" s="3" t="s">
        <v>8467</v>
      </c>
      <c r="C8137" s="5">
        <v>7</v>
      </c>
      <c r="D8137" s="5">
        <v>67</v>
      </c>
      <c r="E8137" s="5">
        <v>15</v>
      </c>
      <c r="F8137" s="5">
        <v>81</v>
      </c>
      <c r="G8137" s="6" t="s">
        <v>326</v>
      </c>
      <c r="H8137" s="4">
        <v>48.66</v>
      </c>
      <c r="I8137" s="7">
        <v>24</v>
      </c>
      <c r="J8137" s="3" t="s">
        <v>521</v>
      </c>
      <c r="K8137" s="9" t="s">
        <v>36</v>
      </c>
      <c r="L8137" s="6" t="s">
        <v>36</v>
      </c>
      <c r="M8137" s="3" t="s">
        <v>36</v>
      </c>
      <c r="N8137" s="3" t="s">
        <v>36</v>
      </c>
      <c r="O8137" s="8" t="s">
        <v>36</v>
      </c>
      <c r="P8137" s="3" t="s">
        <v>36</v>
      </c>
      <c r="Q8137" s="3" t="s">
        <v>36</v>
      </c>
      <c r="R8137" s="3" t="s">
        <v>36</v>
      </c>
      <c r="S8137" s="3" t="s">
        <v>36</v>
      </c>
      <c r="T8137" s="3" t="s">
        <v>927</v>
      </c>
      <c r="U8137" s="3" t="s">
        <v>219</v>
      </c>
      <c r="V8137" s="3" t="s">
        <v>75</v>
      </c>
      <c r="W8137" s="3" t="s">
        <v>8468</v>
      </c>
      <c r="X8137" s="10" t="s">
        <v>35642</v>
      </c>
      <c r="Y8137" s="6" t="s">
        <v>42</v>
      </c>
      <c r="Z8137" s="4">
        <v>1.93</v>
      </c>
      <c r="AA8137" s="4">
        <v>8.03</v>
      </c>
      <c r="AB8137" s="3" t="s">
        <v>43</v>
      </c>
      <c r="AC8137" s="3" t="s">
        <v>8470</v>
      </c>
      <c r="AD8137" s="9">
        <v>41337</v>
      </c>
      <c r="AE8137" s="3" t="s">
        <v>243</v>
      </c>
      <c r="AF8137" s="3" t="s">
        <v>571</v>
      </c>
      <c r="AG8137" s="3" t="s">
        <v>81</v>
      </c>
      <c r="AH8137" s="11">
        <f>HYPERLINK("https://my.pitchbook.com?c=125640-55T","View Company Online")</f>
      </c>
    </row>
    <row r="8138">
      <c r="A8138" s="12" t="s">
        <v>35643</v>
      </c>
      <c r="B8138" s="12" t="s">
        <v>35644</v>
      </c>
      <c r="C8138" s="19" t="s">
        <v>36</v>
      </c>
      <c r="D8138" s="19" t="s">
        <v>36</v>
      </c>
      <c r="E8138" s="19" t="s">
        <v>36</v>
      </c>
      <c r="F8138" s="19" t="s">
        <v>36</v>
      </c>
      <c r="G8138" s="15" t="s">
        <v>36</v>
      </c>
      <c r="H8138" s="14">
        <v>57.12</v>
      </c>
      <c r="I8138" s="18">
        <v>45.45</v>
      </c>
      <c r="J8138" s="12" t="s">
        <v>521</v>
      </c>
      <c r="K8138" s="13" t="s">
        <v>36</v>
      </c>
      <c r="L8138" s="15" t="s">
        <v>36</v>
      </c>
      <c r="M8138" s="12" t="s">
        <v>36</v>
      </c>
      <c r="N8138" s="12" t="s">
        <v>36</v>
      </c>
      <c r="O8138" s="17" t="s">
        <v>36</v>
      </c>
      <c r="P8138" s="12" t="s">
        <v>36</v>
      </c>
      <c r="Q8138" s="12" t="s">
        <v>36</v>
      </c>
      <c r="R8138" s="12" t="s">
        <v>36</v>
      </c>
      <c r="S8138" s="12" t="s">
        <v>36</v>
      </c>
      <c r="T8138" s="12" t="s">
        <v>6647</v>
      </c>
      <c r="U8138" s="12" t="s">
        <v>233</v>
      </c>
      <c r="V8138" s="12" t="s">
        <v>39</v>
      </c>
      <c r="W8138" s="12" t="s">
        <v>35645</v>
      </c>
      <c r="X8138" s="16" t="s">
        <v>35646</v>
      </c>
      <c r="Y8138" s="15" t="s">
        <v>42</v>
      </c>
      <c r="Z8138" s="14">
        <v>4.65</v>
      </c>
      <c r="AA8138" s="14">
        <v>7.31</v>
      </c>
      <c r="AB8138" s="12" t="s">
        <v>56</v>
      </c>
      <c r="AC8138" s="12" t="s">
        <v>35647</v>
      </c>
      <c r="AD8138" s="13">
        <v>41337</v>
      </c>
      <c r="AE8138" s="12" t="s">
        <v>236</v>
      </c>
      <c r="AF8138" s="12" t="s">
        <v>36</v>
      </c>
      <c r="AG8138" s="12" t="s">
        <v>81</v>
      </c>
      <c r="AH8138" s="1">
        <f>HYPERLINK("https://my.pitchbook.com?c=36347-59T","View Company Online")</f>
      </c>
    </row>
    <row r="8139">
      <c r="A8139" s="3" t="s">
        <v>35648</v>
      </c>
      <c r="B8139" s="3" t="s">
        <v>35649</v>
      </c>
      <c r="C8139" s="5" t="s">
        <v>36</v>
      </c>
      <c r="D8139" s="5" t="s">
        <v>36</v>
      </c>
      <c r="E8139" s="5" t="s">
        <v>36</v>
      </c>
      <c r="F8139" s="5" t="s">
        <v>36</v>
      </c>
      <c r="G8139" s="6" t="s">
        <v>36</v>
      </c>
      <c r="H8139" s="4" t="s">
        <v>36</v>
      </c>
      <c r="I8139" s="7" t="s">
        <v>36</v>
      </c>
      <c r="J8139" s="3" t="s">
        <v>36</v>
      </c>
      <c r="K8139" s="9" t="s">
        <v>36</v>
      </c>
      <c r="L8139" s="6" t="s">
        <v>36</v>
      </c>
      <c r="M8139" s="3" t="s">
        <v>36</v>
      </c>
      <c r="N8139" s="3" t="s">
        <v>36</v>
      </c>
      <c r="O8139" s="8" t="s">
        <v>36</v>
      </c>
      <c r="P8139" s="3" t="s">
        <v>36</v>
      </c>
      <c r="Q8139" s="3" t="s">
        <v>36</v>
      </c>
      <c r="R8139" s="3" t="s">
        <v>36</v>
      </c>
      <c r="S8139" s="3" t="s">
        <v>36</v>
      </c>
      <c r="T8139" s="3" t="s">
        <v>26736</v>
      </c>
      <c r="U8139" s="3" t="s">
        <v>289</v>
      </c>
      <c r="V8139" s="3" t="s">
        <v>64</v>
      </c>
      <c r="W8139" s="3" t="s">
        <v>35650</v>
      </c>
      <c r="X8139" s="10" t="s">
        <v>35024</v>
      </c>
      <c r="Y8139" s="6" t="s">
        <v>42</v>
      </c>
      <c r="Z8139" s="4">
        <v>0.67</v>
      </c>
      <c r="AA8139" s="4" t="s">
        <v>36</v>
      </c>
      <c r="AB8139" s="3" t="s">
        <v>43</v>
      </c>
      <c r="AC8139" s="3" t="s">
        <v>35651</v>
      </c>
      <c r="AD8139" s="9">
        <v>41335</v>
      </c>
      <c r="AE8139" s="3" t="s">
        <v>292</v>
      </c>
      <c r="AF8139" s="3" t="s">
        <v>90</v>
      </c>
      <c r="AG8139" s="3" t="s">
        <v>13897</v>
      </c>
      <c r="AH8139" s="11">
        <f>HYPERLINK("https://my.pitchbook.com?c=128130-40T","View Company Online")</f>
      </c>
    </row>
    <row r="8140">
      <c r="A8140" s="12" t="s">
        <v>35652</v>
      </c>
      <c r="B8140" s="12" t="s">
        <v>35653</v>
      </c>
      <c r="C8140" s="19" t="s">
        <v>36</v>
      </c>
      <c r="D8140" s="19" t="s">
        <v>36</v>
      </c>
      <c r="E8140" s="19" t="s">
        <v>36</v>
      </c>
      <c r="F8140" s="19" t="s">
        <v>36</v>
      </c>
      <c r="G8140" s="15" t="s">
        <v>36</v>
      </c>
      <c r="H8140" s="14" t="s">
        <v>36</v>
      </c>
      <c r="I8140" s="18" t="s">
        <v>36</v>
      </c>
      <c r="J8140" s="12" t="s">
        <v>36</v>
      </c>
      <c r="K8140" s="13" t="s">
        <v>36</v>
      </c>
      <c r="L8140" s="15" t="s">
        <v>36</v>
      </c>
      <c r="M8140" s="12" t="s">
        <v>36</v>
      </c>
      <c r="N8140" s="12" t="s">
        <v>36</v>
      </c>
      <c r="O8140" s="17" t="s">
        <v>36</v>
      </c>
      <c r="P8140" s="12" t="s">
        <v>36</v>
      </c>
      <c r="Q8140" s="12" t="s">
        <v>36</v>
      </c>
      <c r="R8140" s="12" t="s">
        <v>36</v>
      </c>
      <c r="S8140" s="12" t="s">
        <v>36</v>
      </c>
      <c r="T8140" s="12" t="s">
        <v>35654</v>
      </c>
      <c r="U8140" s="12" t="s">
        <v>233</v>
      </c>
      <c r="V8140" s="12" t="s">
        <v>39</v>
      </c>
      <c r="W8140" s="12" t="s">
        <v>35655</v>
      </c>
      <c r="X8140" s="16" t="s">
        <v>35656</v>
      </c>
      <c r="Y8140" s="15" t="s">
        <v>42</v>
      </c>
      <c r="Z8140" s="14">
        <v>8.68</v>
      </c>
      <c r="AA8140" s="14" t="s">
        <v>36</v>
      </c>
      <c r="AB8140" s="12" t="s">
        <v>56</v>
      </c>
      <c r="AC8140" s="12" t="s">
        <v>35657</v>
      </c>
      <c r="AD8140" s="13">
        <v>41334</v>
      </c>
      <c r="AE8140" s="12" t="s">
        <v>12061</v>
      </c>
      <c r="AF8140" s="12" t="s">
        <v>4552</v>
      </c>
      <c r="AG8140" s="12" t="s">
        <v>8217</v>
      </c>
      <c r="AH8140" s="1">
        <f>HYPERLINK("https://my.pitchbook.com?c=25550-11T","View Company Online")</f>
      </c>
    </row>
    <row r="8141">
      <c r="A8141" s="3" t="s">
        <v>35658</v>
      </c>
      <c r="B8141" s="3" t="s">
        <v>4472</v>
      </c>
      <c r="C8141" s="5">
        <v>1</v>
      </c>
      <c r="D8141" s="5">
        <v>22</v>
      </c>
      <c r="E8141" s="5">
        <v>8</v>
      </c>
      <c r="F8141" s="5">
        <v>26</v>
      </c>
      <c r="G8141" s="6" t="s">
        <v>36</v>
      </c>
      <c r="H8141" s="4">
        <v>9.97</v>
      </c>
      <c r="I8141" s="7">
        <v>46.06</v>
      </c>
      <c r="J8141" s="3" t="s">
        <v>521</v>
      </c>
      <c r="K8141" s="9" t="s">
        <v>36</v>
      </c>
      <c r="L8141" s="6" t="s">
        <v>36</v>
      </c>
      <c r="M8141" s="3" t="s">
        <v>36</v>
      </c>
      <c r="N8141" s="3" t="s">
        <v>36</v>
      </c>
      <c r="O8141" s="8" t="s">
        <v>36</v>
      </c>
      <c r="P8141" s="3" t="s">
        <v>36</v>
      </c>
      <c r="Q8141" s="3" t="s">
        <v>36</v>
      </c>
      <c r="R8141" s="3" t="s">
        <v>36</v>
      </c>
      <c r="S8141" s="3" t="s">
        <v>36</v>
      </c>
      <c r="T8141" s="3" t="s">
        <v>4473</v>
      </c>
      <c r="U8141" s="3" t="s">
        <v>318</v>
      </c>
      <c r="V8141" s="3" t="s">
        <v>39</v>
      </c>
      <c r="W8141" s="3" t="s">
        <v>4474</v>
      </c>
      <c r="X8141" s="10" t="s">
        <v>35659</v>
      </c>
      <c r="Y8141" s="6" t="s">
        <v>108</v>
      </c>
      <c r="Z8141" s="4">
        <v>3.34</v>
      </c>
      <c r="AA8141" s="4">
        <v>7.24</v>
      </c>
      <c r="AB8141" s="3" t="s">
        <v>56</v>
      </c>
      <c r="AC8141" s="3" t="s">
        <v>4476</v>
      </c>
      <c r="AD8141" s="9">
        <v>41334</v>
      </c>
      <c r="AE8141" s="3" t="s">
        <v>417</v>
      </c>
      <c r="AF8141" s="3" t="s">
        <v>4477</v>
      </c>
      <c r="AG8141" s="3" t="s">
        <v>765</v>
      </c>
      <c r="AH8141" s="11">
        <f>HYPERLINK("https://my.pitchbook.com?c=25413-49T","View Company Online")</f>
      </c>
    </row>
    <row r="8142">
      <c r="A8142" s="12" t="s">
        <v>35660</v>
      </c>
      <c r="B8142" s="12" t="s">
        <v>35661</v>
      </c>
      <c r="C8142" s="19" t="s">
        <v>36</v>
      </c>
      <c r="D8142" s="19">
        <v>13</v>
      </c>
      <c r="E8142" s="19">
        <v>11</v>
      </c>
      <c r="F8142" s="19">
        <v>13</v>
      </c>
      <c r="G8142" s="15" t="s">
        <v>683</v>
      </c>
      <c r="H8142" s="14">
        <v>581.6</v>
      </c>
      <c r="I8142" s="18">
        <v>5.91</v>
      </c>
      <c r="J8142" s="12" t="s">
        <v>521</v>
      </c>
      <c r="K8142" s="13" t="s">
        <v>36</v>
      </c>
      <c r="L8142" s="15" t="s">
        <v>36</v>
      </c>
      <c r="M8142" s="12" t="s">
        <v>36</v>
      </c>
      <c r="N8142" s="12" t="s">
        <v>36</v>
      </c>
      <c r="O8142" s="17" t="s">
        <v>36</v>
      </c>
      <c r="P8142" s="12" t="s">
        <v>36</v>
      </c>
      <c r="Q8142" s="12" t="s">
        <v>36</v>
      </c>
      <c r="R8142" s="12" t="s">
        <v>36</v>
      </c>
      <c r="S8142" s="12" t="s">
        <v>36</v>
      </c>
      <c r="T8142" s="12" t="s">
        <v>2255</v>
      </c>
      <c r="U8142" s="12" t="s">
        <v>833</v>
      </c>
      <c r="V8142" s="12" t="s">
        <v>64</v>
      </c>
      <c r="W8142" s="12" t="s">
        <v>35662</v>
      </c>
      <c r="X8142" s="16" t="s">
        <v>35549</v>
      </c>
      <c r="Y8142" s="15" t="s">
        <v>108</v>
      </c>
      <c r="Z8142" s="14">
        <v>0.33</v>
      </c>
      <c r="AA8142" s="14">
        <v>5.65</v>
      </c>
      <c r="AB8142" s="12" t="s">
        <v>43</v>
      </c>
      <c r="AC8142" s="12" t="s">
        <v>35663</v>
      </c>
      <c r="AD8142" s="13">
        <v>41333</v>
      </c>
      <c r="AE8142" s="12" t="s">
        <v>1769</v>
      </c>
      <c r="AF8142" s="12" t="s">
        <v>571</v>
      </c>
      <c r="AG8142" s="12" t="s">
        <v>373</v>
      </c>
      <c r="AH8142" s="1">
        <f>HYPERLINK("https://my.pitchbook.com?c=26759-62T","View Company Online")</f>
      </c>
    </row>
    <row r="8143">
      <c r="A8143" s="3" t="s">
        <v>35664</v>
      </c>
      <c r="B8143" s="3" t="s">
        <v>35665</v>
      </c>
      <c r="C8143" s="5" t="s">
        <v>36</v>
      </c>
      <c r="D8143" s="5" t="s">
        <v>36</v>
      </c>
      <c r="E8143" s="5" t="s">
        <v>36</v>
      </c>
      <c r="F8143" s="5" t="s">
        <v>36</v>
      </c>
      <c r="G8143" s="6" t="s">
        <v>36</v>
      </c>
      <c r="H8143" s="4" t="s">
        <v>36</v>
      </c>
      <c r="I8143" s="7" t="s">
        <v>36</v>
      </c>
      <c r="J8143" s="3" t="s">
        <v>36</v>
      </c>
      <c r="K8143" s="9" t="s">
        <v>36</v>
      </c>
      <c r="L8143" s="6" t="s">
        <v>36</v>
      </c>
      <c r="M8143" s="3" t="s">
        <v>36</v>
      </c>
      <c r="N8143" s="3" t="s">
        <v>36</v>
      </c>
      <c r="O8143" s="8" t="s">
        <v>36</v>
      </c>
      <c r="P8143" s="3" t="s">
        <v>36</v>
      </c>
      <c r="Q8143" s="3" t="s">
        <v>36</v>
      </c>
      <c r="R8143" s="3" t="s">
        <v>36</v>
      </c>
      <c r="S8143" s="3" t="s">
        <v>36</v>
      </c>
      <c r="T8143" s="3" t="s">
        <v>464</v>
      </c>
      <c r="U8143" s="3" t="s">
        <v>38</v>
      </c>
      <c r="V8143" s="3" t="s">
        <v>39</v>
      </c>
      <c r="W8143" s="3" t="s">
        <v>35666</v>
      </c>
      <c r="X8143" s="10" t="s">
        <v>35667</v>
      </c>
      <c r="Y8143" s="6" t="s">
        <v>42</v>
      </c>
      <c r="Z8143" s="4">
        <v>0.47</v>
      </c>
      <c r="AA8143" s="4" t="s">
        <v>36</v>
      </c>
      <c r="AB8143" s="3" t="s">
        <v>56</v>
      </c>
      <c r="AC8143" s="3" t="s">
        <v>35668</v>
      </c>
      <c r="AD8143" s="9">
        <v>41333</v>
      </c>
      <c r="AE8143" s="3" t="s">
        <v>110</v>
      </c>
      <c r="AF8143" s="3" t="s">
        <v>468</v>
      </c>
      <c r="AG8143" s="3" t="s">
        <v>969</v>
      </c>
      <c r="AH8143" s="11">
        <f>HYPERLINK("https://my.pitchbook.com?c=53221-96T","View Company Online")</f>
      </c>
    </row>
    <row r="8144">
      <c r="A8144" s="12" t="s">
        <v>35669</v>
      </c>
      <c r="B8144" s="12" t="s">
        <v>22249</v>
      </c>
      <c r="C8144" s="19" t="s">
        <v>36</v>
      </c>
      <c r="D8144" s="19">
        <v>7</v>
      </c>
      <c r="E8144" s="19">
        <v>3</v>
      </c>
      <c r="F8144" s="19">
        <v>10</v>
      </c>
      <c r="G8144" s="15" t="s">
        <v>36</v>
      </c>
      <c r="H8144" s="14">
        <v>285.61</v>
      </c>
      <c r="I8144" s="18">
        <v>40</v>
      </c>
      <c r="J8144" s="12" t="s">
        <v>521</v>
      </c>
      <c r="K8144" s="13" t="s">
        <v>36</v>
      </c>
      <c r="L8144" s="15" t="s">
        <v>36</v>
      </c>
      <c r="M8144" s="12" t="s">
        <v>36</v>
      </c>
      <c r="N8144" s="12" t="s">
        <v>36</v>
      </c>
      <c r="O8144" s="17" t="s">
        <v>36</v>
      </c>
      <c r="P8144" s="12" t="s">
        <v>36</v>
      </c>
      <c r="Q8144" s="12" t="s">
        <v>36</v>
      </c>
      <c r="R8144" s="12" t="s">
        <v>36</v>
      </c>
      <c r="S8144" s="12" t="s">
        <v>36</v>
      </c>
      <c r="T8144" s="12" t="s">
        <v>1863</v>
      </c>
      <c r="U8144" s="12" t="s">
        <v>96</v>
      </c>
      <c r="V8144" s="12" t="s">
        <v>52</v>
      </c>
      <c r="W8144" s="12" t="s">
        <v>22250</v>
      </c>
      <c r="X8144" s="16" t="s">
        <v>18485</v>
      </c>
      <c r="Y8144" s="15" t="s">
        <v>42</v>
      </c>
      <c r="Z8144" s="14">
        <v>0.74</v>
      </c>
      <c r="AA8144" s="14">
        <v>1.84</v>
      </c>
      <c r="AB8144" s="12" t="s">
        <v>43</v>
      </c>
      <c r="AC8144" s="12" t="s">
        <v>22252</v>
      </c>
      <c r="AD8144" s="13">
        <v>41330</v>
      </c>
      <c r="AE8144" s="12" t="s">
        <v>1414</v>
      </c>
      <c r="AF8144" s="12" t="s">
        <v>571</v>
      </c>
      <c r="AG8144" s="12" t="s">
        <v>22253</v>
      </c>
      <c r="AH8144" s="1">
        <f>HYPERLINK("https://my.pitchbook.com?c=40742-92T","View Company Online")</f>
      </c>
    </row>
    <row r="8145">
      <c r="A8145" s="3" t="s">
        <v>35670</v>
      </c>
      <c r="B8145" s="3" t="s">
        <v>35671</v>
      </c>
      <c r="C8145" s="5" t="s">
        <v>36</v>
      </c>
      <c r="D8145" s="5" t="s">
        <v>36</v>
      </c>
      <c r="E8145" s="5" t="s">
        <v>36</v>
      </c>
      <c r="F8145" s="5" t="s">
        <v>36</v>
      </c>
      <c r="G8145" s="6" t="s">
        <v>36</v>
      </c>
      <c r="H8145" s="4" t="s">
        <v>36</v>
      </c>
      <c r="I8145" s="7" t="s">
        <v>36</v>
      </c>
      <c r="J8145" s="3" t="s">
        <v>36</v>
      </c>
      <c r="K8145" s="9" t="s">
        <v>36</v>
      </c>
      <c r="L8145" s="6" t="s">
        <v>36</v>
      </c>
      <c r="M8145" s="3" t="s">
        <v>36</v>
      </c>
      <c r="N8145" s="3" t="s">
        <v>36</v>
      </c>
      <c r="O8145" s="8" t="s">
        <v>36</v>
      </c>
      <c r="P8145" s="3" t="s">
        <v>36</v>
      </c>
      <c r="Q8145" s="3" t="s">
        <v>36</v>
      </c>
      <c r="R8145" s="3" t="s">
        <v>36</v>
      </c>
      <c r="S8145" s="3" t="s">
        <v>36</v>
      </c>
      <c r="T8145" s="3" t="s">
        <v>29193</v>
      </c>
      <c r="U8145" s="3" t="s">
        <v>219</v>
      </c>
      <c r="V8145" s="3" t="s">
        <v>75</v>
      </c>
      <c r="W8145" s="3" t="s">
        <v>35672</v>
      </c>
      <c r="X8145" s="10" t="s">
        <v>35673</v>
      </c>
      <c r="Y8145" s="6" t="s">
        <v>108</v>
      </c>
      <c r="Z8145" s="4">
        <v>0.86</v>
      </c>
      <c r="AA8145" s="4" t="s">
        <v>36</v>
      </c>
      <c r="AB8145" s="3" t="s">
        <v>56</v>
      </c>
      <c r="AC8145" s="3" t="s">
        <v>35674</v>
      </c>
      <c r="AD8145" s="9">
        <v>41330</v>
      </c>
      <c r="AE8145" s="3" t="s">
        <v>2914</v>
      </c>
      <c r="AF8145" s="3" t="s">
        <v>8789</v>
      </c>
      <c r="AG8145" s="3" t="s">
        <v>1843</v>
      </c>
      <c r="AH8145" s="11">
        <f>HYPERLINK("https://my.pitchbook.com?c=33850-09T","View Company Online")</f>
      </c>
    </row>
    <row r="8146">
      <c r="A8146" s="12" t="s">
        <v>35675</v>
      </c>
      <c r="B8146" s="12" t="s">
        <v>35676</v>
      </c>
      <c r="C8146" s="19" t="s">
        <v>36</v>
      </c>
      <c r="D8146" s="19" t="s">
        <v>36</v>
      </c>
      <c r="E8146" s="19" t="s">
        <v>36</v>
      </c>
      <c r="F8146" s="19" t="s">
        <v>36</v>
      </c>
      <c r="G8146" s="15" t="s">
        <v>36</v>
      </c>
      <c r="H8146" s="14">
        <v>34.44</v>
      </c>
      <c r="I8146" s="18">
        <v>28.41</v>
      </c>
      <c r="J8146" s="12" t="s">
        <v>521</v>
      </c>
      <c r="K8146" s="13" t="s">
        <v>36</v>
      </c>
      <c r="L8146" s="15" t="s">
        <v>36</v>
      </c>
      <c r="M8146" s="12" t="s">
        <v>36</v>
      </c>
      <c r="N8146" s="12" t="s">
        <v>36</v>
      </c>
      <c r="O8146" s="17" t="s">
        <v>36</v>
      </c>
      <c r="P8146" s="12" t="s">
        <v>36</v>
      </c>
      <c r="Q8146" s="12" t="s">
        <v>36</v>
      </c>
      <c r="R8146" s="12" t="s">
        <v>36</v>
      </c>
      <c r="S8146" s="12" t="s">
        <v>36</v>
      </c>
      <c r="T8146" s="12" t="s">
        <v>35677</v>
      </c>
      <c r="U8146" s="12" t="s">
        <v>318</v>
      </c>
      <c r="V8146" s="12" t="s">
        <v>39</v>
      </c>
      <c r="W8146" s="12" t="s">
        <v>35678</v>
      </c>
      <c r="X8146" s="16" t="s">
        <v>35679</v>
      </c>
      <c r="Y8146" s="15" t="s">
        <v>42</v>
      </c>
      <c r="Z8146" s="14">
        <v>1.34</v>
      </c>
      <c r="AA8146" s="14">
        <v>2.36</v>
      </c>
      <c r="AB8146" s="12" t="s">
        <v>56</v>
      </c>
      <c r="AC8146" s="12" t="s">
        <v>35680</v>
      </c>
      <c r="AD8146" s="13">
        <v>41327</v>
      </c>
      <c r="AE8146" s="12" t="s">
        <v>763</v>
      </c>
      <c r="AF8146" s="12" t="s">
        <v>10379</v>
      </c>
      <c r="AG8146" s="12" t="s">
        <v>1078</v>
      </c>
      <c r="AH8146" s="1">
        <f>HYPERLINK("https://my.pitchbook.com?c=29563-66T","View Company Online")</f>
      </c>
    </row>
    <row r="8147">
      <c r="A8147" s="3" t="s">
        <v>35681</v>
      </c>
      <c r="B8147" s="3" t="s">
        <v>35682</v>
      </c>
      <c r="C8147" s="5">
        <v>1</v>
      </c>
      <c r="D8147" s="5">
        <v>2</v>
      </c>
      <c r="E8147" s="5">
        <v>1</v>
      </c>
      <c r="F8147" s="5">
        <v>3</v>
      </c>
      <c r="G8147" s="6" t="s">
        <v>36</v>
      </c>
      <c r="H8147" s="4">
        <v>24.33</v>
      </c>
      <c r="I8147" s="7">
        <v>47.29</v>
      </c>
      <c r="J8147" s="3" t="s">
        <v>521</v>
      </c>
      <c r="K8147" s="9">
        <v>41304</v>
      </c>
      <c r="L8147" s="6" t="s">
        <v>36</v>
      </c>
      <c r="M8147" s="3" t="s">
        <v>36</v>
      </c>
      <c r="N8147" s="3" t="s">
        <v>36</v>
      </c>
      <c r="O8147" s="8" t="s">
        <v>36</v>
      </c>
      <c r="P8147" s="3" t="s">
        <v>36</v>
      </c>
      <c r="Q8147" s="3" t="s">
        <v>36</v>
      </c>
      <c r="R8147" s="3" t="s">
        <v>36</v>
      </c>
      <c r="S8147" s="3" t="s">
        <v>36</v>
      </c>
      <c r="T8147" s="3" t="s">
        <v>35683</v>
      </c>
      <c r="U8147" s="3" t="s">
        <v>648</v>
      </c>
      <c r="V8147" s="3" t="s">
        <v>64</v>
      </c>
      <c r="W8147" s="3" t="s">
        <v>35684</v>
      </c>
      <c r="X8147" s="10" t="s">
        <v>5892</v>
      </c>
      <c r="Y8147" s="6" t="s">
        <v>42</v>
      </c>
      <c r="Z8147" s="4">
        <v>2.02</v>
      </c>
      <c r="AA8147" s="4">
        <v>2.99</v>
      </c>
      <c r="AB8147" s="3" t="s">
        <v>43</v>
      </c>
      <c r="AC8147" s="3" t="s">
        <v>35685</v>
      </c>
      <c r="AD8147" s="9">
        <v>41326</v>
      </c>
      <c r="AE8147" s="3" t="s">
        <v>651</v>
      </c>
      <c r="AF8147" s="3" t="s">
        <v>12865</v>
      </c>
      <c r="AG8147" s="3" t="s">
        <v>35686</v>
      </c>
      <c r="AH8147" s="11">
        <f>HYPERLINK("https://my.pitchbook.com?c=24698-71T","View Company Online")</f>
      </c>
    </row>
    <row r="8148">
      <c r="A8148" s="12" t="s">
        <v>35687</v>
      </c>
      <c r="B8148" s="12" t="s">
        <v>30241</v>
      </c>
      <c r="C8148" s="19" t="s">
        <v>36</v>
      </c>
      <c r="D8148" s="19">
        <v>1</v>
      </c>
      <c r="E8148" s="19">
        <v>1</v>
      </c>
      <c r="F8148" s="19">
        <v>2</v>
      </c>
      <c r="G8148" s="15" t="s">
        <v>36</v>
      </c>
      <c r="H8148" s="14" t="s">
        <v>36</v>
      </c>
      <c r="I8148" s="18" t="s">
        <v>36</v>
      </c>
      <c r="J8148" s="12" t="s">
        <v>36</v>
      </c>
      <c r="K8148" s="13" t="s">
        <v>36</v>
      </c>
      <c r="L8148" s="15" t="s">
        <v>36</v>
      </c>
      <c r="M8148" s="12" t="s">
        <v>36</v>
      </c>
      <c r="N8148" s="12" t="s">
        <v>36</v>
      </c>
      <c r="O8148" s="17" t="s">
        <v>36</v>
      </c>
      <c r="P8148" s="12" t="s">
        <v>36</v>
      </c>
      <c r="Q8148" s="12" t="s">
        <v>36</v>
      </c>
      <c r="R8148" s="12" t="s">
        <v>36</v>
      </c>
      <c r="S8148" s="12" t="s">
        <v>36</v>
      </c>
      <c r="T8148" s="12" t="s">
        <v>30242</v>
      </c>
      <c r="U8148" s="12" t="s">
        <v>233</v>
      </c>
      <c r="V8148" s="12" t="s">
        <v>39</v>
      </c>
      <c r="W8148" s="12" t="s">
        <v>30243</v>
      </c>
      <c r="X8148" s="16" t="s">
        <v>35688</v>
      </c>
      <c r="Y8148" s="15" t="s">
        <v>108</v>
      </c>
      <c r="Z8148" s="14">
        <v>9.41</v>
      </c>
      <c r="AA8148" s="14" t="s">
        <v>36</v>
      </c>
      <c r="AB8148" s="12" t="s">
        <v>56</v>
      </c>
      <c r="AC8148" s="12" t="s">
        <v>30245</v>
      </c>
      <c r="AD8148" s="13">
        <v>41326</v>
      </c>
      <c r="AE8148" s="12" t="s">
        <v>236</v>
      </c>
      <c r="AF8148" s="12" t="s">
        <v>1636</v>
      </c>
      <c r="AG8148" s="12" t="s">
        <v>741</v>
      </c>
      <c r="AH8148" s="1">
        <f>HYPERLINK("https://my.pitchbook.com?c=29235-25T","View Company Online")</f>
      </c>
    </row>
    <row r="8149">
      <c r="A8149" s="3" t="s">
        <v>35689</v>
      </c>
      <c r="B8149" s="3" t="s">
        <v>16063</v>
      </c>
      <c r="C8149" s="5" t="s">
        <v>36</v>
      </c>
      <c r="D8149" s="5" t="s">
        <v>36</v>
      </c>
      <c r="E8149" s="5" t="s">
        <v>36</v>
      </c>
      <c r="F8149" s="5" t="s">
        <v>36</v>
      </c>
      <c r="G8149" s="6" t="s">
        <v>36</v>
      </c>
      <c r="H8149" s="4">
        <v>28.82</v>
      </c>
      <c r="I8149" s="7">
        <v>36.34</v>
      </c>
      <c r="J8149" s="3" t="s">
        <v>521</v>
      </c>
      <c r="K8149" s="9" t="s">
        <v>36</v>
      </c>
      <c r="L8149" s="6" t="s">
        <v>36</v>
      </c>
      <c r="M8149" s="3" t="s">
        <v>36</v>
      </c>
      <c r="N8149" s="3" t="s">
        <v>36</v>
      </c>
      <c r="O8149" s="8" t="s">
        <v>36</v>
      </c>
      <c r="P8149" s="3" t="s">
        <v>36</v>
      </c>
      <c r="Q8149" s="3" t="s">
        <v>36</v>
      </c>
      <c r="R8149" s="3" t="s">
        <v>36</v>
      </c>
      <c r="S8149" s="3" t="s">
        <v>36</v>
      </c>
      <c r="T8149" s="3" t="s">
        <v>522</v>
      </c>
      <c r="U8149" s="3" t="s">
        <v>38</v>
      </c>
      <c r="V8149" s="3" t="s">
        <v>39</v>
      </c>
      <c r="W8149" s="3" t="s">
        <v>16064</v>
      </c>
      <c r="X8149" s="10" t="s">
        <v>35690</v>
      </c>
      <c r="Y8149" s="6" t="s">
        <v>42</v>
      </c>
      <c r="Z8149" s="4">
        <v>0.43</v>
      </c>
      <c r="AA8149" s="4">
        <v>1.17</v>
      </c>
      <c r="AB8149" s="3" t="s">
        <v>43</v>
      </c>
      <c r="AC8149" s="3" t="s">
        <v>16066</v>
      </c>
      <c r="AD8149" s="9">
        <v>41326</v>
      </c>
      <c r="AE8149" s="3" t="s">
        <v>110</v>
      </c>
      <c r="AF8149" s="3" t="s">
        <v>16067</v>
      </c>
      <c r="AG8149" s="3" t="s">
        <v>81</v>
      </c>
      <c r="AH8149" s="11">
        <f>HYPERLINK("https://my.pitchbook.com?c=29658-34T","View Company Online")</f>
      </c>
    </row>
    <row r="8150">
      <c r="A8150" s="12" t="s">
        <v>35691</v>
      </c>
      <c r="B8150" s="12" t="s">
        <v>20399</v>
      </c>
      <c r="C8150" s="19" t="s">
        <v>36</v>
      </c>
      <c r="D8150" s="19">
        <v>27</v>
      </c>
      <c r="E8150" s="19">
        <v>4</v>
      </c>
      <c r="F8150" s="19">
        <v>30</v>
      </c>
      <c r="G8150" s="15" t="s">
        <v>36</v>
      </c>
      <c r="H8150" s="14">
        <v>18.21</v>
      </c>
      <c r="I8150" s="18">
        <v>45.2</v>
      </c>
      <c r="J8150" s="12" t="s">
        <v>521</v>
      </c>
      <c r="K8150" s="13" t="s">
        <v>36</v>
      </c>
      <c r="L8150" s="15" t="s">
        <v>36</v>
      </c>
      <c r="M8150" s="12" t="s">
        <v>36</v>
      </c>
      <c r="N8150" s="12" t="s">
        <v>36</v>
      </c>
      <c r="O8150" s="17" t="s">
        <v>36</v>
      </c>
      <c r="P8150" s="12" t="s">
        <v>36</v>
      </c>
      <c r="Q8150" s="12" t="s">
        <v>36</v>
      </c>
      <c r="R8150" s="12" t="s">
        <v>36</v>
      </c>
      <c r="S8150" s="12" t="s">
        <v>36</v>
      </c>
      <c r="T8150" s="12" t="s">
        <v>105</v>
      </c>
      <c r="U8150" s="12" t="s">
        <v>38</v>
      </c>
      <c r="V8150" s="12" t="s">
        <v>39</v>
      </c>
      <c r="W8150" s="12" t="s">
        <v>20400</v>
      </c>
      <c r="X8150" s="16" t="s">
        <v>35692</v>
      </c>
      <c r="Y8150" s="15" t="s">
        <v>42</v>
      </c>
      <c r="Z8150" s="14">
        <v>1.11</v>
      </c>
      <c r="AA8150" s="14">
        <v>2.45</v>
      </c>
      <c r="AB8150" s="12" t="s">
        <v>43</v>
      </c>
      <c r="AC8150" s="12" t="s">
        <v>20402</v>
      </c>
      <c r="AD8150" s="13">
        <v>41325</v>
      </c>
      <c r="AE8150" s="12" t="s">
        <v>110</v>
      </c>
      <c r="AF8150" s="12" t="s">
        <v>4552</v>
      </c>
      <c r="AG8150" s="12" t="s">
        <v>2542</v>
      </c>
      <c r="AH8150" s="1">
        <f>HYPERLINK("https://my.pitchbook.com?c=44118-01T","View Company Online")</f>
      </c>
    </row>
    <row r="8151">
      <c r="A8151" s="3" t="s">
        <v>35693</v>
      </c>
      <c r="B8151" s="3" t="s">
        <v>35694</v>
      </c>
      <c r="C8151" s="5" t="s">
        <v>36</v>
      </c>
      <c r="D8151" s="5" t="s">
        <v>36</v>
      </c>
      <c r="E8151" s="5" t="s">
        <v>36</v>
      </c>
      <c r="F8151" s="5" t="s">
        <v>36</v>
      </c>
      <c r="G8151" s="6" t="s">
        <v>36</v>
      </c>
      <c r="H8151" s="4">
        <v>10.39</v>
      </c>
      <c r="I8151" s="7">
        <v>9.49</v>
      </c>
      <c r="J8151" s="3" t="s">
        <v>521</v>
      </c>
      <c r="K8151" s="9" t="s">
        <v>36</v>
      </c>
      <c r="L8151" s="6" t="s">
        <v>36</v>
      </c>
      <c r="M8151" s="3" t="s">
        <v>36</v>
      </c>
      <c r="N8151" s="3" t="s">
        <v>36</v>
      </c>
      <c r="O8151" s="8" t="s">
        <v>36</v>
      </c>
      <c r="P8151" s="3" t="s">
        <v>36</v>
      </c>
      <c r="Q8151" s="3" t="s">
        <v>36</v>
      </c>
      <c r="R8151" s="3" t="s">
        <v>36</v>
      </c>
      <c r="S8151" s="3" t="s">
        <v>36</v>
      </c>
      <c r="T8151" s="3" t="s">
        <v>2483</v>
      </c>
      <c r="U8151" s="3" t="s">
        <v>63</v>
      </c>
      <c r="V8151" s="3" t="s">
        <v>64</v>
      </c>
      <c r="W8151" s="3" t="s">
        <v>35695</v>
      </c>
      <c r="X8151" s="10" t="s">
        <v>2130</v>
      </c>
      <c r="Y8151" s="6" t="s">
        <v>42</v>
      </c>
      <c r="Z8151" s="4">
        <v>1.41</v>
      </c>
      <c r="AA8151" s="4">
        <v>14.85</v>
      </c>
      <c r="AB8151" s="3" t="s">
        <v>43</v>
      </c>
      <c r="AC8151" s="3" t="s">
        <v>35696</v>
      </c>
      <c r="AD8151" s="9">
        <v>41324</v>
      </c>
      <c r="AE8151" s="3" t="s">
        <v>399</v>
      </c>
      <c r="AF8151" s="3" t="s">
        <v>938</v>
      </c>
      <c r="AG8151" s="3" t="s">
        <v>81</v>
      </c>
      <c r="AH8151" s="11">
        <f>HYPERLINK("https://my.pitchbook.com?c=50451-13T","View Company Online")</f>
      </c>
    </row>
    <row r="8152">
      <c r="A8152" s="12" t="s">
        <v>35697</v>
      </c>
      <c r="B8152" s="12" t="s">
        <v>32547</v>
      </c>
      <c r="C8152" s="19" t="s">
        <v>36</v>
      </c>
      <c r="D8152" s="19" t="s">
        <v>36</v>
      </c>
      <c r="E8152" s="19" t="s">
        <v>36</v>
      </c>
      <c r="F8152" s="19" t="s">
        <v>36</v>
      </c>
      <c r="G8152" s="15" t="s">
        <v>36</v>
      </c>
      <c r="H8152" s="14">
        <v>17.31</v>
      </c>
      <c r="I8152" s="18">
        <v>47.37</v>
      </c>
      <c r="J8152" s="12" t="s">
        <v>521</v>
      </c>
      <c r="K8152" s="13" t="s">
        <v>36</v>
      </c>
      <c r="L8152" s="15" t="s">
        <v>36</v>
      </c>
      <c r="M8152" s="12" t="s">
        <v>36</v>
      </c>
      <c r="N8152" s="12" t="s">
        <v>36</v>
      </c>
      <c r="O8152" s="17" t="s">
        <v>36</v>
      </c>
      <c r="P8152" s="12" t="s">
        <v>36</v>
      </c>
      <c r="Q8152" s="12" t="s">
        <v>36</v>
      </c>
      <c r="R8152" s="12" t="s">
        <v>36</v>
      </c>
      <c r="S8152" s="12" t="s">
        <v>36</v>
      </c>
      <c r="T8152" s="12" t="s">
        <v>15878</v>
      </c>
      <c r="U8152" s="12" t="s">
        <v>289</v>
      </c>
      <c r="V8152" s="12" t="s">
        <v>64</v>
      </c>
      <c r="W8152" s="12" t="s">
        <v>32548</v>
      </c>
      <c r="X8152" s="16" t="s">
        <v>20076</v>
      </c>
      <c r="Y8152" s="15" t="s">
        <v>42</v>
      </c>
      <c r="Z8152" s="14">
        <v>0.24</v>
      </c>
      <c r="AA8152" s="14">
        <v>0.51</v>
      </c>
      <c r="AB8152" s="12" t="s">
        <v>43</v>
      </c>
      <c r="AC8152" s="12" t="s">
        <v>32550</v>
      </c>
      <c r="AD8152" s="13">
        <v>41324</v>
      </c>
      <c r="AE8152" s="12" t="s">
        <v>292</v>
      </c>
      <c r="AF8152" s="12" t="s">
        <v>90</v>
      </c>
      <c r="AG8152" s="12" t="s">
        <v>741</v>
      </c>
      <c r="AH8152" s="1">
        <f>HYPERLINK("https://my.pitchbook.com?c=107911-63T","View Company Online")</f>
      </c>
    </row>
    <row r="8153">
      <c r="A8153" s="3" t="s">
        <v>35698</v>
      </c>
      <c r="B8153" s="3" t="s">
        <v>34138</v>
      </c>
      <c r="C8153" s="5" t="s">
        <v>36</v>
      </c>
      <c r="D8153" s="5" t="s">
        <v>36</v>
      </c>
      <c r="E8153" s="5" t="s">
        <v>36</v>
      </c>
      <c r="F8153" s="5" t="s">
        <v>36</v>
      </c>
      <c r="G8153" s="6" t="s">
        <v>36</v>
      </c>
      <c r="H8153" s="4" t="s">
        <v>36</v>
      </c>
      <c r="I8153" s="7" t="s">
        <v>36</v>
      </c>
      <c r="J8153" s="3" t="s">
        <v>36</v>
      </c>
      <c r="K8153" s="9">
        <v>41264</v>
      </c>
      <c r="L8153" s="6" t="s">
        <v>36</v>
      </c>
      <c r="M8153" s="3" t="s">
        <v>36</v>
      </c>
      <c r="N8153" s="3" t="s">
        <v>36</v>
      </c>
      <c r="O8153" s="8" t="s">
        <v>36</v>
      </c>
      <c r="P8153" s="3" t="s">
        <v>36</v>
      </c>
      <c r="Q8153" s="3" t="s">
        <v>36</v>
      </c>
      <c r="R8153" s="3" t="s">
        <v>36</v>
      </c>
      <c r="S8153" s="3" t="s">
        <v>36</v>
      </c>
      <c r="T8153" s="3" t="s">
        <v>4230</v>
      </c>
      <c r="U8153" s="3" t="s">
        <v>38</v>
      </c>
      <c r="V8153" s="3" t="s">
        <v>39</v>
      </c>
      <c r="W8153" s="3" t="s">
        <v>34139</v>
      </c>
      <c r="X8153" s="10" t="s">
        <v>35699</v>
      </c>
      <c r="Y8153" s="6" t="s">
        <v>55</v>
      </c>
      <c r="Z8153" s="4">
        <v>4.97</v>
      </c>
      <c r="AA8153" s="4" t="s">
        <v>36</v>
      </c>
      <c r="AB8153" s="3" t="s">
        <v>43</v>
      </c>
      <c r="AC8153" s="3" t="s">
        <v>34141</v>
      </c>
      <c r="AD8153" s="9">
        <v>41323</v>
      </c>
      <c r="AE8153" s="3" t="s">
        <v>110</v>
      </c>
      <c r="AF8153" s="3" t="s">
        <v>2019</v>
      </c>
      <c r="AG8153" s="3" t="s">
        <v>81</v>
      </c>
      <c r="AH8153" s="11">
        <f>HYPERLINK("https://my.pitchbook.com?c=28516-87T","View Company Online")</f>
      </c>
    </row>
    <row r="8154">
      <c r="A8154" s="12" t="s">
        <v>35700</v>
      </c>
      <c r="B8154" s="12" t="s">
        <v>35701</v>
      </c>
      <c r="C8154" s="19" t="s">
        <v>36</v>
      </c>
      <c r="D8154" s="19" t="s">
        <v>36</v>
      </c>
      <c r="E8154" s="19" t="s">
        <v>36</v>
      </c>
      <c r="F8154" s="19" t="s">
        <v>36</v>
      </c>
      <c r="G8154" s="15" t="s">
        <v>683</v>
      </c>
      <c r="H8154" s="14">
        <v>130.09</v>
      </c>
      <c r="I8154" s="18">
        <v>12.34</v>
      </c>
      <c r="J8154" s="12" t="s">
        <v>521</v>
      </c>
      <c r="K8154" s="13" t="s">
        <v>36</v>
      </c>
      <c r="L8154" s="15" t="s">
        <v>36</v>
      </c>
      <c r="M8154" s="12" t="s">
        <v>36</v>
      </c>
      <c r="N8154" s="12" t="s">
        <v>36</v>
      </c>
      <c r="O8154" s="17" t="s">
        <v>36</v>
      </c>
      <c r="P8154" s="12" t="s">
        <v>36</v>
      </c>
      <c r="Q8154" s="12" t="s">
        <v>36</v>
      </c>
      <c r="R8154" s="12" t="s">
        <v>36</v>
      </c>
      <c r="S8154" s="12" t="s">
        <v>36</v>
      </c>
      <c r="T8154" s="12" t="s">
        <v>1560</v>
      </c>
      <c r="U8154" s="12" t="s">
        <v>438</v>
      </c>
      <c r="V8154" s="12" t="s">
        <v>405</v>
      </c>
      <c r="W8154" s="12" t="s">
        <v>35702</v>
      </c>
      <c r="X8154" s="16" t="s">
        <v>35703</v>
      </c>
      <c r="Y8154" s="15" t="s">
        <v>192</v>
      </c>
      <c r="Z8154" s="14">
        <v>1.34</v>
      </c>
      <c r="AA8154" s="14">
        <v>10.89</v>
      </c>
      <c r="AB8154" s="12" t="s">
        <v>43</v>
      </c>
      <c r="AC8154" s="12" t="s">
        <v>35704</v>
      </c>
      <c r="AD8154" s="13">
        <v>41323</v>
      </c>
      <c r="AE8154" s="12" t="s">
        <v>438</v>
      </c>
      <c r="AF8154" s="12" t="s">
        <v>36</v>
      </c>
      <c r="AG8154" s="12" t="s">
        <v>81</v>
      </c>
      <c r="AH8154" s="1">
        <f>HYPERLINK("https://my.pitchbook.com?c=208749-70T","View Company Online")</f>
      </c>
    </row>
    <row r="8155">
      <c r="A8155" s="3" t="s">
        <v>35705</v>
      </c>
      <c r="B8155" s="3" t="s">
        <v>35706</v>
      </c>
      <c r="C8155" s="5" t="s">
        <v>36</v>
      </c>
      <c r="D8155" s="5" t="s">
        <v>36</v>
      </c>
      <c r="E8155" s="5" t="s">
        <v>36</v>
      </c>
      <c r="F8155" s="5" t="s">
        <v>36</v>
      </c>
      <c r="G8155" s="6" t="s">
        <v>36</v>
      </c>
      <c r="H8155" s="4" t="s">
        <v>36</v>
      </c>
      <c r="I8155" s="7" t="s">
        <v>36</v>
      </c>
      <c r="J8155" s="3" t="s">
        <v>36</v>
      </c>
      <c r="K8155" s="9" t="s">
        <v>36</v>
      </c>
      <c r="L8155" s="6" t="s">
        <v>36</v>
      </c>
      <c r="M8155" s="3" t="s">
        <v>36</v>
      </c>
      <c r="N8155" s="3" t="s">
        <v>36</v>
      </c>
      <c r="O8155" s="8" t="s">
        <v>36</v>
      </c>
      <c r="P8155" s="3" t="s">
        <v>36</v>
      </c>
      <c r="Q8155" s="3" t="s">
        <v>36</v>
      </c>
      <c r="R8155" s="3" t="s">
        <v>36</v>
      </c>
      <c r="S8155" s="3" t="s">
        <v>36</v>
      </c>
      <c r="T8155" s="3" t="s">
        <v>35707</v>
      </c>
      <c r="U8155" s="3" t="s">
        <v>648</v>
      </c>
      <c r="V8155" s="3" t="s">
        <v>64</v>
      </c>
      <c r="W8155" s="3" t="s">
        <v>35708</v>
      </c>
      <c r="X8155" s="10" t="s">
        <v>14101</v>
      </c>
      <c r="Y8155" s="6" t="s">
        <v>55</v>
      </c>
      <c r="Z8155" s="4">
        <v>1.34</v>
      </c>
      <c r="AA8155" s="4" t="s">
        <v>36</v>
      </c>
      <c r="AB8155" s="3" t="s">
        <v>43</v>
      </c>
      <c r="AC8155" s="3" t="s">
        <v>35709</v>
      </c>
      <c r="AD8155" s="9">
        <v>41319</v>
      </c>
      <c r="AE8155" s="3" t="s">
        <v>651</v>
      </c>
      <c r="AF8155" s="3" t="s">
        <v>22393</v>
      </c>
      <c r="AG8155" s="3" t="s">
        <v>35710</v>
      </c>
      <c r="AH8155" s="11">
        <f>HYPERLINK("https://my.pitchbook.com?c=31093-39T","View Company Online")</f>
      </c>
    </row>
    <row r="8156">
      <c r="A8156" s="12" t="s">
        <v>35711</v>
      </c>
      <c r="B8156" s="12" t="s">
        <v>35712</v>
      </c>
      <c r="C8156" s="19" t="s">
        <v>36</v>
      </c>
      <c r="D8156" s="19" t="s">
        <v>36</v>
      </c>
      <c r="E8156" s="19" t="s">
        <v>36</v>
      </c>
      <c r="F8156" s="19" t="s">
        <v>36</v>
      </c>
      <c r="G8156" s="15" t="s">
        <v>36</v>
      </c>
      <c r="H8156" s="14">
        <v>129.82</v>
      </c>
      <c r="I8156" s="18">
        <v>20.13</v>
      </c>
      <c r="J8156" s="12" t="s">
        <v>521</v>
      </c>
      <c r="K8156" s="13" t="s">
        <v>36</v>
      </c>
      <c r="L8156" s="15" t="s">
        <v>36</v>
      </c>
      <c r="M8156" s="12" t="s">
        <v>36</v>
      </c>
      <c r="N8156" s="12" t="s">
        <v>36</v>
      </c>
      <c r="O8156" s="17" t="s">
        <v>36</v>
      </c>
      <c r="P8156" s="12" t="s">
        <v>36</v>
      </c>
      <c r="Q8156" s="12" t="s">
        <v>36</v>
      </c>
      <c r="R8156" s="12" t="s">
        <v>36</v>
      </c>
      <c r="S8156" s="12" t="s">
        <v>36</v>
      </c>
      <c r="T8156" s="12" t="s">
        <v>265</v>
      </c>
      <c r="U8156" s="12" t="s">
        <v>85</v>
      </c>
      <c r="V8156" s="12" t="s">
        <v>64</v>
      </c>
      <c r="W8156" s="12" t="s">
        <v>35713</v>
      </c>
      <c r="X8156" s="16" t="s">
        <v>1399</v>
      </c>
      <c r="Y8156" s="15" t="s">
        <v>42</v>
      </c>
      <c r="Z8156" s="14">
        <v>0.08</v>
      </c>
      <c r="AA8156" s="14">
        <v>0.42</v>
      </c>
      <c r="AB8156" s="12" t="s">
        <v>43</v>
      </c>
      <c r="AC8156" s="12" t="s">
        <v>35714</v>
      </c>
      <c r="AD8156" s="13">
        <v>41317</v>
      </c>
      <c r="AE8156" s="12" t="s">
        <v>89</v>
      </c>
      <c r="AF8156" s="12" t="s">
        <v>36</v>
      </c>
      <c r="AG8156" s="12" t="s">
        <v>741</v>
      </c>
      <c r="AH8156" s="1">
        <f>HYPERLINK("https://my.pitchbook.com?c=218395-18T","View Company Online")</f>
      </c>
    </row>
    <row r="8157">
      <c r="A8157" s="3" t="s">
        <v>35715</v>
      </c>
      <c r="B8157" s="3" t="s">
        <v>33471</v>
      </c>
      <c r="C8157" s="5" t="s">
        <v>36</v>
      </c>
      <c r="D8157" s="5" t="s">
        <v>36</v>
      </c>
      <c r="E8157" s="5" t="s">
        <v>36</v>
      </c>
      <c r="F8157" s="5" t="s">
        <v>36</v>
      </c>
      <c r="G8157" s="6" t="s">
        <v>36</v>
      </c>
      <c r="H8157" s="4" t="s">
        <v>36</v>
      </c>
      <c r="I8157" s="7" t="s">
        <v>36</v>
      </c>
      <c r="J8157" s="3" t="s">
        <v>36</v>
      </c>
      <c r="K8157" s="9" t="s">
        <v>36</v>
      </c>
      <c r="L8157" s="6" t="s">
        <v>36</v>
      </c>
      <c r="M8157" s="3" t="s">
        <v>36</v>
      </c>
      <c r="N8157" s="3" t="s">
        <v>36</v>
      </c>
      <c r="O8157" s="8" t="s">
        <v>36</v>
      </c>
      <c r="P8157" s="3" t="s">
        <v>36</v>
      </c>
      <c r="Q8157" s="3" t="s">
        <v>36</v>
      </c>
      <c r="R8157" s="3" t="s">
        <v>36</v>
      </c>
      <c r="S8157" s="3" t="s">
        <v>36</v>
      </c>
      <c r="T8157" s="3" t="s">
        <v>33472</v>
      </c>
      <c r="U8157" s="3" t="s">
        <v>648</v>
      </c>
      <c r="V8157" s="3" t="s">
        <v>64</v>
      </c>
      <c r="W8157" s="3" t="s">
        <v>33473</v>
      </c>
      <c r="X8157" s="10" t="s">
        <v>35716</v>
      </c>
      <c r="Y8157" s="6" t="s">
        <v>108</v>
      </c>
      <c r="Z8157" s="4">
        <v>4.03</v>
      </c>
      <c r="AA8157" s="4" t="s">
        <v>36</v>
      </c>
      <c r="AB8157" s="3" t="s">
        <v>56</v>
      </c>
      <c r="AC8157" s="3" t="s">
        <v>33475</v>
      </c>
      <c r="AD8157" s="9">
        <v>41316</v>
      </c>
      <c r="AE8157" s="3" t="s">
        <v>651</v>
      </c>
      <c r="AF8157" s="3" t="s">
        <v>2118</v>
      </c>
      <c r="AG8157" s="3" t="s">
        <v>33476</v>
      </c>
      <c r="AH8157" s="11">
        <f>HYPERLINK("https://my.pitchbook.com?c=24680-98T","View Company Online")</f>
      </c>
    </row>
    <row r="8158">
      <c r="A8158" s="12" t="s">
        <v>35717</v>
      </c>
      <c r="B8158" s="12" t="s">
        <v>26468</v>
      </c>
      <c r="C8158" s="19" t="s">
        <v>36</v>
      </c>
      <c r="D8158" s="19" t="s">
        <v>36</v>
      </c>
      <c r="E8158" s="19" t="s">
        <v>36</v>
      </c>
      <c r="F8158" s="19" t="s">
        <v>36</v>
      </c>
      <c r="G8158" s="15" t="s">
        <v>36</v>
      </c>
      <c r="H8158" s="14" t="s">
        <v>36</v>
      </c>
      <c r="I8158" s="18" t="s">
        <v>36</v>
      </c>
      <c r="J8158" s="12" t="s">
        <v>36</v>
      </c>
      <c r="K8158" s="13" t="s">
        <v>36</v>
      </c>
      <c r="L8158" s="15" t="s">
        <v>36</v>
      </c>
      <c r="M8158" s="12" t="s">
        <v>36</v>
      </c>
      <c r="N8158" s="12" t="s">
        <v>36</v>
      </c>
      <c r="O8158" s="17" t="s">
        <v>36</v>
      </c>
      <c r="P8158" s="12" t="s">
        <v>36</v>
      </c>
      <c r="Q8158" s="12" t="s">
        <v>36</v>
      </c>
      <c r="R8158" s="12" t="s">
        <v>36</v>
      </c>
      <c r="S8158" s="12" t="s">
        <v>36</v>
      </c>
      <c r="T8158" s="12" t="s">
        <v>3850</v>
      </c>
      <c r="U8158" s="12" t="s">
        <v>1580</v>
      </c>
      <c r="V8158" s="12" t="s">
        <v>39</v>
      </c>
      <c r="W8158" s="12" t="s">
        <v>26469</v>
      </c>
      <c r="X8158" s="16" t="s">
        <v>35718</v>
      </c>
      <c r="Y8158" s="15" t="s">
        <v>42</v>
      </c>
      <c r="Z8158" s="14" t="s">
        <v>36</v>
      </c>
      <c r="AA8158" s="14" t="s">
        <v>36</v>
      </c>
      <c r="AB8158" s="12" t="s">
        <v>56</v>
      </c>
      <c r="AC8158" s="12" t="s">
        <v>26470</v>
      </c>
      <c r="AD8158" s="13">
        <v>41316</v>
      </c>
      <c r="AE8158" s="12" t="s">
        <v>3854</v>
      </c>
      <c r="AF8158" s="12" t="s">
        <v>1636</v>
      </c>
      <c r="AG8158" s="12" t="s">
        <v>47</v>
      </c>
      <c r="AH8158" s="1">
        <f>HYPERLINK("https://my.pitchbook.com?c=214912-09T","View Company Online")</f>
      </c>
    </row>
    <row r="8159">
      <c r="A8159" s="3" t="s">
        <v>35719</v>
      </c>
      <c r="B8159" s="3" t="s">
        <v>22679</v>
      </c>
      <c r="C8159" s="5" t="s">
        <v>36</v>
      </c>
      <c r="D8159" s="5">
        <v>2</v>
      </c>
      <c r="E8159" s="5">
        <v>1</v>
      </c>
      <c r="F8159" s="5">
        <v>2</v>
      </c>
      <c r="G8159" s="6" t="s">
        <v>683</v>
      </c>
      <c r="H8159" s="4">
        <v>1.82</v>
      </c>
      <c r="I8159" s="7">
        <v>4.4</v>
      </c>
      <c r="J8159" s="3" t="s">
        <v>521</v>
      </c>
      <c r="K8159" s="9" t="s">
        <v>36</v>
      </c>
      <c r="L8159" s="6" t="s">
        <v>36</v>
      </c>
      <c r="M8159" s="3" t="s">
        <v>36</v>
      </c>
      <c r="N8159" s="3" t="s">
        <v>36</v>
      </c>
      <c r="O8159" s="8" t="s">
        <v>36</v>
      </c>
      <c r="P8159" s="3" t="s">
        <v>36</v>
      </c>
      <c r="Q8159" s="3" t="s">
        <v>36</v>
      </c>
      <c r="R8159" s="3" t="s">
        <v>36</v>
      </c>
      <c r="S8159" s="3" t="s">
        <v>36</v>
      </c>
      <c r="T8159" s="3" t="s">
        <v>2647</v>
      </c>
      <c r="U8159" s="3" t="s">
        <v>1502</v>
      </c>
      <c r="V8159" s="3" t="s">
        <v>75</v>
      </c>
      <c r="W8159" s="3" t="s">
        <v>22680</v>
      </c>
      <c r="X8159" s="10" t="s">
        <v>20672</v>
      </c>
      <c r="Y8159" s="6" t="s">
        <v>192</v>
      </c>
      <c r="Z8159" s="4">
        <v>0.49</v>
      </c>
      <c r="AA8159" s="4">
        <v>11.23</v>
      </c>
      <c r="AB8159" s="3" t="s">
        <v>56</v>
      </c>
      <c r="AC8159" s="3" t="s">
        <v>22682</v>
      </c>
      <c r="AD8159" s="9">
        <v>41316</v>
      </c>
      <c r="AE8159" s="3" t="s">
        <v>1822</v>
      </c>
      <c r="AF8159" s="3" t="s">
        <v>36</v>
      </c>
      <c r="AG8159" s="3" t="s">
        <v>81</v>
      </c>
      <c r="AH8159" s="11">
        <f>HYPERLINK("https://my.pitchbook.com?c=211459-78T","View Company Online")</f>
      </c>
    </row>
    <row r="8160">
      <c r="A8160" s="12" t="s">
        <v>35720</v>
      </c>
      <c r="B8160" s="12" t="s">
        <v>35721</v>
      </c>
      <c r="C8160" s="19" t="s">
        <v>36</v>
      </c>
      <c r="D8160" s="19">
        <v>30</v>
      </c>
      <c r="E8160" s="19">
        <v>10</v>
      </c>
      <c r="F8160" s="19">
        <v>44</v>
      </c>
      <c r="G8160" s="15" t="s">
        <v>36</v>
      </c>
      <c r="H8160" s="14" t="s">
        <v>36</v>
      </c>
      <c r="I8160" s="18" t="s">
        <v>36</v>
      </c>
      <c r="J8160" s="12" t="s">
        <v>36</v>
      </c>
      <c r="K8160" s="13" t="s">
        <v>36</v>
      </c>
      <c r="L8160" s="15" t="s">
        <v>36</v>
      </c>
      <c r="M8160" s="12" t="s">
        <v>36</v>
      </c>
      <c r="N8160" s="12" t="s">
        <v>36</v>
      </c>
      <c r="O8160" s="17" t="s">
        <v>36</v>
      </c>
      <c r="P8160" s="12" t="s">
        <v>36</v>
      </c>
      <c r="Q8160" s="12" t="s">
        <v>36</v>
      </c>
      <c r="R8160" s="12" t="s">
        <v>36</v>
      </c>
      <c r="S8160" s="12" t="s">
        <v>36</v>
      </c>
      <c r="T8160" s="12" t="s">
        <v>3790</v>
      </c>
      <c r="U8160" s="12" t="s">
        <v>318</v>
      </c>
      <c r="V8160" s="12" t="s">
        <v>39</v>
      </c>
      <c r="W8160" s="12" t="s">
        <v>35722</v>
      </c>
      <c r="X8160" s="16" t="s">
        <v>19918</v>
      </c>
      <c r="Y8160" s="15" t="s">
        <v>55</v>
      </c>
      <c r="Z8160" s="14">
        <v>1.34</v>
      </c>
      <c r="AA8160" s="14" t="s">
        <v>36</v>
      </c>
      <c r="AB8160" s="12" t="s">
        <v>56</v>
      </c>
      <c r="AC8160" s="12" t="s">
        <v>35723</v>
      </c>
      <c r="AD8160" s="13">
        <v>41312</v>
      </c>
      <c r="AE8160" s="12" t="s">
        <v>763</v>
      </c>
      <c r="AF8160" s="12" t="s">
        <v>36</v>
      </c>
      <c r="AG8160" s="12" t="s">
        <v>21815</v>
      </c>
      <c r="AH8160" s="1">
        <f>HYPERLINK("https://my.pitchbook.com?c=24588-46T","View Company Online")</f>
      </c>
    </row>
    <row r="8161">
      <c r="A8161" s="3" t="s">
        <v>35724</v>
      </c>
      <c r="B8161" s="3" t="s">
        <v>26156</v>
      </c>
      <c r="C8161" s="5" t="s">
        <v>36</v>
      </c>
      <c r="D8161" s="5" t="s">
        <v>36</v>
      </c>
      <c r="E8161" s="5" t="s">
        <v>36</v>
      </c>
      <c r="F8161" s="5" t="s">
        <v>36</v>
      </c>
      <c r="G8161" s="6" t="s">
        <v>326</v>
      </c>
      <c r="H8161" s="4">
        <v>7.04</v>
      </c>
      <c r="I8161" s="7">
        <v>30.27</v>
      </c>
      <c r="J8161" s="3" t="s">
        <v>521</v>
      </c>
      <c r="K8161" s="9">
        <v>41299</v>
      </c>
      <c r="L8161" s="6" t="s">
        <v>94</v>
      </c>
      <c r="M8161" s="3" t="s">
        <v>36</v>
      </c>
      <c r="N8161" s="3" t="s">
        <v>94</v>
      </c>
      <c r="O8161" s="8" t="s">
        <v>36</v>
      </c>
      <c r="P8161" s="3" t="s">
        <v>36</v>
      </c>
      <c r="Q8161" s="3" t="s">
        <v>36</v>
      </c>
      <c r="R8161" s="3" t="s">
        <v>36</v>
      </c>
      <c r="S8161" s="3" t="s">
        <v>36</v>
      </c>
      <c r="T8161" s="3" t="s">
        <v>26157</v>
      </c>
      <c r="U8161" s="3" t="s">
        <v>279</v>
      </c>
      <c r="V8161" s="3" t="s">
        <v>64</v>
      </c>
      <c r="W8161" s="3" t="s">
        <v>26158</v>
      </c>
      <c r="X8161" s="10" t="s">
        <v>35725</v>
      </c>
      <c r="Y8161" s="6" t="s">
        <v>108</v>
      </c>
      <c r="Z8161" s="4">
        <v>9.52</v>
      </c>
      <c r="AA8161" s="4">
        <v>31.46</v>
      </c>
      <c r="AB8161" s="3" t="s">
        <v>43</v>
      </c>
      <c r="AC8161" s="3" t="s">
        <v>26160</v>
      </c>
      <c r="AD8161" s="9">
        <v>41312</v>
      </c>
      <c r="AE8161" s="3" t="s">
        <v>283</v>
      </c>
      <c r="AF8161" s="3" t="s">
        <v>2363</v>
      </c>
      <c r="AG8161" s="3" t="s">
        <v>21857</v>
      </c>
      <c r="AH8161" s="11">
        <f>HYPERLINK("https://my.pitchbook.com?c=28516-60T","View Company Online")</f>
      </c>
    </row>
    <row r="8162">
      <c r="A8162" s="12" t="s">
        <v>35726</v>
      </c>
      <c r="B8162" s="12" t="s">
        <v>35727</v>
      </c>
      <c r="C8162" s="19" t="s">
        <v>36</v>
      </c>
      <c r="D8162" s="19" t="s">
        <v>36</v>
      </c>
      <c r="E8162" s="19" t="s">
        <v>36</v>
      </c>
      <c r="F8162" s="19" t="s">
        <v>36</v>
      </c>
      <c r="G8162" s="15" t="s">
        <v>36</v>
      </c>
      <c r="H8162" s="14" t="s">
        <v>36</v>
      </c>
      <c r="I8162" s="18" t="s">
        <v>36</v>
      </c>
      <c r="J8162" s="12" t="s">
        <v>36</v>
      </c>
      <c r="K8162" s="13" t="s">
        <v>36</v>
      </c>
      <c r="L8162" s="15" t="s">
        <v>36</v>
      </c>
      <c r="M8162" s="12" t="s">
        <v>36</v>
      </c>
      <c r="N8162" s="12" t="s">
        <v>36</v>
      </c>
      <c r="O8162" s="17" t="s">
        <v>36</v>
      </c>
      <c r="P8162" s="12" t="s">
        <v>36</v>
      </c>
      <c r="Q8162" s="12" t="s">
        <v>36</v>
      </c>
      <c r="R8162" s="12" t="s">
        <v>36</v>
      </c>
      <c r="S8162" s="12" t="s">
        <v>36</v>
      </c>
      <c r="T8162" s="12" t="s">
        <v>35728</v>
      </c>
      <c r="U8162" s="12" t="s">
        <v>74</v>
      </c>
      <c r="V8162" s="12" t="s">
        <v>75</v>
      </c>
      <c r="W8162" s="12" t="s">
        <v>35729</v>
      </c>
      <c r="X8162" s="16" t="s">
        <v>35730</v>
      </c>
      <c r="Y8162" s="15" t="s">
        <v>42</v>
      </c>
      <c r="Z8162" s="14">
        <v>0.61</v>
      </c>
      <c r="AA8162" s="14" t="s">
        <v>36</v>
      </c>
      <c r="AB8162" s="12" t="s">
        <v>43</v>
      </c>
      <c r="AC8162" s="12" t="s">
        <v>35731</v>
      </c>
      <c r="AD8162" s="13">
        <v>41310</v>
      </c>
      <c r="AE8162" s="12" t="s">
        <v>362</v>
      </c>
      <c r="AF8162" s="12" t="s">
        <v>13004</v>
      </c>
      <c r="AG8162" s="12" t="s">
        <v>15404</v>
      </c>
      <c r="AH8162" s="1">
        <f>HYPERLINK("https://my.pitchbook.com?c=30158-47T","View Company Online")</f>
      </c>
    </row>
    <row r="8163">
      <c r="A8163" s="3" t="s">
        <v>35732</v>
      </c>
      <c r="B8163" s="3" t="s">
        <v>23045</v>
      </c>
      <c r="C8163" s="5" t="s">
        <v>36</v>
      </c>
      <c r="D8163" s="5" t="s">
        <v>36</v>
      </c>
      <c r="E8163" s="5" t="s">
        <v>36</v>
      </c>
      <c r="F8163" s="5" t="s">
        <v>36</v>
      </c>
      <c r="G8163" s="6" t="s">
        <v>36</v>
      </c>
      <c r="H8163" s="4">
        <v>18.88</v>
      </c>
      <c r="I8163" s="7">
        <v>27.5</v>
      </c>
      <c r="J8163" s="3" t="s">
        <v>327</v>
      </c>
      <c r="K8163" s="9" t="s">
        <v>36</v>
      </c>
      <c r="L8163" s="6" t="s">
        <v>36</v>
      </c>
      <c r="M8163" s="3" t="s">
        <v>36</v>
      </c>
      <c r="N8163" s="3" t="s">
        <v>36</v>
      </c>
      <c r="O8163" s="8" t="s">
        <v>36</v>
      </c>
      <c r="P8163" s="3" t="s">
        <v>36</v>
      </c>
      <c r="Q8163" s="3" t="s">
        <v>36</v>
      </c>
      <c r="R8163" s="3" t="s">
        <v>36</v>
      </c>
      <c r="S8163" s="3" t="s">
        <v>36</v>
      </c>
      <c r="T8163" s="3" t="s">
        <v>23046</v>
      </c>
      <c r="U8163" s="3" t="s">
        <v>619</v>
      </c>
      <c r="V8163" s="3" t="s">
        <v>378</v>
      </c>
      <c r="W8163" s="3" t="s">
        <v>23047</v>
      </c>
      <c r="X8163" s="10" t="s">
        <v>35733</v>
      </c>
      <c r="Y8163" s="6" t="s">
        <v>42</v>
      </c>
      <c r="Z8163" s="4">
        <v>0.27</v>
      </c>
      <c r="AA8163" s="4">
        <v>0.97</v>
      </c>
      <c r="AB8163" s="3" t="s">
        <v>43</v>
      </c>
      <c r="AC8163" s="3" t="s">
        <v>23049</v>
      </c>
      <c r="AD8163" s="9">
        <v>41306</v>
      </c>
      <c r="AE8163" s="3" t="s">
        <v>3891</v>
      </c>
      <c r="AF8163" s="3" t="s">
        <v>1619</v>
      </c>
      <c r="AG8163" s="3" t="s">
        <v>23050</v>
      </c>
      <c r="AH8163" s="11">
        <f>HYPERLINK("https://my.pitchbook.com?c=133305-13T","View Company Online")</f>
      </c>
    </row>
    <row r="8164">
      <c r="A8164" s="12" t="s">
        <v>35734</v>
      </c>
      <c r="B8164" s="12" t="s">
        <v>20911</v>
      </c>
      <c r="C8164" s="19">
        <v>1</v>
      </c>
      <c r="D8164" s="19">
        <v>6</v>
      </c>
      <c r="E8164" s="19">
        <v>3</v>
      </c>
      <c r="F8164" s="19">
        <v>9</v>
      </c>
      <c r="G8164" s="15" t="s">
        <v>36</v>
      </c>
      <c r="H8164" s="14">
        <v>34.63</v>
      </c>
      <c r="I8164" s="18">
        <v>40.65</v>
      </c>
      <c r="J8164" s="12" t="s">
        <v>521</v>
      </c>
      <c r="K8164" s="13" t="s">
        <v>36</v>
      </c>
      <c r="L8164" s="15" t="s">
        <v>36</v>
      </c>
      <c r="M8164" s="12" t="s">
        <v>36</v>
      </c>
      <c r="N8164" s="12" t="s">
        <v>36</v>
      </c>
      <c r="O8164" s="17" t="s">
        <v>36</v>
      </c>
      <c r="P8164" s="12" t="s">
        <v>36</v>
      </c>
      <c r="Q8164" s="12" t="s">
        <v>36</v>
      </c>
      <c r="R8164" s="12" t="s">
        <v>36</v>
      </c>
      <c r="S8164" s="12" t="s">
        <v>36</v>
      </c>
      <c r="T8164" s="12" t="s">
        <v>2255</v>
      </c>
      <c r="U8164" s="12" t="s">
        <v>833</v>
      </c>
      <c r="V8164" s="12" t="s">
        <v>64</v>
      </c>
      <c r="W8164" s="12" t="s">
        <v>20912</v>
      </c>
      <c r="X8164" s="16" t="s">
        <v>35735</v>
      </c>
      <c r="Y8164" s="15" t="s">
        <v>42</v>
      </c>
      <c r="Z8164" s="14">
        <v>0.27</v>
      </c>
      <c r="AA8164" s="14">
        <v>0.67</v>
      </c>
      <c r="AB8164" s="12" t="s">
        <v>43</v>
      </c>
      <c r="AC8164" s="12" t="s">
        <v>20914</v>
      </c>
      <c r="AD8164" s="13">
        <v>41306</v>
      </c>
      <c r="AE8164" s="12" t="s">
        <v>1769</v>
      </c>
      <c r="AF8164" s="12" t="s">
        <v>571</v>
      </c>
      <c r="AG8164" s="12" t="s">
        <v>741</v>
      </c>
      <c r="AH8164" s="1">
        <f>HYPERLINK("https://my.pitchbook.com?c=38419-66T","View Company Online")</f>
      </c>
    </row>
    <row r="8165">
      <c r="A8165" s="3" t="s">
        <v>35736</v>
      </c>
      <c r="B8165" s="3" t="s">
        <v>29296</v>
      </c>
      <c r="C8165" s="5">
        <v>5</v>
      </c>
      <c r="D8165" s="5">
        <v>22</v>
      </c>
      <c r="E8165" s="5">
        <v>5</v>
      </c>
      <c r="F8165" s="5">
        <v>27</v>
      </c>
      <c r="G8165" s="6" t="s">
        <v>326</v>
      </c>
      <c r="H8165" s="4">
        <v>63.72</v>
      </c>
      <c r="I8165" s="7">
        <v>6.92</v>
      </c>
      <c r="J8165" s="3" t="s">
        <v>521</v>
      </c>
      <c r="K8165" s="9">
        <v>41222</v>
      </c>
      <c r="L8165" s="6" t="s">
        <v>94</v>
      </c>
      <c r="M8165" s="3" t="s">
        <v>36</v>
      </c>
      <c r="N8165" s="3" t="s">
        <v>94</v>
      </c>
      <c r="O8165" s="8" t="s">
        <v>36</v>
      </c>
      <c r="P8165" s="3" t="s">
        <v>36</v>
      </c>
      <c r="Q8165" s="3" t="s">
        <v>36</v>
      </c>
      <c r="R8165" s="3" t="s">
        <v>36</v>
      </c>
      <c r="S8165" s="3" t="s">
        <v>36</v>
      </c>
      <c r="T8165" s="3" t="s">
        <v>29297</v>
      </c>
      <c r="U8165" s="3" t="s">
        <v>51</v>
      </c>
      <c r="V8165" s="3" t="s">
        <v>52</v>
      </c>
      <c r="W8165" s="3" t="s">
        <v>29298</v>
      </c>
      <c r="X8165" s="10" t="s">
        <v>35737</v>
      </c>
      <c r="Y8165" s="6" t="s">
        <v>55</v>
      </c>
      <c r="Z8165" s="4">
        <v>0.5</v>
      </c>
      <c r="AA8165" s="4">
        <v>7.22</v>
      </c>
      <c r="AB8165" s="3" t="s">
        <v>56</v>
      </c>
      <c r="AC8165" s="3" t="s">
        <v>29300</v>
      </c>
      <c r="AD8165" s="9">
        <v>41306</v>
      </c>
      <c r="AE8165" s="3" t="s">
        <v>158</v>
      </c>
      <c r="AF8165" s="3" t="s">
        <v>1166</v>
      </c>
      <c r="AG8165" s="3" t="s">
        <v>144</v>
      </c>
      <c r="AH8165" s="11">
        <f>HYPERLINK("https://my.pitchbook.com?c=30174-22T","View Company Online")</f>
      </c>
    </row>
    <row r="8166">
      <c r="A8166" s="12" t="s">
        <v>35738</v>
      </c>
      <c r="B8166" s="12" t="s">
        <v>29357</v>
      </c>
      <c r="C8166" s="19" t="s">
        <v>36</v>
      </c>
      <c r="D8166" s="19" t="s">
        <v>36</v>
      </c>
      <c r="E8166" s="19" t="s">
        <v>36</v>
      </c>
      <c r="F8166" s="19" t="s">
        <v>36</v>
      </c>
      <c r="G8166" s="15" t="s">
        <v>36</v>
      </c>
      <c r="H8166" s="14" t="s">
        <v>36</v>
      </c>
      <c r="I8166" s="18" t="s">
        <v>36</v>
      </c>
      <c r="J8166" s="12" t="s">
        <v>36</v>
      </c>
      <c r="K8166" s="13" t="s">
        <v>36</v>
      </c>
      <c r="L8166" s="15" t="s">
        <v>122</v>
      </c>
      <c r="M8166" s="12" t="s">
        <v>36</v>
      </c>
      <c r="N8166" s="12" t="s">
        <v>122</v>
      </c>
      <c r="O8166" s="17" t="s">
        <v>36</v>
      </c>
      <c r="P8166" s="12" t="s">
        <v>36</v>
      </c>
      <c r="Q8166" s="12" t="s">
        <v>36</v>
      </c>
      <c r="R8166" s="12" t="s">
        <v>36</v>
      </c>
      <c r="S8166" s="12" t="s">
        <v>36</v>
      </c>
      <c r="T8166" s="12" t="s">
        <v>1701</v>
      </c>
      <c r="U8166" s="12" t="s">
        <v>74</v>
      </c>
      <c r="V8166" s="12" t="s">
        <v>75</v>
      </c>
      <c r="W8166" s="12" t="s">
        <v>29358</v>
      </c>
      <c r="X8166" s="16" t="s">
        <v>32332</v>
      </c>
      <c r="Y8166" s="15" t="s">
        <v>108</v>
      </c>
      <c r="Z8166" s="14">
        <v>1.55</v>
      </c>
      <c r="AA8166" s="14" t="s">
        <v>36</v>
      </c>
      <c r="AB8166" s="12" t="s">
        <v>43</v>
      </c>
      <c r="AC8166" s="12" t="s">
        <v>29360</v>
      </c>
      <c r="AD8166" s="13">
        <v>41305</v>
      </c>
      <c r="AE8166" s="12" t="s">
        <v>79</v>
      </c>
      <c r="AF8166" s="12" t="s">
        <v>29361</v>
      </c>
      <c r="AG8166" s="12" t="s">
        <v>382</v>
      </c>
      <c r="AH8166" s="1">
        <f>HYPERLINK("https://my.pitchbook.com?c=24554-26T","View Company Online")</f>
      </c>
    </row>
    <row r="8167">
      <c r="A8167" s="3" t="s">
        <v>35739</v>
      </c>
      <c r="B8167" s="3" t="s">
        <v>32264</v>
      </c>
      <c r="C8167" s="5">
        <v>2</v>
      </c>
      <c r="D8167" s="5">
        <v>1</v>
      </c>
      <c r="E8167" s="5">
        <v>2</v>
      </c>
      <c r="F8167" s="5">
        <v>6</v>
      </c>
      <c r="G8167" s="6" t="s">
        <v>683</v>
      </c>
      <c r="H8167" s="4">
        <v>62.31</v>
      </c>
      <c r="I8167" s="7">
        <v>16.49</v>
      </c>
      <c r="J8167" s="3" t="s">
        <v>521</v>
      </c>
      <c r="K8167" s="9" t="s">
        <v>36</v>
      </c>
      <c r="L8167" s="6" t="s">
        <v>36</v>
      </c>
      <c r="M8167" s="3" t="s">
        <v>36</v>
      </c>
      <c r="N8167" s="3" t="s">
        <v>36</v>
      </c>
      <c r="O8167" s="8" t="s">
        <v>36</v>
      </c>
      <c r="P8167" s="3" t="s">
        <v>36</v>
      </c>
      <c r="Q8167" s="3" t="s">
        <v>36</v>
      </c>
      <c r="R8167" s="3" t="s">
        <v>36</v>
      </c>
      <c r="S8167" s="3" t="s">
        <v>36</v>
      </c>
      <c r="T8167" s="3" t="s">
        <v>2321</v>
      </c>
      <c r="U8167" s="3" t="s">
        <v>51</v>
      </c>
      <c r="V8167" s="3" t="s">
        <v>52</v>
      </c>
      <c r="W8167" s="3" t="s">
        <v>32265</v>
      </c>
      <c r="X8167" s="10" t="s">
        <v>27744</v>
      </c>
      <c r="Y8167" s="6" t="s">
        <v>108</v>
      </c>
      <c r="Z8167" s="4">
        <v>1.35</v>
      </c>
      <c r="AA8167" s="4">
        <v>8.19</v>
      </c>
      <c r="AB8167" s="3" t="s">
        <v>56</v>
      </c>
      <c r="AC8167" s="3" t="s">
        <v>32267</v>
      </c>
      <c r="AD8167" s="9">
        <v>41305</v>
      </c>
      <c r="AE8167" s="3" t="s">
        <v>504</v>
      </c>
      <c r="AF8167" s="3" t="s">
        <v>159</v>
      </c>
      <c r="AG8167" s="3" t="s">
        <v>32268</v>
      </c>
      <c r="AH8167" s="11">
        <f>HYPERLINK("https://my.pitchbook.com?c=87962-14T","View Company Online")</f>
      </c>
    </row>
    <row r="8168">
      <c r="A8168" s="12" t="s">
        <v>35740</v>
      </c>
      <c r="B8168" s="12" t="s">
        <v>35001</v>
      </c>
      <c r="C8168" s="19">
        <v>47</v>
      </c>
      <c r="D8168" s="19">
        <v>163</v>
      </c>
      <c r="E8168" s="19">
        <v>48</v>
      </c>
      <c r="F8168" s="19">
        <v>279</v>
      </c>
      <c r="G8168" s="15" t="s">
        <v>36</v>
      </c>
      <c r="H8168" s="14" t="s">
        <v>36</v>
      </c>
      <c r="I8168" s="18" t="s">
        <v>36</v>
      </c>
      <c r="J8168" s="12" t="s">
        <v>36</v>
      </c>
      <c r="K8168" s="13" t="s">
        <v>36</v>
      </c>
      <c r="L8168" s="15" t="s">
        <v>36</v>
      </c>
      <c r="M8168" s="12" t="s">
        <v>36</v>
      </c>
      <c r="N8168" s="12" t="s">
        <v>36</v>
      </c>
      <c r="O8168" s="17" t="s">
        <v>36</v>
      </c>
      <c r="P8168" s="12" t="s">
        <v>36</v>
      </c>
      <c r="Q8168" s="12" t="s">
        <v>36</v>
      </c>
      <c r="R8168" s="12" t="s">
        <v>36</v>
      </c>
      <c r="S8168" s="12" t="s">
        <v>36</v>
      </c>
      <c r="T8168" s="12" t="s">
        <v>154</v>
      </c>
      <c r="U8168" s="12" t="s">
        <v>51</v>
      </c>
      <c r="V8168" s="12" t="s">
        <v>52</v>
      </c>
      <c r="W8168" s="12" t="s">
        <v>35002</v>
      </c>
      <c r="X8168" s="16" t="s">
        <v>33627</v>
      </c>
      <c r="Y8168" s="15" t="s">
        <v>55</v>
      </c>
      <c r="Z8168" s="14">
        <v>1.33</v>
      </c>
      <c r="AA8168" s="14" t="s">
        <v>36</v>
      </c>
      <c r="AB8168" s="12" t="s">
        <v>43</v>
      </c>
      <c r="AC8168" s="12" t="s">
        <v>35004</v>
      </c>
      <c r="AD8168" s="13">
        <v>41305</v>
      </c>
      <c r="AE8168" s="12" t="s">
        <v>158</v>
      </c>
      <c r="AF8168" s="12" t="s">
        <v>35005</v>
      </c>
      <c r="AG8168" s="12" t="s">
        <v>13364</v>
      </c>
      <c r="AH8168" s="1">
        <f>HYPERLINK("https://my.pitchbook.com?c=28789-12T","View Company Online")</f>
      </c>
    </row>
    <row r="8169">
      <c r="A8169" s="3" t="s">
        <v>35741</v>
      </c>
      <c r="B8169" s="3" t="s">
        <v>35742</v>
      </c>
      <c r="C8169" s="5" t="s">
        <v>36</v>
      </c>
      <c r="D8169" s="5" t="s">
        <v>36</v>
      </c>
      <c r="E8169" s="5" t="s">
        <v>36</v>
      </c>
      <c r="F8169" s="5" t="s">
        <v>36</v>
      </c>
      <c r="G8169" s="6" t="s">
        <v>36</v>
      </c>
      <c r="H8169" s="4" t="s">
        <v>36</v>
      </c>
      <c r="I8169" s="7" t="s">
        <v>36</v>
      </c>
      <c r="J8169" s="3" t="s">
        <v>36</v>
      </c>
      <c r="K8169" s="9" t="s">
        <v>36</v>
      </c>
      <c r="L8169" s="6" t="s">
        <v>36</v>
      </c>
      <c r="M8169" s="3" t="s">
        <v>36</v>
      </c>
      <c r="N8169" s="3" t="s">
        <v>36</v>
      </c>
      <c r="O8169" s="8" t="s">
        <v>36</v>
      </c>
      <c r="P8169" s="3" t="s">
        <v>36</v>
      </c>
      <c r="Q8169" s="3" t="s">
        <v>36</v>
      </c>
      <c r="R8169" s="3" t="s">
        <v>36</v>
      </c>
      <c r="S8169" s="3" t="s">
        <v>36</v>
      </c>
      <c r="T8169" s="3" t="s">
        <v>768</v>
      </c>
      <c r="U8169" s="3" t="s">
        <v>233</v>
      </c>
      <c r="V8169" s="3" t="s">
        <v>39</v>
      </c>
      <c r="W8169" s="3" t="s">
        <v>35743</v>
      </c>
      <c r="X8169" s="10" t="s">
        <v>17804</v>
      </c>
      <c r="Y8169" s="6" t="s">
        <v>42</v>
      </c>
      <c r="Z8169" s="4">
        <v>1.33</v>
      </c>
      <c r="AA8169" s="4" t="s">
        <v>36</v>
      </c>
      <c r="AB8169" s="3" t="s">
        <v>56</v>
      </c>
      <c r="AC8169" s="3" t="s">
        <v>35744</v>
      </c>
      <c r="AD8169" s="9">
        <v>41305</v>
      </c>
      <c r="AE8169" s="3" t="s">
        <v>236</v>
      </c>
      <c r="AF8169" s="3" t="s">
        <v>15576</v>
      </c>
      <c r="AG8169" s="3" t="s">
        <v>899</v>
      </c>
      <c r="AH8169" s="11">
        <f>HYPERLINK("https://my.pitchbook.com?c=26140-51T","View Company Online")</f>
      </c>
    </row>
    <row r="8170">
      <c r="A8170" s="12" t="s">
        <v>35745</v>
      </c>
      <c r="B8170" s="12" t="s">
        <v>31796</v>
      </c>
      <c r="C8170" s="19" t="s">
        <v>36</v>
      </c>
      <c r="D8170" s="19" t="s">
        <v>36</v>
      </c>
      <c r="E8170" s="19" t="s">
        <v>36</v>
      </c>
      <c r="F8170" s="19" t="s">
        <v>36</v>
      </c>
      <c r="G8170" s="15" t="s">
        <v>36</v>
      </c>
      <c r="H8170" s="14">
        <v>16.13</v>
      </c>
      <c r="I8170" s="18">
        <v>19.05</v>
      </c>
      <c r="J8170" s="12" t="s">
        <v>521</v>
      </c>
      <c r="K8170" s="13" t="s">
        <v>36</v>
      </c>
      <c r="L8170" s="15" t="s">
        <v>36</v>
      </c>
      <c r="M8170" s="12" t="s">
        <v>36</v>
      </c>
      <c r="N8170" s="12" t="s">
        <v>36</v>
      </c>
      <c r="O8170" s="17" t="s">
        <v>36</v>
      </c>
      <c r="P8170" s="12" t="s">
        <v>36</v>
      </c>
      <c r="Q8170" s="12" t="s">
        <v>36</v>
      </c>
      <c r="R8170" s="12" t="s">
        <v>36</v>
      </c>
      <c r="S8170" s="12" t="s">
        <v>2489</v>
      </c>
      <c r="T8170" s="12" t="s">
        <v>31797</v>
      </c>
      <c r="U8170" s="12" t="s">
        <v>318</v>
      </c>
      <c r="V8170" s="12" t="s">
        <v>39</v>
      </c>
      <c r="W8170" s="12" t="s">
        <v>31798</v>
      </c>
      <c r="X8170" s="16" t="s">
        <v>35746</v>
      </c>
      <c r="Y8170" s="15" t="s">
        <v>42</v>
      </c>
      <c r="Z8170" s="14">
        <v>0.27</v>
      </c>
      <c r="AA8170" s="14">
        <v>1.31</v>
      </c>
      <c r="AB8170" s="12" t="s">
        <v>43</v>
      </c>
      <c r="AC8170" s="12" t="s">
        <v>31800</v>
      </c>
      <c r="AD8170" s="13">
        <v>41303</v>
      </c>
      <c r="AE8170" s="12" t="s">
        <v>763</v>
      </c>
      <c r="AF8170" s="12" t="s">
        <v>31801</v>
      </c>
      <c r="AG8170" s="12" t="s">
        <v>81</v>
      </c>
      <c r="AH8170" s="1">
        <f>HYPERLINK("https://my.pitchbook.com?c=44117-29T","View Company Online")</f>
      </c>
    </row>
    <row r="8171">
      <c r="A8171" s="3" t="s">
        <v>35747</v>
      </c>
      <c r="B8171" s="3" t="s">
        <v>33501</v>
      </c>
      <c r="C8171" s="5" t="s">
        <v>36</v>
      </c>
      <c r="D8171" s="5" t="s">
        <v>36</v>
      </c>
      <c r="E8171" s="5" t="s">
        <v>36</v>
      </c>
      <c r="F8171" s="5" t="s">
        <v>36</v>
      </c>
      <c r="G8171" s="6" t="s">
        <v>36</v>
      </c>
      <c r="H8171" s="4" t="s">
        <v>36</v>
      </c>
      <c r="I8171" s="7" t="s">
        <v>36</v>
      </c>
      <c r="J8171" s="3" t="s">
        <v>36</v>
      </c>
      <c r="K8171" s="9" t="s">
        <v>36</v>
      </c>
      <c r="L8171" s="6" t="s">
        <v>36</v>
      </c>
      <c r="M8171" s="3" t="s">
        <v>36</v>
      </c>
      <c r="N8171" s="3" t="s">
        <v>36</v>
      </c>
      <c r="O8171" s="8" t="s">
        <v>36</v>
      </c>
      <c r="P8171" s="3" t="s">
        <v>36</v>
      </c>
      <c r="Q8171" s="3" t="s">
        <v>36</v>
      </c>
      <c r="R8171" s="3" t="s">
        <v>36</v>
      </c>
      <c r="S8171" s="3" t="s">
        <v>36</v>
      </c>
      <c r="T8171" s="3" t="s">
        <v>278</v>
      </c>
      <c r="U8171" s="3" t="s">
        <v>279</v>
      </c>
      <c r="V8171" s="3" t="s">
        <v>64</v>
      </c>
      <c r="W8171" s="3" t="s">
        <v>33502</v>
      </c>
      <c r="X8171" s="10" t="s">
        <v>35268</v>
      </c>
      <c r="Y8171" s="6" t="s">
        <v>42</v>
      </c>
      <c r="Z8171" s="4">
        <v>0.46</v>
      </c>
      <c r="AA8171" s="4" t="s">
        <v>36</v>
      </c>
      <c r="AB8171" s="3" t="s">
        <v>43</v>
      </c>
      <c r="AC8171" s="3" t="s">
        <v>33504</v>
      </c>
      <c r="AD8171" s="9">
        <v>41303</v>
      </c>
      <c r="AE8171" s="3" t="s">
        <v>283</v>
      </c>
      <c r="AF8171" s="3" t="s">
        <v>1636</v>
      </c>
      <c r="AG8171" s="3" t="s">
        <v>9648</v>
      </c>
      <c r="AH8171" s="11">
        <f>HYPERLINK("https://my.pitchbook.com?c=29748-97T","View Company Online")</f>
      </c>
    </row>
    <row r="8172">
      <c r="A8172" s="12" t="s">
        <v>35748</v>
      </c>
      <c r="B8172" s="12" t="s">
        <v>28836</v>
      </c>
      <c r="C8172" s="19" t="s">
        <v>36</v>
      </c>
      <c r="D8172" s="19">
        <v>3</v>
      </c>
      <c r="E8172" s="19">
        <v>4</v>
      </c>
      <c r="F8172" s="19">
        <v>5</v>
      </c>
      <c r="G8172" s="15" t="s">
        <v>36</v>
      </c>
      <c r="H8172" s="14">
        <v>14.12</v>
      </c>
      <c r="I8172" s="18">
        <v>18.47</v>
      </c>
      <c r="J8172" s="12" t="s">
        <v>521</v>
      </c>
      <c r="K8172" s="13" t="s">
        <v>36</v>
      </c>
      <c r="L8172" s="15" t="s">
        <v>36</v>
      </c>
      <c r="M8172" s="12" t="s">
        <v>36</v>
      </c>
      <c r="N8172" s="12" t="s">
        <v>36</v>
      </c>
      <c r="O8172" s="17" t="s">
        <v>36</v>
      </c>
      <c r="P8172" s="12" t="s">
        <v>36</v>
      </c>
      <c r="Q8172" s="12" t="s">
        <v>36</v>
      </c>
      <c r="R8172" s="12" t="s">
        <v>36</v>
      </c>
      <c r="S8172" s="12" t="s">
        <v>36</v>
      </c>
      <c r="T8172" s="12" t="s">
        <v>5732</v>
      </c>
      <c r="U8172" s="12" t="s">
        <v>96</v>
      </c>
      <c r="V8172" s="12" t="s">
        <v>52</v>
      </c>
      <c r="W8172" s="12" t="s">
        <v>28837</v>
      </c>
      <c r="X8172" s="16" t="s">
        <v>35749</v>
      </c>
      <c r="Y8172" s="15" t="s">
        <v>42</v>
      </c>
      <c r="Z8172" s="14">
        <v>1.02</v>
      </c>
      <c r="AA8172" s="14">
        <v>5.54</v>
      </c>
      <c r="AB8172" s="12" t="s">
        <v>43</v>
      </c>
      <c r="AC8172" s="12" t="s">
        <v>28839</v>
      </c>
      <c r="AD8172" s="13">
        <v>41303</v>
      </c>
      <c r="AE8172" s="12" t="s">
        <v>496</v>
      </c>
      <c r="AF8172" s="12" t="s">
        <v>571</v>
      </c>
      <c r="AG8172" s="12" t="s">
        <v>28840</v>
      </c>
      <c r="AH8172" s="1">
        <f>HYPERLINK("https://my.pitchbook.com?c=207986-86T","View Company Online")</f>
      </c>
    </row>
    <row r="8173">
      <c r="A8173" s="3" t="s">
        <v>35750</v>
      </c>
      <c r="B8173" s="3" t="s">
        <v>35751</v>
      </c>
      <c r="C8173" s="5" t="s">
        <v>36</v>
      </c>
      <c r="D8173" s="5" t="s">
        <v>36</v>
      </c>
      <c r="E8173" s="5" t="s">
        <v>36</v>
      </c>
      <c r="F8173" s="5" t="s">
        <v>36</v>
      </c>
      <c r="G8173" s="6" t="s">
        <v>36</v>
      </c>
      <c r="H8173" s="4" t="s">
        <v>36</v>
      </c>
      <c r="I8173" s="7" t="s">
        <v>36</v>
      </c>
      <c r="J8173" s="3" t="s">
        <v>36</v>
      </c>
      <c r="K8173" s="9" t="s">
        <v>36</v>
      </c>
      <c r="L8173" s="6" t="s">
        <v>122</v>
      </c>
      <c r="M8173" s="3" t="s">
        <v>36</v>
      </c>
      <c r="N8173" s="3" t="s">
        <v>122</v>
      </c>
      <c r="O8173" s="8" t="s">
        <v>36</v>
      </c>
      <c r="P8173" s="3" t="s">
        <v>36</v>
      </c>
      <c r="Q8173" s="3" t="s">
        <v>36</v>
      </c>
      <c r="R8173" s="3" t="s">
        <v>36</v>
      </c>
      <c r="S8173" s="3" t="s">
        <v>36</v>
      </c>
      <c r="T8173" s="3" t="s">
        <v>35752</v>
      </c>
      <c r="U8173" s="3" t="s">
        <v>38</v>
      </c>
      <c r="V8173" s="3" t="s">
        <v>39</v>
      </c>
      <c r="W8173" s="3" t="s">
        <v>35753</v>
      </c>
      <c r="X8173" s="10" t="s">
        <v>35754</v>
      </c>
      <c r="Y8173" s="6" t="s">
        <v>42</v>
      </c>
      <c r="Z8173" s="4">
        <v>0.5</v>
      </c>
      <c r="AA8173" s="4" t="s">
        <v>36</v>
      </c>
      <c r="AB8173" s="3" t="s">
        <v>43</v>
      </c>
      <c r="AC8173" s="3" t="s">
        <v>35755</v>
      </c>
      <c r="AD8173" s="9">
        <v>41303</v>
      </c>
      <c r="AE8173" s="3" t="s">
        <v>1945</v>
      </c>
      <c r="AF8173" s="3" t="s">
        <v>35756</v>
      </c>
      <c r="AG8173" s="3" t="s">
        <v>35757</v>
      </c>
      <c r="AH8173" s="11">
        <f>HYPERLINK("https://my.pitchbook.com?c=38479-96T","View Company Online")</f>
      </c>
    </row>
    <row r="8174">
      <c r="A8174" s="12" t="s">
        <v>35758</v>
      </c>
      <c r="B8174" s="12" t="s">
        <v>35759</v>
      </c>
      <c r="C8174" s="19" t="s">
        <v>36</v>
      </c>
      <c r="D8174" s="19" t="s">
        <v>36</v>
      </c>
      <c r="E8174" s="19" t="s">
        <v>36</v>
      </c>
      <c r="F8174" s="19" t="s">
        <v>36</v>
      </c>
      <c r="G8174" s="15" t="s">
        <v>36</v>
      </c>
      <c r="H8174" s="14" t="s">
        <v>36</v>
      </c>
      <c r="I8174" s="18" t="s">
        <v>36</v>
      </c>
      <c r="J8174" s="12" t="s">
        <v>36</v>
      </c>
      <c r="K8174" s="13" t="s">
        <v>36</v>
      </c>
      <c r="L8174" s="15" t="s">
        <v>122</v>
      </c>
      <c r="M8174" s="12" t="s">
        <v>36</v>
      </c>
      <c r="N8174" s="12" t="s">
        <v>122</v>
      </c>
      <c r="O8174" s="17" t="s">
        <v>36</v>
      </c>
      <c r="P8174" s="12" t="s">
        <v>36</v>
      </c>
      <c r="Q8174" s="12" t="s">
        <v>36</v>
      </c>
      <c r="R8174" s="12" t="s">
        <v>36</v>
      </c>
      <c r="S8174" s="12" t="s">
        <v>36</v>
      </c>
      <c r="T8174" s="12" t="s">
        <v>35760</v>
      </c>
      <c r="U8174" s="12" t="s">
        <v>74</v>
      </c>
      <c r="V8174" s="12" t="s">
        <v>75</v>
      </c>
      <c r="W8174" s="12" t="s">
        <v>35761</v>
      </c>
      <c r="X8174" s="16" t="s">
        <v>34155</v>
      </c>
      <c r="Y8174" s="15" t="s">
        <v>42</v>
      </c>
      <c r="Z8174" s="14">
        <v>1.99</v>
      </c>
      <c r="AA8174" s="14" t="s">
        <v>36</v>
      </c>
      <c r="AB8174" s="12" t="s">
        <v>43</v>
      </c>
      <c r="AC8174" s="12" t="s">
        <v>35762</v>
      </c>
      <c r="AD8174" s="13">
        <v>41299</v>
      </c>
      <c r="AE8174" s="12" t="s">
        <v>975</v>
      </c>
      <c r="AF8174" s="12" t="s">
        <v>36</v>
      </c>
      <c r="AG8174" s="12" t="s">
        <v>35763</v>
      </c>
      <c r="AH8174" s="1">
        <f>HYPERLINK("https://my.pitchbook.com?c=29805-31T","View Company Online")</f>
      </c>
    </row>
    <row r="8175">
      <c r="A8175" s="3" t="s">
        <v>35764</v>
      </c>
      <c r="B8175" s="3" t="s">
        <v>35765</v>
      </c>
      <c r="C8175" s="5" t="s">
        <v>36</v>
      </c>
      <c r="D8175" s="5" t="s">
        <v>36</v>
      </c>
      <c r="E8175" s="5" t="s">
        <v>36</v>
      </c>
      <c r="F8175" s="5" t="s">
        <v>36</v>
      </c>
      <c r="G8175" s="6" t="s">
        <v>683</v>
      </c>
      <c r="H8175" s="4">
        <v>10.39</v>
      </c>
      <c r="I8175" s="7">
        <v>18.3</v>
      </c>
      <c r="J8175" s="3" t="s">
        <v>521</v>
      </c>
      <c r="K8175" s="9" t="s">
        <v>36</v>
      </c>
      <c r="L8175" s="6" t="s">
        <v>36</v>
      </c>
      <c r="M8175" s="3" t="s">
        <v>36</v>
      </c>
      <c r="N8175" s="3" t="s">
        <v>36</v>
      </c>
      <c r="O8175" s="8" t="s">
        <v>36</v>
      </c>
      <c r="P8175" s="3" t="s">
        <v>36</v>
      </c>
      <c r="Q8175" s="3" t="s">
        <v>36</v>
      </c>
      <c r="R8175" s="3" t="s">
        <v>36</v>
      </c>
      <c r="S8175" s="3" t="s">
        <v>36</v>
      </c>
      <c r="T8175" s="3" t="s">
        <v>35766</v>
      </c>
      <c r="U8175" s="3" t="s">
        <v>219</v>
      </c>
      <c r="V8175" s="3" t="s">
        <v>75</v>
      </c>
      <c r="W8175" s="3" t="s">
        <v>35767</v>
      </c>
      <c r="X8175" s="10" t="s">
        <v>35768</v>
      </c>
      <c r="Y8175" s="6" t="s">
        <v>108</v>
      </c>
      <c r="Z8175" s="4">
        <v>1.59</v>
      </c>
      <c r="AA8175" s="4">
        <v>8.69</v>
      </c>
      <c r="AB8175" s="3" t="s">
        <v>56</v>
      </c>
      <c r="AC8175" s="3" t="s">
        <v>35769</v>
      </c>
      <c r="AD8175" s="9">
        <v>41299</v>
      </c>
      <c r="AE8175" s="3" t="s">
        <v>223</v>
      </c>
      <c r="AF8175" s="3" t="s">
        <v>1969</v>
      </c>
      <c r="AG8175" s="3" t="s">
        <v>35770</v>
      </c>
      <c r="AH8175" s="11">
        <f>HYPERLINK("https://my.pitchbook.com?c=118473-94T","View Company Online")</f>
      </c>
    </row>
    <row r="8176">
      <c r="A8176" s="12" t="s">
        <v>35771</v>
      </c>
      <c r="B8176" s="12" t="s">
        <v>35772</v>
      </c>
      <c r="C8176" s="19" t="s">
        <v>36</v>
      </c>
      <c r="D8176" s="19" t="s">
        <v>36</v>
      </c>
      <c r="E8176" s="19" t="s">
        <v>36</v>
      </c>
      <c r="F8176" s="19" t="s">
        <v>36</v>
      </c>
      <c r="G8176" s="15" t="s">
        <v>36</v>
      </c>
      <c r="H8176" s="14" t="s">
        <v>36</v>
      </c>
      <c r="I8176" s="18" t="s">
        <v>36</v>
      </c>
      <c r="J8176" s="12" t="s">
        <v>36</v>
      </c>
      <c r="K8176" s="13">
        <v>41264</v>
      </c>
      <c r="L8176" s="15" t="s">
        <v>36</v>
      </c>
      <c r="M8176" s="12" t="s">
        <v>36</v>
      </c>
      <c r="N8176" s="12" t="s">
        <v>36</v>
      </c>
      <c r="O8176" s="17" t="s">
        <v>36</v>
      </c>
      <c r="P8176" s="12" t="s">
        <v>36</v>
      </c>
      <c r="Q8176" s="12" t="s">
        <v>36</v>
      </c>
      <c r="R8176" s="12" t="s">
        <v>36</v>
      </c>
      <c r="S8176" s="12" t="s">
        <v>36</v>
      </c>
      <c r="T8176" s="12" t="s">
        <v>105</v>
      </c>
      <c r="U8176" s="12" t="s">
        <v>38</v>
      </c>
      <c r="V8176" s="12" t="s">
        <v>39</v>
      </c>
      <c r="W8176" s="12" t="s">
        <v>35773</v>
      </c>
      <c r="X8176" s="16" t="s">
        <v>35774</v>
      </c>
      <c r="Y8176" s="15" t="s">
        <v>108</v>
      </c>
      <c r="Z8176" s="14">
        <v>1.32</v>
      </c>
      <c r="AA8176" s="14" t="s">
        <v>36</v>
      </c>
      <c r="AB8176" s="12" t="s">
        <v>43</v>
      </c>
      <c r="AC8176" s="12" t="s">
        <v>35775</v>
      </c>
      <c r="AD8176" s="13">
        <v>41299</v>
      </c>
      <c r="AE8176" s="12" t="s">
        <v>110</v>
      </c>
      <c r="AF8176" s="12" t="s">
        <v>1636</v>
      </c>
      <c r="AG8176" s="12" t="s">
        <v>144</v>
      </c>
      <c r="AH8176" s="1">
        <f>HYPERLINK("https://my.pitchbook.com?c=26323-30T","View Company Online")</f>
      </c>
    </row>
    <row r="8177">
      <c r="A8177" s="3" t="s">
        <v>35776</v>
      </c>
      <c r="B8177" s="3" t="s">
        <v>25866</v>
      </c>
      <c r="C8177" s="5" t="s">
        <v>36</v>
      </c>
      <c r="D8177" s="5" t="s">
        <v>36</v>
      </c>
      <c r="E8177" s="5" t="s">
        <v>36</v>
      </c>
      <c r="F8177" s="5" t="s">
        <v>36</v>
      </c>
      <c r="G8177" s="6" t="s">
        <v>326</v>
      </c>
      <c r="H8177" s="4">
        <v>2.85</v>
      </c>
      <c r="I8177" s="7">
        <v>31.38</v>
      </c>
      <c r="J8177" s="3" t="s">
        <v>521</v>
      </c>
      <c r="K8177" s="9">
        <v>41244</v>
      </c>
      <c r="L8177" s="6" t="s">
        <v>36</v>
      </c>
      <c r="M8177" s="3" t="s">
        <v>36</v>
      </c>
      <c r="N8177" s="3" t="s">
        <v>36</v>
      </c>
      <c r="O8177" s="8" t="s">
        <v>36</v>
      </c>
      <c r="P8177" s="3" t="s">
        <v>36</v>
      </c>
      <c r="Q8177" s="3" t="s">
        <v>36</v>
      </c>
      <c r="R8177" s="3" t="s">
        <v>36</v>
      </c>
      <c r="S8177" s="3" t="s">
        <v>36</v>
      </c>
      <c r="T8177" s="3" t="s">
        <v>1701</v>
      </c>
      <c r="U8177" s="3" t="s">
        <v>74</v>
      </c>
      <c r="V8177" s="3" t="s">
        <v>75</v>
      </c>
      <c r="W8177" s="3" t="s">
        <v>25867</v>
      </c>
      <c r="X8177" s="10" t="s">
        <v>35777</v>
      </c>
      <c r="Y8177" s="6" t="s">
        <v>55</v>
      </c>
      <c r="Z8177" s="4">
        <v>3.9</v>
      </c>
      <c r="AA8177" s="4">
        <v>12.44</v>
      </c>
      <c r="AB8177" s="3" t="s">
        <v>56</v>
      </c>
      <c r="AC8177" s="3" t="s">
        <v>25869</v>
      </c>
      <c r="AD8177" s="9">
        <v>41296</v>
      </c>
      <c r="AE8177" s="3" t="s">
        <v>79</v>
      </c>
      <c r="AF8177" s="3" t="s">
        <v>4099</v>
      </c>
      <c r="AG8177" s="3" t="s">
        <v>47</v>
      </c>
      <c r="AH8177" s="11">
        <f>HYPERLINK("https://my.pitchbook.com?c=28516-96T","View Company Online")</f>
      </c>
    </row>
    <row r="8178">
      <c r="A8178" s="12" t="s">
        <v>35778</v>
      </c>
      <c r="B8178" s="12" t="s">
        <v>25480</v>
      </c>
      <c r="C8178" s="19">
        <v>14</v>
      </c>
      <c r="D8178" s="19">
        <v>126</v>
      </c>
      <c r="E8178" s="19">
        <v>32</v>
      </c>
      <c r="F8178" s="19">
        <v>155</v>
      </c>
      <c r="G8178" s="15" t="s">
        <v>2497</v>
      </c>
      <c r="H8178" s="14">
        <v>0.06</v>
      </c>
      <c r="I8178" s="18">
        <v>29.02</v>
      </c>
      <c r="J8178" s="12" t="s">
        <v>521</v>
      </c>
      <c r="K8178" s="13" t="s">
        <v>36</v>
      </c>
      <c r="L8178" s="15" t="s">
        <v>36</v>
      </c>
      <c r="M8178" s="12" t="s">
        <v>36</v>
      </c>
      <c r="N8178" s="12" t="s">
        <v>36</v>
      </c>
      <c r="O8178" s="17" t="s">
        <v>36</v>
      </c>
      <c r="P8178" s="12" t="s">
        <v>36</v>
      </c>
      <c r="Q8178" s="12" t="s">
        <v>36</v>
      </c>
      <c r="R8178" s="12" t="s">
        <v>36</v>
      </c>
      <c r="S8178" s="12" t="s">
        <v>36</v>
      </c>
      <c r="T8178" s="12" t="s">
        <v>25481</v>
      </c>
      <c r="U8178" s="12" t="s">
        <v>1798</v>
      </c>
      <c r="V8178" s="12" t="s">
        <v>39</v>
      </c>
      <c r="W8178" s="12" t="s">
        <v>25482</v>
      </c>
      <c r="X8178" s="16" t="s">
        <v>35779</v>
      </c>
      <c r="Y8178" s="15" t="s">
        <v>192</v>
      </c>
      <c r="Z8178" s="14">
        <v>6.61</v>
      </c>
      <c r="AA8178" s="14">
        <v>12.27</v>
      </c>
      <c r="AB8178" s="12" t="s">
        <v>43</v>
      </c>
      <c r="AC8178" s="12" t="s">
        <v>25484</v>
      </c>
      <c r="AD8178" s="13">
        <v>41296</v>
      </c>
      <c r="AE8178" s="12" t="s">
        <v>1802</v>
      </c>
      <c r="AF8178" s="12" t="s">
        <v>1636</v>
      </c>
      <c r="AG8178" s="12" t="s">
        <v>969</v>
      </c>
      <c r="AH8178" s="1">
        <f>HYPERLINK("https://my.pitchbook.com?c=28189-18T","View Company Online")</f>
      </c>
    </row>
    <row r="8179">
      <c r="A8179" s="3" t="s">
        <v>35780</v>
      </c>
      <c r="B8179" s="3" t="s">
        <v>35781</v>
      </c>
      <c r="C8179" s="5">
        <v>6</v>
      </c>
      <c r="D8179" s="5">
        <v>16</v>
      </c>
      <c r="E8179" s="5">
        <v>12</v>
      </c>
      <c r="F8179" s="5">
        <v>41</v>
      </c>
      <c r="G8179" s="6" t="s">
        <v>36</v>
      </c>
      <c r="H8179" s="4" t="s">
        <v>36</v>
      </c>
      <c r="I8179" s="7" t="s">
        <v>36</v>
      </c>
      <c r="J8179" s="3" t="s">
        <v>36</v>
      </c>
      <c r="K8179" s="9" t="s">
        <v>36</v>
      </c>
      <c r="L8179" s="6" t="s">
        <v>36</v>
      </c>
      <c r="M8179" s="3" t="s">
        <v>36</v>
      </c>
      <c r="N8179" s="3" t="s">
        <v>36</v>
      </c>
      <c r="O8179" s="8" t="s">
        <v>36</v>
      </c>
      <c r="P8179" s="3" t="s">
        <v>36</v>
      </c>
      <c r="Q8179" s="3" t="s">
        <v>36</v>
      </c>
      <c r="R8179" s="3" t="s">
        <v>36</v>
      </c>
      <c r="S8179" s="3" t="s">
        <v>6657</v>
      </c>
      <c r="T8179" s="3" t="s">
        <v>596</v>
      </c>
      <c r="U8179" s="3" t="s">
        <v>366</v>
      </c>
      <c r="V8179" s="3" t="s">
        <v>367</v>
      </c>
      <c r="W8179" s="3" t="s">
        <v>35782</v>
      </c>
      <c r="X8179" s="10" t="s">
        <v>35783</v>
      </c>
      <c r="Y8179" s="6" t="s">
        <v>55</v>
      </c>
      <c r="Z8179" s="4">
        <v>13.22</v>
      </c>
      <c r="AA8179" s="4" t="s">
        <v>36</v>
      </c>
      <c r="AB8179" s="3" t="s">
        <v>56</v>
      </c>
      <c r="AC8179" s="3" t="s">
        <v>35784</v>
      </c>
      <c r="AD8179" s="9">
        <v>41295</v>
      </c>
      <c r="AE8179" s="3" t="s">
        <v>600</v>
      </c>
      <c r="AF8179" s="3" t="s">
        <v>11188</v>
      </c>
      <c r="AG8179" s="3" t="s">
        <v>969</v>
      </c>
      <c r="AH8179" s="11">
        <f>HYPERLINK("https://my.pitchbook.com?c=24738-22T","View Company Online")</f>
      </c>
    </row>
    <row r="8180">
      <c r="A8180" s="12" t="s">
        <v>35785</v>
      </c>
      <c r="B8180" s="12" t="s">
        <v>35786</v>
      </c>
      <c r="C8180" s="19" t="s">
        <v>36</v>
      </c>
      <c r="D8180" s="19" t="s">
        <v>36</v>
      </c>
      <c r="E8180" s="19" t="s">
        <v>36</v>
      </c>
      <c r="F8180" s="19" t="s">
        <v>36</v>
      </c>
      <c r="G8180" s="15" t="s">
        <v>36</v>
      </c>
      <c r="H8180" s="14" t="s">
        <v>36</v>
      </c>
      <c r="I8180" s="18" t="s">
        <v>36</v>
      </c>
      <c r="J8180" s="12" t="s">
        <v>36</v>
      </c>
      <c r="K8180" s="13" t="s">
        <v>36</v>
      </c>
      <c r="L8180" s="15" t="s">
        <v>36</v>
      </c>
      <c r="M8180" s="12" t="s">
        <v>36</v>
      </c>
      <c r="N8180" s="12" t="s">
        <v>36</v>
      </c>
      <c r="O8180" s="17" t="s">
        <v>36</v>
      </c>
      <c r="P8180" s="12" t="s">
        <v>36</v>
      </c>
      <c r="Q8180" s="12" t="s">
        <v>36</v>
      </c>
      <c r="R8180" s="12" t="s">
        <v>36</v>
      </c>
      <c r="S8180" s="12" t="s">
        <v>36</v>
      </c>
      <c r="T8180" s="12" t="s">
        <v>17385</v>
      </c>
      <c r="U8180" s="12" t="s">
        <v>423</v>
      </c>
      <c r="V8180" s="12" t="s">
        <v>64</v>
      </c>
      <c r="W8180" s="12" t="s">
        <v>35787</v>
      </c>
      <c r="X8180" s="16" t="s">
        <v>29117</v>
      </c>
      <c r="Y8180" s="15" t="s">
        <v>42</v>
      </c>
      <c r="Z8180" s="14">
        <v>0.54</v>
      </c>
      <c r="AA8180" s="14" t="s">
        <v>36</v>
      </c>
      <c r="AB8180" s="12" t="s">
        <v>43</v>
      </c>
      <c r="AC8180" s="12" t="s">
        <v>35788</v>
      </c>
      <c r="AD8180" s="13">
        <v>41293</v>
      </c>
      <c r="AE8180" s="12" t="s">
        <v>562</v>
      </c>
      <c r="AF8180" s="12" t="s">
        <v>36</v>
      </c>
      <c r="AG8180" s="12" t="s">
        <v>35789</v>
      </c>
      <c r="AH8180" s="1">
        <f>HYPERLINK("https://my.pitchbook.com?c=71929-81T","View Company Online")</f>
      </c>
    </row>
    <row r="8181">
      <c r="A8181" s="3" t="s">
        <v>35790</v>
      </c>
      <c r="B8181" s="3" t="s">
        <v>35791</v>
      </c>
      <c r="C8181" s="5" t="s">
        <v>36</v>
      </c>
      <c r="D8181" s="5" t="s">
        <v>36</v>
      </c>
      <c r="E8181" s="5" t="s">
        <v>36</v>
      </c>
      <c r="F8181" s="5" t="s">
        <v>36</v>
      </c>
      <c r="G8181" s="6" t="s">
        <v>683</v>
      </c>
      <c r="H8181" s="4">
        <v>8.31</v>
      </c>
      <c r="I8181" s="7">
        <v>20</v>
      </c>
      <c r="J8181" s="3" t="s">
        <v>521</v>
      </c>
      <c r="K8181" s="9" t="s">
        <v>36</v>
      </c>
      <c r="L8181" s="6" t="s">
        <v>36</v>
      </c>
      <c r="M8181" s="3" t="s">
        <v>36</v>
      </c>
      <c r="N8181" s="3" t="s">
        <v>36</v>
      </c>
      <c r="O8181" s="8" t="s">
        <v>36</v>
      </c>
      <c r="P8181" s="3" t="s">
        <v>36</v>
      </c>
      <c r="Q8181" s="3" t="s">
        <v>36</v>
      </c>
      <c r="R8181" s="3" t="s">
        <v>36</v>
      </c>
      <c r="S8181" s="3" t="s">
        <v>36</v>
      </c>
      <c r="T8181" s="3" t="s">
        <v>31150</v>
      </c>
      <c r="U8181" s="3" t="s">
        <v>74</v>
      </c>
      <c r="V8181" s="3" t="s">
        <v>75</v>
      </c>
      <c r="W8181" s="3" t="s">
        <v>35792</v>
      </c>
      <c r="X8181" s="10" t="s">
        <v>5661</v>
      </c>
      <c r="Y8181" s="6" t="s">
        <v>108</v>
      </c>
      <c r="Z8181" s="4">
        <v>0.03</v>
      </c>
      <c r="AA8181" s="4">
        <v>0.16</v>
      </c>
      <c r="AB8181" s="3" t="s">
        <v>56</v>
      </c>
      <c r="AC8181" s="3" t="s">
        <v>35793</v>
      </c>
      <c r="AD8181" s="9">
        <v>41292</v>
      </c>
      <c r="AE8181" s="3" t="s">
        <v>1243</v>
      </c>
      <c r="AF8181" s="3" t="s">
        <v>36</v>
      </c>
      <c r="AG8181" s="3" t="s">
        <v>35794</v>
      </c>
      <c r="AH8181" s="11">
        <f>HYPERLINK("https://my.pitchbook.com?c=86312-62T","View Company Online")</f>
      </c>
    </row>
    <row r="8182">
      <c r="A8182" s="12" t="s">
        <v>35795</v>
      </c>
      <c r="B8182" s="12" t="s">
        <v>35796</v>
      </c>
      <c r="C8182" s="19" t="s">
        <v>36</v>
      </c>
      <c r="D8182" s="19" t="s">
        <v>36</v>
      </c>
      <c r="E8182" s="19" t="s">
        <v>36</v>
      </c>
      <c r="F8182" s="19" t="s">
        <v>36</v>
      </c>
      <c r="G8182" s="15" t="s">
        <v>36</v>
      </c>
      <c r="H8182" s="14" t="s">
        <v>36</v>
      </c>
      <c r="I8182" s="18" t="s">
        <v>36</v>
      </c>
      <c r="J8182" s="12" t="s">
        <v>36</v>
      </c>
      <c r="K8182" s="13" t="s">
        <v>36</v>
      </c>
      <c r="L8182" s="15" t="s">
        <v>122</v>
      </c>
      <c r="M8182" s="12" t="s">
        <v>36</v>
      </c>
      <c r="N8182" s="12" t="s">
        <v>122</v>
      </c>
      <c r="O8182" s="17" t="s">
        <v>36</v>
      </c>
      <c r="P8182" s="12" t="s">
        <v>36</v>
      </c>
      <c r="Q8182" s="12" t="s">
        <v>36</v>
      </c>
      <c r="R8182" s="12" t="s">
        <v>36</v>
      </c>
      <c r="S8182" s="12" t="s">
        <v>36</v>
      </c>
      <c r="T8182" s="12" t="s">
        <v>4758</v>
      </c>
      <c r="U8182" s="12" t="s">
        <v>38</v>
      </c>
      <c r="V8182" s="12" t="s">
        <v>39</v>
      </c>
      <c r="W8182" s="12" t="s">
        <v>35797</v>
      </c>
      <c r="X8182" s="16" t="s">
        <v>35798</v>
      </c>
      <c r="Y8182" s="15" t="s">
        <v>42</v>
      </c>
      <c r="Z8182" s="14">
        <v>13.5</v>
      </c>
      <c r="AA8182" s="14" t="s">
        <v>36</v>
      </c>
      <c r="AB8182" s="12" t="s">
        <v>56</v>
      </c>
      <c r="AC8182" s="12" t="s">
        <v>35799</v>
      </c>
      <c r="AD8182" s="13">
        <v>41291</v>
      </c>
      <c r="AE8182" s="12" t="s">
        <v>1330</v>
      </c>
      <c r="AF8182" s="12" t="s">
        <v>1077</v>
      </c>
      <c r="AG8182" s="12" t="s">
        <v>81</v>
      </c>
      <c r="AH8182" s="1">
        <f>HYPERLINK("https://my.pitchbook.com?c=25416-28T","View Company Online")</f>
      </c>
    </row>
    <row r="8183">
      <c r="A8183" s="3" t="s">
        <v>35800</v>
      </c>
      <c r="B8183" s="3" t="s">
        <v>35801</v>
      </c>
      <c r="C8183" s="5">
        <v>3</v>
      </c>
      <c r="D8183" s="5">
        <v>50</v>
      </c>
      <c r="E8183" s="5">
        <v>17</v>
      </c>
      <c r="F8183" s="5">
        <v>81</v>
      </c>
      <c r="G8183" s="6" t="s">
        <v>36</v>
      </c>
      <c r="H8183" s="4" t="s">
        <v>36</v>
      </c>
      <c r="I8183" s="7" t="s">
        <v>36</v>
      </c>
      <c r="J8183" s="3" t="s">
        <v>36</v>
      </c>
      <c r="K8183" s="9" t="s">
        <v>36</v>
      </c>
      <c r="L8183" s="6" t="s">
        <v>122</v>
      </c>
      <c r="M8183" s="3" t="s">
        <v>36</v>
      </c>
      <c r="N8183" s="3" t="s">
        <v>122</v>
      </c>
      <c r="O8183" s="8" t="s">
        <v>36</v>
      </c>
      <c r="P8183" s="3" t="s">
        <v>36</v>
      </c>
      <c r="Q8183" s="3" t="s">
        <v>36</v>
      </c>
      <c r="R8183" s="3" t="s">
        <v>36</v>
      </c>
      <c r="S8183" s="3" t="s">
        <v>36</v>
      </c>
      <c r="T8183" s="3" t="s">
        <v>3790</v>
      </c>
      <c r="U8183" s="3" t="s">
        <v>318</v>
      </c>
      <c r="V8183" s="3" t="s">
        <v>39</v>
      </c>
      <c r="W8183" s="3" t="s">
        <v>35802</v>
      </c>
      <c r="X8183" s="10" t="s">
        <v>35524</v>
      </c>
      <c r="Y8183" s="6" t="s">
        <v>42</v>
      </c>
      <c r="Z8183" s="4">
        <v>3.57</v>
      </c>
      <c r="AA8183" s="4" t="s">
        <v>36</v>
      </c>
      <c r="AB8183" s="3" t="s">
        <v>56</v>
      </c>
      <c r="AC8183" s="3" t="s">
        <v>35803</v>
      </c>
      <c r="AD8183" s="9">
        <v>41291</v>
      </c>
      <c r="AE8183" s="3" t="s">
        <v>763</v>
      </c>
      <c r="AF8183" s="3" t="s">
        <v>31200</v>
      </c>
      <c r="AG8183" s="3" t="s">
        <v>81</v>
      </c>
      <c r="AH8183" s="11">
        <f>HYPERLINK("https://my.pitchbook.com?c=35675-56T","View Company Online")</f>
      </c>
    </row>
    <row r="8184">
      <c r="A8184" s="12" t="s">
        <v>35804</v>
      </c>
      <c r="B8184" s="12" t="s">
        <v>35805</v>
      </c>
      <c r="C8184" s="19" t="s">
        <v>36</v>
      </c>
      <c r="D8184" s="19" t="s">
        <v>36</v>
      </c>
      <c r="E8184" s="19">
        <v>15</v>
      </c>
      <c r="F8184" s="19">
        <v>15</v>
      </c>
      <c r="G8184" s="15" t="s">
        <v>36</v>
      </c>
      <c r="H8184" s="14" t="s">
        <v>36</v>
      </c>
      <c r="I8184" s="18" t="s">
        <v>36</v>
      </c>
      <c r="J8184" s="12" t="s">
        <v>36</v>
      </c>
      <c r="K8184" s="13">
        <v>41214</v>
      </c>
      <c r="L8184" s="15" t="s">
        <v>36</v>
      </c>
      <c r="M8184" s="12" t="s">
        <v>36</v>
      </c>
      <c r="N8184" s="12" t="s">
        <v>36</v>
      </c>
      <c r="O8184" s="17" t="s">
        <v>36</v>
      </c>
      <c r="P8184" s="12" t="s">
        <v>36</v>
      </c>
      <c r="Q8184" s="12" t="s">
        <v>36</v>
      </c>
      <c r="R8184" s="12" t="s">
        <v>36</v>
      </c>
      <c r="S8184" s="12" t="s">
        <v>36</v>
      </c>
      <c r="T8184" s="12" t="s">
        <v>19945</v>
      </c>
      <c r="U8184" s="12" t="s">
        <v>63</v>
      </c>
      <c r="V8184" s="12" t="s">
        <v>64</v>
      </c>
      <c r="W8184" s="12" t="s">
        <v>35806</v>
      </c>
      <c r="X8184" s="16" t="s">
        <v>35807</v>
      </c>
      <c r="Y8184" s="15" t="s">
        <v>42</v>
      </c>
      <c r="Z8184" s="14">
        <v>9.24</v>
      </c>
      <c r="AA8184" s="14" t="s">
        <v>36</v>
      </c>
      <c r="AB8184" s="12" t="s">
        <v>43</v>
      </c>
      <c r="AC8184" s="12" t="s">
        <v>35808</v>
      </c>
      <c r="AD8184" s="13">
        <v>41289</v>
      </c>
      <c r="AE8184" s="12" t="s">
        <v>642</v>
      </c>
      <c r="AF8184" s="12" t="s">
        <v>36</v>
      </c>
      <c r="AG8184" s="12" t="s">
        <v>81</v>
      </c>
      <c r="AH8184" s="1">
        <f>HYPERLINK("https://my.pitchbook.com?c=26502-49T","View Company Online")</f>
      </c>
    </row>
    <row r="8185">
      <c r="A8185" s="3" t="s">
        <v>35809</v>
      </c>
      <c r="B8185" s="3" t="s">
        <v>35810</v>
      </c>
      <c r="C8185" s="5">
        <v>3</v>
      </c>
      <c r="D8185" s="5">
        <v>4</v>
      </c>
      <c r="E8185" s="5">
        <v>4</v>
      </c>
      <c r="F8185" s="5">
        <v>16</v>
      </c>
      <c r="G8185" s="6" t="s">
        <v>36</v>
      </c>
      <c r="H8185" s="4" t="s">
        <v>36</v>
      </c>
      <c r="I8185" s="7" t="s">
        <v>36</v>
      </c>
      <c r="J8185" s="3" t="s">
        <v>36</v>
      </c>
      <c r="K8185" s="9" t="s">
        <v>36</v>
      </c>
      <c r="L8185" s="6" t="s">
        <v>36</v>
      </c>
      <c r="M8185" s="3" t="s">
        <v>36</v>
      </c>
      <c r="N8185" s="3" t="s">
        <v>36</v>
      </c>
      <c r="O8185" s="8" t="s">
        <v>36</v>
      </c>
      <c r="P8185" s="3" t="s">
        <v>36</v>
      </c>
      <c r="Q8185" s="3" t="s">
        <v>36</v>
      </c>
      <c r="R8185" s="3" t="s">
        <v>36</v>
      </c>
      <c r="S8185" s="3" t="s">
        <v>36</v>
      </c>
      <c r="T8185" s="3" t="s">
        <v>154</v>
      </c>
      <c r="U8185" s="3" t="s">
        <v>51</v>
      </c>
      <c r="V8185" s="3" t="s">
        <v>52</v>
      </c>
      <c r="W8185" s="3" t="s">
        <v>35811</v>
      </c>
      <c r="X8185" s="10" t="s">
        <v>35812</v>
      </c>
      <c r="Y8185" s="6" t="s">
        <v>42</v>
      </c>
      <c r="Z8185" s="4">
        <v>1.06</v>
      </c>
      <c r="AA8185" s="4" t="s">
        <v>36</v>
      </c>
      <c r="AB8185" s="3" t="s">
        <v>56</v>
      </c>
      <c r="AC8185" s="3" t="s">
        <v>35813</v>
      </c>
      <c r="AD8185" s="9">
        <v>41289</v>
      </c>
      <c r="AE8185" s="3" t="s">
        <v>158</v>
      </c>
      <c r="AF8185" s="3" t="s">
        <v>36</v>
      </c>
      <c r="AG8185" s="3" t="s">
        <v>35814</v>
      </c>
      <c r="AH8185" s="11">
        <f>HYPERLINK("https://my.pitchbook.com?c=76750-93T","View Company Online")</f>
      </c>
    </row>
    <row r="8186">
      <c r="A8186" s="12" t="s">
        <v>35815</v>
      </c>
      <c r="B8186" s="12" t="s">
        <v>33495</v>
      </c>
      <c r="C8186" s="19">
        <v>4</v>
      </c>
      <c r="D8186" s="19">
        <v>13</v>
      </c>
      <c r="E8186" s="19">
        <v>9</v>
      </c>
      <c r="F8186" s="19">
        <v>35</v>
      </c>
      <c r="G8186" s="15" t="s">
        <v>36</v>
      </c>
      <c r="H8186" s="14">
        <v>36.77</v>
      </c>
      <c r="I8186" s="18">
        <v>52.81</v>
      </c>
      <c r="J8186" s="12" t="s">
        <v>521</v>
      </c>
      <c r="K8186" s="13">
        <v>41244</v>
      </c>
      <c r="L8186" s="15" t="s">
        <v>94</v>
      </c>
      <c r="M8186" s="12" t="s">
        <v>36</v>
      </c>
      <c r="N8186" s="12" t="s">
        <v>94</v>
      </c>
      <c r="O8186" s="17" t="s">
        <v>36</v>
      </c>
      <c r="P8186" s="12" t="s">
        <v>36</v>
      </c>
      <c r="Q8186" s="12" t="s">
        <v>36</v>
      </c>
      <c r="R8186" s="12" t="s">
        <v>36</v>
      </c>
      <c r="S8186" s="12" t="s">
        <v>36</v>
      </c>
      <c r="T8186" s="12" t="s">
        <v>5807</v>
      </c>
      <c r="U8186" s="12" t="s">
        <v>1580</v>
      </c>
      <c r="V8186" s="12" t="s">
        <v>39</v>
      </c>
      <c r="W8186" s="12" t="s">
        <v>33496</v>
      </c>
      <c r="X8186" s="16" t="s">
        <v>35816</v>
      </c>
      <c r="Y8186" s="15" t="s">
        <v>108</v>
      </c>
      <c r="Z8186" s="14">
        <v>10.26</v>
      </c>
      <c r="AA8186" s="14">
        <v>19.43</v>
      </c>
      <c r="AB8186" s="12" t="s">
        <v>43</v>
      </c>
      <c r="AC8186" s="12" t="s">
        <v>33498</v>
      </c>
      <c r="AD8186" s="13">
        <v>41288</v>
      </c>
      <c r="AE8186" s="12" t="s">
        <v>2785</v>
      </c>
      <c r="AF8186" s="12" t="s">
        <v>1077</v>
      </c>
      <c r="AG8186" s="12" t="s">
        <v>33499</v>
      </c>
      <c r="AH8186" s="1">
        <f>HYPERLINK("https://my.pitchbook.com?c=26502-22T","View Company Online")</f>
      </c>
    </row>
    <row r="8187">
      <c r="A8187" s="3" t="s">
        <v>35817</v>
      </c>
      <c r="B8187" s="3" t="s">
        <v>35818</v>
      </c>
      <c r="C8187" s="5">
        <v>1</v>
      </c>
      <c r="D8187" s="5">
        <v>9</v>
      </c>
      <c r="E8187" s="5">
        <v>3</v>
      </c>
      <c r="F8187" s="5">
        <v>14</v>
      </c>
      <c r="G8187" s="6" t="s">
        <v>36</v>
      </c>
      <c r="H8187" s="4" t="s">
        <v>36</v>
      </c>
      <c r="I8187" s="7" t="s">
        <v>36</v>
      </c>
      <c r="J8187" s="3" t="s">
        <v>36</v>
      </c>
      <c r="K8187" s="9" t="s">
        <v>36</v>
      </c>
      <c r="L8187" s="6" t="s">
        <v>36</v>
      </c>
      <c r="M8187" s="3" t="s">
        <v>36</v>
      </c>
      <c r="N8187" s="3" t="s">
        <v>36</v>
      </c>
      <c r="O8187" s="8" t="s">
        <v>36</v>
      </c>
      <c r="P8187" s="3" t="s">
        <v>36</v>
      </c>
      <c r="Q8187" s="3" t="s">
        <v>36</v>
      </c>
      <c r="R8187" s="3" t="s">
        <v>36</v>
      </c>
      <c r="S8187" s="3" t="s">
        <v>36</v>
      </c>
      <c r="T8187" s="3" t="s">
        <v>2811</v>
      </c>
      <c r="U8187" s="3" t="s">
        <v>219</v>
      </c>
      <c r="V8187" s="3" t="s">
        <v>75</v>
      </c>
      <c r="W8187" s="3" t="s">
        <v>35819</v>
      </c>
      <c r="X8187" s="10" t="s">
        <v>35820</v>
      </c>
      <c r="Y8187" s="6" t="s">
        <v>42</v>
      </c>
      <c r="Z8187" s="4">
        <v>1.32</v>
      </c>
      <c r="AA8187" s="4" t="s">
        <v>36</v>
      </c>
      <c r="AB8187" s="3" t="s">
        <v>43</v>
      </c>
      <c r="AC8187" s="3" t="s">
        <v>35821</v>
      </c>
      <c r="AD8187" s="9">
        <v>41286</v>
      </c>
      <c r="AE8187" s="3" t="s">
        <v>223</v>
      </c>
      <c r="AF8187" s="3" t="s">
        <v>571</v>
      </c>
      <c r="AG8187" s="3" t="s">
        <v>35323</v>
      </c>
      <c r="AH8187" s="11">
        <f>HYPERLINK("https://my.pitchbook.com?c=131205-97T","View Company Online")</f>
      </c>
    </row>
    <row r="8188">
      <c r="A8188" s="12" t="s">
        <v>35822</v>
      </c>
      <c r="B8188" s="12" t="s">
        <v>35823</v>
      </c>
      <c r="C8188" s="19" t="s">
        <v>36</v>
      </c>
      <c r="D8188" s="19" t="s">
        <v>36</v>
      </c>
      <c r="E8188" s="19" t="s">
        <v>36</v>
      </c>
      <c r="F8188" s="19" t="s">
        <v>36</v>
      </c>
      <c r="G8188" s="15" t="s">
        <v>36</v>
      </c>
      <c r="H8188" s="14" t="s">
        <v>36</v>
      </c>
      <c r="I8188" s="18" t="s">
        <v>36</v>
      </c>
      <c r="J8188" s="12" t="s">
        <v>36</v>
      </c>
      <c r="K8188" s="13" t="s">
        <v>36</v>
      </c>
      <c r="L8188" s="15" t="s">
        <v>122</v>
      </c>
      <c r="M8188" s="12" t="s">
        <v>36</v>
      </c>
      <c r="N8188" s="12" t="s">
        <v>122</v>
      </c>
      <c r="O8188" s="17" t="s">
        <v>36</v>
      </c>
      <c r="P8188" s="12" t="s">
        <v>36</v>
      </c>
      <c r="Q8188" s="12" t="s">
        <v>36</v>
      </c>
      <c r="R8188" s="12" t="s">
        <v>36</v>
      </c>
      <c r="S8188" s="12" t="s">
        <v>36</v>
      </c>
      <c r="T8188" s="12" t="s">
        <v>35824</v>
      </c>
      <c r="U8188" s="12" t="s">
        <v>289</v>
      </c>
      <c r="V8188" s="12" t="s">
        <v>64</v>
      </c>
      <c r="W8188" s="12" t="s">
        <v>35825</v>
      </c>
      <c r="X8188" s="16" t="s">
        <v>11579</v>
      </c>
      <c r="Y8188" s="15" t="s">
        <v>42</v>
      </c>
      <c r="Z8188" s="14">
        <v>0.5</v>
      </c>
      <c r="AA8188" s="14" t="s">
        <v>36</v>
      </c>
      <c r="AB8188" s="12" t="s">
        <v>43</v>
      </c>
      <c r="AC8188" s="12" t="s">
        <v>35826</v>
      </c>
      <c r="AD8188" s="13">
        <v>41285</v>
      </c>
      <c r="AE8188" s="12" t="s">
        <v>3134</v>
      </c>
      <c r="AF8188" s="12" t="s">
        <v>2118</v>
      </c>
      <c r="AG8188" s="12" t="s">
        <v>35827</v>
      </c>
      <c r="AH8188" s="1">
        <f>HYPERLINK("https://my.pitchbook.com?c=84978-64T","View Company Online")</f>
      </c>
    </row>
    <row r="8189">
      <c r="A8189" s="3" t="s">
        <v>35828</v>
      </c>
      <c r="B8189" s="3" t="s">
        <v>30824</v>
      </c>
      <c r="C8189" s="5" t="s">
        <v>36</v>
      </c>
      <c r="D8189" s="5" t="s">
        <v>36</v>
      </c>
      <c r="E8189" s="5" t="s">
        <v>36</v>
      </c>
      <c r="F8189" s="5" t="s">
        <v>36</v>
      </c>
      <c r="G8189" s="6" t="s">
        <v>326</v>
      </c>
      <c r="H8189" s="4">
        <v>259.64</v>
      </c>
      <c r="I8189" s="7">
        <v>22.15</v>
      </c>
      <c r="J8189" s="3" t="s">
        <v>521</v>
      </c>
      <c r="K8189" s="9" t="s">
        <v>36</v>
      </c>
      <c r="L8189" s="6" t="s">
        <v>36</v>
      </c>
      <c r="M8189" s="3" t="s">
        <v>36</v>
      </c>
      <c r="N8189" s="3" t="s">
        <v>36</v>
      </c>
      <c r="O8189" s="8" t="s">
        <v>36</v>
      </c>
      <c r="P8189" s="3" t="s">
        <v>36</v>
      </c>
      <c r="Q8189" s="3" t="s">
        <v>36</v>
      </c>
      <c r="R8189" s="3" t="s">
        <v>36</v>
      </c>
      <c r="S8189" s="3" t="s">
        <v>36</v>
      </c>
      <c r="T8189" s="3" t="s">
        <v>6647</v>
      </c>
      <c r="U8189" s="3" t="s">
        <v>233</v>
      </c>
      <c r="V8189" s="3" t="s">
        <v>39</v>
      </c>
      <c r="W8189" s="3" t="s">
        <v>30825</v>
      </c>
      <c r="X8189" s="10" t="s">
        <v>1399</v>
      </c>
      <c r="Y8189" s="6" t="s">
        <v>55</v>
      </c>
      <c r="Z8189" s="4">
        <v>0.16</v>
      </c>
      <c r="AA8189" s="4">
        <v>0.7</v>
      </c>
      <c r="AB8189" s="3" t="s">
        <v>56</v>
      </c>
      <c r="AC8189" s="3" t="s">
        <v>30826</v>
      </c>
      <c r="AD8189" s="9">
        <v>41284</v>
      </c>
      <c r="AE8189" s="3" t="s">
        <v>236</v>
      </c>
      <c r="AF8189" s="3" t="s">
        <v>36</v>
      </c>
      <c r="AG8189" s="3" t="s">
        <v>26116</v>
      </c>
      <c r="AH8189" s="11">
        <f>HYPERLINK("https://my.pitchbook.com?c=218674-63T","View Company Online")</f>
      </c>
    </row>
    <row r="8190">
      <c r="A8190" s="12" t="s">
        <v>35829</v>
      </c>
      <c r="B8190" s="12" t="s">
        <v>20650</v>
      </c>
      <c r="C8190" s="19">
        <v>4</v>
      </c>
      <c r="D8190" s="19">
        <v>3</v>
      </c>
      <c r="E8190" s="19">
        <v>4</v>
      </c>
      <c r="F8190" s="19">
        <v>11</v>
      </c>
      <c r="G8190" s="15" t="s">
        <v>683</v>
      </c>
      <c r="H8190" s="14">
        <v>6.96</v>
      </c>
      <c r="I8190" s="18">
        <v>28.61</v>
      </c>
      <c r="J8190" s="12" t="s">
        <v>521</v>
      </c>
      <c r="K8190" s="13">
        <v>41264</v>
      </c>
      <c r="L8190" s="15" t="s">
        <v>36</v>
      </c>
      <c r="M8190" s="12" t="s">
        <v>36</v>
      </c>
      <c r="N8190" s="12" t="s">
        <v>36</v>
      </c>
      <c r="O8190" s="17" t="s">
        <v>36</v>
      </c>
      <c r="P8190" s="12" t="s">
        <v>36</v>
      </c>
      <c r="Q8190" s="12" t="s">
        <v>36</v>
      </c>
      <c r="R8190" s="12" t="s">
        <v>36</v>
      </c>
      <c r="S8190" s="12" t="s">
        <v>36</v>
      </c>
      <c r="T8190" s="12" t="s">
        <v>20651</v>
      </c>
      <c r="U8190" s="12" t="s">
        <v>377</v>
      </c>
      <c r="V8190" s="12" t="s">
        <v>378</v>
      </c>
      <c r="W8190" s="12" t="s">
        <v>20652</v>
      </c>
      <c r="X8190" s="16" t="s">
        <v>35830</v>
      </c>
      <c r="Y8190" s="15" t="s">
        <v>42</v>
      </c>
      <c r="Z8190" s="14">
        <v>0.91</v>
      </c>
      <c r="AA8190" s="14">
        <v>3.18</v>
      </c>
      <c r="AB8190" s="12" t="s">
        <v>56</v>
      </c>
      <c r="AC8190" s="12" t="s">
        <v>20654</v>
      </c>
      <c r="AD8190" s="13">
        <v>41284</v>
      </c>
      <c r="AE8190" s="12" t="s">
        <v>377</v>
      </c>
      <c r="AF8190" s="12" t="s">
        <v>20655</v>
      </c>
      <c r="AG8190" s="12" t="s">
        <v>20656</v>
      </c>
      <c r="AH8190" s="1">
        <f>HYPERLINK("https://my.pitchbook.com?c=25687-90T","View Company Online")</f>
      </c>
    </row>
    <row r="8191">
      <c r="A8191" s="3" t="s">
        <v>35831</v>
      </c>
      <c r="B8191" s="3" t="s">
        <v>35832</v>
      </c>
      <c r="C8191" s="5" t="s">
        <v>36</v>
      </c>
      <c r="D8191" s="5" t="s">
        <v>36</v>
      </c>
      <c r="E8191" s="5" t="s">
        <v>36</v>
      </c>
      <c r="F8191" s="5" t="s">
        <v>36</v>
      </c>
      <c r="G8191" s="6" t="s">
        <v>36</v>
      </c>
      <c r="H8191" s="4" t="s">
        <v>36</v>
      </c>
      <c r="I8191" s="7" t="s">
        <v>36</v>
      </c>
      <c r="J8191" s="3" t="s">
        <v>36</v>
      </c>
      <c r="K8191" s="9" t="s">
        <v>36</v>
      </c>
      <c r="L8191" s="6" t="s">
        <v>36</v>
      </c>
      <c r="M8191" s="3" t="s">
        <v>36</v>
      </c>
      <c r="N8191" s="3" t="s">
        <v>36</v>
      </c>
      <c r="O8191" s="8" t="s">
        <v>36</v>
      </c>
      <c r="P8191" s="3" t="s">
        <v>36</v>
      </c>
      <c r="Q8191" s="3" t="s">
        <v>36</v>
      </c>
      <c r="R8191" s="3" t="s">
        <v>36</v>
      </c>
      <c r="S8191" s="3" t="s">
        <v>36</v>
      </c>
      <c r="T8191" s="3" t="s">
        <v>3790</v>
      </c>
      <c r="U8191" s="3" t="s">
        <v>318</v>
      </c>
      <c r="V8191" s="3" t="s">
        <v>39</v>
      </c>
      <c r="W8191" s="3" t="s">
        <v>35833</v>
      </c>
      <c r="X8191" s="10" t="s">
        <v>11058</v>
      </c>
      <c r="Y8191" s="6" t="s">
        <v>42</v>
      </c>
      <c r="Z8191" s="4">
        <v>0.14</v>
      </c>
      <c r="AA8191" s="4" t="s">
        <v>36</v>
      </c>
      <c r="AB8191" s="3" t="s">
        <v>43</v>
      </c>
      <c r="AC8191" s="3" t="s">
        <v>35834</v>
      </c>
      <c r="AD8191" s="9">
        <v>41278</v>
      </c>
      <c r="AE8191" s="3" t="s">
        <v>763</v>
      </c>
      <c r="AF8191" s="3" t="s">
        <v>1969</v>
      </c>
      <c r="AG8191" s="3" t="s">
        <v>4172</v>
      </c>
      <c r="AH8191" s="11">
        <f>HYPERLINK("https://my.pitchbook.com?c=129682-99T","View Company Online")</f>
      </c>
    </row>
    <row r="8192">
      <c r="A8192" s="12" t="s">
        <v>35835</v>
      </c>
      <c r="B8192" s="12" t="s">
        <v>19301</v>
      </c>
      <c r="C8192" s="19" t="s">
        <v>36</v>
      </c>
      <c r="D8192" s="19" t="s">
        <v>36</v>
      </c>
      <c r="E8192" s="19" t="s">
        <v>36</v>
      </c>
      <c r="F8192" s="19" t="s">
        <v>36</v>
      </c>
      <c r="G8192" s="15" t="s">
        <v>36</v>
      </c>
      <c r="H8192" s="14" t="s">
        <v>36</v>
      </c>
      <c r="I8192" s="18" t="s">
        <v>36</v>
      </c>
      <c r="J8192" s="12" t="s">
        <v>36</v>
      </c>
      <c r="K8192" s="13" t="s">
        <v>36</v>
      </c>
      <c r="L8192" s="15" t="s">
        <v>36</v>
      </c>
      <c r="M8192" s="12" t="s">
        <v>36</v>
      </c>
      <c r="N8192" s="12" t="s">
        <v>36</v>
      </c>
      <c r="O8192" s="17" t="s">
        <v>36</v>
      </c>
      <c r="P8192" s="12" t="s">
        <v>36</v>
      </c>
      <c r="Q8192" s="12" t="s">
        <v>36</v>
      </c>
      <c r="R8192" s="12" t="s">
        <v>36</v>
      </c>
      <c r="S8192" s="12" t="s">
        <v>36</v>
      </c>
      <c r="T8192" s="12" t="s">
        <v>522</v>
      </c>
      <c r="U8192" s="12" t="s">
        <v>38</v>
      </c>
      <c r="V8192" s="12" t="s">
        <v>39</v>
      </c>
      <c r="W8192" s="12" t="s">
        <v>19302</v>
      </c>
      <c r="X8192" s="16" t="s">
        <v>35836</v>
      </c>
      <c r="Y8192" s="15" t="s">
        <v>42</v>
      </c>
      <c r="Z8192" s="14" t="s">
        <v>36</v>
      </c>
      <c r="AA8192" s="14" t="s">
        <v>36</v>
      </c>
      <c r="AB8192" s="12" t="s">
        <v>43</v>
      </c>
      <c r="AC8192" s="12" t="s">
        <v>19304</v>
      </c>
      <c r="AD8192" s="13">
        <v>41275</v>
      </c>
      <c r="AE8192" s="12" t="s">
        <v>110</v>
      </c>
      <c r="AF8192" s="12" t="s">
        <v>2210</v>
      </c>
      <c r="AG8192" s="12" t="s">
        <v>81</v>
      </c>
      <c r="AH8192" s="1">
        <f>HYPERLINK("https://my.pitchbook.com?c=74596-96T","View Company Online")</f>
      </c>
    </row>
    <row r="8193">
      <c r="A8193" s="3" t="s">
        <v>35837</v>
      </c>
      <c r="B8193" s="3" t="s">
        <v>35838</v>
      </c>
      <c r="C8193" s="5">
        <v>1</v>
      </c>
      <c r="D8193" s="5" t="s">
        <v>36</v>
      </c>
      <c r="E8193" s="5">
        <v>1</v>
      </c>
      <c r="F8193" s="5">
        <v>1</v>
      </c>
      <c r="G8193" s="6" t="s">
        <v>36</v>
      </c>
      <c r="H8193" s="4" t="s">
        <v>36</v>
      </c>
      <c r="I8193" s="7" t="s">
        <v>36</v>
      </c>
      <c r="J8193" s="3" t="s">
        <v>36</v>
      </c>
      <c r="K8193" s="9" t="s">
        <v>36</v>
      </c>
      <c r="L8193" s="6" t="s">
        <v>36</v>
      </c>
      <c r="M8193" s="3" t="s">
        <v>36</v>
      </c>
      <c r="N8193" s="3" t="s">
        <v>36</v>
      </c>
      <c r="O8193" s="8" t="s">
        <v>36</v>
      </c>
      <c r="P8193" s="3" t="s">
        <v>36</v>
      </c>
      <c r="Q8193" s="3" t="s">
        <v>36</v>
      </c>
      <c r="R8193" s="3" t="s">
        <v>36</v>
      </c>
      <c r="S8193" s="3" t="s">
        <v>36</v>
      </c>
      <c r="T8193" s="3" t="s">
        <v>522</v>
      </c>
      <c r="U8193" s="3" t="s">
        <v>38</v>
      </c>
      <c r="V8193" s="3" t="s">
        <v>39</v>
      </c>
      <c r="W8193" s="3" t="s">
        <v>35839</v>
      </c>
      <c r="X8193" s="10" t="s">
        <v>11579</v>
      </c>
      <c r="Y8193" s="6" t="s">
        <v>42</v>
      </c>
      <c r="Z8193" s="4" t="s">
        <v>36</v>
      </c>
      <c r="AA8193" s="4" t="s">
        <v>36</v>
      </c>
      <c r="AB8193" s="3" t="s">
        <v>56</v>
      </c>
      <c r="AC8193" s="3" t="s">
        <v>35840</v>
      </c>
      <c r="AD8193" s="9">
        <v>41275</v>
      </c>
      <c r="AE8193" s="3" t="s">
        <v>110</v>
      </c>
      <c r="AF8193" s="3" t="s">
        <v>6214</v>
      </c>
      <c r="AG8193" s="3" t="s">
        <v>81</v>
      </c>
      <c r="AH8193" s="11">
        <f>HYPERLINK("https://my.pitchbook.com?c=84905-20T","View Company Online")</f>
      </c>
    </row>
    <row r="8194">
      <c r="A8194" s="12" t="s">
        <v>35841</v>
      </c>
      <c r="B8194" s="12" t="s">
        <v>35842</v>
      </c>
      <c r="C8194" s="19" t="s">
        <v>36</v>
      </c>
      <c r="D8194" s="19" t="s">
        <v>36</v>
      </c>
      <c r="E8194" s="19" t="s">
        <v>36</v>
      </c>
      <c r="F8194" s="19" t="s">
        <v>36</v>
      </c>
      <c r="G8194" s="15" t="s">
        <v>36</v>
      </c>
      <c r="H8194" s="14" t="s">
        <v>36</v>
      </c>
      <c r="I8194" s="18" t="s">
        <v>36</v>
      </c>
      <c r="J8194" s="12" t="s">
        <v>36</v>
      </c>
      <c r="K8194" s="13" t="s">
        <v>36</v>
      </c>
      <c r="L8194" s="15" t="s">
        <v>36</v>
      </c>
      <c r="M8194" s="12" t="s">
        <v>36</v>
      </c>
      <c r="N8194" s="12" t="s">
        <v>36</v>
      </c>
      <c r="O8194" s="17" t="s">
        <v>36</v>
      </c>
      <c r="P8194" s="12" t="s">
        <v>36</v>
      </c>
      <c r="Q8194" s="12" t="s">
        <v>36</v>
      </c>
      <c r="R8194" s="12" t="s">
        <v>36</v>
      </c>
      <c r="S8194" s="12" t="s">
        <v>36</v>
      </c>
      <c r="T8194" s="12" t="s">
        <v>35843</v>
      </c>
      <c r="U8194" s="12" t="s">
        <v>289</v>
      </c>
      <c r="V8194" s="12" t="s">
        <v>64</v>
      </c>
      <c r="W8194" s="12" t="s">
        <v>35844</v>
      </c>
      <c r="X8194" s="16" t="s">
        <v>11579</v>
      </c>
      <c r="Y8194" s="15" t="s">
        <v>42</v>
      </c>
      <c r="Z8194" s="14" t="s">
        <v>36</v>
      </c>
      <c r="AA8194" s="14" t="s">
        <v>36</v>
      </c>
      <c r="AB8194" s="12" t="s">
        <v>43</v>
      </c>
      <c r="AC8194" s="12" t="s">
        <v>35845</v>
      </c>
      <c r="AD8194" s="13">
        <v>41275</v>
      </c>
      <c r="AE8194" s="12" t="s">
        <v>292</v>
      </c>
      <c r="AF8194" s="12" t="s">
        <v>2118</v>
      </c>
      <c r="AG8194" s="12" t="s">
        <v>81</v>
      </c>
      <c r="AH8194" s="1">
        <f>HYPERLINK("https://my.pitchbook.com?c=84831-85T","View Company Online")</f>
      </c>
    </row>
    <row r="8195">
      <c r="A8195" s="3" t="s">
        <v>35846</v>
      </c>
      <c r="B8195" s="3" t="s">
        <v>33541</v>
      </c>
      <c r="C8195" s="5" t="s">
        <v>36</v>
      </c>
      <c r="D8195" s="5" t="s">
        <v>36</v>
      </c>
      <c r="E8195" s="5" t="s">
        <v>36</v>
      </c>
      <c r="F8195" s="5" t="s">
        <v>36</v>
      </c>
      <c r="G8195" s="6" t="s">
        <v>36</v>
      </c>
      <c r="H8195" s="4" t="s">
        <v>36</v>
      </c>
      <c r="I8195" s="7" t="s">
        <v>36</v>
      </c>
      <c r="J8195" s="3" t="s">
        <v>36</v>
      </c>
      <c r="K8195" s="9" t="s">
        <v>36</v>
      </c>
      <c r="L8195" s="6" t="s">
        <v>36</v>
      </c>
      <c r="M8195" s="3" t="s">
        <v>36</v>
      </c>
      <c r="N8195" s="3" t="s">
        <v>36</v>
      </c>
      <c r="O8195" s="8" t="s">
        <v>36</v>
      </c>
      <c r="P8195" s="3" t="s">
        <v>36</v>
      </c>
      <c r="Q8195" s="3" t="s">
        <v>36</v>
      </c>
      <c r="R8195" s="3" t="s">
        <v>36</v>
      </c>
      <c r="S8195" s="3" t="s">
        <v>36</v>
      </c>
      <c r="T8195" s="3" t="s">
        <v>11030</v>
      </c>
      <c r="U8195" s="3" t="s">
        <v>38</v>
      </c>
      <c r="V8195" s="3" t="s">
        <v>39</v>
      </c>
      <c r="W8195" s="3" t="s">
        <v>33542</v>
      </c>
      <c r="X8195" s="10" t="s">
        <v>11579</v>
      </c>
      <c r="Y8195" s="6" t="s">
        <v>108</v>
      </c>
      <c r="Z8195" s="4" t="s">
        <v>36</v>
      </c>
      <c r="AA8195" s="4" t="s">
        <v>36</v>
      </c>
      <c r="AB8195" s="3" t="s">
        <v>43</v>
      </c>
      <c r="AC8195" s="3" t="s">
        <v>33544</v>
      </c>
      <c r="AD8195" s="9">
        <v>41275</v>
      </c>
      <c r="AE8195" s="3" t="s">
        <v>45</v>
      </c>
      <c r="AF8195" s="3" t="s">
        <v>7466</v>
      </c>
      <c r="AG8195" s="3" t="s">
        <v>2088</v>
      </c>
      <c r="AH8195" s="11">
        <f>HYPERLINK("https://my.pitchbook.com?c=86609-26T","View Company Online")</f>
      </c>
    </row>
    <row r="8196">
      <c r="A8196" s="12" t="s">
        <v>35847</v>
      </c>
      <c r="B8196" s="12" t="s">
        <v>35848</v>
      </c>
      <c r="C8196" s="19" t="s">
        <v>36</v>
      </c>
      <c r="D8196" s="19" t="s">
        <v>36</v>
      </c>
      <c r="E8196" s="19" t="s">
        <v>36</v>
      </c>
      <c r="F8196" s="19" t="s">
        <v>36</v>
      </c>
      <c r="G8196" s="15" t="s">
        <v>36</v>
      </c>
      <c r="H8196" s="14" t="s">
        <v>36</v>
      </c>
      <c r="I8196" s="18" t="s">
        <v>36</v>
      </c>
      <c r="J8196" s="12" t="s">
        <v>36</v>
      </c>
      <c r="K8196" s="13" t="s">
        <v>36</v>
      </c>
      <c r="L8196" s="15" t="s">
        <v>36</v>
      </c>
      <c r="M8196" s="12" t="s">
        <v>36</v>
      </c>
      <c r="N8196" s="12" t="s">
        <v>36</v>
      </c>
      <c r="O8196" s="17" t="s">
        <v>36</v>
      </c>
      <c r="P8196" s="12" t="s">
        <v>36</v>
      </c>
      <c r="Q8196" s="12" t="s">
        <v>36</v>
      </c>
      <c r="R8196" s="12" t="s">
        <v>36</v>
      </c>
      <c r="S8196" s="12" t="s">
        <v>36</v>
      </c>
      <c r="T8196" s="12" t="s">
        <v>15681</v>
      </c>
      <c r="U8196" s="12" t="s">
        <v>38</v>
      </c>
      <c r="V8196" s="12" t="s">
        <v>39</v>
      </c>
      <c r="W8196" s="12" t="s">
        <v>35849</v>
      </c>
      <c r="X8196" s="16" t="s">
        <v>35850</v>
      </c>
      <c r="Y8196" s="15" t="s">
        <v>42</v>
      </c>
      <c r="Z8196" s="14">
        <v>0.07</v>
      </c>
      <c r="AA8196" s="14" t="s">
        <v>36</v>
      </c>
      <c r="AB8196" s="12" t="s">
        <v>43</v>
      </c>
      <c r="AC8196" s="12" t="s">
        <v>35851</v>
      </c>
      <c r="AD8196" s="13">
        <v>41275</v>
      </c>
      <c r="AE8196" s="12" t="s">
        <v>554</v>
      </c>
      <c r="AF8196" s="12" t="s">
        <v>28043</v>
      </c>
      <c r="AG8196" s="12" t="s">
        <v>81</v>
      </c>
      <c r="AH8196" s="1">
        <f>HYPERLINK("https://my.pitchbook.com?c=33203-17T","View Company Online")</f>
      </c>
    </row>
    <row r="8197">
      <c r="A8197" s="3" t="s">
        <v>35852</v>
      </c>
      <c r="B8197" s="3" t="s">
        <v>35853</v>
      </c>
      <c r="C8197" s="5" t="s">
        <v>36</v>
      </c>
      <c r="D8197" s="5" t="s">
        <v>36</v>
      </c>
      <c r="E8197" s="5" t="s">
        <v>36</v>
      </c>
      <c r="F8197" s="5" t="s">
        <v>36</v>
      </c>
      <c r="G8197" s="6" t="s">
        <v>36</v>
      </c>
      <c r="H8197" s="4" t="s">
        <v>36</v>
      </c>
      <c r="I8197" s="7" t="s">
        <v>36</v>
      </c>
      <c r="J8197" s="3" t="s">
        <v>36</v>
      </c>
      <c r="K8197" s="9" t="s">
        <v>36</v>
      </c>
      <c r="L8197" s="6" t="s">
        <v>36</v>
      </c>
      <c r="M8197" s="3" t="s">
        <v>36</v>
      </c>
      <c r="N8197" s="3" t="s">
        <v>36</v>
      </c>
      <c r="O8197" s="8" t="s">
        <v>36</v>
      </c>
      <c r="P8197" s="3" t="s">
        <v>36</v>
      </c>
      <c r="Q8197" s="3" t="s">
        <v>36</v>
      </c>
      <c r="R8197" s="3" t="s">
        <v>36</v>
      </c>
      <c r="S8197" s="3" t="s">
        <v>36</v>
      </c>
      <c r="T8197" s="3" t="s">
        <v>35728</v>
      </c>
      <c r="U8197" s="3" t="s">
        <v>74</v>
      </c>
      <c r="V8197" s="3" t="s">
        <v>75</v>
      </c>
      <c r="W8197" s="3" t="s">
        <v>35854</v>
      </c>
      <c r="X8197" s="10" t="s">
        <v>20907</v>
      </c>
      <c r="Y8197" s="6" t="s">
        <v>42</v>
      </c>
      <c r="Z8197" s="4" t="s">
        <v>36</v>
      </c>
      <c r="AA8197" s="4" t="s">
        <v>36</v>
      </c>
      <c r="AB8197" s="3" t="s">
        <v>43</v>
      </c>
      <c r="AC8197" s="3" t="s">
        <v>35855</v>
      </c>
      <c r="AD8197" s="9">
        <v>41275</v>
      </c>
      <c r="AE8197" s="3" t="s">
        <v>362</v>
      </c>
      <c r="AF8197" s="3" t="s">
        <v>250</v>
      </c>
      <c r="AG8197" s="3" t="s">
        <v>81</v>
      </c>
      <c r="AH8197" s="11">
        <f>HYPERLINK("https://my.pitchbook.com?c=126446-77T","View Company Online")</f>
      </c>
    </row>
    <row r="8198">
      <c r="A8198" s="12" t="s">
        <v>35856</v>
      </c>
      <c r="B8198" s="12" t="s">
        <v>35857</v>
      </c>
      <c r="C8198" s="19" t="s">
        <v>36</v>
      </c>
      <c r="D8198" s="19" t="s">
        <v>36</v>
      </c>
      <c r="E8198" s="19" t="s">
        <v>36</v>
      </c>
      <c r="F8198" s="19" t="s">
        <v>36</v>
      </c>
      <c r="G8198" s="15" t="s">
        <v>36</v>
      </c>
      <c r="H8198" s="14" t="s">
        <v>36</v>
      </c>
      <c r="I8198" s="18" t="s">
        <v>36</v>
      </c>
      <c r="J8198" s="12" t="s">
        <v>36</v>
      </c>
      <c r="K8198" s="13" t="s">
        <v>36</v>
      </c>
      <c r="L8198" s="15" t="s">
        <v>36</v>
      </c>
      <c r="M8198" s="12" t="s">
        <v>36</v>
      </c>
      <c r="N8198" s="12" t="s">
        <v>36</v>
      </c>
      <c r="O8198" s="17" t="s">
        <v>36</v>
      </c>
      <c r="P8198" s="12" t="s">
        <v>36</v>
      </c>
      <c r="Q8198" s="12" t="s">
        <v>36</v>
      </c>
      <c r="R8198" s="12" t="s">
        <v>36</v>
      </c>
      <c r="S8198" s="12" t="s">
        <v>36</v>
      </c>
      <c r="T8198" s="12" t="s">
        <v>1162</v>
      </c>
      <c r="U8198" s="12" t="s">
        <v>423</v>
      </c>
      <c r="V8198" s="12" t="s">
        <v>64</v>
      </c>
      <c r="W8198" s="12" t="s">
        <v>35858</v>
      </c>
      <c r="X8198" s="16" t="s">
        <v>5661</v>
      </c>
      <c r="Y8198" s="15" t="s">
        <v>42</v>
      </c>
      <c r="Z8198" s="14" t="s">
        <v>36</v>
      </c>
      <c r="AA8198" s="14" t="s">
        <v>36</v>
      </c>
      <c r="AB8198" s="12" t="s">
        <v>43</v>
      </c>
      <c r="AC8198" s="12" t="s">
        <v>35859</v>
      </c>
      <c r="AD8198" s="13">
        <v>41275</v>
      </c>
      <c r="AE8198" s="12" t="s">
        <v>562</v>
      </c>
      <c r="AF8198" s="12" t="s">
        <v>36</v>
      </c>
      <c r="AG8198" s="12" t="s">
        <v>1823</v>
      </c>
      <c r="AH8198" s="1">
        <f>HYPERLINK("https://my.pitchbook.com?c=43972-75T","View Company Online")</f>
      </c>
    </row>
    <row r="8199">
      <c r="A8199" s="3" t="s">
        <v>35860</v>
      </c>
      <c r="B8199" s="3" t="s">
        <v>35861</v>
      </c>
      <c r="C8199" s="5" t="s">
        <v>36</v>
      </c>
      <c r="D8199" s="5" t="s">
        <v>36</v>
      </c>
      <c r="E8199" s="5" t="s">
        <v>36</v>
      </c>
      <c r="F8199" s="5" t="s">
        <v>36</v>
      </c>
      <c r="G8199" s="6" t="s">
        <v>36</v>
      </c>
      <c r="H8199" s="4" t="s">
        <v>36</v>
      </c>
      <c r="I8199" s="7" t="s">
        <v>36</v>
      </c>
      <c r="J8199" s="3" t="s">
        <v>36</v>
      </c>
      <c r="K8199" s="9" t="s">
        <v>36</v>
      </c>
      <c r="L8199" s="6" t="s">
        <v>36</v>
      </c>
      <c r="M8199" s="3" t="s">
        <v>36</v>
      </c>
      <c r="N8199" s="3" t="s">
        <v>36</v>
      </c>
      <c r="O8199" s="8" t="s">
        <v>36</v>
      </c>
      <c r="P8199" s="3" t="s">
        <v>36</v>
      </c>
      <c r="Q8199" s="3" t="s">
        <v>36</v>
      </c>
      <c r="R8199" s="3" t="s">
        <v>36</v>
      </c>
      <c r="S8199" s="3" t="s">
        <v>36</v>
      </c>
      <c r="T8199" s="3" t="s">
        <v>4911</v>
      </c>
      <c r="U8199" s="3" t="s">
        <v>63</v>
      </c>
      <c r="V8199" s="3" t="s">
        <v>64</v>
      </c>
      <c r="W8199" s="3" t="s">
        <v>35862</v>
      </c>
      <c r="X8199" s="10" t="s">
        <v>11579</v>
      </c>
      <c r="Y8199" s="6" t="s">
        <v>42</v>
      </c>
      <c r="Z8199" s="4" t="s">
        <v>36</v>
      </c>
      <c r="AA8199" s="4" t="s">
        <v>36</v>
      </c>
      <c r="AB8199" s="3" t="s">
        <v>43</v>
      </c>
      <c r="AC8199" s="3" t="s">
        <v>35863</v>
      </c>
      <c r="AD8199" s="9">
        <v>41275</v>
      </c>
      <c r="AE8199" s="3" t="s">
        <v>399</v>
      </c>
      <c r="AF8199" s="3" t="s">
        <v>36</v>
      </c>
      <c r="AG8199" s="3" t="s">
        <v>35864</v>
      </c>
      <c r="AH8199" s="11">
        <f>HYPERLINK("https://my.pitchbook.com?c=84875-77T","View Company Online")</f>
      </c>
    </row>
    <row r="8200">
      <c r="A8200" s="12" t="s">
        <v>35865</v>
      </c>
      <c r="B8200" s="12" t="s">
        <v>28414</v>
      </c>
      <c r="C8200" s="19" t="s">
        <v>36</v>
      </c>
      <c r="D8200" s="19" t="s">
        <v>36</v>
      </c>
      <c r="E8200" s="19" t="s">
        <v>36</v>
      </c>
      <c r="F8200" s="19" t="s">
        <v>36</v>
      </c>
      <c r="G8200" s="15" t="s">
        <v>36</v>
      </c>
      <c r="H8200" s="14" t="s">
        <v>36</v>
      </c>
      <c r="I8200" s="18" t="s">
        <v>36</v>
      </c>
      <c r="J8200" s="12" t="s">
        <v>36</v>
      </c>
      <c r="K8200" s="13" t="s">
        <v>36</v>
      </c>
      <c r="L8200" s="15" t="s">
        <v>36</v>
      </c>
      <c r="M8200" s="12" t="s">
        <v>36</v>
      </c>
      <c r="N8200" s="12" t="s">
        <v>36</v>
      </c>
      <c r="O8200" s="17" t="s">
        <v>36</v>
      </c>
      <c r="P8200" s="12" t="s">
        <v>36</v>
      </c>
      <c r="Q8200" s="12" t="s">
        <v>36</v>
      </c>
      <c r="R8200" s="12" t="s">
        <v>36</v>
      </c>
      <c r="S8200" s="12" t="s">
        <v>36</v>
      </c>
      <c r="T8200" s="12" t="s">
        <v>28415</v>
      </c>
      <c r="U8200" s="12" t="s">
        <v>38</v>
      </c>
      <c r="V8200" s="12" t="s">
        <v>39</v>
      </c>
      <c r="W8200" s="12" t="s">
        <v>28416</v>
      </c>
      <c r="X8200" s="16" t="s">
        <v>35866</v>
      </c>
      <c r="Y8200" s="15" t="s">
        <v>42</v>
      </c>
      <c r="Z8200" s="14">
        <v>0.33</v>
      </c>
      <c r="AA8200" s="14" t="s">
        <v>36</v>
      </c>
      <c r="AB8200" s="12" t="s">
        <v>43</v>
      </c>
      <c r="AC8200" s="12" t="s">
        <v>28418</v>
      </c>
      <c r="AD8200" s="13">
        <v>41275</v>
      </c>
      <c r="AE8200" s="12" t="s">
        <v>110</v>
      </c>
      <c r="AF8200" s="12" t="s">
        <v>8789</v>
      </c>
      <c r="AG8200" s="12" t="s">
        <v>741</v>
      </c>
      <c r="AH8200" s="1">
        <f>HYPERLINK("https://my.pitchbook.com?c=131528-98T","View Company Online")</f>
      </c>
    </row>
    <row r="8201">
      <c r="A8201" s="3" t="s">
        <v>35867</v>
      </c>
      <c r="B8201" s="3" t="s">
        <v>19646</v>
      </c>
      <c r="C8201" s="5" t="s">
        <v>36</v>
      </c>
      <c r="D8201" s="5" t="s">
        <v>36</v>
      </c>
      <c r="E8201" s="5" t="s">
        <v>36</v>
      </c>
      <c r="F8201" s="5" t="s">
        <v>36</v>
      </c>
      <c r="G8201" s="6" t="s">
        <v>36</v>
      </c>
      <c r="H8201" s="4" t="s">
        <v>36</v>
      </c>
      <c r="I8201" s="7" t="s">
        <v>36</v>
      </c>
      <c r="J8201" s="3" t="s">
        <v>36</v>
      </c>
      <c r="K8201" s="9" t="s">
        <v>36</v>
      </c>
      <c r="L8201" s="6" t="s">
        <v>36</v>
      </c>
      <c r="M8201" s="3" t="s">
        <v>36</v>
      </c>
      <c r="N8201" s="3" t="s">
        <v>36</v>
      </c>
      <c r="O8201" s="8" t="s">
        <v>36</v>
      </c>
      <c r="P8201" s="3" t="s">
        <v>36</v>
      </c>
      <c r="Q8201" s="3" t="s">
        <v>36</v>
      </c>
      <c r="R8201" s="3" t="s">
        <v>36</v>
      </c>
      <c r="S8201" s="3" t="s">
        <v>36</v>
      </c>
      <c r="T8201" s="3" t="s">
        <v>1973</v>
      </c>
      <c r="U8201" s="3" t="s">
        <v>728</v>
      </c>
      <c r="V8201" s="3" t="s">
        <v>64</v>
      </c>
      <c r="W8201" s="3" t="s">
        <v>19647</v>
      </c>
      <c r="X8201" s="10" t="s">
        <v>35868</v>
      </c>
      <c r="Y8201" s="6" t="s">
        <v>42</v>
      </c>
      <c r="Z8201" s="4" t="s">
        <v>36</v>
      </c>
      <c r="AA8201" s="4" t="s">
        <v>36</v>
      </c>
      <c r="AB8201" s="3" t="s">
        <v>43</v>
      </c>
      <c r="AC8201" s="3" t="s">
        <v>19649</v>
      </c>
      <c r="AD8201" s="9">
        <v>41275</v>
      </c>
      <c r="AE8201" s="3" t="s">
        <v>1600</v>
      </c>
      <c r="AF8201" s="3" t="s">
        <v>2118</v>
      </c>
      <c r="AG8201" s="3" t="s">
        <v>81</v>
      </c>
      <c r="AH8201" s="11">
        <f>HYPERLINK("https://my.pitchbook.com?c=137595-52T","View Company Online")</f>
      </c>
    </row>
    <row r="8202">
      <c r="A8202" s="12" t="s">
        <v>35869</v>
      </c>
      <c r="B8202" s="12" t="s">
        <v>7407</v>
      </c>
      <c r="C8202" s="19" t="s">
        <v>36</v>
      </c>
      <c r="D8202" s="19" t="s">
        <v>36</v>
      </c>
      <c r="E8202" s="19" t="s">
        <v>36</v>
      </c>
      <c r="F8202" s="19" t="s">
        <v>36</v>
      </c>
      <c r="G8202" s="15" t="s">
        <v>36</v>
      </c>
      <c r="H8202" s="14" t="s">
        <v>36</v>
      </c>
      <c r="I8202" s="18" t="s">
        <v>36</v>
      </c>
      <c r="J8202" s="12" t="s">
        <v>36</v>
      </c>
      <c r="K8202" s="13" t="s">
        <v>36</v>
      </c>
      <c r="L8202" s="15" t="s">
        <v>36</v>
      </c>
      <c r="M8202" s="12" t="s">
        <v>36</v>
      </c>
      <c r="N8202" s="12" t="s">
        <v>36</v>
      </c>
      <c r="O8202" s="17" t="s">
        <v>36</v>
      </c>
      <c r="P8202" s="12" t="s">
        <v>36</v>
      </c>
      <c r="Q8202" s="12" t="s">
        <v>36</v>
      </c>
      <c r="R8202" s="12" t="s">
        <v>36</v>
      </c>
      <c r="S8202" s="12" t="s">
        <v>36</v>
      </c>
      <c r="T8202" s="12" t="s">
        <v>7408</v>
      </c>
      <c r="U8202" s="12" t="s">
        <v>833</v>
      </c>
      <c r="V8202" s="12" t="s">
        <v>64</v>
      </c>
      <c r="W8202" s="12" t="s">
        <v>7409</v>
      </c>
      <c r="X8202" s="16" t="s">
        <v>35870</v>
      </c>
      <c r="Y8202" s="15" t="s">
        <v>42</v>
      </c>
      <c r="Z8202" s="14" t="s">
        <v>36</v>
      </c>
      <c r="AA8202" s="14" t="s">
        <v>36</v>
      </c>
      <c r="AB8202" s="12" t="s">
        <v>43</v>
      </c>
      <c r="AC8202" s="12" t="s">
        <v>7411</v>
      </c>
      <c r="AD8202" s="13">
        <v>41275</v>
      </c>
      <c r="AE8202" s="12" t="s">
        <v>3615</v>
      </c>
      <c r="AF8202" s="12" t="s">
        <v>7412</v>
      </c>
      <c r="AG8202" s="12" t="s">
        <v>332</v>
      </c>
      <c r="AH8202" s="1">
        <f>HYPERLINK("https://my.pitchbook.com?c=108666-55T","View Company Online")</f>
      </c>
    </row>
    <row r="8203">
      <c r="A8203" s="3" t="s">
        <v>35871</v>
      </c>
      <c r="B8203" s="3" t="s">
        <v>35872</v>
      </c>
      <c r="C8203" s="5" t="s">
        <v>36</v>
      </c>
      <c r="D8203" s="5" t="s">
        <v>36</v>
      </c>
      <c r="E8203" s="5" t="s">
        <v>36</v>
      </c>
      <c r="F8203" s="5" t="s">
        <v>36</v>
      </c>
      <c r="G8203" s="6" t="s">
        <v>36</v>
      </c>
      <c r="H8203" s="4" t="s">
        <v>36</v>
      </c>
      <c r="I8203" s="7" t="s">
        <v>36</v>
      </c>
      <c r="J8203" s="3" t="s">
        <v>36</v>
      </c>
      <c r="K8203" s="9" t="s">
        <v>36</v>
      </c>
      <c r="L8203" s="6" t="s">
        <v>36</v>
      </c>
      <c r="M8203" s="3" t="s">
        <v>36</v>
      </c>
      <c r="N8203" s="3" t="s">
        <v>36</v>
      </c>
      <c r="O8203" s="8" t="s">
        <v>36</v>
      </c>
      <c r="P8203" s="3" t="s">
        <v>36</v>
      </c>
      <c r="Q8203" s="3" t="s">
        <v>36</v>
      </c>
      <c r="R8203" s="3" t="s">
        <v>36</v>
      </c>
      <c r="S8203" s="3" t="s">
        <v>36</v>
      </c>
      <c r="T8203" s="3" t="s">
        <v>558</v>
      </c>
      <c r="U8203" s="3" t="s">
        <v>423</v>
      </c>
      <c r="V8203" s="3" t="s">
        <v>64</v>
      </c>
      <c r="W8203" s="3" t="s">
        <v>35873</v>
      </c>
      <c r="X8203" s="10" t="s">
        <v>4794</v>
      </c>
      <c r="Y8203" s="6" t="s">
        <v>42</v>
      </c>
      <c r="Z8203" s="4">
        <v>0.02</v>
      </c>
      <c r="AA8203" s="4" t="s">
        <v>36</v>
      </c>
      <c r="AB8203" s="3" t="s">
        <v>43</v>
      </c>
      <c r="AC8203" s="3" t="s">
        <v>35874</v>
      </c>
      <c r="AD8203" s="9">
        <v>41275</v>
      </c>
      <c r="AE8203" s="3" t="s">
        <v>562</v>
      </c>
      <c r="AF8203" s="3" t="s">
        <v>36</v>
      </c>
      <c r="AG8203" s="3" t="s">
        <v>81</v>
      </c>
      <c r="AH8203" s="11">
        <f>HYPERLINK("https://my.pitchbook.com?c=204188-14T","View Company Online")</f>
      </c>
    </row>
    <row r="8204">
      <c r="A8204" s="12" t="s">
        <v>35875</v>
      </c>
      <c r="B8204" s="12" t="s">
        <v>35876</v>
      </c>
      <c r="C8204" s="19" t="s">
        <v>36</v>
      </c>
      <c r="D8204" s="19" t="s">
        <v>36</v>
      </c>
      <c r="E8204" s="19" t="s">
        <v>36</v>
      </c>
      <c r="F8204" s="19" t="s">
        <v>36</v>
      </c>
      <c r="G8204" s="15" t="s">
        <v>36</v>
      </c>
      <c r="H8204" s="14" t="s">
        <v>36</v>
      </c>
      <c r="I8204" s="18" t="s">
        <v>36</v>
      </c>
      <c r="J8204" s="12" t="s">
        <v>36</v>
      </c>
      <c r="K8204" s="13" t="s">
        <v>36</v>
      </c>
      <c r="L8204" s="15" t="s">
        <v>36</v>
      </c>
      <c r="M8204" s="12" t="s">
        <v>36</v>
      </c>
      <c r="N8204" s="12" t="s">
        <v>36</v>
      </c>
      <c r="O8204" s="17" t="s">
        <v>36</v>
      </c>
      <c r="P8204" s="12" t="s">
        <v>36</v>
      </c>
      <c r="Q8204" s="12" t="s">
        <v>36</v>
      </c>
      <c r="R8204" s="12" t="s">
        <v>36</v>
      </c>
      <c r="S8204" s="12" t="s">
        <v>36</v>
      </c>
      <c r="T8204" s="12" t="s">
        <v>34187</v>
      </c>
      <c r="U8204" s="12" t="s">
        <v>38</v>
      </c>
      <c r="V8204" s="12" t="s">
        <v>39</v>
      </c>
      <c r="W8204" s="12" t="s">
        <v>35877</v>
      </c>
      <c r="X8204" s="16" t="s">
        <v>13670</v>
      </c>
      <c r="Y8204" s="15" t="s">
        <v>42</v>
      </c>
      <c r="Z8204" s="14">
        <v>1.57</v>
      </c>
      <c r="AA8204" s="14" t="s">
        <v>36</v>
      </c>
      <c r="AB8204" s="12" t="s">
        <v>43</v>
      </c>
      <c r="AC8204" s="12" t="s">
        <v>35878</v>
      </c>
      <c r="AD8204" s="13">
        <v>41275</v>
      </c>
      <c r="AE8204" s="12" t="s">
        <v>339</v>
      </c>
      <c r="AF8204" s="12" t="s">
        <v>36</v>
      </c>
      <c r="AG8204" s="12" t="s">
        <v>81</v>
      </c>
      <c r="AH8204" s="1">
        <f>HYPERLINK("https://my.pitchbook.com?c=118077-31T","View Company Online")</f>
      </c>
    </row>
    <row r="8205">
      <c r="A8205" s="3" t="s">
        <v>35879</v>
      </c>
      <c r="B8205" s="3" t="s">
        <v>35880</v>
      </c>
      <c r="C8205" s="5">
        <v>3</v>
      </c>
      <c r="D8205" s="5">
        <v>15</v>
      </c>
      <c r="E8205" s="5">
        <v>2</v>
      </c>
      <c r="F8205" s="5">
        <v>18</v>
      </c>
      <c r="G8205" s="6" t="s">
        <v>36</v>
      </c>
      <c r="H8205" s="4" t="s">
        <v>36</v>
      </c>
      <c r="I8205" s="7" t="s">
        <v>36</v>
      </c>
      <c r="J8205" s="3" t="s">
        <v>36</v>
      </c>
      <c r="K8205" s="9" t="s">
        <v>36</v>
      </c>
      <c r="L8205" s="6" t="s">
        <v>36</v>
      </c>
      <c r="M8205" s="3" t="s">
        <v>36</v>
      </c>
      <c r="N8205" s="3" t="s">
        <v>36</v>
      </c>
      <c r="O8205" s="8" t="s">
        <v>36</v>
      </c>
      <c r="P8205" s="3" t="s">
        <v>36</v>
      </c>
      <c r="Q8205" s="3" t="s">
        <v>36</v>
      </c>
      <c r="R8205" s="3" t="s">
        <v>36</v>
      </c>
      <c r="S8205" s="3" t="s">
        <v>36</v>
      </c>
      <c r="T8205" s="3" t="s">
        <v>154</v>
      </c>
      <c r="U8205" s="3" t="s">
        <v>51</v>
      </c>
      <c r="V8205" s="3" t="s">
        <v>52</v>
      </c>
      <c r="W8205" s="3" t="s">
        <v>35881</v>
      </c>
      <c r="X8205" s="10" t="s">
        <v>35882</v>
      </c>
      <c r="Y8205" s="6" t="s">
        <v>108</v>
      </c>
      <c r="Z8205" s="4" t="s">
        <v>36</v>
      </c>
      <c r="AA8205" s="4" t="s">
        <v>36</v>
      </c>
      <c r="AB8205" s="3" t="s">
        <v>43</v>
      </c>
      <c r="AC8205" s="3" t="s">
        <v>35883</v>
      </c>
      <c r="AD8205" s="9">
        <v>41275</v>
      </c>
      <c r="AE8205" s="3" t="s">
        <v>158</v>
      </c>
      <c r="AF8205" s="3" t="s">
        <v>665</v>
      </c>
      <c r="AG8205" s="3" t="s">
        <v>991</v>
      </c>
      <c r="AH8205" s="11">
        <f>HYPERLINK("https://my.pitchbook.com?c=149120-65T","View Company Online")</f>
      </c>
    </row>
    <row r="8206">
      <c r="A8206" s="12" t="s">
        <v>35884</v>
      </c>
      <c r="B8206" s="12" t="s">
        <v>35885</v>
      </c>
      <c r="C8206" s="19" t="s">
        <v>36</v>
      </c>
      <c r="D8206" s="19" t="s">
        <v>36</v>
      </c>
      <c r="E8206" s="19" t="s">
        <v>36</v>
      </c>
      <c r="F8206" s="19" t="s">
        <v>36</v>
      </c>
      <c r="G8206" s="15" t="s">
        <v>36</v>
      </c>
      <c r="H8206" s="14" t="s">
        <v>36</v>
      </c>
      <c r="I8206" s="18" t="s">
        <v>36</v>
      </c>
      <c r="J8206" s="12" t="s">
        <v>36</v>
      </c>
      <c r="K8206" s="13" t="s">
        <v>36</v>
      </c>
      <c r="L8206" s="15" t="s">
        <v>36</v>
      </c>
      <c r="M8206" s="12" t="s">
        <v>36</v>
      </c>
      <c r="N8206" s="12" t="s">
        <v>36</v>
      </c>
      <c r="O8206" s="17" t="s">
        <v>36</v>
      </c>
      <c r="P8206" s="12" t="s">
        <v>36</v>
      </c>
      <c r="Q8206" s="12" t="s">
        <v>36</v>
      </c>
      <c r="R8206" s="12" t="s">
        <v>36</v>
      </c>
      <c r="S8206" s="12" t="s">
        <v>36</v>
      </c>
      <c r="T8206" s="12" t="s">
        <v>35886</v>
      </c>
      <c r="U8206" s="12" t="s">
        <v>1144</v>
      </c>
      <c r="V8206" s="12" t="s">
        <v>378</v>
      </c>
      <c r="W8206" s="12" t="s">
        <v>35887</v>
      </c>
      <c r="X8206" s="16" t="s">
        <v>5661</v>
      </c>
      <c r="Y8206" s="15" t="s">
        <v>42</v>
      </c>
      <c r="Z8206" s="14" t="s">
        <v>36</v>
      </c>
      <c r="AA8206" s="14" t="s">
        <v>36</v>
      </c>
      <c r="AB8206" s="12" t="s">
        <v>56</v>
      </c>
      <c r="AC8206" s="12" t="s">
        <v>35888</v>
      </c>
      <c r="AD8206" s="13">
        <v>41275</v>
      </c>
      <c r="AE8206" s="12" t="s">
        <v>13984</v>
      </c>
      <c r="AF8206" s="12" t="s">
        <v>733</v>
      </c>
      <c r="AG8206" s="12" t="s">
        <v>35889</v>
      </c>
      <c r="AH8206" s="1">
        <f>HYPERLINK("https://my.pitchbook.com?c=43978-33T","View Company Online")</f>
      </c>
    </row>
    <row r="8207">
      <c r="A8207" s="3" t="s">
        <v>35890</v>
      </c>
      <c r="B8207" s="3" t="s">
        <v>32399</v>
      </c>
      <c r="C8207" s="5" t="s">
        <v>36</v>
      </c>
      <c r="D8207" s="5" t="s">
        <v>36</v>
      </c>
      <c r="E8207" s="5" t="s">
        <v>36</v>
      </c>
      <c r="F8207" s="5" t="s">
        <v>36</v>
      </c>
      <c r="G8207" s="6" t="s">
        <v>36</v>
      </c>
      <c r="H8207" s="4" t="s">
        <v>36</v>
      </c>
      <c r="I8207" s="7" t="s">
        <v>36</v>
      </c>
      <c r="J8207" s="3" t="s">
        <v>36</v>
      </c>
      <c r="K8207" s="9" t="s">
        <v>36</v>
      </c>
      <c r="L8207" s="6" t="s">
        <v>36</v>
      </c>
      <c r="M8207" s="3" t="s">
        <v>36</v>
      </c>
      <c r="N8207" s="3" t="s">
        <v>36</v>
      </c>
      <c r="O8207" s="8" t="s">
        <v>36</v>
      </c>
      <c r="P8207" s="3" t="s">
        <v>36</v>
      </c>
      <c r="Q8207" s="3" t="s">
        <v>36</v>
      </c>
      <c r="R8207" s="3" t="s">
        <v>36</v>
      </c>
      <c r="S8207" s="3" t="s">
        <v>36</v>
      </c>
      <c r="T8207" s="3" t="s">
        <v>1048</v>
      </c>
      <c r="U8207" s="3" t="s">
        <v>423</v>
      </c>
      <c r="V8207" s="3" t="s">
        <v>64</v>
      </c>
      <c r="W8207" s="3" t="s">
        <v>32400</v>
      </c>
      <c r="X8207" s="10" t="s">
        <v>560</v>
      </c>
      <c r="Y8207" s="6" t="s">
        <v>42</v>
      </c>
      <c r="Z8207" s="4">
        <v>1.31</v>
      </c>
      <c r="AA8207" s="4" t="s">
        <v>36</v>
      </c>
      <c r="AB8207" s="3" t="s">
        <v>43</v>
      </c>
      <c r="AC8207" s="3" t="s">
        <v>32401</v>
      </c>
      <c r="AD8207" s="9">
        <v>41275</v>
      </c>
      <c r="AE8207" s="3" t="s">
        <v>1051</v>
      </c>
      <c r="AF8207" s="3" t="s">
        <v>571</v>
      </c>
      <c r="AG8207" s="3" t="s">
        <v>4358</v>
      </c>
      <c r="AH8207" s="11">
        <f>HYPERLINK("https://my.pitchbook.com?c=179526-61T","View Company Online")</f>
      </c>
    </row>
    <row r="8208">
      <c r="A8208" s="12" t="s">
        <v>35891</v>
      </c>
      <c r="B8208" s="12" t="s">
        <v>35892</v>
      </c>
      <c r="C8208" s="19" t="s">
        <v>36</v>
      </c>
      <c r="D8208" s="19" t="s">
        <v>36</v>
      </c>
      <c r="E8208" s="19" t="s">
        <v>36</v>
      </c>
      <c r="F8208" s="19" t="s">
        <v>36</v>
      </c>
      <c r="G8208" s="15" t="s">
        <v>36</v>
      </c>
      <c r="H8208" s="14" t="s">
        <v>36</v>
      </c>
      <c r="I8208" s="18" t="s">
        <v>36</v>
      </c>
      <c r="J8208" s="12" t="s">
        <v>36</v>
      </c>
      <c r="K8208" s="13" t="s">
        <v>36</v>
      </c>
      <c r="L8208" s="15" t="s">
        <v>36</v>
      </c>
      <c r="M8208" s="12" t="s">
        <v>36</v>
      </c>
      <c r="N8208" s="12" t="s">
        <v>36</v>
      </c>
      <c r="O8208" s="17" t="s">
        <v>36</v>
      </c>
      <c r="P8208" s="12" t="s">
        <v>36</v>
      </c>
      <c r="Q8208" s="12" t="s">
        <v>36</v>
      </c>
      <c r="R8208" s="12" t="s">
        <v>36</v>
      </c>
      <c r="S8208" s="12" t="s">
        <v>36</v>
      </c>
      <c r="T8208" s="12" t="s">
        <v>1125</v>
      </c>
      <c r="U8208" s="12" t="s">
        <v>74</v>
      </c>
      <c r="V8208" s="12" t="s">
        <v>75</v>
      </c>
      <c r="W8208" s="12" t="s">
        <v>35893</v>
      </c>
      <c r="X8208" s="16" t="s">
        <v>35894</v>
      </c>
      <c r="Y8208" s="15" t="s">
        <v>42</v>
      </c>
      <c r="Z8208" s="14" t="s">
        <v>36</v>
      </c>
      <c r="AA8208" s="14" t="s">
        <v>36</v>
      </c>
      <c r="AB8208" s="12" t="s">
        <v>43</v>
      </c>
      <c r="AC8208" s="12" t="s">
        <v>35895</v>
      </c>
      <c r="AD8208" s="13">
        <v>41275</v>
      </c>
      <c r="AE8208" s="12" t="s">
        <v>975</v>
      </c>
      <c r="AF8208" s="12" t="s">
        <v>118</v>
      </c>
      <c r="AG8208" s="12" t="s">
        <v>81</v>
      </c>
      <c r="AH8208" s="1">
        <f>HYPERLINK("https://my.pitchbook.com?c=131728-15T","View Company Online")</f>
      </c>
    </row>
    <row r="8209">
      <c r="A8209" s="3" t="s">
        <v>35896</v>
      </c>
      <c r="B8209" s="3" t="s">
        <v>35897</v>
      </c>
      <c r="C8209" s="5" t="s">
        <v>36</v>
      </c>
      <c r="D8209" s="5" t="s">
        <v>36</v>
      </c>
      <c r="E8209" s="5" t="s">
        <v>36</v>
      </c>
      <c r="F8209" s="5" t="s">
        <v>36</v>
      </c>
      <c r="G8209" s="6" t="s">
        <v>36</v>
      </c>
      <c r="H8209" s="4" t="s">
        <v>36</v>
      </c>
      <c r="I8209" s="7" t="s">
        <v>36</v>
      </c>
      <c r="J8209" s="3" t="s">
        <v>36</v>
      </c>
      <c r="K8209" s="9" t="s">
        <v>36</v>
      </c>
      <c r="L8209" s="6" t="s">
        <v>36</v>
      </c>
      <c r="M8209" s="3" t="s">
        <v>36</v>
      </c>
      <c r="N8209" s="3" t="s">
        <v>36</v>
      </c>
      <c r="O8209" s="8" t="s">
        <v>36</v>
      </c>
      <c r="P8209" s="3" t="s">
        <v>36</v>
      </c>
      <c r="Q8209" s="3" t="s">
        <v>36</v>
      </c>
      <c r="R8209" s="3" t="s">
        <v>36</v>
      </c>
      <c r="S8209" s="3" t="s">
        <v>36</v>
      </c>
      <c r="T8209" s="3" t="s">
        <v>13570</v>
      </c>
      <c r="U8209" s="3" t="s">
        <v>63</v>
      </c>
      <c r="V8209" s="3" t="s">
        <v>64</v>
      </c>
      <c r="W8209" s="3" t="s">
        <v>35898</v>
      </c>
      <c r="X8209" s="10" t="s">
        <v>35899</v>
      </c>
      <c r="Y8209" s="6" t="s">
        <v>42</v>
      </c>
      <c r="Z8209" s="4" t="s">
        <v>36</v>
      </c>
      <c r="AA8209" s="4" t="s">
        <v>36</v>
      </c>
      <c r="AB8209" s="3" t="s">
        <v>43</v>
      </c>
      <c r="AC8209" s="3" t="s">
        <v>35900</v>
      </c>
      <c r="AD8209" s="9">
        <v>41275</v>
      </c>
      <c r="AE8209" s="3" t="s">
        <v>399</v>
      </c>
      <c r="AF8209" s="3" t="s">
        <v>938</v>
      </c>
      <c r="AG8209" s="3" t="s">
        <v>81</v>
      </c>
      <c r="AH8209" s="11">
        <f>HYPERLINK("https://my.pitchbook.com?c=30538-45T","View Company Online")</f>
      </c>
    </row>
    <row r="8210">
      <c r="A8210" s="12" t="s">
        <v>35901</v>
      </c>
      <c r="B8210" s="12" t="s">
        <v>22025</v>
      </c>
      <c r="C8210" s="19" t="s">
        <v>36</v>
      </c>
      <c r="D8210" s="19" t="s">
        <v>36</v>
      </c>
      <c r="E8210" s="19" t="s">
        <v>36</v>
      </c>
      <c r="F8210" s="19" t="s">
        <v>36</v>
      </c>
      <c r="G8210" s="15" t="s">
        <v>36</v>
      </c>
      <c r="H8210" s="14">
        <v>199.29</v>
      </c>
      <c r="I8210" s="18">
        <v>34.95</v>
      </c>
      <c r="J8210" s="12" t="s">
        <v>521</v>
      </c>
      <c r="K8210" s="13" t="s">
        <v>36</v>
      </c>
      <c r="L8210" s="15" t="s">
        <v>36</v>
      </c>
      <c r="M8210" s="12" t="s">
        <v>36</v>
      </c>
      <c r="N8210" s="12" t="s">
        <v>36</v>
      </c>
      <c r="O8210" s="17" t="s">
        <v>36</v>
      </c>
      <c r="P8210" s="12" t="s">
        <v>36</v>
      </c>
      <c r="Q8210" s="12" t="s">
        <v>36</v>
      </c>
      <c r="R8210" s="12" t="s">
        <v>36</v>
      </c>
      <c r="S8210" s="12" t="s">
        <v>36</v>
      </c>
      <c r="T8210" s="12" t="s">
        <v>22026</v>
      </c>
      <c r="U8210" s="12" t="s">
        <v>38</v>
      </c>
      <c r="V8210" s="12" t="s">
        <v>39</v>
      </c>
      <c r="W8210" s="12" t="s">
        <v>22027</v>
      </c>
      <c r="X8210" s="16" t="s">
        <v>35902</v>
      </c>
      <c r="Y8210" s="15" t="s">
        <v>42</v>
      </c>
      <c r="Z8210" s="14">
        <v>0.78</v>
      </c>
      <c r="AA8210" s="14">
        <v>2.23</v>
      </c>
      <c r="AB8210" s="12" t="s">
        <v>43</v>
      </c>
      <c r="AC8210" s="12" t="s">
        <v>22029</v>
      </c>
      <c r="AD8210" s="13">
        <v>41275</v>
      </c>
      <c r="AE8210" s="12" t="s">
        <v>110</v>
      </c>
      <c r="AF8210" s="12" t="s">
        <v>118</v>
      </c>
      <c r="AG8210" s="12" t="s">
        <v>924</v>
      </c>
      <c r="AH8210" s="1">
        <f>HYPERLINK("https://my.pitchbook.com?c=35640-82T","View Company Online")</f>
      </c>
    </row>
    <row r="8211">
      <c r="A8211" s="3" t="s">
        <v>35903</v>
      </c>
      <c r="B8211" s="3" t="s">
        <v>20300</v>
      </c>
      <c r="C8211" s="5" t="s">
        <v>36</v>
      </c>
      <c r="D8211" s="5" t="s">
        <v>36</v>
      </c>
      <c r="E8211" s="5" t="s">
        <v>36</v>
      </c>
      <c r="F8211" s="5" t="s">
        <v>36</v>
      </c>
      <c r="G8211" s="6" t="s">
        <v>36</v>
      </c>
      <c r="H8211" s="4" t="s">
        <v>36</v>
      </c>
      <c r="I8211" s="7" t="s">
        <v>36</v>
      </c>
      <c r="J8211" s="3" t="s">
        <v>36</v>
      </c>
      <c r="K8211" s="9" t="s">
        <v>36</v>
      </c>
      <c r="L8211" s="6" t="s">
        <v>36</v>
      </c>
      <c r="M8211" s="3" t="s">
        <v>36</v>
      </c>
      <c r="N8211" s="3" t="s">
        <v>36</v>
      </c>
      <c r="O8211" s="8" t="s">
        <v>36</v>
      </c>
      <c r="P8211" s="3" t="s">
        <v>36</v>
      </c>
      <c r="Q8211" s="3" t="s">
        <v>36</v>
      </c>
      <c r="R8211" s="3" t="s">
        <v>36</v>
      </c>
      <c r="S8211" s="3" t="s">
        <v>36</v>
      </c>
      <c r="T8211" s="3" t="s">
        <v>522</v>
      </c>
      <c r="U8211" s="3" t="s">
        <v>38</v>
      </c>
      <c r="V8211" s="3" t="s">
        <v>39</v>
      </c>
      <c r="W8211" s="3" t="s">
        <v>20301</v>
      </c>
      <c r="X8211" s="10" t="s">
        <v>35904</v>
      </c>
      <c r="Y8211" s="6" t="s">
        <v>55</v>
      </c>
      <c r="Z8211" s="4" t="s">
        <v>36</v>
      </c>
      <c r="AA8211" s="4" t="s">
        <v>36</v>
      </c>
      <c r="AB8211" s="3" t="s">
        <v>56</v>
      </c>
      <c r="AC8211" s="3" t="s">
        <v>20303</v>
      </c>
      <c r="AD8211" s="9">
        <v>41275</v>
      </c>
      <c r="AE8211" s="3" t="s">
        <v>110</v>
      </c>
      <c r="AF8211" s="3" t="s">
        <v>6214</v>
      </c>
      <c r="AG8211" s="3" t="s">
        <v>81</v>
      </c>
      <c r="AH8211" s="11">
        <f>HYPERLINK("https://my.pitchbook.com?c=60679-45T","View Company Online")</f>
      </c>
    </row>
    <row r="8212">
      <c r="A8212" s="12" t="s">
        <v>35905</v>
      </c>
      <c r="B8212" s="12" t="s">
        <v>35906</v>
      </c>
      <c r="C8212" s="19" t="s">
        <v>36</v>
      </c>
      <c r="D8212" s="19">
        <v>2</v>
      </c>
      <c r="E8212" s="19">
        <v>1</v>
      </c>
      <c r="F8212" s="19">
        <v>5</v>
      </c>
      <c r="G8212" s="15" t="s">
        <v>36</v>
      </c>
      <c r="H8212" s="14" t="s">
        <v>36</v>
      </c>
      <c r="I8212" s="18" t="s">
        <v>36</v>
      </c>
      <c r="J8212" s="12" t="s">
        <v>36</v>
      </c>
      <c r="K8212" s="13" t="s">
        <v>36</v>
      </c>
      <c r="L8212" s="15" t="s">
        <v>36</v>
      </c>
      <c r="M8212" s="12" t="s">
        <v>36</v>
      </c>
      <c r="N8212" s="12" t="s">
        <v>36</v>
      </c>
      <c r="O8212" s="17" t="s">
        <v>36</v>
      </c>
      <c r="P8212" s="12" t="s">
        <v>36</v>
      </c>
      <c r="Q8212" s="12" t="s">
        <v>36</v>
      </c>
      <c r="R8212" s="12" t="s">
        <v>36</v>
      </c>
      <c r="S8212" s="12" t="s">
        <v>36</v>
      </c>
      <c r="T8212" s="12" t="s">
        <v>2241</v>
      </c>
      <c r="U8212" s="12" t="s">
        <v>318</v>
      </c>
      <c r="V8212" s="12" t="s">
        <v>39</v>
      </c>
      <c r="W8212" s="12" t="s">
        <v>35907</v>
      </c>
      <c r="X8212" s="16" t="s">
        <v>11579</v>
      </c>
      <c r="Y8212" s="15" t="s">
        <v>42</v>
      </c>
      <c r="Z8212" s="14" t="s">
        <v>36</v>
      </c>
      <c r="AA8212" s="14" t="s">
        <v>36</v>
      </c>
      <c r="AB8212" s="12" t="s">
        <v>43</v>
      </c>
      <c r="AC8212" s="12" t="s">
        <v>35908</v>
      </c>
      <c r="AD8212" s="13">
        <v>41275</v>
      </c>
      <c r="AE8212" s="12" t="s">
        <v>763</v>
      </c>
      <c r="AF8212" s="12" t="s">
        <v>571</v>
      </c>
      <c r="AG8212" s="12" t="s">
        <v>31362</v>
      </c>
      <c r="AH8212" s="1">
        <f>HYPERLINK("https://my.pitchbook.com?c=85015-09T","View Company Online")</f>
      </c>
    </row>
    <row r="8213">
      <c r="A8213" s="3" t="s">
        <v>35909</v>
      </c>
      <c r="B8213" s="3" t="s">
        <v>35910</v>
      </c>
      <c r="C8213" s="5" t="s">
        <v>36</v>
      </c>
      <c r="D8213" s="5">
        <v>1</v>
      </c>
      <c r="E8213" s="5">
        <v>1</v>
      </c>
      <c r="F8213" s="5">
        <v>2</v>
      </c>
      <c r="G8213" s="6" t="s">
        <v>36</v>
      </c>
      <c r="H8213" s="4" t="s">
        <v>36</v>
      </c>
      <c r="I8213" s="7" t="s">
        <v>36</v>
      </c>
      <c r="J8213" s="3" t="s">
        <v>36</v>
      </c>
      <c r="K8213" s="9" t="s">
        <v>36</v>
      </c>
      <c r="L8213" s="6" t="s">
        <v>36</v>
      </c>
      <c r="M8213" s="3" t="s">
        <v>36</v>
      </c>
      <c r="N8213" s="3" t="s">
        <v>36</v>
      </c>
      <c r="O8213" s="8" t="s">
        <v>36</v>
      </c>
      <c r="P8213" s="3" t="s">
        <v>36</v>
      </c>
      <c r="Q8213" s="3" t="s">
        <v>36</v>
      </c>
      <c r="R8213" s="3" t="s">
        <v>36</v>
      </c>
      <c r="S8213" s="3" t="s">
        <v>36</v>
      </c>
      <c r="T8213" s="3" t="s">
        <v>35911</v>
      </c>
      <c r="U8213" s="3" t="s">
        <v>833</v>
      </c>
      <c r="V8213" s="3" t="s">
        <v>64</v>
      </c>
      <c r="W8213" s="3" t="s">
        <v>35912</v>
      </c>
      <c r="X8213" s="10" t="s">
        <v>11579</v>
      </c>
      <c r="Y8213" s="6" t="s">
        <v>42</v>
      </c>
      <c r="Z8213" s="4" t="s">
        <v>36</v>
      </c>
      <c r="AA8213" s="4" t="s">
        <v>36</v>
      </c>
      <c r="AB8213" s="3" t="s">
        <v>56</v>
      </c>
      <c r="AC8213" s="3" t="s">
        <v>35913</v>
      </c>
      <c r="AD8213" s="9">
        <v>41275</v>
      </c>
      <c r="AE8213" s="3" t="s">
        <v>1069</v>
      </c>
      <c r="AF8213" s="3" t="s">
        <v>4668</v>
      </c>
      <c r="AG8213" s="3" t="s">
        <v>35914</v>
      </c>
      <c r="AH8213" s="11">
        <f>HYPERLINK("https://my.pitchbook.com?c=85106-89T","View Company Online")</f>
      </c>
    </row>
    <row r="8214">
      <c r="A8214" s="12" t="s">
        <v>35915</v>
      </c>
      <c r="B8214" s="12" t="s">
        <v>27189</v>
      </c>
      <c r="C8214" s="19" t="s">
        <v>36</v>
      </c>
      <c r="D8214" s="19" t="s">
        <v>36</v>
      </c>
      <c r="E8214" s="19" t="s">
        <v>36</v>
      </c>
      <c r="F8214" s="19" t="s">
        <v>36</v>
      </c>
      <c r="G8214" s="15" t="s">
        <v>36</v>
      </c>
      <c r="H8214" s="14">
        <v>4.67</v>
      </c>
      <c r="I8214" s="18">
        <v>39.74</v>
      </c>
      <c r="J8214" s="12" t="s">
        <v>521</v>
      </c>
      <c r="K8214" s="13" t="s">
        <v>36</v>
      </c>
      <c r="L8214" s="15" t="s">
        <v>36</v>
      </c>
      <c r="M8214" s="12" t="s">
        <v>36</v>
      </c>
      <c r="N8214" s="12" t="s">
        <v>36</v>
      </c>
      <c r="O8214" s="17" t="s">
        <v>36</v>
      </c>
      <c r="P8214" s="12" t="s">
        <v>36</v>
      </c>
      <c r="Q8214" s="12" t="s">
        <v>36</v>
      </c>
      <c r="R8214" s="12" t="s">
        <v>36</v>
      </c>
      <c r="S8214" s="12" t="s">
        <v>36</v>
      </c>
      <c r="T8214" s="12" t="s">
        <v>1125</v>
      </c>
      <c r="U8214" s="12" t="s">
        <v>74</v>
      </c>
      <c r="V8214" s="12" t="s">
        <v>75</v>
      </c>
      <c r="W8214" s="12" t="s">
        <v>27190</v>
      </c>
      <c r="X8214" s="16" t="s">
        <v>10302</v>
      </c>
      <c r="Y8214" s="15" t="s">
        <v>42</v>
      </c>
      <c r="Z8214" s="14">
        <v>0.43</v>
      </c>
      <c r="AA8214" s="14">
        <v>1.09</v>
      </c>
      <c r="AB8214" s="12" t="s">
        <v>56</v>
      </c>
      <c r="AC8214" s="12" t="s">
        <v>27191</v>
      </c>
      <c r="AD8214" s="13">
        <v>41273</v>
      </c>
      <c r="AE8214" s="12" t="s">
        <v>975</v>
      </c>
      <c r="AF8214" s="12" t="s">
        <v>4668</v>
      </c>
      <c r="AG8214" s="12" t="s">
        <v>2299</v>
      </c>
      <c r="AH8214" s="1">
        <f>HYPERLINK("https://my.pitchbook.com?c=51789-25T","View Company Online")</f>
      </c>
    </row>
    <row r="8215">
      <c r="A8215" s="3" t="s">
        <v>35916</v>
      </c>
      <c r="B8215" s="3" t="s">
        <v>12387</v>
      </c>
      <c r="C8215" s="5">
        <v>3</v>
      </c>
      <c r="D8215" s="5">
        <v>15</v>
      </c>
      <c r="E8215" s="5">
        <v>6</v>
      </c>
      <c r="F8215" s="5">
        <v>27</v>
      </c>
      <c r="G8215" s="6" t="s">
        <v>36</v>
      </c>
      <c r="H8215" s="4">
        <v>3.2</v>
      </c>
      <c r="I8215" s="7">
        <v>40.23</v>
      </c>
      <c r="J8215" s="3" t="s">
        <v>521</v>
      </c>
      <c r="K8215" s="9" t="s">
        <v>36</v>
      </c>
      <c r="L8215" s="6" t="s">
        <v>36</v>
      </c>
      <c r="M8215" s="3" t="s">
        <v>36</v>
      </c>
      <c r="N8215" s="3" t="s">
        <v>36</v>
      </c>
      <c r="O8215" s="8" t="s">
        <v>36</v>
      </c>
      <c r="P8215" s="3" t="s">
        <v>36</v>
      </c>
      <c r="Q8215" s="3" t="s">
        <v>36</v>
      </c>
      <c r="R8215" s="3" t="s">
        <v>36</v>
      </c>
      <c r="S8215" s="3" t="s">
        <v>36</v>
      </c>
      <c r="T8215" s="3" t="s">
        <v>12388</v>
      </c>
      <c r="U8215" s="3" t="s">
        <v>96</v>
      </c>
      <c r="V8215" s="3" t="s">
        <v>52</v>
      </c>
      <c r="W8215" s="3" t="s">
        <v>12389</v>
      </c>
      <c r="X8215" s="10" t="s">
        <v>35917</v>
      </c>
      <c r="Y8215" s="6" t="s">
        <v>42</v>
      </c>
      <c r="Z8215" s="4">
        <v>0.78</v>
      </c>
      <c r="AA8215" s="4">
        <v>1.94</v>
      </c>
      <c r="AB8215" s="3" t="s">
        <v>43</v>
      </c>
      <c r="AC8215" s="3" t="s">
        <v>12391</v>
      </c>
      <c r="AD8215" s="9">
        <v>41264</v>
      </c>
      <c r="AE8215" s="3" t="s">
        <v>12392</v>
      </c>
      <c r="AF8215" s="3" t="s">
        <v>36</v>
      </c>
      <c r="AG8215" s="3" t="s">
        <v>47</v>
      </c>
      <c r="AH8215" s="11">
        <f>HYPERLINK("https://my.pitchbook.com?c=33830-92T","View Company Online")</f>
      </c>
    </row>
    <row r="8216">
      <c r="A8216" s="12" t="s">
        <v>35918</v>
      </c>
      <c r="B8216" s="12" t="s">
        <v>17989</v>
      </c>
      <c r="C8216" s="19" t="s">
        <v>36</v>
      </c>
      <c r="D8216" s="19">
        <v>2</v>
      </c>
      <c r="E8216" s="19">
        <v>2</v>
      </c>
      <c r="F8216" s="19">
        <v>3</v>
      </c>
      <c r="G8216" s="15" t="s">
        <v>36</v>
      </c>
      <c r="H8216" s="14">
        <v>4.73</v>
      </c>
      <c r="I8216" s="18">
        <v>33.07</v>
      </c>
      <c r="J8216" s="12" t="s">
        <v>521</v>
      </c>
      <c r="K8216" s="13" t="s">
        <v>36</v>
      </c>
      <c r="L8216" s="15" t="s">
        <v>36</v>
      </c>
      <c r="M8216" s="12" t="s">
        <v>36</v>
      </c>
      <c r="N8216" s="12" t="s">
        <v>36</v>
      </c>
      <c r="O8216" s="17" t="s">
        <v>36</v>
      </c>
      <c r="P8216" s="12" t="s">
        <v>36</v>
      </c>
      <c r="Q8216" s="12" t="s">
        <v>36</v>
      </c>
      <c r="R8216" s="12" t="s">
        <v>36</v>
      </c>
      <c r="S8216" s="12" t="s">
        <v>36</v>
      </c>
      <c r="T8216" s="12" t="s">
        <v>5678</v>
      </c>
      <c r="U8216" s="12" t="s">
        <v>74</v>
      </c>
      <c r="V8216" s="12" t="s">
        <v>75</v>
      </c>
      <c r="W8216" s="12" t="s">
        <v>17990</v>
      </c>
      <c r="X8216" s="16" t="s">
        <v>35919</v>
      </c>
      <c r="Y8216" s="15" t="s">
        <v>42</v>
      </c>
      <c r="Z8216" s="14">
        <v>2.15</v>
      </c>
      <c r="AA8216" s="14">
        <v>6.5</v>
      </c>
      <c r="AB8216" s="12" t="s">
        <v>43</v>
      </c>
      <c r="AC8216" s="12" t="s">
        <v>17992</v>
      </c>
      <c r="AD8216" s="13">
        <v>41264</v>
      </c>
      <c r="AE8216" s="12" t="s">
        <v>79</v>
      </c>
      <c r="AF8216" s="12" t="s">
        <v>176</v>
      </c>
      <c r="AG8216" s="12" t="s">
        <v>144</v>
      </c>
      <c r="AH8216" s="1">
        <f>HYPERLINK("https://my.pitchbook.com?c=26110-54T","View Company Online")</f>
      </c>
    </row>
    <row r="8217">
      <c r="A8217" s="3" t="s">
        <v>35920</v>
      </c>
      <c r="B8217" s="3" t="s">
        <v>35921</v>
      </c>
      <c r="C8217" s="5" t="s">
        <v>36</v>
      </c>
      <c r="D8217" s="5" t="s">
        <v>36</v>
      </c>
      <c r="E8217" s="5" t="s">
        <v>36</v>
      </c>
      <c r="F8217" s="5" t="s">
        <v>36</v>
      </c>
      <c r="G8217" s="6" t="s">
        <v>2497</v>
      </c>
      <c r="H8217" s="4">
        <v>301.18</v>
      </c>
      <c r="I8217" s="7">
        <v>28.12</v>
      </c>
      <c r="J8217" s="3" t="s">
        <v>521</v>
      </c>
      <c r="K8217" s="9" t="s">
        <v>36</v>
      </c>
      <c r="L8217" s="6" t="s">
        <v>36</v>
      </c>
      <c r="M8217" s="3" t="s">
        <v>36</v>
      </c>
      <c r="N8217" s="3" t="s">
        <v>36</v>
      </c>
      <c r="O8217" s="8" t="s">
        <v>36</v>
      </c>
      <c r="P8217" s="3" t="s">
        <v>36</v>
      </c>
      <c r="Q8217" s="3" t="s">
        <v>36</v>
      </c>
      <c r="R8217" s="3" t="s">
        <v>36</v>
      </c>
      <c r="S8217" s="3" t="s">
        <v>36</v>
      </c>
      <c r="T8217" s="3" t="s">
        <v>35922</v>
      </c>
      <c r="U8217" s="3" t="s">
        <v>833</v>
      </c>
      <c r="V8217" s="3" t="s">
        <v>64</v>
      </c>
      <c r="W8217" s="3" t="s">
        <v>35923</v>
      </c>
      <c r="X8217" s="10" t="s">
        <v>35924</v>
      </c>
      <c r="Y8217" s="6" t="s">
        <v>55</v>
      </c>
      <c r="Z8217" s="4">
        <v>1.96</v>
      </c>
      <c r="AA8217" s="4">
        <v>6.95</v>
      </c>
      <c r="AB8217" s="3" t="s">
        <v>56</v>
      </c>
      <c r="AC8217" s="3" t="s">
        <v>35925</v>
      </c>
      <c r="AD8217" s="9">
        <v>41264</v>
      </c>
      <c r="AE8217" s="3" t="s">
        <v>3615</v>
      </c>
      <c r="AF8217" s="3" t="s">
        <v>571</v>
      </c>
      <c r="AG8217" s="3" t="s">
        <v>144</v>
      </c>
      <c r="AH8217" s="11">
        <f>HYPERLINK("https://my.pitchbook.com?c=194733-46T","View Company Online")</f>
      </c>
    </row>
    <row r="8218">
      <c r="A8218" s="12" t="s">
        <v>35926</v>
      </c>
      <c r="B8218" s="12" t="s">
        <v>29799</v>
      </c>
      <c r="C8218" s="19" t="s">
        <v>36</v>
      </c>
      <c r="D8218" s="19" t="s">
        <v>36</v>
      </c>
      <c r="E8218" s="19">
        <v>1</v>
      </c>
      <c r="F8218" s="19">
        <v>1</v>
      </c>
      <c r="G8218" s="15" t="s">
        <v>36</v>
      </c>
      <c r="H8218" s="14">
        <v>992.41</v>
      </c>
      <c r="I8218" s="18">
        <v>28.57</v>
      </c>
      <c r="J8218" s="12" t="s">
        <v>521</v>
      </c>
      <c r="K8218" s="13" t="s">
        <v>36</v>
      </c>
      <c r="L8218" s="15" t="s">
        <v>36</v>
      </c>
      <c r="M8218" s="12" t="s">
        <v>36</v>
      </c>
      <c r="N8218" s="12" t="s">
        <v>36</v>
      </c>
      <c r="O8218" s="17" t="s">
        <v>36</v>
      </c>
      <c r="P8218" s="12" t="s">
        <v>36</v>
      </c>
      <c r="Q8218" s="12" t="s">
        <v>36</v>
      </c>
      <c r="R8218" s="12" t="s">
        <v>36</v>
      </c>
      <c r="S8218" s="12" t="s">
        <v>36</v>
      </c>
      <c r="T8218" s="12" t="s">
        <v>29800</v>
      </c>
      <c r="U8218" s="12" t="s">
        <v>423</v>
      </c>
      <c r="V8218" s="12" t="s">
        <v>64</v>
      </c>
      <c r="W8218" s="12" t="s">
        <v>29801</v>
      </c>
      <c r="X8218" s="16" t="s">
        <v>9952</v>
      </c>
      <c r="Y8218" s="15" t="s">
        <v>42</v>
      </c>
      <c r="Z8218" s="14">
        <v>0.26</v>
      </c>
      <c r="AA8218" s="14">
        <v>0.9</v>
      </c>
      <c r="AB8218" s="12" t="s">
        <v>43</v>
      </c>
      <c r="AC8218" s="12" t="s">
        <v>29803</v>
      </c>
      <c r="AD8218" s="13">
        <v>41264</v>
      </c>
      <c r="AE8218" s="12" t="s">
        <v>562</v>
      </c>
      <c r="AF8218" s="12" t="s">
        <v>5793</v>
      </c>
      <c r="AG8218" s="12" t="s">
        <v>1601</v>
      </c>
      <c r="AH8218" s="1">
        <f>HYPERLINK("https://my.pitchbook.com?c=40774-87T","View Company Online")</f>
      </c>
    </row>
    <row r="8219">
      <c r="A8219" s="3" t="s">
        <v>35927</v>
      </c>
      <c r="B8219" s="3" t="s">
        <v>6106</v>
      </c>
      <c r="C8219" s="5" t="s">
        <v>36</v>
      </c>
      <c r="D8219" s="5" t="s">
        <v>36</v>
      </c>
      <c r="E8219" s="5" t="s">
        <v>36</v>
      </c>
      <c r="F8219" s="5" t="s">
        <v>36</v>
      </c>
      <c r="G8219" s="6" t="s">
        <v>36</v>
      </c>
      <c r="H8219" s="4">
        <v>1.26</v>
      </c>
      <c r="I8219" s="7">
        <v>18.97</v>
      </c>
      <c r="J8219" s="3" t="s">
        <v>521</v>
      </c>
      <c r="K8219" s="9" t="s">
        <v>36</v>
      </c>
      <c r="L8219" s="6" t="s">
        <v>36</v>
      </c>
      <c r="M8219" s="3" t="s">
        <v>36</v>
      </c>
      <c r="N8219" s="3" t="s">
        <v>36</v>
      </c>
      <c r="O8219" s="8" t="s">
        <v>36</v>
      </c>
      <c r="P8219" s="3" t="s">
        <v>36</v>
      </c>
      <c r="Q8219" s="3" t="s">
        <v>36</v>
      </c>
      <c r="R8219" s="3" t="s">
        <v>36</v>
      </c>
      <c r="S8219" s="3" t="s">
        <v>36</v>
      </c>
      <c r="T8219" s="3" t="s">
        <v>6107</v>
      </c>
      <c r="U8219" s="3" t="s">
        <v>74</v>
      </c>
      <c r="V8219" s="3" t="s">
        <v>75</v>
      </c>
      <c r="W8219" s="3" t="s">
        <v>6108</v>
      </c>
      <c r="X8219" s="10" t="s">
        <v>1241</v>
      </c>
      <c r="Y8219" s="6" t="s">
        <v>42</v>
      </c>
      <c r="Z8219" s="4">
        <v>0.67</v>
      </c>
      <c r="AA8219" s="4">
        <v>3.53</v>
      </c>
      <c r="AB8219" s="3" t="s">
        <v>56</v>
      </c>
      <c r="AC8219" s="3" t="s">
        <v>6110</v>
      </c>
      <c r="AD8219" s="9">
        <v>41263</v>
      </c>
      <c r="AE8219" s="3" t="s">
        <v>975</v>
      </c>
      <c r="AF8219" s="3" t="s">
        <v>36</v>
      </c>
      <c r="AG8219" s="3" t="s">
        <v>1905</v>
      </c>
      <c r="AH8219" s="11">
        <f>HYPERLINK("https://my.pitchbook.com?c=33348-07T","View Company Online")</f>
      </c>
    </row>
    <row r="8220">
      <c r="A8220" s="12" t="s">
        <v>35928</v>
      </c>
      <c r="B8220" s="12" t="s">
        <v>11801</v>
      </c>
      <c r="C8220" s="19" t="s">
        <v>36</v>
      </c>
      <c r="D8220" s="19" t="s">
        <v>36</v>
      </c>
      <c r="E8220" s="19" t="s">
        <v>36</v>
      </c>
      <c r="F8220" s="19" t="s">
        <v>36</v>
      </c>
      <c r="G8220" s="15" t="s">
        <v>36</v>
      </c>
      <c r="H8220" s="14">
        <v>2.14</v>
      </c>
      <c r="I8220" s="18">
        <v>11.57</v>
      </c>
      <c r="J8220" s="12" t="s">
        <v>521</v>
      </c>
      <c r="K8220" s="13" t="s">
        <v>36</v>
      </c>
      <c r="L8220" s="15" t="s">
        <v>36</v>
      </c>
      <c r="M8220" s="12" t="s">
        <v>36</v>
      </c>
      <c r="N8220" s="12" t="s">
        <v>36</v>
      </c>
      <c r="O8220" s="17" t="s">
        <v>36</v>
      </c>
      <c r="P8220" s="12" t="s">
        <v>36</v>
      </c>
      <c r="Q8220" s="12" t="s">
        <v>36</v>
      </c>
      <c r="R8220" s="12" t="s">
        <v>36</v>
      </c>
      <c r="S8220" s="12" t="s">
        <v>36</v>
      </c>
      <c r="T8220" s="12" t="s">
        <v>11802</v>
      </c>
      <c r="U8220" s="12" t="s">
        <v>74</v>
      </c>
      <c r="V8220" s="12" t="s">
        <v>75</v>
      </c>
      <c r="W8220" s="12" t="s">
        <v>11803</v>
      </c>
      <c r="X8220" s="16" t="s">
        <v>2268</v>
      </c>
      <c r="Y8220" s="15" t="s">
        <v>42</v>
      </c>
      <c r="Z8220" s="14">
        <v>1.91</v>
      </c>
      <c r="AA8220" s="14">
        <v>16.54</v>
      </c>
      <c r="AB8220" s="12" t="s">
        <v>56</v>
      </c>
      <c r="AC8220" s="12" t="s">
        <v>11804</v>
      </c>
      <c r="AD8220" s="13">
        <v>41263</v>
      </c>
      <c r="AE8220" s="12" t="s">
        <v>1888</v>
      </c>
      <c r="AF8220" s="12" t="s">
        <v>36</v>
      </c>
      <c r="AG8220" s="12" t="s">
        <v>11805</v>
      </c>
      <c r="AH8220" s="1">
        <f>HYPERLINK("https://my.pitchbook.com?c=200544-94T","View Company Online")</f>
      </c>
    </row>
    <row r="8221">
      <c r="A8221" s="3" t="s">
        <v>35929</v>
      </c>
      <c r="B8221" s="3" t="s">
        <v>13371</v>
      </c>
      <c r="C8221" s="5" t="s">
        <v>36</v>
      </c>
      <c r="D8221" s="5" t="s">
        <v>36</v>
      </c>
      <c r="E8221" s="5" t="s">
        <v>36</v>
      </c>
      <c r="F8221" s="5" t="s">
        <v>36</v>
      </c>
      <c r="G8221" s="6" t="s">
        <v>36</v>
      </c>
      <c r="H8221" s="4">
        <v>5.79</v>
      </c>
      <c r="I8221" s="7">
        <v>33.59</v>
      </c>
      <c r="J8221" s="3" t="s">
        <v>521</v>
      </c>
      <c r="K8221" s="9" t="s">
        <v>36</v>
      </c>
      <c r="L8221" s="6" t="s">
        <v>36</v>
      </c>
      <c r="M8221" s="3" t="s">
        <v>36</v>
      </c>
      <c r="N8221" s="3" t="s">
        <v>36</v>
      </c>
      <c r="O8221" s="8" t="s">
        <v>36</v>
      </c>
      <c r="P8221" s="3" t="s">
        <v>36</v>
      </c>
      <c r="Q8221" s="3" t="s">
        <v>36</v>
      </c>
      <c r="R8221" s="3" t="s">
        <v>36</v>
      </c>
      <c r="S8221" s="3" t="s">
        <v>36</v>
      </c>
      <c r="T8221" s="3" t="s">
        <v>13372</v>
      </c>
      <c r="U8221" s="3" t="s">
        <v>438</v>
      </c>
      <c r="V8221" s="3" t="s">
        <v>405</v>
      </c>
      <c r="W8221" s="3" t="s">
        <v>13373</v>
      </c>
      <c r="X8221" s="10" t="s">
        <v>35930</v>
      </c>
      <c r="Y8221" s="6" t="s">
        <v>108</v>
      </c>
      <c r="Z8221" s="4">
        <v>1.41</v>
      </c>
      <c r="AA8221" s="4">
        <v>4.2</v>
      </c>
      <c r="AB8221" s="3" t="s">
        <v>43</v>
      </c>
      <c r="AC8221" s="3" t="s">
        <v>13375</v>
      </c>
      <c r="AD8221" s="9">
        <v>41263</v>
      </c>
      <c r="AE8221" s="3" t="s">
        <v>442</v>
      </c>
      <c r="AF8221" s="3" t="s">
        <v>9736</v>
      </c>
      <c r="AG8221" s="3" t="s">
        <v>81</v>
      </c>
      <c r="AH8221" s="11">
        <f>HYPERLINK("https://my.pitchbook.com?c=117812-62T","View Company Online")</f>
      </c>
    </row>
    <row r="8222">
      <c r="A8222" s="12" t="s">
        <v>35931</v>
      </c>
      <c r="B8222" s="12" t="s">
        <v>31723</v>
      </c>
      <c r="C8222" s="19" t="s">
        <v>36</v>
      </c>
      <c r="D8222" s="19" t="s">
        <v>36</v>
      </c>
      <c r="E8222" s="19" t="s">
        <v>36</v>
      </c>
      <c r="F8222" s="19" t="s">
        <v>36</v>
      </c>
      <c r="G8222" s="15" t="s">
        <v>36</v>
      </c>
      <c r="H8222" s="14">
        <v>1031.38</v>
      </c>
      <c r="I8222" s="18">
        <v>63.46</v>
      </c>
      <c r="J8222" s="12" t="s">
        <v>521</v>
      </c>
      <c r="K8222" s="13">
        <v>41222</v>
      </c>
      <c r="L8222" s="15" t="s">
        <v>122</v>
      </c>
      <c r="M8222" s="12" t="s">
        <v>36</v>
      </c>
      <c r="N8222" s="12" t="s">
        <v>122</v>
      </c>
      <c r="O8222" s="17" t="s">
        <v>36</v>
      </c>
      <c r="P8222" s="12" t="s">
        <v>36</v>
      </c>
      <c r="Q8222" s="12" t="s">
        <v>36</v>
      </c>
      <c r="R8222" s="12" t="s">
        <v>36</v>
      </c>
      <c r="S8222" s="12" t="s">
        <v>36</v>
      </c>
      <c r="T8222" s="12" t="s">
        <v>1023</v>
      </c>
      <c r="U8222" s="12" t="s">
        <v>74</v>
      </c>
      <c r="V8222" s="12" t="s">
        <v>75</v>
      </c>
      <c r="W8222" s="12" t="s">
        <v>31724</v>
      </c>
      <c r="X8222" s="16" t="s">
        <v>35932</v>
      </c>
      <c r="Y8222" s="15" t="s">
        <v>42</v>
      </c>
      <c r="Z8222" s="14">
        <v>2.24</v>
      </c>
      <c r="AA8222" s="14">
        <v>4.54</v>
      </c>
      <c r="AB8222" s="12" t="s">
        <v>43</v>
      </c>
      <c r="AC8222" s="12" t="s">
        <v>31726</v>
      </c>
      <c r="AD8222" s="13">
        <v>41261</v>
      </c>
      <c r="AE8222" s="12" t="s">
        <v>79</v>
      </c>
      <c r="AF8222" s="12" t="s">
        <v>4552</v>
      </c>
      <c r="AG8222" s="12" t="s">
        <v>81</v>
      </c>
      <c r="AH8222" s="1">
        <f>HYPERLINK("https://my.pitchbook.com?c=28793-35T","View Company Online")</f>
      </c>
    </row>
    <row r="8223">
      <c r="A8223" s="3" t="s">
        <v>35933</v>
      </c>
      <c r="B8223" s="3" t="s">
        <v>35934</v>
      </c>
      <c r="C8223" s="5" t="s">
        <v>36</v>
      </c>
      <c r="D8223" s="5" t="s">
        <v>36</v>
      </c>
      <c r="E8223" s="5" t="s">
        <v>36</v>
      </c>
      <c r="F8223" s="5" t="s">
        <v>36</v>
      </c>
      <c r="G8223" s="6" t="s">
        <v>36</v>
      </c>
      <c r="H8223" s="4" t="s">
        <v>36</v>
      </c>
      <c r="I8223" s="7" t="s">
        <v>36</v>
      </c>
      <c r="J8223" s="3" t="s">
        <v>36</v>
      </c>
      <c r="K8223" s="9" t="s">
        <v>36</v>
      </c>
      <c r="L8223" s="6" t="s">
        <v>122</v>
      </c>
      <c r="M8223" s="3" t="s">
        <v>36</v>
      </c>
      <c r="N8223" s="3" t="s">
        <v>122</v>
      </c>
      <c r="O8223" s="8" t="s">
        <v>36</v>
      </c>
      <c r="P8223" s="3" t="s">
        <v>36</v>
      </c>
      <c r="Q8223" s="3" t="s">
        <v>36</v>
      </c>
      <c r="R8223" s="3" t="s">
        <v>36</v>
      </c>
      <c r="S8223" s="3" t="s">
        <v>36</v>
      </c>
      <c r="T8223" s="3" t="s">
        <v>35935</v>
      </c>
      <c r="U8223" s="3" t="s">
        <v>38</v>
      </c>
      <c r="V8223" s="3" t="s">
        <v>39</v>
      </c>
      <c r="W8223" s="3" t="s">
        <v>35936</v>
      </c>
      <c r="X8223" s="10" t="s">
        <v>26850</v>
      </c>
      <c r="Y8223" s="6" t="s">
        <v>42</v>
      </c>
      <c r="Z8223" s="4">
        <v>1.3</v>
      </c>
      <c r="AA8223" s="4" t="s">
        <v>36</v>
      </c>
      <c r="AB8223" s="3" t="s">
        <v>43</v>
      </c>
      <c r="AC8223" s="3" t="s">
        <v>35937</v>
      </c>
      <c r="AD8223" s="9">
        <v>41260</v>
      </c>
      <c r="AE8223" s="3" t="s">
        <v>134</v>
      </c>
      <c r="AF8223" s="3" t="s">
        <v>1077</v>
      </c>
      <c r="AG8223" s="3" t="s">
        <v>81</v>
      </c>
      <c r="AH8223" s="11">
        <f>HYPERLINK("https://my.pitchbook.com?c=23497-57T","View Company Online")</f>
      </c>
    </row>
    <row r="8224">
      <c r="A8224" s="12" t="s">
        <v>35938</v>
      </c>
      <c r="B8224" s="12" t="s">
        <v>35939</v>
      </c>
      <c r="C8224" s="19" t="s">
        <v>36</v>
      </c>
      <c r="D8224" s="19" t="s">
        <v>36</v>
      </c>
      <c r="E8224" s="19" t="s">
        <v>36</v>
      </c>
      <c r="F8224" s="19" t="s">
        <v>36</v>
      </c>
      <c r="G8224" s="15" t="s">
        <v>36</v>
      </c>
      <c r="H8224" s="14" t="s">
        <v>36</v>
      </c>
      <c r="I8224" s="18" t="s">
        <v>36</v>
      </c>
      <c r="J8224" s="12" t="s">
        <v>36</v>
      </c>
      <c r="K8224" s="13">
        <v>41256</v>
      </c>
      <c r="L8224" s="15" t="s">
        <v>36</v>
      </c>
      <c r="M8224" s="12" t="s">
        <v>36</v>
      </c>
      <c r="N8224" s="12" t="s">
        <v>36</v>
      </c>
      <c r="O8224" s="17" t="s">
        <v>36</v>
      </c>
      <c r="P8224" s="12" t="s">
        <v>36</v>
      </c>
      <c r="Q8224" s="12" t="s">
        <v>36</v>
      </c>
      <c r="R8224" s="12" t="s">
        <v>36</v>
      </c>
      <c r="S8224" s="12" t="s">
        <v>36</v>
      </c>
      <c r="T8224" s="12" t="s">
        <v>35940</v>
      </c>
      <c r="U8224" s="12" t="s">
        <v>38</v>
      </c>
      <c r="V8224" s="12" t="s">
        <v>39</v>
      </c>
      <c r="W8224" s="12" t="s">
        <v>35941</v>
      </c>
      <c r="X8224" s="16" t="s">
        <v>35942</v>
      </c>
      <c r="Y8224" s="15" t="s">
        <v>42</v>
      </c>
      <c r="Z8224" s="14" t="s">
        <v>36</v>
      </c>
      <c r="AA8224" s="14" t="s">
        <v>36</v>
      </c>
      <c r="AB8224" s="12" t="s">
        <v>43</v>
      </c>
      <c r="AC8224" s="12" t="s">
        <v>35943</v>
      </c>
      <c r="AD8224" s="13">
        <v>41258</v>
      </c>
      <c r="AE8224" s="12" t="s">
        <v>688</v>
      </c>
      <c r="AF8224" s="12" t="s">
        <v>2118</v>
      </c>
      <c r="AG8224" s="12" t="s">
        <v>81</v>
      </c>
      <c r="AH8224" s="1">
        <f>HYPERLINK("https://my.pitchbook.com?c=63286-75T","View Company Online")</f>
      </c>
    </row>
    <row r="8225">
      <c r="A8225" s="3" t="s">
        <v>35944</v>
      </c>
      <c r="B8225" s="3" t="s">
        <v>35945</v>
      </c>
      <c r="C8225" s="5" t="s">
        <v>36</v>
      </c>
      <c r="D8225" s="5">
        <v>4</v>
      </c>
      <c r="E8225" s="5">
        <v>2</v>
      </c>
      <c r="F8225" s="5">
        <v>4</v>
      </c>
      <c r="G8225" s="6" t="s">
        <v>36</v>
      </c>
      <c r="H8225" s="4" t="s">
        <v>36</v>
      </c>
      <c r="I8225" s="7" t="s">
        <v>36</v>
      </c>
      <c r="J8225" s="3" t="s">
        <v>36</v>
      </c>
      <c r="K8225" s="9" t="s">
        <v>36</v>
      </c>
      <c r="L8225" s="6" t="s">
        <v>36</v>
      </c>
      <c r="M8225" s="3" t="s">
        <v>36</v>
      </c>
      <c r="N8225" s="3" t="s">
        <v>36</v>
      </c>
      <c r="O8225" s="8" t="s">
        <v>36</v>
      </c>
      <c r="P8225" s="3" t="s">
        <v>36</v>
      </c>
      <c r="Q8225" s="3" t="s">
        <v>36</v>
      </c>
      <c r="R8225" s="3" t="s">
        <v>36</v>
      </c>
      <c r="S8225" s="3" t="s">
        <v>36</v>
      </c>
      <c r="T8225" s="3" t="s">
        <v>35946</v>
      </c>
      <c r="U8225" s="3" t="s">
        <v>38</v>
      </c>
      <c r="V8225" s="3" t="s">
        <v>39</v>
      </c>
      <c r="W8225" s="3" t="s">
        <v>35947</v>
      </c>
      <c r="X8225" s="10" t="s">
        <v>35948</v>
      </c>
      <c r="Y8225" s="6" t="s">
        <v>42</v>
      </c>
      <c r="Z8225" s="4">
        <v>1.29</v>
      </c>
      <c r="AA8225" s="4" t="s">
        <v>36</v>
      </c>
      <c r="AB8225" s="3" t="s">
        <v>43</v>
      </c>
      <c r="AC8225" s="3" t="s">
        <v>35949</v>
      </c>
      <c r="AD8225" s="9">
        <v>41256</v>
      </c>
      <c r="AE8225" s="3" t="s">
        <v>554</v>
      </c>
      <c r="AF8225" s="3" t="s">
        <v>35950</v>
      </c>
      <c r="AG8225" s="3" t="s">
        <v>81</v>
      </c>
      <c r="AH8225" s="11">
        <f>HYPERLINK("https://my.pitchbook.com?c=23497-48T","View Company Online")</f>
      </c>
    </row>
    <row r="8226">
      <c r="A8226" s="12" t="s">
        <v>35951</v>
      </c>
      <c r="B8226" s="12" t="s">
        <v>35952</v>
      </c>
      <c r="C8226" s="19">
        <v>1</v>
      </c>
      <c r="D8226" s="19">
        <v>1</v>
      </c>
      <c r="E8226" s="19">
        <v>2</v>
      </c>
      <c r="F8226" s="19">
        <v>6</v>
      </c>
      <c r="G8226" s="15" t="s">
        <v>36</v>
      </c>
      <c r="H8226" s="14" t="s">
        <v>36</v>
      </c>
      <c r="I8226" s="18" t="s">
        <v>36</v>
      </c>
      <c r="J8226" s="12" t="s">
        <v>36</v>
      </c>
      <c r="K8226" s="13" t="s">
        <v>36</v>
      </c>
      <c r="L8226" s="15" t="s">
        <v>36</v>
      </c>
      <c r="M8226" s="12" t="s">
        <v>36</v>
      </c>
      <c r="N8226" s="12" t="s">
        <v>36</v>
      </c>
      <c r="O8226" s="17" t="s">
        <v>36</v>
      </c>
      <c r="P8226" s="12" t="s">
        <v>36</v>
      </c>
      <c r="Q8226" s="12" t="s">
        <v>36</v>
      </c>
      <c r="R8226" s="12" t="s">
        <v>36</v>
      </c>
      <c r="S8226" s="12" t="s">
        <v>36</v>
      </c>
      <c r="T8226" s="12" t="s">
        <v>596</v>
      </c>
      <c r="U8226" s="12" t="s">
        <v>366</v>
      </c>
      <c r="V8226" s="12" t="s">
        <v>367</v>
      </c>
      <c r="W8226" s="12" t="s">
        <v>35953</v>
      </c>
      <c r="X8226" s="16" t="s">
        <v>35954</v>
      </c>
      <c r="Y8226" s="15" t="s">
        <v>42</v>
      </c>
      <c r="Z8226" s="14" t="s">
        <v>36</v>
      </c>
      <c r="AA8226" s="14" t="s">
        <v>36</v>
      </c>
      <c r="AB8226" s="12" t="s">
        <v>43</v>
      </c>
      <c r="AC8226" s="12" t="s">
        <v>35955</v>
      </c>
      <c r="AD8226" s="13">
        <v>41256</v>
      </c>
      <c r="AE8226" s="12" t="s">
        <v>600</v>
      </c>
      <c r="AF8226" s="12" t="s">
        <v>29333</v>
      </c>
      <c r="AG8226" s="12" t="s">
        <v>35956</v>
      </c>
      <c r="AH8226" s="1">
        <f>HYPERLINK("https://my.pitchbook.com?c=32185-36T","View Company Online")</f>
      </c>
    </row>
    <row r="8227">
      <c r="A8227" s="3" t="s">
        <v>35957</v>
      </c>
      <c r="B8227" s="3" t="s">
        <v>35958</v>
      </c>
      <c r="C8227" s="5" t="s">
        <v>36</v>
      </c>
      <c r="D8227" s="5" t="s">
        <v>36</v>
      </c>
      <c r="E8227" s="5" t="s">
        <v>36</v>
      </c>
      <c r="F8227" s="5" t="s">
        <v>36</v>
      </c>
      <c r="G8227" s="6" t="s">
        <v>326</v>
      </c>
      <c r="H8227" s="4">
        <v>5.97</v>
      </c>
      <c r="I8227" s="7">
        <v>9.99</v>
      </c>
      <c r="J8227" s="3" t="s">
        <v>521</v>
      </c>
      <c r="K8227" s="9" t="s">
        <v>36</v>
      </c>
      <c r="L8227" s="6" t="s">
        <v>36</v>
      </c>
      <c r="M8227" s="3" t="s">
        <v>36</v>
      </c>
      <c r="N8227" s="3" t="s">
        <v>36</v>
      </c>
      <c r="O8227" s="8" t="s">
        <v>36</v>
      </c>
      <c r="P8227" s="3" t="s">
        <v>36</v>
      </c>
      <c r="Q8227" s="3" t="s">
        <v>36</v>
      </c>
      <c r="R8227" s="3" t="s">
        <v>36</v>
      </c>
      <c r="S8227" s="3" t="s">
        <v>36</v>
      </c>
      <c r="T8227" s="3" t="s">
        <v>2044</v>
      </c>
      <c r="U8227" s="3" t="s">
        <v>74</v>
      </c>
      <c r="V8227" s="3" t="s">
        <v>75</v>
      </c>
      <c r="W8227" s="3" t="s">
        <v>35959</v>
      </c>
      <c r="X8227" s="10" t="s">
        <v>35960</v>
      </c>
      <c r="Y8227" s="6" t="s">
        <v>42</v>
      </c>
      <c r="Z8227" s="4">
        <v>0.52</v>
      </c>
      <c r="AA8227" s="4">
        <v>5.22</v>
      </c>
      <c r="AB8227" s="3" t="s">
        <v>56</v>
      </c>
      <c r="AC8227" s="3" t="s">
        <v>35961</v>
      </c>
      <c r="AD8227" s="9">
        <v>41255</v>
      </c>
      <c r="AE8227" s="3" t="s">
        <v>79</v>
      </c>
      <c r="AF8227" s="3" t="s">
        <v>2759</v>
      </c>
      <c r="AG8227" s="3" t="s">
        <v>35710</v>
      </c>
      <c r="AH8227" s="11">
        <f>HYPERLINK("https://my.pitchbook.com?c=84872-26T","View Company Online")</f>
      </c>
    </row>
    <row r="8228">
      <c r="A8228" s="12" t="s">
        <v>35962</v>
      </c>
      <c r="B8228" s="12" t="s">
        <v>32857</v>
      </c>
      <c r="C8228" s="19" t="s">
        <v>36</v>
      </c>
      <c r="D8228" s="19" t="s">
        <v>36</v>
      </c>
      <c r="E8228" s="19">
        <v>1</v>
      </c>
      <c r="F8228" s="19">
        <v>3</v>
      </c>
      <c r="G8228" s="15" t="s">
        <v>36</v>
      </c>
      <c r="H8228" s="14" t="s">
        <v>36</v>
      </c>
      <c r="I8228" s="18" t="s">
        <v>36</v>
      </c>
      <c r="J8228" s="12" t="s">
        <v>36</v>
      </c>
      <c r="K8228" s="13" t="s">
        <v>36</v>
      </c>
      <c r="L8228" s="15" t="s">
        <v>36</v>
      </c>
      <c r="M8228" s="12" t="s">
        <v>36</v>
      </c>
      <c r="N8228" s="12" t="s">
        <v>36</v>
      </c>
      <c r="O8228" s="17" t="s">
        <v>36</v>
      </c>
      <c r="P8228" s="12" t="s">
        <v>36</v>
      </c>
      <c r="Q8228" s="12" t="s">
        <v>36</v>
      </c>
      <c r="R8228" s="12" t="s">
        <v>36</v>
      </c>
      <c r="S8228" s="12" t="s">
        <v>16636</v>
      </c>
      <c r="T8228" s="12" t="s">
        <v>29297</v>
      </c>
      <c r="U8228" s="12" t="s">
        <v>51</v>
      </c>
      <c r="V8228" s="12" t="s">
        <v>52</v>
      </c>
      <c r="W8228" s="12" t="s">
        <v>32858</v>
      </c>
      <c r="X8228" s="16" t="s">
        <v>9952</v>
      </c>
      <c r="Y8228" s="15" t="s">
        <v>42</v>
      </c>
      <c r="Z8228" s="14">
        <v>0.43</v>
      </c>
      <c r="AA8228" s="14" t="s">
        <v>36</v>
      </c>
      <c r="AB8228" s="12" t="s">
        <v>43</v>
      </c>
      <c r="AC8228" s="12" t="s">
        <v>32860</v>
      </c>
      <c r="AD8228" s="13">
        <v>41253</v>
      </c>
      <c r="AE8228" s="12" t="s">
        <v>158</v>
      </c>
      <c r="AF8228" s="12" t="s">
        <v>159</v>
      </c>
      <c r="AG8228" s="12" t="s">
        <v>2450</v>
      </c>
      <c r="AH8228" s="1">
        <f>HYPERLINK("https://my.pitchbook.com?c=40746-70T","View Company Online")</f>
      </c>
    </row>
    <row r="8229">
      <c r="A8229" s="3" t="s">
        <v>35963</v>
      </c>
      <c r="B8229" s="3" t="s">
        <v>34936</v>
      </c>
      <c r="C8229" s="5" t="s">
        <v>36</v>
      </c>
      <c r="D8229" s="5" t="s">
        <v>36</v>
      </c>
      <c r="E8229" s="5" t="s">
        <v>36</v>
      </c>
      <c r="F8229" s="5" t="s">
        <v>36</v>
      </c>
      <c r="G8229" s="6" t="s">
        <v>36</v>
      </c>
      <c r="H8229" s="4" t="s">
        <v>36</v>
      </c>
      <c r="I8229" s="7" t="s">
        <v>36</v>
      </c>
      <c r="J8229" s="3" t="s">
        <v>36</v>
      </c>
      <c r="K8229" s="9" t="s">
        <v>36</v>
      </c>
      <c r="L8229" s="6" t="s">
        <v>36</v>
      </c>
      <c r="M8229" s="3" t="s">
        <v>36</v>
      </c>
      <c r="N8229" s="3" t="s">
        <v>36</v>
      </c>
      <c r="O8229" s="8" t="s">
        <v>36</v>
      </c>
      <c r="P8229" s="3" t="s">
        <v>36</v>
      </c>
      <c r="Q8229" s="3" t="s">
        <v>36</v>
      </c>
      <c r="R8229" s="3" t="s">
        <v>36</v>
      </c>
      <c r="S8229" s="3" t="s">
        <v>36</v>
      </c>
      <c r="T8229" s="3" t="s">
        <v>34937</v>
      </c>
      <c r="U8229" s="3" t="s">
        <v>38</v>
      </c>
      <c r="V8229" s="3" t="s">
        <v>39</v>
      </c>
      <c r="W8229" s="3" t="s">
        <v>34938</v>
      </c>
      <c r="X8229" s="10" t="s">
        <v>34939</v>
      </c>
      <c r="Y8229" s="6" t="s">
        <v>108</v>
      </c>
      <c r="Z8229" s="4" t="s">
        <v>36</v>
      </c>
      <c r="AA8229" s="4" t="s">
        <v>36</v>
      </c>
      <c r="AB8229" s="3" t="s">
        <v>43</v>
      </c>
      <c r="AC8229" s="3" t="s">
        <v>34940</v>
      </c>
      <c r="AD8229" s="9">
        <v>41253</v>
      </c>
      <c r="AE8229" s="3" t="s">
        <v>110</v>
      </c>
      <c r="AF8229" s="3" t="s">
        <v>1842</v>
      </c>
      <c r="AG8229" s="3" t="s">
        <v>81</v>
      </c>
      <c r="AH8229" s="11">
        <f>HYPERLINK("https://my.pitchbook.com?c=25683-04T","View Company Online")</f>
      </c>
    </row>
    <row r="8230">
      <c r="A8230" s="12" t="s">
        <v>35964</v>
      </c>
      <c r="B8230" s="12" t="s">
        <v>35965</v>
      </c>
      <c r="C8230" s="19">
        <v>7</v>
      </c>
      <c r="D8230" s="19">
        <v>14</v>
      </c>
      <c r="E8230" s="19">
        <v>8</v>
      </c>
      <c r="F8230" s="19">
        <v>30</v>
      </c>
      <c r="G8230" s="15" t="s">
        <v>2497</v>
      </c>
      <c r="H8230" s="14">
        <v>6.27</v>
      </c>
      <c r="I8230" s="18">
        <v>53.79</v>
      </c>
      <c r="J8230" s="12" t="s">
        <v>521</v>
      </c>
      <c r="K8230" s="13" t="s">
        <v>36</v>
      </c>
      <c r="L8230" s="15" t="s">
        <v>3736</v>
      </c>
      <c r="M8230" s="12" t="s">
        <v>36</v>
      </c>
      <c r="N8230" s="12" t="s">
        <v>3736</v>
      </c>
      <c r="O8230" s="17" t="s">
        <v>36</v>
      </c>
      <c r="P8230" s="12" t="s">
        <v>36</v>
      </c>
      <c r="Q8230" s="12" t="s">
        <v>36</v>
      </c>
      <c r="R8230" s="12" t="s">
        <v>36</v>
      </c>
      <c r="S8230" s="12" t="s">
        <v>36</v>
      </c>
      <c r="T8230" s="12" t="s">
        <v>154</v>
      </c>
      <c r="U8230" s="12" t="s">
        <v>51</v>
      </c>
      <c r="V8230" s="12" t="s">
        <v>52</v>
      </c>
      <c r="W8230" s="12" t="s">
        <v>35966</v>
      </c>
      <c r="X8230" s="16" t="s">
        <v>19918</v>
      </c>
      <c r="Y8230" s="15" t="s">
        <v>166</v>
      </c>
      <c r="Z8230" s="14">
        <v>9</v>
      </c>
      <c r="AA8230" s="14">
        <v>16.73</v>
      </c>
      <c r="AB8230" s="12" t="s">
        <v>56</v>
      </c>
      <c r="AC8230" s="12" t="s">
        <v>35967</v>
      </c>
      <c r="AD8230" s="13">
        <v>41249</v>
      </c>
      <c r="AE8230" s="12" t="s">
        <v>158</v>
      </c>
      <c r="AF8230" s="12" t="s">
        <v>885</v>
      </c>
      <c r="AG8230" s="12" t="s">
        <v>969</v>
      </c>
      <c r="AH8230" s="1">
        <f>HYPERLINK("https://my.pitchbook.com?c=39302-29T","View Company Online")</f>
      </c>
    </row>
    <row r="8231">
      <c r="A8231" s="3" t="s">
        <v>35968</v>
      </c>
      <c r="B8231" s="3" t="s">
        <v>35969</v>
      </c>
      <c r="C8231" s="5" t="s">
        <v>36</v>
      </c>
      <c r="D8231" s="5" t="s">
        <v>36</v>
      </c>
      <c r="E8231" s="5" t="s">
        <v>36</v>
      </c>
      <c r="F8231" s="5" t="s">
        <v>36</v>
      </c>
      <c r="G8231" s="6" t="s">
        <v>36</v>
      </c>
      <c r="H8231" s="4" t="s">
        <v>36</v>
      </c>
      <c r="I8231" s="7" t="s">
        <v>36</v>
      </c>
      <c r="J8231" s="3" t="s">
        <v>36</v>
      </c>
      <c r="K8231" s="9" t="s">
        <v>36</v>
      </c>
      <c r="L8231" s="6" t="s">
        <v>36</v>
      </c>
      <c r="M8231" s="3" t="s">
        <v>36</v>
      </c>
      <c r="N8231" s="3" t="s">
        <v>36</v>
      </c>
      <c r="O8231" s="8" t="s">
        <v>36</v>
      </c>
      <c r="P8231" s="3" t="s">
        <v>36</v>
      </c>
      <c r="Q8231" s="3" t="s">
        <v>36</v>
      </c>
      <c r="R8231" s="3" t="s">
        <v>36</v>
      </c>
      <c r="S8231" s="3" t="s">
        <v>36</v>
      </c>
      <c r="T8231" s="3" t="s">
        <v>35970</v>
      </c>
      <c r="U8231" s="3" t="s">
        <v>74</v>
      </c>
      <c r="V8231" s="3" t="s">
        <v>75</v>
      </c>
      <c r="W8231" s="3" t="s">
        <v>35971</v>
      </c>
      <c r="X8231" s="10" t="s">
        <v>560</v>
      </c>
      <c r="Y8231" s="6" t="s">
        <v>42</v>
      </c>
      <c r="Z8231" s="4" t="s">
        <v>36</v>
      </c>
      <c r="AA8231" s="4" t="s">
        <v>36</v>
      </c>
      <c r="AB8231" s="3" t="s">
        <v>56</v>
      </c>
      <c r="AC8231" s="3" t="s">
        <v>35972</v>
      </c>
      <c r="AD8231" s="9">
        <v>41248</v>
      </c>
      <c r="AE8231" s="3" t="s">
        <v>1243</v>
      </c>
      <c r="AF8231" s="3" t="s">
        <v>546</v>
      </c>
      <c r="AG8231" s="3" t="s">
        <v>434</v>
      </c>
      <c r="AH8231" s="11">
        <f>HYPERLINK("https://my.pitchbook.com?c=35130-61T","View Company Online")</f>
      </c>
    </row>
    <row r="8232">
      <c r="A8232" s="12" t="s">
        <v>35973</v>
      </c>
      <c r="B8232" s="12" t="s">
        <v>35974</v>
      </c>
      <c r="C8232" s="19" t="s">
        <v>36</v>
      </c>
      <c r="D8232" s="19" t="s">
        <v>36</v>
      </c>
      <c r="E8232" s="19" t="s">
        <v>36</v>
      </c>
      <c r="F8232" s="19" t="s">
        <v>36</v>
      </c>
      <c r="G8232" s="15" t="s">
        <v>36</v>
      </c>
      <c r="H8232" s="14">
        <v>81.01</v>
      </c>
      <c r="I8232" s="18">
        <v>27.28</v>
      </c>
      <c r="J8232" s="12" t="s">
        <v>521</v>
      </c>
      <c r="K8232" s="13" t="s">
        <v>36</v>
      </c>
      <c r="L8232" s="15" t="s">
        <v>36</v>
      </c>
      <c r="M8232" s="12" t="s">
        <v>36</v>
      </c>
      <c r="N8232" s="12" t="s">
        <v>36</v>
      </c>
      <c r="O8232" s="17" t="s">
        <v>36</v>
      </c>
      <c r="P8232" s="12" t="s">
        <v>36</v>
      </c>
      <c r="Q8232" s="12" t="s">
        <v>36</v>
      </c>
      <c r="R8232" s="12" t="s">
        <v>36</v>
      </c>
      <c r="S8232" s="12" t="s">
        <v>36</v>
      </c>
      <c r="T8232" s="12" t="s">
        <v>35975</v>
      </c>
      <c r="U8232" s="12" t="s">
        <v>233</v>
      </c>
      <c r="V8232" s="12" t="s">
        <v>39</v>
      </c>
      <c r="W8232" s="12" t="s">
        <v>35976</v>
      </c>
      <c r="X8232" s="16" t="s">
        <v>35977</v>
      </c>
      <c r="Y8232" s="15" t="s">
        <v>42</v>
      </c>
      <c r="Z8232" s="14">
        <v>0.08</v>
      </c>
      <c r="AA8232" s="14">
        <v>0.28</v>
      </c>
      <c r="AB8232" s="12" t="s">
        <v>56</v>
      </c>
      <c r="AC8232" s="12" t="s">
        <v>35978</v>
      </c>
      <c r="AD8232" s="13">
        <v>41246</v>
      </c>
      <c r="AE8232" s="12" t="s">
        <v>12061</v>
      </c>
      <c r="AF8232" s="12" t="s">
        <v>1636</v>
      </c>
      <c r="AG8232" s="12" t="s">
        <v>35979</v>
      </c>
      <c r="AH8232" s="1">
        <f>HYPERLINK("https://my.pitchbook.com?c=82881-82T","View Company Online")</f>
      </c>
    </row>
    <row r="8233">
      <c r="A8233" s="3" t="s">
        <v>35980</v>
      </c>
      <c r="B8233" s="3" t="s">
        <v>35981</v>
      </c>
      <c r="C8233" s="5" t="s">
        <v>36</v>
      </c>
      <c r="D8233" s="5" t="s">
        <v>36</v>
      </c>
      <c r="E8233" s="5" t="s">
        <v>36</v>
      </c>
      <c r="F8233" s="5" t="s">
        <v>36</v>
      </c>
      <c r="G8233" s="6" t="s">
        <v>36</v>
      </c>
      <c r="H8233" s="4" t="s">
        <v>36</v>
      </c>
      <c r="I8233" s="7" t="s">
        <v>36</v>
      </c>
      <c r="J8233" s="3" t="s">
        <v>36</v>
      </c>
      <c r="K8233" s="9">
        <v>40848</v>
      </c>
      <c r="L8233" s="6" t="s">
        <v>36</v>
      </c>
      <c r="M8233" s="3" t="s">
        <v>36</v>
      </c>
      <c r="N8233" s="3" t="s">
        <v>36</v>
      </c>
      <c r="O8233" s="8" t="s">
        <v>36</v>
      </c>
      <c r="P8233" s="3" t="s">
        <v>36</v>
      </c>
      <c r="Q8233" s="3" t="s">
        <v>36</v>
      </c>
      <c r="R8233" s="3" t="s">
        <v>36</v>
      </c>
      <c r="S8233" s="3" t="s">
        <v>36</v>
      </c>
      <c r="T8233" s="3" t="s">
        <v>35982</v>
      </c>
      <c r="U8233" s="3" t="s">
        <v>38</v>
      </c>
      <c r="V8233" s="3" t="s">
        <v>39</v>
      </c>
      <c r="W8233" s="3" t="s">
        <v>35983</v>
      </c>
      <c r="X8233" s="10" t="s">
        <v>35524</v>
      </c>
      <c r="Y8233" s="6" t="s">
        <v>42</v>
      </c>
      <c r="Z8233" s="4">
        <v>1.93</v>
      </c>
      <c r="AA8233" s="4" t="s">
        <v>36</v>
      </c>
      <c r="AB8233" s="3" t="s">
        <v>43</v>
      </c>
      <c r="AC8233" s="3" t="s">
        <v>35984</v>
      </c>
      <c r="AD8233" s="9">
        <v>41246</v>
      </c>
      <c r="AE8233" s="3" t="s">
        <v>110</v>
      </c>
      <c r="AF8233" s="3" t="s">
        <v>1842</v>
      </c>
      <c r="AG8233" s="3" t="s">
        <v>81</v>
      </c>
      <c r="AH8233" s="11">
        <f>HYPERLINK("https://my.pitchbook.com?c=31094-65T","View Company Online")</f>
      </c>
    </row>
    <row r="8234">
      <c r="A8234" s="12" t="s">
        <v>35985</v>
      </c>
      <c r="B8234" s="12" t="s">
        <v>35986</v>
      </c>
      <c r="C8234" s="19" t="s">
        <v>36</v>
      </c>
      <c r="D8234" s="19" t="s">
        <v>36</v>
      </c>
      <c r="E8234" s="19" t="s">
        <v>36</v>
      </c>
      <c r="F8234" s="19" t="s">
        <v>36</v>
      </c>
      <c r="G8234" s="15" t="s">
        <v>36</v>
      </c>
      <c r="H8234" s="14" t="s">
        <v>36</v>
      </c>
      <c r="I8234" s="18" t="s">
        <v>36</v>
      </c>
      <c r="J8234" s="12" t="s">
        <v>36</v>
      </c>
      <c r="K8234" s="13" t="s">
        <v>36</v>
      </c>
      <c r="L8234" s="15" t="s">
        <v>36</v>
      </c>
      <c r="M8234" s="12" t="s">
        <v>36</v>
      </c>
      <c r="N8234" s="12" t="s">
        <v>36</v>
      </c>
      <c r="O8234" s="17" t="s">
        <v>36</v>
      </c>
      <c r="P8234" s="12" t="s">
        <v>36</v>
      </c>
      <c r="Q8234" s="12" t="s">
        <v>36</v>
      </c>
      <c r="R8234" s="12" t="s">
        <v>36</v>
      </c>
      <c r="S8234" s="12" t="s">
        <v>36</v>
      </c>
      <c r="T8234" s="12" t="s">
        <v>35987</v>
      </c>
      <c r="U8234" s="12" t="s">
        <v>38</v>
      </c>
      <c r="V8234" s="12" t="s">
        <v>39</v>
      </c>
      <c r="W8234" s="12" t="s">
        <v>35988</v>
      </c>
      <c r="X8234" s="16" t="s">
        <v>35989</v>
      </c>
      <c r="Y8234" s="15" t="s">
        <v>108</v>
      </c>
      <c r="Z8234" s="14">
        <v>2.83</v>
      </c>
      <c r="AA8234" s="14" t="s">
        <v>36</v>
      </c>
      <c r="AB8234" s="12" t="s">
        <v>43</v>
      </c>
      <c r="AC8234" s="12" t="s">
        <v>35990</v>
      </c>
      <c r="AD8234" s="13">
        <v>41246</v>
      </c>
      <c r="AE8234" s="12" t="s">
        <v>134</v>
      </c>
      <c r="AF8234" s="12" t="s">
        <v>1077</v>
      </c>
      <c r="AG8234" s="12" t="s">
        <v>47</v>
      </c>
      <c r="AH8234" s="1">
        <f>HYPERLINK("https://my.pitchbook.com?c=29311-12T","View Company Online")</f>
      </c>
    </row>
    <row r="8235">
      <c r="A8235" s="3" t="s">
        <v>35991</v>
      </c>
      <c r="B8235" s="3" t="s">
        <v>26027</v>
      </c>
      <c r="C8235" s="5" t="s">
        <v>36</v>
      </c>
      <c r="D8235" s="5" t="s">
        <v>36</v>
      </c>
      <c r="E8235" s="5" t="s">
        <v>36</v>
      </c>
      <c r="F8235" s="5" t="s">
        <v>36</v>
      </c>
      <c r="G8235" s="6" t="s">
        <v>36</v>
      </c>
      <c r="H8235" s="4" t="s">
        <v>36</v>
      </c>
      <c r="I8235" s="7" t="s">
        <v>36</v>
      </c>
      <c r="J8235" s="3" t="s">
        <v>36</v>
      </c>
      <c r="K8235" s="9" t="s">
        <v>36</v>
      </c>
      <c r="L8235" s="6" t="s">
        <v>36</v>
      </c>
      <c r="M8235" s="3" t="s">
        <v>36</v>
      </c>
      <c r="N8235" s="3" t="s">
        <v>36</v>
      </c>
      <c r="O8235" s="8" t="s">
        <v>36</v>
      </c>
      <c r="P8235" s="3" t="s">
        <v>36</v>
      </c>
      <c r="Q8235" s="3" t="s">
        <v>36</v>
      </c>
      <c r="R8235" s="3" t="s">
        <v>36</v>
      </c>
      <c r="S8235" s="3" t="s">
        <v>36</v>
      </c>
      <c r="T8235" s="3" t="s">
        <v>1701</v>
      </c>
      <c r="U8235" s="3" t="s">
        <v>74</v>
      </c>
      <c r="V8235" s="3" t="s">
        <v>75</v>
      </c>
      <c r="W8235" s="3" t="s">
        <v>26028</v>
      </c>
      <c r="X8235" s="10" t="s">
        <v>35992</v>
      </c>
      <c r="Y8235" s="6" t="s">
        <v>42</v>
      </c>
      <c r="Z8235" s="4">
        <v>0.77</v>
      </c>
      <c r="AA8235" s="4" t="s">
        <v>36</v>
      </c>
      <c r="AB8235" s="3" t="s">
        <v>43</v>
      </c>
      <c r="AC8235" s="3" t="s">
        <v>26030</v>
      </c>
      <c r="AD8235" s="9">
        <v>41244</v>
      </c>
      <c r="AE8235" s="3" t="s">
        <v>79</v>
      </c>
      <c r="AF8235" s="3" t="s">
        <v>4099</v>
      </c>
      <c r="AG8235" s="3" t="s">
        <v>81</v>
      </c>
      <c r="AH8235" s="11">
        <f>HYPERLINK("https://my.pitchbook.com?c=26216-47T","View Company Online")</f>
      </c>
    </row>
    <row r="8236">
      <c r="A8236" s="12" t="s">
        <v>35993</v>
      </c>
      <c r="B8236" s="12" t="s">
        <v>32620</v>
      </c>
      <c r="C8236" s="19" t="s">
        <v>36</v>
      </c>
      <c r="D8236" s="19" t="s">
        <v>36</v>
      </c>
      <c r="E8236" s="19" t="s">
        <v>36</v>
      </c>
      <c r="F8236" s="19" t="s">
        <v>36</v>
      </c>
      <c r="G8236" s="15" t="s">
        <v>36</v>
      </c>
      <c r="H8236" s="14" t="s">
        <v>36</v>
      </c>
      <c r="I8236" s="18" t="s">
        <v>36</v>
      </c>
      <c r="J8236" s="12" t="s">
        <v>36</v>
      </c>
      <c r="K8236" s="13" t="s">
        <v>36</v>
      </c>
      <c r="L8236" s="15" t="s">
        <v>36</v>
      </c>
      <c r="M8236" s="12" t="s">
        <v>36</v>
      </c>
      <c r="N8236" s="12" t="s">
        <v>36</v>
      </c>
      <c r="O8236" s="17" t="s">
        <v>36</v>
      </c>
      <c r="P8236" s="12" t="s">
        <v>36</v>
      </c>
      <c r="Q8236" s="12" t="s">
        <v>36</v>
      </c>
      <c r="R8236" s="12" t="s">
        <v>36</v>
      </c>
      <c r="S8236" s="12" t="s">
        <v>36</v>
      </c>
      <c r="T8236" s="12" t="s">
        <v>31660</v>
      </c>
      <c r="U8236" s="12" t="s">
        <v>63</v>
      </c>
      <c r="V8236" s="12" t="s">
        <v>64</v>
      </c>
      <c r="W8236" s="12" t="s">
        <v>32621</v>
      </c>
      <c r="X8236" s="16" t="s">
        <v>3098</v>
      </c>
      <c r="Y8236" s="15" t="s">
        <v>42</v>
      </c>
      <c r="Z8236" s="14" t="s">
        <v>36</v>
      </c>
      <c r="AA8236" s="14" t="s">
        <v>36</v>
      </c>
      <c r="AB8236" s="12" t="s">
        <v>43</v>
      </c>
      <c r="AC8236" s="12" t="s">
        <v>32622</v>
      </c>
      <c r="AD8236" s="13">
        <v>41244</v>
      </c>
      <c r="AE8236" s="12" t="s">
        <v>399</v>
      </c>
      <c r="AF8236" s="12" t="s">
        <v>4270</v>
      </c>
      <c r="AG8236" s="12" t="s">
        <v>81</v>
      </c>
      <c r="AH8236" s="1">
        <f>HYPERLINK("https://my.pitchbook.com?c=67534-93T","View Company Online")</f>
      </c>
    </row>
    <row r="8237">
      <c r="A8237" s="3" t="s">
        <v>35994</v>
      </c>
      <c r="B8237" s="3" t="s">
        <v>18239</v>
      </c>
      <c r="C8237" s="5" t="s">
        <v>36</v>
      </c>
      <c r="D8237" s="5">
        <v>6</v>
      </c>
      <c r="E8237" s="5">
        <v>5</v>
      </c>
      <c r="F8237" s="5">
        <v>11</v>
      </c>
      <c r="G8237" s="6" t="s">
        <v>36</v>
      </c>
      <c r="H8237" s="4" t="s">
        <v>36</v>
      </c>
      <c r="I8237" s="7">
        <v>22.54</v>
      </c>
      <c r="J8237" s="3" t="s">
        <v>327</v>
      </c>
      <c r="K8237" s="9" t="s">
        <v>36</v>
      </c>
      <c r="L8237" s="6" t="s">
        <v>36</v>
      </c>
      <c r="M8237" s="3" t="s">
        <v>36</v>
      </c>
      <c r="N8237" s="3" t="s">
        <v>36</v>
      </c>
      <c r="O8237" s="8" t="s">
        <v>36</v>
      </c>
      <c r="P8237" s="3" t="s">
        <v>36</v>
      </c>
      <c r="Q8237" s="3" t="s">
        <v>36</v>
      </c>
      <c r="R8237" s="3" t="s">
        <v>36</v>
      </c>
      <c r="S8237" s="3" t="s">
        <v>36</v>
      </c>
      <c r="T8237" s="3" t="s">
        <v>1048</v>
      </c>
      <c r="U8237" s="3" t="s">
        <v>423</v>
      </c>
      <c r="V8237" s="3" t="s">
        <v>64</v>
      </c>
      <c r="W8237" s="3" t="s">
        <v>18240</v>
      </c>
      <c r="X8237" s="10" t="s">
        <v>27377</v>
      </c>
      <c r="Y8237" s="6" t="s">
        <v>42</v>
      </c>
      <c r="Z8237" s="4">
        <v>0.13</v>
      </c>
      <c r="AA8237" s="4">
        <v>0.57</v>
      </c>
      <c r="AB8237" s="3" t="s">
        <v>43</v>
      </c>
      <c r="AC8237" s="3" t="s">
        <v>18242</v>
      </c>
      <c r="AD8237" s="9">
        <v>41244</v>
      </c>
      <c r="AE8237" s="3" t="s">
        <v>1051</v>
      </c>
      <c r="AF8237" s="3" t="s">
        <v>1061</v>
      </c>
      <c r="AG8237" s="3" t="s">
        <v>81</v>
      </c>
      <c r="AH8237" s="11">
        <f>HYPERLINK("https://my.pitchbook.com?c=77927-50T","View Company Online")</f>
      </c>
    </row>
    <row r="8238">
      <c r="A8238" s="12" t="s">
        <v>35995</v>
      </c>
      <c r="B8238" s="12" t="s">
        <v>35996</v>
      </c>
      <c r="C8238" s="19" t="s">
        <v>36</v>
      </c>
      <c r="D8238" s="19" t="s">
        <v>36</v>
      </c>
      <c r="E8238" s="19" t="s">
        <v>36</v>
      </c>
      <c r="F8238" s="19" t="s">
        <v>36</v>
      </c>
      <c r="G8238" s="15" t="s">
        <v>36</v>
      </c>
      <c r="H8238" s="14" t="s">
        <v>36</v>
      </c>
      <c r="I8238" s="18" t="s">
        <v>36</v>
      </c>
      <c r="J8238" s="12" t="s">
        <v>36</v>
      </c>
      <c r="K8238" s="13" t="s">
        <v>36</v>
      </c>
      <c r="L8238" s="15" t="s">
        <v>36</v>
      </c>
      <c r="M8238" s="12" t="s">
        <v>36</v>
      </c>
      <c r="N8238" s="12" t="s">
        <v>36</v>
      </c>
      <c r="O8238" s="17" t="s">
        <v>36</v>
      </c>
      <c r="P8238" s="12" t="s">
        <v>36</v>
      </c>
      <c r="Q8238" s="12" t="s">
        <v>36</v>
      </c>
      <c r="R8238" s="12" t="s">
        <v>36</v>
      </c>
      <c r="S8238" s="12" t="s">
        <v>36</v>
      </c>
      <c r="T8238" s="12" t="s">
        <v>1023</v>
      </c>
      <c r="U8238" s="12" t="s">
        <v>74</v>
      </c>
      <c r="V8238" s="12" t="s">
        <v>75</v>
      </c>
      <c r="W8238" s="12" t="s">
        <v>35997</v>
      </c>
      <c r="X8238" s="16" t="s">
        <v>5661</v>
      </c>
      <c r="Y8238" s="15" t="s">
        <v>42</v>
      </c>
      <c r="Z8238" s="14">
        <v>0.04</v>
      </c>
      <c r="AA8238" s="14" t="s">
        <v>36</v>
      </c>
      <c r="AB8238" s="12" t="s">
        <v>56</v>
      </c>
      <c r="AC8238" s="12" t="s">
        <v>35998</v>
      </c>
      <c r="AD8238" s="13">
        <v>41243</v>
      </c>
      <c r="AE8238" s="12" t="s">
        <v>79</v>
      </c>
      <c r="AF8238" s="12" t="s">
        <v>36</v>
      </c>
      <c r="AG8238" s="12" t="s">
        <v>35999</v>
      </c>
      <c r="AH8238" s="1">
        <f>HYPERLINK("https://my.pitchbook.com?c=27748-90T","View Company Online")</f>
      </c>
    </row>
    <row r="8239">
      <c r="A8239" s="3" t="s">
        <v>36000</v>
      </c>
      <c r="B8239" s="3" t="s">
        <v>31265</v>
      </c>
      <c r="C8239" s="5">
        <v>5</v>
      </c>
      <c r="D8239" s="5">
        <v>35</v>
      </c>
      <c r="E8239" s="5">
        <v>13</v>
      </c>
      <c r="F8239" s="5">
        <v>51</v>
      </c>
      <c r="G8239" s="6" t="s">
        <v>36</v>
      </c>
      <c r="H8239" s="4">
        <v>1.74</v>
      </c>
      <c r="I8239" s="7">
        <v>77.26</v>
      </c>
      <c r="J8239" s="3" t="s">
        <v>521</v>
      </c>
      <c r="K8239" s="9" t="s">
        <v>36</v>
      </c>
      <c r="L8239" s="6" t="s">
        <v>36</v>
      </c>
      <c r="M8239" s="3" t="s">
        <v>36</v>
      </c>
      <c r="N8239" s="3" t="s">
        <v>36</v>
      </c>
      <c r="O8239" s="8" t="s">
        <v>36</v>
      </c>
      <c r="P8239" s="3" t="s">
        <v>36</v>
      </c>
      <c r="Q8239" s="3" t="s">
        <v>36</v>
      </c>
      <c r="R8239" s="3" t="s">
        <v>36</v>
      </c>
      <c r="S8239" s="3" t="s">
        <v>36</v>
      </c>
      <c r="T8239" s="3" t="s">
        <v>31266</v>
      </c>
      <c r="U8239" s="3" t="s">
        <v>1580</v>
      </c>
      <c r="V8239" s="3" t="s">
        <v>39</v>
      </c>
      <c r="W8239" s="3" t="s">
        <v>31267</v>
      </c>
      <c r="X8239" s="10" t="s">
        <v>36001</v>
      </c>
      <c r="Y8239" s="6" t="s">
        <v>42</v>
      </c>
      <c r="Z8239" s="4">
        <v>1.83</v>
      </c>
      <c r="AA8239" s="4">
        <v>2.37</v>
      </c>
      <c r="AB8239" s="3" t="s">
        <v>43</v>
      </c>
      <c r="AC8239" s="3" t="s">
        <v>31269</v>
      </c>
      <c r="AD8239" s="9">
        <v>41243</v>
      </c>
      <c r="AE8239" s="3" t="s">
        <v>4086</v>
      </c>
      <c r="AF8239" s="3" t="s">
        <v>18965</v>
      </c>
      <c r="AG8239" s="3" t="s">
        <v>81</v>
      </c>
      <c r="AH8239" s="11">
        <f>HYPERLINK("https://my.pitchbook.com?c=29369-26T","View Company Online")</f>
      </c>
    </row>
    <row r="8240">
      <c r="A8240" s="12" t="s">
        <v>36002</v>
      </c>
      <c r="B8240" s="12" t="s">
        <v>36003</v>
      </c>
      <c r="C8240" s="19" t="s">
        <v>36</v>
      </c>
      <c r="D8240" s="19">
        <v>4</v>
      </c>
      <c r="E8240" s="19">
        <v>2</v>
      </c>
      <c r="F8240" s="19">
        <v>8</v>
      </c>
      <c r="G8240" s="15" t="s">
        <v>36</v>
      </c>
      <c r="H8240" s="14" t="s">
        <v>36</v>
      </c>
      <c r="I8240" s="18" t="s">
        <v>36</v>
      </c>
      <c r="J8240" s="12" t="s">
        <v>36</v>
      </c>
      <c r="K8240" s="13">
        <v>41061</v>
      </c>
      <c r="L8240" s="15" t="s">
        <v>36</v>
      </c>
      <c r="M8240" s="12" t="s">
        <v>36</v>
      </c>
      <c r="N8240" s="12" t="s">
        <v>36</v>
      </c>
      <c r="O8240" s="17" t="s">
        <v>36</v>
      </c>
      <c r="P8240" s="12" t="s">
        <v>36</v>
      </c>
      <c r="Q8240" s="12" t="s">
        <v>36</v>
      </c>
      <c r="R8240" s="12" t="s">
        <v>36</v>
      </c>
      <c r="S8240" s="12" t="s">
        <v>36</v>
      </c>
      <c r="T8240" s="12" t="s">
        <v>36004</v>
      </c>
      <c r="U8240" s="12" t="s">
        <v>38</v>
      </c>
      <c r="V8240" s="12" t="s">
        <v>39</v>
      </c>
      <c r="W8240" s="12" t="s">
        <v>36005</v>
      </c>
      <c r="X8240" s="16" t="s">
        <v>33788</v>
      </c>
      <c r="Y8240" s="15" t="s">
        <v>42</v>
      </c>
      <c r="Z8240" s="14">
        <v>4.81</v>
      </c>
      <c r="AA8240" s="14" t="s">
        <v>36</v>
      </c>
      <c r="AB8240" s="12" t="s">
        <v>56</v>
      </c>
      <c r="AC8240" s="12" t="s">
        <v>36006</v>
      </c>
      <c r="AD8240" s="13">
        <v>41241</v>
      </c>
      <c r="AE8240" s="12" t="s">
        <v>785</v>
      </c>
      <c r="AF8240" s="12" t="s">
        <v>1636</v>
      </c>
      <c r="AG8240" s="12" t="s">
        <v>787</v>
      </c>
      <c r="AH8240" s="1">
        <f>HYPERLINK("https://my.pitchbook.com?c=36442-36T","View Company Online")</f>
      </c>
    </row>
    <row r="8241">
      <c r="A8241" s="3" t="s">
        <v>36007</v>
      </c>
      <c r="B8241" s="3" t="s">
        <v>13539</v>
      </c>
      <c r="C8241" s="5" t="s">
        <v>36</v>
      </c>
      <c r="D8241" s="5" t="s">
        <v>36</v>
      </c>
      <c r="E8241" s="5" t="s">
        <v>36</v>
      </c>
      <c r="F8241" s="5" t="s">
        <v>36</v>
      </c>
      <c r="G8241" s="6" t="s">
        <v>36</v>
      </c>
      <c r="H8241" s="4" t="s">
        <v>36</v>
      </c>
      <c r="I8241" s="7">
        <v>33.7</v>
      </c>
      <c r="J8241" s="3" t="s">
        <v>327</v>
      </c>
      <c r="K8241" s="9" t="s">
        <v>36</v>
      </c>
      <c r="L8241" s="6" t="s">
        <v>36</v>
      </c>
      <c r="M8241" s="3" t="s">
        <v>36</v>
      </c>
      <c r="N8241" s="3" t="s">
        <v>36</v>
      </c>
      <c r="O8241" s="8" t="s">
        <v>36</v>
      </c>
      <c r="P8241" s="3" t="s">
        <v>36</v>
      </c>
      <c r="Q8241" s="3" t="s">
        <v>36</v>
      </c>
      <c r="R8241" s="3" t="s">
        <v>36</v>
      </c>
      <c r="S8241" s="3" t="s">
        <v>36</v>
      </c>
      <c r="T8241" s="3" t="s">
        <v>13540</v>
      </c>
      <c r="U8241" s="3" t="s">
        <v>279</v>
      </c>
      <c r="V8241" s="3" t="s">
        <v>64</v>
      </c>
      <c r="W8241" s="3" t="s">
        <v>13541</v>
      </c>
      <c r="X8241" s="10" t="s">
        <v>36008</v>
      </c>
      <c r="Y8241" s="6" t="s">
        <v>108</v>
      </c>
      <c r="Z8241" s="4">
        <v>2.57</v>
      </c>
      <c r="AA8241" s="4">
        <v>7.61</v>
      </c>
      <c r="AB8241" s="3" t="s">
        <v>43</v>
      </c>
      <c r="AC8241" s="3" t="s">
        <v>13543</v>
      </c>
      <c r="AD8241" s="9">
        <v>41240</v>
      </c>
      <c r="AE8241" s="3" t="s">
        <v>851</v>
      </c>
      <c r="AF8241" s="3" t="s">
        <v>1077</v>
      </c>
      <c r="AG8241" s="3" t="s">
        <v>81</v>
      </c>
      <c r="AH8241" s="11">
        <f>HYPERLINK("https://my.pitchbook.com?c=29328-31T","View Company Online")</f>
      </c>
    </row>
    <row r="8242">
      <c r="A8242" s="12" t="s">
        <v>36009</v>
      </c>
      <c r="B8242" s="12" t="s">
        <v>23559</v>
      </c>
      <c r="C8242" s="19">
        <v>16</v>
      </c>
      <c r="D8242" s="19">
        <v>170</v>
      </c>
      <c r="E8242" s="19">
        <v>31</v>
      </c>
      <c r="F8242" s="19">
        <v>193</v>
      </c>
      <c r="G8242" s="15" t="s">
        <v>36</v>
      </c>
      <c r="H8242" s="14">
        <v>2.67</v>
      </c>
      <c r="I8242" s="18">
        <v>34.26</v>
      </c>
      <c r="J8242" s="12" t="s">
        <v>521</v>
      </c>
      <c r="K8242" s="13" t="s">
        <v>36</v>
      </c>
      <c r="L8242" s="15" t="s">
        <v>122</v>
      </c>
      <c r="M8242" s="12" t="s">
        <v>36</v>
      </c>
      <c r="N8242" s="12" t="s">
        <v>122</v>
      </c>
      <c r="O8242" s="17" t="s">
        <v>36</v>
      </c>
      <c r="P8242" s="12" t="s">
        <v>36</v>
      </c>
      <c r="Q8242" s="12" t="s">
        <v>36</v>
      </c>
      <c r="R8242" s="12" t="s">
        <v>36</v>
      </c>
      <c r="S8242" s="12" t="s">
        <v>36</v>
      </c>
      <c r="T8242" s="12" t="s">
        <v>4225</v>
      </c>
      <c r="U8242" s="12" t="s">
        <v>96</v>
      </c>
      <c r="V8242" s="12" t="s">
        <v>52</v>
      </c>
      <c r="W8242" s="12" t="s">
        <v>23560</v>
      </c>
      <c r="X8242" s="16" t="s">
        <v>36010</v>
      </c>
      <c r="Y8242" s="15" t="s">
        <v>42</v>
      </c>
      <c r="Z8242" s="14">
        <v>6.87</v>
      </c>
      <c r="AA8242" s="14">
        <v>20.06</v>
      </c>
      <c r="AB8242" s="12" t="s">
        <v>43</v>
      </c>
      <c r="AC8242" s="12" t="s">
        <v>23562</v>
      </c>
      <c r="AD8242" s="13">
        <v>41239</v>
      </c>
      <c r="AE8242" s="12" t="s">
        <v>143</v>
      </c>
      <c r="AF8242" s="12" t="s">
        <v>101</v>
      </c>
      <c r="AG8242" s="12" t="s">
        <v>81</v>
      </c>
      <c r="AH8242" s="1">
        <f>HYPERLINK("https://my.pitchbook.com?c=26502-04T","View Company Online")</f>
      </c>
    </row>
    <row r="8243">
      <c r="A8243" s="3" t="s">
        <v>36011</v>
      </c>
      <c r="B8243" s="3" t="s">
        <v>31539</v>
      </c>
      <c r="C8243" s="5" t="s">
        <v>36</v>
      </c>
      <c r="D8243" s="5" t="s">
        <v>36</v>
      </c>
      <c r="E8243" s="5" t="s">
        <v>36</v>
      </c>
      <c r="F8243" s="5" t="s">
        <v>36</v>
      </c>
      <c r="G8243" s="6" t="s">
        <v>326</v>
      </c>
      <c r="H8243" s="4">
        <v>3</v>
      </c>
      <c r="I8243" s="7">
        <v>42.67</v>
      </c>
      <c r="J8243" s="3" t="s">
        <v>521</v>
      </c>
      <c r="K8243" s="9">
        <v>41238</v>
      </c>
      <c r="L8243" s="6" t="s">
        <v>122</v>
      </c>
      <c r="M8243" s="3" t="s">
        <v>36</v>
      </c>
      <c r="N8243" s="3" t="s">
        <v>122</v>
      </c>
      <c r="O8243" s="8" t="s">
        <v>36</v>
      </c>
      <c r="P8243" s="3" t="s">
        <v>36</v>
      </c>
      <c r="Q8243" s="3" t="s">
        <v>36</v>
      </c>
      <c r="R8243" s="3" t="s">
        <v>36</v>
      </c>
      <c r="S8243" s="3" t="s">
        <v>36</v>
      </c>
      <c r="T8243" s="3" t="s">
        <v>522</v>
      </c>
      <c r="U8243" s="3" t="s">
        <v>38</v>
      </c>
      <c r="V8243" s="3" t="s">
        <v>39</v>
      </c>
      <c r="W8243" s="3" t="s">
        <v>31540</v>
      </c>
      <c r="X8243" s="10" t="s">
        <v>36012</v>
      </c>
      <c r="Y8243" s="6" t="s">
        <v>108</v>
      </c>
      <c r="Z8243" s="4">
        <v>2.95</v>
      </c>
      <c r="AA8243" s="4">
        <v>6.92</v>
      </c>
      <c r="AB8243" s="3" t="s">
        <v>43</v>
      </c>
      <c r="AC8243" s="3" t="s">
        <v>31542</v>
      </c>
      <c r="AD8243" s="9">
        <v>41239</v>
      </c>
      <c r="AE8243" s="3" t="s">
        <v>110</v>
      </c>
      <c r="AF8243" s="3" t="s">
        <v>4552</v>
      </c>
      <c r="AG8243" s="3" t="s">
        <v>81</v>
      </c>
      <c r="AH8243" s="11">
        <f>HYPERLINK("https://my.pitchbook.com?c=28517-05T","View Company Online")</f>
      </c>
    </row>
    <row r="8244">
      <c r="A8244" s="12" t="s">
        <v>36013</v>
      </c>
      <c r="B8244" s="12" t="s">
        <v>36014</v>
      </c>
      <c r="C8244" s="19" t="s">
        <v>36</v>
      </c>
      <c r="D8244" s="19" t="s">
        <v>36</v>
      </c>
      <c r="E8244" s="19" t="s">
        <v>36</v>
      </c>
      <c r="F8244" s="19" t="s">
        <v>36</v>
      </c>
      <c r="G8244" s="15" t="s">
        <v>36</v>
      </c>
      <c r="H8244" s="14" t="s">
        <v>36</v>
      </c>
      <c r="I8244" s="18" t="s">
        <v>36</v>
      </c>
      <c r="J8244" s="12" t="s">
        <v>36</v>
      </c>
      <c r="K8244" s="13" t="s">
        <v>36</v>
      </c>
      <c r="L8244" s="15" t="s">
        <v>1279</v>
      </c>
      <c r="M8244" s="12" t="s">
        <v>36</v>
      </c>
      <c r="N8244" s="12" t="s">
        <v>1279</v>
      </c>
      <c r="O8244" s="17" t="s">
        <v>36</v>
      </c>
      <c r="P8244" s="12" t="s">
        <v>36</v>
      </c>
      <c r="Q8244" s="12" t="s">
        <v>36</v>
      </c>
      <c r="R8244" s="12" t="s">
        <v>36</v>
      </c>
      <c r="S8244" s="12" t="s">
        <v>36</v>
      </c>
      <c r="T8244" s="12" t="s">
        <v>881</v>
      </c>
      <c r="U8244" s="12" t="s">
        <v>51</v>
      </c>
      <c r="V8244" s="12" t="s">
        <v>52</v>
      </c>
      <c r="W8244" s="12" t="s">
        <v>36015</v>
      </c>
      <c r="X8244" s="16" t="s">
        <v>36016</v>
      </c>
      <c r="Y8244" s="15" t="s">
        <v>55</v>
      </c>
      <c r="Z8244" s="14">
        <v>15.91</v>
      </c>
      <c r="AA8244" s="14" t="s">
        <v>36</v>
      </c>
      <c r="AB8244" s="12" t="s">
        <v>56</v>
      </c>
      <c r="AC8244" s="12" t="s">
        <v>36017</v>
      </c>
      <c r="AD8244" s="13">
        <v>41239</v>
      </c>
      <c r="AE8244" s="12" t="s">
        <v>504</v>
      </c>
      <c r="AF8244" s="12" t="s">
        <v>159</v>
      </c>
      <c r="AG8244" s="12" t="s">
        <v>765</v>
      </c>
      <c r="AH8244" s="1">
        <f>HYPERLINK("https://my.pitchbook.com?c=27316-54T","View Company Online")</f>
      </c>
    </row>
    <row r="8245">
      <c r="A8245" s="3" t="s">
        <v>36018</v>
      </c>
      <c r="B8245" s="3" t="s">
        <v>32372</v>
      </c>
      <c r="C8245" s="5" t="s">
        <v>36</v>
      </c>
      <c r="D8245" s="5" t="s">
        <v>36</v>
      </c>
      <c r="E8245" s="5" t="s">
        <v>36</v>
      </c>
      <c r="F8245" s="5" t="s">
        <v>36</v>
      </c>
      <c r="G8245" s="6" t="s">
        <v>36</v>
      </c>
      <c r="H8245" s="4">
        <v>5.78</v>
      </c>
      <c r="I8245" s="7">
        <v>25.55</v>
      </c>
      <c r="J8245" s="3" t="s">
        <v>521</v>
      </c>
      <c r="K8245" s="9" t="s">
        <v>36</v>
      </c>
      <c r="L8245" s="6" t="s">
        <v>36</v>
      </c>
      <c r="M8245" s="3" t="s">
        <v>36</v>
      </c>
      <c r="N8245" s="3" t="s">
        <v>36</v>
      </c>
      <c r="O8245" s="8" t="s">
        <v>36</v>
      </c>
      <c r="P8245" s="3" t="s">
        <v>36</v>
      </c>
      <c r="Q8245" s="3" t="s">
        <v>36</v>
      </c>
      <c r="R8245" s="3" t="s">
        <v>36</v>
      </c>
      <c r="S8245" s="3" t="s">
        <v>36</v>
      </c>
      <c r="T8245" s="3" t="s">
        <v>4692</v>
      </c>
      <c r="U8245" s="3" t="s">
        <v>85</v>
      </c>
      <c r="V8245" s="3" t="s">
        <v>64</v>
      </c>
      <c r="W8245" s="3" t="s">
        <v>32373</v>
      </c>
      <c r="X8245" s="10" t="s">
        <v>34675</v>
      </c>
      <c r="Y8245" s="6" t="s">
        <v>42</v>
      </c>
      <c r="Z8245" s="4">
        <v>0.96</v>
      </c>
      <c r="AA8245" s="4">
        <v>2.19</v>
      </c>
      <c r="AB8245" s="3" t="s">
        <v>43</v>
      </c>
      <c r="AC8245" s="3" t="s">
        <v>32375</v>
      </c>
      <c r="AD8245" s="9">
        <v>41236</v>
      </c>
      <c r="AE8245" s="3" t="s">
        <v>89</v>
      </c>
      <c r="AF8245" s="3" t="s">
        <v>32376</v>
      </c>
      <c r="AG8245" s="3" t="s">
        <v>32377</v>
      </c>
      <c r="AH8245" s="11">
        <f>HYPERLINK("https://my.pitchbook.com?c=36388-99T","View Company Online")</f>
      </c>
    </row>
    <row r="8246">
      <c r="A8246" s="12" t="s">
        <v>36019</v>
      </c>
      <c r="B8246" s="12" t="s">
        <v>36020</v>
      </c>
      <c r="C8246" s="19" t="s">
        <v>36</v>
      </c>
      <c r="D8246" s="19" t="s">
        <v>36</v>
      </c>
      <c r="E8246" s="19" t="s">
        <v>36</v>
      </c>
      <c r="F8246" s="19" t="s">
        <v>36</v>
      </c>
      <c r="G8246" s="15" t="s">
        <v>36</v>
      </c>
      <c r="H8246" s="14" t="s">
        <v>36</v>
      </c>
      <c r="I8246" s="18" t="s">
        <v>36</v>
      </c>
      <c r="J8246" s="12" t="s">
        <v>36</v>
      </c>
      <c r="K8246" s="13" t="s">
        <v>36</v>
      </c>
      <c r="L8246" s="15" t="s">
        <v>36</v>
      </c>
      <c r="M8246" s="12" t="s">
        <v>36</v>
      </c>
      <c r="N8246" s="12" t="s">
        <v>36</v>
      </c>
      <c r="O8246" s="17" t="s">
        <v>36</v>
      </c>
      <c r="P8246" s="12" t="s">
        <v>36</v>
      </c>
      <c r="Q8246" s="12" t="s">
        <v>36</v>
      </c>
      <c r="R8246" s="12" t="s">
        <v>36</v>
      </c>
      <c r="S8246" s="12" t="s">
        <v>36</v>
      </c>
      <c r="T8246" s="12" t="s">
        <v>36021</v>
      </c>
      <c r="U8246" s="12" t="s">
        <v>219</v>
      </c>
      <c r="V8246" s="12" t="s">
        <v>75</v>
      </c>
      <c r="W8246" s="12" t="s">
        <v>36022</v>
      </c>
      <c r="X8246" s="16" t="s">
        <v>36023</v>
      </c>
      <c r="Y8246" s="15" t="s">
        <v>108</v>
      </c>
      <c r="Z8246" s="14">
        <v>2.56</v>
      </c>
      <c r="AA8246" s="14" t="s">
        <v>36</v>
      </c>
      <c r="AB8246" s="12" t="s">
        <v>43</v>
      </c>
      <c r="AC8246" s="12" t="s">
        <v>36024</v>
      </c>
      <c r="AD8246" s="13">
        <v>41235</v>
      </c>
      <c r="AE8246" s="12" t="s">
        <v>1032</v>
      </c>
      <c r="AF8246" s="12" t="s">
        <v>4668</v>
      </c>
      <c r="AG8246" s="12" t="s">
        <v>21549</v>
      </c>
      <c r="AH8246" s="1">
        <f>HYPERLINK("https://my.pitchbook.com?c=29800-18T","View Company Online")</f>
      </c>
    </row>
    <row r="8247">
      <c r="A8247" s="3" t="s">
        <v>36025</v>
      </c>
      <c r="B8247" s="3" t="s">
        <v>22014</v>
      </c>
      <c r="C8247" s="5" t="s">
        <v>36</v>
      </c>
      <c r="D8247" s="5" t="s">
        <v>36</v>
      </c>
      <c r="E8247" s="5" t="s">
        <v>36</v>
      </c>
      <c r="F8247" s="5" t="s">
        <v>36</v>
      </c>
      <c r="G8247" s="6" t="s">
        <v>326</v>
      </c>
      <c r="H8247" s="4">
        <v>718.07</v>
      </c>
      <c r="I8247" s="7">
        <v>25</v>
      </c>
      <c r="J8247" s="3" t="s">
        <v>521</v>
      </c>
      <c r="K8247" s="9">
        <v>41176</v>
      </c>
      <c r="L8247" s="6" t="s">
        <v>36</v>
      </c>
      <c r="M8247" s="3" t="s">
        <v>36</v>
      </c>
      <c r="N8247" s="3" t="s">
        <v>36</v>
      </c>
      <c r="O8247" s="8" t="s">
        <v>36</v>
      </c>
      <c r="P8247" s="3" t="s">
        <v>36</v>
      </c>
      <c r="Q8247" s="3" t="s">
        <v>36</v>
      </c>
      <c r="R8247" s="3" t="s">
        <v>36</v>
      </c>
      <c r="S8247" s="3" t="s">
        <v>36</v>
      </c>
      <c r="T8247" s="3" t="s">
        <v>11886</v>
      </c>
      <c r="U8247" s="3" t="s">
        <v>648</v>
      </c>
      <c r="V8247" s="3" t="s">
        <v>64</v>
      </c>
      <c r="W8247" s="3" t="s">
        <v>22015</v>
      </c>
      <c r="X8247" s="10" t="s">
        <v>27705</v>
      </c>
      <c r="Y8247" s="6" t="s">
        <v>55</v>
      </c>
      <c r="Z8247" s="4">
        <v>1.91</v>
      </c>
      <c r="AA8247" s="4">
        <v>5.13</v>
      </c>
      <c r="AB8247" s="3" t="s">
        <v>43</v>
      </c>
      <c r="AC8247" s="3" t="s">
        <v>22017</v>
      </c>
      <c r="AD8247" s="9">
        <v>41234</v>
      </c>
      <c r="AE8247" s="3" t="s">
        <v>651</v>
      </c>
      <c r="AF8247" s="3" t="s">
        <v>36</v>
      </c>
      <c r="AG8247" s="3" t="s">
        <v>81</v>
      </c>
      <c r="AH8247" s="11">
        <f>HYPERLINK("https://my.pitchbook.com?c=24556-69T","View Company Online")</f>
      </c>
    </row>
    <row r="8248">
      <c r="A8248" s="12" t="s">
        <v>36026</v>
      </c>
      <c r="B8248" s="12" t="s">
        <v>15362</v>
      </c>
      <c r="C8248" s="19" t="s">
        <v>36</v>
      </c>
      <c r="D8248" s="19" t="s">
        <v>36</v>
      </c>
      <c r="E8248" s="19" t="s">
        <v>36</v>
      </c>
      <c r="F8248" s="19" t="s">
        <v>36</v>
      </c>
      <c r="G8248" s="15" t="s">
        <v>36</v>
      </c>
      <c r="H8248" s="14">
        <v>156.38</v>
      </c>
      <c r="I8248" s="18">
        <v>32.23</v>
      </c>
      <c r="J8248" s="12" t="s">
        <v>521</v>
      </c>
      <c r="K8248" s="13" t="s">
        <v>36</v>
      </c>
      <c r="L8248" s="15" t="s">
        <v>122</v>
      </c>
      <c r="M8248" s="12" t="s">
        <v>36</v>
      </c>
      <c r="N8248" s="12" t="s">
        <v>122</v>
      </c>
      <c r="O8248" s="17" t="s">
        <v>36</v>
      </c>
      <c r="P8248" s="12" t="s">
        <v>36</v>
      </c>
      <c r="Q8248" s="12" t="s">
        <v>36</v>
      </c>
      <c r="R8248" s="12" t="s">
        <v>36</v>
      </c>
      <c r="S8248" s="12" t="s">
        <v>36</v>
      </c>
      <c r="T8248" s="12" t="s">
        <v>522</v>
      </c>
      <c r="U8248" s="12" t="s">
        <v>38</v>
      </c>
      <c r="V8248" s="12" t="s">
        <v>39</v>
      </c>
      <c r="W8248" s="12" t="s">
        <v>15363</v>
      </c>
      <c r="X8248" s="16" t="s">
        <v>36027</v>
      </c>
      <c r="Y8248" s="15" t="s">
        <v>42</v>
      </c>
      <c r="Z8248" s="14">
        <v>3.22</v>
      </c>
      <c r="AA8248" s="14">
        <v>8.58</v>
      </c>
      <c r="AB8248" s="12" t="s">
        <v>43</v>
      </c>
      <c r="AC8248" s="12" t="s">
        <v>15365</v>
      </c>
      <c r="AD8248" s="13">
        <v>41229</v>
      </c>
      <c r="AE8248" s="12" t="s">
        <v>110</v>
      </c>
      <c r="AF8248" s="12" t="s">
        <v>4552</v>
      </c>
      <c r="AG8248" s="12" t="s">
        <v>81</v>
      </c>
      <c r="AH8248" s="1">
        <f>HYPERLINK("https://my.pitchbook.com?c=28517-23T","View Company Online")</f>
      </c>
    </row>
    <row r="8249">
      <c r="A8249" s="3" t="s">
        <v>36028</v>
      </c>
      <c r="B8249" s="3" t="s">
        <v>20968</v>
      </c>
      <c r="C8249" s="5" t="s">
        <v>36</v>
      </c>
      <c r="D8249" s="5">
        <v>1</v>
      </c>
      <c r="E8249" s="5">
        <v>2</v>
      </c>
      <c r="F8249" s="5">
        <v>4</v>
      </c>
      <c r="G8249" s="6" t="s">
        <v>683</v>
      </c>
      <c r="H8249" s="4">
        <v>3.11</v>
      </c>
      <c r="I8249" s="7">
        <v>41.34</v>
      </c>
      <c r="J8249" s="3" t="s">
        <v>521</v>
      </c>
      <c r="K8249" s="9" t="s">
        <v>36</v>
      </c>
      <c r="L8249" s="6" t="s">
        <v>36</v>
      </c>
      <c r="M8249" s="3" t="s">
        <v>36</v>
      </c>
      <c r="N8249" s="3" t="s">
        <v>36</v>
      </c>
      <c r="O8249" s="8" t="s">
        <v>36</v>
      </c>
      <c r="P8249" s="3" t="s">
        <v>36</v>
      </c>
      <c r="Q8249" s="3" t="s">
        <v>36</v>
      </c>
      <c r="R8249" s="3" t="s">
        <v>36</v>
      </c>
      <c r="S8249" s="3" t="s">
        <v>36</v>
      </c>
      <c r="T8249" s="3" t="s">
        <v>1701</v>
      </c>
      <c r="U8249" s="3" t="s">
        <v>74</v>
      </c>
      <c r="V8249" s="3" t="s">
        <v>75</v>
      </c>
      <c r="W8249" s="3" t="s">
        <v>20969</v>
      </c>
      <c r="X8249" s="10" t="s">
        <v>36029</v>
      </c>
      <c r="Y8249" s="6" t="s">
        <v>55</v>
      </c>
      <c r="Z8249" s="4">
        <v>2.35</v>
      </c>
      <c r="AA8249" s="4">
        <v>5.69</v>
      </c>
      <c r="AB8249" s="3" t="s">
        <v>56</v>
      </c>
      <c r="AC8249" s="3" t="s">
        <v>20971</v>
      </c>
      <c r="AD8249" s="9">
        <v>41229</v>
      </c>
      <c r="AE8249" s="3" t="s">
        <v>79</v>
      </c>
      <c r="AF8249" s="3" t="s">
        <v>3172</v>
      </c>
      <c r="AG8249" s="3" t="s">
        <v>81</v>
      </c>
      <c r="AH8249" s="11">
        <f>HYPERLINK("https://my.pitchbook.com?c=252573-13T","View Company Online")</f>
      </c>
    </row>
    <row r="8250">
      <c r="A8250" s="12" t="s">
        <v>36030</v>
      </c>
      <c r="B8250" s="12" t="s">
        <v>36031</v>
      </c>
      <c r="C8250" s="19">
        <v>1</v>
      </c>
      <c r="D8250" s="19">
        <v>1</v>
      </c>
      <c r="E8250" s="19">
        <v>3</v>
      </c>
      <c r="F8250" s="19">
        <v>4</v>
      </c>
      <c r="G8250" s="15" t="s">
        <v>36</v>
      </c>
      <c r="H8250" s="14" t="s">
        <v>36</v>
      </c>
      <c r="I8250" s="18" t="s">
        <v>36</v>
      </c>
      <c r="J8250" s="12" t="s">
        <v>36</v>
      </c>
      <c r="K8250" s="13" t="s">
        <v>36</v>
      </c>
      <c r="L8250" s="15" t="s">
        <v>36</v>
      </c>
      <c r="M8250" s="12" t="s">
        <v>36</v>
      </c>
      <c r="N8250" s="12" t="s">
        <v>36</v>
      </c>
      <c r="O8250" s="17" t="s">
        <v>36</v>
      </c>
      <c r="P8250" s="12" t="s">
        <v>36</v>
      </c>
      <c r="Q8250" s="12" t="s">
        <v>36</v>
      </c>
      <c r="R8250" s="12" t="s">
        <v>36</v>
      </c>
      <c r="S8250" s="12" t="s">
        <v>36</v>
      </c>
      <c r="T8250" s="12" t="s">
        <v>3729</v>
      </c>
      <c r="U8250" s="12" t="s">
        <v>219</v>
      </c>
      <c r="V8250" s="12" t="s">
        <v>75</v>
      </c>
      <c r="W8250" s="12" t="s">
        <v>36032</v>
      </c>
      <c r="X8250" s="16" t="s">
        <v>36033</v>
      </c>
      <c r="Y8250" s="15" t="s">
        <v>42</v>
      </c>
      <c r="Z8250" s="14">
        <v>3.87</v>
      </c>
      <c r="AA8250" s="14" t="s">
        <v>36</v>
      </c>
      <c r="AB8250" s="12" t="s">
        <v>56</v>
      </c>
      <c r="AC8250" s="12" t="s">
        <v>36034</v>
      </c>
      <c r="AD8250" s="13">
        <v>41227</v>
      </c>
      <c r="AE8250" s="12" t="s">
        <v>1032</v>
      </c>
      <c r="AF8250" s="12" t="s">
        <v>1969</v>
      </c>
      <c r="AG8250" s="12" t="s">
        <v>36035</v>
      </c>
      <c r="AH8250" s="1">
        <f>HYPERLINK("https://my.pitchbook.com?c=35037-55T","View Company Online")</f>
      </c>
    </row>
    <row r="8251">
      <c r="A8251" s="3" t="s">
        <v>36036</v>
      </c>
      <c r="B8251" s="3" t="s">
        <v>36037</v>
      </c>
      <c r="C8251" s="5" t="s">
        <v>36</v>
      </c>
      <c r="D8251" s="5" t="s">
        <v>36</v>
      </c>
      <c r="E8251" s="5" t="s">
        <v>36</v>
      </c>
      <c r="F8251" s="5" t="s">
        <v>36</v>
      </c>
      <c r="G8251" s="6" t="s">
        <v>326</v>
      </c>
      <c r="H8251" s="4">
        <v>336.04</v>
      </c>
      <c r="I8251" s="7">
        <v>41.71</v>
      </c>
      <c r="J8251" s="3" t="s">
        <v>521</v>
      </c>
      <c r="K8251" s="9" t="s">
        <v>36</v>
      </c>
      <c r="L8251" s="6" t="s">
        <v>94</v>
      </c>
      <c r="M8251" s="3" t="s">
        <v>36</v>
      </c>
      <c r="N8251" s="3" t="s">
        <v>94</v>
      </c>
      <c r="O8251" s="8" t="s">
        <v>36</v>
      </c>
      <c r="P8251" s="3" t="s">
        <v>36</v>
      </c>
      <c r="Q8251" s="3" t="s">
        <v>36</v>
      </c>
      <c r="R8251" s="3" t="s">
        <v>36</v>
      </c>
      <c r="S8251" s="3" t="s">
        <v>36</v>
      </c>
      <c r="T8251" s="3" t="s">
        <v>23878</v>
      </c>
      <c r="U8251" s="3" t="s">
        <v>279</v>
      </c>
      <c r="V8251" s="3" t="s">
        <v>64</v>
      </c>
      <c r="W8251" s="3" t="s">
        <v>36038</v>
      </c>
      <c r="X8251" s="10" t="s">
        <v>36039</v>
      </c>
      <c r="Y8251" s="6" t="s">
        <v>475</v>
      </c>
      <c r="Z8251" s="4">
        <v>7.09</v>
      </c>
      <c r="AA8251" s="4">
        <v>17</v>
      </c>
      <c r="AB8251" s="3" t="s">
        <v>56</v>
      </c>
      <c r="AC8251" s="3" t="s">
        <v>36040</v>
      </c>
      <c r="AD8251" s="9">
        <v>41227</v>
      </c>
      <c r="AE8251" s="3" t="s">
        <v>851</v>
      </c>
      <c r="AF8251" s="3" t="s">
        <v>36</v>
      </c>
      <c r="AG8251" s="3" t="s">
        <v>81</v>
      </c>
      <c r="AH8251" s="11">
        <f>HYPERLINK("https://my.pitchbook.com?c=29567-26T","View Company Online")</f>
      </c>
    </row>
    <row r="8252">
      <c r="A8252" s="12" t="s">
        <v>36041</v>
      </c>
      <c r="B8252" s="12" t="s">
        <v>36042</v>
      </c>
      <c r="C8252" s="19" t="s">
        <v>36</v>
      </c>
      <c r="D8252" s="19" t="s">
        <v>36</v>
      </c>
      <c r="E8252" s="19" t="s">
        <v>36</v>
      </c>
      <c r="F8252" s="19" t="s">
        <v>36</v>
      </c>
      <c r="G8252" s="15" t="s">
        <v>36</v>
      </c>
      <c r="H8252" s="14" t="s">
        <v>36</v>
      </c>
      <c r="I8252" s="18" t="s">
        <v>36</v>
      </c>
      <c r="J8252" s="12" t="s">
        <v>36</v>
      </c>
      <c r="K8252" s="13" t="s">
        <v>36</v>
      </c>
      <c r="L8252" s="15" t="s">
        <v>36</v>
      </c>
      <c r="M8252" s="12" t="s">
        <v>36</v>
      </c>
      <c r="N8252" s="12" t="s">
        <v>36</v>
      </c>
      <c r="O8252" s="17" t="s">
        <v>36</v>
      </c>
      <c r="P8252" s="12" t="s">
        <v>36</v>
      </c>
      <c r="Q8252" s="12" t="s">
        <v>36</v>
      </c>
      <c r="R8252" s="12" t="s">
        <v>36</v>
      </c>
      <c r="S8252" s="12" t="s">
        <v>36</v>
      </c>
      <c r="T8252" s="12" t="s">
        <v>36043</v>
      </c>
      <c r="U8252" s="12" t="s">
        <v>38</v>
      </c>
      <c r="V8252" s="12" t="s">
        <v>39</v>
      </c>
      <c r="W8252" s="12" t="s">
        <v>36044</v>
      </c>
      <c r="X8252" s="16" t="s">
        <v>640</v>
      </c>
      <c r="Y8252" s="15" t="s">
        <v>42</v>
      </c>
      <c r="Z8252" s="14" t="s">
        <v>36</v>
      </c>
      <c r="AA8252" s="14" t="s">
        <v>36</v>
      </c>
      <c r="AB8252" s="12" t="s">
        <v>56</v>
      </c>
      <c r="AC8252" s="12" t="s">
        <v>36045</v>
      </c>
      <c r="AD8252" s="13">
        <v>41227</v>
      </c>
      <c r="AE8252" s="12" t="s">
        <v>1945</v>
      </c>
      <c r="AF8252" s="12" t="s">
        <v>4276</v>
      </c>
      <c r="AG8252" s="12" t="s">
        <v>757</v>
      </c>
      <c r="AH8252" s="1">
        <f>HYPERLINK("https://my.pitchbook.com?c=153567-73T","View Company Online")</f>
      </c>
    </row>
    <row r="8253">
      <c r="A8253" s="3" t="s">
        <v>36046</v>
      </c>
      <c r="B8253" s="3" t="s">
        <v>36047</v>
      </c>
      <c r="C8253" s="5" t="s">
        <v>36</v>
      </c>
      <c r="D8253" s="5" t="s">
        <v>36</v>
      </c>
      <c r="E8253" s="5">
        <v>2</v>
      </c>
      <c r="F8253" s="5">
        <v>4</v>
      </c>
      <c r="G8253" s="6" t="s">
        <v>36</v>
      </c>
      <c r="H8253" s="4" t="s">
        <v>36</v>
      </c>
      <c r="I8253" s="7" t="s">
        <v>36</v>
      </c>
      <c r="J8253" s="3" t="s">
        <v>36</v>
      </c>
      <c r="K8253" s="9" t="s">
        <v>36</v>
      </c>
      <c r="L8253" s="6" t="s">
        <v>36</v>
      </c>
      <c r="M8253" s="3" t="s">
        <v>36</v>
      </c>
      <c r="N8253" s="3" t="s">
        <v>36</v>
      </c>
      <c r="O8253" s="8" t="s">
        <v>36</v>
      </c>
      <c r="P8253" s="3" t="s">
        <v>36</v>
      </c>
      <c r="Q8253" s="3" t="s">
        <v>36</v>
      </c>
      <c r="R8253" s="3" t="s">
        <v>36</v>
      </c>
      <c r="S8253" s="3" t="s">
        <v>36</v>
      </c>
      <c r="T8253" s="3" t="s">
        <v>36048</v>
      </c>
      <c r="U8253" s="3" t="s">
        <v>74</v>
      </c>
      <c r="V8253" s="3" t="s">
        <v>75</v>
      </c>
      <c r="W8253" s="3" t="s">
        <v>36049</v>
      </c>
      <c r="X8253" s="10" t="s">
        <v>20527</v>
      </c>
      <c r="Y8253" s="6" t="s">
        <v>42</v>
      </c>
      <c r="Z8253" s="4">
        <v>0.71</v>
      </c>
      <c r="AA8253" s="4" t="s">
        <v>36</v>
      </c>
      <c r="AB8253" s="3" t="s">
        <v>43</v>
      </c>
      <c r="AC8253" s="3" t="s">
        <v>36050</v>
      </c>
      <c r="AD8253" s="9">
        <v>41227</v>
      </c>
      <c r="AE8253" s="3" t="s">
        <v>570</v>
      </c>
      <c r="AF8253" s="3" t="s">
        <v>36051</v>
      </c>
      <c r="AG8253" s="3" t="s">
        <v>652</v>
      </c>
      <c r="AH8253" s="11">
        <f>HYPERLINK("https://my.pitchbook.com?c=29634-22T","View Company Online")</f>
      </c>
    </row>
    <row r="8254">
      <c r="A8254" s="12" t="s">
        <v>36052</v>
      </c>
      <c r="B8254" s="12" t="s">
        <v>36053</v>
      </c>
      <c r="C8254" s="19" t="s">
        <v>36</v>
      </c>
      <c r="D8254" s="19" t="s">
        <v>36</v>
      </c>
      <c r="E8254" s="19" t="s">
        <v>36</v>
      </c>
      <c r="F8254" s="19" t="s">
        <v>36</v>
      </c>
      <c r="G8254" s="15" t="s">
        <v>326</v>
      </c>
      <c r="H8254" s="14">
        <v>203.56</v>
      </c>
      <c r="I8254" s="18">
        <v>20.84</v>
      </c>
      <c r="J8254" s="12" t="s">
        <v>521</v>
      </c>
      <c r="K8254" s="13">
        <v>40995</v>
      </c>
      <c r="L8254" s="15" t="s">
        <v>36</v>
      </c>
      <c r="M8254" s="12" t="s">
        <v>36</v>
      </c>
      <c r="N8254" s="12" t="s">
        <v>36</v>
      </c>
      <c r="O8254" s="17" t="s">
        <v>36</v>
      </c>
      <c r="P8254" s="12" t="s">
        <v>36</v>
      </c>
      <c r="Q8254" s="12" t="s">
        <v>36</v>
      </c>
      <c r="R8254" s="12" t="s">
        <v>36</v>
      </c>
      <c r="S8254" s="12" t="s">
        <v>36</v>
      </c>
      <c r="T8254" s="12" t="s">
        <v>36054</v>
      </c>
      <c r="U8254" s="12" t="s">
        <v>38</v>
      </c>
      <c r="V8254" s="12" t="s">
        <v>39</v>
      </c>
      <c r="W8254" s="12" t="s">
        <v>36055</v>
      </c>
      <c r="X8254" s="16" t="s">
        <v>36056</v>
      </c>
      <c r="Y8254" s="15" t="s">
        <v>108</v>
      </c>
      <c r="Z8254" s="14">
        <v>1.29</v>
      </c>
      <c r="AA8254" s="14">
        <v>6.19</v>
      </c>
      <c r="AB8254" s="12" t="s">
        <v>43</v>
      </c>
      <c r="AC8254" s="12" t="s">
        <v>36057</v>
      </c>
      <c r="AD8254" s="13">
        <v>41226</v>
      </c>
      <c r="AE8254" s="12" t="s">
        <v>110</v>
      </c>
      <c r="AF8254" s="12" t="s">
        <v>1636</v>
      </c>
      <c r="AG8254" s="12" t="s">
        <v>81</v>
      </c>
      <c r="AH8254" s="1">
        <f>HYPERLINK("https://my.pitchbook.com?c=85277-80T","View Company Online")</f>
      </c>
    </row>
    <row r="8255">
      <c r="A8255" s="3" t="s">
        <v>36058</v>
      </c>
      <c r="B8255" s="3" t="s">
        <v>29256</v>
      </c>
      <c r="C8255" s="5" t="s">
        <v>36</v>
      </c>
      <c r="D8255" s="5" t="s">
        <v>36</v>
      </c>
      <c r="E8255" s="5" t="s">
        <v>36</v>
      </c>
      <c r="F8255" s="5" t="s">
        <v>36</v>
      </c>
      <c r="G8255" s="6" t="s">
        <v>36</v>
      </c>
      <c r="H8255" s="4">
        <v>448.66</v>
      </c>
      <c r="I8255" s="7">
        <v>36.37</v>
      </c>
      <c r="J8255" s="3" t="s">
        <v>521</v>
      </c>
      <c r="K8255" s="9" t="s">
        <v>36</v>
      </c>
      <c r="L8255" s="6" t="s">
        <v>36</v>
      </c>
      <c r="M8255" s="3" t="s">
        <v>36</v>
      </c>
      <c r="N8255" s="3" t="s">
        <v>36</v>
      </c>
      <c r="O8255" s="8" t="s">
        <v>36</v>
      </c>
      <c r="P8255" s="3" t="s">
        <v>36</v>
      </c>
      <c r="Q8255" s="3" t="s">
        <v>36</v>
      </c>
      <c r="R8255" s="3" t="s">
        <v>36</v>
      </c>
      <c r="S8255" s="3" t="s">
        <v>36</v>
      </c>
      <c r="T8255" s="3" t="s">
        <v>522</v>
      </c>
      <c r="U8255" s="3" t="s">
        <v>38</v>
      </c>
      <c r="V8255" s="3" t="s">
        <v>39</v>
      </c>
      <c r="W8255" s="3" t="s">
        <v>29257</v>
      </c>
      <c r="X8255" s="10" t="s">
        <v>36059</v>
      </c>
      <c r="Y8255" s="6" t="s">
        <v>42</v>
      </c>
      <c r="Z8255" s="4">
        <v>2.58</v>
      </c>
      <c r="AA8255" s="4">
        <v>7.1</v>
      </c>
      <c r="AB8255" s="3" t="s">
        <v>43</v>
      </c>
      <c r="AC8255" s="3" t="s">
        <v>29259</v>
      </c>
      <c r="AD8255" s="9">
        <v>41225</v>
      </c>
      <c r="AE8255" s="3" t="s">
        <v>110</v>
      </c>
      <c r="AF8255" s="3" t="s">
        <v>24667</v>
      </c>
      <c r="AG8255" s="3" t="s">
        <v>81</v>
      </c>
      <c r="AH8255" s="11">
        <f>HYPERLINK("https://my.pitchbook.com?c=29429-38T","View Company Online")</f>
      </c>
    </row>
    <row r="8256">
      <c r="A8256" s="12" t="s">
        <v>36060</v>
      </c>
      <c r="B8256" s="12" t="s">
        <v>1063</v>
      </c>
      <c r="C8256" s="19">
        <v>23</v>
      </c>
      <c r="D8256" s="19">
        <v>334</v>
      </c>
      <c r="E8256" s="19">
        <v>107</v>
      </c>
      <c r="F8256" s="19">
        <v>391</v>
      </c>
      <c r="G8256" s="15" t="s">
        <v>36</v>
      </c>
      <c r="H8256" s="14" t="s">
        <v>36</v>
      </c>
      <c r="I8256" s="18" t="s">
        <v>36</v>
      </c>
      <c r="J8256" s="12" t="s">
        <v>36</v>
      </c>
      <c r="K8256" s="13" t="s">
        <v>36</v>
      </c>
      <c r="L8256" s="15" t="s">
        <v>36</v>
      </c>
      <c r="M8256" s="12" t="s">
        <v>36</v>
      </c>
      <c r="N8256" s="12" t="s">
        <v>36</v>
      </c>
      <c r="O8256" s="17" t="s">
        <v>36</v>
      </c>
      <c r="P8256" s="12" t="s">
        <v>36</v>
      </c>
      <c r="Q8256" s="12" t="s">
        <v>36</v>
      </c>
      <c r="R8256" s="12" t="s">
        <v>36</v>
      </c>
      <c r="S8256" s="12" t="s">
        <v>36</v>
      </c>
      <c r="T8256" s="12" t="s">
        <v>1064</v>
      </c>
      <c r="U8256" s="12" t="s">
        <v>833</v>
      </c>
      <c r="V8256" s="12" t="s">
        <v>64</v>
      </c>
      <c r="W8256" s="12" t="s">
        <v>1065</v>
      </c>
      <c r="X8256" s="16" t="s">
        <v>31770</v>
      </c>
      <c r="Y8256" s="15" t="s">
        <v>42</v>
      </c>
      <c r="Z8256" s="14">
        <v>15.62</v>
      </c>
      <c r="AA8256" s="14" t="s">
        <v>36</v>
      </c>
      <c r="AB8256" s="12" t="s">
        <v>56</v>
      </c>
      <c r="AC8256" s="12" t="s">
        <v>1068</v>
      </c>
      <c r="AD8256" s="13">
        <v>41225</v>
      </c>
      <c r="AE8256" s="12" t="s">
        <v>1069</v>
      </c>
      <c r="AF8256" s="12" t="s">
        <v>1070</v>
      </c>
      <c r="AG8256" s="12" t="s">
        <v>81</v>
      </c>
      <c r="AH8256" s="1">
        <f>HYPERLINK("https://my.pitchbook.com?c=29885-86T","View Company Online")</f>
      </c>
    </row>
    <row r="8257">
      <c r="A8257" s="3" t="s">
        <v>36061</v>
      </c>
      <c r="B8257" s="3" t="s">
        <v>36062</v>
      </c>
      <c r="C8257" s="5" t="s">
        <v>36</v>
      </c>
      <c r="D8257" s="5" t="s">
        <v>36</v>
      </c>
      <c r="E8257" s="5" t="s">
        <v>36</v>
      </c>
      <c r="F8257" s="5" t="s">
        <v>36</v>
      </c>
      <c r="G8257" s="6" t="s">
        <v>36</v>
      </c>
      <c r="H8257" s="4" t="s">
        <v>36</v>
      </c>
      <c r="I8257" s="7" t="s">
        <v>36</v>
      </c>
      <c r="J8257" s="3" t="s">
        <v>36</v>
      </c>
      <c r="K8257" s="9" t="s">
        <v>36</v>
      </c>
      <c r="L8257" s="6" t="s">
        <v>36</v>
      </c>
      <c r="M8257" s="3" t="s">
        <v>36</v>
      </c>
      <c r="N8257" s="3" t="s">
        <v>36</v>
      </c>
      <c r="O8257" s="8" t="s">
        <v>36</v>
      </c>
      <c r="P8257" s="3" t="s">
        <v>36</v>
      </c>
      <c r="Q8257" s="3" t="s">
        <v>36</v>
      </c>
      <c r="R8257" s="3" t="s">
        <v>36</v>
      </c>
      <c r="S8257" s="3" t="s">
        <v>36</v>
      </c>
      <c r="T8257" s="3" t="s">
        <v>36063</v>
      </c>
      <c r="U8257" s="3" t="s">
        <v>289</v>
      </c>
      <c r="V8257" s="3" t="s">
        <v>64</v>
      </c>
      <c r="W8257" s="3" t="s">
        <v>36064</v>
      </c>
      <c r="X8257" s="10" t="s">
        <v>36065</v>
      </c>
      <c r="Y8257" s="6" t="s">
        <v>42</v>
      </c>
      <c r="Z8257" s="4">
        <v>0.9</v>
      </c>
      <c r="AA8257" s="4" t="s">
        <v>36</v>
      </c>
      <c r="AB8257" s="3" t="s">
        <v>43</v>
      </c>
      <c r="AC8257" s="3" t="s">
        <v>36066</v>
      </c>
      <c r="AD8257" s="9">
        <v>41225</v>
      </c>
      <c r="AE8257" s="3" t="s">
        <v>3134</v>
      </c>
      <c r="AF8257" s="3" t="s">
        <v>2118</v>
      </c>
      <c r="AG8257" s="3" t="s">
        <v>400</v>
      </c>
      <c r="AH8257" s="11">
        <f>HYPERLINK("https://my.pitchbook.com?c=25667-83T","View Company Online")</f>
      </c>
    </row>
    <row r="8258">
      <c r="A8258" s="12" t="s">
        <v>36067</v>
      </c>
      <c r="B8258" s="12" t="s">
        <v>36068</v>
      </c>
      <c r="C8258" s="19" t="s">
        <v>36</v>
      </c>
      <c r="D8258" s="19" t="s">
        <v>36</v>
      </c>
      <c r="E8258" s="19" t="s">
        <v>36</v>
      </c>
      <c r="F8258" s="19" t="s">
        <v>36</v>
      </c>
      <c r="G8258" s="15" t="s">
        <v>36</v>
      </c>
      <c r="H8258" s="14">
        <v>467.35</v>
      </c>
      <c r="I8258" s="18">
        <v>39.98</v>
      </c>
      <c r="J8258" s="12" t="s">
        <v>521</v>
      </c>
      <c r="K8258" s="13" t="s">
        <v>36</v>
      </c>
      <c r="L8258" s="15" t="s">
        <v>36</v>
      </c>
      <c r="M8258" s="12" t="s">
        <v>36</v>
      </c>
      <c r="N8258" s="12" t="s">
        <v>36</v>
      </c>
      <c r="O8258" s="17" t="s">
        <v>36</v>
      </c>
      <c r="P8258" s="12" t="s">
        <v>36</v>
      </c>
      <c r="Q8258" s="12" t="s">
        <v>36</v>
      </c>
      <c r="R8258" s="12" t="s">
        <v>36</v>
      </c>
      <c r="S8258" s="12" t="s">
        <v>36</v>
      </c>
      <c r="T8258" s="12" t="s">
        <v>1125</v>
      </c>
      <c r="U8258" s="12" t="s">
        <v>74</v>
      </c>
      <c r="V8258" s="12" t="s">
        <v>75</v>
      </c>
      <c r="W8258" s="12" t="s">
        <v>36069</v>
      </c>
      <c r="X8258" s="16" t="s">
        <v>14013</v>
      </c>
      <c r="Y8258" s="15" t="s">
        <v>42</v>
      </c>
      <c r="Z8258" s="14">
        <v>0.39</v>
      </c>
      <c r="AA8258" s="14">
        <v>0.97</v>
      </c>
      <c r="AB8258" s="12" t="s">
        <v>43</v>
      </c>
      <c r="AC8258" s="12" t="s">
        <v>36070</v>
      </c>
      <c r="AD8258" s="13">
        <v>41222</v>
      </c>
      <c r="AE8258" s="12" t="s">
        <v>975</v>
      </c>
      <c r="AF8258" s="12" t="s">
        <v>36</v>
      </c>
      <c r="AG8258" s="12" t="s">
        <v>81</v>
      </c>
      <c r="AH8258" s="1">
        <f>HYPERLINK("https://my.pitchbook.com?c=172181-08T","View Company Online")</f>
      </c>
    </row>
    <row r="8259">
      <c r="A8259" s="3" t="s">
        <v>36071</v>
      </c>
      <c r="B8259" s="3" t="s">
        <v>32207</v>
      </c>
      <c r="C8259" s="5">
        <v>5</v>
      </c>
      <c r="D8259" s="5">
        <v>37</v>
      </c>
      <c r="E8259" s="5">
        <v>14</v>
      </c>
      <c r="F8259" s="5">
        <v>55</v>
      </c>
      <c r="G8259" s="6" t="s">
        <v>326</v>
      </c>
      <c r="H8259" s="4">
        <v>2.13</v>
      </c>
      <c r="I8259" s="7">
        <v>25.13</v>
      </c>
      <c r="J8259" s="3" t="s">
        <v>521</v>
      </c>
      <c r="K8259" s="9" t="s">
        <v>36</v>
      </c>
      <c r="L8259" s="6" t="s">
        <v>36</v>
      </c>
      <c r="M8259" s="3" t="s">
        <v>36</v>
      </c>
      <c r="N8259" s="3" t="s">
        <v>36</v>
      </c>
      <c r="O8259" s="8" t="s">
        <v>36</v>
      </c>
      <c r="P8259" s="3" t="s">
        <v>36</v>
      </c>
      <c r="Q8259" s="3" t="s">
        <v>36</v>
      </c>
      <c r="R8259" s="3" t="s">
        <v>36</v>
      </c>
      <c r="S8259" s="3" t="s">
        <v>36</v>
      </c>
      <c r="T8259" s="3" t="s">
        <v>588</v>
      </c>
      <c r="U8259" s="3" t="s">
        <v>318</v>
      </c>
      <c r="V8259" s="3" t="s">
        <v>39</v>
      </c>
      <c r="W8259" s="3" t="s">
        <v>32208</v>
      </c>
      <c r="X8259" s="10" t="s">
        <v>36072</v>
      </c>
      <c r="Y8259" s="6" t="s">
        <v>108</v>
      </c>
      <c r="Z8259" s="4">
        <v>3.38</v>
      </c>
      <c r="AA8259" s="4">
        <v>13.46</v>
      </c>
      <c r="AB8259" s="3" t="s">
        <v>56</v>
      </c>
      <c r="AC8259" s="3" t="s">
        <v>32210</v>
      </c>
      <c r="AD8259" s="9">
        <v>41219</v>
      </c>
      <c r="AE8259" s="3" t="s">
        <v>417</v>
      </c>
      <c r="AF8259" s="3" t="s">
        <v>28996</v>
      </c>
      <c r="AG8259" s="3" t="s">
        <v>32211</v>
      </c>
      <c r="AH8259" s="11">
        <f>HYPERLINK("https://my.pitchbook.com?c=25610-14T","View Company Online")</f>
      </c>
    </row>
    <row r="8260">
      <c r="A8260" s="12" t="s">
        <v>36073</v>
      </c>
      <c r="B8260" s="12" t="s">
        <v>8430</v>
      </c>
      <c r="C8260" s="19" t="s">
        <v>36</v>
      </c>
      <c r="D8260" s="19" t="s">
        <v>36</v>
      </c>
      <c r="E8260" s="19" t="s">
        <v>36</v>
      </c>
      <c r="F8260" s="19" t="s">
        <v>36</v>
      </c>
      <c r="G8260" s="15" t="s">
        <v>36</v>
      </c>
      <c r="H8260" s="14">
        <v>259.64</v>
      </c>
      <c r="I8260" s="18">
        <v>17.65</v>
      </c>
      <c r="J8260" s="12" t="s">
        <v>521</v>
      </c>
      <c r="K8260" s="13" t="s">
        <v>36</v>
      </c>
      <c r="L8260" s="15" t="s">
        <v>36</v>
      </c>
      <c r="M8260" s="12" t="s">
        <v>36</v>
      </c>
      <c r="N8260" s="12" t="s">
        <v>36</v>
      </c>
      <c r="O8260" s="17" t="s">
        <v>36</v>
      </c>
      <c r="P8260" s="12" t="s">
        <v>36</v>
      </c>
      <c r="Q8260" s="12" t="s">
        <v>36</v>
      </c>
      <c r="R8260" s="12" t="s">
        <v>36</v>
      </c>
      <c r="S8260" s="12" t="s">
        <v>36</v>
      </c>
      <c r="T8260" s="12" t="s">
        <v>8431</v>
      </c>
      <c r="U8260" s="12" t="s">
        <v>728</v>
      </c>
      <c r="V8260" s="12" t="s">
        <v>64</v>
      </c>
      <c r="W8260" s="12" t="s">
        <v>8432</v>
      </c>
      <c r="X8260" s="16" t="s">
        <v>36074</v>
      </c>
      <c r="Y8260" s="15" t="s">
        <v>42</v>
      </c>
      <c r="Z8260" s="14">
        <v>1.94</v>
      </c>
      <c r="AA8260" s="14">
        <v>5.5</v>
      </c>
      <c r="AB8260" s="12" t="s">
        <v>43</v>
      </c>
      <c r="AC8260" s="12" t="s">
        <v>8434</v>
      </c>
      <c r="AD8260" s="13">
        <v>41219</v>
      </c>
      <c r="AE8260" s="12" t="s">
        <v>1600</v>
      </c>
      <c r="AF8260" s="12" t="s">
        <v>2343</v>
      </c>
      <c r="AG8260" s="12" t="s">
        <v>186</v>
      </c>
      <c r="AH8260" s="1">
        <f>HYPERLINK("https://my.pitchbook.com?c=30374-83T","View Company Online")</f>
      </c>
    </row>
    <row r="8261">
      <c r="A8261" s="3" t="s">
        <v>36075</v>
      </c>
      <c r="B8261" s="3" t="s">
        <v>36076</v>
      </c>
      <c r="C8261" s="5" t="s">
        <v>36</v>
      </c>
      <c r="D8261" s="5">
        <v>1</v>
      </c>
      <c r="E8261" s="5">
        <v>1</v>
      </c>
      <c r="F8261" s="5">
        <v>2</v>
      </c>
      <c r="G8261" s="6" t="s">
        <v>36</v>
      </c>
      <c r="H8261" s="4" t="s">
        <v>36</v>
      </c>
      <c r="I8261" s="7" t="s">
        <v>36</v>
      </c>
      <c r="J8261" s="3" t="s">
        <v>36</v>
      </c>
      <c r="K8261" s="9" t="s">
        <v>36</v>
      </c>
      <c r="L8261" s="6" t="s">
        <v>36</v>
      </c>
      <c r="M8261" s="3" t="s">
        <v>36</v>
      </c>
      <c r="N8261" s="3" t="s">
        <v>36</v>
      </c>
      <c r="O8261" s="8" t="s">
        <v>36</v>
      </c>
      <c r="P8261" s="3" t="s">
        <v>36</v>
      </c>
      <c r="Q8261" s="3" t="s">
        <v>36</v>
      </c>
      <c r="R8261" s="3" t="s">
        <v>36</v>
      </c>
      <c r="S8261" s="3" t="s">
        <v>36</v>
      </c>
      <c r="T8261" s="3" t="s">
        <v>36077</v>
      </c>
      <c r="U8261" s="3" t="s">
        <v>1580</v>
      </c>
      <c r="V8261" s="3" t="s">
        <v>39</v>
      </c>
      <c r="W8261" s="3" t="s">
        <v>36078</v>
      </c>
      <c r="X8261" s="10" t="s">
        <v>36079</v>
      </c>
      <c r="Y8261" s="6" t="s">
        <v>108</v>
      </c>
      <c r="Z8261" s="4" t="s">
        <v>36</v>
      </c>
      <c r="AA8261" s="4" t="s">
        <v>36</v>
      </c>
      <c r="AB8261" s="3" t="s">
        <v>43</v>
      </c>
      <c r="AC8261" s="3" t="s">
        <v>36080</v>
      </c>
      <c r="AD8261" s="9">
        <v>41214</v>
      </c>
      <c r="AE8261" s="3" t="s">
        <v>4086</v>
      </c>
      <c r="AF8261" s="3" t="s">
        <v>1636</v>
      </c>
      <c r="AG8261" s="3" t="s">
        <v>1193</v>
      </c>
      <c r="AH8261" s="11">
        <f>HYPERLINK("https://my.pitchbook.com?c=92851-75T","View Company Online")</f>
      </c>
    </row>
    <row r="8262">
      <c r="A8262" s="12" t="s">
        <v>36081</v>
      </c>
      <c r="B8262" s="12" t="s">
        <v>36082</v>
      </c>
      <c r="C8262" s="19" t="s">
        <v>36</v>
      </c>
      <c r="D8262" s="19" t="s">
        <v>36</v>
      </c>
      <c r="E8262" s="19" t="s">
        <v>36</v>
      </c>
      <c r="F8262" s="19" t="s">
        <v>36</v>
      </c>
      <c r="G8262" s="15" t="s">
        <v>36</v>
      </c>
      <c r="H8262" s="14" t="s">
        <v>36</v>
      </c>
      <c r="I8262" s="18" t="s">
        <v>36</v>
      </c>
      <c r="J8262" s="12" t="s">
        <v>36</v>
      </c>
      <c r="K8262" s="13" t="s">
        <v>36</v>
      </c>
      <c r="L8262" s="15" t="s">
        <v>36</v>
      </c>
      <c r="M8262" s="12" t="s">
        <v>36</v>
      </c>
      <c r="N8262" s="12" t="s">
        <v>36</v>
      </c>
      <c r="O8262" s="17" t="s">
        <v>36</v>
      </c>
      <c r="P8262" s="12" t="s">
        <v>36</v>
      </c>
      <c r="Q8262" s="12" t="s">
        <v>36</v>
      </c>
      <c r="R8262" s="12" t="s">
        <v>36</v>
      </c>
      <c r="S8262" s="12" t="s">
        <v>36</v>
      </c>
      <c r="T8262" s="12" t="s">
        <v>197</v>
      </c>
      <c r="U8262" s="12" t="s">
        <v>38</v>
      </c>
      <c r="V8262" s="12" t="s">
        <v>39</v>
      </c>
      <c r="W8262" s="12" t="s">
        <v>36083</v>
      </c>
      <c r="X8262" s="16" t="s">
        <v>36084</v>
      </c>
      <c r="Y8262" s="15" t="s">
        <v>42</v>
      </c>
      <c r="Z8262" s="14">
        <v>4.93</v>
      </c>
      <c r="AA8262" s="14" t="s">
        <v>36</v>
      </c>
      <c r="AB8262" s="12" t="s">
        <v>43</v>
      </c>
      <c r="AC8262" s="12" t="s">
        <v>36085</v>
      </c>
      <c r="AD8262" s="13">
        <v>41214</v>
      </c>
      <c r="AE8262" s="12" t="s">
        <v>110</v>
      </c>
      <c r="AF8262" s="12" t="s">
        <v>1401</v>
      </c>
      <c r="AG8262" s="12" t="s">
        <v>741</v>
      </c>
      <c r="AH8262" s="1">
        <f>HYPERLINK("https://my.pitchbook.com?c=129511-27T","View Company Online")</f>
      </c>
    </row>
    <row r="8263">
      <c r="A8263" s="3" t="s">
        <v>36086</v>
      </c>
      <c r="B8263" s="3" t="s">
        <v>36087</v>
      </c>
      <c r="C8263" s="5">
        <v>5</v>
      </c>
      <c r="D8263" s="5">
        <v>47</v>
      </c>
      <c r="E8263" s="5">
        <v>40</v>
      </c>
      <c r="F8263" s="5">
        <v>165</v>
      </c>
      <c r="G8263" s="6" t="s">
        <v>36</v>
      </c>
      <c r="H8263" s="4" t="s">
        <v>36</v>
      </c>
      <c r="I8263" s="7" t="s">
        <v>36</v>
      </c>
      <c r="J8263" s="3" t="s">
        <v>36</v>
      </c>
      <c r="K8263" s="9" t="s">
        <v>36</v>
      </c>
      <c r="L8263" s="6" t="s">
        <v>36</v>
      </c>
      <c r="M8263" s="3" t="s">
        <v>36</v>
      </c>
      <c r="N8263" s="3" t="s">
        <v>36</v>
      </c>
      <c r="O8263" s="8" t="s">
        <v>36</v>
      </c>
      <c r="P8263" s="3" t="s">
        <v>36</v>
      </c>
      <c r="Q8263" s="3" t="s">
        <v>36</v>
      </c>
      <c r="R8263" s="3" t="s">
        <v>36</v>
      </c>
      <c r="S8263" s="3" t="s">
        <v>36</v>
      </c>
      <c r="T8263" s="3" t="s">
        <v>2213</v>
      </c>
      <c r="U8263" s="3" t="s">
        <v>219</v>
      </c>
      <c r="V8263" s="3" t="s">
        <v>75</v>
      </c>
      <c r="W8263" s="3" t="s">
        <v>36088</v>
      </c>
      <c r="X8263" s="10" t="s">
        <v>3098</v>
      </c>
      <c r="Y8263" s="6" t="s">
        <v>192</v>
      </c>
      <c r="Z8263" s="4" t="s">
        <v>36</v>
      </c>
      <c r="AA8263" s="4" t="s">
        <v>36</v>
      </c>
      <c r="AB8263" s="3" t="s">
        <v>56</v>
      </c>
      <c r="AC8263" s="3" t="s">
        <v>36089</v>
      </c>
      <c r="AD8263" s="9">
        <v>41214</v>
      </c>
      <c r="AE8263" s="3" t="s">
        <v>1912</v>
      </c>
      <c r="AF8263" s="3" t="s">
        <v>546</v>
      </c>
      <c r="AG8263" s="3" t="s">
        <v>787</v>
      </c>
      <c r="AH8263" s="11">
        <f>HYPERLINK("https://my.pitchbook.com?c=120034-99T","View Company Online")</f>
      </c>
    </row>
    <row r="8264">
      <c r="A8264" s="12" t="s">
        <v>36090</v>
      </c>
      <c r="B8264" s="12" t="s">
        <v>31411</v>
      </c>
      <c r="C8264" s="19" t="s">
        <v>36</v>
      </c>
      <c r="D8264" s="19" t="s">
        <v>36</v>
      </c>
      <c r="E8264" s="19" t="s">
        <v>36</v>
      </c>
      <c r="F8264" s="19" t="s">
        <v>36</v>
      </c>
      <c r="G8264" s="15" t="s">
        <v>326</v>
      </c>
      <c r="H8264" s="14">
        <v>58.7</v>
      </c>
      <c r="I8264" s="18">
        <v>45.66</v>
      </c>
      <c r="J8264" s="12" t="s">
        <v>521</v>
      </c>
      <c r="K8264" s="13" t="s">
        <v>36</v>
      </c>
      <c r="L8264" s="15" t="s">
        <v>36</v>
      </c>
      <c r="M8264" s="12" t="s">
        <v>36</v>
      </c>
      <c r="N8264" s="12" t="s">
        <v>36</v>
      </c>
      <c r="O8264" s="17" t="s">
        <v>36</v>
      </c>
      <c r="P8264" s="12" t="s">
        <v>36</v>
      </c>
      <c r="Q8264" s="12" t="s">
        <v>36</v>
      </c>
      <c r="R8264" s="12" t="s">
        <v>36</v>
      </c>
      <c r="S8264" s="12" t="s">
        <v>36</v>
      </c>
      <c r="T8264" s="12" t="s">
        <v>31412</v>
      </c>
      <c r="U8264" s="12" t="s">
        <v>51</v>
      </c>
      <c r="V8264" s="12" t="s">
        <v>52</v>
      </c>
      <c r="W8264" s="12" t="s">
        <v>31413</v>
      </c>
      <c r="X8264" s="16" t="s">
        <v>36091</v>
      </c>
      <c r="Y8264" s="15" t="s">
        <v>192</v>
      </c>
      <c r="Z8264" s="14">
        <v>8.96</v>
      </c>
      <c r="AA8264" s="14">
        <v>19.62</v>
      </c>
      <c r="AB8264" s="12" t="s">
        <v>56</v>
      </c>
      <c r="AC8264" s="12" t="s">
        <v>31415</v>
      </c>
      <c r="AD8264" s="13">
        <v>41207</v>
      </c>
      <c r="AE8264" s="12" t="s">
        <v>158</v>
      </c>
      <c r="AF8264" s="12" t="s">
        <v>1166</v>
      </c>
      <c r="AG8264" s="12" t="s">
        <v>8669</v>
      </c>
      <c r="AH8264" s="1">
        <f>HYPERLINK("https://my.pitchbook.com?c=28212-85T","View Company Online")</f>
      </c>
    </row>
    <row r="8265">
      <c r="A8265" s="3" t="s">
        <v>36092</v>
      </c>
      <c r="B8265" s="3" t="s">
        <v>28140</v>
      </c>
      <c r="C8265" s="5" t="s">
        <v>36</v>
      </c>
      <c r="D8265" s="5" t="s">
        <v>36</v>
      </c>
      <c r="E8265" s="5" t="s">
        <v>36</v>
      </c>
      <c r="F8265" s="5" t="s">
        <v>36</v>
      </c>
      <c r="G8265" s="6" t="s">
        <v>326</v>
      </c>
      <c r="H8265" s="4">
        <v>37.66</v>
      </c>
      <c r="I8265" s="7">
        <v>23.36</v>
      </c>
      <c r="J8265" s="3" t="s">
        <v>521</v>
      </c>
      <c r="K8265" s="9" t="s">
        <v>36</v>
      </c>
      <c r="L8265" s="6" t="s">
        <v>1279</v>
      </c>
      <c r="M8265" s="3" t="s">
        <v>36</v>
      </c>
      <c r="N8265" s="3" t="s">
        <v>1279</v>
      </c>
      <c r="O8265" s="8" t="s">
        <v>36</v>
      </c>
      <c r="P8265" s="3" t="s">
        <v>36</v>
      </c>
      <c r="Q8265" s="3" t="s">
        <v>36</v>
      </c>
      <c r="R8265" s="3" t="s">
        <v>36</v>
      </c>
      <c r="S8265" s="3" t="s">
        <v>36</v>
      </c>
      <c r="T8265" s="3" t="s">
        <v>18352</v>
      </c>
      <c r="U8265" s="3" t="s">
        <v>289</v>
      </c>
      <c r="V8265" s="3" t="s">
        <v>64</v>
      </c>
      <c r="W8265" s="3" t="s">
        <v>28141</v>
      </c>
      <c r="X8265" s="10" t="s">
        <v>36093</v>
      </c>
      <c r="Y8265" s="6" t="s">
        <v>55</v>
      </c>
      <c r="Z8265" s="4">
        <v>32.39</v>
      </c>
      <c r="AA8265" s="4">
        <v>134.01</v>
      </c>
      <c r="AB8265" s="3" t="s">
        <v>56</v>
      </c>
      <c r="AC8265" s="3" t="s">
        <v>28143</v>
      </c>
      <c r="AD8265" s="9">
        <v>41205</v>
      </c>
      <c r="AE8265" s="3" t="s">
        <v>3134</v>
      </c>
      <c r="AF8265" s="3" t="s">
        <v>2118</v>
      </c>
      <c r="AG8265" s="3" t="s">
        <v>969</v>
      </c>
      <c r="AH8265" s="11">
        <f>HYPERLINK("https://my.pitchbook.com?c=24604-66T","View Company Online")</f>
      </c>
    </row>
    <row r="8266">
      <c r="A8266" s="12" t="s">
        <v>36094</v>
      </c>
      <c r="B8266" s="12" t="s">
        <v>36095</v>
      </c>
      <c r="C8266" s="19" t="s">
        <v>36</v>
      </c>
      <c r="D8266" s="19">
        <v>2</v>
      </c>
      <c r="E8266" s="19">
        <v>1</v>
      </c>
      <c r="F8266" s="19">
        <v>2</v>
      </c>
      <c r="G8266" s="15" t="s">
        <v>36</v>
      </c>
      <c r="H8266" s="14" t="s">
        <v>36</v>
      </c>
      <c r="I8266" s="18" t="s">
        <v>36</v>
      </c>
      <c r="J8266" s="12" t="s">
        <v>36</v>
      </c>
      <c r="K8266" s="13" t="s">
        <v>36</v>
      </c>
      <c r="L8266" s="15" t="s">
        <v>36</v>
      </c>
      <c r="M8266" s="12" t="s">
        <v>36</v>
      </c>
      <c r="N8266" s="12" t="s">
        <v>36</v>
      </c>
      <c r="O8266" s="17" t="s">
        <v>36</v>
      </c>
      <c r="P8266" s="12" t="s">
        <v>36</v>
      </c>
      <c r="Q8266" s="12" t="s">
        <v>36</v>
      </c>
      <c r="R8266" s="12" t="s">
        <v>36</v>
      </c>
      <c r="S8266" s="12" t="s">
        <v>36</v>
      </c>
      <c r="T8266" s="12" t="s">
        <v>1628</v>
      </c>
      <c r="U8266" s="12" t="s">
        <v>96</v>
      </c>
      <c r="V8266" s="12" t="s">
        <v>52</v>
      </c>
      <c r="W8266" s="12" t="s">
        <v>36096</v>
      </c>
      <c r="X8266" s="16" t="s">
        <v>36097</v>
      </c>
      <c r="Y8266" s="15" t="s">
        <v>108</v>
      </c>
      <c r="Z8266" s="14">
        <v>5.44</v>
      </c>
      <c r="AA8266" s="14" t="s">
        <v>36</v>
      </c>
      <c r="AB8266" s="12" t="s">
        <v>43</v>
      </c>
      <c r="AC8266" s="12" t="s">
        <v>36098</v>
      </c>
      <c r="AD8266" s="13">
        <v>41204</v>
      </c>
      <c r="AE8266" s="12" t="s">
        <v>755</v>
      </c>
      <c r="AF8266" s="12" t="s">
        <v>4552</v>
      </c>
      <c r="AG8266" s="12" t="s">
        <v>8850</v>
      </c>
      <c r="AH8266" s="1">
        <f>HYPERLINK("https://my.pitchbook.com?c=35086-06T","View Company Online")</f>
      </c>
    </row>
    <row r="8267">
      <c r="A8267" s="3" t="s">
        <v>36099</v>
      </c>
      <c r="B8267" s="3" t="s">
        <v>36100</v>
      </c>
      <c r="C8267" s="5" t="s">
        <v>36</v>
      </c>
      <c r="D8267" s="5" t="s">
        <v>36</v>
      </c>
      <c r="E8267" s="5" t="s">
        <v>36</v>
      </c>
      <c r="F8267" s="5" t="s">
        <v>36</v>
      </c>
      <c r="G8267" s="6" t="s">
        <v>36</v>
      </c>
      <c r="H8267" s="4" t="s">
        <v>36</v>
      </c>
      <c r="I8267" s="7" t="s">
        <v>36</v>
      </c>
      <c r="J8267" s="3" t="s">
        <v>36</v>
      </c>
      <c r="K8267" s="9" t="s">
        <v>36</v>
      </c>
      <c r="L8267" s="6" t="s">
        <v>36</v>
      </c>
      <c r="M8267" s="3" t="s">
        <v>36</v>
      </c>
      <c r="N8267" s="3" t="s">
        <v>36</v>
      </c>
      <c r="O8267" s="8" t="s">
        <v>36</v>
      </c>
      <c r="P8267" s="3" t="s">
        <v>36</v>
      </c>
      <c r="Q8267" s="3" t="s">
        <v>36</v>
      </c>
      <c r="R8267" s="3" t="s">
        <v>36</v>
      </c>
      <c r="S8267" s="3" t="s">
        <v>36</v>
      </c>
      <c r="T8267" s="3" t="s">
        <v>25012</v>
      </c>
      <c r="U8267" s="3" t="s">
        <v>38</v>
      </c>
      <c r="V8267" s="3" t="s">
        <v>39</v>
      </c>
      <c r="W8267" s="3" t="s">
        <v>36101</v>
      </c>
      <c r="X8267" s="10" t="s">
        <v>36102</v>
      </c>
      <c r="Y8267" s="6" t="s">
        <v>42</v>
      </c>
      <c r="Z8267" s="4">
        <v>0.13</v>
      </c>
      <c r="AA8267" s="4" t="s">
        <v>36</v>
      </c>
      <c r="AB8267" s="3" t="s">
        <v>43</v>
      </c>
      <c r="AC8267" s="3" t="s">
        <v>36103</v>
      </c>
      <c r="AD8267" s="9">
        <v>41204</v>
      </c>
      <c r="AE8267" s="3" t="s">
        <v>110</v>
      </c>
      <c r="AF8267" s="3" t="s">
        <v>4552</v>
      </c>
      <c r="AG8267" s="3" t="s">
        <v>36104</v>
      </c>
      <c r="AH8267" s="11">
        <f>HYPERLINK("https://my.pitchbook.com?c=29351-08T","View Company Online")</f>
      </c>
    </row>
    <row r="8268">
      <c r="A8268" s="12" t="s">
        <v>36105</v>
      </c>
      <c r="B8268" s="12" t="s">
        <v>36106</v>
      </c>
      <c r="C8268" s="19" t="s">
        <v>36</v>
      </c>
      <c r="D8268" s="19" t="s">
        <v>36</v>
      </c>
      <c r="E8268" s="19" t="s">
        <v>36</v>
      </c>
      <c r="F8268" s="19" t="s">
        <v>36</v>
      </c>
      <c r="G8268" s="15" t="s">
        <v>36</v>
      </c>
      <c r="H8268" s="14" t="s">
        <v>36</v>
      </c>
      <c r="I8268" s="18" t="s">
        <v>36</v>
      </c>
      <c r="J8268" s="12" t="s">
        <v>36</v>
      </c>
      <c r="K8268" s="13" t="s">
        <v>36</v>
      </c>
      <c r="L8268" s="15" t="s">
        <v>36</v>
      </c>
      <c r="M8268" s="12" t="s">
        <v>36</v>
      </c>
      <c r="N8268" s="12" t="s">
        <v>36</v>
      </c>
      <c r="O8268" s="17" t="s">
        <v>36</v>
      </c>
      <c r="P8268" s="12" t="s">
        <v>36</v>
      </c>
      <c r="Q8268" s="12" t="s">
        <v>36</v>
      </c>
      <c r="R8268" s="12" t="s">
        <v>36</v>
      </c>
      <c r="S8268" s="12" t="s">
        <v>36</v>
      </c>
      <c r="T8268" s="12" t="s">
        <v>36107</v>
      </c>
      <c r="U8268" s="12" t="s">
        <v>38</v>
      </c>
      <c r="V8268" s="12" t="s">
        <v>39</v>
      </c>
      <c r="W8268" s="12" t="s">
        <v>36108</v>
      </c>
      <c r="X8268" s="16" t="s">
        <v>11579</v>
      </c>
      <c r="Y8268" s="15" t="s">
        <v>42</v>
      </c>
      <c r="Z8268" s="14">
        <v>1.62</v>
      </c>
      <c r="AA8268" s="14" t="s">
        <v>36</v>
      </c>
      <c r="AB8268" s="12" t="s">
        <v>43</v>
      </c>
      <c r="AC8268" s="12" t="s">
        <v>36109</v>
      </c>
      <c r="AD8268" s="13">
        <v>41200</v>
      </c>
      <c r="AE8268" s="12" t="s">
        <v>1330</v>
      </c>
      <c r="AF8268" s="12" t="s">
        <v>36110</v>
      </c>
      <c r="AG8268" s="12" t="s">
        <v>36111</v>
      </c>
      <c r="AH8268" s="1">
        <f>HYPERLINK("https://my.pitchbook.com?c=85144-60T","View Company Online")</f>
      </c>
    </row>
    <row r="8269">
      <c r="A8269" s="3" t="s">
        <v>36112</v>
      </c>
      <c r="B8269" s="3" t="s">
        <v>36113</v>
      </c>
      <c r="C8269" s="5">
        <v>1</v>
      </c>
      <c r="D8269" s="5">
        <v>6</v>
      </c>
      <c r="E8269" s="5">
        <v>6</v>
      </c>
      <c r="F8269" s="5">
        <v>10</v>
      </c>
      <c r="G8269" s="6" t="s">
        <v>36</v>
      </c>
      <c r="H8269" s="4">
        <v>14.83</v>
      </c>
      <c r="I8269" s="7">
        <v>30.01</v>
      </c>
      <c r="J8269" s="3" t="s">
        <v>521</v>
      </c>
      <c r="K8269" s="9" t="s">
        <v>36</v>
      </c>
      <c r="L8269" s="6" t="s">
        <v>36</v>
      </c>
      <c r="M8269" s="3" t="s">
        <v>36</v>
      </c>
      <c r="N8269" s="3" t="s">
        <v>36</v>
      </c>
      <c r="O8269" s="8" t="s">
        <v>36</v>
      </c>
      <c r="P8269" s="3" t="s">
        <v>36</v>
      </c>
      <c r="Q8269" s="3" t="s">
        <v>36</v>
      </c>
      <c r="R8269" s="3" t="s">
        <v>36</v>
      </c>
      <c r="S8269" s="3" t="s">
        <v>36</v>
      </c>
      <c r="T8269" s="3" t="s">
        <v>8371</v>
      </c>
      <c r="U8269" s="3" t="s">
        <v>1082</v>
      </c>
      <c r="V8269" s="3" t="s">
        <v>378</v>
      </c>
      <c r="W8269" s="3" t="s">
        <v>36114</v>
      </c>
      <c r="X8269" s="10" t="s">
        <v>36115</v>
      </c>
      <c r="Y8269" s="6" t="s">
        <v>42</v>
      </c>
      <c r="Z8269" s="4">
        <v>0.19</v>
      </c>
      <c r="AA8269" s="4">
        <v>0.65</v>
      </c>
      <c r="AB8269" s="3" t="s">
        <v>43</v>
      </c>
      <c r="AC8269" s="3" t="s">
        <v>36116</v>
      </c>
      <c r="AD8269" s="9">
        <v>41199</v>
      </c>
      <c r="AE8269" s="3" t="s">
        <v>7876</v>
      </c>
      <c r="AF8269" s="3" t="s">
        <v>372</v>
      </c>
      <c r="AG8269" s="3" t="s">
        <v>36117</v>
      </c>
      <c r="AH8269" s="11">
        <f>HYPERLINK("https://my.pitchbook.com?c=40514-59T","View Company Online")</f>
      </c>
    </row>
    <row r="8270">
      <c r="A8270" s="12" t="s">
        <v>36118</v>
      </c>
      <c r="B8270" s="12" t="s">
        <v>26995</v>
      </c>
      <c r="C8270" s="19" t="s">
        <v>36</v>
      </c>
      <c r="D8270" s="19" t="s">
        <v>36</v>
      </c>
      <c r="E8270" s="19" t="s">
        <v>36</v>
      </c>
      <c r="F8270" s="19" t="s">
        <v>36</v>
      </c>
      <c r="G8270" s="15" t="s">
        <v>326</v>
      </c>
      <c r="H8270" s="14">
        <v>3.38</v>
      </c>
      <c r="I8270" s="18">
        <v>20.41</v>
      </c>
      <c r="J8270" s="12" t="s">
        <v>521</v>
      </c>
      <c r="K8270" s="13" t="s">
        <v>36</v>
      </c>
      <c r="L8270" s="15" t="s">
        <v>36</v>
      </c>
      <c r="M8270" s="12" t="s">
        <v>36</v>
      </c>
      <c r="N8270" s="12" t="s">
        <v>36</v>
      </c>
      <c r="O8270" s="17" t="s">
        <v>36</v>
      </c>
      <c r="P8270" s="12" t="s">
        <v>36</v>
      </c>
      <c r="Q8270" s="12" t="s">
        <v>36</v>
      </c>
      <c r="R8270" s="12" t="s">
        <v>36</v>
      </c>
      <c r="S8270" s="12" t="s">
        <v>196</v>
      </c>
      <c r="T8270" s="12" t="s">
        <v>1397</v>
      </c>
      <c r="U8270" s="12" t="s">
        <v>38</v>
      </c>
      <c r="V8270" s="12" t="s">
        <v>39</v>
      </c>
      <c r="W8270" s="12" t="s">
        <v>26996</v>
      </c>
      <c r="X8270" s="16" t="s">
        <v>36119</v>
      </c>
      <c r="Y8270" s="15" t="s">
        <v>108</v>
      </c>
      <c r="Z8270" s="14">
        <v>1.3</v>
      </c>
      <c r="AA8270" s="14">
        <v>6.35</v>
      </c>
      <c r="AB8270" s="12" t="s">
        <v>43</v>
      </c>
      <c r="AC8270" s="12" t="s">
        <v>26998</v>
      </c>
      <c r="AD8270" s="13">
        <v>41198</v>
      </c>
      <c r="AE8270" s="12" t="s">
        <v>110</v>
      </c>
      <c r="AF8270" s="12" t="s">
        <v>4552</v>
      </c>
      <c r="AG8270" s="12" t="s">
        <v>186</v>
      </c>
      <c r="AH8270" s="1">
        <f>HYPERLINK("https://my.pitchbook.com?c=29358-46T","View Company Online")</f>
      </c>
    </row>
    <row r="8271">
      <c r="A8271" s="3" t="s">
        <v>36120</v>
      </c>
      <c r="B8271" s="3" t="s">
        <v>36121</v>
      </c>
      <c r="C8271" s="5" t="s">
        <v>36</v>
      </c>
      <c r="D8271" s="5">
        <v>1</v>
      </c>
      <c r="E8271" s="5">
        <v>1</v>
      </c>
      <c r="F8271" s="5">
        <v>4</v>
      </c>
      <c r="G8271" s="6" t="s">
        <v>36</v>
      </c>
      <c r="H8271" s="4" t="s">
        <v>36</v>
      </c>
      <c r="I8271" s="7" t="s">
        <v>36</v>
      </c>
      <c r="J8271" s="3" t="s">
        <v>36</v>
      </c>
      <c r="K8271" s="9" t="s">
        <v>36</v>
      </c>
      <c r="L8271" s="6" t="s">
        <v>36</v>
      </c>
      <c r="M8271" s="3" t="s">
        <v>36</v>
      </c>
      <c r="N8271" s="3" t="s">
        <v>36</v>
      </c>
      <c r="O8271" s="8" t="s">
        <v>36</v>
      </c>
      <c r="P8271" s="3" t="s">
        <v>36</v>
      </c>
      <c r="Q8271" s="3" t="s">
        <v>36</v>
      </c>
      <c r="R8271" s="3" t="s">
        <v>36</v>
      </c>
      <c r="S8271" s="3" t="s">
        <v>36</v>
      </c>
      <c r="T8271" s="3" t="s">
        <v>4733</v>
      </c>
      <c r="U8271" s="3" t="s">
        <v>423</v>
      </c>
      <c r="V8271" s="3" t="s">
        <v>64</v>
      </c>
      <c r="W8271" s="3" t="s">
        <v>36122</v>
      </c>
      <c r="X8271" s="10" t="s">
        <v>36123</v>
      </c>
      <c r="Y8271" s="6" t="s">
        <v>42</v>
      </c>
      <c r="Z8271" s="4" t="s">
        <v>36</v>
      </c>
      <c r="AA8271" s="4" t="s">
        <v>36</v>
      </c>
      <c r="AB8271" s="3" t="s">
        <v>56</v>
      </c>
      <c r="AC8271" s="3" t="s">
        <v>36124</v>
      </c>
      <c r="AD8271" s="9">
        <v>41197</v>
      </c>
      <c r="AE8271" s="3" t="s">
        <v>1051</v>
      </c>
      <c r="AF8271" s="3" t="s">
        <v>6718</v>
      </c>
      <c r="AG8271" s="3" t="s">
        <v>81</v>
      </c>
      <c r="AH8271" s="11">
        <f>HYPERLINK("https://my.pitchbook.com?c=39060-01T","View Company Online")</f>
      </c>
    </row>
    <row r="8272">
      <c r="A8272" s="12" t="s">
        <v>36125</v>
      </c>
      <c r="B8272" s="12" t="s">
        <v>19862</v>
      </c>
      <c r="C8272" s="19" t="s">
        <v>36</v>
      </c>
      <c r="D8272" s="19" t="s">
        <v>36</v>
      </c>
      <c r="E8272" s="19" t="s">
        <v>36</v>
      </c>
      <c r="F8272" s="19" t="s">
        <v>36</v>
      </c>
      <c r="G8272" s="15" t="s">
        <v>36</v>
      </c>
      <c r="H8272" s="14" t="s">
        <v>36</v>
      </c>
      <c r="I8272" s="18" t="s">
        <v>36</v>
      </c>
      <c r="J8272" s="12" t="s">
        <v>36</v>
      </c>
      <c r="K8272" s="13" t="s">
        <v>36</v>
      </c>
      <c r="L8272" s="15" t="s">
        <v>36</v>
      </c>
      <c r="M8272" s="12" t="s">
        <v>36</v>
      </c>
      <c r="N8272" s="12" t="s">
        <v>36</v>
      </c>
      <c r="O8272" s="17" t="s">
        <v>36</v>
      </c>
      <c r="P8272" s="12" t="s">
        <v>36</v>
      </c>
      <c r="Q8272" s="12" t="s">
        <v>36</v>
      </c>
      <c r="R8272" s="12" t="s">
        <v>36</v>
      </c>
      <c r="S8272" s="12" t="s">
        <v>36</v>
      </c>
      <c r="T8272" s="12" t="s">
        <v>11829</v>
      </c>
      <c r="U8272" s="12" t="s">
        <v>38</v>
      </c>
      <c r="V8272" s="12" t="s">
        <v>39</v>
      </c>
      <c r="W8272" s="12" t="s">
        <v>19863</v>
      </c>
      <c r="X8272" s="16" t="s">
        <v>8971</v>
      </c>
      <c r="Y8272" s="15" t="s">
        <v>42</v>
      </c>
      <c r="Z8272" s="14">
        <v>0.65</v>
      </c>
      <c r="AA8272" s="14" t="s">
        <v>36</v>
      </c>
      <c r="AB8272" s="12" t="s">
        <v>43</v>
      </c>
      <c r="AC8272" s="12" t="s">
        <v>19865</v>
      </c>
      <c r="AD8272" s="13">
        <v>41197</v>
      </c>
      <c r="AE8272" s="12" t="s">
        <v>110</v>
      </c>
      <c r="AF8272" s="12" t="s">
        <v>19866</v>
      </c>
      <c r="AG8272" s="12" t="s">
        <v>741</v>
      </c>
      <c r="AH8272" s="1">
        <f>HYPERLINK("https://my.pitchbook.com?c=27454-78T","View Company Online")</f>
      </c>
    </row>
    <row r="8273">
      <c r="A8273" s="3" t="s">
        <v>36126</v>
      </c>
      <c r="B8273" s="3" t="s">
        <v>28388</v>
      </c>
      <c r="C8273" s="5" t="s">
        <v>36</v>
      </c>
      <c r="D8273" s="5">
        <v>4</v>
      </c>
      <c r="E8273" s="5">
        <v>1</v>
      </c>
      <c r="F8273" s="5">
        <v>5</v>
      </c>
      <c r="G8273" s="6" t="s">
        <v>326</v>
      </c>
      <c r="H8273" s="4">
        <v>7.53</v>
      </c>
      <c r="I8273" s="7">
        <v>45.09</v>
      </c>
      <c r="J8273" s="3" t="s">
        <v>521</v>
      </c>
      <c r="K8273" s="9" t="s">
        <v>36</v>
      </c>
      <c r="L8273" s="6" t="s">
        <v>36</v>
      </c>
      <c r="M8273" s="3" t="s">
        <v>36</v>
      </c>
      <c r="N8273" s="3" t="s">
        <v>36</v>
      </c>
      <c r="O8273" s="8" t="s">
        <v>36</v>
      </c>
      <c r="P8273" s="3" t="s">
        <v>36</v>
      </c>
      <c r="Q8273" s="3" t="s">
        <v>36</v>
      </c>
      <c r="R8273" s="3" t="s">
        <v>36</v>
      </c>
      <c r="S8273" s="3" t="s">
        <v>36</v>
      </c>
      <c r="T8273" s="3" t="s">
        <v>3790</v>
      </c>
      <c r="U8273" s="3" t="s">
        <v>318</v>
      </c>
      <c r="V8273" s="3" t="s">
        <v>39</v>
      </c>
      <c r="W8273" s="3" t="s">
        <v>28389</v>
      </c>
      <c r="X8273" s="10" t="s">
        <v>36127</v>
      </c>
      <c r="Y8273" s="6" t="s">
        <v>108</v>
      </c>
      <c r="Z8273" s="4">
        <v>5.14</v>
      </c>
      <c r="AA8273" s="4">
        <v>11.41</v>
      </c>
      <c r="AB8273" s="3" t="s">
        <v>43</v>
      </c>
      <c r="AC8273" s="3" t="s">
        <v>28391</v>
      </c>
      <c r="AD8273" s="9">
        <v>41193</v>
      </c>
      <c r="AE8273" s="3" t="s">
        <v>763</v>
      </c>
      <c r="AF8273" s="3" t="s">
        <v>1969</v>
      </c>
      <c r="AG8273" s="3" t="s">
        <v>2218</v>
      </c>
      <c r="AH8273" s="11">
        <f>HYPERLINK("https://my.pitchbook.com?c=34171-39T","View Company Online")</f>
      </c>
    </row>
    <row r="8274">
      <c r="A8274" s="12" t="s">
        <v>36128</v>
      </c>
      <c r="B8274" s="12" t="s">
        <v>32483</v>
      </c>
      <c r="C8274" s="19">
        <v>8</v>
      </c>
      <c r="D8274" s="19">
        <v>2</v>
      </c>
      <c r="E8274" s="19">
        <v>5</v>
      </c>
      <c r="F8274" s="19">
        <v>10</v>
      </c>
      <c r="G8274" s="15" t="s">
        <v>36</v>
      </c>
      <c r="H8274" s="14" t="s">
        <v>36</v>
      </c>
      <c r="I8274" s="18">
        <v>34.5</v>
      </c>
      <c r="J8274" s="12" t="s">
        <v>327</v>
      </c>
      <c r="K8274" s="13">
        <v>41123</v>
      </c>
      <c r="L8274" s="15" t="s">
        <v>36</v>
      </c>
      <c r="M8274" s="12" t="s">
        <v>36</v>
      </c>
      <c r="N8274" s="12" t="s">
        <v>36</v>
      </c>
      <c r="O8274" s="17" t="s">
        <v>36</v>
      </c>
      <c r="P8274" s="12" t="s">
        <v>36</v>
      </c>
      <c r="Q8274" s="12" t="s">
        <v>36</v>
      </c>
      <c r="R8274" s="12" t="s">
        <v>36</v>
      </c>
      <c r="S8274" s="12" t="s">
        <v>36</v>
      </c>
      <c r="T8274" s="12" t="s">
        <v>1965</v>
      </c>
      <c r="U8274" s="12" t="s">
        <v>219</v>
      </c>
      <c r="V8274" s="12" t="s">
        <v>75</v>
      </c>
      <c r="W8274" s="12" t="s">
        <v>32484</v>
      </c>
      <c r="X8274" s="16" t="s">
        <v>36129</v>
      </c>
      <c r="Y8274" s="15" t="s">
        <v>42</v>
      </c>
      <c r="Z8274" s="14">
        <v>2.99</v>
      </c>
      <c r="AA8274" s="14">
        <v>8.66</v>
      </c>
      <c r="AB8274" s="12" t="s">
        <v>43</v>
      </c>
      <c r="AC8274" s="12" t="s">
        <v>32486</v>
      </c>
      <c r="AD8274" s="13">
        <v>41192</v>
      </c>
      <c r="AE8274" s="12" t="s">
        <v>1912</v>
      </c>
      <c r="AF8274" s="12" t="s">
        <v>36</v>
      </c>
      <c r="AG8274" s="12" t="s">
        <v>32487</v>
      </c>
      <c r="AH8274" s="1">
        <f>HYPERLINK("https://my.pitchbook.com?c=26534-98T","View Company Online")</f>
      </c>
    </row>
    <row r="8275">
      <c r="A8275" s="3" t="s">
        <v>36130</v>
      </c>
      <c r="B8275" s="3" t="s">
        <v>34147</v>
      </c>
      <c r="C8275" s="5" t="s">
        <v>36</v>
      </c>
      <c r="D8275" s="5" t="s">
        <v>36</v>
      </c>
      <c r="E8275" s="5" t="s">
        <v>36</v>
      </c>
      <c r="F8275" s="5" t="s">
        <v>36</v>
      </c>
      <c r="G8275" s="6" t="s">
        <v>36</v>
      </c>
      <c r="H8275" s="4" t="s">
        <v>36</v>
      </c>
      <c r="I8275" s="7" t="s">
        <v>36</v>
      </c>
      <c r="J8275" s="3" t="s">
        <v>36</v>
      </c>
      <c r="K8275" s="9" t="s">
        <v>36</v>
      </c>
      <c r="L8275" s="6" t="s">
        <v>36</v>
      </c>
      <c r="M8275" s="3" t="s">
        <v>36</v>
      </c>
      <c r="N8275" s="3" t="s">
        <v>36</v>
      </c>
      <c r="O8275" s="8" t="s">
        <v>36</v>
      </c>
      <c r="P8275" s="3" t="s">
        <v>36</v>
      </c>
      <c r="Q8275" s="3" t="s">
        <v>36</v>
      </c>
      <c r="R8275" s="3" t="s">
        <v>36</v>
      </c>
      <c r="S8275" s="3" t="s">
        <v>36</v>
      </c>
      <c r="T8275" s="3" t="s">
        <v>265</v>
      </c>
      <c r="U8275" s="3" t="s">
        <v>85</v>
      </c>
      <c r="V8275" s="3" t="s">
        <v>64</v>
      </c>
      <c r="W8275" s="3" t="s">
        <v>34148</v>
      </c>
      <c r="X8275" s="10" t="s">
        <v>36131</v>
      </c>
      <c r="Y8275" s="6" t="s">
        <v>42</v>
      </c>
      <c r="Z8275" s="4">
        <v>1.94</v>
      </c>
      <c r="AA8275" s="4" t="s">
        <v>36</v>
      </c>
      <c r="AB8275" s="3" t="s">
        <v>43</v>
      </c>
      <c r="AC8275" s="3" t="s">
        <v>34150</v>
      </c>
      <c r="AD8275" s="9">
        <v>41192</v>
      </c>
      <c r="AE8275" s="3" t="s">
        <v>89</v>
      </c>
      <c r="AF8275" s="3" t="s">
        <v>12769</v>
      </c>
      <c r="AG8275" s="3" t="s">
        <v>81</v>
      </c>
      <c r="AH8275" s="11">
        <f>HYPERLINK("https://my.pitchbook.com?c=26566-03T","View Company Online")</f>
      </c>
    </row>
    <row r="8276">
      <c r="A8276" s="12" t="s">
        <v>36132</v>
      </c>
      <c r="B8276" s="12" t="s">
        <v>36133</v>
      </c>
      <c r="C8276" s="19" t="s">
        <v>36</v>
      </c>
      <c r="D8276" s="19" t="s">
        <v>36</v>
      </c>
      <c r="E8276" s="19" t="s">
        <v>36</v>
      </c>
      <c r="F8276" s="19" t="s">
        <v>36</v>
      </c>
      <c r="G8276" s="15" t="s">
        <v>36</v>
      </c>
      <c r="H8276" s="14" t="s">
        <v>36</v>
      </c>
      <c r="I8276" s="18" t="s">
        <v>36</v>
      </c>
      <c r="J8276" s="12" t="s">
        <v>36</v>
      </c>
      <c r="K8276" s="13" t="s">
        <v>36</v>
      </c>
      <c r="L8276" s="15" t="s">
        <v>36</v>
      </c>
      <c r="M8276" s="12" t="s">
        <v>36</v>
      </c>
      <c r="N8276" s="12" t="s">
        <v>36</v>
      </c>
      <c r="O8276" s="17" t="s">
        <v>36</v>
      </c>
      <c r="P8276" s="12" t="s">
        <v>36</v>
      </c>
      <c r="Q8276" s="12" t="s">
        <v>36</v>
      </c>
      <c r="R8276" s="12" t="s">
        <v>36</v>
      </c>
      <c r="S8276" s="12" t="s">
        <v>36</v>
      </c>
      <c r="T8276" s="12" t="s">
        <v>18838</v>
      </c>
      <c r="U8276" s="12" t="s">
        <v>38</v>
      </c>
      <c r="V8276" s="12" t="s">
        <v>39</v>
      </c>
      <c r="W8276" s="12" t="s">
        <v>36134</v>
      </c>
      <c r="X8276" s="16" t="s">
        <v>36135</v>
      </c>
      <c r="Y8276" s="15" t="s">
        <v>108</v>
      </c>
      <c r="Z8276" s="14">
        <v>0.13</v>
      </c>
      <c r="AA8276" s="14" t="s">
        <v>36</v>
      </c>
      <c r="AB8276" s="12" t="s">
        <v>43</v>
      </c>
      <c r="AC8276" s="12" t="s">
        <v>36136</v>
      </c>
      <c r="AD8276" s="13">
        <v>41192</v>
      </c>
      <c r="AE8276" s="12" t="s">
        <v>1330</v>
      </c>
      <c r="AF8276" s="12" t="s">
        <v>1077</v>
      </c>
      <c r="AG8276" s="12" t="s">
        <v>2760</v>
      </c>
      <c r="AH8276" s="1">
        <f>HYPERLINK("https://my.pitchbook.com?c=29349-01T","View Company Online")</f>
      </c>
    </row>
    <row r="8277">
      <c r="A8277" s="3" t="s">
        <v>36137</v>
      </c>
      <c r="B8277" s="3" t="s">
        <v>32437</v>
      </c>
      <c r="C8277" s="5" t="s">
        <v>36</v>
      </c>
      <c r="D8277" s="5" t="s">
        <v>36</v>
      </c>
      <c r="E8277" s="5">
        <v>1</v>
      </c>
      <c r="F8277" s="5">
        <v>2</v>
      </c>
      <c r="G8277" s="6" t="s">
        <v>2497</v>
      </c>
      <c r="H8277" s="4">
        <v>12.81</v>
      </c>
      <c r="I8277" s="7">
        <v>55.76</v>
      </c>
      <c r="J8277" s="3" t="s">
        <v>521</v>
      </c>
      <c r="K8277" s="9" t="s">
        <v>36</v>
      </c>
      <c r="L8277" s="6" t="s">
        <v>94</v>
      </c>
      <c r="M8277" s="3" t="s">
        <v>36</v>
      </c>
      <c r="N8277" s="3" t="s">
        <v>94</v>
      </c>
      <c r="O8277" s="8" t="s">
        <v>36</v>
      </c>
      <c r="P8277" s="3" t="s">
        <v>36</v>
      </c>
      <c r="Q8277" s="3" t="s">
        <v>36</v>
      </c>
      <c r="R8277" s="3" t="s">
        <v>36</v>
      </c>
      <c r="S8277" s="3" t="s">
        <v>36</v>
      </c>
      <c r="T8277" s="3" t="s">
        <v>1628</v>
      </c>
      <c r="U8277" s="3" t="s">
        <v>96</v>
      </c>
      <c r="V8277" s="3" t="s">
        <v>52</v>
      </c>
      <c r="W8277" s="3" t="s">
        <v>32438</v>
      </c>
      <c r="X8277" s="10" t="s">
        <v>36138</v>
      </c>
      <c r="Y8277" s="6" t="s">
        <v>108</v>
      </c>
      <c r="Z8277" s="4">
        <v>4.02</v>
      </c>
      <c r="AA8277" s="4">
        <v>7.21</v>
      </c>
      <c r="AB8277" s="3" t="s">
        <v>43</v>
      </c>
      <c r="AC8277" s="3" t="s">
        <v>32440</v>
      </c>
      <c r="AD8277" s="9">
        <v>41190</v>
      </c>
      <c r="AE8277" s="3" t="s">
        <v>755</v>
      </c>
      <c r="AF8277" s="3" t="s">
        <v>571</v>
      </c>
      <c r="AG8277" s="3" t="s">
        <v>3115</v>
      </c>
      <c r="AH8277" s="11">
        <f>HYPERLINK("https://my.pitchbook.com?c=29369-53T","View Company Online")</f>
      </c>
    </row>
    <row r="8278">
      <c r="A8278" s="12" t="s">
        <v>36139</v>
      </c>
      <c r="B8278" s="12" t="s">
        <v>36140</v>
      </c>
      <c r="C8278" s="19" t="s">
        <v>36</v>
      </c>
      <c r="D8278" s="19" t="s">
        <v>36</v>
      </c>
      <c r="E8278" s="19" t="s">
        <v>36</v>
      </c>
      <c r="F8278" s="19" t="s">
        <v>36</v>
      </c>
      <c r="G8278" s="15" t="s">
        <v>36</v>
      </c>
      <c r="H8278" s="14" t="s">
        <v>36</v>
      </c>
      <c r="I8278" s="18" t="s">
        <v>36</v>
      </c>
      <c r="J8278" s="12" t="s">
        <v>36</v>
      </c>
      <c r="K8278" s="13" t="s">
        <v>36</v>
      </c>
      <c r="L8278" s="15" t="s">
        <v>36</v>
      </c>
      <c r="M8278" s="12" t="s">
        <v>36</v>
      </c>
      <c r="N8278" s="12" t="s">
        <v>36</v>
      </c>
      <c r="O8278" s="17" t="s">
        <v>36</v>
      </c>
      <c r="P8278" s="12" t="s">
        <v>36</v>
      </c>
      <c r="Q8278" s="12" t="s">
        <v>36</v>
      </c>
      <c r="R8278" s="12" t="s">
        <v>36</v>
      </c>
      <c r="S8278" s="12" t="s">
        <v>36</v>
      </c>
      <c r="T8278" s="12" t="s">
        <v>36141</v>
      </c>
      <c r="U8278" s="12" t="s">
        <v>289</v>
      </c>
      <c r="V8278" s="12" t="s">
        <v>64</v>
      </c>
      <c r="W8278" s="12" t="s">
        <v>36142</v>
      </c>
      <c r="X8278" s="16" t="s">
        <v>31667</v>
      </c>
      <c r="Y8278" s="15" t="s">
        <v>42</v>
      </c>
      <c r="Z8278" s="14">
        <v>1.3</v>
      </c>
      <c r="AA8278" s="14" t="s">
        <v>36</v>
      </c>
      <c r="AB8278" s="12" t="s">
        <v>43</v>
      </c>
      <c r="AC8278" s="12" t="s">
        <v>36143</v>
      </c>
      <c r="AD8278" s="13">
        <v>41190</v>
      </c>
      <c r="AE8278" s="12" t="s">
        <v>3134</v>
      </c>
      <c r="AF8278" s="12" t="s">
        <v>2118</v>
      </c>
      <c r="AG8278" s="12" t="s">
        <v>81</v>
      </c>
      <c r="AH8278" s="1">
        <f>HYPERLINK("https://my.pitchbook.com?c=36443-35T","View Company Online")</f>
      </c>
    </row>
    <row r="8279">
      <c r="A8279" s="3" t="s">
        <v>36144</v>
      </c>
      <c r="B8279" s="3" t="s">
        <v>21082</v>
      </c>
      <c r="C8279" s="5" t="s">
        <v>36</v>
      </c>
      <c r="D8279" s="5" t="s">
        <v>36</v>
      </c>
      <c r="E8279" s="5" t="s">
        <v>36</v>
      </c>
      <c r="F8279" s="5" t="s">
        <v>36</v>
      </c>
      <c r="G8279" s="6" t="s">
        <v>36</v>
      </c>
      <c r="H8279" s="4" t="s">
        <v>36</v>
      </c>
      <c r="I8279" s="7">
        <v>19.92</v>
      </c>
      <c r="J8279" s="3" t="s">
        <v>521</v>
      </c>
      <c r="K8279" s="9" t="s">
        <v>36</v>
      </c>
      <c r="L8279" s="6" t="s">
        <v>36</v>
      </c>
      <c r="M8279" s="3" t="s">
        <v>36</v>
      </c>
      <c r="N8279" s="3" t="s">
        <v>36</v>
      </c>
      <c r="O8279" s="8" t="s">
        <v>36</v>
      </c>
      <c r="P8279" s="3" t="s">
        <v>36</v>
      </c>
      <c r="Q8279" s="3" t="s">
        <v>36</v>
      </c>
      <c r="R8279" s="3" t="s">
        <v>36</v>
      </c>
      <c r="S8279" s="3" t="s">
        <v>36</v>
      </c>
      <c r="T8279" s="3" t="s">
        <v>21083</v>
      </c>
      <c r="U8279" s="3" t="s">
        <v>38</v>
      </c>
      <c r="V8279" s="3" t="s">
        <v>39</v>
      </c>
      <c r="W8279" s="3" t="s">
        <v>21084</v>
      </c>
      <c r="X8279" s="10" t="s">
        <v>36145</v>
      </c>
      <c r="Y8279" s="6" t="s">
        <v>108</v>
      </c>
      <c r="Z8279" s="4">
        <v>1.04</v>
      </c>
      <c r="AA8279" s="4">
        <v>5.2</v>
      </c>
      <c r="AB8279" s="3" t="s">
        <v>56</v>
      </c>
      <c r="AC8279" s="3" t="s">
        <v>21086</v>
      </c>
      <c r="AD8279" s="9">
        <v>41190</v>
      </c>
      <c r="AE8279" s="3" t="s">
        <v>110</v>
      </c>
      <c r="AF8279" s="3" t="s">
        <v>21087</v>
      </c>
      <c r="AG8279" s="3" t="s">
        <v>392</v>
      </c>
      <c r="AH8279" s="11">
        <f>HYPERLINK("https://my.pitchbook.com?c=71657-65T","View Company Online")</f>
      </c>
    </row>
    <row r="8280">
      <c r="A8280" s="12" t="s">
        <v>36146</v>
      </c>
      <c r="B8280" s="12" t="s">
        <v>30760</v>
      </c>
      <c r="C8280" s="19">
        <v>2</v>
      </c>
      <c r="D8280" s="19">
        <v>2</v>
      </c>
      <c r="E8280" s="19">
        <v>1</v>
      </c>
      <c r="F8280" s="19">
        <v>4</v>
      </c>
      <c r="G8280" s="15" t="s">
        <v>36</v>
      </c>
      <c r="H8280" s="14" t="s">
        <v>36</v>
      </c>
      <c r="I8280" s="18" t="s">
        <v>36</v>
      </c>
      <c r="J8280" s="12" t="s">
        <v>36</v>
      </c>
      <c r="K8280" s="13" t="s">
        <v>36</v>
      </c>
      <c r="L8280" s="15" t="s">
        <v>3736</v>
      </c>
      <c r="M8280" s="12" t="s">
        <v>36</v>
      </c>
      <c r="N8280" s="12" t="s">
        <v>3736</v>
      </c>
      <c r="O8280" s="17" t="s">
        <v>36</v>
      </c>
      <c r="P8280" s="12" t="s">
        <v>36</v>
      </c>
      <c r="Q8280" s="12" t="s">
        <v>36</v>
      </c>
      <c r="R8280" s="12" t="s">
        <v>36</v>
      </c>
      <c r="S8280" s="12" t="s">
        <v>36</v>
      </c>
      <c r="T8280" s="12" t="s">
        <v>550</v>
      </c>
      <c r="U8280" s="12" t="s">
        <v>38</v>
      </c>
      <c r="V8280" s="12" t="s">
        <v>39</v>
      </c>
      <c r="W8280" s="12" t="s">
        <v>30761</v>
      </c>
      <c r="X8280" s="16" t="s">
        <v>36147</v>
      </c>
      <c r="Y8280" s="15" t="s">
        <v>475</v>
      </c>
      <c r="Z8280" s="14">
        <v>129.41</v>
      </c>
      <c r="AA8280" s="14" t="s">
        <v>36</v>
      </c>
      <c r="AB8280" s="12" t="s">
        <v>56</v>
      </c>
      <c r="AC8280" s="12" t="s">
        <v>30763</v>
      </c>
      <c r="AD8280" s="13">
        <v>41188</v>
      </c>
      <c r="AE8280" s="12" t="s">
        <v>554</v>
      </c>
      <c r="AF8280" s="12" t="s">
        <v>18230</v>
      </c>
      <c r="AG8280" s="12" t="s">
        <v>81</v>
      </c>
      <c r="AH8280" s="1">
        <f>HYPERLINK("https://my.pitchbook.com?c=21806-47T","View Company Online")</f>
      </c>
    </row>
    <row r="8281">
      <c r="A8281" s="3" t="s">
        <v>36148</v>
      </c>
      <c r="B8281" s="3" t="s">
        <v>5116</v>
      </c>
      <c r="C8281" s="5" t="s">
        <v>36</v>
      </c>
      <c r="D8281" s="5">
        <v>19</v>
      </c>
      <c r="E8281" s="5">
        <v>3</v>
      </c>
      <c r="F8281" s="5">
        <v>21</v>
      </c>
      <c r="G8281" s="6" t="s">
        <v>36</v>
      </c>
      <c r="H8281" s="4">
        <v>46.7</v>
      </c>
      <c r="I8281" s="7">
        <v>30.87</v>
      </c>
      <c r="J8281" s="3" t="s">
        <v>521</v>
      </c>
      <c r="K8281" s="9" t="s">
        <v>36</v>
      </c>
      <c r="L8281" s="6" t="s">
        <v>94</v>
      </c>
      <c r="M8281" s="3" t="s">
        <v>36</v>
      </c>
      <c r="N8281" s="3" t="s">
        <v>94</v>
      </c>
      <c r="O8281" s="8" t="s">
        <v>36</v>
      </c>
      <c r="P8281" s="3" t="s">
        <v>36</v>
      </c>
      <c r="Q8281" s="3" t="s">
        <v>36</v>
      </c>
      <c r="R8281" s="3" t="s">
        <v>36</v>
      </c>
      <c r="S8281" s="3" t="s">
        <v>36</v>
      </c>
      <c r="T8281" s="3" t="s">
        <v>5117</v>
      </c>
      <c r="U8281" s="3" t="s">
        <v>1580</v>
      </c>
      <c r="V8281" s="3" t="s">
        <v>39</v>
      </c>
      <c r="W8281" s="3" t="s">
        <v>5118</v>
      </c>
      <c r="X8281" s="10" t="s">
        <v>36149</v>
      </c>
      <c r="Y8281" s="6" t="s">
        <v>108</v>
      </c>
      <c r="Z8281" s="4">
        <v>8.76</v>
      </c>
      <c r="AA8281" s="4">
        <v>28.39</v>
      </c>
      <c r="AB8281" s="3" t="s">
        <v>43</v>
      </c>
      <c r="AC8281" s="3" t="s">
        <v>5120</v>
      </c>
      <c r="AD8281" s="9">
        <v>41187</v>
      </c>
      <c r="AE8281" s="3" t="s">
        <v>4387</v>
      </c>
      <c r="AF8281" s="3" t="s">
        <v>4477</v>
      </c>
      <c r="AG8281" s="3" t="s">
        <v>81</v>
      </c>
      <c r="AH8281" s="11">
        <f>HYPERLINK("https://my.pitchbook.com?c=25609-87T","View Company Online")</f>
      </c>
    </row>
    <row r="8282">
      <c r="A8282" s="12" t="s">
        <v>36150</v>
      </c>
      <c r="B8282" s="12" t="s">
        <v>35706</v>
      </c>
      <c r="C8282" s="19" t="s">
        <v>36</v>
      </c>
      <c r="D8282" s="19" t="s">
        <v>36</v>
      </c>
      <c r="E8282" s="19" t="s">
        <v>36</v>
      </c>
      <c r="F8282" s="19" t="s">
        <v>36</v>
      </c>
      <c r="G8282" s="15" t="s">
        <v>2497</v>
      </c>
      <c r="H8282" s="14">
        <v>109.05</v>
      </c>
      <c r="I8282" s="18">
        <v>19.89</v>
      </c>
      <c r="J8282" s="12" t="s">
        <v>521</v>
      </c>
      <c r="K8282" s="13">
        <v>40544</v>
      </c>
      <c r="L8282" s="15" t="s">
        <v>36</v>
      </c>
      <c r="M8282" s="12" t="s">
        <v>36</v>
      </c>
      <c r="N8282" s="12" t="s">
        <v>36</v>
      </c>
      <c r="O8282" s="17" t="s">
        <v>36</v>
      </c>
      <c r="P8282" s="12" t="s">
        <v>36</v>
      </c>
      <c r="Q8282" s="12" t="s">
        <v>36</v>
      </c>
      <c r="R8282" s="12" t="s">
        <v>36</v>
      </c>
      <c r="S8282" s="12" t="s">
        <v>36</v>
      </c>
      <c r="T8282" s="12" t="s">
        <v>35707</v>
      </c>
      <c r="U8282" s="12" t="s">
        <v>648</v>
      </c>
      <c r="V8282" s="12" t="s">
        <v>64</v>
      </c>
      <c r="W8282" s="12" t="s">
        <v>35708</v>
      </c>
      <c r="X8282" s="16" t="s">
        <v>36151</v>
      </c>
      <c r="Y8282" s="15" t="s">
        <v>108</v>
      </c>
      <c r="Z8282" s="14">
        <v>1.03</v>
      </c>
      <c r="AA8282" s="14">
        <v>5.2</v>
      </c>
      <c r="AB8282" s="12" t="s">
        <v>43</v>
      </c>
      <c r="AC8282" s="12" t="s">
        <v>35709</v>
      </c>
      <c r="AD8282" s="13">
        <v>41187</v>
      </c>
      <c r="AE8282" s="12" t="s">
        <v>651</v>
      </c>
      <c r="AF8282" s="12" t="s">
        <v>22393</v>
      </c>
      <c r="AG8282" s="12" t="s">
        <v>35710</v>
      </c>
      <c r="AH8282" s="1">
        <f>HYPERLINK("https://my.pitchbook.com?c=31093-21T","View Company Online")</f>
      </c>
    </row>
    <row r="8283">
      <c r="A8283" s="3" t="s">
        <v>36152</v>
      </c>
      <c r="B8283" s="3" t="s">
        <v>28596</v>
      </c>
      <c r="C8283" s="5" t="s">
        <v>36</v>
      </c>
      <c r="D8283" s="5" t="s">
        <v>36</v>
      </c>
      <c r="E8283" s="5" t="s">
        <v>36</v>
      </c>
      <c r="F8283" s="5" t="s">
        <v>36</v>
      </c>
      <c r="G8283" s="6" t="s">
        <v>36</v>
      </c>
      <c r="H8283" s="4" t="s">
        <v>36</v>
      </c>
      <c r="I8283" s="7">
        <v>6.88</v>
      </c>
      <c r="J8283" s="3" t="s">
        <v>327</v>
      </c>
      <c r="K8283" s="9" t="s">
        <v>36</v>
      </c>
      <c r="L8283" s="6" t="s">
        <v>36</v>
      </c>
      <c r="M8283" s="3" t="s">
        <v>36</v>
      </c>
      <c r="N8283" s="3" t="s">
        <v>36</v>
      </c>
      <c r="O8283" s="8" t="s">
        <v>36</v>
      </c>
      <c r="P8283" s="3" t="s">
        <v>36</v>
      </c>
      <c r="Q8283" s="3" t="s">
        <v>36</v>
      </c>
      <c r="R8283" s="3" t="s">
        <v>36</v>
      </c>
      <c r="S8283" s="3" t="s">
        <v>36</v>
      </c>
      <c r="T8283" s="3" t="s">
        <v>3604</v>
      </c>
      <c r="U8283" s="3" t="s">
        <v>404</v>
      </c>
      <c r="V8283" s="3" t="s">
        <v>405</v>
      </c>
      <c r="W8283" s="3" t="s">
        <v>28597</v>
      </c>
      <c r="X8283" s="10" t="s">
        <v>26808</v>
      </c>
      <c r="Y8283" s="6" t="s">
        <v>108</v>
      </c>
      <c r="Z8283" s="4">
        <v>1.41</v>
      </c>
      <c r="AA8283" s="4">
        <v>20.56</v>
      </c>
      <c r="AB8283" s="3" t="s">
        <v>43</v>
      </c>
      <c r="AC8283" s="3" t="s">
        <v>28599</v>
      </c>
      <c r="AD8283" s="9">
        <v>41183</v>
      </c>
      <c r="AE8283" s="3" t="s">
        <v>3608</v>
      </c>
      <c r="AF8283" s="3" t="s">
        <v>159</v>
      </c>
      <c r="AG8283" s="3" t="s">
        <v>81</v>
      </c>
      <c r="AH8283" s="11">
        <f>HYPERLINK("https://my.pitchbook.com?c=235247-77T","View Company Online")</f>
      </c>
    </row>
    <row r="8284">
      <c r="A8284" s="12" t="s">
        <v>36153</v>
      </c>
      <c r="B8284" s="12" t="s">
        <v>32748</v>
      </c>
      <c r="C8284" s="19">
        <v>7</v>
      </c>
      <c r="D8284" s="19">
        <v>42</v>
      </c>
      <c r="E8284" s="19">
        <v>12</v>
      </c>
      <c r="F8284" s="19">
        <v>67</v>
      </c>
      <c r="G8284" s="15" t="s">
        <v>2497</v>
      </c>
      <c r="H8284" s="14">
        <v>1042.48</v>
      </c>
      <c r="I8284" s="18">
        <v>56.38</v>
      </c>
      <c r="J8284" s="12" t="s">
        <v>521</v>
      </c>
      <c r="K8284" s="13" t="s">
        <v>36</v>
      </c>
      <c r="L8284" s="15" t="s">
        <v>36</v>
      </c>
      <c r="M8284" s="12" t="s">
        <v>36</v>
      </c>
      <c r="N8284" s="12" t="s">
        <v>36</v>
      </c>
      <c r="O8284" s="17" t="s">
        <v>36</v>
      </c>
      <c r="P8284" s="12" t="s">
        <v>36</v>
      </c>
      <c r="Q8284" s="12" t="s">
        <v>36</v>
      </c>
      <c r="R8284" s="12" t="s">
        <v>36</v>
      </c>
      <c r="S8284" s="12" t="s">
        <v>36</v>
      </c>
      <c r="T8284" s="12" t="s">
        <v>9552</v>
      </c>
      <c r="U8284" s="12" t="s">
        <v>51</v>
      </c>
      <c r="V8284" s="12" t="s">
        <v>52</v>
      </c>
      <c r="W8284" s="12" t="s">
        <v>32749</v>
      </c>
      <c r="X8284" s="16" t="s">
        <v>36154</v>
      </c>
      <c r="Y8284" s="15" t="s">
        <v>42</v>
      </c>
      <c r="Z8284" s="14">
        <v>4.02</v>
      </c>
      <c r="AA8284" s="14">
        <v>7.12</v>
      </c>
      <c r="AB8284" s="12" t="s">
        <v>56</v>
      </c>
      <c r="AC8284" s="12" t="s">
        <v>32751</v>
      </c>
      <c r="AD8284" s="13">
        <v>41183</v>
      </c>
      <c r="AE8284" s="12" t="s">
        <v>158</v>
      </c>
      <c r="AF8284" s="12" t="s">
        <v>159</v>
      </c>
      <c r="AG8284" s="12" t="s">
        <v>32752</v>
      </c>
      <c r="AH8284" s="1">
        <f>HYPERLINK("https://my.pitchbook.com?c=35058-43T","View Company Online")</f>
      </c>
    </row>
    <row r="8285">
      <c r="A8285" s="3" t="s">
        <v>36155</v>
      </c>
      <c r="B8285" s="3" t="s">
        <v>30817</v>
      </c>
      <c r="C8285" s="5" t="s">
        <v>36</v>
      </c>
      <c r="D8285" s="5" t="s">
        <v>36</v>
      </c>
      <c r="E8285" s="5" t="s">
        <v>36</v>
      </c>
      <c r="F8285" s="5" t="s">
        <v>36</v>
      </c>
      <c r="G8285" s="6" t="s">
        <v>36</v>
      </c>
      <c r="H8285" s="4" t="s">
        <v>36</v>
      </c>
      <c r="I8285" s="7" t="s">
        <v>36</v>
      </c>
      <c r="J8285" s="3" t="s">
        <v>36</v>
      </c>
      <c r="K8285" s="9" t="s">
        <v>36</v>
      </c>
      <c r="L8285" s="6" t="s">
        <v>36</v>
      </c>
      <c r="M8285" s="3" t="s">
        <v>36</v>
      </c>
      <c r="N8285" s="3" t="s">
        <v>36</v>
      </c>
      <c r="O8285" s="8" t="s">
        <v>36</v>
      </c>
      <c r="P8285" s="3" t="s">
        <v>36</v>
      </c>
      <c r="Q8285" s="3" t="s">
        <v>36</v>
      </c>
      <c r="R8285" s="3" t="s">
        <v>36</v>
      </c>
      <c r="S8285" s="3" t="s">
        <v>36</v>
      </c>
      <c r="T8285" s="3" t="s">
        <v>4608</v>
      </c>
      <c r="U8285" s="3" t="s">
        <v>455</v>
      </c>
      <c r="V8285" s="3" t="s">
        <v>367</v>
      </c>
      <c r="W8285" s="3" t="s">
        <v>30818</v>
      </c>
      <c r="X8285" s="10" t="s">
        <v>36156</v>
      </c>
      <c r="Y8285" s="6" t="s">
        <v>42</v>
      </c>
      <c r="Z8285" s="4" t="s">
        <v>36</v>
      </c>
      <c r="AA8285" s="4" t="s">
        <v>36</v>
      </c>
      <c r="AB8285" s="3" t="s">
        <v>43</v>
      </c>
      <c r="AC8285" s="3" t="s">
        <v>30820</v>
      </c>
      <c r="AD8285" s="9">
        <v>41183</v>
      </c>
      <c r="AE8285" s="3" t="s">
        <v>459</v>
      </c>
      <c r="AF8285" s="3" t="s">
        <v>90</v>
      </c>
      <c r="AG8285" s="3" t="s">
        <v>81</v>
      </c>
      <c r="AH8285" s="11">
        <f>HYPERLINK("https://my.pitchbook.com?c=49652-92T","View Company Online")</f>
      </c>
    </row>
    <row r="8286">
      <c r="A8286" s="12" t="s">
        <v>36157</v>
      </c>
      <c r="B8286" s="12" t="s">
        <v>27159</v>
      </c>
      <c r="C8286" s="19" t="s">
        <v>36</v>
      </c>
      <c r="D8286" s="19" t="s">
        <v>36</v>
      </c>
      <c r="E8286" s="19" t="s">
        <v>36</v>
      </c>
      <c r="F8286" s="19" t="s">
        <v>36</v>
      </c>
      <c r="G8286" s="15" t="s">
        <v>36</v>
      </c>
      <c r="H8286" s="14" t="s">
        <v>36</v>
      </c>
      <c r="I8286" s="18" t="s">
        <v>36</v>
      </c>
      <c r="J8286" s="12" t="s">
        <v>36</v>
      </c>
      <c r="K8286" s="13" t="s">
        <v>36</v>
      </c>
      <c r="L8286" s="15" t="s">
        <v>36</v>
      </c>
      <c r="M8286" s="12" t="s">
        <v>36</v>
      </c>
      <c r="N8286" s="12" t="s">
        <v>36</v>
      </c>
      <c r="O8286" s="17" t="s">
        <v>36</v>
      </c>
      <c r="P8286" s="12" t="s">
        <v>36</v>
      </c>
      <c r="Q8286" s="12" t="s">
        <v>36</v>
      </c>
      <c r="R8286" s="12" t="s">
        <v>36</v>
      </c>
      <c r="S8286" s="12" t="s">
        <v>36</v>
      </c>
      <c r="T8286" s="12" t="s">
        <v>21464</v>
      </c>
      <c r="U8286" s="12" t="s">
        <v>289</v>
      </c>
      <c r="V8286" s="12" t="s">
        <v>64</v>
      </c>
      <c r="W8286" s="12" t="s">
        <v>27160</v>
      </c>
      <c r="X8286" s="16" t="s">
        <v>29106</v>
      </c>
      <c r="Y8286" s="15" t="s">
        <v>42</v>
      </c>
      <c r="Z8286" s="14" t="s">
        <v>36</v>
      </c>
      <c r="AA8286" s="14" t="s">
        <v>36</v>
      </c>
      <c r="AB8286" s="12" t="s">
        <v>43</v>
      </c>
      <c r="AC8286" s="12" t="s">
        <v>27162</v>
      </c>
      <c r="AD8286" s="13">
        <v>41183</v>
      </c>
      <c r="AE8286" s="12" t="s">
        <v>292</v>
      </c>
      <c r="AF8286" s="12" t="s">
        <v>90</v>
      </c>
      <c r="AG8286" s="12" t="s">
        <v>81</v>
      </c>
      <c r="AH8286" s="1">
        <f>HYPERLINK("https://my.pitchbook.com?c=70673-05T","View Company Online")</f>
      </c>
    </row>
    <row r="8287">
      <c r="A8287" s="3" t="s">
        <v>36158</v>
      </c>
      <c r="B8287" s="3" t="s">
        <v>36159</v>
      </c>
      <c r="C8287" s="5">
        <v>3</v>
      </c>
      <c r="D8287" s="5">
        <v>7</v>
      </c>
      <c r="E8287" s="5">
        <v>25</v>
      </c>
      <c r="F8287" s="5">
        <v>33</v>
      </c>
      <c r="G8287" s="6" t="s">
        <v>36</v>
      </c>
      <c r="H8287" s="4" t="s">
        <v>36</v>
      </c>
      <c r="I8287" s="7" t="s">
        <v>36</v>
      </c>
      <c r="J8287" s="3" t="s">
        <v>521</v>
      </c>
      <c r="K8287" s="9" t="s">
        <v>36</v>
      </c>
      <c r="L8287" s="6" t="s">
        <v>3736</v>
      </c>
      <c r="M8287" s="3" t="s">
        <v>36</v>
      </c>
      <c r="N8287" s="3" t="s">
        <v>3736</v>
      </c>
      <c r="O8287" s="8" t="s">
        <v>36</v>
      </c>
      <c r="P8287" s="3" t="s">
        <v>36</v>
      </c>
      <c r="Q8287" s="3" t="s">
        <v>36</v>
      </c>
      <c r="R8287" s="3" t="s">
        <v>36</v>
      </c>
      <c r="S8287" s="3" t="s">
        <v>36</v>
      </c>
      <c r="T8287" s="3" t="s">
        <v>1701</v>
      </c>
      <c r="U8287" s="3" t="s">
        <v>74</v>
      </c>
      <c r="V8287" s="3" t="s">
        <v>75</v>
      </c>
      <c r="W8287" s="3" t="s">
        <v>36160</v>
      </c>
      <c r="X8287" s="10" t="s">
        <v>36161</v>
      </c>
      <c r="Y8287" s="6" t="s">
        <v>192</v>
      </c>
      <c r="Z8287" s="4">
        <v>38.9</v>
      </c>
      <c r="AA8287" s="4">
        <v>800</v>
      </c>
      <c r="AB8287" s="3" t="s">
        <v>56</v>
      </c>
      <c r="AC8287" s="3" t="s">
        <v>36162</v>
      </c>
      <c r="AD8287" s="9">
        <v>41178</v>
      </c>
      <c r="AE8287" s="3" t="s">
        <v>79</v>
      </c>
      <c r="AF8287" s="3" t="s">
        <v>34874</v>
      </c>
      <c r="AG8287" s="3" t="s">
        <v>81</v>
      </c>
      <c r="AH8287" s="11">
        <f>HYPERLINK("https://my.pitchbook.com?c=22382-56T","View Company Online")</f>
      </c>
    </row>
    <row r="8288">
      <c r="A8288" s="12" t="s">
        <v>36163</v>
      </c>
      <c r="B8288" s="12" t="s">
        <v>36164</v>
      </c>
      <c r="C8288" s="19">
        <v>1</v>
      </c>
      <c r="D8288" s="19">
        <v>8</v>
      </c>
      <c r="E8288" s="19">
        <v>5</v>
      </c>
      <c r="F8288" s="19">
        <v>12</v>
      </c>
      <c r="G8288" s="15" t="s">
        <v>36</v>
      </c>
      <c r="H8288" s="14" t="s">
        <v>36</v>
      </c>
      <c r="I8288" s="18" t="s">
        <v>36</v>
      </c>
      <c r="J8288" s="12" t="s">
        <v>36</v>
      </c>
      <c r="K8288" s="13" t="s">
        <v>36</v>
      </c>
      <c r="L8288" s="15" t="s">
        <v>94</v>
      </c>
      <c r="M8288" s="12" t="s">
        <v>36</v>
      </c>
      <c r="N8288" s="12" t="s">
        <v>94</v>
      </c>
      <c r="O8288" s="17" t="s">
        <v>36</v>
      </c>
      <c r="P8288" s="12" t="s">
        <v>36</v>
      </c>
      <c r="Q8288" s="12" t="s">
        <v>36</v>
      </c>
      <c r="R8288" s="12" t="s">
        <v>36</v>
      </c>
      <c r="S8288" s="12" t="s">
        <v>36</v>
      </c>
      <c r="T8288" s="12" t="s">
        <v>36165</v>
      </c>
      <c r="U8288" s="12" t="s">
        <v>51</v>
      </c>
      <c r="V8288" s="12" t="s">
        <v>52</v>
      </c>
      <c r="W8288" s="12" t="s">
        <v>36166</v>
      </c>
      <c r="X8288" s="16" t="s">
        <v>36167</v>
      </c>
      <c r="Y8288" s="15" t="s">
        <v>108</v>
      </c>
      <c r="Z8288" s="14">
        <v>2.56</v>
      </c>
      <c r="AA8288" s="14" t="s">
        <v>36</v>
      </c>
      <c r="AB8288" s="12" t="s">
        <v>43</v>
      </c>
      <c r="AC8288" s="12" t="s">
        <v>36168</v>
      </c>
      <c r="AD8288" s="13">
        <v>41177</v>
      </c>
      <c r="AE8288" s="12" t="s">
        <v>504</v>
      </c>
      <c r="AF8288" s="12" t="s">
        <v>1275</v>
      </c>
      <c r="AG8288" s="12" t="s">
        <v>81</v>
      </c>
      <c r="AH8288" s="1">
        <f>HYPERLINK("https://my.pitchbook.com?c=29377-09T","View Company Online")</f>
      </c>
    </row>
    <row r="8289">
      <c r="A8289" s="3" t="s">
        <v>36169</v>
      </c>
      <c r="B8289" s="3" t="s">
        <v>36170</v>
      </c>
      <c r="C8289" s="5" t="s">
        <v>36</v>
      </c>
      <c r="D8289" s="5">
        <v>2</v>
      </c>
      <c r="E8289" s="5">
        <v>4</v>
      </c>
      <c r="F8289" s="5">
        <v>5</v>
      </c>
      <c r="G8289" s="6" t="s">
        <v>36</v>
      </c>
      <c r="H8289" s="4" t="s">
        <v>36</v>
      </c>
      <c r="I8289" s="7" t="s">
        <v>36</v>
      </c>
      <c r="J8289" s="3" t="s">
        <v>36</v>
      </c>
      <c r="K8289" s="9" t="s">
        <v>36</v>
      </c>
      <c r="L8289" s="6" t="s">
        <v>36</v>
      </c>
      <c r="M8289" s="3" t="s">
        <v>36</v>
      </c>
      <c r="N8289" s="3" t="s">
        <v>36</v>
      </c>
      <c r="O8289" s="8" t="s">
        <v>36</v>
      </c>
      <c r="P8289" s="3" t="s">
        <v>36</v>
      </c>
      <c r="Q8289" s="3" t="s">
        <v>36</v>
      </c>
      <c r="R8289" s="3" t="s">
        <v>36</v>
      </c>
      <c r="S8289" s="3" t="s">
        <v>36</v>
      </c>
      <c r="T8289" s="3" t="s">
        <v>24457</v>
      </c>
      <c r="U8289" s="3" t="s">
        <v>833</v>
      </c>
      <c r="V8289" s="3" t="s">
        <v>64</v>
      </c>
      <c r="W8289" s="3" t="s">
        <v>36171</v>
      </c>
      <c r="X8289" s="10" t="s">
        <v>36172</v>
      </c>
      <c r="Y8289" s="6" t="s">
        <v>42</v>
      </c>
      <c r="Z8289" s="4">
        <v>2.3</v>
      </c>
      <c r="AA8289" s="4" t="s">
        <v>36</v>
      </c>
      <c r="AB8289" s="3" t="s">
        <v>56</v>
      </c>
      <c r="AC8289" s="3" t="s">
        <v>36173</v>
      </c>
      <c r="AD8289" s="9">
        <v>41176</v>
      </c>
      <c r="AE8289" s="3" t="s">
        <v>1069</v>
      </c>
      <c r="AF8289" s="3" t="s">
        <v>571</v>
      </c>
      <c r="AG8289" s="3" t="s">
        <v>4835</v>
      </c>
      <c r="AH8289" s="11">
        <f>HYPERLINK("https://my.pitchbook.com?c=27553-87T","View Company Online")</f>
      </c>
    </row>
    <row r="8290">
      <c r="A8290" s="12" t="s">
        <v>36174</v>
      </c>
      <c r="B8290" s="12" t="s">
        <v>22564</v>
      </c>
      <c r="C8290" s="19" t="s">
        <v>36</v>
      </c>
      <c r="D8290" s="19" t="s">
        <v>36</v>
      </c>
      <c r="E8290" s="19" t="s">
        <v>36</v>
      </c>
      <c r="F8290" s="19" t="s">
        <v>36</v>
      </c>
      <c r="G8290" s="15" t="s">
        <v>36</v>
      </c>
      <c r="H8290" s="14" t="s">
        <v>36</v>
      </c>
      <c r="I8290" s="18" t="s">
        <v>36</v>
      </c>
      <c r="J8290" s="12" t="s">
        <v>36</v>
      </c>
      <c r="K8290" s="13" t="s">
        <v>36</v>
      </c>
      <c r="L8290" s="15" t="s">
        <v>36</v>
      </c>
      <c r="M8290" s="12" t="s">
        <v>36</v>
      </c>
      <c r="N8290" s="12" t="s">
        <v>36</v>
      </c>
      <c r="O8290" s="17" t="s">
        <v>36</v>
      </c>
      <c r="P8290" s="12" t="s">
        <v>36</v>
      </c>
      <c r="Q8290" s="12" t="s">
        <v>36</v>
      </c>
      <c r="R8290" s="12" t="s">
        <v>36</v>
      </c>
      <c r="S8290" s="12" t="s">
        <v>36</v>
      </c>
      <c r="T8290" s="12" t="s">
        <v>3907</v>
      </c>
      <c r="U8290" s="12" t="s">
        <v>279</v>
      </c>
      <c r="V8290" s="12" t="s">
        <v>64</v>
      </c>
      <c r="W8290" s="12" t="s">
        <v>22565</v>
      </c>
      <c r="X8290" s="16" t="s">
        <v>36175</v>
      </c>
      <c r="Y8290" s="15" t="s">
        <v>42</v>
      </c>
      <c r="Z8290" s="14">
        <v>8.29</v>
      </c>
      <c r="AA8290" s="14" t="s">
        <v>36</v>
      </c>
      <c r="AB8290" s="12" t="s">
        <v>56</v>
      </c>
      <c r="AC8290" s="12" t="s">
        <v>22567</v>
      </c>
      <c r="AD8290" s="13">
        <v>41173</v>
      </c>
      <c r="AE8290" s="12" t="s">
        <v>851</v>
      </c>
      <c r="AF8290" s="12" t="s">
        <v>3904</v>
      </c>
      <c r="AG8290" s="12" t="s">
        <v>22568</v>
      </c>
      <c r="AH8290" s="1">
        <f>HYPERLINK("https://my.pitchbook.com?c=26348-50T","View Company Online")</f>
      </c>
    </row>
    <row r="8291">
      <c r="A8291" s="3" t="s">
        <v>36176</v>
      </c>
      <c r="B8291" s="3" t="s">
        <v>36177</v>
      </c>
      <c r="C8291" s="5" t="s">
        <v>36</v>
      </c>
      <c r="D8291" s="5" t="s">
        <v>36</v>
      </c>
      <c r="E8291" s="5" t="s">
        <v>36</v>
      </c>
      <c r="F8291" s="5" t="s">
        <v>36</v>
      </c>
      <c r="G8291" s="6" t="s">
        <v>36</v>
      </c>
      <c r="H8291" s="4">
        <v>3.6</v>
      </c>
      <c r="I8291" s="7">
        <v>23</v>
      </c>
      <c r="J8291" s="3" t="s">
        <v>521</v>
      </c>
      <c r="K8291" s="9" t="s">
        <v>36</v>
      </c>
      <c r="L8291" s="6" t="s">
        <v>36</v>
      </c>
      <c r="M8291" s="3" t="s">
        <v>36</v>
      </c>
      <c r="N8291" s="3" t="s">
        <v>36</v>
      </c>
      <c r="O8291" s="8" t="s">
        <v>36</v>
      </c>
      <c r="P8291" s="3" t="s">
        <v>36</v>
      </c>
      <c r="Q8291" s="3" t="s">
        <v>36</v>
      </c>
      <c r="R8291" s="3" t="s">
        <v>36</v>
      </c>
      <c r="S8291" s="3" t="s">
        <v>36</v>
      </c>
      <c r="T8291" s="3" t="s">
        <v>36178</v>
      </c>
      <c r="U8291" s="3" t="s">
        <v>74</v>
      </c>
      <c r="V8291" s="3" t="s">
        <v>75</v>
      </c>
      <c r="W8291" s="3" t="s">
        <v>36179</v>
      </c>
      <c r="X8291" s="10" t="s">
        <v>10302</v>
      </c>
      <c r="Y8291" s="6" t="s">
        <v>42</v>
      </c>
      <c r="Z8291" s="4">
        <v>1.15</v>
      </c>
      <c r="AA8291" s="4">
        <v>3.32</v>
      </c>
      <c r="AB8291" s="3" t="s">
        <v>43</v>
      </c>
      <c r="AC8291" s="3" t="s">
        <v>36180</v>
      </c>
      <c r="AD8291" s="9">
        <v>41173</v>
      </c>
      <c r="AE8291" s="3" t="s">
        <v>570</v>
      </c>
      <c r="AF8291" s="3" t="s">
        <v>22942</v>
      </c>
      <c r="AG8291" s="3" t="s">
        <v>939</v>
      </c>
      <c r="AH8291" s="11">
        <f>HYPERLINK("https://my.pitchbook.com?c=51792-04T","View Company Online")</f>
      </c>
    </row>
    <row r="8292">
      <c r="A8292" s="12" t="s">
        <v>36181</v>
      </c>
      <c r="B8292" s="12" t="s">
        <v>35300</v>
      </c>
      <c r="C8292" s="19" t="s">
        <v>36</v>
      </c>
      <c r="D8292" s="19" t="s">
        <v>36</v>
      </c>
      <c r="E8292" s="19" t="s">
        <v>36</v>
      </c>
      <c r="F8292" s="19" t="s">
        <v>36</v>
      </c>
      <c r="G8292" s="15" t="s">
        <v>326</v>
      </c>
      <c r="H8292" s="14">
        <v>3.31</v>
      </c>
      <c r="I8292" s="18">
        <v>20.18</v>
      </c>
      <c r="J8292" s="12" t="s">
        <v>521</v>
      </c>
      <c r="K8292" s="13">
        <v>41163</v>
      </c>
      <c r="L8292" s="15" t="s">
        <v>94</v>
      </c>
      <c r="M8292" s="12" t="s">
        <v>36</v>
      </c>
      <c r="N8292" s="12" t="s">
        <v>94</v>
      </c>
      <c r="O8292" s="17" t="s">
        <v>36</v>
      </c>
      <c r="P8292" s="12" t="s">
        <v>36</v>
      </c>
      <c r="Q8292" s="12" t="s">
        <v>36</v>
      </c>
      <c r="R8292" s="12" t="s">
        <v>36</v>
      </c>
      <c r="S8292" s="12" t="s">
        <v>36</v>
      </c>
      <c r="T8292" s="12" t="s">
        <v>4045</v>
      </c>
      <c r="U8292" s="12" t="s">
        <v>728</v>
      </c>
      <c r="V8292" s="12" t="s">
        <v>64</v>
      </c>
      <c r="W8292" s="12" t="s">
        <v>35301</v>
      </c>
      <c r="X8292" s="16" t="s">
        <v>36182</v>
      </c>
      <c r="Y8292" s="15" t="s">
        <v>108</v>
      </c>
      <c r="Z8292" s="14">
        <v>0.77</v>
      </c>
      <c r="AA8292" s="14">
        <v>3.82</v>
      </c>
      <c r="AB8292" s="12" t="s">
        <v>43</v>
      </c>
      <c r="AC8292" s="12" t="s">
        <v>35303</v>
      </c>
      <c r="AD8292" s="13">
        <v>41172</v>
      </c>
      <c r="AE8292" s="12" t="s">
        <v>2154</v>
      </c>
      <c r="AF8292" s="12" t="s">
        <v>2118</v>
      </c>
      <c r="AG8292" s="12" t="s">
        <v>81</v>
      </c>
      <c r="AH8292" s="1">
        <f>HYPERLINK("https://my.pitchbook.com?c=26424-82T","View Company Online")</f>
      </c>
    </row>
    <row r="8293">
      <c r="A8293" s="3" t="s">
        <v>36183</v>
      </c>
      <c r="B8293" s="3" t="s">
        <v>31693</v>
      </c>
      <c r="C8293" s="5" t="s">
        <v>36</v>
      </c>
      <c r="D8293" s="5" t="s">
        <v>36</v>
      </c>
      <c r="E8293" s="5" t="s">
        <v>36</v>
      </c>
      <c r="F8293" s="5" t="s">
        <v>36</v>
      </c>
      <c r="G8293" s="6" t="s">
        <v>36</v>
      </c>
      <c r="H8293" s="4" t="s">
        <v>36</v>
      </c>
      <c r="I8293" s="7" t="s">
        <v>36</v>
      </c>
      <c r="J8293" s="3" t="s">
        <v>36</v>
      </c>
      <c r="K8293" s="9" t="s">
        <v>36</v>
      </c>
      <c r="L8293" s="6" t="s">
        <v>36</v>
      </c>
      <c r="M8293" s="3" t="s">
        <v>36</v>
      </c>
      <c r="N8293" s="3" t="s">
        <v>36</v>
      </c>
      <c r="O8293" s="8" t="s">
        <v>36</v>
      </c>
      <c r="P8293" s="3" t="s">
        <v>36</v>
      </c>
      <c r="Q8293" s="3" t="s">
        <v>36</v>
      </c>
      <c r="R8293" s="3" t="s">
        <v>36</v>
      </c>
      <c r="S8293" s="3" t="s">
        <v>36</v>
      </c>
      <c r="T8293" s="3" t="s">
        <v>522</v>
      </c>
      <c r="U8293" s="3" t="s">
        <v>38</v>
      </c>
      <c r="V8293" s="3" t="s">
        <v>39</v>
      </c>
      <c r="W8293" s="3" t="s">
        <v>31694</v>
      </c>
      <c r="X8293" s="10" t="s">
        <v>36184</v>
      </c>
      <c r="Y8293" s="6" t="s">
        <v>42</v>
      </c>
      <c r="Z8293" s="4">
        <v>2.55</v>
      </c>
      <c r="AA8293" s="4" t="s">
        <v>36</v>
      </c>
      <c r="AB8293" s="3" t="s">
        <v>43</v>
      </c>
      <c r="AC8293" s="3" t="s">
        <v>31696</v>
      </c>
      <c r="AD8293" s="9">
        <v>41172</v>
      </c>
      <c r="AE8293" s="3" t="s">
        <v>110</v>
      </c>
      <c r="AF8293" s="3" t="s">
        <v>4552</v>
      </c>
      <c r="AG8293" s="3" t="s">
        <v>652</v>
      </c>
      <c r="AH8293" s="11">
        <f>HYPERLINK("https://my.pitchbook.com?c=25409-89T","View Company Online")</f>
      </c>
    </row>
    <row r="8294">
      <c r="A8294" s="12" t="s">
        <v>36185</v>
      </c>
      <c r="B8294" s="12" t="s">
        <v>36186</v>
      </c>
      <c r="C8294" s="19" t="s">
        <v>36</v>
      </c>
      <c r="D8294" s="19" t="s">
        <v>36</v>
      </c>
      <c r="E8294" s="19" t="s">
        <v>36</v>
      </c>
      <c r="F8294" s="19" t="s">
        <v>36</v>
      </c>
      <c r="G8294" s="15" t="s">
        <v>36</v>
      </c>
      <c r="H8294" s="14" t="s">
        <v>36</v>
      </c>
      <c r="I8294" s="18" t="s">
        <v>36</v>
      </c>
      <c r="J8294" s="12" t="s">
        <v>36</v>
      </c>
      <c r="K8294" s="13" t="s">
        <v>36</v>
      </c>
      <c r="L8294" s="15" t="s">
        <v>36</v>
      </c>
      <c r="M8294" s="12" t="s">
        <v>36</v>
      </c>
      <c r="N8294" s="12" t="s">
        <v>36</v>
      </c>
      <c r="O8294" s="17" t="s">
        <v>36</v>
      </c>
      <c r="P8294" s="12" t="s">
        <v>36</v>
      </c>
      <c r="Q8294" s="12" t="s">
        <v>36</v>
      </c>
      <c r="R8294" s="12" t="s">
        <v>36</v>
      </c>
      <c r="S8294" s="12" t="s">
        <v>36</v>
      </c>
      <c r="T8294" s="12" t="s">
        <v>847</v>
      </c>
      <c r="U8294" s="12" t="s">
        <v>279</v>
      </c>
      <c r="V8294" s="12" t="s">
        <v>64</v>
      </c>
      <c r="W8294" s="12" t="s">
        <v>36187</v>
      </c>
      <c r="X8294" s="16" t="s">
        <v>36188</v>
      </c>
      <c r="Y8294" s="15" t="s">
        <v>108</v>
      </c>
      <c r="Z8294" s="14">
        <v>2.53</v>
      </c>
      <c r="AA8294" s="14" t="s">
        <v>36</v>
      </c>
      <c r="AB8294" s="12" t="s">
        <v>56</v>
      </c>
      <c r="AC8294" s="12" t="s">
        <v>36189</v>
      </c>
      <c r="AD8294" s="13">
        <v>41169</v>
      </c>
      <c r="AE8294" s="12" t="s">
        <v>851</v>
      </c>
      <c r="AF8294" s="12" t="s">
        <v>1636</v>
      </c>
      <c r="AG8294" s="12" t="s">
        <v>81</v>
      </c>
      <c r="AH8294" s="1">
        <f>HYPERLINK("https://my.pitchbook.com?c=88506-28T","View Company Online")</f>
      </c>
    </row>
    <row r="8295">
      <c r="A8295" s="3" t="s">
        <v>36190</v>
      </c>
      <c r="B8295" s="3" t="s">
        <v>36191</v>
      </c>
      <c r="C8295" s="5" t="s">
        <v>36</v>
      </c>
      <c r="D8295" s="5" t="s">
        <v>36</v>
      </c>
      <c r="E8295" s="5" t="s">
        <v>36</v>
      </c>
      <c r="F8295" s="5" t="s">
        <v>36</v>
      </c>
      <c r="G8295" s="6" t="s">
        <v>36</v>
      </c>
      <c r="H8295" s="4" t="s">
        <v>36</v>
      </c>
      <c r="I8295" s="7" t="s">
        <v>36</v>
      </c>
      <c r="J8295" s="3" t="s">
        <v>36</v>
      </c>
      <c r="K8295" s="9" t="s">
        <v>36</v>
      </c>
      <c r="L8295" s="6" t="s">
        <v>36</v>
      </c>
      <c r="M8295" s="3" t="s">
        <v>36</v>
      </c>
      <c r="N8295" s="3" t="s">
        <v>36</v>
      </c>
      <c r="O8295" s="8" t="s">
        <v>36</v>
      </c>
      <c r="P8295" s="3" t="s">
        <v>36</v>
      </c>
      <c r="Q8295" s="3" t="s">
        <v>36</v>
      </c>
      <c r="R8295" s="3" t="s">
        <v>36</v>
      </c>
      <c r="S8295" s="3" t="s">
        <v>36</v>
      </c>
      <c r="T8295" s="3" t="s">
        <v>105</v>
      </c>
      <c r="U8295" s="3" t="s">
        <v>38</v>
      </c>
      <c r="V8295" s="3" t="s">
        <v>39</v>
      </c>
      <c r="W8295" s="3" t="s">
        <v>36192</v>
      </c>
      <c r="X8295" s="10" t="s">
        <v>35524</v>
      </c>
      <c r="Y8295" s="6" t="s">
        <v>108</v>
      </c>
      <c r="Z8295" s="4">
        <v>3.15</v>
      </c>
      <c r="AA8295" s="4" t="s">
        <v>36</v>
      </c>
      <c r="AB8295" s="3" t="s">
        <v>43</v>
      </c>
      <c r="AC8295" s="3" t="s">
        <v>36193</v>
      </c>
      <c r="AD8295" s="9">
        <v>41166</v>
      </c>
      <c r="AE8295" s="3" t="s">
        <v>110</v>
      </c>
      <c r="AF8295" s="3" t="s">
        <v>1999</v>
      </c>
      <c r="AG8295" s="3" t="s">
        <v>2760</v>
      </c>
      <c r="AH8295" s="11">
        <f>HYPERLINK("https://my.pitchbook.com?c=31092-22T","View Company Online")</f>
      </c>
    </row>
    <row r="8296">
      <c r="A8296" s="12" t="s">
        <v>36194</v>
      </c>
      <c r="B8296" s="12" t="s">
        <v>33733</v>
      </c>
      <c r="C8296" s="19" t="s">
        <v>36</v>
      </c>
      <c r="D8296" s="19" t="s">
        <v>36</v>
      </c>
      <c r="E8296" s="19" t="s">
        <v>36</v>
      </c>
      <c r="F8296" s="19" t="s">
        <v>36</v>
      </c>
      <c r="G8296" s="15" t="s">
        <v>36</v>
      </c>
      <c r="H8296" s="14" t="s">
        <v>36</v>
      </c>
      <c r="I8296" s="18" t="s">
        <v>36</v>
      </c>
      <c r="J8296" s="12" t="s">
        <v>36</v>
      </c>
      <c r="K8296" s="13" t="s">
        <v>36</v>
      </c>
      <c r="L8296" s="15" t="s">
        <v>36</v>
      </c>
      <c r="M8296" s="12" t="s">
        <v>36</v>
      </c>
      <c r="N8296" s="12" t="s">
        <v>36</v>
      </c>
      <c r="O8296" s="17" t="s">
        <v>36</v>
      </c>
      <c r="P8296" s="12" t="s">
        <v>36</v>
      </c>
      <c r="Q8296" s="12" t="s">
        <v>36</v>
      </c>
      <c r="R8296" s="12" t="s">
        <v>36</v>
      </c>
      <c r="S8296" s="12" t="s">
        <v>36</v>
      </c>
      <c r="T8296" s="12" t="s">
        <v>33734</v>
      </c>
      <c r="U8296" s="12" t="s">
        <v>279</v>
      </c>
      <c r="V8296" s="12" t="s">
        <v>64</v>
      </c>
      <c r="W8296" s="12" t="s">
        <v>33735</v>
      </c>
      <c r="X8296" s="16" t="s">
        <v>36195</v>
      </c>
      <c r="Y8296" s="15" t="s">
        <v>42</v>
      </c>
      <c r="Z8296" s="14">
        <v>0.38</v>
      </c>
      <c r="AA8296" s="14" t="s">
        <v>36</v>
      </c>
      <c r="AB8296" s="12" t="s">
        <v>43</v>
      </c>
      <c r="AC8296" s="12" t="s">
        <v>33737</v>
      </c>
      <c r="AD8296" s="13">
        <v>41166</v>
      </c>
      <c r="AE8296" s="12" t="s">
        <v>283</v>
      </c>
      <c r="AF8296" s="12" t="s">
        <v>33738</v>
      </c>
      <c r="AG8296" s="12" t="s">
        <v>81</v>
      </c>
      <c r="AH8296" s="1">
        <f>HYPERLINK("https://my.pitchbook.com?c=25693-57T","View Company Online")</f>
      </c>
    </row>
    <row r="8297">
      <c r="A8297" s="3" t="s">
        <v>36196</v>
      </c>
      <c r="B8297" s="3" t="s">
        <v>36197</v>
      </c>
      <c r="C8297" s="5" t="s">
        <v>36</v>
      </c>
      <c r="D8297" s="5">
        <v>2</v>
      </c>
      <c r="E8297" s="5">
        <v>1</v>
      </c>
      <c r="F8297" s="5">
        <v>2</v>
      </c>
      <c r="G8297" s="6" t="s">
        <v>326</v>
      </c>
      <c r="H8297" s="4">
        <v>236.39</v>
      </c>
      <c r="I8297" s="7">
        <v>20</v>
      </c>
      <c r="J8297" s="3" t="s">
        <v>521</v>
      </c>
      <c r="K8297" s="9" t="s">
        <v>36</v>
      </c>
      <c r="L8297" s="6" t="s">
        <v>122</v>
      </c>
      <c r="M8297" s="3" t="s">
        <v>36</v>
      </c>
      <c r="N8297" s="3" t="s">
        <v>122</v>
      </c>
      <c r="O8297" s="8" t="s">
        <v>36</v>
      </c>
      <c r="P8297" s="3" t="s">
        <v>36</v>
      </c>
      <c r="Q8297" s="3" t="s">
        <v>36</v>
      </c>
      <c r="R8297" s="3" t="s">
        <v>36</v>
      </c>
      <c r="S8297" s="3" t="s">
        <v>36</v>
      </c>
      <c r="T8297" s="3" t="s">
        <v>36198</v>
      </c>
      <c r="U8297" s="3" t="s">
        <v>74</v>
      </c>
      <c r="V8297" s="3" t="s">
        <v>75</v>
      </c>
      <c r="W8297" s="3" t="s">
        <v>36199</v>
      </c>
      <c r="X8297" s="10" t="s">
        <v>36200</v>
      </c>
      <c r="Y8297" s="6" t="s">
        <v>108</v>
      </c>
      <c r="Z8297" s="4">
        <v>0.73</v>
      </c>
      <c r="AA8297" s="4">
        <v>1.89</v>
      </c>
      <c r="AB8297" s="3" t="s">
        <v>43</v>
      </c>
      <c r="AC8297" s="3" t="s">
        <v>36201</v>
      </c>
      <c r="AD8297" s="9">
        <v>41165</v>
      </c>
      <c r="AE8297" s="3" t="s">
        <v>975</v>
      </c>
      <c r="AF8297" s="3" t="s">
        <v>36</v>
      </c>
      <c r="AG8297" s="3" t="s">
        <v>36202</v>
      </c>
      <c r="AH8297" s="11">
        <f>HYPERLINK("https://my.pitchbook.com?c=31618-27T","View Company Online")</f>
      </c>
    </row>
    <row r="8298">
      <c r="A8298" s="12" t="s">
        <v>36203</v>
      </c>
      <c r="B8298" s="12" t="s">
        <v>36204</v>
      </c>
      <c r="C8298" s="19" t="s">
        <v>36</v>
      </c>
      <c r="D8298" s="19">
        <v>2</v>
      </c>
      <c r="E8298" s="19">
        <v>1</v>
      </c>
      <c r="F8298" s="19">
        <v>5</v>
      </c>
      <c r="G8298" s="15" t="s">
        <v>36</v>
      </c>
      <c r="H8298" s="14" t="s">
        <v>36</v>
      </c>
      <c r="I8298" s="18" t="s">
        <v>36</v>
      </c>
      <c r="J8298" s="12" t="s">
        <v>36</v>
      </c>
      <c r="K8298" s="13" t="s">
        <v>36</v>
      </c>
      <c r="L8298" s="15" t="s">
        <v>36</v>
      </c>
      <c r="M8298" s="12" t="s">
        <v>36</v>
      </c>
      <c r="N8298" s="12" t="s">
        <v>36</v>
      </c>
      <c r="O8298" s="17" t="s">
        <v>36</v>
      </c>
      <c r="P8298" s="12" t="s">
        <v>36</v>
      </c>
      <c r="Q8298" s="12" t="s">
        <v>36</v>
      </c>
      <c r="R8298" s="12" t="s">
        <v>36</v>
      </c>
      <c r="S8298" s="12" t="s">
        <v>36</v>
      </c>
      <c r="T8298" s="12" t="s">
        <v>36205</v>
      </c>
      <c r="U8298" s="12" t="s">
        <v>1580</v>
      </c>
      <c r="V8298" s="12" t="s">
        <v>39</v>
      </c>
      <c r="W8298" s="12" t="s">
        <v>36206</v>
      </c>
      <c r="X8298" s="16" t="s">
        <v>18485</v>
      </c>
      <c r="Y8298" s="15" t="s">
        <v>42</v>
      </c>
      <c r="Z8298" s="14">
        <v>0.44</v>
      </c>
      <c r="AA8298" s="14" t="s">
        <v>36</v>
      </c>
      <c r="AB8298" s="12" t="s">
        <v>43</v>
      </c>
      <c r="AC8298" s="12" t="s">
        <v>36207</v>
      </c>
      <c r="AD8298" s="13">
        <v>41164</v>
      </c>
      <c r="AE8298" s="12" t="s">
        <v>4387</v>
      </c>
      <c r="AF8298" s="12" t="s">
        <v>1636</v>
      </c>
      <c r="AG8298" s="12" t="s">
        <v>1078</v>
      </c>
      <c r="AH8298" s="1">
        <f>HYPERLINK("https://my.pitchbook.com?c=45073-63T","View Company Online")</f>
      </c>
    </row>
    <row r="8299">
      <c r="A8299" s="3" t="s">
        <v>36208</v>
      </c>
      <c r="B8299" s="3" t="s">
        <v>36209</v>
      </c>
      <c r="C8299" s="5" t="s">
        <v>36</v>
      </c>
      <c r="D8299" s="5" t="s">
        <v>36</v>
      </c>
      <c r="E8299" s="5" t="s">
        <v>36</v>
      </c>
      <c r="F8299" s="5" t="s">
        <v>36</v>
      </c>
      <c r="G8299" s="6" t="s">
        <v>36</v>
      </c>
      <c r="H8299" s="4">
        <v>934.71</v>
      </c>
      <c r="I8299" s="7">
        <v>10.56</v>
      </c>
      <c r="J8299" s="3" t="s">
        <v>521</v>
      </c>
      <c r="K8299" s="9" t="s">
        <v>36</v>
      </c>
      <c r="L8299" s="6" t="s">
        <v>36</v>
      </c>
      <c r="M8299" s="3" t="s">
        <v>36</v>
      </c>
      <c r="N8299" s="3" t="s">
        <v>36</v>
      </c>
      <c r="O8299" s="8" t="s">
        <v>36</v>
      </c>
      <c r="P8299" s="3" t="s">
        <v>36</v>
      </c>
      <c r="Q8299" s="3" t="s">
        <v>36</v>
      </c>
      <c r="R8299" s="3" t="s">
        <v>36</v>
      </c>
      <c r="S8299" s="3" t="s">
        <v>36</v>
      </c>
      <c r="T8299" s="3" t="s">
        <v>35239</v>
      </c>
      <c r="U8299" s="3" t="s">
        <v>1580</v>
      </c>
      <c r="V8299" s="3" t="s">
        <v>39</v>
      </c>
      <c r="W8299" s="3" t="s">
        <v>36210</v>
      </c>
      <c r="X8299" s="10" t="s">
        <v>36211</v>
      </c>
      <c r="Y8299" s="6" t="s">
        <v>108</v>
      </c>
      <c r="Z8299" s="4">
        <v>0.2</v>
      </c>
      <c r="AA8299" s="4">
        <v>1.93</v>
      </c>
      <c r="AB8299" s="3" t="s">
        <v>43</v>
      </c>
      <c r="AC8299" s="3" t="s">
        <v>36212</v>
      </c>
      <c r="AD8299" s="9">
        <v>41164</v>
      </c>
      <c r="AE8299" s="3" t="s">
        <v>4086</v>
      </c>
      <c r="AF8299" s="3" t="s">
        <v>1636</v>
      </c>
      <c r="AG8299" s="3" t="s">
        <v>36213</v>
      </c>
      <c r="AH8299" s="11">
        <f>HYPERLINK("https://my.pitchbook.com?c=26321-68T","View Company Online")</f>
      </c>
    </row>
    <row r="8300">
      <c r="A8300" s="12" t="s">
        <v>36214</v>
      </c>
      <c r="B8300" s="12" t="s">
        <v>26162</v>
      </c>
      <c r="C8300" s="19" t="s">
        <v>36</v>
      </c>
      <c r="D8300" s="19">
        <v>1</v>
      </c>
      <c r="E8300" s="19">
        <v>4</v>
      </c>
      <c r="F8300" s="19">
        <v>5</v>
      </c>
      <c r="G8300" s="15" t="s">
        <v>36</v>
      </c>
      <c r="H8300" s="14">
        <v>1.21</v>
      </c>
      <c r="I8300" s="18">
        <v>25</v>
      </c>
      <c r="J8300" s="12" t="s">
        <v>521</v>
      </c>
      <c r="K8300" s="13" t="s">
        <v>36</v>
      </c>
      <c r="L8300" s="15" t="s">
        <v>122</v>
      </c>
      <c r="M8300" s="12" t="s">
        <v>36</v>
      </c>
      <c r="N8300" s="12" t="s">
        <v>122</v>
      </c>
      <c r="O8300" s="17" t="s">
        <v>36</v>
      </c>
      <c r="P8300" s="12" t="s">
        <v>3530</v>
      </c>
      <c r="Q8300" s="12" t="s">
        <v>3530</v>
      </c>
      <c r="R8300" s="12" t="s">
        <v>3531</v>
      </c>
      <c r="S8300" s="12" t="s">
        <v>36</v>
      </c>
      <c r="T8300" s="12" t="s">
        <v>5302</v>
      </c>
      <c r="U8300" s="12" t="s">
        <v>74</v>
      </c>
      <c r="V8300" s="12" t="s">
        <v>75</v>
      </c>
      <c r="W8300" s="12" t="s">
        <v>26163</v>
      </c>
      <c r="X8300" s="16" t="s">
        <v>36215</v>
      </c>
      <c r="Y8300" s="15" t="s">
        <v>42</v>
      </c>
      <c r="Z8300" s="14">
        <v>11</v>
      </c>
      <c r="AA8300" s="14">
        <v>40</v>
      </c>
      <c r="AB8300" s="12" t="s">
        <v>43</v>
      </c>
      <c r="AC8300" s="12" t="s">
        <v>26164</v>
      </c>
      <c r="AD8300" s="13">
        <v>41164</v>
      </c>
      <c r="AE8300" s="12" t="s">
        <v>362</v>
      </c>
      <c r="AF8300" s="12" t="s">
        <v>8083</v>
      </c>
      <c r="AG8300" s="12" t="s">
        <v>81</v>
      </c>
      <c r="AH8300" s="1">
        <f>HYPERLINK("https://my.pitchbook.com?c=22307-68T","View Company Online")</f>
      </c>
    </row>
    <row r="8301">
      <c r="A8301" s="3" t="s">
        <v>36216</v>
      </c>
      <c r="B8301" s="3" t="s">
        <v>32811</v>
      </c>
      <c r="C8301" s="5" t="s">
        <v>36</v>
      </c>
      <c r="D8301" s="5" t="s">
        <v>36</v>
      </c>
      <c r="E8301" s="5" t="s">
        <v>36</v>
      </c>
      <c r="F8301" s="5" t="s">
        <v>36</v>
      </c>
      <c r="G8301" s="6" t="s">
        <v>36</v>
      </c>
      <c r="H8301" s="4" t="s">
        <v>36</v>
      </c>
      <c r="I8301" s="7" t="s">
        <v>36</v>
      </c>
      <c r="J8301" s="3" t="s">
        <v>36</v>
      </c>
      <c r="K8301" s="9" t="s">
        <v>36</v>
      </c>
      <c r="L8301" s="6" t="s">
        <v>36</v>
      </c>
      <c r="M8301" s="3" t="s">
        <v>36</v>
      </c>
      <c r="N8301" s="3" t="s">
        <v>36</v>
      </c>
      <c r="O8301" s="8" t="s">
        <v>36</v>
      </c>
      <c r="P8301" s="3" t="s">
        <v>36</v>
      </c>
      <c r="Q8301" s="3" t="s">
        <v>36</v>
      </c>
      <c r="R8301" s="3" t="s">
        <v>36</v>
      </c>
      <c r="S8301" s="3" t="s">
        <v>36</v>
      </c>
      <c r="T8301" s="3" t="s">
        <v>32812</v>
      </c>
      <c r="U8301" s="3" t="s">
        <v>289</v>
      </c>
      <c r="V8301" s="3" t="s">
        <v>64</v>
      </c>
      <c r="W8301" s="3" t="s">
        <v>32813</v>
      </c>
      <c r="X8301" s="10" t="s">
        <v>36217</v>
      </c>
      <c r="Y8301" s="6" t="s">
        <v>42</v>
      </c>
      <c r="Z8301" s="4" t="s">
        <v>36</v>
      </c>
      <c r="AA8301" s="4" t="s">
        <v>36</v>
      </c>
      <c r="AB8301" s="3" t="s">
        <v>43</v>
      </c>
      <c r="AC8301" s="3" t="s">
        <v>32815</v>
      </c>
      <c r="AD8301" s="9">
        <v>41162</v>
      </c>
      <c r="AE8301" s="3" t="s">
        <v>292</v>
      </c>
      <c r="AF8301" s="3" t="s">
        <v>2118</v>
      </c>
      <c r="AG8301" s="3" t="s">
        <v>32816</v>
      </c>
      <c r="AH8301" s="11">
        <f>HYPERLINK("https://my.pitchbook.com?c=28648-72T","View Company Online")</f>
      </c>
    </row>
    <row r="8302">
      <c r="A8302" s="12" t="s">
        <v>36218</v>
      </c>
      <c r="B8302" s="12" t="s">
        <v>35257</v>
      </c>
      <c r="C8302" s="19" t="s">
        <v>36</v>
      </c>
      <c r="D8302" s="19" t="s">
        <v>36</v>
      </c>
      <c r="E8302" s="19" t="s">
        <v>36</v>
      </c>
      <c r="F8302" s="19" t="s">
        <v>36</v>
      </c>
      <c r="G8302" s="15" t="s">
        <v>36</v>
      </c>
      <c r="H8302" s="14" t="s">
        <v>36</v>
      </c>
      <c r="I8302" s="18" t="s">
        <v>36</v>
      </c>
      <c r="J8302" s="12" t="s">
        <v>36</v>
      </c>
      <c r="K8302" s="13" t="s">
        <v>36</v>
      </c>
      <c r="L8302" s="15" t="s">
        <v>36</v>
      </c>
      <c r="M8302" s="12" t="s">
        <v>36</v>
      </c>
      <c r="N8302" s="12" t="s">
        <v>36</v>
      </c>
      <c r="O8302" s="17" t="s">
        <v>36</v>
      </c>
      <c r="P8302" s="12" t="s">
        <v>36</v>
      </c>
      <c r="Q8302" s="12" t="s">
        <v>36</v>
      </c>
      <c r="R8302" s="12" t="s">
        <v>36</v>
      </c>
      <c r="S8302" s="12" t="s">
        <v>36</v>
      </c>
      <c r="T8302" s="12" t="s">
        <v>35258</v>
      </c>
      <c r="U8302" s="12" t="s">
        <v>648</v>
      </c>
      <c r="V8302" s="12" t="s">
        <v>64</v>
      </c>
      <c r="W8302" s="12" t="s">
        <v>35259</v>
      </c>
      <c r="X8302" s="16" t="s">
        <v>36219</v>
      </c>
      <c r="Y8302" s="15" t="s">
        <v>108</v>
      </c>
      <c r="Z8302" s="14">
        <v>0.37</v>
      </c>
      <c r="AA8302" s="14" t="s">
        <v>36</v>
      </c>
      <c r="AB8302" s="12" t="s">
        <v>43</v>
      </c>
      <c r="AC8302" s="12" t="s">
        <v>35261</v>
      </c>
      <c r="AD8302" s="13">
        <v>41159</v>
      </c>
      <c r="AE8302" s="12" t="s">
        <v>1897</v>
      </c>
      <c r="AF8302" s="12" t="s">
        <v>4552</v>
      </c>
      <c r="AG8302" s="12" t="s">
        <v>81</v>
      </c>
      <c r="AH8302" s="1">
        <f>HYPERLINK("https://my.pitchbook.com?c=28751-23T","View Company Online")</f>
      </c>
    </row>
    <row r="8303">
      <c r="A8303" s="3" t="s">
        <v>36220</v>
      </c>
      <c r="B8303" s="3" t="s">
        <v>36221</v>
      </c>
      <c r="C8303" s="5" t="s">
        <v>36</v>
      </c>
      <c r="D8303" s="5" t="s">
        <v>36</v>
      </c>
      <c r="E8303" s="5" t="s">
        <v>36</v>
      </c>
      <c r="F8303" s="5" t="s">
        <v>36</v>
      </c>
      <c r="G8303" s="6" t="s">
        <v>36</v>
      </c>
      <c r="H8303" s="4" t="s">
        <v>36</v>
      </c>
      <c r="I8303" s="7" t="s">
        <v>36</v>
      </c>
      <c r="J8303" s="3" t="s">
        <v>36</v>
      </c>
      <c r="K8303" s="9" t="s">
        <v>36</v>
      </c>
      <c r="L8303" s="6" t="s">
        <v>36</v>
      </c>
      <c r="M8303" s="3" t="s">
        <v>36</v>
      </c>
      <c r="N8303" s="3" t="s">
        <v>36</v>
      </c>
      <c r="O8303" s="8" t="s">
        <v>36</v>
      </c>
      <c r="P8303" s="3" t="s">
        <v>36</v>
      </c>
      <c r="Q8303" s="3" t="s">
        <v>36</v>
      </c>
      <c r="R8303" s="3" t="s">
        <v>36</v>
      </c>
      <c r="S8303" s="3" t="s">
        <v>36</v>
      </c>
      <c r="T8303" s="3" t="s">
        <v>3397</v>
      </c>
      <c r="U8303" s="3" t="s">
        <v>423</v>
      </c>
      <c r="V8303" s="3" t="s">
        <v>64</v>
      </c>
      <c r="W8303" s="3" t="s">
        <v>36222</v>
      </c>
      <c r="X8303" s="10" t="s">
        <v>36223</v>
      </c>
      <c r="Y8303" s="6" t="s">
        <v>108</v>
      </c>
      <c r="Z8303" s="4">
        <v>1.87</v>
      </c>
      <c r="AA8303" s="4" t="s">
        <v>36</v>
      </c>
      <c r="AB8303" s="3" t="s">
        <v>43</v>
      </c>
      <c r="AC8303" s="3" t="s">
        <v>36224</v>
      </c>
      <c r="AD8303" s="9">
        <v>41158</v>
      </c>
      <c r="AE8303" s="3" t="s">
        <v>562</v>
      </c>
      <c r="AF8303" s="3" t="s">
        <v>15548</v>
      </c>
      <c r="AG8303" s="3" t="s">
        <v>81</v>
      </c>
      <c r="AH8303" s="11">
        <f>HYPERLINK("https://my.pitchbook.com?c=26111-44T","View Company Online")</f>
      </c>
    </row>
    <row r="8304">
      <c r="A8304" s="12" t="s">
        <v>36225</v>
      </c>
      <c r="B8304" s="12" t="s">
        <v>27969</v>
      </c>
      <c r="C8304" s="19">
        <v>3</v>
      </c>
      <c r="D8304" s="19">
        <v>87</v>
      </c>
      <c r="E8304" s="19">
        <v>40</v>
      </c>
      <c r="F8304" s="19">
        <v>123</v>
      </c>
      <c r="G8304" s="15" t="s">
        <v>326</v>
      </c>
      <c r="H8304" s="14">
        <v>12.15</v>
      </c>
      <c r="I8304" s="18">
        <v>48</v>
      </c>
      <c r="J8304" s="12" t="s">
        <v>521</v>
      </c>
      <c r="K8304" s="13" t="s">
        <v>36</v>
      </c>
      <c r="L8304" s="15" t="s">
        <v>94</v>
      </c>
      <c r="M8304" s="12" t="s">
        <v>36</v>
      </c>
      <c r="N8304" s="12" t="s">
        <v>94</v>
      </c>
      <c r="O8304" s="17" t="s">
        <v>36</v>
      </c>
      <c r="P8304" s="12" t="s">
        <v>36</v>
      </c>
      <c r="Q8304" s="12" t="s">
        <v>36</v>
      </c>
      <c r="R8304" s="12" t="s">
        <v>36</v>
      </c>
      <c r="S8304" s="12" t="s">
        <v>20994</v>
      </c>
      <c r="T8304" s="12" t="s">
        <v>27970</v>
      </c>
      <c r="U8304" s="12" t="s">
        <v>1580</v>
      </c>
      <c r="V8304" s="12" t="s">
        <v>39</v>
      </c>
      <c r="W8304" s="12" t="s">
        <v>27971</v>
      </c>
      <c r="X8304" s="16" t="s">
        <v>36226</v>
      </c>
      <c r="Y8304" s="15" t="s">
        <v>108</v>
      </c>
      <c r="Z8304" s="14">
        <v>12.44</v>
      </c>
      <c r="AA8304" s="14">
        <v>25.91</v>
      </c>
      <c r="AB8304" s="12" t="s">
        <v>43</v>
      </c>
      <c r="AC8304" s="12" t="s">
        <v>27973</v>
      </c>
      <c r="AD8304" s="13">
        <v>41157</v>
      </c>
      <c r="AE8304" s="12" t="s">
        <v>3854</v>
      </c>
      <c r="AF8304" s="12" t="s">
        <v>24285</v>
      </c>
      <c r="AG8304" s="12" t="s">
        <v>539</v>
      </c>
      <c r="AH8304" s="1">
        <f>HYPERLINK("https://my.pitchbook.com?c=24631-84T","View Company Online")</f>
      </c>
    </row>
    <row r="8305">
      <c r="A8305" s="3" t="s">
        <v>36227</v>
      </c>
      <c r="B8305" s="3" t="s">
        <v>36228</v>
      </c>
      <c r="C8305" s="5" t="s">
        <v>36</v>
      </c>
      <c r="D8305" s="5" t="s">
        <v>36</v>
      </c>
      <c r="E8305" s="5" t="s">
        <v>36</v>
      </c>
      <c r="F8305" s="5" t="s">
        <v>36</v>
      </c>
      <c r="G8305" s="6" t="s">
        <v>36</v>
      </c>
      <c r="H8305" s="4" t="s">
        <v>36</v>
      </c>
      <c r="I8305" s="7" t="s">
        <v>36</v>
      </c>
      <c r="J8305" s="3" t="s">
        <v>36</v>
      </c>
      <c r="K8305" s="9" t="s">
        <v>36</v>
      </c>
      <c r="L8305" s="6" t="s">
        <v>36</v>
      </c>
      <c r="M8305" s="3" t="s">
        <v>36</v>
      </c>
      <c r="N8305" s="3" t="s">
        <v>36</v>
      </c>
      <c r="O8305" s="8" t="s">
        <v>36</v>
      </c>
      <c r="P8305" s="3" t="s">
        <v>36</v>
      </c>
      <c r="Q8305" s="3" t="s">
        <v>36</v>
      </c>
      <c r="R8305" s="3" t="s">
        <v>36</v>
      </c>
      <c r="S8305" s="3" t="s">
        <v>36</v>
      </c>
      <c r="T8305" s="3" t="s">
        <v>36229</v>
      </c>
      <c r="U8305" s="3" t="s">
        <v>38</v>
      </c>
      <c r="V8305" s="3" t="s">
        <v>39</v>
      </c>
      <c r="W8305" s="3" t="s">
        <v>36230</v>
      </c>
      <c r="X8305" s="10" t="s">
        <v>36231</v>
      </c>
      <c r="Y8305" s="6" t="s">
        <v>42</v>
      </c>
      <c r="Z8305" s="4">
        <v>3.73</v>
      </c>
      <c r="AA8305" s="4" t="s">
        <v>36</v>
      </c>
      <c r="AB8305" s="3" t="s">
        <v>43</v>
      </c>
      <c r="AC8305" s="3" t="s">
        <v>36232</v>
      </c>
      <c r="AD8305" s="9">
        <v>41157</v>
      </c>
      <c r="AE8305" s="3" t="s">
        <v>339</v>
      </c>
      <c r="AF8305" s="3" t="s">
        <v>4552</v>
      </c>
      <c r="AG8305" s="3" t="s">
        <v>47</v>
      </c>
      <c r="AH8305" s="11">
        <f>HYPERLINK("https://my.pitchbook.com?c=28615-96T","View Company Online")</f>
      </c>
    </row>
    <row r="8306">
      <c r="A8306" s="12" t="s">
        <v>36233</v>
      </c>
      <c r="B8306" s="12" t="s">
        <v>36234</v>
      </c>
      <c r="C8306" s="19" t="s">
        <v>36</v>
      </c>
      <c r="D8306" s="19" t="s">
        <v>36</v>
      </c>
      <c r="E8306" s="19" t="s">
        <v>36</v>
      </c>
      <c r="F8306" s="19" t="s">
        <v>36</v>
      </c>
      <c r="G8306" s="15" t="s">
        <v>36</v>
      </c>
      <c r="H8306" s="14" t="s">
        <v>36</v>
      </c>
      <c r="I8306" s="18" t="s">
        <v>36</v>
      </c>
      <c r="J8306" s="12" t="s">
        <v>36</v>
      </c>
      <c r="K8306" s="13" t="s">
        <v>36</v>
      </c>
      <c r="L8306" s="15" t="s">
        <v>36</v>
      </c>
      <c r="M8306" s="12" t="s">
        <v>36</v>
      </c>
      <c r="N8306" s="12" t="s">
        <v>36</v>
      </c>
      <c r="O8306" s="17" t="s">
        <v>36</v>
      </c>
      <c r="P8306" s="12" t="s">
        <v>36</v>
      </c>
      <c r="Q8306" s="12" t="s">
        <v>36</v>
      </c>
      <c r="R8306" s="12" t="s">
        <v>36</v>
      </c>
      <c r="S8306" s="12" t="s">
        <v>36</v>
      </c>
      <c r="T8306" s="12" t="s">
        <v>522</v>
      </c>
      <c r="U8306" s="12" t="s">
        <v>38</v>
      </c>
      <c r="V8306" s="12" t="s">
        <v>39</v>
      </c>
      <c r="W8306" s="12" t="s">
        <v>36235</v>
      </c>
      <c r="X8306" s="16" t="s">
        <v>36236</v>
      </c>
      <c r="Y8306" s="15" t="s">
        <v>108</v>
      </c>
      <c r="Z8306" s="14" t="s">
        <v>36</v>
      </c>
      <c r="AA8306" s="14" t="s">
        <v>36</v>
      </c>
      <c r="AB8306" s="12" t="s">
        <v>56</v>
      </c>
      <c r="AC8306" s="12" t="s">
        <v>36237</v>
      </c>
      <c r="AD8306" s="13">
        <v>41155</v>
      </c>
      <c r="AE8306" s="12" t="s">
        <v>110</v>
      </c>
      <c r="AF8306" s="12" t="s">
        <v>1077</v>
      </c>
      <c r="AG8306" s="12" t="s">
        <v>2760</v>
      </c>
      <c r="AH8306" s="1">
        <f>HYPERLINK("https://my.pitchbook.com?c=256759-75T","View Company Online")</f>
      </c>
    </row>
    <row r="8307">
      <c r="A8307" s="3" t="s">
        <v>36238</v>
      </c>
      <c r="B8307" s="3" t="s">
        <v>36239</v>
      </c>
      <c r="C8307" s="5" t="s">
        <v>36</v>
      </c>
      <c r="D8307" s="5" t="s">
        <v>36</v>
      </c>
      <c r="E8307" s="5" t="s">
        <v>36</v>
      </c>
      <c r="F8307" s="5" t="s">
        <v>36</v>
      </c>
      <c r="G8307" s="6" t="s">
        <v>36</v>
      </c>
      <c r="H8307" s="4" t="s">
        <v>36</v>
      </c>
      <c r="I8307" s="7" t="s">
        <v>36</v>
      </c>
      <c r="J8307" s="3" t="s">
        <v>36</v>
      </c>
      <c r="K8307" s="9" t="s">
        <v>36</v>
      </c>
      <c r="L8307" s="6" t="s">
        <v>36</v>
      </c>
      <c r="M8307" s="3" t="s">
        <v>36</v>
      </c>
      <c r="N8307" s="3" t="s">
        <v>36</v>
      </c>
      <c r="O8307" s="8" t="s">
        <v>36</v>
      </c>
      <c r="P8307" s="3" t="s">
        <v>36</v>
      </c>
      <c r="Q8307" s="3" t="s">
        <v>36</v>
      </c>
      <c r="R8307" s="3" t="s">
        <v>36</v>
      </c>
      <c r="S8307" s="3" t="s">
        <v>36</v>
      </c>
      <c r="T8307" s="3" t="s">
        <v>3843</v>
      </c>
      <c r="U8307" s="3" t="s">
        <v>180</v>
      </c>
      <c r="V8307" s="3" t="s">
        <v>52</v>
      </c>
      <c r="W8307" s="3" t="s">
        <v>36240</v>
      </c>
      <c r="X8307" s="10" t="s">
        <v>36241</v>
      </c>
      <c r="Y8307" s="6" t="s">
        <v>192</v>
      </c>
      <c r="Z8307" s="4">
        <v>4.97</v>
      </c>
      <c r="AA8307" s="4" t="s">
        <v>36</v>
      </c>
      <c r="AB8307" s="3" t="s">
        <v>56</v>
      </c>
      <c r="AC8307" s="3" t="s">
        <v>36242</v>
      </c>
      <c r="AD8307" s="9">
        <v>41155</v>
      </c>
      <c r="AE8307" s="3" t="s">
        <v>3847</v>
      </c>
      <c r="AF8307" s="3" t="s">
        <v>4552</v>
      </c>
      <c r="AG8307" s="3" t="s">
        <v>36243</v>
      </c>
      <c r="AH8307" s="11">
        <f>HYPERLINK("https://my.pitchbook.com?c=26382-07T","View Company Online")</f>
      </c>
    </row>
    <row r="8308">
      <c r="A8308" s="12" t="s">
        <v>36244</v>
      </c>
      <c r="B8308" s="12" t="s">
        <v>36245</v>
      </c>
      <c r="C8308" s="19" t="s">
        <v>36</v>
      </c>
      <c r="D8308" s="19" t="s">
        <v>36</v>
      </c>
      <c r="E8308" s="19" t="s">
        <v>36</v>
      </c>
      <c r="F8308" s="19" t="s">
        <v>36</v>
      </c>
      <c r="G8308" s="15" t="s">
        <v>36</v>
      </c>
      <c r="H8308" s="14" t="s">
        <v>36</v>
      </c>
      <c r="I8308" s="18" t="s">
        <v>36</v>
      </c>
      <c r="J8308" s="12" t="s">
        <v>36</v>
      </c>
      <c r="K8308" s="13" t="s">
        <v>36</v>
      </c>
      <c r="L8308" s="15" t="s">
        <v>36</v>
      </c>
      <c r="M8308" s="12" t="s">
        <v>36</v>
      </c>
      <c r="N8308" s="12" t="s">
        <v>36</v>
      </c>
      <c r="O8308" s="17" t="s">
        <v>36</v>
      </c>
      <c r="P8308" s="12" t="s">
        <v>36</v>
      </c>
      <c r="Q8308" s="12" t="s">
        <v>36</v>
      </c>
      <c r="R8308" s="12" t="s">
        <v>36</v>
      </c>
      <c r="S8308" s="12" t="s">
        <v>36</v>
      </c>
      <c r="T8308" s="12" t="s">
        <v>36246</v>
      </c>
      <c r="U8308" s="12" t="s">
        <v>74</v>
      </c>
      <c r="V8308" s="12" t="s">
        <v>75</v>
      </c>
      <c r="W8308" s="12" t="s">
        <v>36247</v>
      </c>
      <c r="X8308" s="16" t="s">
        <v>560</v>
      </c>
      <c r="Y8308" s="15" t="s">
        <v>42</v>
      </c>
      <c r="Z8308" s="14" t="s">
        <v>36</v>
      </c>
      <c r="AA8308" s="14" t="s">
        <v>36</v>
      </c>
      <c r="AB8308" s="12" t="s">
        <v>56</v>
      </c>
      <c r="AC8308" s="12" t="s">
        <v>36248</v>
      </c>
      <c r="AD8308" s="13">
        <v>41153</v>
      </c>
      <c r="AE8308" s="12" t="s">
        <v>1243</v>
      </c>
      <c r="AF8308" s="12" t="s">
        <v>1636</v>
      </c>
      <c r="AG8308" s="12" t="s">
        <v>81</v>
      </c>
      <c r="AH8308" s="1">
        <f>HYPERLINK("https://my.pitchbook.com?c=35381-62T","View Company Online")</f>
      </c>
    </row>
    <row r="8309">
      <c r="A8309" s="3" t="s">
        <v>36249</v>
      </c>
      <c r="B8309" s="3" t="s">
        <v>24902</v>
      </c>
      <c r="C8309" s="5" t="s">
        <v>36</v>
      </c>
      <c r="D8309" s="5" t="s">
        <v>36</v>
      </c>
      <c r="E8309" s="5" t="s">
        <v>36</v>
      </c>
      <c r="F8309" s="5" t="s">
        <v>36</v>
      </c>
      <c r="G8309" s="6" t="s">
        <v>36</v>
      </c>
      <c r="H8309" s="4">
        <v>2.57</v>
      </c>
      <c r="I8309" s="7">
        <v>19.83</v>
      </c>
      <c r="J8309" s="3" t="s">
        <v>521</v>
      </c>
      <c r="K8309" s="9">
        <v>41070</v>
      </c>
      <c r="L8309" s="6" t="s">
        <v>36</v>
      </c>
      <c r="M8309" s="3" t="s">
        <v>36</v>
      </c>
      <c r="N8309" s="3" t="s">
        <v>36</v>
      </c>
      <c r="O8309" s="8" t="s">
        <v>36</v>
      </c>
      <c r="P8309" s="3" t="s">
        <v>36</v>
      </c>
      <c r="Q8309" s="3" t="s">
        <v>36</v>
      </c>
      <c r="R8309" s="3" t="s">
        <v>36</v>
      </c>
      <c r="S8309" s="3" t="s">
        <v>36</v>
      </c>
      <c r="T8309" s="3" t="s">
        <v>123</v>
      </c>
      <c r="U8309" s="3" t="s">
        <v>38</v>
      </c>
      <c r="V8309" s="3" t="s">
        <v>39</v>
      </c>
      <c r="W8309" s="3" t="s">
        <v>24903</v>
      </c>
      <c r="X8309" s="10" t="s">
        <v>36250</v>
      </c>
      <c r="Y8309" s="6" t="s">
        <v>108</v>
      </c>
      <c r="Z8309" s="4">
        <v>0.84</v>
      </c>
      <c r="AA8309" s="4">
        <v>2.8</v>
      </c>
      <c r="AB8309" s="3" t="s">
        <v>43</v>
      </c>
      <c r="AC8309" s="3" t="s">
        <v>24904</v>
      </c>
      <c r="AD8309" s="9">
        <v>41153</v>
      </c>
      <c r="AE8309" s="3" t="s">
        <v>110</v>
      </c>
      <c r="AF8309" s="3" t="s">
        <v>1842</v>
      </c>
      <c r="AG8309" s="3" t="s">
        <v>81</v>
      </c>
      <c r="AH8309" s="11">
        <f>HYPERLINK("https://my.pitchbook.com?c=51401-26T","View Company Online")</f>
      </c>
    </row>
    <row r="8310">
      <c r="A8310" s="12" t="s">
        <v>36251</v>
      </c>
      <c r="B8310" s="12" t="s">
        <v>36252</v>
      </c>
      <c r="C8310" s="19" t="s">
        <v>36</v>
      </c>
      <c r="D8310" s="19" t="s">
        <v>36</v>
      </c>
      <c r="E8310" s="19" t="s">
        <v>36</v>
      </c>
      <c r="F8310" s="19" t="s">
        <v>36</v>
      </c>
      <c r="G8310" s="15" t="s">
        <v>36</v>
      </c>
      <c r="H8310" s="14" t="s">
        <v>36</v>
      </c>
      <c r="I8310" s="18" t="s">
        <v>36</v>
      </c>
      <c r="J8310" s="12" t="s">
        <v>36</v>
      </c>
      <c r="K8310" s="13" t="s">
        <v>36</v>
      </c>
      <c r="L8310" s="15" t="s">
        <v>36</v>
      </c>
      <c r="M8310" s="12" t="s">
        <v>36</v>
      </c>
      <c r="N8310" s="12" t="s">
        <v>36</v>
      </c>
      <c r="O8310" s="17" t="s">
        <v>36</v>
      </c>
      <c r="P8310" s="12" t="s">
        <v>36</v>
      </c>
      <c r="Q8310" s="12" t="s">
        <v>36</v>
      </c>
      <c r="R8310" s="12" t="s">
        <v>36</v>
      </c>
      <c r="S8310" s="12" t="s">
        <v>36</v>
      </c>
      <c r="T8310" s="12" t="s">
        <v>17694</v>
      </c>
      <c r="U8310" s="12" t="s">
        <v>38</v>
      </c>
      <c r="V8310" s="12" t="s">
        <v>39</v>
      </c>
      <c r="W8310" s="12" t="s">
        <v>36253</v>
      </c>
      <c r="X8310" s="16" t="s">
        <v>36254</v>
      </c>
      <c r="Y8310" s="15" t="s">
        <v>42</v>
      </c>
      <c r="Z8310" s="14">
        <v>0.99</v>
      </c>
      <c r="AA8310" s="14" t="s">
        <v>36</v>
      </c>
      <c r="AB8310" s="12" t="s">
        <v>43</v>
      </c>
      <c r="AC8310" s="12" t="s">
        <v>36255</v>
      </c>
      <c r="AD8310" s="13">
        <v>41153</v>
      </c>
      <c r="AE8310" s="12" t="s">
        <v>688</v>
      </c>
      <c r="AF8310" s="12" t="s">
        <v>1077</v>
      </c>
      <c r="AG8310" s="12" t="s">
        <v>81</v>
      </c>
      <c r="AH8310" s="1">
        <f>HYPERLINK("https://my.pitchbook.com?c=70754-14T","View Company Online")</f>
      </c>
    </row>
    <row r="8311">
      <c r="A8311" s="3" t="s">
        <v>36256</v>
      </c>
      <c r="B8311" s="3" t="s">
        <v>24762</v>
      </c>
      <c r="C8311" s="5" t="s">
        <v>36</v>
      </c>
      <c r="D8311" s="5" t="s">
        <v>36</v>
      </c>
      <c r="E8311" s="5" t="s">
        <v>36</v>
      </c>
      <c r="F8311" s="5" t="s">
        <v>36</v>
      </c>
      <c r="G8311" s="6" t="s">
        <v>36</v>
      </c>
      <c r="H8311" s="4">
        <v>42.58</v>
      </c>
      <c r="I8311" s="7">
        <v>24.97</v>
      </c>
      <c r="J8311" s="3" t="s">
        <v>521</v>
      </c>
      <c r="K8311" s="9" t="s">
        <v>36</v>
      </c>
      <c r="L8311" s="6" t="s">
        <v>36</v>
      </c>
      <c r="M8311" s="3" t="s">
        <v>36</v>
      </c>
      <c r="N8311" s="3" t="s">
        <v>36</v>
      </c>
      <c r="O8311" s="8" t="s">
        <v>36</v>
      </c>
      <c r="P8311" s="3" t="s">
        <v>36</v>
      </c>
      <c r="Q8311" s="3" t="s">
        <v>36</v>
      </c>
      <c r="R8311" s="3" t="s">
        <v>36</v>
      </c>
      <c r="S8311" s="3" t="s">
        <v>36</v>
      </c>
      <c r="T8311" s="3" t="s">
        <v>24763</v>
      </c>
      <c r="U8311" s="3" t="s">
        <v>1798</v>
      </c>
      <c r="V8311" s="3" t="s">
        <v>39</v>
      </c>
      <c r="W8311" s="3" t="s">
        <v>24764</v>
      </c>
      <c r="X8311" s="10" t="s">
        <v>36257</v>
      </c>
      <c r="Y8311" s="6" t="s">
        <v>42</v>
      </c>
      <c r="Z8311" s="4">
        <v>0.74</v>
      </c>
      <c r="AA8311" s="4">
        <v>1.49</v>
      </c>
      <c r="AB8311" s="3" t="s">
        <v>43</v>
      </c>
      <c r="AC8311" s="3" t="s">
        <v>24766</v>
      </c>
      <c r="AD8311" s="9">
        <v>41152</v>
      </c>
      <c r="AE8311" s="3" t="s">
        <v>4247</v>
      </c>
      <c r="AF8311" s="3" t="s">
        <v>24767</v>
      </c>
      <c r="AG8311" s="3" t="s">
        <v>9713</v>
      </c>
      <c r="AH8311" s="11">
        <f>HYPERLINK("https://my.pitchbook.com?c=30715-48T","View Company Online")</f>
      </c>
    </row>
    <row r="8312">
      <c r="A8312" s="12" t="s">
        <v>36258</v>
      </c>
      <c r="B8312" s="12" t="s">
        <v>19268</v>
      </c>
      <c r="C8312" s="19" t="s">
        <v>36</v>
      </c>
      <c r="D8312" s="19" t="s">
        <v>36</v>
      </c>
      <c r="E8312" s="19">
        <v>1</v>
      </c>
      <c r="F8312" s="19">
        <v>1</v>
      </c>
      <c r="G8312" s="15" t="s">
        <v>36</v>
      </c>
      <c r="H8312" s="14">
        <v>41.54</v>
      </c>
      <c r="I8312" s="18">
        <v>8.93</v>
      </c>
      <c r="J8312" s="12" t="s">
        <v>521</v>
      </c>
      <c r="K8312" s="13" t="s">
        <v>36</v>
      </c>
      <c r="L8312" s="15" t="s">
        <v>36</v>
      </c>
      <c r="M8312" s="12" t="s">
        <v>36</v>
      </c>
      <c r="N8312" s="12" t="s">
        <v>36</v>
      </c>
      <c r="O8312" s="17" t="s">
        <v>36</v>
      </c>
      <c r="P8312" s="12" t="s">
        <v>36</v>
      </c>
      <c r="Q8312" s="12" t="s">
        <v>36</v>
      </c>
      <c r="R8312" s="12" t="s">
        <v>36</v>
      </c>
      <c r="S8312" s="12" t="s">
        <v>36</v>
      </c>
      <c r="T8312" s="12" t="s">
        <v>1725</v>
      </c>
      <c r="U8312" s="12" t="s">
        <v>318</v>
      </c>
      <c r="V8312" s="12" t="s">
        <v>39</v>
      </c>
      <c r="W8312" s="12" t="s">
        <v>19269</v>
      </c>
      <c r="X8312" s="16" t="s">
        <v>36259</v>
      </c>
      <c r="Y8312" s="15" t="s">
        <v>42</v>
      </c>
      <c r="Z8312" s="14">
        <v>0.09</v>
      </c>
      <c r="AA8312" s="14">
        <v>1.04</v>
      </c>
      <c r="AB8312" s="12" t="s">
        <v>43</v>
      </c>
      <c r="AC8312" s="12" t="s">
        <v>19271</v>
      </c>
      <c r="AD8312" s="13">
        <v>41151</v>
      </c>
      <c r="AE8312" s="12" t="s">
        <v>763</v>
      </c>
      <c r="AF8312" s="12" t="s">
        <v>19272</v>
      </c>
      <c r="AG8312" s="12" t="s">
        <v>19273</v>
      </c>
      <c r="AH8312" s="1">
        <f>HYPERLINK("https://my.pitchbook.com?c=156047-59T","View Company Online")</f>
      </c>
    </row>
    <row r="8313">
      <c r="A8313" s="3" t="s">
        <v>36260</v>
      </c>
      <c r="B8313" s="3" t="s">
        <v>36261</v>
      </c>
      <c r="C8313" s="5" t="s">
        <v>36</v>
      </c>
      <c r="D8313" s="5">
        <v>26</v>
      </c>
      <c r="E8313" s="5">
        <v>3</v>
      </c>
      <c r="F8313" s="5">
        <v>32</v>
      </c>
      <c r="G8313" s="6" t="s">
        <v>36</v>
      </c>
      <c r="H8313" s="4" t="s">
        <v>36</v>
      </c>
      <c r="I8313" s="7" t="s">
        <v>36</v>
      </c>
      <c r="J8313" s="3" t="s">
        <v>36</v>
      </c>
      <c r="K8313" s="9" t="s">
        <v>36</v>
      </c>
      <c r="L8313" s="6" t="s">
        <v>36</v>
      </c>
      <c r="M8313" s="3" t="s">
        <v>36</v>
      </c>
      <c r="N8313" s="3" t="s">
        <v>36</v>
      </c>
      <c r="O8313" s="8" t="s">
        <v>36</v>
      </c>
      <c r="P8313" s="3" t="s">
        <v>36</v>
      </c>
      <c r="Q8313" s="3" t="s">
        <v>36</v>
      </c>
      <c r="R8313" s="3" t="s">
        <v>36</v>
      </c>
      <c r="S8313" s="3" t="s">
        <v>36262</v>
      </c>
      <c r="T8313" s="3" t="s">
        <v>20719</v>
      </c>
      <c r="U8313" s="3" t="s">
        <v>51</v>
      </c>
      <c r="V8313" s="3" t="s">
        <v>52</v>
      </c>
      <c r="W8313" s="3" t="s">
        <v>36263</v>
      </c>
      <c r="X8313" s="10" t="s">
        <v>36264</v>
      </c>
      <c r="Y8313" s="6" t="s">
        <v>55</v>
      </c>
      <c r="Z8313" s="4">
        <v>1.23</v>
      </c>
      <c r="AA8313" s="4" t="s">
        <v>36</v>
      </c>
      <c r="AB8313" s="3" t="s">
        <v>56</v>
      </c>
      <c r="AC8313" s="3" t="s">
        <v>36265</v>
      </c>
      <c r="AD8313" s="9">
        <v>41145</v>
      </c>
      <c r="AE8313" s="3" t="s">
        <v>58</v>
      </c>
      <c r="AF8313" s="3" t="s">
        <v>36266</v>
      </c>
      <c r="AG8313" s="3" t="s">
        <v>81</v>
      </c>
      <c r="AH8313" s="11">
        <f>HYPERLINK("https://my.pitchbook.com?c=107111-35T","View Company Online")</f>
      </c>
    </row>
    <row r="8314">
      <c r="A8314" s="12" t="s">
        <v>36267</v>
      </c>
      <c r="B8314" s="12" t="s">
        <v>35765</v>
      </c>
      <c r="C8314" s="19" t="s">
        <v>36</v>
      </c>
      <c r="D8314" s="19" t="s">
        <v>36</v>
      </c>
      <c r="E8314" s="19" t="s">
        <v>36</v>
      </c>
      <c r="F8314" s="19" t="s">
        <v>36</v>
      </c>
      <c r="G8314" s="15" t="s">
        <v>36</v>
      </c>
      <c r="H8314" s="14">
        <v>10.39</v>
      </c>
      <c r="I8314" s="18">
        <v>19.76</v>
      </c>
      <c r="J8314" s="12" t="s">
        <v>521</v>
      </c>
      <c r="K8314" s="13">
        <v>41082</v>
      </c>
      <c r="L8314" s="15" t="s">
        <v>36</v>
      </c>
      <c r="M8314" s="12" t="s">
        <v>36</v>
      </c>
      <c r="N8314" s="12" t="s">
        <v>36</v>
      </c>
      <c r="O8314" s="17" t="s">
        <v>36</v>
      </c>
      <c r="P8314" s="12" t="s">
        <v>36</v>
      </c>
      <c r="Q8314" s="12" t="s">
        <v>36</v>
      </c>
      <c r="R8314" s="12" t="s">
        <v>36</v>
      </c>
      <c r="S8314" s="12" t="s">
        <v>36</v>
      </c>
      <c r="T8314" s="12" t="s">
        <v>35766</v>
      </c>
      <c r="U8314" s="12" t="s">
        <v>219</v>
      </c>
      <c r="V8314" s="12" t="s">
        <v>75</v>
      </c>
      <c r="W8314" s="12" t="s">
        <v>35767</v>
      </c>
      <c r="X8314" s="16" t="s">
        <v>17804</v>
      </c>
      <c r="Y8314" s="15" t="s">
        <v>42</v>
      </c>
      <c r="Z8314" s="14">
        <v>1.3</v>
      </c>
      <c r="AA8314" s="14">
        <v>6.57</v>
      </c>
      <c r="AB8314" s="12" t="s">
        <v>56</v>
      </c>
      <c r="AC8314" s="12" t="s">
        <v>35769</v>
      </c>
      <c r="AD8314" s="13">
        <v>41134</v>
      </c>
      <c r="AE8314" s="12" t="s">
        <v>223</v>
      </c>
      <c r="AF8314" s="12" t="s">
        <v>1969</v>
      </c>
      <c r="AG8314" s="12" t="s">
        <v>35770</v>
      </c>
      <c r="AH8314" s="1">
        <f>HYPERLINK("https://my.pitchbook.com?c=26141-14T","View Company Online")</f>
      </c>
    </row>
    <row r="8315">
      <c r="A8315" s="3" t="s">
        <v>36268</v>
      </c>
      <c r="B8315" s="3" t="s">
        <v>31765</v>
      </c>
      <c r="C8315" s="5" t="s">
        <v>36</v>
      </c>
      <c r="D8315" s="5" t="s">
        <v>36</v>
      </c>
      <c r="E8315" s="5" t="s">
        <v>36</v>
      </c>
      <c r="F8315" s="5" t="s">
        <v>36</v>
      </c>
      <c r="G8315" s="6" t="s">
        <v>36</v>
      </c>
      <c r="H8315" s="4">
        <v>963.79</v>
      </c>
      <c r="I8315" s="7">
        <v>20.33</v>
      </c>
      <c r="J8315" s="3" t="s">
        <v>521</v>
      </c>
      <c r="K8315" s="9" t="s">
        <v>36</v>
      </c>
      <c r="L8315" s="6" t="s">
        <v>36</v>
      </c>
      <c r="M8315" s="3" t="s">
        <v>36</v>
      </c>
      <c r="N8315" s="3" t="s">
        <v>36</v>
      </c>
      <c r="O8315" s="8" t="s">
        <v>36</v>
      </c>
      <c r="P8315" s="3" t="s">
        <v>36</v>
      </c>
      <c r="Q8315" s="3" t="s">
        <v>36</v>
      </c>
      <c r="R8315" s="3" t="s">
        <v>36</v>
      </c>
      <c r="S8315" s="3" t="s">
        <v>36</v>
      </c>
      <c r="T8315" s="3" t="s">
        <v>855</v>
      </c>
      <c r="U8315" s="3" t="s">
        <v>648</v>
      </c>
      <c r="V8315" s="3" t="s">
        <v>64</v>
      </c>
      <c r="W8315" s="3" t="s">
        <v>31766</v>
      </c>
      <c r="X8315" s="10" t="s">
        <v>29960</v>
      </c>
      <c r="Y8315" s="6" t="s">
        <v>42</v>
      </c>
      <c r="Z8315" s="4">
        <v>0.15</v>
      </c>
      <c r="AA8315" s="4">
        <v>0.76</v>
      </c>
      <c r="AB8315" s="3" t="s">
        <v>43</v>
      </c>
      <c r="AC8315" s="3" t="s">
        <v>31768</v>
      </c>
      <c r="AD8315" s="9">
        <v>41130</v>
      </c>
      <c r="AE8315" s="3" t="s">
        <v>651</v>
      </c>
      <c r="AF8315" s="3" t="s">
        <v>1077</v>
      </c>
      <c r="AG8315" s="3" t="s">
        <v>81</v>
      </c>
      <c r="AH8315" s="11">
        <f>HYPERLINK("https://my.pitchbook.com?c=252111-43T","View Company Online")</f>
      </c>
    </row>
    <row r="8316">
      <c r="A8316" s="12" t="s">
        <v>36269</v>
      </c>
      <c r="B8316" s="12" t="s">
        <v>33775</v>
      </c>
      <c r="C8316" s="19" t="s">
        <v>36</v>
      </c>
      <c r="D8316" s="19" t="s">
        <v>36</v>
      </c>
      <c r="E8316" s="19" t="s">
        <v>36</v>
      </c>
      <c r="F8316" s="19" t="s">
        <v>36</v>
      </c>
      <c r="G8316" s="15" t="s">
        <v>36</v>
      </c>
      <c r="H8316" s="14" t="s">
        <v>36</v>
      </c>
      <c r="I8316" s="18" t="s">
        <v>36</v>
      </c>
      <c r="J8316" s="12" t="s">
        <v>36</v>
      </c>
      <c r="K8316" s="13">
        <v>40589</v>
      </c>
      <c r="L8316" s="15" t="s">
        <v>36</v>
      </c>
      <c r="M8316" s="12" t="s">
        <v>36</v>
      </c>
      <c r="N8316" s="12" t="s">
        <v>36</v>
      </c>
      <c r="O8316" s="17" t="s">
        <v>36</v>
      </c>
      <c r="P8316" s="12" t="s">
        <v>36</v>
      </c>
      <c r="Q8316" s="12" t="s">
        <v>36</v>
      </c>
      <c r="R8316" s="12" t="s">
        <v>36</v>
      </c>
      <c r="S8316" s="12" t="s">
        <v>36</v>
      </c>
      <c r="T8316" s="12" t="s">
        <v>33776</v>
      </c>
      <c r="U8316" s="12" t="s">
        <v>38</v>
      </c>
      <c r="V8316" s="12" t="s">
        <v>39</v>
      </c>
      <c r="W8316" s="12" t="s">
        <v>33777</v>
      </c>
      <c r="X8316" s="16" t="s">
        <v>36270</v>
      </c>
      <c r="Y8316" s="15" t="s">
        <v>108</v>
      </c>
      <c r="Z8316" s="14">
        <v>1.84</v>
      </c>
      <c r="AA8316" s="14" t="s">
        <v>36</v>
      </c>
      <c r="AB8316" s="12" t="s">
        <v>56</v>
      </c>
      <c r="AC8316" s="12" t="s">
        <v>33779</v>
      </c>
      <c r="AD8316" s="13">
        <v>41130</v>
      </c>
      <c r="AE8316" s="12" t="s">
        <v>785</v>
      </c>
      <c r="AF8316" s="12" t="s">
        <v>815</v>
      </c>
      <c r="AG8316" s="12" t="s">
        <v>81</v>
      </c>
      <c r="AH8316" s="1">
        <f>HYPERLINK("https://my.pitchbook.com?c=85079-53T","View Company Online")</f>
      </c>
    </row>
    <row r="8317">
      <c r="A8317" s="3" t="s">
        <v>36271</v>
      </c>
      <c r="B8317" s="3" t="s">
        <v>36272</v>
      </c>
      <c r="C8317" s="5" t="s">
        <v>36</v>
      </c>
      <c r="D8317" s="5" t="s">
        <v>36</v>
      </c>
      <c r="E8317" s="5" t="s">
        <v>36</v>
      </c>
      <c r="F8317" s="5" t="s">
        <v>36</v>
      </c>
      <c r="G8317" s="6" t="s">
        <v>36</v>
      </c>
      <c r="H8317" s="4" t="s">
        <v>36</v>
      </c>
      <c r="I8317" s="7" t="s">
        <v>36</v>
      </c>
      <c r="J8317" s="3" t="s">
        <v>36</v>
      </c>
      <c r="K8317" s="9" t="s">
        <v>36</v>
      </c>
      <c r="L8317" s="6" t="s">
        <v>36</v>
      </c>
      <c r="M8317" s="3" t="s">
        <v>36</v>
      </c>
      <c r="N8317" s="3" t="s">
        <v>36</v>
      </c>
      <c r="O8317" s="8" t="s">
        <v>36</v>
      </c>
      <c r="P8317" s="3" t="s">
        <v>36</v>
      </c>
      <c r="Q8317" s="3" t="s">
        <v>36</v>
      </c>
      <c r="R8317" s="3" t="s">
        <v>36</v>
      </c>
      <c r="S8317" s="3" t="s">
        <v>36</v>
      </c>
      <c r="T8317" s="3" t="s">
        <v>36273</v>
      </c>
      <c r="U8317" s="3" t="s">
        <v>38</v>
      </c>
      <c r="V8317" s="3" t="s">
        <v>39</v>
      </c>
      <c r="W8317" s="3" t="s">
        <v>36274</v>
      </c>
      <c r="X8317" s="10" t="s">
        <v>26848</v>
      </c>
      <c r="Y8317" s="6" t="s">
        <v>42</v>
      </c>
      <c r="Z8317" s="4">
        <v>0.37</v>
      </c>
      <c r="AA8317" s="4" t="s">
        <v>36</v>
      </c>
      <c r="AB8317" s="3" t="s">
        <v>43</v>
      </c>
      <c r="AC8317" s="3" t="s">
        <v>36275</v>
      </c>
      <c r="AD8317" s="9">
        <v>41124</v>
      </c>
      <c r="AE8317" s="3" t="s">
        <v>110</v>
      </c>
      <c r="AF8317" s="3" t="s">
        <v>4552</v>
      </c>
      <c r="AG8317" s="3" t="s">
        <v>4520</v>
      </c>
      <c r="AH8317" s="11">
        <f>HYPERLINK("https://my.pitchbook.com?c=45171-10T","View Company Online")</f>
      </c>
    </row>
    <row r="8318">
      <c r="A8318" s="12" t="s">
        <v>36276</v>
      </c>
      <c r="B8318" s="12" t="s">
        <v>34953</v>
      </c>
      <c r="C8318" s="19" t="s">
        <v>36</v>
      </c>
      <c r="D8318" s="19" t="s">
        <v>36</v>
      </c>
      <c r="E8318" s="19">
        <v>2</v>
      </c>
      <c r="F8318" s="19">
        <v>3</v>
      </c>
      <c r="G8318" s="15" t="s">
        <v>36</v>
      </c>
      <c r="H8318" s="14">
        <v>376.29</v>
      </c>
      <c r="I8318" s="18">
        <v>23.13</v>
      </c>
      <c r="J8318" s="12" t="s">
        <v>521</v>
      </c>
      <c r="K8318" s="13" t="s">
        <v>36</v>
      </c>
      <c r="L8318" s="15" t="s">
        <v>36</v>
      </c>
      <c r="M8318" s="12" t="s">
        <v>36</v>
      </c>
      <c r="N8318" s="12" t="s">
        <v>36</v>
      </c>
      <c r="O8318" s="17" t="s">
        <v>36</v>
      </c>
      <c r="P8318" s="12" t="s">
        <v>36</v>
      </c>
      <c r="Q8318" s="12" t="s">
        <v>36</v>
      </c>
      <c r="R8318" s="12" t="s">
        <v>36</v>
      </c>
      <c r="S8318" s="12" t="s">
        <v>36</v>
      </c>
      <c r="T8318" s="12" t="s">
        <v>317</v>
      </c>
      <c r="U8318" s="12" t="s">
        <v>318</v>
      </c>
      <c r="V8318" s="12" t="s">
        <v>39</v>
      </c>
      <c r="W8318" s="12" t="s">
        <v>34954</v>
      </c>
      <c r="X8318" s="16" t="s">
        <v>20599</v>
      </c>
      <c r="Y8318" s="15" t="s">
        <v>108</v>
      </c>
      <c r="Z8318" s="14">
        <v>0.18</v>
      </c>
      <c r="AA8318" s="14">
        <v>0.79</v>
      </c>
      <c r="AB8318" s="12" t="s">
        <v>56</v>
      </c>
      <c r="AC8318" s="12" t="s">
        <v>34956</v>
      </c>
      <c r="AD8318" s="13">
        <v>41123</v>
      </c>
      <c r="AE8318" s="12" t="s">
        <v>323</v>
      </c>
      <c r="AF8318" s="12" t="s">
        <v>10379</v>
      </c>
      <c r="AG8318" s="12" t="s">
        <v>34957</v>
      </c>
      <c r="AH8318" s="1">
        <f>HYPERLINK("https://my.pitchbook.com?c=28685-53T","View Company Online")</f>
      </c>
    </row>
    <row r="8319">
      <c r="A8319" s="3" t="s">
        <v>36277</v>
      </c>
      <c r="B8319" s="3" t="s">
        <v>36278</v>
      </c>
      <c r="C8319" s="5" t="s">
        <v>36</v>
      </c>
      <c r="D8319" s="5">
        <v>8</v>
      </c>
      <c r="E8319" s="5">
        <v>9</v>
      </c>
      <c r="F8319" s="5">
        <v>21</v>
      </c>
      <c r="G8319" s="6" t="s">
        <v>36</v>
      </c>
      <c r="H8319" s="4" t="s">
        <v>36</v>
      </c>
      <c r="I8319" s="7" t="s">
        <v>36</v>
      </c>
      <c r="J8319" s="3" t="s">
        <v>36</v>
      </c>
      <c r="K8319" s="9" t="s">
        <v>36</v>
      </c>
      <c r="L8319" s="6" t="s">
        <v>122</v>
      </c>
      <c r="M8319" s="3" t="s">
        <v>36</v>
      </c>
      <c r="N8319" s="3" t="s">
        <v>122</v>
      </c>
      <c r="O8319" s="8" t="s">
        <v>36</v>
      </c>
      <c r="P8319" s="3" t="s">
        <v>36</v>
      </c>
      <c r="Q8319" s="3" t="s">
        <v>36</v>
      </c>
      <c r="R8319" s="3" t="s">
        <v>36</v>
      </c>
      <c r="S8319" s="3" t="s">
        <v>36</v>
      </c>
      <c r="T8319" s="3" t="s">
        <v>36279</v>
      </c>
      <c r="U8319" s="3" t="s">
        <v>833</v>
      </c>
      <c r="V8319" s="3" t="s">
        <v>64</v>
      </c>
      <c r="W8319" s="3" t="s">
        <v>36280</v>
      </c>
      <c r="X8319" s="10" t="s">
        <v>11259</v>
      </c>
      <c r="Y8319" s="6" t="s">
        <v>42</v>
      </c>
      <c r="Z8319" s="4" t="s">
        <v>36</v>
      </c>
      <c r="AA8319" s="4" t="s">
        <v>36</v>
      </c>
      <c r="AB8319" s="3" t="s">
        <v>43</v>
      </c>
      <c r="AC8319" s="3" t="s">
        <v>36281</v>
      </c>
      <c r="AD8319" s="9">
        <v>41122</v>
      </c>
      <c r="AE8319" s="3" t="s">
        <v>1069</v>
      </c>
      <c r="AF8319" s="3" t="s">
        <v>1077</v>
      </c>
      <c r="AG8319" s="3" t="s">
        <v>36282</v>
      </c>
      <c r="AH8319" s="11">
        <f>HYPERLINK("https://my.pitchbook.com?c=28517-41T","View Company Online")</f>
      </c>
    </row>
    <row r="8320">
      <c r="A8320" s="12" t="s">
        <v>36283</v>
      </c>
      <c r="B8320" s="12" t="s">
        <v>36284</v>
      </c>
      <c r="C8320" s="19">
        <v>8</v>
      </c>
      <c r="D8320" s="19">
        <v>232</v>
      </c>
      <c r="E8320" s="19">
        <v>82</v>
      </c>
      <c r="F8320" s="19">
        <v>337</v>
      </c>
      <c r="G8320" s="15" t="s">
        <v>36</v>
      </c>
      <c r="H8320" s="14" t="s">
        <v>36</v>
      </c>
      <c r="I8320" s="18" t="s">
        <v>36</v>
      </c>
      <c r="J8320" s="12" t="s">
        <v>36</v>
      </c>
      <c r="K8320" s="13" t="s">
        <v>36</v>
      </c>
      <c r="L8320" s="15" t="s">
        <v>1279</v>
      </c>
      <c r="M8320" s="12" t="s">
        <v>36</v>
      </c>
      <c r="N8320" s="12" t="s">
        <v>1279</v>
      </c>
      <c r="O8320" s="17" t="s">
        <v>36</v>
      </c>
      <c r="P8320" s="12" t="s">
        <v>36</v>
      </c>
      <c r="Q8320" s="12" t="s">
        <v>36</v>
      </c>
      <c r="R8320" s="12" t="s">
        <v>36</v>
      </c>
      <c r="S8320" s="12" t="s">
        <v>36</v>
      </c>
      <c r="T8320" s="12" t="s">
        <v>105</v>
      </c>
      <c r="U8320" s="12" t="s">
        <v>38</v>
      </c>
      <c r="V8320" s="12" t="s">
        <v>39</v>
      </c>
      <c r="W8320" s="12" t="s">
        <v>36285</v>
      </c>
      <c r="X8320" s="16" t="s">
        <v>36286</v>
      </c>
      <c r="Y8320" s="15" t="s">
        <v>55</v>
      </c>
      <c r="Z8320" s="14">
        <v>7.98</v>
      </c>
      <c r="AA8320" s="14" t="s">
        <v>36</v>
      </c>
      <c r="AB8320" s="12" t="s">
        <v>56</v>
      </c>
      <c r="AC8320" s="12" t="s">
        <v>36287</v>
      </c>
      <c r="AD8320" s="13">
        <v>41121</v>
      </c>
      <c r="AE8320" s="12" t="s">
        <v>110</v>
      </c>
      <c r="AF8320" s="12" t="s">
        <v>4552</v>
      </c>
      <c r="AG8320" s="12" t="s">
        <v>969</v>
      </c>
      <c r="AH8320" s="1">
        <f>HYPERLINK("https://my.pitchbook.com?c=22087-90T","View Company Online")</f>
      </c>
    </row>
    <row r="8321">
      <c r="A8321" s="3" t="s">
        <v>36288</v>
      </c>
      <c r="B8321" s="3" t="s">
        <v>36289</v>
      </c>
      <c r="C8321" s="5" t="s">
        <v>36</v>
      </c>
      <c r="D8321" s="5">
        <v>4</v>
      </c>
      <c r="E8321" s="5">
        <v>2</v>
      </c>
      <c r="F8321" s="5">
        <v>5</v>
      </c>
      <c r="G8321" s="6" t="s">
        <v>36</v>
      </c>
      <c r="H8321" s="4">
        <v>47.22</v>
      </c>
      <c r="I8321" s="7">
        <v>35.29</v>
      </c>
      <c r="J8321" s="3" t="s">
        <v>521</v>
      </c>
      <c r="K8321" s="9">
        <v>41061</v>
      </c>
      <c r="L8321" s="6" t="s">
        <v>36</v>
      </c>
      <c r="M8321" s="3" t="s">
        <v>36</v>
      </c>
      <c r="N8321" s="3" t="s">
        <v>36</v>
      </c>
      <c r="O8321" s="8" t="s">
        <v>36</v>
      </c>
      <c r="P8321" s="3" t="s">
        <v>36</v>
      </c>
      <c r="Q8321" s="3" t="s">
        <v>36</v>
      </c>
      <c r="R8321" s="3" t="s">
        <v>36</v>
      </c>
      <c r="S8321" s="3" t="s">
        <v>36</v>
      </c>
      <c r="T8321" s="3" t="s">
        <v>2910</v>
      </c>
      <c r="U8321" s="3" t="s">
        <v>219</v>
      </c>
      <c r="V8321" s="3" t="s">
        <v>75</v>
      </c>
      <c r="W8321" s="3" t="s">
        <v>36290</v>
      </c>
      <c r="X8321" s="10" t="s">
        <v>36291</v>
      </c>
      <c r="Y8321" s="6" t="s">
        <v>42</v>
      </c>
      <c r="Z8321" s="4">
        <v>0.28</v>
      </c>
      <c r="AA8321" s="4">
        <v>0.79</v>
      </c>
      <c r="AB8321" s="3" t="s">
        <v>43</v>
      </c>
      <c r="AC8321" s="3" t="s">
        <v>36292</v>
      </c>
      <c r="AD8321" s="9">
        <v>41114</v>
      </c>
      <c r="AE8321" s="3" t="s">
        <v>2914</v>
      </c>
      <c r="AF8321" s="3" t="s">
        <v>571</v>
      </c>
      <c r="AG8321" s="3" t="s">
        <v>36293</v>
      </c>
      <c r="AH8321" s="11">
        <f>HYPERLINK("https://my.pitchbook.com?c=40367-44T","View Company Online")</f>
      </c>
    </row>
    <row r="8322">
      <c r="A8322" s="12" t="s">
        <v>36294</v>
      </c>
      <c r="B8322" s="12" t="s">
        <v>32760</v>
      </c>
      <c r="C8322" s="19" t="s">
        <v>36</v>
      </c>
      <c r="D8322" s="19">
        <v>4</v>
      </c>
      <c r="E8322" s="19">
        <v>4</v>
      </c>
      <c r="F8322" s="19">
        <v>10</v>
      </c>
      <c r="G8322" s="15" t="s">
        <v>36</v>
      </c>
      <c r="H8322" s="14">
        <v>8.09</v>
      </c>
      <c r="I8322" s="18">
        <v>26.59</v>
      </c>
      <c r="J8322" s="12" t="s">
        <v>521</v>
      </c>
      <c r="K8322" s="13" t="s">
        <v>36</v>
      </c>
      <c r="L8322" s="15" t="s">
        <v>36</v>
      </c>
      <c r="M8322" s="12" t="s">
        <v>36</v>
      </c>
      <c r="N8322" s="12" t="s">
        <v>36</v>
      </c>
      <c r="O8322" s="17" t="s">
        <v>36</v>
      </c>
      <c r="P8322" s="12" t="s">
        <v>36</v>
      </c>
      <c r="Q8322" s="12" t="s">
        <v>36</v>
      </c>
      <c r="R8322" s="12" t="s">
        <v>36</v>
      </c>
      <c r="S8322" s="12" t="s">
        <v>36</v>
      </c>
      <c r="T8322" s="12" t="s">
        <v>32761</v>
      </c>
      <c r="U8322" s="12" t="s">
        <v>318</v>
      </c>
      <c r="V8322" s="12" t="s">
        <v>39</v>
      </c>
      <c r="W8322" s="12" t="s">
        <v>32762</v>
      </c>
      <c r="X8322" s="16" t="s">
        <v>32763</v>
      </c>
      <c r="Y8322" s="15" t="s">
        <v>42</v>
      </c>
      <c r="Z8322" s="14">
        <v>0.45</v>
      </c>
      <c r="AA8322" s="14">
        <v>1.69</v>
      </c>
      <c r="AB8322" s="12" t="s">
        <v>43</v>
      </c>
      <c r="AC8322" s="12" t="s">
        <v>32764</v>
      </c>
      <c r="AD8322" s="13">
        <v>41110</v>
      </c>
      <c r="AE8322" s="12" t="s">
        <v>1020</v>
      </c>
      <c r="AF8322" s="12" t="s">
        <v>12636</v>
      </c>
      <c r="AG8322" s="12" t="s">
        <v>12608</v>
      </c>
      <c r="AH8322" s="1">
        <f>HYPERLINK("https://my.pitchbook.com?c=85001-50T","View Company Online")</f>
      </c>
    </row>
    <row r="8323">
      <c r="A8323" s="3" t="s">
        <v>36295</v>
      </c>
      <c r="B8323" s="3" t="s">
        <v>36296</v>
      </c>
      <c r="C8323" s="5" t="s">
        <v>36</v>
      </c>
      <c r="D8323" s="5" t="s">
        <v>36</v>
      </c>
      <c r="E8323" s="5" t="s">
        <v>36</v>
      </c>
      <c r="F8323" s="5" t="s">
        <v>36</v>
      </c>
      <c r="G8323" s="6" t="s">
        <v>36</v>
      </c>
      <c r="H8323" s="4" t="s">
        <v>36</v>
      </c>
      <c r="I8323" s="7" t="s">
        <v>36</v>
      </c>
      <c r="J8323" s="3" t="s">
        <v>36</v>
      </c>
      <c r="K8323" s="9" t="s">
        <v>36</v>
      </c>
      <c r="L8323" s="6" t="s">
        <v>36</v>
      </c>
      <c r="M8323" s="3" t="s">
        <v>36</v>
      </c>
      <c r="N8323" s="3" t="s">
        <v>36</v>
      </c>
      <c r="O8323" s="8" t="s">
        <v>36</v>
      </c>
      <c r="P8323" s="3" t="s">
        <v>36</v>
      </c>
      <c r="Q8323" s="3" t="s">
        <v>36</v>
      </c>
      <c r="R8323" s="3" t="s">
        <v>36</v>
      </c>
      <c r="S8323" s="3" t="s">
        <v>36</v>
      </c>
      <c r="T8323" s="3" t="s">
        <v>550</v>
      </c>
      <c r="U8323" s="3" t="s">
        <v>38</v>
      </c>
      <c r="V8323" s="3" t="s">
        <v>39</v>
      </c>
      <c r="W8323" s="3" t="s">
        <v>36297</v>
      </c>
      <c r="X8323" s="10" t="s">
        <v>36298</v>
      </c>
      <c r="Y8323" s="6" t="s">
        <v>42</v>
      </c>
      <c r="Z8323" s="4">
        <v>0.37</v>
      </c>
      <c r="AA8323" s="4" t="s">
        <v>36</v>
      </c>
      <c r="AB8323" s="3" t="s">
        <v>43</v>
      </c>
      <c r="AC8323" s="3" t="s">
        <v>36299</v>
      </c>
      <c r="AD8323" s="9">
        <v>41108</v>
      </c>
      <c r="AE8323" s="3" t="s">
        <v>554</v>
      </c>
      <c r="AF8323" s="3" t="s">
        <v>1842</v>
      </c>
      <c r="AG8323" s="3" t="s">
        <v>81</v>
      </c>
      <c r="AH8323" s="11">
        <f>HYPERLINK("https://my.pitchbook.com?c=37329-40T","View Company Online")</f>
      </c>
    </row>
    <row r="8324">
      <c r="A8324" s="12" t="s">
        <v>36300</v>
      </c>
      <c r="B8324" s="12" t="s">
        <v>36301</v>
      </c>
      <c r="C8324" s="19" t="s">
        <v>36</v>
      </c>
      <c r="D8324" s="19" t="s">
        <v>36</v>
      </c>
      <c r="E8324" s="19" t="s">
        <v>36</v>
      </c>
      <c r="F8324" s="19" t="s">
        <v>36</v>
      </c>
      <c r="G8324" s="15" t="s">
        <v>36</v>
      </c>
      <c r="H8324" s="14" t="s">
        <v>36</v>
      </c>
      <c r="I8324" s="18" t="s">
        <v>36</v>
      </c>
      <c r="J8324" s="12" t="s">
        <v>36</v>
      </c>
      <c r="K8324" s="13" t="s">
        <v>36</v>
      </c>
      <c r="L8324" s="15" t="s">
        <v>36</v>
      </c>
      <c r="M8324" s="12" t="s">
        <v>36</v>
      </c>
      <c r="N8324" s="12" t="s">
        <v>36</v>
      </c>
      <c r="O8324" s="17" t="s">
        <v>36</v>
      </c>
      <c r="P8324" s="12" t="s">
        <v>36</v>
      </c>
      <c r="Q8324" s="12" t="s">
        <v>36</v>
      </c>
      <c r="R8324" s="12" t="s">
        <v>36</v>
      </c>
      <c r="S8324" s="12" t="s">
        <v>36</v>
      </c>
      <c r="T8324" s="12" t="s">
        <v>3168</v>
      </c>
      <c r="U8324" s="12" t="s">
        <v>289</v>
      </c>
      <c r="V8324" s="12" t="s">
        <v>64</v>
      </c>
      <c r="W8324" s="12" t="s">
        <v>36302</v>
      </c>
      <c r="X8324" s="16" t="s">
        <v>36303</v>
      </c>
      <c r="Y8324" s="15" t="s">
        <v>42</v>
      </c>
      <c r="Z8324" s="14">
        <v>0.56</v>
      </c>
      <c r="AA8324" s="14" t="s">
        <v>36</v>
      </c>
      <c r="AB8324" s="12" t="s">
        <v>43</v>
      </c>
      <c r="AC8324" s="12" t="s">
        <v>36304</v>
      </c>
      <c r="AD8324" s="13">
        <v>41108</v>
      </c>
      <c r="AE8324" s="12" t="s">
        <v>3134</v>
      </c>
      <c r="AF8324" s="12" t="s">
        <v>2118</v>
      </c>
      <c r="AG8324" s="12" t="s">
        <v>9121</v>
      </c>
      <c r="AH8324" s="1">
        <f>HYPERLINK("https://my.pitchbook.com?c=61088-77T","View Company Online")</f>
      </c>
    </row>
    <row r="8325">
      <c r="A8325" s="3" t="s">
        <v>36305</v>
      </c>
      <c r="B8325" s="3" t="s">
        <v>12401</v>
      </c>
      <c r="C8325" s="5">
        <v>16</v>
      </c>
      <c r="D8325" s="5">
        <v>40</v>
      </c>
      <c r="E8325" s="5">
        <v>27</v>
      </c>
      <c r="F8325" s="5">
        <v>96</v>
      </c>
      <c r="G8325" s="6" t="s">
        <v>36</v>
      </c>
      <c r="H8325" s="4" t="s">
        <v>36</v>
      </c>
      <c r="I8325" s="7" t="s">
        <v>36</v>
      </c>
      <c r="J8325" s="3" t="s">
        <v>36</v>
      </c>
      <c r="K8325" s="9" t="s">
        <v>36</v>
      </c>
      <c r="L8325" s="6" t="s">
        <v>12462</v>
      </c>
      <c r="M8325" s="3" t="s">
        <v>36</v>
      </c>
      <c r="N8325" s="3" t="s">
        <v>12462</v>
      </c>
      <c r="O8325" s="8" t="s">
        <v>36</v>
      </c>
      <c r="P8325" s="3" t="s">
        <v>36</v>
      </c>
      <c r="Q8325" s="3" t="s">
        <v>36</v>
      </c>
      <c r="R8325" s="3" t="s">
        <v>36</v>
      </c>
      <c r="S8325" s="3" t="s">
        <v>36</v>
      </c>
      <c r="T8325" s="3" t="s">
        <v>2321</v>
      </c>
      <c r="U8325" s="3" t="s">
        <v>51</v>
      </c>
      <c r="V8325" s="3" t="s">
        <v>52</v>
      </c>
      <c r="W8325" s="3" t="s">
        <v>12402</v>
      </c>
      <c r="X8325" s="10" t="s">
        <v>36306</v>
      </c>
      <c r="Y8325" s="6" t="s">
        <v>192</v>
      </c>
      <c r="Z8325" s="4">
        <v>2.49</v>
      </c>
      <c r="AA8325" s="4" t="s">
        <v>36</v>
      </c>
      <c r="AB8325" s="3" t="s">
        <v>56</v>
      </c>
      <c r="AC8325" s="3" t="s">
        <v>12404</v>
      </c>
      <c r="AD8325" s="9">
        <v>41107</v>
      </c>
      <c r="AE8325" s="3" t="s">
        <v>504</v>
      </c>
      <c r="AF8325" s="3" t="s">
        <v>665</v>
      </c>
      <c r="AG8325" s="3" t="s">
        <v>12405</v>
      </c>
      <c r="AH8325" s="11">
        <f>HYPERLINK("https://my.pitchbook.com?c=24637-06T","View Company Online")</f>
      </c>
    </row>
    <row r="8326">
      <c r="A8326" s="12" t="s">
        <v>36307</v>
      </c>
      <c r="B8326" s="12" t="s">
        <v>36308</v>
      </c>
      <c r="C8326" s="19" t="s">
        <v>36</v>
      </c>
      <c r="D8326" s="19" t="s">
        <v>36</v>
      </c>
      <c r="E8326" s="19" t="s">
        <v>36</v>
      </c>
      <c r="F8326" s="19" t="s">
        <v>36</v>
      </c>
      <c r="G8326" s="15" t="s">
        <v>36</v>
      </c>
      <c r="H8326" s="14">
        <v>49.68</v>
      </c>
      <c r="I8326" s="18">
        <v>17.65</v>
      </c>
      <c r="J8326" s="12" t="s">
        <v>521</v>
      </c>
      <c r="K8326" s="13" t="s">
        <v>36</v>
      </c>
      <c r="L8326" s="15" t="s">
        <v>36</v>
      </c>
      <c r="M8326" s="12" t="s">
        <v>36</v>
      </c>
      <c r="N8326" s="12" t="s">
        <v>36</v>
      </c>
      <c r="O8326" s="17" t="s">
        <v>36</v>
      </c>
      <c r="P8326" s="12" t="s">
        <v>36</v>
      </c>
      <c r="Q8326" s="12" t="s">
        <v>36</v>
      </c>
      <c r="R8326" s="12" t="s">
        <v>36</v>
      </c>
      <c r="S8326" s="12" t="s">
        <v>36</v>
      </c>
      <c r="T8326" s="12" t="s">
        <v>588</v>
      </c>
      <c r="U8326" s="12" t="s">
        <v>318</v>
      </c>
      <c r="V8326" s="12" t="s">
        <v>39</v>
      </c>
      <c r="W8326" s="12" t="s">
        <v>36309</v>
      </c>
      <c r="X8326" s="16" t="s">
        <v>36310</v>
      </c>
      <c r="Y8326" s="15" t="s">
        <v>42</v>
      </c>
      <c r="Z8326" s="14">
        <v>2.49</v>
      </c>
      <c r="AA8326" s="14">
        <v>8.46</v>
      </c>
      <c r="AB8326" s="12" t="s">
        <v>56</v>
      </c>
      <c r="AC8326" s="12" t="s">
        <v>36311</v>
      </c>
      <c r="AD8326" s="13">
        <v>41106</v>
      </c>
      <c r="AE8326" s="12" t="s">
        <v>417</v>
      </c>
      <c r="AF8326" s="12" t="s">
        <v>36</v>
      </c>
      <c r="AG8326" s="12" t="s">
        <v>382</v>
      </c>
      <c r="AH8326" s="1">
        <f>HYPERLINK("https://my.pitchbook.com?c=82403-83T","View Company Online")</f>
      </c>
    </row>
    <row r="8327">
      <c r="A8327" s="3" t="s">
        <v>36312</v>
      </c>
      <c r="B8327" s="3" t="s">
        <v>31858</v>
      </c>
      <c r="C8327" s="5" t="s">
        <v>36</v>
      </c>
      <c r="D8327" s="5">
        <v>2</v>
      </c>
      <c r="E8327" s="5">
        <v>3</v>
      </c>
      <c r="F8327" s="5">
        <v>4</v>
      </c>
      <c r="G8327" s="6" t="s">
        <v>36</v>
      </c>
      <c r="H8327" s="4" t="s">
        <v>36</v>
      </c>
      <c r="I8327" s="7" t="s">
        <v>36</v>
      </c>
      <c r="J8327" s="3" t="s">
        <v>36</v>
      </c>
      <c r="K8327" s="9" t="s">
        <v>36</v>
      </c>
      <c r="L8327" s="6" t="s">
        <v>36</v>
      </c>
      <c r="M8327" s="3" t="s">
        <v>36</v>
      </c>
      <c r="N8327" s="3" t="s">
        <v>36</v>
      </c>
      <c r="O8327" s="8" t="s">
        <v>36</v>
      </c>
      <c r="P8327" s="3" t="s">
        <v>36</v>
      </c>
      <c r="Q8327" s="3" t="s">
        <v>36</v>
      </c>
      <c r="R8327" s="3" t="s">
        <v>36</v>
      </c>
      <c r="S8327" s="3" t="s">
        <v>36</v>
      </c>
      <c r="T8327" s="3" t="s">
        <v>20204</v>
      </c>
      <c r="U8327" s="3" t="s">
        <v>1580</v>
      </c>
      <c r="V8327" s="3" t="s">
        <v>39</v>
      </c>
      <c r="W8327" s="3" t="s">
        <v>31859</v>
      </c>
      <c r="X8327" s="10" t="s">
        <v>36313</v>
      </c>
      <c r="Y8327" s="6" t="s">
        <v>108</v>
      </c>
      <c r="Z8327" s="4">
        <v>0.62</v>
      </c>
      <c r="AA8327" s="4" t="s">
        <v>36</v>
      </c>
      <c r="AB8327" s="3" t="s">
        <v>43</v>
      </c>
      <c r="AC8327" s="3" t="s">
        <v>31861</v>
      </c>
      <c r="AD8327" s="9">
        <v>41103</v>
      </c>
      <c r="AE8327" s="3" t="s">
        <v>4086</v>
      </c>
      <c r="AF8327" s="3" t="s">
        <v>31862</v>
      </c>
      <c r="AG8327" s="3" t="s">
        <v>31863</v>
      </c>
      <c r="AH8327" s="11">
        <f>HYPERLINK("https://my.pitchbook.com?c=26422-84T","View Company Online")</f>
      </c>
    </row>
    <row r="8328">
      <c r="A8328" s="12" t="s">
        <v>36314</v>
      </c>
      <c r="B8328" s="12" t="s">
        <v>26549</v>
      </c>
      <c r="C8328" s="19" t="s">
        <v>36</v>
      </c>
      <c r="D8328" s="19" t="s">
        <v>36</v>
      </c>
      <c r="E8328" s="19" t="s">
        <v>36</v>
      </c>
      <c r="F8328" s="19" t="s">
        <v>36</v>
      </c>
      <c r="G8328" s="15" t="s">
        <v>36</v>
      </c>
      <c r="H8328" s="14" t="s">
        <v>36</v>
      </c>
      <c r="I8328" s="18" t="s">
        <v>36</v>
      </c>
      <c r="J8328" s="12" t="s">
        <v>36</v>
      </c>
      <c r="K8328" s="13" t="s">
        <v>36</v>
      </c>
      <c r="L8328" s="15" t="s">
        <v>36</v>
      </c>
      <c r="M8328" s="12" t="s">
        <v>36</v>
      </c>
      <c r="N8328" s="12" t="s">
        <v>36</v>
      </c>
      <c r="O8328" s="17" t="s">
        <v>36</v>
      </c>
      <c r="P8328" s="12" t="s">
        <v>36</v>
      </c>
      <c r="Q8328" s="12" t="s">
        <v>36</v>
      </c>
      <c r="R8328" s="12" t="s">
        <v>36</v>
      </c>
      <c r="S8328" s="12" t="s">
        <v>36</v>
      </c>
      <c r="T8328" s="12" t="s">
        <v>26550</v>
      </c>
      <c r="U8328" s="12" t="s">
        <v>38</v>
      </c>
      <c r="V8328" s="12" t="s">
        <v>39</v>
      </c>
      <c r="W8328" s="12" t="s">
        <v>26551</v>
      </c>
      <c r="X8328" s="16" t="s">
        <v>36315</v>
      </c>
      <c r="Y8328" s="15" t="s">
        <v>108</v>
      </c>
      <c r="Z8328" s="14">
        <v>0.38</v>
      </c>
      <c r="AA8328" s="14" t="s">
        <v>36</v>
      </c>
      <c r="AB8328" s="12" t="s">
        <v>43</v>
      </c>
      <c r="AC8328" s="12" t="s">
        <v>26553</v>
      </c>
      <c r="AD8328" s="13">
        <v>41102</v>
      </c>
      <c r="AE8328" s="12" t="s">
        <v>110</v>
      </c>
      <c r="AF8328" s="12" t="s">
        <v>5001</v>
      </c>
      <c r="AG8328" s="12" t="s">
        <v>26554</v>
      </c>
      <c r="AH8328" s="1">
        <f>HYPERLINK("https://my.pitchbook.com?c=25690-60T","View Company Online")</f>
      </c>
    </row>
    <row r="8329">
      <c r="A8329" s="3" t="s">
        <v>36316</v>
      </c>
      <c r="B8329" s="3" t="s">
        <v>10387</v>
      </c>
      <c r="C8329" s="5">
        <v>15</v>
      </c>
      <c r="D8329" s="5">
        <v>78</v>
      </c>
      <c r="E8329" s="5">
        <v>19</v>
      </c>
      <c r="F8329" s="5">
        <v>97</v>
      </c>
      <c r="G8329" s="6" t="s">
        <v>326</v>
      </c>
      <c r="H8329" s="4">
        <v>42.79</v>
      </c>
      <c r="I8329" s="7">
        <v>18</v>
      </c>
      <c r="J8329" s="3" t="s">
        <v>521</v>
      </c>
      <c r="K8329" s="9" t="s">
        <v>36</v>
      </c>
      <c r="L8329" s="6" t="s">
        <v>36</v>
      </c>
      <c r="M8329" s="3" t="s">
        <v>36</v>
      </c>
      <c r="N8329" s="3" t="s">
        <v>36</v>
      </c>
      <c r="O8329" s="8" t="s">
        <v>36</v>
      </c>
      <c r="P8329" s="3" t="s">
        <v>36</v>
      </c>
      <c r="Q8329" s="3" t="s">
        <v>36</v>
      </c>
      <c r="R8329" s="3" t="s">
        <v>36</v>
      </c>
      <c r="S8329" s="3" t="s">
        <v>36</v>
      </c>
      <c r="T8329" s="3" t="s">
        <v>10388</v>
      </c>
      <c r="U8329" s="3" t="s">
        <v>1357</v>
      </c>
      <c r="V8329" s="3" t="s">
        <v>52</v>
      </c>
      <c r="W8329" s="3" t="s">
        <v>10389</v>
      </c>
      <c r="X8329" s="10" t="s">
        <v>36317</v>
      </c>
      <c r="Y8329" s="6" t="s">
        <v>55</v>
      </c>
      <c r="Z8329" s="4">
        <v>5.01</v>
      </c>
      <c r="AA8329" s="4">
        <v>21.86</v>
      </c>
      <c r="AB8329" s="3" t="s">
        <v>56</v>
      </c>
      <c r="AC8329" s="3" t="s">
        <v>10391</v>
      </c>
      <c r="AD8329" s="9">
        <v>41100</v>
      </c>
      <c r="AE8329" s="3" t="s">
        <v>10392</v>
      </c>
      <c r="AF8329" s="3" t="s">
        <v>159</v>
      </c>
      <c r="AG8329" s="3" t="s">
        <v>10393</v>
      </c>
      <c r="AH8329" s="11">
        <f>HYPERLINK("https://my.pitchbook.com?c=27102-61T","View Company Online")</f>
      </c>
    </row>
    <row r="8330">
      <c r="A8330" s="12" t="s">
        <v>36318</v>
      </c>
      <c r="B8330" s="12" t="s">
        <v>36319</v>
      </c>
      <c r="C8330" s="19" t="s">
        <v>36</v>
      </c>
      <c r="D8330" s="19" t="s">
        <v>36</v>
      </c>
      <c r="E8330" s="19" t="s">
        <v>36</v>
      </c>
      <c r="F8330" s="19" t="s">
        <v>36</v>
      </c>
      <c r="G8330" s="15" t="s">
        <v>36</v>
      </c>
      <c r="H8330" s="14" t="s">
        <v>36</v>
      </c>
      <c r="I8330" s="18" t="s">
        <v>36</v>
      </c>
      <c r="J8330" s="12" t="s">
        <v>36</v>
      </c>
      <c r="K8330" s="13" t="s">
        <v>36</v>
      </c>
      <c r="L8330" s="15" t="s">
        <v>94</v>
      </c>
      <c r="M8330" s="12" t="s">
        <v>36</v>
      </c>
      <c r="N8330" s="12" t="s">
        <v>94</v>
      </c>
      <c r="O8330" s="17" t="s">
        <v>36</v>
      </c>
      <c r="P8330" s="12" t="s">
        <v>36</v>
      </c>
      <c r="Q8330" s="12" t="s">
        <v>36</v>
      </c>
      <c r="R8330" s="12" t="s">
        <v>36</v>
      </c>
      <c r="S8330" s="12" t="s">
        <v>36</v>
      </c>
      <c r="T8330" s="12" t="s">
        <v>36320</v>
      </c>
      <c r="U8330" s="12" t="s">
        <v>289</v>
      </c>
      <c r="V8330" s="12" t="s">
        <v>64</v>
      </c>
      <c r="W8330" s="12" t="s">
        <v>36321</v>
      </c>
      <c r="X8330" s="16" t="s">
        <v>36322</v>
      </c>
      <c r="Y8330" s="15" t="s">
        <v>108</v>
      </c>
      <c r="Z8330" s="14">
        <v>1.9</v>
      </c>
      <c r="AA8330" s="14" t="s">
        <v>36</v>
      </c>
      <c r="AB8330" s="12" t="s">
        <v>43</v>
      </c>
      <c r="AC8330" s="12" t="s">
        <v>36323</v>
      </c>
      <c r="AD8330" s="13">
        <v>41095</v>
      </c>
      <c r="AE8330" s="12" t="s">
        <v>292</v>
      </c>
      <c r="AF8330" s="12" t="s">
        <v>90</v>
      </c>
      <c r="AG8330" s="12" t="s">
        <v>11049</v>
      </c>
      <c r="AH8330" s="1">
        <f>HYPERLINK("https://my.pitchbook.com?c=21344-50T","View Company Online")</f>
      </c>
    </row>
    <row r="8331">
      <c r="A8331" s="3" t="s">
        <v>36324</v>
      </c>
      <c r="B8331" s="3" t="s">
        <v>36325</v>
      </c>
      <c r="C8331" s="5" t="s">
        <v>36</v>
      </c>
      <c r="D8331" s="5" t="s">
        <v>36</v>
      </c>
      <c r="E8331" s="5" t="s">
        <v>36</v>
      </c>
      <c r="F8331" s="5" t="s">
        <v>36</v>
      </c>
      <c r="G8331" s="6" t="s">
        <v>36</v>
      </c>
      <c r="H8331" s="4" t="s">
        <v>36</v>
      </c>
      <c r="I8331" s="7" t="s">
        <v>36</v>
      </c>
      <c r="J8331" s="3" t="s">
        <v>36</v>
      </c>
      <c r="K8331" s="9" t="s">
        <v>36</v>
      </c>
      <c r="L8331" s="6" t="s">
        <v>36</v>
      </c>
      <c r="M8331" s="3" t="s">
        <v>36</v>
      </c>
      <c r="N8331" s="3" t="s">
        <v>36</v>
      </c>
      <c r="O8331" s="8" t="s">
        <v>36</v>
      </c>
      <c r="P8331" s="3" t="s">
        <v>36</v>
      </c>
      <c r="Q8331" s="3" t="s">
        <v>36</v>
      </c>
      <c r="R8331" s="3" t="s">
        <v>36</v>
      </c>
      <c r="S8331" s="3" t="s">
        <v>36</v>
      </c>
      <c r="T8331" s="3" t="s">
        <v>36326</v>
      </c>
      <c r="U8331" s="3" t="s">
        <v>38</v>
      </c>
      <c r="V8331" s="3" t="s">
        <v>39</v>
      </c>
      <c r="W8331" s="3" t="s">
        <v>36327</v>
      </c>
      <c r="X8331" s="10" t="s">
        <v>36328</v>
      </c>
      <c r="Y8331" s="6" t="s">
        <v>108</v>
      </c>
      <c r="Z8331" s="4">
        <v>0.88</v>
      </c>
      <c r="AA8331" s="4" t="s">
        <v>36</v>
      </c>
      <c r="AB8331" s="3" t="s">
        <v>43</v>
      </c>
      <c r="AC8331" s="3" t="s">
        <v>36329</v>
      </c>
      <c r="AD8331" s="9">
        <v>41094</v>
      </c>
      <c r="AE8331" s="3" t="s">
        <v>7316</v>
      </c>
      <c r="AF8331" s="3" t="s">
        <v>14418</v>
      </c>
      <c r="AG8331" s="3" t="s">
        <v>81</v>
      </c>
      <c r="AH8331" s="11">
        <f>HYPERLINK("https://my.pitchbook.com?c=25681-15T","View Company Online")</f>
      </c>
    </row>
    <row r="8332">
      <c r="A8332" s="12" t="s">
        <v>36330</v>
      </c>
      <c r="B8332" s="12" t="s">
        <v>36331</v>
      </c>
      <c r="C8332" s="19" t="s">
        <v>36</v>
      </c>
      <c r="D8332" s="19" t="s">
        <v>36</v>
      </c>
      <c r="E8332" s="19" t="s">
        <v>36</v>
      </c>
      <c r="F8332" s="19" t="s">
        <v>36</v>
      </c>
      <c r="G8332" s="15" t="s">
        <v>36</v>
      </c>
      <c r="H8332" s="14" t="s">
        <v>36</v>
      </c>
      <c r="I8332" s="18" t="s">
        <v>36</v>
      </c>
      <c r="J8332" s="12" t="s">
        <v>36</v>
      </c>
      <c r="K8332" s="13" t="s">
        <v>36</v>
      </c>
      <c r="L8332" s="15" t="s">
        <v>36</v>
      </c>
      <c r="M8332" s="12" t="s">
        <v>36</v>
      </c>
      <c r="N8332" s="12" t="s">
        <v>36</v>
      </c>
      <c r="O8332" s="17" t="s">
        <v>36</v>
      </c>
      <c r="P8332" s="12" t="s">
        <v>36</v>
      </c>
      <c r="Q8332" s="12" t="s">
        <v>36</v>
      </c>
      <c r="R8332" s="12" t="s">
        <v>36</v>
      </c>
      <c r="S8332" s="12" t="s">
        <v>36</v>
      </c>
      <c r="T8332" s="12" t="s">
        <v>20899</v>
      </c>
      <c r="U8332" s="12" t="s">
        <v>38</v>
      </c>
      <c r="V8332" s="12" t="s">
        <v>39</v>
      </c>
      <c r="W8332" s="12" t="s">
        <v>36332</v>
      </c>
      <c r="X8332" s="16" t="s">
        <v>36333</v>
      </c>
      <c r="Y8332" s="15" t="s">
        <v>42</v>
      </c>
      <c r="Z8332" s="14" t="s">
        <v>36</v>
      </c>
      <c r="AA8332" s="14" t="s">
        <v>36</v>
      </c>
      <c r="AB8332" s="12" t="s">
        <v>43</v>
      </c>
      <c r="AC8332" s="12" t="s">
        <v>36334</v>
      </c>
      <c r="AD8332" s="13">
        <v>41094</v>
      </c>
      <c r="AE8332" s="12" t="s">
        <v>7316</v>
      </c>
      <c r="AF8332" s="12" t="s">
        <v>1636</v>
      </c>
      <c r="AG8332" s="12" t="s">
        <v>81</v>
      </c>
      <c r="AH8332" s="1">
        <f>HYPERLINK("https://my.pitchbook.com?c=59685-40T","View Company Online")</f>
      </c>
    </row>
    <row r="8333">
      <c r="A8333" s="3" t="s">
        <v>36335</v>
      </c>
      <c r="B8333" s="3" t="s">
        <v>36336</v>
      </c>
      <c r="C8333" s="5">
        <v>7</v>
      </c>
      <c r="D8333" s="5">
        <v>47</v>
      </c>
      <c r="E8333" s="5">
        <v>12</v>
      </c>
      <c r="F8333" s="5">
        <v>54</v>
      </c>
      <c r="G8333" s="6" t="s">
        <v>36</v>
      </c>
      <c r="H8333" s="4">
        <v>342.73</v>
      </c>
      <c r="I8333" s="7">
        <v>34.63</v>
      </c>
      <c r="J8333" s="3" t="s">
        <v>327</v>
      </c>
      <c r="K8333" s="9" t="s">
        <v>36</v>
      </c>
      <c r="L8333" s="6" t="s">
        <v>36</v>
      </c>
      <c r="M8333" s="3" t="s">
        <v>36</v>
      </c>
      <c r="N8333" s="3" t="s">
        <v>36</v>
      </c>
      <c r="O8333" s="8" t="s">
        <v>36</v>
      </c>
      <c r="P8333" s="3" t="s">
        <v>36</v>
      </c>
      <c r="Q8333" s="3" t="s">
        <v>36</v>
      </c>
      <c r="R8333" s="3" t="s">
        <v>36</v>
      </c>
      <c r="S8333" s="3" t="s">
        <v>36</v>
      </c>
      <c r="T8333" s="3" t="s">
        <v>1628</v>
      </c>
      <c r="U8333" s="3" t="s">
        <v>96</v>
      </c>
      <c r="V8333" s="3" t="s">
        <v>52</v>
      </c>
      <c r="W8333" s="3" t="s">
        <v>36337</v>
      </c>
      <c r="X8333" s="10" t="s">
        <v>36338</v>
      </c>
      <c r="Y8333" s="6" t="s">
        <v>42</v>
      </c>
      <c r="Z8333" s="4">
        <v>1.26</v>
      </c>
      <c r="AA8333" s="4">
        <v>3.75</v>
      </c>
      <c r="AB8333" s="3" t="s">
        <v>56</v>
      </c>
      <c r="AC8333" s="3" t="s">
        <v>36339</v>
      </c>
      <c r="AD8333" s="9">
        <v>41093</v>
      </c>
      <c r="AE8333" s="3" t="s">
        <v>755</v>
      </c>
      <c r="AF8333" s="3" t="s">
        <v>665</v>
      </c>
      <c r="AG8333" s="3" t="s">
        <v>787</v>
      </c>
      <c r="AH8333" s="11">
        <f>HYPERLINK("https://my.pitchbook.com?c=106805-62T","View Company Online")</f>
      </c>
    </row>
    <row r="8334">
      <c r="A8334" s="12" t="s">
        <v>36340</v>
      </c>
      <c r="B8334" s="12" t="s">
        <v>31260</v>
      </c>
      <c r="C8334" s="19">
        <v>1</v>
      </c>
      <c r="D8334" s="19" t="s">
        <v>36</v>
      </c>
      <c r="E8334" s="19">
        <v>1</v>
      </c>
      <c r="F8334" s="19">
        <v>4</v>
      </c>
      <c r="G8334" s="15" t="s">
        <v>683</v>
      </c>
      <c r="H8334" s="14">
        <v>56.08</v>
      </c>
      <c r="I8334" s="18">
        <v>35.01</v>
      </c>
      <c r="J8334" s="12" t="s">
        <v>521</v>
      </c>
      <c r="K8334" s="13" t="s">
        <v>36</v>
      </c>
      <c r="L8334" s="15" t="s">
        <v>36</v>
      </c>
      <c r="M8334" s="12" t="s">
        <v>36</v>
      </c>
      <c r="N8334" s="12" t="s">
        <v>36</v>
      </c>
      <c r="O8334" s="17" t="s">
        <v>36</v>
      </c>
      <c r="P8334" s="12" t="s">
        <v>36</v>
      </c>
      <c r="Q8334" s="12" t="s">
        <v>36</v>
      </c>
      <c r="R8334" s="12" t="s">
        <v>36</v>
      </c>
      <c r="S8334" s="12" t="s">
        <v>36</v>
      </c>
      <c r="T8334" s="12" t="s">
        <v>26693</v>
      </c>
      <c r="U8334" s="12" t="s">
        <v>728</v>
      </c>
      <c r="V8334" s="12" t="s">
        <v>64</v>
      </c>
      <c r="W8334" s="12" t="s">
        <v>31261</v>
      </c>
      <c r="X8334" s="16" t="s">
        <v>26808</v>
      </c>
      <c r="Y8334" s="15" t="s">
        <v>42</v>
      </c>
      <c r="Z8334" s="14">
        <v>1.51</v>
      </c>
      <c r="AA8334" s="14">
        <v>2.87</v>
      </c>
      <c r="AB8334" s="12" t="s">
        <v>43</v>
      </c>
      <c r="AC8334" s="12" t="s">
        <v>31263</v>
      </c>
      <c r="AD8334" s="13">
        <v>41092</v>
      </c>
      <c r="AE8334" s="12" t="s">
        <v>2154</v>
      </c>
      <c r="AF8334" s="12" t="s">
        <v>36</v>
      </c>
      <c r="AG8334" s="12" t="s">
        <v>81</v>
      </c>
      <c r="AH8334" s="1">
        <f>HYPERLINK("https://my.pitchbook.com?c=35034-67T","View Company Online")</f>
      </c>
    </row>
    <row r="8335">
      <c r="A8335" s="3" t="s">
        <v>36341</v>
      </c>
      <c r="B8335" s="3" t="s">
        <v>36342</v>
      </c>
      <c r="C8335" s="5" t="s">
        <v>36</v>
      </c>
      <c r="D8335" s="5" t="s">
        <v>36</v>
      </c>
      <c r="E8335" s="5" t="s">
        <v>36</v>
      </c>
      <c r="F8335" s="5" t="s">
        <v>36</v>
      </c>
      <c r="G8335" s="6" t="s">
        <v>36</v>
      </c>
      <c r="H8335" s="4">
        <v>54.77</v>
      </c>
      <c r="I8335" s="7">
        <v>14.23</v>
      </c>
      <c r="J8335" s="3" t="s">
        <v>521</v>
      </c>
      <c r="K8335" s="9" t="s">
        <v>36</v>
      </c>
      <c r="L8335" s="6" t="s">
        <v>36</v>
      </c>
      <c r="M8335" s="3" t="s">
        <v>36</v>
      </c>
      <c r="N8335" s="3" t="s">
        <v>36</v>
      </c>
      <c r="O8335" s="8" t="s">
        <v>36</v>
      </c>
      <c r="P8335" s="3" t="s">
        <v>36</v>
      </c>
      <c r="Q8335" s="3" t="s">
        <v>36</v>
      </c>
      <c r="R8335" s="3" t="s">
        <v>36</v>
      </c>
      <c r="S8335" s="3" t="s">
        <v>36</v>
      </c>
      <c r="T8335" s="3" t="s">
        <v>36343</v>
      </c>
      <c r="U8335" s="3" t="s">
        <v>619</v>
      </c>
      <c r="V8335" s="3" t="s">
        <v>378</v>
      </c>
      <c r="W8335" s="3" t="s">
        <v>36344</v>
      </c>
      <c r="X8335" s="10" t="s">
        <v>36345</v>
      </c>
      <c r="Y8335" s="6" t="s">
        <v>42</v>
      </c>
      <c r="Z8335" s="4">
        <v>37.84</v>
      </c>
      <c r="AA8335" s="4">
        <v>133.34</v>
      </c>
      <c r="AB8335" s="3" t="s">
        <v>56</v>
      </c>
      <c r="AC8335" s="3" t="s">
        <v>36346</v>
      </c>
      <c r="AD8335" s="9">
        <v>41092</v>
      </c>
      <c r="AE8335" s="3" t="s">
        <v>623</v>
      </c>
      <c r="AF8335" s="3" t="s">
        <v>2703</v>
      </c>
      <c r="AG8335" s="3" t="s">
        <v>36347</v>
      </c>
      <c r="AH8335" s="11">
        <f>HYPERLINK("https://my.pitchbook.com?c=29760-40T","View Company Online")</f>
      </c>
    </row>
    <row r="8336">
      <c r="A8336" s="12" t="s">
        <v>36348</v>
      </c>
      <c r="B8336" s="12" t="s">
        <v>36349</v>
      </c>
      <c r="C8336" s="19" t="s">
        <v>36</v>
      </c>
      <c r="D8336" s="19" t="s">
        <v>36</v>
      </c>
      <c r="E8336" s="19" t="s">
        <v>36</v>
      </c>
      <c r="F8336" s="19" t="s">
        <v>36</v>
      </c>
      <c r="G8336" s="15" t="s">
        <v>36</v>
      </c>
      <c r="H8336" s="14" t="s">
        <v>36</v>
      </c>
      <c r="I8336" s="18" t="s">
        <v>36</v>
      </c>
      <c r="J8336" s="12" t="s">
        <v>36</v>
      </c>
      <c r="K8336" s="13" t="s">
        <v>36</v>
      </c>
      <c r="L8336" s="15" t="s">
        <v>36</v>
      </c>
      <c r="M8336" s="12" t="s">
        <v>36</v>
      </c>
      <c r="N8336" s="12" t="s">
        <v>36</v>
      </c>
      <c r="O8336" s="17" t="s">
        <v>36</v>
      </c>
      <c r="P8336" s="12" t="s">
        <v>36</v>
      </c>
      <c r="Q8336" s="12" t="s">
        <v>36</v>
      </c>
      <c r="R8336" s="12" t="s">
        <v>36</v>
      </c>
      <c r="S8336" s="12" t="s">
        <v>36</v>
      </c>
      <c r="T8336" s="12" t="s">
        <v>34943</v>
      </c>
      <c r="U8336" s="12" t="s">
        <v>38</v>
      </c>
      <c r="V8336" s="12" t="s">
        <v>39</v>
      </c>
      <c r="W8336" s="12" t="s">
        <v>36350</v>
      </c>
      <c r="X8336" s="16" t="s">
        <v>36351</v>
      </c>
      <c r="Y8336" s="15" t="s">
        <v>42</v>
      </c>
      <c r="Z8336" s="14">
        <v>2.64</v>
      </c>
      <c r="AA8336" s="14" t="s">
        <v>36</v>
      </c>
      <c r="AB8336" s="12" t="s">
        <v>56</v>
      </c>
      <c r="AC8336" s="12" t="s">
        <v>36352</v>
      </c>
      <c r="AD8336" s="13">
        <v>41091</v>
      </c>
      <c r="AE8336" s="12" t="s">
        <v>688</v>
      </c>
      <c r="AF8336" s="12" t="s">
        <v>1636</v>
      </c>
      <c r="AG8336" s="12" t="s">
        <v>81</v>
      </c>
      <c r="AH8336" s="1">
        <f>HYPERLINK("https://my.pitchbook.com?c=29602-09T","View Company Online")</f>
      </c>
    </row>
    <row r="8337">
      <c r="A8337" s="3" t="s">
        <v>36353</v>
      </c>
      <c r="B8337" s="3" t="s">
        <v>36354</v>
      </c>
      <c r="C8337" s="5">
        <v>4</v>
      </c>
      <c r="D8337" s="5">
        <v>17</v>
      </c>
      <c r="E8337" s="5">
        <v>3</v>
      </c>
      <c r="F8337" s="5">
        <v>32</v>
      </c>
      <c r="G8337" s="6" t="s">
        <v>36</v>
      </c>
      <c r="H8337" s="4" t="s">
        <v>36</v>
      </c>
      <c r="I8337" s="7" t="s">
        <v>36</v>
      </c>
      <c r="J8337" s="3" t="s">
        <v>36</v>
      </c>
      <c r="K8337" s="9" t="s">
        <v>36</v>
      </c>
      <c r="L8337" s="6" t="s">
        <v>36</v>
      </c>
      <c r="M8337" s="3" t="s">
        <v>36</v>
      </c>
      <c r="N8337" s="3" t="s">
        <v>36</v>
      </c>
      <c r="O8337" s="8" t="s">
        <v>36</v>
      </c>
      <c r="P8337" s="3" t="s">
        <v>36</v>
      </c>
      <c r="Q8337" s="3" t="s">
        <v>36</v>
      </c>
      <c r="R8337" s="3" t="s">
        <v>36</v>
      </c>
      <c r="S8337" s="3" t="s">
        <v>36</v>
      </c>
      <c r="T8337" s="3" t="s">
        <v>661</v>
      </c>
      <c r="U8337" s="3" t="s">
        <v>51</v>
      </c>
      <c r="V8337" s="3" t="s">
        <v>52</v>
      </c>
      <c r="W8337" s="3" t="s">
        <v>36355</v>
      </c>
      <c r="X8337" s="10" t="s">
        <v>36356</v>
      </c>
      <c r="Y8337" s="6" t="s">
        <v>166</v>
      </c>
      <c r="Z8337" s="4">
        <v>7.54</v>
      </c>
      <c r="AA8337" s="4" t="s">
        <v>36</v>
      </c>
      <c r="AB8337" s="3" t="s">
        <v>56</v>
      </c>
      <c r="AC8337" s="3" t="s">
        <v>36357</v>
      </c>
      <c r="AD8337" s="9">
        <v>41091</v>
      </c>
      <c r="AE8337" s="3" t="s">
        <v>158</v>
      </c>
      <c r="AF8337" s="3" t="s">
        <v>665</v>
      </c>
      <c r="AG8337" s="3" t="s">
        <v>36358</v>
      </c>
      <c r="AH8337" s="11">
        <f>HYPERLINK("https://my.pitchbook.com?c=24326-47T","View Company Online")</f>
      </c>
    </row>
    <row r="8338">
      <c r="A8338" s="12" t="s">
        <v>36359</v>
      </c>
      <c r="B8338" s="12" t="s">
        <v>36360</v>
      </c>
      <c r="C8338" s="19" t="s">
        <v>36</v>
      </c>
      <c r="D8338" s="19" t="s">
        <v>36</v>
      </c>
      <c r="E8338" s="19">
        <v>1</v>
      </c>
      <c r="F8338" s="19">
        <v>1</v>
      </c>
      <c r="G8338" s="15" t="s">
        <v>36</v>
      </c>
      <c r="H8338" s="14" t="s">
        <v>36</v>
      </c>
      <c r="I8338" s="18" t="s">
        <v>36</v>
      </c>
      <c r="J8338" s="12" t="s">
        <v>36</v>
      </c>
      <c r="K8338" s="13" t="s">
        <v>36</v>
      </c>
      <c r="L8338" s="15" t="s">
        <v>36</v>
      </c>
      <c r="M8338" s="12" t="s">
        <v>36</v>
      </c>
      <c r="N8338" s="12" t="s">
        <v>36</v>
      </c>
      <c r="O8338" s="17" t="s">
        <v>36</v>
      </c>
      <c r="P8338" s="12" t="s">
        <v>36</v>
      </c>
      <c r="Q8338" s="12" t="s">
        <v>36</v>
      </c>
      <c r="R8338" s="12" t="s">
        <v>36</v>
      </c>
      <c r="S8338" s="12" t="s">
        <v>36</v>
      </c>
      <c r="T8338" s="12" t="s">
        <v>36361</v>
      </c>
      <c r="U8338" s="12" t="s">
        <v>648</v>
      </c>
      <c r="V8338" s="12" t="s">
        <v>64</v>
      </c>
      <c r="W8338" s="12" t="s">
        <v>36362</v>
      </c>
      <c r="X8338" s="16" t="s">
        <v>36363</v>
      </c>
      <c r="Y8338" s="15" t="s">
        <v>108</v>
      </c>
      <c r="Z8338" s="14" t="s">
        <v>36</v>
      </c>
      <c r="AA8338" s="14" t="s">
        <v>36</v>
      </c>
      <c r="AB8338" s="12" t="s">
        <v>43</v>
      </c>
      <c r="AC8338" s="12" t="s">
        <v>36364</v>
      </c>
      <c r="AD8338" s="13">
        <v>41091</v>
      </c>
      <c r="AE8338" s="12" t="s">
        <v>651</v>
      </c>
      <c r="AF8338" s="12" t="s">
        <v>36</v>
      </c>
      <c r="AG8338" s="12" t="s">
        <v>81</v>
      </c>
      <c r="AH8338" s="1">
        <f>HYPERLINK("https://my.pitchbook.com?c=50545-99T","View Company Online")</f>
      </c>
    </row>
    <row r="8339">
      <c r="A8339" s="3" t="s">
        <v>36365</v>
      </c>
      <c r="B8339" s="3" t="s">
        <v>36366</v>
      </c>
      <c r="C8339" s="5" t="s">
        <v>36</v>
      </c>
      <c r="D8339" s="5" t="s">
        <v>36</v>
      </c>
      <c r="E8339" s="5" t="s">
        <v>36</v>
      </c>
      <c r="F8339" s="5" t="s">
        <v>36</v>
      </c>
      <c r="G8339" s="6" t="s">
        <v>36</v>
      </c>
      <c r="H8339" s="4" t="s">
        <v>36</v>
      </c>
      <c r="I8339" s="7" t="s">
        <v>36</v>
      </c>
      <c r="J8339" s="3" t="s">
        <v>36</v>
      </c>
      <c r="K8339" s="9" t="s">
        <v>36</v>
      </c>
      <c r="L8339" s="6" t="s">
        <v>36</v>
      </c>
      <c r="M8339" s="3" t="s">
        <v>36</v>
      </c>
      <c r="N8339" s="3" t="s">
        <v>36</v>
      </c>
      <c r="O8339" s="8" t="s">
        <v>36</v>
      </c>
      <c r="P8339" s="3" t="s">
        <v>36</v>
      </c>
      <c r="Q8339" s="3" t="s">
        <v>36</v>
      </c>
      <c r="R8339" s="3" t="s">
        <v>36</v>
      </c>
      <c r="S8339" s="3" t="s">
        <v>36</v>
      </c>
      <c r="T8339" s="3" t="s">
        <v>36367</v>
      </c>
      <c r="U8339" s="3" t="s">
        <v>318</v>
      </c>
      <c r="V8339" s="3" t="s">
        <v>39</v>
      </c>
      <c r="W8339" s="3" t="s">
        <v>36368</v>
      </c>
      <c r="X8339" s="10" t="s">
        <v>31108</v>
      </c>
      <c r="Y8339" s="6" t="s">
        <v>108</v>
      </c>
      <c r="Z8339" s="4">
        <v>1.13</v>
      </c>
      <c r="AA8339" s="4" t="s">
        <v>36</v>
      </c>
      <c r="AB8339" s="3" t="s">
        <v>43</v>
      </c>
      <c r="AC8339" s="3" t="s">
        <v>36369</v>
      </c>
      <c r="AD8339" s="9">
        <v>41091</v>
      </c>
      <c r="AE8339" s="3" t="s">
        <v>763</v>
      </c>
      <c r="AF8339" s="3" t="s">
        <v>1636</v>
      </c>
      <c r="AG8339" s="3" t="s">
        <v>36370</v>
      </c>
      <c r="AH8339" s="11">
        <f>HYPERLINK("https://my.pitchbook.com?c=88238-08T","View Company Online")</f>
      </c>
    </row>
    <row r="8340">
      <c r="A8340" s="12" t="s">
        <v>36371</v>
      </c>
      <c r="B8340" s="12" t="s">
        <v>36372</v>
      </c>
      <c r="C8340" s="19" t="s">
        <v>36</v>
      </c>
      <c r="D8340" s="19">
        <v>2</v>
      </c>
      <c r="E8340" s="19">
        <v>2</v>
      </c>
      <c r="F8340" s="19">
        <v>3</v>
      </c>
      <c r="G8340" s="15" t="s">
        <v>36</v>
      </c>
      <c r="H8340" s="14" t="s">
        <v>36</v>
      </c>
      <c r="I8340" s="18" t="s">
        <v>36</v>
      </c>
      <c r="J8340" s="12" t="s">
        <v>36</v>
      </c>
      <c r="K8340" s="13" t="s">
        <v>36</v>
      </c>
      <c r="L8340" s="15" t="s">
        <v>36</v>
      </c>
      <c r="M8340" s="12" t="s">
        <v>36</v>
      </c>
      <c r="N8340" s="12" t="s">
        <v>36</v>
      </c>
      <c r="O8340" s="17" t="s">
        <v>36</v>
      </c>
      <c r="P8340" s="12" t="s">
        <v>36</v>
      </c>
      <c r="Q8340" s="12" t="s">
        <v>36</v>
      </c>
      <c r="R8340" s="12" t="s">
        <v>36</v>
      </c>
      <c r="S8340" s="12" t="s">
        <v>36</v>
      </c>
      <c r="T8340" s="12" t="s">
        <v>522</v>
      </c>
      <c r="U8340" s="12" t="s">
        <v>38</v>
      </c>
      <c r="V8340" s="12" t="s">
        <v>39</v>
      </c>
      <c r="W8340" s="12" t="s">
        <v>36373</v>
      </c>
      <c r="X8340" s="16" t="s">
        <v>36374</v>
      </c>
      <c r="Y8340" s="15" t="s">
        <v>42</v>
      </c>
      <c r="Z8340" s="14">
        <v>0.84</v>
      </c>
      <c r="AA8340" s="14" t="s">
        <v>36</v>
      </c>
      <c r="AB8340" s="12" t="s">
        <v>43</v>
      </c>
      <c r="AC8340" s="12" t="s">
        <v>36375</v>
      </c>
      <c r="AD8340" s="13">
        <v>41091</v>
      </c>
      <c r="AE8340" s="12" t="s">
        <v>110</v>
      </c>
      <c r="AF8340" s="12" t="s">
        <v>118</v>
      </c>
      <c r="AG8340" s="12" t="s">
        <v>21857</v>
      </c>
      <c r="AH8340" s="1">
        <f>HYPERLINK("https://my.pitchbook.com?c=85003-66T","View Company Online")</f>
      </c>
    </row>
    <row r="8341">
      <c r="A8341" s="3" t="s">
        <v>36376</v>
      </c>
      <c r="B8341" s="3" t="s">
        <v>36377</v>
      </c>
      <c r="C8341" s="5" t="s">
        <v>36</v>
      </c>
      <c r="D8341" s="5" t="s">
        <v>36</v>
      </c>
      <c r="E8341" s="5" t="s">
        <v>36</v>
      </c>
      <c r="F8341" s="5" t="s">
        <v>36</v>
      </c>
      <c r="G8341" s="6" t="s">
        <v>36</v>
      </c>
      <c r="H8341" s="4" t="s">
        <v>36</v>
      </c>
      <c r="I8341" s="7" t="s">
        <v>36</v>
      </c>
      <c r="J8341" s="3" t="s">
        <v>36</v>
      </c>
      <c r="K8341" s="9" t="s">
        <v>36</v>
      </c>
      <c r="L8341" s="6" t="s">
        <v>36</v>
      </c>
      <c r="M8341" s="3" t="s">
        <v>36</v>
      </c>
      <c r="N8341" s="3" t="s">
        <v>36</v>
      </c>
      <c r="O8341" s="8" t="s">
        <v>36</v>
      </c>
      <c r="P8341" s="3" t="s">
        <v>36</v>
      </c>
      <c r="Q8341" s="3" t="s">
        <v>36</v>
      </c>
      <c r="R8341" s="3" t="s">
        <v>36</v>
      </c>
      <c r="S8341" s="3" t="s">
        <v>36</v>
      </c>
      <c r="T8341" s="3" t="s">
        <v>36378</v>
      </c>
      <c r="U8341" s="3" t="s">
        <v>289</v>
      </c>
      <c r="V8341" s="3" t="s">
        <v>64</v>
      </c>
      <c r="W8341" s="3" t="s">
        <v>36379</v>
      </c>
      <c r="X8341" s="10" t="s">
        <v>36380</v>
      </c>
      <c r="Y8341" s="6" t="s">
        <v>42</v>
      </c>
      <c r="Z8341" s="4">
        <v>3.77</v>
      </c>
      <c r="AA8341" s="4" t="s">
        <v>36</v>
      </c>
      <c r="AB8341" s="3" t="s">
        <v>43</v>
      </c>
      <c r="AC8341" s="3" t="s">
        <v>36381</v>
      </c>
      <c r="AD8341" s="9">
        <v>41091</v>
      </c>
      <c r="AE8341" s="3" t="s">
        <v>3134</v>
      </c>
      <c r="AF8341" s="3" t="s">
        <v>2118</v>
      </c>
      <c r="AG8341" s="3" t="s">
        <v>81</v>
      </c>
      <c r="AH8341" s="11">
        <f>HYPERLINK("https://my.pitchbook.com?c=76354-57T","View Company Online")</f>
      </c>
    </row>
    <row r="8342">
      <c r="A8342" s="12" t="s">
        <v>36382</v>
      </c>
      <c r="B8342" s="12" t="s">
        <v>36383</v>
      </c>
      <c r="C8342" s="19" t="s">
        <v>36</v>
      </c>
      <c r="D8342" s="19">
        <v>1</v>
      </c>
      <c r="E8342" s="19">
        <v>1</v>
      </c>
      <c r="F8342" s="19">
        <v>2</v>
      </c>
      <c r="G8342" s="15" t="s">
        <v>36</v>
      </c>
      <c r="H8342" s="14" t="s">
        <v>36</v>
      </c>
      <c r="I8342" s="18" t="s">
        <v>36</v>
      </c>
      <c r="J8342" s="12" t="s">
        <v>36</v>
      </c>
      <c r="K8342" s="13" t="s">
        <v>36</v>
      </c>
      <c r="L8342" s="15" t="s">
        <v>36</v>
      </c>
      <c r="M8342" s="12" t="s">
        <v>36</v>
      </c>
      <c r="N8342" s="12" t="s">
        <v>36</v>
      </c>
      <c r="O8342" s="17" t="s">
        <v>36</v>
      </c>
      <c r="P8342" s="12" t="s">
        <v>36</v>
      </c>
      <c r="Q8342" s="12" t="s">
        <v>36</v>
      </c>
      <c r="R8342" s="12" t="s">
        <v>36</v>
      </c>
      <c r="S8342" s="12" t="s">
        <v>36</v>
      </c>
      <c r="T8342" s="12" t="s">
        <v>4758</v>
      </c>
      <c r="U8342" s="12" t="s">
        <v>38</v>
      </c>
      <c r="V8342" s="12" t="s">
        <v>39</v>
      </c>
      <c r="W8342" s="12" t="s">
        <v>36384</v>
      </c>
      <c r="X8342" s="16" t="s">
        <v>36385</v>
      </c>
      <c r="Y8342" s="15" t="s">
        <v>42</v>
      </c>
      <c r="Z8342" s="14">
        <v>1.26</v>
      </c>
      <c r="AA8342" s="14" t="s">
        <v>36</v>
      </c>
      <c r="AB8342" s="12" t="s">
        <v>43</v>
      </c>
      <c r="AC8342" s="12" t="s">
        <v>36386</v>
      </c>
      <c r="AD8342" s="13">
        <v>41091</v>
      </c>
      <c r="AE8342" s="12" t="s">
        <v>1330</v>
      </c>
      <c r="AF8342" s="12" t="s">
        <v>25016</v>
      </c>
      <c r="AG8342" s="12" t="s">
        <v>1362</v>
      </c>
      <c r="AH8342" s="1">
        <f>HYPERLINK("https://my.pitchbook.com?c=66286-09T","View Company Online")</f>
      </c>
    </row>
    <row r="8343">
      <c r="A8343" s="3" t="s">
        <v>36387</v>
      </c>
      <c r="B8343" s="3" t="s">
        <v>35349</v>
      </c>
      <c r="C8343" s="5" t="s">
        <v>36</v>
      </c>
      <c r="D8343" s="5">
        <v>16</v>
      </c>
      <c r="E8343" s="5">
        <v>5</v>
      </c>
      <c r="F8343" s="5">
        <v>18</v>
      </c>
      <c r="G8343" s="6" t="s">
        <v>36</v>
      </c>
      <c r="H8343" s="4">
        <v>51.93</v>
      </c>
      <c r="I8343" s="7">
        <v>8.91</v>
      </c>
      <c r="J8343" s="3" t="s">
        <v>521</v>
      </c>
      <c r="K8343" s="9" t="s">
        <v>36</v>
      </c>
      <c r="L8343" s="6" t="s">
        <v>36</v>
      </c>
      <c r="M8343" s="3" t="s">
        <v>36</v>
      </c>
      <c r="N8343" s="3" t="s">
        <v>36</v>
      </c>
      <c r="O8343" s="8" t="s">
        <v>36</v>
      </c>
      <c r="P8343" s="3" t="s">
        <v>36</v>
      </c>
      <c r="Q8343" s="3" t="s">
        <v>36</v>
      </c>
      <c r="R8343" s="3" t="s">
        <v>36</v>
      </c>
      <c r="S8343" s="3" t="s">
        <v>36</v>
      </c>
      <c r="T8343" s="3" t="s">
        <v>6281</v>
      </c>
      <c r="U8343" s="3" t="s">
        <v>96</v>
      </c>
      <c r="V8343" s="3" t="s">
        <v>52</v>
      </c>
      <c r="W8343" s="3" t="s">
        <v>35350</v>
      </c>
      <c r="X8343" s="10" t="s">
        <v>36388</v>
      </c>
      <c r="Y8343" s="6" t="s">
        <v>42</v>
      </c>
      <c r="Z8343" s="4">
        <v>0.63</v>
      </c>
      <c r="AA8343" s="4">
        <v>7.04</v>
      </c>
      <c r="AB8343" s="3" t="s">
        <v>56</v>
      </c>
      <c r="AC8343" s="3" t="s">
        <v>35351</v>
      </c>
      <c r="AD8343" s="9">
        <v>41089</v>
      </c>
      <c r="AE8343" s="3" t="s">
        <v>1414</v>
      </c>
      <c r="AF8343" s="3" t="s">
        <v>9908</v>
      </c>
      <c r="AG8343" s="3" t="s">
        <v>28138</v>
      </c>
      <c r="AH8343" s="11">
        <f>HYPERLINK("https://my.pitchbook.com?c=129545-65T","View Company Online")</f>
      </c>
    </row>
    <row r="8344">
      <c r="A8344" s="12" t="s">
        <v>36389</v>
      </c>
      <c r="B8344" s="12" t="s">
        <v>26625</v>
      </c>
      <c r="C8344" s="19" t="s">
        <v>36</v>
      </c>
      <c r="D8344" s="19">
        <v>13</v>
      </c>
      <c r="E8344" s="19">
        <v>5</v>
      </c>
      <c r="F8344" s="19">
        <v>16</v>
      </c>
      <c r="G8344" s="15" t="s">
        <v>36</v>
      </c>
      <c r="H8344" s="14">
        <v>455.98</v>
      </c>
      <c r="I8344" s="18">
        <v>58.84</v>
      </c>
      <c r="J8344" s="12" t="s">
        <v>521</v>
      </c>
      <c r="K8344" s="13" t="s">
        <v>36</v>
      </c>
      <c r="L8344" s="15" t="s">
        <v>36</v>
      </c>
      <c r="M8344" s="12" t="s">
        <v>36</v>
      </c>
      <c r="N8344" s="12" t="s">
        <v>36</v>
      </c>
      <c r="O8344" s="17" t="s">
        <v>36</v>
      </c>
      <c r="P8344" s="12" t="s">
        <v>36</v>
      </c>
      <c r="Q8344" s="12" t="s">
        <v>36</v>
      </c>
      <c r="R8344" s="12" t="s">
        <v>36</v>
      </c>
      <c r="S8344" s="12" t="s">
        <v>36</v>
      </c>
      <c r="T8344" s="12" t="s">
        <v>1746</v>
      </c>
      <c r="U8344" s="12" t="s">
        <v>74</v>
      </c>
      <c r="V8344" s="12" t="s">
        <v>75</v>
      </c>
      <c r="W8344" s="12" t="s">
        <v>26626</v>
      </c>
      <c r="X8344" s="16" t="s">
        <v>11579</v>
      </c>
      <c r="Y8344" s="15" t="s">
        <v>42</v>
      </c>
      <c r="Z8344" s="14">
        <v>1.25</v>
      </c>
      <c r="AA8344" s="14">
        <v>1.54</v>
      </c>
      <c r="AB8344" s="12" t="s">
        <v>56</v>
      </c>
      <c r="AC8344" s="12" t="s">
        <v>26627</v>
      </c>
      <c r="AD8344" s="13">
        <v>41088</v>
      </c>
      <c r="AE8344" s="12" t="s">
        <v>570</v>
      </c>
      <c r="AF8344" s="12" t="s">
        <v>372</v>
      </c>
      <c r="AG8344" s="12" t="s">
        <v>3497</v>
      </c>
      <c r="AH8344" s="1">
        <f>HYPERLINK("https://my.pitchbook.com?c=188053-57T","View Company Online")</f>
      </c>
    </row>
    <row r="8345">
      <c r="A8345" s="3" t="s">
        <v>36390</v>
      </c>
      <c r="B8345" s="3" t="s">
        <v>24346</v>
      </c>
      <c r="C8345" s="5" t="s">
        <v>36</v>
      </c>
      <c r="D8345" s="5" t="s">
        <v>36</v>
      </c>
      <c r="E8345" s="5" t="s">
        <v>36</v>
      </c>
      <c r="F8345" s="5" t="s">
        <v>36</v>
      </c>
      <c r="G8345" s="6" t="s">
        <v>683</v>
      </c>
      <c r="H8345" s="4">
        <v>1403.1</v>
      </c>
      <c r="I8345" s="7">
        <v>11.23</v>
      </c>
      <c r="J8345" s="3" t="s">
        <v>521</v>
      </c>
      <c r="K8345" s="9" t="s">
        <v>36</v>
      </c>
      <c r="L8345" s="6" t="s">
        <v>36</v>
      </c>
      <c r="M8345" s="3" t="s">
        <v>36</v>
      </c>
      <c r="N8345" s="3" t="s">
        <v>36</v>
      </c>
      <c r="O8345" s="8" t="s">
        <v>36</v>
      </c>
      <c r="P8345" s="3" t="s">
        <v>36</v>
      </c>
      <c r="Q8345" s="3" t="s">
        <v>36</v>
      </c>
      <c r="R8345" s="3" t="s">
        <v>36</v>
      </c>
      <c r="S8345" s="3" t="s">
        <v>36</v>
      </c>
      <c r="T8345" s="3" t="s">
        <v>9456</v>
      </c>
      <c r="U8345" s="3" t="s">
        <v>63</v>
      </c>
      <c r="V8345" s="3" t="s">
        <v>64</v>
      </c>
      <c r="W8345" s="3" t="s">
        <v>24347</v>
      </c>
      <c r="X8345" s="10" t="s">
        <v>11579</v>
      </c>
      <c r="Y8345" s="6" t="s">
        <v>108</v>
      </c>
      <c r="Z8345" s="4">
        <v>0.32</v>
      </c>
      <c r="AA8345" s="4">
        <v>2.82</v>
      </c>
      <c r="AB8345" s="3" t="s">
        <v>43</v>
      </c>
      <c r="AC8345" s="3" t="s">
        <v>24348</v>
      </c>
      <c r="AD8345" s="9">
        <v>41087</v>
      </c>
      <c r="AE8345" s="3" t="s">
        <v>4310</v>
      </c>
      <c r="AF8345" s="3" t="s">
        <v>36</v>
      </c>
      <c r="AG8345" s="3" t="s">
        <v>81</v>
      </c>
      <c r="AH8345" s="11">
        <f>HYPERLINK("https://my.pitchbook.com?c=188069-95T","View Company Online")</f>
      </c>
    </row>
    <row r="8346">
      <c r="A8346" s="12" t="s">
        <v>36391</v>
      </c>
      <c r="B8346" s="12" t="s">
        <v>36392</v>
      </c>
      <c r="C8346" s="19" t="s">
        <v>36</v>
      </c>
      <c r="D8346" s="19" t="s">
        <v>36</v>
      </c>
      <c r="E8346" s="19" t="s">
        <v>36</v>
      </c>
      <c r="F8346" s="19" t="s">
        <v>36</v>
      </c>
      <c r="G8346" s="15" t="s">
        <v>36</v>
      </c>
      <c r="H8346" s="14" t="s">
        <v>36</v>
      </c>
      <c r="I8346" s="18" t="s">
        <v>36</v>
      </c>
      <c r="J8346" s="12" t="s">
        <v>36</v>
      </c>
      <c r="K8346" s="13" t="s">
        <v>36</v>
      </c>
      <c r="L8346" s="15" t="s">
        <v>36</v>
      </c>
      <c r="M8346" s="12" t="s">
        <v>36</v>
      </c>
      <c r="N8346" s="12" t="s">
        <v>36</v>
      </c>
      <c r="O8346" s="17" t="s">
        <v>36</v>
      </c>
      <c r="P8346" s="12" t="s">
        <v>36</v>
      </c>
      <c r="Q8346" s="12" t="s">
        <v>36</v>
      </c>
      <c r="R8346" s="12" t="s">
        <v>36</v>
      </c>
      <c r="S8346" s="12" t="s">
        <v>36</v>
      </c>
      <c r="T8346" s="12" t="s">
        <v>36393</v>
      </c>
      <c r="U8346" s="12" t="s">
        <v>279</v>
      </c>
      <c r="V8346" s="12" t="s">
        <v>64</v>
      </c>
      <c r="W8346" s="12" t="s">
        <v>36394</v>
      </c>
      <c r="X8346" s="16" t="s">
        <v>31667</v>
      </c>
      <c r="Y8346" s="15" t="s">
        <v>42</v>
      </c>
      <c r="Z8346" s="14">
        <v>2.51</v>
      </c>
      <c r="AA8346" s="14" t="s">
        <v>36</v>
      </c>
      <c r="AB8346" s="12" t="s">
        <v>56</v>
      </c>
      <c r="AC8346" s="12" t="s">
        <v>36395</v>
      </c>
      <c r="AD8346" s="13">
        <v>41087</v>
      </c>
      <c r="AE8346" s="12" t="s">
        <v>283</v>
      </c>
      <c r="AF8346" s="12" t="s">
        <v>28774</v>
      </c>
      <c r="AG8346" s="12" t="s">
        <v>81</v>
      </c>
      <c r="AH8346" s="1">
        <f>HYPERLINK("https://my.pitchbook.com?c=36429-40T","View Company Online")</f>
      </c>
    </row>
    <row r="8347">
      <c r="A8347" s="3" t="s">
        <v>36396</v>
      </c>
      <c r="B8347" s="3" t="s">
        <v>36397</v>
      </c>
      <c r="C8347" s="5" t="s">
        <v>36</v>
      </c>
      <c r="D8347" s="5" t="s">
        <v>36</v>
      </c>
      <c r="E8347" s="5" t="s">
        <v>36</v>
      </c>
      <c r="F8347" s="5" t="s">
        <v>36</v>
      </c>
      <c r="G8347" s="6" t="s">
        <v>683</v>
      </c>
      <c r="H8347" s="4">
        <v>5.71</v>
      </c>
      <c r="I8347" s="7">
        <v>20.28</v>
      </c>
      <c r="J8347" s="3" t="s">
        <v>521</v>
      </c>
      <c r="K8347" s="9" t="s">
        <v>36</v>
      </c>
      <c r="L8347" s="6" t="s">
        <v>36</v>
      </c>
      <c r="M8347" s="3" t="s">
        <v>36</v>
      </c>
      <c r="N8347" s="3" t="s">
        <v>36</v>
      </c>
      <c r="O8347" s="8" t="s">
        <v>36</v>
      </c>
      <c r="P8347" s="3" t="s">
        <v>36</v>
      </c>
      <c r="Q8347" s="3" t="s">
        <v>36</v>
      </c>
      <c r="R8347" s="3" t="s">
        <v>36</v>
      </c>
      <c r="S8347" s="3" t="s">
        <v>36</v>
      </c>
      <c r="T8347" s="3" t="s">
        <v>4529</v>
      </c>
      <c r="U8347" s="3" t="s">
        <v>38</v>
      </c>
      <c r="V8347" s="3" t="s">
        <v>39</v>
      </c>
      <c r="W8347" s="3" t="s">
        <v>36398</v>
      </c>
      <c r="X8347" s="10" t="s">
        <v>36399</v>
      </c>
      <c r="Y8347" s="6" t="s">
        <v>108</v>
      </c>
      <c r="Z8347" s="4">
        <v>1.69</v>
      </c>
      <c r="AA8347" s="4">
        <v>8.35</v>
      </c>
      <c r="AB8347" s="3" t="s">
        <v>56</v>
      </c>
      <c r="AC8347" s="3" t="s">
        <v>36400</v>
      </c>
      <c r="AD8347" s="9">
        <v>41086</v>
      </c>
      <c r="AE8347" s="3" t="s">
        <v>1422</v>
      </c>
      <c r="AF8347" s="3" t="s">
        <v>4842</v>
      </c>
      <c r="AG8347" s="3" t="s">
        <v>36401</v>
      </c>
      <c r="AH8347" s="11">
        <f>HYPERLINK("https://my.pitchbook.com?c=27241-84T","View Company Online")</f>
      </c>
    </row>
    <row r="8348">
      <c r="A8348" s="12" t="s">
        <v>36402</v>
      </c>
      <c r="B8348" s="12" t="s">
        <v>36403</v>
      </c>
      <c r="C8348" s="19" t="s">
        <v>36</v>
      </c>
      <c r="D8348" s="19" t="s">
        <v>36</v>
      </c>
      <c r="E8348" s="19" t="s">
        <v>36</v>
      </c>
      <c r="F8348" s="19" t="s">
        <v>36</v>
      </c>
      <c r="G8348" s="15" t="s">
        <v>36</v>
      </c>
      <c r="H8348" s="14" t="s">
        <v>36</v>
      </c>
      <c r="I8348" s="18" t="s">
        <v>36</v>
      </c>
      <c r="J8348" s="12" t="s">
        <v>36</v>
      </c>
      <c r="K8348" s="13" t="s">
        <v>36</v>
      </c>
      <c r="L8348" s="15" t="s">
        <v>36</v>
      </c>
      <c r="M8348" s="12" t="s">
        <v>36</v>
      </c>
      <c r="N8348" s="12" t="s">
        <v>36</v>
      </c>
      <c r="O8348" s="17" t="s">
        <v>36</v>
      </c>
      <c r="P8348" s="12" t="s">
        <v>36</v>
      </c>
      <c r="Q8348" s="12" t="s">
        <v>36</v>
      </c>
      <c r="R8348" s="12" t="s">
        <v>36</v>
      </c>
      <c r="S8348" s="12" t="s">
        <v>36</v>
      </c>
      <c r="T8348" s="12" t="s">
        <v>3523</v>
      </c>
      <c r="U8348" s="12" t="s">
        <v>74</v>
      </c>
      <c r="V8348" s="12" t="s">
        <v>75</v>
      </c>
      <c r="W8348" s="12" t="s">
        <v>36404</v>
      </c>
      <c r="X8348" s="16" t="s">
        <v>36219</v>
      </c>
      <c r="Y8348" s="15" t="s">
        <v>42</v>
      </c>
      <c r="Z8348" s="14" t="s">
        <v>36</v>
      </c>
      <c r="AA8348" s="14" t="s">
        <v>36</v>
      </c>
      <c r="AB8348" s="12" t="s">
        <v>43</v>
      </c>
      <c r="AC8348" s="12" t="s">
        <v>36405</v>
      </c>
      <c r="AD8348" s="13">
        <v>41085</v>
      </c>
      <c r="AE8348" s="12" t="s">
        <v>3144</v>
      </c>
      <c r="AF8348" s="12" t="s">
        <v>546</v>
      </c>
      <c r="AG8348" s="12" t="s">
        <v>81</v>
      </c>
      <c r="AH8348" s="1">
        <f>HYPERLINK("https://my.pitchbook.com?c=28761-58T","View Company Online")</f>
      </c>
    </row>
    <row r="8349">
      <c r="A8349" s="3" t="s">
        <v>36406</v>
      </c>
      <c r="B8349" s="3" t="s">
        <v>36407</v>
      </c>
      <c r="C8349" s="5" t="s">
        <v>36</v>
      </c>
      <c r="D8349" s="5" t="s">
        <v>36</v>
      </c>
      <c r="E8349" s="5" t="s">
        <v>36</v>
      </c>
      <c r="F8349" s="5" t="s">
        <v>36</v>
      </c>
      <c r="G8349" s="6" t="s">
        <v>36</v>
      </c>
      <c r="H8349" s="4" t="s">
        <v>36</v>
      </c>
      <c r="I8349" s="7" t="s">
        <v>36</v>
      </c>
      <c r="J8349" s="3" t="s">
        <v>36</v>
      </c>
      <c r="K8349" s="9" t="s">
        <v>36</v>
      </c>
      <c r="L8349" s="6" t="s">
        <v>36</v>
      </c>
      <c r="M8349" s="3" t="s">
        <v>36</v>
      </c>
      <c r="N8349" s="3" t="s">
        <v>36</v>
      </c>
      <c r="O8349" s="8" t="s">
        <v>36</v>
      </c>
      <c r="P8349" s="3" t="s">
        <v>36</v>
      </c>
      <c r="Q8349" s="3" t="s">
        <v>36</v>
      </c>
      <c r="R8349" s="3" t="s">
        <v>36</v>
      </c>
      <c r="S8349" s="3" t="s">
        <v>36</v>
      </c>
      <c r="T8349" s="3" t="s">
        <v>36408</v>
      </c>
      <c r="U8349" s="3" t="s">
        <v>219</v>
      </c>
      <c r="V8349" s="3" t="s">
        <v>75</v>
      </c>
      <c r="W8349" s="3" t="s">
        <v>36409</v>
      </c>
      <c r="X8349" s="10" t="s">
        <v>36410</v>
      </c>
      <c r="Y8349" s="6" t="s">
        <v>108</v>
      </c>
      <c r="Z8349" s="4">
        <v>5.02</v>
      </c>
      <c r="AA8349" s="4" t="s">
        <v>36</v>
      </c>
      <c r="AB8349" s="3" t="s">
        <v>43</v>
      </c>
      <c r="AC8349" s="3" t="s">
        <v>36411</v>
      </c>
      <c r="AD8349" s="9">
        <v>41084</v>
      </c>
      <c r="AE8349" s="3" t="s">
        <v>1032</v>
      </c>
      <c r="AF8349" s="3" t="s">
        <v>1969</v>
      </c>
      <c r="AG8349" s="3" t="s">
        <v>36412</v>
      </c>
      <c r="AH8349" s="11">
        <f>HYPERLINK("https://my.pitchbook.com?c=29379-97T","View Company Online")</f>
      </c>
    </row>
    <row r="8350">
      <c r="A8350" s="12" t="s">
        <v>36413</v>
      </c>
      <c r="B8350" s="12" t="s">
        <v>36414</v>
      </c>
      <c r="C8350" s="19" t="s">
        <v>36</v>
      </c>
      <c r="D8350" s="19" t="s">
        <v>36</v>
      </c>
      <c r="E8350" s="19">
        <v>1</v>
      </c>
      <c r="F8350" s="19">
        <v>1</v>
      </c>
      <c r="G8350" s="15" t="s">
        <v>36</v>
      </c>
      <c r="H8350" s="14" t="s">
        <v>36</v>
      </c>
      <c r="I8350" s="18" t="s">
        <v>36</v>
      </c>
      <c r="J8350" s="12" t="s">
        <v>36</v>
      </c>
      <c r="K8350" s="13" t="s">
        <v>36</v>
      </c>
      <c r="L8350" s="15" t="s">
        <v>36</v>
      </c>
      <c r="M8350" s="12" t="s">
        <v>36</v>
      </c>
      <c r="N8350" s="12" t="s">
        <v>36</v>
      </c>
      <c r="O8350" s="17" t="s">
        <v>36</v>
      </c>
      <c r="P8350" s="12" t="s">
        <v>36</v>
      </c>
      <c r="Q8350" s="12" t="s">
        <v>36</v>
      </c>
      <c r="R8350" s="12" t="s">
        <v>36</v>
      </c>
      <c r="S8350" s="12" t="s">
        <v>36</v>
      </c>
      <c r="T8350" s="12" t="s">
        <v>36415</v>
      </c>
      <c r="U8350" s="12" t="s">
        <v>279</v>
      </c>
      <c r="V8350" s="12" t="s">
        <v>64</v>
      </c>
      <c r="W8350" s="12" t="s">
        <v>36416</v>
      </c>
      <c r="X8350" s="16" t="s">
        <v>36417</v>
      </c>
      <c r="Y8350" s="15" t="s">
        <v>192</v>
      </c>
      <c r="Z8350" s="14">
        <v>0.44</v>
      </c>
      <c r="AA8350" s="14" t="s">
        <v>36</v>
      </c>
      <c r="AB8350" s="12" t="s">
        <v>43</v>
      </c>
      <c r="AC8350" s="12" t="s">
        <v>36418</v>
      </c>
      <c r="AD8350" s="13">
        <v>41082</v>
      </c>
      <c r="AE8350" s="12" t="s">
        <v>11826</v>
      </c>
      <c r="AF8350" s="12" t="s">
        <v>1636</v>
      </c>
      <c r="AG8350" s="12" t="s">
        <v>186</v>
      </c>
      <c r="AH8350" s="1">
        <f>HYPERLINK("https://my.pitchbook.com?c=26113-24T","View Company Online")</f>
      </c>
    </row>
    <row r="8351">
      <c r="A8351" s="3" t="s">
        <v>36419</v>
      </c>
      <c r="B8351" s="3" t="s">
        <v>32388</v>
      </c>
      <c r="C8351" s="5">
        <v>1</v>
      </c>
      <c r="D8351" s="5">
        <v>17</v>
      </c>
      <c r="E8351" s="5">
        <v>5</v>
      </c>
      <c r="F8351" s="5">
        <v>24</v>
      </c>
      <c r="G8351" s="6" t="s">
        <v>36</v>
      </c>
      <c r="H8351" s="4">
        <v>25.96</v>
      </c>
      <c r="I8351" s="7">
        <v>36.46</v>
      </c>
      <c r="J8351" s="3" t="s">
        <v>521</v>
      </c>
      <c r="K8351" s="9" t="s">
        <v>36</v>
      </c>
      <c r="L8351" s="6" t="s">
        <v>122</v>
      </c>
      <c r="M8351" s="3" t="s">
        <v>36</v>
      </c>
      <c r="N8351" s="3" t="s">
        <v>122</v>
      </c>
      <c r="O8351" s="8" t="s">
        <v>36</v>
      </c>
      <c r="P8351" s="3" t="s">
        <v>36</v>
      </c>
      <c r="Q8351" s="3" t="s">
        <v>36</v>
      </c>
      <c r="R8351" s="3" t="s">
        <v>36</v>
      </c>
      <c r="S8351" s="3" t="s">
        <v>36</v>
      </c>
      <c r="T8351" s="3" t="s">
        <v>881</v>
      </c>
      <c r="U8351" s="3" t="s">
        <v>51</v>
      </c>
      <c r="V8351" s="3" t="s">
        <v>52</v>
      </c>
      <c r="W8351" s="3" t="s">
        <v>32389</v>
      </c>
      <c r="X8351" s="10" t="s">
        <v>36420</v>
      </c>
      <c r="Y8351" s="6" t="s">
        <v>108</v>
      </c>
      <c r="Z8351" s="4">
        <v>1.1</v>
      </c>
      <c r="AA8351" s="4">
        <v>3.01</v>
      </c>
      <c r="AB8351" s="3" t="s">
        <v>43</v>
      </c>
      <c r="AC8351" s="3" t="s">
        <v>32391</v>
      </c>
      <c r="AD8351" s="9">
        <v>41078</v>
      </c>
      <c r="AE8351" s="3" t="s">
        <v>504</v>
      </c>
      <c r="AF8351" s="3" t="s">
        <v>159</v>
      </c>
      <c r="AG8351" s="3" t="s">
        <v>47</v>
      </c>
      <c r="AH8351" s="11">
        <f>HYPERLINK("https://my.pitchbook.com?c=25309-63T","View Company Online")</f>
      </c>
    </row>
    <row r="8352">
      <c r="A8352" s="12" t="s">
        <v>36421</v>
      </c>
      <c r="B8352" s="12" t="s">
        <v>23605</v>
      </c>
      <c r="C8352" s="19">
        <v>2</v>
      </c>
      <c r="D8352" s="19" t="s">
        <v>36</v>
      </c>
      <c r="E8352" s="19">
        <v>2</v>
      </c>
      <c r="F8352" s="19">
        <v>2</v>
      </c>
      <c r="G8352" s="15" t="s">
        <v>2497</v>
      </c>
      <c r="H8352" s="14">
        <v>31.16</v>
      </c>
      <c r="I8352" s="18">
        <v>41.7</v>
      </c>
      <c r="J8352" s="12" t="s">
        <v>521</v>
      </c>
      <c r="K8352" s="13" t="s">
        <v>36</v>
      </c>
      <c r="L8352" s="15" t="s">
        <v>36</v>
      </c>
      <c r="M8352" s="12" t="s">
        <v>36</v>
      </c>
      <c r="N8352" s="12" t="s">
        <v>36</v>
      </c>
      <c r="O8352" s="17" t="s">
        <v>36</v>
      </c>
      <c r="P8352" s="12" t="s">
        <v>36</v>
      </c>
      <c r="Q8352" s="12" t="s">
        <v>36</v>
      </c>
      <c r="R8352" s="12" t="s">
        <v>36</v>
      </c>
      <c r="S8352" s="12" t="s">
        <v>36</v>
      </c>
      <c r="T8352" s="12" t="s">
        <v>3790</v>
      </c>
      <c r="U8352" s="12" t="s">
        <v>318</v>
      </c>
      <c r="V8352" s="12" t="s">
        <v>39</v>
      </c>
      <c r="W8352" s="12" t="s">
        <v>23606</v>
      </c>
      <c r="X8352" s="16" t="s">
        <v>36422</v>
      </c>
      <c r="Y8352" s="15" t="s">
        <v>42</v>
      </c>
      <c r="Z8352" s="14">
        <v>3.2</v>
      </c>
      <c r="AA8352" s="14">
        <v>7.66</v>
      </c>
      <c r="AB8352" s="12" t="s">
        <v>43</v>
      </c>
      <c r="AC8352" s="12" t="s">
        <v>23608</v>
      </c>
      <c r="AD8352" s="13">
        <v>41072</v>
      </c>
      <c r="AE8352" s="12" t="s">
        <v>763</v>
      </c>
      <c r="AF8352" s="12" t="s">
        <v>23609</v>
      </c>
      <c r="AG8352" s="12" t="s">
        <v>21727</v>
      </c>
      <c r="AH8352" s="1">
        <f>HYPERLINK("https://my.pitchbook.com?c=110738-89T","View Company Online")</f>
      </c>
    </row>
    <row r="8353">
      <c r="A8353" s="3" t="s">
        <v>36423</v>
      </c>
      <c r="B8353" s="3" t="s">
        <v>36424</v>
      </c>
      <c r="C8353" s="5" t="s">
        <v>36</v>
      </c>
      <c r="D8353" s="5" t="s">
        <v>36</v>
      </c>
      <c r="E8353" s="5" t="s">
        <v>36</v>
      </c>
      <c r="F8353" s="5" t="s">
        <v>36</v>
      </c>
      <c r="G8353" s="6" t="s">
        <v>36</v>
      </c>
      <c r="H8353" s="4" t="s">
        <v>36</v>
      </c>
      <c r="I8353" s="7" t="s">
        <v>36</v>
      </c>
      <c r="J8353" s="3" t="s">
        <v>36</v>
      </c>
      <c r="K8353" s="9" t="s">
        <v>36</v>
      </c>
      <c r="L8353" s="6" t="s">
        <v>36</v>
      </c>
      <c r="M8353" s="3" t="s">
        <v>36</v>
      </c>
      <c r="N8353" s="3" t="s">
        <v>36</v>
      </c>
      <c r="O8353" s="8" t="s">
        <v>36</v>
      </c>
      <c r="P8353" s="3" t="s">
        <v>36</v>
      </c>
      <c r="Q8353" s="3" t="s">
        <v>36</v>
      </c>
      <c r="R8353" s="3" t="s">
        <v>36</v>
      </c>
      <c r="S8353" s="3" t="s">
        <v>36</v>
      </c>
      <c r="T8353" s="3" t="s">
        <v>2529</v>
      </c>
      <c r="U8353" s="3" t="s">
        <v>219</v>
      </c>
      <c r="V8353" s="3" t="s">
        <v>75</v>
      </c>
      <c r="W8353" s="3" t="s">
        <v>36425</v>
      </c>
      <c r="X8353" s="10" t="s">
        <v>36426</v>
      </c>
      <c r="Y8353" s="6" t="s">
        <v>108</v>
      </c>
      <c r="Z8353" s="4">
        <v>3.14</v>
      </c>
      <c r="AA8353" s="4" t="s">
        <v>36</v>
      </c>
      <c r="AB8353" s="3" t="s">
        <v>56</v>
      </c>
      <c r="AC8353" s="3" t="s">
        <v>36427</v>
      </c>
      <c r="AD8353" s="9">
        <v>41072</v>
      </c>
      <c r="AE8353" s="3" t="s">
        <v>243</v>
      </c>
      <c r="AF8353" s="3" t="s">
        <v>4668</v>
      </c>
      <c r="AG8353" s="3" t="s">
        <v>6520</v>
      </c>
      <c r="AH8353" s="11">
        <f>HYPERLINK("https://my.pitchbook.com?c=25333-93T","View Company Online")</f>
      </c>
    </row>
    <row r="8354">
      <c r="A8354" s="12" t="s">
        <v>36428</v>
      </c>
      <c r="B8354" s="12" t="s">
        <v>36429</v>
      </c>
      <c r="C8354" s="19" t="s">
        <v>36</v>
      </c>
      <c r="D8354" s="19" t="s">
        <v>36</v>
      </c>
      <c r="E8354" s="19" t="s">
        <v>36</v>
      </c>
      <c r="F8354" s="19" t="s">
        <v>36</v>
      </c>
      <c r="G8354" s="15" t="s">
        <v>36</v>
      </c>
      <c r="H8354" s="14" t="s">
        <v>36</v>
      </c>
      <c r="I8354" s="18" t="s">
        <v>36</v>
      </c>
      <c r="J8354" s="12" t="s">
        <v>36</v>
      </c>
      <c r="K8354" s="13" t="s">
        <v>36</v>
      </c>
      <c r="L8354" s="15" t="s">
        <v>36</v>
      </c>
      <c r="M8354" s="12" t="s">
        <v>36</v>
      </c>
      <c r="N8354" s="12" t="s">
        <v>36</v>
      </c>
      <c r="O8354" s="17" t="s">
        <v>36</v>
      </c>
      <c r="P8354" s="12" t="s">
        <v>36</v>
      </c>
      <c r="Q8354" s="12" t="s">
        <v>36</v>
      </c>
      <c r="R8354" s="12" t="s">
        <v>36</v>
      </c>
      <c r="S8354" s="12" t="s">
        <v>36</v>
      </c>
      <c r="T8354" s="12" t="s">
        <v>1335</v>
      </c>
      <c r="U8354" s="12" t="s">
        <v>1336</v>
      </c>
      <c r="V8354" s="12" t="s">
        <v>367</v>
      </c>
      <c r="W8354" s="12" t="s">
        <v>36430</v>
      </c>
      <c r="X8354" s="16" t="s">
        <v>36431</v>
      </c>
      <c r="Y8354" s="15" t="s">
        <v>108</v>
      </c>
      <c r="Z8354" s="14">
        <v>3.78</v>
      </c>
      <c r="AA8354" s="14" t="s">
        <v>36</v>
      </c>
      <c r="AB8354" s="12" t="s">
        <v>56</v>
      </c>
      <c r="AC8354" s="12" t="s">
        <v>36432</v>
      </c>
      <c r="AD8354" s="13">
        <v>41071</v>
      </c>
      <c r="AE8354" s="12" t="s">
        <v>1339</v>
      </c>
      <c r="AF8354" s="12" t="s">
        <v>22942</v>
      </c>
      <c r="AG8354" s="12" t="s">
        <v>36433</v>
      </c>
      <c r="AH8354" s="1">
        <f>HYPERLINK("https://my.pitchbook.com?c=25372-72T","View Company Online")</f>
      </c>
    </row>
    <row r="8355">
      <c r="A8355" s="3" t="s">
        <v>36434</v>
      </c>
      <c r="B8355" s="3" t="s">
        <v>32557</v>
      </c>
      <c r="C8355" s="5" t="s">
        <v>36</v>
      </c>
      <c r="D8355" s="5" t="s">
        <v>36</v>
      </c>
      <c r="E8355" s="5" t="s">
        <v>36</v>
      </c>
      <c r="F8355" s="5" t="s">
        <v>36</v>
      </c>
      <c r="G8355" s="6" t="s">
        <v>36</v>
      </c>
      <c r="H8355" s="4" t="s">
        <v>36</v>
      </c>
      <c r="I8355" s="7" t="s">
        <v>36</v>
      </c>
      <c r="J8355" s="3" t="s">
        <v>36</v>
      </c>
      <c r="K8355" s="9">
        <v>40687</v>
      </c>
      <c r="L8355" s="6" t="s">
        <v>1279</v>
      </c>
      <c r="M8355" s="3" t="s">
        <v>36</v>
      </c>
      <c r="N8355" s="3" t="s">
        <v>1279</v>
      </c>
      <c r="O8355" s="8" t="s">
        <v>36</v>
      </c>
      <c r="P8355" s="3" t="s">
        <v>36</v>
      </c>
      <c r="Q8355" s="3" t="s">
        <v>36</v>
      </c>
      <c r="R8355" s="3" t="s">
        <v>36</v>
      </c>
      <c r="S8355" s="3" t="s">
        <v>36</v>
      </c>
      <c r="T8355" s="3" t="s">
        <v>2321</v>
      </c>
      <c r="U8355" s="3" t="s">
        <v>51</v>
      </c>
      <c r="V8355" s="3" t="s">
        <v>52</v>
      </c>
      <c r="W8355" s="3" t="s">
        <v>32558</v>
      </c>
      <c r="X8355" s="10" t="s">
        <v>36435</v>
      </c>
      <c r="Y8355" s="6" t="s">
        <v>55</v>
      </c>
      <c r="Z8355" s="4">
        <v>46.4</v>
      </c>
      <c r="AA8355" s="4" t="s">
        <v>36</v>
      </c>
      <c r="AB8355" s="3" t="s">
        <v>56</v>
      </c>
      <c r="AC8355" s="3" t="s">
        <v>32560</v>
      </c>
      <c r="AD8355" s="9">
        <v>41070</v>
      </c>
      <c r="AE8355" s="3" t="s">
        <v>504</v>
      </c>
      <c r="AF8355" s="3" t="s">
        <v>159</v>
      </c>
      <c r="AG8355" s="3" t="s">
        <v>32561</v>
      </c>
      <c r="AH8355" s="11">
        <f>HYPERLINK("https://my.pitchbook.com?c=25344-73T","View Company Online")</f>
      </c>
    </row>
    <row r="8356">
      <c r="A8356" s="12" t="s">
        <v>36436</v>
      </c>
      <c r="B8356" s="12" t="s">
        <v>32940</v>
      </c>
      <c r="C8356" s="19" t="s">
        <v>36</v>
      </c>
      <c r="D8356" s="19" t="s">
        <v>36</v>
      </c>
      <c r="E8356" s="19" t="s">
        <v>36</v>
      </c>
      <c r="F8356" s="19" t="s">
        <v>36</v>
      </c>
      <c r="G8356" s="15" t="s">
        <v>683</v>
      </c>
      <c r="H8356" s="14">
        <v>24.15</v>
      </c>
      <c r="I8356" s="18">
        <v>38.71</v>
      </c>
      <c r="J8356" s="12" t="s">
        <v>521</v>
      </c>
      <c r="K8356" s="13" t="s">
        <v>36</v>
      </c>
      <c r="L8356" s="15" t="s">
        <v>36</v>
      </c>
      <c r="M8356" s="12" t="s">
        <v>36</v>
      </c>
      <c r="N8356" s="12" t="s">
        <v>36</v>
      </c>
      <c r="O8356" s="17" t="s">
        <v>36</v>
      </c>
      <c r="P8356" s="12" t="s">
        <v>36</v>
      </c>
      <c r="Q8356" s="12" t="s">
        <v>36</v>
      </c>
      <c r="R8356" s="12" t="s">
        <v>36</v>
      </c>
      <c r="S8356" s="12" t="s">
        <v>36</v>
      </c>
      <c r="T8356" s="12" t="s">
        <v>32941</v>
      </c>
      <c r="U8356" s="12" t="s">
        <v>318</v>
      </c>
      <c r="V8356" s="12" t="s">
        <v>39</v>
      </c>
      <c r="W8356" s="12" t="s">
        <v>32942</v>
      </c>
      <c r="X8356" s="16" t="s">
        <v>33577</v>
      </c>
      <c r="Y8356" s="15" t="s">
        <v>55</v>
      </c>
      <c r="Z8356" s="14">
        <v>2.36</v>
      </c>
      <c r="AA8356" s="14">
        <v>6.1</v>
      </c>
      <c r="AB8356" s="12" t="s">
        <v>56</v>
      </c>
      <c r="AC8356" s="12" t="s">
        <v>32944</v>
      </c>
      <c r="AD8356" s="13">
        <v>41068</v>
      </c>
      <c r="AE8356" s="12" t="s">
        <v>763</v>
      </c>
      <c r="AF8356" s="12" t="s">
        <v>244</v>
      </c>
      <c r="AG8356" s="12" t="s">
        <v>32945</v>
      </c>
      <c r="AH8356" s="1">
        <f>HYPERLINK("https://my.pitchbook.com?c=116809-03T","View Company Online")</f>
      </c>
    </row>
    <row r="8357">
      <c r="A8357" s="3" t="s">
        <v>36437</v>
      </c>
      <c r="B8357" s="3" t="s">
        <v>26835</v>
      </c>
      <c r="C8357" s="5" t="s">
        <v>36</v>
      </c>
      <c r="D8357" s="5" t="s">
        <v>36</v>
      </c>
      <c r="E8357" s="5" t="s">
        <v>36</v>
      </c>
      <c r="F8357" s="5" t="s">
        <v>36</v>
      </c>
      <c r="G8357" s="6" t="s">
        <v>36</v>
      </c>
      <c r="H8357" s="4" t="s">
        <v>36</v>
      </c>
      <c r="I8357" s="7" t="s">
        <v>36</v>
      </c>
      <c r="J8357" s="3" t="s">
        <v>36</v>
      </c>
      <c r="K8357" s="9" t="s">
        <v>36</v>
      </c>
      <c r="L8357" s="6" t="s">
        <v>36</v>
      </c>
      <c r="M8357" s="3" t="s">
        <v>36</v>
      </c>
      <c r="N8357" s="3" t="s">
        <v>36</v>
      </c>
      <c r="O8357" s="8" t="s">
        <v>36</v>
      </c>
      <c r="P8357" s="3" t="s">
        <v>36</v>
      </c>
      <c r="Q8357" s="3" t="s">
        <v>36</v>
      </c>
      <c r="R8357" s="3" t="s">
        <v>36</v>
      </c>
      <c r="S8357" s="3" t="s">
        <v>36</v>
      </c>
      <c r="T8357" s="3" t="s">
        <v>105</v>
      </c>
      <c r="U8357" s="3" t="s">
        <v>38</v>
      </c>
      <c r="V8357" s="3" t="s">
        <v>39</v>
      </c>
      <c r="W8357" s="3" t="s">
        <v>26836</v>
      </c>
      <c r="X8357" s="10" t="s">
        <v>35549</v>
      </c>
      <c r="Y8357" s="6" t="s">
        <v>42</v>
      </c>
      <c r="Z8357" s="4">
        <v>1.26</v>
      </c>
      <c r="AA8357" s="4" t="s">
        <v>36</v>
      </c>
      <c r="AB8357" s="3" t="s">
        <v>56</v>
      </c>
      <c r="AC8357" s="3" t="s">
        <v>26837</v>
      </c>
      <c r="AD8357" s="9">
        <v>41068</v>
      </c>
      <c r="AE8357" s="3" t="s">
        <v>110</v>
      </c>
      <c r="AF8357" s="3" t="s">
        <v>6214</v>
      </c>
      <c r="AG8357" s="3" t="s">
        <v>7046</v>
      </c>
      <c r="AH8357" s="11">
        <f>HYPERLINK("https://my.pitchbook.com?c=26760-70T","View Company Online")</f>
      </c>
    </row>
    <row r="8358">
      <c r="A8358" s="12" t="s">
        <v>36438</v>
      </c>
      <c r="B8358" s="12" t="s">
        <v>34283</v>
      </c>
      <c r="C8358" s="19" t="s">
        <v>36</v>
      </c>
      <c r="D8358" s="19" t="s">
        <v>36</v>
      </c>
      <c r="E8358" s="19" t="s">
        <v>36</v>
      </c>
      <c r="F8358" s="19" t="s">
        <v>36</v>
      </c>
      <c r="G8358" s="15" t="s">
        <v>36</v>
      </c>
      <c r="H8358" s="14" t="s">
        <v>36</v>
      </c>
      <c r="I8358" s="18" t="s">
        <v>36</v>
      </c>
      <c r="J8358" s="12" t="s">
        <v>36</v>
      </c>
      <c r="K8358" s="13" t="s">
        <v>36</v>
      </c>
      <c r="L8358" s="15" t="s">
        <v>36</v>
      </c>
      <c r="M8358" s="12" t="s">
        <v>36</v>
      </c>
      <c r="N8358" s="12" t="s">
        <v>36</v>
      </c>
      <c r="O8358" s="17" t="s">
        <v>36</v>
      </c>
      <c r="P8358" s="12" t="s">
        <v>36</v>
      </c>
      <c r="Q8358" s="12" t="s">
        <v>36</v>
      </c>
      <c r="R8358" s="12" t="s">
        <v>36</v>
      </c>
      <c r="S8358" s="12" t="s">
        <v>36</v>
      </c>
      <c r="T8358" s="12" t="s">
        <v>34284</v>
      </c>
      <c r="U8358" s="12" t="s">
        <v>1798</v>
      </c>
      <c r="V8358" s="12" t="s">
        <v>39</v>
      </c>
      <c r="W8358" s="12" t="s">
        <v>34285</v>
      </c>
      <c r="X8358" s="16" t="s">
        <v>36439</v>
      </c>
      <c r="Y8358" s="15" t="s">
        <v>42</v>
      </c>
      <c r="Z8358" s="14" t="s">
        <v>36</v>
      </c>
      <c r="AA8358" s="14" t="s">
        <v>36</v>
      </c>
      <c r="AB8358" s="12" t="s">
        <v>43</v>
      </c>
      <c r="AC8358" s="12" t="s">
        <v>34286</v>
      </c>
      <c r="AD8358" s="13">
        <v>41067</v>
      </c>
      <c r="AE8358" s="12" t="s">
        <v>1802</v>
      </c>
      <c r="AF8358" s="12" t="s">
        <v>1636</v>
      </c>
      <c r="AG8358" s="12" t="s">
        <v>34287</v>
      </c>
      <c r="AH8358" s="1">
        <f>HYPERLINK("https://my.pitchbook.com?c=77915-44T","View Company Online")</f>
      </c>
    </row>
    <row r="8359">
      <c r="A8359" s="3" t="s">
        <v>36440</v>
      </c>
      <c r="B8359" s="3" t="s">
        <v>33395</v>
      </c>
      <c r="C8359" s="5">
        <v>9</v>
      </c>
      <c r="D8359" s="5">
        <v>62</v>
      </c>
      <c r="E8359" s="5">
        <v>10</v>
      </c>
      <c r="F8359" s="5">
        <v>74</v>
      </c>
      <c r="G8359" s="6" t="s">
        <v>36</v>
      </c>
      <c r="H8359" s="4" t="s">
        <v>36</v>
      </c>
      <c r="I8359" s="7" t="s">
        <v>36</v>
      </c>
      <c r="J8359" s="3" t="s">
        <v>36</v>
      </c>
      <c r="K8359" s="9" t="s">
        <v>36</v>
      </c>
      <c r="L8359" s="6" t="s">
        <v>12462</v>
      </c>
      <c r="M8359" s="3" t="s">
        <v>36</v>
      </c>
      <c r="N8359" s="3" t="s">
        <v>12462</v>
      </c>
      <c r="O8359" s="8" t="s">
        <v>36</v>
      </c>
      <c r="P8359" s="3" t="s">
        <v>36</v>
      </c>
      <c r="Q8359" s="3" t="s">
        <v>36</v>
      </c>
      <c r="R8359" s="3" t="s">
        <v>36</v>
      </c>
      <c r="S8359" s="3" t="s">
        <v>36</v>
      </c>
      <c r="T8359" s="3" t="s">
        <v>529</v>
      </c>
      <c r="U8359" s="3" t="s">
        <v>38</v>
      </c>
      <c r="V8359" s="3" t="s">
        <v>39</v>
      </c>
      <c r="W8359" s="3" t="s">
        <v>33396</v>
      </c>
      <c r="X8359" s="10" t="s">
        <v>36441</v>
      </c>
      <c r="Y8359" s="6" t="s">
        <v>192</v>
      </c>
      <c r="Z8359" s="4">
        <v>2.53</v>
      </c>
      <c r="AA8359" s="4" t="s">
        <v>36</v>
      </c>
      <c r="AB8359" s="3" t="s">
        <v>56</v>
      </c>
      <c r="AC8359" s="3" t="s">
        <v>33398</v>
      </c>
      <c r="AD8359" s="9">
        <v>41067</v>
      </c>
      <c r="AE8359" s="3" t="s">
        <v>134</v>
      </c>
      <c r="AF8359" s="3" t="s">
        <v>9319</v>
      </c>
      <c r="AG8359" s="3" t="s">
        <v>81</v>
      </c>
      <c r="AH8359" s="11">
        <f>HYPERLINK("https://my.pitchbook.com?c=25262-29T","View Company Online")</f>
      </c>
    </row>
    <row r="8360">
      <c r="A8360" s="12" t="s">
        <v>36442</v>
      </c>
      <c r="B8360" s="12" t="s">
        <v>36443</v>
      </c>
      <c r="C8360" s="19" t="s">
        <v>36</v>
      </c>
      <c r="D8360" s="19" t="s">
        <v>36</v>
      </c>
      <c r="E8360" s="19">
        <v>1</v>
      </c>
      <c r="F8360" s="19">
        <v>3</v>
      </c>
      <c r="G8360" s="15" t="s">
        <v>36</v>
      </c>
      <c r="H8360" s="14" t="s">
        <v>36</v>
      </c>
      <c r="I8360" s="18" t="s">
        <v>36</v>
      </c>
      <c r="J8360" s="12" t="s">
        <v>36</v>
      </c>
      <c r="K8360" s="13" t="s">
        <v>36</v>
      </c>
      <c r="L8360" s="15" t="s">
        <v>36</v>
      </c>
      <c r="M8360" s="12" t="s">
        <v>36</v>
      </c>
      <c r="N8360" s="12" t="s">
        <v>36</v>
      </c>
      <c r="O8360" s="17" t="s">
        <v>36</v>
      </c>
      <c r="P8360" s="12" t="s">
        <v>36</v>
      </c>
      <c r="Q8360" s="12" t="s">
        <v>36</v>
      </c>
      <c r="R8360" s="12" t="s">
        <v>36</v>
      </c>
      <c r="S8360" s="12" t="s">
        <v>36</v>
      </c>
      <c r="T8360" s="12" t="s">
        <v>2811</v>
      </c>
      <c r="U8360" s="12" t="s">
        <v>219</v>
      </c>
      <c r="V8360" s="12" t="s">
        <v>75</v>
      </c>
      <c r="W8360" s="12" t="s">
        <v>36444</v>
      </c>
      <c r="X8360" s="16" t="s">
        <v>36445</v>
      </c>
      <c r="Y8360" s="15" t="s">
        <v>42</v>
      </c>
      <c r="Z8360" s="14">
        <v>0.19</v>
      </c>
      <c r="AA8360" s="14" t="s">
        <v>36</v>
      </c>
      <c r="AB8360" s="12" t="s">
        <v>43</v>
      </c>
      <c r="AC8360" s="12" t="s">
        <v>36446</v>
      </c>
      <c r="AD8360" s="13">
        <v>41066</v>
      </c>
      <c r="AE8360" s="12" t="s">
        <v>223</v>
      </c>
      <c r="AF8360" s="12" t="s">
        <v>10379</v>
      </c>
      <c r="AG8360" s="12" t="s">
        <v>741</v>
      </c>
      <c r="AH8360" s="1">
        <f>HYPERLINK("https://my.pitchbook.com?c=27410-32T","View Company Online")</f>
      </c>
    </row>
    <row r="8361">
      <c r="A8361" s="3" t="s">
        <v>36447</v>
      </c>
      <c r="B8361" s="3" t="s">
        <v>36448</v>
      </c>
      <c r="C8361" s="5" t="s">
        <v>36</v>
      </c>
      <c r="D8361" s="5" t="s">
        <v>36</v>
      </c>
      <c r="E8361" s="5" t="s">
        <v>36</v>
      </c>
      <c r="F8361" s="5" t="s">
        <v>36</v>
      </c>
      <c r="G8361" s="6" t="s">
        <v>36</v>
      </c>
      <c r="H8361" s="4" t="s">
        <v>36</v>
      </c>
      <c r="I8361" s="7" t="s">
        <v>36</v>
      </c>
      <c r="J8361" s="3" t="s">
        <v>36</v>
      </c>
      <c r="K8361" s="9" t="s">
        <v>36</v>
      </c>
      <c r="L8361" s="6" t="s">
        <v>36</v>
      </c>
      <c r="M8361" s="3" t="s">
        <v>36</v>
      </c>
      <c r="N8361" s="3" t="s">
        <v>36</v>
      </c>
      <c r="O8361" s="8" t="s">
        <v>36</v>
      </c>
      <c r="P8361" s="3" t="s">
        <v>36</v>
      </c>
      <c r="Q8361" s="3" t="s">
        <v>36</v>
      </c>
      <c r="R8361" s="3" t="s">
        <v>36</v>
      </c>
      <c r="S8361" s="3" t="s">
        <v>36</v>
      </c>
      <c r="T8361" s="3" t="s">
        <v>881</v>
      </c>
      <c r="U8361" s="3" t="s">
        <v>51</v>
      </c>
      <c r="V8361" s="3" t="s">
        <v>52</v>
      </c>
      <c r="W8361" s="3" t="s">
        <v>36449</v>
      </c>
      <c r="X8361" s="10" t="s">
        <v>36450</v>
      </c>
      <c r="Y8361" s="6" t="s">
        <v>166</v>
      </c>
      <c r="Z8361" s="4">
        <v>8.87</v>
      </c>
      <c r="AA8361" s="4" t="s">
        <v>36</v>
      </c>
      <c r="AB8361" s="3" t="s">
        <v>56</v>
      </c>
      <c r="AC8361" s="3" t="s">
        <v>36451</v>
      </c>
      <c r="AD8361" s="9">
        <v>41065</v>
      </c>
      <c r="AE8361" s="3" t="s">
        <v>504</v>
      </c>
      <c r="AF8361" s="3" t="s">
        <v>665</v>
      </c>
      <c r="AG8361" s="3" t="s">
        <v>47</v>
      </c>
      <c r="AH8361" s="11">
        <f>HYPERLINK("https://my.pitchbook.com?c=25479-82T","View Company Online")</f>
      </c>
    </row>
    <row r="8362">
      <c r="A8362" s="12" t="s">
        <v>36452</v>
      </c>
      <c r="B8362" s="12" t="s">
        <v>36453</v>
      </c>
      <c r="C8362" s="19" t="s">
        <v>36</v>
      </c>
      <c r="D8362" s="19" t="s">
        <v>36</v>
      </c>
      <c r="E8362" s="19" t="s">
        <v>36</v>
      </c>
      <c r="F8362" s="19" t="s">
        <v>36</v>
      </c>
      <c r="G8362" s="15" t="s">
        <v>36</v>
      </c>
      <c r="H8362" s="14" t="s">
        <v>36</v>
      </c>
      <c r="I8362" s="18" t="s">
        <v>36</v>
      </c>
      <c r="J8362" s="12" t="s">
        <v>36</v>
      </c>
      <c r="K8362" s="13" t="s">
        <v>36</v>
      </c>
      <c r="L8362" s="15" t="s">
        <v>36</v>
      </c>
      <c r="M8362" s="12" t="s">
        <v>36</v>
      </c>
      <c r="N8362" s="12" t="s">
        <v>36</v>
      </c>
      <c r="O8362" s="17" t="s">
        <v>36</v>
      </c>
      <c r="P8362" s="12" t="s">
        <v>36</v>
      </c>
      <c r="Q8362" s="12" t="s">
        <v>36</v>
      </c>
      <c r="R8362" s="12" t="s">
        <v>36</v>
      </c>
      <c r="S8362" s="12" t="s">
        <v>36</v>
      </c>
      <c r="T8362" s="12" t="s">
        <v>684</v>
      </c>
      <c r="U8362" s="12" t="s">
        <v>38</v>
      </c>
      <c r="V8362" s="12" t="s">
        <v>39</v>
      </c>
      <c r="W8362" s="12" t="s">
        <v>36454</v>
      </c>
      <c r="X8362" s="16" t="s">
        <v>5892</v>
      </c>
      <c r="Y8362" s="15" t="s">
        <v>42</v>
      </c>
      <c r="Z8362" s="14">
        <v>1.9</v>
      </c>
      <c r="AA8362" s="14" t="s">
        <v>36</v>
      </c>
      <c r="AB8362" s="12" t="s">
        <v>43</v>
      </c>
      <c r="AC8362" s="12" t="s">
        <v>36455</v>
      </c>
      <c r="AD8362" s="13">
        <v>41065</v>
      </c>
      <c r="AE8362" s="12" t="s">
        <v>688</v>
      </c>
      <c r="AF8362" s="12" t="s">
        <v>31125</v>
      </c>
      <c r="AG8362" s="12" t="s">
        <v>36456</v>
      </c>
      <c r="AH8362" s="1">
        <f>HYPERLINK("https://my.pitchbook.com?c=26793-28T","View Company Online")</f>
      </c>
    </row>
    <row r="8363">
      <c r="A8363" s="3" t="s">
        <v>36457</v>
      </c>
      <c r="B8363" s="3" t="s">
        <v>32274</v>
      </c>
      <c r="C8363" s="5" t="s">
        <v>36</v>
      </c>
      <c r="D8363" s="5" t="s">
        <v>36</v>
      </c>
      <c r="E8363" s="5" t="s">
        <v>36</v>
      </c>
      <c r="F8363" s="5" t="s">
        <v>36</v>
      </c>
      <c r="G8363" s="6" t="s">
        <v>36</v>
      </c>
      <c r="H8363" s="4">
        <v>75.92</v>
      </c>
      <c r="I8363" s="7">
        <v>40.78</v>
      </c>
      <c r="J8363" s="3" t="s">
        <v>521</v>
      </c>
      <c r="K8363" s="9" t="s">
        <v>36</v>
      </c>
      <c r="L8363" s="6" t="s">
        <v>36</v>
      </c>
      <c r="M8363" s="3" t="s">
        <v>36</v>
      </c>
      <c r="N8363" s="3" t="s">
        <v>36</v>
      </c>
      <c r="O8363" s="8" t="s">
        <v>36</v>
      </c>
      <c r="P8363" s="3" t="s">
        <v>36</v>
      </c>
      <c r="Q8363" s="3" t="s">
        <v>36</v>
      </c>
      <c r="R8363" s="3" t="s">
        <v>36</v>
      </c>
      <c r="S8363" s="3" t="s">
        <v>36</v>
      </c>
      <c r="T8363" s="3" t="s">
        <v>32275</v>
      </c>
      <c r="U8363" s="3" t="s">
        <v>51</v>
      </c>
      <c r="V8363" s="3" t="s">
        <v>52</v>
      </c>
      <c r="W8363" s="3" t="s">
        <v>32276</v>
      </c>
      <c r="X8363" s="10" t="s">
        <v>36458</v>
      </c>
      <c r="Y8363" s="6" t="s">
        <v>55</v>
      </c>
      <c r="Z8363" s="4">
        <v>4.19</v>
      </c>
      <c r="AA8363" s="4">
        <v>10.28</v>
      </c>
      <c r="AB8363" s="3" t="s">
        <v>56</v>
      </c>
      <c r="AC8363" s="3" t="s">
        <v>32278</v>
      </c>
      <c r="AD8363" s="9">
        <v>41064</v>
      </c>
      <c r="AE8363" s="3" t="s">
        <v>1060</v>
      </c>
      <c r="AF8363" s="3" t="s">
        <v>665</v>
      </c>
      <c r="AG8363" s="3" t="s">
        <v>12575</v>
      </c>
      <c r="AH8363" s="11">
        <f>HYPERLINK("https://my.pitchbook.com?c=25304-68T","View Company Online")</f>
      </c>
    </row>
    <row r="8364">
      <c r="A8364" s="12" t="s">
        <v>36459</v>
      </c>
      <c r="B8364" s="12" t="s">
        <v>36460</v>
      </c>
      <c r="C8364" s="19" t="s">
        <v>36</v>
      </c>
      <c r="D8364" s="19" t="s">
        <v>36</v>
      </c>
      <c r="E8364" s="19" t="s">
        <v>36</v>
      </c>
      <c r="F8364" s="19" t="s">
        <v>36</v>
      </c>
      <c r="G8364" s="15" t="s">
        <v>36</v>
      </c>
      <c r="H8364" s="14" t="s">
        <v>36</v>
      </c>
      <c r="I8364" s="18" t="s">
        <v>36</v>
      </c>
      <c r="J8364" s="12" t="s">
        <v>36</v>
      </c>
      <c r="K8364" s="13" t="s">
        <v>36</v>
      </c>
      <c r="L8364" s="15" t="s">
        <v>36</v>
      </c>
      <c r="M8364" s="12" t="s">
        <v>36</v>
      </c>
      <c r="N8364" s="12" t="s">
        <v>36</v>
      </c>
      <c r="O8364" s="17" t="s">
        <v>36</v>
      </c>
      <c r="P8364" s="12" t="s">
        <v>36</v>
      </c>
      <c r="Q8364" s="12" t="s">
        <v>36</v>
      </c>
      <c r="R8364" s="12" t="s">
        <v>36</v>
      </c>
      <c r="S8364" s="12" t="s">
        <v>36</v>
      </c>
      <c r="T8364" s="12" t="s">
        <v>15400</v>
      </c>
      <c r="U8364" s="12" t="s">
        <v>833</v>
      </c>
      <c r="V8364" s="12" t="s">
        <v>64</v>
      </c>
      <c r="W8364" s="12" t="s">
        <v>36461</v>
      </c>
      <c r="X8364" s="16" t="s">
        <v>30281</v>
      </c>
      <c r="Y8364" s="15" t="s">
        <v>42</v>
      </c>
      <c r="Z8364" s="14">
        <v>0.38</v>
      </c>
      <c r="AA8364" s="14" t="s">
        <v>36</v>
      </c>
      <c r="AB8364" s="12" t="s">
        <v>56</v>
      </c>
      <c r="AC8364" s="12" t="s">
        <v>36462</v>
      </c>
      <c r="AD8364" s="13">
        <v>41064</v>
      </c>
      <c r="AE8364" s="12" t="s">
        <v>1687</v>
      </c>
      <c r="AF8364" s="12" t="s">
        <v>2118</v>
      </c>
      <c r="AG8364" s="12" t="s">
        <v>1978</v>
      </c>
      <c r="AH8364" s="1">
        <f>HYPERLINK("https://my.pitchbook.com?c=33348-25T","View Company Online")</f>
      </c>
    </row>
    <row r="8365">
      <c r="A8365" s="3" t="s">
        <v>36463</v>
      </c>
      <c r="B8365" s="3" t="s">
        <v>36464</v>
      </c>
      <c r="C8365" s="5" t="s">
        <v>36</v>
      </c>
      <c r="D8365" s="5" t="s">
        <v>36</v>
      </c>
      <c r="E8365" s="5" t="s">
        <v>36</v>
      </c>
      <c r="F8365" s="5" t="s">
        <v>36</v>
      </c>
      <c r="G8365" s="6" t="s">
        <v>36</v>
      </c>
      <c r="H8365" s="4" t="s">
        <v>36</v>
      </c>
      <c r="I8365" s="7" t="s">
        <v>36</v>
      </c>
      <c r="J8365" s="3" t="s">
        <v>36</v>
      </c>
      <c r="K8365" s="9">
        <v>41025</v>
      </c>
      <c r="L8365" s="6" t="s">
        <v>94</v>
      </c>
      <c r="M8365" s="3" t="s">
        <v>36</v>
      </c>
      <c r="N8365" s="3" t="s">
        <v>94</v>
      </c>
      <c r="O8365" s="8" t="s">
        <v>36</v>
      </c>
      <c r="P8365" s="3" t="s">
        <v>36</v>
      </c>
      <c r="Q8365" s="3" t="s">
        <v>36</v>
      </c>
      <c r="R8365" s="3" t="s">
        <v>36</v>
      </c>
      <c r="S8365" s="3" t="s">
        <v>36</v>
      </c>
      <c r="T8365" s="3" t="s">
        <v>2044</v>
      </c>
      <c r="U8365" s="3" t="s">
        <v>74</v>
      </c>
      <c r="V8365" s="3" t="s">
        <v>75</v>
      </c>
      <c r="W8365" s="3" t="s">
        <v>36465</v>
      </c>
      <c r="X8365" s="10" t="s">
        <v>36466</v>
      </c>
      <c r="Y8365" s="6" t="s">
        <v>108</v>
      </c>
      <c r="Z8365" s="4">
        <v>4</v>
      </c>
      <c r="AA8365" s="4" t="s">
        <v>36</v>
      </c>
      <c r="AB8365" s="3" t="s">
        <v>43</v>
      </c>
      <c r="AC8365" s="3" t="s">
        <v>36467</v>
      </c>
      <c r="AD8365" s="9">
        <v>41064</v>
      </c>
      <c r="AE8365" s="3" t="s">
        <v>79</v>
      </c>
      <c r="AF8365" s="3" t="s">
        <v>2210</v>
      </c>
      <c r="AG8365" s="3" t="s">
        <v>332</v>
      </c>
      <c r="AH8365" s="11">
        <f>HYPERLINK("https://my.pitchbook.com?c=21611-89T","View Company Online")</f>
      </c>
    </row>
    <row r="8366">
      <c r="A8366" s="12" t="s">
        <v>36468</v>
      </c>
      <c r="B8366" s="12" t="s">
        <v>36076</v>
      </c>
      <c r="C8366" s="19" t="s">
        <v>36</v>
      </c>
      <c r="D8366" s="19">
        <v>1</v>
      </c>
      <c r="E8366" s="19">
        <v>1</v>
      </c>
      <c r="F8366" s="19">
        <v>2</v>
      </c>
      <c r="G8366" s="15" t="s">
        <v>36</v>
      </c>
      <c r="H8366" s="14" t="s">
        <v>36</v>
      </c>
      <c r="I8366" s="18" t="s">
        <v>36</v>
      </c>
      <c r="J8366" s="12" t="s">
        <v>36</v>
      </c>
      <c r="K8366" s="13" t="s">
        <v>36</v>
      </c>
      <c r="L8366" s="15" t="s">
        <v>36</v>
      </c>
      <c r="M8366" s="12" t="s">
        <v>36</v>
      </c>
      <c r="N8366" s="12" t="s">
        <v>36</v>
      </c>
      <c r="O8366" s="17" t="s">
        <v>36</v>
      </c>
      <c r="P8366" s="12" t="s">
        <v>36</v>
      </c>
      <c r="Q8366" s="12" t="s">
        <v>36</v>
      </c>
      <c r="R8366" s="12" t="s">
        <v>36</v>
      </c>
      <c r="S8366" s="12" t="s">
        <v>36</v>
      </c>
      <c r="T8366" s="12" t="s">
        <v>36077</v>
      </c>
      <c r="U8366" s="12" t="s">
        <v>1580</v>
      </c>
      <c r="V8366" s="12" t="s">
        <v>39</v>
      </c>
      <c r="W8366" s="12" t="s">
        <v>36078</v>
      </c>
      <c r="X8366" s="16" t="s">
        <v>11579</v>
      </c>
      <c r="Y8366" s="15" t="s">
        <v>42</v>
      </c>
      <c r="Z8366" s="14" t="s">
        <v>36</v>
      </c>
      <c r="AA8366" s="14" t="s">
        <v>36</v>
      </c>
      <c r="AB8366" s="12" t="s">
        <v>43</v>
      </c>
      <c r="AC8366" s="12" t="s">
        <v>36080</v>
      </c>
      <c r="AD8366" s="13">
        <v>41061</v>
      </c>
      <c r="AE8366" s="12" t="s">
        <v>4086</v>
      </c>
      <c r="AF8366" s="12" t="s">
        <v>1636</v>
      </c>
      <c r="AG8366" s="12" t="s">
        <v>1193</v>
      </c>
      <c r="AH8366" s="1">
        <f>HYPERLINK("https://my.pitchbook.com?c=86575-51T","View Company Online")</f>
      </c>
    </row>
    <row r="8367">
      <c r="A8367" s="3" t="s">
        <v>36469</v>
      </c>
      <c r="B8367" s="3" t="s">
        <v>36470</v>
      </c>
      <c r="C8367" s="5" t="s">
        <v>36</v>
      </c>
      <c r="D8367" s="5" t="s">
        <v>36</v>
      </c>
      <c r="E8367" s="5" t="s">
        <v>36</v>
      </c>
      <c r="F8367" s="5" t="s">
        <v>36</v>
      </c>
      <c r="G8367" s="6" t="s">
        <v>36</v>
      </c>
      <c r="H8367" s="4" t="s">
        <v>36</v>
      </c>
      <c r="I8367" s="7" t="s">
        <v>36</v>
      </c>
      <c r="J8367" s="3" t="s">
        <v>36</v>
      </c>
      <c r="K8367" s="9" t="s">
        <v>36</v>
      </c>
      <c r="L8367" s="6" t="s">
        <v>36</v>
      </c>
      <c r="M8367" s="3" t="s">
        <v>36</v>
      </c>
      <c r="N8367" s="3" t="s">
        <v>36</v>
      </c>
      <c r="O8367" s="8" t="s">
        <v>36</v>
      </c>
      <c r="P8367" s="3" t="s">
        <v>36</v>
      </c>
      <c r="Q8367" s="3" t="s">
        <v>36</v>
      </c>
      <c r="R8367" s="3" t="s">
        <v>36</v>
      </c>
      <c r="S8367" s="3" t="s">
        <v>36</v>
      </c>
      <c r="T8367" s="3" t="s">
        <v>3141</v>
      </c>
      <c r="U8367" s="3" t="s">
        <v>74</v>
      </c>
      <c r="V8367" s="3" t="s">
        <v>75</v>
      </c>
      <c r="W8367" s="3" t="s">
        <v>36471</v>
      </c>
      <c r="X8367" s="10" t="s">
        <v>12817</v>
      </c>
      <c r="Y8367" s="6" t="s">
        <v>42</v>
      </c>
      <c r="Z8367" s="4" t="s">
        <v>36</v>
      </c>
      <c r="AA8367" s="4" t="s">
        <v>36</v>
      </c>
      <c r="AB8367" s="3" t="s">
        <v>43</v>
      </c>
      <c r="AC8367" s="3" t="s">
        <v>36472</v>
      </c>
      <c r="AD8367" s="9">
        <v>41061</v>
      </c>
      <c r="AE8367" s="3" t="s">
        <v>3144</v>
      </c>
      <c r="AF8367" s="3" t="s">
        <v>13299</v>
      </c>
      <c r="AG8367" s="3" t="s">
        <v>1078</v>
      </c>
      <c r="AH8367" s="11">
        <f>HYPERLINK("https://my.pitchbook.com?c=178198-48T","View Company Online")</f>
      </c>
    </row>
    <row r="8368">
      <c r="A8368" s="12" t="s">
        <v>36473</v>
      </c>
      <c r="B8368" s="12" t="s">
        <v>36474</v>
      </c>
      <c r="C8368" s="19" t="s">
        <v>36</v>
      </c>
      <c r="D8368" s="19" t="s">
        <v>36</v>
      </c>
      <c r="E8368" s="19" t="s">
        <v>36</v>
      </c>
      <c r="F8368" s="19" t="s">
        <v>36</v>
      </c>
      <c r="G8368" s="15" t="s">
        <v>36</v>
      </c>
      <c r="H8368" s="14">
        <v>117.69</v>
      </c>
      <c r="I8368" s="18">
        <v>39.06</v>
      </c>
      <c r="J8368" s="12" t="s">
        <v>327</v>
      </c>
      <c r="K8368" s="13" t="s">
        <v>36</v>
      </c>
      <c r="L8368" s="15" t="s">
        <v>36</v>
      </c>
      <c r="M8368" s="12" t="s">
        <v>36</v>
      </c>
      <c r="N8368" s="12" t="s">
        <v>36</v>
      </c>
      <c r="O8368" s="17" t="s">
        <v>36</v>
      </c>
      <c r="P8368" s="12" t="s">
        <v>36</v>
      </c>
      <c r="Q8368" s="12" t="s">
        <v>36</v>
      </c>
      <c r="R8368" s="12" t="s">
        <v>36</v>
      </c>
      <c r="S8368" s="12" t="s">
        <v>36</v>
      </c>
      <c r="T8368" s="12" t="s">
        <v>36475</v>
      </c>
      <c r="U8368" s="12" t="s">
        <v>38</v>
      </c>
      <c r="V8368" s="12" t="s">
        <v>39</v>
      </c>
      <c r="W8368" s="12" t="s">
        <v>36476</v>
      </c>
      <c r="X8368" s="16" t="s">
        <v>36477</v>
      </c>
      <c r="Y8368" s="15" t="s">
        <v>42</v>
      </c>
      <c r="Z8368" s="14">
        <v>3.43</v>
      </c>
      <c r="AA8368" s="14">
        <v>8.77</v>
      </c>
      <c r="AB8368" s="12" t="s">
        <v>56</v>
      </c>
      <c r="AC8368" s="12" t="s">
        <v>36478</v>
      </c>
      <c r="AD8368" s="13">
        <v>41061</v>
      </c>
      <c r="AE8368" s="12" t="s">
        <v>110</v>
      </c>
      <c r="AF8368" s="12" t="s">
        <v>176</v>
      </c>
      <c r="AG8368" s="12" t="s">
        <v>81</v>
      </c>
      <c r="AH8368" s="1">
        <f>HYPERLINK("https://my.pitchbook.com?c=28649-71T","View Company Online")</f>
      </c>
    </row>
    <row r="8369">
      <c r="A8369" s="3" t="s">
        <v>36479</v>
      </c>
      <c r="B8369" s="3" t="s">
        <v>36480</v>
      </c>
      <c r="C8369" s="5" t="s">
        <v>36</v>
      </c>
      <c r="D8369" s="5" t="s">
        <v>36</v>
      </c>
      <c r="E8369" s="5" t="s">
        <v>36</v>
      </c>
      <c r="F8369" s="5" t="s">
        <v>36</v>
      </c>
      <c r="G8369" s="6" t="s">
        <v>36</v>
      </c>
      <c r="H8369" s="4" t="s">
        <v>36</v>
      </c>
      <c r="I8369" s="7" t="s">
        <v>36</v>
      </c>
      <c r="J8369" s="3" t="s">
        <v>36</v>
      </c>
      <c r="K8369" s="9" t="s">
        <v>36</v>
      </c>
      <c r="L8369" s="6" t="s">
        <v>36</v>
      </c>
      <c r="M8369" s="3" t="s">
        <v>36</v>
      </c>
      <c r="N8369" s="3" t="s">
        <v>36</v>
      </c>
      <c r="O8369" s="8" t="s">
        <v>36</v>
      </c>
      <c r="P8369" s="3" t="s">
        <v>36</v>
      </c>
      <c r="Q8369" s="3" t="s">
        <v>36</v>
      </c>
      <c r="R8369" s="3" t="s">
        <v>36</v>
      </c>
      <c r="S8369" s="3" t="s">
        <v>36</v>
      </c>
      <c r="T8369" s="3" t="s">
        <v>36481</v>
      </c>
      <c r="U8369" s="3" t="s">
        <v>74</v>
      </c>
      <c r="V8369" s="3" t="s">
        <v>75</v>
      </c>
      <c r="W8369" s="3" t="s">
        <v>36482</v>
      </c>
      <c r="X8369" s="10" t="s">
        <v>11579</v>
      </c>
      <c r="Y8369" s="6" t="s">
        <v>42</v>
      </c>
      <c r="Z8369" s="4">
        <v>0.38</v>
      </c>
      <c r="AA8369" s="4" t="s">
        <v>36</v>
      </c>
      <c r="AB8369" s="3" t="s">
        <v>43</v>
      </c>
      <c r="AC8369" s="3" t="s">
        <v>36483</v>
      </c>
      <c r="AD8369" s="9">
        <v>41061</v>
      </c>
      <c r="AE8369" s="3" t="s">
        <v>1243</v>
      </c>
      <c r="AF8369" s="3" t="s">
        <v>546</v>
      </c>
      <c r="AG8369" s="3" t="s">
        <v>81</v>
      </c>
      <c r="AH8369" s="11">
        <f>HYPERLINK("https://my.pitchbook.com?c=84944-71T","View Company Online")</f>
      </c>
    </row>
    <row r="8370">
      <c r="A8370" s="12" t="s">
        <v>36484</v>
      </c>
      <c r="B8370" s="12" t="s">
        <v>36485</v>
      </c>
      <c r="C8370" s="19" t="s">
        <v>36</v>
      </c>
      <c r="D8370" s="19" t="s">
        <v>36</v>
      </c>
      <c r="E8370" s="19" t="s">
        <v>36</v>
      </c>
      <c r="F8370" s="19" t="s">
        <v>36</v>
      </c>
      <c r="G8370" s="15" t="s">
        <v>36</v>
      </c>
      <c r="H8370" s="14" t="s">
        <v>36</v>
      </c>
      <c r="I8370" s="18" t="s">
        <v>36</v>
      </c>
      <c r="J8370" s="12" t="s">
        <v>36</v>
      </c>
      <c r="K8370" s="13" t="s">
        <v>36</v>
      </c>
      <c r="L8370" s="15" t="s">
        <v>36</v>
      </c>
      <c r="M8370" s="12" t="s">
        <v>36</v>
      </c>
      <c r="N8370" s="12" t="s">
        <v>36</v>
      </c>
      <c r="O8370" s="17" t="s">
        <v>36</v>
      </c>
      <c r="P8370" s="12" t="s">
        <v>36</v>
      </c>
      <c r="Q8370" s="12" t="s">
        <v>36</v>
      </c>
      <c r="R8370" s="12" t="s">
        <v>36</v>
      </c>
      <c r="S8370" s="12" t="s">
        <v>36</v>
      </c>
      <c r="T8370" s="12" t="s">
        <v>36486</v>
      </c>
      <c r="U8370" s="12" t="s">
        <v>423</v>
      </c>
      <c r="V8370" s="12" t="s">
        <v>64</v>
      </c>
      <c r="W8370" s="12" t="s">
        <v>36487</v>
      </c>
      <c r="X8370" s="16" t="s">
        <v>36488</v>
      </c>
      <c r="Y8370" s="15" t="s">
        <v>42</v>
      </c>
      <c r="Z8370" s="14">
        <v>0.61</v>
      </c>
      <c r="AA8370" s="14" t="s">
        <v>36</v>
      </c>
      <c r="AB8370" s="12" t="s">
        <v>56</v>
      </c>
      <c r="AC8370" s="12" t="s">
        <v>36489</v>
      </c>
      <c r="AD8370" s="13">
        <v>41061</v>
      </c>
      <c r="AE8370" s="12" t="s">
        <v>1051</v>
      </c>
      <c r="AF8370" s="12" t="s">
        <v>20865</v>
      </c>
      <c r="AG8370" s="12" t="s">
        <v>47</v>
      </c>
      <c r="AH8370" s="1">
        <f>HYPERLINK("https://my.pitchbook.com?c=29566-09T","View Company Online")</f>
      </c>
    </row>
    <row r="8371">
      <c r="A8371" s="3" t="s">
        <v>36490</v>
      </c>
      <c r="B8371" s="3" t="s">
        <v>18747</v>
      </c>
      <c r="C8371" s="5" t="s">
        <v>36</v>
      </c>
      <c r="D8371" s="5" t="s">
        <v>36</v>
      </c>
      <c r="E8371" s="5" t="s">
        <v>36</v>
      </c>
      <c r="F8371" s="5" t="s">
        <v>36</v>
      </c>
      <c r="G8371" s="6" t="s">
        <v>36</v>
      </c>
      <c r="H8371" s="4">
        <v>29.36</v>
      </c>
      <c r="I8371" s="7">
        <v>7.29</v>
      </c>
      <c r="J8371" s="3" t="s">
        <v>521</v>
      </c>
      <c r="K8371" s="9" t="s">
        <v>36</v>
      </c>
      <c r="L8371" s="6" t="s">
        <v>36</v>
      </c>
      <c r="M8371" s="3" t="s">
        <v>36</v>
      </c>
      <c r="N8371" s="3" t="s">
        <v>36</v>
      </c>
      <c r="O8371" s="8" t="s">
        <v>36</v>
      </c>
      <c r="P8371" s="3" t="s">
        <v>36</v>
      </c>
      <c r="Q8371" s="3" t="s">
        <v>36</v>
      </c>
      <c r="R8371" s="3" t="s">
        <v>36</v>
      </c>
      <c r="S8371" s="3" t="s">
        <v>6677</v>
      </c>
      <c r="T8371" s="3" t="s">
        <v>18748</v>
      </c>
      <c r="U8371" s="3" t="s">
        <v>74</v>
      </c>
      <c r="V8371" s="3" t="s">
        <v>75</v>
      </c>
      <c r="W8371" s="3" t="s">
        <v>18749</v>
      </c>
      <c r="X8371" s="10" t="s">
        <v>34227</v>
      </c>
      <c r="Y8371" s="6" t="s">
        <v>108</v>
      </c>
      <c r="Z8371" s="4">
        <v>0.25</v>
      </c>
      <c r="AA8371" s="4">
        <v>3.5</v>
      </c>
      <c r="AB8371" s="3" t="s">
        <v>43</v>
      </c>
      <c r="AC8371" s="3" t="s">
        <v>18751</v>
      </c>
      <c r="AD8371" s="9">
        <v>41061</v>
      </c>
      <c r="AE8371" s="3" t="s">
        <v>79</v>
      </c>
      <c r="AF8371" s="3" t="s">
        <v>18752</v>
      </c>
      <c r="AG8371" s="3" t="s">
        <v>1078</v>
      </c>
      <c r="AH8371" s="11">
        <f>HYPERLINK("https://my.pitchbook.com?c=132213-16T","View Company Online")</f>
      </c>
    </row>
    <row r="8372">
      <c r="A8372" s="12" t="s">
        <v>36491</v>
      </c>
      <c r="B8372" s="12" t="s">
        <v>28205</v>
      </c>
      <c r="C8372" s="19" t="s">
        <v>36</v>
      </c>
      <c r="D8372" s="19">
        <v>13</v>
      </c>
      <c r="E8372" s="19">
        <v>5</v>
      </c>
      <c r="F8372" s="19">
        <v>16</v>
      </c>
      <c r="G8372" s="15" t="s">
        <v>326</v>
      </c>
      <c r="H8372" s="14">
        <v>577.44</v>
      </c>
      <c r="I8372" s="18">
        <v>42.89</v>
      </c>
      <c r="J8372" s="12" t="s">
        <v>521</v>
      </c>
      <c r="K8372" s="13" t="s">
        <v>36</v>
      </c>
      <c r="L8372" s="15" t="s">
        <v>36</v>
      </c>
      <c r="M8372" s="12" t="s">
        <v>36</v>
      </c>
      <c r="N8372" s="12" t="s">
        <v>36</v>
      </c>
      <c r="O8372" s="17" t="s">
        <v>36</v>
      </c>
      <c r="P8372" s="12" t="s">
        <v>36</v>
      </c>
      <c r="Q8372" s="12" t="s">
        <v>36</v>
      </c>
      <c r="R8372" s="12" t="s">
        <v>36</v>
      </c>
      <c r="S8372" s="12" t="s">
        <v>36</v>
      </c>
      <c r="T8372" s="12" t="s">
        <v>28206</v>
      </c>
      <c r="U8372" s="12" t="s">
        <v>51</v>
      </c>
      <c r="V8372" s="12" t="s">
        <v>52</v>
      </c>
      <c r="W8372" s="12" t="s">
        <v>28207</v>
      </c>
      <c r="X8372" s="16" t="s">
        <v>36492</v>
      </c>
      <c r="Y8372" s="15" t="s">
        <v>42</v>
      </c>
      <c r="Z8372" s="14">
        <v>1.53</v>
      </c>
      <c r="AA8372" s="14">
        <v>3.57</v>
      </c>
      <c r="AB8372" s="12" t="s">
        <v>43</v>
      </c>
      <c r="AC8372" s="12" t="s">
        <v>28209</v>
      </c>
      <c r="AD8372" s="13">
        <v>41061</v>
      </c>
      <c r="AE8372" s="12" t="s">
        <v>158</v>
      </c>
      <c r="AF8372" s="12" t="s">
        <v>159</v>
      </c>
      <c r="AG8372" s="12" t="s">
        <v>6075</v>
      </c>
      <c r="AH8372" s="1">
        <f>HYPERLINK("https://my.pitchbook.com?c=88216-30T","View Company Online")</f>
      </c>
    </row>
    <row r="8373">
      <c r="A8373" s="3" t="s">
        <v>36493</v>
      </c>
      <c r="B8373" s="3" t="s">
        <v>33251</v>
      </c>
      <c r="C8373" s="5" t="s">
        <v>36</v>
      </c>
      <c r="D8373" s="5" t="s">
        <v>36</v>
      </c>
      <c r="E8373" s="5" t="s">
        <v>36</v>
      </c>
      <c r="F8373" s="5" t="s">
        <v>36</v>
      </c>
      <c r="G8373" s="6" t="s">
        <v>36</v>
      </c>
      <c r="H8373" s="4" t="s">
        <v>36</v>
      </c>
      <c r="I8373" s="7" t="s">
        <v>36</v>
      </c>
      <c r="J8373" s="3" t="s">
        <v>36</v>
      </c>
      <c r="K8373" s="9" t="s">
        <v>36</v>
      </c>
      <c r="L8373" s="6" t="s">
        <v>36</v>
      </c>
      <c r="M8373" s="3" t="s">
        <v>36</v>
      </c>
      <c r="N8373" s="3" t="s">
        <v>36</v>
      </c>
      <c r="O8373" s="8" t="s">
        <v>36</v>
      </c>
      <c r="P8373" s="3" t="s">
        <v>36</v>
      </c>
      <c r="Q8373" s="3" t="s">
        <v>36</v>
      </c>
      <c r="R8373" s="3" t="s">
        <v>36</v>
      </c>
      <c r="S8373" s="3" t="s">
        <v>36</v>
      </c>
      <c r="T8373" s="3" t="s">
        <v>9193</v>
      </c>
      <c r="U8373" s="3" t="s">
        <v>74</v>
      </c>
      <c r="V8373" s="3" t="s">
        <v>75</v>
      </c>
      <c r="W8373" s="3" t="s">
        <v>33252</v>
      </c>
      <c r="X8373" s="10" t="s">
        <v>11579</v>
      </c>
      <c r="Y8373" s="6" t="s">
        <v>42</v>
      </c>
      <c r="Z8373" s="4" t="s">
        <v>36</v>
      </c>
      <c r="AA8373" s="4" t="s">
        <v>36</v>
      </c>
      <c r="AB8373" s="3" t="s">
        <v>43</v>
      </c>
      <c r="AC8373" s="3" t="s">
        <v>33253</v>
      </c>
      <c r="AD8373" s="9">
        <v>41061</v>
      </c>
      <c r="AE8373" s="3" t="s">
        <v>79</v>
      </c>
      <c r="AF8373" s="3" t="s">
        <v>33254</v>
      </c>
      <c r="AG8373" s="3" t="s">
        <v>81</v>
      </c>
      <c r="AH8373" s="11">
        <f>HYPERLINK("https://my.pitchbook.com?c=85174-30T","View Company Online")</f>
      </c>
    </row>
    <row r="8374">
      <c r="A8374" s="12" t="s">
        <v>36494</v>
      </c>
      <c r="B8374" s="12" t="s">
        <v>36495</v>
      </c>
      <c r="C8374" s="19" t="s">
        <v>36</v>
      </c>
      <c r="D8374" s="19" t="s">
        <v>36</v>
      </c>
      <c r="E8374" s="19" t="s">
        <v>36</v>
      </c>
      <c r="F8374" s="19" t="s">
        <v>36</v>
      </c>
      <c r="G8374" s="15" t="s">
        <v>36</v>
      </c>
      <c r="H8374" s="14" t="s">
        <v>36</v>
      </c>
      <c r="I8374" s="18" t="s">
        <v>36</v>
      </c>
      <c r="J8374" s="12" t="s">
        <v>36</v>
      </c>
      <c r="K8374" s="13" t="s">
        <v>36</v>
      </c>
      <c r="L8374" s="15" t="s">
        <v>122</v>
      </c>
      <c r="M8374" s="12" t="s">
        <v>36</v>
      </c>
      <c r="N8374" s="12" t="s">
        <v>122</v>
      </c>
      <c r="O8374" s="17" t="s">
        <v>36</v>
      </c>
      <c r="P8374" s="12" t="s">
        <v>36</v>
      </c>
      <c r="Q8374" s="12" t="s">
        <v>36</v>
      </c>
      <c r="R8374" s="12" t="s">
        <v>36</v>
      </c>
      <c r="S8374" s="12" t="s">
        <v>36</v>
      </c>
      <c r="T8374" s="12" t="s">
        <v>1418</v>
      </c>
      <c r="U8374" s="12" t="s">
        <v>38</v>
      </c>
      <c r="V8374" s="12" t="s">
        <v>39</v>
      </c>
      <c r="W8374" s="12" t="s">
        <v>36496</v>
      </c>
      <c r="X8374" s="16" t="s">
        <v>11579</v>
      </c>
      <c r="Y8374" s="15" t="s">
        <v>42</v>
      </c>
      <c r="Z8374" s="14">
        <v>0.66</v>
      </c>
      <c r="AA8374" s="14" t="s">
        <v>36</v>
      </c>
      <c r="AB8374" s="12" t="s">
        <v>43</v>
      </c>
      <c r="AC8374" s="12" t="s">
        <v>36497</v>
      </c>
      <c r="AD8374" s="13">
        <v>41061</v>
      </c>
      <c r="AE8374" s="12" t="s">
        <v>1422</v>
      </c>
      <c r="AF8374" s="12" t="s">
        <v>15204</v>
      </c>
      <c r="AG8374" s="12" t="s">
        <v>81</v>
      </c>
      <c r="AH8374" s="1">
        <f>HYPERLINK("https://my.pitchbook.com?c=49715-92T","View Company Online")</f>
      </c>
    </row>
    <row r="8375">
      <c r="A8375" s="3" t="s">
        <v>36498</v>
      </c>
      <c r="B8375" s="3" t="s">
        <v>36499</v>
      </c>
      <c r="C8375" s="5" t="s">
        <v>36</v>
      </c>
      <c r="D8375" s="5" t="s">
        <v>36</v>
      </c>
      <c r="E8375" s="5" t="s">
        <v>36</v>
      </c>
      <c r="F8375" s="5" t="s">
        <v>36</v>
      </c>
      <c r="G8375" s="6" t="s">
        <v>36</v>
      </c>
      <c r="H8375" s="4" t="s">
        <v>36</v>
      </c>
      <c r="I8375" s="7" t="s">
        <v>36</v>
      </c>
      <c r="J8375" s="3" t="s">
        <v>36</v>
      </c>
      <c r="K8375" s="9" t="s">
        <v>36</v>
      </c>
      <c r="L8375" s="6" t="s">
        <v>36</v>
      </c>
      <c r="M8375" s="3" t="s">
        <v>36</v>
      </c>
      <c r="N8375" s="3" t="s">
        <v>36</v>
      </c>
      <c r="O8375" s="8" t="s">
        <v>36</v>
      </c>
      <c r="P8375" s="3" t="s">
        <v>36</v>
      </c>
      <c r="Q8375" s="3" t="s">
        <v>36</v>
      </c>
      <c r="R8375" s="3" t="s">
        <v>36</v>
      </c>
      <c r="S8375" s="3" t="s">
        <v>36</v>
      </c>
      <c r="T8375" s="3" t="s">
        <v>3253</v>
      </c>
      <c r="U8375" s="3" t="s">
        <v>38</v>
      </c>
      <c r="V8375" s="3" t="s">
        <v>39</v>
      </c>
      <c r="W8375" s="3" t="s">
        <v>36500</v>
      </c>
      <c r="X8375" s="10" t="s">
        <v>2375</v>
      </c>
      <c r="Y8375" s="6" t="s">
        <v>42</v>
      </c>
      <c r="Z8375" s="4" t="s">
        <v>36</v>
      </c>
      <c r="AA8375" s="4" t="s">
        <v>36</v>
      </c>
      <c r="AB8375" s="3" t="s">
        <v>43</v>
      </c>
      <c r="AC8375" s="3" t="s">
        <v>36501</v>
      </c>
      <c r="AD8375" s="9">
        <v>41061</v>
      </c>
      <c r="AE8375" s="3" t="s">
        <v>785</v>
      </c>
      <c r="AF8375" s="3" t="s">
        <v>1636</v>
      </c>
      <c r="AG8375" s="3" t="s">
        <v>81</v>
      </c>
      <c r="AH8375" s="11">
        <f>HYPERLINK("https://my.pitchbook.com?c=48008-98T","View Company Online")</f>
      </c>
    </row>
    <row r="8376">
      <c r="A8376" s="12" t="s">
        <v>36502</v>
      </c>
      <c r="B8376" s="12" t="s">
        <v>28748</v>
      </c>
      <c r="C8376" s="19" t="s">
        <v>36</v>
      </c>
      <c r="D8376" s="19" t="s">
        <v>36</v>
      </c>
      <c r="E8376" s="19" t="s">
        <v>36</v>
      </c>
      <c r="F8376" s="19" t="s">
        <v>36</v>
      </c>
      <c r="G8376" s="15" t="s">
        <v>36</v>
      </c>
      <c r="H8376" s="14">
        <v>8.77</v>
      </c>
      <c r="I8376" s="18">
        <v>32.84</v>
      </c>
      <c r="J8376" s="12" t="s">
        <v>521</v>
      </c>
      <c r="K8376" s="13" t="s">
        <v>36</v>
      </c>
      <c r="L8376" s="15" t="s">
        <v>36</v>
      </c>
      <c r="M8376" s="12" t="s">
        <v>36</v>
      </c>
      <c r="N8376" s="12" t="s">
        <v>36</v>
      </c>
      <c r="O8376" s="17" t="s">
        <v>36</v>
      </c>
      <c r="P8376" s="12" t="s">
        <v>36</v>
      </c>
      <c r="Q8376" s="12" t="s">
        <v>36</v>
      </c>
      <c r="R8376" s="12" t="s">
        <v>36</v>
      </c>
      <c r="S8376" s="12" t="s">
        <v>36</v>
      </c>
      <c r="T8376" s="12" t="s">
        <v>28749</v>
      </c>
      <c r="U8376" s="12" t="s">
        <v>38</v>
      </c>
      <c r="V8376" s="12" t="s">
        <v>39</v>
      </c>
      <c r="W8376" s="12" t="s">
        <v>28750</v>
      </c>
      <c r="X8376" s="16" t="s">
        <v>36503</v>
      </c>
      <c r="Y8376" s="15" t="s">
        <v>42</v>
      </c>
      <c r="Z8376" s="14">
        <v>0.35</v>
      </c>
      <c r="AA8376" s="14">
        <v>0.64</v>
      </c>
      <c r="AB8376" s="12" t="s">
        <v>43</v>
      </c>
      <c r="AC8376" s="12" t="s">
        <v>28752</v>
      </c>
      <c r="AD8376" s="13">
        <v>41059</v>
      </c>
      <c r="AE8376" s="12" t="s">
        <v>45</v>
      </c>
      <c r="AF8376" s="12" t="s">
        <v>1636</v>
      </c>
      <c r="AG8376" s="12" t="s">
        <v>81</v>
      </c>
      <c r="AH8376" s="1">
        <f>HYPERLINK("https://my.pitchbook.com?c=40682-62T","View Company Online")</f>
      </c>
    </row>
    <row r="8377">
      <c r="A8377" s="3" t="s">
        <v>36504</v>
      </c>
      <c r="B8377" s="3" t="s">
        <v>32920</v>
      </c>
      <c r="C8377" s="5" t="s">
        <v>36</v>
      </c>
      <c r="D8377" s="5" t="s">
        <v>36</v>
      </c>
      <c r="E8377" s="5" t="s">
        <v>36</v>
      </c>
      <c r="F8377" s="5" t="s">
        <v>36</v>
      </c>
      <c r="G8377" s="6" t="s">
        <v>326</v>
      </c>
      <c r="H8377" s="4">
        <v>12.77</v>
      </c>
      <c r="I8377" s="7">
        <v>25.36</v>
      </c>
      <c r="J8377" s="3" t="s">
        <v>521</v>
      </c>
      <c r="K8377" s="9" t="s">
        <v>36</v>
      </c>
      <c r="L8377" s="6" t="s">
        <v>36</v>
      </c>
      <c r="M8377" s="3" t="s">
        <v>36</v>
      </c>
      <c r="N8377" s="3" t="s">
        <v>36</v>
      </c>
      <c r="O8377" s="8" t="s">
        <v>36</v>
      </c>
      <c r="P8377" s="3" t="s">
        <v>36</v>
      </c>
      <c r="Q8377" s="3" t="s">
        <v>36</v>
      </c>
      <c r="R8377" s="3" t="s">
        <v>36</v>
      </c>
      <c r="S8377" s="3" t="s">
        <v>36</v>
      </c>
      <c r="T8377" s="3" t="s">
        <v>32921</v>
      </c>
      <c r="U8377" s="3" t="s">
        <v>38</v>
      </c>
      <c r="V8377" s="3" t="s">
        <v>39</v>
      </c>
      <c r="W8377" s="3" t="s">
        <v>32922</v>
      </c>
      <c r="X8377" s="10" t="s">
        <v>36505</v>
      </c>
      <c r="Y8377" s="6" t="s">
        <v>108</v>
      </c>
      <c r="Z8377" s="4">
        <v>2.18</v>
      </c>
      <c r="AA8377" s="4">
        <v>8.6</v>
      </c>
      <c r="AB8377" s="3" t="s">
        <v>43</v>
      </c>
      <c r="AC8377" s="3" t="s">
        <v>32923</v>
      </c>
      <c r="AD8377" s="9">
        <v>41058</v>
      </c>
      <c r="AE8377" s="3" t="s">
        <v>554</v>
      </c>
      <c r="AF8377" s="3" t="s">
        <v>32924</v>
      </c>
      <c r="AG8377" s="3" t="s">
        <v>1369</v>
      </c>
      <c r="AH8377" s="11">
        <f>HYPERLINK("https://my.pitchbook.com?c=31208-59T","View Company Online")</f>
      </c>
    </row>
    <row r="8378">
      <c r="A8378" s="12" t="s">
        <v>36506</v>
      </c>
      <c r="B8378" s="12" t="s">
        <v>36507</v>
      </c>
      <c r="C8378" s="19" t="s">
        <v>36</v>
      </c>
      <c r="D8378" s="19" t="s">
        <v>36</v>
      </c>
      <c r="E8378" s="19" t="s">
        <v>36</v>
      </c>
      <c r="F8378" s="19" t="s">
        <v>36</v>
      </c>
      <c r="G8378" s="15" t="s">
        <v>36</v>
      </c>
      <c r="H8378" s="14" t="s">
        <v>36</v>
      </c>
      <c r="I8378" s="18" t="s">
        <v>36</v>
      </c>
      <c r="J8378" s="12" t="s">
        <v>36</v>
      </c>
      <c r="K8378" s="13" t="s">
        <v>36</v>
      </c>
      <c r="L8378" s="15" t="s">
        <v>36</v>
      </c>
      <c r="M8378" s="12" t="s">
        <v>36</v>
      </c>
      <c r="N8378" s="12" t="s">
        <v>36</v>
      </c>
      <c r="O8378" s="17" t="s">
        <v>36</v>
      </c>
      <c r="P8378" s="12" t="s">
        <v>36</v>
      </c>
      <c r="Q8378" s="12" t="s">
        <v>36</v>
      </c>
      <c r="R8378" s="12" t="s">
        <v>36</v>
      </c>
      <c r="S8378" s="12" t="s">
        <v>36</v>
      </c>
      <c r="T8378" s="12" t="s">
        <v>36508</v>
      </c>
      <c r="U8378" s="12" t="s">
        <v>74</v>
      </c>
      <c r="V8378" s="12" t="s">
        <v>75</v>
      </c>
      <c r="W8378" s="12" t="s">
        <v>36509</v>
      </c>
      <c r="X8378" s="16" t="s">
        <v>36510</v>
      </c>
      <c r="Y8378" s="15" t="s">
        <v>42</v>
      </c>
      <c r="Z8378" s="14">
        <v>2.57</v>
      </c>
      <c r="AA8378" s="14" t="s">
        <v>36</v>
      </c>
      <c r="AB8378" s="12" t="s">
        <v>43</v>
      </c>
      <c r="AC8378" s="12" t="s">
        <v>36511</v>
      </c>
      <c r="AD8378" s="13">
        <v>41058</v>
      </c>
      <c r="AE8378" s="12" t="s">
        <v>1243</v>
      </c>
      <c r="AF8378" s="12" t="s">
        <v>36512</v>
      </c>
      <c r="AG8378" s="12" t="s">
        <v>2760</v>
      </c>
      <c r="AH8378" s="1">
        <f>HYPERLINK("https://my.pitchbook.com?c=28532-44T","View Company Online")</f>
      </c>
    </row>
    <row r="8379">
      <c r="A8379" s="3" t="s">
        <v>36513</v>
      </c>
      <c r="B8379" s="3" t="s">
        <v>32849</v>
      </c>
      <c r="C8379" s="5" t="s">
        <v>36</v>
      </c>
      <c r="D8379" s="5" t="s">
        <v>36</v>
      </c>
      <c r="E8379" s="5" t="s">
        <v>36</v>
      </c>
      <c r="F8379" s="5" t="s">
        <v>36</v>
      </c>
      <c r="G8379" s="6" t="s">
        <v>36</v>
      </c>
      <c r="H8379" s="4" t="s">
        <v>36</v>
      </c>
      <c r="I8379" s="7" t="s">
        <v>36</v>
      </c>
      <c r="J8379" s="3" t="s">
        <v>36</v>
      </c>
      <c r="K8379" s="9" t="s">
        <v>36</v>
      </c>
      <c r="L8379" s="6" t="s">
        <v>36</v>
      </c>
      <c r="M8379" s="3" t="s">
        <v>36</v>
      </c>
      <c r="N8379" s="3" t="s">
        <v>36</v>
      </c>
      <c r="O8379" s="8" t="s">
        <v>36</v>
      </c>
      <c r="P8379" s="3" t="s">
        <v>36</v>
      </c>
      <c r="Q8379" s="3" t="s">
        <v>36</v>
      </c>
      <c r="R8379" s="3" t="s">
        <v>36</v>
      </c>
      <c r="S8379" s="3" t="s">
        <v>36</v>
      </c>
      <c r="T8379" s="3" t="s">
        <v>32850</v>
      </c>
      <c r="U8379" s="3" t="s">
        <v>289</v>
      </c>
      <c r="V8379" s="3" t="s">
        <v>64</v>
      </c>
      <c r="W8379" s="3" t="s">
        <v>32851</v>
      </c>
      <c r="X8379" s="10" t="s">
        <v>36514</v>
      </c>
      <c r="Y8379" s="6" t="s">
        <v>108</v>
      </c>
      <c r="Z8379" s="4">
        <v>7.18</v>
      </c>
      <c r="AA8379" s="4" t="s">
        <v>36</v>
      </c>
      <c r="AB8379" s="3" t="s">
        <v>43</v>
      </c>
      <c r="AC8379" s="3" t="s">
        <v>32853</v>
      </c>
      <c r="AD8379" s="9">
        <v>41058</v>
      </c>
      <c r="AE8379" s="3" t="s">
        <v>292</v>
      </c>
      <c r="AF8379" s="3" t="s">
        <v>2118</v>
      </c>
      <c r="AG8379" s="3" t="s">
        <v>81</v>
      </c>
      <c r="AH8379" s="11">
        <f>HYPERLINK("https://my.pitchbook.com?c=24781-69T","View Company Online")</f>
      </c>
    </row>
    <row r="8380">
      <c r="A8380" s="12" t="s">
        <v>36515</v>
      </c>
      <c r="B8380" s="12" t="s">
        <v>36516</v>
      </c>
      <c r="C8380" s="19" t="s">
        <v>36</v>
      </c>
      <c r="D8380" s="19" t="s">
        <v>36</v>
      </c>
      <c r="E8380" s="19" t="s">
        <v>36</v>
      </c>
      <c r="F8380" s="19" t="s">
        <v>36</v>
      </c>
      <c r="G8380" s="15" t="s">
        <v>36</v>
      </c>
      <c r="H8380" s="14" t="s">
        <v>36</v>
      </c>
      <c r="I8380" s="18" t="s">
        <v>36</v>
      </c>
      <c r="J8380" s="12" t="s">
        <v>36</v>
      </c>
      <c r="K8380" s="13" t="s">
        <v>36</v>
      </c>
      <c r="L8380" s="15" t="s">
        <v>36</v>
      </c>
      <c r="M8380" s="12" t="s">
        <v>36</v>
      </c>
      <c r="N8380" s="12" t="s">
        <v>36</v>
      </c>
      <c r="O8380" s="17" t="s">
        <v>36</v>
      </c>
      <c r="P8380" s="12" t="s">
        <v>36</v>
      </c>
      <c r="Q8380" s="12" t="s">
        <v>36</v>
      </c>
      <c r="R8380" s="12" t="s">
        <v>36</v>
      </c>
      <c r="S8380" s="12" t="s">
        <v>13218</v>
      </c>
      <c r="T8380" s="12" t="s">
        <v>36517</v>
      </c>
      <c r="U8380" s="12" t="s">
        <v>233</v>
      </c>
      <c r="V8380" s="12" t="s">
        <v>39</v>
      </c>
      <c r="W8380" s="12" t="s">
        <v>36518</v>
      </c>
      <c r="X8380" s="16" t="s">
        <v>28201</v>
      </c>
      <c r="Y8380" s="15" t="s">
        <v>42</v>
      </c>
      <c r="Z8380" s="14">
        <v>2.57</v>
      </c>
      <c r="AA8380" s="14" t="s">
        <v>36</v>
      </c>
      <c r="AB8380" s="12" t="s">
        <v>56</v>
      </c>
      <c r="AC8380" s="12" t="s">
        <v>36519</v>
      </c>
      <c r="AD8380" s="13">
        <v>41058</v>
      </c>
      <c r="AE8380" s="12" t="s">
        <v>12061</v>
      </c>
      <c r="AF8380" s="12" t="s">
        <v>1636</v>
      </c>
      <c r="AG8380" s="12" t="s">
        <v>81</v>
      </c>
      <c r="AH8380" s="1">
        <f>HYPERLINK("https://my.pitchbook.com?c=25378-75T","View Company Online")</f>
      </c>
    </row>
    <row r="8381">
      <c r="A8381" s="3" t="s">
        <v>36520</v>
      </c>
      <c r="B8381" s="3" t="s">
        <v>36521</v>
      </c>
      <c r="C8381" s="5" t="s">
        <v>36</v>
      </c>
      <c r="D8381" s="5" t="s">
        <v>36</v>
      </c>
      <c r="E8381" s="5" t="s">
        <v>36</v>
      </c>
      <c r="F8381" s="5" t="s">
        <v>36</v>
      </c>
      <c r="G8381" s="6" t="s">
        <v>36</v>
      </c>
      <c r="H8381" s="4">
        <v>20.77</v>
      </c>
      <c r="I8381" s="7">
        <v>11.77</v>
      </c>
      <c r="J8381" s="3" t="s">
        <v>521</v>
      </c>
      <c r="K8381" s="9" t="s">
        <v>36</v>
      </c>
      <c r="L8381" s="6" t="s">
        <v>36</v>
      </c>
      <c r="M8381" s="3" t="s">
        <v>36</v>
      </c>
      <c r="N8381" s="3" t="s">
        <v>36</v>
      </c>
      <c r="O8381" s="8" t="s">
        <v>36</v>
      </c>
      <c r="P8381" s="3" t="s">
        <v>36</v>
      </c>
      <c r="Q8381" s="3" t="s">
        <v>36</v>
      </c>
      <c r="R8381" s="3" t="s">
        <v>36</v>
      </c>
      <c r="S8381" s="3" t="s">
        <v>36</v>
      </c>
      <c r="T8381" s="3" t="s">
        <v>9456</v>
      </c>
      <c r="U8381" s="3" t="s">
        <v>63</v>
      </c>
      <c r="V8381" s="3" t="s">
        <v>64</v>
      </c>
      <c r="W8381" s="3" t="s">
        <v>36522</v>
      </c>
      <c r="X8381" s="10" t="s">
        <v>36523</v>
      </c>
      <c r="Y8381" s="6" t="s">
        <v>42</v>
      </c>
      <c r="Z8381" s="4">
        <v>0.84</v>
      </c>
      <c r="AA8381" s="4">
        <v>7.14</v>
      </c>
      <c r="AB8381" s="3" t="s">
        <v>56</v>
      </c>
      <c r="AC8381" s="3" t="s">
        <v>36524</v>
      </c>
      <c r="AD8381" s="9">
        <v>41054</v>
      </c>
      <c r="AE8381" s="3" t="s">
        <v>4310</v>
      </c>
      <c r="AF8381" s="3" t="s">
        <v>36</v>
      </c>
      <c r="AG8381" s="3" t="s">
        <v>11493</v>
      </c>
      <c r="AH8381" s="11">
        <f>HYPERLINK("https://my.pitchbook.com?c=211470-58T","View Company Online")</f>
      </c>
    </row>
    <row r="8382">
      <c r="A8382" s="12" t="s">
        <v>36525</v>
      </c>
      <c r="B8382" s="12" t="s">
        <v>36526</v>
      </c>
      <c r="C8382" s="19" t="s">
        <v>36</v>
      </c>
      <c r="D8382" s="19">
        <v>3</v>
      </c>
      <c r="E8382" s="19">
        <v>1</v>
      </c>
      <c r="F8382" s="19">
        <v>5</v>
      </c>
      <c r="G8382" s="15" t="s">
        <v>36</v>
      </c>
      <c r="H8382" s="14" t="s">
        <v>36</v>
      </c>
      <c r="I8382" s="18" t="s">
        <v>36</v>
      </c>
      <c r="J8382" s="12" t="s">
        <v>36</v>
      </c>
      <c r="K8382" s="13" t="s">
        <v>36</v>
      </c>
      <c r="L8382" s="15" t="s">
        <v>36</v>
      </c>
      <c r="M8382" s="12" t="s">
        <v>36</v>
      </c>
      <c r="N8382" s="12" t="s">
        <v>36</v>
      </c>
      <c r="O8382" s="17" t="s">
        <v>36</v>
      </c>
      <c r="P8382" s="12" t="s">
        <v>36</v>
      </c>
      <c r="Q8382" s="12" t="s">
        <v>36</v>
      </c>
      <c r="R8382" s="12" t="s">
        <v>36</v>
      </c>
      <c r="S8382" s="12" t="s">
        <v>36</v>
      </c>
      <c r="T8382" s="12" t="s">
        <v>36527</v>
      </c>
      <c r="U8382" s="12" t="s">
        <v>318</v>
      </c>
      <c r="V8382" s="12" t="s">
        <v>39</v>
      </c>
      <c r="W8382" s="12" t="s">
        <v>36528</v>
      </c>
      <c r="X8382" s="16" t="s">
        <v>36529</v>
      </c>
      <c r="Y8382" s="15" t="s">
        <v>55</v>
      </c>
      <c r="Z8382" s="14" t="s">
        <v>36</v>
      </c>
      <c r="AA8382" s="14" t="s">
        <v>36</v>
      </c>
      <c r="AB8382" s="12" t="s">
        <v>56</v>
      </c>
      <c r="AC8382" s="12" t="s">
        <v>36530</v>
      </c>
      <c r="AD8382" s="13">
        <v>41053</v>
      </c>
      <c r="AE8382" s="12" t="s">
        <v>1020</v>
      </c>
      <c r="AF8382" s="12" t="s">
        <v>1077</v>
      </c>
      <c r="AG8382" s="12" t="s">
        <v>81</v>
      </c>
      <c r="AH8382" s="1">
        <f>HYPERLINK("https://my.pitchbook.com?c=21629-62T","View Company Online")</f>
      </c>
    </row>
    <row r="8383">
      <c r="A8383" s="3" t="s">
        <v>36531</v>
      </c>
      <c r="B8383" s="3" t="s">
        <v>36532</v>
      </c>
      <c r="C8383" s="5">
        <v>1</v>
      </c>
      <c r="D8383" s="5">
        <v>4</v>
      </c>
      <c r="E8383" s="5">
        <v>4</v>
      </c>
      <c r="F8383" s="5">
        <v>13</v>
      </c>
      <c r="G8383" s="6" t="s">
        <v>36</v>
      </c>
      <c r="H8383" s="4" t="s">
        <v>36</v>
      </c>
      <c r="I8383" s="7" t="s">
        <v>36</v>
      </c>
      <c r="J8383" s="3" t="s">
        <v>36</v>
      </c>
      <c r="K8383" s="9" t="s">
        <v>36</v>
      </c>
      <c r="L8383" s="6" t="s">
        <v>36</v>
      </c>
      <c r="M8383" s="3" t="s">
        <v>36</v>
      </c>
      <c r="N8383" s="3" t="s">
        <v>36</v>
      </c>
      <c r="O8383" s="8" t="s">
        <v>36</v>
      </c>
      <c r="P8383" s="3" t="s">
        <v>36</v>
      </c>
      <c r="Q8383" s="3" t="s">
        <v>36</v>
      </c>
      <c r="R8383" s="3" t="s">
        <v>36</v>
      </c>
      <c r="S8383" s="3" t="s">
        <v>36</v>
      </c>
      <c r="T8383" s="3" t="s">
        <v>36533</v>
      </c>
      <c r="U8383" s="3" t="s">
        <v>423</v>
      </c>
      <c r="V8383" s="3" t="s">
        <v>64</v>
      </c>
      <c r="W8383" s="3" t="s">
        <v>36534</v>
      </c>
      <c r="X8383" s="10" t="s">
        <v>36535</v>
      </c>
      <c r="Y8383" s="6" t="s">
        <v>108</v>
      </c>
      <c r="Z8383" s="4" t="s">
        <v>36</v>
      </c>
      <c r="AA8383" s="4" t="s">
        <v>36</v>
      </c>
      <c r="AB8383" s="3" t="s">
        <v>56</v>
      </c>
      <c r="AC8383" s="3" t="s">
        <v>36536</v>
      </c>
      <c r="AD8383" s="9">
        <v>41053</v>
      </c>
      <c r="AE8383" s="3" t="s">
        <v>562</v>
      </c>
      <c r="AF8383" s="3" t="s">
        <v>665</v>
      </c>
      <c r="AG8383" s="3" t="s">
        <v>1601</v>
      </c>
      <c r="AH8383" s="11">
        <f>HYPERLINK("https://my.pitchbook.com?c=36012-43T","View Company Online")</f>
      </c>
    </row>
    <row r="8384">
      <c r="A8384" s="12" t="s">
        <v>36537</v>
      </c>
      <c r="B8384" s="12" t="s">
        <v>18567</v>
      </c>
      <c r="C8384" s="19" t="s">
        <v>36</v>
      </c>
      <c r="D8384" s="19" t="s">
        <v>36</v>
      </c>
      <c r="E8384" s="19" t="s">
        <v>36</v>
      </c>
      <c r="F8384" s="19" t="s">
        <v>36</v>
      </c>
      <c r="G8384" s="15" t="s">
        <v>326</v>
      </c>
      <c r="H8384" s="14">
        <v>48.81</v>
      </c>
      <c r="I8384" s="18">
        <v>18.66</v>
      </c>
      <c r="J8384" s="12" t="s">
        <v>521</v>
      </c>
      <c r="K8384" s="13" t="s">
        <v>36</v>
      </c>
      <c r="L8384" s="15" t="s">
        <v>1279</v>
      </c>
      <c r="M8384" s="12" t="s">
        <v>36</v>
      </c>
      <c r="N8384" s="12" t="s">
        <v>1279</v>
      </c>
      <c r="O8384" s="17" t="s">
        <v>36</v>
      </c>
      <c r="P8384" s="12" t="s">
        <v>36</v>
      </c>
      <c r="Q8384" s="12" t="s">
        <v>36</v>
      </c>
      <c r="R8384" s="12" t="s">
        <v>36</v>
      </c>
      <c r="S8384" s="12" t="s">
        <v>36</v>
      </c>
      <c r="T8384" s="12" t="s">
        <v>611</v>
      </c>
      <c r="U8384" s="12" t="s">
        <v>38</v>
      </c>
      <c r="V8384" s="12" t="s">
        <v>39</v>
      </c>
      <c r="W8384" s="12" t="s">
        <v>18568</v>
      </c>
      <c r="X8384" s="16" t="s">
        <v>36538</v>
      </c>
      <c r="Y8384" s="15" t="s">
        <v>108</v>
      </c>
      <c r="Z8384" s="14">
        <v>4.17</v>
      </c>
      <c r="AA8384" s="14">
        <v>22.36</v>
      </c>
      <c r="AB8384" s="12" t="s">
        <v>56</v>
      </c>
      <c r="AC8384" s="12" t="s">
        <v>18570</v>
      </c>
      <c r="AD8384" s="13">
        <v>41053</v>
      </c>
      <c r="AE8384" s="12" t="s">
        <v>45</v>
      </c>
      <c r="AF8384" s="12" t="s">
        <v>331</v>
      </c>
      <c r="AG8384" s="12" t="s">
        <v>81</v>
      </c>
      <c r="AH8384" s="1">
        <f>HYPERLINK("https://my.pitchbook.com?c=24542-11T","View Company Online")</f>
      </c>
    </row>
    <row r="8385">
      <c r="A8385" s="3" t="s">
        <v>36539</v>
      </c>
      <c r="B8385" s="3" t="s">
        <v>33790</v>
      </c>
      <c r="C8385" s="5">
        <v>4</v>
      </c>
      <c r="D8385" s="5">
        <v>62</v>
      </c>
      <c r="E8385" s="5">
        <v>13</v>
      </c>
      <c r="F8385" s="5">
        <v>89</v>
      </c>
      <c r="G8385" s="6" t="s">
        <v>36</v>
      </c>
      <c r="H8385" s="4" t="s">
        <v>36</v>
      </c>
      <c r="I8385" s="7" t="s">
        <v>36</v>
      </c>
      <c r="J8385" s="3" t="s">
        <v>36</v>
      </c>
      <c r="K8385" s="9" t="s">
        <v>36</v>
      </c>
      <c r="L8385" s="6" t="s">
        <v>36</v>
      </c>
      <c r="M8385" s="3" t="s">
        <v>36</v>
      </c>
      <c r="N8385" s="3" t="s">
        <v>36</v>
      </c>
      <c r="O8385" s="8" t="s">
        <v>36</v>
      </c>
      <c r="P8385" s="3" t="s">
        <v>36</v>
      </c>
      <c r="Q8385" s="3" t="s">
        <v>36</v>
      </c>
      <c r="R8385" s="3" t="s">
        <v>36</v>
      </c>
      <c r="S8385" s="3" t="s">
        <v>36</v>
      </c>
      <c r="T8385" s="3" t="s">
        <v>3790</v>
      </c>
      <c r="U8385" s="3" t="s">
        <v>318</v>
      </c>
      <c r="V8385" s="3" t="s">
        <v>39</v>
      </c>
      <c r="W8385" s="3" t="s">
        <v>33791</v>
      </c>
      <c r="X8385" s="10" t="s">
        <v>36540</v>
      </c>
      <c r="Y8385" s="6" t="s">
        <v>55</v>
      </c>
      <c r="Z8385" s="4">
        <v>2.86</v>
      </c>
      <c r="AA8385" s="4" t="s">
        <v>36</v>
      </c>
      <c r="AB8385" s="3" t="s">
        <v>56</v>
      </c>
      <c r="AC8385" s="3" t="s">
        <v>33793</v>
      </c>
      <c r="AD8385" s="9">
        <v>41051</v>
      </c>
      <c r="AE8385" s="3" t="s">
        <v>763</v>
      </c>
      <c r="AF8385" s="3" t="s">
        <v>33794</v>
      </c>
      <c r="AG8385" s="3" t="s">
        <v>392</v>
      </c>
      <c r="AH8385" s="11">
        <f>HYPERLINK("https://my.pitchbook.com?c=25397-38T","View Company Online")</f>
      </c>
    </row>
    <row r="8386">
      <c r="A8386" s="12" t="s">
        <v>36541</v>
      </c>
      <c r="B8386" s="12" t="s">
        <v>36542</v>
      </c>
      <c r="C8386" s="19">
        <v>1</v>
      </c>
      <c r="D8386" s="19">
        <v>4</v>
      </c>
      <c r="E8386" s="19">
        <v>4</v>
      </c>
      <c r="F8386" s="19">
        <v>9</v>
      </c>
      <c r="G8386" s="15" t="s">
        <v>36</v>
      </c>
      <c r="H8386" s="14" t="s">
        <v>36</v>
      </c>
      <c r="I8386" s="18">
        <v>15</v>
      </c>
      <c r="J8386" s="12" t="s">
        <v>521</v>
      </c>
      <c r="K8386" s="13" t="s">
        <v>36</v>
      </c>
      <c r="L8386" s="15" t="s">
        <v>36</v>
      </c>
      <c r="M8386" s="12" t="s">
        <v>36</v>
      </c>
      <c r="N8386" s="12" t="s">
        <v>36</v>
      </c>
      <c r="O8386" s="17" t="s">
        <v>36</v>
      </c>
      <c r="P8386" s="12" t="s">
        <v>36</v>
      </c>
      <c r="Q8386" s="12" t="s">
        <v>36</v>
      </c>
      <c r="R8386" s="12" t="s">
        <v>36</v>
      </c>
      <c r="S8386" s="12" t="s">
        <v>36</v>
      </c>
      <c r="T8386" s="12" t="s">
        <v>30273</v>
      </c>
      <c r="U8386" s="12" t="s">
        <v>833</v>
      </c>
      <c r="V8386" s="12" t="s">
        <v>64</v>
      </c>
      <c r="W8386" s="12" t="s">
        <v>36543</v>
      </c>
      <c r="X8386" s="16" t="s">
        <v>36544</v>
      </c>
      <c r="Y8386" s="15" t="s">
        <v>42</v>
      </c>
      <c r="Z8386" s="14">
        <v>0.78</v>
      </c>
      <c r="AA8386" s="14">
        <v>5.19</v>
      </c>
      <c r="AB8386" s="12" t="s">
        <v>43</v>
      </c>
      <c r="AC8386" s="12" t="s">
        <v>36545</v>
      </c>
      <c r="AD8386" s="13">
        <v>41051</v>
      </c>
      <c r="AE8386" s="12" t="s">
        <v>1069</v>
      </c>
      <c r="AF8386" s="12" t="s">
        <v>1077</v>
      </c>
      <c r="AG8386" s="12" t="s">
        <v>36546</v>
      </c>
      <c r="AH8386" s="1">
        <f>HYPERLINK("https://my.pitchbook.com?c=52442-02T","View Company Online")</f>
      </c>
    </row>
    <row r="8387">
      <c r="A8387" s="3" t="s">
        <v>36547</v>
      </c>
      <c r="B8387" s="3" t="s">
        <v>25303</v>
      </c>
      <c r="C8387" s="5" t="s">
        <v>36</v>
      </c>
      <c r="D8387" s="5" t="s">
        <v>36</v>
      </c>
      <c r="E8387" s="5" t="s">
        <v>36</v>
      </c>
      <c r="F8387" s="5" t="s">
        <v>36</v>
      </c>
      <c r="G8387" s="6" t="s">
        <v>326</v>
      </c>
      <c r="H8387" s="4">
        <v>68.8</v>
      </c>
      <c r="I8387" s="7">
        <v>25</v>
      </c>
      <c r="J8387" s="3" t="s">
        <v>521</v>
      </c>
      <c r="K8387" s="9" t="s">
        <v>36</v>
      </c>
      <c r="L8387" s="6" t="s">
        <v>122</v>
      </c>
      <c r="M8387" s="3" t="s">
        <v>36</v>
      </c>
      <c r="N8387" s="3" t="s">
        <v>122</v>
      </c>
      <c r="O8387" s="8" t="s">
        <v>36</v>
      </c>
      <c r="P8387" s="3" t="s">
        <v>36</v>
      </c>
      <c r="Q8387" s="3" t="s">
        <v>36</v>
      </c>
      <c r="R8387" s="3" t="s">
        <v>36</v>
      </c>
      <c r="S8387" s="3" t="s">
        <v>36</v>
      </c>
      <c r="T8387" s="3" t="s">
        <v>1701</v>
      </c>
      <c r="U8387" s="3" t="s">
        <v>74</v>
      </c>
      <c r="V8387" s="3" t="s">
        <v>75</v>
      </c>
      <c r="W8387" s="3" t="s">
        <v>25304</v>
      </c>
      <c r="X8387" s="10" t="s">
        <v>36548</v>
      </c>
      <c r="Y8387" s="6" t="s">
        <v>55</v>
      </c>
      <c r="Z8387" s="4">
        <v>3.51</v>
      </c>
      <c r="AA8387" s="4">
        <v>10.4</v>
      </c>
      <c r="AB8387" s="3" t="s">
        <v>56</v>
      </c>
      <c r="AC8387" s="3" t="s">
        <v>25306</v>
      </c>
      <c r="AD8387" s="9">
        <v>41050</v>
      </c>
      <c r="AE8387" s="3" t="s">
        <v>79</v>
      </c>
      <c r="AF8387" s="3" t="s">
        <v>25307</v>
      </c>
      <c r="AG8387" s="3" t="s">
        <v>81</v>
      </c>
      <c r="AH8387" s="11">
        <f>HYPERLINK("https://my.pitchbook.com?c=28517-59T","View Company Online")</f>
      </c>
    </row>
    <row r="8388">
      <c r="A8388" s="12" t="s">
        <v>36549</v>
      </c>
      <c r="B8388" s="12" t="s">
        <v>30048</v>
      </c>
      <c r="C8388" s="19" t="s">
        <v>36</v>
      </c>
      <c r="D8388" s="19" t="s">
        <v>36</v>
      </c>
      <c r="E8388" s="19" t="s">
        <v>36</v>
      </c>
      <c r="F8388" s="19" t="s">
        <v>36</v>
      </c>
      <c r="G8388" s="15" t="s">
        <v>36</v>
      </c>
      <c r="H8388" s="14">
        <v>18.11</v>
      </c>
      <c r="I8388" s="18">
        <v>64.02</v>
      </c>
      <c r="J8388" s="12" t="s">
        <v>521</v>
      </c>
      <c r="K8388" s="13" t="s">
        <v>36</v>
      </c>
      <c r="L8388" s="15" t="s">
        <v>36</v>
      </c>
      <c r="M8388" s="12" t="s">
        <v>36</v>
      </c>
      <c r="N8388" s="12" t="s">
        <v>36</v>
      </c>
      <c r="O8388" s="17" t="s">
        <v>36</v>
      </c>
      <c r="P8388" s="12" t="s">
        <v>36</v>
      </c>
      <c r="Q8388" s="12" t="s">
        <v>36</v>
      </c>
      <c r="R8388" s="12" t="s">
        <v>36</v>
      </c>
      <c r="S8388" s="12" t="s">
        <v>36</v>
      </c>
      <c r="T8388" s="12" t="s">
        <v>30049</v>
      </c>
      <c r="U8388" s="12" t="s">
        <v>728</v>
      </c>
      <c r="V8388" s="12" t="s">
        <v>64</v>
      </c>
      <c r="W8388" s="12" t="s">
        <v>30050</v>
      </c>
      <c r="X8388" s="16" t="s">
        <v>36550</v>
      </c>
      <c r="Y8388" s="15" t="s">
        <v>108</v>
      </c>
      <c r="Z8388" s="14">
        <v>19.5</v>
      </c>
      <c r="AA8388" s="14">
        <v>25.48</v>
      </c>
      <c r="AB8388" s="12" t="s">
        <v>43</v>
      </c>
      <c r="AC8388" s="12" t="s">
        <v>30051</v>
      </c>
      <c r="AD8388" s="13">
        <v>41050</v>
      </c>
      <c r="AE8388" s="12" t="s">
        <v>2154</v>
      </c>
      <c r="AF8388" s="12" t="s">
        <v>2118</v>
      </c>
      <c r="AG8388" s="12" t="s">
        <v>81</v>
      </c>
      <c r="AH8388" s="1">
        <f>HYPERLINK("https://my.pitchbook.com?c=24234-22T","View Company Online")</f>
      </c>
    </row>
    <row r="8389">
      <c r="A8389" s="3" t="s">
        <v>36551</v>
      </c>
      <c r="B8389" s="3" t="s">
        <v>22524</v>
      </c>
      <c r="C8389" s="5" t="s">
        <v>36</v>
      </c>
      <c r="D8389" s="5" t="s">
        <v>36</v>
      </c>
      <c r="E8389" s="5" t="s">
        <v>36</v>
      </c>
      <c r="F8389" s="5" t="s">
        <v>36</v>
      </c>
      <c r="G8389" s="6" t="s">
        <v>326</v>
      </c>
      <c r="H8389" s="4">
        <v>11.07</v>
      </c>
      <c r="I8389" s="7">
        <v>47.43</v>
      </c>
      <c r="J8389" s="3" t="s">
        <v>521</v>
      </c>
      <c r="K8389" s="9" t="s">
        <v>36</v>
      </c>
      <c r="L8389" s="6" t="s">
        <v>36</v>
      </c>
      <c r="M8389" s="3" t="s">
        <v>36</v>
      </c>
      <c r="N8389" s="3" t="s">
        <v>36</v>
      </c>
      <c r="O8389" s="8" t="s">
        <v>36</v>
      </c>
      <c r="P8389" s="3" t="s">
        <v>36</v>
      </c>
      <c r="Q8389" s="3" t="s">
        <v>36</v>
      </c>
      <c r="R8389" s="3" t="s">
        <v>36</v>
      </c>
      <c r="S8389" s="3" t="s">
        <v>36</v>
      </c>
      <c r="T8389" s="3" t="s">
        <v>1701</v>
      </c>
      <c r="U8389" s="3" t="s">
        <v>74</v>
      </c>
      <c r="V8389" s="3" t="s">
        <v>75</v>
      </c>
      <c r="W8389" s="3" t="s">
        <v>22525</v>
      </c>
      <c r="X8389" s="10" t="s">
        <v>36552</v>
      </c>
      <c r="Y8389" s="6" t="s">
        <v>42</v>
      </c>
      <c r="Z8389" s="4">
        <v>0.78</v>
      </c>
      <c r="AA8389" s="4">
        <v>1.64</v>
      </c>
      <c r="AB8389" s="3" t="s">
        <v>43</v>
      </c>
      <c r="AC8389" s="3" t="s">
        <v>22527</v>
      </c>
      <c r="AD8389" s="9">
        <v>41050</v>
      </c>
      <c r="AE8389" s="3" t="s">
        <v>79</v>
      </c>
      <c r="AF8389" s="3" t="s">
        <v>176</v>
      </c>
      <c r="AG8389" s="3" t="s">
        <v>580</v>
      </c>
      <c r="AH8389" s="11">
        <f>HYPERLINK("https://my.pitchbook.com?c=253355-59T","View Company Online")</f>
      </c>
    </row>
    <row r="8390">
      <c r="A8390" s="12" t="s">
        <v>36553</v>
      </c>
      <c r="B8390" s="12" t="s">
        <v>36554</v>
      </c>
      <c r="C8390" s="19">
        <v>1</v>
      </c>
      <c r="D8390" s="19">
        <v>12</v>
      </c>
      <c r="E8390" s="19">
        <v>6</v>
      </c>
      <c r="F8390" s="19">
        <v>22</v>
      </c>
      <c r="G8390" s="15" t="s">
        <v>36</v>
      </c>
      <c r="H8390" s="14" t="s">
        <v>36</v>
      </c>
      <c r="I8390" s="18" t="s">
        <v>36</v>
      </c>
      <c r="J8390" s="12" t="s">
        <v>36</v>
      </c>
      <c r="K8390" s="13" t="s">
        <v>36</v>
      </c>
      <c r="L8390" s="15" t="s">
        <v>36</v>
      </c>
      <c r="M8390" s="12" t="s">
        <v>36</v>
      </c>
      <c r="N8390" s="12" t="s">
        <v>36</v>
      </c>
      <c r="O8390" s="17" t="s">
        <v>36</v>
      </c>
      <c r="P8390" s="12" t="s">
        <v>36</v>
      </c>
      <c r="Q8390" s="12" t="s">
        <v>36</v>
      </c>
      <c r="R8390" s="12" t="s">
        <v>36</v>
      </c>
      <c r="S8390" s="12" t="s">
        <v>36</v>
      </c>
      <c r="T8390" s="12" t="s">
        <v>588</v>
      </c>
      <c r="U8390" s="12" t="s">
        <v>318</v>
      </c>
      <c r="V8390" s="12" t="s">
        <v>39</v>
      </c>
      <c r="W8390" s="12" t="s">
        <v>36555</v>
      </c>
      <c r="X8390" s="16" t="s">
        <v>36556</v>
      </c>
      <c r="Y8390" s="15" t="s">
        <v>42</v>
      </c>
      <c r="Z8390" s="14">
        <v>1.56</v>
      </c>
      <c r="AA8390" s="14" t="s">
        <v>36</v>
      </c>
      <c r="AB8390" s="12" t="s">
        <v>56</v>
      </c>
      <c r="AC8390" s="12" t="s">
        <v>36557</v>
      </c>
      <c r="AD8390" s="13">
        <v>41049</v>
      </c>
      <c r="AE8390" s="12" t="s">
        <v>417</v>
      </c>
      <c r="AF8390" s="12" t="s">
        <v>571</v>
      </c>
      <c r="AG8390" s="12" t="s">
        <v>36558</v>
      </c>
      <c r="AH8390" s="1">
        <f>HYPERLINK("https://my.pitchbook.com?c=59517-46T","View Company Online")</f>
      </c>
    </row>
    <row r="8391">
      <c r="A8391" s="3" t="s">
        <v>36559</v>
      </c>
      <c r="B8391" s="3" t="s">
        <v>27726</v>
      </c>
      <c r="C8391" s="5" t="s">
        <v>36</v>
      </c>
      <c r="D8391" s="5">
        <v>4</v>
      </c>
      <c r="E8391" s="5">
        <v>2</v>
      </c>
      <c r="F8391" s="5">
        <v>5</v>
      </c>
      <c r="G8391" s="6" t="s">
        <v>36</v>
      </c>
      <c r="H8391" s="4">
        <v>223.29</v>
      </c>
      <c r="I8391" s="7">
        <v>13.8</v>
      </c>
      <c r="J8391" s="3" t="s">
        <v>521</v>
      </c>
      <c r="K8391" s="9">
        <v>41033</v>
      </c>
      <c r="L8391" s="6" t="s">
        <v>36</v>
      </c>
      <c r="M8391" s="3" t="s">
        <v>36</v>
      </c>
      <c r="N8391" s="3" t="s">
        <v>36</v>
      </c>
      <c r="O8391" s="8" t="s">
        <v>36</v>
      </c>
      <c r="P8391" s="3" t="s">
        <v>36</v>
      </c>
      <c r="Q8391" s="3" t="s">
        <v>36</v>
      </c>
      <c r="R8391" s="3" t="s">
        <v>36</v>
      </c>
      <c r="S8391" s="3" t="s">
        <v>36</v>
      </c>
      <c r="T8391" s="3" t="s">
        <v>9494</v>
      </c>
      <c r="U8391" s="3" t="s">
        <v>38</v>
      </c>
      <c r="V8391" s="3" t="s">
        <v>39</v>
      </c>
      <c r="W8391" s="3" t="s">
        <v>27727</v>
      </c>
      <c r="X8391" s="10" t="s">
        <v>36560</v>
      </c>
      <c r="Y8391" s="6" t="s">
        <v>42</v>
      </c>
      <c r="Z8391" s="4">
        <v>0.44</v>
      </c>
      <c r="AA8391" s="4">
        <v>3.2</v>
      </c>
      <c r="AB8391" s="3" t="s">
        <v>56</v>
      </c>
      <c r="AC8391" s="3" t="s">
        <v>27729</v>
      </c>
      <c r="AD8391" s="9">
        <v>41047</v>
      </c>
      <c r="AE8391" s="3" t="s">
        <v>554</v>
      </c>
      <c r="AF8391" s="3" t="s">
        <v>20487</v>
      </c>
      <c r="AG8391" s="3" t="s">
        <v>666</v>
      </c>
      <c r="AH8391" s="11">
        <f>HYPERLINK("https://my.pitchbook.com?c=27395-74T","View Company Online")</f>
      </c>
    </row>
    <row r="8392">
      <c r="A8392" s="12" t="s">
        <v>36561</v>
      </c>
      <c r="B8392" s="12" t="s">
        <v>36562</v>
      </c>
      <c r="C8392" s="19" t="s">
        <v>36</v>
      </c>
      <c r="D8392" s="19" t="s">
        <v>36</v>
      </c>
      <c r="E8392" s="19" t="s">
        <v>36</v>
      </c>
      <c r="F8392" s="19" t="s">
        <v>36</v>
      </c>
      <c r="G8392" s="15" t="s">
        <v>36</v>
      </c>
      <c r="H8392" s="14" t="s">
        <v>36</v>
      </c>
      <c r="I8392" s="18" t="s">
        <v>36</v>
      </c>
      <c r="J8392" s="12" t="s">
        <v>36</v>
      </c>
      <c r="K8392" s="13" t="s">
        <v>36</v>
      </c>
      <c r="L8392" s="15" t="s">
        <v>36</v>
      </c>
      <c r="M8392" s="12" t="s">
        <v>36</v>
      </c>
      <c r="N8392" s="12" t="s">
        <v>36</v>
      </c>
      <c r="O8392" s="17" t="s">
        <v>36</v>
      </c>
      <c r="P8392" s="12" t="s">
        <v>36</v>
      </c>
      <c r="Q8392" s="12" t="s">
        <v>36</v>
      </c>
      <c r="R8392" s="12" t="s">
        <v>36</v>
      </c>
      <c r="S8392" s="12" t="s">
        <v>36</v>
      </c>
      <c r="T8392" s="12" t="s">
        <v>36563</v>
      </c>
      <c r="U8392" s="12" t="s">
        <v>1502</v>
      </c>
      <c r="V8392" s="12" t="s">
        <v>75</v>
      </c>
      <c r="W8392" s="12" t="s">
        <v>36564</v>
      </c>
      <c r="X8392" s="16" t="s">
        <v>36565</v>
      </c>
      <c r="Y8392" s="15" t="s">
        <v>108</v>
      </c>
      <c r="Z8392" s="14" t="s">
        <v>36</v>
      </c>
      <c r="AA8392" s="14" t="s">
        <v>36</v>
      </c>
      <c r="AB8392" s="12" t="s">
        <v>43</v>
      </c>
      <c r="AC8392" s="12" t="s">
        <v>36566</v>
      </c>
      <c r="AD8392" s="13">
        <v>41045</v>
      </c>
      <c r="AE8392" s="12" t="s">
        <v>1506</v>
      </c>
      <c r="AF8392" s="12" t="s">
        <v>36567</v>
      </c>
      <c r="AG8392" s="12" t="s">
        <v>81</v>
      </c>
      <c r="AH8392" s="1">
        <f>HYPERLINK("https://my.pitchbook.com?c=27165-52T","View Company Online")</f>
      </c>
    </row>
    <row r="8393">
      <c r="A8393" s="3" t="s">
        <v>36568</v>
      </c>
      <c r="B8393" s="3" t="s">
        <v>33483</v>
      </c>
      <c r="C8393" s="5" t="s">
        <v>36</v>
      </c>
      <c r="D8393" s="5" t="s">
        <v>36</v>
      </c>
      <c r="E8393" s="5" t="s">
        <v>36</v>
      </c>
      <c r="F8393" s="5" t="s">
        <v>36</v>
      </c>
      <c r="G8393" s="6" t="s">
        <v>36</v>
      </c>
      <c r="H8393" s="4">
        <v>10.39</v>
      </c>
      <c r="I8393" s="7">
        <v>26.22</v>
      </c>
      <c r="J8393" s="3" t="s">
        <v>521</v>
      </c>
      <c r="K8393" s="9" t="s">
        <v>36</v>
      </c>
      <c r="L8393" s="6" t="s">
        <v>36</v>
      </c>
      <c r="M8393" s="3" t="s">
        <v>36</v>
      </c>
      <c r="N8393" s="3" t="s">
        <v>36</v>
      </c>
      <c r="O8393" s="8" t="s">
        <v>36</v>
      </c>
      <c r="P8393" s="3" t="s">
        <v>36</v>
      </c>
      <c r="Q8393" s="3" t="s">
        <v>36</v>
      </c>
      <c r="R8393" s="3" t="s">
        <v>36</v>
      </c>
      <c r="S8393" s="3" t="s">
        <v>6677</v>
      </c>
      <c r="T8393" s="3" t="s">
        <v>25925</v>
      </c>
      <c r="U8393" s="3" t="s">
        <v>85</v>
      </c>
      <c r="V8393" s="3" t="s">
        <v>64</v>
      </c>
      <c r="W8393" s="3" t="s">
        <v>33484</v>
      </c>
      <c r="X8393" s="10" t="s">
        <v>2130</v>
      </c>
      <c r="Y8393" s="6" t="s">
        <v>42</v>
      </c>
      <c r="Z8393" s="4">
        <v>1.96</v>
      </c>
      <c r="AA8393" s="4">
        <v>7.46</v>
      </c>
      <c r="AB8393" s="3" t="s">
        <v>56</v>
      </c>
      <c r="AC8393" s="3" t="s">
        <v>33486</v>
      </c>
      <c r="AD8393" s="9">
        <v>41041</v>
      </c>
      <c r="AE8393" s="3" t="s">
        <v>89</v>
      </c>
      <c r="AF8393" s="3" t="s">
        <v>1507</v>
      </c>
      <c r="AG8393" s="3" t="s">
        <v>17723</v>
      </c>
      <c r="AH8393" s="11">
        <f>HYPERLINK("https://my.pitchbook.com?c=50550-58T","View Company Online")</f>
      </c>
    </row>
    <row r="8394">
      <c r="A8394" s="12" t="s">
        <v>36569</v>
      </c>
      <c r="B8394" s="12" t="s">
        <v>36570</v>
      </c>
      <c r="C8394" s="19">
        <v>1</v>
      </c>
      <c r="D8394" s="19">
        <v>14</v>
      </c>
      <c r="E8394" s="19">
        <v>1</v>
      </c>
      <c r="F8394" s="19">
        <v>15</v>
      </c>
      <c r="G8394" s="15" t="s">
        <v>36</v>
      </c>
      <c r="H8394" s="14" t="s">
        <v>36</v>
      </c>
      <c r="I8394" s="18" t="s">
        <v>36</v>
      </c>
      <c r="J8394" s="12" t="s">
        <v>36</v>
      </c>
      <c r="K8394" s="13" t="s">
        <v>36</v>
      </c>
      <c r="L8394" s="15" t="s">
        <v>36</v>
      </c>
      <c r="M8394" s="12" t="s">
        <v>36</v>
      </c>
      <c r="N8394" s="12" t="s">
        <v>36</v>
      </c>
      <c r="O8394" s="17" t="s">
        <v>36</v>
      </c>
      <c r="P8394" s="12" t="s">
        <v>36</v>
      </c>
      <c r="Q8394" s="12" t="s">
        <v>36</v>
      </c>
      <c r="R8394" s="12" t="s">
        <v>36</v>
      </c>
      <c r="S8394" s="12" t="s">
        <v>36</v>
      </c>
      <c r="T8394" s="12" t="s">
        <v>15345</v>
      </c>
      <c r="U8394" s="12" t="s">
        <v>318</v>
      </c>
      <c r="V8394" s="12" t="s">
        <v>39</v>
      </c>
      <c r="W8394" s="12" t="s">
        <v>36571</v>
      </c>
      <c r="X8394" s="16" t="s">
        <v>35549</v>
      </c>
      <c r="Y8394" s="15" t="s">
        <v>42</v>
      </c>
      <c r="Z8394" s="14">
        <v>2.62</v>
      </c>
      <c r="AA8394" s="14" t="s">
        <v>36</v>
      </c>
      <c r="AB8394" s="12" t="s">
        <v>43</v>
      </c>
      <c r="AC8394" s="12" t="s">
        <v>36572</v>
      </c>
      <c r="AD8394" s="13">
        <v>41040</v>
      </c>
      <c r="AE8394" s="12" t="s">
        <v>763</v>
      </c>
      <c r="AF8394" s="12" t="s">
        <v>571</v>
      </c>
      <c r="AG8394" s="12" t="s">
        <v>652</v>
      </c>
      <c r="AH8394" s="1">
        <f>HYPERLINK("https://my.pitchbook.com?c=26792-47T","View Company Online")</f>
      </c>
    </row>
    <row r="8395">
      <c r="A8395" s="3" t="s">
        <v>36573</v>
      </c>
      <c r="B8395" s="3" t="s">
        <v>36574</v>
      </c>
      <c r="C8395" s="5" t="s">
        <v>36</v>
      </c>
      <c r="D8395" s="5" t="s">
        <v>36</v>
      </c>
      <c r="E8395" s="5" t="s">
        <v>36</v>
      </c>
      <c r="F8395" s="5" t="s">
        <v>36</v>
      </c>
      <c r="G8395" s="6" t="s">
        <v>36</v>
      </c>
      <c r="H8395" s="4" t="s">
        <v>36</v>
      </c>
      <c r="I8395" s="7" t="s">
        <v>36</v>
      </c>
      <c r="J8395" s="3" t="s">
        <v>36</v>
      </c>
      <c r="K8395" s="9" t="s">
        <v>36</v>
      </c>
      <c r="L8395" s="6" t="s">
        <v>36</v>
      </c>
      <c r="M8395" s="3" t="s">
        <v>36</v>
      </c>
      <c r="N8395" s="3" t="s">
        <v>36</v>
      </c>
      <c r="O8395" s="8" t="s">
        <v>36</v>
      </c>
      <c r="P8395" s="3" t="s">
        <v>36</v>
      </c>
      <c r="Q8395" s="3" t="s">
        <v>36</v>
      </c>
      <c r="R8395" s="3" t="s">
        <v>36</v>
      </c>
      <c r="S8395" s="3" t="s">
        <v>36</v>
      </c>
      <c r="T8395" s="3" t="s">
        <v>3226</v>
      </c>
      <c r="U8395" s="3" t="s">
        <v>38</v>
      </c>
      <c r="V8395" s="3" t="s">
        <v>39</v>
      </c>
      <c r="W8395" s="3" t="s">
        <v>36575</v>
      </c>
      <c r="X8395" s="10" t="s">
        <v>36576</v>
      </c>
      <c r="Y8395" s="6" t="s">
        <v>42</v>
      </c>
      <c r="Z8395" s="4">
        <v>3.94</v>
      </c>
      <c r="AA8395" s="4" t="s">
        <v>36</v>
      </c>
      <c r="AB8395" s="3" t="s">
        <v>43</v>
      </c>
      <c r="AC8395" s="3" t="s">
        <v>36577</v>
      </c>
      <c r="AD8395" s="9">
        <v>41039</v>
      </c>
      <c r="AE8395" s="3" t="s">
        <v>110</v>
      </c>
      <c r="AF8395" s="3" t="s">
        <v>4668</v>
      </c>
      <c r="AG8395" s="3" t="s">
        <v>144</v>
      </c>
      <c r="AH8395" s="11">
        <f>HYPERLINK("https://my.pitchbook.com?c=25326-28T","View Company Online")</f>
      </c>
    </row>
    <row r="8396">
      <c r="A8396" s="12" t="s">
        <v>36578</v>
      </c>
      <c r="B8396" s="12" t="s">
        <v>23896</v>
      </c>
      <c r="C8396" s="19" t="s">
        <v>36</v>
      </c>
      <c r="D8396" s="19">
        <v>18</v>
      </c>
      <c r="E8396" s="19">
        <v>2</v>
      </c>
      <c r="F8396" s="19">
        <v>18</v>
      </c>
      <c r="G8396" s="15" t="s">
        <v>36</v>
      </c>
      <c r="H8396" s="14">
        <v>41.54</v>
      </c>
      <c r="I8396" s="18">
        <v>27.27</v>
      </c>
      <c r="J8396" s="12" t="s">
        <v>521</v>
      </c>
      <c r="K8396" s="13" t="s">
        <v>36</v>
      </c>
      <c r="L8396" s="15" t="s">
        <v>36</v>
      </c>
      <c r="M8396" s="12" t="s">
        <v>36</v>
      </c>
      <c r="N8396" s="12" t="s">
        <v>36</v>
      </c>
      <c r="O8396" s="17" t="s">
        <v>36</v>
      </c>
      <c r="P8396" s="12" t="s">
        <v>36</v>
      </c>
      <c r="Q8396" s="12" t="s">
        <v>36</v>
      </c>
      <c r="R8396" s="12" t="s">
        <v>36</v>
      </c>
      <c r="S8396" s="12" t="s">
        <v>36</v>
      </c>
      <c r="T8396" s="12" t="s">
        <v>751</v>
      </c>
      <c r="U8396" s="12" t="s">
        <v>96</v>
      </c>
      <c r="V8396" s="12" t="s">
        <v>52</v>
      </c>
      <c r="W8396" s="12" t="s">
        <v>23897</v>
      </c>
      <c r="X8396" s="16" t="s">
        <v>730</v>
      </c>
      <c r="Y8396" s="15" t="s">
        <v>42</v>
      </c>
      <c r="Z8396" s="14">
        <v>0.39</v>
      </c>
      <c r="AA8396" s="14">
        <v>1.44</v>
      </c>
      <c r="AB8396" s="12" t="s">
        <v>43</v>
      </c>
      <c r="AC8396" s="12" t="s">
        <v>23898</v>
      </c>
      <c r="AD8396" s="13">
        <v>41038</v>
      </c>
      <c r="AE8396" s="12" t="s">
        <v>755</v>
      </c>
      <c r="AF8396" s="12" t="s">
        <v>101</v>
      </c>
      <c r="AG8396" s="12" t="s">
        <v>1078</v>
      </c>
      <c r="AH8396" s="1">
        <f>HYPERLINK("https://my.pitchbook.com?c=171413-29T","View Company Online")</f>
      </c>
    </row>
    <row r="8397">
      <c r="A8397" s="3" t="s">
        <v>36579</v>
      </c>
      <c r="B8397" s="3" t="s">
        <v>30642</v>
      </c>
      <c r="C8397" s="5" t="s">
        <v>36</v>
      </c>
      <c r="D8397" s="5">
        <v>3</v>
      </c>
      <c r="E8397" s="5">
        <v>2</v>
      </c>
      <c r="F8397" s="5">
        <v>8</v>
      </c>
      <c r="G8397" s="6" t="s">
        <v>36</v>
      </c>
      <c r="H8397" s="4">
        <v>1.38</v>
      </c>
      <c r="I8397" s="7">
        <v>29.21</v>
      </c>
      <c r="J8397" s="3" t="s">
        <v>521</v>
      </c>
      <c r="K8397" s="9" t="s">
        <v>36</v>
      </c>
      <c r="L8397" s="6" t="s">
        <v>36</v>
      </c>
      <c r="M8397" s="3" t="s">
        <v>36</v>
      </c>
      <c r="N8397" s="3" t="s">
        <v>36</v>
      </c>
      <c r="O8397" s="8" t="s">
        <v>36</v>
      </c>
      <c r="P8397" s="3" t="s">
        <v>36</v>
      </c>
      <c r="Q8397" s="3" t="s">
        <v>36</v>
      </c>
      <c r="R8397" s="3" t="s">
        <v>36</v>
      </c>
      <c r="S8397" s="3" t="s">
        <v>36</v>
      </c>
      <c r="T8397" s="3" t="s">
        <v>105</v>
      </c>
      <c r="U8397" s="3" t="s">
        <v>38</v>
      </c>
      <c r="V8397" s="3" t="s">
        <v>39</v>
      </c>
      <c r="W8397" s="3" t="s">
        <v>30643</v>
      </c>
      <c r="X8397" s="10" t="s">
        <v>33231</v>
      </c>
      <c r="Y8397" s="6" t="s">
        <v>42</v>
      </c>
      <c r="Z8397" s="4">
        <v>0.27</v>
      </c>
      <c r="AA8397" s="4">
        <v>0.94</v>
      </c>
      <c r="AB8397" s="3" t="s">
        <v>43</v>
      </c>
      <c r="AC8397" s="3" t="s">
        <v>30645</v>
      </c>
      <c r="AD8397" s="9">
        <v>41038</v>
      </c>
      <c r="AE8397" s="3" t="s">
        <v>110</v>
      </c>
      <c r="AF8397" s="3" t="s">
        <v>30156</v>
      </c>
      <c r="AG8397" s="3" t="s">
        <v>81</v>
      </c>
      <c r="AH8397" s="11">
        <f>HYPERLINK("https://my.pitchbook.com?c=30271-96T","View Company Online")</f>
      </c>
    </row>
    <row r="8398">
      <c r="A8398" s="12" t="s">
        <v>36580</v>
      </c>
      <c r="B8398" s="12" t="s">
        <v>33402</v>
      </c>
      <c r="C8398" s="19" t="s">
        <v>36</v>
      </c>
      <c r="D8398" s="19" t="s">
        <v>36</v>
      </c>
      <c r="E8398" s="19" t="s">
        <v>36</v>
      </c>
      <c r="F8398" s="19" t="s">
        <v>36</v>
      </c>
      <c r="G8398" s="15" t="s">
        <v>36</v>
      </c>
      <c r="H8398" s="14" t="s">
        <v>36</v>
      </c>
      <c r="I8398" s="18" t="s">
        <v>36</v>
      </c>
      <c r="J8398" s="12" t="s">
        <v>36</v>
      </c>
      <c r="K8398" s="13" t="s">
        <v>36</v>
      </c>
      <c r="L8398" s="15" t="s">
        <v>36</v>
      </c>
      <c r="M8398" s="12" t="s">
        <v>36</v>
      </c>
      <c r="N8398" s="12" t="s">
        <v>36</v>
      </c>
      <c r="O8398" s="17" t="s">
        <v>36</v>
      </c>
      <c r="P8398" s="12" t="s">
        <v>36</v>
      </c>
      <c r="Q8398" s="12" t="s">
        <v>36</v>
      </c>
      <c r="R8398" s="12" t="s">
        <v>36</v>
      </c>
      <c r="S8398" s="12" t="s">
        <v>36</v>
      </c>
      <c r="T8398" s="12" t="s">
        <v>33403</v>
      </c>
      <c r="U8398" s="12" t="s">
        <v>289</v>
      </c>
      <c r="V8398" s="12" t="s">
        <v>64</v>
      </c>
      <c r="W8398" s="12" t="s">
        <v>33404</v>
      </c>
      <c r="X8398" s="16" t="s">
        <v>36581</v>
      </c>
      <c r="Y8398" s="15" t="s">
        <v>42</v>
      </c>
      <c r="Z8398" s="14">
        <v>1.64</v>
      </c>
      <c r="AA8398" s="14" t="s">
        <v>36</v>
      </c>
      <c r="AB8398" s="12" t="s">
        <v>43</v>
      </c>
      <c r="AC8398" s="12" t="s">
        <v>33406</v>
      </c>
      <c r="AD8398" s="13">
        <v>41032</v>
      </c>
      <c r="AE8398" s="12" t="s">
        <v>3134</v>
      </c>
      <c r="AF8398" s="12" t="s">
        <v>9216</v>
      </c>
      <c r="AG8398" s="12" t="s">
        <v>9648</v>
      </c>
      <c r="AH8398" s="1">
        <f>HYPERLINK("https://my.pitchbook.com?c=31094-83T","View Company Online")</f>
      </c>
    </row>
    <row r="8399">
      <c r="A8399" s="3" t="s">
        <v>36582</v>
      </c>
      <c r="B8399" s="3" t="s">
        <v>34761</v>
      </c>
      <c r="C8399" s="5">
        <v>19</v>
      </c>
      <c r="D8399" s="5">
        <v>166</v>
      </c>
      <c r="E8399" s="5">
        <v>44</v>
      </c>
      <c r="F8399" s="5">
        <v>296</v>
      </c>
      <c r="G8399" s="6" t="s">
        <v>36</v>
      </c>
      <c r="H8399" s="4" t="s">
        <v>36</v>
      </c>
      <c r="I8399" s="7" t="s">
        <v>36</v>
      </c>
      <c r="J8399" s="3" t="s">
        <v>36</v>
      </c>
      <c r="K8399" s="9">
        <v>41026</v>
      </c>
      <c r="L8399" s="6" t="s">
        <v>122</v>
      </c>
      <c r="M8399" s="3" t="s">
        <v>36</v>
      </c>
      <c r="N8399" s="3" t="s">
        <v>122</v>
      </c>
      <c r="O8399" s="8" t="s">
        <v>36</v>
      </c>
      <c r="P8399" s="3" t="s">
        <v>36</v>
      </c>
      <c r="Q8399" s="3" t="s">
        <v>36</v>
      </c>
      <c r="R8399" s="3" t="s">
        <v>36</v>
      </c>
      <c r="S8399" s="3" t="s">
        <v>36</v>
      </c>
      <c r="T8399" s="3" t="s">
        <v>6904</v>
      </c>
      <c r="U8399" s="3" t="s">
        <v>96</v>
      </c>
      <c r="V8399" s="3" t="s">
        <v>52</v>
      </c>
      <c r="W8399" s="3" t="s">
        <v>34762</v>
      </c>
      <c r="X8399" s="10" t="s">
        <v>36583</v>
      </c>
      <c r="Y8399" s="6" t="s">
        <v>42</v>
      </c>
      <c r="Z8399" s="4">
        <v>12.49</v>
      </c>
      <c r="AA8399" s="4" t="s">
        <v>36</v>
      </c>
      <c r="AB8399" s="3" t="s">
        <v>43</v>
      </c>
      <c r="AC8399" s="3" t="s">
        <v>34764</v>
      </c>
      <c r="AD8399" s="9">
        <v>41032</v>
      </c>
      <c r="AE8399" s="3" t="s">
        <v>143</v>
      </c>
      <c r="AF8399" s="3" t="s">
        <v>885</v>
      </c>
      <c r="AG8399" s="3" t="s">
        <v>81</v>
      </c>
      <c r="AH8399" s="11">
        <f>HYPERLINK("https://my.pitchbook.com?c=26504-92T","View Company Online")</f>
      </c>
    </row>
    <row r="8400">
      <c r="A8400" s="12" t="s">
        <v>36584</v>
      </c>
      <c r="B8400" s="12" t="s">
        <v>36585</v>
      </c>
      <c r="C8400" s="19" t="s">
        <v>36</v>
      </c>
      <c r="D8400" s="19" t="s">
        <v>36</v>
      </c>
      <c r="E8400" s="19" t="s">
        <v>36</v>
      </c>
      <c r="F8400" s="19" t="s">
        <v>36</v>
      </c>
      <c r="G8400" s="15" t="s">
        <v>36</v>
      </c>
      <c r="H8400" s="14" t="s">
        <v>36</v>
      </c>
      <c r="I8400" s="18" t="s">
        <v>36</v>
      </c>
      <c r="J8400" s="12" t="s">
        <v>36</v>
      </c>
      <c r="K8400" s="13" t="s">
        <v>36</v>
      </c>
      <c r="L8400" s="15" t="s">
        <v>36</v>
      </c>
      <c r="M8400" s="12" t="s">
        <v>36</v>
      </c>
      <c r="N8400" s="12" t="s">
        <v>36</v>
      </c>
      <c r="O8400" s="17" t="s">
        <v>36</v>
      </c>
      <c r="P8400" s="12" t="s">
        <v>36</v>
      </c>
      <c r="Q8400" s="12" t="s">
        <v>36</v>
      </c>
      <c r="R8400" s="12" t="s">
        <v>36</v>
      </c>
      <c r="S8400" s="12" t="s">
        <v>36</v>
      </c>
      <c r="T8400" s="12" t="s">
        <v>26757</v>
      </c>
      <c r="U8400" s="12" t="s">
        <v>233</v>
      </c>
      <c r="V8400" s="12" t="s">
        <v>39</v>
      </c>
      <c r="W8400" s="12" t="s">
        <v>36586</v>
      </c>
      <c r="X8400" s="16" t="s">
        <v>2485</v>
      </c>
      <c r="Y8400" s="15" t="s">
        <v>42</v>
      </c>
      <c r="Z8400" s="14">
        <v>0.92</v>
      </c>
      <c r="AA8400" s="14" t="s">
        <v>36</v>
      </c>
      <c r="AB8400" s="12" t="s">
        <v>43</v>
      </c>
      <c r="AC8400" s="12" t="s">
        <v>36587</v>
      </c>
      <c r="AD8400" s="13">
        <v>41031</v>
      </c>
      <c r="AE8400" s="12" t="s">
        <v>236</v>
      </c>
      <c r="AF8400" s="12" t="s">
        <v>36588</v>
      </c>
      <c r="AG8400" s="12" t="s">
        <v>81</v>
      </c>
      <c r="AH8400" s="1">
        <f>HYPERLINK("https://my.pitchbook.com?c=35314-93T","View Company Online")</f>
      </c>
    </row>
    <row r="8401">
      <c r="A8401" s="3" t="s">
        <v>36589</v>
      </c>
      <c r="B8401" s="3" t="s">
        <v>36590</v>
      </c>
      <c r="C8401" s="5" t="s">
        <v>36</v>
      </c>
      <c r="D8401" s="5" t="s">
        <v>36</v>
      </c>
      <c r="E8401" s="5" t="s">
        <v>36</v>
      </c>
      <c r="F8401" s="5" t="s">
        <v>36</v>
      </c>
      <c r="G8401" s="6" t="s">
        <v>36</v>
      </c>
      <c r="H8401" s="4" t="s">
        <v>36</v>
      </c>
      <c r="I8401" s="7" t="s">
        <v>36</v>
      </c>
      <c r="J8401" s="3" t="s">
        <v>521</v>
      </c>
      <c r="K8401" s="9" t="s">
        <v>36</v>
      </c>
      <c r="L8401" s="6" t="s">
        <v>36</v>
      </c>
      <c r="M8401" s="3" t="s">
        <v>36</v>
      </c>
      <c r="N8401" s="3" t="s">
        <v>36</v>
      </c>
      <c r="O8401" s="8" t="s">
        <v>36</v>
      </c>
      <c r="P8401" s="3" t="s">
        <v>36</v>
      </c>
      <c r="Q8401" s="3" t="s">
        <v>36</v>
      </c>
      <c r="R8401" s="3" t="s">
        <v>36</v>
      </c>
      <c r="S8401" s="3" t="s">
        <v>36</v>
      </c>
      <c r="T8401" s="3" t="s">
        <v>7582</v>
      </c>
      <c r="U8401" s="3" t="s">
        <v>63</v>
      </c>
      <c r="V8401" s="3" t="s">
        <v>64</v>
      </c>
      <c r="W8401" s="3" t="s">
        <v>36591</v>
      </c>
      <c r="X8401" s="10" t="s">
        <v>36592</v>
      </c>
      <c r="Y8401" s="6" t="s">
        <v>55</v>
      </c>
      <c r="Z8401" s="4">
        <v>10.52</v>
      </c>
      <c r="AA8401" s="4">
        <v>65.78</v>
      </c>
      <c r="AB8401" s="3" t="s">
        <v>56</v>
      </c>
      <c r="AC8401" s="3" t="s">
        <v>36593</v>
      </c>
      <c r="AD8401" s="9">
        <v>41031</v>
      </c>
      <c r="AE8401" s="3" t="s">
        <v>68</v>
      </c>
      <c r="AF8401" s="3" t="s">
        <v>6488</v>
      </c>
      <c r="AG8401" s="3" t="s">
        <v>81</v>
      </c>
      <c r="AH8401" s="11">
        <f>HYPERLINK("https://my.pitchbook.com?c=24483-34T","View Company Online")</f>
      </c>
    </row>
    <row r="8402">
      <c r="A8402" s="12" t="s">
        <v>36594</v>
      </c>
      <c r="B8402" s="12" t="s">
        <v>36595</v>
      </c>
      <c r="C8402" s="19" t="s">
        <v>36</v>
      </c>
      <c r="D8402" s="19" t="s">
        <v>36</v>
      </c>
      <c r="E8402" s="19" t="s">
        <v>36</v>
      </c>
      <c r="F8402" s="19" t="s">
        <v>36</v>
      </c>
      <c r="G8402" s="15" t="s">
        <v>36</v>
      </c>
      <c r="H8402" s="14">
        <v>162.02</v>
      </c>
      <c r="I8402" s="18">
        <v>29.94</v>
      </c>
      <c r="J8402" s="12" t="s">
        <v>521</v>
      </c>
      <c r="K8402" s="13" t="s">
        <v>36</v>
      </c>
      <c r="L8402" s="15" t="s">
        <v>36</v>
      </c>
      <c r="M8402" s="12" t="s">
        <v>36</v>
      </c>
      <c r="N8402" s="12" t="s">
        <v>36</v>
      </c>
      <c r="O8402" s="17" t="s">
        <v>36</v>
      </c>
      <c r="P8402" s="12" t="s">
        <v>36</v>
      </c>
      <c r="Q8402" s="12" t="s">
        <v>36</v>
      </c>
      <c r="R8402" s="12" t="s">
        <v>36</v>
      </c>
      <c r="S8402" s="12" t="s">
        <v>36</v>
      </c>
      <c r="T8402" s="12" t="s">
        <v>3850</v>
      </c>
      <c r="U8402" s="12" t="s">
        <v>1580</v>
      </c>
      <c r="V8402" s="12" t="s">
        <v>39</v>
      </c>
      <c r="W8402" s="12" t="s">
        <v>36596</v>
      </c>
      <c r="X8402" s="16" t="s">
        <v>2485</v>
      </c>
      <c r="Y8402" s="15" t="s">
        <v>42</v>
      </c>
      <c r="Z8402" s="14">
        <v>0.92</v>
      </c>
      <c r="AA8402" s="14">
        <v>3.08</v>
      </c>
      <c r="AB8402" s="12" t="s">
        <v>43</v>
      </c>
      <c r="AC8402" s="12" t="s">
        <v>36597</v>
      </c>
      <c r="AD8402" s="13">
        <v>41026</v>
      </c>
      <c r="AE8402" s="12" t="s">
        <v>3854</v>
      </c>
      <c r="AF8402" s="12" t="s">
        <v>36598</v>
      </c>
      <c r="AG8402" s="12" t="s">
        <v>4328</v>
      </c>
      <c r="AH8402" s="1">
        <f>HYPERLINK("https://my.pitchbook.com?c=35143-30T","View Company Online")</f>
      </c>
    </row>
    <row r="8403">
      <c r="A8403" s="3" t="s">
        <v>36599</v>
      </c>
      <c r="B8403" s="3" t="s">
        <v>36600</v>
      </c>
      <c r="C8403" s="5" t="s">
        <v>36</v>
      </c>
      <c r="D8403" s="5" t="s">
        <v>36</v>
      </c>
      <c r="E8403" s="5" t="s">
        <v>36</v>
      </c>
      <c r="F8403" s="5" t="s">
        <v>36</v>
      </c>
      <c r="G8403" s="6" t="s">
        <v>36</v>
      </c>
      <c r="H8403" s="4" t="s">
        <v>36</v>
      </c>
      <c r="I8403" s="7" t="s">
        <v>36</v>
      </c>
      <c r="J8403" s="3" t="s">
        <v>36</v>
      </c>
      <c r="K8403" s="9" t="s">
        <v>36</v>
      </c>
      <c r="L8403" s="6" t="s">
        <v>36</v>
      </c>
      <c r="M8403" s="3" t="s">
        <v>36</v>
      </c>
      <c r="N8403" s="3" t="s">
        <v>36</v>
      </c>
      <c r="O8403" s="8" t="s">
        <v>36</v>
      </c>
      <c r="P8403" s="3" t="s">
        <v>36</v>
      </c>
      <c r="Q8403" s="3" t="s">
        <v>36</v>
      </c>
      <c r="R8403" s="3" t="s">
        <v>36</v>
      </c>
      <c r="S8403" s="3" t="s">
        <v>36</v>
      </c>
      <c r="T8403" s="3" t="s">
        <v>18811</v>
      </c>
      <c r="U8403" s="3" t="s">
        <v>233</v>
      </c>
      <c r="V8403" s="3" t="s">
        <v>39</v>
      </c>
      <c r="W8403" s="3" t="s">
        <v>36601</v>
      </c>
      <c r="X8403" s="10" t="s">
        <v>36431</v>
      </c>
      <c r="Y8403" s="6" t="s">
        <v>42</v>
      </c>
      <c r="Z8403" s="4">
        <v>0.4</v>
      </c>
      <c r="AA8403" s="4" t="s">
        <v>36</v>
      </c>
      <c r="AB8403" s="3" t="s">
        <v>56</v>
      </c>
      <c r="AC8403" s="3" t="s">
        <v>36602</v>
      </c>
      <c r="AD8403" s="9">
        <v>41025</v>
      </c>
      <c r="AE8403" s="3" t="s">
        <v>236</v>
      </c>
      <c r="AF8403" s="3" t="s">
        <v>34113</v>
      </c>
      <c r="AG8403" s="3" t="s">
        <v>81</v>
      </c>
      <c r="AH8403" s="11">
        <f>HYPERLINK("https://my.pitchbook.com?c=25345-54T","View Company Online")</f>
      </c>
    </row>
    <row r="8404">
      <c r="A8404" s="12" t="s">
        <v>36603</v>
      </c>
      <c r="B8404" s="12" t="s">
        <v>32523</v>
      </c>
      <c r="C8404" s="19">
        <v>10</v>
      </c>
      <c r="D8404" s="19">
        <v>22</v>
      </c>
      <c r="E8404" s="19">
        <v>10</v>
      </c>
      <c r="F8404" s="19">
        <v>40</v>
      </c>
      <c r="G8404" s="15" t="s">
        <v>36</v>
      </c>
      <c r="H8404" s="14">
        <v>24.93</v>
      </c>
      <c r="I8404" s="18">
        <v>54.45</v>
      </c>
      <c r="J8404" s="12" t="s">
        <v>521</v>
      </c>
      <c r="K8404" s="13" t="s">
        <v>36</v>
      </c>
      <c r="L8404" s="15" t="s">
        <v>36</v>
      </c>
      <c r="M8404" s="12" t="s">
        <v>36</v>
      </c>
      <c r="N8404" s="12" t="s">
        <v>36</v>
      </c>
      <c r="O8404" s="17" t="s">
        <v>36</v>
      </c>
      <c r="P8404" s="12" t="s">
        <v>36</v>
      </c>
      <c r="Q8404" s="12" t="s">
        <v>36</v>
      </c>
      <c r="R8404" s="12" t="s">
        <v>36</v>
      </c>
      <c r="S8404" s="12" t="s">
        <v>36</v>
      </c>
      <c r="T8404" s="12" t="s">
        <v>9893</v>
      </c>
      <c r="U8404" s="12" t="s">
        <v>51</v>
      </c>
      <c r="V8404" s="12" t="s">
        <v>52</v>
      </c>
      <c r="W8404" s="12" t="s">
        <v>32524</v>
      </c>
      <c r="X8404" s="16" t="s">
        <v>36604</v>
      </c>
      <c r="Y8404" s="15" t="s">
        <v>42</v>
      </c>
      <c r="Z8404" s="14">
        <v>1.13</v>
      </c>
      <c r="AA8404" s="14">
        <v>2.08</v>
      </c>
      <c r="AB8404" s="12" t="s">
        <v>43</v>
      </c>
      <c r="AC8404" s="12" t="s">
        <v>32526</v>
      </c>
      <c r="AD8404" s="13">
        <v>41025</v>
      </c>
      <c r="AE8404" s="12" t="s">
        <v>158</v>
      </c>
      <c r="AF8404" s="12" t="s">
        <v>36</v>
      </c>
      <c r="AG8404" s="12" t="s">
        <v>652</v>
      </c>
      <c r="AH8404" s="1">
        <f>HYPERLINK("https://my.pitchbook.com?c=25354-54T","View Company Online")</f>
      </c>
    </row>
    <row r="8405">
      <c r="A8405" s="3" t="s">
        <v>36605</v>
      </c>
      <c r="B8405" s="3" t="s">
        <v>36606</v>
      </c>
      <c r="C8405" s="5" t="s">
        <v>36</v>
      </c>
      <c r="D8405" s="5" t="s">
        <v>36</v>
      </c>
      <c r="E8405" s="5" t="s">
        <v>36</v>
      </c>
      <c r="F8405" s="5" t="s">
        <v>36</v>
      </c>
      <c r="G8405" s="6" t="s">
        <v>36</v>
      </c>
      <c r="H8405" s="4" t="s">
        <v>36</v>
      </c>
      <c r="I8405" s="7" t="s">
        <v>36</v>
      </c>
      <c r="J8405" s="3" t="s">
        <v>36</v>
      </c>
      <c r="K8405" s="9">
        <v>40634</v>
      </c>
      <c r="L8405" s="6" t="s">
        <v>36</v>
      </c>
      <c r="M8405" s="3" t="s">
        <v>36</v>
      </c>
      <c r="N8405" s="3" t="s">
        <v>36</v>
      </c>
      <c r="O8405" s="8" t="s">
        <v>36</v>
      </c>
      <c r="P8405" s="3" t="s">
        <v>36</v>
      </c>
      <c r="Q8405" s="3" t="s">
        <v>36</v>
      </c>
      <c r="R8405" s="3" t="s">
        <v>36</v>
      </c>
      <c r="S8405" s="3" t="s">
        <v>36</v>
      </c>
      <c r="T8405" s="3" t="s">
        <v>36607</v>
      </c>
      <c r="U8405" s="3" t="s">
        <v>289</v>
      </c>
      <c r="V8405" s="3" t="s">
        <v>64</v>
      </c>
      <c r="W8405" s="3" t="s">
        <v>36608</v>
      </c>
      <c r="X8405" s="10" t="s">
        <v>36609</v>
      </c>
      <c r="Y8405" s="6" t="s">
        <v>42</v>
      </c>
      <c r="Z8405" s="4">
        <v>0.66</v>
      </c>
      <c r="AA8405" s="4" t="s">
        <v>36</v>
      </c>
      <c r="AB8405" s="3" t="s">
        <v>43</v>
      </c>
      <c r="AC8405" s="3" t="s">
        <v>36610</v>
      </c>
      <c r="AD8405" s="9">
        <v>41024</v>
      </c>
      <c r="AE8405" s="3" t="s">
        <v>3134</v>
      </c>
      <c r="AF8405" s="3" t="s">
        <v>2118</v>
      </c>
      <c r="AG8405" s="3" t="s">
        <v>47</v>
      </c>
      <c r="AH8405" s="11">
        <f>HYPERLINK("https://my.pitchbook.com?c=25668-28T","View Company Online")</f>
      </c>
    </row>
    <row r="8406">
      <c r="A8406" s="12" t="s">
        <v>36611</v>
      </c>
      <c r="B8406" s="12" t="s">
        <v>35361</v>
      </c>
      <c r="C8406" s="19" t="s">
        <v>36</v>
      </c>
      <c r="D8406" s="19" t="s">
        <v>36</v>
      </c>
      <c r="E8406" s="19" t="s">
        <v>36</v>
      </c>
      <c r="F8406" s="19" t="s">
        <v>36</v>
      </c>
      <c r="G8406" s="15" t="s">
        <v>36</v>
      </c>
      <c r="H8406" s="14" t="s">
        <v>36</v>
      </c>
      <c r="I8406" s="18" t="s">
        <v>36</v>
      </c>
      <c r="J8406" s="12" t="s">
        <v>36</v>
      </c>
      <c r="K8406" s="13">
        <v>40969</v>
      </c>
      <c r="L8406" s="15" t="s">
        <v>36</v>
      </c>
      <c r="M8406" s="12" t="s">
        <v>36</v>
      </c>
      <c r="N8406" s="12" t="s">
        <v>36</v>
      </c>
      <c r="O8406" s="17" t="s">
        <v>36</v>
      </c>
      <c r="P8406" s="12" t="s">
        <v>36</v>
      </c>
      <c r="Q8406" s="12" t="s">
        <v>36</v>
      </c>
      <c r="R8406" s="12" t="s">
        <v>36</v>
      </c>
      <c r="S8406" s="12" t="s">
        <v>36</v>
      </c>
      <c r="T8406" s="12" t="s">
        <v>35362</v>
      </c>
      <c r="U8406" s="12" t="s">
        <v>38</v>
      </c>
      <c r="V8406" s="12" t="s">
        <v>39</v>
      </c>
      <c r="W8406" s="12" t="s">
        <v>35363</v>
      </c>
      <c r="X8406" s="16" t="s">
        <v>35364</v>
      </c>
      <c r="Y8406" s="15" t="s">
        <v>42</v>
      </c>
      <c r="Z8406" s="14">
        <v>0.59</v>
      </c>
      <c r="AA8406" s="14" t="s">
        <v>36</v>
      </c>
      <c r="AB8406" s="12" t="s">
        <v>43</v>
      </c>
      <c r="AC8406" s="12" t="s">
        <v>35365</v>
      </c>
      <c r="AD8406" s="13">
        <v>41022</v>
      </c>
      <c r="AE8406" s="12" t="s">
        <v>688</v>
      </c>
      <c r="AF8406" s="12" t="s">
        <v>2118</v>
      </c>
      <c r="AG8406" s="12" t="s">
        <v>6013</v>
      </c>
      <c r="AH8406" s="1">
        <f>HYPERLINK("https://my.pitchbook.com?c=28029-79T","View Company Online")</f>
      </c>
    </row>
    <row r="8407">
      <c r="A8407" s="3" t="s">
        <v>36612</v>
      </c>
      <c r="B8407" s="3" t="s">
        <v>36613</v>
      </c>
      <c r="C8407" s="5" t="s">
        <v>36</v>
      </c>
      <c r="D8407" s="5">
        <v>4</v>
      </c>
      <c r="E8407" s="5">
        <v>1</v>
      </c>
      <c r="F8407" s="5">
        <v>4</v>
      </c>
      <c r="G8407" s="6" t="s">
        <v>36</v>
      </c>
      <c r="H8407" s="4">
        <v>51.93</v>
      </c>
      <c r="I8407" s="7">
        <v>27.51</v>
      </c>
      <c r="J8407" s="3" t="s">
        <v>521</v>
      </c>
      <c r="K8407" s="9" t="s">
        <v>36</v>
      </c>
      <c r="L8407" s="6" t="s">
        <v>36</v>
      </c>
      <c r="M8407" s="3" t="s">
        <v>36</v>
      </c>
      <c r="N8407" s="3" t="s">
        <v>36</v>
      </c>
      <c r="O8407" s="8" t="s">
        <v>36</v>
      </c>
      <c r="P8407" s="3" t="s">
        <v>36</v>
      </c>
      <c r="Q8407" s="3" t="s">
        <v>36</v>
      </c>
      <c r="R8407" s="3" t="s">
        <v>36</v>
      </c>
      <c r="S8407" s="3" t="s">
        <v>36</v>
      </c>
      <c r="T8407" s="3" t="s">
        <v>1838</v>
      </c>
      <c r="U8407" s="3" t="s">
        <v>38</v>
      </c>
      <c r="V8407" s="3" t="s">
        <v>39</v>
      </c>
      <c r="W8407" s="3" t="s">
        <v>36614</v>
      </c>
      <c r="X8407" s="10" t="s">
        <v>36615</v>
      </c>
      <c r="Y8407" s="6" t="s">
        <v>42</v>
      </c>
      <c r="Z8407" s="4">
        <v>0.78</v>
      </c>
      <c r="AA8407" s="4">
        <v>2.83</v>
      </c>
      <c r="AB8407" s="3" t="s">
        <v>43</v>
      </c>
      <c r="AC8407" s="3" t="s">
        <v>36616</v>
      </c>
      <c r="AD8407" s="9">
        <v>41020</v>
      </c>
      <c r="AE8407" s="3" t="s">
        <v>110</v>
      </c>
      <c r="AF8407" s="3" t="s">
        <v>815</v>
      </c>
      <c r="AG8407" s="3" t="s">
        <v>81</v>
      </c>
      <c r="AH8407" s="11">
        <f>HYPERLINK("https://my.pitchbook.com?c=50568-31T","View Company Online")</f>
      </c>
    </row>
    <row r="8408">
      <c r="A8408" s="12" t="s">
        <v>36617</v>
      </c>
      <c r="B8408" s="12" t="s">
        <v>36618</v>
      </c>
      <c r="C8408" s="19" t="s">
        <v>36</v>
      </c>
      <c r="D8408" s="19" t="s">
        <v>36</v>
      </c>
      <c r="E8408" s="19" t="s">
        <v>36</v>
      </c>
      <c r="F8408" s="19" t="s">
        <v>36</v>
      </c>
      <c r="G8408" s="15" t="s">
        <v>36</v>
      </c>
      <c r="H8408" s="14" t="s">
        <v>36</v>
      </c>
      <c r="I8408" s="18" t="s">
        <v>36</v>
      </c>
      <c r="J8408" s="12" t="s">
        <v>36</v>
      </c>
      <c r="K8408" s="13" t="s">
        <v>36</v>
      </c>
      <c r="L8408" s="15" t="s">
        <v>1279</v>
      </c>
      <c r="M8408" s="12" t="s">
        <v>36</v>
      </c>
      <c r="N8408" s="12" t="s">
        <v>1279</v>
      </c>
      <c r="O8408" s="17" t="s">
        <v>36</v>
      </c>
      <c r="P8408" s="12" t="s">
        <v>36</v>
      </c>
      <c r="Q8408" s="12" t="s">
        <v>36</v>
      </c>
      <c r="R8408" s="12" t="s">
        <v>36</v>
      </c>
      <c r="S8408" s="12" t="s">
        <v>36</v>
      </c>
      <c r="T8408" s="12" t="s">
        <v>1397</v>
      </c>
      <c r="U8408" s="12" t="s">
        <v>38</v>
      </c>
      <c r="V8408" s="12" t="s">
        <v>39</v>
      </c>
      <c r="W8408" s="12" t="s">
        <v>36619</v>
      </c>
      <c r="X8408" s="16" t="s">
        <v>36620</v>
      </c>
      <c r="Y8408" s="15" t="s">
        <v>192</v>
      </c>
      <c r="Z8408" s="14">
        <v>9.24</v>
      </c>
      <c r="AA8408" s="14" t="s">
        <v>36</v>
      </c>
      <c r="AB8408" s="12" t="s">
        <v>56</v>
      </c>
      <c r="AC8408" s="12" t="s">
        <v>36621</v>
      </c>
      <c r="AD8408" s="13">
        <v>41018</v>
      </c>
      <c r="AE8408" s="12" t="s">
        <v>110</v>
      </c>
      <c r="AF8408" s="12" t="s">
        <v>6347</v>
      </c>
      <c r="AG8408" s="12" t="s">
        <v>81</v>
      </c>
      <c r="AH8408" s="1">
        <f>HYPERLINK("https://my.pitchbook.com?c=25222-42T","View Company Online")</f>
      </c>
    </row>
    <row r="8409">
      <c r="A8409" s="3" t="s">
        <v>36622</v>
      </c>
      <c r="B8409" s="3" t="s">
        <v>36623</v>
      </c>
      <c r="C8409" s="5">
        <v>3</v>
      </c>
      <c r="D8409" s="5">
        <v>8</v>
      </c>
      <c r="E8409" s="5">
        <v>8</v>
      </c>
      <c r="F8409" s="5">
        <v>25</v>
      </c>
      <c r="G8409" s="6" t="s">
        <v>36</v>
      </c>
      <c r="H8409" s="4" t="s">
        <v>36</v>
      </c>
      <c r="I8409" s="7" t="s">
        <v>36</v>
      </c>
      <c r="J8409" s="3" t="s">
        <v>36</v>
      </c>
      <c r="K8409" s="9" t="s">
        <v>36</v>
      </c>
      <c r="L8409" s="6" t="s">
        <v>36</v>
      </c>
      <c r="M8409" s="3" t="s">
        <v>36</v>
      </c>
      <c r="N8409" s="3" t="s">
        <v>36</v>
      </c>
      <c r="O8409" s="8" t="s">
        <v>36</v>
      </c>
      <c r="P8409" s="3" t="s">
        <v>36</v>
      </c>
      <c r="Q8409" s="3" t="s">
        <v>36</v>
      </c>
      <c r="R8409" s="3" t="s">
        <v>36</v>
      </c>
      <c r="S8409" s="3" t="s">
        <v>36</v>
      </c>
      <c r="T8409" s="3" t="s">
        <v>36624</v>
      </c>
      <c r="U8409" s="3" t="s">
        <v>51</v>
      </c>
      <c r="V8409" s="3" t="s">
        <v>52</v>
      </c>
      <c r="W8409" s="3" t="s">
        <v>36625</v>
      </c>
      <c r="X8409" s="10" t="s">
        <v>36626</v>
      </c>
      <c r="Y8409" s="6" t="s">
        <v>108</v>
      </c>
      <c r="Z8409" s="4">
        <v>3.83</v>
      </c>
      <c r="AA8409" s="4" t="s">
        <v>36</v>
      </c>
      <c r="AB8409" s="3" t="s">
        <v>56</v>
      </c>
      <c r="AC8409" s="3" t="s">
        <v>36627</v>
      </c>
      <c r="AD8409" s="9">
        <v>41016</v>
      </c>
      <c r="AE8409" s="3" t="s">
        <v>504</v>
      </c>
      <c r="AF8409" s="3" t="s">
        <v>17897</v>
      </c>
      <c r="AG8409" s="3" t="s">
        <v>47</v>
      </c>
      <c r="AH8409" s="11">
        <f>HYPERLINK("https://my.pitchbook.com?c=25387-93T","View Company Online")</f>
      </c>
    </row>
    <row r="8410">
      <c r="A8410" s="12" t="s">
        <v>36628</v>
      </c>
      <c r="B8410" s="12" t="s">
        <v>36629</v>
      </c>
      <c r="C8410" s="19">
        <v>7</v>
      </c>
      <c r="D8410" s="19">
        <v>31</v>
      </c>
      <c r="E8410" s="19">
        <v>9</v>
      </c>
      <c r="F8410" s="19">
        <v>44</v>
      </c>
      <c r="G8410" s="15" t="s">
        <v>326</v>
      </c>
      <c r="H8410" s="14">
        <v>524.46</v>
      </c>
      <c r="I8410" s="18">
        <v>15.19</v>
      </c>
      <c r="J8410" s="12" t="s">
        <v>521</v>
      </c>
      <c r="K8410" s="13" t="s">
        <v>36</v>
      </c>
      <c r="L8410" s="15" t="s">
        <v>94</v>
      </c>
      <c r="M8410" s="12" t="s">
        <v>36</v>
      </c>
      <c r="N8410" s="12" t="s">
        <v>94</v>
      </c>
      <c r="O8410" s="17" t="s">
        <v>36</v>
      </c>
      <c r="P8410" s="12" t="s">
        <v>36</v>
      </c>
      <c r="Q8410" s="12" t="s">
        <v>36</v>
      </c>
      <c r="R8410" s="12" t="s">
        <v>36</v>
      </c>
      <c r="S8410" s="12" t="s">
        <v>36</v>
      </c>
      <c r="T8410" s="12" t="s">
        <v>8677</v>
      </c>
      <c r="U8410" s="12" t="s">
        <v>1082</v>
      </c>
      <c r="V8410" s="12" t="s">
        <v>378</v>
      </c>
      <c r="W8410" s="12" t="s">
        <v>36630</v>
      </c>
      <c r="X8410" s="16" t="s">
        <v>36631</v>
      </c>
      <c r="Y8410" s="15" t="s">
        <v>55</v>
      </c>
      <c r="Z8410" s="14">
        <v>1.65</v>
      </c>
      <c r="AA8410" s="14">
        <v>10.86</v>
      </c>
      <c r="AB8410" s="12" t="s">
        <v>43</v>
      </c>
      <c r="AC8410" s="12" t="s">
        <v>36632</v>
      </c>
      <c r="AD8410" s="13">
        <v>41015</v>
      </c>
      <c r="AE8410" s="12" t="s">
        <v>7876</v>
      </c>
      <c r="AF8410" s="12" t="s">
        <v>1969</v>
      </c>
      <c r="AG8410" s="12" t="s">
        <v>36633</v>
      </c>
      <c r="AH8410" s="1">
        <f>HYPERLINK("https://my.pitchbook.com?c=24525-37T","View Company Online")</f>
      </c>
    </row>
    <row r="8411">
      <c r="A8411" s="3" t="s">
        <v>36634</v>
      </c>
      <c r="B8411" s="3" t="s">
        <v>36635</v>
      </c>
      <c r="C8411" s="5">
        <v>1</v>
      </c>
      <c r="D8411" s="5">
        <v>2</v>
      </c>
      <c r="E8411" s="5">
        <v>2</v>
      </c>
      <c r="F8411" s="5">
        <v>3</v>
      </c>
      <c r="G8411" s="6" t="s">
        <v>36</v>
      </c>
      <c r="H8411" s="4" t="s">
        <v>36</v>
      </c>
      <c r="I8411" s="7" t="s">
        <v>36</v>
      </c>
      <c r="J8411" s="3" t="s">
        <v>36</v>
      </c>
      <c r="K8411" s="9" t="s">
        <v>36</v>
      </c>
      <c r="L8411" s="6" t="s">
        <v>36</v>
      </c>
      <c r="M8411" s="3" t="s">
        <v>36</v>
      </c>
      <c r="N8411" s="3" t="s">
        <v>36</v>
      </c>
      <c r="O8411" s="8" t="s">
        <v>36</v>
      </c>
      <c r="P8411" s="3" t="s">
        <v>36</v>
      </c>
      <c r="Q8411" s="3" t="s">
        <v>36</v>
      </c>
      <c r="R8411" s="3" t="s">
        <v>36</v>
      </c>
      <c r="S8411" s="3" t="s">
        <v>36</v>
      </c>
      <c r="T8411" s="3" t="s">
        <v>4529</v>
      </c>
      <c r="U8411" s="3" t="s">
        <v>38</v>
      </c>
      <c r="V8411" s="3" t="s">
        <v>39</v>
      </c>
      <c r="W8411" s="3" t="s">
        <v>36636</v>
      </c>
      <c r="X8411" s="10" t="s">
        <v>36637</v>
      </c>
      <c r="Y8411" s="6" t="s">
        <v>108</v>
      </c>
      <c r="Z8411" s="4">
        <v>6.6</v>
      </c>
      <c r="AA8411" s="4" t="s">
        <v>36</v>
      </c>
      <c r="AB8411" s="3" t="s">
        <v>56</v>
      </c>
      <c r="AC8411" s="3" t="s">
        <v>36638</v>
      </c>
      <c r="AD8411" s="9">
        <v>41015</v>
      </c>
      <c r="AE8411" s="3" t="s">
        <v>1422</v>
      </c>
      <c r="AF8411" s="3" t="s">
        <v>4842</v>
      </c>
      <c r="AG8411" s="3" t="s">
        <v>81</v>
      </c>
      <c r="AH8411" s="11">
        <f>HYPERLINK("https://my.pitchbook.com?c=27416-26T","View Company Online")</f>
      </c>
    </row>
    <row r="8412">
      <c r="A8412" s="12" t="s">
        <v>36639</v>
      </c>
      <c r="B8412" s="12" t="s">
        <v>34936</v>
      </c>
      <c r="C8412" s="19" t="s">
        <v>36</v>
      </c>
      <c r="D8412" s="19" t="s">
        <v>36</v>
      </c>
      <c r="E8412" s="19" t="s">
        <v>36</v>
      </c>
      <c r="F8412" s="19" t="s">
        <v>36</v>
      </c>
      <c r="G8412" s="15" t="s">
        <v>36</v>
      </c>
      <c r="H8412" s="14" t="s">
        <v>36</v>
      </c>
      <c r="I8412" s="18" t="s">
        <v>36</v>
      </c>
      <c r="J8412" s="12" t="s">
        <v>36</v>
      </c>
      <c r="K8412" s="13" t="s">
        <v>36</v>
      </c>
      <c r="L8412" s="15" t="s">
        <v>36</v>
      </c>
      <c r="M8412" s="12" t="s">
        <v>36</v>
      </c>
      <c r="N8412" s="12" t="s">
        <v>36</v>
      </c>
      <c r="O8412" s="17" t="s">
        <v>36</v>
      </c>
      <c r="P8412" s="12" t="s">
        <v>36</v>
      </c>
      <c r="Q8412" s="12" t="s">
        <v>36</v>
      </c>
      <c r="R8412" s="12" t="s">
        <v>36</v>
      </c>
      <c r="S8412" s="12" t="s">
        <v>36</v>
      </c>
      <c r="T8412" s="12" t="s">
        <v>34937</v>
      </c>
      <c r="U8412" s="12" t="s">
        <v>38</v>
      </c>
      <c r="V8412" s="12" t="s">
        <v>39</v>
      </c>
      <c r="W8412" s="12" t="s">
        <v>34938</v>
      </c>
      <c r="X8412" s="16" t="s">
        <v>33245</v>
      </c>
      <c r="Y8412" s="15" t="s">
        <v>42</v>
      </c>
      <c r="Z8412" s="14" t="s">
        <v>36</v>
      </c>
      <c r="AA8412" s="14" t="s">
        <v>36</v>
      </c>
      <c r="AB8412" s="12" t="s">
        <v>43</v>
      </c>
      <c r="AC8412" s="12" t="s">
        <v>34940</v>
      </c>
      <c r="AD8412" s="13">
        <v>41013</v>
      </c>
      <c r="AE8412" s="12" t="s">
        <v>110</v>
      </c>
      <c r="AF8412" s="12" t="s">
        <v>1842</v>
      </c>
      <c r="AG8412" s="12" t="s">
        <v>81</v>
      </c>
      <c r="AH8412" s="1">
        <f>HYPERLINK("https://my.pitchbook.com?c=25682-95T","View Company Online")</f>
      </c>
    </row>
    <row r="8413">
      <c r="A8413" s="3" t="s">
        <v>36640</v>
      </c>
      <c r="B8413" s="3" t="s">
        <v>33340</v>
      </c>
      <c r="C8413" s="5" t="s">
        <v>36</v>
      </c>
      <c r="D8413" s="5" t="s">
        <v>36</v>
      </c>
      <c r="E8413" s="5">
        <v>1</v>
      </c>
      <c r="F8413" s="5">
        <v>1</v>
      </c>
      <c r="G8413" s="6" t="s">
        <v>36</v>
      </c>
      <c r="H8413" s="4" t="s">
        <v>36</v>
      </c>
      <c r="I8413" s="7" t="s">
        <v>36</v>
      </c>
      <c r="J8413" s="3" t="s">
        <v>36</v>
      </c>
      <c r="K8413" s="9" t="s">
        <v>36</v>
      </c>
      <c r="L8413" s="6" t="s">
        <v>3736</v>
      </c>
      <c r="M8413" s="3" t="s">
        <v>36</v>
      </c>
      <c r="N8413" s="3" t="s">
        <v>3736</v>
      </c>
      <c r="O8413" s="8" t="s">
        <v>36</v>
      </c>
      <c r="P8413" s="3" t="s">
        <v>36</v>
      </c>
      <c r="Q8413" s="3" t="s">
        <v>36</v>
      </c>
      <c r="R8413" s="3" t="s">
        <v>36</v>
      </c>
      <c r="S8413" s="3" t="s">
        <v>36</v>
      </c>
      <c r="T8413" s="3" t="s">
        <v>33341</v>
      </c>
      <c r="U8413" s="3" t="s">
        <v>74</v>
      </c>
      <c r="V8413" s="3" t="s">
        <v>75</v>
      </c>
      <c r="W8413" s="3" t="s">
        <v>33342</v>
      </c>
      <c r="X8413" s="10" t="s">
        <v>36641</v>
      </c>
      <c r="Y8413" s="6" t="s">
        <v>192</v>
      </c>
      <c r="Z8413" s="4">
        <v>31.7</v>
      </c>
      <c r="AA8413" s="4" t="s">
        <v>36</v>
      </c>
      <c r="AB8413" s="3" t="s">
        <v>56</v>
      </c>
      <c r="AC8413" s="3" t="s">
        <v>33344</v>
      </c>
      <c r="AD8413" s="9">
        <v>41011</v>
      </c>
      <c r="AE8413" s="3" t="s">
        <v>975</v>
      </c>
      <c r="AF8413" s="3" t="s">
        <v>1636</v>
      </c>
      <c r="AG8413" s="3" t="s">
        <v>81</v>
      </c>
      <c r="AH8413" s="11">
        <f>HYPERLINK("https://my.pitchbook.com?c=27003-43T","View Company Online")</f>
      </c>
    </row>
    <row r="8414">
      <c r="A8414" s="12" t="s">
        <v>36642</v>
      </c>
      <c r="B8414" s="12" t="s">
        <v>29296</v>
      </c>
      <c r="C8414" s="19">
        <v>5</v>
      </c>
      <c r="D8414" s="19">
        <v>22</v>
      </c>
      <c r="E8414" s="19">
        <v>5</v>
      </c>
      <c r="F8414" s="19">
        <v>27</v>
      </c>
      <c r="G8414" s="15" t="s">
        <v>683</v>
      </c>
      <c r="H8414" s="14">
        <v>57.92</v>
      </c>
      <c r="I8414" s="18">
        <v>13.63</v>
      </c>
      <c r="J8414" s="12" t="s">
        <v>521</v>
      </c>
      <c r="K8414" s="13" t="s">
        <v>36</v>
      </c>
      <c r="L8414" s="15" t="s">
        <v>36</v>
      </c>
      <c r="M8414" s="12" t="s">
        <v>36</v>
      </c>
      <c r="N8414" s="12" t="s">
        <v>36</v>
      </c>
      <c r="O8414" s="17" t="s">
        <v>36</v>
      </c>
      <c r="P8414" s="12" t="s">
        <v>36</v>
      </c>
      <c r="Q8414" s="12" t="s">
        <v>36</v>
      </c>
      <c r="R8414" s="12" t="s">
        <v>36</v>
      </c>
      <c r="S8414" s="12" t="s">
        <v>36</v>
      </c>
      <c r="T8414" s="12" t="s">
        <v>29297</v>
      </c>
      <c r="U8414" s="12" t="s">
        <v>51</v>
      </c>
      <c r="V8414" s="12" t="s">
        <v>52</v>
      </c>
      <c r="W8414" s="12" t="s">
        <v>29298</v>
      </c>
      <c r="X8414" s="16" t="s">
        <v>36643</v>
      </c>
      <c r="Y8414" s="15" t="s">
        <v>108</v>
      </c>
      <c r="Z8414" s="14">
        <v>0.83</v>
      </c>
      <c r="AA8414" s="14">
        <v>6.05</v>
      </c>
      <c r="AB8414" s="12" t="s">
        <v>56</v>
      </c>
      <c r="AC8414" s="12" t="s">
        <v>29300</v>
      </c>
      <c r="AD8414" s="13">
        <v>41009</v>
      </c>
      <c r="AE8414" s="12" t="s">
        <v>158</v>
      </c>
      <c r="AF8414" s="12" t="s">
        <v>1166</v>
      </c>
      <c r="AG8414" s="12" t="s">
        <v>144</v>
      </c>
      <c r="AH8414" s="1">
        <f>HYPERLINK("https://my.pitchbook.com?c=210168-10T","View Company Online")</f>
      </c>
    </row>
    <row r="8415">
      <c r="A8415" s="3" t="s">
        <v>36644</v>
      </c>
      <c r="B8415" s="3" t="s">
        <v>32862</v>
      </c>
      <c r="C8415" s="5" t="s">
        <v>36</v>
      </c>
      <c r="D8415" s="5" t="s">
        <v>36</v>
      </c>
      <c r="E8415" s="5" t="s">
        <v>36</v>
      </c>
      <c r="F8415" s="5" t="s">
        <v>36</v>
      </c>
      <c r="G8415" s="6" t="s">
        <v>36</v>
      </c>
      <c r="H8415" s="4" t="s">
        <v>36</v>
      </c>
      <c r="I8415" s="7" t="s">
        <v>36</v>
      </c>
      <c r="J8415" s="3" t="s">
        <v>36</v>
      </c>
      <c r="K8415" s="9" t="s">
        <v>36</v>
      </c>
      <c r="L8415" s="6" t="s">
        <v>36</v>
      </c>
      <c r="M8415" s="3" t="s">
        <v>36</v>
      </c>
      <c r="N8415" s="3" t="s">
        <v>36</v>
      </c>
      <c r="O8415" s="8" t="s">
        <v>36</v>
      </c>
      <c r="P8415" s="3" t="s">
        <v>36</v>
      </c>
      <c r="Q8415" s="3" t="s">
        <v>36</v>
      </c>
      <c r="R8415" s="3" t="s">
        <v>36</v>
      </c>
      <c r="S8415" s="3" t="s">
        <v>36</v>
      </c>
      <c r="T8415" s="3" t="s">
        <v>2044</v>
      </c>
      <c r="U8415" s="3" t="s">
        <v>74</v>
      </c>
      <c r="V8415" s="3" t="s">
        <v>75</v>
      </c>
      <c r="W8415" s="3" t="s">
        <v>32863</v>
      </c>
      <c r="X8415" s="10" t="s">
        <v>36645</v>
      </c>
      <c r="Y8415" s="6" t="s">
        <v>42</v>
      </c>
      <c r="Z8415" s="4" t="s">
        <v>36</v>
      </c>
      <c r="AA8415" s="4" t="s">
        <v>36</v>
      </c>
      <c r="AB8415" s="3" t="s">
        <v>56</v>
      </c>
      <c r="AC8415" s="3" t="s">
        <v>32865</v>
      </c>
      <c r="AD8415" s="9">
        <v>41009</v>
      </c>
      <c r="AE8415" s="3" t="s">
        <v>79</v>
      </c>
      <c r="AF8415" s="3" t="s">
        <v>546</v>
      </c>
      <c r="AG8415" s="3" t="s">
        <v>512</v>
      </c>
      <c r="AH8415" s="11">
        <f>HYPERLINK("https://my.pitchbook.com?c=27480-43T","View Company Online")</f>
      </c>
    </row>
    <row r="8416">
      <c r="A8416" s="12" t="s">
        <v>36646</v>
      </c>
      <c r="B8416" s="12" t="s">
        <v>36647</v>
      </c>
      <c r="C8416" s="19" t="s">
        <v>36</v>
      </c>
      <c r="D8416" s="19" t="s">
        <v>36</v>
      </c>
      <c r="E8416" s="19" t="s">
        <v>36</v>
      </c>
      <c r="F8416" s="19" t="s">
        <v>36</v>
      </c>
      <c r="G8416" s="15" t="s">
        <v>326</v>
      </c>
      <c r="H8416" s="14">
        <v>3215.4</v>
      </c>
      <c r="I8416" s="18">
        <v>13.11</v>
      </c>
      <c r="J8416" s="12" t="s">
        <v>521</v>
      </c>
      <c r="K8416" s="13" t="s">
        <v>36</v>
      </c>
      <c r="L8416" s="15" t="s">
        <v>36</v>
      </c>
      <c r="M8416" s="12" t="s">
        <v>36</v>
      </c>
      <c r="N8416" s="12" t="s">
        <v>36</v>
      </c>
      <c r="O8416" s="17" t="s">
        <v>36</v>
      </c>
      <c r="P8416" s="12" t="s">
        <v>36</v>
      </c>
      <c r="Q8416" s="12" t="s">
        <v>36</v>
      </c>
      <c r="R8416" s="12" t="s">
        <v>36</v>
      </c>
      <c r="S8416" s="12" t="s">
        <v>36</v>
      </c>
      <c r="T8416" s="12" t="s">
        <v>19777</v>
      </c>
      <c r="U8416" s="12" t="s">
        <v>74</v>
      </c>
      <c r="V8416" s="12" t="s">
        <v>75</v>
      </c>
      <c r="W8416" s="12" t="s">
        <v>36648</v>
      </c>
      <c r="X8416" s="16" t="s">
        <v>26808</v>
      </c>
      <c r="Y8416" s="15" t="s">
        <v>42</v>
      </c>
      <c r="Z8416" s="14">
        <v>0.39</v>
      </c>
      <c r="AA8416" s="14">
        <v>2.99</v>
      </c>
      <c r="AB8416" s="12" t="s">
        <v>56</v>
      </c>
      <c r="AC8416" s="12" t="s">
        <v>36649</v>
      </c>
      <c r="AD8416" s="13">
        <v>41009</v>
      </c>
      <c r="AE8416" s="12" t="s">
        <v>1243</v>
      </c>
      <c r="AF8416" s="12" t="s">
        <v>4200</v>
      </c>
      <c r="AG8416" s="12" t="s">
        <v>16909</v>
      </c>
      <c r="AH8416" s="1">
        <f>HYPERLINK("https://my.pitchbook.com?c=241146-19T","View Company Online")</f>
      </c>
    </row>
    <row r="8417">
      <c r="A8417" s="3" t="s">
        <v>36650</v>
      </c>
      <c r="B8417" s="3" t="s">
        <v>36651</v>
      </c>
      <c r="C8417" s="5" t="s">
        <v>36</v>
      </c>
      <c r="D8417" s="5" t="s">
        <v>36</v>
      </c>
      <c r="E8417" s="5" t="s">
        <v>36</v>
      </c>
      <c r="F8417" s="5" t="s">
        <v>36</v>
      </c>
      <c r="G8417" s="6" t="s">
        <v>36</v>
      </c>
      <c r="H8417" s="4" t="s">
        <v>36</v>
      </c>
      <c r="I8417" s="7" t="s">
        <v>36</v>
      </c>
      <c r="J8417" s="3" t="s">
        <v>36</v>
      </c>
      <c r="K8417" s="9" t="s">
        <v>36</v>
      </c>
      <c r="L8417" s="6" t="s">
        <v>36</v>
      </c>
      <c r="M8417" s="3" t="s">
        <v>36</v>
      </c>
      <c r="N8417" s="3" t="s">
        <v>36</v>
      </c>
      <c r="O8417" s="8" t="s">
        <v>36</v>
      </c>
      <c r="P8417" s="3" t="s">
        <v>36</v>
      </c>
      <c r="Q8417" s="3" t="s">
        <v>36</v>
      </c>
      <c r="R8417" s="3" t="s">
        <v>36</v>
      </c>
      <c r="S8417" s="3" t="s">
        <v>36</v>
      </c>
      <c r="T8417" s="3" t="s">
        <v>17704</v>
      </c>
      <c r="U8417" s="3" t="s">
        <v>833</v>
      </c>
      <c r="V8417" s="3" t="s">
        <v>64</v>
      </c>
      <c r="W8417" s="3" t="s">
        <v>36652</v>
      </c>
      <c r="X8417" s="10" t="s">
        <v>36653</v>
      </c>
      <c r="Y8417" s="6" t="s">
        <v>42</v>
      </c>
      <c r="Z8417" s="4">
        <v>1.09</v>
      </c>
      <c r="AA8417" s="4" t="s">
        <v>36</v>
      </c>
      <c r="AB8417" s="3" t="s">
        <v>43</v>
      </c>
      <c r="AC8417" s="3" t="s">
        <v>36654</v>
      </c>
      <c r="AD8417" s="9">
        <v>41005</v>
      </c>
      <c r="AE8417" s="3" t="s">
        <v>1069</v>
      </c>
      <c r="AF8417" s="3" t="s">
        <v>10379</v>
      </c>
      <c r="AG8417" s="3" t="s">
        <v>36655</v>
      </c>
      <c r="AH8417" s="11">
        <f>HYPERLINK("https://my.pitchbook.com?c=53232-58T","View Company Online")</f>
      </c>
    </row>
    <row r="8418">
      <c r="A8418" s="12" t="s">
        <v>36656</v>
      </c>
      <c r="B8418" s="12" t="s">
        <v>36657</v>
      </c>
      <c r="C8418" s="19">
        <v>1</v>
      </c>
      <c r="D8418" s="19">
        <v>12</v>
      </c>
      <c r="E8418" s="19">
        <v>13</v>
      </c>
      <c r="F8418" s="19">
        <v>25</v>
      </c>
      <c r="G8418" s="15" t="s">
        <v>36</v>
      </c>
      <c r="H8418" s="14">
        <v>71.19</v>
      </c>
      <c r="I8418" s="18">
        <v>29.01</v>
      </c>
      <c r="J8418" s="12" t="s">
        <v>521</v>
      </c>
      <c r="K8418" s="13" t="s">
        <v>36</v>
      </c>
      <c r="L8418" s="15" t="s">
        <v>36</v>
      </c>
      <c r="M8418" s="12" t="s">
        <v>36</v>
      </c>
      <c r="N8418" s="12" t="s">
        <v>36</v>
      </c>
      <c r="O8418" s="17" t="s">
        <v>36</v>
      </c>
      <c r="P8418" s="12" t="s">
        <v>36</v>
      </c>
      <c r="Q8418" s="12" t="s">
        <v>36</v>
      </c>
      <c r="R8418" s="12" t="s">
        <v>36</v>
      </c>
      <c r="S8418" s="12" t="s">
        <v>36</v>
      </c>
      <c r="T8418" s="12" t="s">
        <v>1863</v>
      </c>
      <c r="U8418" s="12" t="s">
        <v>96</v>
      </c>
      <c r="V8418" s="12" t="s">
        <v>52</v>
      </c>
      <c r="W8418" s="12" t="s">
        <v>36658</v>
      </c>
      <c r="X8418" s="16" t="s">
        <v>19209</v>
      </c>
      <c r="Y8418" s="15" t="s">
        <v>192</v>
      </c>
      <c r="Z8418" s="14">
        <v>5.82</v>
      </c>
      <c r="AA8418" s="14">
        <v>20.05</v>
      </c>
      <c r="AB8418" s="12" t="s">
        <v>56</v>
      </c>
      <c r="AC8418" s="12" t="s">
        <v>36659</v>
      </c>
      <c r="AD8418" s="13">
        <v>41003</v>
      </c>
      <c r="AE8418" s="12" t="s">
        <v>1414</v>
      </c>
      <c r="AF8418" s="12" t="s">
        <v>36</v>
      </c>
      <c r="AG8418" s="12" t="s">
        <v>81</v>
      </c>
      <c r="AH8418" s="1">
        <f>HYPERLINK("https://my.pitchbook.com?c=32477-59T","View Company Online")</f>
      </c>
    </row>
    <row r="8419">
      <c r="A8419" s="3" t="s">
        <v>36660</v>
      </c>
      <c r="B8419" s="3" t="s">
        <v>21738</v>
      </c>
      <c r="C8419" s="5" t="s">
        <v>36</v>
      </c>
      <c r="D8419" s="5" t="s">
        <v>36</v>
      </c>
      <c r="E8419" s="5" t="s">
        <v>36</v>
      </c>
      <c r="F8419" s="5" t="s">
        <v>36</v>
      </c>
      <c r="G8419" s="6" t="s">
        <v>36</v>
      </c>
      <c r="H8419" s="4">
        <v>0.43</v>
      </c>
      <c r="I8419" s="7">
        <v>50.72</v>
      </c>
      <c r="J8419" s="3" t="s">
        <v>521</v>
      </c>
      <c r="K8419" s="9">
        <v>40956</v>
      </c>
      <c r="L8419" s="6" t="s">
        <v>122</v>
      </c>
      <c r="M8419" s="3" t="s">
        <v>36</v>
      </c>
      <c r="N8419" s="3" t="s">
        <v>122</v>
      </c>
      <c r="O8419" s="8" t="s">
        <v>36</v>
      </c>
      <c r="P8419" s="3" t="s">
        <v>36</v>
      </c>
      <c r="Q8419" s="3" t="s">
        <v>3530</v>
      </c>
      <c r="R8419" s="3" t="s">
        <v>3531</v>
      </c>
      <c r="S8419" s="3" t="s">
        <v>36</v>
      </c>
      <c r="T8419" s="3" t="s">
        <v>881</v>
      </c>
      <c r="U8419" s="3" t="s">
        <v>51</v>
      </c>
      <c r="V8419" s="3" t="s">
        <v>52</v>
      </c>
      <c r="W8419" s="3" t="s">
        <v>21739</v>
      </c>
      <c r="X8419" s="10" t="s">
        <v>36661</v>
      </c>
      <c r="Y8419" s="6" t="s">
        <v>42</v>
      </c>
      <c r="Z8419" s="4">
        <v>4.63</v>
      </c>
      <c r="AA8419" s="4">
        <v>9.12</v>
      </c>
      <c r="AB8419" s="3" t="s">
        <v>43</v>
      </c>
      <c r="AC8419" s="3" t="s">
        <v>21741</v>
      </c>
      <c r="AD8419" s="9">
        <v>41003</v>
      </c>
      <c r="AE8419" s="3" t="s">
        <v>504</v>
      </c>
      <c r="AF8419" s="3" t="s">
        <v>159</v>
      </c>
      <c r="AG8419" s="3" t="s">
        <v>102</v>
      </c>
      <c r="AH8419" s="11">
        <f>HYPERLINK("https://my.pitchbook.com?c=25391-35T","View Company Online")</f>
      </c>
    </row>
    <row r="8420">
      <c r="A8420" s="12" t="s">
        <v>36662</v>
      </c>
      <c r="B8420" s="12" t="s">
        <v>24417</v>
      </c>
      <c r="C8420" s="19" t="s">
        <v>36</v>
      </c>
      <c r="D8420" s="19" t="s">
        <v>36</v>
      </c>
      <c r="E8420" s="19" t="s">
        <v>36</v>
      </c>
      <c r="F8420" s="19" t="s">
        <v>36</v>
      </c>
      <c r="G8420" s="15" t="s">
        <v>36</v>
      </c>
      <c r="H8420" s="14">
        <v>5339.27</v>
      </c>
      <c r="I8420" s="18">
        <v>9.15</v>
      </c>
      <c r="J8420" s="12" t="s">
        <v>521</v>
      </c>
      <c r="K8420" s="13" t="s">
        <v>36</v>
      </c>
      <c r="L8420" s="15" t="s">
        <v>36</v>
      </c>
      <c r="M8420" s="12" t="s">
        <v>36</v>
      </c>
      <c r="N8420" s="12" t="s">
        <v>36</v>
      </c>
      <c r="O8420" s="17" t="s">
        <v>36</v>
      </c>
      <c r="P8420" s="12" t="s">
        <v>36</v>
      </c>
      <c r="Q8420" s="12" t="s">
        <v>36</v>
      </c>
      <c r="R8420" s="12" t="s">
        <v>36</v>
      </c>
      <c r="S8420" s="12" t="s">
        <v>36</v>
      </c>
      <c r="T8420" s="12" t="s">
        <v>105</v>
      </c>
      <c r="U8420" s="12" t="s">
        <v>38</v>
      </c>
      <c r="V8420" s="12" t="s">
        <v>39</v>
      </c>
      <c r="W8420" s="12" t="s">
        <v>24418</v>
      </c>
      <c r="X8420" s="16" t="s">
        <v>36663</v>
      </c>
      <c r="Y8420" s="15" t="s">
        <v>55</v>
      </c>
      <c r="Z8420" s="14">
        <v>3.31</v>
      </c>
      <c r="AA8420" s="14">
        <v>14.55</v>
      </c>
      <c r="AB8420" s="12" t="s">
        <v>56</v>
      </c>
      <c r="AC8420" s="12" t="s">
        <v>24420</v>
      </c>
      <c r="AD8420" s="13">
        <v>41002</v>
      </c>
      <c r="AE8420" s="12" t="s">
        <v>110</v>
      </c>
      <c r="AF8420" s="12" t="s">
        <v>176</v>
      </c>
      <c r="AG8420" s="12" t="s">
        <v>81</v>
      </c>
      <c r="AH8420" s="1">
        <f>HYPERLINK("https://my.pitchbook.com?c=28591-84T","View Company Online")</f>
      </c>
    </row>
    <row r="8421">
      <c r="A8421" s="3" t="s">
        <v>36664</v>
      </c>
      <c r="B8421" s="3" t="s">
        <v>28624</v>
      </c>
      <c r="C8421" s="5" t="s">
        <v>36</v>
      </c>
      <c r="D8421" s="5">
        <v>14</v>
      </c>
      <c r="E8421" s="5">
        <v>11</v>
      </c>
      <c r="F8421" s="5">
        <v>36</v>
      </c>
      <c r="G8421" s="6" t="s">
        <v>36</v>
      </c>
      <c r="H8421" s="4" t="s">
        <v>36</v>
      </c>
      <c r="I8421" s="7" t="s">
        <v>36</v>
      </c>
      <c r="J8421" s="3" t="s">
        <v>36</v>
      </c>
      <c r="K8421" s="9" t="s">
        <v>36</v>
      </c>
      <c r="L8421" s="6" t="s">
        <v>36</v>
      </c>
      <c r="M8421" s="3" t="s">
        <v>36</v>
      </c>
      <c r="N8421" s="3" t="s">
        <v>36</v>
      </c>
      <c r="O8421" s="8" t="s">
        <v>36</v>
      </c>
      <c r="P8421" s="3" t="s">
        <v>36</v>
      </c>
      <c r="Q8421" s="3" t="s">
        <v>36</v>
      </c>
      <c r="R8421" s="3" t="s">
        <v>36</v>
      </c>
      <c r="S8421" s="3" t="s">
        <v>36</v>
      </c>
      <c r="T8421" s="3" t="s">
        <v>28625</v>
      </c>
      <c r="U8421" s="3" t="s">
        <v>219</v>
      </c>
      <c r="V8421" s="3" t="s">
        <v>75</v>
      </c>
      <c r="W8421" s="3" t="s">
        <v>28626</v>
      </c>
      <c r="X8421" s="10" t="s">
        <v>36665</v>
      </c>
      <c r="Y8421" s="6" t="s">
        <v>475</v>
      </c>
      <c r="Z8421" s="4" t="s">
        <v>36</v>
      </c>
      <c r="AA8421" s="4" t="s">
        <v>36</v>
      </c>
      <c r="AB8421" s="3" t="s">
        <v>56</v>
      </c>
      <c r="AC8421" s="3" t="s">
        <v>28628</v>
      </c>
      <c r="AD8421" s="9">
        <v>41001</v>
      </c>
      <c r="AE8421" s="3" t="s">
        <v>1912</v>
      </c>
      <c r="AF8421" s="3" t="s">
        <v>36</v>
      </c>
      <c r="AG8421" s="3" t="s">
        <v>186</v>
      </c>
      <c r="AH8421" s="11">
        <f>HYPERLINK("https://my.pitchbook.com?c=118167-31T","View Company Online")</f>
      </c>
    </row>
    <row r="8422">
      <c r="A8422" s="12" t="s">
        <v>36666</v>
      </c>
      <c r="B8422" s="12" t="s">
        <v>36667</v>
      </c>
      <c r="C8422" s="19" t="s">
        <v>36</v>
      </c>
      <c r="D8422" s="19">
        <v>7</v>
      </c>
      <c r="E8422" s="19">
        <v>2</v>
      </c>
      <c r="F8422" s="19">
        <v>7</v>
      </c>
      <c r="G8422" s="15" t="s">
        <v>36</v>
      </c>
      <c r="H8422" s="14" t="s">
        <v>36</v>
      </c>
      <c r="I8422" s="18" t="s">
        <v>36</v>
      </c>
      <c r="J8422" s="12" t="s">
        <v>36</v>
      </c>
      <c r="K8422" s="13" t="s">
        <v>36</v>
      </c>
      <c r="L8422" s="15" t="s">
        <v>36</v>
      </c>
      <c r="M8422" s="12" t="s">
        <v>36</v>
      </c>
      <c r="N8422" s="12" t="s">
        <v>36</v>
      </c>
      <c r="O8422" s="17" t="s">
        <v>36</v>
      </c>
      <c r="P8422" s="12" t="s">
        <v>36</v>
      </c>
      <c r="Q8422" s="12" t="s">
        <v>36</v>
      </c>
      <c r="R8422" s="12" t="s">
        <v>36</v>
      </c>
      <c r="S8422" s="12" t="s">
        <v>36</v>
      </c>
      <c r="T8422" s="12" t="s">
        <v>36668</v>
      </c>
      <c r="U8422" s="12" t="s">
        <v>96</v>
      </c>
      <c r="V8422" s="12" t="s">
        <v>52</v>
      </c>
      <c r="W8422" s="12" t="s">
        <v>36669</v>
      </c>
      <c r="X8422" s="16" t="s">
        <v>36670</v>
      </c>
      <c r="Y8422" s="15" t="s">
        <v>42</v>
      </c>
      <c r="Z8422" s="14">
        <v>1</v>
      </c>
      <c r="AA8422" s="14" t="s">
        <v>36</v>
      </c>
      <c r="AB8422" s="12" t="s">
        <v>43</v>
      </c>
      <c r="AC8422" s="12" t="s">
        <v>36671</v>
      </c>
      <c r="AD8422" s="13">
        <v>41000</v>
      </c>
      <c r="AE8422" s="12" t="s">
        <v>755</v>
      </c>
      <c r="AF8422" s="12" t="s">
        <v>36</v>
      </c>
      <c r="AG8422" s="12" t="s">
        <v>28138</v>
      </c>
      <c r="AH8422" s="1">
        <f>HYPERLINK("https://my.pitchbook.com?c=29807-38T","View Company Online")</f>
      </c>
    </row>
    <row r="8423">
      <c r="A8423" s="3" t="s">
        <v>36672</v>
      </c>
      <c r="B8423" s="3" t="s">
        <v>28815</v>
      </c>
      <c r="C8423" s="5">
        <v>9</v>
      </c>
      <c r="D8423" s="5">
        <v>32</v>
      </c>
      <c r="E8423" s="5">
        <v>18</v>
      </c>
      <c r="F8423" s="5">
        <v>47</v>
      </c>
      <c r="G8423" s="6" t="s">
        <v>36</v>
      </c>
      <c r="H8423" s="4">
        <v>119.44</v>
      </c>
      <c r="I8423" s="7">
        <v>11.66</v>
      </c>
      <c r="J8423" s="3" t="s">
        <v>521</v>
      </c>
      <c r="K8423" s="9" t="s">
        <v>36</v>
      </c>
      <c r="L8423" s="6" t="s">
        <v>36</v>
      </c>
      <c r="M8423" s="3" t="s">
        <v>36</v>
      </c>
      <c r="N8423" s="3" t="s">
        <v>36</v>
      </c>
      <c r="O8423" s="8" t="s">
        <v>36</v>
      </c>
      <c r="P8423" s="3" t="s">
        <v>36</v>
      </c>
      <c r="Q8423" s="3" t="s">
        <v>36</v>
      </c>
      <c r="R8423" s="3" t="s">
        <v>36</v>
      </c>
      <c r="S8423" s="3" t="s">
        <v>36</v>
      </c>
      <c r="T8423" s="3" t="s">
        <v>3729</v>
      </c>
      <c r="U8423" s="3" t="s">
        <v>219</v>
      </c>
      <c r="V8423" s="3" t="s">
        <v>75</v>
      </c>
      <c r="W8423" s="3" t="s">
        <v>28816</v>
      </c>
      <c r="X8423" s="10" t="s">
        <v>36673</v>
      </c>
      <c r="Y8423" s="6" t="s">
        <v>55</v>
      </c>
      <c r="Z8423" s="4">
        <v>0.97</v>
      </c>
      <c r="AA8423" s="4">
        <v>8.31</v>
      </c>
      <c r="AB8423" s="3" t="s">
        <v>56</v>
      </c>
      <c r="AC8423" s="3" t="s">
        <v>28818</v>
      </c>
      <c r="AD8423" s="9">
        <v>41000</v>
      </c>
      <c r="AE8423" s="3" t="s">
        <v>1032</v>
      </c>
      <c r="AF8423" s="3" t="s">
        <v>1969</v>
      </c>
      <c r="AG8423" s="3" t="s">
        <v>1453</v>
      </c>
      <c r="AH8423" s="11">
        <f>HYPERLINK("https://my.pitchbook.com?c=29859-31T","View Company Online")</f>
      </c>
    </row>
    <row r="8424">
      <c r="A8424" s="12" t="s">
        <v>36674</v>
      </c>
      <c r="B8424" s="12" t="s">
        <v>33353</v>
      </c>
      <c r="C8424" s="19">
        <v>4</v>
      </c>
      <c r="D8424" s="19">
        <v>21</v>
      </c>
      <c r="E8424" s="19">
        <v>7</v>
      </c>
      <c r="F8424" s="19">
        <v>50</v>
      </c>
      <c r="G8424" s="15" t="s">
        <v>36</v>
      </c>
      <c r="H8424" s="14" t="s">
        <v>36</v>
      </c>
      <c r="I8424" s="18" t="s">
        <v>36</v>
      </c>
      <c r="J8424" s="12" t="s">
        <v>36</v>
      </c>
      <c r="K8424" s="13" t="s">
        <v>36</v>
      </c>
      <c r="L8424" s="15" t="s">
        <v>36</v>
      </c>
      <c r="M8424" s="12" t="s">
        <v>36</v>
      </c>
      <c r="N8424" s="12" t="s">
        <v>36</v>
      </c>
      <c r="O8424" s="17" t="s">
        <v>36</v>
      </c>
      <c r="P8424" s="12" t="s">
        <v>36</v>
      </c>
      <c r="Q8424" s="12" t="s">
        <v>36</v>
      </c>
      <c r="R8424" s="12" t="s">
        <v>36</v>
      </c>
      <c r="S8424" s="12" t="s">
        <v>36</v>
      </c>
      <c r="T8424" s="12" t="s">
        <v>33354</v>
      </c>
      <c r="U8424" s="12" t="s">
        <v>1580</v>
      </c>
      <c r="V8424" s="12" t="s">
        <v>39</v>
      </c>
      <c r="W8424" s="12" t="s">
        <v>33355</v>
      </c>
      <c r="X8424" s="16" t="s">
        <v>36675</v>
      </c>
      <c r="Y8424" s="15" t="s">
        <v>166</v>
      </c>
      <c r="Z8424" s="14">
        <v>9.25</v>
      </c>
      <c r="AA8424" s="14" t="s">
        <v>36</v>
      </c>
      <c r="AB8424" s="12" t="s">
        <v>56</v>
      </c>
      <c r="AC8424" s="12" t="s">
        <v>33357</v>
      </c>
      <c r="AD8424" s="13">
        <v>41000</v>
      </c>
      <c r="AE8424" s="12" t="s">
        <v>4387</v>
      </c>
      <c r="AF8424" s="12" t="s">
        <v>1077</v>
      </c>
      <c r="AG8424" s="12" t="s">
        <v>33358</v>
      </c>
      <c r="AH8424" s="1">
        <f>HYPERLINK("https://my.pitchbook.com?c=25304-32T","View Company Online")</f>
      </c>
    </row>
    <row r="8425">
      <c r="A8425" s="3" t="s">
        <v>36676</v>
      </c>
      <c r="B8425" s="3" t="s">
        <v>36677</v>
      </c>
      <c r="C8425" s="5" t="s">
        <v>36</v>
      </c>
      <c r="D8425" s="5" t="s">
        <v>36</v>
      </c>
      <c r="E8425" s="5" t="s">
        <v>36</v>
      </c>
      <c r="F8425" s="5" t="s">
        <v>36</v>
      </c>
      <c r="G8425" s="6" t="s">
        <v>36</v>
      </c>
      <c r="H8425" s="4">
        <v>1163.19</v>
      </c>
      <c r="I8425" s="7">
        <v>30.01</v>
      </c>
      <c r="J8425" s="3" t="s">
        <v>521</v>
      </c>
      <c r="K8425" s="9" t="s">
        <v>36</v>
      </c>
      <c r="L8425" s="6" t="s">
        <v>36</v>
      </c>
      <c r="M8425" s="3" t="s">
        <v>36</v>
      </c>
      <c r="N8425" s="3" t="s">
        <v>36</v>
      </c>
      <c r="O8425" s="8" t="s">
        <v>36</v>
      </c>
      <c r="P8425" s="3" t="s">
        <v>36</v>
      </c>
      <c r="Q8425" s="3" t="s">
        <v>36</v>
      </c>
      <c r="R8425" s="3" t="s">
        <v>36</v>
      </c>
      <c r="S8425" s="3" t="s">
        <v>36</v>
      </c>
      <c r="T8425" s="3" t="s">
        <v>36678</v>
      </c>
      <c r="U8425" s="3" t="s">
        <v>38</v>
      </c>
      <c r="V8425" s="3" t="s">
        <v>39</v>
      </c>
      <c r="W8425" s="3" t="s">
        <v>36679</v>
      </c>
      <c r="X8425" s="10" t="s">
        <v>18159</v>
      </c>
      <c r="Y8425" s="6" t="s">
        <v>42</v>
      </c>
      <c r="Z8425" s="4">
        <v>1.59</v>
      </c>
      <c r="AA8425" s="4">
        <v>5.29</v>
      </c>
      <c r="AB8425" s="3" t="s">
        <v>56</v>
      </c>
      <c r="AC8425" s="3" t="s">
        <v>36680</v>
      </c>
      <c r="AD8425" s="9">
        <v>41000</v>
      </c>
      <c r="AE8425" s="3" t="s">
        <v>110</v>
      </c>
      <c r="AF8425" s="3" t="s">
        <v>4552</v>
      </c>
      <c r="AG8425" s="3" t="s">
        <v>899</v>
      </c>
      <c r="AH8425" s="11">
        <f>HYPERLINK("https://my.pitchbook.com?c=29464-48T","View Company Online")</f>
      </c>
    </row>
    <row r="8426">
      <c r="A8426" s="12" t="s">
        <v>36681</v>
      </c>
      <c r="B8426" s="12" t="s">
        <v>36682</v>
      </c>
      <c r="C8426" s="19">
        <v>2</v>
      </c>
      <c r="D8426" s="19">
        <v>9</v>
      </c>
      <c r="E8426" s="19">
        <v>7</v>
      </c>
      <c r="F8426" s="19">
        <v>18</v>
      </c>
      <c r="G8426" s="15" t="s">
        <v>36</v>
      </c>
      <c r="H8426" s="14" t="s">
        <v>36</v>
      </c>
      <c r="I8426" s="18" t="s">
        <v>36</v>
      </c>
      <c r="J8426" s="12" t="s">
        <v>36</v>
      </c>
      <c r="K8426" s="13" t="s">
        <v>36</v>
      </c>
      <c r="L8426" s="15" t="s">
        <v>36</v>
      </c>
      <c r="M8426" s="12" t="s">
        <v>36</v>
      </c>
      <c r="N8426" s="12" t="s">
        <v>36</v>
      </c>
      <c r="O8426" s="17" t="s">
        <v>36</v>
      </c>
      <c r="P8426" s="12" t="s">
        <v>36</v>
      </c>
      <c r="Q8426" s="12" t="s">
        <v>36</v>
      </c>
      <c r="R8426" s="12" t="s">
        <v>36</v>
      </c>
      <c r="S8426" s="12" t="s">
        <v>36</v>
      </c>
      <c r="T8426" s="12" t="s">
        <v>36683</v>
      </c>
      <c r="U8426" s="12" t="s">
        <v>833</v>
      </c>
      <c r="V8426" s="12" t="s">
        <v>64</v>
      </c>
      <c r="W8426" s="12" t="s">
        <v>36684</v>
      </c>
      <c r="X8426" s="16" t="s">
        <v>26168</v>
      </c>
      <c r="Y8426" s="15" t="s">
        <v>42</v>
      </c>
      <c r="Z8426" s="14" t="s">
        <v>36</v>
      </c>
      <c r="AA8426" s="14" t="s">
        <v>36</v>
      </c>
      <c r="AB8426" s="12" t="s">
        <v>43</v>
      </c>
      <c r="AC8426" s="12" t="s">
        <v>36685</v>
      </c>
      <c r="AD8426" s="13">
        <v>41000</v>
      </c>
      <c r="AE8426" s="12" t="s">
        <v>1687</v>
      </c>
      <c r="AF8426" s="12" t="s">
        <v>1969</v>
      </c>
      <c r="AG8426" s="12" t="s">
        <v>3115</v>
      </c>
      <c r="AH8426" s="1">
        <f>HYPERLINK("https://my.pitchbook.com?c=88619-86T","View Company Online")</f>
      </c>
    </row>
    <row r="8427">
      <c r="A8427" s="3" t="s">
        <v>36686</v>
      </c>
      <c r="B8427" s="3" t="s">
        <v>21283</v>
      </c>
      <c r="C8427" s="5" t="s">
        <v>36</v>
      </c>
      <c r="D8427" s="5">
        <v>4</v>
      </c>
      <c r="E8427" s="5">
        <v>2</v>
      </c>
      <c r="F8427" s="5">
        <v>7</v>
      </c>
      <c r="G8427" s="6" t="s">
        <v>36</v>
      </c>
      <c r="H8427" s="4" t="s">
        <v>36</v>
      </c>
      <c r="I8427" s="7" t="s">
        <v>36</v>
      </c>
      <c r="J8427" s="3" t="s">
        <v>36</v>
      </c>
      <c r="K8427" s="9" t="s">
        <v>36</v>
      </c>
      <c r="L8427" s="6" t="s">
        <v>36</v>
      </c>
      <c r="M8427" s="3" t="s">
        <v>36</v>
      </c>
      <c r="N8427" s="3" t="s">
        <v>36</v>
      </c>
      <c r="O8427" s="8" t="s">
        <v>36</v>
      </c>
      <c r="P8427" s="3" t="s">
        <v>36</v>
      </c>
      <c r="Q8427" s="3" t="s">
        <v>36</v>
      </c>
      <c r="R8427" s="3" t="s">
        <v>36</v>
      </c>
      <c r="S8427" s="3" t="s">
        <v>36</v>
      </c>
      <c r="T8427" s="3" t="s">
        <v>522</v>
      </c>
      <c r="U8427" s="3" t="s">
        <v>38</v>
      </c>
      <c r="V8427" s="3" t="s">
        <v>39</v>
      </c>
      <c r="W8427" s="3" t="s">
        <v>21284</v>
      </c>
      <c r="X8427" s="10" t="s">
        <v>31402</v>
      </c>
      <c r="Y8427" s="6" t="s">
        <v>42</v>
      </c>
      <c r="Z8427" s="4">
        <v>1.32</v>
      </c>
      <c r="AA8427" s="4" t="s">
        <v>36</v>
      </c>
      <c r="AB8427" s="3" t="s">
        <v>56</v>
      </c>
      <c r="AC8427" s="3" t="s">
        <v>21286</v>
      </c>
      <c r="AD8427" s="9">
        <v>40997</v>
      </c>
      <c r="AE8427" s="3" t="s">
        <v>110</v>
      </c>
      <c r="AF8427" s="3" t="s">
        <v>21287</v>
      </c>
      <c r="AG8427" s="3" t="s">
        <v>81</v>
      </c>
      <c r="AH8427" s="11">
        <f>HYPERLINK("https://my.pitchbook.com?c=30716-02T","View Company Online")</f>
      </c>
    </row>
    <row r="8428">
      <c r="A8428" s="12" t="s">
        <v>36687</v>
      </c>
      <c r="B8428" s="12" t="s">
        <v>31889</v>
      </c>
      <c r="C8428" s="19" t="s">
        <v>36</v>
      </c>
      <c r="D8428" s="19" t="s">
        <v>36</v>
      </c>
      <c r="E8428" s="19" t="s">
        <v>36</v>
      </c>
      <c r="F8428" s="19" t="s">
        <v>36</v>
      </c>
      <c r="G8428" s="15" t="s">
        <v>2497</v>
      </c>
      <c r="H8428" s="14">
        <v>1391.75</v>
      </c>
      <c r="I8428" s="18">
        <v>37.52</v>
      </c>
      <c r="J8428" s="12" t="s">
        <v>521</v>
      </c>
      <c r="K8428" s="13" t="s">
        <v>36</v>
      </c>
      <c r="L8428" s="15" t="s">
        <v>36</v>
      </c>
      <c r="M8428" s="12" t="s">
        <v>36</v>
      </c>
      <c r="N8428" s="12" t="s">
        <v>36</v>
      </c>
      <c r="O8428" s="17" t="s">
        <v>36</v>
      </c>
      <c r="P8428" s="12" t="s">
        <v>36</v>
      </c>
      <c r="Q8428" s="12" t="s">
        <v>36</v>
      </c>
      <c r="R8428" s="12" t="s">
        <v>36</v>
      </c>
      <c r="S8428" s="12" t="s">
        <v>36</v>
      </c>
      <c r="T8428" s="12" t="s">
        <v>11121</v>
      </c>
      <c r="U8428" s="12" t="s">
        <v>423</v>
      </c>
      <c r="V8428" s="12" t="s">
        <v>64</v>
      </c>
      <c r="W8428" s="12" t="s">
        <v>31890</v>
      </c>
      <c r="X8428" s="16" t="s">
        <v>22004</v>
      </c>
      <c r="Y8428" s="15" t="s">
        <v>55</v>
      </c>
      <c r="Z8428" s="14">
        <v>2.52</v>
      </c>
      <c r="AA8428" s="14">
        <v>6.72</v>
      </c>
      <c r="AB8428" s="12" t="s">
        <v>56</v>
      </c>
      <c r="AC8428" s="12" t="s">
        <v>31892</v>
      </c>
      <c r="AD8428" s="13">
        <v>40996</v>
      </c>
      <c r="AE8428" s="12" t="s">
        <v>562</v>
      </c>
      <c r="AF8428" s="12" t="s">
        <v>20865</v>
      </c>
      <c r="AG8428" s="12" t="s">
        <v>81</v>
      </c>
      <c r="AH8428" s="1">
        <f>HYPERLINK("https://my.pitchbook.com?c=251963-20T","View Company Online")</f>
      </c>
    </row>
    <row r="8429">
      <c r="A8429" s="3" t="s">
        <v>36688</v>
      </c>
      <c r="B8429" s="3" t="s">
        <v>23576</v>
      </c>
      <c r="C8429" s="5" t="s">
        <v>36</v>
      </c>
      <c r="D8429" s="5" t="s">
        <v>36</v>
      </c>
      <c r="E8429" s="5" t="s">
        <v>36</v>
      </c>
      <c r="F8429" s="5" t="s">
        <v>36</v>
      </c>
      <c r="G8429" s="6" t="s">
        <v>36</v>
      </c>
      <c r="H8429" s="4" t="s">
        <v>36</v>
      </c>
      <c r="I8429" s="7" t="s">
        <v>36</v>
      </c>
      <c r="J8429" s="3" t="s">
        <v>36</v>
      </c>
      <c r="K8429" s="9" t="s">
        <v>36</v>
      </c>
      <c r="L8429" s="6" t="s">
        <v>36</v>
      </c>
      <c r="M8429" s="3" t="s">
        <v>36</v>
      </c>
      <c r="N8429" s="3" t="s">
        <v>36</v>
      </c>
      <c r="O8429" s="8" t="s">
        <v>36</v>
      </c>
      <c r="P8429" s="3" t="s">
        <v>36</v>
      </c>
      <c r="Q8429" s="3" t="s">
        <v>36</v>
      </c>
      <c r="R8429" s="3" t="s">
        <v>36</v>
      </c>
      <c r="S8429" s="3" t="s">
        <v>36</v>
      </c>
      <c r="T8429" s="3" t="s">
        <v>464</v>
      </c>
      <c r="U8429" s="3" t="s">
        <v>38</v>
      </c>
      <c r="V8429" s="3" t="s">
        <v>39</v>
      </c>
      <c r="W8429" s="3" t="s">
        <v>23577</v>
      </c>
      <c r="X8429" s="10" t="s">
        <v>36689</v>
      </c>
      <c r="Y8429" s="6" t="s">
        <v>55</v>
      </c>
      <c r="Z8429" s="4">
        <v>1.32</v>
      </c>
      <c r="AA8429" s="4" t="s">
        <v>36</v>
      </c>
      <c r="AB8429" s="3" t="s">
        <v>43</v>
      </c>
      <c r="AC8429" s="3" t="s">
        <v>23579</v>
      </c>
      <c r="AD8429" s="9">
        <v>40996</v>
      </c>
      <c r="AE8429" s="3" t="s">
        <v>110</v>
      </c>
      <c r="AF8429" s="3" t="s">
        <v>19562</v>
      </c>
      <c r="AG8429" s="3" t="s">
        <v>2760</v>
      </c>
      <c r="AH8429" s="11">
        <f>HYPERLINK("https://my.pitchbook.com?c=25510-60T","View Company Online")</f>
      </c>
    </row>
    <row r="8430">
      <c r="A8430" s="12" t="s">
        <v>36690</v>
      </c>
      <c r="B8430" s="12" t="s">
        <v>36691</v>
      </c>
      <c r="C8430" s="19" t="s">
        <v>36</v>
      </c>
      <c r="D8430" s="19" t="s">
        <v>36</v>
      </c>
      <c r="E8430" s="19" t="s">
        <v>36</v>
      </c>
      <c r="F8430" s="19" t="s">
        <v>36</v>
      </c>
      <c r="G8430" s="15" t="s">
        <v>36</v>
      </c>
      <c r="H8430" s="14" t="s">
        <v>36</v>
      </c>
      <c r="I8430" s="18" t="s">
        <v>36</v>
      </c>
      <c r="J8430" s="12" t="s">
        <v>36</v>
      </c>
      <c r="K8430" s="13" t="s">
        <v>36</v>
      </c>
      <c r="L8430" s="15" t="s">
        <v>122</v>
      </c>
      <c r="M8430" s="12" t="s">
        <v>36</v>
      </c>
      <c r="N8430" s="12" t="s">
        <v>122</v>
      </c>
      <c r="O8430" s="17" t="s">
        <v>36</v>
      </c>
      <c r="P8430" s="12" t="s">
        <v>36</v>
      </c>
      <c r="Q8430" s="12" t="s">
        <v>36</v>
      </c>
      <c r="R8430" s="12" t="s">
        <v>36</v>
      </c>
      <c r="S8430" s="12" t="s">
        <v>36</v>
      </c>
      <c r="T8430" s="12" t="s">
        <v>105</v>
      </c>
      <c r="U8430" s="12" t="s">
        <v>38</v>
      </c>
      <c r="V8430" s="12" t="s">
        <v>39</v>
      </c>
      <c r="W8430" s="12" t="s">
        <v>36692</v>
      </c>
      <c r="X8430" s="16" t="s">
        <v>36693</v>
      </c>
      <c r="Y8430" s="15" t="s">
        <v>108</v>
      </c>
      <c r="Z8430" s="14">
        <v>1.5</v>
      </c>
      <c r="AA8430" s="14" t="s">
        <v>36</v>
      </c>
      <c r="AB8430" s="12" t="s">
        <v>43</v>
      </c>
      <c r="AC8430" s="12" t="s">
        <v>36694</v>
      </c>
      <c r="AD8430" s="13">
        <v>40995</v>
      </c>
      <c r="AE8430" s="12" t="s">
        <v>110</v>
      </c>
      <c r="AF8430" s="12" t="s">
        <v>36</v>
      </c>
      <c r="AG8430" s="12" t="s">
        <v>81</v>
      </c>
      <c r="AH8430" s="1">
        <f>HYPERLINK("https://my.pitchbook.com?c=25041-70T","View Company Online")</f>
      </c>
    </row>
    <row r="8431">
      <c r="A8431" s="3" t="s">
        <v>36695</v>
      </c>
      <c r="B8431" s="3" t="s">
        <v>36696</v>
      </c>
      <c r="C8431" s="5" t="s">
        <v>36</v>
      </c>
      <c r="D8431" s="5" t="s">
        <v>36</v>
      </c>
      <c r="E8431" s="5" t="s">
        <v>36</v>
      </c>
      <c r="F8431" s="5" t="s">
        <v>36</v>
      </c>
      <c r="G8431" s="6" t="s">
        <v>36</v>
      </c>
      <c r="H8431" s="4" t="s">
        <v>36</v>
      </c>
      <c r="I8431" s="7" t="s">
        <v>36</v>
      </c>
      <c r="J8431" s="3" t="s">
        <v>36</v>
      </c>
      <c r="K8431" s="9" t="s">
        <v>36</v>
      </c>
      <c r="L8431" s="6" t="s">
        <v>36</v>
      </c>
      <c r="M8431" s="3" t="s">
        <v>36</v>
      </c>
      <c r="N8431" s="3" t="s">
        <v>36</v>
      </c>
      <c r="O8431" s="8" t="s">
        <v>36</v>
      </c>
      <c r="P8431" s="3" t="s">
        <v>36</v>
      </c>
      <c r="Q8431" s="3" t="s">
        <v>36</v>
      </c>
      <c r="R8431" s="3" t="s">
        <v>36</v>
      </c>
      <c r="S8431" s="3" t="s">
        <v>36</v>
      </c>
      <c r="T8431" s="3" t="s">
        <v>19457</v>
      </c>
      <c r="U8431" s="3" t="s">
        <v>318</v>
      </c>
      <c r="V8431" s="3" t="s">
        <v>39</v>
      </c>
      <c r="W8431" s="3" t="s">
        <v>36697</v>
      </c>
      <c r="X8431" s="10" t="s">
        <v>36698</v>
      </c>
      <c r="Y8431" s="6" t="s">
        <v>42</v>
      </c>
      <c r="Z8431" s="4">
        <v>6.22</v>
      </c>
      <c r="AA8431" s="4" t="s">
        <v>36</v>
      </c>
      <c r="AB8431" s="3" t="s">
        <v>56</v>
      </c>
      <c r="AC8431" s="3" t="s">
        <v>36699</v>
      </c>
      <c r="AD8431" s="9">
        <v>40991</v>
      </c>
      <c r="AE8431" s="3" t="s">
        <v>763</v>
      </c>
      <c r="AF8431" s="3" t="s">
        <v>36700</v>
      </c>
      <c r="AG8431" s="3" t="s">
        <v>36701</v>
      </c>
      <c r="AH8431" s="11">
        <f>HYPERLINK("https://my.pitchbook.com?c=25900-75T","View Company Online")</f>
      </c>
    </row>
    <row r="8432">
      <c r="A8432" s="12" t="s">
        <v>36702</v>
      </c>
      <c r="B8432" s="12" t="s">
        <v>5760</v>
      </c>
      <c r="C8432" s="19">
        <v>48</v>
      </c>
      <c r="D8432" s="19">
        <v>52</v>
      </c>
      <c r="E8432" s="19">
        <v>20</v>
      </c>
      <c r="F8432" s="19">
        <v>109</v>
      </c>
      <c r="G8432" s="15" t="s">
        <v>683</v>
      </c>
      <c r="H8432" s="14">
        <v>2.08</v>
      </c>
      <c r="I8432" s="18">
        <v>71.43</v>
      </c>
      <c r="J8432" s="12" t="s">
        <v>327</v>
      </c>
      <c r="K8432" s="13" t="s">
        <v>36</v>
      </c>
      <c r="L8432" s="15" t="s">
        <v>122</v>
      </c>
      <c r="M8432" s="12" t="s">
        <v>36</v>
      </c>
      <c r="N8432" s="12" t="s">
        <v>122</v>
      </c>
      <c r="O8432" s="17" t="s">
        <v>36</v>
      </c>
      <c r="P8432" s="12" t="s">
        <v>36</v>
      </c>
      <c r="Q8432" s="12" t="s">
        <v>36</v>
      </c>
      <c r="R8432" s="12" t="s">
        <v>36</v>
      </c>
      <c r="S8432" s="12" t="s">
        <v>36</v>
      </c>
      <c r="T8432" s="12" t="s">
        <v>881</v>
      </c>
      <c r="U8432" s="12" t="s">
        <v>51</v>
      </c>
      <c r="V8432" s="12" t="s">
        <v>52</v>
      </c>
      <c r="W8432" s="12" t="s">
        <v>5761</v>
      </c>
      <c r="X8432" s="16" t="s">
        <v>36703</v>
      </c>
      <c r="Y8432" s="15" t="s">
        <v>108</v>
      </c>
      <c r="Z8432" s="14">
        <v>9.92</v>
      </c>
      <c r="AA8432" s="14">
        <v>13.89</v>
      </c>
      <c r="AB8432" s="12" t="s">
        <v>43</v>
      </c>
      <c r="AC8432" s="12" t="s">
        <v>5763</v>
      </c>
      <c r="AD8432" s="13">
        <v>40990</v>
      </c>
      <c r="AE8432" s="12" t="s">
        <v>504</v>
      </c>
      <c r="AF8432" s="12" t="s">
        <v>665</v>
      </c>
      <c r="AG8432" s="12" t="s">
        <v>81</v>
      </c>
      <c r="AH8432" s="1">
        <f>HYPERLINK("https://my.pitchbook.com?c=25022-89T","View Company Online")</f>
      </c>
    </row>
    <row r="8433">
      <c r="A8433" s="3" t="s">
        <v>36704</v>
      </c>
      <c r="B8433" s="3" t="s">
        <v>16697</v>
      </c>
      <c r="C8433" s="5" t="s">
        <v>36</v>
      </c>
      <c r="D8433" s="5" t="s">
        <v>36</v>
      </c>
      <c r="E8433" s="5" t="s">
        <v>36</v>
      </c>
      <c r="F8433" s="5" t="s">
        <v>36</v>
      </c>
      <c r="G8433" s="6" t="s">
        <v>36</v>
      </c>
      <c r="H8433" s="4">
        <v>7.61</v>
      </c>
      <c r="I8433" s="7">
        <v>26.68</v>
      </c>
      <c r="J8433" s="3" t="s">
        <v>521</v>
      </c>
      <c r="K8433" s="9">
        <v>40966</v>
      </c>
      <c r="L8433" s="6" t="s">
        <v>36</v>
      </c>
      <c r="M8433" s="3" t="s">
        <v>36</v>
      </c>
      <c r="N8433" s="3" t="s">
        <v>36</v>
      </c>
      <c r="O8433" s="8" t="s">
        <v>36</v>
      </c>
      <c r="P8433" s="3" t="s">
        <v>36</v>
      </c>
      <c r="Q8433" s="3" t="s">
        <v>36</v>
      </c>
      <c r="R8433" s="3" t="s">
        <v>36</v>
      </c>
      <c r="S8433" s="3" t="s">
        <v>36</v>
      </c>
      <c r="T8433" s="3" t="s">
        <v>7415</v>
      </c>
      <c r="U8433" s="3" t="s">
        <v>38</v>
      </c>
      <c r="V8433" s="3" t="s">
        <v>39</v>
      </c>
      <c r="W8433" s="3" t="s">
        <v>16698</v>
      </c>
      <c r="X8433" s="10" t="s">
        <v>33014</v>
      </c>
      <c r="Y8433" s="6" t="s">
        <v>42</v>
      </c>
      <c r="Z8433" s="4">
        <v>1.59</v>
      </c>
      <c r="AA8433" s="4">
        <v>5.95</v>
      </c>
      <c r="AB8433" s="3" t="s">
        <v>56</v>
      </c>
      <c r="AC8433" s="3" t="s">
        <v>16700</v>
      </c>
      <c r="AD8433" s="9">
        <v>40989</v>
      </c>
      <c r="AE8433" s="3" t="s">
        <v>1422</v>
      </c>
      <c r="AF8433" s="3" t="s">
        <v>4842</v>
      </c>
      <c r="AG8433" s="3" t="s">
        <v>81</v>
      </c>
      <c r="AH8433" s="11">
        <f>HYPERLINK("https://my.pitchbook.com?c=25499-26T","View Company Online")</f>
      </c>
    </row>
    <row r="8434">
      <c r="A8434" s="12" t="s">
        <v>36705</v>
      </c>
      <c r="B8434" s="12" t="s">
        <v>34892</v>
      </c>
      <c r="C8434" s="19" t="s">
        <v>36</v>
      </c>
      <c r="D8434" s="19" t="s">
        <v>36</v>
      </c>
      <c r="E8434" s="19" t="s">
        <v>36</v>
      </c>
      <c r="F8434" s="19" t="s">
        <v>36</v>
      </c>
      <c r="G8434" s="15" t="s">
        <v>36</v>
      </c>
      <c r="H8434" s="14" t="s">
        <v>36</v>
      </c>
      <c r="I8434" s="18" t="s">
        <v>36</v>
      </c>
      <c r="J8434" s="12" t="s">
        <v>36</v>
      </c>
      <c r="K8434" s="13" t="s">
        <v>36</v>
      </c>
      <c r="L8434" s="15" t="s">
        <v>122</v>
      </c>
      <c r="M8434" s="12" t="s">
        <v>36</v>
      </c>
      <c r="N8434" s="12" t="s">
        <v>122</v>
      </c>
      <c r="O8434" s="17" t="s">
        <v>36</v>
      </c>
      <c r="P8434" s="12" t="s">
        <v>36</v>
      </c>
      <c r="Q8434" s="12" t="s">
        <v>36</v>
      </c>
      <c r="R8434" s="12" t="s">
        <v>36</v>
      </c>
      <c r="S8434" s="12" t="s">
        <v>36</v>
      </c>
      <c r="T8434" s="12" t="s">
        <v>23878</v>
      </c>
      <c r="U8434" s="12" t="s">
        <v>279</v>
      </c>
      <c r="V8434" s="12" t="s">
        <v>64</v>
      </c>
      <c r="W8434" s="12" t="s">
        <v>34893</v>
      </c>
      <c r="X8434" s="16" t="s">
        <v>36706</v>
      </c>
      <c r="Y8434" s="15" t="s">
        <v>108</v>
      </c>
      <c r="Z8434" s="14">
        <v>4.3</v>
      </c>
      <c r="AA8434" s="14" t="s">
        <v>36</v>
      </c>
      <c r="AB8434" s="12" t="s">
        <v>43</v>
      </c>
      <c r="AC8434" s="12" t="s">
        <v>34895</v>
      </c>
      <c r="AD8434" s="13">
        <v>40988</v>
      </c>
      <c r="AE8434" s="12" t="s">
        <v>851</v>
      </c>
      <c r="AF8434" s="12" t="s">
        <v>1077</v>
      </c>
      <c r="AG8434" s="12" t="s">
        <v>102</v>
      </c>
      <c r="AH8434" s="1">
        <f>HYPERLINK("https://my.pitchbook.com?c=20928-70T","View Company Online")</f>
      </c>
    </row>
    <row r="8435">
      <c r="A8435" s="3" t="s">
        <v>36707</v>
      </c>
      <c r="B8435" s="3" t="s">
        <v>31433</v>
      </c>
      <c r="C8435" s="5" t="s">
        <v>36</v>
      </c>
      <c r="D8435" s="5" t="s">
        <v>36</v>
      </c>
      <c r="E8435" s="5" t="s">
        <v>36</v>
      </c>
      <c r="F8435" s="5" t="s">
        <v>36</v>
      </c>
      <c r="G8435" s="6" t="s">
        <v>36</v>
      </c>
      <c r="H8435" s="4" t="s">
        <v>36</v>
      </c>
      <c r="I8435" s="7" t="s">
        <v>36</v>
      </c>
      <c r="J8435" s="3" t="s">
        <v>36</v>
      </c>
      <c r="K8435" s="9" t="s">
        <v>36</v>
      </c>
      <c r="L8435" s="6" t="s">
        <v>36</v>
      </c>
      <c r="M8435" s="3" t="s">
        <v>36</v>
      </c>
      <c r="N8435" s="3" t="s">
        <v>36</v>
      </c>
      <c r="O8435" s="8" t="s">
        <v>36</v>
      </c>
      <c r="P8435" s="3" t="s">
        <v>36</v>
      </c>
      <c r="Q8435" s="3" t="s">
        <v>36</v>
      </c>
      <c r="R8435" s="3" t="s">
        <v>36</v>
      </c>
      <c r="S8435" s="3" t="s">
        <v>36</v>
      </c>
      <c r="T8435" s="3" t="s">
        <v>123</v>
      </c>
      <c r="U8435" s="3" t="s">
        <v>38</v>
      </c>
      <c r="V8435" s="3" t="s">
        <v>39</v>
      </c>
      <c r="W8435" s="3" t="s">
        <v>31434</v>
      </c>
      <c r="X8435" s="10" t="s">
        <v>36708</v>
      </c>
      <c r="Y8435" s="6" t="s">
        <v>108</v>
      </c>
      <c r="Z8435" s="4">
        <v>1.98</v>
      </c>
      <c r="AA8435" s="4" t="s">
        <v>36</v>
      </c>
      <c r="AB8435" s="3" t="s">
        <v>43</v>
      </c>
      <c r="AC8435" s="3" t="s">
        <v>31436</v>
      </c>
      <c r="AD8435" s="9">
        <v>40988</v>
      </c>
      <c r="AE8435" s="3" t="s">
        <v>110</v>
      </c>
      <c r="AF8435" s="3" t="s">
        <v>19562</v>
      </c>
      <c r="AG8435" s="3" t="s">
        <v>81</v>
      </c>
      <c r="AH8435" s="11">
        <f>HYPERLINK("https://my.pitchbook.com?c=52195-78T","View Company Online")</f>
      </c>
    </row>
    <row r="8436">
      <c r="A8436" s="12" t="s">
        <v>36709</v>
      </c>
      <c r="B8436" s="12" t="s">
        <v>36710</v>
      </c>
      <c r="C8436" s="19" t="s">
        <v>36</v>
      </c>
      <c r="D8436" s="19" t="s">
        <v>36</v>
      </c>
      <c r="E8436" s="19" t="s">
        <v>36</v>
      </c>
      <c r="F8436" s="19" t="s">
        <v>36</v>
      </c>
      <c r="G8436" s="15" t="s">
        <v>36</v>
      </c>
      <c r="H8436" s="14" t="s">
        <v>36</v>
      </c>
      <c r="I8436" s="18">
        <v>33</v>
      </c>
      <c r="J8436" s="12" t="s">
        <v>521</v>
      </c>
      <c r="K8436" s="13" t="s">
        <v>36</v>
      </c>
      <c r="L8436" s="15" t="s">
        <v>36</v>
      </c>
      <c r="M8436" s="12" t="s">
        <v>36</v>
      </c>
      <c r="N8436" s="12" t="s">
        <v>36</v>
      </c>
      <c r="O8436" s="17" t="s">
        <v>36</v>
      </c>
      <c r="P8436" s="12" t="s">
        <v>36</v>
      </c>
      <c r="Q8436" s="12" t="s">
        <v>36</v>
      </c>
      <c r="R8436" s="12" t="s">
        <v>36</v>
      </c>
      <c r="S8436" s="12" t="s">
        <v>36</v>
      </c>
      <c r="T8436" s="12" t="s">
        <v>36711</v>
      </c>
      <c r="U8436" s="12" t="s">
        <v>1502</v>
      </c>
      <c r="V8436" s="12" t="s">
        <v>75</v>
      </c>
      <c r="W8436" s="12" t="s">
        <v>36712</v>
      </c>
      <c r="X8436" s="16" t="s">
        <v>26808</v>
      </c>
      <c r="Y8436" s="15" t="s">
        <v>42</v>
      </c>
      <c r="Z8436" s="14">
        <v>1.98</v>
      </c>
      <c r="AA8436" s="14">
        <v>6.01</v>
      </c>
      <c r="AB8436" s="12" t="s">
        <v>56</v>
      </c>
      <c r="AC8436" s="12" t="s">
        <v>36713</v>
      </c>
      <c r="AD8436" s="13">
        <v>40987</v>
      </c>
      <c r="AE8436" s="12" t="s">
        <v>1506</v>
      </c>
      <c r="AF8436" s="12" t="s">
        <v>29190</v>
      </c>
      <c r="AG8436" s="12" t="s">
        <v>4637</v>
      </c>
      <c r="AH8436" s="1">
        <f>HYPERLINK("https://my.pitchbook.com?c=36352-81T","View Company Online")</f>
      </c>
    </row>
    <row r="8437">
      <c r="A8437" s="3" t="s">
        <v>36714</v>
      </c>
      <c r="B8437" s="3" t="s">
        <v>36715</v>
      </c>
      <c r="C8437" s="5" t="s">
        <v>36</v>
      </c>
      <c r="D8437" s="5" t="s">
        <v>36</v>
      </c>
      <c r="E8437" s="5" t="s">
        <v>36</v>
      </c>
      <c r="F8437" s="5" t="s">
        <v>36</v>
      </c>
      <c r="G8437" s="6" t="s">
        <v>36</v>
      </c>
      <c r="H8437" s="4" t="s">
        <v>36</v>
      </c>
      <c r="I8437" s="7" t="s">
        <v>36</v>
      </c>
      <c r="J8437" s="3" t="s">
        <v>36</v>
      </c>
      <c r="K8437" s="9" t="s">
        <v>36</v>
      </c>
      <c r="L8437" s="6" t="s">
        <v>94</v>
      </c>
      <c r="M8437" s="3" t="s">
        <v>36</v>
      </c>
      <c r="N8437" s="3" t="s">
        <v>94</v>
      </c>
      <c r="O8437" s="8" t="s">
        <v>36</v>
      </c>
      <c r="P8437" s="3" t="s">
        <v>36</v>
      </c>
      <c r="Q8437" s="3" t="s">
        <v>36</v>
      </c>
      <c r="R8437" s="3" t="s">
        <v>36</v>
      </c>
      <c r="S8437" s="3" t="s">
        <v>36</v>
      </c>
      <c r="T8437" s="3" t="s">
        <v>36716</v>
      </c>
      <c r="U8437" s="3" t="s">
        <v>279</v>
      </c>
      <c r="V8437" s="3" t="s">
        <v>64</v>
      </c>
      <c r="W8437" s="3" t="s">
        <v>36717</v>
      </c>
      <c r="X8437" s="10" t="s">
        <v>36718</v>
      </c>
      <c r="Y8437" s="6" t="s">
        <v>108</v>
      </c>
      <c r="Z8437" s="4">
        <v>2.7</v>
      </c>
      <c r="AA8437" s="4" t="s">
        <v>36</v>
      </c>
      <c r="AB8437" s="3" t="s">
        <v>43</v>
      </c>
      <c r="AC8437" s="3" t="s">
        <v>36719</v>
      </c>
      <c r="AD8437" s="9">
        <v>40984</v>
      </c>
      <c r="AE8437" s="3" t="s">
        <v>283</v>
      </c>
      <c r="AF8437" s="3" t="s">
        <v>1636</v>
      </c>
      <c r="AG8437" s="3" t="s">
        <v>81</v>
      </c>
      <c r="AH8437" s="11">
        <f>HYPERLINK("https://my.pitchbook.com?c=34986-25T","View Company Online")</f>
      </c>
    </row>
    <row r="8438">
      <c r="A8438" s="12" t="s">
        <v>36720</v>
      </c>
      <c r="B8438" s="12" t="s">
        <v>36721</v>
      </c>
      <c r="C8438" s="19" t="s">
        <v>36</v>
      </c>
      <c r="D8438" s="19" t="s">
        <v>36</v>
      </c>
      <c r="E8438" s="19" t="s">
        <v>36</v>
      </c>
      <c r="F8438" s="19" t="s">
        <v>36</v>
      </c>
      <c r="G8438" s="15" t="s">
        <v>36</v>
      </c>
      <c r="H8438" s="14" t="s">
        <v>36</v>
      </c>
      <c r="I8438" s="18" t="s">
        <v>36</v>
      </c>
      <c r="J8438" s="12" t="s">
        <v>36</v>
      </c>
      <c r="K8438" s="13" t="s">
        <v>36</v>
      </c>
      <c r="L8438" s="15" t="s">
        <v>36</v>
      </c>
      <c r="M8438" s="12" t="s">
        <v>36</v>
      </c>
      <c r="N8438" s="12" t="s">
        <v>36</v>
      </c>
      <c r="O8438" s="17" t="s">
        <v>36</v>
      </c>
      <c r="P8438" s="12" t="s">
        <v>36</v>
      </c>
      <c r="Q8438" s="12" t="s">
        <v>36</v>
      </c>
      <c r="R8438" s="12" t="s">
        <v>36</v>
      </c>
      <c r="S8438" s="12" t="s">
        <v>36</v>
      </c>
      <c r="T8438" s="12" t="s">
        <v>23878</v>
      </c>
      <c r="U8438" s="12" t="s">
        <v>279</v>
      </c>
      <c r="V8438" s="12" t="s">
        <v>64</v>
      </c>
      <c r="W8438" s="12" t="s">
        <v>36722</v>
      </c>
      <c r="X8438" s="16" t="s">
        <v>36723</v>
      </c>
      <c r="Y8438" s="15" t="s">
        <v>42</v>
      </c>
      <c r="Z8438" s="14">
        <v>1.32</v>
      </c>
      <c r="AA8438" s="14" t="s">
        <v>36</v>
      </c>
      <c r="AB8438" s="12" t="s">
        <v>43</v>
      </c>
      <c r="AC8438" s="12" t="s">
        <v>36724</v>
      </c>
      <c r="AD8438" s="13">
        <v>40984</v>
      </c>
      <c r="AE8438" s="12" t="s">
        <v>851</v>
      </c>
      <c r="AF8438" s="12" t="s">
        <v>1077</v>
      </c>
      <c r="AG8438" s="12" t="s">
        <v>27908</v>
      </c>
      <c r="AH8438" s="1">
        <f>HYPERLINK("https://my.pitchbook.com?c=53465-77T","View Company Online")</f>
      </c>
    </row>
    <row r="8439">
      <c r="A8439" s="3" t="s">
        <v>36725</v>
      </c>
      <c r="B8439" s="3" t="s">
        <v>9436</v>
      </c>
      <c r="C8439" s="5" t="s">
        <v>36</v>
      </c>
      <c r="D8439" s="5" t="s">
        <v>36</v>
      </c>
      <c r="E8439" s="5" t="s">
        <v>36</v>
      </c>
      <c r="F8439" s="5" t="s">
        <v>36</v>
      </c>
      <c r="G8439" s="6" t="s">
        <v>36</v>
      </c>
      <c r="H8439" s="4" t="s">
        <v>36</v>
      </c>
      <c r="I8439" s="7" t="s">
        <v>36</v>
      </c>
      <c r="J8439" s="3" t="s">
        <v>36</v>
      </c>
      <c r="K8439" s="9" t="s">
        <v>36</v>
      </c>
      <c r="L8439" s="6" t="s">
        <v>4010</v>
      </c>
      <c r="M8439" s="3" t="s">
        <v>36</v>
      </c>
      <c r="N8439" s="3" t="s">
        <v>4010</v>
      </c>
      <c r="O8439" s="8" t="s">
        <v>36</v>
      </c>
      <c r="P8439" s="3" t="s">
        <v>36</v>
      </c>
      <c r="Q8439" s="3" t="s">
        <v>36</v>
      </c>
      <c r="R8439" s="3" t="s">
        <v>36</v>
      </c>
      <c r="S8439" s="3" t="s">
        <v>36</v>
      </c>
      <c r="T8439" s="3" t="s">
        <v>1884</v>
      </c>
      <c r="U8439" s="3" t="s">
        <v>74</v>
      </c>
      <c r="V8439" s="3" t="s">
        <v>75</v>
      </c>
      <c r="W8439" s="3" t="s">
        <v>9437</v>
      </c>
      <c r="X8439" s="10" t="s">
        <v>36726</v>
      </c>
      <c r="Y8439" s="6" t="s">
        <v>55</v>
      </c>
      <c r="Z8439" s="4" t="s">
        <v>36</v>
      </c>
      <c r="AA8439" s="4" t="s">
        <v>36</v>
      </c>
      <c r="AB8439" s="3" t="s">
        <v>43</v>
      </c>
      <c r="AC8439" s="3" t="s">
        <v>9439</v>
      </c>
      <c r="AD8439" s="9">
        <v>40984</v>
      </c>
      <c r="AE8439" s="3" t="s">
        <v>1888</v>
      </c>
      <c r="AF8439" s="3" t="s">
        <v>36</v>
      </c>
      <c r="AG8439" s="3" t="s">
        <v>9440</v>
      </c>
      <c r="AH8439" s="11">
        <f>HYPERLINK("https://my.pitchbook.com?c=210173-14T","View Company Online")</f>
      </c>
    </row>
    <row r="8440">
      <c r="A8440" s="12" t="s">
        <v>36727</v>
      </c>
      <c r="B8440" s="12" t="s">
        <v>36728</v>
      </c>
      <c r="C8440" s="19" t="s">
        <v>36</v>
      </c>
      <c r="D8440" s="19" t="s">
        <v>36</v>
      </c>
      <c r="E8440" s="19" t="s">
        <v>36</v>
      </c>
      <c r="F8440" s="19" t="s">
        <v>36</v>
      </c>
      <c r="G8440" s="15" t="s">
        <v>36</v>
      </c>
      <c r="H8440" s="14" t="s">
        <v>36</v>
      </c>
      <c r="I8440" s="18" t="s">
        <v>36</v>
      </c>
      <c r="J8440" s="12" t="s">
        <v>36</v>
      </c>
      <c r="K8440" s="13" t="s">
        <v>36</v>
      </c>
      <c r="L8440" s="15" t="s">
        <v>36</v>
      </c>
      <c r="M8440" s="12" t="s">
        <v>36</v>
      </c>
      <c r="N8440" s="12" t="s">
        <v>36</v>
      </c>
      <c r="O8440" s="17" t="s">
        <v>36</v>
      </c>
      <c r="P8440" s="12" t="s">
        <v>36</v>
      </c>
      <c r="Q8440" s="12" t="s">
        <v>36</v>
      </c>
      <c r="R8440" s="12" t="s">
        <v>36</v>
      </c>
      <c r="S8440" s="12" t="s">
        <v>36</v>
      </c>
      <c r="T8440" s="12" t="s">
        <v>3887</v>
      </c>
      <c r="U8440" s="12" t="s">
        <v>619</v>
      </c>
      <c r="V8440" s="12" t="s">
        <v>378</v>
      </c>
      <c r="W8440" s="12" t="s">
        <v>36729</v>
      </c>
      <c r="X8440" s="16" t="s">
        <v>26808</v>
      </c>
      <c r="Y8440" s="15" t="s">
        <v>42</v>
      </c>
      <c r="Z8440" s="14" t="s">
        <v>36</v>
      </c>
      <c r="AA8440" s="14" t="s">
        <v>36</v>
      </c>
      <c r="AB8440" s="12" t="s">
        <v>43</v>
      </c>
      <c r="AC8440" s="12" t="s">
        <v>36730</v>
      </c>
      <c r="AD8440" s="13">
        <v>40984</v>
      </c>
      <c r="AE8440" s="12" t="s">
        <v>3891</v>
      </c>
      <c r="AF8440" s="12" t="s">
        <v>90</v>
      </c>
      <c r="AG8440" s="12" t="s">
        <v>36731</v>
      </c>
      <c r="AH8440" s="1">
        <f>HYPERLINK("https://my.pitchbook.com?c=35057-53T","View Company Online")</f>
      </c>
    </row>
    <row r="8441">
      <c r="A8441" s="3" t="s">
        <v>36732</v>
      </c>
      <c r="B8441" s="3" t="s">
        <v>36733</v>
      </c>
      <c r="C8441" s="5" t="s">
        <v>36</v>
      </c>
      <c r="D8441" s="5">
        <v>10</v>
      </c>
      <c r="E8441" s="5">
        <v>4</v>
      </c>
      <c r="F8441" s="5">
        <v>13</v>
      </c>
      <c r="G8441" s="6" t="s">
        <v>36</v>
      </c>
      <c r="H8441" s="4">
        <v>48.08</v>
      </c>
      <c r="I8441" s="7">
        <v>38.52</v>
      </c>
      <c r="J8441" s="3" t="s">
        <v>521</v>
      </c>
      <c r="K8441" s="9" t="s">
        <v>36</v>
      </c>
      <c r="L8441" s="6" t="s">
        <v>36</v>
      </c>
      <c r="M8441" s="3" t="s">
        <v>36</v>
      </c>
      <c r="N8441" s="3" t="s">
        <v>36</v>
      </c>
      <c r="O8441" s="8" t="s">
        <v>36</v>
      </c>
      <c r="P8441" s="3" t="s">
        <v>36</v>
      </c>
      <c r="Q8441" s="3" t="s">
        <v>36</v>
      </c>
      <c r="R8441" s="3" t="s">
        <v>36</v>
      </c>
      <c r="S8441" s="3" t="s">
        <v>3895</v>
      </c>
      <c r="T8441" s="3" t="s">
        <v>9757</v>
      </c>
      <c r="U8441" s="3" t="s">
        <v>38</v>
      </c>
      <c r="V8441" s="3" t="s">
        <v>39</v>
      </c>
      <c r="W8441" s="3" t="s">
        <v>36734</v>
      </c>
      <c r="X8441" s="10" t="s">
        <v>36735</v>
      </c>
      <c r="Y8441" s="6" t="s">
        <v>42</v>
      </c>
      <c r="Z8441" s="4">
        <v>4.23</v>
      </c>
      <c r="AA8441" s="4">
        <v>10.99</v>
      </c>
      <c r="AB8441" s="3" t="s">
        <v>56</v>
      </c>
      <c r="AC8441" s="3" t="s">
        <v>36736</v>
      </c>
      <c r="AD8441" s="9">
        <v>40984</v>
      </c>
      <c r="AE8441" s="3" t="s">
        <v>785</v>
      </c>
      <c r="AF8441" s="3" t="s">
        <v>36737</v>
      </c>
      <c r="AG8441" s="3" t="s">
        <v>3774</v>
      </c>
      <c r="AH8441" s="11">
        <f>HYPERLINK("https://my.pitchbook.com?c=194345-74T","View Company Online")</f>
      </c>
    </row>
    <row r="8442">
      <c r="A8442" s="12" t="s">
        <v>36738</v>
      </c>
      <c r="B8442" s="12" t="s">
        <v>30405</v>
      </c>
      <c r="C8442" s="19" t="s">
        <v>36</v>
      </c>
      <c r="D8442" s="19">
        <v>1</v>
      </c>
      <c r="E8442" s="19">
        <v>1</v>
      </c>
      <c r="F8442" s="19">
        <v>1</v>
      </c>
      <c r="G8442" s="15" t="s">
        <v>326</v>
      </c>
      <c r="H8442" s="14">
        <v>43.37</v>
      </c>
      <c r="I8442" s="18">
        <v>20.41</v>
      </c>
      <c r="J8442" s="12" t="s">
        <v>521</v>
      </c>
      <c r="K8442" s="13" t="s">
        <v>36</v>
      </c>
      <c r="L8442" s="15" t="s">
        <v>36</v>
      </c>
      <c r="M8442" s="12" t="s">
        <v>36</v>
      </c>
      <c r="N8442" s="12" t="s">
        <v>36</v>
      </c>
      <c r="O8442" s="17" t="s">
        <v>36</v>
      </c>
      <c r="P8442" s="12" t="s">
        <v>36</v>
      </c>
      <c r="Q8442" s="12" t="s">
        <v>36</v>
      </c>
      <c r="R8442" s="12" t="s">
        <v>36</v>
      </c>
      <c r="S8442" s="12" t="s">
        <v>36</v>
      </c>
      <c r="T8442" s="12" t="s">
        <v>30406</v>
      </c>
      <c r="U8442" s="12" t="s">
        <v>74</v>
      </c>
      <c r="V8442" s="12" t="s">
        <v>75</v>
      </c>
      <c r="W8442" s="12" t="s">
        <v>30407</v>
      </c>
      <c r="X8442" s="16" t="s">
        <v>36739</v>
      </c>
      <c r="Y8442" s="15" t="s">
        <v>42</v>
      </c>
      <c r="Z8442" s="14">
        <v>0.4</v>
      </c>
      <c r="AA8442" s="14">
        <v>1.95</v>
      </c>
      <c r="AB8442" s="12" t="s">
        <v>43</v>
      </c>
      <c r="AC8442" s="12" t="s">
        <v>30409</v>
      </c>
      <c r="AD8442" s="13">
        <v>40981</v>
      </c>
      <c r="AE8442" s="12" t="s">
        <v>975</v>
      </c>
      <c r="AF8442" s="12" t="s">
        <v>30410</v>
      </c>
      <c r="AG8442" s="12" t="s">
        <v>787</v>
      </c>
      <c r="AH8442" s="1">
        <f>HYPERLINK("https://my.pitchbook.com?c=39919-96T","View Company Online")</f>
      </c>
    </row>
    <row r="8443">
      <c r="A8443" s="3" t="s">
        <v>36740</v>
      </c>
      <c r="B8443" s="3" t="s">
        <v>36741</v>
      </c>
      <c r="C8443" s="5" t="s">
        <v>36</v>
      </c>
      <c r="D8443" s="5" t="s">
        <v>36</v>
      </c>
      <c r="E8443" s="5" t="s">
        <v>36</v>
      </c>
      <c r="F8443" s="5" t="s">
        <v>36</v>
      </c>
      <c r="G8443" s="6" t="s">
        <v>326</v>
      </c>
      <c r="H8443" s="4">
        <v>2122.41</v>
      </c>
      <c r="I8443" s="7">
        <v>27.67</v>
      </c>
      <c r="J8443" s="3" t="s">
        <v>521</v>
      </c>
      <c r="K8443" s="9" t="s">
        <v>36</v>
      </c>
      <c r="L8443" s="6" t="s">
        <v>36</v>
      </c>
      <c r="M8443" s="3" t="s">
        <v>36</v>
      </c>
      <c r="N8443" s="3" t="s">
        <v>36</v>
      </c>
      <c r="O8443" s="8" t="s">
        <v>36</v>
      </c>
      <c r="P8443" s="3" t="s">
        <v>36</v>
      </c>
      <c r="Q8443" s="3" t="s">
        <v>36</v>
      </c>
      <c r="R8443" s="3" t="s">
        <v>36</v>
      </c>
      <c r="S8443" s="3" t="s">
        <v>36</v>
      </c>
      <c r="T8443" s="3" t="s">
        <v>5039</v>
      </c>
      <c r="U8443" s="3" t="s">
        <v>74</v>
      </c>
      <c r="V8443" s="3" t="s">
        <v>75</v>
      </c>
      <c r="W8443" s="3" t="s">
        <v>36742</v>
      </c>
      <c r="X8443" s="10" t="s">
        <v>36743</v>
      </c>
      <c r="Y8443" s="6" t="s">
        <v>42</v>
      </c>
      <c r="Z8443" s="4">
        <v>2.94</v>
      </c>
      <c r="AA8443" s="4">
        <v>10.62</v>
      </c>
      <c r="AB8443" s="3" t="s">
        <v>43</v>
      </c>
      <c r="AC8443" s="3" t="s">
        <v>36744</v>
      </c>
      <c r="AD8443" s="9">
        <v>40981</v>
      </c>
      <c r="AE8443" s="3" t="s">
        <v>1243</v>
      </c>
      <c r="AF8443" s="3" t="s">
        <v>36</v>
      </c>
      <c r="AG8443" s="3" t="s">
        <v>81</v>
      </c>
      <c r="AH8443" s="11">
        <f>HYPERLINK("https://my.pitchbook.com?c=36427-24T","View Company Online")</f>
      </c>
    </row>
    <row r="8444">
      <c r="A8444" s="12" t="s">
        <v>36745</v>
      </c>
      <c r="B8444" s="12" t="s">
        <v>36746</v>
      </c>
      <c r="C8444" s="19" t="s">
        <v>36</v>
      </c>
      <c r="D8444" s="19" t="s">
        <v>36</v>
      </c>
      <c r="E8444" s="19" t="s">
        <v>36</v>
      </c>
      <c r="F8444" s="19" t="s">
        <v>36</v>
      </c>
      <c r="G8444" s="15" t="s">
        <v>36</v>
      </c>
      <c r="H8444" s="14" t="s">
        <v>36</v>
      </c>
      <c r="I8444" s="18" t="s">
        <v>36</v>
      </c>
      <c r="J8444" s="12" t="s">
        <v>36</v>
      </c>
      <c r="K8444" s="13" t="s">
        <v>36</v>
      </c>
      <c r="L8444" s="15" t="s">
        <v>36</v>
      </c>
      <c r="M8444" s="12" t="s">
        <v>36</v>
      </c>
      <c r="N8444" s="12" t="s">
        <v>36</v>
      </c>
      <c r="O8444" s="17" t="s">
        <v>36</v>
      </c>
      <c r="P8444" s="12" t="s">
        <v>36</v>
      </c>
      <c r="Q8444" s="12" t="s">
        <v>36</v>
      </c>
      <c r="R8444" s="12" t="s">
        <v>36</v>
      </c>
      <c r="S8444" s="12" t="s">
        <v>36</v>
      </c>
      <c r="T8444" s="12" t="s">
        <v>12800</v>
      </c>
      <c r="U8444" s="12" t="s">
        <v>833</v>
      </c>
      <c r="V8444" s="12" t="s">
        <v>64</v>
      </c>
      <c r="W8444" s="12" t="s">
        <v>36747</v>
      </c>
      <c r="X8444" s="16" t="s">
        <v>221</v>
      </c>
      <c r="Y8444" s="15" t="s">
        <v>42</v>
      </c>
      <c r="Z8444" s="14" t="s">
        <v>36</v>
      </c>
      <c r="AA8444" s="14" t="s">
        <v>36</v>
      </c>
      <c r="AB8444" s="12" t="s">
        <v>43</v>
      </c>
      <c r="AC8444" s="12" t="s">
        <v>36748</v>
      </c>
      <c r="AD8444" s="13">
        <v>40977</v>
      </c>
      <c r="AE8444" s="12" t="s">
        <v>1687</v>
      </c>
      <c r="AF8444" s="12" t="s">
        <v>2118</v>
      </c>
      <c r="AG8444" s="12" t="s">
        <v>81</v>
      </c>
      <c r="AH8444" s="1">
        <f>HYPERLINK("https://my.pitchbook.com?c=50736-25T","View Company Online")</f>
      </c>
    </row>
    <row r="8445">
      <c r="A8445" s="3" t="s">
        <v>36749</v>
      </c>
      <c r="B8445" s="3" t="s">
        <v>36750</v>
      </c>
      <c r="C8445" s="5" t="s">
        <v>36</v>
      </c>
      <c r="D8445" s="5" t="s">
        <v>36</v>
      </c>
      <c r="E8445" s="5" t="s">
        <v>36</v>
      </c>
      <c r="F8445" s="5" t="s">
        <v>36</v>
      </c>
      <c r="G8445" s="6" t="s">
        <v>36</v>
      </c>
      <c r="H8445" s="4">
        <v>68.15</v>
      </c>
      <c r="I8445" s="7">
        <v>30.95</v>
      </c>
      <c r="J8445" s="3" t="s">
        <v>521</v>
      </c>
      <c r="K8445" s="9" t="s">
        <v>36</v>
      </c>
      <c r="L8445" s="6" t="s">
        <v>36</v>
      </c>
      <c r="M8445" s="3" t="s">
        <v>36</v>
      </c>
      <c r="N8445" s="3" t="s">
        <v>36</v>
      </c>
      <c r="O8445" s="8" t="s">
        <v>36</v>
      </c>
      <c r="P8445" s="3" t="s">
        <v>36</v>
      </c>
      <c r="Q8445" s="3" t="s">
        <v>36</v>
      </c>
      <c r="R8445" s="3" t="s">
        <v>36</v>
      </c>
      <c r="S8445" s="3" t="s">
        <v>36</v>
      </c>
      <c r="T8445" s="3" t="s">
        <v>33618</v>
      </c>
      <c r="U8445" s="3" t="s">
        <v>423</v>
      </c>
      <c r="V8445" s="3" t="s">
        <v>64</v>
      </c>
      <c r="W8445" s="3" t="s">
        <v>36751</v>
      </c>
      <c r="X8445" s="10" t="s">
        <v>36752</v>
      </c>
      <c r="Y8445" s="6" t="s">
        <v>42</v>
      </c>
      <c r="Z8445" s="4">
        <v>0.07</v>
      </c>
      <c r="AA8445" s="4">
        <v>0.21</v>
      </c>
      <c r="AB8445" s="3" t="s">
        <v>56</v>
      </c>
      <c r="AC8445" s="3" t="s">
        <v>36753</v>
      </c>
      <c r="AD8445" s="9">
        <v>40974</v>
      </c>
      <c r="AE8445" s="3" t="s">
        <v>2871</v>
      </c>
      <c r="AF8445" s="3" t="s">
        <v>733</v>
      </c>
      <c r="AG8445" s="3" t="s">
        <v>347</v>
      </c>
      <c r="AH8445" s="11">
        <f>HYPERLINK("https://my.pitchbook.com?c=27749-17T","View Company Online")</f>
      </c>
    </row>
    <row r="8446">
      <c r="A8446" s="12" t="s">
        <v>36754</v>
      </c>
      <c r="B8446" s="12" t="s">
        <v>35162</v>
      </c>
      <c r="C8446" s="19">
        <v>16</v>
      </c>
      <c r="D8446" s="19">
        <v>190</v>
      </c>
      <c r="E8446" s="19">
        <v>45</v>
      </c>
      <c r="F8446" s="19">
        <v>349</v>
      </c>
      <c r="G8446" s="15" t="s">
        <v>36</v>
      </c>
      <c r="H8446" s="14" t="s">
        <v>36</v>
      </c>
      <c r="I8446" s="18" t="s">
        <v>36</v>
      </c>
      <c r="J8446" s="12" t="s">
        <v>36</v>
      </c>
      <c r="K8446" s="13" t="s">
        <v>36</v>
      </c>
      <c r="L8446" s="15" t="s">
        <v>36</v>
      </c>
      <c r="M8446" s="12" t="s">
        <v>36</v>
      </c>
      <c r="N8446" s="12" t="s">
        <v>36</v>
      </c>
      <c r="O8446" s="17" t="s">
        <v>36</v>
      </c>
      <c r="P8446" s="12" t="s">
        <v>36</v>
      </c>
      <c r="Q8446" s="12" t="s">
        <v>36</v>
      </c>
      <c r="R8446" s="12" t="s">
        <v>36</v>
      </c>
      <c r="S8446" s="12" t="s">
        <v>36</v>
      </c>
      <c r="T8446" s="12" t="s">
        <v>35163</v>
      </c>
      <c r="U8446" s="12" t="s">
        <v>96</v>
      </c>
      <c r="V8446" s="12" t="s">
        <v>52</v>
      </c>
      <c r="W8446" s="12" t="s">
        <v>35164</v>
      </c>
      <c r="X8446" s="16" t="s">
        <v>36755</v>
      </c>
      <c r="Y8446" s="15" t="s">
        <v>166</v>
      </c>
      <c r="Z8446" s="14">
        <v>2.19</v>
      </c>
      <c r="AA8446" s="14" t="s">
        <v>36</v>
      </c>
      <c r="AB8446" s="12" t="s">
        <v>56</v>
      </c>
      <c r="AC8446" s="12" t="s">
        <v>35166</v>
      </c>
      <c r="AD8446" s="13">
        <v>40973</v>
      </c>
      <c r="AE8446" s="12" t="s">
        <v>12392</v>
      </c>
      <c r="AF8446" s="12" t="s">
        <v>571</v>
      </c>
      <c r="AG8446" s="12" t="s">
        <v>580</v>
      </c>
      <c r="AH8446" s="1">
        <f>HYPERLINK("https://my.pitchbook.com?c=31400-83T","View Company Online")</f>
      </c>
    </row>
    <row r="8447">
      <c r="A8447" s="3" t="s">
        <v>36756</v>
      </c>
      <c r="B8447" s="3" t="s">
        <v>35701</v>
      </c>
      <c r="C8447" s="5" t="s">
        <v>36</v>
      </c>
      <c r="D8447" s="5" t="s">
        <v>36</v>
      </c>
      <c r="E8447" s="5" t="s">
        <v>36</v>
      </c>
      <c r="F8447" s="5" t="s">
        <v>36</v>
      </c>
      <c r="G8447" s="6" t="s">
        <v>326</v>
      </c>
      <c r="H8447" s="4">
        <v>130.09</v>
      </c>
      <c r="I8447" s="7">
        <v>42.53</v>
      </c>
      <c r="J8447" s="3" t="s">
        <v>521</v>
      </c>
      <c r="K8447" s="9" t="s">
        <v>36</v>
      </c>
      <c r="L8447" s="6" t="s">
        <v>94</v>
      </c>
      <c r="M8447" s="3" t="s">
        <v>36</v>
      </c>
      <c r="N8447" s="3" t="s">
        <v>94</v>
      </c>
      <c r="O8447" s="8" t="s">
        <v>36</v>
      </c>
      <c r="P8447" s="3" t="s">
        <v>36</v>
      </c>
      <c r="Q8447" s="3" t="s">
        <v>36</v>
      </c>
      <c r="R8447" s="3" t="s">
        <v>36</v>
      </c>
      <c r="S8447" s="3" t="s">
        <v>36</v>
      </c>
      <c r="T8447" s="3" t="s">
        <v>1560</v>
      </c>
      <c r="U8447" s="3" t="s">
        <v>438</v>
      </c>
      <c r="V8447" s="3" t="s">
        <v>405</v>
      </c>
      <c r="W8447" s="3" t="s">
        <v>35702</v>
      </c>
      <c r="X8447" s="10" t="s">
        <v>36757</v>
      </c>
      <c r="Y8447" s="6" t="s">
        <v>55</v>
      </c>
      <c r="Z8447" s="4">
        <v>5.52</v>
      </c>
      <c r="AA8447" s="4">
        <v>9.4</v>
      </c>
      <c r="AB8447" s="3" t="s">
        <v>43</v>
      </c>
      <c r="AC8447" s="3" t="s">
        <v>35704</v>
      </c>
      <c r="AD8447" s="9">
        <v>40970</v>
      </c>
      <c r="AE8447" s="3" t="s">
        <v>438</v>
      </c>
      <c r="AF8447" s="3" t="s">
        <v>36</v>
      </c>
      <c r="AG8447" s="3" t="s">
        <v>81</v>
      </c>
      <c r="AH8447" s="11">
        <f>HYPERLINK("https://my.pitchbook.com?c=25748-56T","View Company Online")</f>
      </c>
    </row>
    <row r="8448">
      <c r="A8448" s="12" t="s">
        <v>36758</v>
      </c>
      <c r="B8448" s="12" t="s">
        <v>36759</v>
      </c>
      <c r="C8448" s="19" t="s">
        <v>36</v>
      </c>
      <c r="D8448" s="19" t="s">
        <v>36</v>
      </c>
      <c r="E8448" s="19" t="s">
        <v>36</v>
      </c>
      <c r="F8448" s="19" t="s">
        <v>36</v>
      </c>
      <c r="G8448" s="15" t="s">
        <v>36</v>
      </c>
      <c r="H8448" s="14" t="s">
        <v>36</v>
      </c>
      <c r="I8448" s="18" t="s">
        <v>36</v>
      </c>
      <c r="J8448" s="12" t="s">
        <v>36</v>
      </c>
      <c r="K8448" s="13" t="s">
        <v>36</v>
      </c>
      <c r="L8448" s="15" t="s">
        <v>36</v>
      </c>
      <c r="M8448" s="12" t="s">
        <v>36</v>
      </c>
      <c r="N8448" s="12" t="s">
        <v>36</v>
      </c>
      <c r="O8448" s="17" t="s">
        <v>36</v>
      </c>
      <c r="P8448" s="12" t="s">
        <v>36</v>
      </c>
      <c r="Q8448" s="12" t="s">
        <v>36</v>
      </c>
      <c r="R8448" s="12" t="s">
        <v>36</v>
      </c>
      <c r="S8448" s="12" t="s">
        <v>36</v>
      </c>
      <c r="T8448" s="12" t="s">
        <v>1701</v>
      </c>
      <c r="U8448" s="12" t="s">
        <v>74</v>
      </c>
      <c r="V8448" s="12" t="s">
        <v>75</v>
      </c>
      <c r="W8448" s="12" t="s">
        <v>36760</v>
      </c>
      <c r="X8448" s="16" t="s">
        <v>36761</v>
      </c>
      <c r="Y8448" s="15" t="s">
        <v>108</v>
      </c>
      <c r="Z8448" s="14">
        <v>1.59</v>
      </c>
      <c r="AA8448" s="14" t="s">
        <v>36</v>
      </c>
      <c r="AB8448" s="12" t="s">
        <v>43</v>
      </c>
      <c r="AC8448" s="12" t="s">
        <v>36762</v>
      </c>
      <c r="AD8448" s="13">
        <v>40969</v>
      </c>
      <c r="AE8448" s="12" t="s">
        <v>79</v>
      </c>
      <c r="AF8448" s="12" t="s">
        <v>2210</v>
      </c>
      <c r="AG8448" s="12" t="s">
        <v>81</v>
      </c>
      <c r="AH8448" s="1">
        <f>HYPERLINK("https://my.pitchbook.com?c=28622-53T","View Company Online")</f>
      </c>
    </row>
    <row r="8449">
      <c r="A8449" s="3" t="s">
        <v>36763</v>
      </c>
      <c r="B8449" s="3" t="s">
        <v>36764</v>
      </c>
      <c r="C8449" s="5" t="s">
        <v>36</v>
      </c>
      <c r="D8449" s="5">
        <v>15</v>
      </c>
      <c r="E8449" s="5">
        <v>2</v>
      </c>
      <c r="F8449" s="5">
        <v>16</v>
      </c>
      <c r="G8449" s="6" t="s">
        <v>36</v>
      </c>
      <c r="H8449" s="4" t="s">
        <v>36</v>
      </c>
      <c r="I8449" s="7" t="s">
        <v>36</v>
      </c>
      <c r="J8449" s="3" t="s">
        <v>36</v>
      </c>
      <c r="K8449" s="9" t="s">
        <v>36</v>
      </c>
      <c r="L8449" s="6" t="s">
        <v>36</v>
      </c>
      <c r="M8449" s="3" t="s">
        <v>36</v>
      </c>
      <c r="N8449" s="3" t="s">
        <v>36</v>
      </c>
      <c r="O8449" s="8" t="s">
        <v>36</v>
      </c>
      <c r="P8449" s="3" t="s">
        <v>36</v>
      </c>
      <c r="Q8449" s="3" t="s">
        <v>36</v>
      </c>
      <c r="R8449" s="3" t="s">
        <v>36</v>
      </c>
      <c r="S8449" s="3" t="s">
        <v>36</v>
      </c>
      <c r="T8449" s="3" t="s">
        <v>36533</v>
      </c>
      <c r="U8449" s="3" t="s">
        <v>423</v>
      </c>
      <c r="V8449" s="3" t="s">
        <v>64</v>
      </c>
      <c r="W8449" s="3" t="s">
        <v>36765</v>
      </c>
      <c r="X8449" s="10" t="s">
        <v>36766</v>
      </c>
      <c r="Y8449" s="6" t="s">
        <v>108</v>
      </c>
      <c r="Z8449" s="4">
        <v>0.59</v>
      </c>
      <c r="AA8449" s="4" t="s">
        <v>36</v>
      </c>
      <c r="AB8449" s="3" t="s">
        <v>43</v>
      </c>
      <c r="AC8449" s="3" t="s">
        <v>36767</v>
      </c>
      <c r="AD8449" s="9">
        <v>40969</v>
      </c>
      <c r="AE8449" s="3" t="s">
        <v>562</v>
      </c>
      <c r="AF8449" s="3" t="s">
        <v>1275</v>
      </c>
      <c r="AG8449" s="3" t="s">
        <v>2370</v>
      </c>
      <c r="AH8449" s="11">
        <f>HYPERLINK("https://my.pitchbook.com?c=29792-17T","View Company Online")</f>
      </c>
    </row>
    <row r="8450">
      <c r="A8450" s="12" t="s">
        <v>36768</v>
      </c>
      <c r="B8450" s="12" t="s">
        <v>27230</v>
      </c>
      <c r="C8450" s="19">
        <v>10</v>
      </c>
      <c r="D8450" s="19">
        <v>76</v>
      </c>
      <c r="E8450" s="19">
        <v>17</v>
      </c>
      <c r="F8450" s="19">
        <v>88</v>
      </c>
      <c r="G8450" s="15" t="s">
        <v>36</v>
      </c>
      <c r="H8450" s="14">
        <v>145.4</v>
      </c>
      <c r="I8450" s="18">
        <v>8.54</v>
      </c>
      <c r="J8450" s="12" t="s">
        <v>521</v>
      </c>
      <c r="K8450" s="13" t="s">
        <v>36</v>
      </c>
      <c r="L8450" s="15" t="s">
        <v>36</v>
      </c>
      <c r="M8450" s="12" t="s">
        <v>36</v>
      </c>
      <c r="N8450" s="12" t="s">
        <v>36</v>
      </c>
      <c r="O8450" s="17" t="s">
        <v>36</v>
      </c>
      <c r="P8450" s="12" t="s">
        <v>36</v>
      </c>
      <c r="Q8450" s="12" t="s">
        <v>36</v>
      </c>
      <c r="R8450" s="12" t="s">
        <v>36</v>
      </c>
      <c r="S8450" s="12" t="s">
        <v>36</v>
      </c>
      <c r="T8450" s="12" t="s">
        <v>27231</v>
      </c>
      <c r="U8450" s="12" t="s">
        <v>96</v>
      </c>
      <c r="V8450" s="12" t="s">
        <v>52</v>
      </c>
      <c r="W8450" s="12" t="s">
        <v>27232</v>
      </c>
      <c r="X8450" s="16" t="s">
        <v>12372</v>
      </c>
      <c r="Y8450" s="15" t="s">
        <v>42</v>
      </c>
      <c r="Z8450" s="14">
        <v>0.26</v>
      </c>
      <c r="AA8450" s="14">
        <v>3.04</v>
      </c>
      <c r="AB8450" s="12" t="s">
        <v>43</v>
      </c>
      <c r="AC8450" s="12" t="s">
        <v>27234</v>
      </c>
      <c r="AD8450" s="13">
        <v>40969</v>
      </c>
      <c r="AE8450" s="12" t="s">
        <v>1414</v>
      </c>
      <c r="AF8450" s="12" t="s">
        <v>36</v>
      </c>
      <c r="AG8450" s="12" t="s">
        <v>3595</v>
      </c>
      <c r="AH8450" s="1">
        <f>HYPERLINK("https://my.pitchbook.com?c=76278-61T","View Company Online")</f>
      </c>
    </row>
    <row r="8451">
      <c r="A8451" s="3" t="s">
        <v>36769</v>
      </c>
      <c r="B8451" s="3" t="s">
        <v>27045</v>
      </c>
      <c r="C8451" s="5" t="s">
        <v>36</v>
      </c>
      <c r="D8451" s="5" t="s">
        <v>36</v>
      </c>
      <c r="E8451" s="5">
        <v>2</v>
      </c>
      <c r="F8451" s="5">
        <v>2</v>
      </c>
      <c r="G8451" s="6" t="s">
        <v>2497</v>
      </c>
      <c r="H8451" s="4">
        <v>163.23</v>
      </c>
      <c r="I8451" s="7">
        <v>16.21</v>
      </c>
      <c r="J8451" s="3" t="s">
        <v>521</v>
      </c>
      <c r="K8451" s="9">
        <v>40946</v>
      </c>
      <c r="L8451" s="6" t="s">
        <v>36</v>
      </c>
      <c r="M8451" s="3" t="s">
        <v>36</v>
      </c>
      <c r="N8451" s="3" t="s">
        <v>36</v>
      </c>
      <c r="O8451" s="8" t="s">
        <v>36</v>
      </c>
      <c r="P8451" s="3" t="s">
        <v>36</v>
      </c>
      <c r="Q8451" s="3" t="s">
        <v>36</v>
      </c>
      <c r="R8451" s="3" t="s">
        <v>36</v>
      </c>
      <c r="S8451" s="3" t="s">
        <v>36</v>
      </c>
      <c r="T8451" s="3" t="s">
        <v>27046</v>
      </c>
      <c r="U8451" s="3" t="s">
        <v>38</v>
      </c>
      <c r="V8451" s="3" t="s">
        <v>39</v>
      </c>
      <c r="W8451" s="3" t="s">
        <v>27047</v>
      </c>
      <c r="X8451" s="10" t="s">
        <v>36770</v>
      </c>
      <c r="Y8451" s="6" t="s">
        <v>108</v>
      </c>
      <c r="Z8451" s="4">
        <v>0.79</v>
      </c>
      <c r="AA8451" s="4">
        <v>4.89</v>
      </c>
      <c r="AB8451" s="3" t="s">
        <v>43</v>
      </c>
      <c r="AC8451" s="3" t="s">
        <v>27049</v>
      </c>
      <c r="AD8451" s="9">
        <v>40968</v>
      </c>
      <c r="AE8451" s="3" t="s">
        <v>45</v>
      </c>
      <c r="AF8451" s="3" t="s">
        <v>17475</v>
      </c>
      <c r="AG8451" s="3" t="s">
        <v>81</v>
      </c>
      <c r="AH8451" s="11">
        <f>HYPERLINK("https://my.pitchbook.com?c=24812-02T","View Company Online")</f>
      </c>
    </row>
    <row r="8452">
      <c r="A8452" s="12" t="s">
        <v>36771</v>
      </c>
      <c r="B8452" s="12" t="s">
        <v>36772</v>
      </c>
      <c r="C8452" s="19" t="s">
        <v>36</v>
      </c>
      <c r="D8452" s="19" t="s">
        <v>36</v>
      </c>
      <c r="E8452" s="19" t="s">
        <v>36</v>
      </c>
      <c r="F8452" s="19" t="s">
        <v>36</v>
      </c>
      <c r="G8452" s="15" t="s">
        <v>36</v>
      </c>
      <c r="H8452" s="14" t="s">
        <v>36</v>
      </c>
      <c r="I8452" s="18" t="s">
        <v>36</v>
      </c>
      <c r="J8452" s="12" t="s">
        <v>36</v>
      </c>
      <c r="K8452" s="13" t="s">
        <v>36</v>
      </c>
      <c r="L8452" s="15" t="s">
        <v>36</v>
      </c>
      <c r="M8452" s="12" t="s">
        <v>36</v>
      </c>
      <c r="N8452" s="12" t="s">
        <v>36</v>
      </c>
      <c r="O8452" s="17" t="s">
        <v>36</v>
      </c>
      <c r="P8452" s="12" t="s">
        <v>36</v>
      </c>
      <c r="Q8452" s="12" t="s">
        <v>36</v>
      </c>
      <c r="R8452" s="12" t="s">
        <v>36</v>
      </c>
      <c r="S8452" s="12" t="s">
        <v>36</v>
      </c>
      <c r="T8452" s="12" t="s">
        <v>36773</v>
      </c>
      <c r="U8452" s="12" t="s">
        <v>289</v>
      </c>
      <c r="V8452" s="12" t="s">
        <v>64</v>
      </c>
      <c r="W8452" s="12" t="s">
        <v>36774</v>
      </c>
      <c r="X8452" s="16" t="s">
        <v>36775</v>
      </c>
      <c r="Y8452" s="15" t="s">
        <v>42</v>
      </c>
      <c r="Z8452" s="14" t="s">
        <v>36</v>
      </c>
      <c r="AA8452" s="14" t="s">
        <v>36</v>
      </c>
      <c r="AB8452" s="12" t="s">
        <v>56</v>
      </c>
      <c r="AC8452" s="12" t="s">
        <v>36776</v>
      </c>
      <c r="AD8452" s="13">
        <v>40967</v>
      </c>
      <c r="AE8452" s="12" t="s">
        <v>3134</v>
      </c>
      <c r="AF8452" s="12" t="s">
        <v>2118</v>
      </c>
      <c r="AG8452" s="12" t="s">
        <v>36777</v>
      </c>
      <c r="AH8452" s="1">
        <f>HYPERLINK("https://my.pitchbook.com?c=30018-16T","View Company Online")</f>
      </c>
    </row>
    <row r="8453">
      <c r="A8453" s="3" t="s">
        <v>36778</v>
      </c>
      <c r="B8453" s="3" t="s">
        <v>36779</v>
      </c>
      <c r="C8453" s="5" t="s">
        <v>36</v>
      </c>
      <c r="D8453" s="5">
        <v>2</v>
      </c>
      <c r="E8453" s="5">
        <v>2</v>
      </c>
      <c r="F8453" s="5">
        <v>3</v>
      </c>
      <c r="G8453" s="6" t="s">
        <v>2497</v>
      </c>
      <c r="H8453" s="4">
        <v>0.81</v>
      </c>
      <c r="I8453" s="7">
        <v>53.12</v>
      </c>
      <c r="J8453" s="3" t="s">
        <v>521</v>
      </c>
      <c r="K8453" s="9" t="s">
        <v>36</v>
      </c>
      <c r="L8453" s="6" t="s">
        <v>36</v>
      </c>
      <c r="M8453" s="3" t="s">
        <v>36</v>
      </c>
      <c r="N8453" s="3" t="s">
        <v>36</v>
      </c>
      <c r="O8453" s="8" t="s">
        <v>36</v>
      </c>
      <c r="P8453" s="3" t="s">
        <v>36</v>
      </c>
      <c r="Q8453" s="3" t="s">
        <v>36</v>
      </c>
      <c r="R8453" s="3" t="s">
        <v>36</v>
      </c>
      <c r="S8453" s="3" t="s">
        <v>36</v>
      </c>
      <c r="T8453" s="3" t="s">
        <v>36780</v>
      </c>
      <c r="U8453" s="3" t="s">
        <v>1580</v>
      </c>
      <c r="V8453" s="3" t="s">
        <v>39</v>
      </c>
      <c r="W8453" s="3" t="s">
        <v>36781</v>
      </c>
      <c r="X8453" s="10" t="s">
        <v>36782</v>
      </c>
      <c r="Y8453" s="6" t="s">
        <v>55</v>
      </c>
      <c r="Z8453" s="4">
        <v>1.81</v>
      </c>
      <c r="AA8453" s="4">
        <v>3.41</v>
      </c>
      <c r="AB8453" s="3" t="s">
        <v>56</v>
      </c>
      <c r="AC8453" s="3" t="s">
        <v>36783</v>
      </c>
      <c r="AD8453" s="9">
        <v>40966</v>
      </c>
      <c r="AE8453" s="3" t="s">
        <v>4086</v>
      </c>
      <c r="AF8453" s="3" t="s">
        <v>1636</v>
      </c>
      <c r="AG8453" s="3" t="s">
        <v>2133</v>
      </c>
      <c r="AH8453" s="11">
        <f>HYPERLINK("https://my.pitchbook.com?c=29585-44T","View Company Online")</f>
      </c>
    </row>
    <row r="8454">
      <c r="A8454" s="12" t="s">
        <v>36784</v>
      </c>
      <c r="B8454" s="12" t="s">
        <v>36785</v>
      </c>
      <c r="C8454" s="19" t="s">
        <v>36</v>
      </c>
      <c r="D8454" s="19" t="s">
        <v>36</v>
      </c>
      <c r="E8454" s="19" t="s">
        <v>36</v>
      </c>
      <c r="F8454" s="19" t="s">
        <v>36</v>
      </c>
      <c r="G8454" s="15" t="s">
        <v>36</v>
      </c>
      <c r="H8454" s="14" t="s">
        <v>36</v>
      </c>
      <c r="I8454" s="18" t="s">
        <v>36</v>
      </c>
      <c r="J8454" s="12" t="s">
        <v>36</v>
      </c>
      <c r="K8454" s="13" t="s">
        <v>36</v>
      </c>
      <c r="L8454" s="15" t="s">
        <v>36</v>
      </c>
      <c r="M8454" s="12" t="s">
        <v>36</v>
      </c>
      <c r="N8454" s="12" t="s">
        <v>36</v>
      </c>
      <c r="O8454" s="17" t="s">
        <v>36</v>
      </c>
      <c r="P8454" s="12" t="s">
        <v>36</v>
      </c>
      <c r="Q8454" s="12" t="s">
        <v>36</v>
      </c>
      <c r="R8454" s="12" t="s">
        <v>36</v>
      </c>
      <c r="S8454" s="12" t="s">
        <v>36</v>
      </c>
      <c r="T8454" s="12" t="s">
        <v>22674</v>
      </c>
      <c r="U8454" s="12" t="s">
        <v>833</v>
      </c>
      <c r="V8454" s="12" t="s">
        <v>64</v>
      </c>
      <c r="W8454" s="12" t="s">
        <v>36786</v>
      </c>
      <c r="X8454" s="16" t="s">
        <v>36787</v>
      </c>
      <c r="Y8454" s="15" t="s">
        <v>108</v>
      </c>
      <c r="Z8454" s="14">
        <v>3.29</v>
      </c>
      <c r="AA8454" s="14" t="s">
        <v>36</v>
      </c>
      <c r="AB8454" s="12" t="s">
        <v>43</v>
      </c>
      <c r="AC8454" s="12" t="s">
        <v>36788</v>
      </c>
      <c r="AD8454" s="13">
        <v>40959</v>
      </c>
      <c r="AE8454" s="12" t="s">
        <v>837</v>
      </c>
      <c r="AF8454" s="12" t="s">
        <v>36</v>
      </c>
      <c r="AG8454" s="12" t="s">
        <v>36789</v>
      </c>
      <c r="AH8454" s="1">
        <f>HYPERLINK("https://my.pitchbook.com?c=36318-16T","View Company Online")</f>
      </c>
    </row>
    <row r="8455">
      <c r="A8455" s="3" t="s">
        <v>36790</v>
      </c>
      <c r="B8455" s="3" t="s">
        <v>36791</v>
      </c>
      <c r="C8455" s="5" t="s">
        <v>36</v>
      </c>
      <c r="D8455" s="5" t="s">
        <v>36</v>
      </c>
      <c r="E8455" s="5" t="s">
        <v>36</v>
      </c>
      <c r="F8455" s="5" t="s">
        <v>36</v>
      </c>
      <c r="G8455" s="6" t="s">
        <v>36</v>
      </c>
      <c r="H8455" s="4">
        <v>8.31</v>
      </c>
      <c r="I8455" s="7">
        <v>92.6</v>
      </c>
      <c r="J8455" s="3" t="s">
        <v>327</v>
      </c>
      <c r="K8455" s="9" t="s">
        <v>36</v>
      </c>
      <c r="L8455" s="6" t="s">
        <v>36</v>
      </c>
      <c r="M8455" s="3" t="s">
        <v>36</v>
      </c>
      <c r="N8455" s="3" t="s">
        <v>36</v>
      </c>
      <c r="O8455" s="8" t="s">
        <v>36</v>
      </c>
      <c r="P8455" s="3" t="s">
        <v>36</v>
      </c>
      <c r="Q8455" s="3" t="s">
        <v>36</v>
      </c>
      <c r="R8455" s="3" t="s">
        <v>36</v>
      </c>
      <c r="S8455" s="3" t="s">
        <v>36</v>
      </c>
      <c r="T8455" s="3" t="s">
        <v>15544</v>
      </c>
      <c r="U8455" s="3" t="s">
        <v>289</v>
      </c>
      <c r="V8455" s="3" t="s">
        <v>64</v>
      </c>
      <c r="W8455" s="3" t="s">
        <v>36792</v>
      </c>
      <c r="X8455" s="10" t="s">
        <v>36793</v>
      </c>
      <c r="Y8455" s="6" t="s">
        <v>42</v>
      </c>
      <c r="Z8455" s="4">
        <v>5.25</v>
      </c>
      <c r="AA8455" s="4">
        <v>5.67</v>
      </c>
      <c r="AB8455" s="3" t="s">
        <v>56</v>
      </c>
      <c r="AC8455" s="3" t="s">
        <v>36794</v>
      </c>
      <c r="AD8455" s="9">
        <v>40958</v>
      </c>
      <c r="AE8455" s="3" t="s">
        <v>292</v>
      </c>
      <c r="AF8455" s="3" t="s">
        <v>90</v>
      </c>
      <c r="AG8455" s="3" t="s">
        <v>36795</v>
      </c>
      <c r="AH8455" s="11">
        <f>HYPERLINK("https://my.pitchbook.com?c=29603-17T","View Company Online")</f>
      </c>
    </row>
    <row r="8456">
      <c r="A8456" s="12" t="s">
        <v>36796</v>
      </c>
      <c r="B8456" s="12" t="s">
        <v>36797</v>
      </c>
      <c r="C8456" s="19" t="s">
        <v>36</v>
      </c>
      <c r="D8456" s="19" t="s">
        <v>36</v>
      </c>
      <c r="E8456" s="19" t="s">
        <v>36</v>
      </c>
      <c r="F8456" s="19" t="s">
        <v>36</v>
      </c>
      <c r="G8456" s="15" t="s">
        <v>36</v>
      </c>
      <c r="H8456" s="14" t="s">
        <v>36</v>
      </c>
      <c r="I8456" s="18">
        <v>49</v>
      </c>
      <c r="J8456" s="12" t="s">
        <v>521</v>
      </c>
      <c r="K8456" s="13" t="s">
        <v>36</v>
      </c>
      <c r="L8456" s="15" t="s">
        <v>36</v>
      </c>
      <c r="M8456" s="12" t="s">
        <v>36</v>
      </c>
      <c r="N8456" s="12" t="s">
        <v>36</v>
      </c>
      <c r="O8456" s="17" t="s">
        <v>36</v>
      </c>
      <c r="P8456" s="12" t="s">
        <v>36</v>
      </c>
      <c r="Q8456" s="12" t="s">
        <v>36</v>
      </c>
      <c r="R8456" s="12" t="s">
        <v>36</v>
      </c>
      <c r="S8456" s="12" t="s">
        <v>36</v>
      </c>
      <c r="T8456" s="12" t="s">
        <v>7330</v>
      </c>
      <c r="U8456" s="12" t="s">
        <v>728</v>
      </c>
      <c r="V8456" s="12" t="s">
        <v>64</v>
      </c>
      <c r="W8456" s="12" t="s">
        <v>36798</v>
      </c>
      <c r="X8456" s="16" t="s">
        <v>29117</v>
      </c>
      <c r="Y8456" s="15" t="s">
        <v>42</v>
      </c>
      <c r="Z8456" s="14">
        <v>1.57</v>
      </c>
      <c r="AA8456" s="14">
        <v>3.2</v>
      </c>
      <c r="AB8456" s="12" t="s">
        <v>56</v>
      </c>
      <c r="AC8456" s="12" t="s">
        <v>36799</v>
      </c>
      <c r="AD8456" s="13">
        <v>40953</v>
      </c>
      <c r="AE8456" s="12" t="s">
        <v>1600</v>
      </c>
      <c r="AF8456" s="12" t="s">
        <v>90</v>
      </c>
      <c r="AG8456" s="12" t="s">
        <v>81</v>
      </c>
      <c r="AH8456" s="1">
        <f>HYPERLINK("https://my.pitchbook.com?c=47722-78T","View Company Online")</f>
      </c>
    </row>
    <row r="8457">
      <c r="A8457" s="3" t="s">
        <v>36800</v>
      </c>
      <c r="B8457" s="3" t="s">
        <v>32003</v>
      </c>
      <c r="C8457" s="5" t="s">
        <v>36</v>
      </c>
      <c r="D8457" s="5">
        <v>30</v>
      </c>
      <c r="E8457" s="5">
        <v>3</v>
      </c>
      <c r="F8457" s="5">
        <v>35</v>
      </c>
      <c r="G8457" s="6" t="s">
        <v>326</v>
      </c>
      <c r="H8457" s="4" t="s">
        <v>36</v>
      </c>
      <c r="I8457" s="7">
        <v>24.35</v>
      </c>
      <c r="J8457" s="3" t="s">
        <v>327</v>
      </c>
      <c r="K8457" s="9" t="s">
        <v>36</v>
      </c>
      <c r="L8457" s="6" t="s">
        <v>94</v>
      </c>
      <c r="M8457" s="3" t="s">
        <v>36</v>
      </c>
      <c r="N8457" s="3" t="s">
        <v>94</v>
      </c>
      <c r="O8457" s="8" t="s">
        <v>36</v>
      </c>
      <c r="P8457" s="3" t="s">
        <v>36</v>
      </c>
      <c r="Q8457" s="3" t="s">
        <v>36</v>
      </c>
      <c r="R8457" s="3" t="s">
        <v>36</v>
      </c>
      <c r="S8457" s="3" t="s">
        <v>36</v>
      </c>
      <c r="T8457" s="3" t="s">
        <v>881</v>
      </c>
      <c r="U8457" s="3" t="s">
        <v>51</v>
      </c>
      <c r="V8457" s="3" t="s">
        <v>52</v>
      </c>
      <c r="W8457" s="3" t="s">
        <v>32004</v>
      </c>
      <c r="X8457" s="10" t="s">
        <v>36801</v>
      </c>
      <c r="Y8457" s="6" t="s">
        <v>108</v>
      </c>
      <c r="Z8457" s="4">
        <v>4.84</v>
      </c>
      <c r="AA8457" s="4">
        <v>19.87</v>
      </c>
      <c r="AB8457" s="3" t="s">
        <v>43</v>
      </c>
      <c r="AC8457" s="3" t="s">
        <v>32006</v>
      </c>
      <c r="AD8457" s="9">
        <v>40953</v>
      </c>
      <c r="AE8457" s="3" t="s">
        <v>504</v>
      </c>
      <c r="AF8457" s="3" t="s">
        <v>3193</v>
      </c>
      <c r="AG8457" s="3" t="s">
        <v>81</v>
      </c>
      <c r="AH8457" s="11">
        <f>HYPERLINK("https://my.pitchbook.com?c=25480-18T","View Company Online")</f>
      </c>
    </row>
    <row r="8458">
      <c r="A8458" s="12" t="s">
        <v>36802</v>
      </c>
      <c r="B8458" s="12" t="s">
        <v>36803</v>
      </c>
      <c r="C8458" s="19" t="s">
        <v>36</v>
      </c>
      <c r="D8458" s="19" t="s">
        <v>36</v>
      </c>
      <c r="E8458" s="19" t="s">
        <v>36</v>
      </c>
      <c r="F8458" s="19" t="s">
        <v>36</v>
      </c>
      <c r="G8458" s="15" t="s">
        <v>36</v>
      </c>
      <c r="H8458" s="14" t="s">
        <v>36</v>
      </c>
      <c r="I8458" s="18" t="s">
        <v>36</v>
      </c>
      <c r="J8458" s="12" t="s">
        <v>36</v>
      </c>
      <c r="K8458" s="13" t="s">
        <v>36</v>
      </c>
      <c r="L8458" s="15" t="s">
        <v>94</v>
      </c>
      <c r="M8458" s="12" t="s">
        <v>36</v>
      </c>
      <c r="N8458" s="12" t="s">
        <v>94</v>
      </c>
      <c r="O8458" s="17" t="s">
        <v>36</v>
      </c>
      <c r="P8458" s="12" t="s">
        <v>36</v>
      </c>
      <c r="Q8458" s="12" t="s">
        <v>36</v>
      </c>
      <c r="R8458" s="12" t="s">
        <v>36</v>
      </c>
      <c r="S8458" s="12" t="s">
        <v>36</v>
      </c>
      <c r="T8458" s="12" t="s">
        <v>278</v>
      </c>
      <c r="U8458" s="12" t="s">
        <v>279</v>
      </c>
      <c r="V8458" s="12" t="s">
        <v>64</v>
      </c>
      <c r="W8458" s="12" t="s">
        <v>36804</v>
      </c>
      <c r="X8458" s="16" t="s">
        <v>36805</v>
      </c>
      <c r="Y8458" s="15" t="s">
        <v>192</v>
      </c>
      <c r="Z8458" s="14">
        <v>6.54</v>
      </c>
      <c r="AA8458" s="14" t="s">
        <v>36</v>
      </c>
      <c r="AB8458" s="12" t="s">
        <v>43</v>
      </c>
      <c r="AC8458" s="12" t="s">
        <v>36806</v>
      </c>
      <c r="AD8458" s="13">
        <v>40953</v>
      </c>
      <c r="AE8458" s="12" t="s">
        <v>283</v>
      </c>
      <c r="AF8458" s="12" t="s">
        <v>1077</v>
      </c>
      <c r="AG8458" s="12" t="s">
        <v>81</v>
      </c>
      <c r="AH8458" s="1">
        <f>HYPERLINK("https://my.pitchbook.com?c=29713-96T","View Company Online")</f>
      </c>
    </row>
    <row r="8459">
      <c r="A8459" s="3" t="s">
        <v>36807</v>
      </c>
      <c r="B8459" s="3" t="s">
        <v>36808</v>
      </c>
      <c r="C8459" s="5" t="s">
        <v>36</v>
      </c>
      <c r="D8459" s="5" t="s">
        <v>36</v>
      </c>
      <c r="E8459" s="5" t="s">
        <v>36</v>
      </c>
      <c r="F8459" s="5" t="s">
        <v>36</v>
      </c>
      <c r="G8459" s="6" t="s">
        <v>36</v>
      </c>
      <c r="H8459" s="4" t="s">
        <v>36</v>
      </c>
      <c r="I8459" s="7" t="s">
        <v>36</v>
      </c>
      <c r="J8459" s="3" t="s">
        <v>36</v>
      </c>
      <c r="K8459" s="9" t="s">
        <v>36</v>
      </c>
      <c r="L8459" s="6" t="s">
        <v>36</v>
      </c>
      <c r="M8459" s="3" t="s">
        <v>36</v>
      </c>
      <c r="N8459" s="3" t="s">
        <v>36</v>
      </c>
      <c r="O8459" s="8" t="s">
        <v>36</v>
      </c>
      <c r="P8459" s="3" t="s">
        <v>36</v>
      </c>
      <c r="Q8459" s="3" t="s">
        <v>36</v>
      </c>
      <c r="R8459" s="3" t="s">
        <v>36</v>
      </c>
      <c r="S8459" s="3" t="s">
        <v>36</v>
      </c>
      <c r="T8459" s="3" t="s">
        <v>29297</v>
      </c>
      <c r="U8459" s="3" t="s">
        <v>51</v>
      </c>
      <c r="V8459" s="3" t="s">
        <v>52</v>
      </c>
      <c r="W8459" s="3" t="s">
        <v>36809</v>
      </c>
      <c r="X8459" s="10" t="s">
        <v>36810</v>
      </c>
      <c r="Y8459" s="6" t="s">
        <v>192</v>
      </c>
      <c r="Z8459" s="4">
        <v>10.4</v>
      </c>
      <c r="AA8459" s="4" t="s">
        <v>36</v>
      </c>
      <c r="AB8459" s="3" t="s">
        <v>43</v>
      </c>
      <c r="AC8459" s="3" t="s">
        <v>36811</v>
      </c>
      <c r="AD8459" s="9">
        <v>40948</v>
      </c>
      <c r="AE8459" s="3" t="s">
        <v>158</v>
      </c>
      <c r="AF8459" s="3" t="s">
        <v>159</v>
      </c>
      <c r="AG8459" s="3" t="s">
        <v>1202</v>
      </c>
      <c r="AH8459" s="11">
        <f>HYPERLINK("https://my.pitchbook.com?c=26184-79T","View Company Online")</f>
      </c>
    </row>
    <row r="8460">
      <c r="A8460" s="12" t="s">
        <v>36812</v>
      </c>
      <c r="B8460" s="12" t="s">
        <v>36813</v>
      </c>
      <c r="C8460" s="19">
        <v>4</v>
      </c>
      <c r="D8460" s="19">
        <v>7</v>
      </c>
      <c r="E8460" s="19">
        <v>8</v>
      </c>
      <c r="F8460" s="19">
        <v>18</v>
      </c>
      <c r="G8460" s="15" t="s">
        <v>36</v>
      </c>
      <c r="H8460" s="14" t="s">
        <v>36</v>
      </c>
      <c r="I8460" s="18" t="s">
        <v>36</v>
      </c>
      <c r="J8460" s="12" t="s">
        <v>36</v>
      </c>
      <c r="K8460" s="13" t="s">
        <v>36</v>
      </c>
      <c r="L8460" s="15" t="s">
        <v>36</v>
      </c>
      <c r="M8460" s="12" t="s">
        <v>36</v>
      </c>
      <c r="N8460" s="12" t="s">
        <v>36</v>
      </c>
      <c r="O8460" s="17" t="s">
        <v>36</v>
      </c>
      <c r="P8460" s="12" t="s">
        <v>36</v>
      </c>
      <c r="Q8460" s="12" t="s">
        <v>36</v>
      </c>
      <c r="R8460" s="12" t="s">
        <v>36</v>
      </c>
      <c r="S8460" s="12" t="s">
        <v>36</v>
      </c>
      <c r="T8460" s="12" t="s">
        <v>1162</v>
      </c>
      <c r="U8460" s="12" t="s">
        <v>423</v>
      </c>
      <c r="V8460" s="12" t="s">
        <v>64</v>
      </c>
      <c r="W8460" s="12" t="s">
        <v>36814</v>
      </c>
      <c r="X8460" s="16" t="s">
        <v>36815</v>
      </c>
      <c r="Y8460" s="15" t="s">
        <v>42</v>
      </c>
      <c r="Z8460" s="14">
        <v>11</v>
      </c>
      <c r="AA8460" s="14" t="s">
        <v>36</v>
      </c>
      <c r="AB8460" s="12" t="s">
        <v>56</v>
      </c>
      <c r="AC8460" s="12" t="s">
        <v>36816</v>
      </c>
      <c r="AD8460" s="13">
        <v>40945</v>
      </c>
      <c r="AE8460" s="12" t="s">
        <v>562</v>
      </c>
      <c r="AF8460" s="12" t="s">
        <v>36</v>
      </c>
      <c r="AG8460" s="12" t="s">
        <v>186</v>
      </c>
      <c r="AH8460" s="1">
        <f>HYPERLINK("https://my.pitchbook.com?c=64320-13T","View Company Online")</f>
      </c>
    </row>
    <row r="8461">
      <c r="A8461" s="3" t="s">
        <v>36817</v>
      </c>
      <c r="B8461" s="3" t="s">
        <v>36818</v>
      </c>
      <c r="C8461" s="5" t="s">
        <v>36</v>
      </c>
      <c r="D8461" s="5" t="s">
        <v>36</v>
      </c>
      <c r="E8461" s="5">
        <v>5</v>
      </c>
      <c r="F8461" s="5">
        <v>7</v>
      </c>
      <c r="G8461" s="6" t="s">
        <v>36</v>
      </c>
      <c r="H8461" s="4" t="s">
        <v>36</v>
      </c>
      <c r="I8461" s="7" t="s">
        <v>36</v>
      </c>
      <c r="J8461" s="3" t="s">
        <v>36</v>
      </c>
      <c r="K8461" s="9" t="s">
        <v>36</v>
      </c>
      <c r="L8461" s="6" t="s">
        <v>36</v>
      </c>
      <c r="M8461" s="3" t="s">
        <v>36</v>
      </c>
      <c r="N8461" s="3" t="s">
        <v>36</v>
      </c>
      <c r="O8461" s="8" t="s">
        <v>36</v>
      </c>
      <c r="P8461" s="3" t="s">
        <v>36</v>
      </c>
      <c r="Q8461" s="3" t="s">
        <v>36</v>
      </c>
      <c r="R8461" s="3" t="s">
        <v>36</v>
      </c>
      <c r="S8461" s="3" t="s">
        <v>36</v>
      </c>
      <c r="T8461" s="3" t="s">
        <v>36819</v>
      </c>
      <c r="U8461" s="3" t="s">
        <v>219</v>
      </c>
      <c r="V8461" s="3" t="s">
        <v>75</v>
      </c>
      <c r="W8461" s="3" t="s">
        <v>36820</v>
      </c>
      <c r="X8461" s="10" t="s">
        <v>13138</v>
      </c>
      <c r="Y8461" s="6" t="s">
        <v>42</v>
      </c>
      <c r="Z8461" s="4">
        <v>1.29</v>
      </c>
      <c r="AA8461" s="4" t="s">
        <v>36</v>
      </c>
      <c r="AB8461" s="3" t="s">
        <v>43</v>
      </c>
      <c r="AC8461" s="3" t="s">
        <v>36821</v>
      </c>
      <c r="AD8461" s="9">
        <v>40940</v>
      </c>
      <c r="AE8461" s="3" t="s">
        <v>7093</v>
      </c>
      <c r="AF8461" s="3" t="s">
        <v>1969</v>
      </c>
      <c r="AG8461" s="3" t="s">
        <v>36822</v>
      </c>
      <c r="AH8461" s="11">
        <f>HYPERLINK("https://my.pitchbook.com?c=168921-19T","View Company Online")</f>
      </c>
    </row>
    <row r="8462">
      <c r="A8462" s="12" t="s">
        <v>36823</v>
      </c>
      <c r="B8462" s="12" t="s">
        <v>28040</v>
      </c>
      <c r="C8462" s="19" t="s">
        <v>36</v>
      </c>
      <c r="D8462" s="19" t="s">
        <v>36</v>
      </c>
      <c r="E8462" s="19" t="s">
        <v>36</v>
      </c>
      <c r="F8462" s="19" t="s">
        <v>36</v>
      </c>
      <c r="G8462" s="15" t="s">
        <v>36</v>
      </c>
      <c r="H8462" s="14" t="s">
        <v>36</v>
      </c>
      <c r="I8462" s="18" t="s">
        <v>36</v>
      </c>
      <c r="J8462" s="12" t="s">
        <v>36</v>
      </c>
      <c r="K8462" s="13" t="s">
        <v>36</v>
      </c>
      <c r="L8462" s="15" t="s">
        <v>36</v>
      </c>
      <c r="M8462" s="12" t="s">
        <v>36</v>
      </c>
      <c r="N8462" s="12" t="s">
        <v>36</v>
      </c>
      <c r="O8462" s="17" t="s">
        <v>36</v>
      </c>
      <c r="P8462" s="12" t="s">
        <v>36</v>
      </c>
      <c r="Q8462" s="12" t="s">
        <v>36</v>
      </c>
      <c r="R8462" s="12" t="s">
        <v>36</v>
      </c>
      <c r="S8462" s="12" t="s">
        <v>36</v>
      </c>
      <c r="T8462" s="12" t="s">
        <v>3907</v>
      </c>
      <c r="U8462" s="12" t="s">
        <v>279</v>
      </c>
      <c r="V8462" s="12" t="s">
        <v>64</v>
      </c>
      <c r="W8462" s="12" t="s">
        <v>28041</v>
      </c>
      <c r="X8462" s="16" t="s">
        <v>21871</v>
      </c>
      <c r="Y8462" s="15" t="s">
        <v>42</v>
      </c>
      <c r="Z8462" s="14" t="s">
        <v>36</v>
      </c>
      <c r="AA8462" s="14" t="s">
        <v>36</v>
      </c>
      <c r="AB8462" s="12" t="s">
        <v>43</v>
      </c>
      <c r="AC8462" s="12" t="s">
        <v>28042</v>
      </c>
      <c r="AD8462" s="13">
        <v>40940</v>
      </c>
      <c r="AE8462" s="12" t="s">
        <v>851</v>
      </c>
      <c r="AF8462" s="12" t="s">
        <v>28043</v>
      </c>
      <c r="AG8462" s="12" t="s">
        <v>81</v>
      </c>
      <c r="AH8462" s="1">
        <f>HYPERLINK("https://my.pitchbook.com?c=113073-85T","View Company Online")</f>
      </c>
    </row>
    <row r="8463">
      <c r="A8463" s="3" t="s">
        <v>36824</v>
      </c>
      <c r="B8463" s="3" t="s">
        <v>29947</v>
      </c>
      <c r="C8463" s="5" t="s">
        <v>36</v>
      </c>
      <c r="D8463" s="5" t="s">
        <v>36</v>
      </c>
      <c r="E8463" s="5" t="s">
        <v>36</v>
      </c>
      <c r="F8463" s="5" t="s">
        <v>36</v>
      </c>
      <c r="G8463" s="6" t="s">
        <v>36</v>
      </c>
      <c r="H8463" s="4" t="s">
        <v>36</v>
      </c>
      <c r="I8463" s="7" t="s">
        <v>36</v>
      </c>
      <c r="J8463" s="3" t="s">
        <v>36</v>
      </c>
      <c r="K8463" s="9" t="s">
        <v>36</v>
      </c>
      <c r="L8463" s="6" t="s">
        <v>36</v>
      </c>
      <c r="M8463" s="3" t="s">
        <v>36</v>
      </c>
      <c r="N8463" s="3" t="s">
        <v>36</v>
      </c>
      <c r="O8463" s="8" t="s">
        <v>36</v>
      </c>
      <c r="P8463" s="3" t="s">
        <v>36</v>
      </c>
      <c r="Q8463" s="3" t="s">
        <v>36</v>
      </c>
      <c r="R8463" s="3" t="s">
        <v>36</v>
      </c>
      <c r="S8463" s="3" t="s">
        <v>36</v>
      </c>
      <c r="T8463" s="3" t="s">
        <v>2609</v>
      </c>
      <c r="U8463" s="3" t="s">
        <v>423</v>
      </c>
      <c r="V8463" s="3" t="s">
        <v>64</v>
      </c>
      <c r="W8463" s="3" t="s">
        <v>29948</v>
      </c>
      <c r="X8463" s="10" t="s">
        <v>36825</v>
      </c>
      <c r="Y8463" s="6" t="s">
        <v>42</v>
      </c>
      <c r="Z8463" s="4">
        <v>19.34</v>
      </c>
      <c r="AA8463" s="4" t="s">
        <v>36</v>
      </c>
      <c r="AB8463" s="3" t="s">
        <v>56</v>
      </c>
      <c r="AC8463" s="3" t="s">
        <v>29950</v>
      </c>
      <c r="AD8463" s="9">
        <v>40940</v>
      </c>
      <c r="AE8463" s="3" t="s">
        <v>562</v>
      </c>
      <c r="AF8463" s="3" t="s">
        <v>571</v>
      </c>
      <c r="AG8463" s="3" t="s">
        <v>2000</v>
      </c>
      <c r="AH8463" s="11">
        <f>HYPERLINK("https://my.pitchbook.com?c=160741-54T","View Company Online")</f>
      </c>
    </row>
    <row r="8464">
      <c r="A8464" s="12" t="s">
        <v>36826</v>
      </c>
      <c r="B8464" s="12" t="s">
        <v>35257</v>
      </c>
      <c r="C8464" s="19" t="s">
        <v>36</v>
      </c>
      <c r="D8464" s="19" t="s">
        <v>36</v>
      </c>
      <c r="E8464" s="19" t="s">
        <v>36</v>
      </c>
      <c r="F8464" s="19" t="s">
        <v>36</v>
      </c>
      <c r="G8464" s="15" t="s">
        <v>36</v>
      </c>
      <c r="H8464" s="14" t="s">
        <v>36</v>
      </c>
      <c r="I8464" s="18" t="s">
        <v>36</v>
      </c>
      <c r="J8464" s="12" t="s">
        <v>36</v>
      </c>
      <c r="K8464" s="13" t="s">
        <v>36</v>
      </c>
      <c r="L8464" s="15" t="s">
        <v>36</v>
      </c>
      <c r="M8464" s="12" t="s">
        <v>36</v>
      </c>
      <c r="N8464" s="12" t="s">
        <v>36</v>
      </c>
      <c r="O8464" s="17" t="s">
        <v>36</v>
      </c>
      <c r="P8464" s="12" t="s">
        <v>36</v>
      </c>
      <c r="Q8464" s="12" t="s">
        <v>36</v>
      </c>
      <c r="R8464" s="12" t="s">
        <v>36</v>
      </c>
      <c r="S8464" s="12" t="s">
        <v>36</v>
      </c>
      <c r="T8464" s="12" t="s">
        <v>35258</v>
      </c>
      <c r="U8464" s="12" t="s">
        <v>648</v>
      </c>
      <c r="V8464" s="12" t="s">
        <v>64</v>
      </c>
      <c r="W8464" s="12" t="s">
        <v>35259</v>
      </c>
      <c r="X8464" s="16" t="s">
        <v>36827</v>
      </c>
      <c r="Y8464" s="15" t="s">
        <v>42</v>
      </c>
      <c r="Z8464" s="14" t="s">
        <v>36</v>
      </c>
      <c r="AA8464" s="14" t="s">
        <v>36</v>
      </c>
      <c r="AB8464" s="12" t="s">
        <v>43</v>
      </c>
      <c r="AC8464" s="12" t="s">
        <v>35261</v>
      </c>
      <c r="AD8464" s="13">
        <v>40940</v>
      </c>
      <c r="AE8464" s="12" t="s">
        <v>1897</v>
      </c>
      <c r="AF8464" s="12" t="s">
        <v>4552</v>
      </c>
      <c r="AG8464" s="12" t="s">
        <v>81</v>
      </c>
      <c r="AH8464" s="1">
        <f>HYPERLINK("https://my.pitchbook.com?c=28750-42T","View Company Online")</f>
      </c>
    </row>
    <row r="8465">
      <c r="A8465" s="3" t="s">
        <v>36828</v>
      </c>
      <c r="B8465" s="3" t="s">
        <v>36829</v>
      </c>
      <c r="C8465" s="5" t="s">
        <v>36</v>
      </c>
      <c r="D8465" s="5" t="s">
        <v>36</v>
      </c>
      <c r="E8465" s="5" t="s">
        <v>36</v>
      </c>
      <c r="F8465" s="5" t="s">
        <v>36</v>
      </c>
      <c r="G8465" s="6" t="s">
        <v>36</v>
      </c>
      <c r="H8465" s="4" t="s">
        <v>36</v>
      </c>
      <c r="I8465" s="7" t="s">
        <v>36</v>
      </c>
      <c r="J8465" s="3" t="s">
        <v>36</v>
      </c>
      <c r="K8465" s="9" t="s">
        <v>36</v>
      </c>
      <c r="L8465" s="6" t="s">
        <v>122</v>
      </c>
      <c r="M8465" s="3" t="s">
        <v>36</v>
      </c>
      <c r="N8465" s="3" t="s">
        <v>122</v>
      </c>
      <c r="O8465" s="8" t="s">
        <v>36</v>
      </c>
      <c r="P8465" s="3" t="s">
        <v>36</v>
      </c>
      <c r="Q8465" s="3" t="s">
        <v>36</v>
      </c>
      <c r="R8465" s="3" t="s">
        <v>36</v>
      </c>
      <c r="S8465" s="3" t="s">
        <v>36</v>
      </c>
      <c r="T8465" s="3" t="s">
        <v>36830</v>
      </c>
      <c r="U8465" s="3" t="s">
        <v>1357</v>
      </c>
      <c r="V8465" s="3" t="s">
        <v>52</v>
      </c>
      <c r="W8465" s="3" t="s">
        <v>36831</v>
      </c>
      <c r="X8465" s="10" t="s">
        <v>5892</v>
      </c>
      <c r="Y8465" s="6" t="s">
        <v>42</v>
      </c>
      <c r="Z8465" s="4">
        <v>1.29</v>
      </c>
      <c r="AA8465" s="4" t="s">
        <v>36</v>
      </c>
      <c r="AB8465" s="3" t="s">
        <v>56</v>
      </c>
      <c r="AC8465" s="3" t="s">
        <v>36832</v>
      </c>
      <c r="AD8465" s="9">
        <v>40939</v>
      </c>
      <c r="AE8465" s="3" t="s">
        <v>2808</v>
      </c>
      <c r="AF8465" s="3" t="s">
        <v>36833</v>
      </c>
      <c r="AG8465" s="3" t="s">
        <v>3115</v>
      </c>
      <c r="AH8465" s="11">
        <f>HYPERLINK("https://my.pitchbook.com?c=26757-10T","View Company Online")</f>
      </c>
    </row>
    <row r="8466">
      <c r="A8466" s="12" t="s">
        <v>36834</v>
      </c>
      <c r="B8466" s="12" t="s">
        <v>31070</v>
      </c>
      <c r="C8466" s="19" t="s">
        <v>36</v>
      </c>
      <c r="D8466" s="19">
        <v>11</v>
      </c>
      <c r="E8466" s="19">
        <v>4</v>
      </c>
      <c r="F8466" s="19">
        <v>19</v>
      </c>
      <c r="G8466" s="15" t="s">
        <v>36</v>
      </c>
      <c r="H8466" s="14" t="s">
        <v>36</v>
      </c>
      <c r="I8466" s="18" t="s">
        <v>36</v>
      </c>
      <c r="J8466" s="12" t="s">
        <v>36</v>
      </c>
      <c r="K8466" s="13" t="s">
        <v>36</v>
      </c>
      <c r="L8466" s="15" t="s">
        <v>36</v>
      </c>
      <c r="M8466" s="12" t="s">
        <v>36</v>
      </c>
      <c r="N8466" s="12" t="s">
        <v>36</v>
      </c>
      <c r="O8466" s="17" t="s">
        <v>36</v>
      </c>
      <c r="P8466" s="12" t="s">
        <v>36</v>
      </c>
      <c r="Q8466" s="12" t="s">
        <v>36</v>
      </c>
      <c r="R8466" s="12" t="s">
        <v>36</v>
      </c>
      <c r="S8466" s="12" t="s">
        <v>36</v>
      </c>
      <c r="T8466" s="12" t="s">
        <v>2213</v>
      </c>
      <c r="U8466" s="12" t="s">
        <v>219</v>
      </c>
      <c r="V8466" s="12" t="s">
        <v>75</v>
      </c>
      <c r="W8466" s="12" t="s">
        <v>31071</v>
      </c>
      <c r="X8466" s="16" t="s">
        <v>36835</v>
      </c>
      <c r="Y8466" s="15" t="s">
        <v>108</v>
      </c>
      <c r="Z8466" s="14">
        <v>38.57</v>
      </c>
      <c r="AA8466" s="14" t="s">
        <v>36</v>
      </c>
      <c r="AB8466" s="12" t="s">
        <v>56</v>
      </c>
      <c r="AC8466" s="12" t="s">
        <v>31073</v>
      </c>
      <c r="AD8466" s="13">
        <v>40933</v>
      </c>
      <c r="AE8466" s="12" t="s">
        <v>1912</v>
      </c>
      <c r="AF8466" s="12" t="s">
        <v>571</v>
      </c>
      <c r="AG8466" s="12" t="s">
        <v>3406</v>
      </c>
      <c r="AH8466" s="1">
        <f>HYPERLINK("https://my.pitchbook.com?c=25251-22T","View Company Online")</f>
      </c>
    </row>
    <row r="8467">
      <c r="A8467" s="3" t="s">
        <v>36836</v>
      </c>
      <c r="B8467" s="3" t="s">
        <v>36837</v>
      </c>
      <c r="C8467" s="5" t="s">
        <v>36</v>
      </c>
      <c r="D8467" s="5" t="s">
        <v>36</v>
      </c>
      <c r="E8467" s="5" t="s">
        <v>36</v>
      </c>
      <c r="F8467" s="5" t="s">
        <v>36</v>
      </c>
      <c r="G8467" s="6" t="s">
        <v>36</v>
      </c>
      <c r="H8467" s="4" t="s">
        <v>36</v>
      </c>
      <c r="I8467" s="7" t="s">
        <v>36</v>
      </c>
      <c r="J8467" s="3" t="s">
        <v>36</v>
      </c>
      <c r="K8467" s="9">
        <v>40544</v>
      </c>
      <c r="L8467" s="6" t="s">
        <v>36</v>
      </c>
      <c r="M8467" s="3" t="s">
        <v>36</v>
      </c>
      <c r="N8467" s="3" t="s">
        <v>36</v>
      </c>
      <c r="O8467" s="8" t="s">
        <v>36</v>
      </c>
      <c r="P8467" s="3" t="s">
        <v>36</v>
      </c>
      <c r="Q8467" s="3" t="s">
        <v>36</v>
      </c>
      <c r="R8467" s="3" t="s">
        <v>36</v>
      </c>
      <c r="S8467" s="3" t="s">
        <v>36</v>
      </c>
      <c r="T8467" s="3" t="s">
        <v>36838</v>
      </c>
      <c r="U8467" s="3" t="s">
        <v>85</v>
      </c>
      <c r="V8467" s="3" t="s">
        <v>64</v>
      </c>
      <c r="W8467" s="3" t="s">
        <v>36839</v>
      </c>
      <c r="X8467" s="10" t="s">
        <v>36840</v>
      </c>
      <c r="Y8467" s="6" t="s">
        <v>42</v>
      </c>
      <c r="Z8467" s="4">
        <v>1.6</v>
      </c>
      <c r="AA8467" s="4" t="s">
        <v>36</v>
      </c>
      <c r="AB8467" s="3" t="s">
        <v>43</v>
      </c>
      <c r="AC8467" s="3" t="s">
        <v>36841</v>
      </c>
      <c r="AD8467" s="9">
        <v>40932</v>
      </c>
      <c r="AE8467" s="3" t="s">
        <v>89</v>
      </c>
      <c r="AF8467" s="3" t="s">
        <v>15336</v>
      </c>
      <c r="AG8467" s="3" t="s">
        <v>4813</v>
      </c>
      <c r="AH8467" s="11">
        <f>HYPERLINK("https://my.pitchbook.com?c=24555-52T","View Company Online")</f>
      </c>
    </row>
    <row r="8468">
      <c r="A8468" s="12" t="s">
        <v>36842</v>
      </c>
      <c r="B8468" s="12" t="s">
        <v>36843</v>
      </c>
      <c r="C8468" s="19">
        <v>2</v>
      </c>
      <c r="D8468" s="19">
        <v>26</v>
      </c>
      <c r="E8468" s="19">
        <v>7</v>
      </c>
      <c r="F8468" s="19">
        <v>32</v>
      </c>
      <c r="G8468" s="15" t="s">
        <v>326</v>
      </c>
      <c r="H8468" s="14" t="s">
        <v>36</v>
      </c>
      <c r="I8468" s="18" t="s">
        <v>36</v>
      </c>
      <c r="J8468" s="12" t="s">
        <v>327</v>
      </c>
      <c r="K8468" s="13" t="s">
        <v>36</v>
      </c>
      <c r="L8468" s="15" t="s">
        <v>36</v>
      </c>
      <c r="M8468" s="12" t="s">
        <v>36</v>
      </c>
      <c r="N8468" s="12" t="s">
        <v>36</v>
      </c>
      <c r="O8468" s="17" t="s">
        <v>36</v>
      </c>
      <c r="P8468" s="12" t="s">
        <v>36</v>
      </c>
      <c r="Q8468" s="12" t="s">
        <v>36</v>
      </c>
      <c r="R8468" s="12" t="s">
        <v>36</v>
      </c>
      <c r="S8468" s="12" t="s">
        <v>36</v>
      </c>
      <c r="T8468" s="12" t="s">
        <v>2910</v>
      </c>
      <c r="U8468" s="12" t="s">
        <v>219</v>
      </c>
      <c r="V8468" s="12" t="s">
        <v>75</v>
      </c>
      <c r="W8468" s="12" t="s">
        <v>36844</v>
      </c>
      <c r="X8468" s="16" t="s">
        <v>36845</v>
      </c>
      <c r="Y8468" s="15" t="s">
        <v>192</v>
      </c>
      <c r="Z8468" s="14">
        <v>0.8</v>
      </c>
      <c r="AA8468" s="14">
        <v>11.24</v>
      </c>
      <c r="AB8468" s="12" t="s">
        <v>56</v>
      </c>
      <c r="AC8468" s="12" t="s">
        <v>36846</v>
      </c>
      <c r="AD8468" s="13">
        <v>40927</v>
      </c>
      <c r="AE8468" s="12" t="s">
        <v>2914</v>
      </c>
      <c r="AF8468" s="12" t="s">
        <v>571</v>
      </c>
      <c r="AG8468" s="12" t="s">
        <v>23058</v>
      </c>
      <c r="AH8468" s="1">
        <f>HYPERLINK("https://my.pitchbook.com?c=29634-49T","View Company Online")</f>
      </c>
    </row>
    <row r="8469">
      <c r="A8469" s="3" t="s">
        <v>36847</v>
      </c>
      <c r="B8469" s="3" t="s">
        <v>12151</v>
      </c>
      <c r="C8469" s="5" t="s">
        <v>36</v>
      </c>
      <c r="D8469" s="5">
        <v>4</v>
      </c>
      <c r="E8469" s="5">
        <v>2</v>
      </c>
      <c r="F8469" s="5">
        <v>4</v>
      </c>
      <c r="G8469" s="6" t="s">
        <v>326</v>
      </c>
      <c r="H8469" s="4">
        <v>41.65</v>
      </c>
      <c r="I8469" s="7">
        <v>20.94</v>
      </c>
      <c r="J8469" s="3" t="s">
        <v>521</v>
      </c>
      <c r="K8469" s="9" t="s">
        <v>36</v>
      </c>
      <c r="L8469" s="6" t="s">
        <v>94</v>
      </c>
      <c r="M8469" s="3" t="s">
        <v>36</v>
      </c>
      <c r="N8469" s="3" t="s">
        <v>94</v>
      </c>
      <c r="O8469" s="8" t="s">
        <v>36</v>
      </c>
      <c r="P8469" s="3" t="s">
        <v>36</v>
      </c>
      <c r="Q8469" s="3" t="s">
        <v>3530</v>
      </c>
      <c r="R8469" s="3" t="s">
        <v>36</v>
      </c>
      <c r="S8469" s="3" t="s">
        <v>36</v>
      </c>
      <c r="T8469" s="3" t="s">
        <v>4692</v>
      </c>
      <c r="U8469" s="3" t="s">
        <v>85</v>
      </c>
      <c r="V8469" s="3" t="s">
        <v>64</v>
      </c>
      <c r="W8469" s="3" t="s">
        <v>12152</v>
      </c>
      <c r="X8469" s="10" t="s">
        <v>36848</v>
      </c>
      <c r="Y8469" s="6" t="s">
        <v>55</v>
      </c>
      <c r="Z8469" s="4">
        <v>10.17</v>
      </c>
      <c r="AA8469" s="4">
        <v>35.79</v>
      </c>
      <c r="AB8469" s="3" t="s">
        <v>56</v>
      </c>
      <c r="AC8469" s="3" t="s">
        <v>12155</v>
      </c>
      <c r="AD8469" s="9">
        <v>40925</v>
      </c>
      <c r="AE8469" s="3" t="s">
        <v>89</v>
      </c>
      <c r="AF8469" s="3" t="s">
        <v>12156</v>
      </c>
      <c r="AG8469" s="3" t="s">
        <v>81</v>
      </c>
      <c r="AH8469" s="11">
        <f>HYPERLINK("https://my.pitchbook.com?c=20968-03T","View Company Online")</f>
      </c>
    </row>
    <row r="8470">
      <c r="A8470" s="12" t="s">
        <v>36849</v>
      </c>
      <c r="B8470" s="12" t="s">
        <v>27428</v>
      </c>
      <c r="C8470" s="19" t="s">
        <v>36</v>
      </c>
      <c r="D8470" s="19" t="s">
        <v>36</v>
      </c>
      <c r="E8470" s="19" t="s">
        <v>36</v>
      </c>
      <c r="F8470" s="19" t="s">
        <v>36</v>
      </c>
      <c r="G8470" s="15" t="s">
        <v>36</v>
      </c>
      <c r="H8470" s="14" t="s">
        <v>36</v>
      </c>
      <c r="I8470" s="18" t="s">
        <v>36</v>
      </c>
      <c r="J8470" s="12" t="s">
        <v>36</v>
      </c>
      <c r="K8470" s="13" t="s">
        <v>36</v>
      </c>
      <c r="L8470" s="15" t="s">
        <v>36</v>
      </c>
      <c r="M8470" s="12" t="s">
        <v>36</v>
      </c>
      <c r="N8470" s="12" t="s">
        <v>36</v>
      </c>
      <c r="O8470" s="17" t="s">
        <v>36</v>
      </c>
      <c r="P8470" s="12" t="s">
        <v>36</v>
      </c>
      <c r="Q8470" s="12" t="s">
        <v>36</v>
      </c>
      <c r="R8470" s="12" t="s">
        <v>36</v>
      </c>
      <c r="S8470" s="12" t="s">
        <v>36</v>
      </c>
      <c r="T8470" s="12" t="s">
        <v>27429</v>
      </c>
      <c r="U8470" s="12" t="s">
        <v>648</v>
      </c>
      <c r="V8470" s="12" t="s">
        <v>64</v>
      </c>
      <c r="W8470" s="12" t="s">
        <v>27430</v>
      </c>
      <c r="X8470" s="16" t="s">
        <v>36850</v>
      </c>
      <c r="Y8470" s="15" t="s">
        <v>55</v>
      </c>
      <c r="Z8470" s="14">
        <v>2.45</v>
      </c>
      <c r="AA8470" s="14" t="s">
        <v>36</v>
      </c>
      <c r="AB8470" s="12" t="s">
        <v>56</v>
      </c>
      <c r="AC8470" s="12" t="s">
        <v>27431</v>
      </c>
      <c r="AD8470" s="13">
        <v>40925</v>
      </c>
      <c r="AE8470" s="12" t="s">
        <v>3988</v>
      </c>
      <c r="AF8470" s="12" t="s">
        <v>4842</v>
      </c>
      <c r="AG8470" s="12" t="s">
        <v>4449</v>
      </c>
      <c r="AH8470" s="1">
        <f>HYPERLINK("https://my.pitchbook.com?c=25415-65T","View Company Online")</f>
      </c>
    </row>
    <row r="8471">
      <c r="A8471" s="3" t="s">
        <v>36851</v>
      </c>
      <c r="B8471" s="3" t="s">
        <v>23401</v>
      </c>
      <c r="C8471" s="5">
        <v>1</v>
      </c>
      <c r="D8471" s="5">
        <v>46</v>
      </c>
      <c r="E8471" s="5">
        <v>19</v>
      </c>
      <c r="F8471" s="5">
        <v>63</v>
      </c>
      <c r="G8471" s="6" t="s">
        <v>36</v>
      </c>
      <c r="H8471" s="4">
        <v>110.15</v>
      </c>
      <c r="I8471" s="7">
        <v>29.21</v>
      </c>
      <c r="J8471" s="3" t="s">
        <v>521</v>
      </c>
      <c r="K8471" s="9" t="s">
        <v>36</v>
      </c>
      <c r="L8471" s="6" t="s">
        <v>36</v>
      </c>
      <c r="M8471" s="3" t="s">
        <v>36</v>
      </c>
      <c r="N8471" s="3" t="s">
        <v>36</v>
      </c>
      <c r="O8471" s="8" t="s">
        <v>36</v>
      </c>
      <c r="P8471" s="3" t="s">
        <v>36</v>
      </c>
      <c r="Q8471" s="3" t="s">
        <v>36</v>
      </c>
      <c r="R8471" s="3" t="s">
        <v>36</v>
      </c>
      <c r="S8471" s="3" t="s">
        <v>36</v>
      </c>
      <c r="T8471" s="3" t="s">
        <v>105</v>
      </c>
      <c r="U8471" s="3" t="s">
        <v>38</v>
      </c>
      <c r="V8471" s="3" t="s">
        <v>39</v>
      </c>
      <c r="W8471" s="3" t="s">
        <v>23402</v>
      </c>
      <c r="X8471" s="10" t="s">
        <v>36852</v>
      </c>
      <c r="Y8471" s="6" t="s">
        <v>42</v>
      </c>
      <c r="Z8471" s="4">
        <v>3.53</v>
      </c>
      <c r="AA8471" s="4">
        <v>12.1</v>
      </c>
      <c r="AB8471" s="3" t="s">
        <v>43</v>
      </c>
      <c r="AC8471" s="3" t="s">
        <v>23404</v>
      </c>
      <c r="AD8471" s="9">
        <v>40924</v>
      </c>
      <c r="AE8471" s="3" t="s">
        <v>110</v>
      </c>
      <c r="AF8471" s="3" t="s">
        <v>23405</v>
      </c>
      <c r="AG8471" s="3" t="s">
        <v>969</v>
      </c>
      <c r="AH8471" s="11">
        <f>HYPERLINK("https://my.pitchbook.com?c=29569-51T","View Company Online")</f>
      </c>
    </row>
    <row r="8472">
      <c r="A8472" s="12" t="s">
        <v>36853</v>
      </c>
      <c r="B8472" s="12" t="s">
        <v>36854</v>
      </c>
      <c r="C8472" s="19" t="s">
        <v>36</v>
      </c>
      <c r="D8472" s="19" t="s">
        <v>36</v>
      </c>
      <c r="E8472" s="19" t="s">
        <v>36</v>
      </c>
      <c r="F8472" s="19" t="s">
        <v>36</v>
      </c>
      <c r="G8472" s="15" t="s">
        <v>36</v>
      </c>
      <c r="H8472" s="14" t="s">
        <v>36</v>
      </c>
      <c r="I8472" s="18" t="s">
        <v>36</v>
      </c>
      <c r="J8472" s="12" t="s">
        <v>36</v>
      </c>
      <c r="K8472" s="13" t="s">
        <v>36</v>
      </c>
      <c r="L8472" s="15" t="s">
        <v>36</v>
      </c>
      <c r="M8472" s="12" t="s">
        <v>36</v>
      </c>
      <c r="N8472" s="12" t="s">
        <v>36</v>
      </c>
      <c r="O8472" s="17" t="s">
        <v>36</v>
      </c>
      <c r="P8472" s="12" t="s">
        <v>36</v>
      </c>
      <c r="Q8472" s="12" t="s">
        <v>36</v>
      </c>
      <c r="R8472" s="12" t="s">
        <v>36</v>
      </c>
      <c r="S8472" s="12" t="s">
        <v>36</v>
      </c>
      <c r="T8472" s="12" t="s">
        <v>11006</v>
      </c>
      <c r="U8472" s="12" t="s">
        <v>279</v>
      </c>
      <c r="V8472" s="12" t="s">
        <v>64</v>
      </c>
      <c r="W8472" s="12" t="s">
        <v>36855</v>
      </c>
      <c r="X8472" s="16" t="s">
        <v>36856</v>
      </c>
      <c r="Y8472" s="15" t="s">
        <v>108</v>
      </c>
      <c r="Z8472" s="14">
        <v>2.32</v>
      </c>
      <c r="AA8472" s="14" t="s">
        <v>36</v>
      </c>
      <c r="AB8472" s="12" t="s">
        <v>43</v>
      </c>
      <c r="AC8472" s="12" t="s">
        <v>36857</v>
      </c>
      <c r="AD8472" s="13">
        <v>40924</v>
      </c>
      <c r="AE8472" s="12" t="s">
        <v>283</v>
      </c>
      <c r="AF8472" s="12" t="s">
        <v>4651</v>
      </c>
      <c r="AG8472" s="12" t="s">
        <v>81</v>
      </c>
      <c r="AH8472" s="1">
        <f>HYPERLINK("https://my.pitchbook.com?c=29565-46T","View Company Online")</f>
      </c>
    </row>
    <row r="8473">
      <c r="A8473" s="3" t="s">
        <v>36858</v>
      </c>
      <c r="B8473" s="3" t="s">
        <v>36859</v>
      </c>
      <c r="C8473" s="5" t="s">
        <v>36</v>
      </c>
      <c r="D8473" s="5">
        <v>2</v>
      </c>
      <c r="E8473" s="5">
        <v>1</v>
      </c>
      <c r="F8473" s="5">
        <v>2</v>
      </c>
      <c r="G8473" s="6" t="s">
        <v>36</v>
      </c>
      <c r="H8473" s="4">
        <v>31.21</v>
      </c>
      <c r="I8473" s="7">
        <v>37.81</v>
      </c>
      <c r="J8473" s="3" t="s">
        <v>521</v>
      </c>
      <c r="K8473" s="9" t="s">
        <v>36</v>
      </c>
      <c r="L8473" s="6" t="s">
        <v>36</v>
      </c>
      <c r="M8473" s="3" t="s">
        <v>36</v>
      </c>
      <c r="N8473" s="3" t="s">
        <v>36</v>
      </c>
      <c r="O8473" s="8" t="s">
        <v>36</v>
      </c>
      <c r="P8473" s="3" t="s">
        <v>36</v>
      </c>
      <c r="Q8473" s="3" t="s">
        <v>36</v>
      </c>
      <c r="R8473" s="3" t="s">
        <v>36</v>
      </c>
      <c r="S8473" s="3" t="s">
        <v>36</v>
      </c>
      <c r="T8473" s="3" t="s">
        <v>342</v>
      </c>
      <c r="U8473" s="3" t="s">
        <v>38</v>
      </c>
      <c r="V8473" s="3" t="s">
        <v>39</v>
      </c>
      <c r="W8473" s="3" t="s">
        <v>36860</v>
      </c>
      <c r="X8473" s="10" t="s">
        <v>36861</v>
      </c>
      <c r="Y8473" s="6" t="s">
        <v>108</v>
      </c>
      <c r="Z8473" s="4">
        <v>2.06</v>
      </c>
      <c r="AA8473" s="4">
        <v>5.18</v>
      </c>
      <c r="AB8473" s="3" t="s">
        <v>56</v>
      </c>
      <c r="AC8473" s="3" t="s">
        <v>36862</v>
      </c>
      <c r="AD8473" s="9">
        <v>40924</v>
      </c>
      <c r="AE8473" s="3" t="s">
        <v>110</v>
      </c>
      <c r="AF8473" s="3" t="s">
        <v>4552</v>
      </c>
      <c r="AG8473" s="3" t="s">
        <v>28138</v>
      </c>
      <c r="AH8473" s="11">
        <f>HYPERLINK("https://my.pitchbook.com?c=76310-29T","View Company Online")</f>
      </c>
    </row>
    <row r="8474">
      <c r="A8474" s="12" t="s">
        <v>36863</v>
      </c>
      <c r="B8474" s="12" t="s">
        <v>31728</v>
      </c>
      <c r="C8474" s="19" t="s">
        <v>36</v>
      </c>
      <c r="D8474" s="19">
        <v>17</v>
      </c>
      <c r="E8474" s="19">
        <v>19</v>
      </c>
      <c r="F8474" s="19">
        <v>34</v>
      </c>
      <c r="G8474" s="15" t="s">
        <v>36</v>
      </c>
      <c r="H8474" s="14">
        <v>112.38</v>
      </c>
      <c r="I8474" s="18">
        <v>52.24</v>
      </c>
      <c r="J8474" s="12" t="s">
        <v>521</v>
      </c>
      <c r="K8474" s="13" t="s">
        <v>36</v>
      </c>
      <c r="L8474" s="15" t="s">
        <v>36</v>
      </c>
      <c r="M8474" s="12" t="s">
        <v>36</v>
      </c>
      <c r="N8474" s="12" t="s">
        <v>36</v>
      </c>
      <c r="O8474" s="17" t="s">
        <v>36</v>
      </c>
      <c r="P8474" s="12" t="s">
        <v>36</v>
      </c>
      <c r="Q8474" s="12" t="s">
        <v>36</v>
      </c>
      <c r="R8474" s="12" t="s">
        <v>36</v>
      </c>
      <c r="S8474" s="12" t="s">
        <v>36</v>
      </c>
      <c r="T8474" s="12" t="s">
        <v>179</v>
      </c>
      <c r="U8474" s="12" t="s">
        <v>180</v>
      </c>
      <c r="V8474" s="12" t="s">
        <v>52</v>
      </c>
      <c r="W8474" s="12" t="s">
        <v>36864</v>
      </c>
      <c r="X8474" s="16" t="s">
        <v>36865</v>
      </c>
      <c r="Y8474" s="15" t="s">
        <v>108</v>
      </c>
      <c r="Z8474" s="14">
        <v>45.93</v>
      </c>
      <c r="AA8474" s="14">
        <v>87.92</v>
      </c>
      <c r="AB8474" s="12" t="s">
        <v>56</v>
      </c>
      <c r="AC8474" s="12" t="s">
        <v>36866</v>
      </c>
      <c r="AD8474" s="13">
        <v>40920</v>
      </c>
      <c r="AE8474" s="12" t="s">
        <v>184</v>
      </c>
      <c r="AF8474" s="12" t="s">
        <v>36</v>
      </c>
      <c r="AG8474" s="12" t="s">
        <v>81</v>
      </c>
      <c r="AH8474" s="1">
        <f>HYPERLINK("https://my.pitchbook.com?c=24318-19T","View Company Online")</f>
      </c>
    </row>
    <row r="8475">
      <c r="A8475" s="3" t="s">
        <v>36867</v>
      </c>
      <c r="B8475" s="3" t="s">
        <v>36868</v>
      </c>
      <c r="C8475" s="5" t="s">
        <v>36</v>
      </c>
      <c r="D8475" s="5" t="s">
        <v>36</v>
      </c>
      <c r="E8475" s="5" t="s">
        <v>36</v>
      </c>
      <c r="F8475" s="5" t="s">
        <v>36</v>
      </c>
      <c r="G8475" s="6" t="s">
        <v>36</v>
      </c>
      <c r="H8475" s="4" t="s">
        <v>36</v>
      </c>
      <c r="I8475" s="7" t="s">
        <v>36</v>
      </c>
      <c r="J8475" s="3" t="s">
        <v>36</v>
      </c>
      <c r="K8475" s="9" t="s">
        <v>36</v>
      </c>
      <c r="L8475" s="6" t="s">
        <v>36</v>
      </c>
      <c r="M8475" s="3" t="s">
        <v>36</v>
      </c>
      <c r="N8475" s="3" t="s">
        <v>36</v>
      </c>
      <c r="O8475" s="8" t="s">
        <v>36</v>
      </c>
      <c r="P8475" s="3" t="s">
        <v>36</v>
      </c>
      <c r="Q8475" s="3" t="s">
        <v>36</v>
      </c>
      <c r="R8475" s="3" t="s">
        <v>36</v>
      </c>
      <c r="S8475" s="3" t="s">
        <v>36</v>
      </c>
      <c r="T8475" s="3" t="s">
        <v>522</v>
      </c>
      <c r="U8475" s="3" t="s">
        <v>38</v>
      </c>
      <c r="V8475" s="3" t="s">
        <v>39</v>
      </c>
      <c r="W8475" s="3" t="s">
        <v>36869</v>
      </c>
      <c r="X8475" s="10" t="s">
        <v>29960</v>
      </c>
      <c r="Y8475" s="6" t="s">
        <v>42</v>
      </c>
      <c r="Z8475" s="4">
        <v>1.29</v>
      </c>
      <c r="AA8475" s="4" t="s">
        <v>36</v>
      </c>
      <c r="AB8475" s="3" t="s">
        <v>43</v>
      </c>
      <c r="AC8475" s="3" t="s">
        <v>36870</v>
      </c>
      <c r="AD8475" s="9">
        <v>40920</v>
      </c>
      <c r="AE8475" s="3" t="s">
        <v>110</v>
      </c>
      <c r="AF8475" s="3" t="s">
        <v>1636</v>
      </c>
      <c r="AG8475" s="3" t="s">
        <v>580</v>
      </c>
      <c r="AH8475" s="11">
        <f>HYPERLINK("https://my.pitchbook.com?c=44646-67T","View Company Online")</f>
      </c>
    </row>
    <row r="8476">
      <c r="A8476" s="12" t="s">
        <v>36871</v>
      </c>
      <c r="B8476" s="12" t="s">
        <v>36872</v>
      </c>
      <c r="C8476" s="19" t="s">
        <v>36</v>
      </c>
      <c r="D8476" s="19" t="s">
        <v>36</v>
      </c>
      <c r="E8476" s="19" t="s">
        <v>36</v>
      </c>
      <c r="F8476" s="19" t="s">
        <v>36</v>
      </c>
      <c r="G8476" s="15" t="s">
        <v>36</v>
      </c>
      <c r="H8476" s="14" t="s">
        <v>36</v>
      </c>
      <c r="I8476" s="18" t="s">
        <v>36</v>
      </c>
      <c r="J8476" s="12" t="s">
        <v>36</v>
      </c>
      <c r="K8476" s="13" t="s">
        <v>36</v>
      </c>
      <c r="L8476" s="15" t="s">
        <v>36</v>
      </c>
      <c r="M8476" s="12" t="s">
        <v>36</v>
      </c>
      <c r="N8476" s="12" t="s">
        <v>36</v>
      </c>
      <c r="O8476" s="17" t="s">
        <v>36</v>
      </c>
      <c r="P8476" s="12" t="s">
        <v>36</v>
      </c>
      <c r="Q8476" s="12" t="s">
        <v>36</v>
      </c>
      <c r="R8476" s="12" t="s">
        <v>36</v>
      </c>
      <c r="S8476" s="12" t="s">
        <v>36</v>
      </c>
      <c r="T8476" s="12" t="s">
        <v>36873</v>
      </c>
      <c r="U8476" s="12" t="s">
        <v>423</v>
      </c>
      <c r="V8476" s="12" t="s">
        <v>64</v>
      </c>
      <c r="W8476" s="12" t="s">
        <v>36874</v>
      </c>
      <c r="X8476" s="16" t="s">
        <v>26808</v>
      </c>
      <c r="Y8476" s="15" t="s">
        <v>42</v>
      </c>
      <c r="Z8476" s="14">
        <v>0.65</v>
      </c>
      <c r="AA8476" s="14" t="s">
        <v>36</v>
      </c>
      <c r="AB8476" s="12" t="s">
        <v>43</v>
      </c>
      <c r="AC8476" s="12" t="s">
        <v>36875</v>
      </c>
      <c r="AD8476" s="13">
        <v>40919</v>
      </c>
      <c r="AE8476" s="12" t="s">
        <v>562</v>
      </c>
      <c r="AF8476" s="12" t="s">
        <v>1977</v>
      </c>
      <c r="AG8476" s="12" t="s">
        <v>34507</v>
      </c>
      <c r="AH8476" s="1">
        <f>HYPERLINK("https://my.pitchbook.com?c=36345-61T","View Company Online")</f>
      </c>
    </row>
    <row r="8477">
      <c r="A8477" s="3" t="s">
        <v>36876</v>
      </c>
      <c r="B8477" s="3" t="s">
        <v>36877</v>
      </c>
      <c r="C8477" s="5">
        <v>2</v>
      </c>
      <c r="D8477" s="5">
        <v>42</v>
      </c>
      <c r="E8477" s="5">
        <v>5</v>
      </c>
      <c r="F8477" s="5">
        <v>49</v>
      </c>
      <c r="G8477" s="6" t="s">
        <v>36</v>
      </c>
      <c r="H8477" s="4" t="s">
        <v>36</v>
      </c>
      <c r="I8477" s="7" t="s">
        <v>36</v>
      </c>
      <c r="J8477" s="3" t="s">
        <v>36</v>
      </c>
      <c r="K8477" s="9" t="s">
        <v>36</v>
      </c>
      <c r="L8477" s="6" t="s">
        <v>36</v>
      </c>
      <c r="M8477" s="3" t="s">
        <v>36</v>
      </c>
      <c r="N8477" s="3" t="s">
        <v>36</v>
      </c>
      <c r="O8477" s="8" t="s">
        <v>36</v>
      </c>
      <c r="P8477" s="3" t="s">
        <v>36</v>
      </c>
      <c r="Q8477" s="3" t="s">
        <v>36</v>
      </c>
      <c r="R8477" s="3" t="s">
        <v>36</v>
      </c>
      <c r="S8477" s="3" t="s">
        <v>36</v>
      </c>
      <c r="T8477" s="3" t="s">
        <v>881</v>
      </c>
      <c r="U8477" s="3" t="s">
        <v>51</v>
      </c>
      <c r="V8477" s="3" t="s">
        <v>52</v>
      </c>
      <c r="W8477" s="3" t="s">
        <v>36878</v>
      </c>
      <c r="X8477" s="10" t="s">
        <v>36879</v>
      </c>
      <c r="Y8477" s="6" t="s">
        <v>42</v>
      </c>
      <c r="Z8477" s="4">
        <v>6.23</v>
      </c>
      <c r="AA8477" s="4" t="s">
        <v>36</v>
      </c>
      <c r="AB8477" s="3" t="s">
        <v>43</v>
      </c>
      <c r="AC8477" s="3" t="s">
        <v>36880</v>
      </c>
      <c r="AD8477" s="9">
        <v>40917</v>
      </c>
      <c r="AE8477" s="3" t="s">
        <v>504</v>
      </c>
      <c r="AF8477" s="3" t="s">
        <v>159</v>
      </c>
      <c r="AG8477" s="3" t="s">
        <v>3705</v>
      </c>
      <c r="AH8477" s="11">
        <f>HYPERLINK("https://my.pitchbook.com?c=130104-19T","View Company Online")</f>
      </c>
    </row>
    <row r="8478">
      <c r="A8478" s="12" t="s">
        <v>36881</v>
      </c>
      <c r="B8478" s="12" t="s">
        <v>36882</v>
      </c>
      <c r="C8478" s="19" t="s">
        <v>36</v>
      </c>
      <c r="D8478" s="19" t="s">
        <v>36</v>
      </c>
      <c r="E8478" s="19" t="s">
        <v>36</v>
      </c>
      <c r="F8478" s="19" t="s">
        <v>36</v>
      </c>
      <c r="G8478" s="15" t="s">
        <v>36</v>
      </c>
      <c r="H8478" s="14" t="s">
        <v>36</v>
      </c>
      <c r="I8478" s="18" t="s">
        <v>36</v>
      </c>
      <c r="J8478" s="12" t="s">
        <v>36</v>
      </c>
      <c r="K8478" s="13" t="s">
        <v>36</v>
      </c>
      <c r="L8478" s="15" t="s">
        <v>36</v>
      </c>
      <c r="M8478" s="12" t="s">
        <v>36</v>
      </c>
      <c r="N8478" s="12" t="s">
        <v>36</v>
      </c>
      <c r="O8478" s="17" t="s">
        <v>36</v>
      </c>
      <c r="P8478" s="12" t="s">
        <v>36</v>
      </c>
      <c r="Q8478" s="12" t="s">
        <v>36</v>
      </c>
      <c r="R8478" s="12" t="s">
        <v>36</v>
      </c>
      <c r="S8478" s="12" t="s">
        <v>36</v>
      </c>
      <c r="T8478" s="12" t="s">
        <v>36883</v>
      </c>
      <c r="U8478" s="12" t="s">
        <v>279</v>
      </c>
      <c r="V8478" s="12" t="s">
        <v>64</v>
      </c>
      <c r="W8478" s="12" t="s">
        <v>36884</v>
      </c>
      <c r="X8478" s="16" t="s">
        <v>36885</v>
      </c>
      <c r="Y8478" s="15" t="s">
        <v>55</v>
      </c>
      <c r="Z8478" s="14">
        <v>27</v>
      </c>
      <c r="AA8478" s="14" t="s">
        <v>36</v>
      </c>
      <c r="AB8478" s="12" t="s">
        <v>56</v>
      </c>
      <c r="AC8478" s="12" t="s">
        <v>36886</v>
      </c>
      <c r="AD8478" s="13">
        <v>40917</v>
      </c>
      <c r="AE8478" s="12" t="s">
        <v>851</v>
      </c>
      <c r="AF8478" s="12" t="s">
        <v>2210</v>
      </c>
      <c r="AG8478" s="12" t="s">
        <v>1332</v>
      </c>
      <c r="AH8478" s="1">
        <f>HYPERLINK("https://my.pitchbook.com?c=20245-78T","View Company Online")</f>
      </c>
    </row>
    <row r="8479">
      <c r="A8479" s="3" t="s">
        <v>36887</v>
      </c>
      <c r="B8479" s="3" t="s">
        <v>36888</v>
      </c>
      <c r="C8479" s="5" t="s">
        <v>36</v>
      </c>
      <c r="D8479" s="5">
        <v>1</v>
      </c>
      <c r="E8479" s="5">
        <v>1</v>
      </c>
      <c r="F8479" s="5">
        <v>4</v>
      </c>
      <c r="G8479" s="6" t="s">
        <v>36</v>
      </c>
      <c r="H8479" s="4" t="s">
        <v>36</v>
      </c>
      <c r="I8479" s="7">
        <v>19.92</v>
      </c>
      <c r="J8479" s="3" t="s">
        <v>327</v>
      </c>
      <c r="K8479" s="9" t="s">
        <v>36</v>
      </c>
      <c r="L8479" s="6" t="s">
        <v>36</v>
      </c>
      <c r="M8479" s="3" t="s">
        <v>36</v>
      </c>
      <c r="N8479" s="3" t="s">
        <v>36</v>
      </c>
      <c r="O8479" s="8" t="s">
        <v>36</v>
      </c>
      <c r="P8479" s="3" t="s">
        <v>36</v>
      </c>
      <c r="Q8479" s="3" t="s">
        <v>36</v>
      </c>
      <c r="R8479" s="3" t="s">
        <v>36</v>
      </c>
      <c r="S8479" s="3" t="s">
        <v>5151</v>
      </c>
      <c r="T8479" s="3" t="s">
        <v>36889</v>
      </c>
      <c r="U8479" s="3" t="s">
        <v>38</v>
      </c>
      <c r="V8479" s="3" t="s">
        <v>39</v>
      </c>
      <c r="W8479" s="3" t="s">
        <v>36890</v>
      </c>
      <c r="X8479" s="10" t="s">
        <v>36891</v>
      </c>
      <c r="Y8479" s="6" t="s">
        <v>42</v>
      </c>
      <c r="Z8479" s="4">
        <v>1.3</v>
      </c>
      <c r="AA8479" s="4">
        <v>6.54</v>
      </c>
      <c r="AB8479" s="3" t="s">
        <v>43</v>
      </c>
      <c r="AC8479" s="3" t="s">
        <v>36892</v>
      </c>
      <c r="AD8479" s="9">
        <v>40915</v>
      </c>
      <c r="AE8479" s="3" t="s">
        <v>134</v>
      </c>
      <c r="AF8479" s="3" t="s">
        <v>36893</v>
      </c>
      <c r="AG8479" s="3" t="s">
        <v>652</v>
      </c>
      <c r="AH8479" s="11">
        <f>HYPERLINK("https://my.pitchbook.com?c=29641-06T","View Company Online")</f>
      </c>
    </row>
    <row r="8480">
      <c r="A8480" s="12" t="s">
        <v>36894</v>
      </c>
      <c r="B8480" s="12" t="s">
        <v>27437</v>
      </c>
      <c r="C8480" s="19" t="s">
        <v>36</v>
      </c>
      <c r="D8480" s="19" t="s">
        <v>36</v>
      </c>
      <c r="E8480" s="19" t="s">
        <v>36</v>
      </c>
      <c r="F8480" s="19" t="s">
        <v>36</v>
      </c>
      <c r="G8480" s="15" t="s">
        <v>36</v>
      </c>
      <c r="H8480" s="14">
        <v>87.14</v>
      </c>
      <c r="I8480" s="18">
        <v>22.74</v>
      </c>
      <c r="J8480" s="12" t="s">
        <v>327</v>
      </c>
      <c r="K8480" s="13" t="s">
        <v>36</v>
      </c>
      <c r="L8480" s="15" t="s">
        <v>36</v>
      </c>
      <c r="M8480" s="12" t="s">
        <v>36</v>
      </c>
      <c r="N8480" s="12" t="s">
        <v>36</v>
      </c>
      <c r="O8480" s="17" t="s">
        <v>36</v>
      </c>
      <c r="P8480" s="12" t="s">
        <v>36</v>
      </c>
      <c r="Q8480" s="12" t="s">
        <v>36</v>
      </c>
      <c r="R8480" s="12" t="s">
        <v>36</v>
      </c>
      <c r="S8480" s="12" t="s">
        <v>36</v>
      </c>
      <c r="T8480" s="12" t="s">
        <v>27438</v>
      </c>
      <c r="U8480" s="12" t="s">
        <v>289</v>
      </c>
      <c r="V8480" s="12" t="s">
        <v>64</v>
      </c>
      <c r="W8480" s="12" t="s">
        <v>27439</v>
      </c>
      <c r="X8480" s="16" t="s">
        <v>29175</v>
      </c>
      <c r="Y8480" s="15" t="s">
        <v>42</v>
      </c>
      <c r="Z8480" s="14">
        <v>2.61</v>
      </c>
      <c r="AA8480" s="14">
        <v>11.47</v>
      </c>
      <c r="AB8480" s="12" t="s">
        <v>43</v>
      </c>
      <c r="AC8480" s="12" t="s">
        <v>27441</v>
      </c>
      <c r="AD8480" s="13">
        <v>40914</v>
      </c>
      <c r="AE8480" s="12" t="s">
        <v>292</v>
      </c>
      <c r="AF8480" s="12" t="s">
        <v>2118</v>
      </c>
      <c r="AG8480" s="12" t="s">
        <v>2133</v>
      </c>
      <c r="AH8480" s="1">
        <f>HYPERLINK("https://my.pitchbook.com?c=24631-21T","View Company Online")</f>
      </c>
    </row>
    <row r="8481">
      <c r="A8481" s="3" t="s">
        <v>36895</v>
      </c>
      <c r="B8481" s="3" t="s">
        <v>36896</v>
      </c>
      <c r="C8481" s="5" t="s">
        <v>36</v>
      </c>
      <c r="D8481" s="5" t="s">
        <v>36</v>
      </c>
      <c r="E8481" s="5" t="s">
        <v>36</v>
      </c>
      <c r="F8481" s="5" t="s">
        <v>36</v>
      </c>
      <c r="G8481" s="6" t="s">
        <v>36</v>
      </c>
      <c r="H8481" s="4" t="s">
        <v>36</v>
      </c>
      <c r="I8481" s="7" t="s">
        <v>36</v>
      </c>
      <c r="J8481" s="3" t="s">
        <v>36</v>
      </c>
      <c r="K8481" s="9" t="s">
        <v>36</v>
      </c>
      <c r="L8481" s="6" t="s">
        <v>122</v>
      </c>
      <c r="M8481" s="3" t="s">
        <v>36</v>
      </c>
      <c r="N8481" s="3" t="s">
        <v>122</v>
      </c>
      <c r="O8481" s="8" t="s">
        <v>36</v>
      </c>
      <c r="P8481" s="3" t="s">
        <v>36</v>
      </c>
      <c r="Q8481" s="3" t="s">
        <v>36</v>
      </c>
      <c r="R8481" s="3" t="s">
        <v>36</v>
      </c>
      <c r="S8481" s="3" t="s">
        <v>36</v>
      </c>
      <c r="T8481" s="3" t="s">
        <v>36273</v>
      </c>
      <c r="U8481" s="3" t="s">
        <v>38</v>
      </c>
      <c r="V8481" s="3" t="s">
        <v>39</v>
      </c>
      <c r="W8481" s="3" t="s">
        <v>36897</v>
      </c>
      <c r="X8481" s="10" t="s">
        <v>36898</v>
      </c>
      <c r="Y8481" s="6" t="s">
        <v>108</v>
      </c>
      <c r="Z8481" s="4">
        <v>3</v>
      </c>
      <c r="AA8481" s="4" t="s">
        <v>36</v>
      </c>
      <c r="AB8481" s="3" t="s">
        <v>43</v>
      </c>
      <c r="AC8481" s="3" t="s">
        <v>36899</v>
      </c>
      <c r="AD8481" s="9">
        <v>40913</v>
      </c>
      <c r="AE8481" s="3" t="s">
        <v>110</v>
      </c>
      <c r="AF8481" s="3" t="s">
        <v>1636</v>
      </c>
      <c r="AG8481" s="3" t="s">
        <v>81</v>
      </c>
      <c r="AH8481" s="11">
        <f>HYPERLINK("https://my.pitchbook.com?c=29810-17T","View Company Online")</f>
      </c>
    </row>
    <row r="8482">
      <c r="A8482" s="12" t="s">
        <v>36900</v>
      </c>
      <c r="B8482" s="12" t="s">
        <v>24297</v>
      </c>
      <c r="C8482" s="19" t="s">
        <v>36</v>
      </c>
      <c r="D8482" s="19" t="s">
        <v>36</v>
      </c>
      <c r="E8482" s="19" t="s">
        <v>36</v>
      </c>
      <c r="F8482" s="19" t="s">
        <v>36</v>
      </c>
      <c r="G8482" s="15" t="s">
        <v>36</v>
      </c>
      <c r="H8482" s="14" t="s">
        <v>36</v>
      </c>
      <c r="I8482" s="18" t="s">
        <v>36</v>
      </c>
      <c r="J8482" s="12" t="s">
        <v>36</v>
      </c>
      <c r="K8482" s="13" t="s">
        <v>36</v>
      </c>
      <c r="L8482" s="15" t="s">
        <v>36</v>
      </c>
      <c r="M8482" s="12" t="s">
        <v>36</v>
      </c>
      <c r="N8482" s="12" t="s">
        <v>36</v>
      </c>
      <c r="O8482" s="17" t="s">
        <v>36</v>
      </c>
      <c r="P8482" s="12" t="s">
        <v>36</v>
      </c>
      <c r="Q8482" s="12" t="s">
        <v>36</v>
      </c>
      <c r="R8482" s="12" t="s">
        <v>36</v>
      </c>
      <c r="S8482" s="12" t="s">
        <v>36</v>
      </c>
      <c r="T8482" s="12" t="s">
        <v>522</v>
      </c>
      <c r="U8482" s="12" t="s">
        <v>38</v>
      </c>
      <c r="V8482" s="12" t="s">
        <v>39</v>
      </c>
      <c r="W8482" s="12" t="s">
        <v>24298</v>
      </c>
      <c r="X8482" s="16" t="s">
        <v>7151</v>
      </c>
      <c r="Y8482" s="15" t="s">
        <v>42</v>
      </c>
      <c r="Z8482" s="14">
        <v>0.92</v>
      </c>
      <c r="AA8482" s="14" t="s">
        <v>36</v>
      </c>
      <c r="AB8482" s="12" t="s">
        <v>43</v>
      </c>
      <c r="AC8482" s="12" t="s">
        <v>24299</v>
      </c>
      <c r="AD8482" s="13">
        <v>40910</v>
      </c>
      <c r="AE8482" s="12" t="s">
        <v>110</v>
      </c>
      <c r="AF8482" s="12" t="s">
        <v>7533</v>
      </c>
      <c r="AG8482" s="12" t="s">
        <v>186</v>
      </c>
      <c r="AH8482" s="1">
        <f>HYPERLINK("https://my.pitchbook.com?c=91591-84T","View Company Online")</f>
      </c>
    </row>
    <row r="8483">
      <c r="A8483" s="3" t="s">
        <v>36901</v>
      </c>
      <c r="B8483" s="3" t="s">
        <v>36902</v>
      </c>
      <c r="C8483" s="5" t="s">
        <v>36</v>
      </c>
      <c r="D8483" s="5" t="s">
        <v>36</v>
      </c>
      <c r="E8483" s="5" t="s">
        <v>36</v>
      </c>
      <c r="F8483" s="5" t="s">
        <v>36</v>
      </c>
      <c r="G8483" s="6" t="s">
        <v>36</v>
      </c>
      <c r="H8483" s="4" t="s">
        <v>36</v>
      </c>
      <c r="I8483" s="7" t="s">
        <v>36</v>
      </c>
      <c r="J8483" s="3" t="s">
        <v>36</v>
      </c>
      <c r="K8483" s="9" t="s">
        <v>36</v>
      </c>
      <c r="L8483" s="6" t="s">
        <v>36</v>
      </c>
      <c r="M8483" s="3" t="s">
        <v>36</v>
      </c>
      <c r="N8483" s="3" t="s">
        <v>36</v>
      </c>
      <c r="O8483" s="8" t="s">
        <v>36</v>
      </c>
      <c r="P8483" s="3" t="s">
        <v>36</v>
      </c>
      <c r="Q8483" s="3" t="s">
        <v>36</v>
      </c>
      <c r="R8483" s="3" t="s">
        <v>36</v>
      </c>
      <c r="S8483" s="3" t="s">
        <v>36</v>
      </c>
      <c r="T8483" s="3" t="s">
        <v>36903</v>
      </c>
      <c r="U8483" s="3" t="s">
        <v>728</v>
      </c>
      <c r="V8483" s="3" t="s">
        <v>64</v>
      </c>
      <c r="W8483" s="3" t="s">
        <v>36904</v>
      </c>
      <c r="X8483" s="10" t="s">
        <v>5661</v>
      </c>
      <c r="Y8483" s="6" t="s">
        <v>42</v>
      </c>
      <c r="Z8483" s="4" t="s">
        <v>36</v>
      </c>
      <c r="AA8483" s="4" t="s">
        <v>36</v>
      </c>
      <c r="AB8483" s="3" t="s">
        <v>43</v>
      </c>
      <c r="AC8483" s="3" t="s">
        <v>36905</v>
      </c>
      <c r="AD8483" s="9">
        <v>40909</v>
      </c>
      <c r="AE8483" s="3" t="s">
        <v>2154</v>
      </c>
      <c r="AF8483" s="3" t="s">
        <v>90</v>
      </c>
      <c r="AG8483" s="3" t="s">
        <v>36906</v>
      </c>
      <c r="AH8483" s="11">
        <f>HYPERLINK("https://my.pitchbook.com?c=28034-47T","View Company Online")</f>
      </c>
    </row>
    <row r="8484">
      <c r="A8484" s="12" t="s">
        <v>36907</v>
      </c>
      <c r="B8484" s="12" t="s">
        <v>36908</v>
      </c>
      <c r="C8484" s="19" t="s">
        <v>36</v>
      </c>
      <c r="D8484" s="19">
        <v>1</v>
      </c>
      <c r="E8484" s="19">
        <v>2</v>
      </c>
      <c r="F8484" s="19">
        <v>3</v>
      </c>
      <c r="G8484" s="15" t="s">
        <v>36</v>
      </c>
      <c r="H8484" s="14" t="s">
        <v>36</v>
      </c>
      <c r="I8484" s="18" t="s">
        <v>36</v>
      </c>
      <c r="J8484" s="12" t="s">
        <v>36</v>
      </c>
      <c r="K8484" s="13" t="s">
        <v>36</v>
      </c>
      <c r="L8484" s="15" t="s">
        <v>36</v>
      </c>
      <c r="M8484" s="12" t="s">
        <v>36</v>
      </c>
      <c r="N8484" s="12" t="s">
        <v>36</v>
      </c>
      <c r="O8484" s="17" t="s">
        <v>36</v>
      </c>
      <c r="P8484" s="12" t="s">
        <v>36</v>
      </c>
      <c r="Q8484" s="12" t="s">
        <v>36</v>
      </c>
      <c r="R8484" s="12" t="s">
        <v>36</v>
      </c>
      <c r="S8484" s="12" t="s">
        <v>36</v>
      </c>
      <c r="T8484" s="12" t="s">
        <v>1188</v>
      </c>
      <c r="U8484" s="12" t="s">
        <v>180</v>
      </c>
      <c r="V8484" s="12" t="s">
        <v>52</v>
      </c>
      <c r="W8484" s="12" t="s">
        <v>36909</v>
      </c>
      <c r="X8484" s="16" t="s">
        <v>36910</v>
      </c>
      <c r="Y8484" s="15" t="s">
        <v>42</v>
      </c>
      <c r="Z8484" s="14" t="s">
        <v>36</v>
      </c>
      <c r="AA8484" s="14" t="s">
        <v>36</v>
      </c>
      <c r="AB8484" s="12" t="s">
        <v>56</v>
      </c>
      <c r="AC8484" s="12" t="s">
        <v>36911</v>
      </c>
      <c r="AD8484" s="13">
        <v>40909</v>
      </c>
      <c r="AE8484" s="12" t="s">
        <v>1192</v>
      </c>
      <c r="AF8484" s="12" t="s">
        <v>101</v>
      </c>
      <c r="AG8484" s="12" t="s">
        <v>991</v>
      </c>
      <c r="AH8484" s="1">
        <f>HYPERLINK("https://my.pitchbook.com?c=33350-41T","View Company Online")</f>
      </c>
    </row>
    <row r="8485">
      <c r="A8485" s="3" t="s">
        <v>36912</v>
      </c>
      <c r="B8485" s="3" t="s">
        <v>36913</v>
      </c>
      <c r="C8485" s="5" t="s">
        <v>36</v>
      </c>
      <c r="D8485" s="5" t="s">
        <v>36</v>
      </c>
      <c r="E8485" s="5" t="s">
        <v>36</v>
      </c>
      <c r="F8485" s="5" t="s">
        <v>36</v>
      </c>
      <c r="G8485" s="6" t="s">
        <v>36</v>
      </c>
      <c r="H8485" s="4" t="s">
        <v>36</v>
      </c>
      <c r="I8485" s="7" t="s">
        <v>36</v>
      </c>
      <c r="J8485" s="3" t="s">
        <v>36</v>
      </c>
      <c r="K8485" s="9" t="s">
        <v>36</v>
      </c>
      <c r="L8485" s="6" t="s">
        <v>36</v>
      </c>
      <c r="M8485" s="3" t="s">
        <v>36</v>
      </c>
      <c r="N8485" s="3" t="s">
        <v>36</v>
      </c>
      <c r="O8485" s="8" t="s">
        <v>36</v>
      </c>
      <c r="P8485" s="3" t="s">
        <v>36</v>
      </c>
      <c r="Q8485" s="3" t="s">
        <v>36</v>
      </c>
      <c r="R8485" s="3" t="s">
        <v>36</v>
      </c>
      <c r="S8485" s="3" t="s">
        <v>36</v>
      </c>
      <c r="T8485" s="3" t="s">
        <v>727</v>
      </c>
      <c r="U8485" s="3" t="s">
        <v>728</v>
      </c>
      <c r="V8485" s="3" t="s">
        <v>64</v>
      </c>
      <c r="W8485" s="3" t="s">
        <v>36914</v>
      </c>
      <c r="X8485" s="10" t="s">
        <v>5661</v>
      </c>
      <c r="Y8485" s="6" t="s">
        <v>108</v>
      </c>
      <c r="Z8485" s="4">
        <v>0.85</v>
      </c>
      <c r="AA8485" s="4" t="s">
        <v>36</v>
      </c>
      <c r="AB8485" s="3" t="s">
        <v>43</v>
      </c>
      <c r="AC8485" s="3" t="s">
        <v>36915</v>
      </c>
      <c r="AD8485" s="9">
        <v>40909</v>
      </c>
      <c r="AE8485" s="3" t="s">
        <v>732</v>
      </c>
      <c r="AF8485" s="3" t="s">
        <v>733</v>
      </c>
      <c r="AG8485" s="3" t="s">
        <v>6013</v>
      </c>
      <c r="AH8485" s="11">
        <f>HYPERLINK("https://my.pitchbook.com?c=28029-97T","View Company Online")</f>
      </c>
    </row>
    <row r="8486">
      <c r="A8486" s="12" t="s">
        <v>36916</v>
      </c>
      <c r="B8486" s="12" t="s">
        <v>33429</v>
      </c>
      <c r="C8486" s="19" t="s">
        <v>36</v>
      </c>
      <c r="D8486" s="19" t="s">
        <v>36</v>
      </c>
      <c r="E8486" s="19" t="s">
        <v>36</v>
      </c>
      <c r="F8486" s="19" t="s">
        <v>36</v>
      </c>
      <c r="G8486" s="15" t="s">
        <v>36</v>
      </c>
      <c r="H8486" s="14" t="s">
        <v>36</v>
      </c>
      <c r="I8486" s="18" t="s">
        <v>36</v>
      </c>
      <c r="J8486" s="12" t="s">
        <v>36</v>
      </c>
      <c r="K8486" s="13">
        <v>40817</v>
      </c>
      <c r="L8486" s="15" t="s">
        <v>36</v>
      </c>
      <c r="M8486" s="12" t="s">
        <v>36</v>
      </c>
      <c r="N8486" s="12" t="s">
        <v>36</v>
      </c>
      <c r="O8486" s="17" t="s">
        <v>36</v>
      </c>
      <c r="P8486" s="12" t="s">
        <v>36</v>
      </c>
      <c r="Q8486" s="12" t="s">
        <v>36</v>
      </c>
      <c r="R8486" s="12" t="s">
        <v>36</v>
      </c>
      <c r="S8486" s="12" t="s">
        <v>36</v>
      </c>
      <c r="T8486" s="12" t="s">
        <v>20192</v>
      </c>
      <c r="U8486" s="12" t="s">
        <v>279</v>
      </c>
      <c r="V8486" s="12" t="s">
        <v>64</v>
      </c>
      <c r="W8486" s="12" t="s">
        <v>33430</v>
      </c>
      <c r="X8486" s="16" t="s">
        <v>36917</v>
      </c>
      <c r="Y8486" s="15" t="s">
        <v>108</v>
      </c>
      <c r="Z8486" s="14">
        <v>1.97</v>
      </c>
      <c r="AA8486" s="14" t="s">
        <v>36</v>
      </c>
      <c r="AB8486" s="12" t="s">
        <v>43</v>
      </c>
      <c r="AC8486" s="12" t="s">
        <v>33432</v>
      </c>
      <c r="AD8486" s="13">
        <v>40909</v>
      </c>
      <c r="AE8486" s="12" t="s">
        <v>8519</v>
      </c>
      <c r="AF8486" s="12" t="s">
        <v>1636</v>
      </c>
      <c r="AG8486" s="12" t="s">
        <v>652</v>
      </c>
      <c r="AH8486" s="1">
        <f>HYPERLINK("https://my.pitchbook.com?c=68775-40T","View Company Online")</f>
      </c>
    </row>
    <row r="8487">
      <c r="A8487" s="3" t="s">
        <v>36918</v>
      </c>
      <c r="B8487" s="3" t="s">
        <v>36919</v>
      </c>
      <c r="C8487" s="5" t="s">
        <v>36</v>
      </c>
      <c r="D8487" s="5">
        <v>4</v>
      </c>
      <c r="E8487" s="5">
        <v>1</v>
      </c>
      <c r="F8487" s="5">
        <v>4</v>
      </c>
      <c r="G8487" s="6" t="s">
        <v>36</v>
      </c>
      <c r="H8487" s="4" t="s">
        <v>36</v>
      </c>
      <c r="I8487" s="7" t="s">
        <v>36</v>
      </c>
      <c r="J8487" s="3" t="s">
        <v>36</v>
      </c>
      <c r="K8487" s="9" t="s">
        <v>36</v>
      </c>
      <c r="L8487" s="6" t="s">
        <v>36</v>
      </c>
      <c r="M8487" s="3" t="s">
        <v>36</v>
      </c>
      <c r="N8487" s="3" t="s">
        <v>36</v>
      </c>
      <c r="O8487" s="8" t="s">
        <v>36</v>
      </c>
      <c r="P8487" s="3" t="s">
        <v>36</v>
      </c>
      <c r="Q8487" s="3" t="s">
        <v>36</v>
      </c>
      <c r="R8487" s="3" t="s">
        <v>36</v>
      </c>
      <c r="S8487" s="3" t="s">
        <v>36</v>
      </c>
      <c r="T8487" s="3" t="s">
        <v>36920</v>
      </c>
      <c r="U8487" s="3" t="s">
        <v>1580</v>
      </c>
      <c r="V8487" s="3" t="s">
        <v>39</v>
      </c>
      <c r="W8487" s="3" t="s">
        <v>36921</v>
      </c>
      <c r="X8487" s="10" t="s">
        <v>36922</v>
      </c>
      <c r="Y8487" s="6" t="s">
        <v>42</v>
      </c>
      <c r="Z8487" s="4" t="s">
        <v>36</v>
      </c>
      <c r="AA8487" s="4" t="s">
        <v>36</v>
      </c>
      <c r="AB8487" s="3" t="s">
        <v>43</v>
      </c>
      <c r="AC8487" s="3" t="s">
        <v>36923</v>
      </c>
      <c r="AD8487" s="9">
        <v>40909</v>
      </c>
      <c r="AE8487" s="3" t="s">
        <v>3854</v>
      </c>
      <c r="AF8487" s="3" t="s">
        <v>36</v>
      </c>
      <c r="AG8487" s="3" t="s">
        <v>23079</v>
      </c>
      <c r="AH8487" s="11">
        <f>HYPERLINK("https://my.pitchbook.com?c=35018-65T","View Company Online")</f>
      </c>
    </row>
    <row r="8488">
      <c r="A8488" s="12" t="s">
        <v>36924</v>
      </c>
      <c r="B8488" s="12" t="s">
        <v>36925</v>
      </c>
      <c r="C8488" s="19" t="s">
        <v>36</v>
      </c>
      <c r="D8488" s="19" t="s">
        <v>36</v>
      </c>
      <c r="E8488" s="19" t="s">
        <v>36</v>
      </c>
      <c r="F8488" s="19" t="s">
        <v>36</v>
      </c>
      <c r="G8488" s="15" t="s">
        <v>36</v>
      </c>
      <c r="H8488" s="14" t="s">
        <v>36</v>
      </c>
      <c r="I8488" s="18" t="s">
        <v>36</v>
      </c>
      <c r="J8488" s="12" t="s">
        <v>36</v>
      </c>
      <c r="K8488" s="13" t="s">
        <v>36</v>
      </c>
      <c r="L8488" s="15" t="s">
        <v>36</v>
      </c>
      <c r="M8488" s="12" t="s">
        <v>36</v>
      </c>
      <c r="N8488" s="12" t="s">
        <v>36</v>
      </c>
      <c r="O8488" s="17" t="s">
        <v>36</v>
      </c>
      <c r="P8488" s="12" t="s">
        <v>36</v>
      </c>
      <c r="Q8488" s="12" t="s">
        <v>36</v>
      </c>
      <c r="R8488" s="12" t="s">
        <v>36</v>
      </c>
      <c r="S8488" s="12" t="s">
        <v>36</v>
      </c>
      <c r="T8488" s="12" t="s">
        <v>36926</v>
      </c>
      <c r="U8488" s="12" t="s">
        <v>1357</v>
      </c>
      <c r="V8488" s="12" t="s">
        <v>52</v>
      </c>
      <c r="W8488" s="12" t="s">
        <v>36927</v>
      </c>
      <c r="X8488" s="16" t="s">
        <v>5661</v>
      </c>
      <c r="Y8488" s="15" t="s">
        <v>42</v>
      </c>
      <c r="Z8488" s="14" t="s">
        <v>36</v>
      </c>
      <c r="AA8488" s="14" t="s">
        <v>36</v>
      </c>
      <c r="AB8488" s="12" t="s">
        <v>56</v>
      </c>
      <c r="AC8488" s="12" t="s">
        <v>36928</v>
      </c>
      <c r="AD8488" s="13">
        <v>40909</v>
      </c>
      <c r="AE8488" s="12" t="s">
        <v>3204</v>
      </c>
      <c r="AF8488" s="12" t="s">
        <v>36</v>
      </c>
      <c r="AG8488" s="12" t="s">
        <v>35794</v>
      </c>
      <c r="AH8488" s="1">
        <f>HYPERLINK("https://my.pitchbook.com?c=28006-03T","View Company Online")</f>
      </c>
    </row>
    <row r="8489">
      <c r="A8489" s="3" t="s">
        <v>36929</v>
      </c>
      <c r="B8489" s="3" t="s">
        <v>36930</v>
      </c>
      <c r="C8489" s="5" t="s">
        <v>36</v>
      </c>
      <c r="D8489" s="5" t="s">
        <v>36</v>
      </c>
      <c r="E8489" s="5" t="s">
        <v>36</v>
      </c>
      <c r="F8489" s="5" t="s">
        <v>36</v>
      </c>
      <c r="G8489" s="6" t="s">
        <v>36</v>
      </c>
      <c r="H8489" s="4" t="s">
        <v>36</v>
      </c>
      <c r="I8489" s="7" t="s">
        <v>36</v>
      </c>
      <c r="J8489" s="3" t="s">
        <v>36</v>
      </c>
      <c r="K8489" s="9" t="s">
        <v>36</v>
      </c>
      <c r="L8489" s="6" t="s">
        <v>36</v>
      </c>
      <c r="M8489" s="3" t="s">
        <v>36</v>
      </c>
      <c r="N8489" s="3" t="s">
        <v>36</v>
      </c>
      <c r="O8489" s="8" t="s">
        <v>36</v>
      </c>
      <c r="P8489" s="3" t="s">
        <v>36</v>
      </c>
      <c r="Q8489" s="3" t="s">
        <v>36</v>
      </c>
      <c r="R8489" s="3" t="s">
        <v>36</v>
      </c>
      <c r="S8489" s="3" t="s">
        <v>36</v>
      </c>
      <c r="T8489" s="3" t="s">
        <v>36931</v>
      </c>
      <c r="U8489" s="3" t="s">
        <v>74</v>
      </c>
      <c r="V8489" s="3" t="s">
        <v>75</v>
      </c>
      <c r="W8489" s="3" t="s">
        <v>36932</v>
      </c>
      <c r="X8489" s="10" t="s">
        <v>5661</v>
      </c>
      <c r="Y8489" s="6" t="s">
        <v>42</v>
      </c>
      <c r="Z8489" s="4" t="s">
        <v>36</v>
      </c>
      <c r="AA8489" s="4" t="s">
        <v>36</v>
      </c>
      <c r="AB8489" s="3" t="s">
        <v>43</v>
      </c>
      <c r="AC8489" s="3" t="s">
        <v>36933</v>
      </c>
      <c r="AD8489" s="9">
        <v>40909</v>
      </c>
      <c r="AE8489" s="3" t="s">
        <v>1888</v>
      </c>
      <c r="AF8489" s="3" t="s">
        <v>1969</v>
      </c>
      <c r="AG8489" s="3" t="s">
        <v>36934</v>
      </c>
      <c r="AH8489" s="11">
        <f>HYPERLINK("https://my.pitchbook.com?c=28063-09T","View Company Online")</f>
      </c>
    </row>
    <row r="8490">
      <c r="A8490" s="12" t="s">
        <v>36935</v>
      </c>
      <c r="B8490" s="12" t="s">
        <v>36936</v>
      </c>
      <c r="C8490" s="19" t="s">
        <v>36</v>
      </c>
      <c r="D8490" s="19" t="s">
        <v>36</v>
      </c>
      <c r="E8490" s="19" t="s">
        <v>36</v>
      </c>
      <c r="F8490" s="19" t="s">
        <v>36</v>
      </c>
      <c r="G8490" s="15" t="s">
        <v>36</v>
      </c>
      <c r="H8490" s="14" t="s">
        <v>36</v>
      </c>
      <c r="I8490" s="18" t="s">
        <v>36</v>
      </c>
      <c r="J8490" s="12" t="s">
        <v>36</v>
      </c>
      <c r="K8490" s="13">
        <v>40624</v>
      </c>
      <c r="L8490" s="15" t="s">
        <v>36</v>
      </c>
      <c r="M8490" s="12" t="s">
        <v>36</v>
      </c>
      <c r="N8490" s="12" t="s">
        <v>36</v>
      </c>
      <c r="O8490" s="17" t="s">
        <v>36</v>
      </c>
      <c r="P8490" s="12" t="s">
        <v>36</v>
      </c>
      <c r="Q8490" s="12" t="s">
        <v>36</v>
      </c>
      <c r="R8490" s="12" t="s">
        <v>36</v>
      </c>
      <c r="S8490" s="12" t="s">
        <v>36</v>
      </c>
      <c r="T8490" s="12" t="s">
        <v>36937</v>
      </c>
      <c r="U8490" s="12" t="s">
        <v>74</v>
      </c>
      <c r="V8490" s="12" t="s">
        <v>75</v>
      </c>
      <c r="W8490" s="12" t="s">
        <v>36938</v>
      </c>
      <c r="X8490" s="16" t="s">
        <v>36939</v>
      </c>
      <c r="Y8490" s="15" t="s">
        <v>42</v>
      </c>
      <c r="Z8490" s="14">
        <v>3.41</v>
      </c>
      <c r="AA8490" s="14" t="s">
        <v>36</v>
      </c>
      <c r="AB8490" s="12" t="s">
        <v>43</v>
      </c>
      <c r="AC8490" s="12" t="s">
        <v>36940</v>
      </c>
      <c r="AD8490" s="13">
        <v>40909</v>
      </c>
      <c r="AE8490" s="12" t="s">
        <v>570</v>
      </c>
      <c r="AF8490" s="12" t="s">
        <v>25016</v>
      </c>
      <c r="AG8490" s="12" t="s">
        <v>1362</v>
      </c>
      <c r="AH8490" s="1">
        <f>HYPERLINK("https://my.pitchbook.com?c=25413-04T","View Company Online")</f>
      </c>
    </row>
    <row r="8491">
      <c r="A8491" s="3" t="s">
        <v>36941</v>
      </c>
      <c r="B8491" s="3" t="s">
        <v>5890</v>
      </c>
      <c r="C8491" s="5" t="s">
        <v>36</v>
      </c>
      <c r="D8491" s="5" t="s">
        <v>36</v>
      </c>
      <c r="E8491" s="5" t="s">
        <v>36</v>
      </c>
      <c r="F8491" s="5" t="s">
        <v>36</v>
      </c>
      <c r="G8491" s="6" t="s">
        <v>36</v>
      </c>
      <c r="H8491" s="4" t="s">
        <v>36</v>
      </c>
      <c r="I8491" s="7" t="s">
        <v>36</v>
      </c>
      <c r="J8491" s="3" t="s">
        <v>36</v>
      </c>
      <c r="K8491" s="9" t="s">
        <v>36</v>
      </c>
      <c r="L8491" s="6" t="s">
        <v>36</v>
      </c>
      <c r="M8491" s="3" t="s">
        <v>36</v>
      </c>
      <c r="N8491" s="3" t="s">
        <v>36</v>
      </c>
      <c r="O8491" s="8" t="s">
        <v>36</v>
      </c>
      <c r="P8491" s="3" t="s">
        <v>36</v>
      </c>
      <c r="Q8491" s="3" t="s">
        <v>36</v>
      </c>
      <c r="R8491" s="3" t="s">
        <v>36</v>
      </c>
      <c r="S8491" s="3" t="s">
        <v>36</v>
      </c>
      <c r="T8491" s="3" t="s">
        <v>5518</v>
      </c>
      <c r="U8491" s="3" t="s">
        <v>318</v>
      </c>
      <c r="V8491" s="3" t="s">
        <v>39</v>
      </c>
      <c r="W8491" s="3" t="s">
        <v>5891</v>
      </c>
      <c r="X8491" s="10" t="s">
        <v>36942</v>
      </c>
      <c r="Y8491" s="6" t="s">
        <v>42</v>
      </c>
      <c r="Z8491" s="4" t="s">
        <v>36</v>
      </c>
      <c r="AA8491" s="4" t="s">
        <v>36</v>
      </c>
      <c r="AB8491" s="3" t="s">
        <v>56</v>
      </c>
      <c r="AC8491" s="3" t="s">
        <v>5893</v>
      </c>
      <c r="AD8491" s="9">
        <v>40909</v>
      </c>
      <c r="AE8491" s="3" t="s">
        <v>763</v>
      </c>
      <c r="AF8491" s="3" t="s">
        <v>5894</v>
      </c>
      <c r="AG8491" s="3" t="s">
        <v>5895</v>
      </c>
      <c r="AH8491" s="11">
        <f>HYPERLINK("https://my.pitchbook.com?c=54728-65T","View Company Online")</f>
      </c>
    </row>
    <row r="8492">
      <c r="A8492" s="12" t="s">
        <v>36943</v>
      </c>
      <c r="B8492" s="12" t="s">
        <v>36944</v>
      </c>
      <c r="C8492" s="19" t="s">
        <v>36</v>
      </c>
      <c r="D8492" s="19" t="s">
        <v>36</v>
      </c>
      <c r="E8492" s="19">
        <v>1</v>
      </c>
      <c r="F8492" s="19">
        <v>2</v>
      </c>
      <c r="G8492" s="15" t="s">
        <v>36</v>
      </c>
      <c r="H8492" s="14" t="s">
        <v>36</v>
      </c>
      <c r="I8492" s="18" t="s">
        <v>36</v>
      </c>
      <c r="J8492" s="12" t="s">
        <v>36</v>
      </c>
      <c r="K8492" s="13" t="s">
        <v>36</v>
      </c>
      <c r="L8492" s="15" t="s">
        <v>36</v>
      </c>
      <c r="M8492" s="12" t="s">
        <v>36</v>
      </c>
      <c r="N8492" s="12" t="s">
        <v>36</v>
      </c>
      <c r="O8492" s="17" t="s">
        <v>36</v>
      </c>
      <c r="P8492" s="12" t="s">
        <v>36</v>
      </c>
      <c r="Q8492" s="12" t="s">
        <v>36</v>
      </c>
      <c r="R8492" s="12" t="s">
        <v>36</v>
      </c>
      <c r="S8492" s="12" t="s">
        <v>36</v>
      </c>
      <c r="T8492" s="12" t="s">
        <v>7582</v>
      </c>
      <c r="U8492" s="12" t="s">
        <v>63</v>
      </c>
      <c r="V8492" s="12" t="s">
        <v>64</v>
      </c>
      <c r="W8492" s="12" t="s">
        <v>36945</v>
      </c>
      <c r="X8492" s="16" t="s">
        <v>36946</v>
      </c>
      <c r="Y8492" s="15" t="s">
        <v>42</v>
      </c>
      <c r="Z8492" s="14" t="s">
        <v>36</v>
      </c>
      <c r="AA8492" s="14" t="s">
        <v>36</v>
      </c>
      <c r="AB8492" s="12" t="s">
        <v>43</v>
      </c>
      <c r="AC8492" s="12" t="s">
        <v>36947</v>
      </c>
      <c r="AD8492" s="13">
        <v>40909</v>
      </c>
      <c r="AE8492" s="12" t="s">
        <v>68</v>
      </c>
      <c r="AF8492" s="12" t="s">
        <v>1636</v>
      </c>
      <c r="AG8492" s="12" t="s">
        <v>2088</v>
      </c>
      <c r="AH8492" s="1">
        <f>HYPERLINK("https://my.pitchbook.com?c=95792-68T","View Company Online")</f>
      </c>
    </row>
    <row r="8493">
      <c r="A8493" s="3" t="s">
        <v>36948</v>
      </c>
      <c r="B8493" s="3" t="s">
        <v>36949</v>
      </c>
      <c r="C8493" s="5" t="s">
        <v>36</v>
      </c>
      <c r="D8493" s="5" t="s">
        <v>36</v>
      </c>
      <c r="E8493" s="5" t="s">
        <v>36</v>
      </c>
      <c r="F8493" s="5" t="s">
        <v>36</v>
      </c>
      <c r="G8493" s="6" t="s">
        <v>36</v>
      </c>
      <c r="H8493" s="4" t="s">
        <v>36</v>
      </c>
      <c r="I8493" s="7" t="s">
        <v>36</v>
      </c>
      <c r="J8493" s="3" t="s">
        <v>36</v>
      </c>
      <c r="K8493" s="9" t="s">
        <v>36</v>
      </c>
      <c r="L8493" s="6" t="s">
        <v>36</v>
      </c>
      <c r="M8493" s="3" t="s">
        <v>36</v>
      </c>
      <c r="N8493" s="3" t="s">
        <v>36</v>
      </c>
      <c r="O8493" s="8" t="s">
        <v>36</v>
      </c>
      <c r="P8493" s="3" t="s">
        <v>36</v>
      </c>
      <c r="Q8493" s="3" t="s">
        <v>36</v>
      </c>
      <c r="R8493" s="3" t="s">
        <v>36</v>
      </c>
      <c r="S8493" s="3" t="s">
        <v>36</v>
      </c>
      <c r="T8493" s="3" t="s">
        <v>2044</v>
      </c>
      <c r="U8493" s="3" t="s">
        <v>74</v>
      </c>
      <c r="V8493" s="3" t="s">
        <v>75</v>
      </c>
      <c r="W8493" s="3" t="s">
        <v>36950</v>
      </c>
      <c r="X8493" s="10" t="s">
        <v>5661</v>
      </c>
      <c r="Y8493" s="6" t="s">
        <v>42</v>
      </c>
      <c r="Z8493" s="4" t="s">
        <v>36</v>
      </c>
      <c r="AA8493" s="4" t="s">
        <v>36</v>
      </c>
      <c r="AB8493" s="3" t="s">
        <v>43</v>
      </c>
      <c r="AC8493" s="3" t="s">
        <v>36951</v>
      </c>
      <c r="AD8493" s="9">
        <v>40909</v>
      </c>
      <c r="AE8493" s="3" t="s">
        <v>79</v>
      </c>
      <c r="AF8493" s="3" t="s">
        <v>36</v>
      </c>
      <c r="AG8493" s="3" t="s">
        <v>6013</v>
      </c>
      <c r="AH8493" s="11">
        <f>HYPERLINK("https://my.pitchbook.com?c=27892-27T","View Company Online")</f>
      </c>
    </row>
    <row r="8494">
      <c r="A8494" s="12" t="s">
        <v>36952</v>
      </c>
      <c r="B8494" s="12" t="s">
        <v>36953</v>
      </c>
      <c r="C8494" s="19" t="s">
        <v>36</v>
      </c>
      <c r="D8494" s="19" t="s">
        <v>36</v>
      </c>
      <c r="E8494" s="19" t="s">
        <v>36</v>
      </c>
      <c r="F8494" s="19" t="s">
        <v>36</v>
      </c>
      <c r="G8494" s="15" t="s">
        <v>36</v>
      </c>
      <c r="H8494" s="14" t="s">
        <v>36</v>
      </c>
      <c r="I8494" s="18" t="s">
        <v>36</v>
      </c>
      <c r="J8494" s="12" t="s">
        <v>36</v>
      </c>
      <c r="K8494" s="13" t="s">
        <v>36</v>
      </c>
      <c r="L8494" s="15" t="s">
        <v>36</v>
      </c>
      <c r="M8494" s="12" t="s">
        <v>36</v>
      </c>
      <c r="N8494" s="12" t="s">
        <v>36</v>
      </c>
      <c r="O8494" s="17" t="s">
        <v>36</v>
      </c>
      <c r="P8494" s="12" t="s">
        <v>36</v>
      </c>
      <c r="Q8494" s="12" t="s">
        <v>36</v>
      </c>
      <c r="R8494" s="12" t="s">
        <v>36</v>
      </c>
      <c r="S8494" s="12" t="s">
        <v>36</v>
      </c>
      <c r="T8494" s="12" t="s">
        <v>26693</v>
      </c>
      <c r="U8494" s="12" t="s">
        <v>728</v>
      </c>
      <c r="V8494" s="12" t="s">
        <v>64</v>
      </c>
      <c r="W8494" s="12" t="s">
        <v>36954</v>
      </c>
      <c r="X8494" s="16" t="s">
        <v>1043</v>
      </c>
      <c r="Y8494" s="15" t="s">
        <v>42</v>
      </c>
      <c r="Z8494" s="14" t="s">
        <v>36</v>
      </c>
      <c r="AA8494" s="14" t="s">
        <v>36</v>
      </c>
      <c r="AB8494" s="12" t="s">
        <v>43</v>
      </c>
      <c r="AC8494" s="12" t="s">
        <v>36955</v>
      </c>
      <c r="AD8494" s="13">
        <v>40909</v>
      </c>
      <c r="AE8494" s="12" t="s">
        <v>2154</v>
      </c>
      <c r="AF8494" s="12" t="s">
        <v>571</v>
      </c>
      <c r="AG8494" s="12" t="s">
        <v>81</v>
      </c>
      <c r="AH8494" s="1">
        <f>HYPERLINK("https://my.pitchbook.com?c=280401-76T","View Company Online")</f>
      </c>
    </row>
    <row r="8495">
      <c r="A8495" s="3" t="s">
        <v>36956</v>
      </c>
      <c r="B8495" s="3" t="s">
        <v>36957</v>
      </c>
      <c r="C8495" s="5" t="s">
        <v>36</v>
      </c>
      <c r="D8495" s="5">
        <v>2</v>
      </c>
      <c r="E8495" s="5">
        <v>5</v>
      </c>
      <c r="F8495" s="5">
        <v>9</v>
      </c>
      <c r="G8495" s="6" t="s">
        <v>36</v>
      </c>
      <c r="H8495" s="4" t="s">
        <v>36</v>
      </c>
      <c r="I8495" s="7">
        <v>20</v>
      </c>
      <c r="J8495" s="3" t="s">
        <v>36</v>
      </c>
      <c r="K8495" s="9" t="s">
        <v>36</v>
      </c>
      <c r="L8495" s="6" t="s">
        <v>36</v>
      </c>
      <c r="M8495" s="3" t="s">
        <v>36</v>
      </c>
      <c r="N8495" s="3" t="s">
        <v>36</v>
      </c>
      <c r="O8495" s="8" t="s">
        <v>36</v>
      </c>
      <c r="P8495" s="3" t="s">
        <v>36</v>
      </c>
      <c r="Q8495" s="3" t="s">
        <v>36</v>
      </c>
      <c r="R8495" s="3" t="s">
        <v>36</v>
      </c>
      <c r="S8495" s="3" t="s">
        <v>36</v>
      </c>
      <c r="T8495" s="3" t="s">
        <v>36958</v>
      </c>
      <c r="U8495" s="3" t="s">
        <v>74</v>
      </c>
      <c r="V8495" s="3" t="s">
        <v>75</v>
      </c>
      <c r="W8495" s="3" t="s">
        <v>36959</v>
      </c>
      <c r="X8495" s="10" t="s">
        <v>26808</v>
      </c>
      <c r="Y8495" s="6" t="s">
        <v>42</v>
      </c>
      <c r="Z8495" s="4" t="s">
        <v>36</v>
      </c>
      <c r="AA8495" s="4" t="s">
        <v>36</v>
      </c>
      <c r="AB8495" s="3" t="s">
        <v>56</v>
      </c>
      <c r="AC8495" s="3" t="s">
        <v>36960</v>
      </c>
      <c r="AD8495" s="9">
        <v>40909</v>
      </c>
      <c r="AE8495" s="3" t="s">
        <v>975</v>
      </c>
      <c r="AF8495" s="3" t="s">
        <v>546</v>
      </c>
      <c r="AG8495" s="3" t="s">
        <v>1447</v>
      </c>
      <c r="AH8495" s="11">
        <f>HYPERLINK("https://my.pitchbook.com?c=36336-70T","View Company Online")</f>
      </c>
    </row>
    <row r="8496">
      <c r="A8496" s="12" t="s">
        <v>36961</v>
      </c>
      <c r="B8496" s="12" t="s">
        <v>36962</v>
      </c>
      <c r="C8496" s="19">
        <v>1</v>
      </c>
      <c r="D8496" s="19">
        <v>12</v>
      </c>
      <c r="E8496" s="19">
        <v>11</v>
      </c>
      <c r="F8496" s="19">
        <v>32</v>
      </c>
      <c r="G8496" s="15" t="s">
        <v>36</v>
      </c>
      <c r="H8496" s="14" t="s">
        <v>36</v>
      </c>
      <c r="I8496" s="18" t="s">
        <v>36</v>
      </c>
      <c r="J8496" s="12" t="s">
        <v>36</v>
      </c>
      <c r="K8496" s="13" t="s">
        <v>36</v>
      </c>
      <c r="L8496" s="15" t="s">
        <v>36</v>
      </c>
      <c r="M8496" s="12" t="s">
        <v>36</v>
      </c>
      <c r="N8496" s="12" t="s">
        <v>36</v>
      </c>
      <c r="O8496" s="17" t="s">
        <v>36</v>
      </c>
      <c r="P8496" s="12" t="s">
        <v>36</v>
      </c>
      <c r="Q8496" s="12" t="s">
        <v>36</v>
      </c>
      <c r="R8496" s="12" t="s">
        <v>36</v>
      </c>
      <c r="S8496" s="12" t="s">
        <v>36</v>
      </c>
      <c r="T8496" s="12" t="s">
        <v>16553</v>
      </c>
      <c r="U8496" s="12" t="s">
        <v>38</v>
      </c>
      <c r="V8496" s="12" t="s">
        <v>39</v>
      </c>
      <c r="W8496" s="12" t="s">
        <v>36963</v>
      </c>
      <c r="X8496" s="16" t="s">
        <v>11579</v>
      </c>
      <c r="Y8496" s="15" t="s">
        <v>108</v>
      </c>
      <c r="Z8496" s="14" t="s">
        <v>36</v>
      </c>
      <c r="AA8496" s="14" t="s">
        <v>36</v>
      </c>
      <c r="AB8496" s="12" t="s">
        <v>56</v>
      </c>
      <c r="AC8496" s="12" t="s">
        <v>36964</v>
      </c>
      <c r="AD8496" s="13">
        <v>40909</v>
      </c>
      <c r="AE8496" s="12" t="s">
        <v>1945</v>
      </c>
      <c r="AF8496" s="12" t="s">
        <v>1077</v>
      </c>
      <c r="AG8496" s="12" t="s">
        <v>21815</v>
      </c>
      <c r="AH8496" s="1">
        <f>HYPERLINK("https://my.pitchbook.com?c=86618-53T","View Company Online")</f>
      </c>
    </row>
    <row r="8497">
      <c r="A8497" s="3" t="s">
        <v>36965</v>
      </c>
      <c r="B8497" s="3" t="s">
        <v>36966</v>
      </c>
      <c r="C8497" s="5">
        <v>2</v>
      </c>
      <c r="D8497" s="5" t="s">
        <v>36</v>
      </c>
      <c r="E8497" s="5">
        <v>2</v>
      </c>
      <c r="F8497" s="5">
        <v>3</v>
      </c>
      <c r="G8497" s="6" t="s">
        <v>36</v>
      </c>
      <c r="H8497" s="4" t="s">
        <v>36</v>
      </c>
      <c r="I8497" s="7" t="s">
        <v>36</v>
      </c>
      <c r="J8497" s="3" t="s">
        <v>36</v>
      </c>
      <c r="K8497" s="9" t="s">
        <v>36</v>
      </c>
      <c r="L8497" s="6" t="s">
        <v>36</v>
      </c>
      <c r="M8497" s="3" t="s">
        <v>36</v>
      </c>
      <c r="N8497" s="3" t="s">
        <v>36</v>
      </c>
      <c r="O8497" s="8" t="s">
        <v>36</v>
      </c>
      <c r="P8497" s="3" t="s">
        <v>36</v>
      </c>
      <c r="Q8497" s="3" t="s">
        <v>36</v>
      </c>
      <c r="R8497" s="3" t="s">
        <v>36</v>
      </c>
      <c r="S8497" s="3" t="s">
        <v>36</v>
      </c>
      <c r="T8497" s="3" t="s">
        <v>1628</v>
      </c>
      <c r="U8497" s="3" t="s">
        <v>96</v>
      </c>
      <c r="V8497" s="3" t="s">
        <v>52</v>
      </c>
      <c r="W8497" s="3" t="s">
        <v>36967</v>
      </c>
      <c r="X8497" s="10" t="s">
        <v>33627</v>
      </c>
      <c r="Y8497" s="6" t="s">
        <v>42</v>
      </c>
      <c r="Z8497" s="4">
        <v>0.06</v>
      </c>
      <c r="AA8497" s="4" t="s">
        <v>36</v>
      </c>
      <c r="AB8497" s="3" t="s">
        <v>43</v>
      </c>
      <c r="AC8497" s="3" t="s">
        <v>36968</v>
      </c>
      <c r="AD8497" s="9">
        <v>40909</v>
      </c>
      <c r="AE8497" s="3" t="s">
        <v>755</v>
      </c>
      <c r="AF8497" s="3" t="s">
        <v>101</v>
      </c>
      <c r="AG8497" s="3" t="s">
        <v>81</v>
      </c>
      <c r="AH8497" s="11">
        <f>HYPERLINK("https://my.pitchbook.com?c=128538-37T","View Company Online")</f>
      </c>
    </row>
    <row r="8498">
      <c r="A8498" s="12" t="s">
        <v>36969</v>
      </c>
      <c r="B8498" s="12" t="s">
        <v>36970</v>
      </c>
      <c r="C8498" s="19" t="s">
        <v>36</v>
      </c>
      <c r="D8498" s="19">
        <v>15</v>
      </c>
      <c r="E8498" s="19">
        <v>8</v>
      </c>
      <c r="F8498" s="19">
        <v>23</v>
      </c>
      <c r="G8498" s="15" t="s">
        <v>36</v>
      </c>
      <c r="H8498" s="14" t="s">
        <v>36</v>
      </c>
      <c r="I8498" s="18" t="s">
        <v>36</v>
      </c>
      <c r="J8498" s="12" t="s">
        <v>36</v>
      </c>
      <c r="K8498" s="13" t="s">
        <v>36</v>
      </c>
      <c r="L8498" s="15" t="s">
        <v>36</v>
      </c>
      <c r="M8498" s="12" t="s">
        <v>36</v>
      </c>
      <c r="N8498" s="12" t="s">
        <v>36</v>
      </c>
      <c r="O8498" s="17" t="s">
        <v>36</v>
      </c>
      <c r="P8498" s="12" t="s">
        <v>36</v>
      </c>
      <c r="Q8498" s="12" t="s">
        <v>36</v>
      </c>
      <c r="R8498" s="12" t="s">
        <v>36</v>
      </c>
      <c r="S8498" s="12" t="s">
        <v>36</v>
      </c>
      <c r="T8498" s="12" t="s">
        <v>36971</v>
      </c>
      <c r="U8498" s="12" t="s">
        <v>233</v>
      </c>
      <c r="V8498" s="12" t="s">
        <v>39</v>
      </c>
      <c r="W8498" s="12" t="s">
        <v>36972</v>
      </c>
      <c r="X8498" s="16" t="s">
        <v>36973</v>
      </c>
      <c r="Y8498" s="15" t="s">
        <v>42</v>
      </c>
      <c r="Z8498" s="14" t="s">
        <v>36</v>
      </c>
      <c r="AA8498" s="14" t="s">
        <v>36</v>
      </c>
      <c r="AB8498" s="12" t="s">
        <v>43</v>
      </c>
      <c r="AC8498" s="12" t="s">
        <v>36974</v>
      </c>
      <c r="AD8498" s="13">
        <v>40909</v>
      </c>
      <c r="AE8498" s="12" t="s">
        <v>236</v>
      </c>
      <c r="AF8498" s="12" t="s">
        <v>1636</v>
      </c>
      <c r="AG8498" s="12" t="s">
        <v>36975</v>
      </c>
      <c r="AH8498" s="1">
        <f>HYPERLINK("https://my.pitchbook.com?c=166510-54T","View Company Online")</f>
      </c>
    </row>
    <row r="8499">
      <c r="A8499" s="3" t="s">
        <v>36976</v>
      </c>
      <c r="B8499" s="3" t="s">
        <v>36977</v>
      </c>
      <c r="C8499" s="5" t="s">
        <v>36</v>
      </c>
      <c r="D8499" s="5">
        <v>6</v>
      </c>
      <c r="E8499" s="5">
        <v>2</v>
      </c>
      <c r="F8499" s="5">
        <v>11</v>
      </c>
      <c r="G8499" s="6" t="s">
        <v>36</v>
      </c>
      <c r="H8499" s="4" t="s">
        <v>36</v>
      </c>
      <c r="I8499" s="7" t="s">
        <v>36</v>
      </c>
      <c r="J8499" s="3" t="s">
        <v>36</v>
      </c>
      <c r="K8499" s="9" t="s">
        <v>36</v>
      </c>
      <c r="L8499" s="6" t="s">
        <v>36</v>
      </c>
      <c r="M8499" s="3" t="s">
        <v>36</v>
      </c>
      <c r="N8499" s="3" t="s">
        <v>36</v>
      </c>
      <c r="O8499" s="8" t="s">
        <v>36</v>
      </c>
      <c r="P8499" s="3" t="s">
        <v>36</v>
      </c>
      <c r="Q8499" s="3" t="s">
        <v>36</v>
      </c>
      <c r="R8499" s="3" t="s">
        <v>36</v>
      </c>
      <c r="S8499" s="3" t="s">
        <v>36</v>
      </c>
      <c r="T8499" s="3" t="s">
        <v>5666</v>
      </c>
      <c r="U8499" s="3" t="s">
        <v>219</v>
      </c>
      <c r="V8499" s="3" t="s">
        <v>75</v>
      </c>
      <c r="W8499" s="3" t="s">
        <v>36978</v>
      </c>
      <c r="X8499" s="10" t="s">
        <v>36979</v>
      </c>
      <c r="Y8499" s="6" t="s">
        <v>42</v>
      </c>
      <c r="Z8499" s="4">
        <v>0.13</v>
      </c>
      <c r="AA8499" s="4" t="s">
        <v>36</v>
      </c>
      <c r="AB8499" s="3" t="s">
        <v>43</v>
      </c>
      <c r="AC8499" s="3" t="s">
        <v>36980</v>
      </c>
      <c r="AD8499" s="9">
        <v>40909</v>
      </c>
      <c r="AE8499" s="3" t="s">
        <v>223</v>
      </c>
      <c r="AF8499" s="3" t="s">
        <v>22942</v>
      </c>
      <c r="AG8499" s="3" t="s">
        <v>36981</v>
      </c>
      <c r="AH8499" s="11">
        <f>HYPERLINK("https://my.pitchbook.com?c=35798-86T","View Company Online")</f>
      </c>
    </row>
    <row r="8500">
      <c r="A8500" s="12" t="s">
        <v>36982</v>
      </c>
      <c r="B8500" s="12" t="s">
        <v>9226</v>
      </c>
      <c r="C8500" s="19">
        <v>2</v>
      </c>
      <c r="D8500" s="19">
        <v>3</v>
      </c>
      <c r="E8500" s="19">
        <v>2</v>
      </c>
      <c r="F8500" s="19">
        <v>5</v>
      </c>
      <c r="G8500" s="15" t="s">
        <v>326</v>
      </c>
      <c r="H8500" s="14">
        <v>31.16</v>
      </c>
      <c r="I8500" s="18">
        <v>14.24</v>
      </c>
      <c r="J8500" s="12" t="s">
        <v>521</v>
      </c>
      <c r="K8500" s="13">
        <v>39983</v>
      </c>
      <c r="L8500" s="15" t="s">
        <v>36</v>
      </c>
      <c r="M8500" s="12" t="s">
        <v>36</v>
      </c>
      <c r="N8500" s="12" t="s">
        <v>36</v>
      </c>
      <c r="O8500" s="17" t="s">
        <v>36</v>
      </c>
      <c r="P8500" s="12" t="s">
        <v>36</v>
      </c>
      <c r="Q8500" s="12" t="s">
        <v>36</v>
      </c>
      <c r="R8500" s="12" t="s">
        <v>36</v>
      </c>
      <c r="S8500" s="12" t="s">
        <v>36</v>
      </c>
      <c r="T8500" s="12" t="s">
        <v>9227</v>
      </c>
      <c r="U8500" s="12" t="s">
        <v>318</v>
      </c>
      <c r="V8500" s="12" t="s">
        <v>39</v>
      </c>
      <c r="W8500" s="12" t="s">
        <v>9228</v>
      </c>
      <c r="X8500" s="16" t="s">
        <v>36983</v>
      </c>
      <c r="Y8500" s="15" t="s">
        <v>166</v>
      </c>
      <c r="Z8500" s="14">
        <v>0.98</v>
      </c>
      <c r="AA8500" s="14">
        <v>4.61</v>
      </c>
      <c r="AB8500" s="12" t="s">
        <v>56</v>
      </c>
      <c r="AC8500" s="12" t="s">
        <v>9230</v>
      </c>
      <c r="AD8500" s="13">
        <v>40909</v>
      </c>
      <c r="AE8500" s="12" t="s">
        <v>763</v>
      </c>
      <c r="AF8500" s="12" t="s">
        <v>2815</v>
      </c>
      <c r="AG8500" s="12" t="s">
        <v>4172</v>
      </c>
      <c r="AH8500" s="1">
        <f>HYPERLINK("https://my.pitchbook.com?c=55850-05T","View Company Online")</f>
      </c>
    </row>
    <row r="8501">
      <c r="A8501" s="3" t="s">
        <v>36984</v>
      </c>
      <c r="B8501" s="3" t="s">
        <v>36985</v>
      </c>
      <c r="C8501" s="5" t="s">
        <v>36</v>
      </c>
      <c r="D8501" s="5" t="s">
        <v>36</v>
      </c>
      <c r="E8501" s="5" t="s">
        <v>36</v>
      </c>
      <c r="F8501" s="5" t="s">
        <v>36</v>
      </c>
      <c r="G8501" s="6" t="s">
        <v>36</v>
      </c>
      <c r="H8501" s="4" t="s">
        <v>36</v>
      </c>
      <c r="I8501" s="7" t="s">
        <v>36</v>
      </c>
      <c r="J8501" s="3" t="s">
        <v>36</v>
      </c>
      <c r="K8501" s="9" t="s">
        <v>36</v>
      </c>
      <c r="L8501" s="6" t="s">
        <v>36</v>
      </c>
      <c r="M8501" s="3" t="s">
        <v>36</v>
      </c>
      <c r="N8501" s="3" t="s">
        <v>36</v>
      </c>
      <c r="O8501" s="8" t="s">
        <v>36</v>
      </c>
      <c r="P8501" s="3" t="s">
        <v>36</v>
      </c>
      <c r="Q8501" s="3" t="s">
        <v>36</v>
      </c>
      <c r="R8501" s="3" t="s">
        <v>36</v>
      </c>
      <c r="S8501" s="3" t="s">
        <v>36</v>
      </c>
      <c r="T8501" s="3" t="s">
        <v>36986</v>
      </c>
      <c r="U8501" s="3" t="s">
        <v>728</v>
      </c>
      <c r="V8501" s="3" t="s">
        <v>64</v>
      </c>
      <c r="W8501" s="3" t="s">
        <v>36987</v>
      </c>
      <c r="X8501" s="10" t="s">
        <v>34684</v>
      </c>
      <c r="Y8501" s="6" t="s">
        <v>108</v>
      </c>
      <c r="Z8501" s="4" t="s">
        <v>36</v>
      </c>
      <c r="AA8501" s="4" t="s">
        <v>36</v>
      </c>
      <c r="AB8501" s="3" t="s">
        <v>56</v>
      </c>
      <c r="AC8501" s="3" t="s">
        <v>36988</v>
      </c>
      <c r="AD8501" s="9">
        <v>40909</v>
      </c>
      <c r="AE8501" s="3" t="s">
        <v>2154</v>
      </c>
      <c r="AF8501" s="3" t="s">
        <v>571</v>
      </c>
      <c r="AG8501" s="3" t="s">
        <v>81</v>
      </c>
      <c r="AH8501" s="11">
        <f>HYPERLINK("https://my.pitchbook.com?c=36347-14T","View Company Online")</f>
      </c>
    </row>
    <row r="8502">
      <c r="A8502" s="12" t="s">
        <v>36989</v>
      </c>
      <c r="B8502" s="12" t="s">
        <v>36990</v>
      </c>
      <c r="C8502" s="19" t="s">
        <v>36</v>
      </c>
      <c r="D8502" s="19" t="s">
        <v>36</v>
      </c>
      <c r="E8502" s="19" t="s">
        <v>36</v>
      </c>
      <c r="F8502" s="19" t="s">
        <v>36</v>
      </c>
      <c r="G8502" s="15" t="s">
        <v>36</v>
      </c>
      <c r="H8502" s="14" t="s">
        <v>36</v>
      </c>
      <c r="I8502" s="18" t="s">
        <v>36</v>
      </c>
      <c r="J8502" s="12" t="s">
        <v>36</v>
      </c>
      <c r="K8502" s="13" t="s">
        <v>36</v>
      </c>
      <c r="L8502" s="15" t="s">
        <v>36</v>
      </c>
      <c r="M8502" s="12" t="s">
        <v>36</v>
      </c>
      <c r="N8502" s="12" t="s">
        <v>36</v>
      </c>
      <c r="O8502" s="17" t="s">
        <v>36</v>
      </c>
      <c r="P8502" s="12" t="s">
        <v>36</v>
      </c>
      <c r="Q8502" s="12" t="s">
        <v>36</v>
      </c>
      <c r="R8502" s="12" t="s">
        <v>36</v>
      </c>
      <c r="S8502" s="12" t="s">
        <v>36</v>
      </c>
      <c r="T8502" s="12" t="s">
        <v>34866</v>
      </c>
      <c r="U8502" s="12" t="s">
        <v>1580</v>
      </c>
      <c r="V8502" s="12" t="s">
        <v>39</v>
      </c>
      <c r="W8502" s="12" t="s">
        <v>36991</v>
      </c>
      <c r="X8502" s="16" t="s">
        <v>5661</v>
      </c>
      <c r="Y8502" s="15" t="s">
        <v>108</v>
      </c>
      <c r="Z8502" s="14" t="s">
        <v>36</v>
      </c>
      <c r="AA8502" s="14" t="s">
        <v>36</v>
      </c>
      <c r="AB8502" s="12" t="s">
        <v>56</v>
      </c>
      <c r="AC8502" s="12" t="s">
        <v>36992</v>
      </c>
      <c r="AD8502" s="13">
        <v>40909</v>
      </c>
      <c r="AE8502" s="12" t="s">
        <v>3854</v>
      </c>
      <c r="AF8502" s="12" t="s">
        <v>36598</v>
      </c>
      <c r="AG8502" s="12" t="s">
        <v>644</v>
      </c>
      <c r="AH8502" s="1">
        <f>HYPERLINK("https://my.pitchbook.com?c=28055-89T","View Company Online")</f>
      </c>
    </row>
    <row r="8503">
      <c r="A8503" s="3" t="s">
        <v>36993</v>
      </c>
      <c r="B8503" s="3" t="s">
        <v>34561</v>
      </c>
      <c r="C8503" s="5" t="s">
        <v>36</v>
      </c>
      <c r="D8503" s="5" t="s">
        <v>36</v>
      </c>
      <c r="E8503" s="5" t="s">
        <v>36</v>
      </c>
      <c r="F8503" s="5" t="s">
        <v>36</v>
      </c>
      <c r="G8503" s="6" t="s">
        <v>36</v>
      </c>
      <c r="H8503" s="4" t="s">
        <v>36</v>
      </c>
      <c r="I8503" s="7" t="s">
        <v>36</v>
      </c>
      <c r="J8503" s="3" t="s">
        <v>36</v>
      </c>
      <c r="K8503" s="9" t="s">
        <v>36</v>
      </c>
      <c r="L8503" s="6" t="s">
        <v>36</v>
      </c>
      <c r="M8503" s="3" t="s">
        <v>36</v>
      </c>
      <c r="N8503" s="3" t="s">
        <v>36</v>
      </c>
      <c r="O8503" s="8" t="s">
        <v>36</v>
      </c>
      <c r="P8503" s="3" t="s">
        <v>36</v>
      </c>
      <c r="Q8503" s="3" t="s">
        <v>36</v>
      </c>
      <c r="R8503" s="3" t="s">
        <v>36</v>
      </c>
      <c r="S8503" s="3" t="s">
        <v>36</v>
      </c>
      <c r="T8503" s="3" t="s">
        <v>522</v>
      </c>
      <c r="U8503" s="3" t="s">
        <v>38</v>
      </c>
      <c r="V8503" s="3" t="s">
        <v>39</v>
      </c>
      <c r="W8503" s="3" t="s">
        <v>34562</v>
      </c>
      <c r="X8503" s="10" t="s">
        <v>9952</v>
      </c>
      <c r="Y8503" s="6" t="s">
        <v>42</v>
      </c>
      <c r="Z8503" s="4">
        <v>0.39</v>
      </c>
      <c r="AA8503" s="4" t="s">
        <v>36</v>
      </c>
      <c r="AB8503" s="3" t="s">
        <v>43</v>
      </c>
      <c r="AC8503" s="3" t="s">
        <v>34563</v>
      </c>
      <c r="AD8503" s="9">
        <v>40909</v>
      </c>
      <c r="AE8503" s="3" t="s">
        <v>110</v>
      </c>
      <c r="AF8503" s="3" t="s">
        <v>6214</v>
      </c>
      <c r="AG8503" s="3" t="s">
        <v>16218</v>
      </c>
      <c r="AH8503" s="11">
        <f>HYPERLINK("https://my.pitchbook.com?c=51221-35T","View Company Online")</f>
      </c>
    </row>
    <row r="8504">
      <c r="A8504" s="12" t="s">
        <v>36994</v>
      </c>
      <c r="B8504" s="12" t="s">
        <v>36995</v>
      </c>
      <c r="C8504" s="19" t="s">
        <v>36</v>
      </c>
      <c r="D8504" s="19" t="s">
        <v>36</v>
      </c>
      <c r="E8504" s="19" t="s">
        <v>36</v>
      </c>
      <c r="F8504" s="19" t="s">
        <v>36</v>
      </c>
      <c r="G8504" s="15" t="s">
        <v>36</v>
      </c>
      <c r="H8504" s="14" t="s">
        <v>36</v>
      </c>
      <c r="I8504" s="18" t="s">
        <v>36</v>
      </c>
      <c r="J8504" s="12" t="s">
        <v>36</v>
      </c>
      <c r="K8504" s="13" t="s">
        <v>36</v>
      </c>
      <c r="L8504" s="15" t="s">
        <v>36</v>
      </c>
      <c r="M8504" s="12" t="s">
        <v>36</v>
      </c>
      <c r="N8504" s="12" t="s">
        <v>36</v>
      </c>
      <c r="O8504" s="17" t="s">
        <v>36</v>
      </c>
      <c r="P8504" s="12" t="s">
        <v>36</v>
      </c>
      <c r="Q8504" s="12" t="s">
        <v>36</v>
      </c>
      <c r="R8504" s="12" t="s">
        <v>36</v>
      </c>
      <c r="S8504" s="12" t="s">
        <v>36</v>
      </c>
      <c r="T8504" s="12" t="s">
        <v>1701</v>
      </c>
      <c r="U8504" s="12" t="s">
        <v>74</v>
      </c>
      <c r="V8504" s="12" t="s">
        <v>75</v>
      </c>
      <c r="W8504" s="12" t="s">
        <v>36996</v>
      </c>
      <c r="X8504" s="16" t="s">
        <v>32876</v>
      </c>
      <c r="Y8504" s="15" t="s">
        <v>42</v>
      </c>
      <c r="Z8504" s="14" t="s">
        <v>36</v>
      </c>
      <c r="AA8504" s="14" t="s">
        <v>36</v>
      </c>
      <c r="AB8504" s="12" t="s">
        <v>43</v>
      </c>
      <c r="AC8504" s="12" t="s">
        <v>36997</v>
      </c>
      <c r="AD8504" s="13">
        <v>40909</v>
      </c>
      <c r="AE8504" s="12" t="s">
        <v>79</v>
      </c>
      <c r="AF8504" s="12" t="s">
        <v>36998</v>
      </c>
      <c r="AG8504" s="12" t="s">
        <v>5718</v>
      </c>
      <c r="AH8504" s="1">
        <f>HYPERLINK("https://my.pitchbook.com?c=27111-34T","View Company Online")</f>
      </c>
    </row>
    <row r="8505">
      <c r="A8505" s="3" t="s">
        <v>36999</v>
      </c>
      <c r="B8505" s="3" t="s">
        <v>37000</v>
      </c>
      <c r="C8505" s="5" t="s">
        <v>36</v>
      </c>
      <c r="D8505" s="5" t="s">
        <v>36</v>
      </c>
      <c r="E8505" s="5" t="s">
        <v>36</v>
      </c>
      <c r="F8505" s="5" t="s">
        <v>36</v>
      </c>
      <c r="G8505" s="6" t="s">
        <v>36</v>
      </c>
      <c r="H8505" s="4" t="s">
        <v>36</v>
      </c>
      <c r="I8505" s="7" t="s">
        <v>36</v>
      </c>
      <c r="J8505" s="3" t="s">
        <v>36</v>
      </c>
      <c r="K8505" s="9" t="s">
        <v>36</v>
      </c>
      <c r="L8505" s="6" t="s">
        <v>36</v>
      </c>
      <c r="M8505" s="3" t="s">
        <v>36</v>
      </c>
      <c r="N8505" s="3" t="s">
        <v>36</v>
      </c>
      <c r="O8505" s="8" t="s">
        <v>36</v>
      </c>
      <c r="P8505" s="3" t="s">
        <v>36</v>
      </c>
      <c r="Q8505" s="3" t="s">
        <v>36</v>
      </c>
      <c r="R8505" s="3" t="s">
        <v>36</v>
      </c>
      <c r="S8505" s="3" t="s">
        <v>36</v>
      </c>
      <c r="T8505" s="3" t="s">
        <v>583</v>
      </c>
      <c r="U8505" s="3" t="s">
        <v>423</v>
      </c>
      <c r="V8505" s="3" t="s">
        <v>64</v>
      </c>
      <c r="W8505" s="3" t="s">
        <v>37001</v>
      </c>
      <c r="X8505" s="10" t="s">
        <v>13138</v>
      </c>
      <c r="Y8505" s="6" t="s">
        <v>42</v>
      </c>
      <c r="Z8505" s="4">
        <v>0.79</v>
      </c>
      <c r="AA8505" s="4" t="s">
        <v>36</v>
      </c>
      <c r="AB8505" s="3" t="s">
        <v>56</v>
      </c>
      <c r="AC8505" s="3" t="s">
        <v>37002</v>
      </c>
      <c r="AD8505" s="9">
        <v>40909</v>
      </c>
      <c r="AE8505" s="3" t="s">
        <v>562</v>
      </c>
      <c r="AF8505" s="3" t="s">
        <v>36</v>
      </c>
      <c r="AG8505" s="3" t="s">
        <v>19153</v>
      </c>
      <c r="AH8505" s="11">
        <f>HYPERLINK("https://my.pitchbook.com?c=93604-78T","View Company Online")</f>
      </c>
    </row>
    <row r="8506">
      <c r="A8506" s="12" t="s">
        <v>37003</v>
      </c>
      <c r="B8506" s="12" t="s">
        <v>30784</v>
      </c>
      <c r="C8506" s="19" t="s">
        <v>36</v>
      </c>
      <c r="D8506" s="19" t="s">
        <v>36</v>
      </c>
      <c r="E8506" s="19" t="s">
        <v>36</v>
      </c>
      <c r="F8506" s="19" t="s">
        <v>36</v>
      </c>
      <c r="G8506" s="15" t="s">
        <v>36</v>
      </c>
      <c r="H8506" s="14" t="s">
        <v>36</v>
      </c>
      <c r="I8506" s="18" t="s">
        <v>36</v>
      </c>
      <c r="J8506" s="12" t="s">
        <v>521</v>
      </c>
      <c r="K8506" s="13" t="s">
        <v>36</v>
      </c>
      <c r="L8506" s="15" t="s">
        <v>36</v>
      </c>
      <c r="M8506" s="12" t="s">
        <v>36</v>
      </c>
      <c r="N8506" s="12" t="s">
        <v>36</v>
      </c>
      <c r="O8506" s="17" t="s">
        <v>36</v>
      </c>
      <c r="P8506" s="12" t="s">
        <v>36</v>
      </c>
      <c r="Q8506" s="12" t="s">
        <v>36</v>
      </c>
      <c r="R8506" s="12" t="s">
        <v>36</v>
      </c>
      <c r="S8506" s="12" t="s">
        <v>36</v>
      </c>
      <c r="T8506" s="12" t="s">
        <v>596</v>
      </c>
      <c r="U8506" s="12" t="s">
        <v>366</v>
      </c>
      <c r="V8506" s="12" t="s">
        <v>367</v>
      </c>
      <c r="W8506" s="12" t="s">
        <v>30785</v>
      </c>
      <c r="X8506" s="16" t="s">
        <v>37004</v>
      </c>
      <c r="Y8506" s="15" t="s">
        <v>108</v>
      </c>
      <c r="Z8506" s="14">
        <v>3.94</v>
      </c>
      <c r="AA8506" s="14">
        <v>28.89</v>
      </c>
      <c r="AB8506" s="12" t="s">
        <v>43</v>
      </c>
      <c r="AC8506" s="12" t="s">
        <v>30787</v>
      </c>
      <c r="AD8506" s="13">
        <v>40909</v>
      </c>
      <c r="AE8506" s="12" t="s">
        <v>600</v>
      </c>
      <c r="AF8506" s="12" t="s">
        <v>2019</v>
      </c>
      <c r="AG8506" s="12" t="s">
        <v>2246</v>
      </c>
      <c r="AH8506" s="1">
        <f>HYPERLINK("https://my.pitchbook.com?c=27890-74T","View Company Online")</f>
      </c>
    </row>
    <row r="8507">
      <c r="A8507" s="3" t="s">
        <v>37005</v>
      </c>
      <c r="B8507" s="3" t="s">
        <v>37006</v>
      </c>
      <c r="C8507" s="5" t="s">
        <v>36</v>
      </c>
      <c r="D8507" s="5">
        <v>2</v>
      </c>
      <c r="E8507" s="5">
        <v>1</v>
      </c>
      <c r="F8507" s="5">
        <v>2</v>
      </c>
      <c r="G8507" s="6" t="s">
        <v>36</v>
      </c>
      <c r="H8507" s="4" t="s">
        <v>36</v>
      </c>
      <c r="I8507" s="7" t="s">
        <v>36</v>
      </c>
      <c r="J8507" s="3" t="s">
        <v>36</v>
      </c>
      <c r="K8507" s="9" t="s">
        <v>36</v>
      </c>
      <c r="L8507" s="6" t="s">
        <v>36</v>
      </c>
      <c r="M8507" s="3" t="s">
        <v>36</v>
      </c>
      <c r="N8507" s="3" t="s">
        <v>36</v>
      </c>
      <c r="O8507" s="8" t="s">
        <v>36</v>
      </c>
      <c r="P8507" s="3" t="s">
        <v>36</v>
      </c>
      <c r="Q8507" s="3" t="s">
        <v>36</v>
      </c>
      <c r="R8507" s="3" t="s">
        <v>36</v>
      </c>
      <c r="S8507" s="3" t="s">
        <v>36</v>
      </c>
      <c r="T8507" s="3" t="s">
        <v>4917</v>
      </c>
      <c r="U8507" s="3" t="s">
        <v>38</v>
      </c>
      <c r="V8507" s="3" t="s">
        <v>39</v>
      </c>
      <c r="W8507" s="3" t="s">
        <v>37007</v>
      </c>
      <c r="X8507" s="10" t="s">
        <v>1840</v>
      </c>
      <c r="Y8507" s="6" t="s">
        <v>108</v>
      </c>
      <c r="Z8507" s="4">
        <v>5.25</v>
      </c>
      <c r="AA8507" s="4" t="s">
        <v>36</v>
      </c>
      <c r="AB8507" s="3" t="s">
        <v>56</v>
      </c>
      <c r="AC8507" s="3" t="s">
        <v>37008</v>
      </c>
      <c r="AD8507" s="9">
        <v>40909</v>
      </c>
      <c r="AE8507" s="3" t="s">
        <v>134</v>
      </c>
      <c r="AF8507" s="3" t="s">
        <v>9319</v>
      </c>
      <c r="AG8507" s="3" t="s">
        <v>37009</v>
      </c>
      <c r="AH8507" s="11">
        <f>HYPERLINK("https://my.pitchbook.com?c=99223-39T","View Company Online")</f>
      </c>
    </row>
    <row r="8508">
      <c r="A8508" s="12" t="s">
        <v>37010</v>
      </c>
      <c r="B8508" s="12" t="s">
        <v>37011</v>
      </c>
      <c r="C8508" s="19" t="s">
        <v>36</v>
      </c>
      <c r="D8508" s="19" t="s">
        <v>36</v>
      </c>
      <c r="E8508" s="19" t="s">
        <v>36</v>
      </c>
      <c r="F8508" s="19" t="s">
        <v>36</v>
      </c>
      <c r="G8508" s="15" t="s">
        <v>36</v>
      </c>
      <c r="H8508" s="14" t="s">
        <v>36</v>
      </c>
      <c r="I8508" s="18" t="s">
        <v>36</v>
      </c>
      <c r="J8508" s="12" t="s">
        <v>36</v>
      </c>
      <c r="K8508" s="13" t="s">
        <v>36</v>
      </c>
      <c r="L8508" s="15" t="s">
        <v>36</v>
      </c>
      <c r="M8508" s="12" t="s">
        <v>36</v>
      </c>
      <c r="N8508" s="12" t="s">
        <v>36</v>
      </c>
      <c r="O8508" s="17" t="s">
        <v>36</v>
      </c>
      <c r="P8508" s="12" t="s">
        <v>36</v>
      </c>
      <c r="Q8508" s="12" t="s">
        <v>36</v>
      </c>
      <c r="R8508" s="12" t="s">
        <v>36</v>
      </c>
      <c r="S8508" s="12" t="s">
        <v>36</v>
      </c>
      <c r="T8508" s="12" t="s">
        <v>522</v>
      </c>
      <c r="U8508" s="12" t="s">
        <v>38</v>
      </c>
      <c r="V8508" s="12" t="s">
        <v>39</v>
      </c>
      <c r="W8508" s="12" t="s">
        <v>37012</v>
      </c>
      <c r="X8508" s="16" t="s">
        <v>560</v>
      </c>
      <c r="Y8508" s="15" t="s">
        <v>42</v>
      </c>
      <c r="Z8508" s="14">
        <v>1.31</v>
      </c>
      <c r="AA8508" s="14" t="s">
        <v>36</v>
      </c>
      <c r="AB8508" s="12" t="s">
        <v>43</v>
      </c>
      <c r="AC8508" s="12" t="s">
        <v>37013</v>
      </c>
      <c r="AD8508" s="13">
        <v>40909</v>
      </c>
      <c r="AE8508" s="12" t="s">
        <v>110</v>
      </c>
      <c r="AF8508" s="12" t="s">
        <v>37014</v>
      </c>
      <c r="AG8508" s="12" t="s">
        <v>1905</v>
      </c>
      <c r="AH8508" s="1">
        <f>HYPERLINK("https://my.pitchbook.com?c=35125-12T","View Company Online")</f>
      </c>
    </row>
    <row r="8509">
      <c r="A8509" s="3" t="s">
        <v>37015</v>
      </c>
      <c r="B8509" s="3" t="s">
        <v>37016</v>
      </c>
      <c r="C8509" s="5" t="s">
        <v>36</v>
      </c>
      <c r="D8509" s="5">
        <v>2</v>
      </c>
      <c r="E8509" s="5">
        <v>2</v>
      </c>
      <c r="F8509" s="5">
        <v>5</v>
      </c>
      <c r="G8509" s="6" t="s">
        <v>36</v>
      </c>
      <c r="H8509" s="4" t="s">
        <v>36</v>
      </c>
      <c r="I8509" s="7" t="s">
        <v>36</v>
      </c>
      <c r="J8509" s="3" t="s">
        <v>36</v>
      </c>
      <c r="K8509" s="9" t="s">
        <v>36</v>
      </c>
      <c r="L8509" s="6" t="s">
        <v>36</v>
      </c>
      <c r="M8509" s="3" t="s">
        <v>36</v>
      </c>
      <c r="N8509" s="3" t="s">
        <v>36</v>
      </c>
      <c r="O8509" s="8" t="s">
        <v>36</v>
      </c>
      <c r="P8509" s="3" t="s">
        <v>36</v>
      </c>
      <c r="Q8509" s="3" t="s">
        <v>36</v>
      </c>
      <c r="R8509" s="3" t="s">
        <v>36</v>
      </c>
      <c r="S8509" s="3" t="s">
        <v>36</v>
      </c>
      <c r="T8509" s="3" t="s">
        <v>19983</v>
      </c>
      <c r="U8509" s="3" t="s">
        <v>219</v>
      </c>
      <c r="V8509" s="3" t="s">
        <v>75</v>
      </c>
      <c r="W8509" s="3" t="s">
        <v>37017</v>
      </c>
      <c r="X8509" s="10" t="s">
        <v>6176</v>
      </c>
      <c r="Y8509" s="6" t="s">
        <v>42</v>
      </c>
      <c r="Z8509" s="4" t="s">
        <v>36</v>
      </c>
      <c r="AA8509" s="4" t="s">
        <v>36</v>
      </c>
      <c r="AB8509" s="3" t="s">
        <v>56</v>
      </c>
      <c r="AC8509" s="3" t="s">
        <v>37018</v>
      </c>
      <c r="AD8509" s="9">
        <v>40909</v>
      </c>
      <c r="AE8509" s="3" t="s">
        <v>2914</v>
      </c>
      <c r="AF8509" s="3" t="s">
        <v>32196</v>
      </c>
      <c r="AG8509" s="3" t="s">
        <v>37019</v>
      </c>
      <c r="AH8509" s="11">
        <f>HYPERLINK("https://my.pitchbook.com?c=64203-76T","View Company Online")</f>
      </c>
    </row>
    <row r="8510">
      <c r="A8510" s="12" t="s">
        <v>37020</v>
      </c>
      <c r="B8510" s="12" t="s">
        <v>37021</v>
      </c>
      <c r="C8510" s="19" t="s">
        <v>36</v>
      </c>
      <c r="D8510" s="19" t="s">
        <v>36</v>
      </c>
      <c r="E8510" s="19" t="s">
        <v>36</v>
      </c>
      <c r="F8510" s="19" t="s">
        <v>36</v>
      </c>
      <c r="G8510" s="15" t="s">
        <v>36</v>
      </c>
      <c r="H8510" s="14" t="s">
        <v>36</v>
      </c>
      <c r="I8510" s="18" t="s">
        <v>36</v>
      </c>
      <c r="J8510" s="12" t="s">
        <v>36</v>
      </c>
      <c r="K8510" s="13" t="s">
        <v>36</v>
      </c>
      <c r="L8510" s="15" t="s">
        <v>36</v>
      </c>
      <c r="M8510" s="12" t="s">
        <v>36</v>
      </c>
      <c r="N8510" s="12" t="s">
        <v>36</v>
      </c>
      <c r="O8510" s="17" t="s">
        <v>36</v>
      </c>
      <c r="P8510" s="12" t="s">
        <v>36</v>
      </c>
      <c r="Q8510" s="12" t="s">
        <v>36</v>
      </c>
      <c r="R8510" s="12" t="s">
        <v>36</v>
      </c>
      <c r="S8510" s="12" t="s">
        <v>36</v>
      </c>
      <c r="T8510" s="12" t="s">
        <v>9281</v>
      </c>
      <c r="U8510" s="12" t="s">
        <v>38</v>
      </c>
      <c r="V8510" s="12" t="s">
        <v>39</v>
      </c>
      <c r="W8510" s="12" t="s">
        <v>37022</v>
      </c>
      <c r="X8510" s="16" t="s">
        <v>11579</v>
      </c>
      <c r="Y8510" s="15" t="s">
        <v>42</v>
      </c>
      <c r="Z8510" s="14" t="s">
        <v>36</v>
      </c>
      <c r="AA8510" s="14" t="s">
        <v>36</v>
      </c>
      <c r="AB8510" s="12" t="s">
        <v>56</v>
      </c>
      <c r="AC8510" s="12" t="s">
        <v>37023</v>
      </c>
      <c r="AD8510" s="13">
        <v>40909</v>
      </c>
      <c r="AE8510" s="12" t="s">
        <v>1945</v>
      </c>
      <c r="AF8510" s="12" t="s">
        <v>2210</v>
      </c>
      <c r="AG8510" s="12" t="s">
        <v>8217</v>
      </c>
      <c r="AH8510" s="1">
        <f>HYPERLINK("https://my.pitchbook.com?c=85182-85T","View Company Online")</f>
      </c>
    </row>
    <row r="8511">
      <c r="A8511" s="3" t="s">
        <v>37024</v>
      </c>
      <c r="B8511" s="3" t="s">
        <v>37025</v>
      </c>
      <c r="C8511" s="5" t="s">
        <v>36</v>
      </c>
      <c r="D8511" s="5" t="s">
        <v>36</v>
      </c>
      <c r="E8511" s="5" t="s">
        <v>36</v>
      </c>
      <c r="F8511" s="5" t="s">
        <v>36</v>
      </c>
      <c r="G8511" s="6" t="s">
        <v>36</v>
      </c>
      <c r="H8511" s="4" t="s">
        <v>36</v>
      </c>
      <c r="I8511" s="7" t="s">
        <v>36</v>
      </c>
      <c r="J8511" s="3" t="s">
        <v>36</v>
      </c>
      <c r="K8511" s="9" t="s">
        <v>36</v>
      </c>
      <c r="L8511" s="6" t="s">
        <v>36</v>
      </c>
      <c r="M8511" s="3" t="s">
        <v>36</v>
      </c>
      <c r="N8511" s="3" t="s">
        <v>36</v>
      </c>
      <c r="O8511" s="8" t="s">
        <v>36</v>
      </c>
      <c r="P8511" s="3" t="s">
        <v>36</v>
      </c>
      <c r="Q8511" s="3" t="s">
        <v>36</v>
      </c>
      <c r="R8511" s="3" t="s">
        <v>36</v>
      </c>
      <c r="S8511" s="3" t="s">
        <v>36</v>
      </c>
      <c r="T8511" s="3" t="s">
        <v>37026</v>
      </c>
      <c r="U8511" s="3" t="s">
        <v>38</v>
      </c>
      <c r="V8511" s="3" t="s">
        <v>39</v>
      </c>
      <c r="W8511" s="3" t="s">
        <v>37027</v>
      </c>
      <c r="X8511" s="10" t="s">
        <v>37028</v>
      </c>
      <c r="Y8511" s="6" t="s">
        <v>42</v>
      </c>
      <c r="Z8511" s="4">
        <v>0.66</v>
      </c>
      <c r="AA8511" s="4" t="s">
        <v>36</v>
      </c>
      <c r="AB8511" s="3" t="s">
        <v>43</v>
      </c>
      <c r="AC8511" s="3" t="s">
        <v>37029</v>
      </c>
      <c r="AD8511" s="9">
        <v>40909</v>
      </c>
      <c r="AE8511" s="3" t="s">
        <v>1330</v>
      </c>
      <c r="AF8511" s="3" t="s">
        <v>1077</v>
      </c>
      <c r="AG8511" s="3" t="s">
        <v>81</v>
      </c>
      <c r="AH8511" s="11">
        <f>HYPERLINK("https://my.pitchbook.com?c=138539-35T","View Company Online")</f>
      </c>
    </row>
    <row r="8512">
      <c r="A8512" s="12" t="s">
        <v>37030</v>
      </c>
      <c r="B8512" s="12" t="s">
        <v>32493</v>
      </c>
      <c r="C8512" s="19" t="s">
        <v>36</v>
      </c>
      <c r="D8512" s="19" t="s">
        <v>36</v>
      </c>
      <c r="E8512" s="19" t="s">
        <v>36</v>
      </c>
      <c r="F8512" s="19" t="s">
        <v>36</v>
      </c>
      <c r="G8512" s="15" t="s">
        <v>36</v>
      </c>
      <c r="H8512" s="14">
        <v>75.21</v>
      </c>
      <c r="I8512" s="18">
        <v>20.35</v>
      </c>
      <c r="J8512" s="12" t="s">
        <v>521</v>
      </c>
      <c r="K8512" s="13" t="s">
        <v>36</v>
      </c>
      <c r="L8512" s="15" t="s">
        <v>36</v>
      </c>
      <c r="M8512" s="12" t="s">
        <v>36</v>
      </c>
      <c r="N8512" s="12" t="s">
        <v>36</v>
      </c>
      <c r="O8512" s="17" t="s">
        <v>36</v>
      </c>
      <c r="P8512" s="12" t="s">
        <v>36</v>
      </c>
      <c r="Q8512" s="12" t="s">
        <v>36</v>
      </c>
      <c r="R8512" s="12" t="s">
        <v>36</v>
      </c>
      <c r="S8512" s="12" t="s">
        <v>36</v>
      </c>
      <c r="T8512" s="12" t="s">
        <v>12800</v>
      </c>
      <c r="U8512" s="12" t="s">
        <v>833</v>
      </c>
      <c r="V8512" s="12" t="s">
        <v>64</v>
      </c>
      <c r="W8512" s="12" t="s">
        <v>32494</v>
      </c>
      <c r="X8512" s="16" t="s">
        <v>11579</v>
      </c>
      <c r="Y8512" s="15" t="s">
        <v>42</v>
      </c>
      <c r="Z8512" s="14">
        <v>0.3</v>
      </c>
      <c r="AA8512" s="14">
        <v>1.49</v>
      </c>
      <c r="AB8512" s="12" t="s">
        <v>43</v>
      </c>
      <c r="AC8512" s="12" t="s">
        <v>32495</v>
      </c>
      <c r="AD8512" s="13">
        <v>40907</v>
      </c>
      <c r="AE8512" s="12" t="s">
        <v>1687</v>
      </c>
      <c r="AF8512" s="12" t="s">
        <v>90</v>
      </c>
      <c r="AG8512" s="12" t="s">
        <v>81</v>
      </c>
      <c r="AH8512" s="1">
        <f>HYPERLINK("https://my.pitchbook.com?c=84936-97T","View Company Online")</f>
      </c>
    </row>
    <row r="8513">
      <c r="A8513" s="3" t="s">
        <v>37031</v>
      </c>
      <c r="B8513" s="3" t="s">
        <v>14492</v>
      </c>
      <c r="C8513" s="5" t="s">
        <v>36</v>
      </c>
      <c r="D8513" s="5">
        <v>2</v>
      </c>
      <c r="E8513" s="5">
        <v>3</v>
      </c>
      <c r="F8513" s="5">
        <v>6</v>
      </c>
      <c r="G8513" s="6" t="s">
        <v>36</v>
      </c>
      <c r="H8513" s="4" t="s">
        <v>36</v>
      </c>
      <c r="I8513" s="7" t="s">
        <v>36</v>
      </c>
      <c r="J8513" s="3" t="s">
        <v>521</v>
      </c>
      <c r="K8513" s="9" t="s">
        <v>36</v>
      </c>
      <c r="L8513" s="6" t="s">
        <v>36</v>
      </c>
      <c r="M8513" s="3" t="s">
        <v>36</v>
      </c>
      <c r="N8513" s="3" t="s">
        <v>36</v>
      </c>
      <c r="O8513" s="8" t="s">
        <v>36</v>
      </c>
      <c r="P8513" s="3" t="s">
        <v>36</v>
      </c>
      <c r="Q8513" s="3" t="s">
        <v>36</v>
      </c>
      <c r="R8513" s="3" t="s">
        <v>36</v>
      </c>
      <c r="S8513" s="3" t="s">
        <v>36</v>
      </c>
      <c r="T8513" s="3" t="s">
        <v>8387</v>
      </c>
      <c r="U8513" s="3" t="s">
        <v>38</v>
      </c>
      <c r="V8513" s="3" t="s">
        <v>39</v>
      </c>
      <c r="W8513" s="3" t="s">
        <v>14493</v>
      </c>
      <c r="X8513" s="10" t="s">
        <v>11579</v>
      </c>
      <c r="Y8513" s="6" t="s">
        <v>42</v>
      </c>
      <c r="Z8513" s="4">
        <v>0.59</v>
      </c>
      <c r="AA8513" s="4">
        <v>6.51</v>
      </c>
      <c r="AB8513" s="3" t="s">
        <v>56</v>
      </c>
      <c r="AC8513" s="3" t="s">
        <v>14495</v>
      </c>
      <c r="AD8513" s="9">
        <v>40907</v>
      </c>
      <c r="AE8513" s="3" t="s">
        <v>110</v>
      </c>
      <c r="AF8513" s="3" t="s">
        <v>14496</v>
      </c>
      <c r="AG8513" s="3" t="s">
        <v>652</v>
      </c>
      <c r="AH8513" s="11">
        <f>HYPERLINK("https://my.pitchbook.com?c=102110-86T","View Company Online")</f>
      </c>
    </row>
    <row r="8514">
      <c r="A8514" s="12" t="s">
        <v>37032</v>
      </c>
      <c r="B8514" s="12" t="s">
        <v>37033</v>
      </c>
      <c r="C8514" s="19" t="s">
        <v>36</v>
      </c>
      <c r="D8514" s="19" t="s">
        <v>36</v>
      </c>
      <c r="E8514" s="19" t="s">
        <v>36</v>
      </c>
      <c r="F8514" s="19" t="s">
        <v>36</v>
      </c>
      <c r="G8514" s="15" t="s">
        <v>36</v>
      </c>
      <c r="H8514" s="14" t="s">
        <v>36</v>
      </c>
      <c r="I8514" s="18" t="s">
        <v>36</v>
      </c>
      <c r="J8514" s="12" t="s">
        <v>36</v>
      </c>
      <c r="K8514" s="13" t="s">
        <v>36</v>
      </c>
      <c r="L8514" s="15" t="s">
        <v>36</v>
      </c>
      <c r="M8514" s="12" t="s">
        <v>36</v>
      </c>
      <c r="N8514" s="12" t="s">
        <v>36</v>
      </c>
      <c r="O8514" s="17" t="s">
        <v>36</v>
      </c>
      <c r="P8514" s="12" t="s">
        <v>36</v>
      </c>
      <c r="Q8514" s="12" t="s">
        <v>36</v>
      </c>
      <c r="R8514" s="12" t="s">
        <v>36</v>
      </c>
      <c r="S8514" s="12" t="s">
        <v>36</v>
      </c>
      <c r="T8514" s="12" t="s">
        <v>37034</v>
      </c>
      <c r="U8514" s="12" t="s">
        <v>219</v>
      </c>
      <c r="V8514" s="12" t="s">
        <v>75</v>
      </c>
      <c r="W8514" s="12" t="s">
        <v>37035</v>
      </c>
      <c r="X8514" s="16" t="s">
        <v>37036</v>
      </c>
      <c r="Y8514" s="15" t="s">
        <v>42</v>
      </c>
      <c r="Z8514" s="14">
        <v>1.32</v>
      </c>
      <c r="AA8514" s="14" t="s">
        <v>36</v>
      </c>
      <c r="AB8514" s="12" t="s">
        <v>43</v>
      </c>
      <c r="AC8514" s="12" t="s">
        <v>37037</v>
      </c>
      <c r="AD8514" s="13">
        <v>40906</v>
      </c>
      <c r="AE8514" s="12" t="s">
        <v>1007</v>
      </c>
      <c r="AF8514" s="12" t="s">
        <v>2118</v>
      </c>
      <c r="AG8514" s="12" t="s">
        <v>37038</v>
      </c>
      <c r="AH8514" s="1">
        <f>HYPERLINK("https://my.pitchbook.com?c=36321-58T","View Company Online")</f>
      </c>
    </row>
    <row r="8515">
      <c r="A8515" s="3" t="s">
        <v>37039</v>
      </c>
      <c r="B8515" s="3" t="s">
        <v>37040</v>
      </c>
      <c r="C8515" s="5" t="s">
        <v>36</v>
      </c>
      <c r="D8515" s="5" t="s">
        <v>36</v>
      </c>
      <c r="E8515" s="5" t="s">
        <v>36</v>
      </c>
      <c r="F8515" s="5" t="s">
        <v>36</v>
      </c>
      <c r="G8515" s="6" t="s">
        <v>36</v>
      </c>
      <c r="H8515" s="4" t="s">
        <v>36</v>
      </c>
      <c r="I8515" s="7">
        <v>27.42</v>
      </c>
      <c r="J8515" s="3" t="s">
        <v>327</v>
      </c>
      <c r="K8515" s="9" t="s">
        <v>36</v>
      </c>
      <c r="L8515" s="6" t="s">
        <v>36</v>
      </c>
      <c r="M8515" s="3" t="s">
        <v>36</v>
      </c>
      <c r="N8515" s="3" t="s">
        <v>36</v>
      </c>
      <c r="O8515" s="8" t="s">
        <v>36</v>
      </c>
      <c r="P8515" s="3" t="s">
        <v>36</v>
      </c>
      <c r="Q8515" s="3" t="s">
        <v>36</v>
      </c>
      <c r="R8515" s="3" t="s">
        <v>36</v>
      </c>
      <c r="S8515" s="3" t="s">
        <v>36</v>
      </c>
      <c r="T8515" s="3" t="s">
        <v>37041</v>
      </c>
      <c r="U8515" s="3" t="s">
        <v>728</v>
      </c>
      <c r="V8515" s="3" t="s">
        <v>64</v>
      </c>
      <c r="W8515" s="3" t="s">
        <v>37042</v>
      </c>
      <c r="X8515" s="10" t="s">
        <v>37043</v>
      </c>
      <c r="Y8515" s="6" t="s">
        <v>42</v>
      </c>
      <c r="Z8515" s="4">
        <v>0.79</v>
      </c>
      <c r="AA8515" s="4">
        <v>2.89</v>
      </c>
      <c r="AB8515" s="3" t="s">
        <v>56</v>
      </c>
      <c r="AC8515" s="3" t="s">
        <v>37044</v>
      </c>
      <c r="AD8515" s="9">
        <v>40904</v>
      </c>
      <c r="AE8515" s="3" t="s">
        <v>2154</v>
      </c>
      <c r="AF8515" s="3" t="s">
        <v>90</v>
      </c>
      <c r="AG8515" s="3" t="s">
        <v>81</v>
      </c>
      <c r="AH8515" s="11">
        <f>HYPERLINK("https://my.pitchbook.com?c=87971-32T","View Company Online")</f>
      </c>
    </row>
    <row r="8516">
      <c r="A8516" s="12" t="s">
        <v>37045</v>
      </c>
      <c r="B8516" s="12" t="s">
        <v>35300</v>
      </c>
      <c r="C8516" s="19" t="s">
        <v>36</v>
      </c>
      <c r="D8516" s="19" t="s">
        <v>36</v>
      </c>
      <c r="E8516" s="19" t="s">
        <v>36</v>
      </c>
      <c r="F8516" s="19" t="s">
        <v>36</v>
      </c>
      <c r="G8516" s="15" t="s">
        <v>36</v>
      </c>
      <c r="H8516" s="14">
        <v>0.13</v>
      </c>
      <c r="I8516" s="18">
        <v>21.05</v>
      </c>
      <c r="J8516" s="12" t="s">
        <v>521</v>
      </c>
      <c r="K8516" s="13" t="s">
        <v>36</v>
      </c>
      <c r="L8516" s="15" t="s">
        <v>122</v>
      </c>
      <c r="M8516" s="12" t="s">
        <v>36</v>
      </c>
      <c r="N8516" s="12" t="s">
        <v>122</v>
      </c>
      <c r="O8516" s="17" t="s">
        <v>36</v>
      </c>
      <c r="P8516" s="12" t="s">
        <v>36</v>
      </c>
      <c r="Q8516" s="12" t="s">
        <v>36</v>
      </c>
      <c r="R8516" s="12" t="s">
        <v>36</v>
      </c>
      <c r="S8516" s="12" t="s">
        <v>36</v>
      </c>
      <c r="T8516" s="12" t="s">
        <v>4045</v>
      </c>
      <c r="U8516" s="12" t="s">
        <v>728</v>
      </c>
      <c r="V8516" s="12" t="s">
        <v>64</v>
      </c>
      <c r="W8516" s="12" t="s">
        <v>35301</v>
      </c>
      <c r="X8516" s="16" t="s">
        <v>37046</v>
      </c>
      <c r="Y8516" s="15" t="s">
        <v>42</v>
      </c>
      <c r="Z8516" s="14">
        <v>0.45</v>
      </c>
      <c r="AA8516" s="14">
        <v>2.15</v>
      </c>
      <c r="AB8516" s="12" t="s">
        <v>43</v>
      </c>
      <c r="AC8516" s="12" t="s">
        <v>35303</v>
      </c>
      <c r="AD8516" s="13">
        <v>40896</v>
      </c>
      <c r="AE8516" s="12" t="s">
        <v>2154</v>
      </c>
      <c r="AF8516" s="12" t="s">
        <v>2118</v>
      </c>
      <c r="AG8516" s="12" t="s">
        <v>81</v>
      </c>
      <c r="AH8516" s="1">
        <f>HYPERLINK("https://my.pitchbook.com?c=26424-91T","View Company Online")</f>
      </c>
    </row>
    <row r="8517">
      <c r="A8517" s="3" t="s">
        <v>37047</v>
      </c>
      <c r="B8517" s="3" t="s">
        <v>37048</v>
      </c>
      <c r="C8517" s="5" t="s">
        <v>36</v>
      </c>
      <c r="D8517" s="5" t="s">
        <v>36</v>
      </c>
      <c r="E8517" s="5">
        <v>1</v>
      </c>
      <c r="F8517" s="5">
        <v>1</v>
      </c>
      <c r="G8517" s="6" t="s">
        <v>36</v>
      </c>
      <c r="H8517" s="4">
        <v>296.73</v>
      </c>
      <c r="I8517" s="7">
        <v>14.45</v>
      </c>
      <c r="J8517" s="3" t="s">
        <v>521</v>
      </c>
      <c r="K8517" s="9" t="s">
        <v>36</v>
      </c>
      <c r="L8517" s="6" t="s">
        <v>36</v>
      </c>
      <c r="M8517" s="3" t="s">
        <v>36</v>
      </c>
      <c r="N8517" s="3" t="s">
        <v>36</v>
      </c>
      <c r="O8517" s="8" t="s">
        <v>36</v>
      </c>
      <c r="P8517" s="3" t="s">
        <v>36</v>
      </c>
      <c r="Q8517" s="3" t="s">
        <v>36</v>
      </c>
      <c r="R8517" s="3" t="s">
        <v>36</v>
      </c>
      <c r="S8517" s="3" t="s">
        <v>36</v>
      </c>
      <c r="T8517" s="3" t="s">
        <v>37049</v>
      </c>
      <c r="U8517" s="3" t="s">
        <v>648</v>
      </c>
      <c r="V8517" s="3" t="s">
        <v>64</v>
      </c>
      <c r="W8517" s="3" t="s">
        <v>37050</v>
      </c>
      <c r="X8517" s="10" t="s">
        <v>1598</v>
      </c>
      <c r="Y8517" s="6" t="s">
        <v>55</v>
      </c>
      <c r="Z8517" s="4">
        <v>0.16</v>
      </c>
      <c r="AA8517" s="4">
        <v>1.12</v>
      </c>
      <c r="AB8517" s="3" t="s">
        <v>56</v>
      </c>
      <c r="AC8517" s="3" t="s">
        <v>37051</v>
      </c>
      <c r="AD8517" s="9">
        <v>40885</v>
      </c>
      <c r="AE8517" s="3" t="s">
        <v>1897</v>
      </c>
      <c r="AF8517" s="3" t="s">
        <v>28578</v>
      </c>
      <c r="AG8517" s="3" t="s">
        <v>3774</v>
      </c>
      <c r="AH8517" s="11">
        <f>HYPERLINK("https://my.pitchbook.com?c=29766-34T","View Company Online")</f>
      </c>
    </row>
    <row r="8518">
      <c r="A8518" s="12" t="s">
        <v>37052</v>
      </c>
      <c r="B8518" s="12" t="s">
        <v>31539</v>
      </c>
      <c r="C8518" s="19" t="s">
        <v>36</v>
      </c>
      <c r="D8518" s="19" t="s">
        <v>36</v>
      </c>
      <c r="E8518" s="19" t="s">
        <v>36</v>
      </c>
      <c r="F8518" s="19" t="s">
        <v>36</v>
      </c>
      <c r="G8518" s="15" t="s">
        <v>36</v>
      </c>
      <c r="H8518" s="14">
        <v>333.56</v>
      </c>
      <c r="I8518" s="18">
        <v>41.52</v>
      </c>
      <c r="J8518" s="12" t="s">
        <v>521</v>
      </c>
      <c r="K8518" s="13">
        <v>40884</v>
      </c>
      <c r="L8518" s="15" t="s">
        <v>36</v>
      </c>
      <c r="M8518" s="12" t="s">
        <v>36</v>
      </c>
      <c r="N8518" s="12" t="s">
        <v>36</v>
      </c>
      <c r="O8518" s="17" t="s">
        <v>36</v>
      </c>
      <c r="P8518" s="12" t="s">
        <v>36</v>
      </c>
      <c r="Q8518" s="12" t="s">
        <v>36</v>
      </c>
      <c r="R8518" s="12" t="s">
        <v>36</v>
      </c>
      <c r="S8518" s="12" t="s">
        <v>36</v>
      </c>
      <c r="T8518" s="12" t="s">
        <v>522</v>
      </c>
      <c r="U8518" s="12" t="s">
        <v>38</v>
      </c>
      <c r="V8518" s="12" t="s">
        <v>39</v>
      </c>
      <c r="W8518" s="12" t="s">
        <v>31540</v>
      </c>
      <c r="X8518" s="16" t="s">
        <v>37053</v>
      </c>
      <c r="Y8518" s="15" t="s">
        <v>42</v>
      </c>
      <c r="Z8518" s="14">
        <v>0.24</v>
      </c>
      <c r="AA8518" s="14">
        <v>0.57</v>
      </c>
      <c r="AB8518" s="12" t="s">
        <v>43</v>
      </c>
      <c r="AC8518" s="12" t="s">
        <v>31542</v>
      </c>
      <c r="AD8518" s="13">
        <v>40885</v>
      </c>
      <c r="AE8518" s="12" t="s">
        <v>110</v>
      </c>
      <c r="AF8518" s="12" t="s">
        <v>4552</v>
      </c>
      <c r="AG8518" s="12" t="s">
        <v>81</v>
      </c>
      <c r="AH8518" s="1">
        <f>HYPERLINK("https://my.pitchbook.com?c=28906-84T","View Company Online")</f>
      </c>
    </row>
    <row r="8519">
      <c r="A8519" s="3" t="s">
        <v>37054</v>
      </c>
      <c r="B8519" s="3" t="s">
        <v>37055</v>
      </c>
      <c r="C8519" s="5" t="s">
        <v>36</v>
      </c>
      <c r="D8519" s="5" t="s">
        <v>36</v>
      </c>
      <c r="E8519" s="5" t="s">
        <v>36</v>
      </c>
      <c r="F8519" s="5" t="s">
        <v>36</v>
      </c>
      <c r="G8519" s="6" t="s">
        <v>36</v>
      </c>
      <c r="H8519" s="4">
        <v>22.1</v>
      </c>
      <c r="I8519" s="7">
        <v>18.37</v>
      </c>
      <c r="J8519" s="3" t="s">
        <v>521</v>
      </c>
      <c r="K8519" s="9" t="s">
        <v>36</v>
      </c>
      <c r="L8519" s="6" t="s">
        <v>36</v>
      </c>
      <c r="M8519" s="3" t="s">
        <v>36</v>
      </c>
      <c r="N8519" s="3" t="s">
        <v>36</v>
      </c>
      <c r="O8519" s="8" t="s">
        <v>36</v>
      </c>
      <c r="P8519" s="3" t="s">
        <v>36</v>
      </c>
      <c r="Q8519" s="3" t="s">
        <v>36</v>
      </c>
      <c r="R8519" s="3" t="s">
        <v>36</v>
      </c>
      <c r="S8519" s="3" t="s">
        <v>36</v>
      </c>
      <c r="T8519" s="3" t="s">
        <v>10629</v>
      </c>
      <c r="U8519" s="3" t="s">
        <v>728</v>
      </c>
      <c r="V8519" s="3" t="s">
        <v>64</v>
      </c>
      <c r="W8519" s="3" t="s">
        <v>37056</v>
      </c>
      <c r="X8519" s="10" t="s">
        <v>34781</v>
      </c>
      <c r="Y8519" s="6" t="s">
        <v>42</v>
      </c>
      <c r="Z8519" s="4">
        <v>0.14</v>
      </c>
      <c r="AA8519" s="4">
        <v>0.37</v>
      </c>
      <c r="AB8519" s="3" t="s">
        <v>43</v>
      </c>
      <c r="AC8519" s="3" t="s">
        <v>37057</v>
      </c>
      <c r="AD8519" s="9">
        <v>40882</v>
      </c>
      <c r="AE8519" s="3" t="s">
        <v>732</v>
      </c>
      <c r="AF8519" s="3" t="s">
        <v>2118</v>
      </c>
      <c r="AG8519" s="3" t="s">
        <v>81</v>
      </c>
      <c r="AH8519" s="11">
        <f>HYPERLINK("https://my.pitchbook.com?c=25750-09T","View Company Online")</f>
      </c>
    </row>
    <row r="8520">
      <c r="A8520" s="12" t="s">
        <v>37058</v>
      </c>
      <c r="B8520" s="12" t="s">
        <v>37059</v>
      </c>
      <c r="C8520" s="19" t="s">
        <v>36</v>
      </c>
      <c r="D8520" s="19" t="s">
        <v>36</v>
      </c>
      <c r="E8520" s="19" t="s">
        <v>36</v>
      </c>
      <c r="F8520" s="19" t="s">
        <v>36</v>
      </c>
      <c r="G8520" s="15" t="s">
        <v>36</v>
      </c>
      <c r="H8520" s="14" t="s">
        <v>36</v>
      </c>
      <c r="I8520" s="18" t="s">
        <v>36</v>
      </c>
      <c r="J8520" s="12" t="s">
        <v>36</v>
      </c>
      <c r="K8520" s="13" t="s">
        <v>36</v>
      </c>
      <c r="L8520" s="15" t="s">
        <v>122</v>
      </c>
      <c r="M8520" s="12" t="s">
        <v>36</v>
      </c>
      <c r="N8520" s="12" t="s">
        <v>122</v>
      </c>
      <c r="O8520" s="17" t="s">
        <v>36</v>
      </c>
      <c r="P8520" s="12" t="s">
        <v>36</v>
      </c>
      <c r="Q8520" s="12" t="s">
        <v>36</v>
      </c>
      <c r="R8520" s="12" t="s">
        <v>36</v>
      </c>
      <c r="S8520" s="12" t="s">
        <v>36</v>
      </c>
      <c r="T8520" s="12" t="s">
        <v>105</v>
      </c>
      <c r="U8520" s="12" t="s">
        <v>38</v>
      </c>
      <c r="V8520" s="12" t="s">
        <v>39</v>
      </c>
      <c r="W8520" s="12" t="s">
        <v>37060</v>
      </c>
      <c r="X8520" s="16" t="s">
        <v>37061</v>
      </c>
      <c r="Y8520" s="15" t="s">
        <v>42</v>
      </c>
      <c r="Z8520" s="14">
        <v>2.03</v>
      </c>
      <c r="AA8520" s="14" t="s">
        <v>36</v>
      </c>
      <c r="AB8520" s="12" t="s">
        <v>43</v>
      </c>
      <c r="AC8520" s="12" t="s">
        <v>37062</v>
      </c>
      <c r="AD8520" s="13">
        <v>40882</v>
      </c>
      <c r="AE8520" s="12" t="s">
        <v>110</v>
      </c>
      <c r="AF8520" s="12" t="s">
        <v>37063</v>
      </c>
      <c r="AG8520" s="12" t="s">
        <v>81</v>
      </c>
      <c r="AH8520" s="1">
        <f>HYPERLINK("https://my.pitchbook.com?c=28542-16T","View Company Online")</f>
      </c>
    </row>
    <row r="8521">
      <c r="A8521" s="3" t="s">
        <v>37064</v>
      </c>
      <c r="B8521" s="3" t="s">
        <v>37065</v>
      </c>
      <c r="C8521" s="5" t="s">
        <v>36</v>
      </c>
      <c r="D8521" s="5" t="s">
        <v>36</v>
      </c>
      <c r="E8521" s="5" t="s">
        <v>36</v>
      </c>
      <c r="F8521" s="5" t="s">
        <v>36</v>
      </c>
      <c r="G8521" s="6" t="s">
        <v>36</v>
      </c>
      <c r="H8521" s="4">
        <v>290.8</v>
      </c>
      <c r="I8521" s="7">
        <v>34.9</v>
      </c>
      <c r="J8521" s="3" t="s">
        <v>521</v>
      </c>
      <c r="K8521" s="9">
        <v>40423</v>
      </c>
      <c r="L8521" s="6" t="s">
        <v>36</v>
      </c>
      <c r="M8521" s="3" t="s">
        <v>36</v>
      </c>
      <c r="N8521" s="3" t="s">
        <v>36</v>
      </c>
      <c r="O8521" s="8" t="s">
        <v>36</v>
      </c>
      <c r="P8521" s="3" t="s">
        <v>36</v>
      </c>
      <c r="Q8521" s="3" t="s">
        <v>36</v>
      </c>
      <c r="R8521" s="3" t="s">
        <v>36</v>
      </c>
      <c r="S8521" s="3" t="s">
        <v>36</v>
      </c>
      <c r="T8521" s="3" t="s">
        <v>3264</v>
      </c>
      <c r="U8521" s="3" t="s">
        <v>96</v>
      </c>
      <c r="V8521" s="3" t="s">
        <v>52</v>
      </c>
      <c r="W8521" s="3" t="s">
        <v>37066</v>
      </c>
      <c r="X8521" s="10" t="s">
        <v>33164</v>
      </c>
      <c r="Y8521" s="6" t="s">
        <v>42</v>
      </c>
      <c r="Z8521" s="4">
        <v>0.2</v>
      </c>
      <c r="AA8521" s="4">
        <v>0.58</v>
      </c>
      <c r="AB8521" s="3" t="s">
        <v>43</v>
      </c>
      <c r="AC8521" s="3" t="s">
        <v>37067</v>
      </c>
      <c r="AD8521" s="9">
        <v>40879</v>
      </c>
      <c r="AE8521" s="3" t="s">
        <v>496</v>
      </c>
      <c r="AF8521" s="3" t="s">
        <v>571</v>
      </c>
      <c r="AG8521" s="3" t="s">
        <v>37068</v>
      </c>
      <c r="AH8521" s="11">
        <f>HYPERLINK("https://my.pitchbook.com?c=33984-64T","View Company Online")</f>
      </c>
    </row>
    <row r="8522">
      <c r="A8522" s="12" t="s">
        <v>37069</v>
      </c>
      <c r="B8522" s="12" t="s">
        <v>37070</v>
      </c>
      <c r="C8522" s="19" t="s">
        <v>36</v>
      </c>
      <c r="D8522" s="19" t="s">
        <v>36</v>
      </c>
      <c r="E8522" s="19" t="s">
        <v>36</v>
      </c>
      <c r="F8522" s="19" t="s">
        <v>36</v>
      </c>
      <c r="G8522" s="15" t="s">
        <v>36</v>
      </c>
      <c r="H8522" s="14" t="s">
        <v>36</v>
      </c>
      <c r="I8522" s="18" t="s">
        <v>36</v>
      </c>
      <c r="J8522" s="12" t="s">
        <v>36</v>
      </c>
      <c r="K8522" s="13" t="s">
        <v>36</v>
      </c>
      <c r="L8522" s="15" t="s">
        <v>36</v>
      </c>
      <c r="M8522" s="12" t="s">
        <v>36</v>
      </c>
      <c r="N8522" s="12" t="s">
        <v>36</v>
      </c>
      <c r="O8522" s="17" t="s">
        <v>36</v>
      </c>
      <c r="P8522" s="12" t="s">
        <v>36</v>
      </c>
      <c r="Q8522" s="12" t="s">
        <v>36</v>
      </c>
      <c r="R8522" s="12" t="s">
        <v>36</v>
      </c>
      <c r="S8522" s="12" t="s">
        <v>36</v>
      </c>
      <c r="T8522" s="12" t="s">
        <v>37071</v>
      </c>
      <c r="U8522" s="12" t="s">
        <v>1580</v>
      </c>
      <c r="V8522" s="12" t="s">
        <v>39</v>
      </c>
      <c r="W8522" s="12" t="s">
        <v>37072</v>
      </c>
      <c r="X8522" s="16" t="s">
        <v>20527</v>
      </c>
      <c r="Y8522" s="15" t="s">
        <v>42</v>
      </c>
      <c r="Z8522" s="14" t="s">
        <v>36</v>
      </c>
      <c r="AA8522" s="14" t="s">
        <v>36</v>
      </c>
      <c r="AB8522" s="12" t="s">
        <v>56</v>
      </c>
      <c r="AC8522" s="12" t="s">
        <v>37073</v>
      </c>
      <c r="AD8522" s="13">
        <v>40878</v>
      </c>
      <c r="AE8522" s="12" t="s">
        <v>3854</v>
      </c>
      <c r="AF8522" s="12" t="s">
        <v>1636</v>
      </c>
      <c r="AG8522" s="12" t="s">
        <v>652</v>
      </c>
      <c r="AH8522" s="1">
        <f>HYPERLINK("https://my.pitchbook.com?c=29628-73T","View Company Online")</f>
      </c>
    </row>
    <row r="8523">
      <c r="A8523" s="3" t="s">
        <v>37074</v>
      </c>
      <c r="B8523" s="3" t="s">
        <v>37075</v>
      </c>
      <c r="C8523" s="5" t="s">
        <v>36</v>
      </c>
      <c r="D8523" s="5" t="s">
        <v>36</v>
      </c>
      <c r="E8523" s="5" t="s">
        <v>36</v>
      </c>
      <c r="F8523" s="5" t="s">
        <v>36</v>
      </c>
      <c r="G8523" s="6" t="s">
        <v>36</v>
      </c>
      <c r="H8523" s="4" t="s">
        <v>36</v>
      </c>
      <c r="I8523" s="7">
        <v>25</v>
      </c>
      <c r="J8523" s="3" t="s">
        <v>36</v>
      </c>
      <c r="K8523" s="9">
        <v>40725</v>
      </c>
      <c r="L8523" s="6" t="s">
        <v>36</v>
      </c>
      <c r="M8523" s="3" t="s">
        <v>36</v>
      </c>
      <c r="N8523" s="3" t="s">
        <v>36</v>
      </c>
      <c r="O8523" s="8" t="s">
        <v>36</v>
      </c>
      <c r="P8523" s="3" t="s">
        <v>36</v>
      </c>
      <c r="Q8523" s="3" t="s">
        <v>36</v>
      </c>
      <c r="R8523" s="3" t="s">
        <v>36</v>
      </c>
      <c r="S8523" s="3" t="s">
        <v>36</v>
      </c>
      <c r="T8523" s="3" t="s">
        <v>34866</v>
      </c>
      <c r="U8523" s="3" t="s">
        <v>1580</v>
      </c>
      <c r="V8523" s="3" t="s">
        <v>39</v>
      </c>
      <c r="W8523" s="3" t="s">
        <v>37076</v>
      </c>
      <c r="X8523" s="10" t="s">
        <v>5661</v>
      </c>
      <c r="Y8523" s="6" t="s">
        <v>42</v>
      </c>
      <c r="Z8523" s="4" t="s">
        <v>36</v>
      </c>
      <c r="AA8523" s="4" t="s">
        <v>36</v>
      </c>
      <c r="AB8523" s="3" t="s">
        <v>43</v>
      </c>
      <c r="AC8523" s="3" t="s">
        <v>37077</v>
      </c>
      <c r="AD8523" s="9">
        <v>40878</v>
      </c>
      <c r="AE8523" s="3" t="s">
        <v>3854</v>
      </c>
      <c r="AF8523" s="3" t="s">
        <v>1636</v>
      </c>
      <c r="AG8523" s="3" t="s">
        <v>8939</v>
      </c>
      <c r="AH8523" s="11">
        <f>HYPERLINK("https://my.pitchbook.com?c=27991-81T","View Company Online")</f>
      </c>
    </row>
    <row r="8524">
      <c r="A8524" s="12" t="s">
        <v>37078</v>
      </c>
      <c r="B8524" s="12" t="s">
        <v>37079</v>
      </c>
      <c r="C8524" s="19" t="s">
        <v>36</v>
      </c>
      <c r="D8524" s="19" t="s">
        <v>36</v>
      </c>
      <c r="E8524" s="19" t="s">
        <v>36</v>
      </c>
      <c r="F8524" s="19" t="s">
        <v>36</v>
      </c>
      <c r="G8524" s="15" t="s">
        <v>36</v>
      </c>
      <c r="H8524" s="14" t="s">
        <v>36</v>
      </c>
      <c r="I8524" s="18">
        <v>15</v>
      </c>
      <c r="J8524" s="12" t="s">
        <v>521</v>
      </c>
      <c r="K8524" s="13" t="s">
        <v>36</v>
      </c>
      <c r="L8524" s="15" t="s">
        <v>36</v>
      </c>
      <c r="M8524" s="12" t="s">
        <v>36</v>
      </c>
      <c r="N8524" s="12" t="s">
        <v>36</v>
      </c>
      <c r="O8524" s="17" t="s">
        <v>36</v>
      </c>
      <c r="P8524" s="12" t="s">
        <v>36</v>
      </c>
      <c r="Q8524" s="12" t="s">
        <v>36</v>
      </c>
      <c r="R8524" s="12" t="s">
        <v>36</v>
      </c>
      <c r="S8524" s="12" t="s">
        <v>36</v>
      </c>
      <c r="T8524" s="12" t="s">
        <v>18324</v>
      </c>
      <c r="U8524" s="12" t="s">
        <v>74</v>
      </c>
      <c r="V8524" s="12" t="s">
        <v>75</v>
      </c>
      <c r="W8524" s="12" t="s">
        <v>37080</v>
      </c>
      <c r="X8524" s="16" t="s">
        <v>37081</v>
      </c>
      <c r="Y8524" s="15" t="s">
        <v>42</v>
      </c>
      <c r="Z8524" s="14">
        <v>1.35</v>
      </c>
      <c r="AA8524" s="14">
        <v>9.04</v>
      </c>
      <c r="AB8524" s="12" t="s">
        <v>56</v>
      </c>
      <c r="AC8524" s="12" t="s">
        <v>37082</v>
      </c>
      <c r="AD8524" s="13">
        <v>40878</v>
      </c>
      <c r="AE8524" s="12" t="s">
        <v>696</v>
      </c>
      <c r="AF8524" s="12" t="s">
        <v>546</v>
      </c>
      <c r="AG8524" s="12" t="s">
        <v>7046</v>
      </c>
      <c r="AH8524" s="1">
        <f>HYPERLINK("https://my.pitchbook.com?c=167615-56T","View Company Online")</f>
      </c>
    </row>
    <row r="8525">
      <c r="A8525" s="3" t="s">
        <v>37083</v>
      </c>
      <c r="B8525" s="3" t="s">
        <v>37084</v>
      </c>
      <c r="C8525" s="5" t="s">
        <v>36</v>
      </c>
      <c r="D8525" s="5" t="s">
        <v>36</v>
      </c>
      <c r="E8525" s="5" t="s">
        <v>36</v>
      </c>
      <c r="F8525" s="5" t="s">
        <v>36</v>
      </c>
      <c r="G8525" s="6" t="s">
        <v>36</v>
      </c>
      <c r="H8525" s="4" t="s">
        <v>36</v>
      </c>
      <c r="I8525" s="7" t="s">
        <v>36</v>
      </c>
      <c r="J8525" s="3" t="s">
        <v>36</v>
      </c>
      <c r="K8525" s="9" t="s">
        <v>36</v>
      </c>
      <c r="L8525" s="6" t="s">
        <v>36</v>
      </c>
      <c r="M8525" s="3" t="s">
        <v>36</v>
      </c>
      <c r="N8525" s="3" t="s">
        <v>36</v>
      </c>
      <c r="O8525" s="8" t="s">
        <v>36</v>
      </c>
      <c r="P8525" s="3" t="s">
        <v>36</v>
      </c>
      <c r="Q8525" s="3" t="s">
        <v>36</v>
      </c>
      <c r="R8525" s="3" t="s">
        <v>36</v>
      </c>
      <c r="S8525" s="3" t="s">
        <v>36</v>
      </c>
      <c r="T8525" s="3" t="s">
        <v>8858</v>
      </c>
      <c r="U8525" s="3" t="s">
        <v>619</v>
      </c>
      <c r="V8525" s="3" t="s">
        <v>378</v>
      </c>
      <c r="W8525" s="3" t="s">
        <v>37085</v>
      </c>
      <c r="X8525" s="10" t="s">
        <v>5661</v>
      </c>
      <c r="Y8525" s="6" t="s">
        <v>42</v>
      </c>
      <c r="Z8525" s="4" t="s">
        <v>36</v>
      </c>
      <c r="AA8525" s="4" t="s">
        <v>36</v>
      </c>
      <c r="AB8525" s="3" t="s">
        <v>43</v>
      </c>
      <c r="AC8525" s="3" t="s">
        <v>37086</v>
      </c>
      <c r="AD8525" s="9">
        <v>40878</v>
      </c>
      <c r="AE8525" s="3" t="s">
        <v>2040</v>
      </c>
      <c r="AF8525" s="3" t="s">
        <v>36</v>
      </c>
      <c r="AG8525" s="3" t="s">
        <v>37087</v>
      </c>
      <c r="AH8525" s="11">
        <f>HYPERLINK("https://my.pitchbook.com?c=28005-13T","View Company Online")</f>
      </c>
    </row>
    <row r="8526">
      <c r="A8526" s="12" t="s">
        <v>37088</v>
      </c>
      <c r="B8526" s="12" t="s">
        <v>12781</v>
      </c>
      <c r="C8526" s="19">
        <v>2</v>
      </c>
      <c r="D8526" s="19">
        <v>22</v>
      </c>
      <c r="E8526" s="19">
        <v>3</v>
      </c>
      <c r="F8526" s="19">
        <v>25</v>
      </c>
      <c r="G8526" s="15" t="s">
        <v>36</v>
      </c>
      <c r="H8526" s="14" t="s">
        <v>36</v>
      </c>
      <c r="I8526" s="18" t="s">
        <v>36</v>
      </c>
      <c r="J8526" s="12" t="s">
        <v>36</v>
      </c>
      <c r="K8526" s="13" t="s">
        <v>36</v>
      </c>
      <c r="L8526" s="15" t="s">
        <v>36</v>
      </c>
      <c r="M8526" s="12" t="s">
        <v>36</v>
      </c>
      <c r="N8526" s="12" t="s">
        <v>36</v>
      </c>
      <c r="O8526" s="17" t="s">
        <v>36</v>
      </c>
      <c r="P8526" s="12" t="s">
        <v>36</v>
      </c>
      <c r="Q8526" s="12" t="s">
        <v>36</v>
      </c>
      <c r="R8526" s="12" t="s">
        <v>36</v>
      </c>
      <c r="S8526" s="12" t="s">
        <v>36</v>
      </c>
      <c r="T8526" s="12" t="s">
        <v>12782</v>
      </c>
      <c r="U8526" s="12" t="s">
        <v>219</v>
      </c>
      <c r="V8526" s="12" t="s">
        <v>75</v>
      </c>
      <c r="W8526" s="12" t="s">
        <v>12783</v>
      </c>
      <c r="X8526" s="16" t="s">
        <v>730</v>
      </c>
      <c r="Y8526" s="15" t="s">
        <v>42</v>
      </c>
      <c r="Z8526" s="14">
        <v>0.68</v>
      </c>
      <c r="AA8526" s="14" t="s">
        <v>36</v>
      </c>
      <c r="AB8526" s="12" t="s">
        <v>56</v>
      </c>
      <c r="AC8526" s="12" t="s">
        <v>12785</v>
      </c>
      <c r="AD8526" s="13">
        <v>40878</v>
      </c>
      <c r="AE8526" s="12" t="s">
        <v>223</v>
      </c>
      <c r="AF8526" s="12" t="s">
        <v>11238</v>
      </c>
      <c r="AG8526" s="12" t="s">
        <v>1843</v>
      </c>
      <c r="AH8526" s="1">
        <f>HYPERLINK("https://my.pitchbook.com?c=40779-19T","View Company Online")</f>
      </c>
    </row>
    <row r="8527">
      <c r="A8527" s="3" t="s">
        <v>37089</v>
      </c>
      <c r="B8527" s="3" t="s">
        <v>37090</v>
      </c>
      <c r="C8527" s="5" t="s">
        <v>36</v>
      </c>
      <c r="D8527" s="5" t="s">
        <v>36</v>
      </c>
      <c r="E8527" s="5" t="s">
        <v>36</v>
      </c>
      <c r="F8527" s="5" t="s">
        <v>36</v>
      </c>
      <c r="G8527" s="6" t="s">
        <v>36</v>
      </c>
      <c r="H8527" s="4">
        <v>682.12</v>
      </c>
      <c r="I8527" s="7">
        <v>27.64</v>
      </c>
      <c r="J8527" s="3" t="s">
        <v>521</v>
      </c>
      <c r="K8527" s="9">
        <v>40841</v>
      </c>
      <c r="L8527" s="6" t="s">
        <v>36</v>
      </c>
      <c r="M8527" s="3" t="s">
        <v>36</v>
      </c>
      <c r="N8527" s="3" t="s">
        <v>36</v>
      </c>
      <c r="O8527" s="8" t="s">
        <v>36</v>
      </c>
      <c r="P8527" s="3" t="s">
        <v>36</v>
      </c>
      <c r="Q8527" s="3" t="s">
        <v>36</v>
      </c>
      <c r="R8527" s="3" t="s">
        <v>36</v>
      </c>
      <c r="S8527" s="3" t="s">
        <v>36</v>
      </c>
      <c r="T8527" s="3" t="s">
        <v>1350</v>
      </c>
      <c r="U8527" s="3" t="s">
        <v>38</v>
      </c>
      <c r="V8527" s="3" t="s">
        <v>39</v>
      </c>
      <c r="W8527" s="3" t="s">
        <v>37091</v>
      </c>
      <c r="X8527" s="10" t="s">
        <v>37092</v>
      </c>
      <c r="Y8527" s="6" t="s">
        <v>42</v>
      </c>
      <c r="Z8527" s="4">
        <v>3.39</v>
      </c>
      <c r="AA8527" s="4">
        <v>9.31</v>
      </c>
      <c r="AB8527" s="3" t="s">
        <v>56</v>
      </c>
      <c r="AC8527" s="3" t="s">
        <v>37093</v>
      </c>
      <c r="AD8527" s="9">
        <v>40878</v>
      </c>
      <c r="AE8527" s="3" t="s">
        <v>785</v>
      </c>
      <c r="AF8527" s="3" t="s">
        <v>10364</v>
      </c>
      <c r="AG8527" s="3" t="s">
        <v>186</v>
      </c>
      <c r="AH8527" s="11">
        <f>HYPERLINK("https://my.pitchbook.com?c=25696-72T","View Company Online")</f>
      </c>
    </row>
    <row r="8528">
      <c r="A8528" s="12" t="s">
        <v>37094</v>
      </c>
      <c r="B8528" s="12" t="s">
        <v>37095</v>
      </c>
      <c r="C8528" s="19" t="s">
        <v>36</v>
      </c>
      <c r="D8528" s="19" t="s">
        <v>36</v>
      </c>
      <c r="E8528" s="19" t="s">
        <v>36</v>
      </c>
      <c r="F8528" s="19" t="s">
        <v>36</v>
      </c>
      <c r="G8528" s="15" t="s">
        <v>36</v>
      </c>
      <c r="H8528" s="14" t="s">
        <v>36</v>
      </c>
      <c r="I8528" s="18" t="s">
        <v>36</v>
      </c>
      <c r="J8528" s="12" t="s">
        <v>36</v>
      </c>
      <c r="K8528" s="13" t="s">
        <v>36</v>
      </c>
      <c r="L8528" s="15" t="s">
        <v>36</v>
      </c>
      <c r="M8528" s="12" t="s">
        <v>36</v>
      </c>
      <c r="N8528" s="12" t="s">
        <v>36</v>
      </c>
      <c r="O8528" s="17" t="s">
        <v>36</v>
      </c>
      <c r="P8528" s="12" t="s">
        <v>36</v>
      </c>
      <c r="Q8528" s="12" t="s">
        <v>36</v>
      </c>
      <c r="R8528" s="12" t="s">
        <v>36</v>
      </c>
      <c r="S8528" s="12" t="s">
        <v>36</v>
      </c>
      <c r="T8528" s="12" t="s">
        <v>20602</v>
      </c>
      <c r="U8528" s="12" t="s">
        <v>423</v>
      </c>
      <c r="V8528" s="12" t="s">
        <v>64</v>
      </c>
      <c r="W8528" s="12" t="s">
        <v>37096</v>
      </c>
      <c r="X8528" s="16" t="s">
        <v>37097</v>
      </c>
      <c r="Y8528" s="15" t="s">
        <v>108</v>
      </c>
      <c r="Z8528" s="14">
        <v>3.52</v>
      </c>
      <c r="AA8528" s="14" t="s">
        <v>36</v>
      </c>
      <c r="AB8528" s="12" t="s">
        <v>43</v>
      </c>
      <c r="AC8528" s="12" t="s">
        <v>37098</v>
      </c>
      <c r="AD8528" s="13">
        <v>40878</v>
      </c>
      <c r="AE8528" s="12" t="s">
        <v>562</v>
      </c>
      <c r="AF8528" s="12" t="s">
        <v>571</v>
      </c>
      <c r="AG8528" s="12" t="s">
        <v>37099</v>
      </c>
      <c r="AH8528" s="1">
        <f>HYPERLINK("https://my.pitchbook.com?c=28555-03T","View Company Online")</f>
      </c>
    </row>
    <row r="8529">
      <c r="A8529" s="3" t="s">
        <v>37100</v>
      </c>
      <c r="B8529" s="3" t="s">
        <v>37101</v>
      </c>
      <c r="C8529" s="5">
        <v>20</v>
      </c>
      <c r="D8529" s="5">
        <v>56</v>
      </c>
      <c r="E8529" s="5">
        <v>10</v>
      </c>
      <c r="F8529" s="5">
        <v>83</v>
      </c>
      <c r="G8529" s="6" t="s">
        <v>36</v>
      </c>
      <c r="H8529" s="4">
        <v>186.55</v>
      </c>
      <c r="I8529" s="7">
        <v>9.62</v>
      </c>
      <c r="J8529" s="3" t="s">
        <v>521</v>
      </c>
      <c r="K8529" s="9" t="s">
        <v>36</v>
      </c>
      <c r="L8529" s="6" t="s">
        <v>36</v>
      </c>
      <c r="M8529" s="3" t="s">
        <v>36</v>
      </c>
      <c r="N8529" s="3" t="s">
        <v>36</v>
      </c>
      <c r="O8529" s="8" t="s">
        <v>36</v>
      </c>
      <c r="P8529" s="3" t="s">
        <v>36</v>
      </c>
      <c r="Q8529" s="3" t="s">
        <v>36</v>
      </c>
      <c r="R8529" s="3" t="s">
        <v>36</v>
      </c>
      <c r="S8529" s="3" t="s">
        <v>36</v>
      </c>
      <c r="T8529" s="3" t="s">
        <v>17144</v>
      </c>
      <c r="U8529" s="3" t="s">
        <v>51</v>
      </c>
      <c r="V8529" s="3" t="s">
        <v>52</v>
      </c>
      <c r="W8529" s="3" t="s">
        <v>37102</v>
      </c>
      <c r="X8529" s="10" t="s">
        <v>37103</v>
      </c>
      <c r="Y8529" s="6" t="s">
        <v>108</v>
      </c>
      <c r="Z8529" s="4">
        <v>3.7</v>
      </c>
      <c r="AA8529" s="4">
        <v>38.46</v>
      </c>
      <c r="AB8529" s="3" t="s">
        <v>43</v>
      </c>
      <c r="AC8529" s="3" t="s">
        <v>37104</v>
      </c>
      <c r="AD8529" s="9">
        <v>40878</v>
      </c>
      <c r="AE8529" s="3" t="s">
        <v>1060</v>
      </c>
      <c r="AF8529" s="3" t="s">
        <v>159</v>
      </c>
      <c r="AG8529" s="3" t="s">
        <v>899</v>
      </c>
      <c r="AH8529" s="11">
        <f>HYPERLINK("https://my.pitchbook.com?c=69434-83T","View Company Online")</f>
      </c>
    </row>
    <row r="8530">
      <c r="A8530" s="12" t="s">
        <v>37105</v>
      </c>
      <c r="B8530" s="12" t="s">
        <v>32215</v>
      </c>
      <c r="C8530" s="19" t="s">
        <v>36</v>
      </c>
      <c r="D8530" s="19" t="s">
        <v>36</v>
      </c>
      <c r="E8530" s="19" t="s">
        <v>36</v>
      </c>
      <c r="F8530" s="19" t="s">
        <v>36</v>
      </c>
      <c r="G8530" s="15" t="s">
        <v>36</v>
      </c>
      <c r="H8530" s="14" t="s">
        <v>36</v>
      </c>
      <c r="I8530" s="18" t="s">
        <v>36</v>
      </c>
      <c r="J8530" s="12" t="s">
        <v>36</v>
      </c>
      <c r="K8530" s="13" t="s">
        <v>36</v>
      </c>
      <c r="L8530" s="15" t="s">
        <v>36</v>
      </c>
      <c r="M8530" s="12" t="s">
        <v>36</v>
      </c>
      <c r="N8530" s="12" t="s">
        <v>36</v>
      </c>
      <c r="O8530" s="17" t="s">
        <v>36</v>
      </c>
      <c r="P8530" s="12" t="s">
        <v>36</v>
      </c>
      <c r="Q8530" s="12" t="s">
        <v>36</v>
      </c>
      <c r="R8530" s="12" t="s">
        <v>36</v>
      </c>
      <c r="S8530" s="12" t="s">
        <v>36</v>
      </c>
      <c r="T8530" s="12" t="s">
        <v>1701</v>
      </c>
      <c r="U8530" s="12" t="s">
        <v>74</v>
      </c>
      <c r="V8530" s="12" t="s">
        <v>75</v>
      </c>
      <c r="W8530" s="12" t="s">
        <v>32216</v>
      </c>
      <c r="X8530" s="16" t="s">
        <v>37106</v>
      </c>
      <c r="Y8530" s="15" t="s">
        <v>192</v>
      </c>
      <c r="Z8530" s="14">
        <v>6.78</v>
      </c>
      <c r="AA8530" s="14" t="s">
        <v>36</v>
      </c>
      <c r="AB8530" s="12" t="s">
        <v>56</v>
      </c>
      <c r="AC8530" s="12" t="s">
        <v>32218</v>
      </c>
      <c r="AD8530" s="13">
        <v>40877</v>
      </c>
      <c r="AE8530" s="12" t="s">
        <v>79</v>
      </c>
      <c r="AF8530" s="12" t="s">
        <v>24667</v>
      </c>
      <c r="AG8530" s="12" t="s">
        <v>81</v>
      </c>
      <c r="AH8530" s="1">
        <f>HYPERLINK("https://my.pitchbook.com?c=24519-16T","View Company Online")</f>
      </c>
    </row>
    <row r="8531">
      <c r="A8531" s="3" t="s">
        <v>37107</v>
      </c>
      <c r="B8531" s="3" t="s">
        <v>37108</v>
      </c>
      <c r="C8531" s="5" t="s">
        <v>36</v>
      </c>
      <c r="D8531" s="5">
        <v>3</v>
      </c>
      <c r="E8531" s="5">
        <v>1</v>
      </c>
      <c r="F8531" s="5">
        <v>7</v>
      </c>
      <c r="G8531" s="6" t="s">
        <v>36</v>
      </c>
      <c r="H8531" s="4" t="s">
        <v>36</v>
      </c>
      <c r="I8531" s="7" t="s">
        <v>36</v>
      </c>
      <c r="J8531" s="3" t="s">
        <v>36</v>
      </c>
      <c r="K8531" s="9" t="s">
        <v>36</v>
      </c>
      <c r="L8531" s="6" t="s">
        <v>36</v>
      </c>
      <c r="M8531" s="3" t="s">
        <v>36</v>
      </c>
      <c r="N8531" s="3" t="s">
        <v>36</v>
      </c>
      <c r="O8531" s="8" t="s">
        <v>36</v>
      </c>
      <c r="P8531" s="3" t="s">
        <v>36</v>
      </c>
      <c r="Q8531" s="3" t="s">
        <v>36</v>
      </c>
      <c r="R8531" s="3" t="s">
        <v>36</v>
      </c>
      <c r="S8531" s="3" t="s">
        <v>36</v>
      </c>
      <c r="T8531" s="3" t="s">
        <v>37109</v>
      </c>
      <c r="U8531" s="3" t="s">
        <v>1082</v>
      </c>
      <c r="V8531" s="3" t="s">
        <v>378</v>
      </c>
      <c r="W8531" s="3" t="s">
        <v>37110</v>
      </c>
      <c r="X8531" s="10" t="s">
        <v>37111</v>
      </c>
      <c r="Y8531" s="6" t="s">
        <v>42</v>
      </c>
      <c r="Z8531" s="4">
        <v>0.41</v>
      </c>
      <c r="AA8531" s="4" t="s">
        <v>36</v>
      </c>
      <c r="AB8531" s="3" t="s">
        <v>43</v>
      </c>
      <c r="AC8531" s="3" t="s">
        <v>37112</v>
      </c>
      <c r="AD8531" s="9">
        <v>40875</v>
      </c>
      <c r="AE8531" s="3" t="s">
        <v>7876</v>
      </c>
      <c r="AF8531" s="3" t="s">
        <v>1619</v>
      </c>
      <c r="AG8531" s="3" t="s">
        <v>2246</v>
      </c>
      <c r="AH8531" s="11">
        <f>HYPERLINK("https://my.pitchbook.com?c=53210-44T","View Company Online")</f>
      </c>
    </row>
    <row r="8532">
      <c r="A8532" s="12" t="s">
        <v>37113</v>
      </c>
      <c r="B8532" s="12" t="s">
        <v>20697</v>
      </c>
      <c r="C8532" s="19" t="s">
        <v>36</v>
      </c>
      <c r="D8532" s="19" t="s">
        <v>36</v>
      </c>
      <c r="E8532" s="19" t="s">
        <v>36</v>
      </c>
      <c r="F8532" s="19" t="s">
        <v>36</v>
      </c>
      <c r="G8532" s="15" t="s">
        <v>36</v>
      </c>
      <c r="H8532" s="14" t="s">
        <v>36</v>
      </c>
      <c r="I8532" s="18" t="s">
        <v>36</v>
      </c>
      <c r="J8532" s="12" t="s">
        <v>36</v>
      </c>
      <c r="K8532" s="13" t="s">
        <v>36</v>
      </c>
      <c r="L8532" s="15" t="s">
        <v>36</v>
      </c>
      <c r="M8532" s="12" t="s">
        <v>36</v>
      </c>
      <c r="N8532" s="12" t="s">
        <v>36</v>
      </c>
      <c r="O8532" s="17" t="s">
        <v>36</v>
      </c>
      <c r="P8532" s="12" t="s">
        <v>36</v>
      </c>
      <c r="Q8532" s="12" t="s">
        <v>36</v>
      </c>
      <c r="R8532" s="12" t="s">
        <v>36</v>
      </c>
      <c r="S8532" s="12" t="s">
        <v>36</v>
      </c>
      <c r="T8532" s="12" t="s">
        <v>522</v>
      </c>
      <c r="U8532" s="12" t="s">
        <v>38</v>
      </c>
      <c r="V8532" s="12" t="s">
        <v>39</v>
      </c>
      <c r="W8532" s="12" t="s">
        <v>20698</v>
      </c>
      <c r="X8532" s="16" t="s">
        <v>37114</v>
      </c>
      <c r="Y8532" s="15" t="s">
        <v>42</v>
      </c>
      <c r="Z8532" s="14">
        <v>0.95</v>
      </c>
      <c r="AA8532" s="14" t="s">
        <v>36</v>
      </c>
      <c r="AB8532" s="12" t="s">
        <v>43</v>
      </c>
      <c r="AC8532" s="12" t="s">
        <v>20700</v>
      </c>
      <c r="AD8532" s="13">
        <v>40875</v>
      </c>
      <c r="AE8532" s="12" t="s">
        <v>110</v>
      </c>
      <c r="AF8532" s="12" t="s">
        <v>20701</v>
      </c>
      <c r="AG8532" s="12" t="s">
        <v>81</v>
      </c>
      <c r="AH8532" s="1">
        <f>HYPERLINK("https://my.pitchbook.com?c=85147-12T","View Company Online")</f>
      </c>
    </row>
    <row r="8533">
      <c r="A8533" s="3" t="s">
        <v>37115</v>
      </c>
      <c r="B8533" s="3" t="s">
        <v>37116</v>
      </c>
      <c r="C8533" s="5" t="s">
        <v>36</v>
      </c>
      <c r="D8533" s="5" t="s">
        <v>36</v>
      </c>
      <c r="E8533" s="5">
        <v>1</v>
      </c>
      <c r="F8533" s="5">
        <v>1</v>
      </c>
      <c r="G8533" s="6" t="s">
        <v>36</v>
      </c>
      <c r="H8533" s="4" t="s">
        <v>36</v>
      </c>
      <c r="I8533" s="7" t="s">
        <v>36</v>
      </c>
      <c r="J8533" s="3" t="s">
        <v>36</v>
      </c>
      <c r="K8533" s="9" t="s">
        <v>36</v>
      </c>
      <c r="L8533" s="6" t="s">
        <v>36</v>
      </c>
      <c r="M8533" s="3" t="s">
        <v>36</v>
      </c>
      <c r="N8533" s="3" t="s">
        <v>36</v>
      </c>
      <c r="O8533" s="8" t="s">
        <v>36</v>
      </c>
      <c r="P8533" s="3" t="s">
        <v>36</v>
      </c>
      <c r="Q8533" s="3" t="s">
        <v>36</v>
      </c>
      <c r="R8533" s="3" t="s">
        <v>36</v>
      </c>
      <c r="S8533" s="3" t="s">
        <v>36</v>
      </c>
      <c r="T8533" s="3" t="s">
        <v>1628</v>
      </c>
      <c r="U8533" s="3" t="s">
        <v>96</v>
      </c>
      <c r="V8533" s="3" t="s">
        <v>52</v>
      </c>
      <c r="W8533" s="3" t="s">
        <v>37117</v>
      </c>
      <c r="X8533" s="10" t="s">
        <v>37118</v>
      </c>
      <c r="Y8533" s="6" t="s">
        <v>42</v>
      </c>
      <c r="Z8533" s="4">
        <v>0.68</v>
      </c>
      <c r="AA8533" s="4" t="s">
        <v>36</v>
      </c>
      <c r="AB8533" s="3" t="s">
        <v>43</v>
      </c>
      <c r="AC8533" s="3" t="s">
        <v>37119</v>
      </c>
      <c r="AD8533" s="9">
        <v>40872</v>
      </c>
      <c r="AE8533" s="3" t="s">
        <v>755</v>
      </c>
      <c r="AF8533" s="3" t="s">
        <v>159</v>
      </c>
      <c r="AG8533" s="3" t="s">
        <v>12608</v>
      </c>
      <c r="AH8533" s="11">
        <f>HYPERLINK("https://my.pitchbook.com?c=54627-04T","View Company Online")</f>
      </c>
    </row>
    <row r="8534">
      <c r="A8534" s="12" t="s">
        <v>37120</v>
      </c>
      <c r="B8534" s="12" t="s">
        <v>37121</v>
      </c>
      <c r="C8534" s="19" t="s">
        <v>36</v>
      </c>
      <c r="D8534" s="19" t="s">
        <v>36</v>
      </c>
      <c r="E8534" s="19" t="s">
        <v>36</v>
      </c>
      <c r="F8534" s="19" t="s">
        <v>36</v>
      </c>
      <c r="G8534" s="15" t="s">
        <v>36</v>
      </c>
      <c r="H8534" s="14" t="s">
        <v>36</v>
      </c>
      <c r="I8534" s="18" t="s">
        <v>36</v>
      </c>
      <c r="J8534" s="12" t="s">
        <v>36</v>
      </c>
      <c r="K8534" s="13" t="s">
        <v>36</v>
      </c>
      <c r="L8534" s="15" t="s">
        <v>36</v>
      </c>
      <c r="M8534" s="12" t="s">
        <v>36</v>
      </c>
      <c r="N8534" s="12" t="s">
        <v>36</v>
      </c>
      <c r="O8534" s="17" t="s">
        <v>36</v>
      </c>
      <c r="P8534" s="12" t="s">
        <v>36</v>
      </c>
      <c r="Q8534" s="12" t="s">
        <v>36</v>
      </c>
      <c r="R8534" s="12" t="s">
        <v>36</v>
      </c>
      <c r="S8534" s="12" t="s">
        <v>36</v>
      </c>
      <c r="T8534" s="12" t="s">
        <v>37122</v>
      </c>
      <c r="U8534" s="12" t="s">
        <v>289</v>
      </c>
      <c r="V8534" s="12" t="s">
        <v>64</v>
      </c>
      <c r="W8534" s="12" t="s">
        <v>37123</v>
      </c>
      <c r="X8534" s="16" t="s">
        <v>37124</v>
      </c>
      <c r="Y8534" s="15" t="s">
        <v>42</v>
      </c>
      <c r="Z8534" s="14">
        <v>2.2</v>
      </c>
      <c r="AA8534" s="14" t="s">
        <v>36</v>
      </c>
      <c r="AB8534" s="12" t="s">
        <v>43</v>
      </c>
      <c r="AC8534" s="12" t="s">
        <v>37125</v>
      </c>
      <c r="AD8534" s="13">
        <v>40870</v>
      </c>
      <c r="AE8534" s="12" t="s">
        <v>3134</v>
      </c>
      <c r="AF8534" s="12" t="s">
        <v>90</v>
      </c>
      <c r="AG8534" s="12" t="s">
        <v>81</v>
      </c>
      <c r="AH8534" s="1">
        <f>HYPERLINK("https://my.pitchbook.com?c=87359-95T","View Company Online")</f>
      </c>
    </row>
    <row r="8535">
      <c r="A8535" s="3" t="s">
        <v>37126</v>
      </c>
      <c r="B8535" s="3" t="s">
        <v>37127</v>
      </c>
      <c r="C8535" s="5" t="s">
        <v>36</v>
      </c>
      <c r="D8535" s="5" t="s">
        <v>36</v>
      </c>
      <c r="E8535" s="5" t="s">
        <v>36</v>
      </c>
      <c r="F8535" s="5" t="s">
        <v>36</v>
      </c>
      <c r="G8535" s="6" t="s">
        <v>36</v>
      </c>
      <c r="H8535" s="4" t="s">
        <v>36</v>
      </c>
      <c r="I8535" s="7" t="s">
        <v>36</v>
      </c>
      <c r="J8535" s="3" t="s">
        <v>36</v>
      </c>
      <c r="K8535" s="9" t="s">
        <v>36</v>
      </c>
      <c r="L8535" s="6" t="s">
        <v>36</v>
      </c>
      <c r="M8535" s="3" t="s">
        <v>36</v>
      </c>
      <c r="N8535" s="3" t="s">
        <v>36</v>
      </c>
      <c r="O8535" s="8" t="s">
        <v>36</v>
      </c>
      <c r="P8535" s="3" t="s">
        <v>36</v>
      </c>
      <c r="Q8535" s="3" t="s">
        <v>36</v>
      </c>
      <c r="R8535" s="3" t="s">
        <v>36</v>
      </c>
      <c r="S8535" s="3" t="s">
        <v>36</v>
      </c>
      <c r="T8535" s="3" t="s">
        <v>37128</v>
      </c>
      <c r="U8535" s="3" t="s">
        <v>74</v>
      </c>
      <c r="V8535" s="3" t="s">
        <v>75</v>
      </c>
      <c r="W8535" s="3" t="s">
        <v>37129</v>
      </c>
      <c r="X8535" s="10" t="s">
        <v>32958</v>
      </c>
      <c r="Y8535" s="6" t="s">
        <v>42</v>
      </c>
      <c r="Z8535" s="4">
        <v>0.55</v>
      </c>
      <c r="AA8535" s="4" t="s">
        <v>36</v>
      </c>
      <c r="AB8535" s="3" t="s">
        <v>43</v>
      </c>
      <c r="AC8535" s="3" t="s">
        <v>37130</v>
      </c>
      <c r="AD8535" s="9">
        <v>40870</v>
      </c>
      <c r="AE8535" s="3" t="s">
        <v>1243</v>
      </c>
      <c r="AF8535" s="3" t="s">
        <v>90</v>
      </c>
      <c r="AG8535" s="3" t="s">
        <v>32665</v>
      </c>
      <c r="AH8535" s="11">
        <f>HYPERLINK("https://my.pitchbook.com?c=51788-08T","View Company Online")</f>
      </c>
    </row>
    <row r="8536">
      <c r="A8536" s="12" t="s">
        <v>37131</v>
      </c>
      <c r="B8536" s="12" t="s">
        <v>35965</v>
      </c>
      <c r="C8536" s="19">
        <v>7</v>
      </c>
      <c r="D8536" s="19">
        <v>14</v>
      </c>
      <c r="E8536" s="19">
        <v>8</v>
      </c>
      <c r="F8536" s="19">
        <v>30</v>
      </c>
      <c r="G8536" s="15" t="s">
        <v>683</v>
      </c>
      <c r="H8536" s="14" t="s">
        <v>36</v>
      </c>
      <c r="I8536" s="18">
        <v>37.06</v>
      </c>
      <c r="J8536" s="12" t="s">
        <v>521</v>
      </c>
      <c r="K8536" s="13" t="s">
        <v>36</v>
      </c>
      <c r="L8536" s="15" t="s">
        <v>1279</v>
      </c>
      <c r="M8536" s="12" t="s">
        <v>36</v>
      </c>
      <c r="N8536" s="12" t="s">
        <v>1279</v>
      </c>
      <c r="O8536" s="17" t="s">
        <v>36</v>
      </c>
      <c r="P8536" s="12" t="s">
        <v>36</v>
      </c>
      <c r="Q8536" s="12" t="s">
        <v>36</v>
      </c>
      <c r="R8536" s="12" t="s">
        <v>36</v>
      </c>
      <c r="S8536" s="12" t="s">
        <v>36</v>
      </c>
      <c r="T8536" s="12" t="s">
        <v>154</v>
      </c>
      <c r="U8536" s="12" t="s">
        <v>51</v>
      </c>
      <c r="V8536" s="12" t="s">
        <v>52</v>
      </c>
      <c r="W8536" s="12" t="s">
        <v>35966</v>
      </c>
      <c r="X8536" s="16" t="s">
        <v>37132</v>
      </c>
      <c r="Y8536" s="15" t="s">
        <v>192</v>
      </c>
      <c r="Z8536" s="14">
        <v>11.1</v>
      </c>
      <c r="AA8536" s="14">
        <v>29.94</v>
      </c>
      <c r="AB8536" s="12" t="s">
        <v>56</v>
      </c>
      <c r="AC8536" s="12" t="s">
        <v>35967</v>
      </c>
      <c r="AD8536" s="13">
        <v>40868</v>
      </c>
      <c r="AE8536" s="12" t="s">
        <v>158</v>
      </c>
      <c r="AF8536" s="12" t="s">
        <v>885</v>
      </c>
      <c r="AG8536" s="12" t="s">
        <v>969</v>
      </c>
      <c r="AH8536" s="1">
        <f>HYPERLINK("https://my.pitchbook.com?c=25260-58T","View Company Online")</f>
      </c>
    </row>
    <row r="8537">
      <c r="A8537" s="3" t="s">
        <v>37133</v>
      </c>
      <c r="B8537" s="3" t="s">
        <v>37134</v>
      </c>
      <c r="C8537" s="5" t="s">
        <v>36</v>
      </c>
      <c r="D8537" s="5">
        <v>2</v>
      </c>
      <c r="E8537" s="5">
        <v>1</v>
      </c>
      <c r="F8537" s="5">
        <v>2</v>
      </c>
      <c r="G8537" s="6" t="s">
        <v>36</v>
      </c>
      <c r="H8537" s="4" t="s">
        <v>36</v>
      </c>
      <c r="I8537" s="7" t="s">
        <v>36</v>
      </c>
      <c r="J8537" s="3" t="s">
        <v>36</v>
      </c>
      <c r="K8537" s="9" t="s">
        <v>36</v>
      </c>
      <c r="L8537" s="6" t="s">
        <v>36</v>
      </c>
      <c r="M8537" s="3" t="s">
        <v>36</v>
      </c>
      <c r="N8537" s="3" t="s">
        <v>36</v>
      </c>
      <c r="O8537" s="8" t="s">
        <v>36</v>
      </c>
      <c r="P8537" s="3" t="s">
        <v>36</v>
      </c>
      <c r="Q8537" s="3" t="s">
        <v>36</v>
      </c>
      <c r="R8537" s="3" t="s">
        <v>36</v>
      </c>
      <c r="S8537" s="3" t="s">
        <v>36</v>
      </c>
      <c r="T8537" s="3" t="s">
        <v>7829</v>
      </c>
      <c r="U8537" s="3" t="s">
        <v>279</v>
      </c>
      <c r="V8537" s="3" t="s">
        <v>64</v>
      </c>
      <c r="W8537" s="3" t="s">
        <v>37135</v>
      </c>
      <c r="X8537" s="10" t="s">
        <v>25110</v>
      </c>
      <c r="Y8537" s="6" t="s">
        <v>42</v>
      </c>
      <c r="Z8537" s="4" t="s">
        <v>36</v>
      </c>
      <c r="AA8537" s="4" t="s">
        <v>36</v>
      </c>
      <c r="AB8537" s="3" t="s">
        <v>43</v>
      </c>
      <c r="AC8537" s="3" t="s">
        <v>37136</v>
      </c>
      <c r="AD8537" s="9">
        <v>40868</v>
      </c>
      <c r="AE8537" s="3" t="s">
        <v>283</v>
      </c>
      <c r="AF8537" s="3" t="s">
        <v>37137</v>
      </c>
      <c r="AG8537" s="3" t="s">
        <v>8850</v>
      </c>
      <c r="AH8537" s="11">
        <f>HYPERLINK("https://my.pitchbook.com?c=86830-75T","View Company Online")</f>
      </c>
    </row>
    <row r="8538">
      <c r="A8538" s="12" t="s">
        <v>37138</v>
      </c>
      <c r="B8538" s="12" t="s">
        <v>32920</v>
      </c>
      <c r="C8538" s="19" t="s">
        <v>36</v>
      </c>
      <c r="D8538" s="19" t="s">
        <v>36</v>
      </c>
      <c r="E8538" s="19" t="s">
        <v>36</v>
      </c>
      <c r="F8538" s="19" t="s">
        <v>36</v>
      </c>
      <c r="G8538" s="15" t="s">
        <v>326</v>
      </c>
      <c r="H8538" s="14">
        <v>11.42</v>
      </c>
      <c r="I8538" s="18">
        <v>14.76</v>
      </c>
      <c r="J8538" s="12" t="s">
        <v>521</v>
      </c>
      <c r="K8538" s="13" t="s">
        <v>36</v>
      </c>
      <c r="L8538" s="15" t="s">
        <v>36</v>
      </c>
      <c r="M8538" s="12" t="s">
        <v>36</v>
      </c>
      <c r="N8538" s="12" t="s">
        <v>36</v>
      </c>
      <c r="O8538" s="17" t="s">
        <v>36</v>
      </c>
      <c r="P8538" s="12" t="s">
        <v>36</v>
      </c>
      <c r="Q8538" s="12" t="s">
        <v>36</v>
      </c>
      <c r="R8538" s="12" t="s">
        <v>36</v>
      </c>
      <c r="S8538" s="12" t="s">
        <v>36</v>
      </c>
      <c r="T8538" s="12" t="s">
        <v>32921</v>
      </c>
      <c r="U8538" s="12" t="s">
        <v>38</v>
      </c>
      <c r="V8538" s="12" t="s">
        <v>39</v>
      </c>
      <c r="W8538" s="12" t="s">
        <v>32922</v>
      </c>
      <c r="X8538" s="16" t="s">
        <v>7151</v>
      </c>
      <c r="Y8538" s="15" t="s">
        <v>42</v>
      </c>
      <c r="Z8538" s="14">
        <v>0.91</v>
      </c>
      <c r="AA8538" s="14">
        <v>6.17</v>
      </c>
      <c r="AB8538" s="12" t="s">
        <v>43</v>
      </c>
      <c r="AC8538" s="12" t="s">
        <v>32923</v>
      </c>
      <c r="AD8538" s="13">
        <v>40864</v>
      </c>
      <c r="AE8538" s="12" t="s">
        <v>554</v>
      </c>
      <c r="AF8538" s="12" t="s">
        <v>32924</v>
      </c>
      <c r="AG8538" s="12" t="s">
        <v>1369</v>
      </c>
      <c r="AH8538" s="1">
        <f>HYPERLINK("https://my.pitchbook.com?c=252139-96T","View Company Online")</f>
      </c>
    </row>
    <row r="8539">
      <c r="A8539" s="3" t="s">
        <v>37139</v>
      </c>
      <c r="B8539" s="3" t="s">
        <v>29127</v>
      </c>
      <c r="C8539" s="5" t="s">
        <v>36</v>
      </c>
      <c r="D8539" s="5" t="s">
        <v>36</v>
      </c>
      <c r="E8539" s="5" t="s">
        <v>36</v>
      </c>
      <c r="F8539" s="5" t="s">
        <v>36</v>
      </c>
      <c r="G8539" s="6" t="s">
        <v>326</v>
      </c>
      <c r="H8539" s="4">
        <v>1.77</v>
      </c>
      <c r="I8539" s="7">
        <v>19.42</v>
      </c>
      <c r="J8539" s="3" t="s">
        <v>521</v>
      </c>
      <c r="K8539" s="9" t="s">
        <v>36</v>
      </c>
      <c r="L8539" s="6" t="s">
        <v>36</v>
      </c>
      <c r="M8539" s="3" t="s">
        <v>36</v>
      </c>
      <c r="N8539" s="3" t="s">
        <v>36</v>
      </c>
      <c r="O8539" s="8" t="s">
        <v>36</v>
      </c>
      <c r="P8539" s="3" t="s">
        <v>36</v>
      </c>
      <c r="Q8539" s="3" t="s">
        <v>36</v>
      </c>
      <c r="R8539" s="3" t="s">
        <v>36</v>
      </c>
      <c r="S8539" s="3" t="s">
        <v>36</v>
      </c>
      <c r="T8539" s="3" t="s">
        <v>6557</v>
      </c>
      <c r="U8539" s="3" t="s">
        <v>648</v>
      </c>
      <c r="V8539" s="3" t="s">
        <v>64</v>
      </c>
      <c r="W8539" s="3" t="s">
        <v>29128</v>
      </c>
      <c r="X8539" s="10" t="s">
        <v>33014</v>
      </c>
      <c r="Y8539" s="6" t="s">
        <v>108</v>
      </c>
      <c r="Z8539" s="4">
        <v>4.14</v>
      </c>
      <c r="AA8539" s="4">
        <v>21.31</v>
      </c>
      <c r="AB8539" s="3" t="s">
        <v>43</v>
      </c>
      <c r="AC8539" s="3" t="s">
        <v>29130</v>
      </c>
      <c r="AD8539" s="9">
        <v>40864</v>
      </c>
      <c r="AE8539" s="3" t="s">
        <v>1897</v>
      </c>
      <c r="AF8539" s="3" t="s">
        <v>14418</v>
      </c>
      <c r="AG8539" s="3" t="s">
        <v>81</v>
      </c>
      <c r="AH8539" s="11">
        <f>HYPERLINK("https://my.pitchbook.com?c=116636-86T","View Company Online")</f>
      </c>
    </row>
    <row r="8540">
      <c r="A8540" s="12" t="s">
        <v>37140</v>
      </c>
      <c r="B8540" s="12" t="s">
        <v>26823</v>
      </c>
      <c r="C8540" s="19">
        <v>3</v>
      </c>
      <c r="D8540" s="19">
        <v>7</v>
      </c>
      <c r="E8540" s="19">
        <v>6</v>
      </c>
      <c r="F8540" s="19">
        <v>13</v>
      </c>
      <c r="G8540" s="15" t="s">
        <v>36</v>
      </c>
      <c r="H8540" s="14" t="s">
        <v>36</v>
      </c>
      <c r="I8540" s="18" t="s">
        <v>36</v>
      </c>
      <c r="J8540" s="12" t="s">
        <v>36</v>
      </c>
      <c r="K8540" s="13" t="s">
        <v>36</v>
      </c>
      <c r="L8540" s="15" t="s">
        <v>36</v>
      </c>
      <c r="M8540" s="12" t="s">
        <v>36</v>
      </c>
      <c r="N8540" s="12" t="s">
        <v>36</v>
      </c>
      <c r="O8540" s="17" t="s">
        <v>36</v>
      </c>
      <c r="P8540" s="12" t="s">
        <v>36</v>
      </c>
      <c r="Q8540" s="12" t="s">
        <v>36</v>
      </c>
      <c r="R8540" s="12" t="s">
        <v>36</v>
      </c>
      <c r="S8540" s="12" t="s">
        <v>36</v>
      </c>
      <c r="T8540" s="12" t="s">
        <v>18982</v>
      </c>
      <c r="U8540" s="12" t="s">
        <v>1798</v>
      </c>
      <c r="V8540" s="12" t="s">
        <v>39</v>
      </c>
      <c r="W8540" s="12" t="s">
        <v>26824</v>
      </c>
      <c r="X8540" s="16" t="s">
        <v>9533</v>
      </c>
      <c r="Y8540" s="15" t="s">
        <v>55</v>
      </c>
      <c r="Z8540" s="14">
        <v>2.42</v>
      </c>
      <c r="AA8540" s="14" t="s">
        <v>36</v>
      </c>
      <c r="AB8540" s="12" t="s">
        <v>56</v>
      </c>
      <c r="AC8540" s="12" t="s">
        <v>26826</v>
      </c>
      <c r="AD8540" s="13">
        <v>40863</v>
      </c>
      <c r="AE8540" s="12" t="s">
        <v>1802</v>
      </c>
      <c r="AF8540" s="12" t="s">
        <v>10379</v>
      </c>
      <c r="AG8540" s="12" t="s">
        <v>26827</v>
      </c>
      <c r="AH8540" s="1">
        <f>HYPERLINK("https://my.pitchbook.com?c=39173-41T","View Company Online")</f>
      </c>
    </row>
    <row r="8541">
      <c r="A8541" s="3" t="s">
        <v>37141</v>
      </c>
      <c r="B8541" s="3" t="s">
        <v>37142</v>
      </c>
      <c r="C8541" s="5" t="s">
        <v>36</v>
      </c>
      <c r="D8541" s="5">
        <v>22</v>
      </c>
      <c r="E8541" s="5">
        <v>11</v>
      </c>
      <c r="F8541" s="5">
        <v>50</v>
      </c>
      <c r="G8541" s="6" t="s">
        <v>36</v>
      </c>
      <c r="H8541" s="4" t="s">
        <v>36</v>
      </c>
      <c r="I8541" s="7" t="s">
        <v>36</v>
      </c>
      <c r="J8541" s="3" t="s">
        <v>36</v>
      </c>
      <c r="K8541" s="9" t="s">
        <v>36</v>
      </c>
      <c r="L8541" s="6" t="s">
        <v>36</v>
      </c>
      <c r="M8541" s="3" t="s">
        <v>36</v>
      </c>
      <c r="N8541" s="3" t="s">
        <v>36</v>
      </c>
      <c r="O8541" s="8" t="s">
        <v>36</v>
      </c>
      <c r="P8541" s="3" t="s">
        <v>36</v>
      </c>
      <c r="Q8541" s="3" t="s">
        <v>36</v>
      </c>
      <c r="R8541" s="3" t="s">
        <v>36</v>
      </c>
      <c r="S8541" s="3" t="s">
        <v>36</v>
      </c>
      <c r="T8541" s="3" t="s">
        <v>37143</v>
      </c>
      <c r="U8541" s="3" t="s">
        <v>74</v>
      </c>
      <c r="V8541" s="3" t="s">
        <v>75</v>
      </c>
      <c r="W8541" s="3" t="s">
        <v>37144</v>
      </c>
      <c r="X8541" s="10" t="s">
        <v>37145</v>
      </c>
      <c r="Y8541" s="6" t="s">
        <v>42</v>
      </c>
      <c r="Z8541" s="4">
        <v>5.66</v>
      </c>
      <c r="AA8541" s="4" t="s">
        <v>36</v>
      </c>
      <c r="AB8541" s="3" t="s">
        <v>56</v>
      </c>
      <c r="AC8541" s="3" t="s">
        <v>37146</v>
      </c>
      <c r="AD8541" s="9">
        <v>40862</v>
      </c>
      <c r="AE8541" s="3" t="s">
        <v>975</v>
      </c>
      <c r="AF8541" s="3" t="s">
        <v>10379</v>
      </c>
      <c r="AG8541" s="3" t="s">
        <v>14890</v>
      </c>
      <c r="AH8541" s="11">
        <f>HYPERLINK("https://my.pitchbook.com?c=79820-65T","View Company Online")</f>
      </c>
    </row>
    <row r="8542">
      <c r="A8542" s="12" t="s">
        <v>37147</v>
      </c>
      <c r="B8542" s="12" t="s">
        <v>37148</v>
      </c>
      <c r="C8542" s="19" t="s">
        <v>36</v>
      </c>
      <c r="D8542" s="19" t="s">
        <v>36</v>
      </c>
      <c r="E8542" s="19" t="s">
        <v>36</v>
      </c>
      <c r="F8542" s="19" t="s">
        <v>36</v>
      </c>
      <c r="G8542" s="15" t="s">
        <v>36</v>
      </c>
      <c r="H8542" s="14">
        <v>16.62</v>
      </c>
      <c r="I8542" s="18">
        <v>43.86</v>
      </c>
      <c r="J8542" s="12" t="s">
        <v>521</v>
      </c>
      <c r="K8542" s="13" t="s">
        <v>36</v>
      </c>
      <c r="L8542" s="15" t="s">
        <v>36</v>
      </c>
      <c r="M8542" s="12" t="s">
        <v>36</v>
      </c>
      <c r="N8542" s="12" t="s">
        <v>36</v>
      </c>
      <c r="O8542" s="17" t="s">
        <v>36</v>
      </c>
      <c r="P8542" s="12" t="s">
        <v>36</v>
      </c>
      <c r="Q8542" s="12" t="s">
        <v>36</v>
      </c>
      <c r="R8542" s="12" t="s">
        <v>36</v>
      </c>
      <c r="S8542" s="12" t="s">
        <v>36</v>
      </c>
      <c r="T8542" s="12" t="s">
        <v>37149</v>
      </c>
      <c r="U8542" s="12" t="s">
        <v>38</v>
      </c>
      <c r="V8542" s="12" t="s">
        <v>39</v>
      </c>
      <c r="W8542" s="12" t="s">
        <v>37150</v>
      </c>
      <c r="X8542" s="16" t="s">
        <v>37151</v>
      </c>
      <c r="Y8542" s="15" t="s">
        <v>42</v>
      </c>
      <c r="Z8542" s="14">
        <v>0.14</v>
      </c>
      <c r="AA8542" s="14">
        <v>0.31</v>
      </c>
      <c r="AB8542" s="12" t="s">
        <v>43</v>
      </c>
      <c r="AC8542" s="12" t="s">
        <v>37152</v>
      </c>
      <c r="AD8542" s="13">
        <v>40862</v>
      </c>
      <c r="AE8542" s="12" t="s">
        <v>45</v>
      </c>
      <c r="AF8542" s="12" t="s">
        <v>331</v>
      </c>
      <c r="AG8542" s="12" t="s">
        <v>2618</v>
      </c>
      <c r="AH8542" s="1">
        <f>HYPERLINK("https://my.pitchbook.com?c=211815-55T","View Company Online")</f>
      </c>
    </row>
    <row r="8543">
      <c r="A8543" s="3" t="s">
        <v>37153</v>
      </c>
      <c r="B8543" s="3" t="s">
        <v>25511</v>
      </c>
      <c r="C8543" s="5" t="s">
        <v>36</v>
      </c>
      <c r="D8543" s="5" t="s">
        <v>36</v>
      </c>
      <c r="E8543" s="5" t="s">
        <v>36</v>
      </c>
      <c r="F8543" s="5" t="s">
        <v>36</v>
      </c>
      <c r="G8543" s="6" t="s">
        <v>326</v>
      </c>
      <c r="H8543" s="4">
        <v>147.74</v>
      </c>
      <c r="I8543" s="7">
        <v>39.59</v>
      </c>
      <c r="J8543" s="3" t="s">
        <v>521</v>
      </c>
      <c r="K8543" s="9" t="s">
        <v>36</v>
      </c>
      <c r="L8543" s="6" t="s">
        <v>36</v>
      </c>
      <c r="M8543" s="3" t="s">
        <v>36</v>
      </c>
      <c r="N8543" s="3" t="s">
        <v>36</v>
      </c>
      <c r="O8543" s="8" t="s">
        <v>36</v>
      </c>
      <c r="P8543" s="3" t="s">
        <v>36</v>
      </c>
      <c r="Q8543" s="3" t="s">
        <v>36</v>
      </c>
      <c r="R8543" s="3" t="s">
        <v>36</v>
      </c>
      <c r="S8543" s="3" t="s">
        <v>36</v>
      </c>
      <c r="T8543" s="3" t="s">
        <v>25512</v>
      </c>
      <c r="U8543" s="3" t="s">
        <v>38</v>
      </c>
      <c r="V8543" s="3" t="s">
        <v>39</v>
      </c>
      <c r="W8543" s="3" t="s">
        <v>25513</v>
      </c>
      <c r="X8543" s="10" t="s">
        <v>37154</v>
      </c>
      <c r="Y8543" s="6" t="s">
        <v>55</v>
      </c>
      <c r="Z8543" s="4">
        <v>5.52</v>
      </c>
      <c r="AA8543" s="4">
        <v>8.72</v>
      </c>
      <c r="AB8543" s="3" t="s">
        <v>43</v>
      </c>
      <c r="AC8543" s="3" t="s">
        <v>25515</v>
      </c>
      <c r="AD8543" s="9">
        <v>40862</v>
      </c>
      <c r="AE8543" s="3" t="s">
        <v>785</v>
      </c>
      <c r="AF8543" s="3" t="s">
        <v>3040</v>
      </c>
      <c r="AG8543" s="3" t="s">
        <v>787</v>
      </c>
      <c r="AH8543" s="11">
        <f>HYPERLINK("https://my.pitchbook.com?c=25410-43T","View Company Online")</f>
      </c>
    </row>
    <row r="8544">
      <c r="A8544" s="12" t="s">
        <v>37155</v>
      </c>
      <c r="B8544" s="12" t="s">
        <v>33395</v>
      </c>
      <c r="C8544" s="19">
        <v>9</v>
      </c>
      <c r="D8544" s="19">
        <v>62</v>
      </c>
      <c r="E8544" s="19">
        <v>10</v>
      </c>
      <c r="F8544" s="19">
        <v>74</v>
      </c>
      <c r="G8544" s="15" t="s">
        <v>36</v>
      </c>
      <c r="H8544" s="14" t="s">
        <v>36</v>
      </c>
      <c r="I8544" s="18" t="s">
        <v>36</v>
      </c>
      <c r="J8544" s="12" t="s">
        <v>36</v>
      </c>
      <c r="K8544" s="13" t="s">
        <v>36</v>
      </c>
      <c r="L8544" s="15" t="s">
        <v>3736</v>
      </c>
      <c r="M8544" s="12" t="s">
        <v>36</v>
      </c>
      <c r="N8544" s="12" t="s">
        <v>3736</v>
      </c>
      <c r="O8544" s="17" t="s">
        <v>36</v>
      </c>
      <c r="P8544" s="12" t="s">
        <v>36</v>
      </c>
      <c r="Q8544" s="12" t="s">
        <v>36</v>
      </c>
      <c r="R8544" s="12" t="s">
        <v>36</v>
      </c>
      <c r="S8544" s="12" t="s">
        <v>36</v>
      </c>
      <c r="T8544" s="12" t="s">
        <v>529</v>
      </c>
      <c r="U8544" s="12" t="s">
        <v>38</v>
      </c>
      <c r="V8544" s="12" t="s">
        <v>39</v>
      </c>
      <c r="W8544" s="12" t="s">
        <v>33396</v>
      </c>
      <c r="X8544" s="16" t="s">
        <v>37156</v>
      </c>
      <c r="Y8544" s="15" t="s">
        <v>55</v>
      </c>
      <c r="Z8544" s="14">
        <v>2.76</v>
      </c>
      <c r="AA8544" s="14" t="s">
        <v>36</v>
      </c>
      <c r="AB8544" s="12" t="s">
        <v>56</v>
      </c>
      <c r="AC8544" s="12" t="s">
        <v>33398</v>
      </c>
      <c r="AD8544" s="13">
        <v>40862</v>
      </c>
      <c r="AE8544" s="12" t="s">
        <v>134</v>
      </c>
      <c r="AF8544" s="12" t="s">
        <v>9319</v>
      </c>
      <c r="AG8544" s="12" t="s">
        <v>81</v>
      </c>
      <c r="AH8544" s="1">
        <f>HYPERLINK("https://my.pitchbook.com?c=25262-20T","View Company Online")</f>
      </c>
    </row>
    <row r="8545">
      <c r="A8545" s="3" t="s">
        <v>37157</v>
      </c>
      <c r="B8545" s="3" t="s">
        <v>35369</v>
      </c>
      <c r="C8545" s="5" t="s">
        <v>36</v>
      </c>
      <c r="D8545" s="5" t="s">
        <v>36</v>
      </c>
      <c r="E8545" s="5" t="s">
        <v>36</v>
      </c>
      <c r="F8545" s="5" t="s">
        <v>36</v>
      </c>
      <c r="G8545" s="6" t="s">
        <v>36</v>
      </c>
      <c r="H8545" s="4" t="s">
        <v>36</v>
      </c>
      <c r="I8545" s="7" t="s">
        <v>36</v>
      </c>
      <c r="J8545" s="3" t="s">
        <v>36</v>
      </c>
      <c r="K8545" s="9" t="s">
        <v>36</v>
      </c>
      <c r="L8545" s="6" t="s">
        <v>36</v>
      </c>
      <c r="M8545" s="3" t="s">
        <v>36</v>
      </c>
      <c r="N8545" s="3" t="s">
        <v>36</v>
      </c>
      <c r="O8545" s="8" t="s">
        <v>36</v>
      </c>
      <c r="P8545" s="3" t="s">
        <v>36</v>
      </c>
      <c r="Q8545" s="3" t="s">
        <v>36</v>
      </c>
      <c r="R8545" s="3" t="s">
        <v>36</v>
      </c>
      <c r="S8545" s="3" t="s">
        <v>36</v>
      </c>
      <c r="T8545" s="3" t="s">
        <v>2044</v>
      </c>
      <c r="U8545" s="3" t="s">
        <v>74</v>
      </c>
      <c r="V8545" s="3" t="s">
        <v>75</v>
      </c>
      <c r="W8545" s="3" t="s">
        <v>35370</v>
      </c>
      <c r="X8545" s="10" t="s">
        <v>657</v>
      </c>
      <c r="Y8545" s="6" t="s">
        <v>42</v>
      </c>
      <c r="Z8545" s="4">
        <v>1.73</v>
      </c>
      <c r="AA8545" s="4" t="s">
        <v>36</v>
      </c>
      <c r="AB8545" s="3" t="s">
        <v>43</v>
      </c>
      <c r="AC8545" s="3" t="s">
        <v>35372</v>
      </c>
      <c r="AD8545" s="9">
        <v>40860</v>
      </c>
      <c r="AE8545" s="3" t="s">
        <v>79</v>
      </c>
      <c r="AF8545" s="3" t="s">
        <v>4099</v>
      </c>
      <c r="AG8545" s="3" t="s">
        <v>81</v>
      </c>
      <c r="AH8545" s="11">
        <f>HYPERLINK("https://my.pitchbook.com?c=29077-75T","View Company Online")</f>
      </c>
    </row>
    <row r="8546">
      <c r="A8546" s="12" t="s">
        <v>37158</v>
      </c>
      <c r="B8546" s="12" t="s">
        <v>37159</v>
      </c>
      <c r="C8546" s="19" t="s">
        <v>36</v>
      </c>
      <c r="D8546" s="19" t="s">
        <v>36</v>
      </c>
      <c r="E8546" s="19" t="s">
        <v>36</v>
      </c>
      <c r="F8546" s="19" t="s">
        <v>36</v>
      </c>
      <c r="G8546" s="15" t="s">
        <v>36</v>
      </c>
      <c r="H8546" s="14" t="s">
        <v>36</v>
      </c>
      <c r="I8546" s="18" t="s">
        <v>36</v>
      </c>
      <c r="J8546" s="12" t="s">
        <v>36</v>
      </c>
      <c r="K8546" s="13" t="s">
        <v>36</v>
      </c>
      <c r="L8546" s="15" t="s">
        <v>36</v>
      </c>
      <c r="M8546" s="12" t="s">
        <v>36</v>
      </c>
      <c r="N8546" s="12" t="s">
        <v>36</v>
      </c>
      <c r="O8546" s="17" t="s">
        <v>36</v>
      </c>
      <c r="P8546" s="12" t="s">
        <v>36</v>
      </c>
      <c r="Q8546" s="12" t="s">
        <v>36</v>
      </c>
      <c r="R8546" s="12" t="s">
        <v>36</v>
      </c>
      <c r="S8546" s="12" t="s">
        <v>36</v>
      </c>
      <c r="T8546" s="12" t="s">
        <v>522</v>
      </c>
      <c r="U8546" s="12" t="s">
        <v>38</v>
      </c>
      <c r="V8546" s="12" t="s">
        <v>39</v>
      </c>
      <c r="W8546" s="12" t="s">
        <v>37160</v>
      </c>
      <c r="X8546" s="16" t="s">
        <v>34522</v>
      </c>
      <c r="Y8546" s="15" t="s">
        <v>42</v>
      </c>
      <c r="Z8546" s="14">
        <v>0.69</v>
      </c>
      <c r="AA8546" s="14" t="s">
        <v>36</v>
      </c>
      <c r="AB8546" s="12" t="s">
        <v>56</v>
      </c>
      <c r="AC8546" s="12" t="s">
        <v>37161</v>
      </c>
      <c r="AD8546" s="13">
        <v>40855</v>
      </c>
      <c r="AE8546" s="12" t="s">
        <v>110</v>
      </c>
      <c r="AF8546" s="12" t="s">
        <v>176</v>
      </c>
      <c r="AG8546" s="12" t="s">
        <v>186</v>
      </c>
      <c r="AH8546" s="1">
        <f>HYPERLINK("https://my.pitchbook.com?c=27548-11T","View Company Online")</f>
      </c>
    </row>
    <row r="8547">
      <c r="A8547" s="3" t="s">
        <v>37162</v>
      </c>
      <c r="B8547" s="3" t="s">
        <v>29305</v>
      </c>
      <c r="C8547" s="5" t="s">
        <v>36</v>
      </c>
      <c r="D8547" s="5" t="s">
        <v>36</v>
      </c>
      <c r="E8547" s="5" t="s">
        <v>36</v>
      </c>
      <c r="F8547" s="5" t="s">
        <v>36</v>
      </c>
      <c r="G8547" s="6" t="s">
        <v>2497</v>
      </c>
      <c r="H8547" s="4">
        <v>154.43</v>
      </c>
      <c r="I8547" s="7">
        <v>9.22</v>
      </c>
      <c r="J8547" s="3" t="s">
        <v>521</v>
      </c>
      <c r="K8547" s="9" t="s">
        <v>36</v>
      </c>
      <c r="L8547" s="6" t="s">
        <v>36</v>
      </c>
      <c r="M8547" s="3" t="s">
        <v>36</v>
      </c>
      <c r="N8547" s="3" t="s">
        <v>36</v>
      </c>
      <c r="O8547" s="8" t="s">
        <v>36</v>
      </c>
      <c r="P8547" s="3" t="s">
        <v>36</v>
      </c>
      <c r="Q8547" s="3" t="s">
        <v>36</v>
      </c>
      <c r="R8547" s="3" t="s">
        <v>36</v>
      </c>
      <c r="S8547" s="3" t="s">
        <v>36</v>
      </c>
      <c r="T8547" s="3" t="s">
        <v>2419</v>
      </c>
      <c r="U8547" s="3" t="s">
        <v>1091</v>
      </c>
      <c r="V8547" s="3" t="s">
        <v>378</v>
      </c>
      <c r="W8547" s="3" t="s">
        <v>29306</v>
      </c>
      <c r="X8547" s="10" t="s">
        <v>7151</v>
      </c>
      <c r="Y8547" s="6" t="s">
        <v>55</v>
      </c>
      <c r="Z8547" s="4">
        <v>0.46</v>
      </c>
      <c r="AA8547" s="4">
        <v>4.95</v>
      </c>
      <c r="AB8547" s="3" t="s">
        <v>43</v>
      </c>
      <c r="AC8547" s="3" t="s">
        <v>29308</v>
      </c>
      <c r="AD8547" s="9">
        <v>40855</v>
      </c>
      <c r="AE8547" s="3" t="s">
        <v>1095</v>
      </c>
      <c r="AF8547" s="3" t="s">
        <v>571</v>
      </c>
      <c r="AG8547" s="3" t="s">
        <v>16838</v>
      </c>
      <c r="AH8547" s="11">
        <f>HYPERLINK("https://my.pitchbook.com?c=211638-88T","View Company Online")</f>
      </c>
    </row>
    <row r="8548">
      <c r="A8548" s="12" t="s">
        <v>37163</v>
      </c>
      <c r="B8548" s="12" t="s">
        <v>33205</v>
      </c>
      <c r="C8548" s="19" t="s">
        <v>36</v>
      </c>
      <c r="D8548" s="19" t="s">
        <v>36</v>
      </c>
      <c r="E8548" s="19" t="s">
        <v>36</v>
      </c>
      <c r="F8548" s="19" t="s">
        <v>36</v>
      </c>
      <c r="G8548" s="15" t="s">
        <v>36</v>
      </c>
      <c r="H8548" s="14" t="s">
        <v>36</v>
      </c>
      <c r="I8548" s="18">
        <v>10</v>
      </c>
      <c r="J8548" s="12" t="s">
        <v>36</v>
      </c>
      <c r="K8548" s="13" t="s">
        <v>36</v>
      </c>
      <c r="L8548" s="15" t="s">
        <v>94</v>
      </c>
      <c r="M8548" s="12" t="s">
        <v>36</v>
      </c>
      <c r="N8548" s="12" t="s">
        <v>94</v>
      </c>
      <c r="O8548" s="17" t="s">
        <v>36</v>
      </c>
      <c r="P8548" s="12" t="s">
        <v>36</v>
      </c>
      <c r="Q8548" s="12" t="s">
        <v>36</v>
      </c>
      <c r="R8548" s="12" t="s">
        <v>36</v>
      </c>
      <c r="S8548" s="12" t="s">
        <v>36</v>
      </c>
      <c r="T8548" s="12" t="s">
        <v>550</v>
      </c>
      <c r="U8548" s="12" t="s">
        <v>38</v>
      </c>
      <c r="V8548" s="12" t="s">
        <v>39</v>
      </c>
      <c r="W8548" s="12" t="s">
        <v>33206</v>
      </c>
      <c r="X8548" s="16" t="s">
        <v>37164</v>
      </c>
      <c r="Y8548" s="15" t="s">
        <v>108</v>
      </c>
      <c r="Z8548" s="14">
        <v>0.69</v>
      </c>
      <c r="AA8548" s="14" t="s">
        <v>36</v>
      </c>
      <c r="AB8548" s="12" t="s">
        <v>43</v>
      </c>
      <c r="AC8548" s="12" t="s">
        <v>33207</v>
      </c>
      <c r="AD8548" s="13">
        <v>40854</v>
      </c>
      <c r="AE8548" s="12" t="s">
        <v>554</v>
      </c>
      <c r="AF8548" s="12" t="s">
        <v>28043</v>
      </c>
      <c r="AG8548" s="12" t="s">
        <v>1978</v>
      </c>
      <c r="AH8548" s="1">
        <f>HYPERLINK("https://my.pitchbook.com?c=26721-64T","View Company Online")</f>
      </c>
    </row>
    <row r="8549">
      <c r="A8549" s="3" t="s">
        <v>37165</v>
      </c>
      <c r="B8549" s="3" t="s">
        <v>37166</v>
      </c>
      <c r="C8549" s="5" t="s">
        <v>36</v>
      </c>
      <c r="D8549" s="5">
        <v>14</v>
      </c>
      <c r="E8549" s="5">
        <v>6</v>
      </c>
      <c r="F8549" s="5">
        <v>20</v>
      </c>
      <c r="G8549" s="6" t="s">
        <v>36</v>
      </c>
      <c r="H8549" s="4" t="s">
        <v>36</v>
      </c>
      <c r="I8549" s="7" t="s">
        <v>36</v>
      </c>
      <c r="J8549" s="3" t="s">
        <v>36</v>
      </c>
      <c r="K8549" s="9" t="s">
        <v>36</v>
      </c>
      <c r="L8549" s="6" t="s">
        <v>36</v>
      </c>
      <c r="M8549" s="3" t="s">
        <v>36</v>
      </c>
      <c r="N8549" s="3" t="s">
        <v>36</v>
      </c>
      <c r="O8549" s="8" t="s">
        <v>36</v>
      </c>
      <c r="P8549" s="3" t="s">
        <v>36</v>
      </c>
      <c r="Q8549" s="3" t="s">
        <v>36</v>
      </c>
      <c r="R8549" s="3" t="s">
        <v>36</v>
      </c>
      <c r="S8549" s="3" t="s">
        <v>36</v>
      </c>
      <c r="T8549" s="3" t="s">
        <v>37167</v>
      </c>
      <c r="U8549" s="3" t="s">
        <v>219</v>
      </c>
      <c r="V8549" s="3" t="s">
        <v>75</v>
      </c>
      <c r="W8549" s="3" t="s">
        <v>37168</v>
      </c>
      <c r="X8549" s="10" t="s">
        <v>37169</v>
      </c>
      <c r="Y8549" s="6" t="s">
        <v>42</v>
      </c>
      <c r="Z8549" s="4">
        <v>1.94</v>
      </c>
      <c r="AA8549" s="4" t="s">
        <v>36</v>
      </c>
      <c r="AB8549" s="3" t="s">
        <v>56</v>
      </c>
      <c r="AC8549" s="3" t="s">
        <v>37170</v>
      </c>
      <c r="AD8549" s="9">
        <v>40854</v>
      </c>
      <c r="AE8549" s="3" t="s">
        <v>7093</v>
      </c>
      <c r="AF8549" s="3" t="s">
        <v>546</v>
      </c>
      <c r="AG8549" s="3" t="s">
        <v>37171</v>
      </c>
      <c r="AH8549" s="11">
        <f>HYPERLINK("https://my.pitchbook.com?c=25388-11T","View Company Online")</f>
      </c>
    </row>
    <row r="8550">
      <c r="A8550" s="12" t="s">
        <v>37172</v>
      </c>
      <c r="B8550" s="12" t="s">
        <v>37173</v>
      </c>
      <c r="C8550" s="19" t="s">
        <v>36</v>
      </c>
      <c r="D8550" s="19" t="s">
        <v>36</v>
      </c>
      <c r="E8550" s="19" t="s">
        <v>36</v>
      </c>
      <c r="F8550" s="19" t="s">
        <v>36</v>
      </c>
      <c r="G8550" s="15" t="s">
        <v>36</v>
      </c>
      <c r="H8550" s="14" t="s">
        <v>36</v>
      </c>
      <c r="I8550" s="18" t="s">
        <v>36</v>
      </c>
      <c r="J8550" s="12" t="s">
        <v>36</v>
      </c>
      <c r="K8550" s="13" t="s">
        <v>36</v>
      </c>
      <c r="L8550" s="15" t="s">
        <v>36</v>
      </c>
      <c r="M8550" s="12" t="s">
        <v>36</v>
      </c>
      <c r="N8550" s="12" t="s">
        <v>36</v>
      </c>
      <c r="O8550" s="17" t="s">
        <v>36</v>
      </c>
      <c r="P8550" s="12" t="s">
        <v>36</v>
      </c>
      <c r="Q8550" s="12" t="s">
        <v>36</v>
      </c>
      <c r="R8550" s="12" t="s">
        <v>36</v>
      </c>
      <c r="S8550" s="12" t="s">
        <v>36</v>
      </c>
      <c r="T8550" s="12" t="s">
        <v>1023</v>
      </c>
      <c r="U8550" s="12" t="s">
        <v>74</v>
      </c>
      <c r="V8550" s="12" t="s">
        <v>75</v>
      </c>
      <c r="W8550" s="12" t="s">
        <v>37174</v>
      </c>
      <c r="X8550" s="16" t="s">
        <v>10302</v>
      </c>
      <c r="Y8550" s="15" t="s">
        <v>42</v>
      </c>
      <c r="Z8550" s="14">
        <v>0.34</v>
      </c>
      <c r="AA8550" s="14" t="s">
        <v>36</v>
      </c>
      <c r="AB8550" s="12" t="s">
        <v>56</v>
      </c>
      <c r="AC8550" s="12" t="s">
        <v>37175</v>
      </c>
      <c r="AD8550" s="13">
        <v>40849</v>
      </c>
      <c r="AE8550" s="12" t="s">
        <v>79</v>
      </c>
      <c r="AF8550" s="12" t="s">
        <v>36</v>
      </c>
      <c r="AG8550" s="12" t="s">
        <v>37176</v>
      </c>
      <c r="AH8550" s="1">
        <f>HYPERLINK("https://my.pitchbook.com?c=51831-10T","View Company Online")</f>
      </c>
    </row>
    <row r="8551">
      <c r="A8551" s="3" t="s">
        <v>37177</v>
      </c>
      <c r="B8551" s="3" t="s">
        <v>35211</v>
      </c>
      <c r="C8551" s="5" t="s">
        <v>36</v>
      </c>
      <c r="D8551" s="5" t="s">
        <v>36</v>
      </c>
      <c r="E8551" s="5" t="s">
        <v>36</v>
      </c>
      <c r="F8551" s="5" t="s">
        <v>36</v>
      </c>
      <c r="G8551" s="6" t="s">
        <v>36</v>
      </c>
      <c r="H8551" s="4" t="s">
        <v>36</v>
      </c>
      <c r="I8551" s="7" t="s">
        <v>36</v>
      </c>
      <c r="J8551" s="3" t="s">
        <v>36</v>
      </c>
      <c r="K8551" s="9" t="s">
        <v>36</v>
      </c>
      <c r="L8551" s="6" t="s">
        <v>36</v>
      </c>
      <c r="M8551" s="3" t="s">
        <v>36</v>
      </c>
      <c r="N8551" s="3" t="s">
        <v>36</v>
      </c>
      <c r="O8551" s="8" t="s">
        <v>36</v>
      </c>
      <c r="P8551" s="3" t="s">
        <v>36</v>
      </c>
      <c r="Q8551" s="3" t="s">
        <v>36</v>
      </c>
      <c r="R8551" s="3" t="s">
        <v>36</v>
      </c>
      <c r="S8551" s="3" t="s">
        <v>36</v>
      </c>
      <c r="T8551" s="3" t="s">
        <v>30454</v>
      </c>
      <c r="U8551" s="3" t="s">
        <v>233</v>
      </c>
      <c r="V8551" s="3" t="s">
        <v>39</v>
      </c>
      <c r="W8551" s="3" t="s">
        <v>35212</v>
      </c>
      <c r="X8551" s="10" t="s">
        <v>2485</v>
      </c>
      <c r="Y8551" s="6" t="s">
        <v>42</v>
      </c>
      <c r="Z8551" s="4">
        <v>1.37</v>
      </c>
      <c r="AA8551" s="4" t="s">
        <v>36</v>
      </c>
      <c r="AB8551" s="3" t="s">
        <v>43</v>
      </c>
      <c r="AC8551" s="3" t="s">
        <v>35214</v>
      </c>
      <c r="AD8551" s="9">
        <v>40848</v>
      </c>
      <c r="AE8551" s="3" t="s">
        <v>12061</v>
      </c>
      <c r="AF8551" s="3" t="s">
        <v>4552</v>
      </c>
      <c r="AG8551" s="3" t="s">
        <v>81</v>
      </c>
      <c r="AH8551" s="11">
        <f>HYPERLINK("https://my.pitchbook.com?c=27048-07T","View Company Online")</f>
      </c>
    </row>
    <row r="8552">
      <c r="A8552" s="12" t="s">
        <v>37178</v>
      </c>
      <c r="B8552" s="12" t="s">
        <v>25101</v>
      </c>
      <c r="C8552" s="19" t="s">
        <v>36</v>
      </c>
      <c r="D8552" s="19">
        <v>4</v>
      </c>
      <c r="E8552" s="19">
        <v>4</v>
      </c>
      <c r="F8552" s="19">
        <v>8</v>
      </c>
      <c r="G8552" s="15" t="s">
        <v>36</v>
      </c>
      <c r="H8552" s="14">
        <v>1453.99</v>
      </c>
      <c r="I8552" s="18">
        <v>47.53</v>
      </c>
      <c r="J8552" s="12" t="s">
        <v>521</v>
      </c>
      <c r="K8552" s="13" t="s">
        <v>36</v>
      </c>
      <c r="L8552" s="15" t="s">
        <v>36</v>
      </c>
      <c r="M8552" s="12" t="s">
        <v>36</v>
      </c>
      <c r="N8552" s="12" t="s">
        <v>36</v>
      </c>
      <c r="O8552" s="17" t="s">
        <v>36</v>
      </c>
      <c r="P8552" s="12" t="s">
        <v>36</v>
      </c>
      <c r="Q8552" s="12" t="s">
        <v>36</v>
      </c>
      <c r="R8552" s="12" t="s">
        <v>36</v>
      </c>
      <c r="S8552" s="12" t="s">
        <v>36</v>
      </c>
      <c r="T8552" s="12" t="s">
        <v>25102</v>
      </c>
      <c r="U8552" s="12" t="s">
        <v>96</v>
      </c>
      <c r="V8552" s="12" t="s">
        <v>52</v>
      </c>
      <c r="W8552" s="12" t="s">
        <v>25103</v>
      </c>
      <c r="X8552" s="16" t="s">
        <v>26888</v>
      </c>
      <c r="Y8552" s="15" t="s">
        <v>42</v>
      </c>
      <c r="Z8552" s="14">
        <v>0.87</v>
      </c>
      <c r="AA8552" s="14">
        <v>1.83</v>
      </c>
      <c r="AB8552" s="12" t="s">
        <v>43</v>
      </c>
      <c r="AC8552" s="12" t="s">
        <v>25104</v>
      </c>
      <c r="AD8552" s="13">
        <v>40848</v>
      </c>
      <c r="AE8552" s="12" t="s">
        <v>12392</v>
      </c>
      <c r="AF8552" s="12" t="s">
        <v>25105</v>
      </c>
      <c r="AG8552" s="12" t="s">
        <v>991</v>
      </c>
      <c r="AH8552" s="1">
        <f>HYPERLINK("https://my.pitchbook.com?c=29685-97T","View Company Online")</f>
      </c>
    </row>
    <row r="8553">
      <c r="A8553" s="3" t="s">
        <v>37179</v>
      </c>
      <c r="B8553" s="3" t="s">
        <v>37180</v>
      </c>
      <c r="C8553" s="5">
        <v>1</v>
      </c>
      <c r="D8553" s="5">
        <v>8</v>
      </c>
      <c r="E8553" s="5">
        <v>4</v>
      </c>
      <c r="F8553" s="5">
        <v>10</v>
      </c>
      <c r="G8553" s="6" t="s">
        <v>36</v>
      </c>
      <c r="H8553" s="4" t="s">
        <v>36</v>
      </c>
      <c r="I8553" s="7" t="s">
        <v>36</v>
      </c>
      <c r="J8553" s="3" t="s">
        <v>36</v>
      </c>
      <c r="K8553" s="9" t="s">
        <v>36</v>
      </c>
      <c r="L8553" s="6" t="s">
        <v>122</v>
      </c>
      <c r="M8553" s="3" t="s">
        <v>36</v>
      </c>
      <c r="N8553" s="3" t="s">
        <v>122</v>
      </c>
      <c r="O8553" s="8" t="s">
        <v>36</v>
      </c>
      <c r="P8553" s="3" t="s">
        <v>36</v>
      </c>
      <c r="Q8553" s="3" t="s">
        <v>36</v>
      </c>
      <c r="R8553" s="3" t="s">
        <v>36</v>
      </c>
      <c r="S8553" s="3" t="s">
        <v>36</v>
      </c>
      <c r="T8553" s="3" t="s">
        <v>37181</v>
      </c>
      <c r="U8553" s="3" t="s">
        <v>7149</v>
      </c>
      <c r="V8553" s="3" t="s">
        <v>378</v>
      </c>
      <c r="W8553" s="3" t="s">
        <v>37182</v>
      </c>
      <c r="X8553" s="10" t="s">
        <v>37183</v>
      </c>
      <c r="Y8553" s="6" t="s">
        <v>42</v>
      </c>
      <c r="Z8553" s="4">
        <v>2.74</v>
      </c>
      <c r="AA8553" s="4" t="s">
        <v>36</v>
      </c>
      <c r="AB8553" s="3" t="s">
        <v>43</v>
      </c>
      <c r="AC8553" s="3" t="s">
        <v>37184</v>
      </c>
      <c r="AD8553" s="9">
        <v>40846</v>
      </c>
      <c r="AE8553" s="3" t="s">
        <v>9635</v>
      </c>
      <c r="AF8553" s="3" t="s">
        <v>571</v>
      </c>
      <c r="AG8553" s="3" t="s">
        <v>37185</v>
      </c>
      <c r="AH8553" s="11">
        <f>HYPERLINK("https://my.pitchbook.com?c=121696-03T","View Company Online")</f>
      </c>
    </row>
    <row r="8554">
      <c r="A8554" s="12" t="s">
        <v>37186</v>
      </c>
      <c r="B8554" s="12" t="s">
        <v>37187</v>
      </c>
      <c r="C8554" s="19" t="s">
        <v>36</v>
      </c>
      <c r="D8554" s="19" t="s">
        <v>36</v>
      </c>
      <c r="E8554" s="19" t="s">
        <v>36</v>
      </c>
      <c r="F8554" s="19" t="s">
        <v>36</v>
      </c>
      <c r="G8554" s="15" t="s">
        <v>36</v>
      </c>
      <c r="H8554" s="14" t="s">
        <v>36</v>
      </c>
      <c r="I8554" s="18" t="s">
        <v>36</v>
      </c>
      <c r="J8554" s="12" t="s">
        <v>36</v>
      </c>
      <c r="K8554" s="13" t="s">
        <v>36</v>
      </c>
      <c r="L8554" s="15" t="s">
        <v>36</v>
      </c>
      <c r="M8554" s="12" t="s">
        <v>36</v>
      </c>
      <c r="N8554" s="12" t="s">
        <v>36</v>
      </c>
      <c r="O8554" s="17" t="s">
        <v>36</v>
      </c>
      <c r="P8554" s="12" t="s">
        <v>36</v>
      </c>
      <c r="Q8554" s="12" t="s">
        <v>36</v>
      </c>
      <c r="R8554" s="12" t="s">
        <v>36</v>
      </c>
      <c r="S8554" s="12" t="s">
        <v>36</v>
      </c>
      <c r="T8554" s="12" t="s">
        <v>20192</v>
      </c>
      <c r="U8554" s="12" t="s">
        <v>279</v>
      </c>
      <c r="V8554" s="12" t="s">
        <v>64</v>
      </c>
      <c r="W8554" s="12" t="s">
        <v>37188</v>
      </c>
      <c r="X8554" s="16" t="s">
        <v>37189</v>
      </c>
      <c r="Y8554" s="15" t="s">
        <v>42</v>
      </c>
      <c r="Z8554" s="14">
        <v>4.78</v>
      </c>
      <c r="AA8554" s="14" t="s">
        <v>36</v>
      </c>
      <c r="AB8554" s="12" t="s">
        <v>43</v>
      </c>
      <c r="AC8554" s="12" t="s">
        <v>37190</v>
      </c>
      <c r="AD8554" s="13">
        <v>40843</v>
      </c>
      <c r="AE8554" s="12" t="s">
        <v>8519</v>
      </c>
      <c r="AF8554" s="12" t="s">
        <v>4552</v>
      </c>
      <c r="AG8554" s="12" t="s">
        <v>81</v>
      </c>
      <c r="AH8554" s="1">
        <f>HYPERLINK("https://my.pitchbook.com?c=24557-59T","View Company Online")</f>
      </c>
    </row>
    <row r="8555">
      <c r="A8555" s="3" t="s">
        <v>37191</v>
      </c>
      <c r="B8555" s="3" t="s">
        <v>37192</v>
      </c>
      <c r="C8555" s="5" t="s">
        <v>36</v>
      </c>
      <c r="D8555" s="5" t="s">
        <v>36</v>
      </c>
      <c r="E8555" s="5" t="s">
        <v>36</v>
      </c>
      <c r="F8555" s="5" t="s">
        <v>36</v>
      </c>
      <c r="G8555" s="6" t="s">
        <v>36</v>
      </c>
      <c r="H8555" s="4" t="s">
        <v>36</v>
      </c>
      <c r="I8555" s="7" t="s">
        <v>36</v>
      </c>
      <c r="J8555" s="3" t="s">
        <v>36</v>
      </c>
      <c r="K8555" s="9" t="s">
        <v>36</v>
      </c>
      <c r="L8555" s="6" t="s">
        <v>36</v>
      </c>
      <c r="M8555" s="3" t="s">
        <v>36</v>
      </c>
      <c r="N8555" s="3" t="s">
        <v>36</v>
      </c>
      <c r="O8555" s="8" t="s">
        <v>36</v>
      </c>
      <c r="P8555" s="3" t="s">
        <v>36</v>
      </c>
      <c r="Q8555" s="3" t="s">
        <v>36</v>
      </c>
      <c r="R8555" s="3" t="s">
        <v>36</v>
      </c>
      <c r="S8555" s="3" t="s">
        <v>36</v>
      </c>
      <c r="T8555" s="3" t="s">
        <v>37193</v>
      </c>
      <c r="U8555" s="3" t="s">
        <v>38</v>
      </c>
      <c r="V8555" s="3" t="s">
        <v>39</v>
      </c>
      <c r="W8555" s="3" t="s">
        <v>37194</v>
      </c>
      <c r="X8555" s="10" t="s">
        <v>11579</v>
      </c>
      <c r="Y8555" s="6" t="s">
        <v>42</v>
      </c>
      <c r="Z8555" s="4">
        <v>0.68</v>
      </c>
      <c r="AA8555" s="4" t="s">
        <v>36</v>
      </c>
      <c r="AB8555" s="3" t="s">
        <v>43</v>
      </c>
      <c r="AC8555" s="3" t="s">
        <v>37195</v>
      </c>
      <c r="AD8555" s="9">
        <v>40841</v>
      </c>
      <c r="AE8555" s="3" t="s">
        <v>1200</v>
      </c>
      <c r="AF8555" s="3" t="s">
        <v>37196</v>
      </c>
      <c r="AG8555" s="3" t="s">
        <v>81</v>
      </c>
      <c r="AH8555" s="11">
        <f>HYPERLINK("https://my.pitchbook.com?c=84882-70T","View Company Online")</f>
      </c>
    </row>
    <row r="8556">
      <c r="A8556" s="12" t="s">
        <v>37197</v>
      </c>
      <c r="B8556" s="12" t="s">
        <v>23882</v>
      </c>
      <c r="C8556" s="19" t="s">
        <v>36</v>
      </c>
      <c r="D8556" s="19">
        <v>4</v>
      </c>
      <c r="E8556" s="19">
        <v>2</v>
      </c>
      <c r="F8556" s="19">
        <v>4</v>
      </c>
      <c r="G8556" s="15" t="s">
        <v>36</v>
      </c>
      <c r="H8556" s="14" t="s">
        <v>36</v>
      </c>
      <c r="I8556" s="18" t="s">
        <v>36</v>
      </c>
      <c r="J8556" s="12" t="s">
        <v>36</v>
      </c>
      <c r="K8556" s="13" t="s">
        <v>36</v>
      </c>
      <c r="L8556" s="15" t="s">
        <v>36</v>
      </c>
      <c r="M8556" s="12" t="s">
        <v>36</v>
      </c>
      <c r="N8556" s="12" t="s">
        <v>36</v>
      </c>
      <c r="O8556" s="17" t="s">
        <v>36</v>
      </c>
      <c r="P8556" s="12" t="s">
        <v>36</v>
      </c>
      <c r="Q8556" s="12" t="s">
        <v>36</v>
      </c>
      <c r="R8556" s="12" t="s">
        <v>36</v>
      </c>
      <c r="S8556" s="12" t="s">
        <v>36</v>
      </c>
      <c r="T8556" s="12" t="s">
        <v>23883</v>
      </c>
      <c r="U8556" s="12" t="s">
        <v>96</v>
      </c>
      <c r="V8556" s="12" t="s">
        <v>52</v>
      </c>
      <c r="W8556" s="12" t="s">
        <v>23884</v>
      </c>
      <c r="X8556" s="16" t="s">
        <v>37198</v>
      </c>
      <c r="Y8556" s="15" t="s">
        <v>42</v>
      </c>
      <c r="Z8556" s="14">
        <v>10.86</v>
      </c>
      <c r="AA8556" s="14" t="s">
        <v>36</v>
      </c>
      <c r="AB8556" s="12" t="s">
        <v>56</v>
      </c>
      <c r="AC8556" s="12" t="s">
        <v>23886</v>
      </c>
      <c r="AD8556" s="13">
        <v>40837</v>
      </c>
      <c r="AE8556" s="12" t="s">
        <v>143</v>
      </c>
      <c r="AF8556" s="12" t="s">
        <v>6285</v>
      </c>
      <c r="AG8556" s="12" t="s">
        <v>23887</v>
      </c>
      <c r="AH8556" s="1">
        <f>HYPERLINK("https://my.pitchbook.com?c=25749-37T","View Company Online")</f>
      </c>
    </row>
    <row r="8557">
      <c r="A8557" s="3" t="s">
        <v>37199</v>
      </c>
      <c r="B8557" s="3" t="s">
        <v>37200</v>
      </c>
      <c r="C8557" s="5" t="s">
        <v>36</v>
      </c>
      <c r="D8557" s="5" t="s">
        <v>36</v>
      </c>
      <c r="E8557" s="5" t="s">
        <v>36</v>
      </c>
      <c r="F8557" s="5" t="s">
        <v>36</v>
      </c>
      <c r="G8557" s="6" t="s">
        <v>36</v>
      </c>
      <c r="H8557" s="4" t="s">
        <v>36</v>
      </c>
      <c r="I8557" s="7">
        <v>15.2</v>
      </c>
      <c r="J8557" s="3" t="s">
        <v>36</v>
      </c>
      <c r="K8557" s="9" t="s">
        <v>36</v>
      </c>
      <c r="L8557" s="6" t="s">
        <v>36</v>
      </c>
      <c r="M8557" s="3" t="s">
        <v>36</v>
      </c>
      <c r="N8557" s="3" t="s">
        <v>36</v>
      </c>
      <c r="O8557" s="8" t="s">
        <v>36</v>
      </c>
      <c r="P8557" s="3" t="s">
        <v>36</v>
      </c>
      <c r="Q8557" s="3" t="s">
        <v>36</v>
      </c>
      <c r="R8557" s="3" t="s">
        <v>36</v>
      </c>
      <c r="S8557" s="3" t="s">
        <v>36</v>
      </c>
      <c r="T8557" s="3" t="s">
        <v>16221</v>
      </c>
      <c r="U8557" s="3" t="s">
        <v>38</v>
      </c>
      <c r="V8557" s="3" t="s">
        <v>39</v>
      </c>
      <c r="W8557" s="3" t="s">
        <v>37201</v>
      </c>
      <c r="X8557" s="10" t="s">
        <v>26631</v>
      </c>
      <c r="Y8557" s="6" t="s">
        <v>42</v>
      </c>
      <c r="Z8557" s="4" t="s">
        <v>36</v>
      </c>
      <c r="AA8557" s="4" t="s">
        <v>36</v>
      </c>
      <c r="AB8557" s="3" t="s">
        <v>43</v>
      </c>
      <c r="AC8557" s="3" t="s">
        <v>37202</v>
      </c>
      <c r="AD8557" s="9">
        <v>40836</v>
      </c>
      <c r="AE8557" s="3" t="s">
        <v>110</v>
      </c>
      <c r="AF8557" s="3" t="s">
        <v>11479</v>
      </c>
      <c r="AG8557" s="3" t="s">
        <v>37203</v>
      </c>
      <c r="AH8557" s="11">
        <f>HYPERLINK("https://my.pitchbook.com?c=98796-79T","View Company Online")</f>
      </c>
    </row>
    <row r="8558">
      <c r="A8558" s="12" t="s">
        <v>37204</v>
      </c>
      <c r="B8558" s="12" t="s">
        <v>34608</v>
      </c>
      <c r="C8558" s="19">
        <v>38</v>
      </c>
      <c r="D8558" s="19">
        <v>76</v>
      </c>
      <c r="E8558" s="19">
        <v>63</v>
      </c>
      <c r="F8558" s="19">
        <v>141</v>
      </c>
      <c r="G8558" s="15" t="s">
        <v>36</v>
      </c>
      <c r="H8558" s="14" t="s">
        <v>36</v>
      </c>
      <c r="I8558" s="18" t="s">
        <v>36</v>
      </c>
      <c r="J8558" s="12" t="s">
        <v>36</v>
      </c>
      <c r="K8558" s="13" t="s">
        <v>36</v>
      </c>
      <c r="L8558" s="15" t="s">
        <v>122</v>
      </c>
      <c r="M8558" s="12" t="s">
        <v>36</v>
      </c>
      <c r="N8558" s="12" t="s">
        <v>122</v>
      </c>
      <c r="O8558" s="17" t="s">
        <v>36</v>
      </c>
      <c r="P8558" s="12" t="s">
        <v>36</v>
      </c>
      <c r="Q8558" s="12" t="s">
        <v>36</v>
      </c>
      <c r="R8558" s="12" t="s">
        <v>36</v>
      </c>
      <c r="S8558" s="12" t="s">
        <v>36</v>
      </c>
      <c r="T8558" s="12" t="s">
        <v>31106</v>
      </c>
      <c r="U8558" s="12" t="s">
        <v>833</v>
      </c>
      <c r="V8558" s="12" t="s">
        <v>64</v>
      </c>
      <c r="W8558" s="12" t="s">
        <v>34609</v>
      </c>
      <c r="X8558" s="16" t="s">
        <v>37205</v>
      </c>
      <c r="Y8558" s="15" t="s">
        <v>42</v>
      </c>
      <c r="Z8558" s="14">
        <v>5.42</v>
      </c>
      <c r="AA8558" s="14" t="s">
        <v>36</v>
      </c>
      <c r="AB8558" s="12" t="s">
        <v>43</v>
      </c>
      <c r="AC8558" s="12" t="s">
        <v>34611</v>
      </c>
      <c r="AD8558" s="13">
        <v>40836</v>
      </c>
      <c r="AE8558" s="12" t="s">
        <v>1687</v>
      </c>
      <c r="AF8558" s="12" t="s">
        <v>30848</v>
      </c>
      <c r="AG8558" s="12" t="s">
        <v>34612</v>
      </c>
      <c r="AH8558" s="1">
        <f>HYPERLINK("https://my.pitchbook.com?c=24521-14T","View Company Online")</f>
      </c>
    </row>
    <row r="8559">
      <c r="A8559" s="3" t="s">
        <v>37206</v>
      </c>
      <c r="B8559" s="3" t="s">
        <v>23808</v>
      </c>
      <c r="C8559" s="5" t="s">
        <v>36</v>
      </c>
      <c r="D8559" s="5" t="s">
        <v>36</v>
      </c>
      <c r="E8559" s="5" t="s">
        <v>36</v>
      </c>
      <c r="F8559" s="5" t="s">
        <v>36</v>
      </c>
      <c r="G8559" s="6" t="s">
        <v>36</v>
      </c>
      <c r="H8559" s="4">
        <v>280.41</v>
      </c>
      <c r="I8559" s="7">
        <v>12.89</v>
      </c>
      <c r="J8559" s="3" t="s">
        <v>521</v>
      </c>
      <c r="K8559" s="9" t="s">
        <v>36</v>
      </c>
      <c r="L8559" s="6" t="s">
        <v>36</v>
      </c>
      <c r="M8559" s="3" t="s">
        <v>36</v>
      </c>
      <c r="N8559" s="3" t="s">
        <v>36</v>
      </c>
      <c r="O8559" s="8" t="s">
        <v>36</v>
      </c>
      <c r="P8559" s="3" t="s">
        <v>36</v>
      </c>
      <c r="Q8559" s="3" t="s">
        <v>36</v>
      </c>
      <c r="R8559" s="3" t="s">
        <v>36</v>
      </c>
      <c r="S8559" s="3" t="s">
        <v>36</v>
      </c>
      <c r="T8559" s="3" t="s">
        <v>23809</v>
      </c>
      <c r="U8559" s="3" t="s">
        <v>233</v>
      </c>
      <c r="V8559" s="3" t="s">
        <v>39</v>
      </c>
      <c r="W8559" s="3" t="s">
        <v>23810</v>
      </c>
      <c r="X8559" s="10" t="s">
        <v>37207</v>
      </c>
      <c r="Y8559" s="6" t="s">
        <v>42</v>
      </c>
      <c r="Z8559" s="4">
        <v>0.27</v>
      </c>
      <c r="AA8559" s="4">
        <v>2.1</v>
      </c>
      <c r="AB8559" s="3" t="s">
        <v>43</v>
      </c>
      <c r="AC8559" s="3" t="s">
        <v>23812</v>
      </c>
      <c r="AD8559" s="9">
        <v>40836</v>
      </c>
      <c r="AE8559" s="3" t="s">
        <v>12061</v>
      </c>
      <c r="AF8559" s="3" t="s">
        <v>4930</v>
      </c>
      <c r="AG8559" s="3" t="s">
        <v>23813</v>
      </c>
      <c r="AH8559" s="11">
        <f>HYPERLINK("https://my.pitchbook.com?c=135930-34T","View Company Online")</f>
      </c>
    </row>
    <row r="8560">
      <c r="A8560" s="12" t="s">
        <v>37208</v>
      </c>
      <c r="B8560" s="12" t="s">
        <v>37209</v>
      </c>
      <c r="C8560" s="19" t="s">
        <v>36</v>
      </c>
      <c r="D8560" s="19" t="s">
        <v>36</v>
      </c>
      <c r="E8560" s="19" t="s">
        <v>36</v>
      </c>
      <c r="F8560" s="19" t="s">
        <v>36</v>
      </c>
      <c r="G8560" s="15" t="s">
        <v>36</v>
      </c>
      <c r="H8560" s="14" t="s">
        <v>36</v>
      </c>
      <c r="I8560" s="18" t="s">
        <v>36</v>
      </c>
      <c r="J8560" s="12" t="s">
        <v>36</v>
      </c>
      <c r="K8560" s="13" t="s">
        <v>36</v>
      </c>
      <c r="L8560" s="15" t="s">
        <v>36</v>
      </c>
      <c r="M8560" s="12" t="s">
        <v>36</v>
      </c>
      <c r="N8560" s="12" t="s">
        <v>36</v>
      </c>
      <c r="O8560" s="17" t="s">
        <v>36</v>
      </c>
      <c r="P8560" s="12" t="s">
        <v>36</v>
      </c>
      <c r="Q8560" s="12" t="s">
        <v>36</v>
      </c>
      <c r="R8560" s="12" t="s">
        <v>36</v>
      </c>
      <c r="S8560" s="12" t="s">
        <v>36</v>
      </c>
      <c r="T8560" s="12" t="s">
        <v>37210</v>
      </c>
      <c r="U8560" s="12" t="s">
        <v>833</v>
      </c>
      <c r="V8560" s="12" t="s">
        <v>64</v>
      </c>
      <c r="W8560" s="12" t="s">
        <v>37211</v>
      </c>
      <c r="X8560" s="16" t="s">
        <v>37212</v>
      </c>
      <c r="Y8560" s="15" t="s">
        <v>42</v>
      </c>
      <c r="Z8560" s="14">
        <v>2.2</v>
      </c>
      <c r="AA8560" s="14" t="s">
        <v>36</v>
      </c>
      <c r="AB8560" s="12" t="s">
        <v>43</v>
      </c>
      <c r="AC8560" s="12" t="s">
        <v>37213</v>
      </c>
      <c r="AD8560" s="13">
        <v>40835</v>
      </c>
      <c r="AE8560" s="12" t="s">
        <v>1069</v>
      </c>
      <c r="AF8560" s="12" t="s">
        <v>4668</v>
      </c>
      <c r="AG8560" s="12" t="s">
        <v>37214</v>
      </c>
      <c r="AH8560" s="1">
        <f>HYPERLINK("https://my.pitchbook.com?c=35106-13T","View Company Online")</f>
      </c>
    </row>
    <row r="8561">
      <c r="A8561" s="3" t="s">
        <v>37215</v>
      </c>
      <c r="B8561" s="3" t="s">
        <v>30177</v>
      </c>
      <c r="C8561" s="5" t="s">
        <v>36</v>
      </c>
      <c r="D8561" s="5" t="s">
        <v>36</v>
      </c>
      <c r="E8561" s="5" t="s">
        <v>36</v>
      </c>
      <c r="F8561" s="5" t="s">
        <v>36</v>
      </c>
      <c r="G8561" s="6" t="s">
        <v>36</v>
      </c>
      <c r="H8561" s="4">
        <v>51.93</v>
      </c>
      <c r="I8561" s="7">
        <v>45.65</v>
      </c>
      <c r="J8561" s="3" t="s">
        <v>521</v>
      </c>
      <c r="K8561" s="9" t="s">
        <v>36</v>
      </c>
      <c r="L8561" s="6" t="s">
        <v>36</v>
      </c>
      <c r="M8561" s="3" t="s">
        <v>36</v>
      </c>
      <c r="N8561" s="3" t="s">
        <v>36</v>
      </c>
      <c r="O8561" s="8" t="s">
        <v>36</v>
      </c>
      <c r="P8561" s="3" t="s">
        <v>36</v>
      </c>
      <c r="Q8561" s="3" t="s">
        <v>36</v>
      </c>
      <c r="R8561" s="3" t="s">
        <v>36</v>
      </c>
      <c r="S8561" s="3" t="s">
        <v>36</v>
      </c>
      <c r="T8561" s="3" t="s">
        <v>522</v>
      </c>
      <c r="U8561" s="3" t="s">
        <v>38</v>
      </c>
      <c r="V8561" s="3" t="s">
        <v>39</v>
      </c>
      <c r="W8561" s="3" t="s">
        <v>30178</v>
      </c>
      <c r="X8561" s="10" t="s">
        <v>37216</v>
      </c>
      <c r="Y8561" s="6" t="s">
        <v>42</v>
      </c>
      <c r="Z8561" s="4">
        <v>0.57</v>
      </c>
      <c r="AA8561" s="4">
        <v>1.25</v>
      </c>
      <c r="AB8561" s="3" t="s">
        <v>43</v>
      </c>
      <c r="AC8561" s="3" t="s">
        <v>30180</v>
      </c>
      <c r="AD8561" s="9">
        <v>40834</v>
      </c>
      <c r="AE8561" s="3" t="s">
        <v>110</v>
      </c>
      <c r="AF8561" s="3" t="s">
        <v>30181</v>
      </c>
      <c r="AG8561" s="3" t="s">
        <v>81</v>
      </c>
      <c r="AH8561" s="11">
        <f>HYPERLINK("https://my.pitchbook.com?c=51271-12T","View Company Online")</f>
      </c>
    </row>
    <row r="8562">
      <c r="A8562" s="12" t="s">
        <v>37217</v>
      </c>
      <c r="B8562" s="12" t="s">
        <v>37218</v>
      </c>
      <c r="C8562" s="19" t="s">
        <v>36</v>
      </c>
      <c r="D8562" s="19">
        <v>10</v>
      </c>
      <c r="E8562" s="19">
        <v>3</v>
      </c>
      <c r="F8562" s="19">
        <v>15</v>
      </c>
      <c r="G8562" s="15" t="s">
        <v>36</v>
      </c>
      <c r="H8562" s="14">
        <v>82.26</v>
      </c>
      <c r="I8562" s="18">
        <v>20.01</v>
      </c>
      <c r="J8562" s="12" t="s">
        <v>521</v>
      </c>
      <c r="K8562" s="13" t="s">
        <v>36</v>
      </c>
      <c r="L8562" s="15" t="s">
        <v>36</v>
      </c>
      <c r="M8562" s="12" t="s">
        <v>36</v>
      </c>
      <c r="N8562" s="12" t="s">
        <v>36</v>
      </c>
      <c r="O8562" s="17" t="s">
        <v>36</v>
      </c>
      <c r="P8562" s="12" t="s">
        <v>36</v>
      </c>
      <c r="Q8562" s="12" t="s">
        <v>36</v>
      </c>
      <c r="R8562" s="12" t="s">
        <v>36</v>
      </c>
      <c r="S8562" s="12" t="s">
        <v>36</v>
      </c>
      <c r="T8562" s="12" t="s">
        <v>5666</v>
      </c>
      <c r="U8562" s="12" t="s">
        <v>219</v>
      </c>
      <c r="V8562" s="12" t="s">
        <v>75</v>
      </c>
      <c r="W8562" s="12" t="s">
        <v>37219</v>
      </c>
      <c r="X8562" s="16" t="s">
        <v>37220</v>
      </c>
      <c r="Y8562" s="15" t="s">
        <v>42</v>
      </c>
      <c r="Z8562" s="14">
        <v>0.41</v>
      </c>
      <c r="AA8562" s="14">
        <v>1.36</v>
      </c>
      <c r="AB8562" s="12" t="s">
        <v>56</v>
      </c>
      <c r="AC8562" s="12" t="s">
        <v>37221</v>
      </c>
      <c r="AD8562" s="13">
        <v>40833</v>
      </c>
      <c r="AE8562" s="12" t="s">
        <v>223</v>
      </c>
      <c r="AF8562" s="12" t="s">
        <v>601</v>
      </c>
      <c r="AG8562" s="12" t="s">
        <v>37222</v>
      </c>
      <c r="AH8562" s="1">
        <f>HYPERLINK("https://my.pitchbook.com?c=52709-95T","View Company Online")</f>
      </c>
    </row>
    <row r="8563">
      <c r="A8563" s="3" t="s">
        <v>37223</v>
      </c>
      <c r="B8563" s="3" t="s">
        <v>37224</v>
      </c>
      <c r="C8563" s="5" t="s">
        <v>36</v>
      </c>
      <c r="D8563" s="5" t="s">
        <v>36</v>
      </c>
      <c r="E8563" s="5" t="s">
        <v>36</v>
      </c>
      <c r="F8563" s="5" t="s">
        <v>36</v>
      </c>
      <c r="G8563" s="6" t="s">
        <v>36</v>
      </c>
      <c r="H8563" s="4">
        <v>456.97</v>
      </c>
      <c r="I8563" s="7">
        <v>25</v>
      </c>
      <c r="J8563" s="3" t="s">
        <v>521</v>
      </c>
      <c r="K8563" s="9" t="s">
        <v>36</v>
      </c>
      <c r="L8563" s="6" t="s">
        <v>36</v>
      </c>
      <c r="M8563" s="3" t="s">
        <v>36</v>
      </c>
      <c r="N8563" s="3" t="s">
        <v>36</v>
      </c>
      <c r="O8563" s="8" t="s">
        <v>36</v>
      </c>
      <c r="P8563" s="3" t="s">
        <v>36</v>
      </c>
      <c r="Q8563" s="3" t="s">
        <v>36</v>
      </c>
      <c r="R8563" s="3" t="s">
        <v>36</v>
      </c>
      <c r="S8563" s="3" t="s">
        <v>36</v>
      </c>
      <c r="T8563" s="3" t="s">
        <v>105</v>
      </c>
      <c r="U8563" s="3" t="s">
        <v>38</v>
      </c>
      <c r="V8563" s="3" t="s">
        <v>39</v>
      </c>
      <c r="W8563" s="3" t="s">
        <v>37225</v>
      </c>
      <c r="X8563" s="10" t="s">
        <v>37226</v>
      </c>
      <c r="Y8563" s="6" t="s">
        <v>42</v>
      </c>
      <c r="Z8563" s="4">
        <v>0.3</v>
      </c>
      <c r="AA8563" s="4">
        <v>1.19</v>
      </c>
      <c r="AB8563" s="3" t="s">
        <v>56</v>
      </c>
      <c r="AC8563" s="3" t="s">
        <v>37227</v>
      </c>
      <c r="AD8563" s="9">
        <v>40828</v>
      </c>
      <c r="AE8563" s="3" t="s">
        <v>110</v>
      </c>
      <c r="AF8563" s="3" t="s">
        <v>36</v>
      </c>
      <c r="AG8563" s="3" t="s">
        <v>31081</v>
      </c>
      <c r="AH8563" s="11">
        <f>HYPERLINK("https://my.pitchbook.com?c=204311-71T","View Company Online")</f>
      </c>
    </row>
    <row r="8564">
      <c r="A8564" s="12" t="s">
        <v>37228</v>
      </c>
      <c r="B8564" s="12" t="s">
        <v>30730</v>
      </c>
      <c r="C8564" s="19" t="s">
        <v>36</v>
      </c>
      <c r="D8564" s="19" t="s">
        <v>36</v>
      </c>
      <c r="E8564" s="19" t="s">
        <v>36</v>
      </c>
      <c r="F8564" s="19" t="s">
        <v>36</v>
      </c>
      <c r="G8564" s="15" t="s">
        <v>36</v>
      </c>
      <c r="H8564" s="14">
        <v>57.12</v>
      </c>
      <c r="I8564" s="18">
        <v>21.43</v>
      </c>
      <c r="J8564" s="12" t="s">
        <v>521</v>
      </c>
      <c r="K8564" s="13" t="s">
        <v>36</v>
      </c>
      <c r="L8564" s="15" t="s">
        <v>36</v>
      </c>
      <c r="M8564" s="12" t="s">
        <v>36</v>
      </c>
      <c r="N8564" s="12" t="s">
        <v>36</v>
      </c>
      <c r="O8564" s="17" t="s">
        <v>36</v>
      </c>
      <c r="P8564" s="12" t="s">
        <v>36</v>
      </c>
      <c r="Q8564" s="12" t="s">
        <v>36</v>
      </c>
      <c r="R8564" s="12" t="s">
        <v>36</v>
      </c>
      <c r="S8564" s="12" t="s">
        <v>36</v>
      </c>
      <c r="T8564" s="12" t="s">
        <v>105</v>
      </c>
      <c r="U8564" s="12" t="s">
        <v>38</v>
      </c>
      <c r="V8564" s="12" t="s">
        <v>39</v>
      </c>
      <c r="W8564" s="12" t="s">
        <v>30731</v>
      </c>
      <c r="X8564" s="16" t="s">
        <v>37229</v>
      </c>
      <c r="Y8564" s="15" t="s">
        <v>42</v>
      </c>
      <c r="Z8564" s="14">
        <v>2.03</v>
      </c>
      <c r="AA8564" s="14">
        <v>9.48</v>
      </c>
      <c r="AB8564" s="12" t="s">
        <v>56</v>
      </c>
      <c r="AC8564" s="12" t="s">
        <v>30733</v>
      </c>
      <c r="AD8564" s="13">
        <v>40827</v>
      </c>
      <c r="AE8564" s="12" t="s">
        <v>110</v>
      </c>
      <c r="AF8564" s="12" t="s">
        <v>1636</v>
      </c>
      <c r="AG8564" s="12" t="s">
        <v>81</v>
      </c>
      <c r="AH8564" s="1">
        <f>HYPERLINK("https://my.pitchbook.com?c=82871-47T","View Company Online")</f>
      </c>
    </row>
    <row r="8565">
      <c r="A8565" s="3" t="s">
        <v>37230</v>
      </c>
      <c r="B8565" s="3" t="s">
        <v>31791</v>
      </c>
      <c r="C8565" s="5" t="s">
        <v>36</v>
      </c>
      <c r="D8565" s="5" t="s">
        <v>36</v>
      </c>
      <c r="E8565" s="5" t="s">
        <v>36</v>
      </c>
      <c r="F8565" s="5" t="s">
        <v>36</v>
      </c>
      <c r="G8565" s="6" t="s">
        <v>36</v>
      </c>
      <c r="H8565" s="4">
        <v>667.65</v>
      </c>
      <c r="I8565" s="7">
        <v>29.41</v>
      </c>
      <c r="J8565" s="3" t="s">
        <v>521</v>
      </c>
      <c r="K8565" s="9" t="s">
        <v>36</v>
      </c>
      <c r="L8565" s="6" t="s">
        <v>36</v>
      </c>
      <c r="M8565" s="3" t="s">
        <v>36</v>
      </c>
      <c r="N8565" s="3" t="s">
        <v>36</v>
      </c>
      <c r="O8565" s="8" t="s">
        <v>36</v>
      </c>
      <c r="P8565" s="3" t="s">
        <v>36</v>
      </c>
      <c r="Q8565" s="3" t="s">
        <v>36</v>
      </c>
      <c r="R8565" s="3" t="s">
        <v>36</v>
      </c>
      <c r="S8565" s="3" t="s">
        <v>36</v>
      </c>
      <c r="T8565" s="3" t="s">
        <v>4876</v>
      </c>
      <c r="U8565" s="3" t="s">
        <v>1357</v>
      </c>
      <c r="V8565" s="3" t="s">
        <v>52</v>
      </c>
      <c r="W8565" s="3" t="s">
        <v>31792</v>
      </c>
      <c r="X8565" s="10" t="s">
        <v>37231</v>
      </c>
      <c r="Y8565" s="6" t="s">
        <v>42</v>
      </c>
      <c r="Z8565" s="4">
        <v>4.1</v>
      </c>
      <c r="AA8565" s="4">
        <v>13.93</v>
      </c>
      <c r="AB8565" s="3" t="s">
        <v>56</v>
      </c>
      <c r="AC8565" s="3" t="s">
        <v>31794</v>
      </c>
      <c r="AD8565" s="9">
        <v>40819</v>
      </c>
      <c r="AE8565" s="3" t="s">
        <v>2808</v>
      </c>
      <c r="AF8565" s="3" t="s">
        <v>6285</v>
      </c>
      <c r="AG8565" s="3" t="s">
        <v>23999</v>
      </c>
      <c r="AH8565" s="11">
        <f>HYPERLINK("https://my.pitchbook.com?c=88039-36T","View Company Online")</f>
      </c>
    </row>
    <row r="8566">
      <c r="A8566" s="12" t="s">
        <v>37232</v>
      </c>
      <c r="B8566" s="12" t="s">
        <v>37233</v>
      </c>
      <c r="C8566" s="19" t="s">
        <v>36</v>
      </c>
      <c r="D8566" s="19">
        <v>3</v>
      </c>
      <c r="E8566" s="19">
        <v>2</v>
      </c>
      <c r="F8566" s="19">
        <v>3</v>
      </c>
      <c r="G8566" s="15" t="s">
        <v>36</v>
      </c>
      <c r="H8566" s="14" t="s">
        <v>36</v>
      </c>
      <c r="I8566" s="18" t="s">
        <v>36</v>
      </c>
      <c r="J8566" s="12" t="s">
        <v>36</v>
      </c>
      <c r="K8566" s="13" t="s">
        <v>36</v>
      </c>
      <c r="L8566" s="15" t="s">
        <v>36</v>
      </c>
      <c r="M8566" s="12" t="s">
        <v>36</v>
      </c>
      <c r="N8566" s="12" t="s">
        <v>36</v>
      </c>
      <c r="O8566" s="17" t="s">
        <v>36</v>
      </c>
      <c r="P8566" s="12" t="s">
        <v>36</v>
      </c>
      <c r="Q8566" s="12" t="s">
        <v>36</v>
      </c>
      <c r="R8566" s="12" t="s">
        <v>36</v>
      </c>
      <c r="S8566" s="12" t="s">
        <v>36</v>
      </c>
      <c r="T8566" s="12" t="s">
        <v>881</v>
      </c>
      <c r="U8566" s="12" t="s">
        <v>51</v>
      </c>
      <c r="V8566" s="12" t="s">
        <v>52</v>
      </c>
      <c r="W8566" s="12" t="s">
        <v>37234</v>
      </c>
      <c r="X8566" s="16" t="s">
        <v>4018</v>
      </c>
      <c r="Y8566" s="15" t="s">
        <v>42</v>
      </c>
      <c r="Z8566" s="14" t="s">
        <v>36</v>
      </c>
      <c r="AA8566" s="14" t="s">
        <v>36</v>
      </c>
      <c r="AB8566" s="12" t="s">
        <v>43</v>
      </c>
      <c r="AC8566" s="12" t="s">
        <v>37235</v>
      </c>
      <c r="AD8566" s="13">
        <v>40817</v>
      </c>
      <c r="AE8566" s="12" t="s">
        <v>504</v>
      </c>
      <c r="AF8566" s="12" t="s">
        <v>665</v>
      </c>
      <c r="AG8566" s="12" t="s">
        <v>81</v>
      </c>
      <c r="AH8566" s="1">
        <f>HYPERLINK("https://my.pitchbook.com?c=45095-41T","View Company Online")</f>
      </c>
    </row>
    <row r="8567">
      <c r="A8567" s="3" t="s">
        <v>37236</v>
      </c>
      <c r="B8567" s="3" t="s">
        <v>35149</v>
      </c>
      <c r="C8567" s="5" t="s">
        <v>36</v>
      </c>
      <c r="D8567" s="5" t="s">
        <v>36</v>
      </c>
      <c r="E8567" s="5" t="s">
        <v>36</v>
      </c>
      <c r="F8567" s="5" t="s">
        <v>36</v>
      </c>
      <c r="G8567" s="6" t="s">
        <v>36</v>
      </c>
      <c r="H8567" s="4" t="s">
        <v>36</v>
      </c>
      <c r="I8567" s="7" t="s">
        <v>36</v>
      </c>
      <c r="J8567" s="3" t="s">
        <v>36</v>
      </c>
      <c r="K8567" s="9" t="s">
        <v>36</v>
      </c>
      <c r="L8567" s="6" t="s">
        <v>36</v>
      </c>
      <c r="M8567" s="3" t="s">
        <v>36</v>
      </c>
      <c r="N8567" s="3" t="s">
        <v>36</v>
      </c>
      <c r="O8567" s="8" t="s">
        <v>36</v>
      </c>
      <c r="P8567" s="3" t="s">
        <v>36</v>
      </c>
      <c r="Q8567" s="3" t="s">
        <v>36</v>
      </c>
      <c r="R8567" s="3" t="s">
        <v>36</v>
      </c>
      <c r="S8567" s="3" t="s">
        <v>36</v>
      </c>
      <c r="T8567" s="3" t="s">
        <v>3168</v>
      </c>
      <c r="U8567" s="3" t="s">
        <v>289</v>
      </c>
      <c r="V8567" s="3" t="s">
        <v>64</v>
      </c>
      <c r="W8567" s="3" t="s">
        <v>35150</v>
      </c>
      <c r="X8567" s="10" t="s">
        <v>37237</v>
      </c>
      <c r="Y8567" s="6" t="s">
        <v>42</v>
      </c>
      <c r="Z8567" s="4">
        <v>2.74</v>
      </c>
      <c r="AA8567" s="4" t="s">
        <v>36</v>
      </c>
      <c r="AB8567" s="3" t="s">
        <v>43</v>
      </c>
      <c r="AC8567" s="3" t="s">
        <v>35152</v>
      </c>
      <c r="AD8567" s="9">
        <v>40817</v>
      </c>
      <c r="AE8567" s="3" t="s">
        <v>3134</v>
      </c>
      <c r="AF8567" s="3" t="s">
        <v>2118</v>
      </c>
      <c r="AG8567" s="3" t="s">
        <v>35153</v>
      </c>
      <c r="AH8567" s="11">
        <f>HYPERLINK("https://my.pitchbook.com?c=25664-05T","View Company Online")</f>
      </c>
    </row>
    <row r="8568">
      <c r="A8568" s="12" t="s">
        <v>37238</v>
      </c>
      <c r="B8568" s="12" t="s">
        <v>37239</v>
      </c>
      <c r="C8568" s="19" t="s">
        <v>36</v>
      </c>
      <c r="D8568" s="19" t="s">
        <v>36</v>
      </c>
      <c r="E8568" s="19" t="s">
        <v>36</v>
      </c>
      <c r="F8568" s="19" t="s">
        <v>36</v>
      </c>
      <c r="G8568" s="15" t="s">
        <v>326</v>
      </c>
      <c r="H8568" s="14">
        <v>44.66</v>
      </c>
      <c r="I8568" s="18">
        <v>19.31</v>
      </c>
      <c r="J8568" s="12" t="s">
        <v>521</v>
      </c>
      <c r="K8568" s="13" t="s">
        <v>36</v>
      </c>
      <c r="L8568" s="15" t="s">
        <v>36</v>
      </c>
      <c r="M8568" s="12" t="s">
        <v>36</v>
      </c>
      <c r="N8568" s="12" t="s">
        <v>36</v>
      </c>
      <c r="O8568" s="17" t="s">
        <v>36</v>
      </c>
      <c r="P8568" s="12" t="s">
        <v>36</v>
      </c>
      <c r="Q8568" s="12" t="s">
        <v>36</v>
      </c>
      <c r="R8568" s="12" t="s">
        <v>36</v>
      </c>
      <c r="S8568" s="12" t="s">
        <v>36</v>
      </c>
      <c r="T8568" s="12" t="s">
        <v>6532</v>
      </c>
      <c r="U8568" s="12" t="s">
        <v>63</v>
      </c>
      <c r="V8568" s="12" t="s">
        <v>64</v>
      </c>
      <c r="W8568" s="12" t="s">
        <v>37240</v>
      </c>
      <c r="X8568" s="16" t="s">
        <v>37241</v>
      </c>
      <c r="Y8568" s="15" t="s">
        <v>42</v>
      </c>
      <c r="Z8568" s="14">
        <v>0.75</v>
      </c>
      <c r="AA8568" s="14">
        <v>3.88</v>
      </c>
      <c r="AB8568" s="12" t="s">
        <v>56</v>
      </c>
      <c r="AC8568" s="12" t="s">
        <v>37242</v>
      </c>
      <c r="AD8568" s="13">
        <v>40816</v>
      </c>
      <c r="AE8568" s="12" t="s">
        <v>68</v>
      </c>
      <c r="AF8568" s="12" t="s">
        <v>2118</v>
      </c>
      <c r="AG8568" s="12" t="s">
        <v>81</v>
      </c>
      <c r="AH8568" s="1">
        <f>HYPERLINK("https://my.pitchbook.com?c=85013-56T","View Company Online")</f>
      </c>
    </row>
    <row r="8569">
      <c r="A8569" s="3" t="s">
        <v>37243</v>
      </c>
      <c r="B8569" s="3" t="s">
        <v>35965</v>
      </c>
      <c r="C8569" s="5">
        <v>7</v>
      </c>
      <c r="D8569" s="5">
        <v>14</v>
      </c>
      <c r="E8569" s="5">
        <v>8</v>
      </c>
      <c r="F8569" s="5">
        <v>30</v>
      </c>
      <c r="G8569" s="6" t="s">
        <v>326</v>
      </c>
      <c r="H8569" s="4">
        <v>10.66</v>
      </c>
      <c r="I8569" s="7">
        <v>25.54</v>
      </c>
      <c r="J8569" s="3" t="s">
        <v>521</v>
      </c>
      <c r="K8569" s="9" t="s">
        <v>36</v>
      </c>
      <c r="L8569" s="6" t="s">
        <v>1279</v>
      </c>
      <c r="M8569" s="3" t="s">
        <v>36</v>
      </c>
      <c r="N8569" s="3" t="s">
        <v>1279</v>
      </c>
      <c r="O8569" s="8" t="s">
        <v>36</v>
      </c>
      <c r="P8569" s="3" t="s">
        <v>36</v>
      </c>
      <c r="Q8569" s="3" t="s">
        <v>36</v>
      </c>
      <c r="R8569" s="3" t="s">
        <v>36</v>
      </c>
      <c r="S8569" s="3" t="s">
        <v>36</v>
      </c>
      <c r="T8569" s="3" t="s">
        <v>154</v>
      </c>
      <c r="U8569" s="3" t="s">
        <v>51</v>
      </c>
      <c r="V8569" s="3" t="s">
        <v>52</v>
      </c>
      <c r="W8569" s="3" t="s">
        <v>35966</v>
      </c>
      <c r="X8569" s="10" t="s">
        <v>33627</v>
      </c>
      <c r="Y8569" s="6" t="s">
        <v>55</v>
      </c>
      <c r="Z8569" s="4">
        <v>4.84</v>
      </c>
      <c r="AA8569" s="4">
        <v>18.96</v>
      </c>
      <c r="AB8569" s="3" t="s">
        <v>56</v>
      </c>
      <c r="AC8569" s="3" t="s">
        <v>35967</v>
      </c>
      <c r="AD8569" s="9">
        <v>40813</v>
      </c>
      <c r="AE8569" s="3" t="s">
        <v>158</v>
      </c>
      <c r="AF8569" s="3" t="s">
        <v>885</v>
      </c>
      <c r="AG8569" s="3" t="s">
        <v>969</v>
      </c>
      <c r="AH8569" s="11">
        <f>HYPERLINK("https://my.pitchbook.com?c=25260-85T","View Company Online")</f>
      </c>
    </row>
    <row r="8570">
      <c r="A8570" s="12" t="s">
        <v>37244</v>
      </c>
      <c r="B8570" s="12" t="s">
        <v>37245</v>
      </c>
      <c r="C8570" s="19" t="s">
        <v>36</v>
      </c>
      <c r="D8570" s="19" t="s">
        <v>36</v>
      </c>
      <c r="E8570" s="19" t="s">
        <v>36</v>
      </c>
      <c r="F8570" s="19" t="s">
        <v>36</v>
      </c>
      <c r="G8570" s="15" t="s">
        <v>36</v>
      </c>
      <c r="H8570" s="14" t="s">
        <v>36</v>
      </c>
      <c r="I8570" s="18" t="s">
        <v>36</v>
      </c>
      <c r="J8570" s="12" t="s">
        <v>36</v>
      </c>
      <c r="K8570" s="13" t="s">
        <v>36</v>
      </c>
      <c r="L8570" s="15" t="s">
        <v>94</v>
      </c>
      <c r="M8570" s="12" t="s">
        <v>36</v>
      </c>
      <c r="N8570" s="12" t="s">
        <v>94</v>
      </c>
      <c r="O8570" s="17" t="s">
        <v>36</v>
      </c>
      <c r="P8570" s="12" t="s">
        <v>36</v>
      </c>
      <c r="Q8570" s="12" t="s">
        <v>36</v>
      </c>
      <c r="R8570" s="12" t="s">
        <v>36</v>
      </c>
      <c r="S8570" s="12" t="s">
        <v>36</v>
      </c>
      <c r="T8570" s="12" t="s">
        <v>37246</v>
      </c>
      <c r="U8570" s="12" t="s">
        <v>289</v>
      </c>
      <c r="V8570" s="12" t="s">
        <v>64</v>
      </c>
      <c r="W8570" s="12" t="s">
        <v>37247</v>
      </c>
      <c r="X8570" s="16" t="s">
        <v>37248</v>
      </c>
      <c r="Y8570" s="15" t="s">
        <v>108</v>
      </c>
      <c r="Z8570" s="14">
        <v>5.53</v>
      </c>
      <c r="AA8570" s="14" t="s">
        <v>36</v>
      </c>
      <c r="AB8570" s="12" t="s">
        <v>43</v>
      </c>
      <c r="AC8570" s="12" t="s">
        <v>37249</v>
      </c>
      <c r="AD8570" s="13">
        <v>40813</v>
      </c>
      <c r="AE8570" s="12" t="s">
        <v>3134</v>
      </c>
      <c r="AF8570" s="12" t="s">
        <v>36</v>
      </c>
      <c r="AG8570" s="12" t="s">
        <v>81</v>
      </c>
      <c r="AH8570" s="1">
        <f>HYPERLINK("https://my.pitchbook.com?c=29461-69T","View Company Online")</f>
      </c>
    </row>
    <row r="8571">
      <c r="A8571" s="3" t="s">
        <v>37250</v>
      </c>
      <c r="B8571" s="3" t="s">
        <v>37251</v>
      </c>
      <c r="C8571" s="5">
        <v>13</v>
      </c>
      <c r="D8571" s="5">
        <v>47</v>
      </c>
      <c r="E8571" s="5">
        <v>19</v>
      </c>
      <c r="F8571" s="5">
        <v>70</v>
      </c>
      <c r="G8571" s="6" t="s">
        <v>36</v>
      </c>
      <c r="H8571" s="4" t="s">
        <v>36</v>
      </c>
      <c r="I8571" s="7" t="s">
        <v>36</v>
      </c>
      <c r="J8571" s="3" t="s">
        <v>36</v>
      </c>
      <c r="K8571" s="9" t="s">
        <v>36</v>
      </c>
      <c r="L8571" s="6" t="s">
        <v>36</v>
      </c>
      <c r="M8571" s="3" t="s">
        <v>36</v>
      </c>
      <c r="N8571" s="3" t="s">
        <v>36</v>
      </c>
      <c r="O8571" s="8" t="s">
        <v>36</v>
      </c>
      <c r="P8571" s="3" t="s">
        <v>36</v>
      </c>
      <c r="Q8571" s="3" t="s">
        <v>36</v>
      </c>
      <c r="R8571" s="3" t="s">
        <v>36</v>
      </c>
      <c r="S8571" s="3" t="s">
        <v>36</v>
      </c>
      <c r="T8571" s="3" t="s">
        <v>13085</v>
      </c>
      <c r="U8571" s="3" t="s">
        <v>96</v>
      </c>
      <c r="V8571" s="3" t="s">
        <v>52</v>
      </c>
      <c r="W8571" s="3" t="s">
        <v>37252</v>
      </c>
      <c r="X8571" s="10" t="s">
        <v>37253</v>
      </c>
      <c r="Y8571" s="6" t="s">
        <v>55</v>
      </c>
      <c r="Z8571" s="4">
        <v>6.2</v>
      </c>
      <c r="AA8571" s="4" t="s">
        <v>36</v>
      </c>
      <c r="AB8571" s="3" t="s">
        <v>43</v>
      </c>
      <c r="AC8571" s="3" t="s">
        <v>37254</v>
      </c>
      <c r="AD8571" s="9">
        <v>40813</v>
      </c>
      <c r="AE8571" s="3" t="s">
        <v>496</v>
      </c>
      <c r="AF8571" s="3" t="s">
        <v>571</v>
      </c>
      <c r="AG8571" s="3" t="s">
        <v>443</v>
      </c>
      <c r="AH8571" s="11">
        <f>HYPERLINK("https://my.pitchbook.com?c=25466-59T","View Company Online")</f>
      </c>
    </row>
    <row r="8572">
      <c r="A8572" s="12" t="s">
        <v>37255</v>
      </c>
      <c r="B8572" s="12" t="s">
        <v>37256</v>
      </c>
      <c r="C8572" s="19" t="s">
        <v>36</v>
      </c>
      <c r="D8572" s="19" t="s">
        <v>36</v>
      </c>
      <c r="E8572" s="19" t="s">
        <v>36</v>
      </c>
      <c r="F8572" s="19" t="s">
        <v>36</v>
      </c>
      <c r="G8572" s="15" t="s">
        <v>36</v>
      </c>
      <c r="H8572" s="14" t="s">
        <v>36</v>
      </c>
      <c r="I8572" s="18" t="s">
        <v>36</v>
      </c>
      <c r="J8572" s="12" t="s">
        <v>36</v>
      </c>
      <c r="K8572" s="13" t="s">
        <v>36</v>
      </c>
      <c r="L8572" s="15" t="s">
        <v>36</v>
      </c>
      <c r="M8572" s="12" t="s">
        <v>36</v>
      </c>
      <c r="N8572" s="12" t="s">
        <v>36</v>
      </c>
      <c r="O8572" s="17" t="s">
        <v>36</v>
      </c>
      <c r="P8572" s="12" t="s">
        <v>36</v>
      </c>
      <c r="Q8572" s="12" t="s">
        <v>36</v>
      </c>
      <c r="R8572" s="12" t="s">
        <v>36</v>
      </c>
      <c r="S8572" s="12" t="s">
        <v>36</v>
      </c>
      <c r="T8572" s="12" t="s">
        <v>2044</v>
      </c>
      <c r="U8572" s="12" t="s">
        <v>74</v>
      </c>
      <c r="V8572" s="12" t="s">
        <v>75</v>
      </c>
      <c r="W8572" s="12" t="s">
        <v>37257</v>
      </c>
      <c r="X8572" s="16" t="s">
        <v>37258</v>
      </c>
      <c r="Y8572" s="15" t="s">
        <v>42</v>
      </c>
      <c r="Z8572" s="14">
        <v>6.24</v>
      </c>
      <c r="AA8572" s="14" t="s">
        <v>36</v>
      </c>
      <c r="AB8572" s="12" t="s">
        <v>43</v>
      </c>
      <c r="AC8572" s="12" t="s">
        <v>37259</v>
      </c>
      <c r="AD8572" s="13">
        <v>40812</v>
      </c>
      <c r="AE8572" s="12" t="s">
        <v>79</v>
      </c>
      <c r="AF8572" s="12" t="s">
        <v>30365</v>
      </c>
      <c r="AG8572" s="12" t="s">
        <v>81</v>
      </c>
      <c r="AH8572" s="1">
        <f>HYPERLINK("https://my.pitchbook.com?c=34940-71T","View Company Online")</f>
      </c>
    </row>
    <row r="8573">
      <c r="A8573" s="3" t="s">
        <v>37260</v>
      </c>
      <c r="B8573" s="3" t="s">
        <v>37261</v>
      </c>
      <c r="C8573" s="5" t="s">
        <v>36</v>
      </c>
      <c r="D8573" s="5" t="s">
        <v>36</v>
      </c>
      <c r="E8573" s="5" t="s">
        <v>36</v>
      </c>
      <c r="F8573" s="5" t="s">
        <v>36</v>
      </c>
      <c r="G8573" s="6" t="s">
        <v>36</v>
      </c>
      <c r="H8573" s="4" t="s">
        <v>36</v>
      </c>
      <c r="I8573" s="7" t="s">
        <v>36</v>
      </c>
      <c r="J8573" s="3" t="s">
        <v>36</v>
      </c>
      <c r="K8573" s="9">
        <v>40709</v>
      </c>
      <c r="L8573" s="6" t="s">
        <v>36</v>
      </c>
      <c r="M8573" s="3" t="s">
        <v>36</v>
      </c>
      <c r="N8573" s="3" t="s">
        <v>36</v>
      </c>
      <c r="O8573" s="8" t="s">
        <v>36</v>
      </c>
      <c r="P8573" s="3" t="s">
        <v>36</v>
      </c>
      <c r="Q8573" s="3" t="s">
        <v>36</v>
      </c>
      <c r="R8573" s="3" t="s">
        <v>36</v>
      </c>
      <c r="S8573" s="3" t="s">
        <v>36</v>
      </c>
      <c r="T8573" s="3" t="s">
        <v>37262</v>
      </c>
      <c r="U8573" s="3" t="s">
        <v>74</v>
      </c>
      <c r="V8573" s="3" t="s">
        <v>75</v>
      </c>
      <c r="W8573" s="3" t="s">
        <v>37263</v>
      </c>
      <c r="X8573" s="10" t="s">
        <v>37264</v>
      </c>
      <c r="Y8573" s="6" t="s">
        <v>108</v>
      </c>
      <c r="Z8573" s="4">
        <v>2.1</v>
      </c>
      <c r="AA8573" s="4" t="s">
        <v>36</v>
      </c>
      <c r="AB8573" s="3" t="s">
        <v>43</v>
      </c>
      <c r="AC8573" s="3" t="s">
        <v>37265</v>
      </c>
      <c r="AD8573" s="9">
        <v>40806</v>
      </c>
      <c r="AE8573" s="3" t="s">
        <v>30255</v>
      </c>
      <c r="AF8573" s="3" t="s">
        <v>34195</v>
      </c>
      <c r="AG8573" s="3" t="s">
        <v>434</v>
      </c>
      <c r="AH8573" s="11">
        <f>HYPERLINK("https://my.pitchbook.com?c=61285-06T","View Company Online")</f>
      </c>
    </row>
    <row r="8574">
      <c r="A8574" s="12" t="s">
        <v>37266</v>
      </c>
      <c r="B8574" s="12" t="s">
        <v>37267</v>
      </c>
      <c r="C8574" s="19" t="s">
        <v>36</v>
      </c>
      <c r="D8574" s="19" t="s">
        <v>36</v>
      </c>
      <c r="E8574" s="19">
        <v>1</v>
      </c>
      <c r="F8574" s="19">
        <v>1</v>
      </c>
      <c r="G8574" s="15" t="s">
        <v>36</v>
      </c>
      <c r="H8574" s="14" t="s">
        <v>36</v>
      </c>
      <c r="I8574" s="18" t="s">
        <v>36</v>
      </c>
      <c r="J8574" s="12" t="s">
        <v>36</v>
      </c>
      <c r="K8574" s="13" t="s">
        <v>36</v>
      </c>
      <c r="L8574" s="15" t="s">
        <v>36</v>
      </c>
      <c r="M8574" s="12" t="s">
        <v>36</v>
      </c>
      <c r="N8574" s="12" t="s">
        <v>36</v>
      </c>
      <c r="O8574" s="17" t="s">
        <v>36</v>
      </c>
      <c r="P8574" s="12" t="s">
        <v>36</v>
      </c>
      <c r="Q8574" s="12" t="s">
        <v>36</v>
      </c>
      <c r="R8574" s="12" t="s">
        <v>36</v>
      </c>
      <c r="S8574" s="12" t="s">
        <v>36</v>
      </c>
      <c r="T8574" s="12" t="s">
        <v>37268</v>
      </c>
      <c r="U8574" s="12" t="s">
        <v>1798</v>
      </c>
      <c r="V8574" s="12" t="s">
        <v>39</v>
      </c>
      <c r="W8574" s="12" t="s">
        <v>37269</v>
      </c>
      <c r="X8574" s="16" t="s">
        <v>37270</v>
      </c>
      <c r="Y8574" s="15" t="s">
        <v>42</v>
      </c>
      <c r="Z8574" s="14" t="s">
        <v>36</v>
      </c>
      <c r="AA8574" s="14" t="s">
        <v>36</v>
      </c>
      <c r="AB8574" s="12" t="s">
        <v>43</v>
      </c>
      <c r="AC8574" s="12" t="s">
        <v>37271</v>
      </c>
      <c r="AD8574" s="13">
        <v>40805</v>
      </c>
      <c r="AE8574" s="12" t="s">
        <v>1802</v>
      </c>
      <c r="AF8574" s="12" t="s">
        <v>1636</v>
      </c>
      <c r="AG8574" s="12" t="s">
        <v>17723</v>
      </c>
      <c r="AH8574" s="1">
        <f>HYPERLINK("https://my.pitchbook.com?c=35127-82T","View Company Online")</f>
      </c>
    </row>
    <row r="8575">
      <c r="A8575" s="3" t="s">
        <v>37272</v>
      </c>
      <c r="B8575" s="3" t="s">
        <v>37273</v>
      </c>
      <c r="C8575" s="5" t="s">
        <v>36</v>
      </c>
      <c r="D8575" s="5" t="s">
        <v>36</v>
      </c>
      <c r="E8575" s="5" t="s">
        <v>36</v>
      </c>
      <c r="F8575" s="5" t="s">
        <v>36</v>
      </c>
      <c r="G8575" s="6" t="s">
        <v>36</v>
      </c>
      <c r="H8575" s="4" t="s">
        <v>36</v>
      </c>
      <c r="I8575" s="7" t="s">
        <v>36</v>
      </c>
      <c r="J8575" s="3" t="s">
        <v>36</v>
      </c>
      <c r="K8575" s="9">
        <v>40725</v>
      </c>
      <c r="L8575" s="6" t="s">
        <v>122</v>
      </c>
      <c r="M8575" s="3" t="s">
        <v>36</v>
      </c>
      <c r="N8575" s="3" t="s">
        <v>122</v>
      </c>
      <c r="O8575" s="8" t="s">
        <v>36</v>
      </c>
      <c r="P8575" s="3" t="s">
        <v>36</v>
      </c>
      <c r="Q8575" s="3" t="s">
        <v>36</v>
      </c>
      <c r="R8575" s="3" t="s">
        <v>36</v>
      </c>
      <c r="S8575" s="3" t="s">
        <v>36</v>
      </c>
      <c r="T8575" s="3" t="s">
        <v>37274</v>
      </c>
      <c r="U8575" s="3" t="s">
        <v>279</v>
      </c>
      <c r="V8575" s="3" t="s">
        <v>64</v>
      </c>
      <c r="W8575" s="3" t="s">
        <v>37275</v>
      </c>
      <c r="X8575" s="10" t="s">
        <v>87</v>
      </c>
      <c r="Y8575" s="6" t="s">
        <v>42</v>
      </c>
      <c r="Z8575" s="4">
        <v>2.81</v>
      </c>
      <c r="AA8575" s="4" t="s">
        <v>36</v>
      </c>
      <c r="AB8575" s="3" t="s">
        <v>43</v>
      </c>
      <c r="AC8575" s="3" t="s">
        <v>37276</v>
      </c>
      <c r="AD8575" s="9">
        <v>40805</v>
      </c>
      <c r="AE8575" s="3" t="s">
        <v>11826</v>
      </c>
      <c r="AF8575" s="3" t="s">
        <v>1636</v>
      </c>
      <c r="AG8575" s="3" t="s">
        <v>3595</v>
      </c>
      <c r="AH8575" s="11">
        <f>HYPERLINK("https://my.pitchbook.com?c=25410-16T","View Company Online")</f>
      </c>
    </row>
    <row r="8576">
      <c r="A8576" s="12" t="s">
        <v>37277</v>
      </c>
      <c r="B8576" s="12" t="s">
        <v>11005</v>
      </c>
      <c r="C8576" s="19" t="s">
        <v>36</v>
      </c>
      <c r="D8576" s="19" t="s">
        <v>36</v>
      </c>
      <c r="E8576" s="19" t="s">
        <v>36</v>
      </c>
      <c r="F8576" s="19" t="s">
        <v>36</v>
      </c>
      <c r="G8576" s="15" t="s">
        <v>36</v>
      </c>
      <c r="H8576" s="14">
        <v>29.46</v>
      </c>
      <c r="I8576" s="18">
        <v>28.44</v>
      </c>
      <c r="J8576" s="12" t="s">
        <v>521</v>
      </c>
      <c r="K8576" s="13" t="s">
        <v>36</v>
      </c>
      <c r="L8576" s="15" t="s">
        <v>36</v>
      </c>
      <c r="M8576" s="12" t="s">
        <v>36</v>
      </c>
      <c r="N8576" s="12" t="s">
        <v>36</v>
      </c>
      <c r="O8576" s="17" t="s">
        <v>36</v>
      </c>
      <c r="P8576" s="12" t="s">
        <v>36</v>
      </c>
      <c r="Q8576" s="12" t="s">
        <v>36</v>
      </c>
      <c r="R8576" s="12" t="s">
        <v>36</v>
      </c>
      <c r="S8576" s="12" t="s">
        <v>36</v>
      </c>
      <c r="T8576" s="12" t="s">
        <v>11006</v>
      </c>
      <c r="U8576" s="12" t="s">
        <v>279</v>
      </c>
      <c r="V8576" s="12" t="s">
        <v>64</v>
      </c>
      <c r="W8576" s="12" t="s">
        <v>11007</v>
      </c>
      <c r="X8576" s="16" t="s">
        <v>37278</v>
      </c>
      <c r="Y8576" s="15" t="s">
        <v>42</v>
      </c>
      <c r="Z8576" s="14">
        <v>0.45</v>
      </c>
      <c r="AA8576" s="14">
        <v>1.58</v>
      </c>
      <c r="AB8576" s="12" t="s">
        <v>43</v>
      </c>
      <c r="AC8576" s="12" t="s">
        <v>11009</v>
      </c>
      <c r="AD8576" s="13">
        <v>40802</v>
      </c>
      <c r="AE8576" s="12" t="s">
        <v>283</v>
      </c>
      <c r="AF8576" s="12" t="s">
        <v>11010</v>
      </c>
      <c r="AG8576" s="12" t="s">
        <v>969</v>
      </c>
      <c r="AH8576" s="1">
        <f>HYPERLINK("https://my.pitchbook.com?c=46964-17T","View Company Online")</f>
      </c>
    </row>
    <row r="8577">
      <c r="A8577" s="3" t="s">
        <v>37279</v>
      </c>
      <c r="B8577" s="3" t="s">
        <v>37280</v>
      </c>
      <c r="C8577" s="5" t="s">
        <v>36</v>
      </c>
      <c r="D8577" s="5" t="s">
        <v>36</v>
      </c>
      <c r="E8577" s="5" t="s">
        <v>36</v>
      </c>
      <c r="F8577" s="5" t="s">
        <v>36</v>
      </c>
      <c r="G8577" s="6" t="s">
        <v>36</v>
      </c>
      <c r="H8577" s="4" t="s">
        <v>36</v>
      </c>
      <c r="I8577" s="7" t="s">
        <v>36</v>
      </c>
      <c r="J8577" s="3" t="s">
        <v>36</v>
      </c>
      <c r="K8577" s="9" t="s">
        <v>36</v>
      </c>
      <c r="L8577" s="6" t="s">
        <v>36</v>
      </c>
      <c r="M8577" s="3" t="s">
        <v>36</v>
      </c>
      <c r="N8577" s="3" t="s">
        <v>36</v>
      </c>
      <c r="O8577" s="8" t="s">
        <v>36</v>
      </c>
      <c r="P8577" s="3" t="s">
        <v>36</v>
      </c>
      <c r="Q8577" s="3" t="s">
        <v>36</v>
      </c>
      <c r="R8577" s="3" t="s">
        <v>36</v>
      </c>
      <c r="S8577" s="3" t="s">
        <v>36</v>
      </c>
      <c r="T8577" s="3" t="s">
        <v>37281</v>
      </c>
      <c r="U8577" s="3" t="s">
        <v>74</v>
      </c>
      <c r="V8577" s="3" t="s">
        <v>75</v>
      </c>
      <c r="W8577" s="3" t="s">
        <v>37282</v>
      </c>
      <c r="X8577" s="10" t="s">
        <v>37283</v>
      </c>
      <c r="Y8577" s="6" t="s">
        <v>42</v>
      </c>
      <c r="Z8577" s="4">
        <v>1.42</v>
      </c>
      <c r="AA8577" s="4" t="s">
        <v>36</v>
      </c>
      <c r="AB8577" s="3" t="s">
        <v>56</v>
      </c>
      <c r="AC8577" s="3" t="s">
        <v>37284</v>
      </c>
      <c r="AD8577" s="9">
        <v>40800</v>
      </c>
      <c r="AE8577" s="3" t="s">
        <v>79</v>
      </c>
      <c r="AF8577" s="3" t="s">
        <v>35129</v>
      </c>
      <c r="AG8577" s="3" t="s">
        <v>81</v>
      </c>
      <c r="AH8577" s="11">
        <f>HYPERLINK("https://my.pitchbook.com?c=29618-02T","View Company Online")</f>
      </c>
    </row>
    <row r="8578">
      <c r="A8578" s="12" t="s">
        <v>37285</v>
      </c>
      <c r="B8578" s="12" t="s">
        <v>32915</v>
      </c>
      <c r="C8578" s="19" t="s">
        <v>36</v>
      </c>
      <c r="D8578" s="19" t="s">
        <v>36</v>
      </c>
      <c r="E8578" s="19" t="s">
        <v>36</v>
      </c>
      <c r="F8578" s="19" t="s">
        <v>36</v>
      </c>
      <c r="G8578" s="15" t="s">
        <v>36</v>
      </c>
      <c r="H8578" s="14" t="s">
        <v>36</v>
      </c>
      <c r="I8578" s="18" t="s">
        <v>36</v>
      </c>
      <c r="J8578" s="12" t="s">
        <v>36</v>
      </c>
      <c r="K8578" s="13" t="s">
        <v>36</v>
      </c>
      <c r="L8578" s="15" t="s">
        <v>94</v>
      </c>
      <c r="M8578" s="12" t="s">
        <v>36</v>
      </c>
      <c r="N8578" s="12" t="s">
        <v>94</v>
      </c>
      <c r="O8578" s="17" t="s">
        <v>36</v>
      </c>
      <c r="P8578" s="12" t="s">
        <v>36</v>
      </c>
      <c r="Q8578" s="12" t="s">
        <v>36</v>
      </c>
      <c r="R8578" s="12" t="s">
        <v>36</v>
      </c>
      <c r="S8578" s="12" t="s">
        <v>36</v>
      </c>
      <c r="T8578" s="12" t="s">
        <v>123</v>
      </c>
      <c r="U8578" s="12" t="s">
        <v>38</v>
      </c>
      <c r="V8578" s="12" t="s">
        <v>39</v>
      </c>
      <c r="W8578" s="12" t="s">
        <v>32916</v>
      </c>
      <c r="X8578" s="16" t="s">
        <v>37286</v>
      </c>
      <c r="Y8578" s="15" t="s">
        <v>108</v>
      </c>
      <c r="Z8578" s="14">
        <v>14.91</v>
      </c>
      <c r="AA8578" s="14" t="s">
        <v>36</v>
      </c>
      <c r="AB8578" s="12" t="s">
        <v>43</v>
      </c>
      <c r="AC8578" s="12" t="s">
        <v>32918</v>
      </c>
      <c r="AD8578" s="13">
        <v>40799</v>
      </c>
      <c r="AE8578" s="12" t="s">
        <v>110</v>
      </c>
      <c r="AF8578" s="12" t="s">
        <v>4552</v>
      </c>
      <c r="AG8578" s="12" t="s">
        <v>2760</v>
      </c>
      <c r="AH8578" s="1">
        <f>HYPERLINK("https://my.pitchbook.com?c=19168-30T","View Company Online")</f>
      </c>
    </row>
    <row r="8579">
      <c r="A8579" s="3" t="s">
        <v>37287</v>
      </c>
      <c r="B8579" s="3" t="s">
        <v>34066</v>
      </c>
      <c r="C8579" s="5" t="s">
        <v>36</v>
      </c>
      <c r="D8579" s="5" t="s">
        <v>36</v>
      </c>
      <c r="E8579" s="5" t="s">
        <v>36</v>
      </c>
      <c r="F8579" s="5" t="s">
        <v>36</v>
      </c>
      <c r="G8579" s="6" t="s">
        <v>36</v>
      </c>
      <c r="H8579" s="4" t="s">
        <v>36</v>
      </c>
      <c r="I8579" s="7">
        <v>14.85</v>
      </c>
      <c r="J8579" s="3" t="s">
        <v>327</v>
      </c>
      <c r="K8579" s="9" t="s">
        <v>36</v>
      </c>
      <c r="L8579" s="6" t="s">
        <v>122</v>
      </c>
      <c r="M8579" s="3" t="s">
        <v>36</v>
      </c>
      <c r="N8579" s="3" t="s">
        <v>122</v>
      </c>
      <c r="O8579" s="8" t="s">
        <v>36</v>
      </c>
      <c r="P8579" s="3" t="s">
        <v>36</v>
      </c>
      <c r="Q8579" s="3" t="s">
        <v>36</v>
      </c>
      <c r="R8579" s="3" t="s">
        <v>36</v>
      </c>
      <c r="S8579" s="3" t="s">
        <v>36</v>
      </c>
      <c r="T8579" s="3" t="s">
        <v>522</v>
      </c>
      <c r="U8579" s="3" t="s">
        <v>38</v>
      </c>
      <c r="V8579" s="3" t="s">
        <v>39</v>
      </c>
      <c r="W8579" s="3" t="s">
        <v>34067</v>
      </c>
      <c r="X8579" s="10" t="s">
        <v>31631</v>
      </c>
      <c r="Y8579" s="6" t="s">
        <v>55</v>
      </c>
      <c r="Z8579" s="4">
        <v>4.26</v>
      </c>
      <c r="AA8579" s="4">
        <v>28.68</v>
      </c>
      <c r="AB8579" s="3" t="s">
        <v>43</v>
      </c>
      <c r="AC8579" s="3" t="s">
        <v>34069</v>
      </c>
      <c r="AD8579" s="9">
        <v>40799</v>
      </c>
      <c r="AE8579" s="3" t="s">
        <v>110</v>
      </c>
      <c r="AF8579" s="3" t="s">
        <v>1842</v>
      </c>
      <c r="AG8579" s="3" t="s">
        <v>81</v>
      </c>
      <c r="AH8579" s="11">
        <f>HYPERLINK("https://my.pitchbook.com?c=19296-19T","View Company Online")</f>
      </c>
    </row>
    <row r="8580">
      <c r="A8580" s="12" t="s">
        <v>37288</v>
      </c>
      <c r="B8580" s="12" t="s">
        <v>36808</v>
      </c>
      <c r="C8580" s="19" t="s">
        <v>36</v>
      </c>
      <c r="D8580" s="19" t="s">
        <v>36</v>
      </c>
      <c r="E8580" s="19" t="s">
        <v>36</v>
      </c>
      <c r="F8580" s="19" t="s">
        <v>36</v>
      </c>
      <c r="G8580" s="15" t="s">
        <v>36</v>
      </c>
      <c r="H8580" s="14" t="s">
        <v>36</v>
      </c>
      <c r="I8580" s="18" t="s">
        <v>36</v>
      </c>
      <c r="J8580" s="12" t="s">
        <v>36</v>
      </c>
      <c r="K8580" s="13" t="s">
        <v>36</v>
      </c>
      <c r="L8580" s="15" t="s">
        <v>94</v>
      </c>
      <c r="M8580" s="12" t="s">
        <v>36</v>
      </c>
      <c r="N8580" s="12" t="s">
        <v>94</v>
      </c>
      <c r="O8580" s="17" t="s">
        <v>36</v>
      </c>
      <c r="P8580" s="12" t="s">
        <v>36</v>
      </c>
      <c r="Q8580" s="12" t="s">
        <v>36</v>
      </c>
      <c r="R8580" s="12" t="s">
        <v>36</v>
      </c>
      <c r="S8580" s="12" t="s">
        <v>36</v>
      </c>
      <c r="T8580" s="12" t="s">
        <v>29297</v>
      </c>
      <c r="U8580" s="12" t="s">
        <v>51</v>
      </c>
      <c r="V8580" s="12" t="s">
        <v>52</v>
      </c>
      <c r="W8580" s="12" t="s">
        <v>36809</v>
      </c>
      <c r="X8580" s="16" t="s">
        <v>37289</v>
      </c>
      <c r="Y8580" s="15" t="s">
        <v>55</v>
      </c>
      <c r="Z8580" s="14">
        <v>5.01</v>
      </c>
      <c r="AA8580" s="14" t="s">
        <v>36</v>
      </c>
      <c r="AB8580" s="12" t="s">
        <v>43</v>
      </c>
      <c r="AC8580" s="12" t="s">
        <v>36811</v>
      </c>
      <c r="AD8580" s="13">
        <v>40794</v>
      </c>
      <c r="AE8580" s="12" t="s">
        <v>158</v>
      </c>
      <c r="AF8580" s="12" t="s">
        <v>159</v>
      </c>
      <c r="AG8580" s="12" t="s">
        <v>1202</v>
      </c>
      <c r="AH8580" s="1">
        <f>HYPERLINK("https://my.pitchbook.com?c=26184-70T","View Company Online")</f>
      </c>
    </row>
    <row r="8581">
      <c r="A8581" s="3" t="s">
        <v>37290</v>
      </c>
      <c r="B8581" s="3" t="s">
        <v>37291</v>
      </c>
      <c r="C8581" s="5" t="s">
        <v>36</v>
      </c>
      <c r="D8581" s="5" t="s">
        <v>36</v>
      </c>
      <c r="E8581" s="5" t="s">
        <v>36</v>
      </c>
      <c r="F8581" s="5" t="s">
        <v>36</v>
      </c>
      <c r="G8581" s="6" t="s">
        <v>36</v>
      </c>
      <c r="H8581" s="4" t="s">
        <v>36</v>
      </c>
      <c r="I8581" s="7" t="s">
        <v>36</v>
      </c>
      <c r="J8581" s="3" t="s">
        <v>36</v>
      </c>
      <c r="K8581" s="9" t="s">
        <v>36</v>
      </c>
      <c r="L8581" s="6" t="s">
        <v>3736</v>
      </c>
      <c r="M8581" s="3" t="s">
        <v>36</v>
      </c>
      <c r="N8581" s="3" t="s">
        <v>3736</v>
      </c>
      <c r="O8581" s="8" t="s">
        <v>36</v>
      </c>
      <c r="P8581" s="3" t="s">
        <v>36</v>
      </c>
      <c r="Q8581" s="3" t="s">
        <v>36</v>
      </c>
      <c r="R8581" s="3" t="s">
        <v>36</v>
      </c>
      <c r="S8581" s="3" t="s">
        <v>36</v>
      </c>
      <c r="T8581" s="3" t="s">
        <v>37292</v>
      </c>
      <c r="U8581" s="3" t="s">
        <v>38</v>
      </c>
      <c r="V8581" s="3" t="s">
        <v>39</v>
      </c>
      <c r="W8581" s="3" t="s">
        <v>37293</v>
      </c>
      <c r="X8581" s="10" t="s">
        <v>37294</v>
      </c>
      <c r="Y8581" s="6" t="s">
        <v>192</v>
      </c>
      <c r="Z8581" s="4">
        <v>28.32</v>
      </c>
      <c r="AA8581" s="4" t="s">
        <v>36</v>
      </c>
      <c r="AB8581" s="3" t="s">
        <v>56</v>
      </c>
      <c r="AC8581" s="3" t="s">
        <v>37295</v>
      </c>
      <c r="AD8581" s="9">
        <v>40794</v>
      </c>
      <c r="AE8581" s="3" t="s">
        <v>134</v>
      </c>
      <c r="AF8581" s="3" t="s">
        <v>1636</v>
      </c>
      <c r="AG8581" s="3" t="s">
        <v>81</v>
      </c>
      <c r="AH8581" s="11">
        <f>HYPERLINK("https://my.pitchbook.com?c=27040-78T","View Company Online")</f>
      </c>
    </row>
    <row r="8582">
      <c r="A8582" s="12" t="s">
        <v>37296</v>
      </c>
      <c r="B8582" s="12" t="s">
        <v>37297</v>
      </c>
      <c r="C8582" s="19" t="s">
        <v>36</v>
      </c>
      <c r="D8582" s="19" t="s">
        <v>36</v>
      </c>
      <c r="E8582" s="19" t="s">
        <v>36</v>
      </c>
      <c r="F8582" s="19" t="s">
        <v>36</v>
      </c>
      <c r="G8582" s="15" t="s">
        <v>36</v>
      </c>
      <c r="H8582" s="14" t="s">
        <v>36</v>
      </c>
      <c r="I8582" s="18" t="s">
        <v>36</v>
      </c>
      <c r="J8582" s="12" t="s">
        <v>36</v>
      </c>
      <c r="K8582" s="13" t="s">
        <v>36</v>
      </c>
      <c r="L8582" s="15" t="s">
        <v>36</v>
      </c>
      <c r="M8582" s="12" t="s">
        <v>36</v>
      </c>
      <c r="N8582" s="12" t="s">
        <v>36</v>
      </c>
      <c r="O8582" s="17" t="s">
        <v>36</v>
      </c>
      <c r="P8582" s="12" t="s">
        <v>36</v>
      </c>
      <c r="Q8582" s="12" t="s">
        <v>36</v>
      </c>
      <c r="R8582" s="12" t="s">
        <v>36</v>
      </c>
      <c r="S8582" s="12" t="s">
        <v>36</v>
      </c>
      <c r="T8582" s="12" t="s">
        <v>26539</v>
      </c>
      <c r="U8582" s="12" t="s">
        <v>63</v>
      </c>
      <c r="V8582" s="12" t="s">
        <v>64</v>
      </c>
      <c r="W8582" s="12" t="s">
        <v>37298</v>
      </c>
      <c r="X8582" s="16" t="s">
        <v>27657</v>
      </c>
      <c r="Y8582" s="15" t="s">
        <v>42</v>
      </c>
      <c r="Z8582" s="14" t="s">
        <v>36</v>
      </c>
      <c r="AA8582" s="14" t="s">
        <v>36</v>
      </c>
      <c r="AB8582" s="12" t="s">
        <v>43</v>
      </c>
      <c r="AC8582" s="12" t="s">
        <v>37299</v>
      </c>
      <c r="AD8582" s="13">
        <v>40792</v>
      </c>
      <c r="AE8582" s="12" t="s">
        <v>399</v>
      </c>
      <c r="AF8582" s="12" t="s">
        <v>36</v>
      </c>
      <c r="AG8582" s="12" t="s">
        <v>31533</v>
      </c>
      <c r="AH8582" s="1">
        <f>HYPERLINK("https://my.pitchbook.com?c=26724-88T","View Company Online")</f>
      </c>
    </row>
    <row r="8583">
      <c r="A8583" s="3" t="s">
        <v>37300</v>
      </c>
      <c r="B8583" s="3" t="s">
        <v>37301</v>
      </c>
      <c r="C8583" s="5" t="s">
        <v>36</v>
      </c>
      <c r="D8583" s="5" t="s">
        <v>36</v>
      </c>
      <c r="E8583" s="5" t="s">
        <v>36</v>
      </c>
      <c r="F8583" s="5" t="s">
        <v>36</v>
      </c>
      <c r="G8583" s="6" t="s">
        <v>36</v>
      </c>
      <c r="H8583" s="4" t="s">
        <v>36</v>
      </c>
      <c r="I8583" s="7" t="s">
        <v>36</v>
      </c>
      <c r="J8583" s="3" t="s">
        <v>36</v>
      </c>
      <c r="K8583" s="9" t="s">
        <v>36</v>
      </c>
      <c r="L8583" s="6" t="s">
        <v>36</v>
      </c>
      <c r="M8583" s="3" t="s">
        <v>36</v>
      </c>
      <c r="N8583" s="3" t="s">
        <v>36</v>
      </c>
      <c r="O8583" s="8" t="s">
        <v>36</v>
      </c>
      <c r="P8583" s="3" t="s">
        <v>36</v>
      </c>
      <c r="Q8583" s="3" t="s">
        <v>36</v>
      </c>
      <c r="R8583" s="3" t="s">
        <v>36</v>
      </c>
      <c r="S8583" s="3" t="s">
        <v>36</v>
      </c>
      <c r="T8583" s="3" t="s">
        <v>2483</v>
      </c>
      <c r="U8583" s="3" t="s">
        <v>63</v>
      </c>
      <c r="V8583" s="3" t="s">
        <v>64</v>
      </c>
      <c r="W8583" s="3" t="s">
        <v>37302</v>
      </c>
      <c r="X8583" s="10" t="s">
        <v>37303</v>
      </c>
      <c r="Y8583" s="6" t="s">
        <v>42</v>
      </c>
      <c r="Z8583" s="4">
        <v>0.57</v>
      </c>
      <c r="AA8583" s="4" t="s">
        <v>36</v>
      </c>
      <c r="AB8583" s="3" t="s">
        <v>43</v>
      </c>
      <c r="AC8583" s="3" t="s">
        <v>37304</v>
      </c>
      <c r="AD8583" s="9">
        <v>40787</v>
      </c>
      <c r="AE8583" s="3" t="s">
        <v>399</v>
      </c>
      <c r="AF8583" s="3" t="s">
        <v>36</v>
      </c>
      <c r="AG8583" s="3" t="s">
        <v>81</v>
      </c>
      <c r="AH8583" s="11">
        <f>HYPERLINK("https://my.pitchbook.com?c=71528-32T","View Company Online")</f>
      </c>
    </row>
    <row r="8584">
      <c r="A8584" s="12" t="s">
        <v>37305</v>
      </c>
      <c r="B8584" s="12" t="s">
        <v>35016</v>
      </c>
      <c r="C8584" s="19" t="s">
        <v>36</v>
      </c>
      <c r="D8584" s="19" t="s">
        <v>36</v>
      </c>
      <c r="E8584" s="19">
        <v>1</v>
      </c>
      <c r="F8584" s="19">
        <v>1</v>
      </c>
      <c r="G8584" s="15" t="s">
        <v>36</v>
      </c>
      <c r="H8584" s="14" t="s">
        <v>36</v>
      </c>
      <c r="I8584" s="18" t="s">
        <v>36</v>
      </c>
      <c r="J8584" s="12" t="s">
        <v>36</v>
      </c>
      <c r="K8584" s="13" t="s">
        <v>36</v>
      </c>
      <c r="L8584" s="15" t="s">
        <v>122</v>
      </c>
      <c r="M8584" s="12" t="s">
        <v>36</v>
      </c>
      <c r="N8584" s="12" t="s">
        <v>122</v>
      </c>
      <c r="O8584" s="17" t="s">
        <v>36</v>
      </c>
      <c r="P8584" s="12" t="s">
        <v>36</v>
      </c>
      <c r="Q8584" s="12" t="s">
        <v>36</v>
      </c>
      <c r="R8584" s="12" t="s">
        <v>36</v>
      </c>
      <c r="S8584" s="12" t="s">
        <v>36</v>
      </c>
      <c r="T8584" s="12" t="s">
        <v>2044</v>
      </c>
      <c r="U8584" s="12" t="s">
        <v>74</v>
      </c>
      <c r="V8584" s="12" t="s">
        <v>75</v>
      </c>
      <c r="W8584" s="12" t="s">
        <v>35017</v>
      </c>
      <c r="X8584" s="16" t="s">
        <v>25429</v>
      </c>
      <c r="Y8584" s="15" t="s">
        <v>42</v>
      </c>
      <c r="Z8584" s="14">
        <v>3</v>
      </c>
      <c r="AA8584" s="14" t="s">
        <v>36</v>
      </c>
      <c r="AB8584" s="12" t="s">
        <v>43</v>
      </c>
      <c r="AC8584" s="12" t="s">
        <v>35018</v>
      </c>
      <c r="AD8584" s="13">
        <v>40787</v>
      </c>
      <c r="AE8584" s="12" t="s">
        <v>79</v>
      </c>
      <c r="AF8584" s="12" t="s">
        <v>1636</v>
      </c>
      <c r="AG8584" s="12" t="s">
        <v>102</v>
      </c>
      <c r="AH8584" s="1">
        <f>HYPERLINK("https://my.pitchbook.com?c=26560-00T","View Company Online")</f>
      </c>
    </row>
    <row r="8585">
      <c r="A8585" s="3" t="s">
        <v>37306</v>
      </c>
      <c r="B8585" s="3" t="s">
        <v>37307</v>
      </c>
      <c r="C8585" s="5" t="s">
        <v>36</v>
      </c>
      <c r="D8585" s="5" t="s">
        <v>36</v>
      </c>
      <c r="E8585" s="5" t="s">
        <v>36</v>
      </c>
      <c r="F8585" s="5" t="s">
        <v>36</v>
      </c>
      <c r="G8585" s="6" t="s">
        <v>36</v>
      </c>
      <c r="H8585" s="4" t="s">
        <v>36</v>
      </c>
      <c r="I8585" s="7">
        <v>59.26</v>
      </c>
      <c r="J8585" s="3" t="s">
        <v>521</v>
      </c>
      <c r="K8585" s="9" t="s">
        <v>36</v>
      </c>
      <c r="L8585" s="6" t="s">
        <v>36</v>
      </c>
      <c r="M8585" s="3" t="s">
        <v>36</v>
      </c>
      <c r="N8585" s="3" t="s">
        <v>36</v>
      </c>
      <c r="O8585" s="8" t="s">
        <v>36</v>
      </c>
      <c r="P8585" s="3" t="s">
        <v>36</v>
      </c>
      <c r="Q8585" s="3" t="s">
        <v>36</v>
      </c>
      <c r="R8585" s="3" t="s">
        <v>36</v>
      </c>
      <c r="S8585" s="3" t="s">
        <v>36</v>
      </c>
      <c r="T8585" s="3" t="s">
        <v>12057</v>
      </c>
      <c r="U8585" s="3" t="s">
        <v>233</v>
      </c>
      <c r="V8585" s="3" t="s">
        <v>39</v>
      </c>
      <c r="W8585" s="3" t="s">
        <v>37308</v>
      </c>
      <c r="X8585" s="10" t="s">
        <v>37309</v>
      </c>
      <c r="Y8585" s="6" t="s">
        <v>42</v>
      </c>
      <c r="Z8585" s="4">
        <v>1.15</v>
      </c>
      <c r="AA8585" s="4">
        <v>1.94</v>
      </c>
      <c r="AB8585" s="3" t="s">
        <v>43</v>
      </c>
      <c r="AC8585" s="3" t="s">
        <v>37310</v>
      </c>
      <c r="AD8585" s="9">
        <v>40787</v>
      </c>
      <c r="AE8585" s="3" t="s">
        <v>12061</v>
      </c>
      <c r="AF8585" s="3" t="s">
        <v>4552</v>
      </c>
      <c r="AG8585" s="3" t="s">
        <v>37311</v>
      </c>
      <c r="AH8585" s="11">
        <f>HYPERLINK("https://my.pitchbook.com?c=165539-80T","View Company Online")</f>
      </c>
    </row>
    <row r="8586">
      <c r="A8586" s="12" t="s">
        <v>37312</v>
      </c>
      <c r="B8586" s="12" t="s">
        <v>37313</v>
      </c>
      <c r="C8586" s="19" t="s">
        <v>36</v>
      </c>
      <c r="D8586" s="19" t="s">
        <v>36</v>
      </c>
      <c r="E8586" s="19" t="s">
        <v>36</v>
      </c>
      <c r="F8586" s="19" t="s">
        <v>36</v>
      </c>
      <c r="G8586" s="15" t="s">
        <v>36</v>
      </c>
      <c r="H8586" s="14" t="s">
        <v>36</v>
      </c>
      <c r="I8586" s="18" t="s">
        <v>36</v>
      </c>
      <c r="J8586" s="12" t="s">
        <v>36</v>
      </c>
      <c r="K8586" s="13" t="s">
        <v>36</v>
      </c>
      <c r="L8586" s="15" t="s">
        <v>36</v>
      </c>
      <c r="M8586" s="12" t="s">
        <v>36</v>
      </c>
      <c r="N8586" s="12" t="s">
        <v>36</v>
      </c>
      <c r="O8586" s="17" t="s">
        <v>36</v>
      </c>
      <c r="P8586" s="12" t="s">
        <v>36</v>
      </c>
      <c r="Q8586" s="12" t="s">
        <v>36</v>
      </c>
      <c r="R8586" s="12" t="s">
        <v>36</v>
      </c>
      <c r="S8586" s="12" t="s">
        <v>36</v>
      </c>
      <c r="T8586" s="12" t="s">
        <v>37314</v>
      </c>
      <c r="U8586" s="12" t="s">
        <v>233</v>
      </c>
      <c r="V8586" s="12" t="s">
        <v>39</v>
      </c>
      <c r="W8586" s="12" t="s">
        <v>37315</v>
      </c>
      <c r="X8586" s="16" t="s">
        <v>13670</v>
      </c>
      <c r="Y8586" s="15" t="s">
        <v>42</v>
      </c>
      <c r="Z8586" s="14" t="s">
        <v>36</v>
      </c>
      <c r="AA8586" s="14" t="s">
        <v>36</v>
      </c>
      <c r="AB8586" s="12" t="s">
        <v>43</v>
      </c>
      <c r="AC8586" s="12" t="s">
        <v>37316</v>
      </c>
      <c r="AD8586" s="13">
        <v>40787</v>
      </c>
      <c r="AE8586" s="12" t="s">
        <v>12061</v>
      </c>
      <c r="AF8586" s="12" t="s">
        <v>36</v>
      </c>
      <c r="AG8586" s="12" t="s">
        <v>332</v>
      </c>
      <c r="AH8586" s="1">
        <f>HYPERLINK("https://my.pitchbook.com?c=118252-36T","View Company Online")</f>
      </c>
    </row>
    <row r="8587">
      <c r="A8587" s="3" t="s">
        <v>37317</v>
      </c>
      <c r="B8587" s="3" t="s">
        <v>37318</v>
      </c>
      <c r="C8587" s="5">
        <v>1</v>
      </c>
      <c r="D8587" s="5">
        <v>91</v>
      </c>
      <c r="E8587" s="5">
        <v>15</v>
      </c>
      <c r="F8587" s="5">
        <v>124</v>
      </c>
      <c r="G8587" s="6" t="s">
        <v>36</v>
      </c>
      <c r="H8587" s="4" t="s">
        <v>36</v>
      </c>
      <c r="I8587" s="7" t="s">
        <v>36</v>
      </c>
      <c r="J8587" s="3" t="s">
        <v>36</v>
      </c>
      <c r="K8587" s="9" t="s">
        <v>36</v>
      </c>
      <c r="L8587" s="6" t="s">
        <v>3736</v>
      </c>
      <c r="M8587" s="3" t="s">
        <v>36</v>
      </c>
      <c r="N8587" s="3" t="s">
        <v>3736</v>
      </c>
      <c r="O8587" s="8" t="s">
        <v>36</v>
      </c>
      <c r="P8587" s="3" t="s">
        <v>36</v>
      </c>
      <c r="Q8587" s="3" t="s">
        <v>36</v>
      </c>
      <c r="R8587" s="3" t="s">
        <v>36</v>
      </c>
      <c r="S8587" s="3" t="s">
        <v>36</v>
      </c>
      <c r="T8587" s="3" t="s">
        <v>4225</v>
      </c>
      <c r="U8587" s="3" t="s">
        <v>96</v>
      </c>
      <c r="V8587" s="3" t="s">
        <v>52</v>
      </c>
      <c r="W8587" s="3" t="s">
        <v>37319</v>
      </c>
      <c r="X8587" s="10" t="s">
        <v>32975</v>
      </c>
      <c r="Y8587" s="6" t="s">
        <v>192</v>
      </c>
      <c r="Z8587" s="4">
        <v>7.63</v>
      </c>
      <c r="AA8587" s="4" t="s">
        <v>36</v>
      </c>
      <c r="AB8587" s="3" t="s">
        <v>56</v>
      </c>
      <c r="AC8587" s="3" t="s">
        <v>37320</v>
      </c>
      <c r="AD8587" s="9">
        <v>40787</v>
      </c>
      <c r="AE8587" s="3" t="s">
        <v>143</v>
      </c>
      <c r="AF8587" s="3" t="s">
        <v>37321</v>
      </c>
      <c r="AG8587" s="3" t="s">
        <v>28138</v>
      </c>
      <c r="AH8587" s="11">
        <f>HYPERLINK("https://my.pitchbook.com?c=55980-55T","View Company Online")</f>
      </c>
    </row>
    <row r="8588">
      <c r="A8588" s="12" t="s">
        <v>37322</v>
      </c>
      <c r="B8588" s="12" t="s">
        <v>37323</v>
      </c>
      <c r="C8588" s="19">
        <v>1</v>
      </c>
      <c r="D8588" s="19">
        <v>1</v>
      </c>
      <c r="E8588" s="19">
        <v>2</v>
      </c>
      <c r="F8588" s="19">
        <v>6</v>
      </c>
      <c r="G8588" s="15" t="s">
        <v>36</v>
      </c>
      <c r="H8588" s="14" t="s">
        <v>36</v>
      </c>
      <c r="I8588" s="18" t="s">
        <v>36</v>
      </c>
      <c r="J8588" s="12" t="s">
        <v>36</v>
      </c>
      <c r="K8588" s="13" t="s">
        <v>36</v>
      </c>
      <c r="L8588" s="15" t="s">
        <v>36</v>
      </c>
      <c r="M8588" s="12" t="s">
        <v>36</v>
      </c>
      <c r="N8588" s="12" t="s">
        <v>36</v>
      </c>
      <c r="O8588" s="17" t="s">
        <v>36</v>
      </c>
      <c r="P8588" s="12" t="s">
        <v>36</v>
      </c>
      <c r="Q8588" s="12" t="s">
        <v>36</v>
      </c>
      <c r="R8588" s="12" t="s">
        <v>36</v>
      </c>
      <c r="S8588" s="12" t="s">
        <v>36</v>
      </c>
      <c r="T8588" s="12" t="s">
        <v>1036</v>
      </c>
      <c r="U8588" s="12" t="s">
        <v>38</v>
      </c>
      <c r="V8588" s="12" t="s">
        <v>39</v>
      </c>
      <c r="W8588" s="12" t="s">
        <v>37324</v>
      </c>
      <c r="X8588" s="16" t="s">
        <v>37325</v>
      </c>
      <c r="Y8588" s="15" t="s">
        <v>166</v>
      </c>
      <c r="Z8588" s="14">
        <v>2.01</v>
      </c>
      <c r="AA8588" s="14" t="s">
        <v>36</v>
      </c>
      <c r="AB8588" s="12" t="s">
        <v>56</v>
      </c>
      <c r="AC8588" s="12" t="s">
        <v>37326</v>
      </c>
      <c r="AD8588" s="13">
        <v>40787</v>
      </c>
      <c r="AE8588" s="12" t="s">
        <v>45</v>
      </c>
      <c r="AF8588" s="12" t="s">
        <v>17447</v>
      </c>
      <c r="AG8588" s="12" t="s">
        <v>2088</v>
      </c>
      <c r="AH8588" s="1">
        <f>HYPERLINK("https://my.pitchbook.com?c=59637-16T","View Company Online")</f>
      </c>
    </row>
    <row r="8589">
      <c r="A8589" s="3" t="s">
        <v>37327</v>
      </c>
      <c r="B8589" s="3" t="s">
        <v>37328</v>
      </c>
      <c r="C8589" s="5" t="s">
        <v>36</v>
      </c>
      <c r="D8589" s="5" t="s">
        <v>36</v>
      </c>
      <c r="E8589" s="5" t="s">
        <v>36</v>
      </c>
      <c r="F8589" s="5" t="s">
        <v>36</v>
      </c>
      <c r="G8589" s="6" t="s">
        <v>36</v>
      </c>
      <c r="H8589" s="4" t="s">
        <v>36</v>
      </c>
      <c r="I8589" s="7" t="s">
        <v>36</v>
      </c>
      <c r="J8589" s="3" t="s">
        <v>36</v>
      </c>
      <c r="K8589" s="9" t="s">
        <v>36</v>
      </c>
      <c r="L8589" s="6" t="s">
        <v>36</v>
      </c>
      <c r="M8589" s="3" t="s">
        <v>36</v>
      </c>
      <c r="N8589" s="3" t="s">
        <v>36</v>
      </c>
      <c r="O8589" s="8" t="s">
        <v>36</v>
      </c>
      <c r="P8589" s="3" t="s">
        <v>36</v>
      </c>
      <c r="Q8589" s="3" t="s">
        <v>36</v>
      </c>
      <c r="R8589" s="3" t="s">
        <v>36</v>
      </c>
      <c r="S8589" s="3" t="s">
        <v>36</v>
      </c>
      <c r="T8589" s="3" t="s">
        <v>847</v>
      </c>
      <c r="U8589" s="3" t="s">
        <v>279</v>
      </c>
      <c r="V8589" s="3" t="s">
        <v>64</v>
      </c>
      <c r="W8589" s="3" t="s">
        <v>37329</v>
      </c>
      <c r="X8589" s="10" t="s">
        <v>19209</v>
      </c>
      <c r="Y8589" s="6" t="s">
        <v>42</v>
      </c>
      <c r="Z8589" s="4" t="s">
        <v>36</v>
      </c>
      <c r="AA8589" s="4" t="s">
        <v>36</v>
      </c>
      <c r="AB8589" s="3" t="s">
        <v>43</v>
      </c>
      <c r="AC8589" s="3" t="s">
        <v>37330</v>
      </c>
      <c r="AD8589" s="9">
        <v>40787</v>
      </c>
      <c r="AE8589" s="3" t="s">
        <v>851</v>
      </c>
      <c r="AF8589" s="3" t="s">
        <v>36</v>
      </c>
      <c r="AG8589" s="3" t="s">
        <v>382</v>
      </c>
      <c r="AH8589" s="11">
        <f>HYPERLINK("https://my.pitchbook.com?c=123318-10T","View Company Online")</f>
      </c>
    </row>
    <row r="8590">
      <c r="A8590" s="12" t="s">
        <v>37331</v>
      </c>
      <c r="B8590" s="12" t="s">
        <v>18567</v>
      </c>
      <c r="C8590" s="19" t="s">
        <v>36</v>
      </c>
      <c r="D8590" s="19" t="s">
        <v>36</v>
      </c>
      <c r="E8590" s="19" t="s">
        <v>36</v>
      </c>
      <c r="F8590" s="19" t="s">
        <v>36</v>
      </c>
      <c r="G8590" s="15" t="s">
        <v>326</v>
      </c>
      <c r="H8590" s="14">
        <v>25.3</v>
      </c>
      <c r="I8590" s="18">
        <v>52.62</v>
      </c>
      <c r="J8590" s="12" t="s">
        <v>521</v>
      </c>
      <c r="K8590" s="13" t="s">
        <v>36</v>
      </c>
      <c r="L8590" s="15" t="s">
        <v>94</v>
      </c>
      <c r="M8590" s="12" t="s">
        <v>36</v>
      </c>
      <c r="N8590" s="12" t="s">
        <v>94</v>
      </c>
      <c r="O8590" s="17" t="s">
        <v>36</v>
      </c>
      <c r="P8590" s="12" t="s">
        <v>36</v>
      </c>
      <c r="Q8590" s="12" t="s">
        <v>36</v>
      </c>
      <c r="R8590" s="12" t="s">
        <v>36</v>
      </c>
      <c r="S8590" s="12" t="s">
        <v>36</v>
      </c>
      <c r="T8590" s="12" t="s">
        <v>611</v>
      </c>
      <c r="U8590" s="12" t="s">
        <v>38</v>
      </c>
      <c r="V8590" s="12" t="s">
        <v>39</v>
      </c>
      <c r="W8590" s="12" t="s">
        <v>18568</v>
      </c>
      <c r="X8590" s="16" t="s">
        <v>37332</v>
      </c>
      <c r="Y8590" s="15" t="s">
        <v>42</v>
      </c>
      <c r="Z8590" s="14">
        <v>5.46</v>
      </c>
      <c r="AA8590" s="14">
        <v>10.37</v>
      </c>
      <c r="AB8590" s="12" t="s">
        <v>43</v>
      </c>
      <c r="AC8590" s="12" t="s">
        <v>18570</v>
      </c>
      <c r="AD8590" s="13">
        <v>40787</v>
      </c>
      <c r="AE8590" s="12" t="s">
        <v>45</v>
      </c>
      <c r="AF8590" s="12" t="s">
        <v>331</v>
      </c>
      <c r="AG8590" s="12" t="s">
        <v>81</v>
      </c>
      <c r="AH8590" s="1">
        <f>HYPERLINK("https://my.pitchbook.com?c=24541-93T","View Company Online")</f>
      </c>
    </row>
    <row r="8591">
      <c r="A8591" s="3" t="s">
        <v>37333</v>
      </c>
      <c r="B8591" s="3" t="s">
        <v>37334</v>
      </c>
      <c r="C8591" s="5" t="s">
        <v>36</v>
      </c>
      <c r="D8591" s="5">
        <v>5</v>
      </c>
      <c r="E8591" s="5">
        <v>3</v>
      </c>
      <c r="F8591" s="5">
        <v>10</v>
      </c>
      <c r="G8591" s="6" t="s">
        <v>36</v>
      </c>
      <c r="H8591" s="4">
        <v>2.08</v>
      </c>
      <c r="I8591" s="7">
        <v>17.61</v>
      </c>
      <c r="J8591" s="3" t="s">
        <v>521</v>
      </c>
      <c r="K8591" s="9" t="s">
        <v>36</v>
      </c>
      <c r="L8591" s="6" t="s">
        <v>36</v>
      </c>
      <c r="M8591" s="3" t="s">
        <v>36</v>
      </c>
      <c r="N8591" s="3" t="s">
        <v>36</v>
      </c>
      <c r="O8591" s="8" t="s">
        <v>36</v>
      </c>
      <c r="P8591" s="3" t="s">
        <v>36</v>
      </c>
      <c r="Q8591" s="3" t="s">
        <v>36</v>
      </c>
      <c r="R8591" s="3" t="s">
        <v>36</v>
      </c>
      <c r="S8591" s="3" t="s">
        <v>36</v>
      </c>
      <c r="T8591" s="3" t="s">
        <v>105</v>
      </c>
      <c r="U8591" s="3" t="s">
        <v>38</v>
      </c>
      <c r="V8591" s="3" t="s">
        <v>39</v>
      </c>
      <c r="W8591" s="3" t="s">
        <v>37335</v>
      </c>
      <c r="X8591" s="10" t="s">
        <v>37336</v>
      </c>
      <c r="Y8591" s="6" t="s">
        <v>42</v>
      </c>
      <c r="Z8591" s="4">
        <v>0.73</v>
      </c>
      <c r="AA8591" s="4">
        <v>4.17</v>
      </c>
      <c r="AB8591" s="3" t="s">
        <v>43</v>
      </c>
      <c r="AC8591" s="3" t="s">
        <v>37337</v>
      </c>
      <c r="AD8591" s="9">
        <v>40779</v>
      </c>
      <c r="AE8591" s="3" t="s">
        <v>110</v>
      </c>
      <c r="AF8591" s="3" t="s">
        <v>2118</v>
      </c>
      <c r="AG8591" s="3" t="s">
        <v>37338</v>
      </c>
      <c r="AH8591" s="11">
        <f>HYPERLINK("https://my.pitchbook.com?c=83898-37T","View Company Online")</f>
      </c>
    </row>
    <row r="8592">
      <c r="A8592" s="12" t="s">
        <v>37339</v>
      </c>
      <c r="B8592" s="12" t="s">
        <v>35458</v>
      </c>
      <c r="C8592" s="19" t="s">
        <v>36</v>
      </c>
      <c r="D8592" s="19" t="s">
        <v>36</v>
      </c>
      <c r="E8592" s="19" t="s">
        <v>36</v>
      </c>
      <c r="F8592" s="19" t="s">
        <v>36</v>
      </c>
      <c r="G8592" s="15" t="s">
        <v>683</v>
      </c>
      <c r="H8592" s="14">
        <v>25.96</v>
      </c>
      <c r="I8592" s="18">
        <v>30.64</v>
      </c>
      <c r="J8592" s="12" t="s">
        <v>521</v>
      </c>
      <c r="K8592" s="13" t="s">
        <v>36</v>
      </c>
      <c r="L8592" s="15" t="s">
        <v>36</v>
      </c>
      <c r="M8592" s="12" t="s">
        <v>36</v>
      </c>
      <c r="N8592" s="12" t="s">
        <v>36</v>
      </c>
      <c r="O8592" s="17" t="s">
        <v>36</v>
      </c>
      <c r="P8592" s="12" t="s">
        <v>36</v>
      </c>
      <c r="Q8592" s="12" t="s">
        <v>36</v>
      </c>
      <c r="R8592" s="12" t="s">
        <v>36</v>
      </c>
      <c r="S8592" s="12" t="s">
        <v>36</v>
      </c>
      <c r="T8592" s="12" t="s">
        <v>3826</v>
      </c>
      <c r="U8592" s="12" t="s">
        <v>423</v>
      </c>
      <c r="V8592" s="12" t="s">
        <v>64</v>
      </c>
      <c r="W8592" s="12" t="s">
        <v>35459</v>
      </c>
      <c r="X8592" s="16" t="s">
        <v>37340</v>
      </c>
      <c r="Y8592" s="15" t="s">
        <v>108</v>
      </c>
      <c r="Z8592" s="14">
        <v>0.1</v>
      </c>
      <c r="AA8592" s="14">
        <v>0.34</v>
      </c>
      <c r="AB8592" s="12" t="s">
        <v>43</v>
      </c>
      <c r="AC8592" s="12" t="s">
        <v>35461</v>
      </c>
      <c r="AD8592" s="13">
        <v>40765</v>
      </c>
      <c r="AE8592" s="12" t="s">
        <v>1051</v>
      </c>
      <c r="AF8592" s="12" t="s">
        <v>36</v>
      </c>
      <c r="AG8592" s="12" t="s">
        <v>35462</v>
      </c>
      <c r="AH8592" s="1">
        <f>HYPERLINK("https://my.pitchbook.com?c=218495-17T","View Company Online")</f>
      </c>
    </row>
    <row r="8593">
      <c r="A8593" s="3" t="s">
        <v>37341</v>
      </c>
      <c r="B8593" s="3" t="s">
        <v>28831</v>
      </c>
      <c r="C8593" s="5">
        <v>2</v>
      </c>
      <c r="D8593" s="5">
        <v>7</v>
      </c>
      <c r="E8593" s="5">
        <v>3</v>
      </c>
      <c r="F8593" s="5">
        <v>9</v>
      </c>
      <c r="G8593" s="6" t="s">
        <v>36</v>
      </c>
      <c r="H8593" s="4" t="s">
        <v>36</v>
      </c>
      <c r="I8593" s="7" t="s">
        <v>36</v>
      </c>
      <c r="J8593" s="3" t="s">
        <v>36</v>
      </c>
      <c r="K8593" s="9" t="s">
        <v>36</v>
      </c>
      <c r="L8593" s="6" t="s">
        <v>36</v>
      </c>
      <c r="M8593" s="3" t="s">
        <v>36</v>
      </c>
      <c r="N8593" s="3" t="s">
        <v>36</v>
      </c>
      <c r="O8593" s="8" t="s">
        <v>36</v>
      </c>
      <c r="P8593" s="3" t="s">
        <v>36</v>
      </c>
      <c r="Q8593" s="3" t="s">
        <v>36</v>
      </c>
      <c r="R8593" s="3" t="s">
        <v>36</v>
      </c>
      <c r="S8593" s="3" t="s">
        <v>36</v>
      </c>
      <c r="T8593" s="3" t="s">
        <v>3233</v>
      </c>
      <c r="U8593" s="3" t="s">
        <v>219</v>
      </c>
      <c r="V8593" s="3" t="s">
        <v>75</v>
      </c>
      <c r="W8593" s="3" t="s">
        <v>28832</v>
      </c>
      <c r="X8593" s="10" t="s">
        <v>37342</v>
      </c>
      <c r="Y8593" s="6" t="s">
        <v>42</v>
      </c>
      <c r="Z8593" s="4">
        <v>1.57</v>
      </c>
      <c r="AA8593" s="4" t="s">
        <v>36</v>
      </c>
      <c r="AB8593" s="3" t="s">
        <v>43</v>
      </c>
      <c r="AC8593" s="3" t="s">
        <v>28833</v>
      </c>
      <c r="AD8593" s="9">
        <v>40756</v>
      </c>
      <c r="AE8593" s="3" t="s">
        <v>1032</v>
      </c>
      <c r="AF8593" s="3" t="s">
        <v>592</v>
      </c>
      <c r="AG8593" s="3" t="s">
        <v>28834</v>
      </c>
      <c r="AH8593" s="11">
        <f>HYPERLINK("https://my.pitchbook.com?c=63388-36T","View Company Online")</f>
      </c>
    </row>
    <row r="8594">
      <c r="A8594" s="12" t="s">
        <v>37343</v>
      </c>
      <c r="B8594" s="12" t="s">
        <v>35772</v>
      </c>
      <c r="C8594" s="19" t="s">
        <v>36</v>
      </c>
      <c r="D8594" s="19" t="s">
        <v>36</v>
      </c>
      <c r="E8594" s="19" t="s">
        <v>36</v>
      </c>
      <c r="F8594" s="19" t="s">
        <v>36</v>
      </c>
      <c r="G8594" s="15" t="s">
        <v>36</v>
      </c>
      <c r="H8594" s="14" t="s">
        <v>36</v>
      </c>
      <c r="I8594" s="18" t="s">
        <v>36</v>
      </c>
      <c r="J8594" s="12" t="s">
        <v>36</v>
      </c>
      <c r="K8594" s="13" t="s">
        <v>36</v>
      </c>
      <c r="L8594" s="15" t="s">
        <v>36</v>
      </c>
      <c r="M8594" s="12" t="s">
        <v>36</v>
      </c>
      <c r="N8594" s="12" t="s">
        <v>36</v>
      </c>
      <c r="O8594" s="17" t="s">
        <v>36</v>
      </c>
      <c r="P8594" s="12" t="s">
        <v>36</v>
      </c>
      <c r="Q8594" s="12" t="s">
        <v>36</v>
      </c>
      <c r="R8594" s="12" t="s">
        <v>36</v>
      </c>
      <c r="S8594" s="12" t="s">
        <v>36</v>
      </c>
      <c r="T8594" s="12" t="s">
        <v>105</v>
      </c>
      <c r="U8594" s="12" t="s">
        <v>38</v>
      </c>
      <c r="V8594" s="12" t="s">
        <v>39</v>
      </c>
      <c r="W8594" s="12" t="s">
        <v>35773</v>
      </c>
      <c r="X8594" s="16" t="s">
        <v>857</v>
      </c>
      <c r="Y8594" s="15" t="s">
        <v>42</v>
      </c>
      <c r="Z8594" s="14">
        <v>0.71</v>
      </c>
      <c r="AA8594" s="14" t="s">
        <v>36</v>
      </c>
      <c r="AB8594" s="12" t="s">
        <v>43</v>
      </c>
      <c r="AC8594" s="12" t="s">
        <v>35775</v>
      </c>
      <c r="AD8594" s="13">
        <v>40756</v>
      </c>
      <c r="AE8594" s="12" t="s">
        <v>110</v>
      </c>
      <c r="AF8594" s="12" t="s">
        <v>1636</v>
      </c>
      <c r="AG8594" s="12" t="s">
        <v>144</v>
      </c>
      <c r="AH8594" s="1">
        <f>HYPERLINK("https://my.pitchbook.com?c=26322-13T","View Company Online")</f>
      </c>
    </row>
    <row r="8595">
      <c r="A8595" s="3" t="s">
        <v>37344</v>
      </c>
      <c r="B8595" s="3" t="s">
        <v>5706</v>
      </c>
      <c r="C8595" s="5" t="s">
        <v>36</v>
      </c>
      <c r="D8595" s="5" t="s">
        <v>36</v>
      </c>
      <c r="E8595" s="5" t="s">
        <v>36</v>
      </c>
      <c r="F8595" s="5" t="s">
        <v>36</v>
      </c>
      <c r="G8595" s="6" t="s">
        <v>326</v>
      </c>
      <c r="H8595" s="4">
        <v>591.98</v>
      </c>
      <c r="I8595" s="7">
        <v>39.69</v>
      </c>
      <c r="J8595" s="3" t="s">
        <v>521</v>
      </c>
      <c r="K8595" s="9" t="s">
        <v>36</v>
      </c>
      <c r="L8595" s="6" t="s">
        <v>94</v>
      </c>
      <c r="M8595" s="3" t="s">
        <v>36</v>
      </c>
      <c r="N8595" s="3" t="s">
        <v>94</v>
      </c>
      <c r="O8595" s="8" t="s">
        <v>36</v>
      </c>
      <c r="P8595" s="3" t="s">
        <v>36</v>
      </c>
      <c r="Q8595" s="3" t="s">
        <v>36</v>
      </c>
      <c r="R8595" s="3" t="s">
        <v>36</v>
      </c>
      <c r="S8595" s="3" t="s">
        <v>36</v>
      </c>
      <c r="T8595" s="3" t="s">
        <v>5707</v>
      </c>
      <c r="U8595" s="3" t="s">
        <v>279</v>
      </c>
      <c r="V8595" s="3" t="s">
        <v>64</v>
      </c>
      <c r="W8595" s="3" t="s">
        <v>5708</v>
      </c>
      <c r="X8595" s="10" t="s">
        <v>37345</v>
      </c>
      <c r="Y8595" s="6" t="s">
        <v>55</v>
      </c>
      <c r="Z8595" s="4">
        <v>10.72</v>
      </c>
      <c r="AA8595" s="4">
        <v>27.01</v>
      </c>
      <c r="AB8595" s="3" t="s">
        <v>43</v>
      </c>
      <c r="AC8595" s="3" t="s">
        <v>5711</v>
      </c>
      <c r="AD8595" s="9">
        <v>40756</v>
      </c>
      <c r="AE8595" s="3" t="s">
        <v>283</v>
      </c>
      <c r="AF8595" s="3" t="s">
        <v>2363</v>
      </c>
      <c r="AG8595" s="3" t="s">
        <v>81</v>
      </c>
      <c r="AH8595" s="11">
        <f>HYPERLINK("https://my.pitchbook.com?c=28297-72T","View Company Online")</f>
      </c>
    </row>
    <row r="8596">
      <c r="A8596" s="12" t="s">
        <v>37346</v>
      </c>
      <c r="B8596" s="12" t="s">
        <v>37347</v>
      </c>
      <c r="C8596" s="19" t="s">
        <v>36</v>
      </c>
      <c r="D8596" s="19" t="s">
        <v>36</v>
      </c>
      <c r="E8596" s="19" t="s">
        <v>36</v>
      </c>
      <c r="F8596" s="19" t="s">
        <v>36</v>
      </c>
      <c r="G8596" s="15" t="s">
        <v>36</v>
      </c>
      <c r="H8596" s="14" t="s">
        <v>36</v>
      </c>
      <c r="I8596" s="18" t="s">
        <v>36</v>
      </c>
      <c r="J8596" s="12" t="s">
        <v>36</v>
      </c>
      <c r="K8596" s="13" t="s">
        <v>36</v>
      </c>
      <c r="L8596" s="15" t="s">
        <v>36</v>
      </c>
      <c r="M8596" s="12" t="s">
        <v>36</v>
      </c>
      <c r="N8596" s="12" t="s">
        <v>36</v>
      </c>
      <c r="O8596" s="17" t="s">
        <v>36</v>
      </c>
      <c r="P8596" s="12" t="s">
        <v>36</v>
      </c>
      <c r="Q8596" s="12" t="s">
        <v>36</v>
      </c>
      <c r="R8596" s="12" t="s">
        <v>36</v>
      </c>
      <c r="S8596" s="12" t="s">
        <v>36</v>
      </c>
      <c r="T8596" s="12" t="s">
        <v>37348</v>
      </c>
      <c r="U8596" s="12" t="s">
        <v>51</v>
      </c>
      <c r="V8596" s="12" t="s">
        <v>52</v>
      </c>
      <c r="W8596" s="12" t="s">
        <v>37349</v>
      </c>
      <c r="X8596" s="16" t="s">
        <v>37350</v>
      </c>
      <c r="Y8596" s="15" t="s">
        <v>42</v>
      </c>
      <c r="Z8596" s="14">
        <v>7.73</v>
      </c>
      <c r="AA8596" s="14" t="s">
        <v>36</v>
      </c>
      <c r="AB8596" s="12" t="s">
        <v>43</v>
      </c>
      <c r="AC8596" s="12" t="s">
        <v>37351</v>
      </c>
      <c r="AD8596" s="13">
        <v>40753</v>
      </c>
      <c r="AE8596" s="12" t="s">
        <v>2740</v>
      </c>
      <c r="AF8596" s="12" t="s">
        <v>36</v>
      </c>
      <c r="AG8596" s="12" t="s">
        <v>3180</v>
      </c>
      <c r="AH8596" s="1">
        <f>HYPERLINK("https://my.pitchbook.com?c=26290-63T","View Company Online")</f>
      </c>
    </row>
    <row r="8597">
      <c r="A8597" s="3" t="s">
        <v>37352</v>
      </c>
      <c r="B8597" s="3" t="s">
        <v>37353</v>
      </c>
      <c r="C8597" s="5" t="s">
        <v>36</v>
      </c>
      <c r="D8597" s="5" t="s">
        <v>36</v>
      </c>
      <c r="E8597" s="5" t="s">
        <v>36</v>
      </c>
      <c r="F8597" s="5" t="s">
        <v>36</v>
      </c>
      <c r="G8597" s="6" t="s">
        <v>36</v>
      </c>
      <c r="H8597" s="4" t="s">
        <v>36</v>
      </c>
      <c r="I8597" s="7" t="s">
        <v>36</v>
      </c>
      <c r="J8597" s="3" t="s">
        <v>36</v>
      </c>
      <c r="K8597" s="9" t="s">
        <v>36</v>
      </c>
      <c r="L8597" s="6" t="s">
        <v>36</v>
      </c>
      <c r="M8597" s="3" t="s">
        <v>36</v>
      </c>
      <c r="N8597" s="3" t="s">
        <v>36</v>
      </c>
      <c r="O8597" s="8" t="s">
        <v>36</v>
      </c>
      <c r="P8597" s="3" t="s">
        <v>36</v>
      </c>
      <c r="Q8597" s="3" t="s">
        <v>36</v>
      </c>
      <c r="R8597" s="3" t="s">
        <v>36</v>
      </c>
      <c r="S8597" s="3" t="s">
        <v>36</v>
      </c>
      <c r="T8597" s="3" t="s">
        <v>7815</v>
      </c>
      <c r="U8597" s="3" t="s">
        <v>219</v>
      </c>
      <c r="V8597" s="3" t="s">
        <v>75</v>
      </c>
      <c r="W8597" s="3" t="s">
        <v>37354</v>
      </c>
      <c r="X8597" s="10" t="s">
        <v>37355</v>
      </c>
      <c r="Y8597" s="6" t="s">
        <v>108</v>
      </c>
      <c r="Z8597" s="4">
        <v>0.47</v>
      </c>
      <c r="AA8597" s="4" t="s">
        <v>36</v>
      </c>
      <c r="AB8597" s="3" t="s">
        <v>56</v>
      </c>
      <c r="AC8597" s="3" t="s">
        <v>37356</v>
      </c>
      <c r="AD8597" s="9">
        <v>40752</v>
      </c>
      <c r="AE8597" s="3" t="s">
        <v>7093</v>
      </c>
      <c r="AF8597" s="3" t="s">
        <v>1969</v>
      </c>
      <c r="AG8597" s="3" t="s">
        <v>37357</v>
      </c>
      <c r="AH8597" s="11">
        <f>HYPERLINK("https://my.pitchbook.com?c=28662-85T","View Company Online")</f>
      </c>
    </row>
    <row r="8598">
      <c r="A8598" s="12" t="s">
        <v>37358</v>
      </c>
      <c r="B8598" s="12" t="s">
        <v>37359</v>
      </c>
      <c r="C8598" s="19" t="s">
        <v>36</v>
      </c>
      <c r="D8598" s="19" t="s">
        <v>36</v>
      </c>
      <c r="E8598" s="19" t="s">
        <v>36</v>
      </c>
      <c r="F8598" s="19" t="s">
        <v>36</v>
      </c>
      <c r="G8598" s="15" t="s">
        <v>36</v>
      </c>
      <c r="H8598" s="14" t="s">
        <v>36</v>
      </c>
      <c r="I8598" s="18" t="s">
        <v>36</v>
      </c>
      <c r="J8598" s="12" t="s">
        <v>36</v>
      </c>
      <c r="K8598" s="13" t="s">
        <v>36</v>
      </c>
      <c r="L8598" s="15" t="s">
        <v>36</v>
      </c>
      <c r="M8598" s="12" t="s">
        <v>36</v>
      </c>
      <c r="N8598" s="12" t="s">
        <v>36</v>
      </c>
      <c r="O8598" s="17" t="s">
        <v>36</v>
      </c>
      <c r="P8598" s="12" t="s">
        <v>36</v>
      </c>
      <c r="Q8598" s="12" t="s">
        <v>36</v>
      </c>
      <c r="R8598" s="12" t="s">
        <v>36</v>
      </c>
      <c r="S8598" s="12" t="s">
        <v>36</v>
      </c>
      <c r="T8598" s="12" t="s">
        <v>37360</v>
      </c>
      <c r="U8598" s="12" t="s">
        <v>219</v>
      </c>
      <c r="V8598" s="12" t="s">
        <v>75</v>
      </c>
      <c r="W8598" s="12" t="s">
        <v>37361</v>
      </c>
      <c r="X8598" s="16" t="s">
        <v>87</v>
      </c>
      <c r="Y8598" s="15" t="s">
        <v>42</v>
      </c>
      <c r="Z8598" s="14">
        <v>5.72</v>
      </c>
      <c r="AA8598" s="14" t="s">
        <v>36</v>
      </c>
      <c r="AB8598" s="12" t="s">
        <v>43</v>
      </c>
      <c r="AC8598" s="12" t="s">
        <v>37362</v>
      </c>
      <c r="AD8598" s="13">
        <v>40752</v>
      </c>
      <c r="AE8598" s="12" t="s">
        <v>1007</v>
      </c>
      <c r="AF8598" s="12" t="s">
        <v>546</v>
      </c>
      <c r="AG8598" s="12" t="s">
        <v>37363</v>
      </c>
      <c r="AH8598" s="1">
        <f>HYPERLINK("https://my.pitchbook.com?c=28544-32T","View Company Online")</f>
      </c>
    </row>
    <row r="8599">
      <c r="A8599" s="3" t="s">
        <v>37364</v>
      </c>
      <c r="B8599" s="3" t="s">
        <v>31740</v>
      </c>
      <c r="C8599" s="5">
        <v>39</v>
      </c>
      <c r="D8599" s="5">
        <v>144</v>
      </c>
      <c r="E8599" s="5">
        <v>51</v>
      </c>
      <c r="F8599" s="5">
        <v>241</v>
      </c>
      <c r="G8599" s="6" t="s">
        <v>326</v>
      </c>
      <c r="H8599" s="4">
        <v>3.99</v>
      </c>
      <c r="I8599" s="7">
        <v>19.55</v>
      </c>
      <c r="J8599" s="3" t="s">
        <v>521</v>
      </c>
      <c r="K8599" s="9" t="s">
        <v>36</v>
      </c>
      <c r="L8599" s="6" t="s">
        <v>36</v>
      </c>
      <c r="M8599" s="3" t="s">
        <v>36</v>
      </c>
      <c r="N8599" s="3" t="s">
        <v>36</v>
      </c>
      <c r="O8599" s="8" t="s">
        <v>36</v>
      </c>
      <c r="P8599" s="3" t="s">
        <v>36</v>
      </c>
      <c r="Q8599" s="3" t="s">
        <v>36</v>
      </c>
      <c r="R8599" s="3" t="s">
        <v>36</v>
      </c>
      <c r="S8599" s="3" t="s">
        <v>36</v>
      </c>
      <c r="T8599" s="3" t="s">
        <v>4876</v>
      </c>
      <c r="U8599" s="3" t="s">
        <v>1357</v>
      </c>
      <c r="V8599" s="3" t="s">
        <v>52</v>
      </c>
      <c r="W8599" s="3" t="s">
        <v>31741</v>
      </c>
      <c r="X8599" s="10" t="s">
        <v>37365</v>
      </c>
      <c r="Y8599" s="6" t="s">
        <v>55</v>
      </c>
      <c r="Z8599" s="4">
        <v>56.16</v>
      </c>
      <c r="AA8599" s="4">
        <v>287.21</v>
      </c>
      <c r="AB8599" s="3" t="s">
        <v>56</v>
      </c>
      <c r="AC8599" s="3" t="s">
        <v>31743</v>
      </c>
      <c r="AD8599" s="9">
        <v>40749</v>
      </c>
      <c r="AE8599" s="3" t="s">
        <v>2808</v>
      </c>
      <c r="AF8599" s="3" t="s">
        <v>665</v>
      </c>
      <c r="AG8599" s="3" t="s">
        <v>13998</v>
      </c>
      <c r="AH8599" s="11">
        <f>HYPERLINK("https://my.pitchbook.com?c=29083-06T","View Company Online")</f>
      </c>
    </row>
    <row r="8600">
      <c r="A8600" s="12" t="s">
        <v>37366</v>
      </c>
      <c r="B8600" s="12" t="s">
        <v>37367</v>
      </c>
      <c r="C8600" s="19" t="s">
        <v>36</v>
      </c>
      <c r="D8600" s="19" t="s">
        <v>36</v>
      </c>
      <c r="E8600" s="19" t="s">
        <v>36</v>
      </c>
      <c r="F8600" s="19" t="s">
        <v>36</v>
      </c>
      <c r="G8600" s="15" t="s">
        <v>36</v>
      </c>
      <c r="H8600" s="14" t="s">
        <v>36</v>
      </c>
      <c r="I8600" s="18" t="s">
        <v>36</v>
      </c>
      <c r="J8600" s="12" t="s">
        <v>36</v>
      </c>
      <c r="K8600" s="13" t="s">
        <v>36</v>
      </c>
      <c r="L8600" s="15" t="s">
        <v>36</v>
      </c>
      <c r="M8600" s="12" t="s">
        <v>36</v>
      </c>
      <c r="N8600" s="12" t="s">
        <v>36</v>
      </c>
      <c r="O8600" s="17" t="s">
        <v>36</v>
      </c>
      <c r="P8600" s="12" t="s">
        <v>36</v>
      </c>
      <c r="Q8600" s="12" t="s">
        <v>36</v>
      </c>
      <c r="R8600" s="12" t="s">
        <v>36</v>
      </c>
      <c r="S8600" s="12" t="s">
        <v>36</v>
      </c>
      <c r="T8600" s="12" t="s">
        <v>37368</v>
      </c>
      <c r="U8600" s="12" t="s">
        <v>38</v>
      </c>
      <c r="V8600" s="12" t="s">
        <v>39</v>
      </c>
      <c r="W8600" s="12" t="s">
        <v>37369</v>
      </c>
      <c r="X8600" s="16" t="s">
        <v>37370</v>
      </c>
      <c r="Y8600" s="15" t="s">
        <v>42</v>
      </c>
      <c r="Z8600" s="14" t="s">
        <v>36</v>
      </c>
      <c r="AA8600" s="14" t="s">
        <v>36</v>
      </c>
      <c r="AB8600" s="12" t="s">
        <v>43</v>
      </c>
      <c r="AC8600" s="12" t="s">
        <v>37371</v>
      </c>
      <c r="AD8600" s="13">
        <v>40749</v>
      </c>
      <c r="AE8600" s="12" t="s">
        <v>1330</v>
      </c>
      <c r="AF8600" s="12" t="s">
        <v>17475</v>
      </c>
      <c r="AG8600" s="12" t="s">
        <v>1353</v>
      </c>
      <c r="AH8600" s="1">
        <f>HYPERLINK("https://my.pitchbook.com?c=34182-91T","View Company Online")</f>
      </c>
    </row>
    <row r="8601">
      <c r="A8601" s="3" t="s">
        <v>37372</v>
      </c>
      <c r="B8601" s="3" t="s">
        <v>35395</v>
      </c>
      <c r="C8601" s="5">
        <v>4</v>
      </c>
      <c r="D8601" s="5">
        <v>14</v>
      </c>
      <c r="E8601" s="5">
        <v>8</v>
      </c>
      <c r="F8601" s="5">
        <v>21</v>
      </c>
      <c r="G8601" s="6" t="s">
        <v>36</v>
      </c>
      <c r="H8601" s="4">
        <v>157.51</v>
      </c>
      <c r="I8601" s="7">
        <v>28.57</v>
      </c>
      <c r="J8601" s="3" t="s">
        <v>521</v>
      </c>
      <c r="K8601" s="9" t="s">
        <v>36</v>
      </c>
      <c r="L8601" s="6" t="s">
        <v>36</v>
      </c>
      <c r="M8601" s="3" t="s">
        <v>36</v>
      </c>
      <c r="N8601" s="3" t="s">
        <v>36</v>
      </c>
      <c r="O8601" s="8" t="s">
        <v>36</v>
      </c>
      <c r="P8601" s="3" t="s">
        <v>36</v>
      </c>
      <c r="Q8601" s="3" t="s">
        <v>36</v>
      </c>
      <c r="R8601" s="3" t="s">
        <v>36</v>
      </c>
      <c r="S8601" s="3" t="s">
        <v>36</v>
      </c>
      <c r="T8601" s="3" t="s">
        <v>35396</v>
      </c>
      <c r="U8601" s="3" t="s">
        <v>318</v>
      </c>
      <c r="V8601" s="3" t="s">
        <v>39</v>
      </c>
      <c r="W8601" s="3" t="s">
        <v>35397</v>
      </c>
      <c r="X8601" s="10" t="s">
        <v>31108</v>
      </c>
      <c r="Y8601" s="6" t="s">
        <v>42</v>
      </c>
      <c r="Z8601" s="4">
        <v>1.14</v>
      </c>
      <c r="AA8601" s="4">
        <v>4</v>
      </c>
      <c r="AB8601" s="3" t="s">
        <v>43</v>
      </c>
      <c r="AC8601" s="3" t="s">
        <v>35398</v>
      </c>
      <c r="AD8601" s="9">
        <v>40744</v>
      </c>
      <c r="AE8601" s="3" t="s">
        <v>417</v>
      </c>
      <c r="AF8601" s="3" t="s">
        <v>35399</v>
      </c>
      <c r="AG8601" s="3" t="s">
        <v>35400</v>
      </c>
      <c r="AH8601" s="11">
        <f>HYPERLINK("https://my.pitchbook.com?c=93157-75T","View Company Online")</f>
      </c>
    </row>
    <row r="8602">
      <c r="A8602" s="12" t="s">
        <v>37373</v>
      </c>
      <c r="B8602" s="12" t="s">
        <v>36053</v>
      </c>
      <c r="C8602" s="19" t="s">
        <v>36</v>
      </c>
      <c r="D8602" s="19" t="s">
        <v>36</v>
      </c>
      <c r="E8602" s="19" t="s">
        <v>36</v>
      </c>
      <c r="F8602" s="19" t="s">
        <v>36</v>
      </c>
      <c r="G8602" s="15" t="s">
        <v>36</v>
      </c>
      <c r="H8602" s="14">
        <v>135.28</v>
      </c>
      <c r="I8602" s="18">
        <v>25.37</v>
      </c>
      <c r="J8602" s="12" t="s">
        <v>521</v>
      </c>
      <c r="K8602" s="13">
        <v>40708</v>
      </c>
      <c r="L8602" s="15" t="s">
        <v>36</v>
      </c>
      <c r="M8602" s="12" t="s">
        <v>36</v>
      </c>
      <c r="N8602" s="12" t="s">
        <v>36</v>
      </c>
      <c r="O8602" s="17" t="s">
        <v>36</v>
      </c>
      <c r="P8602" s="12" t="s">
        <v>36</v>
      </c>
      <c r="Q8602" s="12" t="s">
        <v>36</v>
      </c>
      <c r="R8602" s="12" t="s">
        <v>36</v>
      </c>
      <c r="S8602" s="12" t="s">
        <v>36</v>
      </c>
      <c r="T8602" s="12" t="s">
        <v>36054</v>
      </c>
      <c r="U8602" s="12" t="s">
        <v>38</v>
      </c>
      <c r="V8602" s="12" t="s">
        <v>39</v>
      </c>
      <c r="W8602" s="12" t="s">
        <v>36055</v>
      </c>
      <c r="X8602" s="16" t="s">
        <v>37374</v>
      </c>
      <c r="Y8602" s="15" t="s">
        <v>42</v>
      </c>
      <c r="Z8602" s="14">
        <v>0.91</v>
      </c>
      <c r="AA8602" s="14">
        <v>3.61</v>
      </c>
      <c r="AB8602" s="12" t="s">
        <v>43</v>
      </c>
      <c r="AC8602" s="12" t="s">
        <v>36057</v>
      </c>
      <c r="AD8602" s="13">
        <v>40744</v>
      </c>
      <c r="AE8602" s="12" t="s">
        <v>110</v>
      </c>
      <c r="AF8602" s="12" t="s">
        <v>1636</v>
      </c>
      <c r="AG8602" s="12" t="s">
        <v>81</v>
      </c>
      <c r="AH8602" s="1">
        <f>HYPERLINK("https://my.pitchbook.com?c=24590-89T","View Company Online")</f>
      </c>
    </row>
    <row r="8603">
      <c r="A8603" s="3" t="s">
        <v>37375</v>
      </c>
      <c r="B8603" s="3" t="s">
        <v>37376</v>
      </c>
      <c r="C8603" s="5" t="s">
        <v>36</v>
      </c>
      <c r="D8603" s="5" t="s">
        <v>36</v>
      </c>
      <c r="E8603" s="5" t="s">
        <v>36</v>
      </c>
      <c r="F8603" s="5" t="s">
        <v>36</v>
      </c>
      <c r="G8603" s="6" t="s">
        <v>36</v>
      </c>
      <c r="H8603" s="4" t="s">
        <v>36</v>
      </c>
      <c r="I8603" s="7" t="s">
        <v>36</v>
      </c>
      <c r="J8603" s="3" t="s">
        <v>36</v>
      </c>
      <c r="K8603" s="9" t="s">
        <v>36</v>
      </c>
      <c r="L8603" s="6" t="s">
        <v>36</v>
      </c>
      <c r="M8603" s="3" t="s">
        <v>36</v>
      </c>
      <c r="N8603" s="3" t="s">
        <v>36</v>
      </c>
      <c r="O8603" s="8" t="s">
        <v>36</v>
      </c>
      <c r="P8603" s="3" t="s">
        <v>36</v>
      </c>
      <c r="Q8603" s="3" t="s">
        <v>36</v>
      </c>
      <c r="R8603" s="3" t="s">
        <v>36</v>
      </c>
      <c r="S8603" s="3" t="s">
        <v>36</v>
      </c>
      <c r="T8603" s="3" t="s">
        <v>847</v>
      </c>
      <c r="U8603" s="3" t="s">
        <v>279</v>
      </c>
      <c r="V8603" s="3" t="s">
        <v>64</v>
      </c>
      <c r="W8603" s="3" t="s">
        <v>37377</v>
      </c>
      <c r="X8603" s="10" t="s">
        <v>26888</v>
      </c>
      <c r="Y8603" s="6" t="s">
        <v>42</v>
      </c>
      <c r="Z8603" s="4">
        <v>0.8</v>
      </c>
      <c r="AA8603" s="4" t="s">
        <v>36</v>
      </c>
      <c r="AB8603" s="3" t="s">
        <v>43</v>
      </c>
      <c r="AC8603" s="3" t="s">
        <v>37378</v>
      </c>
      <c r="AD8603" s="9">
        <v>40743</v>
      </c>
      <c r="AE8603" s="3" t="s">
        <v>851</v>
      </c>
      <c r="AF8603" s="3" t="s">
        <v>4552</v>
      </c>
      <c r="AG8603" s="3" t="s">
        <v>81</v>
      </c>
      <c r="AH8603" s="11">
        <f>HYPERLINK("https://my.pitchbook.com?c=26099-56T","View Company Online")</f>
      </c>
    </row>
    <row r="8604">
      <c r="A8604" s="12" t="s">
        <v>37379</v>
      </c>
      <c r="B8604" s="12" t="s">
        <v>34555</v>
      </c>
      <c r="C8604" s="19" t="s">
        <v>36</v>
      </c>
      <c r="D8604" s="19" t="s">
        <v>36</v>
      </c>
      <c r="E8604" s="19" t="s">
        <v>36</v>
      </c>
      <c r="F8604" s="19" t="s">
        <v>36</v>
      </c>
      <c r="G8604" s="15" t="s">
        <v>36</v>
      </c>
      <c r="H8604" s="14" t="s">
        <v>36</v>
      </c>
      <c r="I8604" s="18" t="s">
        <v>36</v>
      </c>
      <c r="J8604" s="12" t="s">
        <v>36</v>
      </c>
      <c r="K8604" s="13" t="s">
        <v>36</v>
      </c>
      <c r="L8604" s="15" t="s">
        <v>36</v>
      </c>
      <c r="M8604" s="12" t="s">
        <v>36</v>
      </c>
      <c r="N8604" s="12" t="s">
        <v>36</v>
      </c>
      <c r="O8604" s="17" t="s">
        <v>36</v>
      </c>
      <c r="P8604" s="12" t="s">
        <v>36</v>
      </c>
      <c r="Q8604" s="12" t="s">
        <v>36</v>
      </c>
      <c r="R8604" s="12" t="s">
        <v>36</v>
      </c>
      <c r="S8604" s="12" t="s">
        <v>36</v>
      </c>
      <c r="T8604" s="12" t="s">
        <v>34556</v>
      </c>
      <c r="U8604" s="12" t="s">
        <v>74</v>
      </c>
      <c r="V8604" s="12" t="s">
        <v>75</v>
      </c>
      <c r="W8604" s="12" t="s">
        <v>34557</v>
      </c>
      <c r="X8604" s="16" t="s">
        <v>37380</v>
      </c>
      <c r="Y8604" s="15" t="s">
        <v>42</v>
      </c>
      <c r="Z8604" s="14">
        <v>1.57</v>
      </c>
      <c r="AA8604" s="14" t="s">
        <v>36</v>
      </c>
      <c r="AB8604" s="12" t="s">
        <v>43</v>
      </c>
      <c r="AC8604" s="12" t="s">
        <v>34558</v>
      </c>
      <c r="AD8604" s="13">
        <v>40743</v>
      </c>
      <c r="AE8604" s="12" t="s">
        <v>79</v>
      </c>
      <c r="AF8604" s="12" t="s">
        <v>34559</v>
      </c>
      <c r="AG8604" s="12" t="s">
        <v>3250</v>
      </c>
      <c r="AH8604" s="1">
        <f>HYPERLINK("https://my.pitchbook.com?c=28560-34T","View Company Online")</f>
      </c>
    </row>
    <row r="8605">
      <c r="A8605" s="3" t="s">
        <v>37381</v>
      </c>
      <c r="B8605" s="3" t="s">
        <v>37382</v>
      </c>
      <c r="C8605" s="5" t="s">
        <v>36</v>
      </c>
      <c r="D8605" s="5" t="s">
        <v>36</v>
      </c>
      <c r="E8605" s="5" t="s">
        <v>36</v>
      </c>
      <c r="F8605" s="5" t="s">
        <v>36</v>
      </c>
      <c r="G8605" s="6" t="s">
        <v>36</v>
      </c>
      <c r="H8605" s="4">
        <v>1.7</v>
      </c>
      <c r="I8605" s="7">
        <v>18.71</v>
      </c>
      <c r="J8605" s="3" t="s">
        <v>521</v>
      </c>
      <c r="K8605" s="9" t="s">
        <v>36</v>
      </c>
      <c r="L8605" s="6" t="s">
        <v>36</v>
      </c>
      <c r="M8605" s="3" t="s">
        <v>36</v>
      </c>
      <c r="N8605" s="3" t="s">
        <v>36</v>
      </c>
      <c r="O8605" s="8" t="s">
        <v>36</v>
      </c>
      <c r="P8605" s="3" t="s">
        <v>36</v>
      </c>
      <c r="Q8605" s="3" t="s">
        <v>36</v>
      </c>
      <c r="R8605" s="3" t="s">
        <v>36</v>
      </c>
      <c r="S8605" s="3" t="s">
        <v>36</v>
      </c>
      <c r="T8605" s="3" t="s">
        <v>2044</v>
      </c>
      <c r="U8605" s="3" t="s">
        <v>74</v>
      </c>
      <c r="V8605" s="3" t="s">
        <v>75</v>
      </c>
      <c r="W8605" s="3" t="s">
        <v>37383</v>
      </c>
      <c r="X8605" s="10" t="s">
        <v>37384</v>
      </c>
      <c r="Y8605" s="6" t="s">
        <v>108</v>
      </c>
      <c r="Z8605" s="4">
        <v>0.92</v>
      </c>
      <c r="AA8605" s="4">
        <v>3.06</v>
      </c>
      <c r="AB8605" s="3" t="s">
        <v>56</v>
      </c>
      <c r="AC8605" s="3" t="s">
        <v>37385</v>
      </c>
      <c r="AD8605" s="9">
        <v>40738</v>
      </c>
      <c r="AE8605" s="3" t="s">
        <v>79</v>
      </c>
      <c r="AF8605" s="3" t="s">
        <v>1636</v>
      </c>
      <c r="AG8605" s="3" t="s">
        <v>81</v>
      </c>
      <c r="AH8605" s="11">
        <f>HYPERLINK("https://my.pitchbook.com?c=30393-64T","View Company Online")</f>
      </c>
    </row>
    <row r="8606">
      <c r="A8606" s="12" t="s">
        <v>37386</v>
      </c>
      <c r="B8606" s="12" t="s">
        <v>13371</v>
      </c>
      <c r="C8606" s="19" t="s">
        <v>36</v>
      </c>
      <c r="D8606" s="19" t="s">
        <v>36</v>
      </c>
      <c r="E8606" s="19" t="s">
        <v>36</v>
      </c>
      <c r="F8606" s="19" t="s">
        <v>36</v>
      </c>
      <c r="G8606" s="15" t="s">
        <v>36</v>
      </c>
      <c r="H8606" s="14" t="s">
        <v>36</v>
      </c>
      <c r="I8606" s="18" t="s">
        <v>36</v>
      </c>
      <c r="J8606" s="12" t="s">
        <v>36</v>
      </c>
      <c r="K8606" s="13" t="s">
        <v>36</v>
      </c>
      <c r="L8606" s="15" t="s">
        <v>36</v>
      </c>
      <c r="M8606" s="12" t="s">
        <v>36</v>
      </c>
      <c r="N8606" s="12" t="s">
        <v>36</v>
      </c>
      <c r="O8606" s="17" t="s">
        <v>36</v>
      </c>
      <c r="P8606" s="12" t="s">
        <v>36</v>
      </c>
      <c r="Q8606" s="12" t="s">
        <v>36</v>
      </c>
      <c r="R8606" s="12" t="s">
        <v>36</v>
      </c>
      <c r="S8606" s="12" t="s">
        <v>36</v>
      </c>
      <c r="T8606" s="12" t="s">
        <v>13372</v>
      </c>
      <c r="U8606" s="12" t="s">
        <v>438</v>
      </c>
      <c r="V8606" s="12" t="s">
        <v>405</v>
      </c>
      <c r="W8606" s="12" t="s">
        <v>13373</v>
      </c>
      <c r="X8606" s="16" t="s">
        <v>37387</v>
      </c>
      <c r="Y8606" s="15" t="s">
        <v>42</v>
      </c>
      <c r="Z8606" s="14">
        <v>1.22</v>
      </c>
      <c r="AA8606" s="14" t="s">
        <v>36</v>
      </c>
      <c r="AB8606" s="12" t="s">
        <v>43</v>
      </c>
      <c r="AC8606" s="12" t="s">
        <v>13375</v>
      </c>
      <c r="AD8606" s="13">
        <v>40735</v>
      </c>
      <c r="AE8606" s="12" t="s">
        <v>442</v>
      </c>
      <c r="AF8606" s="12" t="s">
        <v>9736</v>
      </c>
      <c r="AG8606" s="12" t="s">
        <v>81</v>
      </c>
      <c r="AH8606" s="1">
        <f>HYPERLINK("https://my.pitchbook.com?c=85142-53T","View Company Online")</f>
      </c>
    </row>
    <row r="8607">
      <c r="A8607" s="3" t="s">
        <v>37388</v>
      </c>
      <c r="B8607" s="3" t="s">
        <v>37389</v>
      </c>
      <c r="C8607" s="5" t="s">
        <v>36</v>
      </c>
      <c r="D8607" s="5" t="s">
        <v>36</v>
      </c>
      <c r="E8607" s="5" t="s">
        <v>36</v>
      </c>
      <c r="F8607" s="5" t="s">
        <v>36</v>
      </c>
      <c r="G8607" s="6" t="s">
        <v>36</v>
      </c>
      <c r="H8607" s="4" t="s">
        <v>36</v>
      </c>
      <c r="I8607" s="7" t="s">
        <v>36</v>
      </c>
      <c r="J8607" s="3" t="s">
        <v>36</v>
      </c>
      <c r="K8607" s="9" t="s">
        <v>36</v>
      </c>
      <c r="L8607" s="6" t="s">
        <v>36</v>
      </c>
      <c r="M8607" s="3" t="s">
        <v>36</v>
      </c>
      <c r="N8607" s="3" t="s">
        <v>36</v>
      </c>
      <c r="O8607" s="8" t="s">
        <v>36</v>
      </c>
      <c r="P8607" s="3" t="s">
        <v>36</v>
      </c>
      <c r="Q8607" s="3" t="s">
        <v>36</v>
      </c>
      <c r="R8607" s="3" t="s">
        <v>36</v>
      </c>
      <c r="S8607" s="3" t="s">
        <v>36</v>
      </c>
      <c r="T8607" s="3" t="s">
        <v>29023</v>
      </c>
      <c r="U8607" s="3" t="s">
        <v>833</v>
      </c>
      <c r="V8607" s="3" t="s">
        <v>64</v>
      </c>
      <c r="W8607" s="3" t="s">
        <v>37390</v>
      </c>
      <c r="X8607" s="10" t="s">
        <v>23852</v>
      </c>
      <c r="Y8607" s="6" t="s">
        <v>42</v>
      </c>
      <c r="Z8607" s="4" t="s">
        <v>36</v>
      </c>
      <c r="AA8607" s="4" t="s">
        <v>36</v>
      </c>
      <c r="AB8607" s="3" t="s">
        <v>56</v>
      </c>
      <c r="AC8607" s="3" t="s">
        <v>37391</v>
      </c>
      <c r="AD8607" s="9">
        <v>40733</v>
      </c>
      <c r="AE8607" s="3" t="s">
        <v>3615</v>
      </c>
      <c r="AF8607" s="3" t="s">
        <v>37392</v>
      </c>
      <c r="AG8607" s="3" t="s">
        <v>899</v>
      </c>
      <c r="AH8607" s="11">
        <f>HYPERLINK("https://my.pitchbook.com?c=25983-10T","View Company Online")</f>
      </c>
    </row>
    <row r="8608">
      <c r="A8608" s="12" t="s">
        <v>37393</v>
      </c>
      <c r="B8608" s="12" t="s">
        <v>27614</v>
      </c>
      <c r="C8608" s="19" t="s">
        <v>36</v>
      </c>
      <c r="D8608" s="19" t="s">
        <v>36</v>
      </c>
      <c r="E8608" s="19" t="s">
        <v>36</v>
      </c>
      <c r="F8608" s="19" t="s">
        <v>36</v>
      </c>
      <c r="G8608" s="15" t="s">
        <v>326</v>
      </c>
      <c r="H8608" s="14">
        <v>3.88</v>
      </c>
      <c r="I8608" s="18">
        <v>21.14</v>
      </c>
      <c r="J8608" s="12" t="s">
        <v>521</v>
      </c>
      <c r="K8608" s="13">
        <v>40725</v>
      </c>
      <c r="L8608" s="15" t="s">
        <v>36</v>
      </c>
      <c r="M8608" s="12" t="s">
        <v>36</v>
      </c>
      <c r="N8608" s="12" t="s">
        <v>36</v>
      </c>
      <c r="O8608" s="17" t="s">
        <v>36</v>
      </c>
      <c r="P8608" s="12" t="s">
        <v>36</v>
      </c>
      <c r="Q8608" s="12" t="s">
        <v>36</v>
      </c>
      <c r="R8608" s="12" t="s">
        <v>36</v>
      </c>
      <c r="S8608" s="12" t="s">
        <v>36</v>
      </c>
      <c r="T8608" s="12" t="s">
        <v>522</v>
      </c>
      <c r="U8608" s="12" t="s">
        <v>38</v>
      </c>
      <c r="V8608" s="12" t="s">
        <v>39</v>
      </c>
      <c r="W8608" s="12" t="s">
        <v>27615</v>
      </c>
      <c r="X8608" s="16" t="s">
        <v>33014</v>
      </c>
      <c r="Y8608" s="15" t="s">
        <v>108</v>
      </c>
      <c r="Z8608" s="14">
        <v>1.78</v>
      </c>
      <c r="AA8608" s="14">
        <v>8.44</v>
      </c>
      <c r="AB8608" s="12" t="s">
        <v>43</v>
      </c>
      <c r="AC8608" s="12" t="s">
        <v>27617</v>
      </c>
      <c r="AD8608" s="13">
        <v>40730</v>
      </c>
      <c r="AE8608" s="12" t="s">
        <v>110</v>
      </c>
      <c r="AF8608" s="12" t="s">
        <v>3172</v>
      </c>
      <c r="AG8608" s="12" t="s">
        <v>186</v>
      </c>
      <c r="AH8608" s="1">
        <f>HYPERLINK("https://my.pitchbook.com?c=24525-82T","View Company Online")</f>
      </c>
    </row>
    <row r="8609">
      <c r="A8609" s="3" t="s">
        <v>37394</v>
      </c>
      <c r="B8609" s="3" t="s">
        <v>31149</v>
      </c>
      <c r="C8609" s="5" t="s">
        <v>36</v>
      </c>
      <c r="D8609" s="5" t="s">
        <v>36</v>
      </c>
      <c r="E8609" s="5" t="s">
        <v>36</v>
      </c>
      <c r="F8609" s="5" t="s">
        <v>36</v>
      </c>
      <c r="G8609" s="6" t="s">
        <v>36</v>
      </c>
      <c r="H8609" s="4" t="s">
        <v>36</v>
      </c>
      <c r="I8609" s="7" t="s">
        <v>36</v>
      </c>
      <c r="J8609" s="3" t="s">
        <v>36</v>
      </c>
      <c r="K8609" s="9" t="s">
        <v>36</v>
      </c>
      <c r="L8609" s="6" t="s">
        <v>36</v>
      </c>
      <c r="M8609" s="3" t="s">
        <v>36</v>
      </c>
      <c r="N8609" s="3" t="s">
        <v>36</v>
      </c>
      <c r="O8609" s="8" t="s">
        <v>36</v>
      </c>
      <c r="P8609" s="3" t="s">
        <v>36</v>
      </c>
      <c r="Q8609" s="3" t="s">
        <v>36</v>
      </c>
      <c r="R8609" s="3" t="s">
        <v>36</v>
      </c>
      <c r="S8609" s="3" t="s">
        <v>36</v>
      </c>
      <c r="T8609" s="3" t="s">
        <v>31150</v>
      </c>
      <c r="U8609" s="3" t="s">
        <v>74</v>
      </c>
      <c r="V8609" s="3" t="s">
        <v>75</v>
      </c>
      <c r="W8609" s="3" t="s">
        <v>31151</v>
      </c>
      <c r="X8609" s="10" t="s">
        <v>37395</v>
      </c>
      <c r="Y8609" s="6" t="s">
        <v>42</v>
      </c>
      <c r="Z8609" s="4">
        <v>0.58</v>
      </c>
      <c r="AA8609" s="4" t="s">
        <v>36</v>
      </c>
      <c r="AB8609" s="3" t="s">
        <v>56</v>
      </c>
      <c r="AC8609" s="3" t="s">
        <v>31152</v>
      </c>
      <c r="AD8609" s="9">
        <v>40730</v>
      </c>
      <c r="AE8609" s="3" t="s">
        <v>1243</v>
      </c>
      <c r="AF8609" s="3" t="s">
        <v>18230</v>
      </c>
      <c r="AG8609" s="3" t="s">
        <v>31153</v>
      </c>
      <c r="AH8609" s="11">
        <f>HYPERLINK("https://my.pitchbook.com?c=29638-81T","View Company Online")</f>
      </c>
    </row>
    <row r="8610">
      <c r="A8610" s="12" t="s">
        <v>37396</v>
      </c>
      <c r="B8610" s="12" t="s">
        <v>35526</v>
      </c>
      <c r="C8610" s="19">
        <v>3</v>
      </c>
      <c r="D8610" s="19">
        <v>82</v>
      </c>
      <c r="E8610" s="19">
        <v>34</v>
      </c>
      <c r="F8610" s="19">
        <v>182</v>
      </c>
      <c r="G8610" s="15" t="s">
        <v>36</v>
      </c>
      <c r="H8610" s="14" t="s">
        <v>36</v>
      </c>
      <c r="I8610" s="18" t="s">
        <v>36</v>
      </c>
      <c r="J8610" s="12" t="s">
        <v>36</v>
      </c>
      <c r="K8610" s="13" t="s">
        <v>36</v>
      </c>
      <c r="L8610" s="15" t="s">
        <v>36</v>
      </c>
      <c r="M8610" s="12" t="s">
        <v>36</v>
      </c>
      <c r="N8610" s="12" t="s">
        <v>36</v>
      </c>
      <c r="O8610" s="17" t="s">
        <v>36</v>
      </c>
      <c r="P8610" s="12" t="s">
        <v>36</v>
      </c>
      <c r="Q8610" s="12" t="s">
        <v>36</v>
      </c>
      <c r="R8610" s="12" t="s">
        <v>36</v>
      </c>
      <c r="S8610" s="12" t="s">
        <v>36</v>
      </c>
      <c r="T8610" s="12" t="s">
        <v>7773</v>
      </c>
      <c r="U8610" s="12" t="s">
        <v>96</v>
      </c>
      <c r="V8610" s="12" t="s">
        <v>52</v>
      </c>
      <c r="W8610" s="12" t="s">
        <v>35527</v>
      </c>
      <c r="X8610" s="16" t="s">
        <v>37397</v>
      </c>
      <c r="Y8610" s="15" t="s">
        <v>42</v>
      </c>
      <c r="Z8610" s="14">
        <v>5</v>
      </c>
      <c r="AA8610" s="14" t="s">
        <v>36</v>
      </c>
      <c r="AB8610" s="12" t="s">
        <v>43</v>
      </c>
      <c r="AC8610" s="12" t="s">
        <v>35529</v>
      </c>
      <c r="AD8610" s="13">
        <v>40730</v>
      </c>
      <c r="AE8610" s="12" t="s">
        <v>143</v>
      </c>
      <c r="AF8610" s="12" t="s">
        <v>16640</v>
      </c>
      <c r="AG8610" s="12" t="s">
        <v>29872</v>
      </c>
      <c r="AH8610" s="1">
        <f>HYPERLINK("https://my.pitchbook.com?c=25841-80T","View Company Online")</f>
      </c>
    </row>
    <row r="8611">
      <c r="A8611" s="3" t="s">
        <v>37398</v>
      </c>
      <c r="B8611" s="3" t="s">
        <v>37399</v>
      </c>
      <c r="C8611" s="5" t="s">
        <v>36</v>
      </c>
      <c r="D8611" s="5">
        <v>8</v>
      </c>
      <c r="E8611" s="5">
        <v>4</v>
      </c>
      <c r="F8611" s="5">
        <v>8</v>
      </c>
      <c r="G8611" s="6" t="s">
        <v>36</v>
      </c>
      <c r="H8611" s="4" t="s">
        <v>36</v>
      </c>
      <c r="I8611" s="7" t="s">
        <v>36</v>
      </c>
      <c r="J8611" s="3" t="s">
        <v>36</v>
      </c>
      <c r="K8611" s="9" t="s">
        <v>36</v>
      </c>
      <c r="L8611" s="6" t="s">
        <v>36</v>
      </c>
      <c r="M8611" s="3" t="s">
        <v>36</v>
      </c>
      <c r="N8611" s="3" t="s">
        <v>36</v>
      </c>
      <c r="O8611" s="8" t="s">
        <v>36</v>
      </c>
      <c r="P8611" s="3" t="s">
        <v>36</v>
      </c>
      <c r="Q8611" s="3" t="s">
        <v>36</v>
      </c>
      <c r="R8611" s="3" t="s">
        <v>36</v>
      </c>
      <c r="S8611" s="3" t="s">
        <v>36</v>
      </c>
      <c r="T8611" s="3" t="s">
        <v>11136</v>
      </c>
      <c r="U8611" s="3" t="s">
        <v>219</v>
      </c>
      <c r="V8611" s="3" t="s">
        <v>75</v>
      </c>
      <c r="W8611" s="3" t="s">
        <v>37400</v>
      </c>
      <c r="X8611" s="10" t="s">
        <v>37401</v>
      </c>
      <c r="Y8611" s="6" t="s">
        <v>42</v>
      </c>
      <c r="Z8611" s="4">
        <v>8.63</v>
      </c>
      <c r="AA8611" s="4" t="s">
        <v>36</v>
      </c>
      <c r="AB8611" s="3" t="s">
        <v>56</v>
      </c>
      <c r="AC8611" s="3" t="s">
        <v>37402</v>
      </c>
      <c r="AD8611" s="9">
        <v>40729</v>
      </c>
      <c r="AE8611" s="3" t="s">
        <v>1007</v>
      </c>
      <c r="AF8611" s="3" t="s">
        <v>546</v>
      </c>
      <c r="AG8611" s="3" t="s">
        <v>81</v>
      </c>
      <c r="AH8611" s="11">
        <f>HYPERLINK("https://my.pitchbook.com?c=39178-45T","View Company Online")</f>
      </c>
    </row>
    <row r="8612">
      <c r="A8612" s="12" t="s">
        <v>37403</v>
      </c>
      <c r="B8612" s="12" t="s">
        <v>37404</v>
      </c>
      <c r="C8612" s="19" t="s">
        <v>36</v>
      </c>
      <c r="D8612" s="19" t="s">
        <v>36</v>
      </c>
      <c r="E8612" s="19" t="s">
        <v>36</v>
      </c>
      <c r="F8612" s="19" t="s">
        <v>36</v>
      </c>
      <c r="G8612" s="15" t="s">
        <v>36</v>
      </c>
      <c r="H8612" s="14" t="s">
        <v>36</v>
      </c>
      <c r="I8612" s="18" t="s">
        <v>36</v>
      </c>
      <c r="J8612" s="12" t="s">
        <v>36</v>
      </c>
      <c r="K8612" s="13" t="s">
        <v>36</v>
      </c>
      <c r="L8612" s="15" t="s">
        <v>36</v>
      </c>
      <c r="M8612" s="12" t="s">
        <v>36</v>
      </c>
      <c r="N8612" s="12" t="s">
        <v>36</v>
      </c>
      <c r="O8612" s="17" t="s">
        <v>36</v>
      </c>
      <c r="P8612" s="12" t="s">
        <v>36</v>
      </c>
      <c r="Q8612" s="12" t="s">
        <v>36</v>
      </c>
      <c r="R8612" s="12" t="s">
        <v>36</v>
      </c>
      <c r="S8612" s="12" t="s">
        <v>36</v>
      </c>
      <c r="T8612" s="12" t="s">
        <v>27664</v>
      </c>
      <c r="U8612" s="12" t="s">
        <v>648</v>
      </c>
      <c r="V8612" s="12" t="s">
        <v>64</v>
      </c>
      <c r="W8612" s="12" t="s">
        <v>37405</v>
      </c>
      <c r="X8612" s="16" t="s">
        <v>37406</v>
      </c>
      <c r="Y8612" s="15" t="s">
        <v>108</v>
      </c>
      <c r="Z8612" s="14">
        <v>3.45</v>
      </c>
      <c r="AA8612" s="14" t="s">
        <v>36</v>
      </c>
      <c r="AB8612" s="12" t="s">
        <v>43</v>
      </c>
      <c r="AC8612" s="12" t="s">
        <v>37407</v>
      </c>
      <c r="AD8612" s="13">
        <v>40729</v>
      </c>
      <c r="AE8612" s="12" t="s">
        <v>651</v>
      </c>
      <c r="AF8612" s="12" t="s">
        <v>4552</v>
      </c>
      <c r="AG8612" s="12" t="s">
        <v>400</v>
      </c>
      <c r="AH8612" s="1">
        <f>HYPERLINK("https://my.pitchbook.com?c=29993-68T","View Company Online")</f>
      </c>
    </row>
    <row r="8613">
      <c r="A8613" s="3" t="s">
        <v>37408</v>
      </c>
      <c r="B8613" s="3" t="s">
        <v>28113</v>
      </c>
      <c r="C8613" s="5" t="s">
        <v>36</v>
      </c>
      <c r="D8613" s="5" t="s">
        <v>36</v>
      </c>
      <c r="E8613" s="5" t="s">
        <v>36</v>
      </c>
      <c r="F8613" s="5" t="s">
        <v>36</v>
      </c>
      <c r="G8613" s="6" t="s">
        <v>36</v>
      </c>
      <c r="H8613" s="4" t="s">
        <v>36</v>
      </c>
      <c r="I8613" s="7" t="s">
        <v>36</v>
      </c>
      <c r="J8613" s="3" t="s">
        <v>36</v>
      </c>
      <c r="K8613" s="9" t="s">
        <v>36</v>
      </c>
      <c r="L8613" s="6" t="s">
        <v>94</v>
      </c>
      <c r="M8613" s="3" t="s">
        <v>36</v>
      </c>
      <c r="N8613" s="3" t="s">
        <v>94</v>
      </c>
      <c r="O8613" s="8" t="s">
        <v>36</v>
      </c>
      <c r="P8613" s="3" t="s">
        <v>36</v>
      </c>
      <c r="Q8613" s="3" t="s">
        <v>36</v>
      </c>
      <c r="R8613" s="3" t="s">
        <v>36</v>
      </c>
      <c r="S8613" s="3" t="s">
        <v>36</v>
      </c>
      <c r="T8613" s="3" t="s">
        <v>4225</v>
      </c>
      <c r="U8613" s="3" t="s">
        <v>96</v>
      </c>
      <c r="V8613" s="3" t="s">
        <v>52</v>
      </c>
      <c r="W8613" s="3" t="s">
        <v>28114</v>
      </c>
      <c r="X8613" s="10" t="s">
        <v>37409</v>
      </c>
      <c r="Y8613" s="6" t="s">
        <v>55</v>
      </c>
      <c r="Z8613" s="4">
        <v>19.01</v>
      </c>
      <c r="AA8613" s="4" t="s">
        <v>36</v>
      </c>
      <c r="AB8613" s="3" t="s">
        <v>56</v>
      </c>
      <c r="AC8613" s="3" t="s">
        <v>28115</v>
      </c>
      <c r="AD8613" s="9">
        <v>40729</v>
      </c>
      <c r="AE8613" s="3" t="s">
        <v>143</v>
      </c>
      <c r="AF8613" s="3" t="s">
        <v>159</v>
      </c>
      <c r="AG8613" s="3" t="s">
        <v>2636</v>
      </c>
      <c r="AH8613" s="11">
        <f>HYPERLINK("https://my.pitchbook.com?c=24599-80T","View Company Online")</f>
      </c>
    </row>
    <row r="8614">
      <c r="A8614" s="12" t="s">
        <v>37410</v>
      </c>
      <c r="B8614" s="12" t="s">
        <v>37411</v>
      </c>
      <c r="C8614" s="19" t="s">
        <v>36</v>
      </c>
      <c r="D8614" s="19" t="s">
        <v>36</v>
      </c>
      <c r="E8614" s="19" t="s">
        <v>36</v>
      </c>
      <c r="F8614" s="19" t="s">
        <v>36</v>
      </c>
      <c r="G8614" s="15" t="s">
        <v>36</v>
      </c>
      <c r="H8614" s="14" t="s">
        <v>36</v>
      </c>
      <c r="I8614" s="18" t="s">
        <v>36</v>
      </c>
      <c r="J8614" s="12" t="s">
        <v>36</v>
      </c>
      <c r="K8614" s="13" t="s">
        <v>36</v>
      </c>
      <c r="L8614" s="15" t="s">
        <v>36</v>
      </c>
      <c r="M8614" s="12" t="s">
        <v>36</v>
      </c>
      <c r="N8614" s="12" t="s">
        <v>36</v>
      </c>
      <c r="O8614" s="17" t="s">
        <v>36</v>
      </c>
      <c r="P8614" s="12" t="s">
        <v>36</v>
      </c>
      <c r="Q8614" s="12" t="s">
        <v>36</v>
      </c>
      <c r="R8614" s="12" t="s">
        <v>36</v>
      </c>
      <c r="S8614" s="12" t="s">
        <v>36</v>
      </c>
      <c r="T8614" s="12" t="s">
        <v>684</v>
      </c>
      <c r="U8614" s="12" t="s">
        <v>38</v>
      </c>
      <c r="V8614" s="12" t="s">
        <v>39</v>
      </c>
      <c r="W8614" s="12" t="s">
        <v>37412</v>
      </c>
      <c r="X8614" s="16" t="s">
        <v>37413</v>
      </c>
      <c r="Y8614" s="15" t="s">
        <v>55</v>
      </c>
      <c r="Z8614" s="14">
        <v>3.88</v>
      </c>
      <c r="AA8614" s="14" t="s">
        <v>36</v>
      </c>
      <c r="AB8614" s="12" t="s">
        <v>43</v>
      </c>
      <c r="AC8614" s="12" t="s">
        <v>37414</v>
      </c>
      <c r="AD8614" s="13">
        <v>40729</v>
      </c>
      <c r="AE8614" s="12" t="s">
        <v>688</v>
      </c>
      <c r="AF8614" s="12" t="s">
        <v>1636</v>
      </c>
      <c r="AG8614" s="12" t="s">
        <v>81</v>
      </c>
      <c r="AH8614" s="1">
        <f>HYPERLINK("https://my.pitchbook.com?c=31512-88T","View Company Online")</f>
      </c>
    </row>
    <row r="8615">
      <c r="A8615" s="3" t="s">
        <v>37415</v>
      </c>
      <c r="B8615" s="3" t="s">
        <v>35706</v>
      </c>
      <c r="C8615" s="5" t="s">
        <v>36</v>
      </c>
      <c r="D8615" s="5" t="s">
        <v>36</v>
      </c>
      <c r="E8615" s="5" t="s">
        <v>36</v>
      </c>
      <c r="F8615" s="5" t="s">
        <v>36</v>
      </c>
      <c r="G8615" s="6" t="s">
        <v>326</v>
      </c>
      <c r="H8615" s="4">
        <v>253.31</v>
      </c>
      <c r="I8615" s="7">
        <v>20</v>
      </c>
      <c r="J8615" s="3" t="s">
        <v>521</v>
      </c>
      <c r="K8615" s="9" t="s">
        <v>36</v>
      </c>
      <c r="L8615" s="6" t="s">
        <v>36</v>
      </c>
      <c r="M8615" s="3" t="s">
        <v>36</v>
      </c>
      <c r="N8615" s="3" t="s">
        <v>36</v>
      </c>
      <c r="O8615" s="8" t="s">
        <v>36</v>
      </c>
      <c r="P8615" s="3" t="s">
        <v>36</v>
      </c>
      <c r="Q8615" s="3" t="s">
        <v>36</v>
      </c>
      <c r="R8615" s="3" t="s">
        <v>36</v>
      </c>
      <c r="S8615" s="3" t="s">
        <v>36</v>
      </c>
      <c r="T8615" s="3" t="s">
        <v>35707</v>
      </c>
      <c r="U8615" s="3" t="s">
        <v>648</v>
      </c>
      <c r="V8615" s="3" t="s">
        <v>64</v>
      </c>
      <c r="W8615" s="3" t="s">
        <v>35708</v>
      </c>
      <c r="X8615" s="10" t="s">
        <v>37416</v>
      </c>
      <c r="Y8615" s="6" t="s">
        <v>42</v>
      </c>
      <c r="Z8615" s="4">
        <v>2.15</v>
      </c>
      <c r="AA8615" s="4">
        <v>10.75</v>
      </c>
      <c r="AB8615" s="3" t="s">
        <v>43</v>
      </c>
      <c r="AC8615" s="3" t="s">
        <v>35709</v>
      </c>
      <c r="AD8615" s="9">
        <v>40728</v>
      </c>
      <c r="AE8615" s="3" t="s">
        <v>651</v>
      </c>
      <c r="AF8615" s="3" t="s">
        <v>22393</v>
      </c>
      <c r="AG8615" s="3" t="s">
        <v>35710</v>
      </c>
      <c r="AH8615" s="11">
        <f>HYPERLINK("https://my.pitchbook.com?c=138845-89T","View Company Online")</f>
      </c>
    </row>
    <row r="8616">
      <c r="A8616" s="12" t="s">
        <v>37417</v>
      </c>
      <c r="B8616" s="12" t="s">
        <v>36197</v>
      </c>
      <c r="C8616" s="19" t="s">
        <v>36</v>
      </c>
      <c r="D8616" s="19">
        <v>2</v>
      </c>
      <c r="E8616" s="19">
        <v>1</v>
      </c>
      <c r="F8616" s="19">
        <v>2</v>
      </c>
      <c r="G8616" s="15" t="s">
        <v>36</v>
      </c>
      <c r="H8616" s="14">
        <v>168.25</v>
      </c>
      <c r="I8616" s="18">
        <v>12.94</v>
      </c>
      <c r="J8616" s="12" t="s">
        <v>521</v>
      </c>
      <c r="K8616" s="13" t="s">
        <v>36</v>
      </c>
      <c r="L8616" s="15" t="s">
        <v>36</v>
      </c>
      <c r="M8616" s="12" t="s">
        <v>36</v>
      </c>
      <c r="N8616" s="12" t="s">
        <v>36</v>
      </c>
      <c r="O8616" s="17" t="s">
        <v>36</v>
      </c>
      <c r="P8616" s="12" t="s">
        <v>36</v>
      </c>
      <c r="Q8616" s="12" t="s">
        <v>36</v>
      </c>
      <c r="R8616" s="12" t="s">
        <v>36</v>
      </c>
      <c r="S8616" s="12" t="s">
        <v>36</v>
      </c>
      <c r="T8616" s="12" t="s">
        <v>36198</v>
      </c>
      <c r="U8616" s="12" t="s">
        <v>74</v>
      </c>
      <c r="V8616" s="12" t="s">
        <v>75</v>
      </c>
      <c r="W8616" s="12" t="s">
        <v>36199</v>
      </c>
      <c r="X8616" s="16" t="s">
        <v>33627</v>
      </c>
      <c r="Y8616" s="15" t="s">
        <v>42</v>
      </c>
      <c r="Z8616" s="14">
        <v>0.16</v>
      </c>
      <c r="AA8616" s="14">
        <v>1.23</v>
      </c>
      <c r="AB8616" s="12" t="s">
        <v>43</v>
      </c>
      <c r="AC8616" s="12" t="s">
        <v>36201</v>
      </c>
      <c r="AD8616" s="13">
        <v>40728</v>
      </c>
      <c r="AE8616" s="12" t="s">
        <v>975</v>
      </c>
      <c r="AF8616" s="12" t="s">
        <v>36</v>
      </c>
      <c r="AG8616" s="12" t="s">
        <v>36202</v>
      </c>
      <c r="AH8616" s="1">
        <f>HYPERLINK("https://my.pitchbook.com?c=75137-77T","View Company Online")</f>
      </c>
    </row>
    <row r="8617">
      <c r="A8617" s="3" t="s">
        <v>37418</v>
      </c>
      <c r="B8617" s="3" t="s">
        <v>35406</v>
      </c>
      <c r="C8617" s="5" t="s">
        <v>36</v>
      </c>
      <c r="D8617" s="5" t="s">
        <v>36</v>
      </c>
      <c r="E8617" s="5" t="s">
        <v>36</v>
      </c>
      <c r="F8617" s="5" t="s">
        <v>36</v>
      </c>
      <c r="G8617" s="6" t="s">
        <v>36</v>
      </c>
      <c r="H8617" s="4" t="s">
        <v>36</v>
      </c>
      <c r="I8617" s="7" t="s">
        <v>36</v>
      </c>
      <c r="J8617" s="3" t="s">
        <v>36</v>
      </c>
      <c r="K8617" s="9" t="s">
        <v>36</v>
      </c>
      <c r="L8617" s="6" t="s">
        <v>94</v>
      </c>
      <c r="M8617" s="3" t="s">
        <v>36</v>
      </c>
      <c r="N8617" s="3" t="s">
        <v>94</v>
      </c>
      <c r="O8617" s="8" t="s">
        <v>36</v>
      </c>
      <c r="P8617" s="3" t="s">
        <v>36</v>
      </c>
      <c r="Q8617" s="3" t="s">
        <v>36</v>
      </c>
      <c r="R8617" s="3" t="s">
        <v>36</v>
      </c>
      <c r="S8617" s="3" t="s">
        <v>36</v>
      </c>
      <c r="T8617" s="3" t="s">
        <v>10014</v>
      </c>
      <c r="U8617" s="3" t="s">
        <v>438</v>
      </c>
      <c r="V8617" s="3" t="s">
        <v>405</v>
      </c>
      <c r="W8617" s="3" t="s">
        <v>35407</v>
      </c>
      <c r="X8617" s="10" t="s">
        <v>37419</v>
      </c>
      <c r="Y8617" s="6" t="s">
        <v>55</v>
      </c>
      <c r="Z8617" s="4">
        <v>2.88</v>
      </c>
      <c r="AA8617" s="4" t="s">
        <v>36</v>
      </c>
      <c r="AB8617" s="3" t="s">
        <v>56</v>
      </c>
      <c r="AC8617" s="3" t="s">
        <v>35409</v>
      </c>
      <c r="AD8617" s="9">
        <v>40725</v>
      </c>
      <c r="AE8617" s="3" t="s">
        <v>10018</v>
      </c>
      <c r="AF8617" s="3" t="s">
        <v>36</v>
      </c>
      <c r="AG8617" s="3" t="s">
        <v>81</v>
      </c>
      <c r="AH8617" s="11">
        <f>HYPERLINK("https://my.pitchbook.com?c=19296-28T","View Company Online")</f>
      </c>
    </row>
    <row r="8618">
      <c r="A8618" s="12" t="s">
        <v>37420</v>
      </c>
      <c r="B8618" s="12" t="s">
        <v>26089</v>
      </c>
      <c r="C8618" s="19" t="s">
        <v>36</v>
      </c>
      <c r="D8618" s="19">
        <v>16</v>
      </c>
      <c r="E8618" s="19">
        <v>6</v>
      </c>
      <c r="F8618" s="19">
        <v>23</v>
      </c>
      <c r="G8618" s="15" t="s">
        <v>36</v>
      </c>
      <c r="H8618" s="14">
        <v>569.13</v>
      </c>
      <c r="I8618" s="18">
        <v>17.05</v>
      </c>
      <c r="J8618" s="12" t="s">
        <v>521</v>
      </c>
      <c r="K8618" s="13" t="s">
        <v>36</v>
      </c>
      <c r="L8618" s="15" t="s">
        <v>36</v>
      </c>
      <c r="M8618" s="12" t="s">
        <v>36</v>
      </c>
      <c r="N8618" s="12" t="s">
        <v>36</v>
      </c>
      <c r="O8618" s="17" t="s">
        <v>36</v>
      </c>
      <c r="P8618" s="12" t="s">
        <v>36</v>
      </c>
      <c r="Q8618" s="12" t="s">
        <v>36</v>
      </c>
      <c r="R8618" s="12" t="s">
        <v>36</v>
      </c>
      <c r="S8618" s="12" t="s">
        <v>36</v>
      </c>
      <c r="T8618" s="12" t="s">
        <v>26090</v>
      </c>
      <c r="U8618" s="12" t="s">
        <v>38</v>
      </c>
      <c r="V8618" s="12" t="s">
        <v>39</v>
      </c>
      <c r="W8618" s="12" t="s">
        <v>26091</v>
      </c>
      <c r="X8618" s="16" t="s">
        <v>37421</v>
      </c>
      <c r="Y8618" s="15" t="s">
        <v>42</v>
      </c>
      <c r="Z8618" s="14">
        <v>1.66</v>
      </c>
      <c r="AA8618" s="14">
        <v>9.74</v>
      </c>
      <c r="AB8618" s="12" t="s">
        <v>56</v>
      </c>
      <c r="AC8618" s="12" t="s">
        <v>26093</v>
      </c>
      <c r="AD8618" s="13">
        <v>40724</v>
      </c>
      <c r="AE8618" s="12" t="s">
        <v>785</v>
      </c>
      <c r="AF8618" s="12" t="s">
        <v>111</v>
      </c>
      <c r="AG8618" s="12" t="s">
        <v>539</v>
      </c>
      <c r="AH8618" s="1">
        <f>HYPERLINK("https://my.pitchbook.com?c=77026-51T","View Company Online")</f>
      </c>
    </row>
    <row r="8619">
      <c r="A8619" s="3" t="s">
        <v>37422</v>
      </c>
      <c r="B8619" s="3" t="s">
        <v>37423</v>
      </c>
      <c r="C8619" s="5" t="s">
        <v>36</v>
      </c>
      <c r="D8619" s="5" t="s">
        <v>36</v>
      </c>
      <c r="E8619" s="5" t="s">
        <v>36</v>
      </c>
      <c r="F8619" s="5" t="s">
        <v>36</v>
      </c>
      <c r="G8619" s="6" t="s">
        <v>36</v>
      </c>
      <c r="H8619" s="4">
        <v>116.84</v>
      </c>
      <c r="I8619" s="7">
        <v>10</v>
      </c>
      <c r="J8619" s="3" t="s">
        <v>521</v>
      </c>
      <c r="K8619" s="9" t="s">
        <v>36</v>
      </c>
      <c r="L8619" s="6" t="s">
        <v>36</v>
      </c>
      <c r="M8619" s="3" t="s">
        <v>36</v>
      </c>
      <c r="N8619" s="3" t="s">
        <v>36</v>
      </c>
      <c r="O8619" s="8" t="s">
        <v>36</v>
      </c>
      <c r="P8619" s="3" t="s">
        <v>36</v>
      </c>
      <c r="Q8619" s="3" t="s">
        <v>36</v>
      </c>
      <c r="R8619" s="3" t="s">
        <v>36</v>
      </c>
      <c r="S8619" s="3" t="s">
        <v>36</v>
      </c>
      <c r="T8619" s="3" t="s">
        <v>522</v>
      </c>
      <c r="U8619" s="3" t="s">
        <v>38</v>
      </c>
      <c r="V8619" s="3" t="s">
        <v>39</v>
      </c>
      <c r="W8619" s="3" t="s">
        <v>37424</v>
      </c>
      <c r="X8619" s="10" t="s">
        <v>37425</v>
      </c>
      <c r="Y8619" s="6" t="s">
        <v>42</v>
      </c>
      <c r="Z8619" s="4">
        <v>0.22</v>
      </c>
      <c r="AA8619" s="4">
        <v>2.16</v>
      </c>
      <c r="AB8619" s="3" t="s">
        <v>43</v>
      </c>
      <c r="AC8619" s="3" t="s">
        <v>37426</v>
      </c>
      <c r="AD8619" s="9">
        <v>40723</v>
      </c>
      <c r="AE8619" s="3" t="s">
        <v>110</v>
      </c>
      <c r="AF8619" s="3" t="s">
        <v>176</v>
      </c>
      <c r="AG8619" s="3" t="s">
        <v>81</v>
      </c>
      <c r="AH8619" s="11">
        <f>HYPERLINK("https://my.pitchbook.com?c=24336-46T","View Company Online")</f>
      </c>
    </row>
    <row r="8620">
      <c r="A8620" s="12" t="s">
        <v>37427</v>
      </c>
      <c r="B8620" s="12" t="s">
        <v>37428</v>
      </c>
      <c r="C8620" s="19" t="s">
        <v>36</v>
      </c>
      <c r="D8620" s="19" t="s">
        <v>36</v>
      </c>
      <c r="E8620" s="19">
        <v>1</v>
      </c>
      <c r="F8620" s="19">
        <v>1</v>
      </c>
      <c r="G8620" s="15" t="s">
        <v>36</v>
      </c>
      <c r="H8620" s="14" t="s">
        <v>36</v>
      </c>
      <c r="I8620" s="18" t="s">
        <v>36</v>
      </c>
      <c r="J8620" s="12" t="s">
        <v>36</v>
      </c>
      <c r="K8620" s="13" t="s">
        <v>36</v>
      </c>
      <c r="L8620" s="15" t="s">
        <v>36</v>
      </c>
      <c r="M8620" s="12" t="s">
        <v>36</v>
      </c>
      <c r="N8620" s="12" t="s">
        <v>36</v>
      </c>
      <c r="O8620" s="17" t="s">
        <v>36</v>
      </c>
      <c r="P8620" s="12" t="s">
        <v>36</v>
      </c>
      <c r="Q8620" s="12" t="s">
        <v>36</v>
      </c>
      <c r="R8620" s="12" t="s">
        <v>36</v>
      </c>
      <c r="S8620" s="12" t="s">
        <v>36</v>
      </c>
      <c r="T8620" s="12" t="s">
        <v>197</v>
      </c>
      <c r="U8620" s="12" t="s">
        <v>38</v>
      </c>
      <c r="V8620" s="12" t="s">
        <v>39</v>
      </c>
      <c r="W8620" s="12" t="s">
        <v>37429</v>
      </c>
      <c r="X8620" s="16" t="s">
        <v>37430</v>
      </c>
      <c r="Y8620" s="15" t="s">
        <v>42</v>
      </c>
      <c r="Z8620" s="14">
        <v>2.01</v>
      </c>
      <c r="AA8620" s="14" t="s">
        <v>36</v>
      </c>
      <c r="AB8620" s="12" t="s">
        <v>43</v>
      </c>
      <c r="AC8620" s="12" t="s">
        <v>37431</v>
      </c>
      <c r="AD8620" s="13">
        <v>40721</v>
      </c>
      <c r="AE8620" s="12" t="s">
        <v>110</v>
      </c>
      <c r="AF8620" s="12" t="s">
        <v>1636</v>
      </c>
      <c r="AG8620" s="12" t="s">
        <v>81</v>
      </c>
      <c r="AH8620" s="1">
        <f>HYPERLINK("https://my.pitchbook.com?c=35090-83T","View Company Online")</f>
      </c>
    </row>
    <row r="8621">
      <c r="A8621" s="3" t="s">
        <v>37432</v>
      </c>
      <c r="B8621" s="3" t="s">
        <v>35921</v>
      </c>
      <c r="C8621" s="5" t="s">
        <v>36</v>
      </c>
      <c r="D8621" s="5" t="s">
        <v>36</v>
      </c>
      <c r="E8621" s="5" t="s">
        <v>36</v>
      </c>
      <c r="F8621" s="5" t="s">
        <v>36</v>
      </c>
      <c r="G8621" s="6" t="s">
        <v>36</v>
      </c>
      <c r="H8621" s="4" t="s">
        <v>36</v>
      </c>
      <c r="I8621" s="7">
        <v>36.14</v>
      </c>
      <c r="J8621" s="3" t="s">
        <v>327</v>
      </c>
      <c r="K8621" s="9" t="s">
        <v>36</v>
      </c>
      <c r="L8621" s="6" t="s">
        <v>36</v>
      </c>
      <c r="M8621" s="3" t="s">
        <v>36</v>
      </c>
      <c r="N8621" s="3" t="s">
        <v>36</v>
      </c>
      <c r="O8621" s="8" t="s">
        <v>36</v>
      </c>
      <c r="P8621" s="3" t="s">
        <v>36</v>
      </c>
      <c r="Q8621" s="3" t="s">
        <v>36</v>
      </c>
      <c r="R8621" s="3" t="s">
        <v>36</v>
      </c>
      <c r="S8621" s="3" t="s">
        <v>36</v>
      </c>
      <c r="T8621" s="3" t="s">
        <v>35922</v>
      </c>
      <c r="U8621" s="3" t="s">
        <v>833</v>
      </c>
      <c r="V8621" s="3" t="s">
        <v>64</v>
      </c>
      <c r="W8621" s="3" t="s">
        <v>35923</v>
      </c>
      <c r="X8621" s="10" t="s">
        <v>35924</v>
      </c>
      <c r="Y8621" s="6" t="s">
        <v>108</v>
      </c>
      <c r="Z8621" s="4">
        <v>3.16</v>
      </c>
      <c r="AA8621" s="4">
        <v>8.75</v>
      </c>
      <c r="AB8621" s="3" t="s">
        <v>56</v>
      </c>
      <c r="AC8621" s="3" t="s">
        <v>35925</v>
      </c>
      <c r="AD8621" s="9">
        <v>40721</v>
      </c>
      <c r="AE8621" s="3" t="s">
        <v>3615</v>
      </c>
      <c r="AF8621" s="3" t="s">
        <v>571</v>
      </c>
      <c r="AG8621" s="3" t="s">
        <v>144</v>
      </c>
      <c r="AH8621" s="11">
        <f>HYPERLINK("https://my.pitchbook.com?c=26137-36T","View Company Online")</f>
      </c>
    </row>
    <row r="8622">
      <c r="A8622" s="12" t="s">
        <v>37433</v>
      </c>
      <c r="B8622" s="12" t="s">
        <v>37434</v>
      </c>
      <c r="C8622" s="19">
        <v>8</v>
      </c>
      <c r="D8622" s="19">
        <v>19</v>
      </c>
      <c r="E8622" s="19">
        <v>13</v>
      </c>
      <c r="F8622" s="19">
        <v>39</v>
      </c>
      <c r="G8622" s="15" t="s">
        <v>326</v>
      </c>
      <c r="H8622" s="14">
        <v>28.26</v>
      </c>
      <c r="I8622" s="18">
        <v>26.14</v>
      </c>
      <c r="J8622" s="12" t="s">
        <v>521</v>
      </c>
      <c r="K8622" s="13" t="s">
        <v>36</v>
      </c>
      <c r="L8622" s="15" t="s">
        <v>36</v>
      </c>
      <c r="M8622" s="12" t="s">
        <v>36</v>
      </c>
      <c r="N8622" s="12" t="s">
        <v>36</v>
      </c>
      <c r="O8622" s="17" t="s">
        <v>36</v>
      </c>
      <c r="P8622" s="12" t="s">
        <v>36</v>
      </c>
      <c r="Q8622" s="12" t="s">
        <v>36</v>
      </c>
      <c r="R8622" s="12" t="s">
        <v>36</v>
      </c>
      <c r="S8622" s="12" t="s">
        <v>36</v>
      </c>
      <c r="T8622" s="12" t="s">
        <v>37435</v>
      </c>
      <c r="U8622" s="12" t="s">
        <v>1144</v>
      </c>
      <c r="V8622" s="12" t="s">
        <v>378</v>
      </c>
      <c r="W8622" s="12" t="s">
        <v>37436</v>
      </c>
      <c r="X8622" s="16" t="s">
        <v>37437</v>
      </c>
      <c r="Y8622" s="15" t="s">
        <v>108</v>
      </c>
      <c r="Z8622" s="14">
        <v>1.5</v>
      </c>
      <c r="AA8622" s="14">
        <v>5.74</v>
      </c>
      <c r="AB8622" s="12" t="s">
        <v>56</v>
      </c>
      <c r="AC8622" s="12" t="s">
        <v>37438</v>
      </c>
      <c r="AD8622" s="13">
        <v>40718</v>
      </c>
      <c r="AE8622" s="12" t="s">
        <v>1148</v>
      </c>
      <c r="AF8622" s="12" t="s">
        <v>546</v>
      </c>
      <c r="AG8622" s="12" t="s">
        <v>1353</v>
      </c>
      <c r="AH8622" s="1">
        <f>HYPERLINK("https://my.pitchbook.com?c=188262-82T","View Company Online")</f>
      </c>
    </row>
    <row r="8623">
      <c r="A8623" s="3" t="s">
        <v>37439</v>
      </c>
      <c r="B8623" s="3" t="s">
        <v>37440</v>
      </c>
      <c r="C8623" s="5" t="s">
        <v>36</v>
      </c>
      <c r="D8623" s="5" t="s">
        <v>36</v>
      </c>
      <c r="E8623" s="5" t="s">
        <v>36</v>
      </c>
      <c r="F8623" s="5" t="s">
        <v>36</v>
      </c>
      <c r="G8623" s="6" t="s">
        <v>36</v>
      </c>
      <c r="H8623" s="4">
        <v>122.18</v>
      </c>
      <c r="I8623" s="7">
        <v>22.09</v>
      </c>
      <c r="J8623" s="3" t="s">
        <v>521</v>
      </c>
      <c r="K8623" s="9" t="s">
        <v>36</v>
      </c>
      <c r="L8623" s="6" t="s">
        <v>36</v>
      </c>
      <c r="M8623" s="3" t="s">
        <v>36</v>
      </c>
      <c r="N8623" s="3" t="s">
        <v>36</v>
      </c>
      <c r="O8623" s="8" t="s">
        <v>36</v>
      </c>
      <c r="P8623" s="3" t="s">
        <v>36</v>
      </c>
      <c r="Q8623" s="3" t="s">
        <v>36</v>
      </c>
      <c r="R8623" s="3" t="s">
        <v>36</v>
      </c>
      <c r="S8623" s="3" t="s">
        <v>36</v>
      </c>
      <c r="T8623" s="3" t="s">
        <v>4529</v>
      </c>
      <c r="U8623" s="3" t="s">
        <v>38</v>
      </c>
      <c r="V8623" s="3" t="s">
        <v>39</v>
      </c>
      <c r="W8623" s="3" t="s">
        <v>37441</v>
      </c>
      <c r="X8623" s="10" t="s">
        <v>20527</v>
      </c>
      <c r="Y8623" s="6" t="s">
        <v>42</v>
      </c>
      <c r="Z8623" s="4">
        <v>0.48</v>
      </c>
      <c r="AA8623" s="4">
        <v>2.15</v>
      </c>
      <c r="AB8623" s="3" t="s">
        <v>43</v>
      </c>
      <c r="AC8623" s="3" t="s">
        <v>37442</v>
      </c>
      <c r="AD8623" s="9">
        <v>40716</v>
      </c>
      <c r="AE8623" s="3" t="s">
        <v>1422</v>
      </c>
      <c r="AF8623" s="3" t="s">
        <v>4533</v>
      </c>
      <c r="AG8623" s="3" t="s">
        <v>697</v>
      </c>
      <c r="AH8623" s="11">
        <f>HYPERLINK("https://my.pitchbook.com?c=29840-95T","View Company Online")</f>
      </c>
    </row>
    <row r="8624">
      <c r="A8624" s="12" t="s">
        <v>37443</v>
      </c>
      <c r="B8624" s="12" t="s">
        <v>37444</v>
      </c>
      <c r="C8624" s="19" t="s">
        <v>36</v>
      </c>
      <c r="D8624" s="19">
        <v>4</v>
      </c>
      <c r="E8624" s="19">
        <v>3</v>
      </c>
      <c r="F8624" s="19">
        <v>5</v>
      </c>
      <c r="G8624" s="15" t="s">
        <v>36</v>
      </c>
      <c r="H8624" s="14" t="s">
        <v>36</v>
      </c>
      <c r="I8624" s="18" t="s">
        <v>36</v>
      </c>
      <c r="J8624" s="12" t="s">
        <v>36</v>
      </c>
      <c r="K8624" s="13" t="s">
        <v>36</v>
      </c>
      <c r="L8624" s="15" t="s">
        <v>36</v>
      </c>
      <c r="M8624" s="12" t="s">
        <v>36</v>
      </c>
      <c r="N8624" s="12" t="s">
        <v>36</v>
      </c>
      <c r="O8624" s="17" t="s">
        <v>36</v>
      </c>
      <c r="P8624" s="12" t="s">
        <v>36</v>
      </c>
      <c r="Q8624" s="12" t="s">
        <v>36</v>
      </c>
      <c r="R8624" s="12" t="s">
        <v>36</v>
      </c>
      <c r="S8624" s="12" t="s">
        <v>36</v>
      </c>
      <c r="T8624" s="12" t="s">
        <v>37445</v>
      </c>
      <c r="U8624" s="12" t="s">
        <v>279</v>
      </c>
      <c r="V8624" s="12" t="s">
        <v>64</v>
      </c>
      <c r="W8624" s="12" t="s">
        <v>37446</v>
      </c>
      <c r="X8624" s="16" t="s">
        <v>37447</v>
      </c>
      <c r="Y8624" s="15" t="s">
        <v>42</v>
      </c>
      <c r="Z8624" s="14">
        <v>15</v>
      </c>
      <c r="AA8624" s="14" t="s">
        <v>36</v>
      </c>
      <c r="AB8624" s="12" t="s">
        <v>56</v>
      </c>
      <c r="AC8624" s="12" t="s">
        <v>37448</v>
      </c>
      <c r="AD8624" s="13">
        <v>40715</v>
      </c>
      <c r="AE8624" s="12" t="s">
        <v>851</v>
      </c>
      <c r="AF8624" s="12" t="s">
        <v>37449</v>
      </c>
      <c r="AG8624" s="12" t="s">
        <v>81</v>
      </c>
      <c r="AH8624" s="1">
        <f>HYPERLINK("https://my.pitchbook.com?c=18643-51T","View Company Online")</f>
      </c>
    </row>
    <row r="8625">
      <c r="A8625" s="3" t="s">
        <v>37450</v>
      </c>
      <c r="B8625" s="3" t="s">
        <v>28552</v>
      </c>
      <c r="C8625" s="5" t="s">
        <v>36</v>
      </c>
      <c r="D8625" s="5">
        <v>13</v>
      </c>
      <c r="E8625" s="5">
        <v>4</v>
      </c>
      <c r="F8625" s="5">
        <v>34</v>
      </c>
      <c r="G8625" s="6" t="s">
        <v>36</v>
      </c>
      <c r="H8625" s="4" t="s">
        <v>36</v>
      </c>
      <c r="I8625" s="7" t="s">
        <v>36</v>
      </c>
      <c r="J8625" s="3" t="s">
        <v>36</v>
      </c>
      <c r="K8625" s="9" t="s">
        <v>36</v>
      </c>
      <c r="L8625" s="6" t="s">
        <v>36</v>
      </c>
      <c r="M8625" s="3" t="s">
        <v>36</v>
      </c>
      <c r="N8625" s="3" t="s">
        <v>36</v>
      </c>
      <c r="O8625" s="8" t="s">
        <v>36</v>
      </c>
      <c r="P8625" s="3" t="s">
        <v>36</v>
      </c>
      <c r="Q8625" s="3" t="s">
        <v>36</v>
      </c>
      <c r="R8625" s="3" t="s">
        <v>36</v>
      </c>
      <c r="S8625" s="3" t="s">
        <v>36</v>
      </c>
      <c r="T8625" s="3" t="s">
        <v>28553</v>
      </c>
      <c r="U8625" s="3" t="s">
        <v>1798</v>
      </c>
      <c r="V8625" s="3" t="s">
        <v>39</v>
      </c>
      <c r="W8625" s="3" t="s">
        <v>28554</v>
      </c>
      <c r="X8625" s="10" t="s">
        <v>37451</v>
      </c>
      <c r="Y8625" s="6" t="s">
        <v>55</v>
      </c>
      <c r="Z8625" s="4" t="s">
        <v>36</v>
      </c>
      <c r="AA8625" s="4" t="s">
        <v>36</v>
      </c>
      <c r="AB8625" s="3" t="s">
        <v>56</v>
      </c>
      <c r="AC8625" s="3" t="s">
        <v>28556</v>
      </c>
      <c r="AD8625" s="9">
        <v>40715</v>
      </c>
      <c r="AE8625" s="3" t="s">
        <v>5561</v>
      </c>
      <c r="AF8625" s="3" t="s">
        <v>28557</v>
      </c>
      <c r="AG8625" s="3" t="s">
        <v>1193</v>
      </c>
      <c r="AH8625" s="11">
        <f>HYPERLINK("https://my.pitchbook.com?c=29136-88T","View Company Online")</f>
      </c>
    </row>
    <row r="8626">
      <c r="A8626" s="12" t="s">
        <v>37452</v>
      </c>
      <c r="B8626" s="12" t="s">
        <v>37453</v>
      </c>
      <c r="C8626" s="19" t="s">
        <v>36</v>
      </c>
      <c r="D8626" s="19">
        <v>2</v>
      </c>
      <c r="E8626" s="19">
        <v>5</v>
      </c>
      <c r="F8626" s="19">
        <v>16</v>
      </c>
      <c r="G8626" s="15" t="s">
        <v>36</v>
      </c>
      <c r="H8626" s="14" t="s">
        <v>36</v>
      </c>
      <c r="I8626" s="18" t="s">
        <v>36</v>
      </c>
      <c r="J8626" s="12" t="s">
        <v>36</v>
      </c>
      <c r="K8626" s="13" t="s">
        <v>36</v>
      </c>
      <c r="L8626" s="15" t="s">
        <v>36</v>
      </c>
      <c r="M8626" s="12" t="s">
        <v>36</v>
      </c>
      <c r="N8626" s="12" t="s">
        <v>36</v>
      </c>
      <c r="O8626" s="17" t="s">
        <v>36</v>
      </c>
      <c r="P8626" s="12" t="s">
        <v>36</v>
      </c>
      <c r="Q8626" s="12" t="s">
        <v>36</v>
      </c>
      <c r="R8626" s="12" t="s">
        <v>36</v>
      </c>
      <c r="S8626" s="12" t="s">
        <v>36</v>
      </c>
      <c r="T8626" s="12" t="s">
        <v>661</v>
      </c>
      <c r="U8626" s="12" t="s">
        <v>51</v>
      </c>
      <c r="V8626" s="12" t="s">
        <v>52</v>
      </c>
      <c r="W8626" s="12" t="s">
        <v>37454</v>
      </c>
      <c r="X8626" s="16" t="s">
        <v>37455</v>
      </c>
      <c r="Y8626" s="15" t="s">
        <v>108</v>
      </c>
      <c r="Z8626" s="14">
        <v>1.72</v>
      </c>
      <c r="AA8626" s="14" t="s">
        <v>36</v>
      </c>
      <c r="AB8626" s="12" t="s">
        <v>56</v>
      </c>
      <c r="AC8626" s="12" t="s">
        <v>37456</v>
      </c>
      <c r="AD8626" s="13">
        <v>40711</v>
      </c>
      <c r="AE8626" s="12" t="s">
        <v>158</v>
      </c>
      <c r="AF8626" s="12" t="s">
        <v>101</v>
      </c>
      <c r="AG8626" s="12" t="s">
        <v>35185</v>
      </c>
      <c r="AH8626" s="1">
        <f>HYPERLINK("https://my.pitchbook.com?c=63064-27T","View Company Online")</f>
      </c>
    </row>
    <row r="8627">
      <c r="A8627" s="3" t="s">
        <v>37457</v>
      </c>
      <c r="B8627" s="3" t="s">
        <v>37458</v>
      </c>
      <c r="C8627" s="5" t="s">
        <v>36</v>
      </c>
      <c r="D8627" s="5" t="s">
        <v>36</v>
      </c>
      <c r="E8627" s="5" t="s">
        <v>36</v>
      </c>
      <c r="F8627" s="5" t="s">
        <v>36</v>
      </c>
      <c r="G8627" s="6" t="s">
        <v>36</v>
      </c>
      <c r="H8627" s="4" t="s">
        <v>36</v>
      </c>
      <c r="I8627" s="7" t="s">
        <v>36</v>
      </c>
      <c r="J8627" s="3" t="s">
        <v>36</v>
      </c>
      <c r="K8627" s="9" t="s">
        <v>36</v>
      </c>
      <c r="L8627" s="6" t="s">
        <v>36</v>
      </c>
      <c r="M8627" s="3" t="s">
        <v>36</v>
      </c>
      <c r="N8627" s="3" t="s">
        <v>36</v>
      </c>
      <c r="O8627" s="8" t="s">
        <v>36</v>
      </c>
      <c r="P8627" s="3" t="s">
        <v>36</v>
      </c>
      <c r="Q8627" s="3" t="s">
        <v>36</v>
      </c>
      <c r="R8627" s="3" t="s">
        <v>36</v>
      </c>
      <c r="S8627" s="3" t="s">
        <v>36</v>
      </c>
      <c r="T8627" s="3" t="s">
        <v>4225</v>
      </c>
      <c r="U8627" s="3" t="s">
        <v>96</v>
      </c>
      <c r="V8627" s="3" t="s">
        <v>52</v>
      </c>
      <c r="W8627" s="3" t="s">
        <v>37459</v>
      </c>
      <c r="X8627" s="10" t="s">
        <v>37460</v>
      </c>
      <c r="Y8627" s="6" t="s">
        <v>42</v>
      </c>
      <c r="Z8627" s="4">
        <v>0.72</v>
      </c>
      <c r="AA8627" s="4" t="s">
        <v>36</v>
      </c>
      <c r="AB8627" s="3" t="s">
        <v>43</v>
      </c>
      <c r="AC8627" s="3" t="s">
        <v>37461</v>
      </c>
      <c r="AD8627" s="9">
        <v>40710</v>
      </c>
      <c r="AE8627" s="3" t="s">
        <v>143</v>
      </c>
      <c r="AF8627" s="3" t="s">
        <v>36</v>
      </c>
      <c r="AG8627" s="3" t="s">
        <v>47</v>
      </c>
      <c r="AH8627" s="11">
        <f>HYPERLINK("https://my.pitchbook.com?c=29893-33T","View Company Online")</f>
      </c>
    </row>
    <row r="8628">
      <c r="A8628" s="12" t="s">
        <v>37462</v>
      </c>
      <c r="B8628" s="12" t="s">
        <v>37463</v>
      </c>
      <c r="C8628" s="19" t="s">
        <v>36</v>
      </c>
      <c r="D8628" s="19" t="s">
        <v>36</v>
      </c>
      <c r="E8628" s="19" t="s">
        <v>36</v>
      </c>
      <c r="F8628" s="19" t="s">
        <v>36</v>
      </c>
      <c r="G8628" s="15" t="s">
        <v>36</v>
      </c>
      <c r="H8628" s="14" t="s">
        <v>36</v>
      </c>
      <c r="I8628" s="18" t="s">
        <v>36</v>
      </c>
      <c r="J8628" s="12" t="s">
        <v>36</v>
      </c>
      <c r="K8628" s="13" t="s">
        <v>36</v>
      </c>
      <c r="L8628" s="15" t="s">
        <v>36</v>
      </c>
      <c r="M8628" s="12" t="s">
        <v>36</v>
      </c>
      <c r="N8628" s="12" t="s">
        <v>36</v>
      </c>
      <c r="O8628" s="17" t="s">
        <v>36</v>
      </c>
      <c r="P8628" s="12" t="s">
        <v>36</v>
      </c>
      <c r="Q8628" s="12" t="s">
        <v>36</v>
      </c>
      <c r="R8628" s="12" t="s">
        <v>36</v>
      </c>
      <c r="S8628" s="12" t="s">
        <v>36</v>
      </c>
      <c r="T8628" s="12" t="s">
        <v>6159</v>
      </c>
      <c r="U8628" s="12" t="s">
        <v>648</v>
      </c>
      <c r="V8628" s="12" t="s">
        <v>64</v>
      </c>
      <c r="W8628" s="12" t="s">
        <v>37464</v>
      </c>
      <c r="X8628" s="16" t="s">
        <v>2208</v>
      </c>
      <c r="Y8628" s="15" t="s">
        <v>42</v>
      </c>
      <c r="Z8628" s="14" t="s">
        <v>36</v>
      </c>
      <c r="AA8628" s="14" t="s">
        <v>36</v>
      </c>
      <c r="AB8628" s="12" t="s">
        <v>43</v>
      </c>
      <c r="AC8628" s="12" t="s">
        <v>37465</v>
      </c>
      <c r="AD8628" s="13">
        <v>40710</v>
      </c>
      <c r="AE8628" s="12" t="s">
        <v>3988</v>
      </c>
      <c r="AF8628" s="12" t="s">
        <v>36</v>
      </c>
      <c r="AG8628" s="12" t="s">
        <v>81</v>
      </c>
      <c r="AH8628" s="1">
        <f>HYPERLINK("https://my.pitchbook.com?c=44433-73T","View Company Online")</f>
      </c>
    </row>
    <row r="8629">
      <c r="A8629" s="3" t="s">
        <v>37466</v>
      </c>
      <c r="B8629" s="3" t="s">
        <v>37467</v>
      </c>
      <c r="C8629" s="5" t="s">
        <v>36</v>
      </c>
      <c r="D8629" s="5" t="s">
        <v>36</v>
      </c>
      <c r="E8629" s="5" t="s">
        <v>36</v>
      </c>
      <c r="F8629" s="5" t="s">
        <v>36</v>
      </c>
      <c r="G8629" s="6" t="s">
        <v>36</v>
      </c>
      <c r="H8629" s="4" t="s">
        <v>36</v>
      </c>
      <c r="I8629" s="7" t="s">
        <v>36</v>
      </c>
      <c r="J8629" s="3" t="s">
        <v>36</v>
      </c>
      <c r="K8629" s="9" t="s">
        <v>36</v>
      </c>
      <c r="L8629" s="6" t="s">
        <v>36</v>
      </c>
      <c r="M8629" s="3" t="s">
        <v>36</v>
      </c>
      <c r="N8629" s="3" t="s">
        <v>36</v>
      </c>
      <c r="O8629" s="8" t="s">
        <v>36</v>
      </c>
      <c r="P8629" s="3" t="s">
        <v>36</v>
      </c>
      <c r="Q8629" s="3" t="s">
        <v>36</v>
      </c>
      <c r="R8629" s="3" t="s">
        <v>36</v>
      </c>
      <c r="S8629" s="3" t="s">
        <v>36</v>
      </c>
      <c r="T8629" s="3" t="s">
        <v>8164</v>
      </c>
      <c r="U8629" s="3" t="s">
        <v>38</v>
      </c>
      <c r="V8629" s="3" t="s">
        <v>39</v>
      </c>
      <c r="W8629" s="3" t="s">
        <v>37468</v>
      </c>
      <c r="X8629" s="10" t="s">
        <v>12817</v>
      </c>
      <c r="Y8629" s="6" t="s">
        <v>42</v>
      </c>
      <c r="Z8629" s="4">
        <v>0.45</v>
      </c>
      <c r="AA8629" s="4" t="s">
        <v>36</v>
      </c>
      <c r="AB8629" s="3" t="s">
        <v>43</v>
      </c>
      <c r="AC8629" s="3" t="s">
        <v>37469</v>
      </c>
      <c r="AD8629" s="9">
        <v>40709</v>
      </c>
      <c r="AE8629" s="3" t="s">
        <v>554</v>
      </c>
      <c r="AF8629" s="3" t="s">
        <v>36</v>
      </c>
      <c r="AG8629" s="3" t="s">
        <v>1078</v>
      </c>
      <c r="AH8629" s="11">
        <f>HYPERLINK("https://my.pitchbook.com?c=130475-44T","View Company Online")</f>
      </c>
    </row>
    <row r="8630">
      <c r="A8630" s="12" t="s">
        <v>37470</v>
      </c>
      <c r="B8630" s="12" t="s">
        <v>35607</v>
      </c>
      <c r="C8630" s="19" t="s">
        <v>36</v>
      </c>
      <c r="D8630" s="19" t="s">
        <v>36</v>
      </c>
      <c r="E8630" s="19" t="s">
        <v>36</v>
      </c>
      <c r="F8630" s="19" t="s">
        <v>36</v>
      </c>
      <c r="G8630" s="15" t="s">
        <v>36</v>
      </c>
      <c r="H8630" s="14" t="s">
        <v>36</v>
      </c>
      <c r="I8630" s="18" t="s">
        <v>36</v>
      </c>
      <c r="J8630" s="12" t="s">
        <v>36</v>
      </c>
      <c r="K8630" s="13" t="s">
        <v>36</v>
      </c>
      <c r="L8630" s="15" t="s">
        <v>36</v>
      </c>
      <c r="M8630" s="12" t="s">
        <v>36</v>
      </c>
      <c r="N8630" s="12" t="s">
        <v>36</v>
      </c>
      <c r="O8630" s="17" t="s">
        <v>36</v>
      </c>
      <c r="P8630" s="12" t="s">
        <v>36</v>
      </c>
      <c r="Q8630" s="12" t="s">
        <v>36</v>
      </c>
      <c r="R8630" s="12" t="s">
        <v>36</v>
      </c>
      <c r="S8630" s="12" t="s">
        <v>36</v>
      </c>
      <c r="T8630" s="12" t="s">
        <v>3125</v>
      </c>
      <c r="U8630" s="12" t="s">
        <v>279</v>
      </c>
      <c r="V8630" s="12" t="s">
        <v>64</v>
      </c>
      <c r="W8630" s="12" t="s">
        <v>35608</v>
      </c>
      <c r="X8630" s="16" t="s">
        <v>37471</v>
      </c>
      <c r="Y8630" s="15" t="s">
        <v>42</v>
      </c>
      <c r="Z8630" s="14">
        <v>1.64</v>
      </c>
      <c r="AA8630" s="14" t="s">
        <v>36</v>
      </c>
      <c r="AB8630" s="12" t="s">
        <v>43</v>
      </c>
      <c r="AC8630" s="12" t="s">
        <v>35610</v>
      </c>
      <c r="AD8630" s="13">
        <v>40702</v>
      </c>
      <c r="AE8630" s="12" t="s">
        <v>283</v>
      </c>
      <c r="AF8630" s="12" t="s">
        <v>2118</v>
      </c>
      <c r="AG8630" s="12" t="s">
        <v>382</v>
      </c>
      <c r="AH8630" s="1">
        <f>HYPERLINK("https://my.pitchbook.com?c=36330-67T","View Company Online")</f>
      </c>
    </row>
    <row r="8631">
      <c r="A8631" s="3" t="s">
        <v>37472</v>
      </c>
      <c r="B8631" s="3" t="s">
        <v>25057</v>
      </c>
      <c r="C8631" s="5" t="s">
        <v>36</v>
      </c>
      <c r="D8631" s="5" t="s">
        <v>36</v>
      </c>
      <c r="E8631" s="5">
        <v>1</v>
      </c>
      <c r="F8631" s="5">
        <v>2</v>
      </c>
      <c r="G8631" s="6" t="s">
        <v>36</v>
      </c>
      <c r="H8631" s="4" t="s">
        <v>36</v>
      </c>
      <c r="I8631" s="7" t="s">
        <v>36</v>
      </c>
      <c r="J8631" s="3" t="s">
        <v>36</v>
      </c>
      <c r="K8631" s="9">
        <v>40544</v>
      </c>
      <c r="L8631" s="6" t="s">
        <v>122</v>
      </c>
      <c r="M8631" s="3" t="s">
        <v>36</v>
      </c>
      <c r="N8631" s="3" t="s">
        <v>122</v>
      </c>
      <c r="O8631" s="8" t="s">
        <v>36</v>
      </c>
      <c r="P8631" s="3" t="s">
        <v>36</v>
      </c>
      <c r="Q8631" s="3" t="s">
        <v>36</v>
      </c>
      <c r="R8631" s="3" t="s">
        <v>36</v>
      </c>
      <c r="S8631" s="3" t="s">
        <v>25058</v>
      </c>
      <c r="T8631" s="3" t="s">
        <v>942</v>
      </c>
      <c r="U8631" s="3" t="s">
        <v>38</v>
      </c>
      <c r="V8631" s="3" t="s">
        <v>39</v>
      </c>
      <c r="W8631" s="3" t="s">
        <v>25059</v>
      </c>
      <c r="X8631" s="10" t="s">
        <v>37473</v>
      </c>
      <c r="Y8631" s="6" t="s">
        <v>108</v>
      </c>
      <c r="Z8631" s="4">
        <v>17.15</v>
      </c>
      <c r="AA8631" s="4" t="s">
        <v>36</v>
      </c>
      <c r="AB8631" s="3" t="s">
        <v>43</v>
      </c>
      <c r="AC8631" s="3" t="s">
        <v>25061</v>
      </c>
      <c r="AD8631" s="9">
        <v>40701</v>
      </c>
      <c r="AE8631" s="3" t="s">
        <v>45</v>
      </c>
      <c r="AF8631" s="3" t="s">
        <v>25062</v>
      </c>
      <c r="AG8631" s="3" t="s">
        <v>81</v>
      </c>
      <c r="AH8631" s="11">
        <f>HYPERLINK("https://my.pitchbook.com?c=26759-08T","View Company Online")</f>
      </c>
    </row>
    <row r="8632">
      <c r="A8632" s="12" t="s">
        <v>37474</v>
      </c>
      <c r="B8632" s="12" t="s">
        <v>27827</v>
      </c>
      <c r="C8632" s="19" t="s">
        <v>36</v>
      </c>
      <c r="D8632" s="19">
        <v>42</v>
      </c>
      <c r="E8632" s="19">
        <v>5</v>
      </c>
      <c r="F8632" s="19">
        <v>48</v>
      </c>
      <c r="G8632" s="15" t="s">
        <v>36</v>
      </c>
      <c r="H8632" s="14">
        <v>11.42</v>
      </c>
      <c r="I8632" s="18">
        <v>20.59</v>
      </c>
      <c r="J8632" s="12" t="s">
        <v>521</v>
      </c>
      <c r="K8632" s="13" t="s">
        <v>36</v>
      </c>
      <c r="L8632" s="15" t="s">
        <v>36</v>
      </c>
      <c r="M8632" s="12" t="s">
        <v>36</v>
      </c>
      <c r="N8632" s="12" t="s">
        <v>36</v>
      </c>
      <c r="O8632" s="17" t="s">
        <v>36</v>
      </c>
      <c r="P8632" s="12" t="s">
        <v>36</v>
      </c>
      <c r="Q8632" s="12" t="s">
        <v>36</v>
      </c>
      <c r="R8632" s="12" t="s">
        <v>36</v>
      </c>
      <c r="S8632" s="12" t="s">
        <v>36</v>
      </c>
      <c r="T8632" s="12" t="s">
        <v>27828</v>
      </c>
      <c r="U8632" s="12" t="s">
        <v>387</v>
      </c>
      <c r="V8632" s="12" t="s">
        <v>367</v>
      </c>
      <c r="W8632" s="12" t="s">
        <v>27829</v>
      </c>
      <c r="X8632" s="16" t="s">
        <v>37475</v>
      </c>
      <c r="Y8632" s="15" t="s">
        <v>42</v>
      </c>
      <c r="Z8632" s="14">
        <v>1.43</v>
      </c>
      <c r="AA8632" s="14">
        <v>3.96</v>
      </c>
      <c r="AB8632" s="12" t="s">
        <v>43</v>
      </c>
      <c r="AC8632" s="12" t="s">
        <v>27831</v>
      </c>
      <c r="AD8632" s="13">
        <v>40695</v>
      </c>
      <c r="AE8632" s="12" t="s">
        <v>391</v>
      </c>
      <c r="AF8632" s="12" t="s">
        <v>7368</v>
      </c>
      <c r="AG8632" s="12" t="s">
        <v>8850</v>
      </c>
      <c r="AH8632" s="1">
        <f>HYPERLINK("https://my.pitchbook.com?c=29193-67T","View Company Online")</f>
      </c>
    </row>
    <row r="8633">
      <c r="A8633" s="3" t="s">
        <v>37476</v>
      </c>
      <c r="B8633" s="3" t="s">
        <v>37477</v>
      </c>
      <c r="C8633" s="5" t="s">
        <v>36</v>
      </c>
      <c r="D8633" s="5">
        <v>17</v>
      </c>
      <c r="E8633" s="5">
        <v>5</v>
      </c>
      <c r="F8633" s="5">
        <v>19</v>
      </c>
      <c r="G8633" s="6" t="s">
        <v>36</v>
      </c>
      <c r="H8633" s="4">
        <v>347.34</v>
      </c>
      <c r="I8633" s="7">
        <v>24.2</v>
      </c>
      <c r="J8633" s="3" t="s">
        <v>327</v>
      </c>
      <c r="K8633" s="9" t="s">
        <v>36</v>
      </c>
      <c r="L8633" s="6" t="s">
        <v>36</v>
      </c>
      <c r="M8633" s="3" t="s">
        <v>36</v>
      </c>
      <c r="N8633" s="3" t="s">
        <v>36</v>
      </c>
      <c r="O8633" s="8" t="s">
        <v>36</v>
      </c>
      <c r="P8633" s="3" t="s">
        <v>36</v>
      </c>
      <c r="Q8633" s="3" t="s">
        <v>36</v>
      </c>
      <c r="R8633" s="3" t="s">
        <v>36</v>
      </c>
      <c r="S8633" s="3" t="s">
        <v>36</v>
      </c>
      <c r="T8633" s="3" t="s">
        <v>37478</v>
      </c>
      <c r="U8633" s="3" t="s">
        <v>318</v>
      </c>
      <c r="V8633" s="3" t="s">
        <v>39</v>
      </c>
      <c r="W8633" s="3" t="s">
        <v>37479</v>
      </c>
      <c r="X8633" s="10" t="s">
        <v>37480</v>
      </c>
      <c r="Y8633" s="6" t="s">
        <v>42</v>
      </c>
      <c r="Z8633" s="4">
        <v>1.14</v>
      </c>
      <c r="AA8633" s="4">
        <v>4.72</v>
      </c>
      <c r="AB8633" s="3" t="s">
        <v>43</v>
      </c>
      <c r="AC8633" s="3" t="s">
        <v>37481</v>
      </c>
      <c r="AD8633" s="9">
        <v>40695</v>
      </c>
      <c r="AE8633" s="3" t="s">
        <v>763</v>
      </c>
      <c r="AF8633" s="3" t="s">
        <v>511</v>
      </c>
      <c r="AG8633" s="3" t="s">
        <v>3406</v>
      </c>
      <c r="AH8633" s="11">
        <f>HYPERLINK("https://my.pitchbook.com?c=26114-23T","View Company Online")</f>
      </c>
    </row>
    <row r="8634">
      <c r="A8634" s="12" t="s">
        <v>37482</v>
      </c>
      <c r="B8634" s="12" t="s">
        <v>36843</v>
      </c>
      <c r="C8634" s="19">
        <v>2</v>
      </c>
      <c r="D8634" s="19">
        <v>26</v>
      </c>
      <c r="E8634" s="19">
        <v>7</v>
      </c>
      <c r="F8634" s="19">
        <v>32</v>
      </c>
      <c r="G8634" s="15" t="s">
        <v>36</v>
      </c>
      <c r="H8634" s="14" t="s">
        <v>36</v>
      </c>
      <c r="I8634" s="18" t="s">
        <v>36</v>
      </c>
      <c r="J8634" s="12" t="s">
        <v>327</v>
      </c>
      <c r="K8634" s="13" t="s">
        <v>36</v>
      </c>
      <c r="L8634" s="15" t="s">
        <v>36</v>
      </c>
      <c r="M8634" s="12" t="s">
        <v>36</v>
      </c>
      <c r="N8634" s="12" t="s">
        <v>36</v>
      </c>
      <c r="O8634" s="17" t="s">
        <v>36</v>
      </c>
      <c r="P8634" s="12" t="s">
        <v>36</v>
      </c>
      <c r="Q8634" s="12" t="s">
        <v>36</v>
      </c>
      <c r="R8634" s="12" t="s">
        <v>36</v>
      </c>
      <c r="S8634" s="12" t="s">
        <v>36</v>
      </c>
      <c r="T8634" s="12" t="s">
        <v>2910</v>
      </c>
      <c r="U8634" s="12" t="s">
        <v>219</v>
      </c>
      <c r="V8634" s="12" t="s">
        <v>75</v>
      </c>
      <c r="W8634" s="12" t="s">
        <v>36844</v>
      </c>
      <c r="X8634" s="16" t="s">
        <v>37483</v>
      </c>
      <c r="Y8634" s="15" t="s">
        <v>55</v>
      </c>
      <c r="Z8634" s="14">
        <v>0.29</v>
      </c>
      <c r="AA8634" s="14">
        <v>1.61</v>
      </c>
      <c r="AB8634" s="12" t="s">
        <v>56</v>
      </c>
      <c r="AC8634" s="12" t="s">
        <v>36846</v>
      </c>
      <c r="AD8634" s="13">
        <v>40695</v>
      </c>
      <c r="AE8634" s="12" t="s">
        <v>2914</v>
      </c>
      <c r="AF8634" s="12" t="s">
        <v>571</v>
      </c>
      <c r="AG8634" s="12" t="s">
        <v>23058</v>
      </c>
      <c r="AH8634" s="1">
        <f>HYPERLINK("https://my.pitchbook.com?c=29634-40T","View Company Online")</f>
      </c>
    </row>
    <row r="8635">
      <c r="A8635" s="3" t="s">
        <v>37484</v>
      </c>
      <c r="B8635" s="3" t="s">
        <v>27981</v>
      </c>
      <c r="C8635" s="5">
        <v>1</v>
      </c>
      <c r="D8635" s="5">
        <v>12</v>
      </c>
      <c r="E8635" s="5">
        <v>6</v>
      </c>
      <c r="F8635" s="5">
        <v>21</v>
      </c>
      <c r="G8635" s="6" t="s">
        <v>36</v>
      </c>
      <c r="H8635" s="4" t="s">
        <v>36</v>
      </c>
      <c r="I8635" s="7" t="s">
        <v>36</v>
      </c>
      <c r="J8635" s="3" t="s">
        <v>36</v>
      </c>
      <c r="K8635" s="9" t="s">
        <v>36</v>
      </c>
      <c r="L8635" s="6" t="s">
        <v>36</v>
      </c>
      <c r="M8635" s="3" t="s">
        <v>36</v>
      </c>
      <c r="N8635" s="3" t="s">
        <v>36</v>
      </c>
      <c r="O8635" s="8" t="s">
        <v>36</v>
      </c>
      <c r="P8635" s="3" t="s">
        <v>36</v>
      </c>
      <c r="Q8635" s="3" t="s">
        <v>36</v>
      </c>
      <c r="R8635" s="3" t="s">
        <v>36</v>
      </c>
      <c r="S8635" s="3" t="s">
        <v>36</v>
      </c>
      <c r="T8635" s="3" t="s">
        <v>661</v>
      </c>
      <c r="U8635" s="3" t="s">
        <v>51</v>
      </c>
      <c r="V8635" s="3" t="s">
        <v>52</v>
      </c>
      <c r="W8635" s="3" t="s">
        <v>27982</v>
      </c>
      <c r="X8635" s="10" t="s">
        <v>10390</v>
      </c>
      <c r="Y8635" s="6" t="s">
        <v>42</v>
      </c>
      <c r="Z8635" s="4" t="s">
        <v>36</v>
      </c>
      <c r="AA8635" s="4" t="s">
        <v>36</v>
      </c>
      <c r="AB8635" s="3" t="s">
        <v>43</v>
      </c>
      <c r="AC8635" s="3" t="s">
        <v>27984</v>
      </c>
      <c r="AD8635" s="9">
        <v>40695</v>
      </c>
      <c r="AE8635" s="3" t="s">
        <v>158</v>
      </c>
      <c r="AF8635" s="3" t="s">
        <v>665</v>
      </c>
      <c r="AG8635" s="3" t="s">
        <v>14541</v>
      </c>
      <c r="AH8635" s="11">
        <f>HYPERLINK("https://my.pitchbook.com?c=163920-88T","View Company Online")</f>
      </c>
    </row>
    <row r="8636">
      <c r="A8636" s="12" t="s">
        <v>37485</v>
      </c>
      <c r="B8636" s="12" t="s">
        <v>37486</v>
      </c>
      <c r="C8636" s="19">
        <v>1</v>
      </c>
      <c r="D8636" s="19">
        <v>14</v>
      </c>
      <c r="E8636" s="19">
        <v>6</v>
      </c>
      <c r="F8636" s="19">
        <v>16</v>
      </c>
      <c r="G8636" s="15" t="s">
        <v>36</v>
      </c>
      <c r="H8636" s="14" t="s">
        <v>36</v>
      </c>
      <c r="I8636" s="18" t="s">
        <v>36</v>
      </c>
      <c r="J8636" s="12" t="s">
        <v>36</v>
      </c>
      <c r="K8636" s="13" t="s">
        <v>36</v>
      </c>
      <c r="L8636" s="15" t="s">
        <v>36</v>
      </c>
      <c r="M8636" s="12" t="s">
        <v>36</v>
      </c>
      <c r="N8636" s="12" t="s">
        <v>36</v>
      </c>
      <c r="O8636" s="17" t="s">
        <v>36</v>
      </c>
      <c r="P8636" s="12" t="s">
        <v>36</v>
      </c>
      <c r="Q8636" s="12" t="s">
        <v>36</v>
      </c>
      <c r="R8636" s="12" t="s">
        <v>36</v>
      </c>
      <c r="S8636" s="12" t="s">
        <v>36</v>
      </c>
      <c r="T8636" s="12" t="s">
        <v>927</v>
      </c>
      <c r="U8636" s="12" t="s">
        <v>219</v>
      </c>
      <c r="V8636" s="12" t="s">
        <v>75</v>
      </c>
      <c r="W8636" s="12" t="s">
        <v>37487</v>
      </c>
      <c r="X8636" s="16" t="s">
        <v>12817</v>
      </c>
      <c r="Y8636" s="15" t="s">
        <v>42</v>
      </c>
      <c r="Z8636" s="14" t="s">
        <v>36</v>
      </c>
      <c r="AA8636" s="14" t="s">
        <v>36</v>
      </c>
      <c r="AB8636" s="12" t="s">
        <v>43</v>
      </c>
      <c r="AC8636" s="12" t="s">
        <v>37488</v>
      </c>
      <c r="AD8636" s="13">
        <v>40695</v>
      </c>
      <c r="AE8636" s="12" t="s">
        <v>243</v>
      </c>
      <c r="AF8636" s="12" t="s">
        <v>2132</v>
      </c>
      <c r="AG8636" s="12" t="s">
        <v>3520</v>
      </c>
      <c r="AH8636" s="1">
        <f>HYPERLINK("https://my.pitchbook.com?c=178196-05T","View Company Online")</f>
      </c>
    </row>
    <row r="8637">
      <c r="A8637" s="3" t="s">
        <v>37489</v>
      </c>
      <c r="B8637" s="3" t="s">
        <v>37490</v>
      </c>
      <c r="C8637" s="5" t="s">
        <v>36</v>
      </c>
      <c r="D8637" s="5" t="s">
        <v>36</v>
      </c>
      <c r="E8637" s="5">
        <v>1</v>
      </c>
      <c r="F8637" s="5">
        <v>1</v>
      </c>
      <c r="G8637" s="6" t="s">
        <v>36</v>
      </c>
      <c r="H8637" s="4" t="s">
        <v>36</v>
      </c>
      <c r="I8637" s="7" t="s">
        <v>36</v>
      </c>
      <c r="J8637" s="3" t="s">
        <v>36</v>
      </c>
      <c r="K8637" s="9" t="s">
        <v>36</v>
      </c>
      <c r="L8637" s="6" t="s">
        <v>122</v>
      </c>
      <c r="M8637" s="3" t="s">
        <v>36</v>
      </c>
      <c r="N8637" s="3" t="s">
        <v>122</v>
      </c>
      <c r="O8637" s="8" t="s">
        <v>36</v>
      </c>
      <c r="P8637" s="3" t="s">
        <v>36</v>
      </c>
      <c r="Q8637" s="3" t="s">
        <v>36</v>
      </c>
      <c r="R8637" s="3" t="s">
        <v>36</v>
      </c>
      <c r="S8637" s="3" t="s">
        <v>36</v>
      </c>
      <c r="T8637" s="3" t="s">
        <v>9193</v>
      </c>
      <c r="U8637" s="3" t="s">
        <v>74</v>
      </c>
      <c r="V8637" s="3" t="s">
        <v>75</v>
      </c>
      <c r="W8637" s="3" t="s">
        <v>37491</v>
      </c>
      <c r="X8637" s="10" t="s">
        <v>37492</v>
      </c>
      <c r="Y8637" s="6" t="s">
        <v>108</v>
      </c>
      <c r="Z8637" s="4">
        <v>3.6</v>
      </c>
      <c r="AA8637" s="4" t="s">
        <v>36</v>
      </c>
      <c r="AB8637" s="3" t="s">
        <v>43</v>
      </c>
      <c r="AC8637" s="3" t="s">
        <v>37493</v>
      </c>
      <c r="AD8637" s="9">
        <v>40693</v>
      </c>
      <c r="AE8637" s="3" t="s">
        <v>79</v>
      </c>
      <c r="AF8637" s="3" t="s">
        <v>32809</v>
      </c>
      <c r="AG8637" s="3" t="s">
        <v>81</v>
      </c>
      <c r="AH8637" s="11">
        <f>HYPERLINK("https://my.pitchbook.com?c=18527-14T","View Company Online")</f>
      </c>
    </row>
    <row r="8638">
      <c r="A8638" s="12" t="s">
        <v>37494</v>
      </c>
      <c r="B8638" s="12" t="s">
        <v>32744</v>
      </c>
      <c r="C8638" s="19" t="s">
        <v>36</v>
      </c>
      <c r="D8638" s="19" t="s">
        <v>36</v>
      </c>
      <c r="E8638" s="19" t="s">
        <v>36</v>
      </c>
      <c r="F8638" s="19" t="s">
        <v>36</v>
      </c>
      <c r="G8638" s="15" t="s">
        <v>326</v>
      </c>
      <c r="H8638" s="14">
        <v>133.92</v>
      </c>
      <c r="I8638" s="18">
        <v>21.57</v>
      </c>
      <c r="J8638" s="12" t="s">
        <v>521</v>
      </c>
      <c r="K8638" s="13" t="s">
        <v>36</v>
      </c>
      <c r="L8638" s="15" t="s">
        <v>36</v>
      </c>
      <c r="M8638" s="12" t="s">
        <v>36</v>
      </c>
      <c r="N8638" s="12" t="s">
        <v>36</v>
      </c>
      <c r="O8638" s="17" t="s">
        <v>36</v>
      </c>
      <c r="P8638" s="12" t="s">
        <v>36</v>
      </c>
      <c r="Q8638" s="12" t="s">
        <v>36</v>
      </c>
      <c r="R8638" s="12" t="s">
        <v>36</v>
      </c>
      <c r="S8638" s="12" t="s">
        <v>36</v>
      </c>
      <c r="T8638" s="12" t="s">
        <v>2811</v>
      </c>
      <c r="U8638" s="12" t="s">
        <v>219</v>
      </c>
      <c r="V8638" s="12" t="s">
        <v>75</v>
      </c>
      <c r="W8638" s="12" t="s">
        <v>32745</v>
      </c>
      <c r="X8638" s="16" t="s">
        <v>36422</v>
      </c>
      <c r="Y8638" s="15" t="s">
        <v>192</v>
      </c>
      <c r="Z8638" s="14">
        <v>2.29</v>
      </c>
      <c r="AA8638" s="14">
        <v>8.7</v>
      </c>
      <c r="AB8638" s="12" t="s">
        <v>43</v>
      </c>
      <c r="AC8638" s="12" t="s">
        <v>32746</v>
      </c>
      <c r="AD8638" s="13">
        <v>40693</v>
      </c>
      <c r="AE8638" s="12" t="s">
        <v>223</v>
      </c>
      <c r="AF8638" s="12" t="s">
        <v>733</v>
      </c>
      <c r="AG8638" s="12" t="s">
        <v>81</v>
      </c>
      <c r="AH8638" s="1">
        <f>HYPERLINK("https://my.pitchbook.com?c=30091-60T","View Company Online")</f>
      </c>
    </row>
    <row r="8639">
      <c r="A8639" s="3" t="s">
        <v>37495</v>
      </c>
      <c r="B8639" s="3" t="s">
        <v>37496</v>
      </c>
      <c r="C8639" s="5" t="s">
        <v>36</v>
      </c>
      <c r="D8639" s="5" t="s">
        <v>36</v>
      </c>
      <c r="E8639" s="5" t="s">
        <v>36</v>
      </c>
      <c r="F8639" s="5" t="s">
        <v>36</v>
      </c>
      <c r="G8639" s="6" t="s">
        <v>36</v>
      </c>
      <c r="H8639" s="4" t="s">
        <v>36</v>
      </c>
      <c r="I8639" s="7" t="s">
        <v>36</v>
      </c>
      <c r="J8639" s="3" t="s">
        <v>36</v>
      </c>
      <c r="K8639" s="9" t="s">
        <v>36</v>
      </c>
      <c r="L8639" s="6" t="s">
        <v>36</v>
      </c>
      <c r="M8639" s="3" t="s">
        <v>36</v>
      </c>
      <c r="N8639" s="3" t="s">
        <v>36</v>
      </c>
      <c r="O8639" s="8" t="s">
        <v>36</v>
      </c>
      <c r="P8639" s="3" t="s">
        <v>36</v>
      </c>
      <c r="Q8639" s="3" t="s">
        <v>36</v>
      </c>
      <c r="R8639" s="3" t="s">
        <v>36</v>
      </c>
      <c r="S8639" s="3" t="s">
        <v>36</v>
      </c>
      <c r="T8639" s="3" t="s">
        <v>37497</v>
      </c>
      <c r="U8639" s="3" t="s">
        <v>2279</v>
      </c>
      <c r="V8639" s="3" t="s">
        <v>378</v>
      </c>
      <c r="W8639" s="3" t="s">
        <v>37498</v>
      </c>
      <c r="X8639" s="10" t="s">
        <v>37499</v>
      </c>
      <c r="Y8639" s="6" t="s">
        <v>42</v>
      </c>
      <c r="Z8639" s="4">
        <v>1.86</v>
      </c>
      <c r="AA8639" s="4" t="s">
        <v>36</v>
      </c>
      <c r="AB8639" s="3" t="s">
        <v>43</v>
      </c>
      <c r="AC8639" s="3" t="s">
        <v>37500</v>
      </c>
      <c r="AD8639" s="9">
        <v>40692</v>
      </c>
      <c r="AE8639" s="3" t="s">
        <v>5828</v>
      </c>
      <c r="AF8639" s="3" t="s">
        <v>1969</v>
      </c>
      <c r="AG8639" s="3" t="s">
        <v>37501</v>
      </c>
      <c r="AH8639" s="11">
        <f>HYPERLINK("https://my.pitchbook.com?c=88219-45T","View Company Online")</f>
      </c>
    </row>
    <row r="8640">
      <c r="A8640" s="12" t="s">
        <v>37502</v>
      </c>
      <c r="B8640" s="12" t="s">
        <v>37503</v>
      </c>
      <c r="C8640" s="19" t="s">
        <v>36</v>
      </c>
      <c r="D8640" s="19">
        <v>1</v>
      </c>
      <c r="E8640" s="19">
        <v>1</v>
      </c>
      <c r="F8640" s="19">
        <v>1</v>
      </c>
      <c r="G8640" s="15" t="s">
        <v>36</v>
      </c>
      <c r="H8640" s="14" t="s">
        <v>36</v>
      </c>
      <c r="I8640" s="18" t="s">
        <v>36</v>
      </c>
      <c r="J8640" s="12" t="s">
        <v>36</v>
      </c>
      <c r="K8640" s="13" t="s">
        <v>36</v>
      </c>
      <c r="L8640" s="15" t="s">
        <v>36</v>
      </c>
      <c r="M8640" s="12" t="s">
        <v>36</v>
      </c>
      <c r="N8640" s="12" t="s">
        <v>36</v>
      </c>
      <c r="O8640" s="17" t="s">
        <v>36</v>
      </c>
      <c r="P8640" s="12" t="s">
        <v>36</v>
      </c>
      <c r="Q8640" s="12" t="s">
        <v>36</v>
      </c>
      <c r="R8640" s="12" t="s">
        <v>36</v>
      </c>
      <c r="S8640" s="12" t="s">
        <v>36</v>
      </c>
      <c r="T8640" s="12" t="s">
        <v>3722</v>
      </c>
      <c r="U8640" s="12" t="s">
        <v>96</v>
      </c>
      <c r="V8640" s="12" t="s">
        <v>52</v>
      </c>
      <c r="W8640" s="12" t="s">
        <v>37504</v>
      </c>
      <c r="X8640" s="16" t="s">
        <v>37505</v>
      </c>
      <c r="Y8640" s="15" t="s">
        <v>108</v>
      </c>
      <c r="Z8640" s="14">
        <v>4.31</v>
      </c>
      <c r="AA8640" s="14" t="s">
        <v>36</v>
      </c>
      <c r="AB8640" s="12" t="s">
        <v>43</v>
      </c>
      <c r="AC8640" s="12" t="s">
        <v>37506</v>
      </c>
      <c r="AD8640" s="13">
        <v>40689</v>
      </c>
      <c r="AE8640" s="12" t="s">
        <v>100</v>
      </c>
      <c r="AF8640" s="12" t="s">
        <v>571</v>
      </c>
      <c r="AG8640" s="12" t="s">
        <v>81</v>
      </c>
      <c r="AH8640" s="1">
        <f>HYPERLINK("https://my.pitchbook.com?c=36011-98T","View Company Online")</f>
      </c>
    </row>
    <row r="8641">
      <c r="A8641" s="3" t="s">
        <v>37507</v>
      </c>
      <c r="B8641" s="3" t="s">
        <v>32798</v>
      </c>
      <c r="C8641" s="5">
        <v>3</v>
      </c>
      <c r="D8641" s="5">
        <v>4</v>
      </c>
      <c r="E8641" s="5">
        <v>3</v>
      </c>
      <c r="F8641" s="5">
        <v>14</v>
      </c>
      <c r="G8641" s="6" t="s">
        <v>36</v>
      </c>
      <c r="H8641" s="4">
        <v>6.07</v>
      </c>
      <c r="I8641" s="7">
        <v>8.95</v>
      </c>
      <c r="J8641" s="3" t="s">
        <v>521</v>
      </c>
      <c r="K8641" s="9" t="s">
        <v>36</v>
      </c>
      <c r="L8641" s="6" t="s">
        <v>36</v>
      </c>
      <c r="M8641" s="3" t="s">
        <v>36</v>
      </c>
      <c r="N8641" s="3" t="s">
        <v>36</v>
      </c>
      <c r="O8641" s="8" t="s">
        <v>36</v>
      </c>
      <c r="P8641" s="3" t="s">
        <v>36</v>
      </c>
      <c r="Q8641" s="3" t="s">
        <v>36</v>
      </c>
      <c r="R8641" s="3" t="s">
        <v>36</v>
      </c>
      <c r="S8641" s="3" t="s">
        <v>36</v>
      </c>
      <c r="T8641" s="3" t="s">
        <v>32799</v>
      </c>
      <c r="U8641" s="3" t="s">
        <v>96</v>
      </c>
      <c r="V8641" s="3" t="s">
        <v>52</v>
      </c>
      <c r="W8641" s="3" t="s">
        <v>32800</v>
      </c>
      <c r="X8641" s="10" t="s">
        <v>18390</v>
      </c>
      <c r="Y8641" s="6" t="s">
        <v>42</v>
      </c>
      <c r="Z8641" s="4">
        <v>0.22</v>
      </c>
      <c r="AA8641" s="4">
        <v>2.42</v>
      </c>
      <c r="AB8641" s="3" t="s">
        <v>56</v>
      </c>
      <c r="AC8641" s="3" t="s">
        <v>32801</v>
      </c>
      <c r="AD8641" s="9">
        <v>40687</v>
      </c>
      <c r="AE8641" s="3" t="s">
        <v>100</v>
      </c>
      <c r="AF8641" s="3" t="s">
        <v>5541</v>
      </c>
      <c r="AG8641" s="3" t="s">
        <v>2370</v>
      </c>
      <c r="AH8641" s="11">
        <f>HYPERLINK("https://my.pitchbook.com?c=29796-94T","View Company Online")</f>
      </c>
    </row>
    <row r="8642">
      <c r="A8642" s="12" t="s">
        <v>37508</v>
      </c>
      <c r="B8642" s="12" t="s">
        <v>32342</v>
      </c>
      <c r="C8642" s="19" t="s">
        <v>36</v>
      </c>
      <c r="D8642" s="19" t="s">
        <v>36</v>
      </c>
      <c r="E8642" s="19" t="s">
        <v>36</v>
      </c>
      <c r="F8642" s="19" t="s">
        <v>36</v>
      </c>
      <c r="G8642" s="15" t="s">
        <v>36</v>
      </c>
      <c r="H8642" s="14" t="s">
        <v>36</v>
      </c>
      <c r="I8642" s="18" t="s">
        <v>36</v>
      </c>
      <c r="J8642" s="12" t="s">
        <v>36</v>
      </c>
      <c r="K8642" s="13" t="s">
        <v>36</v>
      </c>
      <c r="L8642" s="15" t="s">
        <v>36</v>
      </c>
      <c r="M8642" s="12" t="s">
        <v>36</v>
      </c>
      <c r="N8642" s="12" t="s">
        <v>36</v>
      </c>
      <c r="O8642" s="17" t="s">
        <v>36</v>
      </c>
      <c r="P8642" s="12" t="s">
        <v>36</v>
      </c>
      <c r="Q8642" s="12" t="s">
        <v>36</v>
      </c>
      <c r="R8642" s="12" t="s">
        <v>36</v>
      </c>
      <c r="S8642" s="12" t="s">
        <v>36</v>
      </c>
      <c r="T8642" s="12" t="s">
        <v>6192</v>
      </c>
      <c r="U8642" s="12" t="s">
        <v>1357</v>
      </c>
      <c r="V8642" s="12" t="s">
        <v>52</v>
      </c>
      <c r="W8642" s="12" t="s">
        <v>32343</v>
      </c>
      <c r="X8642" s="16" t="s">
        <v>37509</v>
      </c>
      <c r="Y8642" s="15" t="s">
        <v>42</v>
      </c>
      <c r="Z8642" s="14" t="s">
        <v>36</v>
      </c>
      <c r="AA8642" s="14" t="s">
        <v>36</v>
      </c>
      <c r="AB8642" s="12" t="s">
        <v>43</v>
      </c>
      <c r="AC8642" s="12" t="s">
        <v>32344</v>
      </c>
      <c r="AD8642" s="13">
        <v>40686</v>
      </c>
      <c r="AE8642" s="12" t="s">
        <v>2377</v>
      </c>
      <c r="AF8642" s="12" t="s">
        <v>36</v>
      </c>
      <c r="AG8642" s="12" t="s">
        <v>2088</v>
      </c>
      <c r="AH8642" s="1">
        <f>HYPERLINK("https://my.pitchbook.com?c=49447-72T","View Company Online")</f>
      </c>
    </row>
    <row r="8643">
      <c r="A8643" s="3" t="s">
        <v>37510</v>
      </c>
      <c r="B8643" s="3" t="s">
        <v>34661</v>
      </c>
      <c r="C8643" s="5" t="s">
        <v>36</v>
      </c>
      <c r="D8643" s="5" t="s">
        <v>36</v>
      </c>
      <c r="E8643" s="5" t="s">
        <v>36</v>
      </c>
      <c r="F8643" s="5" t="s">
        <v>36</v>
      </c>
      <c r="G8643" s="6" t="s">
        <v>36</v>
      </c>
      <c r="H8643" s="4" t="s">
        <v>36</v>
      </c>
      <c r="I8643" s="7" t="s">
        <v>36</v>
      </c>
      <c r="J8643" s="3" t="s">
        <v>36</v>
      </c>
      <c r="K8643" s="9" t="s">
        <v>36</v>
      </c>
      <c r="L8643" s="6" t="s">
        <v>36</v>
      </c>
      <c r="M8643" s="3" t="s">
        <v>36</v>
      </c>
      <c r="N8643" s="3" t="s">
        <v>36</v>
      </c>
      <c r="O8643" s="8" t="s">
        <v>36</v>
      </c>
      <c r="P8643" s="3" t="s">
        <v>36</v>
      </c>
      <c r="Q8643" s="3" t="s">
        <v>36</v>
      </c>
      <c r="R8643" s="3" t="s">
        <v>36</v>
      </c>
      <c r="S8643" s="3" t="s">
        <v>36</v>
      </c>
      <c r="T8643" s="3" t="s">
        <v>34662</v>
      </c>
      <c r="U8643" s="3" t="s">
        <v>38</v>
      </c>
      <c r="V8643" s="3" t="s">
        <v>39</v>
      </c>
      <c r="W8643" s="3" t="s">
        <v>34663</v>
      </c>
      <c r="X8643" s="10" t="s">
        <v>37511</v>
      </c>
      <c r="Y8643" s="6" t="s">
        <v>42</v>
      </c>
      <c r="Z8643" s="4">
        <v>0.97</v>
      </c>
      <c r="AA8643" s="4" t="s">
        <v>36</v>
      </c>
      <c r="AB8643" s="3" t="s">
        <v>43</v>
      </c>
      <c r="AC8643" s="3" t="s">
        <v>34665</v>
      </c>
      <c r="AD8643" s="9">
        <v>40686</v>
      </c>
      <c r="AE8643" s="3" t="s">
        <v>110</v>
      </c>
      <c r="AF8643" s="3" t="s">
        <v>12769</v>
      </c>
      <c r="AG8643" s="3" t="s">
        <v>4172</v>
      </c>
      <c r="AH8643" s="11">
        <f>HYPERLINK("https://my.pitchbook.com?c=123858-64T","View Company Online")</f>
      </c>
    </row>
    <row r="8644">
      <c r="A8644" s="12" t="s">
        <v>37512</v>
      </c>
      <c r="B8644" s="12" t="s">
        <v>24315</v>
      </c>
      <c r="C8644" s="19">
        <v>5</v>
      </c>
      <c r="D8644" s="19">
        <v>30</v>
      </c>
      <c r="E8644" s="19">
        <v>9</v>
      </c>
      <c r="F8644" s="19">
        <v>37</v>
      </c>
      <c r="G8644" s="15" t="s">
        <v>36</v>
      </c>
      <c r="H8644" s="14" t="s">
        <v>36</v>
      </c>
      <c r="I8644" s="18" t="s">
        <v>36</v>
      </c>
      <c r="J8644" s="12" t="s">
        <v>36</v>
      </c>
      <c r="K8644" s="13" t="s">
        <v>36</v>
      </c>
      <c r="L8644" s="15" t="s">
        <v>36</v>
      </c>
      <c r="M8644" s="12" t="s">
        <v>36</v>
      </c>
      <c r="N8644" s="12" t="s">
        <v>36</v>
      </c>
      <c r="O8644" s="17" t="s">
        <v>36</v>
      </c>
      <c r="P8644" s="12" t="s">
        <v>36</v>
      </c>
      <c r="Q8644" s="12" t="s">
        <v>36</v>
      </c>
      <c r="R8644" s="12" t="s">
        <v>36</v>
      </c>
      <c r="S8644" s="12" t="s">
        <v>36</v>
      </c>
      <c r="T8644" s="12" t="s">
        <v>253</v>
      </c>
      <c r="U8644" s="12" t="s">
        <v>38</v>
      </c>
      <c r="V8644" s="12" t="s">
        <v>39</v>
      </c>
      <c r="W8644" s="12" t="s">
        <v>24316</v>
      </c>
      <c r="X8644" s="16" t="s">
        <v>37513</v>
      </c>
      <c r="Y8644" s="15" t="s">
        <v>42</v>
      </c>
      <c r="Z8644" s="14">
        <v>5.77</v>
      </c>
      <c r="AA8644" s="14" t="s">
        <v>36</v>
      </c>
      <c r="AB8644" s="12" t="s">
        <v>56</v>
      </c>
      <c r="AC8644" s="12" t="s">
        <v>24318</v>
      </c>
      <c r="AD8644" s="13">
        <v>40686</v>
      </c>
      <c r="AE8644" s="12" t="s">
        <v>110</v>
      </c>
      <c r="AF8644" s="12" t="s">
        <v>24319</v>
      </c>
      <c r="AG8644" s="12" t="s">
        <v>81</v>
      </c>
      <c r="AH8644" s="1">
        <f>HYPERLINK("https://my.pitchbook.com?c=25697-71T","View Company Online")</f>
      </c>
    </row>
    <row r="8645">
      <c r="A8645" s="3" t="s">
        <v>37514</v>
      </c>
      <c r="B8645" s="3" t="s">
        <v>37515</v>
      </c>
      <c r="C8645" s="5" t="s">
        <v>36</v>
      </c>
      <c r="D8645" s="5" t="s">
        <v>36</v>
      </c>
      <c r="E8645" s="5" t="s">
        <v>36</v>
      </c>
      <c r="F8645" s="5" t="s">
        <v>36</v>
      </c>
      <c r="G8645" s="6" t="s">
        <v>36</v>
      </c>
      <c r="H8645" s="4" t="s">
        <v>36</v>
      </c>
      <c r="I8645" s="7" t="s">
        <v>36</v>
      </c>
      <c r="J8645" s="3" t="s">
        <v>36</v>
      </c>
      <c r="K8645" s="9" t="s">
        <v>36</v>
      </c>
      <c r="L8645" s="6" t="s">
        <v>36</v>
      </c>
      <c r="M8645" s="3" t="s">
        <v>36</v>
      </c>
      <c r="N8645" s="3" t="s">
        <v>36</v>
      </c>
      <c r="O8645" s="8" t="s">
        <v>36</v>
      </c>
      <c r="P8645" s="3" t="s">
        <v>36</v>
      </c>
      <c r="Q8645" s="3" t="s">
        <v>36</v>
      </c>
      <c r="R8645" s="3" t="s">
        <v>36</v>
      </c>
      <c r="S8645" s="3" t="s">
        <v>36</v>
      </c>
      <c r="T8645" s="3" t="s">
        <v>37516</v>
      </c>
      <c r="U8645" s="3" t="s">
        <v>38</v>
      </c>
      <c r="V8645" s="3" t="s">
        <v>39</v>
      </c>
      <c r="W8645" s="3" t="s">
        <v>37517</v>
      </c>
      <c r="X8645" s="10" t="s">
        <v>37518</v>
      </c>
      <c r="Y8645" s="6" t="s">
        <v>42</v>
      </c>
      <c r="Z8645" s="4" t="s">
        <v>36</v>
      </c>
      <c r="AA8645" s="4" t="s">
        <v>36</v>
      </c>
      <c r="AB8645" s="3" t="s">
        <v>43</v>
      </c>
      <c r="AC8645" s="3" t="s">
        <v>37519</v>
      </c>
      <c r="AD8645" s="9">
        <v>40683</v>
      </c>
      <c r="AE8645" s="3" t="s">
        <v>134</v>
      </c>
      <c r="AF8645" s="3" t="s">
        <v>9319</v>
      </c>
      <c r="AG8645" s="3" t="s">
        <v>81</v>
      </c>
      <c r="AH8645" s="11">
        <f>HYPERLINK("https://my.pitchbook.com?c=46124-74T","View Company Online")</f>
      </c>
    </row>
    <row r="8646">
      <c r="A8646" s="12" t="s">
        <v>37520</v>
      </c>
      <c r="B8646" s="12" t="s">
        <v>28375</v>
      </c>
      <c r="C8646" s="19">
        <v>3</v>
      </c>
      <c r="D8646" s="19">
        <v>28</v>
      </c>
      <c r="E8646" s="19">
        <v>4</v>
      </c>
      <c r="F8646" s="19">
        <v>31</v>
      </c>
      <c r="G8646" s="15" t="s">
        <v>326</v>
      </c>
      <c r="H8646" s="14">
        <v>16.47</v>
      </c>
      <c r="I8646" s="18">
        <v>59.85</v>
      </c>
      <c r="J8646" s="12" t="s">
        <v>521</v>
      </c>
      <c r="K8646" s="13" t="s">
        <v>36</v>
      </c>
      <c r="L8646" s="15" t="s">
        <v>122</v>
      </c>
      <c r="M8646" s="12" t="s">
        <v>36</v>
      </c>
      <c r="N8646" s="12" t="s">
        <v>122</v>
      </c>
      <c r="O8646" s="17" t="s">
        <v>36</v>
      </c>
      <c r="P8646" s="12" t="s">
        <v>36</v>
      </c>
      <c r="Q8646" s="12" t="s">
        <v>36</v>
      </c>
      <c r="R8646" s="12" t="s">
        <v>36</v>
      </c>
      <c r="S8646" s="12" t="s">
        <v>36</v>
      </c>
      <c r="T8646" s="12" t="s">
        <v>15724</v>
      </c>
      <c r="U8646" s="12" t="s">
        <v>51</v>
      </c>
      <c r="V8646" s="12" t="s">
        <v>52</v>
      </c>
      <c r="W8646" s="12" t="s">
        <v>28376</v>
      </c>
      <c r="X8646" s="16" t="s">
        <v>37521</v>
      </c>
      <c r="Y8646" s="15" t="s">
        <v>108</v>
      </c>
      <c r="Z8646" s="14">
        <v>7.4</v>
      </c>
      <c r="AA8646" s="14">
        <v>12.36</v>
      </c>
      <c r="AB8646" s="12" t="s">
        <v>43</v>
      </c>
      <c r="AC8646" s="12" t="s">
        <v>28378</v>
      </c>
      <c r="AD8646" s="13">
        <v>40680</v>
      </c>
      <c r="AE8646" s="12" t="s">
        <v>6868</v>
      </c>
      <c r="AF8646" s="12" t="s">
        <v>159</v>
      </c>
      <c r="AG8646" s="12" t="s">
        <v>81</v>
      </c>
      <c r="AH8646" s="1">
        <f>HYPERLINK("https://my.pitchbook.com?c=25680-43T","View Company Online")</f>
      </c>
    </row>
    <row r="8647">
      <c r="A8647" s="3" t="s">
        <v>37522</v>
      </c>
      <c r="B8647" s="3" t="s">
        <v>34138</v>
      </c>
      <c r="C8647" s="5" t="s">
        <v>36</v>
      </c>
      <c r="D8647" s="5" t="s">
        <v>36</v>
      </c>
      <c r="E8647" s="5" t="s">
        <v>36</v>
      </c>
      <c r="F8647" s="5" t="s">
        <v>36</v>
      </c>
      <c r="G8647" s="6" t="s">
        <v>36</v>
      </c>
      <c r="H8647" s="4" t="s">
        <v>36</v>
      </c>
      <c r="I8647" s="7" t="s">
        <v>36</v>
      </c>
      <c r="J8647" s="3" t="s">
        <v>36</v>
      </c>
      <c r="K8647" s="9" t="s">
        <v>36</v>
      </c>
      <c r="L8647" s="6" t="s">
        <v>36</v>
      </c>
      <c r="M8647" s="3" t="s">
        <v>36</v>
      </c>
      <c r="N8647" s="3" t="s">
        <v>36</v>
      </c>
      <c r="O8647" s="8" t="s">
        <v>36</v>
      </c>
      <c r="P8647" s="3" t="s">
        <v>36</v>
      </c>
      <c r="Q8647" s="3" t="s">
        <v>36</v>
      </c>
      <c r="R8647" s="3" t="s">
        <v>36</v>
      </c>
      <c r="S8647" s="3" t="s">
        <v>36</v>
      </c>
      <c r="T8647" s="3" t="s">
        <v>4230</v>
      </c>
      <c r="U8647" s="3" t="s">
        <v>38</v>
      </c>
      <c r="V8647" s="3" t="s">
        <v>39</v>
      </c>
      <c r="W8647" s="3" t="s">
        <v>34139</v>
      </c>
      <c r="X8647" s="10" t="s">
        <v>37523</v>
      </c>
      <c r="Y8647" s="6" t="s">
        <v>108</v>
      </c>
      <c r="Z8647" s="4">
        <v>5.08</v>
      </c>
      <c r="AA8647" s="4" t="s">
        <v>36</v>
      </c>
      <c r="AB8647" s="3" t="s">
        <v>43</v>
      </c>
      <c r="AC8647" s="3" t="s">
        <v>34141</v>
      </c>
      <c r="AD8647" s="9">
        <v>40678</v>
      </c>
      <c r="AE8647" s="3" t="s">
        <v>110</v>
      </c>
      <c r="AF8647" s="3" t="s">
        <v>2019</v>
      </c>
      <c r="AG8647" s="3" t="s">
        <v>81</v>
      </c>
      <c r="AH8647" s="11">
        <f>HYPERLINK("https://my.pitchbook.com?c=28518-58T","View Company Online")</f>
      </c>
    </row>
    <row r="8648">
      <c r="A8648" s="12" t="s">
        <v>37524</v>
      </c>
      <c r="B8648" s="12" t="s">
        <v>8286</v>
      </c>
      <c r="C8648" s="19" t="s">
        <v>36</v>
      </c>
      <c r="D8648" s="19" t="s">
        <v>36</v>
      </c>
      <c r="E8648" s="19" t="s">
        <v>36</v>
      </c>
      <c r="F8648" s="19" t="s">
        <v>36</v>
      </c>
      <c r="G8648" s="15" t="s">
        <v>2497</v>
      </c>
      <c r="H8648" s="14">
        <v>4.36</v>
      </c>
      <c r="I8648" s="18">
        <v>19.96</v>
      </c>
      <c r="J8648" s="12" t="s">
        <v>521</v>
      </c>
      <c r="K8648" s="13" t="s">
        <v>36</v>
      </c>
      <c r="L8648" s="15" t="s">
        <v>3736</v>
      </c>
      <c r="M8648" s="12" t="s">
        <v>36</v>
      </c>
      <c r="N8648" s="12" t="s">
        <v>3736</v>
      </c>
      <c r="O8648" s="17" t="s">
        <v>36</v>
      </c>
      <c r="P8648" s="12" t="s">
        <v>36</v>
      </c>
      <c r="Q8648" s="12" t="s">
        <v>36</v>
      </c>
      <c r="R8648" s="12" t="s">
        <v>36</v>
      </c>
      <c r="S8648" s="12" t="s">
        <v>36</v>
      </c>
      <c r="T8648" s="12" t="s">
        <v>8287</v>
      </c>
      <c r="U8648" s="12" t="s">
        <v>180</v>
      </c>
      <c r="V8648" s="12" t="s">
        <v>52</v>
      </c>
      <c r="W8648" s="12" t="s">
        <v>8288</v>
      </c>
      <c r="X8648" s="16" t="s">
        <v>37525</v>
      </c>
      <c r="Y8648" s="15" t="s">
        <v>55</v>
      </c>
      <c r="Z8648" s="14">
        <v>2.18</v>
      </c>
      <c r="AA8648" s="14">
        <v>10.95</v>
      </c>
      <c r="AB8648" s="12" t="s">
        <v>56</v>
      </c>
      <c r="AC8648" s="12" t="s">
        <v>8290</v>
      </c>
      <c r="AD8648" s="13">
        <v>40673</v>
      </c>
      <c r="AE8648" s="12" t="s">
        <v>8291</v>
      </c>
      <c r="AF8648" s="12" t="s">
        <v>101</v>
      </c>
      <c r="AG8648" s="12" t="s">
        <v>787</v>
      </c>
      <c r="AH8648" s="1">
        <f>HYPERLINK("https://my.pitchbook.com?c=25420-24T","View Company Online")</f>
      </c>
    </row>
    <row r="8649">
      <c r="A8649" s="3" t="s">
        <v>37526</v>
      </c>
      <c r="B8649" s="3" t="s">
        <v>35244</v>
      </c>
      <c r="C8649" s="5" t="s">
        <v>36</v>
      </c>
      <c r="D8649" s="5" t="s">
        <v>36</v>
      </c>
      <c r="E8649" s="5" t="s">
        <v>36</v>
      </c>
      <c r="F8649" s="5" t="s">
        <v>36</v>
      </c>
      <c r="G8649" s="6" t="s">
        <v>36</v>
      </c>
      <c r="H8649" s="4" t="s">
        <v>36</v>
      </c>
      <c r="I8649" s="7" t="s">
        <v>36</v>
      </c>
      <c r="J8649" s="3" t="s">
        <v>36</v>
      </c>
      <c r="K8649" s="9" t="s">
        <v>36</v>
      </c>
      <c r="L8649" s="6" t="s">
        <v>36</v>
      </c>
      <c r="M8649" s="3" t="s">
        <v>36</v>
      </c>
      <c r="N8649" s="3" t="s">
        <v>36</v>
      </c>
      <c r="O8649" s="8" t="s">
        <v>36</v>
      </c>
      <c r="P8649" s="3" t="s">
        <v>36</v>
      </c>
      <c r="Q8649" s="3" t="s">
        <v>36</v>
      </c>
      <c r="R8649" s="3" t="s">
        <v>36</v>
      </c>
      <c r="S8649" s="3" t="s">
        <v>36</v>
      </c>
      <c r="T8649" s="3" t="s">
        <v>27412</v>
      </c>
      <c r="U8649" s="3" t="s">
        <v>648</v>
      </c>
      <c r="V8649" s="3" t="s">
        <v>64</v>
      </c>
      <c r="W8649" s="3" t="s">
        <v>35245</v>
      </c>
      <c r="X8649" s="10" t="s">
        <v>36119</v>
      </c>
      <c r="Y8649" s="6" t="s">
        <v>108</v>
      </c>
      <c r="Z8649" s="4">
        <v>1.46</v>
      </c>
      <c r="AA8649" s="4" t="s">
        <v>36</v>
      </c>
      <c r="AB8649" s="3" t="s">
        <v>43</v>
      </c>
      <c r="AC8649" s="3" t="s">
        <v>35247</v>
      </c>
      <c r="AD8649" s="9">
        <v>40672</v>
      </c>
      <c r="AE8649" s="3" t="s">
        <v>651</v>
      </c>
      <c r="AF8649" s="3" t="s">
        <v>1077</v>
      </c>
      <c r="AG8649" s="3" t="s">
        <v>81</v>
      </c>
      <c r="AH8649" s="11">
        <f>HYPERLINK("https://my.pitchbook.com?c=28793-62T","View Company Online")</f>
      </c>
    </row>
    <row r="8650">
      <c r="A8650" s="12" t="s">
        <v>37527</v>
      </c>
      <c r="B8650" s="12" t="s">
        <v>37528</v>
      </c>
      <c r="C8650" s="19" t="s">
        <v>36</v>
      </c>
      <c r="D8650" s="19" t="s">
        <v>36</v>
      </c>
      <c r="E8650" s="19" t="s">
        <v>36</v>
      </c>
      <c r="F8650" s="19" t="s">
        <v>36</v>
      </c>
      <c r="G8650" s="15" t="s">
        <v>326</v>
      </c>
      <c r="H8650" s="14">
        <v>16.4</v>
      </c>
      <c r="I8650" s="18">
        <v>11.72</v>
      </c>
      <c r="J8650" s="12" t="s">
        <v>521</v>
      </c>
      <c r="K8650" s="13" t="s">
        <v>36</v>
      </c>
      <c r="L8650" s="15" t="s">
        <v>36</v>
      </c>
      <c r="M8650" s="12" t="s">
        <v>36</v>
      </c>
      <c r="N8650" s="12" t="s">
        <v>36</v>
      </c>
      <c r="O8650" s="17" t="s">
        <v>36</v>
      </c>
      <c r="P8650" s="12" t="s">
        <v>36</v>
      </c>
      <c r="Q8650" s="12" t="s">
        <v>36</v>
      </c>
      <c r="R8650" s="12" t="s">
        <v>36</v>
      </c>
      <c r="S8650" s="12" t="s">
        <v>36</v>
      </c>
      <c r="T8650" s="12" t="s">
        <v>647</v>
      </c>
      <c r="U8650" s="12" t="s">
        <v>648</v>
      </c>
      <c r="V8650" s="12" t="s">
        <v>64</v>
      </c>
      <c r="W8650" s="12" t="s">
        <v>37529</v>
      </c>
      <c r="X8650" s="16" t="s">
        <v>37530</v>
      </c>
      <c r="Y8650" s="15" t="s">
        <v>192</v>
      </c>
      <c r="Z8650" s="14">
        <v>0.36</v>
      </c>
      <c r="AA8650" s="14">
        <v>3.11</v>
      </c>
      <c r="AB8650" s="12" t="s">
        <v>56</v>
      </c>
      <c r="AC8650" s="12" t="s">
        <v>37531</v>
      </c>
      <c r="AD8650" s="13">
        <v>40670</v>
      </c>
      <c r="AE8650" s="12" t="s">
        <v>651</v>
      </c>
      <c r="AF8650" s="12" t="s">
        <v>36</v>
      </c>
      <c r="AG8650" s="12" t="s">
        <v>37532</v>
      </c>
      <c r="AH8650" s="1">
        <f>HYPERLINK("https://my.pitchbook.com?c=25389-73T","View Company Online")</f>
      </c>
    </row>
    <row r="8651">
      <c r="A8651" s="3" t="s">
        <v>37533</v>
      </c>
      <c r="B8651" s="3" t="s">
        <v>37534</v>
      </c>
      <c r="C8651" s="5" t="s">
        <v>36</v>
      </c>
      <c r="D8651" s="5" t="s">
        <v>36</v>
      </c>
      <c r="E8651" s="5" t="s">
        <v>36</v>
      </c>
      <c r="F8651" s="5" t="s">
        <v>36</v>
      </c>
      <c r="G8651" s="6" t="s">
        <v>36</v>
      </c>
      <c r="H8651" s="4" t="s">
        <v>36</v>
      </c>
      <c r="I8651" s="7" t="s">
        <v>36</v>
      </c>
      <c r="J8651" s="3" t="s">
        <v>36</v>
      </c>
      <c r="K8651" s="9" t="s">
        <v>36</v>
      </c>
      <c r="L8651" s="6" t="s">
        <v>36</v>
      </c>
      <c r="M8651" s="3" t="s">
        <v>36</v>
      </c>
      <c r="N8651" s="3" t="s">
        <v>36</v>
      </c>
      <c r="O8651" s="8" t="s">
        <v>36</v>
      </c>
      <c r="P8651" s="3" t="s">
        <v>36</v>
      </c>
      <c r="Q8651" s="3" t="s">
        <v>36</v>
      </c>
      <c r="R8651" s="3" t="s">
        <v>36</v>
      </c>
      <c r="S8651" s="3" t="s">
        <v>36</v>
      </c>
      <c r="T8651" s="3" t="s">
        <v>317</v>
      </c>
      <c r="U8651" s="3" t="s">
        <v>318</v>
      </c>
      <c r="V8651" s="3" t="s">
        <v>39</v>
      </c>
      <c r="W8651" s="3" t="s">
        <v>37535</v>
      </c>
      <c r="X8651" s="10" t="s">
        <v>37536</v>
      </c>
      <c r="Y8651" s="6" t="s">
        <v>42</v>
      </c>
      <c r="Z8651" s="4">
        <v>4.94</v>
      </c>
      <c r="AA8651" s="4" t="s">
        <v>36</v>
      </c>
      <c r="AB8651" s="3" t="s">
        <v>43</v>
      </c>
      <c r="AC8651" s="3" t="s">
        <v>37537</v>
      </c>
      <c r="AD8651" s="9">
        <v>40666</v>
      </c>
      <c r="AE8651" s="3" t="s">
        <v>323</v>
      </c>
      <c r="AF8651" s="3" t="s">
        <v>37392</v>
      </c>
      <c r="AG8651" s="3" t="s">
        <v>2133</v>
      </c>
      <c r="AH8651" s="11">
        <f>HYPERLINK("https://my.pitchbook.com?c=25423-57T","View Company Online")</f>
      </c>
    </row>
    <row r="8652">
      <c r="A8652" s="12" t="s">
        <v>37538</v>
      </c>
      <c r="B8652" s="12" t="s">
        <v>30471</v>
      </c>
      <c r="C8652" s="19">
        <v>2</v>
      </c>
      <c r="D8652" s="19">
        <v>42</v>
      </c>
      <c r="E8652" s="19">
        <v>22</v>
      </c>
      <c r="F8652" s="19">
        <v>102</v>
      </c>
      <c r="G8652" s="15" t="s">
        <v>36</v>
      </c>
      <c r="H8652" s="14" t="s">
        <v>36</v>
      </c>
      <c r="I8652" s="18" t="s">
        <v>36</v>
      </c>
      <c r="J8652" s="12" t="s">
        <v>36</v>
      </c>
      <c r="K8652" s="13" t="s">
        <v>36</v>
      </c>
      <c r="L8652" s="15" t="s">
        <v>36</v>
      </c>
      <c r="M8652" s="12" t="s">
        <v>36</v>
      </c>
      <c r="N8652" s="12" t="s">
        <v>36</v>
      </c>
      <c r="O8652" s="17" t="s">
        <v>36</v>
      </c>
      <c r="P8652" s="12" t="s">
        <v>36</v>
      </c>
      <c r="Q8652" s="12" t="s">
        <v>36</v>
      </c>
      <c r="R8652" s="12" t="s">
        <v>36</v>
      </c>
      <c r="S8652" s="12" t="s">
        <v>36</v>
      </c>
      <c r="T8652" s="12" t="s">
        <v>4082</v>
      </c>
      <c r="U8652" s="12" t="s">
        <v>1580</v>
      </c>
      <c r="V8652" s="12" t="s">
        <v>39</v>
      </c>
      <c r="W8652" s="12" t="s">
        <v>30472</v>
      </c>
      <c r="X8652" s="16" t="s">
        <v>37539</v>
      </c>
      <c r="Y8652" s="15" t="s">
        <v>166</v>
      </c>
      <c r="Z8652" s="14" t="s">
        <v>36</v>
      </c>
      <c r="AA8652" s="14" t="s">
        <v>36</v>
      </c>
      <c r="AB8652" s="12" t="s">
        <v>56</v>
      </c>
      <c r="AC8652" s="12" t="s">
        <v>30474</v>
      </c>
      <c r="AD8652" s="13">
        <v>40665</v>
      </c>
      <c r="AE8652" s="12" t="s">
        <v>4086</v>
      </c>
      <c r="AF8652" s="12" t="s">
        <v>1636</v>
      </c>
      <c r="AG8652" s="12" t="s">
        <v>81</v>
      </c>
      <c r="AH8652" s="1">
        <f>HYPERLINK("https://my.pitchbook.com?c=26266-60T","View Company Online")</f>
      </c>
    </row>
    <row r="8653">
      <c r="A8653" s="3" t="s">
        <v>37540</v>
      </c>
      <c r="B8653" s="3" t="s">
        <v>37541</v>
      </c>
      <c r="C8653" s="5" t="s">
        <v>36</v>
      </c>
      <c r="D8653" s="5" t="s">
        <v>36</v>
      </c>
      <c r="E8653" s="5" t="s">
        <v>36</v>
      </c>
      <c r="F8653" s="5" t="s">
        <v>36</v>
      </c>
      <c r="G8653" s="6" t="s">
        <v>36</v>
      </c>
      <c r="H8653" s="4" t="s">
        <v>36</v>
      </c>
      <c r="I8653" s="7" t="s">
        <v>36</v>
      </c>
      <c r="J8653" s="3" t="s">
        <v>36</v>
      </c>
      <c r="K8653" s="9" t="s">
        <v>36</v>
      </c>
      <c r="L8653" s="6" t="s">
        <v>36</v>
      </c>
      <c r="M8653" s="3" t="s">
        <v>36</v>
      </c>
      <c r="N8653" s="3" t="s">
        <v>36</v>
      </c>
      <c r="O8653" s="8" t="s">
        <v>36</v>
      </c>
      <c r="P8653" s="3" t="s">
        <v>36</v>
      </c>
      <c r="Q8653" s="3" t="s">
        <v>36</v>
      </c>
      <c r="R8653" s="3" t="s">
        <v>36</v>
      </c>
      <c r="S8653" s="3" t="s">
        <v>36</v>
      </c>
      <c r="T8653" s="3" t="s">
        <v>37542</v>
      </c>
      <c r="U8653" s="3" t="s">
        <v>289</v>
      </c>
      <c r="V8653" s="3" t="s">
        <v>64</v>
      </c>
      <c r="W8653" s="3" t="s">
        <v>37543</v>
      </c>
      <c r="X8653" s="10" t="s">
        <v>5892</v>
      </c>
      <c r="Y8653" s="6" t="s">
        <v>42</v>
      </c>
      <c r="Z8653" s="4" t="s">
        <v>36</v>
      </c>
      <c r="AA8653" s="4" t="s">
        <v>36</v>
      </c>
      <c r="AB8653" s="3" t="s">
        <v>43</v>
      </c>
      <c r="AC8653" s="3" t="s">
        <v>37544</v>
      </c>
      <c r="AD8653" s="9">
        <v>40665</v>
      </c>
      <c r="AE8653" s="3" t="s">
        <v>292</v>
      </c>
      <c r="AF8653" s="3" t="s">
        <v>13140</v>
      </c>
      <c r="AG8653" s="3" t="s">
        <v>8850</v>
      </c>
      <c r="AH8653" s="11">
        <f>HYPERLINK("https://my.pitchbook.com?c=26755-39T","View Company Online")</f>
      </c>
    </row>
    <row r="8654">
      <c r="A8654" s="12" t="s">
        <v>37545</v>
      </c>
      <c r="B8654" s="12" t="s">
        <v>30610</v>
      </c>
      <c r="C8654" s="19" t="s">
        <v>36</v>
      </c>
      <c r="D8654" s="19" t="s">
        <v>36</v>
      </c>
      <c r="E8654" s="19" t="s">
        <v>36</v>
      </c>
      <c r="F8654" s="19" t="s">
        <v>36</v>
      </c>
      <c r="G8654" s="15" t="s">
        <v>36</v>
      </c>
      <c r="H8654" s="14">
        <v>24.29</v>
      </c>
      <c r="I8654" s="18">
        <v>40.92</v>
      </c>
      <c r="J8654" s="12" t="s">
        <v>521</v>
      </c>
      <c r="K8654" s="13" t="s">
        <v>36</v>
      </c>
      <c r="L8654" s="15" t="s">
        <v>122</v>
      </c>
      <c r="M8654" s="12" t="s">
        <v>36</v>
      </c>
      <c r="N8654" s="12" t="s">
        <v>122</v>
      </c>
      <c r="O8654" s="17" t="s">
        <v>36</v>
      </c>
      <c r="P8654" s="12" t="s">
        <v>36</v>
      </c>
      <c r="Q8654" s="12" t="s">
        <v>36</v>
      </c>
      <c r="R8654" s="12" t="s">
        <v>36</v>
      </c>
      <c r="S8654" s="12" t="s">
        <v>36</v>
      </c>
      <c r="T8654" s="12" t="s">
        <v>123</v>
      </c>
      <c r="U8654" s="12" t="s">
        <v>38</v>
      </c>
      <c r="V8654" s="12" t="s">
        <v>39</v>
      </c>
      <c r="W8654" s="12" t="s">
        <v>30611</v>
      </c>
      <c r="X8654" s="16" t="s">
        <v>37546</v>
      </c>
      <c r="Y8654" s="15" t="s">
        <v>42</v>
      </c>
      <c r="Z8654" s="14">
        <v>0.7</v>
      </c>
      <c r="AA8654" s="14">
        <v>1.72</v>
      </c>
      <c r="AB8654" s="12" t="s">
        <v>43</v>
      </c>
      <c r="AC8654" s="12" t="s">
        <v>30613</v>
      </c>
      <c r="AD8654" s="13">
        <v>40665</v>
      </c>
      <c r="AE8654" s="12" t="s">
        <v>110</v>
      </c>
      <c r="AF8654" s="12" t="s">
        <v>4552</v>
      </c>
      <c r="AG8654" s="12" t="s">
        <v>81</v>
      </c>
      <c r="AH8654" s="1">
        <f>HYPERLINK("https://my.pitchbook.com?c=58236-67T","View Company Online")</f>
      </c>
    </row>
    <row r="8655">
      <c r="A8655" s="3" t="s">
        <v>37547</v>
      </c>
      <c r="B8655" s="3" t="s">
        <v>8526</v>
      </c>
      <c r="C8655" s="5">
        <v>15</v>
      </c>
      <c r="D8655" s="5">
        <v>73</v>
      </c>
      <c r="E8655" s="5">
        <v>25</v>
      </c>
      <c r="F8655" s="5">
        <v>97</v>
      </c>
      <c r="G8655" s="6" t="s">
        <v>36</v>
      </c>
      <c r="H8655" s="4" t="s">
        <v>36</v>
      </c>
      <c r="I8655" s="7" t="s">
        <v>36</v>
      </c>
      <c r="J8655" s="3" t="s">
        <v>36</v>
      </c>
      <c r="K8655" s="9">
        <v>40620</v>
      </c>
      <c r="L8655" s="6" t="s">
        <v>36</v>
      </c>
      <c r="M8655" s="3" t="s">
        <v>36</v>
      </c>
      <c r="N8655" s="3" t="s">
        <v>36</v>
      </c>
      <c r="O8655" s="8" t="s">
        <v>36</v>
      </c>
      <c r="P8655" s="3" t="s">
        <v>36</v>
      </c>
      <c r="Q8655" s="3" t="s">
        <v>36</v>
      </c>
      <c r="R8655" s="3" t="s">
        <v>36</v>
      </c>
      <c r="S8655" s="3" t="s">
        <v>36</v>
      </c>
      <c r="T8655" s="3" t="s">
        <v>8527</v>
      </c>
      <c r="U8655" s="3" t="s">
        <v>180</v>
      </c>
      <c r="V8655" s="3" t="s">
        <v>52</v>
      </c>
      <c r="W8655" s="3" t="s">
        <v>8528</v>
      </c>
      <c r="X8655" s="10" t="s">
        <v>37548</v>
      </c>
      <c r="Y8655" s="6" t="s">
        <v>108</v>
      </c>
      <c r="Z8655" s="4" t="s">
        <v>36</v>
      </c>
      <c r="AA8655" s="4" t="s">
        <v>36</v>
      </c>
      <c r="AB8655" s="3" t="s">
        <v>56</v>
      </c>
      <c r="AC8655" s="3" t="s">
        <v>8530</v>
      </c>
      <c r="AD8655" s="9">
        <v>40664</v>
      </c>
      <c r="AE8655" s="3" t="s">
        <v>184</v>
      </c>
      <c r="AF8655" s="3" t="s">
        <v>3193</v>
      </c>
      <c r="AG8655" s="3" t="s">
        <v>8531</v>
      </c>
      <c r="AH8655" s="11">
        <f>HYPERLINK("https://my.pitchbook.com?c=45112-69T","View Company Online")</f>
      </c>
    </row>
    <row r="8656">
      <c r="A8656" s="12" t="s">
        <v>37549</v>
      </c>
      <c r="B8656" s="12" t="s">
        <v>37550</v>
      </c>
      <c r="C8656" s="19" t="s">
        <v>36</v>
      </c>
      <c r="D8656" s="19" t="s">
        <v>36</v>
      </c>
      <c r="E8656" s="19" t="s">
        <v>36</v>
      </c>
      <c r="F8656" s="19" t="s">
        <v>36</v>
      </c>
      <c r="G8656" s="15" t="s">
        <v>36</v>
      </c>
      <c r="H8656" s="14" t="s">
        <v>36</v>
      </c>
      <c r="I8656" s="18" t="s">
        <v>36</v>
      </c>
      <c r="J8656" s="12" t="s">
        <v>36</v>
      </c>
      <c r="K8656" s="13" t="s">
        <v>36</v>
      </c>
      <c r="L8656" s="15" t="s">
        <v>36</v>
      </c>
      <c r="M8656" s="12" t="s">
        <v>36</v>
      </c>
      <c r="N8656" s="12" t="s">
        <v>36</v>
      </c>
      <c r="O8656" s="17" t="s">
        <v>36</v>
      </c>
      <c r="P8656" s="12" t="s">
        <v>36</v>
      </c>
      <c r="Q8656" s="12" t="s">
        <v>36</v>
      </c>
      <c r="R8656" s="12" t="s">
        <v>36</v>
      </c>
      <c r="S8656" s="12" t="s">
        <v>36</v>
      </c>
      <c r="T8656" s="12" t="s">
        <v>847</v>
      </c>
      <c r="U8656" s="12" t="s">
        <v>279</v>
      </c>
      <c r="V8656" s="12" t="s">
        <v>64</v>
      </c>
      <c r="W8656" s="12" t="s">
        <v>37551</v>
      </c>
      <c r="X8656" s="16" t="s">
        <v>29106</v>
      </c>
      <c r="Y8656" s="15" t="s">
        <v>42</v>
      </c>
      <c r="Z8656" s="14">
        <v>1.59</v>
      </c>
      <c r="AA8656" s="14" t="s">
        <v>36</v>
      </c>
      <c r="AB8656" s="12" t="s">
        <v>56</v>
      </c>
      <c r="AC8656" s="12" t="s">
        <v>37552</v>
      </c>
      <c r="AD8656" s="13">
        <v>40664</v>
      </c>
      <c r="AE8656" s="12" t="s">
        <v>851</v>
      </c>
      <c r="AF8656" s="12" t="s">
        <v>1636</v>
      </c>
      <c r="AG8656" s="12" t="s">
        <v>81</v>
      </c>
      <c r="AH8656" s="1">
        <f>HYPERLINK("https://my.pitchbook.com?c=60477-85T","View Company Online")</f>
      </c>
    </row>
    <row r="8657">
      <c r="A8657" s="3" t="s">
        <v>37553</v>
      </c>
      <c r="B8657" s="3" t="s">
        <v>34902</v>
      </c>
      <c r="C8657" s="5" t="s">
        <v>36</v>
      </c>
      <c r="D8657" s="5">
        <v>1</v>
      </c>
      <c r="E8657" s="5">
        <v>1</v>
      </c>
      <c r="F8657" s="5">
        <v>2</v>
      </c>
      <c r="G8657" s="6" t="s">
        <v>36</v>
      </c>
      <c r="H8657" s="4">
        <v>12.46</v>
      </c>
      <c r="I8657" s="7">
        <v>37.07</v>
      </c>
      <c r="J8657" s="3" t="s">
        <v>521</v>
      </c>
      <c r="K8657" s="9" t="s">
        <v>36</v>
      </c>
      <c r="L8657" s="6" t="s">
        <v>36</v>
      </c>
      <c r="M8657" s="3" t="s">
        <v>36</v>
      </c>
      <c r="N8657" s="3" t="s">
        <v>36</v>
      </c>
      <c r="O8657" s="8" t="s">
        <v>36</v>
      </c>
      <c r="P8657" s="3" t="s">
        <v>36</v>
      </c>
      <c r="Q8657" s="3" t="s">
        <v>36</v>
      </c>
      <c r="R8657" s="3" t="s">
        <v>36</v>
      </c>
      <c r="S8657" s="3" t="s">
        <v>36</v>
      </c>
      <c r="T8657" s="3" t="s">
        <v>1335</v>
      </c>
      <c r="U8657" s="3" t="s">
        <v>1336</v>
      </c>
      <c r="V8657" s="3" t="s">
        <v>367</v>
      </c>
      <c r="W8657" s="3" t="s">
        <v>34903</v>
      </c>
      <c r="X8657" s="10" t="s">
        <v>37554</v>
      </c>
      <c r="Y8657" s="6" t="s">
        <v>55</v>
      </c>
      <c r="Z8657" s="4">
        <v>5.5</v>
      </c>
      <c r="AA8657" s="4">
        <v>11.6</v>
      </c>
      <c r="AB8657" s="3" t="s">
        <v>56</v>
      </c>
      <c r="AC8657" s="3" t="s">
        <v>34905</v>
      </c>
      <c r="AD8657" s="9">
        <v>40664</v>
      </c>
      <c r="AE8657" s="3" t="s">
        <v>1339</v>
      </c>
      <c r="AF8657" s="3" t="s">
        <v>8789</v>
      </c>
      <c r="AG8657" s="3" t="s">
        <v>434</v>
      </c>
      <c r="AH8657" s="11">
        <f>HYPERLINK("https://my.pitchbook.com?c=29221-93T","View Company Online")</f>
      </c>
    </row>
    <row r="8658">
      <c r="A8658" s="12" t="s">
        <v>37555</v>
      </c>
      <c r="B8658" s="12" t="s">
        <v>21228</v>
      </c>
      <c r="C8658" s="19" t="s">
        <v>36</v>
      </c>
      <c r="D8658" s="19" t="s">
        <v>36</v>
      </c>
      <c r="E8658" s="19" t="s">
        <v>36</v>
      </c>
      <c r="F8658" s="19" t="s">
        <v>36</v>
      </c>
      <c r="G8658" s="15" t="s">
        <v>36</v>
      </c>
      <c r="H8658" s="14" t="s">
        <v>36</v>
      </c>
      <c r="I8658" s="18" t="s">
        <v>36</v>
      </c>
      <c r="J8658" s="12" t="s">
        <v>36</v>
      </c>
      <c r="K8658" s="13" t="s">
        <v>36</v>
      </c>
      <c r="L8658" s="15" t="s">
        <v>36</v>
      </c>
      <c r="M8658" s="12" t="s">
        <v>36</v>
      </c>
      <c r="N8658" s="12" t="s">
        <v>36</v>
      </c>
      <c r="O8658" s="17" t="s">
        <v>36</v>
      </c>
      <c r="P8658" s="12" t="s">
        <v>36</v>
      </c>
      <c r="Q8658" s="12" t="s">
        <v>36</v>
      </c>
      <c r="R8658" s="12" t="s">
        <v>36</v>
      </c>
      <c r="S8658" s="12" t="s">
        <v>36</v>
      </c>
      <c r="T8658" s="12" t="s">
        <v>472</v>
      </c>
      <c r="U8658" s="12" t="s">
        <v>38</v>
      </c>
      <c r="V8658" s="12" t="s">
        <v>39</v>
      </c>
      <c r="W8658" s="12" t="s">
        <v>21229</v>
      </c>
      <c r="X8658" s="16" t="s">
        <v>37556</v>
      </c>
      <c r="Y8658" s="15" t="s">
        <v>42</v>
      </c>
      <c r="Z8658" s="14">
        <v>0.72</v>
      </c>
      <c r="AA8658" s="14" t="s">
        <v>36</v>
      </c>
      <c r="AB8658" s="12" t="s">
        <v>43</v>
      </c>
      <c r="AC8658" s="12" t="s">
        <v>21231</v>
      </c>
      <c r="AD8658" s="13">
        <v>40664</v>
      </c>
      <c r="AE8658" s="12" t="s">
        <v>110</v>
      </c>
      <c r="AF8658" s="12" t="s">
        <v>21232</v>
      </c>
      <c r="AG8658" s="12" t="s">
        <v>81</v>
      </c>
      <c r="AH8658" s="1">
        <f>HYPERLINK("https://my.pitchbook.com?c=67433-05T","View Company Online")</f>
      </c>
    </row>
    <row r="8659">
      <c r="A8659" s="3" t="s">
        <v>37557</v>
      </c>
      <c r="B8659" s="3" t="s">
        <v>28742</v>
      </c>
      <c r="C8659" s="5" t="s">
        <v>36</v>
      </c>
      <c r="D8659" s="5" t="s">
        <v>36</v>
      </c>
      <c r="E8659" s="5" t="s">
        <v>36</v>
      </c>
      <c r="F8659" s="5" t="s">
        <v>36</v>
      </c>
      <c r="G8659" s="6" t="s">
        <v>683</v>
      </c>
      <c r="H8659" s="4">
        <v>22.74</v>
      </c>
      <c r="I8659" s="7">
        <v>6.63</v>
      </c>
      <c r="J8659" s="3" t="s">
        <v>521</v>
      </c>
      <c r="K8659" s="9" t="s">
        <v>36</v>
      </c>
      <c r="L8659" s="6" t="s">
        <v>36</v>
      </c>
      <c r="M8659" s="3" t="s">
        <v>36</v>
      </c>
      <c r="N8659" s="3" t="s">
        <v>36</v>
      </c>
      <c r="O8659" s="8" t="s">
        <v>36</v>
      </c>
      <c r="P8659" s="3" t="s">
        <v>36</v>
      </c>
      <c r="Q8659" s="3" t="s">
        <v>36</v>
      </c>
      <c r="R8659" s="3" t="s">
        <v>36</v>
      </c>
      <c r="S8659" s="3" t="s">
        <v>36</v>
      </c>
      <c r="T8659" s="3" t="s">
        <v>28743</v>
      </c>
      <c r="U8659" s="3" t="s">
        <v>289</v>
      </c>
      <c r="V8659" s="3" t="s">
        <v>64</v>
      </c>
      <c r="W8659" s="3" t="s">
        <v>28744</v>
      </c>
      <c r="X8659" s="10" t="s">
        <v>33886</v>
      </c>
      <c r="Y8659" s="6" t="s">
        <v>108</v>
      </c>
      <c r="Z8659" s="4">
        <v>0.72</v>
      </c>
      <c r="AA8659" s="4">
        <v>10.87</v>
      </c>
      <c r="AB8659" s="3" t="s">
        <v>56</v>
      </c>
      <c r="AC8659" s="3" t="s">
        <v>28746</v>
      </c>
      <c r="AD8659" s="9">
        <v>40661</v>
      </c>
      <c r="AE8659" s="3" t="s">
        <v>292</v>
      </c>
      <c r="AF8659" s="3" t="s">
        <v>90</v>
      </c>
      <c r="AG8659" s="3" t="s">
        <v>652</v>
      </c>
      <c r="AH8659" s="11">
        <f>HYPERLINK("https://my.pitchbook.com?c=129255-40T","View Company Online")</f>
      </c>
    </row>
    <row r="8660">
      <c r="A8660" s="12" t="s">
        <v>37558</v>
      </c>
      <c r="B8660" s="12" t="s">
        <v>37559</v>
      </c>
      <c r="C8660" s="19" t="s">
        <v>36</v>
      </c>
      <c r="D8660" s="19" t="s">
        <v>36</v>
      </c>
      <c r="E8660" s="19" t="s">
        <v>36</v>
      </c>
      <c r="F8660" s="19" t="s">
        <v>36</v>
      </c>
      <c r="G8660" s="15" t="s">
        <v>36</v>
      </c>
      <c r="H8660" s="14" t="s">
        <v>36</v>
      </c>
      <c r="I8660" s="18" t="s">
        <v>36</v>
      </c>
      <c r="J8660" s="12" t="s">
        <v>36</v>
      </c>
      <c r="K8660" s="13" t="s">
        <v>36</v>
      </c>
      <c r="L8660" s="15" t="s">
        <v>36</v>
      </c>
      <c r="M8660" s="12" t="s">
        <v>36</v>
      </c>
      <c r="N8660" s="12" t="s">
        <v>36</v>
      </c>
      <c r="O8660" s="17" t="s">
        <v>36</v>
      </c>
      <c r="P8660" s="12" t="s">
        <v>36</v>
      </c>
      <c r="Q8660" s="12" t="s">
        <v>36</v>
      </c>
      <c r="R8660" s="12" t="s">
        <v>36</v>
      </c>
      <c r="S8660" s="12" t="s">
        <v>36</v>
      </c>
      <c r="T8660" s="12" t="s">
        <v>16665</v>
      </c>
      <c r="U8660" s="12" t="s">
        <v>648</v>
      </c>
      <c r="V8660" s="12" t="s">
        <v>64</v>
      </c>
      <c r="W8660" s="12" t="s">
        <v>37560</v>
      </c>
      <c r="X8660" s="16" t="s">
        <v>37561</v>
      </c>
      <c r="Y8660" s="15" t="s">
        <v>108</v>
      </c>
      <c r="Z8660" s="14">
        <v>7.19</v>
      </c>
      <c r="AA8660" s="14" t="s">
        <v>36</v>
      </c>
      <c r="AB8660" s="12" t="s">
        <v>43</v>
      </c>
      <c r="AC8660" s="12" t="s">
        <v>37562</v>
      </c>
      <c r="AD8660" s="13">
        <v>40659</v>
      </c>
      <c r="AE8660" s="12" t="s">
        <v>3988</v>
      </c>
      <c r="AF8660" s="12" t="s">
        <v>24745</v>
      </c>
      <c r="AG8660" s="12" t="s">
        <v>81</v>
      </c>
      <c r="AH8660" s="1">
        <f>HYPERLINK("https://my.pitchbook.com?c=26350-93T","View Company Online")</f>
      </c>
    </row>
    <row r="8661">
      <c r="A8661" s="3" t="s">
        <v>37563</v>
      </c>
      <c r="B8661" s="3" t="s">
        <v>23382</v>
      </c>
      <c r="C8661" s="5">
        <v>4</v>
      </c>
      <c r="D8661" s="5">
        <v>33</v>
      </c>
      <c r="E8661" s="5">
        <v>9</v>
      </c>
      <c r="F8661" s="5">
        <v>58</v>
      </c>
      <c r="G8661" s="6" t="s">
        <v>36</v>
      </c>
      <c r="H8661" s="4" t="s">
        <v>36</v>
      </c>
      <c r="I8661" s="7" t="s">
        <v>36</v>
      </c>
      <c r="J8661" s="3" t="s">
        <v>36</v>
      </c>
      <c r="K8661" s="9" t="s">
        <v>36</v>
      </c>
      <c r="L8661" s="6" t="s">
        <v>1279</v>
      </c>
      <c r="M8661" s="3" t="s">
        <v>36</v>
      </c>
      <c r="N8661" s="3" t="s">
        <v>1279</v>
      </c>
      <c r="O8661" s="8" t="s">
        <v>36</v>
      </c>
      <c r="P8661" s="3" t="s">
        <v>36</v>
      </c>
      <c r="Q8661" s="3" t="s">
        <v>36</v>
      </c>
      <c r="R8661" s="3" t="s">
        <v>36</v>
      </c>
      <c r="S8661" s="3" t="s">
        <v>36</v>
      </c>
      <c r="T8661" s="3" t="s">
        <v>23383</v>
      </c>
      <c r="U8661" s="3" t="s">
        <v>96</v>
      </c>
      <c r="V8661" s="3" t="s">
        <v>52</v>
      </c>
      <c r="W8661" s="3" t="s">
        <v>23384</v>
      </c>
      <c r="X8661" s="10" t="s">
        <v>37564</v>
      </c>
      <c r="Y8661" s="6" t="s">
        <v>166</v>
      </c>
      <c r="Z8661" s="4" t="s">
        <v>36</v>
      </c>
      <c r="AA8661" s="4" t="s">
        <v>36</v>
      </c>
      <c r="AB8661" s="3" t="s">
        <v>56</v>
      </c>
      <c r="AC8661" s="3" t="s">
        <v>23386</v>
      </c>
      <c r="AD8661" s="9">
        <v>40659</v>
      </c>
      <c r="AE8661" s="3" t="s">
        <v>496</v>
      </c>
      <c r="AF8661" s="3" t="s">
        <v>17897</v>
      </c>
      <c r="AG8661" s="3" t="s">
        <v>1890</v>
      </c>
      <c r="AH8661" s="11">
        <f>HYPERLINK("https://my.pitchbook.com?c=34566-13T","View Company Online")</f>
      </c>
    </row>
    <row r="8662">
      <c r="A8662" s="12" t="s">
        <v>37565</v>
      </c>
      <c r="B8662" s="12" t="s">
        <v>36239</v>
      </c>
      <c r="C8662" s="19" t="s">
        <v>36</v>
      </c>
      <c r="D8662" s="19" t="s">
        <v>36</v>
      </c>
      <c r="E8662" s="19" t="s">
        <v>36</v>
      </c>
      <c r="F8662" s="19" t="s">
        <v>36</v>
      </c>
      <c r="G8662" s="15" t="s">
        <v>36</v>
      </c>
      <c r="H8662" s="14" t="s">
        <v>36</v>
      </c>
      <c r="I8662" s="18" t="s">
        <v>36</v>
      </c>
      <c r="J8662" s="12" t="s">
        <v>36</v>
      </c>
      <c r="K8662" s="13" t="s">
        <v>36</v>
      </c>
      <c r="L8662" s="15" t="s">
        <v>36</v>
      </c>
      <c r="M8662" s="12" t="s">
        <v>36</v>
      </c>
      <c r="N8662" s="12" t="s">
        <v>36</v>
      </c>
      <c r="O8662" s="17" t="s">
        <v>36</v>
      </c>
      <c r="P8662" s="12" t="s">
        <v>36</v>
      </c>
      <c r="Q8662" s="12" t="s">
        <v>36</v>
      </c>
      <c r="R8662" s="12" t="s">
        <v>36</v>
      </c>
      <c r="S8662" s="12" t="s">
        <v>36</v>
      </c>
      <c r="T8662" s="12" t="s">
        <v>3843</v>
      </c>
      <c r="U8662" s="12" t="s">
        <v>180</v>
      </c>
      <c r="V8662" s="12" t="s">
        <v>52</v>
      </c>
      <c r="W8662" s="12" t="s">
        <v>36240</v>
      </c>
      <c r="X8662" s="16" t="s">
        <v>36241</v>
      </c>
      <c r="Y8662" s="15" t="s">
        <v>55</v>
      </c>
      <c r="Z8662" s="14">
        <v>4.74</v>
      </c>
      <c r="AA8662" s="14" t="s">
        <v>36</v>
      </c>
      <c r="AB8662" s="12" t="s">
        <v>56</v>
      </c>
      <c r="AC8662" s="12" t="s">
        <v>36242</v>
      </c>
      <c r="AD8662" s="13">
        <v>40659</v>
      </c>
      <c r="AE8662" s="12" t="s">
        <v>3847</v>
      </c>
      <c r="AF8662" s="12" t="s">
        <v>4552</v>
      </c>
      <c r="AG8662" s="12" t="s">
        <v>36243</v>
      </c>
      <c r="AH8662" s="1">
        <f>HYPERLINK("https://my.pitchbook.com?c=26381-80T","View Company Online")</f>
      </c>
    </row>
    <row r="8663">
      <c r="A8663" s="3" t="s">
        <v>37566</v>
      </c>
      <c r="B8663" s="3" t="s">
        <v>37567</v>
      </c>
      <c r="C8663" s="5" t="s">
        <v>36</v>
      </c>
      <c r="D8663" s="5" t="s">
        <v>36</v>
      </c>
      <c r="E8663" s="5" t="s">
        <v>36</v>
      </c>
      <c r="F8663" s="5" t="s">
        <v>36</v>
      </c>
      <c r="G8663" s="6" t="s">
        <v>36</v>
      </c>
      <c r="H8663" s="4" t="s">
        <v>36</v>
      </c>
      <c r="I8663" s="7" t="s">
        <v>36</v>
      </c>
      <c r="J8663" s="3" t="s">
        <v>36</v>
      </c>
      <c r="K8663" s="9" t="s">
        <v>36</v>
      </c>
      <c r="L8663" s="6" t="s">
        <v>122</v>
      </c>
      <c r="M8663" s="3" t="s">
        <v>36</v>
      </c>
      <c r="N8663" s="3" t="s">
        <v>122</v>
      </c>
      <c r="O8663" s="8" t="s">
        <v>36</v>
      </c>
      <c r="P8663" s="3" t="s">
        <v>36</v>
      </c>
      <c r="Q8663" s="3" t="s">
        <v>36</v>
      </c>
      <c r="R8663" s="3" t="s">
        <v>36</v>
      </c>
      <c r="S8663" s="3" t="s">
        <v>36</v>
      </c>
      <c r="T8663" s="3" t="s">
        <v>522</v>
      </c>
      <c r="U8663" s="3" t="s">
        <v>38</v>
      </c>
      <c r="V8663" s="3" t="s">
        <v>39</v>
      </c>
      <c r="W8663" s="3" t="s">
        <v>37568</v>
      </c>
      <c r="X8663" s="10" t="s">
        <v>37569</v>
      </c>
      <c r="Y8663" s="6" t="s">
        <v>42</v>
      </c>
      <c r="Z8663" s="4">
        <v>4.3</v>
      </c>
      <c r="AA8663" s="4" t="s">
        <v>36</v>
      </c>
      <c r="AB8663" s="3" t="s">
        <v>43</v>
      </c>
      <c r="AC8663" s="3" t="s">
        <v>37570</v>
      </c>
      <c r="AD8663" s="9">
        <v>40659</v>
      </c>
      <c r="AE8663" s="3" t="s">
        <v>110</v>
      </c>
      <c r="AF8663" s="3" t="s">
        <v>29546</v>
      </c>
      <c r="AG8663" s="3" t="s">
        <v>81</v>
      </c>
      <c r="AH8663" s="11">
        <f>HYPERLINK("https://my.pitchbook.com?c=26564-23T","View Company Online")</f>
      </c>
    </row>
    <row r="8664">
      <c r="A8664" s="12" t="s">
        <v>37571</v>
      </c>
      <c r="B8664" s="12" t="s">
        <v>32020</v>
      </c>
      <c r="C8664" s="19" t="s">
        <v>36</v>
      </c>
      <c r="D8664" s="19" t="s">
        <v>36</v>
      </c>
      <c r="E8664" s="19" t="s">
        <v>36</v>
      </c>
      <c r="F8664" s="19" t="s">
        <v>36</v>
      </c>
      <c r="G8664" s="15" t="s">
        <v>36</v>
      </c>
      <c r="H8664" s="14" t="s">
        <v>36</v>
      </c>
      <c r="I8664" s="18" t="s">
        <v>36</v>
      </c>
      <c r="J8664" s="12" t="s">
        <v>36</v>
      </c>
      <c r="K8664" s="13" t="s">
        <v>36</v>
      </c>
      <c r="L8664" s="15" t="s">
        <v>122</v>
      </c>
      <c r="M8664" s="12" t="s">
        <v>36</v>
      </c>
      <c r="N8664" s="12" t="s">
        <v>122</v>
      </c>
      <c r="O8664" s="17" t="s">
        <v>36</v>
      </c>
      <c r="P8664" s="12" t="s">
        <v>36</v>
      </c>
      <c r="Q8664" s="12" t="s">
        <v>36</v>
      </c>
      <c r="R8664" s="12" t="s">
        <v>36</v>
      </c>
      <c r="S8664" s="12" t="s">
        <v>36</v>
      </c>
      <c r="T8664" s="12" t="s">
        <v>9021</v>
      </c>
      <c r="U8664" s="12" t="s">
        <v>38</v>
      </c>
      <c r="V8664" s="12" t="s">
        <v>39</v>
      </c>
      <c r="W8664" s="12" t="s">
        <v>32021</v>
      </c>
      <c r="X8664" s="16" t="s">
        <v>37572</v>
      </c>
      <c r="Y8664" s="15" t="s">
        <v>42</v>
      </c>
      <c r="Z8664" s="14">
        <v>7.6</v>
      </c>
      <c r="AA8664" s="14" t="s">
        <v>36</v>
      </c>
      <c r="AB8664" s="12" t="s">
        <v>43</v>
      </c>
      <c r="AC8664" s="12" t="s">
        <v>32023</v>
      </c>
      <c r="AD8664" s="13">
        <v>40654</v>
      </c>
      <c r="AE8664" s="12" t="s">
        <v>554</v>
      </c>
      <c r="AF8664" s="12" t="s">
        <v>1296</v>
      </c>
      <c r="AG8664" s="12" t="s">
        <v>81</v>
      </c>
      <c r="AH8664" s="1">
        <f>HYPERLINK("https://my.pitchbook.com?c=28546-21T","View Company Online")</f>
      </c>
    </row>
    <row r="8665">
      <c r="A8665" s="3" t="s">
        <v>37573</v>
      </c>
      <c r="B8665" s="3" t="s">
        <v>33688</v>
      </c>
      <c r="C8665" s="5">
        <v>2</v>
      </c>
      <c r="D8665" s="5">
        <v>33</v>
      </c>
      <c r="E8665" s="5">
        <v>4</v>
      </c>
      <c r="F8665" s="5">
        <v>38</v>
      </c>
      <c r="G8665" s="6" t="s">
        <v>36</v>
      </c>
      <c r="H8665" s="4" t="s">
        <v>36</v>
      </c>
      <c r="I8665" s="7" t="s">
        <v>36</v>
      </c>
      <c r="J8665" s="3" t="s">
        <v>36</v>
      </c>
      <c r="K8665" s="9">
        <v>40626</v>
      </c>
      <c r="L8665" s="6" t="s">
        <v>122</v>
      </c>
      <c r="M8665" s="3" t="s">
        <v>36</v>
      </c>
      <c r="N8665" s="3" t="s">
        <v>122</v>
      </c>
      <c r="O8665" s="8" t="s">
        <v>36</v>
      </c>
      <c r="P8665" s="3" t="s">
        <v>36</v>
      </c>
      <c r="Q8665" s="3" t="s">
        <v>36</v>
      </c>
      <c r="R8665" s="3" t="s">
        <v>36</v>
      </c>
      <c r="S8665" s="3" t="s">
        <v>36</v>
      </c>
      <c r="T8665" s="3" t="s">
        <v>661</v>
      </c>
      <c r="U8665" s="3" t="s">
        <v>51</v>
      </c>
      <c r="V8665" s="3" t="s">
        <v>52</v>
      </c>
      <c r="W8665" s="3" t="s">
        <v>33689</v>
      </c>
      <c r="X8665" s="10" t="s">
        <v>37574</v>
      </c>
      <c r="Y8665" s="6" t="s">
        <v>42</v>
      </c>
      <c r="Z8665" s="4">
        <v>1.28</v>
      </c>
      <c r="AA8665" s="4" t="s">
        <v>36</v>
      </c>
      <c r="AB8665" s="3" t="s">
        <v>43</v>
      </c>
      <c r="AC8665" s="3" t="s">
        <v>33691</v>
      </c>
      <c r="AD8665" s="9">
        <v>40653</v>
      </c>
      <c r="AE8665" s="3" t="s">
        <v>158</v>
      </c>
      <c r="AF8665" s="3" t="s">
        <v>1166</v>
      </c>
      <c r="AG8665" s="3" t="s">
        <v>33692</v>
      </c>
      <c r="AH8665" s="11">
        <f>HYPERLINK("https://my.pitchbook.com?c=34175-35T","View Company Online")</f>
      </c>
    </row>
    <row r="8666">
      <c r="A8666" s="12" t="s">
        <v>37575</v>
      </c>
      <c r="B8666" s="12" t="s">
        <v>37576</v>
      </c>
      <c r="C8666" s="19" t="s">
        <v>36</v>
      </c>
      <c r="D8666" s="19" t="s">
        <v>36</v>
      </c>
      <c r="E8666" s="19" t="s">
        <v>36</v>
      </c>
      <c r="F8666" s="19" t="s">
        <v>36</v>
      </c>
      <c r="G8666" s="15" t="s">
        <v>36</v>
      </c>
      <c r="H8666" s="14" t="s">
        <v>36</v>
      </c>
      <c r="I8666" s="18" t="s">
        <v>36</v>
      </c>
      <c r="J8666" s="12" t="s">
        <v>36</v>
      </c>
      <c r="K8666" s="13">
        <v>40644</v>
      </c>
      <c r="L8666" s="15" t="s">
        <v>36</v>
      </c>
      <c r="M8666" s="12" t="s">
        <v>36</v>
      </c>
      <c r="N8666" s="12" t="s">
        <v>36</v>
      </c>
      <c r="O8666" s="17" t="s">
        <v>36</v>
      </c>
      <c r="P8666" s="12" t="s">
        <v>36</v>
      </c>
      <c r="Q8666" s="12" t="s">
        <v>36</v>
      </c>
      <c r="R8666" s="12" t="s">
        <v>36</v>
      </c>
      <c r="S8666" s="12" t="s">
        <v>36</v>
      </c>
      <c r="T8666" s="12" t="s">
        <v>19511</v>
      </c>
      <c r="U8666" s="12" t="s">
        <v>289</v>
      </c>
      <c r="V8666" s="12" t="s">
        <v>64</v>
      </c>
      <c r="W8666" s="12" t="s">
        <v>37577</v>
      </c>
      <c r="X8666" s="16" t="s">
        <v>37578</v>
      </c>
      <c r="Y8666" s="15" t="s">
        <v>42</v>
      </c>
      <c r="Z8666" s="14">
        <v>7.13</v>
      </c>
      <c r="AA8666" s="14" t="s">
        <v>36</v>
      </c>
      <c r="AB8666" s="12" t="s">
        <v>56</v>
      </c>
      <c r="AC8666" s="12" t="s">
        <v>37579</v>
      </c>
      <c r="AD8666" s="13">
        <v>40652</v>
      </c>
      <c r="AE8666" s="12" t="s">
        <v>292</v>
      </c>
      <c r="AF8666" s="12" t="s">
        <v>2118</v>
      </c>
      <c r="AG8666" s="12" t="s">
        <v>81</v>
      </c>
      <c r="AH8666" s="1">
        <f>HYPERLINK("https://my.pitchbook.com?c=66282-76T","View Company Online")</f>
      </c>
    </row>
    <row r="8667">
      <c r="A8667" s="3" t="s">
        <v>37580</v>
      </c>
      <c r="B8667" s="3" t="s">
        <v>37559</v>
      </c>
      <c r="C8667" s="5" t="s">
        <v>36</v>
      </c>
      <c r="D8667" s="5" t="s">
        <v>36</v>
      </c>
      <c r="E8667" s="5" t="s">
        <v>36</v>
      </c>
      <c r="F8667" s="5" t="s">
        <v>36</v>
      </c>
      <c r="G8667" s="6" t="s">
        <v>36</v>
      </c>
      <c r="H8667" s="4">
        <v>77.89</v>
      </c>
      <c r="I8667" s="7">
        <v>22.01</v>
      </c>
      <c r="J8667" s="3" t="s">
        <v>521</v>
      </c>
      <c r="K8667" s="9" t="s">
        <v>36</v>
      </c>
      <c r="L8667" s="6" t="s">
        <v>36</v>
      </c>
      <c r="M8667" s="3" t="s">
        <v>36</v>
      </c>
      <c r="N8667" s="3" t="s">
        <v>36</v>
      </c>
      <c r="O8667" s="8" t="s">
        <v>36</v>
      </c>
      <c r="P8667" s="3" t="s">
        <v>36</v>
      </c>
      <c r="Q8667" s="3" t="s">
        <v>36</v>
      </c>
      <c r="R8667" s="3" t="s">
        <v>36</v>
      </c>
      <c r="S8667" s="3" t="s">
        <v>36</v>
      </c>
      <c r="T8667" s="3" t="s">
        <v>16665</v>
      </c>
      <c r="U8667" s="3" t="s">
        <v>648</v>
      </c>
      <c r="V8667" s="3" t="s">
        <v>64</v>
      </c>
      <c r="W8667" s="3" t="s">
        <v>37560</v>
      </c>
      <c r="X8667" s="10" t="s">
        <v>13128</v>
      </c>
      <c r="Y8667" s="6" t="s">
        <v>42</v>
      </c>
      <c r="Z8667" s="4">
        <v>3.57</v>
      </c>
      <c r="AA8667" s="4">
        <v>16.2</v>
      </c>
      <c r="AB8667" s="3" t="s">
        <v>43</v>
      </c>
      <c r="AC8667" s="3" t="s">
        <v>37562</v>
      </c>
      <c r="AD8667" s="9">
        <v>40651</v>
      </c>
      <c r="AE8667" s="3" t="s">
        <v>3988</v>
      </c>
      <c r="AF8667" s="3" t="s">
        <v>24745</v>
      </c>
      <c r="AG8667" s="3" t="s">
        <v>81</v>
      </c>
      <c r="AH8667" s="11">
        <f>HYPERLINK("https://my.pitchbook.com?c=65541-34T","View Company Online")</f>
      </c>
    </row>
    <row r="8668">
      <c r="A8668" s="12" t="s">
        <v>37581</v>
      </c>
      <c r="B8668" s="12" t="s">
        <v>37582</v>
      </c>
      <c r="C8668" s="19" t="s">
        <v>36</v>
      </c>
      <c r="D8668" s="19" t="s">
        <v>36</v>
      </c>
      <c r="E8668" s="19" t="s">
        <v>36</v>
      </c>
      <c r="F8668" s="19" t="s">
        <v>36</v>
      </c>
      <c r="G8668" s="15" t="s">
        <v>36</v>
      </c>
      <c r="H8668" s="14" t="s">
        <v>36</v>
      </c>
      <c r="I8668" s="18" t="s">
        <v>36</v>
      </c>
      <c r="J8668" s="12" t="s">
        <v>36</v>
      </c>
      <c r="K8668" s="13" t="s">
        <v>36</v>
      </c>
      <c r="L8668" s="15" t="s">
        <v>122</v>
      </c>
      <c r="M8668" s="12" t="s">
        <v>36</v>
      </c>
      <c r="N8668" s="12" t="s">
        <v>122</v>
      </c>
      <c r="O8668" s="17" t="s">
        <v>36</v>
      </c>
      <c r="P8668" s="12" t="s">
        <v>36</v>
      </c>
      <c r="Q8668" s="12" t="s">
        <v>36</v>
      </c>
      <c r="R8668" s="12" t="s">
        <v>36</v>
      </c>
      <c r="S8668" s="12" t="s">
        <v>36</v>
      </c>
      <c r="T8668" s="12" t="s">
        <v>1048</v>
      </c>
      <c r="U8668" s="12" t="s">
        <v>423</v>
      </c>
      <c r="V8668" s="12" t="s">
        <v>64</v>
      </c>
      <c r="W8668" s="12" t="s">
        <v>37583</v>
      </c>
      <c r="X8668" s="16" t="s">
        <v>37584</v>
      </c>
      <c r="Y8668" s="15" t="s">
        <v>42</v>
      </c>
      <c r="Z8668" s="14">
        <v>4.28</v>
      </c>
      <c r="AA8668" s="14" t="s">
        <v>36</v>
      </c>
      <c r="AB8668" s="12" t="s">
        <v>56</v>
      </c>
      <c r="AC8668" s="12" t="s">
        <v>37585</v>
      </c>
      <c r="AD8668" s="13">
        <v>40651</v>
      </c>
      <c r="AE8668" s="12" t="s">
        <v>1051</v>
      </c>
      <c r="AF8668" s="12" t="s">
        <v>37586</v>
      </c>
      <c r="AG8668" s="12" t="s">
        <v>81</v>
      </c>
      <c r="AH8668" s="1">
        <f>HYPERLINK("https://my.pitchbook.com?c=29980-72T","View Company Online")</f>
      </c>
    </row>
    <row r="8669">
      <c r="A8669" s="3" t="s">
        <v>37587</v>
      </c>
      <c r="B8669" s="3" t="s">
        <v>37588</v>
      </c>
      <c r="C8669" s="5" t="s">
        <v>36</v>
      </c>
      <c r="D8669" s="5" t="s">
        <v>36</v>
      </c>
      <c r="E8669" s="5" t="s">
        <v>36</v>
      </c>
      <c r="F8669" s="5" t="s">
        <v>36</v>
      </c>
      <c r="G8669" s="6" t="s">
        <v>36</v>
      </c>
      <c r="H8669" s="4">
        <v>123.9</v>
      </c>
      <c r="I8669" s="7">
        <v>20</v>
      </c>
      <c r="J8669" s="3" t="s">
        <v>521</v>
      </c>
      <c r="K8669" s="9" t="s">
        <v>36</v>
      </c>
      <c r="L8669" s="6" t="s">
        <v>36</v>
      </c>
      <c r="M8669" s="3" t="s">
        <v>36</v>
      </c>
      <c r="N8669" s="3" t="s">
        <v>36</v>
      </c>
      <c r="O8669" s="8" t="s">
        <v>36</v>
      </c>
      <c r="P8669" s="3" t="s">
        <v>36</v>
      </c>
      <c r="Q8669" s="3" t="s">
        <v>36</v>
      </c>
      <c r="R8669" s="3" t="s">
        <v>36</v>
      </c>
      <c r="S8669" s="3" t="s">
        <v>36</v>
      </c>
      <c r="T8669" s="3" t="s">
        <v>37589</v>
      </c>
      <c r="U8669" s="3" t="s">
        <v>423</v>
      </c>
      <c r="V8669" s="3" t="s">
        <v>64</v>
      </c>
      <c r="W8669" s="3" t="s">
        <v>37590</v>
      </c>
      <c r="X8669" s="10" t="s">
        <v>37591</v>
      </c>
      <c r="Y8669" s="6" t="s">
        <v>42</v>
      </c>
      <c r="Z8669" s="4">
        <v>2.42</v>
      </c>
      <c r="AA8669" s="4">
        <v>12.12</v>
      </c>
      <c r="AB8669" s="3" t="s">
        <v>43</v>
      </c>
      <c r="AC8669" s="3" t="s">
        <v>37592</v>
      </c>
      <c r="AD8669" s="9">
        <v>40651</v>
      </c>
      <c r="AE8669" s="3" t="s">
        <v>1051</v>
      </c>
      <c r="AF8669" s="3" t="s">
        <v>571</v>
      </c>
      <c r="AG8669" s="3" t="s">
        <v>37593</v>
      </c>
      <c r="AH8669" s="11">
        <f>HYPERLINK("https://my.pitchbook.com?c=27677-71T","View Company Online")</f>
      </c>
    </row>
    <row r="8670">
      <c r="A8670" s="12" t="s">
        <v>37594</v>
      </c>
      <c r="B8670" s="12" t="s">
        <v>37595</v>
      </c>
      <c r="C8670" s="19">
        <v>5</v>
      </c>
      <c r="D8670" s="19">
        <v>109</v>
      </c>
      <c r="E8670" s="19">
        <v>45</v>
      </c>
      <c r="F8670" s="19">
        <v>168</v>
      </c>
      <c r="G8670" s="15" t="s">
        <v>36</v>
      </c>
      <c r="H8670" s="14" t="s">
        <v>36</v>
      </c>
      <c r="I8670" s="18" t="s">
        <v>36</v>
      </c>
      <c r="J8670" s="12" t="s">
        <v>36</v>
      </c>
      <c r="K8670" s="13" t="s">
        <v>36</v>
      </c>
      <c r="L8670" s="15" t="s">
        <v>36</v>
      </c>
      <c r="M8670" s="12" t="s">
        <v>36</v>
      </c>
      <c r="N8670" s="12" t="s">
        <v>36</v>
      </c>
      <c r="O8670" s="17" t="s">
        <v>36</v>
      </c>
      <c r="P8670" s="12" t="s">
        <v>36</v>
      </c>
      <c r="Q8670" s="12" t="s">
        <v>36</v>
      </c>
      <c r="R8670" s="12" t="s">
        <v>36</v>
      </c>
      <c r="S8670" s="12" t="s">
        <v>36</v>
      </c>
      <c r="T8670" s="12" t="s">
        <v>529</v>
      </c>
      <c r="U8670" s="12" t="s">
        <v>38</v>
      </c>
      <c r="V8670" s="12" t="s">
        <v>39</v>
      </c>
      <c r="W8670" s="12" t="s">
        <v>37596</v>
      </c>
      <c r="X8670" s="16" t="s">
        <v>37597</v>
      </c>
      <c r="Y8670" s="15" t="s">
        <v>321</v>
      </c>
      <c r="Z8670" s="14">
        <v>7.5</v>
      </c>
      <c r="AA8670" s="14" t="s">
        <v>36</v>
      </c>
      <c r="AB8670" s="12" t="s">
        <v>56</v>
      </c>
      <c r="AC8670" s="12" t="s">
        <v>37598</v>
      </c>
      <c r="AD8670" s="13">
        <v>40646</v>
      </c>
      <c r="AE8670" s="12" t="s">
        <v>134</v>
      </c>
      <c r="AF8670" s="12" t="s">
        <v>1636</v>
      </c>
      <c r="AG8670" s="12" t="s">
        <v>800</v>
      </c>
      <c r="AH8670" s="1">
        <f>HYPERLINK("https://my.pitchbook.com?c=19918-90T","View Company Online")</f>
      </c>
    </row>
    <row r="8671">
      <c r="A8671" s="3" t="s">
        <v>37599</v>
      </c>
      <c r="B8671" s="3" t="s">
        <v>22113</v>
      </c>
      <c r="C8671" s="5">
        <v>12</v>
      </c>
      <c r="D8671" s="5">
        <v>48</v>
      </c>
      <c r="E8671" s="5">
        <v>15</v>
      </c>
      <c r="F8671" s="5">
        <v>61</v>
      </c>
      <c r="G8671" s="6" t="s">
        <v>36</v>
      </c>
      <c r="H8671" s="4" t="s">
        <v>36</v>
      </c>
      <c r="I8671" s="7" t="s">
        <v>36</v>
      </c>
      <c r="J8671" s="3" t="s">
        <v>36</v>
      </c>
      <c r="K8671" s="9" t="s">
        <v>36</v>
      </c>
      <c r="L8671" s="6" t="s">
        <v>36</v>
      </c>
      <c r="M8671" s="3" t="s">
        <v>36</v>
      </c>
      <c r="N8671" s="3" t="s">
        <v>36</v>
      </c>
      <c r="O8671" s="8" t="s">
        <v>36</v>
      </c>
      <c r="P8671" s="3" t="s">
        <v>36</v>
      </c>
      <c r="Q8671" s="3" t="s">
        <v>36</v>
      </c>
      <c r="R8671" s="3" t="s">
        <v>36</v>
      </c>
      <c r="S8671" s="3" t="s">
        <v>36</v>
      </c>
      <c r="T8671" s="3" t="s">
        <v>22114</v>
      </c>
      <c r="U8671" s="3" t="s">
        <v>1580</v>
      </c>
      <c r="V8671" s="3" t="s">
        <v>39</v>
      </c>
      <c r="W8671" s="3" t="s">
        <v>22115</v>
      </c>
      <c r="X8671" s="10" t="s">
        <v>13670</v>
      </c>
      <c r="Y8671" s="6" t="s">
        <v>42</v>
      </c>
      <c r="Z8671" s="4" t="s">
        <v>36</v>
      </c>
      <c r="AA8671" s="4" t="s">
        <v>36</v>
      </c>
      <c r="AB8671" s="3" t="s">
        <v>43</v>
      </c>
      <c r="AC8671" s="3" t="s">
        <v>22117</v>
      </c>
      <c r="AD8671" s="9">
        <v>40645</v>
      </c>
      <c r="AE8671" s="3" t="s">
        <v>4387</v>
      </c>
      <c r="AF8671" s="3" t="s">
        <v>22118</v>
      </c>
      <c r="AG8671" s="3" t="s">
        <v>21080</v>
      </c>
      <c r="AH8671" s="11">
        <f>HYPERLINK("https://my.pitchbook.com?c=116540-74T","View Company Online")</f>
      </c>
    </row>
    <row r="8672">
      <c r="A8672" s="12" t="s">
        <v>37600</v>
      </c>
      <c r="B8672" s="12" t="s">
        <v>37601</v>
      </c>
      <c r="C8672" s="19" t="s">
        <v>36</v>
      </c>
      <c r="D8672" s="19" t="s">
        <v>36</v>
      </c>
      <c r="E8672" s="19" t="s">
        <v>36</v>
      </c>
      <c r="F8672" s="19" t="s">
        <v>36</v>
      </c>
      <c r="G8672" s="15" t="s">
        <v>36</v>
      </c>
      <c r="H8672" s="14" t="s">
        <v>36</v>
      </c>
      <c r="I8672" s="18" t="s">
        <v>36</v>
      </c>
      <c r="J8672" s="12" t="s">
        <v>36</v>
      </c>
      <c r="K8672" s="13" t="s">
        <v>36</v>
      </c>
      <c r="L8672" s="15" t="s">
        <v>36</v>
      </c>
      <c r="M8672" s="12" t="s">
        <v>36</v>
      </c>
      <c r="N8672" s="12" t="s">
        <v>21485</v>
      </c>
      <c r="O8672" s="17" t="s">
        <v>36</v>
      </c>
      <c r="P8672" s="12" t="s">
        <v>36</v>
      </c>
      <c r="Q8672" s="12" t="s">
        <v>36</v>
      </c>
      <c r="R8672" s="12" t="s">
        <v>36</v>
      </c>
      <c r="S8672" s="12" t="s">
        <v>36</v>
      </c>
      <c r="T8672" s="12" t="s">
        <v>37602</v>
      </c>
      <c r="U8672" s="12" t="s">
        <v>833</v>
      </c>
      <c r="V8672" s="12" t="s">
        <v>64</v>
      </c>
      <c r="W8672" s="12" t="s">
        <v>37603</v>
      </c>
      <c r="X8672" s="16" t="s">
        <v>37604</v>
      </c>
      <c r="Y8672" s="15" t="s">
        <v>108</v>
      </c>
      <c r="Z8672" s="14">
        <v>0.85</v>
      </c>
      <c r="AA8672" s="14" t="s">
        <v>36</v>
      </c>
      <c r="AB8672" s="12" t="s">
        <v>56</v>
      </c>
      <c r="AC8672" s="12" t="s">
        <v>37605</v>
      </c>
      <c r="AD8672" s="13">
        <v>40645</v>
      </c>
      <c r="AE8672" s="12" t="s">
        <v>13403</v>
      </c>
      <c r="AF8672" s="12" t="s">
        <v>36</v>
      </c>
      <c r="AG8672" s="12" t="s">
        <v>37606</v>
      </c>
      <c r="AH8672" s="1">
        <f>HYPERLINK("https://my.pitchbook.com?c=27913-06T","View Company Online")</f>
      </c>
    </row>
    <row r="8673">
      <c r="A8673" s="3" t="s">
        <v>37607</v>
      </c>
      <c r="B8673" s="3" t="s">
        <v>37608</v>
      </c>
      <c r="C8673" s="5" t="s">
        <v>36</v>
      </c>
      <c r="D8673" s="5">
        <v>3</v>
      </c>
      <c r="E8673" s="5">
        <v>4</v>
      </c>
      <c r="F8673" s="5">
        <v>7</v>
      </c>
      <c r="G8673" s="6" t="s">
        <v>36</v>
      </c>
      <c r="H8673" s="4" t="s">
        <v>36</v>
      </c>
      <c r="I8673" s="7" t="s">
        <v>36</v>
      </c>
      <c r="J8673" s="3" t="s">
        <v>36</v>
      </c>
      <c r="K8673" s="9" t="s">
        <v>36</v>
      </c>
      <c r="L8673" s="6" t="s">
        <v>36</v>
      </c>
      <c r="M8673" s="3" t="s">
        <v>36</v>
      </c>
      <c r="N8673" s="3" t="s">
        <v>36</v>
      </c>
      <c r="O8673" s="8" t="s">
        <v>36</v>
      </c>
      <c r="P8673" s="3" t="s">
        <v>36</v>
      </c>
      <c r="Q8673" s="3" t="s">
        <v>36</v>
      </c>
      <c r="R8673" s="3" t="s">
        <v>36</v>
      </c>
      <c r="S8673" s="3" t="s">
        <v>36</v>
      </c>
      <c r="T8673" s="3" t="s">
        <v>37609</v>
      </c>
      <c r="U8673" s="3" t="s">
        <v>219</v>
      </c>
      <c r="V8673" s="3" t="s">
        <v>75</v>
      </c>
      <c r="W8673" s="3" t="s">
        <v>37610</v>
      </c>
      <c r="X8673" s="10" t="s">
        <v>37611</v>
      </c>
      <c r="Y8673" s="6" t="s">
        <v>42</v>
      </c>
      <c r="Z8673" s="4">
        <v>0.71</v>
      </c>
      <c r="AA8673" s="4" t="s">
        <v>36</v>
      </c>
      <c r="AB8673" s="3" t="s">
        <v>56</v>
      </c>
      <c r="AC8673" s="3" t="s">
        <v>37612</v>
      </c>
      <c r="AD8673" s="9">
        <v>40644</v>
      </c>
      <c r="AE8673" s="3" t="s">
        <v>1007</v>
      </c>
      <c r="AF8673" s="3" t="s">
        <v>30848</v>
      </c>
      <c r="AG8673" s="3" t="s">
        <v>81</v>
      </c>
      <c r="AH8673" s="11">
        <f>HYPERLINK("https://my.pitchbook.com?c=29963-71T","View Company Online")</f>
      </c>
    </row>
    <row r="8674">
      <c r="A8674" s="12" t="s">
        <v>37613</v>
      </c>
      <c r="B8674" s="12" t="s">
        <v>37614</v>
      </c>
      <c r="C8674" s="19" t="s">
        <v>36</v>
      </c>
      <c r="D8674" s="19" t="s">
        <v>36</v>
      </c>
      <c r="E8674" s="19" t="s">
        <v>36</v>
      </c>
      <c r="F8674" s="19" t="s">
        <v>36</v>
      </c>
      <c r="G8674" s="15" t="s">
        <v>36</v>
      </c>
      <c r="H8674" s="14" t="s">
        <v>36</v>
      </c>
      <c r="I8674" s="18" t="s">
        <v>36</v>
      </c>
      <c r="J8674" s="12" t="s">
        <v>36</v>
      </c>
      <c r="K8674" s="13" t="s">
        <v>36</v>
      </c>
      <c r="L8674" s="15" t="s">
        <v>94</v>
      </c>
      <c r="M8674" s="12" t="s">
        <v>36</v>
      </c>
      <c r="N8674" s="12" t="s">
        <v>94</v>
      </c>
      <c r="O8674" s="17" t="s">
        <v>36</v>
      </c>
      <c r="P8674" s="12" t="s">
        <v>36</v>
      </c>
      <c r="Q8674" s="12" t="s">
        <v>36</v>
      </c>
      <c r="R8674" s="12" t="s">
        <v>36</v>
      </c>
      <c r="S8674" s="12" t="s">
        <v>36</v>
      </c>
      <c r="T8674" s="12" t="s">
        <v>2044</v>
      </c>
      <c r="U8674" s="12" t="s">
        <v>74</v>
      </c>
      <c r="V8674" s="12" t="s">
        <v>75</v>
      </c>
      <c r="W8674" s="12" t="s">
        <v>37615</v>
      </c>
      <c r="X8674" s="16" t="s">
        <v>37616</v>
      </c>
      <c r="Y8674" s="15" t="s">
        <v>108</v>
      </c>
      <c r="Z8674" s="14">
        <v>21.26</v>
      </c>
      <c r="AA8674" s="14" t="s">
        <v>36</v>
      </c>
      <c r="AB8674" s="12" t="s">
        <v>43</v>
      </c>
      <c r="AC8674" s="12" t="s">
        <v>37617</v>
      </c>
      <c r="AD8674" s="13">
        <v>40644</v>
      </c>
      <c r="AE8674" s="12" t="s">
        <v>79</v>
      </c>
      <c r="AF8674" s="12" t="s">
        <v>19021</v>
      </c>
      <c r="AG8674" s="12" t="s">
        <v>81</v>
      </c>
      <c r="AH8674" s="1">
        <f>HYPERLINK("https://my.pitchbook.com?c=29484-64T","View Company Online")</f>
      </c>
    </row>
    <row r="8675">
      <c r="A8675" s="3" t="s">
        <v>37618</v>
      </c>
      <c r="B8675" s="3" t="s">
        <v>37619</v>
      </c>
      <c r="C8675" s="5" t="s">
        <v>36</v>
      </c>
      <c r="D8675" s="5" t="s">
        <v>36</v>
      </c>
      <c r="E8675" s="5" t="s">
        <v>36</v>
      </c>
      <c r="F8675" s="5" t="s">
        <v>36</v>
      </c>
      <c r="G8675" s="6" t="s">
        <v>36</v>
      </c>
      <c r="H8675" s="4" t="s">
        <v>36</v>
      </c>
      <c r="I8675" s="7" t="s">
        <v>36</v>
      </c>
      <c r="J8675" s="3" t="s">
        <v>36</v>
      </c>
      <c r="K8675" s="9" t="s">
        <v>36</v>
      </c>
      <c r="L8675" s="6" t="s">
        <v>36</v>
      </c>
      <c r="M8675" s="3" t="s">
        <v>36</v>
      </c>
      <c r="N8675" s="3" t="s">
        <v>36</v>
      </c>
      <c r="O8675" s="8" t="s">
        <v>36</v>
      </c>
      <c r="P8675" s="3" t="s">
        <v>36</v>
      </c>
      <c r="Q8675" s="3" t="s">
        <v>36</v>
      </c>
      <c r="R8675" s="3" t="s">
        <v>36</v>
      </c>
      <c r="S8675" s="3" t="s">
        <v>36</v>
      </c>
      <c r="T8675" s="3" t="s">
        <v>36607</v>
      </c>
      <c r="U8675" s="3" t="s">
        <v>289</v>
      </c>
      <c r="V8675" s="3" t="s">
        <v>64</v>
      </c>
      <c r="W8675" s="3" t="s">
        <v>37620</v>
      </c>
      <c r="X8675" s="10" t="s">
        <v>36102</v>
      </c>
      <c r="Y8675" s="6" t="s">
        <v>42</v>
      </c>
      <c r="Z8675" s="4" t="s">
        <v>36</v>
      </c>
      <c r="AA8675" s="4" t="s">
        <v>36</v>
      </c>
      <c r="AB8675" s="3" t="s">
        <v>43</v>
      </c>
      <c r="AC8675" s="3" t="s">
        <v>37621</v>
      </c>
      <c r="AD8675" s="9">
        <v>40643</v>
      </c>
      <c r="AE8675" s="3" t="s">
        <v>3134</v>
      </c>
      <c r="AF8675" s="3" t="s">
        <v>30104</v>
      </c>
      <c r="AG8675" s="3" t="s">
        <v>81</v>
      </c>
      <c r="AH8675" s="11">
        <f>HYPERLINK("https://my.pitchbook.com?c=24688-00T","View Company Online")</f>
      </c>
    </row>
    <row r="8676">
      <c r="A8676" s="12" t="s">
        <v>37622</v>
      </c>
      <c r="B8676" s="12" t="s">
        <v>19275</v>
      </c>
      <c r="C8676" s="19" t="s">
        <v>36</v>
      </c>
      <c r="D8676" s="19" t="s">
        <v>36</v>
      </c>
      <c r="E8676" s="19" t="s">
        <v>36</v>
      </c>
      <c r="F8676" s="19" t="s">
        <v>36</v>
      </c>
      <c r="G8676" s="15" t="s">
        <v>36</v>
      </c>
      <c r="H8676" s="14">
        <v>519.28</v>
      </c>
      <c r="I8676" s="18">
        <v>33.33</v>
      </c>
      <c r="J8676" s="12" t="s">
        <v>327</v>
      </c>
      <c r="K8676" s="13" t="s">
        <v>36</v>
      </c>
      <c r="L8676" s="15" t="s">
        <v>36</v>
      </c>
      <c r="M8676" s="12" t="s">
        <v>36</v>
      </c>
      <c r="N8676" s="12" t="s">
        <v>36</v>
      </c>
      <c r="O8676" s="17" t="s">
        <v>36</v>
      </c>
      <c r="P8676" s="12" t="s">
        <v>36</v>
      </c>
      <c r="Q8676" s="12" t="s">
        <v>36</v>
      </c>
      <c r="R8676" s="12" t="s">
        <v>36</v>
      </c>
      <c r="S8676" s="12" t="s">
        <v>36</v>
      </c>
      <c r="T8676" s="12" t="s">
        <v>522</v>
      </c>
      <c r="U8676" s="12" t="s">
        <v>38</v>
      </c>
      <c r="V8676" s="12" t="s">
        <v>39</v>
      </c>
      <c r="W8676" s="12" t="s">
        <v>19276</v>
      </c>
      <c r="X8676" s="16" t="s">
        <v>37623</v>
      </c>
      <c r="Y8676" s="15" t="s">
        <v>42</v>
      </c>
      <c r="Z8676" s="14">
        <v>2.82</v>
      </c>
      <c r="AA8676" s="14">
        <v>8.46</v>
      </c>
      <c r="AB8676" s="12" t="s">
        <v>43</v>
      </c>
      <c r="AC8676" s="12" t="s">
        <v>19278</v>
      </c>
      <c r="AD8676" s="13">
        <v>40640</v>
      </c>
      <c r="AE8676" s="12" t="s">
        <v>110</v>
      </c>
      <c r="AF8676" s="12" t="s">
        <v>36</v>
      </c>
      <c r="AG8676" s="12" t="s">
        <v>81</v>
      </c>
      <c r="AH8676" s="1">
        <f>HYPERLINK("https://my.pitchbook.com?c=28549-18T","View Company Online")</f>
      </c>
    </row>
    <row r="8677">
      <c r="A8677" s="3" t="s">
        <v>37624</v>
      </c>
      <c r="B8677" s="3" t="s">
        <v>29357</v>
      </c>
      <c r="C8677" s="5" t="s">
        <v>36</v>
      </c>
      <c r="D8677" s="5" t="s">
        <v>36</v>
      </c>
      <c r="E8677" s="5" t="s">
        <v>36</v>
      </c>
      <c r="F8677" s="5" t="s">
        <v>36</v>
      </c>
      <c r="G8677" s="6" t="s">
        <v>36</v>
      </c>
      <c r="H8677" s="4">
        <v>46.99</v>
      </c>
      <c r="I8677" s="7">
        <v>29.68</v>
      </c>
      <c r="J8677" s="3" t="s">
        <v>327</v>
      </c>
      <c r="K8677" s="9" t="s">
        <v>36</v>
      </c>
      <c r="L8677" s="6" t="s">
        <v>36</v>
      </c>
      <c r="M8677" s="3" t="s">
        <v>36</v>
      </c>
      <c r="N8677" s="3" t="s">
        <v>36</v>
      </c>
      <c r="O8677" s="8" t="s">
        <v>36</v>
      </c>
      <c r="P8677" s="3" t="s">
        <v>36</v>
      </c>
      <c r="Q8677" s="3" t="s">
        <v>36</v>
      </c>
      <c r="R8677" s="3" t="s">
        <v>36</v>
      </c>
      <c r="S8677" s="3" t="s">
        <v>36</v>
      </c>
      <c r="T8677" s="3" t="s">
        <v>1701</v>
      </c>
      <c r="U8677" s="3" t="s">
        <v>74</v>
      </c>
      <c r="V8677" s="3" t="s">
        <v>75</v>
      </c>
      <c r="W8677" s="3" t="s">
        <v>29358</v>
      </c>
      <c r="X8677" s="10" t="s">
        <v>36102</v>
      </c>
      <c r="Y8677" s="6" t="s">
        <v>42</v>
      </c>
      <c r="Z8677" s="4">
        <v>0.27</v>
      </c>
      <c r="AA8677" s="4">
        <v>0.9</v>
      </c>
      <c r="AB8677" s="3" t="s">
        <v>43</v>
      </c>
      <c r="AC8677" s="3" t="s">
        <v>29360</v>
      </c>
      <c r="AD8677" s="9">
        <v>40634</v>
      </c>
      <c r="AE8677" s="3" t="s">
        <v>79</v>
      </c>
      <c r="AF8677" s="3" t="s">
        <v>29361</v>
      </c>
      <c r="AG8677" s="3" t="s">
        <v>382</v>
      </c>
      <c r="AH8677" s="11">
        <f>HYPERLINK("https://my.pitchbook.com?c=24553-99T","View Company Online")</f>
      </c>
    </row>
    <row r="8678">
      <c r="A8678" s="12" t="s">
        <v>37625</v>
      </c>
      <c r="B8678" s="12" t="s">
        <v>37626</v>
      </c>
      <c r="C8678" s="19">
        <v>3</v>
      </c>
      <c r="D8678" s="19">
        <v>2</v>
      </c>
      <c r="E8678" s="19">
        <v>2</v>
      </c>
      <c r="F8678" s="19">
        <v>6</v>
      </c>
      <c r="G8678" s="15" t="s">
        <v>36</v>
      </c>
      <c r="H8678" s="14" t="s">
        <v>36</v>
      </c>
      <c r="I8678" s="18">
        <v>9.1</v>
      </c>
      <c r="J8678" s="12" t="s">
        <v>36</v>
      </c>
      <c r="K8678" s="13" t="s">
        <v>36</v>
      </c>
      <c r="L8678" s="15" t="s">
        <v>36</v>
      </c>
      <c r="M8678" s="12" t="s">
        <v>36</v>
      </c>
      <c r="N8678" s="12" t="s">
        <v>36</v>
      </c>
      <c r="O8678" s="17" t="s">
        <v>36</v>
      </c>
      <c r="P8678" s="12" t="s">
        <v>36</v>
      </c>
      <c r="Q8678" s="12" t="s">
        <v>36</v>
      </c>
      <c r="R8678" s="12" t="s">
        <v>36</v>
      </c>
      <c r="S8678" s="12" t="s">
        <v>2699</v>
      </c>
      <c r="T8678" s="12" t="s">
        <v>37627</v>
      </c>
      <c r="U8678" s="12" t="s">
        <v>51</v>
      </c>
      <c r="V8678" s="12" t="s">
        <v>52</v>
      </c>
      <c r="W8678" s="12" t="s">
        <v>37628</v>
      </c>
      <c r="X8678" s="16" t="s">
        <v>37629</v>
      </c>
      <c r="Y8678" s="15" t="s">
        <v>42</v>
      </c>
      <c r="Z8678" s="14" t="s">
        <v>36</v>
      </c>
      <c r="AA8678" s="14" t="s">
        <v>36</v>
      </c>
      <c r="AB8678" s="12" t="s">
        <v>43</v>
      </c>
      <c r="AC8678" s="12" t="s">
        <v>37630</v>
      </c>
      <c r="AD8678" s="13">
        <v>40634</v>
      </c>
      <c r="AE8678" s="12" t="s">
        <v>2740</v>
      </c>
      <c r="AF8678" s="12" t="s">
        <v>865</v>
      </c>
      <c r="AG8678" s="12" t="s">
        <v>81</v>
      </c>
      <c r="AH8678" s="1">
        <f>HYPERLINK("https://my.pitchbook.com?c=29429-47T","View Company Online")</f>
      </c>
    </row>
    <row r="8679">
      <c r="A8679" s="3" t="s">
        <v>37631</v>
      </c>
      <c r="B8679" s="3" t="s">
        <v>37632</v>
      </c>
      <c r="C8679" s="5" t="s">
        <v>36</v>
      </c>
      <c r="D8679" s="5" t="s">
        <v>36</v>
      </c>
      <c r="E8679" s="5" t="s">
        <v>36</v>
      </c>
      <c r="F8679" s="5" t="s">
        <v>36</v>
      </c>
      <c r="G8679" s="6" t="s">
        <v>36</v>
      </c>
      <c r="H8679" s="4" t="s">
        <v>36</v>
      </c>
      <c r="I8679" s="7" t="s">
        <v>36</v>
      </c>
      <c r="J8679" s="3" t="s">
        <v>36</v>
      </c>
      <c r="K8679" s="9" t="s">
        <v>36</v>
      </c>
      <c r="L8679" s="6" t="s">
        <v>36</v>
      </c>
      <c r="M8679" s="3" t="s">
        <v>36</v>
      </c>
      <c r="N8679" s="3" t="s">
        <v>36</v>
      </c>
      <c r="O8679" s="8" t="s">
        <v>36</v>
      </c>
      <c r="P8679" s="3" t="s">
        <v>36</v>
      </c>
      <c r="Q8679" s="3" t="s">
        <v>36</v>
      </c>
      <c r="R8679" s="3" t="s">
        <v>36</v>
      </c>
      <c r="S8679" s="3" t="s">
        <v>36</v>
      </c>
      <c r="T8679" s="3" t="s">
        <v>1125</v>
      </c>
      <c r="U8679" s="3" t="s">
        <v>74</v>
      </c>
      <c r="V8679" s="3" t="s">
        <v>75</v>
      </c>
      <c r="W8679" s="3" t="s">
        <v>37633</v>
      </c>
      <c r="X8679" s="10" t="s">
        <v>5661</v>
      </c>
      <c r="Y8679" s="6" t="s">
        <v>42</v>
      </c>
      <c r="Z8679" s="4" t="s">
        <v>36</v>
      </c>
      <c r="AA8679" s="4" t="s">
        <v>36</v>
      </c>
      <c r="AB8679" s="3" t="s">
        <v>43</v>
      </c>
      <c r="AC8679" s="3" t="s">
        <v>37634</v>
      </c>
      <c r="AD8679" s="9">
        <v>40634</v>
      </c>
      <c r="AE8679" s="3" t="s">
        <v>975</v>
      </c>
      <c r="AF8679" s="3" t="s">
        <v>36</v>
      </c>
      <c r="AG8679" s="3" t="s">
        <v>37635</v>
      </c>
      <c r="AH8679" s="11">
        <f>HYPERLINK("https://my.pitchbook.com?c=27997-12T","View Company Online")</f>
      </c>
    </row>
    <row r="8680">
      <c r="A8680" s="12" t="s">
        <v>37636</v>
      </c>
      <c r="B8680" s="12" t="s">
        <v>33471</v>
      </c>
      <c r="C8680" s="19" t="s">
        <v>36</v>
      </c>
      <c r="D8680" s="19" t="s">
        <v>36</v>
      </c>
      <c r="E8680" s="19" t="s">
        <v>36</v>
      </c>
      <c r="F8680" s="19" t="s">
        <v>36</v>
      </c>
      <c r="G8680" s="15" t="s">
        <v>36</v>
      </c>
      <c r="H8680" s="14" t="s">
        <v>36</v>
      </c>
      <c r="I8680" s="18" t="s">
        <v>36</v>
      </c>
      <c r="J8680" s="12" t="s">
        <v>36</v>
      </c>
      <c r="K8680" s="13" t="s">
        <v>36</v>
      </c>
      <c r="L8680" s="15" t="s">
        <v>36</v>
      </c>
      <c r="M8680" s="12" t="s">
        <v>36</v>
      </c>
      <c r="N8680" s="12" t="s">
        <v>36</v>
      </c>
      <c r="O8680" s="17" t="s">
        <v>36</v>
      </c>
      <c r="P8680" s="12" t="s">
        <v>36</v>
      </c>
      <c r="Q8680" s="12" t="s">
        <v>36</v>
      </c>
      <c r="R8680" s="12" t="s">
        <v>36</v>
      </c>
      <c r="S8680" s="12" t="s">
        <v>36</v>
      </c>
      <c r="T8680" s="12" t="s">
        <v>33472</v>
      </c>
      <c r="U8680" s="12" t="s">
        <v>648</v>
      </c>
      <c r="V8680" s="12" t="s">
        <v>64</v>
      </c>
      <c r="W8680" s="12" t="s">
        <v>33473</v>
      </c>
      <c r="X8680" s="16" t="s">
        <v>37637</v>
      </c>
      <c r="Y8680" s="15" t="s">
        <v>42</v>
      </c>
      <c r="Z8680" s="14">
        <v>2.81</v>
      </c>
      <c r="AA8680" s="14" t="s">
        <v>36</v>
      </c>
      <c r="AB8680" s="12" t="s">
        <v>43</v>
      </c>
      <c r="AC8680" s="12" t="s">
        <v>33475</v>
      </c>
      <c r="AD8680" s="13">
        <v>40634</v>
      </c>
      <c r="AE8680" s="12" t="s">
        <v>651</v>
      </c>
      <c r="AF8680" s="12" t="s">
        <v>2118</v>
      </c>
      <c r="AG8680" s="12" t="s">
        <v>33476</v>
      </c>
      <c r="AH8680" s="1">
        <f>HYPERLINK("https://my.pitchbook.com?c=24681-25T","View Company Online")</f>
      </c>
    </row>
    <row r="8681">
      <c r="A8681" s="3" t="s">
        <v>37638</v>
      </c>
      <c r="B8681" s="3" t="s">
        <v>31349</v>
      </c>
      <c r="C8681" s="5" t="s">
        <v>36</v>
      </c>
      <c r="D8681" s="5" t="s">
        <v>36</v>
      </c>
      <c r="E8681" s="5">
        <v>3</v>
      </c>
      <c r="F8681" s="5">
        <v>3</v>
      </c>
      <c r="G8681" s="6" t="s">
        <v>36</v>
      </c>
      <c r="H8681" s="4" t="s">
        <v>36</v>
      </c>
      <c r="I8681" s="7" t="s">
        <v>36</v>
      </c>
      <c r="J8681" s="3" t="s">
        <v>36</v>
      </c>
      <c r="K8681" s="9" t="s">
        <v>36</v>
      </c>
      <c r="L8681" s="6" t="s">
        <v>36</v>
      </c>
      <c r="M8681" s="3" t="s">
        <v>36</v>
      </c>
      <c r="N8681" s="3" t="s">
        <v>36</v>
      </c>
      <c r="O8681" s="8" t="s">
        <v>36</v>
      </c>
      <c r="P8681" s="3" t="s">
        <v>36</v>
      </c>
      <c r="Q8681" s="3" t="s">
        <v>36</v>
      </c>
      <c r="R8681" s="3" t="s">
        <v>36</v>
      </c>
      <c r="S8681" s="3" t="s">
        <v>36</v>
      </c>
      <c r="T8681" s="3" t="s">
        <v>31350</v>
      </c>
      <c r="U8681" s="3" t="s">
        <v>38</v>
      </c>
      <c r="V8681" s="3" t="s">
        <v>39</v>
      </c>
      <c r="W8681" s="3" t="s">
        <v>31351</v>
      </c>
      <c r="X8681" s="10" t="s">
        <v>37639</v>
      </c>
      <c r="Y8681" s="6" t="s">
        <v>42</v>
      </c>
      <c r="Z8681" s="4">
        <v>10.53</v>
      </c>
      <c r="AA8681" s="4" t="s">
        <v>36</v>
      </c>
      <c r="AB8681" s="3" t="s">
        <v>43</v>
      </c>
      <c r="AC8681" s="3" t="s">
        <v>31353</v>
      </c>
      <c r="AD8681" s="9">
        <v>40634</v>
      </c>
      <c r="AE8681" s="3" t="s">
        <v>554</v>
      </c>
      <c r="AF8681" s="3" t="s">
        <v>4552</v>
      </c>
      <c r="AG8681" s="3" t="s">
        <v>81</v>
      </c>
      <c r="AH8681" s="11">
        <f>HYPERLINK("https://my.pitchbook.com?c=24559-12T","View Company Online")</f>
      </c>
    </row>
    <row r="8682">
      <c r="A8682" s="12" t="s">
        <v>37640</v>
      </c>
      <c r="B8682" s="12" t="s">
        <v>36590</v>
      </c>
      <c r="C8682" s="19" t="s">
        <v>36</v>
      </c>
      <c r="D8682" s="19" t="s">
        <v>36</v>
      </c>
      <c r="E8682" s="19" t="s">
        <v>36</v>
      </c>
      <c r="F8682" s="19" t="s">
        <v>36</v>
      </c>
      <c r="G8682" s="15" t="s">
        <v>36</v>
      </c>
      <c r="H8682" s="14" t="s">
        <v>36</v>
      </c>
      <c r="I8682" s="18" t="s">
        <v>36</v>
      </c>
      <c r="J8682" s="12" t="s">
        <v>36</v>
      </c>
      <c r="K8682" s="13" t="s">
        <v>36</v>
      </c>
      <c r="L8682" s="15" t="s">
        <v>36</v>
      </c>
      <c r="M8682" s="12" t="s">
        <v>36</v>
      </c>
      <c r="N8682" s="12" t="s">
        <v>36</v>
      </c>
      <c r="O8682" s="17" t="s">
        <v>36</v>
      </c>
      <c r="P8682" s="12" t="s">
        <v>36</v>
      </c>
      <c r="Q8682" s="12" t="s">
        <v>36</v>
      </c>
      <c r="R8682" s="12" t="s">
        <v>36</v>
      </c>
      <c r="S8682" s="12" t="s">
        <v>36</v>
      </c>
      <c r="T8682" s="12" t="s">
        <v>7582</v>
      </c>
      <c r="U8682" s="12" t="s">
        <v>63</v>
      </c>
      <c r="V8682" s="12" t="s">
        <v>64</v>
      </c>
      <c r="W8682" s="12" t="s">
        <v>36591</v>
      </c>
      <c r="X8682" s="16" t="s">
        <v>2869</v>
      </c>
      <c r="Y8682" s="15" t="s">
        <v>108</v>
      </c>
      <c r="Z8682" s="14">
        <v>4.63</v>
      </c>
      <c r="AA8682" s="14" t="s">
        <v>36</v>
      </c>
      <c r="AB8682" s="12" t="s">
        <v>56</v>
      </c>
      <c r="AC8682" s="12" t="s">
        <v>36593</v>
      </c>
      <c r="AD8682" s="13">
        <v>40634</v>
      </c>
      <c r="AE8682" s="12" t="s">
        <v>68</v>
      </c>
      <c r="AF8682" s="12" t="s">
        <v>6488</v>
      </c>
      <c r="AG8682" s="12" t="s">
        <v>81</v>
      </c>
      <c r="AH8682" s="1">
        <f>HYPERLINK("https://my.pitchbook.com?c=24483-25T","View Company Online")</f>
      </c>
    </row>
    <row r="8683">
      <c r="A8683" s="3" t="s">
        <v>37641</v>
      </c>
      <c r="B8683" s="3" t="s">
        <v>37642</v>
      </c>
      <c r="C8683" s="5" t="s">
        <v>36</v>
      </c>
      <c r="D8683" s="5" t="s">
        <v>36</v>
      </c>
      <c r="E8683" s="5" t="s">
        <v>36</v>
      </c>
      <c r="F8683" s="5" t="s">
        <v>36</v>
      </c>
      <c r="G8683" s="6" t="s">
        <v>36</v>
      </c>
      <c r="H8683" s="4" t="s">
        <v>36</v>
      </c>
      <c r="I8683" s="7" t="s">
        <v>36</v>
      </c>
      <c r="J8683" s="3" t="s">
        <v>36</v>
      </c>
      <c r="K8683" s="9" t="s">
        <v>36</v>
      </c>
      <c r="L8683" s="6" t="s">
        <v>36</v>
      </c>
      <c r="M8683" s="3" t="s">
        <v>36</v>
      </c>
      <c r="N8683" s="3" t="s">
        <v>36</v>
      </c>
      <c r="O8683" s="8" t="s">
        <v>36</v>
      </c>
      <c r="P8683" s="3" t="s">
        <v>36</v>
      </c>
      <c r="Q8683" s="3" t="s">
        <v>36</v>
      </c>
      <c r="R8683" s="3" t="s">
        <v>36</v>
      </c>
      <c r="S8683" s="3" t="s">
        <v>36</v>
      </c>
      <c r="T8683" s="3" t="s">
        <v>37643</v>
      </c>
      <c r="U8683" s="3" t="s">
        <v>279</v>
      </c>
      <c r="V8683" s="3" t="s">
        <v>64</v>
      </c>
      <c r="W8683" s="3" t="s">
        <v>37644</v>
      </c>
      <c r="X8683" s="10" t="s">
        <v>37645</v>
      </c>
      <c r="Y8683" s="6" t="s">
        <v>42</v>
      </c>
      <c r="Z8683" s="4">
        <v>1.3</v>
      </c>
      <c r="AA8683" s="4" t="s">
        <v>36</v>
      </c>
      <c r="AB8683" s="3" t="s">
        <v>43</v>
      </c>
      <c r="AC8683" s="3" t="s">
        <v>37646</v>
      </c>
      <c r="AD8683" s="9">
        <v>40634</v>
      </c>
      <c r="AE8683" s="3" t="s">
        <v>851</v>
      </c>
      <c r="AF8683" s="3" t="s">
        <v>6214</v>
      </c>
      <c r="AG8683" s="3" t="s">
        <v>2000</v>
      </c>
      <c r="AH8683" s="11">
        <f>HYPERLINK("https://my.pitchbook.com?c=28546-75T","View Company Online")</f>
      </c>
    </row>
    <row r="8684">
      <c r="A8684" s="12" t="s">
        <v>37647</v>
      </c>
      <c r="B8684" s="12" t="s">
        <v>37648</v>
      </c>
      <c r="C8684" s="19" t="s">
        <v>36</v>
      </c>
      <c r="D8684" s="19" t="s">
        <v>36</v>
      </c>
      <c r="E8684" s="19" t="s">
        <v>36</v>
      </c>
      <c r="F8684" s="19" t="s">
        <v>36</v>
      </c>
      <c r="G8684" s="15" t="s">
        <v>36</v>
      </c>
      <c r="H8684" s="14" t="s">
        <v>36</v>
      </c>
      <c r="I8684" s="18" t="s">
        <v>36</v>
      </c>
      <c r="J8684" s="12" t="s">
        <v>36</v>
      </c>
      <c r="K8684" s="13" t="s">
        <v>36</v>
      </c>
      <c r="L8684" s="15" t="s">
        <v>36</v>
      </c>
      <c r="M8684" s="12" t="s">
        <v>36</v>
      </c>
      <c r="N8684" s="12" t="s">
        <v>36</v>
      </c>
      <c r="O8684" s="17" t="s">
        <v>36</v>
      </c>
      <c r="P8684" s="12" t="s">
        <v>36</v>
      </c>
      <c r="Q8684" s="12" t="s">
        <v>36</v>
      </c>
      <c r="R8684" s="12" t="s">
        <v>36</v>
      </c>
      <c r="S8684" s="12" t="s">
        <v>36</v>
      </c>
      <c r="T8684" s="12" t="s">
        <v>1701</v>
      </c>
      <c r="U8684" s="12" t="s">
        <v>74</v>
      </c>
      <c r="V8684" s="12" t="s">
        <v>75</v>
      </c>
      <c r="W8684" s="12" t="s">
        <v>37649</v>
      </c>
      <c r="X8684" s="16" t="s">
        <v>30701</v>
      </c>
      <c r="Y8684" s="15" t="s">
        <v>42</v>
      </c>
      <c r="Z8684" s="14">
        <v>2.8</v>
      </c>
      <c r="AA8684" s="14" t="s">
        <v>36</v>
      </c>
      <c r="AB8684" s="12" t="s">
        <v>43</v>
      </c>
      <c r="AC8684" s="12" t="s">
        <v>37650</v>
      </c>
      <c r="AD8684" s="13">
        <v>40633</v>
      </c>
      <c r="AE8684" s="12" t="s">
        <v>79</v>
      </c>
      <c r="AF8684" s="12" t="s">
        <v>1636</v>
      </c>
      <c r="AG8684" s="12" t="s">
        <v>1905</v>
      </c>
      <c r="AH8684" s="1">
        <f>HYPERLINK("https://my.pitchbook.com?c=35082-73T","View Company Online")</f>
      </c>
    </row>
    <row r="8685">
      <c r="A8685" s="3" t="s">
        <v>37651</v>
      </c>
      <c r="B8685" s="3" t="s">
        <v>36464</v>
      </c>
      <c r="C8685" s="5" t="s">
        <v>36</v>
      </c>
      <c r="D8685" s="5" t="s">
        <v>36</v>
      </c>
      <c r="E8685" s="5" t="s">
        <v>36</v>
      </c>
      <c r="F8685" s="5" t="s">
        <v>36</v>
      </c>
      <c r="G8685" s="6" t="s">
        <v>36</v>
      </c>
      <c r="H8685" s="4" t="s">
        <v>36</v>
      </c>
      <c r="I8685" s="7" t="s">
        <v>36</v>
      </c>
      <c r="J8685" s="3" t="s">
        <v>36</v>
      </c>
      <c r="K8685" s="9" t="s">
        <v>36</v>
      </c>
      <c r="L8685" s="6" t="s">
        <v>122</v>
      </c>
      <c r="M8685" s="3" t="s">
        <v>36</v>
      </c>
      <c r="N8685" s="3" t="s">
        <v>122</v>
      </c>
      <c r="O8685" s="8" t="s">
        <v>36</v>
      </c>
      <c r="P8685" s="3" t="s">
        <v>36</v>
      </c>
      <c r="Q8685" s="3" t="s">
        <v>36</v>
      </c>
      <c r="R8685" s="3" t="s">
        <v>36</v>
      </c>
      <c r="S8685" s="3" t="s">
        <v>36</v>
      </c>
      <c r="T8685" s="3" t="s">
        <v>2044</v>
      </c>
      <c r="U8685" s="3" t="s">
        <v>74</v>
      </c>
      <c r="V8685" s="3" t="s">
        <v>75</v>
      </c>
      <c r="W8685" s="3" t="s">
        <v>36465</v>
      </c>
      <c r="X8685" s="10" t="s">
        <v>37652</v>
      </c>
      <c r="Y8685" s="6" t="s">
        <v>42</v>
      </c>
      <c r="Z8685" s="4">
        <v>4.2</v>
      </c>
      <c r="AA8685" s="4" t="s">
        <v>36</v>
      </c>
      <c r="AB8685" s="3" t="s">
        <v>43</v>
      </c>
      <c r="AC8685" s="3" t="s">
        <v>36467</v>
      </c>
      <c r="AD8685" s="9">
        <v>40633</v>
      </c>
      <c r="AE8685" s="3" t="s">
        <v>79</v>
      </c>
      <c r="AF8685" s="3" t="s">
        <v>2210</v>
      </c>
      <c r="AG8685" s="3" t="s">
        <v>332</v>
      </c>
      <c r="AH8685" s="11">
        <f>HYPERLINK("https://my.pitchbook.com?c=18283-51T","View Company Online")</f>
      </c>
    </row>
    <row r="8686">
      <c r="A8686" s="12" t="s">
        <v>37653</v>
      </c>
      <c r="B8686" s="12" t="s">
        <v>37654</v>
      </c>
      <c r="C8686" s="19" t="s">
        <v>36</v>
      </c>
      <c r="D8686" s="19">
        <v>1</v>
      </c>
      <c r="E8686" s="19">
        <v>1</v>
      </c>
      <c r="F8686" s="19">
        <v>2</v>
      </c>
      <c r="G8686" s="15" t="s">
        <v>36</v>
      </c>
      <c r="H8686" s="14">
        <v>25.96</v>
      </c>
      <c r="I8686" s="18">
        <v>6.82</v>
      </c>
      <c r="J8686" s="12" t="s">
        <v>521</v>
      </c>
      <c r="K8686" s="13" t="s">
        <v>36</v>
      </c>
      <c r="L8686" s="15" t="s">
        <v>36</v>
      </c>
      <c r="M8686" s="12" t="s">
        <v>36</v>
      </c>
      <c r="N8686" s="12" t="s">
        <v>36</v>
      </c>
      <c r="O8686" s="17" t="s">
        <v>36</v>
      </c>
      <c r="P8686" s="12" t="s">
        <v>36</v>
      </c>
      <c r="Q8686" s="12" t="s">
        <v>36</v>
      </c>
      <c r="R8686" s="12" t="s">
        <v>36</v>
      </c>
      <c r="S8686" s="12" t="s">
        <v>36</v>
      </c>
      <c r="T8686" s="12" t="s">
        <v>37655</v>
      </c>
      <c r="U8686" s="12" t="s">
        <v>318</v>
      </c>
      <c r="V8686" s="12" t="s">
        <v>39</v>
      </c>
      <c r="W8686" s="12" t="s">
        <v>37656</v>
      </c>
      <c r="X8686" s="16" t="s">
        <v>37657</v>
      </c>
      <c r="Y8686" s="15" t="s">
        <v>42</v>
      </c>
      <c r="Z8686" s="14">
        <v>0.28</v>
      </c>
      <c r="AA8686" s="14">
        <v>0.62</v>
      </c>
      <c r="AB8686" s="12" t="s">
        <v>43</v>
      </c>
      <c r="AC8686" s="12" t="s">
        <v>37658</v>
      </c>
      <c r="AD8686" s="13">
        <v>40632</v>
      </c>
      <c r="AE8686" s="12" t="s">
        <v>417</v>
      </c>
      <c r="AF8686" s="12" t="s">
        <v>37659</v>
      </c>
      <c r="AG8686" s="12" t="s">
        <v>1823</v>
      </c>
      <c r="AH8686" s="1">
        <f>HYPERLINK("https://my.pitchbook.com?c=28035-01T","View Company Online")</f>
      </c>
    </row>
    <row r="8687">
      <c r="A8687" s="3" t="s">
        <v>37660</v>
      </c>
      <c r="B8687" s="3" t="s">
        <v>37661</v>
      </c>
      <c r="C8687" s="5" t="s">
        <v>36</v>
      </c>
      <c r="D8687" s="5" t="s">
        <v>36</v>
      </c>
      <c r="E8687" s="5" t="s">
        <v>36</v>
      </c>
      <c r="F8687" s="5" t="s">
        <v>36</v>
      </c>
      <c r="G8687" s="6" t="s">
        <v>36</v>
      </c>
      <c r="H8687" s="4" t="s">
        <v>36</v>
      </c>
      <c r="I8687" s="7" t="s">
        <v>36</v>
      </c>
      <c r="J8687" s="3" t="s">
        <v>36</v>
      </c>
      <c r="K8687" s="9" t="s">
        <v>36</v>
      </c>
      <c r="L8687" s="6" t="s">
        <v>122</v>
      </c>
      <c r="M8687" s="3" t="s">
        <v>36</v>
      </c>
      <c r="N8687" s="3" t="s">
        <v>122</v>
      </c>
      <c r="O8687" s="8" t="s">
        <v>36</v>
      </c>
      <c r="P8687" s="3" t="s">
        <v>36</v>
      </c>
      <c r="Q8687" s="3" t="s">
        <v>36</v>
      </c>
      <c r="R8687" s="3" t="s">
        <v>36</v>
      </c>
      <c r="S8687" s="3" t="s">
        <v>36</v>
      </c>
      <c r="T8687" s="3" t="s">
        <v>7057</v>
      </c>
      <c r="U8687" s="3" t="s">
        <v>74</v>
      </c>
      <c r="V8687" s="3" t="s">
        <v>75</v>
      </c>
      <c r="W8687" s="3" t="s">
        <v>37662</v>
      </c>
      <c r="X8687" s="10" t="s">
        <v>37663</v>
      </c>
      <c r="Y8687" s="6" t="s">
        <v>42</v>
      </c>
      <c r="Z8687" s="4">
        <v>3.5</v>
      </c>
      <c r="AA8687" s="4" t="s">
        <v>36</v>
      </c>
      <c r="AB8687" s="3" t="s">
        <v>43</v>
      </c>
      <c r="AC8687" s="3" t="s">
        <v>37664</v>
      </c>
      <c r="AD8687" s="9">
        <v>40631</v>
      </c>
      <c r="AE8687" s="3" t="s">
        <v>1243</v>
      </c>
      <c r="AF8687" s="3" t="s">
        <v>25548</v>
      </c>
      <c r="AG8687" s="3" t="s">
        <v>81</v>
      </c>
      <c r="AH8687" s="11">
        <f>HYPERLINK("https://my.pitchbook.com?c=26759-35T","View Company Online")</f>
      </c>
    </row>
    <row r="8688">
      <c r="A8688" s="12" t="s">
        <v>37665</v>
      </c>
      <c r="B8688" s="12" t="s">
        <v>37666</v>
      </c>
      <c r="C8688" s="19">
        <v>1</v>
      </c>
      <c r="D8688" s="19">
        <v>1</v>
      </c>
      <c r="E8688" s="19">
        <v>1</v>
      </c>
      <c r="F8688" s="19">
        <v>3</v>
      </c>
      <c r="G8688" s="15" t="s">
        <v>36</v>
      </c>
      <c r="H8688" s="14" t="s">
        <v>36</v>
      </c>
      <c r="I8688" s="18" t="s">
        <v>36</v>
      </c>
      <c r="J8688" s="12" t="s">
        <v>36</v>
      </c>
      <c r="K8688" s="13" t="s">
        <v>36</v>
      </c>
      <c r="L8688" s="15" t="s">
        <v>36</v>
      </c>
      <c r="M8688" s="12" t="s">
        <v>36</v>
      </c>
      <c r="N8688" s="12" t="s">
        <v>36</v>
      </c>
      <c r="O8688" s="17" t="s">
        <v>36</v>
      </c>
      <c r="P8688" s="12" t="s">
        <v>36</v>
      </c>
      <c r="Q8688" s="12" t="s">
        <v>36</v>
      </c>
      <c r="R8688" s="12" t="s">
        <v>36</v>
      </c>
      <c r="S8688" s="12" t="s">
        <v>36</v>
      </c>
      <c r="T8688" s="12" t="s">
        <v>6281</v>
      </c>
      <c r="U8688" s="12" t="s">
        <v>96</v>
      </c>
      <c r="V8688" s="12" t="s">
        <v>52</v>
      </c>
      <c r="W8688" s="12" t="s">
        <v>37667</v>
      </c>
      <c r="X8688" s="16" t="s">
        <v>20527</v>
      </c>
      <c r="Y8688" s="15" t="s">
        <v>42</v>
      </c>
      <c r="Z8688" s="14">
        <v>0.25</v>
      </c>
      <c r="AA8688" s="14" t="s">
        <v>36</v>
      </c>
      <c r="AB8688" s="12" t="s">
        <v>43</v>
      </c>
      <c r="AC8688" s="12" t="s">
        <v>37668</v>
      </c>
      <c r="AD8688" s="13">
        <v>40630</v>
      </c>
      <c r="AE8688" s="12" t="s">
        <v>1414</v>
      </c>
      <c r="AF8688" s="12" t="s">
        <v>571</v>
      </c>
      <c r="AG8688" s="12" t="s">
        <v>37669</v>
      </c>
      <c r="AH8688" s="1">
        <f>HYPERLINK("https://my.pitchbook.com?c=29634-85T","View Company Online")</f>
      </c>
    </row>
    <row r="8689">
      <c r="A8689" s="3" t="s">
        <v>37670</v>
      </c>
      <c r="B8689" s="3" t="s">
        <v>37671</v>
      </c>
      <c r="C8689" s="5" t="s">
        <v>36</v>
      </c>
      <c r="D8689" s="5" t="s">
        <v>36</v>
      </c>
      <c r="E8689" s="5" t="s">
        <v>36</v>
      </c>
      <c r="F8689" s="5" t="s">
        <v>36</v>
      </c>
      <c r="G8689" s="6" t="s">
        <v>36</v>
      </c>
      <c r="H8689" s="4" t="s">
        <v>36</v>
      </c>
      <c r="I8689" s="7" t="s">
        <v>36</v>
      </c>
      <c r="J8689" s="3" t="s">
        <v>36</v>
      </c>
      <c r="K8689" s="9" t="s">
        <v>36</v>
      </c>
      <c r="L8689" s="6" t="s">
        <v>36</v>
      </c>
      <c r="M8689" s="3" t="s">
        <v>36</v>
      </c>
      <c r="N8689" s="3" t="s">
        <v>36</v>
      </c>
      <c r="O8689" s="8" t="s">
        <v>36</v>
      </c>
      <c r="P8689" s="3" t="s">
        <v>36</v>
      </c>
      <c r="Q8689" s="3" t="s">
        <v>36</v>
      </c>
      <c r="R8689" s="3" t="s">
        <v>36</v>
      </c>
      <c r="S8689" s="3" t="s">
        <v>36</v>
      </c>
      <c r="T8689" s="3" t="s">
        <v>26736</v>
      </c>
      <c r="U8689" s="3" t="s">
        <v>289</v>
      </c>
      <c r="V8689" s="3" t="s">
        <v>64</v>
      </c>
      <c r="W8689" s="3" t="s">
        <v>37672</v>
      </c>
      <c r="X8689" s="10" t="s">
        <v>87</v>
      </c>
      <c r="Y8689" s="6" t="s">
        <v>42</v>
      </c>
      <c r="Z8689" s="4">
        <v>2.15</v>
      </c>
      <c r="AA8689" s="4" t="s">
        <v>36</v>
      </c>
      <c r="AB8689" s="3" t="s">
        <v>43</v>
      </c>
      <c r="AC8689" s="3" t="s">
        <v>37673</v>
      </c>
      <c r="AD8689" s="9">
        <v>40627</v>
      </c>
      <c r="AE8689" s="3" t="s">
        <v>292</v>
      </c>
      <c r="AF8689" s="3" t="s">
        <v>2118</v>
      </c>
      <c r="AG8689" s="3" t="s">
        <v>81</v>
      </c>
      <c r="AH8689" s="11">
        <f>HYPERLINK("https://my.pitchbook.com?c=28547-20T","View Company Online")</f>
      </c>
    </row>
    <row r="8690">
      <c r="A8690" s="12" t="s">
        <v>37674</v>
      </c>
      <c r="B8690" s="12" t="s">
        <v>37675</v>
      </c>
      <c r="C8690" s="19" t="s">
        <v>36</v>
      </c>
      <c r="D8690" s="19" t="s">
        <v>36</v>
      </c>
      <c r="E8690" s="19" t="s">
        <v>36</v>
      </c>
      <c r="F8690" s="19" t="s">
        <v>36</v>
      </c>
      <c r="G8690" s="15" t="s">
        <v>36</v>
      </c>
      <c r="H8690" s="14" t="s">
        <v>36</v>
      </c>
      <c r="I8690" s="18" t="s">
        <v>36</v>
      </c>
      <c r="J8690" s="12" t="s">
        <v>36</v>
      </c>
      <c r="K8690" s="13" t="s">
        <v>36</v>
      </c>
      <c r="L8690" s="15" t="s">
        <v>36</v>
      </c>
      <c r="M8690" s="12" t="s">
        <v>36</v>
      </c>
      <c r="N8690" s="12" t="s">
        <v>36</v>
      </c>
      <c r="O8690" s="17" t="s">
        <v>36</v>
      </c>
      <c r="P8690" s="12" t="s">
        <v>36</v>
      </c>
      <c r="Q8690" s="12" t="s">
        <v>36</v>
      </c>
      <c r="R8690" s="12" t="s">
        <v>36</v>
      </c>
      <c r="S8690" s="12" t="s">
        <v>36</v>
      </c>
      <c r="T8690" s="12" t="s">
        <v>37676</v>
      </c>
      <c r="U8690" s="12" t="s">
        <v>74</v>
      </c>
      <c r="V8690" s="12" t="s">
        <v>75</v>
      </c>
      <c r="W8690" s="12" t="s">
        <v>37677</v>
      </c>
      <c r="X8690" s="16" t="s">
        <v>33014</v>
      </c>
      <c r="Y8690" s="15" t="s">
        <v>108</v>
      </c>
      <c r="Z8690" s="14">
        <v>1.39</v>
      </c>
      <c r="AA8690" s="14" t="s">
        <v>36</v>
      </c>
      <c r="AB8690" s="12" t="s">
        <v>43</v>
      </c>
      <c r="AC8690" s="12" t="s">
        <v>37678</v>
      </c>
      <c r="AD8690" s="13">
        <v>40626</v>
      </c>
      <c r="AE8690" s="12" t="s">
        <v>1243</v>
      </c>
      <c r="AF8690" s="12" t="s">
        <v>546</v>
      </c>
      <c r="AG8690" s="12" t="s">
        <v>81</v>
      </c>
      <c r="AH8690" s="1">
        <f>HYPERLINK("https://my.pitchbook.com?c=29655-64T","View Company Online")</f>
      </c>
    </row>
    <row r="8691">
      <c r="A8691" s="3" t="s">
        <v>37679</v>
      </c>
      <c r="B8691" s="3" t="s">
        <v>36209</v>
      </c>
      <c r="C8691" s="5" t="s">
        <v>36</v>
      </c>
      <c r="D8691" s="5" t="s">
        <v>36</v>
      </c>
      <c r="E8691" s="5" t="s">
        <v>36</v>
      </c>
      <c r="F8691" s="5" t="s">
        <v>36</v>
      </c>
      <c r="G8691" s="6" t="s">
        <v>36</v>
      </c>
      <c r="H8691" s="4" t="s">
        <v>36</v>
      </c>
      <c r="I8691" s="7" t="s">
        <v>36</v>
      </c>
      <c r="J8691" s="3" t="s">
        <v>36</v>
      </c>
      <c r="K8691" s="9" t="s">
        <v>36</v>
      </c>
      <c r="L8691" s="6" t="s">
        <v>36</v>
      </c>
      <c r="M8691" s="3" t="s">
        <v>36</v>
      </c>
      <c r="N8691" s="3" t="s">
        <v>36</v>
      </c>
      <c r="O8691" s="8" t="s">
        <v>36</v>
      </c>
      <c r="P8691" s="3" t="s">
        <v>36</v>
      </c>
      <c r="Q8691" s="3" t="s">
        <v>36</v>
      </c>
      <c r="R8691" s="3" t="s">
        <v>36</v>
      </c>
      <c r="S8691" s="3" t="s">
        <v>36</v>
      </c>
      <c r="T8691" s="3" t="s">
        <v>35239</v>
      </c>
      <c r="U8691" s="3" t="s">
        <v>1580</v>
      </c>
      <c r="V8691" s="3" t="s">
        <v>39</v>
      </c>
      <c r="W8691" s="3" t="s">
        <v>36210</v>
      </c>
      <c r="X8691" s="10" t="s">
        <v>37680</v>
      </c>
      <c r="Y8691" s="6" t="s">
        <v>42</v>
      </c>
      <c r="Z8691" s="4">
        <v>0.42</v>
      </c>
      <c r="AA8691" s="4" t="s">
        <v>36</v>
      </c>
      <c r="AB8691" s="3" t="s">
        <v>43</v>
      </c>
      <c r="AC8691" s="3" t="s">
        <v>36212</v>
      </c>
      <c r="AD8691" s="9">
        <v>40626</v>
      </c>
      <c r="AE8691" s="3" t="s">
        <v>4086</v>
      </c>
      <c r="AF8691" s="3" t="s">
        <v>1636</v>
      </c>
      <c r="AG8691" s="3" t="s">
        <v>36213</v>
      </c>
      <c r="AH8691" s="11">
        <f>HYPERLINK("https://my.pitchbook.com?c=26319-97T","View Company Online")</f>
      </c>
    </row>
    <row r="8692">
      <c r="A8692" s="12" t="s">
        <v>37681</v>
      </c>
      <c r="B8692" s="12" t="s">
        <v>37682</v>
      </c>
      <c r="C8692" s="19">
        <v>5</v>
      </c>
      <c r="D8692" s="19">
        <v>10</v>
      </c>
      <c r="E8692" s="19">
        <v>22</v>
      </c>
      <c r="F8692" s="19">
        <v>51</v>
      </c>
      <c r="G8692" s="15" t="s">
        <v>36</v>
      </c>
      <c r="H8692" s="14" t="s">
        <v>36</v>
      </c>
      <c r="I8692" s="18" t="s">
        <v>36</v>
      </c>
      <c r="J8692" s="12" t="s">
        <v>36</v>
      </c>
      <c r="K8692" s="13" t="s">
        <v>36</v>
      </c>
      <c r="L8692" s="15" t="s">
        <v>3736</v>
      </c>
      <c r="M8692" s="12" t="s">
        <v>36</v>
      </c>
      <c r="N8692" s="12" t="s">
        <v>3736</v>
      </c>
      <c r="O8692" s="17" t="s">
        <v>36</v>
      </c>
      <c r="P8692" s="12" t="s">
        <v>36</v>
      </c>
      <c r="Q8692" s="12" t="s">
        <v>36</v>
      </c>
      <c r="R8692" s="12" t="s">
        <v>36</v>
      </c>
      <c r="S8692" s="12" t="s">
        <v>36</v>
      </c>
      <c r="T8692" s="12" t="s">
        <v>105</v>
      </c>
      <c r="U8692" s="12" t="s">
        <v>38</v>
      </c>
      <c r="V8692" s="12" t="s">
        <v>39</v>
      </c>
      <c r="W8692" s="12" t="s">
        <v>37683</v>
      </c>
      <c r="X8692" s="16" t="s">
        <v>37684</v>
      </c>
      <c r="Y8692" s="15" t="s">
        <v>108</v>
      </c>
      <c r="Z8692" s="14">
        <v>5.5</v>
      </c>
      <c r="AA8692" s="14" t="s">
        <v>36</v>
      </c>
      <c r="AB8692" s="12" t="s">
        <v>56</v>
      </c>
      <c r="AC8692" s="12" t="s">
        <v>37685</v>
      </c>
      <c r="AD8692" s="13">
        <v>40626</v>
      </c>
      <c r="AE8692" s="12" t="s">
        <v>110</v>
      </c>
      <c r="AF8692" s="12" t="s">
        <v>37686</v>
      </c>
      <c r="AG8692" s="12" t="s">
        <v>81</v>
      </c>
      <c r="AH8692" s="1">
        <f>HYPERLINK("https://my.pitchbook.com?c=23735-62T","View Company Online")</f>
      </c>
    </row>
    <row r="8693">
      <c r="A8693" s="3" t="s">
        <v>37687</v>
      </c>
      <c r="B8693" s="3" t="s">
        <v>37688</v>
      </c>
      <c r="C8693" s="5" t="s">
        <v>36</v>
      </c>
      <c r="D8693" s="5" t="s">
        <v>36</v>
      </c>
      <c r="E8693" s="5" t="s">
        <v>36</v>
      </c>
      <c r="F8693" s="5" t="s">
        <v>36</v>
      </c>
      <c r="G8693" s="6" t="s">
        <v>36</v>
      </c>
      <c r="H8693" s="4" t="s">
        <v>36</v>
      </c>
      <c r="I8693" s="7" t="s">
        <v>36</v>
      </c>
      <c r="J8693" s="3" t="s">
        <v>36</v>
      </c>
      <c r="K8693" s="9" t="s">
        <v>36</v>
      </c>
      <c r="L8693" s="6" t="s">
        <v>36</v>
      </c>
      <c r="M8693" s="3" t="s">
        <v>36</v>
      </c>
      <c r="N8693" s="3" t="s">
        <v>36</v>
      </c>
      <c r="O8693" s="8" t="s">
        <v>36</v>
      </c>
      <c r="P8693" s="3" t="s">
        <v>36</v>
      </c>
      <c r="Q8693" s="3" t="s">
        <v>36</v>
      </c>
      <c r="R8693" s="3" t="s">
        <v>36</v>
      </c>
      <c r="S8693" s="3" t="s">
        <v>36</v>
      </c>
      <c r="T8693" s="3" t="s">
        <v>1162</v>
      </c>
      <c r="U8693" s="3" t="s">
        <v>423</v>
      </c>
      <c r="V8693" s="3" t="s">
        <v>64</v>
      </c>
      <c r="W8693" s="3" t="s">
        <v>37689</v>
      </c>
      <c r="X8693" s="10" t="s">
        <v>5661</v>
      </c>
      <c r="Y8693" s="6" t="s">
        <v>42</v>
      </c>
      <c r="Z8693" s="4" t="s">
        <v>36</v>
      </c>
      <c r="AA8693" s="4" t="s">
        <v>36</v>
      </c>
      <c r="AB8693" s="3" t="s">
        <v>43</v>
      </c>
      <c r="AC8693" s="3" t="s">
        <v>37690</v>
      </c>
      <c r="AD8693" s="9">
        <v>40625</v>
      </c>
      <c r="AE8693" s="3" t="s">
        <v>562</v>
      </c>
      <c r="AF8693" s="3" t="s">
        <v>938</v>
      </c>
      <c r="AG8693" s="3" t="s">
        <v>37691</v>
      </c>
      <c r="AH8693" s="11">
        <f>HYPERLINK("https://my.pitchbook.com?c=27991-63T","View Company Online")</f>
      </c>
    </row>
    <row r="8694">
      <c r="A8694" s="12" t="s">
        <v>37692</v>
      </c>
      <c r="B8694" s="12" t="s">
        <v>25170</v>
      </c>
      <c r="C8694" s="19" t="s">
        <v>36</v>
      </c>
      <c r="D8694" s="19" t="s">
        <v>36</v>
      </c>
      <c r="E8694" s="19" t="s">
        <v>36</v>
      </c>
      <c r="F8694" s="19" t="s">
        <v>36</v>
      </c>
      <c r="G8694" s="15" t="s">
        <v>36</v>
      </c>
      <c r="H8694" s="14" t="s">
        <v>36</v>
      </c>
      <c r="I8694" s="18">
        <v>6.11</v>
      </c>
      <c r="J8694" s="12" t="s">
        <v>327</v>
      </c>
      <c r="K8694" s="13" t="s">
        <v>36</v>
      </c>
      <c r="L8694" s="15" t="s">
        <v>36</v>
      </c>
      <c r="M8694" s="12" t="s">
        <v>36</v>
      </c>
      <c r="N8694" s="12" t="s">
        <v>36</v>
      </c>
      <c r="O8694" s="17" t="s">
        <v>36</v>
      </c>
      <c r="P8694" s="12" t="s">
        <v>36</v>
      </c>
      <c r="Q8694" s="12" t="s">
        <v>36</v>
      </c>
      <c r="R8694" s="12" t="s">
        <v>36</v>
      </c>
      <c r="S8694" s="12" t="s">
        <v>36</v>
      </c>
      <c r="T8694" s="12" t="s">
        <v>25171</v>
      </c>
      <c r="U8694" s="12" t="s">
        <v>38</v>
      </c>
      <c r="V8694" s="12" t="s">
        <v>39</v>
      </c>
      <c r="W8694" s="12" t="s">
        <v>25172</v>
      </c>
      <c r="X8694" s="16" t="s">
        <v>37693</v>
      </c>
      <c r="Y8694" s="15" t="s">
        <v>42</v>
      </c>
      <c r="Z8694" s="14">
        <v>0.28</v>
      </c>
      <c r="AA8694" s="14">
        <v>4.53</v>
      </c>
      <c r="AB8694" s="12" t="s">
        <v>43</v>
      </c>
      <c r="AC8694" s="12" t="s">
        <v>25174</v>
      </c>
      <c r="AD8694" s="13">
        <v>40620</v>
      </c>
      <c r="AE8694" s="12" t="s">
        <v>110</v>
      </c>
      <c r="AF8694" s="12" t="s">
        <v>17475</v>
      </c>
      <c r="AG8694" s="12" t="s">
        <v>6368</v>
      </c>
      <c r="AH8694" s="1">
        <f>HYPERLINK("https://my.pitchbook.com?c=85067-38T","View Company Online")</f>
      </c>
    </row>
    <row r="8695">
      <c r="A8695" s="3" t="s">
        <v>37694</v>
      </c>
      <c r="B8695" s="3" t="s">
        <v>37695</v>
      </c>
      <c r="C8695" s="5" t="s">
        <v>36</v>
      </c>
      <c r="D8695" s="5" t="s">
        <v>36</v>
      </c>
      <c r="E8695" s="5" t="s">
        <v>36</v>
      </c>
      <c r="F8695" s="5" t="s">
        <v>36</v>
      </c>
      <c r="G8695" s="6" t="s">
        <v>36</v>
      </c>
      <c r="H8695" s="4" t="s">
        <v>36</v>
      </c>
      <c r="I8695" s="7" t="s">
        <v>36</v>
      </c>
      <c r="J8695" s="3" t="s">
        <v>36</v>
      </c>
      <c r="K8695" s="9" t="s">
        <v>36</v>
      </c>
      <c r="L8695" s="6" t="s">
        <v>122</v>
      </c>
      <c r="M8695" s="3" t="s">
        <v>36</v>
      </c>
      <c r="N8695" s="3" t="s">
        <v>122</v>
      </c>
      <c r="O8695" s="8" t="s">
        <v>36</v>
      </c>
      <c r="P8695" s="3" t="s">
        <v>36</v>
      </c>
      <c r="Q8695" s="3" t="s">
        <v>36</v>
      </c>
      <c r="R8695" s="3" t="s">
        <v>36</v>
      </c>
      <c r="S8695" s="3" t="s">
        <v>36</v>
      </c>
      <c r="T8695" s="3" t="s">
        <v>37696</v>
      </c>
      <c r="U8695" s="3" t="s">
        <v>38</v>
      </c>
      <c r="V8695" s="3" t="s">
        <v>39</v>
      </c>
      <c r="W8695" s="3" t="s">
        <v>37697</v>
      </c>
      <c r="X8695" s="10" t="s">
        <v>37698</v>
      </c>
      <c r="Y8695" s="6" t="s">
        <v>108</v>
      </c>
      <c r="Z8695" s="4">
        <v>3.46</v>
      </c>
      <c r="AA8695" s="4" t="s">
        <v>36</v>
      </c>
      <c r="AB8695" s="3" t="s">
        <v>43</v>
      </c>
      <c r="AC8695" s="3" t="s">
        <v>37699</v>
      </c>
      <c r="AD8695" s="9">
        <v>40619</v>
      </c>
      <c r="AE8695" s="3" t="s">
        <v>1945</v>
      </c>
      <c r="AF8695" s="3" t="s">
        <v>30104</v>
      </c>
      <c r="AG8695" s="3" t="s">
        <v>186</v>
      </c>
      <c r="AH8695" s="11">
        <f>HYPERLINK("https://my.pitchbook.com?c=35104-15T","View Company Online")</f>
      </c>
    </row>
    <row r="8696">
      <c r="A8696" s="12" t="s">
        <v>37700</v>
      </c>
      <c r="B8696" s="12" t="s">
        <v>37701</v>
      </c>
      <c r="C8696" s="19" t="s">
        <v>36</v>
      </c>
      <c r="D8696" s="19" t="s">
        <v>36</v>
      </c>
      <c r="E8696" s="19" t="s">
        <v>36</v>
      </c>
      <c r="F8696" s="19" t="s">
        <v>36</v>
      </c>
      <c r="G8696" s="15" t="s">
        <v>36</v>
      </c>
      <c r="H8696" s="14" t="s">
        <v>36</v>
      </c>
      <c r="I8696" s="18" t="s">
        <v>36</v>
      </c>
      <c r="J8696" s="12" t="s">
        <v>36</v>
      </c>
      <c r="K8696" s="13" t="s">
        <v>36</v>
      </c>
      <c r="L8696" s="15" t="s">
        <v>36</v>
      </c>
      <c r="M8696" s="12" t="s">
        <v>36</v>
      </c>
      <c r="N8696" s="12" t="s">
        <v>36</v>
      </c>
      <c r="O8696" s="17" t="s">
        <v>36</v>
      </c>
      <c r="P8696" s="12" t="s">
        <v>36</v>
      </c>
      <c r="Q8696" s="12" t="s">
        <v>36</v>
      </c>
      <c r="R8696" s="12" t="s">
        <v>36</v>
      </c>
      <c r="S8696" s="12" t="s">
        <v>36</v>
      </c>
      <c r="T8696" s="12" t="s">
        <v>37702</v>
      </c>
      <c r="U8696" s="12" t="s">
        <v>38</v>
      </c>
      <c r="V8696" s="12" t="s">
        <v>39</v>
      </c>
      <c r="W8696" s="12" t="s">
        <v>37703</v>
      </c>
      <c r="X8696" s="16" t="s">
        <v>33014</v>
      </c>
      <c r="Y8696" s="15" t="s">
        <v>42</v>
      </c>
      <c r="Z8696" s="14">
        <v>3.5</v>
      </c>
      <c r="AA8696" s="14" t="s">
        <v>36</v>
      </c>
      <c r="AB8696" s="12" t="s">
        <v>43</v>
      </c>
      <c r="AC8696" s="12" t="s">
        <v>37704</v>
      </c>
      <c r="AD8696" s="13">
        <v>40618</v>
      </c>
      <c r="AE8696" s="12" t="s">
        <v>32151</v>
      </c>
      <c r="AF8696" s="12" t="s">
        <v>4552</v>
      </c>
      <c r="AG8696" s="12" t="s">
        <v>81</v>
      </c>
      <c r="AH8696" s="1">
        <f>HYPERLINK("https://my.pitchbook.com?c=18248-86T","View Company Online")</f>
      </c>
    </row>
    <row r="8697">
      <c r="A8697" s="3" t="s">
        <v>37705</v>
      </c>
      <c r="B8697" s="3" t="s">
        <v>37706</v>
      </c>
      <c r="C8697" s="5" t="s">
        <v>36</v>
      </c>
      <c r="D8697" s="5" t="s">
        <v>36</v>
      </c>
      <c r="E8697" s="5" t="s">
        <v>36</v>
      </c>
      <c r="F8697" s="5" t="s">
        <v>36</v>
      </c>
      <c r="G8697" s="6" t="s">
        <v>36</v>
      </c>
      <c r="H8697" s="4" t="s">
        <v>36</v>
      </c>
      <c r="I8697" s="7" t="s">
        <v>36</v>
      </c>
      <c r="J8697" s="3" t="s">
        <v>36</v>
      </c>
      <c r="K8697" s="9" t="s">
        <v>36</v>
      </c>
      <c r="L8697" s="6" t="s">
        <v>36</v>
      </c>
      <c r="M8697" s="3" t="s">
        <v>36</v>
      </c>
      <c r="N8697" s="3" t="s">
        <v>36</v>
      </c>
      <c r="O8697" s="8" t="s">
        <v>36</v>
      </c>
      <c r="P8697" s="3" t="s">
        <v>36</v>
      </c>
      <c r="Q8697" s="3" t="s">
        <v>36</v>
      </c>
      <c r="R8697" s="3" t="s">
        <v>36</v>
      </c>
      <c r="S8697" s="3" t="s">
        <v>36</v>
      </c>
      <c r="T8697" s="3" t="s">
        <v>3445</v>
      </c>
      <c r="U8697" s="3" t="s">
        <v>38</v>
      </c>
      <c r="V8697" s="3" t="s">
        <v>39</v>
      </c>
      <c r="W8697" s="3" t="s">
        <v>37707</v>
      </c>
      <c r="X8697" s="10" t="s">
        <v>20527</v>
      </c>
      <c r="Y8697" s="6" t="s">
        <v>108</v>
      </c>
      <c r="Z8697" s="4">
        <v>0.28</v>
      </c>
      <c r="AA8697" s="4" t="s">
        <v>36</v>
      </c>
      <c r="AB8697" s="3" t="s">
        <v>56</v>
      </c>
      <c r="AC8697" s="3" t="s">
        <v>37708</v>
      </c>
      <c r="AD8697" s="9">
        <v>40618</v>
      </c>
      <c r="AE8697" s="3" t="s">
        <v>110</v>
      </c>
      <c r="AF8697" s="3" t="s">
        <v>4552</v>
      </c>
      <c r="AG8697" s="3" t="s">
        <v>697</v>
      </c>
      <c r="AH8697" s="11">
        <f>HYPERLINK("https://my.pitchbook.com?c=29636-74T","View Company Online")</f>
      </c>
    </row>
    <row r="8698">
      <c r="A8698" s="12" t="s">
        <v>37709</v>
      </c>
      <c r="B8698" s="12" t="s">
        <v>37710</v>
      </c>
      <c r="C8698" s="19" t="s">
        <v>36</v>
      </c>
      <c r="D8698" s="19" t="s">
        <v>36</v>
      </c>
      <c r="E8698" s="19" t="s">
        <v>36</v>
      </c>
      <c r="F8698" s="19" t="s">
        <v>36</v>
      </c>
      <c r="G8698" s="15" t="s">
        <v>36</v>
      </c>
      <c r="H8698" s="14" t="s">
        <v>36</v>
      </c>
      <c r="I8698" s="18" t="s">
        <v>36</v>
      </c>
      <c r="J8698" s="12" t="s">
        <v>36</v>
      </c>
      <c r="K8698" s="13" t="s">
        <v>36</v>
      </c>
      <c r="L8698" s="15" t="s">
        <v>36</v>
      </c>
      <c r="M8698" s="12" t="s">
        <v>36</v>
      </c>
      <c r="N8698" s="12" t="s">
        <v>36</v>
      </c>
      <c r="O8698" s="17" t="s">
        <v>36</v>
      </c>
      <c r="P8698" s="12" t="s">
        <v>36</v>
      </c>
      <c r="Q8698" s="12" t="s">
        <v>36</v>
      </c>
      <c r="R8698" s="12" t="s">
        <v>36</v>
      </c>
      <c r="S8698" s="12" t="s">
        <v>36</v>
      </c>
      <c r="T8698" s="12" t="s">
        <v>768</v>
      </c>
      <c r="U8698" s="12" t="s">
        <v>233</v>
      </c>
      <c r="V8698" s="12" t="s">
        <v>39</v>
      </c>
      <c r="W8698" s="12" t="s">
        <v>37711</v>
      </c>
      <c r="X8698" s="16" t="s">
        <v>31445</v>
      </c>
      <c r="Y8698" s="15" t="s">
        <v>108</v>
      </c>
      <c r="Z8698" s="14">
        <v>1.38</v>
      </c>
      <c r="AA8698" s="14" t="s">
        <v>36</v>
      </c>
      <c r="AB8698" s="12" t="s">
        <v>56</v>
      </c>
      <c r="AC8698" s="12" t="s">
        <v>37712</v>
      </c>
      <c r="AD8698" s="13">
        <v>40616</v>
      </c>
      <c r="AE8698" s="12" t="s">
        <v>236</v>
      </c>
      <c r="AF8698" s="12" t="s">
        <v>2752</v>
      </c>
      <c r="AG8698" s="12" t="s">
        <v>37713</v>
      </c>
      <c r="AH8698" s="1">
        <f>HYPERLINK("https://my.pitchbook.com?c=34176-79T","View Company Online")</f>
      </c>
    </row>
    <row r="8699">
      <c r="A8699" s="3" t="s">
        <v>37714</v>
      </c>
      <c r="B8699" s="3" t="s">
        <v>8128</v>
      </c>
      <c r="C8699" s="5">
        <v>4</v>
      </c>
      <c r="D8699" s="5">
        <v>33</v>
      </c>
      <c r="E8699" s="5">
        <v>9</v>
      </c>
      <c r="F8699" s="5">
        <v>45</v>
      </c>
      <c r="G8699" s="6" t="s">
        <v>36</v>
      </c>
      <c r="H8699" s="4">
        <v>103.86</v>
      </c>
      <c r="I8699" s="7">
        <v>42.59</v>
      </c>
      <c r="J8699" s="3" t="s">
        <v>521</v>
      </c>
      <c r="K8699" s="9" t="s">
        <v>36</v>
      </c>
      <c r="L8699" s="6" t="s">
        <v>36</v>
      </c>
      <c r="M8699" s="3" t="s">
        <v>36</v>
      </c>
      <c r="N8699" s="3" t="s">
        <v>36</v>
      </c>
      <c r="O8699" s="8" t="s">
        <v>36</v>
      </c>
      <c r="P8699" s="3" t="s">
        <v>36</v>
      </c>
      <c r="Q8699" s="3" t="s">
        <v>36</v>
      </c>
      <c r="R8699" s="3" t="s">
        <v>36</v>
      </c>
      <c r="S8699" s="3" t="s">
        <v>36</v>
      </c>
      <c r="T8699" s="3" t="s">
        <v>2176</v>
      </c>
      <c r="U8699" s="3" t="s">
        <v>51</v>
      </c>
      <c r="V8699" s="3" t="s">
        <v>52</v>
      </c>
      <c r="W8699" s="3" t="s">
        <v>8129</v>
      </c>
      <c r="X8699" s="10" t="s">
        <v>35454</v>
      </c>
      <c r="Y8699" s="6" t="s">
        <v>42</v>
      </c>
      <c r="Z8699" s="4">
        <v>2.75</v>
      </c>
      <c r="AA8699" s="4">
        <v>2.42</v>
      </c>
      <c r="AB8699" s="3" t="s">
        <v>43</v>
      </c>
      <c r="AC8699" s="3" t="s">
        <v>8131</v>
      </c>
      <c r="AD8699" s="9">
        <v>40613</v>
      </c>
      <c r="AE8699" s="3" t="s">
        <v>158</v>
      </c>
      <c r="AF8699" s="3" t="s">
        <v>8132</v>
      </c>
      <c r="AG8699" s="3" t="s">
        <v>81</v>
      </c>
      <c r="AH8699" s="11">
        <f>HYPERLINK("https://my.pitchbook.com?c=26460-10T","View Company Online")</f>
      </c>
    </row>
    <row r="8700">
      <c r="A8700" s="12" t="s">
        <v>37715</v>
      </c>
      <c r="B8700" s="12" t="s">
        <v>37716</v>
      </c>
      <c r="C8700" s="19" t="s">
        <v>36</v>
      </c>
      <c r="D8700" s="19" t="s">
        <v>36</v>
      </c>
      <c r="E8700" s="19" t="s">
        <v>36</v>
      </c>
      <c r="F8700" s="19" t="s">
        <v>36</v>
      </c>
      <c r="G8700" s="15" t="s">
        <v>36</v>
      </c>
      <c r="H8700" s="14" t="s">
        <v>36</v>
      </c>
      <c r="I8700" s="18" t="s">
        <v>36</v>
      </c>
      <c r="J8700" s="12" t="s">
        <v>36</v>
      </c>
      <c r="K8700" s="13" t="s">
        <v>36</v>
      </c>
      <c r="L8700" s="15" t="s">
        <v>36</v>
      </c>
      <c r="M8700" s="12" t="s">
        <v>36</v>
      </c>
      <c r="N8700" s="12" t="s">
        <v>36</v>
      </c>
      <c r="O8700" s="17" t="s">
        <v>36</v>
      </c>
      <c r="P8700" s="12" t="s">
        <v>36</v>
      </c>
      <c r="Q8700" s="12" t="s">
        <v>36</v>
      </c>
      <c r="R8700" s="12" t="s">
        <v>36</v>
      </c>
      <c r="S8700" s="12" t="s">
        <v>36</v>
      </c>
      <c r="T8700" s="12" t="s">
        <v>105</v>
      </c>
      <c r="U8700" s="12" t="s">
        <v>38</v>
      </c>
      <c r="V8700" s="12" t="s">
        <v>39</v>
      </c>
      <c r="W8700" s="12" t="s">
        <v>37717</v>
      </c>
      <c r="X8700" s="16" t="s">
        <v>37718</v>
      </c>
      <c r="Y8700" s="15" t="s">
        <v>108</v>
      </c>
      <c r="Z8700" s="14">
        <v>3.57</v>
      </c>
      <c r="AA8700" s="14" t="s">
        <v>36</v>
      </c>
      <c r="AB8700" s="12" t="s">
        <v>56</v>
      </c>
      <c r="AC8700" s="12" t="s">
        <v>37719</v>
      </c>
      <c r="AD8700" s="13">
        <v>40612</v>
      </c>
      <c r="AE8700" s="12" t="s">
        <v>110</v>
      </c>
      <c r="AF8700" s="12" t="s">
        <v>1636</v>
      </c>
      <c r="AG8700" s="12" t="s">
        <v>81</v>
      </c>
      <c r="AH8700" s="1">
        <f>HYPERLINK("https://my.pitchbook.com?c=25285-24T","View Company Online")</f>
      </c>
    </row>
    <row r="8701">
      <c r="A8701" s="3" t="s">
        <v>37720</v>
      </c>
      <c r="B8701" s="3" t="s">
        <v>36221</v>
      </c>
      <c r="C8701" s="5" t="s">
        <v>36</v>
      </c>
      <c r="D8701" s="5" t="s">
        <v>36</v>
      </c>
      <c r="E8701" s="5" t="s">
        <v>36</v>
      </c>
      <c r="F8701" s="5" t="s">
        <v>36</v>
      </c>
      <c r="G8701" s="6" t="s">
        <v>36</v>
      </c>
      <c r="H8701" s="4" t="s">
        <v>36</v>
      </c>
      <c r="I8701" s="7" t="s">
        <v>36</v>
      </c>
      <c r="J8701" s="3" t="s">
        <v>36</v>
      </c>
      <c r="K8701" s="9" t="s">
        <v>36</v>
      </c>
      <c r="L8701" s="6" t="s">
        <v>36</v>
      </c>
      <c r="M8701" s="3" t="s">
        <v>36</v>
      </c>
      <c r="N8701" s="3" t="s">
        <v>36</v>
      </c>
      <c r="O8701" s="8" t="s">
        <v>36</v>
      </c>
      <c r="P8701" s="3" t="s">
        <v>36</v>
      </c>
      <c r="Q8701" s="3" t="s">
        <v>36</v>
      </c>
      <c r="R8701" s="3" t="s">
        <v>36</v>
      </c>
      <c r="S8701" s="3" t="s">
        <v>36</v>
      </c>
      <c r="T8701" s="3" t="s">
        <v>3397</v>
      </c>
      <c r="U8701" s="3" t="s">
        <v>423</v>
      </c>
      <c r="V8701" s="3" t="s">
        <v>64</v>
      </c>
      <c r="W8701" s="3" t="s">
        <v>36222</v>
      </c>
      <c r="X8701" s="10" t="s">
        <v>37721</v>
      </c>
      <c r="Y8701" s="6" t="s">
        <v>42</v>
      </c>
      <c r="Z8701" s="4">
        <v>1.03</v>
      </c>
      <c r="AA8701" s="4" t="s">
        <v>36</v>
      </c>
      <c r="AB8701" s="3" t="s">
        <v>43</v>
      </c>
      <c r="AC8701" s="3" t="s">
        <v>36224</v>
      </c>
      <c r="AD8701" s="9">
        <v>40611</v>
      </c>
      <c r="AE8701" s="3" t="s">
        <v>562</v>
      </c>
      <c r="AF8701" s="3" t="s">
        <v>15548</v>
      </c>
      <c r="AG8701" s="3" t="s">
        <v>81</v>
      </c>
      <c r="AH8701" s="11">
        <f>HYPERLINK("https://my.pitchbook.com?c=26111-26T","View Company Online")</f>
      </c>
    </row>
    <row r="8702">
      <c r="A8702" s="12" t="s">
        <v>37722</v>
      </c>
      <c r="B8702" s="12" t="s">
        <v>37723</v>
      </c>
      <c r="C8702" s="19" t="s">
        <v>36</v>
      </c>
      <c r="D8702" s="19" t="s">
        <v>36</v>
      </c>
      <c r="E8702" s="19" t="s">
        <v>36</v>
      </c>
      <c r="F8702" s="19" t="s">
        <v>36</v>
      </c>
      <c r="G8702" s="15" t="s">
        <v>36</v>
      </c>
      <c r="H8702" s="14" t="s">
        <v>36</v>
      </c>
      <c r="I8702" s="18">
        <v>25</v>
      </c>
      <c r="J8702" s="12" t="s">
        <v>36</v>
      </c>
      <c r="K8702" s="13" t="s">
        <v>36</v>
      </c>
      <c r="L8702" s="15" t="s">
        <v>36</v>
      </c>
      <c r="M8702" s="12" t="s">
        <v>36</v>
      </c>
      <c r="N8702" s="12" t="s">
        <v>36</v>
      </c>
      <c r="O8702" s="17" t="s">
        <v>36</v>
      </c>
      <c r="P8702" s="12" t="s">
        <v>36</v>
      </c>
      <c r="Q8702" s="12" t="s">
        <v>36</v>
      </c>
      <c r="R8702" s="12" t="s">
        <v>36</v>
      </c>
      <c r="S8702" s="12" t="s">
        <v>36</v>
      </c>
      <c r="T8702" s="12" t="s">
        <v>1048</v>
      </c>
      <c r="U8702" s="12" t="s">
        <v>423</v>
      </c>
      <c r="V8702" s="12" t="s">
        <v>64</v>
      </c>
      <c r="W8702" s="12" t="s">
        <v>37724</v>
      </c>
      <c r="X8702" s="16" t="s">
        <v>1406</v>
      </c>
      <c r="Y8702" s="15" t="s">
        <v>42</v>
      </c>
      <c r="Z8702" s="14" t="s">
        <v>36</v>
      </c>
      <c r="AA8702" s="14" t="s">
        <v>36</v>
      </c>
      <c r="AB8702" s="12" t="s">
        <v>43</v>
      </c>
      <c r="AC8702" s="12" t="s">
        <v>37725</v>
      </c>
      <c r="AD8702" s="13">
        <v>40611</v>
      </c>
      <c r="AE8702" s="12" t="s">
        <v>1051</v>
      </c>
      <c r="AF8702" s="12" t="s">
        <v>159</v>
      </c>
      <c r="AG8702" s="12" t="s">
        <v>37726</v>
      </c>
      <c r="AH8702" s="1">
        <f>HYPERLINK("https://my.pitchbook.com?c=57053-98T","View Company Online")</f>
      </c>
    </row>
    <row r="8703">
      <c r="A8703" s="3" t="s">
        <v>37727</v>
      </c>
      <c r="B8703" s="3" t="s">
        <v>37728</v>
      </c>
      <c r="C8703" s="5" t="s">
        <v>36</v>
      </c>
      <c r="D8703" s="5">
        <v>3</v>
      </c>
      <c r="E8703" s="5">
        <v>2</v>
      </c>
      <c r="F8703" s="5">
        <v>4</v>
      </c>
      <c r="G8703" s="6" t="s">
        <v>36</v>
      </c>
      <c r="H8703" s="4" t="s">
        <v>36</v>
      </c>
      <c r="I8703" s="7" t="s">
        <v>36</v>
      </c>
      <c r="J8703" s="3" t="s">
        <v>36</v>
      </c>
      <c r="K8703" s="9" t="s">
        <v>36</v>
      </c>
      <c r="L8703" s="6" t="s">
        <v>36</v>
      </c>
      <c r="M8703" s="3" t="s">
        <v>36</v>
      </c>
      <c r="N8703" s="3" t="s">
        <v>36</v>
      </c>
      <c r="O8703" s="8" t="s">
        <v>36</v>
      </c>
      <c r="P8703" s="3" t="s">
        <v>36</v>
      </c>
      <c r="Q8703" s="3" t="s">
        <v>36</v>
      </c>
      <c r="R8703" s="3" t="s">
        <v>36</v>
      </c>
      <c r="S8703" s="3" t="s">
        <v>36</v>
      </c>
      <c r="T8703" s="3" t="s">
        <v>3790</v>
      </c>
      <c r="U8703" s="3" t="s">
        <v>318</v>
      </c>
      <c r="V8703" s="3" t="s">
        <v>39</v>
      </c>
      <c r="W8703" s="3" t="s">
        <v>37729</v>
      </c>
      <c r="X8703" s="10" t="s">
        <v>37730</v>
      </c>
      <c r="Y8703" s="6" t="s">
        <v>42</v>
      </c>
      <c r="Z8703" s="4">
        <v>0.55</v>
      </c>
      <c r="AA8703" s="4" t="s">
        <v>36</v>
      </c>
      <c r="AB8703" s="3" t="s">
        <v>43</v>
      </c>
      <c r="AC8703" s="3" t="s">
        <v>37731</v>
      </c>
      <c r="AD8703" s="9">
        <v>40603</v>
      </c>
      <c r="AE8703" s="3" t="s">
        <v>763</v>
      </c>
      <c r="AF8703" s="3" t="s">
        <v>10379</v>
      </c>
      <c r="AG8703" s="3" t="s">
        <v>17723</v>
      </c>
      <c r="AH8703" s="11">
        <f>HYPERLINK("https://my.pitchbook.com?c=29629-09T","View Company Online")</f>
      </c>
    </row>
    <row r="8704">
      <c r="A8704" s="12" t="s">
        <v>37732</v>
      </c>
      <c r="B8704" s="12" t="s">
        <v>37733</v>
      </c>
      <c r="C8704" s="19" t="s">
        <v>36</v>
      </c>
      <c r="D8704" s="19" t="s">
        <v>36</v>
      </c>
      <c r="E8704" s="19" t="s">
        <v>36</v>
      </c>
      <c r="F8704" s="19" t="s">
        <v>36</v>
      </c>
      <c r="G8704" s="15" t="s">
        <v>36</v>
      </c>
      <c r="H8704" s="14" t="s">
        <v>36</v>
      </c>
      <c r="I8704" s="18" t="s">
        <v>36</v>
      </c>
      <c r="J8704" s="12" t="s">
        <v>36</v>
      </c>
      <c r="K8704" s="13" t="s">
        <v>36</v>
      </c>
      <c r="L8704" s="15" t="s">
        <v>36</v>
      </c>
      <c r="M8704" s="12" t="s">
        <v>36</v>
      </c>
      <c r="N8704" s="12" t="s">
        <v>36</v>
      </c>
      <c r="O8704" s="17" t="s">
        <v>36</v>
      </c>
      <c r="P8704" s="12" t="s">
        <v>36</v>
      </c>
      <c r="Q8704" s="12" t="s">
        <v>36</v>
      </c>
      <c r="R8704" s="12" t="s">
        <v>36</v>
      </c>
      <c r="S8704" s="12" t="s">
        <v>36</v>
      </c>
      <c r="T8704" s="12" t="s">
        <v>37734</v>
      </c>
      <c r="U8704" s="12" t="s">
        <v>63</v>
      </c>
      <c r="V8704" s="12" t="s">
        <v>64</v>
      </c>
      <c r="W8704" s="12" t="s">
        <v>37735</v>
      </c>
      <c r="X8704" s="16" t="s">
        <v>37736</v>
      </c>
      <c r="Y8704" s="15" t="s">
        <v>42</v>
      </c>
      <c r="Z8704" s="14">
        <v>0.14</v>
      </c>
      <c r="AA8704" s="14" t="s">
        <v>36</v>
      </c>
      <c r="AB8704" s="12" t="s">
        <v>43</v>
      </c>
      <c r="AC8704" s="12" t="s">
        <v>37737</v>
      </c>
      <c r="AD8704" s="13">
        <v>40603</v>
      </c>
      <c r="AE8704" s="12" t="s">
        <v>399</v>
      </c>
      <c r="AF8704" s="12" t="s">
        <v>27025</v>
      </c>
      <c r="AG8704" s="12" t="s">
        <v>81</v>
      </c>
      <c r="AH8704" s="1">
        <f>HYPERLINK("https://my.pitchbook.com?c=24545-80T","View Company Online")</f>
      </c>
    </row>
    <row r="8705">
      <c r="A8705" s="3" t="s">
        <v>37738</v>
      </c>
      <c r="B8705" s="3" t="s">
        <v>9436</v>
      </c>
      <c r="C8705" s="5" t="s">
        <v>36</v>
      </c>
      <c r="D8705" s="5" t="s">
        <v>36</v>
      </c>
      <c r="E8705" s="5" t="s">
        <v>36</v>
      </c>
      <c r="F8705" s="5" t="s">
        <v>36</v>
      </c>
      <c r="G8705" s="6" t="s">
        <v>36</v>
      </c>
      <c r="H8705" s="4" t="s">
        <v>36</v>
      </c>
      <c r="I8705" s="7">
        <v>0.86</v>
      </c>
      <c r="J8705" s="3" t="s">
        <v>521</v>
      </c>
      <c r="K8705" s="9" t="s">
        <v>36</v>
      </c>
      <c r="L8705" s="6" t="s">
        <v>36</v>
      </c>
      <c r="M8705" s="3" t="s">
        <v>36</v>
      </c>
      <c r="N8705" s="3" t="s">
        <v>36</v>
      </c>
      <c r="O8705" s="8" t="s">
        <v>36</v>
      </c>
      <c r="P8705" s="3" t="s">
        <v>36</v>
      </c>
      <c r="Q8705" s="3" t="s">
        <v>36</v>
      </c>
      <c r="R8705" s="3" t="s">
        <v>36</v>
      </c>
      <c r="S8705" s="3" t="s">
        <v>36</v>
      </c>
      <c r="T8705" s="3" t="s">
        <v>1884</v>
      </c>
      <c r="U8705" s="3" t="s">
        <v>74</v>
      </c>
      <c r="V8705" s="3" t="s">
        <v>75</v>
      </c>
      <c r="W8705" s="3" t="s">
        <v>9437</v>
      </c>
      <c r="X8705" s="10" t="s">
        <v>24370</v>
      </c>
      <c r="Y8705" s="6" t="s">
        <v>42</v>
      </c>
      <c r="Z8705" s="4">
        <v>0.2</v>
      </c>
      <c r="AA8705" s="4">
        <v>0.24</v>
      </c>
      <c r="AB8705" s="3" t="s">
        <v>43</v>
      </c>
      <c r="AC8705" s="3" t="s">
        <v>9439</v>
      </c>
      <c r="AD8705" s="9">
        <v>40603</v>
      </c>
      <c r="AE8705" s="3" t="s">
        <v>1888</v>
      </c>
      <c r="AF8705" s="3" t="s">
        <v>36</v>
      </c>
      <c r="AG8705" s="3" t="s">
        <v>9440</v>
      </c>
      <c r="AH8705" s="11">
        <f>HYPERLINK("https://my.pitchbook.com?c=210183-49T","View Company Online")</f>
      </c>
    </row>
    <row r="8706">
      <c r="A8706" s="12" t="s">
        <v>37739</v>
      </c>
      <c r="B8706" s="12" t="s">
        <v>25266</v>
      </c>
      <c r="C8706" s="19">
        <v>5</v>
      </c>
      <c r="D8706" s="19">
        <v>37</v>
      </c>
      <c r="E8706" s="19">
        <v>7</v>
      </c>
      <c r="F8706" s="19">
        <v>50</v>
      </c>
      <c r="G8706" s="15" t="s">
        <v>36</v>
      </c>
      <c r="H8706" s="14" t="s">
        <v>36</v>
      </c>
      <c r="I8706" s="18" t="s">
        <v>36</v>
      </c>
      <c r="J8706" s="12" t="s">
        <v>36</v>
      </c>
      <c r="K8706" s="13" t="s">
        <v>36</v>
      </c>
      <c r="L8706" s="15" t="s">
        <v>36</v>
      </c>
      <c r="M8706" s="12" t="s">
        <v>36</v>
      </c>
      <c r="N8706" s="12" t="s">
        <v>36</v>
      </c>
      <c r="O8706" s="17" t="s">
        <v>36</v>
      </c>
      <c r="P8706" s="12" t="s">
        <v>36</v>
      </c>
      <c r="Q8706" s="12" t="s">
        <v>36</v>
      </c>
      <c r="R8706" s="12" t="s">
        <v>36</v>
      </c>
      <c r="S8706" s="12" t="s">
        <v>36</v>
      </c>
      <c r="T8706" s="12" t="s">
        <v>25267</v>
      </c>
      <c r="U8706" s="12" t="s">
        <v>1082</v>
      </c>
      <c r="V8706" s="12" t="s">
        <v>378</v>
      </c>
      <c r="W8706" s="12" t="s">
        <v>25268</v>
      </c>
      <c r="X8706" s="16" t="s">
        <v>37740</v>
      </c>
      <c r="Y8706" s="15" t="s">
        <v>42</v>
      </c>
      <c r="Z8706" s="14">
        <v>4.51</v>
      </c>
      <c r="AA8706" s="14" t="s">
        <v>36</v>
      </c>
      <c r="AB8706" s="12" t="s">
        <v>43</v>
      </c>
      <c r="AC8706" s="12" t="s">
        <v>25270</v>
      </c>
      <c r="AD8706" s="13">
        <v>40603</v>
      </c>
      <c r="AE8706" s="12" t="s">
        <v>7876</v>
      </c>
      <c r="AF8706" s="12" t="s">
        <v>20655</v>
      </c>
      <c r="AG8706" s="12" t="s">
        <v>382</v>
      </c>
      <c r="AH8706" s="1">
        <f>HYPERLINK("https://my.pitchbook.com?c=52320-97T","View Company Online")</f>
      </c>
    </row>
    <row r="8707">
      <c r="A8707" s="3" t="s">
        <v>37741</v>
      </c>
      <c r="B8707" s="3" t="s">
        <v>37742</v>
      </c>
      <c r="C8707" s="5" t="s">
        <v>36</v>
      </c>
      <c r="D8707" s="5" t="s">
        <v>36</v>
      </c>
      <c r="E8707" s="5" t="s">
        <v>36</v>
      </c>
      <c r="F8707" s="5" t="s">
        <v>36</v>
      </c>
      <c r="G8707" s="6" t="s">
        <v>36</v>
      </c>
      <c r="H8707" s="4" t="s">
        <v>36</v>
      </c>
      <c r="I8707" s="7">
        <v>5</v>
      </c>
      <c r="J8707" s="3" t="s">
        <v>36</v>
      </c>
      <c r="K8707" s="9" t="s">
        <v>36</v>
      </c>
      <c r="L8707" s="6" t="s">
        <v>36</v>
      </c>
      <c r="M8707" s="3" t="s">
        <v>36</v>
      </c>
      <c r="N8707" s="3" t="s">
        <v>36</v>
      </c>
      <c r="O8707" s="8" t="s">
        <v>36</v>
      </c>
      <c r="P8707" s="3" t="s">
        <v>36</v>
      </c>
      <c r="Q8707" s="3" t="s">
        <v>36</v>
      </c>
      <c r="R8707" s="3" t="s">
        <v>36</v>
      </c>
      <c r="S8707" s="3" t="s">
        <v>36</v>
      </c>
      <c r="T8707" s="3" t="s">
        <v>630</v>
      </c>
      <c r="U8707" s="3" t="s">
        <v>38</v>
      </c>
      <c r="V8707" s="3" t="s">
        <v>39</v>
      </c>
      <c r="W8707" s="3" t="s">
        <v>37743</v>
      </c>
      <c r="X8707" s="10" t="s">
        <v>22406</v>
      </c>
      <c r="Y8707" s="6" t="s">
        <v>42</v>
      </c>
      <c r="Z8707" s="4" t="s">
        <v>36</v>
      </c>
      <c r="AA8707" s="4" t="s">
        <v>36</v>
      </c>
      <c r="AB8707" s="3" t="s">
        <v>43</v>
      </c>
      <c r="AC8707" s="3" t="s">
        <v>37744</v>
      </c>
      <c r="AD8707" s="9">
        <v>40603</v>
      </c>
      <c r="AE8707" s="3" t="s">
        <v>110</v>
      </c>
      <c r="AF8707" s="3" t="s">
        <v>30410</v>
      </c>
      <c r="AG8707" s="3" t="s">
        <v>16909</v>
      </c>
      <c r="AH8707" s="11">
        <f>HYPERLINK("https://my.pitchbook.com?c=86550-31T","View Company Online")</f>
      </c>
    </row>
    <row r="8708">
      <c r="A8708" s="12" t="s">
        <v>37745</v>
      </c>
      <c r="B8708" s="12" t="s">
        <v>37746</v>
      </c>
      <c r="C8708" s="19" t="s">
        <v>36</v>
      </c>
      <c r="D8708" s="19">
        <v>4</v>
      </c>
      <c r="E8708" s="19">
        <v>4</v>
      </c>
      <c r="F8708" s="19">
        <v>8</v>
      </c>
      <c r="G8708" s="15" t="s">
        <v>36</v>
      </c>
      <c r="H8708" s="14" t="s">
        <v>36</v>
      </c>
      <c r="I8708" s="18" t="s">
        <v>36</v>
      </c>
      <c r="J8708" s="12" t="s">
        <v>36</v>
      </c>
      <c r="K8708" s="13" t="s">
        <v>36</v>
      </c>
      <c r="L8708" s="15" t="s">
        <v>36</v>
      </c>
      <c r="M8708" s="12" t="s">
        <v>36</v>
      </c>
      <c r="N8708" s="12" t="s">
        <v>36</v>
      </c>
      <c r="O8708" s="17" t="s">
        <v>36</v>
      </c>
      <c r="P8708" s="12" t="s">
        <v>36</v>
      </c>
      <c r="Q8708" s="12" t="s">
        <v>36</v>
      </c>
      <c r="R8708" s="12" t="s">
        <v>36</v>
      </c>
      <c r="S8708" s="12" t="s">
        <v>36</v>
      </c>
      <c r="T8708" s="12" t="s">
        <v>7701</v>
      </c>
      <c r="U8708" s="12" t="s">
        <v>833</v>
      </c>
      <c r="V8708" s="12" t="s">
        <v>64</v>
      </c>
      <c r="W8708" s="12" t="s">
        <v>37747</v>
      </c>
      <c r="X8708" s="16" t="s">
        <v>2485</v>
      </c>
      <c r="Y8708" s="15" t="s">
        <v>42</v>
      </c>
      <c r="Z8708" s="14">
        <v>2.73</v>
      </c>
      <c r="AA8708" s="14" t="s">
        <v>36</v>
      </c>
      <c r="AB8708" s="12" t="s">
        <v>56</v>
      </c>
      <c r="AC8708" s="12" t="s">
        <v>37748</v>
      </c>
      <c r="AD8708" s="13">
        <v>40603</v>
      </c>
      <c r="AE8708" s="12" t="s">
        <v>1069</v>
      </c>
      <c r="AF8708" s="12" t="s">
        <v>37749</v>
      </c>
      <c r="AG8708" s="12" t="s">
        <v>4291</v>
      </c>
      <c r="AH8708" s="1">
        <f>HYPERLINK("https://my.pitchbook.com?c=35682-85T","View Company Online")</f>
      </c>
    </row>
    <row r="8709">
      <c r="A8709" s="3" t="s">
        <v>37750</v>
      </c>
      <c r="B8709" s="3" t="s">
        <v>37751</v>
      </c>
      <c r="C8709" s="5" t="s">
        <v>36</v>
      </c>
      <c r="D8709" s="5" t="s">
        <v>36</v>
      </c>
      <c r="E8709" s="5" t="s">
        <v>36</v>
      </c>
      <c r="F8709" s="5" t="s">
        <v>36</v>
      </c>
      <c r="G8709" s="6" t="s">
        <v>36</v>
      </c>
      <c r="H8709" s="4" t="s">
        <v>36</v>
      </c>
      <c r="I8709" s="7" t="s">
        <v>36</v>
      </c>
      <c r="J8709" s="3" t="s">
        <v>36</v>
      </c>
      <c r="K8709" s="9" t="s">
        <v>36</v>
      </c>
      <c r="L8709" s="6" t="s">
        <v>36</v>
      </c>
      <c r="M8709" s="3" t="s">
        <v>36</v>
      </c>
      <c r="N8709" s="3" t="s">
        <v>36</v>
      </c>
      <c r="O8709" s="8" t="s">
        <v>36</v>
      </c>
      <c r="P8709" s="3" t="s">
        <v>36</v>
      </c>
      <c r="Q8709" s="3" t="s">
        <v>36</v>
      </c>
      <c r="R8709" s="3" t="s">
        <v>36</v>
      </c>
      <c r="S8709" s="3" t="s">
        <v>36</v>
      </c>
      <c r="T8709" s="3" t="s">
        <v>37752</v>
      </c>
      <c r="U8709" s="3" t="s">
        <v>279</v>
      </c>
      <c r="V8709" s="3" t="s">
        <v>64</v>
      </c>
      <c r="W8709" s="3" t="s">
        <v>37753</v>
      </c>
      <c r="X8709" s="10" t="s">
        <v>37754</v>
      </c>
      <c r="Y8709" s="6" t="s">
        <v>42</v>
      </c>
      <c r="Z8709" s="4">
        <v>5.46</v>
      </c>
      <c r="AA8709" s="4" t="s">
        <v>36</v>
      </c>
      <c r="AB8709" s="3" t="s">
        <v>43</v>
      </c>
      <c r="AC8709" s="3" t="s">
        <v>37755</v>
      </c>
      <c r="AD8709" s="9">
        <v>40603</v>
      </c>
      <c r="AE8709" s="3" t="s">
        <v>8519</v>
      </c>
      <c r="AF8709" s="3" t="s">
        <v>1077</v>
      </c>
      <c r="AG8709" s="3" t="s">
        <v>81</v>
      </c>
      <c r="AH8709" s="11">
        <f>HYPERLINK("https://my.pitchbook.com?c=27444-25T","View Company Online")</f>
      </c>
    </row>
    <row r="8710">
      <c r="A8710" s="12" t="s">
        <v>37756</v>
      </c>
      <c r="B8710" s="12" t="s">
        <v>33008</v>
      </c>
      <c r="C8710" s="19" t="s">
        <v>36</v>
      </c>
      <c r="D8710" s="19" t="s">
        <v>36</v>
      </c>
      <c r="E8710" s="19" t="s">
        <v>36</v>
      </c>
      <c r="F8710" s="19" t="s">
        <v>36</v>
      </c>
      <c r="G8710" s="15" t="s">
        <v>36</v>
      </c>
      <c r="H8710" s="14" t="s">
        <v>36</v>
      </c>
      <c r="I8710" s="18" t="s">
        <v>36</v>
      </c>
      <c r="J8710" s="12" t="s">
        <v>36</v>
      </c>
      <c r="K8710" s="13" t="s">
        <v>36</v>
      </c>
      <c r="L8710" s="15" t="s">
        <v>122</v>
      </c>
      <c r="M8710" s="12" t="s">
        <v>36</v>
      </c>
      <c r="N8710" s="12" t="s">
        <v>122</v>
      </c>
      <c r="O8710" s="17" t="s">
        <v>36</v>
      </c>
      <c r="P8710" s="12" t="s">
        <v>36</v>
      </c>
      <c r="Q8710" s="12" t="s">
        <v>36</v>
      </c>
      <c r="R8710" s="12" t="s">
        <v>36</v>
      </c>
      <c r="S8710" s="12" t="s">
        <v>36</v>
      </c>
      <c r="T8710" s="12" t="s">
        <v>33009</v>
      </c>
      <c r="U8710" s="12" t="s">
        <v>289</v>
      </c>
      <c r="V8710" s="12" t="s">
        <v>64</v>
      </c>
      <c r="W8710" s="12" t="s">
        <v>33010</v>
      </c>
      <c r="X8710" s="16" t="s">
        <v>37283</v>
      </c>
      <c r="Y8710" s="15" t="s">
        <v>108</v>
      </c>
      <c r="Z8710" s="14">
        <v>0.85</v>
      </c>
      <c r="AA8710" s="14" t="s">
        <v>36</v>
      </c>
      <c r="AB8710" s="12" t="s">
        <v>43</v>
      </c>
      <c r="AC8710" s="12" t="s">
        <v>33012</v>
      </c>
      <c r="AD8710" s="13">
        <v>40602</v>
      </c>
      <c r="AE8710" s="12" t="s">
        <v>3134</v>
      </c>
      <c r="AF8710" s="12" t="s">
        <v>2118</v>
      </c>
      <c r="AG8710" s="12" t="s">
        <v>81</v>
      </c>
      <c r="AH8710" s="1">
        <f>HYPERLINK("https://my.pitchbook.com?c=24519-52T","View Company Online")</f>
      </c>
    </row>
    <row r="8711">
      <c r="A8711" s="3" t="s">
        <v>37757</v>
      </c>
      <c r="B8711" s="3" t="s">
        <v>10873</v>
      </c>
      <c r="C8711" s="5" t="s">
        <v>36</v>
      </c>
      <c r="D8711" s="5" t="s">
        <v>36</v>
      </c>
      <c r="E8711" s="5" t="s">
        <v>36</v>
      </c>
      <c r="F8711" s="5" t="s">
        <v>36</v>
      </c>
      <c r="G8711" s="6" t="s">
        <v>36</v>
      </c>
      <c r="H8711" s="4" t="s">
        <v>36</v>
      </c>
      <c r="I8711" s="7" t="s">
        <v>36</v>
      </c>
      <c r="J8711" s="3" t="s">
        <v>36</v>
      </c>
      <c r="K8711" s="9" t="s">
        <v>36</v>
      </c>
      <c r="L8711" s="6" t="s">
        <v>36</v>
      </c>
      <c r="M8711" s="3" t="s">
        <v>36</v>
      </c>
      <c r="N8711" s="3" t="s">
        <v>36</v>
      </c>
      <c r="O8711" s="8" t="s">
        <v>36</v>
      </c>
      <c r="P8711" s="3" t="s">
        <v>36</v>
      </c>
      <c r="Q8711" s="3" t="s">
        <v>36</v>
      </c>
      <c r="R8711" s="3" t="s">
        <v>36</v>
      </c>
      <c r="S8711" s="3" t="s">
        <v>36</v>
      </c>
      <c r="T8711" s="3" t="s">
        <v>27443</v>
      </c>
      <c r="U8711" s="3" t="s">
        <v>74</v>
      </c>
      <c r="V8711" s="3" t="s">
        <v>75</v>
      </c>
      <c r="W8711" s="3" t="s">
        <v>27444</v>
      </c>
      <c r="X8711" s="10" t="s">
        <v>37758</v>
      </c>
      <c r="Y8711" s="6" t="s">
        <v>108</v>
      </c>
      <c r="Z8711" s="4" t="s">
        <v>36</v>
      </c>
      <c r="AA8711" s="4" t="s">
        <v>36</v>
      </c>
      <c r="AB8711" s="3" t="s">
        <v>43</v>
      </c>
      <c r="AC8711" s="3" t="s">
        <v>27446</v>
      </c>
      <c r="AD8711" s="9">
        <v>40598</v>
      </c>
      <c r="AE8711" s="3" t="s">
        <v>1243</v>
      </c>
      <c r="AF8711" s="3" t="s">
        <v>546</v>
      </c>
      <c r="AG8711" s="3" t="s">
        <v>81</v>
      </c>
      <c r="AH8711" s="11">
        <f>HYPERLINK("https://my.pitchbook.com?c=25576-12T","View Company Online")</f>
      </c>
    </row>
    <row r="8712">
      <c r="A8712" s="12" t="s">
        <v>37759</v>
      </c>
      <c r="B8712" s="12" t="s">
        <v>31965</v>
      </c>
      <c r="C8712" s="19">
        <v>1</v>
      </c>
      <c r="D8712" s="19">
        <v>16</v>
      </c>
      <c r="E8712" s="19">
        <v>5</v>
      </c>
      <c r="F8712" s="19">
        <v>29</v>
      </c>
      <c r="G8712" s="15" t="s">
        <v>326</v>
      </c>
      <c r="H8712" s="14">
        <v>64.59</v>
      </c>
      <c r="I8712" s="18">
        <v>60</v>
      </c>
      <c r="J8712" s="12" t="s">
        <v>521</v>
      </c>
      <c r="K8712" s="13" t="s">
        <v>36</v>
      </c>
      <c r="L8712" s="15" t="s">
        <v>36</v>
      </c>
      <c r="M8712" s="12" t="s">
        <v>36</v>
      </c>
      <c r="N8712" s="12" t="s">
        <v>36</v>
      </c>
      <c r="O8712" s="17" t="s">
        <v>36</v>
      </c>
      <c r="P8712" s="12" t="s">
        <v>36</v>
      </c>
      <c r="Q8712" s="12" t="s">
        <v>36</v>
      </c>
      <c r="R8712" s="12" t="s">
        <v>36</v>
      </c>
      <c r="S8712" s="12" t="s">
        <v>36</v>
      </c>
      <c r="T8712" s="12" t="s">
        <v>11722</v>
      </c>
      <c r="U8712" s="12" t="s">
        <v>51</v>
      </c>
      <c r="V8712" s="12" t="s">
        <v>52</v>
      </c>
      <c r="W8712" s="12" t="s">
        <v>31966</v>
      </c>
      <c r="X8712" s="16" t="s">
        <v>37760</v>
      </c>
      <c r="Y8712" s="15" t="s">
        <v>108</v>
      </c>
      <c r="Z8712" s="14">
        <v>2.04</v>
      </c>
      <c r="AA8712" s="14">
        <v>3.41</v>
      </c>
      <c r="AB8712" s="12" t="s">
        <v>56</v>
      </c>
      <c r="AC8712" s="12" t="s">
        <v>31968</v>
      </c>
      <c r="AD8712" s="13">
        <v>40596</v>
      </c>
      <c r="AE8712" s="12" t="s">
        <v>58</v>
      </c>
      <c r="AF8712" s="12" t="s">
        <v>159</v>
      </c>
      <c r="AG8712" s="12" t="s">
        <v>2450</v>
      </c>
      <c r="AH8712" s="1">
        <f>HYPERLINK("https://my.pitchbook.com?c=25488-01T","View Company Online")</f>
      </c>
    </row>
    <row r="8713">
      <c r="A8713" s="3" t="s">
        <v>37761</v>
      </c>
      <c r="B8713" s="3" t="s">
        <v>37762</v>
      </c>
      <c r="C8713" s="5" t="s">
        <v>36</v>
      </c>
      <c r="D8713" s="5" t="s">
        <v>36</v>
      </c>
      <c r="E8713" s="5" t="s">
        <v>36</v>
      </c>
      <c r="F8713" s="5" t="s">
        <v>36</v>
      </c>
      <c r="G8713" s="6" t="s">
        <v>36</v>
      </c>
      <c r="H8713" s="4">
        <v>1.97</v>
      </c>
      <c r="I8713" s="7">
        <v>25.88</v>
      </c>
      <c r="J8713" s="3" t="s">
        <v>521</v>
      </c>
      <c r="K8713" s="9" t="s">
        <v>36</v>
      </c>
      <c r="L8713" s="6" t="s">
        <v>94</v>
      </c>
      <c r="M8713" s="3" t="s">
        <v>36</v>
      </c>
      <c r="N8713" s="3" t="s">
        <v>94</v>
      </c>
      <c r="O8713" s="8" t="s">
        <v>36</v>
      </c>
      <c r="P8713" s="3" t="s">
        <v>36</v>
      </c>
      <c r="Q8713" s="3" t="s">
        <v>36</v>
      </c>
      <c r="R8713" s="3" t="s">
        <v>36</v>
      </c>
      <c r="S8713" s="3" t="s">
        <v>36</v>
      </c>
      <c r="T8713" s="3" t="s">
        <v>37763</v>
      </c>
      <c r="U8713" s="3" t="s">
        <v>289</v>
      </c>
      <c r="V8713" s="3" t="s">
        <v>64</v>
      </c>
      <c r="W8713" s="3" t="s">
        <v>37764</v>
      </c>
      <c r="X8713" s="10" t="s">
        <v>37765</v>
      </c>
      <c r="Y8713" s="6" t="s">
        <v>42</v>
      </c>
      <c r="Z8713" s="4">
        <v>4.08</v>
      </c>
      <c r="AA8713" s="4">
        <v>8.66</v>
      </c>
      <c r="AB8713" s="3" t="s">
        <v>43</v>
      </c>
      <c r="AC8713" s="3" t="s">
        <v>37766</v>
      </c>
      <c r="AD8713" s="9">
        <v>40591</v>
      </c>
      <c r="AE8713" s="3" t="s">
        <v>37767</v>
      </c>
      <c r="AF8713" s="3" t="s">
        <v>2118</v>
      </c>
      <c r="AG8713" s="3" t="s">
        <v>4514</v>
      </c>
      <c r="AH8713" s="11">
        <f>HYPERLINK("https://my.pitchbook.com?c=29559-61T","View Company Online")</f>
      </c>
    </row>
    <row r="8714">
      <c r="A8714" s="12" t="s">
        <v>37768</v>
      </c>
      <c r="B8714" s="12" t="s">
        <v>37769</v>
      </c>
      <c r="C8714" s="19" t="s">
        <v>36</v>
      </c>
      <c r="D8714" s="19">
        <v>1</v>
      </c>
      <c r="E8714" s="19">
        <v>1</v>
      </c>
      <c r="F8714" s="19">
        <v>2</v>
      </c>
      <c r="G8714" s="15" t="s">
        <v>36</v>
      </c>
      <c r="H8714" s="14" t="s">
        <v>36</v>
      </c>
      <c r="I8714" s="18" t="s">
        <v>36</v>
      </c>
      <c r="J8714" s="12" t="s">
        <v>36</v>
      </c>
      <c r="K8714" s="13" t="s">
        <v>36</v>
      </c>
      <c r="L8714" s="15" t="s">
        <v>36</v>
      </c>
      <c r="M8714" s="12" t="s">
        <v>36</v>
      </c>
      <c r="N8714" s="12" t="s">
        <v>36</v>
      </c>
      <c r="O8714" s="17" t="s">
        <v>36</v>
      </c>
      <c r="P8714" s="12" t="s">
        <v>36</v>
      </c>
      <c r="Q8714" s="12" t="s">
        <v>36</v>
      </c>
      <c r="R8714" s="12" t="s">
        <v>36</v>
      </c>
      <c r="S8714" s="12" t="s">
        <v>36</v>
      </c>
      <c r="T8714" s="12" t="s">
        <v>3729</v>
      </c>
      <c r="U8714" s="12" t="s">
        <v>219</v>
      </c>
      <c r="V8714" s="12" t="s">
        <v>75</v>
      </c>
      <c r="W8714" s="12" t="s">
        <v>37770</v>
      </c>
      <c r="X8714" s="16" t="s">
        <v>37771</v>
      </c>
      <c r="Y8714" s="15" t="s">
        <v>108</v>
      </c>
      <c r="Z8714" s="14">
        <v>0.41</v>
      </c>
      <c r="AA8714" s="14" t="s">
        <v>36</v>
      </c>
      <c r="AB8714" s="12" t="s">
        <v>43</v>
      </c>
      <c r="AC8714" s="12" t="s">
        <v>37772</v>
      </c>
      <c r="AD8714" s="13">
        <v>40591</v>
      </c>
      <c r="AE8714" s="12" t="s">
        <v>1032</v>
      </c>
      <c r="AF8714" s="12" t="s">
        <v>29333</v>
      </c>
      <c r="AG8714" s="12" t="s">
        <v>37773</v>
      </c>
      <c r="AH8714" s="1">
        <f>HYPERLINK("https://my.pitchbook.com?c=29560-60T","View Company Online")</f>
      </c>
    </row>
    <row r="8715">
      <c r="A8715" s="3" t="s">
        <v>37774</v>
      </c>
      <c r="B8715" s="3" t="s">
        <v>9800</v>
      </c>
      <c r="C8715" s="5" t="s">
        <v>36</v>
      </c>
      <c r="D8715" s="5" t="s">
        <v>36</v>
      </c>
      <c r="E8715" s="5" t="s">
        <v>36</v>
      </c>
      <c r="F8715" s="5" t="s">
        <v>36</v>
      </c>
      <c r="G8715" s="6" t="s">
        <v>36</v>
      </c>
      <c r="H8715" s="4">
        <v>177.59</v>
      </c>
      <c r="I8715" s="7">
        <v>23.37</v>
      </c>
      <c r="J8715" s="3" t="s">
        <v>521</v>
      </c>
      <c r="K8715" s="9" t="s">
        <v>36</v>
      </c>
      <c r="L8715" s="6" t="s">
        <v>122</v>
      </c>
      <c r="M8715" s="3" t="s">
        <v>36</v>
      </c>
      <c r="N8715" s="3" t="s">
        <v>122</v>
      </c>
      <c r="O8715" s="8" t="s">
        <v>36</v>
      </c>
      <c r="P8715" s="3" t="s">
        <v>36</v>
      </c>
      <c r="Q8715" s="3" t="s">
        <v>36</v>
      </c>
      <c r="R8715" s="3" t="s">
        <v>36</v>
      </c>
      <c r="S8715" s="3" t="s">
        <v>36</v>
      </c>
      <c r="T8715" s="3" t="s">
        <v>115</v>
      </c>
      <c r="U8715" s="3" t="s">
        <v>63</v>
      </c>
      <c r="V8715" s="3" t="s">
        <v>64</v>
      </c>
      <c r="W8715" s="3" t="s">
        <v>9801</v>
      </c>
      <c r="X8715" s="10" t="s">
        <v>37775</v>
      </c>
      <c r="Y8715" s="6" t="s">
        <v>42</v>
      </c>
      <c r="Z8715" s="4">
        <v>0.97</v>
      </c>
      <c r="AA8715" s="4">
        <v>4.16</v>
      </c>
      <c r="AB8715" s="3" t="s">
        <v>43</v>
      </c>
      <c r="AC8715" s="3" t="s">
        <v>9803</v>
      </c>
      <c r="AD8715" s="9">
        <v>40589</v>
      </c>
      <c r="AE8715" s="3" t="s">
        <v>68</v>
      </c>
      <c r="AF8715" s="3" t="s">
        <v>176</v>
      </c>
      <c r="AG8715" s="3" t="s">
        <v>81</v>
      </c>
      <c r="AH8715" s="11">
        <f>HYPERLINK("https://my.pitchbook.com?c=29995-39T","View Company Online")</f>
      </c>
    </row>
    <row r="8716">
      <c r="A8716" s="12" t="s">
        <v>37776</v>
      </c>
      <c r="B8716" s="12" t="s">
        <v>37777</v>
      </c>
      <c r="C8716" s="19" t="s">
        <v>36</v>
      </c>
      <c r="D8716" s="19">
        <v>3</v>
      </c>
      <c r="E8716" s="19">
        <v>1</v>
      </c>
      <c r="F8716" s="19">
        <v>4</v>
      </c>
      <c r="G8716" s="15" t="s">
        <v>36</v>
      </c>
      <c r="H8716" s="14" t="s">
        <v>36</v>
      </c>
      <c r="I8716" s="18" t="s">
        <v>36</v>
      </c>
      <c r="J8716" s="12" t="s">
        <v>36</v>
      </c>
      <c r="K8716" s="13" t="s">
        <v>36</v>
      </c>
      <c r="L8716" s="15" t="s">
        <v>94</v>
      </c>
      <c r="M8716" s="12" t="s">
        <v>36</v>
      </c>
      <c r="N8716" s="12" t="s">
        <v>94</v>
      </c>
      <c r="O8716" s="17" t="s">
        <v>36</v>
      </c>
      <c r="P8716" s="12" t="s">
        <v>36</v>
      </c>
      <c r="Q8716" s="12" t="s">
        <v>36</v>
      </c>
      <c r="R8716" s="12" t="s">
        <v>36</v>
      </c>
      <c r="S8716" s="12" t="s">
        <v>36</v>
      </c>
      <c r="T8716" s="12" t="s">
        <v>278</v>
      </c>
      <c r="U8716" s="12" t="s">
        <v>279</v>
      </c>
      <c r="V8716" s="12" t="s">
        <v>64</v>
      </c>
      <c r="W8716" s="12" t="s">
        <v>37778</v>
      </c>
      <c r="X8716" s="16" t="s">
        <v>37779</v>
      </c>
      <c r="Y8716" s="15" t="s">
        <v>55</v>
      </c>
      <c r="Z8716" s="14">
        <v>8.97</v>
      </c>
      <c r="AA8716" s="14" t="s">
        <v>36</v>
      </c>
      <c r="AB8716" s="12" t="s">
        <v>43</v>
      </c>
      <c r="AC8716" s="12" t="s">
        <v>37780</v>
      </c>
      <c r="AD8716" s="13">
        <v>40589</v>
      </c>
      <c r="AE8716" s="12" t="s">
        <v>283</v>
      </c>
      <c r="AF8716" s="12" t="s">
        <v>37781</v>
      </c>
      <c r="AG8716" s="12" t="s">
        <v>1202</v>
      </c>
      <c r="AH8716" s="1">
        <f>HYPERLINK("https://my.pitchbook.com?c=18268-03T","View Company Online")</f>
      </c>
    </row>
    <row r="8717">
      <c r="A8717" s="3" t="s">
        <v>37782</v>
      </c>
      <c r="B8717" s="3" t="s">
        <v>35661</v>
      </c>
      <c r="C8717" s="5" t="s">
        <v>36</v>
      </c>
      <c r="D8717" s="5">
        <v>13</v>
      </c>
      <c r="E8717" s="5">
        <v>11</v>
      </c>
      <c r="F8717" s="5">
        <v>13</v>
      </c>
      <c r="G8717" s="6" t="s">
        <v>36</v>
      </c>
      <c r="H8717" s="4">
        <v>581.6</v>
      </c>
      <c r="I8717" s="7">
        <v>12.57</v>
      </c>
      <c r="J8717" s="3" t="s">
        <v>521</v>
      </c>
      <c r="K8717" s="9" t="s">
        <v>36</v>
      </c>
      <c r="L8717" s="6" t="s">
        <v>36</v>
      </c>
      <c r="M8717" s="3" t="s">
        <v>36</v>
      </c>
      <c r="N8717" s="3" t="s">
        <v>36</v>
      </c>
      <c r="O8717" s="8" t="s">
        <v>36</v>
      </c>
      <c r="P8717" s="3" t="s">
        <v>36</v>
      </c>
      <c r="Q8717" s="3" t="s">
        <v>36</v>
      </c>
      <c r="R8717" s="3" t="s">
        <v>36</v>
      </c>
      <c r="S8717" s="3" t="s">
        <v>36</v>
      </c>
      <c r="T8717" s="3" t="s">
        <v>2255</v>
      </c>
      <c r="U8717" s="3" t="s">
        <v>833</v>
      </c>
      <c r="V8717" s="3" t="s">
        <v>64</v>
      </c>
      <c r="W8717" s="3" t="s">
        <v>35662</v>
      </c>
      <c r="X8717" s="10" t="s">
        <v>35549</v>
      </c>
      <c r="Y8717" s="6" t="s">
        <v>42</v>
      </c>
      <c r="Z8717" s="4">
        <v>0.68</v>
      </c>
      <c r="AA8717" s="4">
        <v>5.39</v>
      </c>
      <c r="AB8717" s="3" t="s">
        <v>43</v>
      </c>
      <c r="AC8717" s="3" t="s">
        <v>35663</v>
      </c>
      <c r="AD8717" s="9">
        <v>40585</v>
      </c>
      <c r="AE8717" s="3" t="s">
        <v>1769</v>
      </c>
      <c r="AF8717" s="3" t="s">
        <v>571</v>
      </c>
      <c r="AG8717" s="3" t="s">
        <v>373</v>
      </c>
      <c r="AH8717" s="11">
        <f>HYPERLINK("https://my.pitchbook.com?c=26759-53T","View Company Online")</f>
      </c>
    </row>
    <row r="8718">
      <c r="A8718" s="12" t="s">
        <v>37783</v>
      </c>
      <c r="B8718" s="12" t="s">
        <v>29868</v>
      </c>
      <c r="C8718" s="19" t="s">
        <v>36</v>
      </c>
      <c r="D8718" s="19" t="s">
        <v>36</v>
      </c>
      <c r="E8718" s="19" t="s">
        <v>36</v>
      </c>
      <c r="F8718" s="19" t="s">
        <v>36</v>
      </c>
      <c r="G8718" s="15" t="s">
        <v>36</v>
      </c>
      <c r="H8718" s="14" t="s">
        <v>36</v>
      </c>
      <c r="I8718" s="18" t="s">
        <v>36</v>
      </c>
      <c r="J8718" s="12" t="s">
        <v>36</v>
      </c>
      <c r="K8718" s="13" t="s">
        <v>36</v>
      </c>
      <c r="L8718" s="15" t="s">
        <v>36</v>
      </c>
      <c r="M8718" s="12" t="s">
        <v>36</v>
      </c>
      <c r="N8718" s="12" t="s">
        <v>36</v>
      </c>
      <c r="O8718" s="17" t="s">
        <v>36</v>
      </c>
      <c r="P8718" s="12" t="s">
        <v>36</v>
      </c>
      <c r="Q8718" s="12" t="s">
        <v>36</v>
      </c>
      <c r="R8718" s="12" t="s">
        <v>36</v>
      </c>
      <c r="S8718" s="12" t="s">
        <v>36</v>
      </c>
      <c r="T8718" s="12" t="s">
        <v>123</v>
      </c>
      <c r="U8718" s="12" t="s">
        <v>38</v>
      </c>
      <c r="V8718" s="12" t="s">
        <v>39</v>
      </c>
      <c r="W8718" s="12" t="s">
        <v>29869</v>
      </c>
      <c r="X8718" s="16" t="s">
        <v>37784</v>
      </c>
      <c r="Y8718" s="15" t="s">
        <v>42</v>
      </c>
      <c r="Z8718" s="14">
        <v>1.36</v>
      </c>
      <c r="AA8718" s="14" t="s">
        <v>36</v>
      </c>
      <c r="AB8718" s="12" t="s">
        <v>43</v>
      </c>
      <c r="AC8718" s="12" t="s">
        <v>29871</v>
      </c>
      <c r="AD8718" s="13">
        <v>40584</v>
      </c>
      <c r="AE8718" s="12" t="s">
        <v>110</v>
      </c>
      <c r="AF8718" s="12" t="s">
        <v>28526</v>
      </c>
      <c r="AG8718" s="12" t="s">
        <v>29872</v>
      </c>
      <c r="AH8718" s="1">
        <f>HYPERLINK("https://my.pitchbook.com?c=25710-58T","View Company Online")</f>
      </c>
    </row>
    <row r="8719">
      <c r="A8719" s="3" t="s">
        <v>37785</v>
      </c>
      <c r="B8719" s="3" t="s">
        <v>37786</v>
      </c>
      <c r="C8719" s="5">
        <v>4</v>
      </c>
      <c r="D8719" s="5">
        <v>2</v>
      </c>
      <c r="E8719" s="5">
        <v>5</v>
      </c>
      <c r="F8719" s="5">
        <v>13</v>
      </c>
      <c r="G8719" s="6" t="s">
        <v>36</v>
      </c>
      <c r="H8719" s="4" t="s">
        <v>36</v>
      </c>
      <c r="I8719" s="7" t="s">
        <v>36</v>
      </c>
      <c r="J8719" s="3" t="s">
        <v>36</v>
      </c>
      <c r="K8719" s="9" t="s">
        <v>36</v>
      </c>
      <c r="L8719" s="6" t="s">
        <v>36</v>
      </c>
      <c r="M8719" s="3" t="s">
        <v>36</v>
      </c>
      <c r="N8719" s="3" t="s">
        <v>36</v>
      </c>
      <c r="O8719" s="8" t="s">
        <v>36</v>
      </c>
      <c r="P8719" s="3" t="s">
        <v>36</v>
      </c>
      <c r="Q8719" s="3" t="s">
        <v>36</v>
      </c>
      <c r="R8719" s="3" t="s">
        <v>36</v>
      </c>
      <c r="S8719" s="3" t="s">
        <v>36</v>
      </c>
      <c r="T8719" s="3" t="s">
        <v>3445</v>
      </c>
      <c r="U8719" s="3" t="s">
        <v>38</v>
      </c>
      <c r="V8719" s="3" t="s">
        <v>39</v>
      </c>
      <c r="W8719" s="3" t="s">
        <v>37787</v>
      </c>
      <c r="X8719" s="10" t="s">
        <v>37788</v>
      </c>
      <c r="Y8719" s="6" t="s">
        <v>108</v>
      </c>
      <c r="Z8719" s="4">
        <v>5.42</v>
      </c>
      <c r="AA8719" s="4" t="s">
        <v>36</v>
      </c>
      <c r="AB8719" s="3" t="s">
        <v>56</v>
      </c>
      <c r="AC8719" s="3" t="s">
        <v>37789</v>
      </c>
      <c r="AD8719" s="9">
        <v>40584</v>
      </c>
      <c r="AE8719" s="3" t="s">
        <v>110</v>
      </c>
      <c r="AF8719" s="3" t="s">
        <v>37790</v>
      </c>
      <c r="AG8719" s="3" t="s">
        <v>5670</v>
      </c>
      <c r="AH8719" s="11">
        <f>HYPERLINK("https://my.pitchbook.com?c=25610-95T","View Company Online")</f>
      </c>
    </row>
    <row r="8720">
      <c r="A8720" s="12" t="s">
        <v>37791</v>
      </c>
      <c r="B8720" s="12" t="s">
        <v>35986</v>
      </c>
      <c r="C8720" s="19" t="s">
        <v>36</v>
      </c>
      <c r="D8720" s="19" t="s">
        <v>36</v>
      </c>
      <c r="E8720" s="19" t="s">
        <v>36</v>
      </c>
      <c r="F8720" s="19" t="s">
        <v>36</v>
      </c>
      <c r="G8720" s="15" t="s">
        <v>36</v>
      </c>
      <c r="H8720" s="14" t="s">
        <v>36</v>
      </c>
      <c r="I8720" s="18" t="s">
        <v>36</v>
      </c>
      <c r="J8720" s="12" t="s">
        <v>36</v>
      </c>
      <c r="K8720" s="13" t="s">
        <v>36</v>
      </c>
      <c r="L8720" s="15" t="s">
        <v>36</v>
      </c>
      <c r="M8720" s="12" t="s">
        <v>36</v>
      </c>
      <c r="N8720" s="12" t="s">
        <v>36</v>
      </c>
      <c r="O8720" s="17" t="s">
        <v>36</v>
      </c>
      <c r="P8720" s="12" t="s">
        <v>36</v>
      </c>
      <c r="Q8720" s="12" t="s">
        <v>36</v>
      </c>
      <c r="R8720" s="12" t="s">
        <v>36</v>
      </c>
      <c r="S8720" s="12" t="s">
        <v>36</v>
      </c>
      <c r="T8720" s="12" t="s">
        <v>35987</v>
      </c>
      <c r="U8720" s="12" t="s">
        <v>38</v>
      </c>
      <c r="V8720" s="12" t="s">
        <v>39</v>
      </c>
      <c r="W8720" s="12" t="s">
        <v>35988</v>
      </c>
      <c r="X8720" s="16" t="s">
        <v>37792</v>
      </c>
      <c r="Y8720" s="15" t="s">
        <v>42</v>
      </c>
      <c r="Z8720" s="14">
        <v>1.35</v>
      </c>
      <c r="AA8720" s="14" t="s">
        <v>36</v>
      </c>
      <c r="AB8720" s="12" t="s">
        <v>43</v>
      </c>
      <c r="AC8720" s="12" t="s">
        <v>35990</v>
      </c>
      <c r="AD8720" s="13">
        <v>40583</v>
      </c>
      <c r="AE8720" s="12" t="s">
        <v>134</v>
      </c>
      <c r="AF8720" s="12" t="s">
        <v>1077</v>
      </c>
      <c r="AG8720" s="12" t="s">
        <v>47</v>
      </c>
      <c r="AH8720" s="1">
        <f>HYPERLINK("https://my.pitchbook.com?c=29311-03T","View Company Online")</f>
      </c>
    </row>
    <row r="8721">
      <c r="A8721" s="3" t="s">
        <v>37793</v>
      </c>
      <c r="B8721" s="3" t="s">
        <v>37794</v>
      </c>
      <c r="C8721" s="5" t="s">
        <v>36</v>
      </c>
      <c r="D8721" s="5" t="s">
        <v>36</v>
      </c>
      <c r="E8721" s="5" t="s">
        <v>36</v>
      </c>
      <c r="F8721" s="5" t="s">
        <v>36</v>
      </c>
      <c r="G8721" s="6" t="s">
        <v>36</v>
      </c>
      <c r="H8721" s="4" t="s">
        <v>36</v>
      </c>
      <c r="I8721" s="7" t="s">
        <v>36</v>
      </c>
      <c r="J8721" s="3" t="s">
        <v>36</v>
      </c>
      <c r="K8721" s="9" t="s">
        <v>36</v>
      </c>
      <c r="L8721" s="6" t="s">
        <v>36</v>
      </c>
      <c r="M8721" s="3" t="s">
        <v>36</v>
      </c>
      <c r="N8721" s="3" t="s">
        <v>36</v>
      </c>
      <c r="O8721" s="8" t="s">
        <v>36</v>
      </c>
      <c r="P8721" s="3" t="s">
        <v>36</v>
      </c>
      <c r="Q8721" s="3" t="s">
        <v>36</v>
      </c>
      <c r="R8721" s="3" t="s">
        <v>36</v>
      </c>
      <c r="S8721" s="3" t="s">
        <v>36</v>
      </c>
      <c r="T8721" s="3" t="s">
        <v>37795</v>
      </c>
      <c r="U8721" s="3" t="s">
        <v>289</v>
      </c>
      <c r="V8721" s="3" t="s">
        <v>64</v>
      </c>
      <c r="W8721" s="3" t="s">
        <v>37796</v>
      </c>
      <c r="X8721" s="10" t="s">
        <v>37797</v>
      </c>
      <c r="Y8721" s="6" t="s">
        <v>108</v>
      </c>
      <c r="Z8721" s="4" t="s">
        <v>36</v>
      </c>
      <c r="AA8721" s="4" t="s">
        <v>36</v>
      </c>
      <c r="AB8721" s="3" t="s">
        <v>43</v>
      </c>
      <c r="AC8721" s="3" t="s">
        <v>37798</v>
      </c>
      <c r="AD8721" s="9">
        <v>40583</v>
      </c>
      <c r="AE8721" s="3" t="s">
        <v>3134</v>
      </c>
      <c r="AF8721" s="3" t="s">
        <v>30104</v>
      </c>
      <c r="AG8721" s="3" t="s">
        <v>81</v>
      </c>
      <c r="AH8721" s="11">
        <f>HYPERLINK("https://my.pitchbook.com?c=32558-05T","View Company Online")</f>
      </c>
    </row>
    <row r="8722">
      <c r="A8722" s="12" t="s">
        <v>37799</v>
      </c>
      <c r="B8722" s="12" t="s">
        <v>3742</v>
      </c>
      <c r="C8722" s="19">
        <v>2</v>
      </c>
      <c r="D8722" s="19">
        <v>2</v>
      </c>
      <c r="E8722" s="19">
        <v>1</v>
      </c>
      <c r="F8722" s="19">
        <v>4</v>
      </c>
      <c r="G8722" s="15" t="s">
        <v>2497</v>
      </c>
      <c r="H8722" s="14">
        <v>279.35</v>
      </c>
      <c r="I8722" s="18">
        <v>40.97</v>
      </c>
      <c r="J8722" s="12" t="s">
        <v>521</v>
      </c>
      <c r="K8722" s="13" t="s">
        <v>36</v>
      </c>
      <c r="L8722" s="15" t="s">
        <v>36</v>
      </c>
      <c r="M8722" s="12" t="s">
        <v>36</v>
      </c>
      <c r="N8722" s="12" t="s">
        <v>36</v>
      </c>
      <c r="O8722" s="17" t="s">
        <v>36</v>
      </c>
      <c r="P8722" s="12" t="s">
        <v>36</v>
      </c>
      <c r="Q8722" s="12" t="s">
        <v>36</v>
      </c>
      <c r="R8722" s="12" t="s">
        <v>36</v>
      </c>
      <c r="S8722" s="12" t="s">
        <v>36</v>
      </c>
      <c r="T8722" s="12" t="s">
        <v>105</v>
      </c>
      <c r="U8722" s="12" t="s">
        <v>38</v>
      </c>
      <c r="V8722" s="12" t="s">
        <v>39</v>
      </c>
      <c r="W8722" s="12" t="s">
        <v>3743</v>
      </c>
      <c r="X8722" s="16" t="s">
        <v>37800</v>
      </c>
      <c r="Y8722" s="15" t="s">
        <v>108</v>
      </c>
      <c r="Z8722" s="14">
        <v>3.76</v>
      </c>
      <c r="AA8722" s="14">
        <v>9.17</v>
      </c>
      <c r="AB8722" s="12" t="s">
        <v>56</v>
      </c>
      <c r="AC8722" s="12" t="s">
        <v>3745</v>
      </c>
      <c r="AD8722" s="13">
        <v>40578</v>
      </c>
      <c r="AE8722" s="12" t="s">
        <v>110</v>
      </c>
      <c r="AF8722" s="12" t="s">
        <v>1842</v>
      </c>
      <c r="AG8722" s="12" t="s">
        <v>47</v>
      </c>
      <c r="AH8722" s="1">
        <f>HYPERLINK("https://my.pitchbook.com?c=50712-04T","View Company Online")</f>
      </c>
    </row>
    <row r="8723">
      <c r="A8723" s="3" t="s">
        <v>37801</v>
      </c>
      <c r="B8723" s="3" t="s">
        <v>7376</v>
      </c>
      <c r="C8723" s="5" t="s">
        <v>36</v>
      </c>
      <c r="D8723" s="5" t="s">
        <v>36</v>
      </c>
      <c r="E8723" s="5" t="s">
        <v>36</v>
      </c>
      <c r="F8723" s="5" t="s">
        <v>36</v>
      </c>
      <c r="G8723" s="6" t="s">
        <v>36</v>
      </c>
      <c r="H8723" s="4">
        <v>20.77</v>
      </c>
      <c r="I8723" s="7">
        <v>33.12</v>
      </c>
      <c r="J8723" s="3" t="s">
        <v>521</v>
      </c>
      <c r="K8723" s="9" t="s">
        <v>36</v>
      </c>
      <c r="L8723" s="6" t="s">
        <v>36</v>
      </c>
      <c r="M8723" s="3" t="s">
        <v>36</v>
      </c>
      <c r="N8723" s="3" t="s">
        <v>36</v>
      </c>
      <c r="O8723" s="8" t="s">
        <v>36</v>
      </c>
      <c r="P8723" s="3" t="s">
        <v>36</v>
      </c>
      <c r="Q8723" s="3" t="s">
        <v>36</v>
      </c>
      <c r="R8723" s="3" t="s">
        <v>36</v>
      </c>
      <c r="S8723" s="3" t="s">
        <v>36</v>
      </c>
      <c r="T8723" s="3" t="s">
        <v>596</v>
      </c>
      <c r="U8723" s="3" t="s">
        <v>366</v>
      </c>
      <c r="V8723" s="3" t="s">
        <v>367</v>
      </c>
      <c r="W8723" s="3" t="s">
        <v>7377</v>
      </c>
      <c r="X8723" s="10" t="s">
        <v>37802</v>
      </c>
      <c r="Y8723" s="6" t="s">
        <v>108</v>
      </c>
      <c r="Z8723" s="4">
        <v>0.94</v>
      </c>
      <c r="AA8723" s="4">
        <v>2.83</v>
      </c>
      <c r="AB8723" s="3" t="s">
        <v>56</v>
      </c>
      <c r="AC8723" s="3" t="s">
        <v>7378</v>
      </c>
      <c r="AD8723" s="9">
        <v>40576</v>
      </c>
      <c r="AE8723" s="3" t="s">
        <v>600</v>
      </c>
      <c r="AF8723" s="3" t="s">
        <v>7379</v>
      </c>
      <c r="AG8723" s="3" t="s">
        <v>2180</v>
      </c>
      <c r="AH8723" s="11">
        <f>HYPERLINK("https://my.pitchbook.com?c=226778-59T","View Company Online")</f>
      </c>
    </row>
    <row r="8724">
      <c r="A8724" s="12" t="s">
        <v>37803</v>
      </c>
      <c r="B8724" s="12" t="s">
        <v>29305</v>
      </c>
      <c r="C8724" s="19" t="s">
        <v>36</v>
      </c>
      <c r="D8724" s="19" t="s">
        <v>36</v>
      </c>
      <c r="E8724" s="19" t="s">
        <v>36</v>
      </c>
      <c r="F8724" s="19" t="s">
        <v>36</v>
      </c>
      <c r="G8724" s="15" t="s">
        <v>326</v>
      </c>
      <c r="H8724" s="14">
        <v>179.46</v>
      </c>
      <c r="I8724" s="18">
        <v>13.9</v>
      </c>
      <c r="J8724" s="12" t="s">
        <v>521</v>
      </c>
      <c r="K8724" s="13" t="s">
        <v>36</v>
      </c>
      <c r="L8724" s="15" t="s">
        <v>36</v>
      </c>
      <c r="M8724" s="12" t="s">
        <v>36</v>
      </c>
      <c r="N8724" s="12" t="s">
        <v>36</v>
      </c>
      <c r="O8724" s="17" t="s">
        <v>36</v>
      </c>
      <c r="P8724" s="12" t="s">
        <v>36</v>
      </c>
      <c r="Q8724" s="12" t="s">
        <v>36</v>
      </c>
      <c r="R8724" s="12" t="s">
        <v>36</v>
      </c>
      <c r="S8724" s="12" t="s">
        <v>36</v>
      </c>
      <c r="T8724" s="12" t="s">
        <v>2419</v>
      </c>
      <c r="U8724" s="12" t="s">
        <v>1091</v>
      </c>
      <c r="V8724" s="12" t="s">
        <v>378</v>
      </c>
      <c r="W8724" s="12" t="s">
        <v>29306</v>
      </c>
      <c r="X8724" s="16" t="s">
        <v>26808</v>
      </c>
      <c r="Y8724" s="15" t="s">
        <v>108</v>
      </c>
      <c r="Z8724" s="14">
        <v>0.7</v>
      </c>
      <c r="AA8724" s="14">
        <v>5.06</v>
      </c>
      <c r="AB8724" s="12" t="s">
        <v>43</v>
      </c>
      <c r="AC8724" s="12" t="s">
        <v>29308</v>
      </c>
      <c r="AD8724" s="13">
        <v>40576</v>
      </c>
      <c r="AE8724" s="12" t="s">
        <v>1095</v>
      </c>
      <c r="AF8724" s="12" t="s">
        <v>571</v>
      </c>
      <c r="AG8724" s="12" t="s">
        <v>16838</v>
      </c>
      <c r="AH8724" s="1">
        <f>HYPERLINK("https://my.pitchbook.com?c=211637-71T","View Company Online")</f>
      </c>
    </row>
    <row r="8725">
      <c r="A8725" s="3" t="s">
        <v>37804</v>
      </c>
      <c r="B8725" s="3" t="s">
        <v>29942</v>
      </c>
      <c r="C8725" s="5" t="s">
        <v>36</v>
      </c>
      <c r="D8725" s="5" t="s">
        <v>36</v>
      </c>
      <c r="E8725" s="5" t="s">
        <v>36</v>
      </c>
      <c r="F8725" s="5" t="s">
        <v>36</v>
      </c>
      <c r="G8725" s="6" t="s">
        <v>36</v>
      </c>
      <c r="H8725" s="4" t="s">
        <v>36</v>
      </c>
      <c r="I8725" s="7" t="s">
        <v>36</v>
      </c>
      <c r="J8725" s="3" t="s">
        <v>36</v>
      </c>
      <c r="K8725" s="9" t="s">
        <v>36</v>
      </c>
      <c r="L8725" s="6" t="s">
        <v>36</v>
      </c>
      <c r="M8725" s="3" t="s">
        <v>36</v>
      </c>
      <c r="N8725" s="3" t="s">
        <v>36</v>
      </c>
      <c r="O8725" s="8" t="s">
        <v>36</v>
      </c>
      <c r="P8725" s="3" t="s">
        <v>36</v>
      </c>
      <c r="Q8725" s="3" t="s">
        <v>36</v>
      </c>
      <c r="R8725" s="3" t="s">
        <v>36</v>
      </c>
      <c r="S8725" s="3" t="s">
        <v>36</v>
      </c>
      <c r="T8725" s="3" t="s">
        <v>29943</v>
      </c>
      <c r="U8725" s="3" t="s">
        <v>85</v>
      </c>
      <c r="V8725" s="3" t="s">
        <v>64</v>
      </c>
      <c r="W8725" s="3" t="s">
        <v>29944</v>
      </c>
      <c r="X8725" s="10" t="s">
        <v>22004</v>
      </c>
      <c r="Y8725" s="6" t="s">
        <v>42</v>
      </c>
      <c r="Z8725" s="4">
        <v>2.01</v>
      </c>
      <c r="AA8725" s="4" t="s">
        <v>36</v>
      </c>
      <c r="AB8725" s="3" t="s">
        <v>56</v>
      </c>
      <c r="AC8725" s="3" t="s">
        <v>29945</v>
      </c>
      <c r="AD8725" s="9">
        <v>40575</v>
      </c>
      <c r="AE8725" s="3" t="s">
        <v>2823</v>
      </c>
      <c r="AF8725" s="3" t="s">
        <v>5007</v>
      </c>
      <c r="AG8725" s="3" t="s">
        <v>81</v>
      </c>
      <c r="AH8725" s="11">
        <f>HYPERLINK("https://my.pitchbook.com?c=28522-99T","View Company Online")</f>
      </c>
    </row>
    <row r="8726">
      <c r="A8726" s="12" t="s">
        <v>37805</v>
      </c>
      <c r="B8726" s="12" t="s">
        <v>37806</v>
      </c>
      <c r="C8726" s="19">
        <v>1</v>
      </c>
      <c r="D8726" s="19">
        <v>33</v>
      </c>
      <c r="E8726" s="19">
        <v>13</v>
      </c>
      <c r="F8726" s="19">
        <v>50</v>
      </c>
      <c r="G8726" s="15" t="s">
        <v>36</v>
      </c>
      <c r="H8726" s="14">
        <v>224.85</v>
      </c>
      <c r="I8726" s="18">
        <v>30.08</v>
      </c>
      <c r="J8726" s="12" t="s">
        <v>521</v>
      </c>
      <c r="K8726" s="13">
        <v>40535</v>
      </c>
      <c r="L8726" s="15" t="s">
        <v>94</v>
      </c>
      <c r="M8726" s="12" t="s">
        <v>36</v>
      </c>
      <c r="N8726" s="12" t="s">
        <v>94</v>
      </c>
      <c r="O8726" s="17" t="s">
        <v>36</v>
      </c>
      <c r="P8726" s="12" t="s">
        <v>36</v>
      </c>
      <c r="Q8726" s="12" t="s">
        <v>36</v>
      </c>
      <c r="R8726" s="12" t="s">
        <v>36</v>
      </c>
      <c r="S8726" s="12" t="s">
        <v>36</v>
      </c>
      <c r="T8726" s="12" t="s">
        <v>1628</v>
      </c>
      <c r="U8726" s="12" t="s">
        <v>96</v>
      </c>
      <c r="V8726" s="12" t="s">
        <v>52</v>
      </c>
      <c r="W8726" s="12" t="s">
        <v>37807</v>
      </c>
      <c r="X8726" s="16" t="s">
        <v>37808</v>
      </c>
      <c r="Y8726" s="15" t="s">
        <v>55</v>
      </c>
      <c r="Z8726" s="14">
        <v>6.68</v>
      </c>
      <c r="AA8726" s="14">
        <v>22.21</v>
      </c>
      <c r="AB8726" s="12" t="s">
        <v>56</v>
      </c>
      <c r="AC8726" s="12" t="s">
        <v>37809</v>
      </c>
      <c r="AD8726" s="13">
        <v>40574</v>
      </c>
      <c r="AE8726" s="12" t="s">
        <v>755</v>
      </c>
      <c r="AF8726" s="12" t="s">
        <v>1636</v>
      </c>
      <c r="AG8726" s="12" t="s">
        <v>2000</v>
      </c>
      <c r="AH8726" s="1">
        <f>HYPERLINK("https://my.pitchbook.com?c=29722-51T","View Company Online")</f>
      </c>
    </row>
    <row r="8727">
      <c r="A8727" s="3" t="s">
        <v>37810</v>
      </c>
      <c r="B8727" s="3" t="s">
        <v>20300</v>
      </c>
      <c r="C8727" s="5" t="s">
        <v>36</v>
      </c>
      <c r="D8727" s="5" t="s">
        <v>36</v>
      </c>
      <c r="E8727" s="5" t="s">
        <v>36</v>
      </c>
      <c r="F8727" s="5" t="s">
        <v>36</v>
      </c>
      <c r="G8727" s="6" t="s">
        <v>2497</v>
      </c>
      <c r="H8727" s="4">
        <v>33.41</v>
      </c>
      <c r="I8727" s="7">
        <v>31.78</v>
      </c>
      <c r="J8727" s="3" t="s">
        <v>521</v>
      </c>
      <c r="K8727" s="9">
        <v>40419</v>
      </c>
      <c r="L8727" s="6" t="s">
        <v>36</v>
      </c>
      <c r="M8727" s="3" t="s">
        <v>36</v>
      </c>
      <c r="N8727" s="3" t="s">
        <v>36</v>
      </c>
      <c r="O8727" s="8" t="s">
        <v>36</v>
      </c>
      <c r="P8727" s="3" t="s">
        <v>36</v>
      </c>
      <c r="Q8727" s="3" t="s">
        <v>36</v>
      </c>
      <c r="R8727" s="3" t="s">
        <v>36</v>
      </c>
      <c r="S8727" s="3" t="s">
        <v>36</v>
      </c>
      <c r="T8727" s="3" t="s">
        <v>522</v>
      </c>
      <c r="U8727" s="3" t="s">
        <v>38</v>
      </c>
      <c r="V8727" s="3" t="s">
        <v>39</v>
      </c>
      <c r="W8727" s="3" t="s">
        <v>20301</v>
      </c>
      <c r="X8727" s="10" t="s">
        <v>29960</v>
      </c>
      <c r="Y8727" s="6" t="s">
        <v>108</v>
      </c>
      <c r="Z8727" s="4">
        <v>1.58</v>
      </c>
      <c r="AA8727" s="4">
        <v>4.96</v>
      </c>
      <c r="AB8727" s="3" t="s">
        <v>56</v>
      </c>
      <c r="AC8727" s="3" t="s">
        <v>20303</v>
      </c>
      <c r="AD8727" s="9">
        <v>40570</v>
      </c>
      <c r="AE8727" s="3" t="s">
        <v>110</v>
      </c>
      <c r="AF8727" s="3" t="s">
        <v>6214</v>
      </c>
      <c r="AG8727" s="3" t="s">
        <v>81</v>
      </c>
      <c r="AH8727" s="11">
        <f>HYPERLINK("https://my.pitchbook.com?c=35155-09T","View Company Online")</f>
      </c>
    </row>
    <row r="8728">
      <c r="A8728" s="12" t="s">
        <v>37811</v>
      </c>
      <c r="B8728" s="12" t="s">
        <v>37812</v>
      </c>
      <c r="C8728" s="19" t="s">
        <v>36</v>
      </c>
      <c r="D8728" s="19" t="s">
        <v>36</v>
      </c>
      <c r="E8728" s="19" t="s">
        <v>36</v>
      </c>
      <c r="F8728" s="19" t="s">
        <v>36</v>
      </c>
      <c r="G8728" s="15" t="s">
        <v>36</v>
      </c>
      <c r="H8728" s="14">
        <v>254.35</v>
      </c>
      <c r="I8728" s="18">
        <v>16.45</v>
      </c>
      <c r="J8728" s="12" t="s">
        <v>521</v>
      </c>
      <c r="K8728" s="13" t="s">
        <v>36</v>
      </c>
      <c r="L8728" s="15" t="s">
        <v>36</v>
      </c>
      <c r="M8728" s="12" t="s">
        <v>36</v>
      </c>
      <c r="N8728" s="12" t="s">
        <v>36</v>
      </c>
      <c r="O8728" s="17" t="s">
        <v>36</v>
      </c>
      <c r="P8728" s="12" t="s">
        <v>36</v>
      </c>
      <c r="Q8728" s="12" t="s">
        <v>36</v>
      </c>
      <c r="R8728" s="12" t="s">
        <v>36</v>
      </c>
      <c r="S8728" s="12" t="s">
        <v>36</v>
      </c>
      <c r="T8728" s="12" t="s">
        <v>972</v>
      </c>
      <c r="U8728" s="12" t="s">
        <v>74</v>
      </c>
      <c r="V8728" s="12" t="s">
        <v>75</v>
      </c>
      <c r="W8728" s="12" t="s">
        <v>37813</v>
      </c>
      <c r="X8728" s="16" t="s">
        <v>37814</v>
      </c>
      <c r="Y8728" s="15" t="s">
        <v>42</v>
      </c>
      <c r="Z8728" s="14">
        <v>0.07</v>
      </c>
      <c r="AA8728" s="14">
        <v>0.42</v>
      </c>
      <c r="AB8728" s="12" t="s">
        <v>43</v>
      </c>
      <c r="AC8728" s="12" t="s">
        <v>37815</v>
      </c>
      <c r="AD8728" s="13">
        <v>40570</v>
      </c>
      <c r="AE8728" s="12" t="s">
        <v>975</v>
      </c>
      <c r="AF8728" s="12" t="s">
        <v>80</v>
      </c>
      <c r="AG8728" s="12" t="s">
        <v>81</v>
      </c>
      <c r="AH8728" s="1">
        <f>HYPERLINK("https://my.pitchbook.com?c=136057-42T","View Company Online")</f>
      </c>
    </row>
    <row r="8729">
      <c r="A8729" s="3" t="s">
        <v>37816</v>
      </c>
      <c r="B8729" s="3" t="s">
        <v>37817</v>
      </c>
      <c r="C8729" s="5" t="s">
        <v>36</v>
      </c>
      <c r="D8729" s="5">
        <v>3</v>
      </c>
      <c r="E8729" s="5">
        <v>2</v>
      </c>
      <c r="F8729" s="5">
        <v>5</v>
      </c>
      <c r="G8729" s="6" t="s">
        <v>326</v>
      </c>
      <c r="H8729" s="4">
        <v>9.26</v>
      </c>
      <c r="I8729" s="7">
        <v>14.75</v>
      </c>
      <c r="J8729" s="3" t="s">
        <v>521</v>
      </c>
      <c r="K8729" s="9" t="s">
        <v>36</v>
      </c>
      <c r="L8729" s="6" t="s">
        <v>36</v>
      </c>
      <c r="M8729" s="3" t="s">
        <v>36</v>
      </c>
      <c r="N8729" s="3" t="s">
        <v>36</v>
      </c>
      <c r="O8729" s="8" t="s">
        <v>36</v>
      </c>
      <c r="P8729" s="3" t="s">
        <v>36</v>
      </c>
      <c r="Q8729" s="3" t="s">
        <v>36</v>
      </c>
      <c r="R8729" s="3" t="s">
        <v>36</v>
      </c>
      <c r="S8729" s="3" t="s">
        <v>36</v>
      </c>
      <c r="T8729" s="3" t="s">
        <v>3850</v>
      </c>
      <c r="U8729" s="3" t="s">
        <v>1580</v>
      </c>
      <c r="V8729" s="3" t="s">
        <v>39</v>
      </c>
      <c r="W8729" s="3" t="s">
        <v>37818</v>
      </c>
      <c r="X8729" s="10" t="s">
        <v>37819</v>
      </c>
      <c r="Y8729" s="6" t="s">
        <v>108</v>
      </c>
      <c r="Z8729" s="4">
        <v>6.7</v>
      </c>
      <c r="AA8729" s="4">
        <v>45.43</v>
      </c>
      <c r="AB8729" s="3" t="s">
        <v>56</v>
      </c>
      <c r="AC8729" s="3" t="s">
        <v>37820</v>
      </c>
      <c r="AD8729" s="9">
        <v>40569</v>
      </c>
      <c r="AE8729" s="3" t="s">
        <v>3854</v>
      </c>
      <c r="AF8729" s="3" t="s">
        <v>1636</v>
      </c>
      <c r="AG8729" s="3" t="s">
        <v>392</v>
      </c>
      <c r="AH8729" s="11">
        <f>HYPERLINK("https://my.pitchbook.com?c=133484-68T","View Company Online")</f>
      </c>
    </row>
    <row r="8730">
      <c r="A8730" s="12" t="s">
        <v>37821</v>
      </c>
      <c r="B8730" s="12" t="s">
        <v>37822</v>
      </c>
      <c r="C8730" s="19">
        <v>2</v>
      </c>
      <c r="D8730" s="19">
        <v>2</v>
      </c>
      <c r="E8730" s="19">
        <v>1</v>
      </c>
      <c r="F8730" s="19">
        <v>4</v>
      </c>
      <c r="G8730" s="15" t="s">
        <v>36</v>
      </c>
      <c r="H8730" s="14" t="s">
        <v>36</v>
      </c>
      <c r="I8730" s="18" t="s">
        <v>36</v>
      </c>
      <c r="J8730" s="12" t="s">
        <v>36</v>
      </c>
      <c r="K8730" s="13" t="s">
        <v>36</v>
      </c>
      <c r="L8730" s="15" t="s">
        <v>122</v>
      </c>
      <c r="M8730" s="12" t="s">
        <v>36</v>
      </c>
      <c r="N8730" s="12" t="s">
        <v>122</v>
      </c>
      <c r="O8730" s="17" t="s">
        <v>36</v>
      </c>
      <c r="P8730" s="12" t="s">
        <v>36</v>
      </c>
      <c r="Q8730" s="12" t="s">
        <v>36</v>
      </c>
      <c r="R8730" s="12" t="s">
        <v>36</v>
      </c>
      <c r="S8730" s="12" t="s">
        <v>36</v>
      </c>
      <c r="T8730" s="12" t="s">
        <v>2811</v>
      </c>
      <c r="U8730" s="12" t="s">
        <v>219</v>
      </c>
      <c r="V8730" s="12" t="s">
        <v>75</v>
      </c>
      <c r="W8730" s="12" t="s">
        <v>37823</v>
      </c>
      <c r="X8730" s="16" t="s">
        <v>37824</v>
      </c>
      <c r="Y8730" s="15" t="s">
        <v>42</v>
      </c>
      <c r="Z8730" s="14">
        <v>1.72</v>
      </c>
      <c r="AA8730" s="14" t="s">
        <v>36</v>
      </c>
      <c r="AB8730" s="12" t="s">
        <v>56</v>
      </c>
      <c r="AC8730" s="12" t="s">
        <v>37825</v>
      </c>
      <c r="AD8730" s="13">
        <v>40567</v>
      </c>
      <c r="AE8730" s="12" t="s">
        <v>223</v>
      </c>
      <c r="AF8730" s="12" t="s">
        <v>35005</v>
      </c>
      <c r="AG8730" s="12" t="s">
        <v>37826</v>
      </c>
      <c r="AH8730" s="1">
        <f>HYPERLINK("https://my.pitchbook.com?c=25485-58T","View Company Online")</f>
      </c>
    </row>
    <row r="8731">
      <c r="A8731" s="3" t="s">
        <v>37827</v>
      </c>
      <c r="B8731" s="3" t="s">
        <v>35001</v>
      </c>
      <c r="C8731" s="5">
        <v>47</v>
      </c>
      <c r="D8731" s="5">
        <v>163</v>
      </c>
      <c r="E8731" s="5">
        <v>48</v>
      </c>
      <c r="F8731" s="5">
        <v>279</v>
      </c>
      <c r="G8731" s="6" t="s">
        <v>36</v>
      </c>
      <c r="H8731" s="4" t="s">
        <v>36</v>
      </c>
      <c r="I8731" s="7" t="s">
        <v>36</v>
      </c>
      <c r="J8731" s="3" t="s">
        <v>36</v>
      </c>
      <c r="K8731" s="9">
        <v>40513</v>
      </c>
      <c r="L8731" s="6" t="s">
        <v>36</v>
      </c>
      <c r="M8731" s="3" t="s">
        <v>36</v>
      </c>
      <c r="N8731" s="3" t="s">
        <v>36</v>
      </c>
      <c r="O8731" s="8" t="s">
        <v>36</v>
      </c>
      <c r="P8731" s="3" t="s">
        <v>36</v>
      </c>
      <c r="Q8731" s="3" t="s">
        <v>36</v>
      </c>
      <c r="R8731" s="3" t="s">
        <v>36</v>
      </c>
      <c r="S8731" s="3" t="s">
        <v>36</v>
      </c>
      <c r="T8731" s="3" t="s">
        <v>154</v>
      </c>
      <c r="U8731" s="3" t="s">
        <v>51</v>
      </c>
      <c r="V8731" s="3" t="s">
        <v>52</v>
      </c>
      <c r="W8731" s="3" t="s">
        <v>35002</v>
      </c>
      <c r="X8731" s="10" t="s">
        <v>37828</v>
      </c>
      <c r="Y8731" s="6" t="s">
        <v>108</v>
      </c>
      <c r="Z8731" s="4">
        <v>7.03</v>
      </c>
      <c r="AA8731" s="4" t="s">
        <v>36</v>
      </c>
      <c r="AB8731" s="3" t="s">
        <v>43</v>
      </c>
      <c r="AC8731" s="3" t="s">
        <v>35004</v>
      </c>
      <c r="AD8731" s="9">
        <v>40567</v>
      </c>
      <c r="AE8731" s="3" t="s">
        <v>158</v>
      </c>
      <c r="AF8731" s="3" t="s">
        <v>35005</v>
      </c>
      <c r="AG8731" s="3" t="s">
        <v>13364</v>
      </c>
      <c r="AH8731" s="11">
        <f>HYPERLINK("https://my.pitchbook.com?c=28775-26T","View Company Online")</f>
      </c>
    </row>
    <row r="8732">
      <c r="A8732" s="12" t="s">
        <v>37829</v>
      </c>
      <c r="B8732" s="12" t="s">
        <v>35332</v>
      </c>
      <c r="C8732" s="19" t="s">
        <v>36</v>
      </c>
      <c r="D8732" s="19" t="s">
        <v>36</v>
      </c>
      <c r="E8732" s="19" t="s">
        <v>36</v>
      </c>
      <c r="F8732" s="19" t="s">
        <v>36</v>
      </c>
      <c r="G8732" s="15" t="s">
        <v>36</v>
      </c>
      <c r="H8732" s="14" t="s">
        <v>36</v>
      </c>
      <c r="I8732" s="18" t="s">
        <v>36</v>
      </c>
      <c r="J8732" s="12" t="s">
        <v>36</v>
      </c>
      <c r="K8732" s="13" t="s">
        <v>36</v>
      </c>
      <c r="L8732" s="15" t="s">
        <v>122</v>
      </c>
      <c r="M8732" s="12" t="s">
        <v>36</v>
      </c>
      <c r="N8732" s="12" t="s">
        <v>122</v>
      </c>
      <c r="O8732" s="17" t="s">
        <v>36</v>
      </c>
      <c r="P8732" s="12" t="s">
        <v>36</v>
      </c>
      <c r="Q8732" s="12" t="s">
        <v>36</v>
      </c>
      <c r="R8732" s="12" t="s">
        <v>36</v>
      </c>
      <c r="S8732" s="12" t="s">
        <v>36</v>
      </c>
      <c r="T8732" s="12" t="s">
        <v>4640</v>
      </c>
      <c r="U8732" s="12" t="s">
        <v>833</v>
      </c>
      <c r="V8732" s="12" t="s">
        <v>64</v>
      </c>
      <c r="W8732" s="12" t="s">
        <v>35333</v>
      </c>
      <c r="X8732" s="16" t="s">
        <v>37830</v>
      </c>
      <c r="Y8732" s="15" t="s">
        <v>42</v>
      </c>
      <c r="Z8732" s="14">
        <v>3.32</v>
      </c>
      <c r="AA8732" s="14" t="s">
        <v>36</v>
      </c>
      <c r="AB8732" s="12" t="s">
        <v>56</v>
      </c>
      <c r="AC8732" s="12" t="s">
        <v>35335</v>
      </c>
      <c r="AD8732" s="13">
        <v>40567</v>
      </c>
      <c r="AE8732" s="12" t="s">
        <v>1687</v>
      </c>
      <c r="AF8732" s="12" t="s">
        <v>2118</v>
      </c>
      <c r="AG8732" s="12" t="s">
        <v>81</v>
      </c>
      <c r="AH8732" s="1">
        <f>HYPERLINK("https://my.pitchbook.com?c=25258-87T","View Company Online")</f>
      </c>
    </row>
    <row r="8733">
      <c r="A8733" s="3" t="s">
        <v>37831</v>
      </c>
      <c r="B8733" s="3" t="s">
        <v>37832</v>
      </c>
      <c r="C8733" s="5" t="s">
        <v>36</v>
      </c>
      <c r="D8733" s="5">
        <v>1</v>
      </c>
      <c r="E8733" s="5">
        <v>1</v>
      </c>
      <c r="F8733" s="5">
        <v>3</v>
      </c>
      <c r="G8733" s="6" t="s">
        <v>2497</v>
      </c>
      <c r="H8733" s="4">
        <v>9.66</v>
      </c>
      <c r="I8733" s="7">
        <v>20.2</v>
      </c>
      <c r="J8733" s="3" t="s">
        <v>521</v>
      </c>
      <c r="K8733" s="9" t="s">
        <v>36</v>
      </c>
      <c r="L8733" s="6" t="s">
        <v>36</v>
      </c>
      <c r="M8733" s="3" t="s">
        <v>36</v>
      </c>
      <c r="N8733" s="3" t="s">
        <v>36</v>
      </c>
      <c r="O8733" s="8" t="s">
        <v>36</v>
      </c>
      <c r="P8733" s="3" t="s">
        <v>36</v>
      </c>
      <c r="Q8733" s="3" t="s">
        <v>36</v>
      </c>
      <c r="R8733" s="3" t="s">
        <v>36</v>
      </c>
      <c r="S8733" s="3" t="s">
        <v>36</v>
      </c>
      <c r="T8733" s="3" t="s">
        <v>1162</v>
      </c>
      <c r="U8733" s="3" t="s">
        <v>423</v>
      </c>
      <c r="V8733" s="3" t="s">
        <v>64</v>
      </c>
      <c r="W8733" s="3" t="s">
        <v>37833</v>
      </c>
      <c r="X8733" s="10" t="s">
        <v>22734</v>
      </c>
      <c r="Y8733" s="6" t="s">
        <v>55</v>
      </c>
      <c r="Z8733" s="4">
        <v>1.05</v>
      </c>
      <c r="AA8733" s="4">
        <v>5.21</v>
      </c>
      <c r="AB8733" s="3" t="s">
        <v>56</v>
      </c>
      <c r="AC8733" s="3" t="s">
        <v>37834</v>
      </c>
      <c r="AD8733" s="9">
        <v>40567</v>
      </c>
      <c r="AE8733" s="3" t="s">
        <v>562</v>
      </c>
      <c r="AF8733" s="3" t="s">
        <v>36</v>
      </c>
      <c r="AG8733" s="3" t="s">
        <v>382</v>
      </c>
      <c r="AH8733" s="11">
        <f>HYPERLINK("https://my.pitchbook.com?c=169790-77T","View Company Online")</f>
      </c>
    </row>
    <row r="8734">
      <c r="A8734" s="12" t="s">
        <v>37835</v>
      </c>
      <c r="B8734" s="12" t="s">
        <v>35458</v>
      </c>
      <c r="C8734" s="19" t="s">
        <v>36</v>
      </c>
      <c r="D8734" s="19" t="s">
        <v>36</v>
      </c>
      <c r="E8734" s="19" t="s">
        <v>36</v>
      </c>
      <c r="F8734" s="19" t="s">
        <v>36</v>
      </c>
      <c r="G8734" s="15" t="s">
        <v>36</v>
      </c>
      <c r="H8734" s="14">
        <v>25.96</v>
      </c>
      <c r="I8734" s="18">
        <v>33.33</v>
      </c>
      <c r="J8734" s="12" t="s">
        <v>521</v>
      </c>
      <c r="K8734" s="13" t="s">
        <v>36</v>
      </c>
      <c r="L8734" s="15" t="s">
        <v>36</v>
      </c>
      <c r="M8734" s="12" t="s">
        <v>36</v>
      </c>
      <c r="N8734" s="12" t="s">
        <v>36</v>
      </c>
      <c r="O8734" s="17" t="s">
        <v>36</v>
      </c>
      <c r="P8734" s="12" t="s">
        <v>36</v>
      </c>
      <c r="Q8734" s="12" t="s">
        <v>36</v>
      </c>
      <c r="R8734" s="12" t="s">
        <v>36</v>
      </c>
      <c r="S8734" s="12" t="s">
        <v>36</v>
      </c>
      <c r="T8734" s="12" t="s">
        <v>3826</v>
      </c>
      <c r="U8734" s="12" t="s">
        <v>423</v>
      </c>
      <c r="V8734" s="12" t="s">
        <v>64</v>
      </c>
      <c r="W8734" s="12" t="s">
        <v>35459</v>
      </c>
      <c r="X8734" s="16" t="s">
        <v>37340</v>
      </c>
      <c r="Y8734" s="15" t="s">
        <v>42</v>
      </c>
      <c r="Z8734" s="14">
        <v>0.07</v>
      </c>
      <c r="AA8734" s="14">
        <v>0.2</v>
      </c>
      <c r="AB8734" s="12" t="s">
        <v>43</v>
      </c>
      <c r="AC8734" s="12" t="s">
        <v>35461</v>
      </c>
      <c r="AD8734" s="13">
        <v>40564</v>
      </c>
      <c r="AE8734" s="12" t="s">
        <v>1051</v>
      </c>
      <c r="AF8734" s="12" t="s">
        <v>36</v>
      </c>
      <c r="AG8734" s="12" t="s">
        <v>35462</v>
      </c>
      <c r="AH8734" s="1">
        <f>HYPERLINK("https://my.pitchbook.com?c=218495-08T","View Company Online")</f>
      </c>
    </row>
    <row r="8735">
      <c r="A8735" s="3" t="s">
        <v>37836</v>
      </c>
      <c r="B8735" s="3" t="s">
        <v>37837</v>
      </c>
      <c r="C8735" s="5" t="s">
        <v>36</v>
      </c>
      <c r="D8735" s="5">
        <v>1</v>
      </c>
      <c r="E8735" s="5">
        <v>1</v>
      </c>
      <c r="F8735" s="5">
        <v>3</v>
      </c>
      <c r="G8735" s="6" t="s">
        <v>326</v>
      </c>
      <c r="H8735" s="4">
        <v>1.03</v>
      </c>
      <c r="I8735" s="7">
        <v>23.08</v>
      </c>
      <c r="J8735" s="3" t="s">
        <v>521</v>
      </c>
      <c r="K8735" s="9" t="s">
        <v>36</v>
      </c>
      <c r="L8735" s="6" t="s">
        <v>1279</v>
      </c>
      <c r="M8735" s="3" t="s">
        <v>36</v>
      </c>
      <c r="N8735" s="3" t="s">
        <v>1279</v>
      </c>
      <c r="O8735" s="8" t="s">
        <v>36</v>
      </c>
      <c r="P8735" s="3" t="s">
        <v>36</v>
      </c>
      <c r="Q8735" s="3" t="s">
        <v>3530</v>
      </c>
      <c r="R8735" s="3" t="s">
        <v>3531</v>
      </c>
      <c r="S8735" s="3" t="s">
        <v>36</v>
      </c>
      <c r="T8735" s="3" t="s">
        <v>37838</v>
      </c>
      <c r="U8735" s="3" t="s">
        <v>1798</v>
      </c>
      <c r="V8735" s="3" t="s">
        <v>39</v>
      </c>
      <c r="W8735" s="3" t="s">
        <v>37839</v>
      </c>
      <c r="X8735" s="10" t="s">
        <v>37840</v>
      </c>
      <c r="Y8735" s="6" t="s">
        <v>192</v>
      </c>
      <c r="Z8735" s="4">
        <v>6.21</v>
      </c>
      <c r="AA8735" s="4">
        <v>26.91</v>
      </c>
      <c r="AB8735" s="3" t="s">
        <v>56</v>
      </c>
      <c r="AC8735" s="3" t="s">
        <v>37841</v>
      </c>
      <c r="AD8735" s="9">
        <v>40564</v>
      </c>
      <c r="AE8735" s="3" t="s">
        <v>4247</v>
      </c>
      <c r="AF8735" s="3" t="s">
        <v>571</v>
      </c>
      <c r="AG8735" s="3" t="s">
        <v>800</v>
      </c>
      <c r="AH8735" s="11">
        <f>HYPERLINK("https://my.pitchbook.com?c=17941-42T","View Company Online")</f>
      </c>
    </row>
    <row r="8736">
      <c r="A8736" s="12" t="s">
        <v>37842</v>
      </c>
      <c r="B8736" s="12" t="s">
        <v>37843</v>
      </c>
      <c r="C8736" s="19" t="s">
        <v>36</v>
      </c>
      <c r="D8736" s="19">
        <v>3</v>
      </c>
      <c r="E8736" s="19">
        <v>1</v>
      </c>
      <c r="F8736" s="19">
        <v>3</v>
      </c>
      <c r="G8736" s="15" t="s">
        <v>36</v>
      </c>
      <c r="H8736" s="14" t="s">
        <v>36</v>
      </c>
      <c r="I8736" s="18">
        <v>29</v>
      </c>
      <c r="J8736" s="12" t="s">
        <v>327</v>
      </c>
      <c r="K8736" s="13" t="s">
        <v>36</v>
      </c>
      <c r="L8736" s="15" t="s">
        <v>36</v>
      </c>
      <c r="M8736" s="12" t="s">
        <v>36</v>
      </c>
      <c r="N8736" s="12" t="s">
        <v>36</v>
      </c>
      <c r="O8736" s="17" t="s">
        <v>36</v>
      </c>
      <c r="P8736" s="12" t="s">
        <v>36</v>
      </c>
      <c r="Q8736" s="12" t="s">
        <v>36</v>
      </c>
      <c r="R8736" s="12" t="s">
        <v>36</v>
      </c>
      <c r="S8736" s="12" t="s">
        <v>36</v>
      </c>
      <c r="T8736" s="12" t="s">
        <v>37844</v>
      </c>
      <c r="U8736" s="12" t="s">
        <v>279</v>
      </c>
      <c r="V8736" s="12" t="s">
        <v>64</v>
      </c>
      <c r="W8736" s="12" t="s">
        <v>37845</v>
      </c>
      <c r="X8736" s="16" t="s">
        <v>1406</v>
      </c>
      <c r="Y8736" s="15" t="s">
        <v>42</v>
      </c>
      <c r="Z8736" s="14">
        <v>3.3</v>
      </c>
      <c r="AA8736" s="14">
        <v>11.38</v>
      </c>
      <c r="AB8736" s="12" t="s">
        <v>43</v>
      </c>
      <c r="AC8736" s="12" t="s">
        <v>37846</v>
      </c>
      <c r="AD8736" s="13">
        <v>40563</v>
      </c>
      <c r="AE8736" s="12" t="s">
        <v>740</v>
      </c>
      <c r="AF8736" s="12" t="s">
        <v>4668</v>
      </c>
      <c r="AG8736" s="12" t="s">
        <v>332</v>
      </c>
      <c r="AH8736" s="1">
        <f>HYPERLINK("https://my.pitchbook.com?c=29936-44T","View Company Online")</f>
      </c>
    </row>
    <row r="8737">
      <c r="A8737" s="3" t="s">
        <v>37847</v>
      </c>
      <c r="B8737" s="3" t="s">
        <v>25480</v>
      </c>
      <c r="C8737" s="5">
        <v>14</v>
      </c>
      <c r="D8737" s="5">
        <v>126</v>
      </c>
      <c r="E8737" s="5">
        <v>32</v>
      </c>
      <c r="F8737" s="5">
        <v>155</v>
      </c>
      <c r="G8737" s="6" t="s">
        <v>36</v>
      </c>
      <c r="H8737" s="4">
        <v>0.16</v>
      </c>
      <c r="I8737" s="7">
        <v>36.51</v>
      </c>
      <c r="J8737" s="3" t="s">
        <v>521</v>
      </c>
      <c r="K8737" s="9" t="s">
        <v>36</v>
      </c>
      <c r="L8737" s="6" t="s">
        <v>94</v>
      </c>
      <c r="M8737" s="3" t="s">
        <v>36</v>
      </c>
      <c r="N8737" s="3" t="s">
        <v>94</v>
      </c>
      <c r="O8737" s="8" t="s">
        <v>36</v>
      </c>
      <c r="P8737" s="3" t="s">
        <v>36</v>
      </c>
      <c r="Q8737" s="3" t="s">
        <v>36</v>
      </c>
      <c r="R8737" s="3" t="s">
        <v>36</v>
      </c>
      <c r="S8737" s="3" t="s">
        <v>36</v>
      </c>
      <c r="T8737" s="3" t="s">
        <v>25481</v>
      </c>
      <c r="U8737" s="3" t="s">
        <v>1798</v>
      </c>
      <c r="V8737" s="3" t="s">
        <v>39</v>
      </c>
      <c r="W8737" s="3" t="s">
        <v>25482</v>
      </c>
      <c r="X8737" s="10" t="s">
        <v>37848</v>
      </c>
      <c r="Y8737" s="6" t="s">
        <v>55</v>
      </c>
      <c r="Z8737" s="4">
        <v>8.82</v>
      </c>
      <c r="AA8737" s="4">
        <v>24.15</v>
      </c>
      <c r="AB8737" s="3" t="s">
        <v>43</v>
      </c>
      <c r="AC8737" s="3" t="s">
        <v>25484</v>
      </c>
      <c r="AD8737" s="9">
        <v>40563</v>
      </c>
      <c r="AE8737" s="3" t="s">
        <v>1802</v>
      </c>
      <c r="AF8737" s="3" t="s">
        <v>1636</v>
      </c>
      <c r="AG8737" s="3" t="s">
        <v>969</v>
      </c>
      <c r="AH8737" s="11">
        <f>HYPERLINK("https://my.pitchbook.com?c=28189-36T","View Company Online")</f>
      </c>
    </row>
    <row r="8738">
      <c r="A8738" s="12" t="s">
        <v>37849</v>
      </c>
      <c r="B8738" s="12" t="s">
        <v>23576</v>
      </c>
      <c r="C8738" s="19" t="s">
        <v>36</v>
      </c>
      <c r="D8738" s="19" t="s">
        <v>36</v>
      </c>
      <c r="E8738" s="19" t="s">
        <v>36</v>
      </c>
      <c r="F8738" s="19" t="s">
        <v>36</v>
      </c>
      <c r="G8738" s="15" t="s">
        <v>36</v>
      </c>
      <c r="H8738" s="14" t="s">
        <v>36</v>
      </c>
      <c r="I8738" s="18" t="s">
        <v>36</v>
      </c>
      <c r="J8738" s="12" t="s">
        <v>36</v>
      </c>
      <c r="K8738" s="13" t="s">
        <v>36</v>
      </c>
      <c r="L8738" s="15" t="s">
        <v>36</v>
      </c>
      <c r="M8738" s="12" t="s">
        <v>36</v>
      </c>
      <c r="N8738" s="12" t="s">
        <v>36</v>
      </c>
      <c r="O8738" s="17" t="s">
        <v>36</v>
      </c>
      <c r="P8738" s="12" t="s">
        <v>36</v>
      </c>
      <c r="Q8738" s="12" t="s">
        <v>36</v>
      </c>
      <c r="R8738" s="12" t="s">
        <v>36</v>
      </c>
      <c r="S8738" s="12" t="s">
        <v>36</v>
      </c>
      <c r="T8738" s="12" t="s">
        <v>464</v>
      </c>
      <c r="U8738" s="12" t="s">
        <v>38</v>
      </c>
      <c r="V8738" s="12" t="s">
        <v>39</v>
      </c>
      <c r="W8738" s="12" t="s">
        <v>23577</v>
      </c>
      <c r="X8738" s="16" t="s">
        <v>37850</v>
      </c>
      <c r="Y8738" s="15" t="s">
        <v>108</v>
      </c>
      <c r="Z8738" s="14">
        <v>3.95</v>
      </c>
      <c r="AA8738" s="14" t="s">
        <v>36</v>
      </c>
      <c r="AB8738" s="12" t="s">
        <v>43</v>
      </c>
      <c r="AC8738" s="12" t="s">
        <v>23579</v>
      </c>
      <c r="AD8738" s="13">
        <v>40557</v>
      </c>
      <c r="AE8738" s="12" t="s">
        <v>110</v>
      </c>
      <c r="AF8738" s="12" t="s">
        <v>19562</v>
      </c>
      <c r="AG8738" s="12" t="s">
        <v>2760</v>
      </c>
      <c r="AH8738" s="1">
        <f>HYPERLINK("https://my.pitchbook.com?c=25510-33T","View Company Online")</f>
      </c>
    </row>
    <row r="8739">
      <c r="A8739" s="3" t="s">
        <v>37851</v>
      </c>
      <c r="B8739" s="3" t="s">
        <v>28388</v>
      </c>
      <c r="C8739" s="5" t="s">
        <v>36</v>
      </c>
      <c r="D8739" s="5">
        <v>4</v>
      </c>
      <c r="E8739" s="5">
        <v>1</v>
      </c>
      <c r="F8739" s="5">
        <v>5</v>
      </c>
      <c r="G8739" s="6" t="s">
        <v>36</v>
      </c>
      <c r="H8739" s="4">
        <v>6.23</v>
      </c>
      <c r="I8739" s="7">
        <v>70</v>
      </c>
      <c r="J8739" s="3" t="s">
        <v>521</v>
      </c>
      <c r="K8739" s="9">
        <v>40541</v>
      </c>
      <c r="L8739" s="6" t="s">
        <v>36</v>
      </c>
      <c r="M8739" s="3" t="s">
        <v>36</v>
      </c>
      <c r="N8739" s="3" t="s">
        <v>36</v>
      </c>
      <c r="O8739" s="8" t="s">
        <v>36</v>
      </c>
      <c r="P8739" s="3" t="s">
        <v>36</v>
      </c>
      <c r="Q8739" s="3" t="s">
        <v>36</v>
      </c>
      <c r="R8739" s="3" t="s">
        <v>36</v>
      </c>
      <c r="S8739" s="3" t="s">
        <v>36</v>
      </c>
      <c r="T8739" s="3" t="s">
        <v>3790</v>
      </c>
      <c r="U8739" s="3" t="s">
        <v>318</v>
      </c>
      <c r="V8739" s="3" t="s">
        <v>39</v>
      </c>
      <c r="W8739" s="3" t="s">
        <v>28389</v>
      </c>
      <c r="X8739" s="10" t="s">
        <v>37852</v>
      </c>
      <c r="Y8739" s="6" t="s">
        <v>42</v>
      </c>
      <c r="Z8739" s="4">
        <v>3.68</v>
      </c>
      <c r="AA8739" s="4">
        <v>5.26</v>
      </c>
      <c r="AB8739" s="3" t="s">
        <v>43</v>
      </c>
      <c r="AC8739" s="3" t="s">
        <v>28391</v>
      </c>
      <c r="AD8739" s="9">
        <v>40556</v>
      </c>
      <c r="AE8739" s="3" t="s">
        <v>763</v>
      </c>
      <c r="AF8739" s="3" t="s">
        <v>1969</v>
      </c>
      <c r="AG8739" s="3" t="s">
        <v>2218</v>
      </c>
      <c r="AH8739" s="11">
        <f>HYPERLINK("https://my.pitchbook.com?c=34171-30T","View Company Online")</f>
      </c>
    </row>
    <row r="8740">
      <c r="A8740" s="12" t="s">
        <v>37853</v>
      </c>
      <c r="B8740" s="12" t="s">
        <v>37854</v>
      </c>
      <c r="C8740" s="19" t="s">
        <v>36</v>
      </c>
      <c r="D8740" s="19" t="s">
        <v>36</v>
      </c>
      <c r="E8740" s="19" t="s">
        <v>36</v>
      </c>
      <c r="F8740" s="19" t="s">
        <v>36</v>
      </c>
      <c r="G8740" s="15" t="s">
        <v>36</v>
      </c>
      <c r="H8740" s="14" t="s">
        <v>36</v>
      </c>
      <c r="I8740" s="18" t="s">
        <v>36</v>
      </c>
      <c r="J8740" s="12" t="s">
        <v>36</v>
      </c>
      <c r="K8740" s="13" t="s">
        <v>36</v>
      </c>
      <c r="L8740" s="15" t="s">
        <v>36</v>
      </c>
      <c r="M8740" s="12" t="s">
        <v>36</v>
      </c>
      <c r="N8740" s="12" t="s">
        <v>36</v>
      </c>
      <c r="O8740" s="17" t="s">
        <v>36</v>
      </c>
      <c r="P8740" s="12" t="s">
        <v>36</v>
      </c>
      <c r="Q8740" s="12" t="s">
        <v>36</v>
      </c>
      <c r="R8740" s="12" t="s">
        <v>36</v>
      </c>
      <c r="S8740" s="12" t="s">
        <v>36</v>
      </c>
      <c r="T8740" s="12" t="s">
        <v>638</v>
      </c>
      <c r="U8740" s="12" t="s">
        <v>63</v>
      </c>
      <c r="V8740" s="12" t="s">
        <v>64</v>
      </c>
      <c r="W8740" s="12" t="s">
        <v>37855</v>
      </c>
      <c r="X8740" s="16" t="s">
        <v>37856</v>
      </c>
      <c r="Y8740" s="15" t="s">
        <v>42</v>
      </c>
      <c r="Z8740" s="14" t="s">
        <v>36</v>
      </c>
      <c r="AA8740" s="14" t="s">
        <v>36</v>
      </c>
      <c r="AB8740" s="12" t="s">
        <v>43</v>
      </c>
      <c r="AC8740" s="12" t="s">
        <v>37857</v>
      </c>
      <c r="AD8740" s="13">
        <v>40555</v>
      </c>
      <c r="AE8740" s="12" t="s">
        <v>642</v>
      </c>
      <c r="AF8740" s="12" t="s">
        <v>36</v>
      </c>
      <c r="AG8740" s="12" t="s">
        <v>34524</v>
      </c>
      <c r="AH8740" s="1">
        <f>HYPERLINK("https://my.pitchbook.com?c=27787-96T","View Company Online")</f>
      </c>
    </row>
    <row r="8741">
      <c r="A8741" s="3" t="s">
        <v>37858</v>
      </c>
      <c r="B8741" s="3" t="s">
        <v>37859</v>
      </c>
      <c r="C8741" s="5" t="s">
        <v>36</v>
      </c>
      <c r="D8741" s="5" t="s">
        <v>36</v>
      </c>
      <c r="E8741" s="5" t="s">
        <v>36</v>
      </c>
      <c r="F8741" s="5" t="s">
        <v>36</v>
      </c>
      <c r="G8741" s="6" t="s">
        <v>36</v>
      </c>
      <c r="H8741" s="4" t="s">
        <v>36</v>
      </c>
      <c r="I8741" s="7" t="s">
        <v>36</v>
      </c>
      <c r="J8741" s="3" t="s">
        <v>36</v>
      </c>
      <c r="K8741" s="9" t="s">
        <v>36</v>
      </c>
      <c r="L8741" s="6" t="s">
        <v>36</v>
      </c>
      <c r="M8741" s="3" t="s">
        <v>36</v>
      </c>
      <c r="N8741" s="3" t="s">
        <v>36</v>
      </c>
      <c r="O8741" s="8" t="s">
        <v>36</v>
      </c>
      <c r="P8741" s="3" t="s">
        <v>36</v>
      </c>
      <c r="Q8741" s="3" t="s">
        <v>36</v>
      </c>
      <c r="R8741" s="3" t="s">
        <v>36</v>
      </c>
      <c r="S8741" s="3" t="s">
        <v>36</v>
      </c>
      <c r="T8741" s="3" t="s">
        <v>17825</v>
      </c>
      <c r="U8741" s="3" t="s">
        <v>728</v>
      </c>
      <c r="V8741" s="3" t="s">
        <v>64</v>
      </c>
      <c r="W8741" s="3" t="s">
        <v>37860</v>
      </c>
      <c r="X8741" s="10" t="s">
        <v>36033</v>
      </c>
      <c r="Y8741" s="6" t="s">
        <v>42</v>
      </c>
      <c r="Z8741" s="4">
        <v>1.65</v>
      </c>
      <c r="AA8741" s="4" t="s">
        <v>36</v>
      </c>
      <c r="AB8741" s="3" t="s">
        <v>43</v>
      </c>
      <c r="AC8741" s="3" t="s">
        <v>37861</v>
      </c>
      <c r="AD8741" s="9">
        <v>40553</v>
      </c>
      <c r="AE8741" s="3" t="s">
        <v>2154</v>
      </c>
      <c r="AF8741" s="3" t="s">
        <v>733</v>
      </c>
      <c r="AG8741" s="3" t="s">
        <v>81</v>
      </c>
      <c r="AH8741" s="11">
        <f>HYPERLINK("https://my.pitchbook.com?c=36295-57T","View Company Online")</f>
      </c>
    </row>
    <row r="8742">
      <c r="A8742" s="12" t="s">
        <v>37862</v>
      </c>
      <c r="B8742" s="12" t="s">
        <v>31596</v>
      </c>
      <c r="C8742" s="19">
        <v>11</v>
      </c>
      <c r="D8742" s="19">
        <v>43</v>
      </c>
      <c r="E8742" s="19">
        <v>12</v>
      </c>
      <c r="F8742" s="19">
        <v>67</v>
      </c>
      <c r="G8742" s="15" t="s">
        <v>2497</v>
      </c>
      <c r="H8742" s="14">
        <v>553.56</v>
      </c>
      <c r="I8742" s="18">
        <v>82.67</v>
      </c>
      <c r="J8742" s="12" t="s">
        <v>521</v>
      </c>
      <c r="K8742" s="13" t="s">
        <v>36</v>
      </c>
      <c r="L8742" s="15" t="s">
        <v>36</v>
      </c>
      <c r="M8742" s="12" t="s">
        <v>36</v>
      </c>
      <c r="N8742" s="12" t="s">
        <v>36</v>
      </c>
      <c r="O8742" s="17" t="s">
        <v>36</v>
      </c>
      <c r="P8742" s="12" t="s">
        <v>36</v>
      </c>
      <c r="Q8742" s="12" t="s">
        <v>36</v>
      </c>
      <c r="R8742" s="12" t="s">
        <v>36</v>
      </c>
      <c r="S8742" s="12" t="s">
        <v>36</v>
      </c>
      <c r="T8742" s="12" t="s">
        <v>29297</v>
      </c>
      <c r="U8742" s="12" t="s">
        <v>51</v>
      </c>
      <c r="V8742" s="12" t="s">
        <v>52</v>
      </c>
      <c r="W8742" s="12" t="s">
        <v>31597</v>
      </c>
      <c r="X8742" s="16" t="s">
        <v>37863</v>
      </c>
      <c r="Y8742" s="15" t="s">
        <v>55</v>
      </c>
      <c r="Z8742" s="14">
        <v>3.29</v>
      </c>
      <c r="AA8742" s="14">
        <v>3.98</v>
      </c>
      <c r="AB8742" s="12" t="s">
        <v>56</v>
      </c>
      <c r="AC8742" s="12" t="s">
        <v>31599</v>
      </c>
      <c r="AD8742" s="13">
        <v>40553</v>
      </c>
      <c r="AE8742" s="12" t="s">
        <v>158</v>
      </c>
      <c r="AF8742" s="12" t="s">
        <v>159</v>
      </c>
      <c r="AG8742" s="12" t="s">
        <v>3823</v>
      </c>
      <c r="AH8742" s="1">
        <f>HYPERLINK("https://my.pitchbook.com?c=29736-64T","View Company Online")</f>
      </c>
    </row>
    <row r="8743">
      <c r="A8743" s="3" t="s">
        <v>37864</v>
      </c>
      <c r="B8743" s="3" t="s">
        <v>25702</v>
      </c>
      <c r="C8743" s="5">
        <v>1</v>
      </c>
      <c r="D8743" s="5">
        <v>19</v>
      </c>
      <c r="E8743" s="5">
        <v>5</v>
      </c>
      <c r="F8743" s="5">
        <v>23</v>
      </c>
      <c r="G8743" s="6" t="s">
        <v>683</v>
      </c>
      <c r="H8743" s="4">
        <v>7.61</v>
      </c>
      <c r="I8743" s="7">
        <v>36.51</v>
      </c>
      <c r="J8743" s="3" t="s">
        <v>521</v>
      </c>
      <c r="K8743" s="9" t="s">
        <v>36</v>
      </c>
      <c r="L8743" s="6" t="s">
        <v>36</v>
      </c>
      <c r="M8743" s="3" t="s">
        <v>36</v>
      </c>
      <c r="N8743" s="3" t="s">
        <v>36</v>
      </c>
      <c r="O8743" s="8" t="s">
        <v>36</v>
      </c>
      <c r="P8743" s="3" t="s">
        <v>36</v>
      </c>
      <c r="Q8743" s="3" t="s">
        <v>36</v>
      </c>
      <c r="R8743" s="3" t="s">
        <v>36</v>
      </c>
      <c r="S8743" s="3" t="s">
        <v>36</v>
      </c>
      <c r="T8743" s="3" t="s">
        <v>189</v>
      </c>
      <c r="U8743" s="3" t="s">
        <v>180</v>
      </c>
      <c r="V8743" s="3" t="s">
        <v>52</v>
      </c>
      <c r="W8743" s="3" t="s">
        <v>25703</v>
      </c>
      <c r="X8743" s="10" t="s">
        <v>37865</v>
      </c>
      <c r="Y8743" s="6" t="s">
        <v>192</v>
      </c>
      <c r="Z8743" s="4">
        <v>6.72</v>
      </c>
      <c r="AA8743" s="4">
        <v>18.4</v>
      </c>
      <c r="AB8743" s="3" t="s">
        <v>56</v>
      </c>
      <c r="AC8743" s="3" t="s">
        <v>25705</v>
      </c>
      <c r="AD8743" s="9">
        <v>40552</v>
      </c>
      <c r="AE8743" s="3" t="s">
        <v>184</v>
      </c>
      <c r="AF8743" s="3" t="s">
        <v>25706</v>
      </c>
      <c r="AG8743" s="3" t="s">
        <v>1202</v>
      </c>
      <c r="AH8743" s="11">
        <f>HYPERLINK("https://my.pitchbook.com?c=25478-29T","View Company Online")</f>
      </c>
    </row>
    <row r="8744">
      <c r="A8744" s="12" t="s">
        <v>37866</v>
      </c>
      <c r="B8744" s="12" t="s">
        <v>17703</v>
      </c>
      <c r="C8744" s="19">
        <v>3</v>
      </c>
      <c r="D8744" s="19">
        <v>19</v>
      </c>
      <c r="E8744" s="19">
        <v>6</v>
      </c>
      <c r="F8744" s="19">
        <v>31</v>
      </c>
      <c r="G8744" s="15" t="s">
        <v>36</v>
      </c>
      <c r="H8744" s="14">
        <v>46.74</v>
      </c>
      <c r="I8744" s="18">
        <v>40</v>
      </c>
      <c r="J8744" s="12" t="s">
        <v>521</v>
      </c>
      <c r="K8744" s="13" t="s">
        <v>36</v>
      </c>
      <c r="L8744" s="15" t="s">
        <v>36</v>
      </c>
      <c r="M8744" s="12" t="s">
        <v>36</v>
      </c>
      <c r="N8744" s="12" t="s">
        <v>36</v>
      </c>
      <c r="O8744" s="17" t="s">
        <v>36</v>
      </c>
      <c r="P8744" s="12" t="s">
        <v>36</v>
      </c>
      <c r="Q8744" s="12" t="s">
        <v>36</v>
      </c>
      <c r="R8744" s="12" t="s">
        <v>36</v>
      </c>
      <c r="S8744" s="12" t="s">
        <v>36</v>
      </c>
      <c r="T8744" s="12" t="s">
        <v>17704</v>
      </c>
      <c r="U8744" s="12" t="s">
        <v>833</v>
      </c>
      <c r="V8744" s="12" t="s">
        <v>64</v>
      </c>
      <c r="W8744" s="12" t="s">
        <v>17705</v>
      </c>
      <c r="X8744" s="16" t="s">
        <v>37867</v>
      </c>
      <c r="Y8744" s="15" t="s">
        <v>42</v>
      </c>
      <c r="Z8744" s="14">
        <v>1.59</v>
      </c>
      <c r="AA8744" s="14">
        <v>3.96</v>
      </c>
      <c r="AB8744" s="12" t="s">
        <v>43</v>
      </c>
      <c r="AC8744" s="12" t="s">
        <v>17706</v>
      </c>
      <c r="AD8744" s="13">
        <v>40549</v>
      </c>
      <c r="AE8744" s="12" t="s">
        <v>1069</v>
      </c>
      <c r="AF8744" s="12" t="s">
        <v>17707</v>
      </c>
      <c r="AG8744" s="12" t="s">
        <v>14890</v>
      </c>
      <c r="AH8744" s="1">
        <f>HYPERLINK("https://my.pitchbook.com?c=55361-89T","View Company Online")</f>
      </c>
    </row>
    <row r="8745">
      <c r="A8745" s="3" t="s">
        <v>37868</v>
      </c>
      <c r="B8745" s="3" t="s">
        <v>37869</v>
      </c>
      <c r="C8745" s="5" t="s">
        <v>36</v>
      </c>
      <c r="D8745" s="5" t="s">
        <v>36</v>
      </c>
      <c r="E8745" s="5" t="s">
        <v>36</v>
      </c>
      <c r="F8745" s="5" t="s">
        <v>36</v>
      </c>
      <c r="G8745" s="6" t="s">
        <v>36</v>
      </c>
      <c r="H8745" s="4" t="s">
        <v>36</v>
      </c>
      <c r="I8745" s="7" t="s">
        <v>36</v>
      </c>
      <c r="J8745" s="3" t="s">
        <v>36</v>
      </c>
      <c r="K8745" s="9" t="s">
        <v>36</v>
      </c>
      <c r="L8745" s="6" t="s">
        <v>36</v>
      </c>
      <c r="M8745" s="3" t="s">
        <v>36</v>
      </c>
      <c r="N8745" s="3" t="s">
        <v>36</v>
      </c>
      <c r="O8745" s="8" t="s">
        <v>36</v>
      </c>
      <c r="P8745" s="3" t="s">
        <v>36</v>
      </c>
      <c r="Q8745" s="3" t="s">
        <v>36</v>
      </c>
      <c r="R8745" s="3" t="s">
        <v>36</v>
      </c>
      <c r="S8745" s="3" t="s">
        <v>36</v>
      </c>
      <c r="T8745" s="3" t="s">
        <v>37870</v>
      </c>
      <c r="U8745" s="3" t="s">
        <v>289</v>
      </c>
      <c r="V8745" s="3" t="s">
        <v>64</v>
      </c>
      <c r="W8745" s="3" t="s">
        <v>37871</v>
      </c>
      <c r="X8745" s="10" t="s">
        <v>37872</v>
      </c>
      <c r="Y8745" s="6" t="s">
        <v>42</v>
      </c>
      <c r="Z8745" s="4">
        <v>3.96</v>
      </c>
      <c r="AA8745" s="4" t="s">
        <v>36</v>
      </c>
      <c r="AB8745" s="3" t="s">
        <v>56</v>
      </c>
      <c r="AC8745" s="3" t="s">
        <v>37873</v>
      </c>
      <c r="AD8745" s="9">
        <v>40549</v>
      </c>
      <c r="AE8745" s="3" t="s">
        <v>292</v>
      </c>
      <c r="AF8745" s="3" t="s">
        <v>12769</v>
      </c>
      <c r="AG8745" s="3" t="s">
        <v>37874</v>
      </c>
      <c r="AH8745" s="11">
        <f>HYPERLINK("https://my.pitchbook.com?c=26431-12T","View Company Online")</f>
      </c>
    </row>
    <row r="8746">
      <c r="A8746" s="12" t="s">
        <v>37875</v>
      </c>
      <c r="B8746" s="12" t="s">
        <v>37876</v>
      </c>
      <c r="C8746" s="19">
        <v>19</v>
      </c>
      <c r="D8746" s="19">
        <v>129</v>
      </c>
      <c r="E8746" s="19">
        <v>28</v>
      </c>
      <c r="F8746" s="19">
        <v>192</v>
      </c>
      <c r="G8746" s="15" t="s">
        <v>36</v>
      </c>
      <c r="H8746" s="14" t="s">
        <v>36</v>
      </c>
      <c r="I8746" s="18" t="s">
        <v>36</v>
      </c>
      <c r="J8746" s="12" t="s">
        <v>36</v>
      </c>
      <c r="K8746" s="13" t="s">
        <v>36</v>
      </c>
      <c r="L8746" s="15" t="s">
        <v>1279</v>
      </c>
      <c r="M8746" s="12" t="s">
        <v>36</v>
      </c>
      <c r="N8746" s="12" t="s">
        <v>1279</v>
      </c>
      <c r="O8746" s="17" t="s">
        <v>36</v>
      </c>
      <c r="P8746" s="12" t="s">
        <v>36</v>
      </c>
      <c r="Q8746" s="12" t="s">
        <v>36</v>
      </c>
      <c r="R8746" s="12" t="s">
        <v>36</v>
      </c>
      <c r="S8746" s="12" t="s">
        <v>36</v>
      </c>
      <c r="T8746" s="12" t="s">
        <v>2321</v>
      </c>
      <c r="U8746" s="12" t="s">
        <v>51</v>
      </c>
      <c r="V8746" s="12" t="s">
        <v>52</v>
      </c>
      <c r="W8746" s="12" t="s">
        <v>37877</v>
      </c>
      <c r="X8746" s="16" t="s">
        <v>37878</v>
      </c>
      <c r="Y8746" s="15" t="s">
        <v>192</v>
      </c>
      <c r="Z8746" s="14">
        <v>25.64</v>
      </c>
      <c r="AA8746" s="14" t="s">
        <v>36</v>
      </c>
      <c r="AB8746" s="12" t="s">
        <v>56</v>
      </c>
      <c r="AC8746" s="12" t="s">
        <v>37879</v>
      </c>
      <c r="AD8746" s="13">
        <v>40548</v>
      </c>
      <c r="AE8746" s="12" t="s">
        <v>504</v>
      </c>
      <c r="AF8746" s="12" t="s">
        <v>159</v>
      </c>
      <c r="AG8746" s="12" t="s">
        <v>8217</v>
      </c>
      <c r="AH8746" s="1">
        <f>HYPERLINK("https://my.pitchbook.com?c=24606-28T","View Company Online")</f>
      </c>
    </row>
    <row r="8747">
      <c r="A8747" s="3" t="s">
        <v>37880</v>
      </c>
      <c r="B8747" s="3" t="s">
        <v>37881</v>
      </c>
      <c r="C8747" s="5" t="s">
        <v>36</v>
      </c>
      <c r="D8747" s="5" t="s">
        <v>36</v>
      </c>
      <c r="E8747" s="5" t="s">
        <v>36</v>
      </c>
      <c r="F8747" s="5" t="s">
        <v>36</v>
      </c>
      <c r="G8747" s="6" t="s">
        <v>36</v>
      </c>
      <c r="H8747" s="4" t="s">
        <v>36</v>
      </c>
      <c r="I8747" s="7" t="s">
        <v>36</v>
      </c>
      <c r="J8747" s="3" t="s">
        <v>36</v>
      </c>
      <c r="K8747" s="9" t="s">
        <v>36</v>
      </c>
      <c r="L8747" s="6" t="s">
        <v>36</v>
      </c>
      <c r="M8747" s="3" t="s">
        <v>36</v>
      </c>
      <c r="N8747" s="3" t="s">
        <v>36</v>
      </c>
      <c r="O8747" s="8" t="s">
        <v>36</v>
      </c>
      <c r="P8747" s="3" t="s">
        <v>36</v>
      </c>
      <c r="Q8747" s="3" t="s">
        <v>36</v>
      </c>
      <c r="R8747" s="3" t="s">
        <v>36</v>
      </c>
      <c r="S8747" s="3" t="s">
        <v>36</v>
      </c>
      <c r="T8747" s="3" t="s">
        <v>26099</v>
      </c>
      <c r="U8747" s="3" t="s">
        <v>63</v>
      </c>
      <c r="V8747" s="3" t="s">
        <v>64</v>
      </c>
      <c r="W8747" s="3" t="s">
        <v>37882</v>
      </c>
      <c r="X8747" s="10" t="s">
        <v>37883</v>
      </c>
      <c r="Y8747" s="6" t="s">
        <v>42</v>
      </c>
      <c r="Z8747" s="4" t="s">
        <v>36</v>
      </c>
      <c r="AA8747" s="4" t="s">
        <v>36</v>
      </c>
      <c r="AB8747" s="3" t="s">
        <v>56</v>
      </c>
      <c r="AC8747" s="3" t="s">
        <v>37884</v>
      </c>
      <c r="AD8747" s="9">
        <v>40544</v>
      </c>
      <c r="AE8747" s="3" t="s">
        <v>642</v>
      </c>
      <c r="AF8747" s="3" t="s">
        <v>36</v>
      </c>
      <c r="AG8747" s="3" t="s">
        <v>81</v>
      </c>
      <c r="AH8747" s="11">
        <f>HYPERLINK("https://my.pitchbook.com?c=278477-20T","View Company Online")</f>
      </c>
    </row>
    <row r="8748">
      <c r="A8748" s="12" t="s">
        <v>37885</v>
      </c>
      <c r="B8748" s="12" t="s">
        <v>37886</v>
      </c>
      <c r="C8748" s="19" t="s">
        <v>36</v>
      </c>
      <c r="D8748" s="19" t="s">
        <v>36</v>
      </c>
      <c r="E8748" s="19" t="s">
        <v>36</v>
      </c>
      <c r="F8748" s="19" t="s">
        <v>36</v>
      </c>
      <c r="G8748" s="15" t="s">
        <v>36</v>
      </c>
      <c r="H8748" s="14" t="s">
        <v>36</v>
      </c>
      <c r="I8748" s="18" t="s">
        <v>36</v>
      </c>
      <c r="J8748" s="12" t="s">
        <v>36</v>
      </c>
      <c r="K8748" s="13" t="s">
        <v>36</v>
      </c>
      <c r="L8748" s="15" t="s">
        <v>36</v>
      </c>
      <c r="M8748" s="12" t="s">
        <v>36</v>
      </c>
      <c r="N8748" s="12" t="s">
        <v>36</v>
      </c>
      <c r="O8748" s="17" t="s">
        <v>36</v>
      </c>
      <c r="P8748" s="12" t="s">
        <v>36</v>
      </c>
      <c r="Q8748" s="12" t="s">
        <v>36</v>
      </c>
      <c r="R8748" s="12" t="s">
        <v>36</v>
      </c>
      <c r="S8748" s="12" t="s">
        <v>36</v>
      </c>
      <c r="T8748" s="12" t="s">
        <v>35728</v>
      </c>
      <c r="U8748" s="12" t="s">
        <v>74</v>
      </c>
      <c r="V8748" s="12" t="s">
        <v>75</v>
      </c>
      <c r="W8748" s="12" t="s">
        <v>37887</v>
      </c>
      <c r="X8748" s="16" t="s">
        <v>29117</v>
      </c>
      <c r="Y8748" s="15" t="s">
        <v>42</v>
      </c>
      <c r="Z8748" s="14">
        <v>1.32</v>
      </c>
      <c r="AA8748" s="14" t="s">
        <v>36</v>
      </c>
      <c r="AB8748" s="12" t="s">
        <v>43</v>
      </c>
      <c r="AC8748" s="12" t="s">
        <v>37888</v>
      </c>
      <c r="AD8748" s="13">
        <v>40544</v>
      </c>
      <c r="AE8748" s="12" t="s">
        <v>362</v>
      </c>
      <c r="AF8748" s="12" t="s">
        <v>13004</v>
      </c>
      <c r="AG8748" s="12" t="s">
        <v>81</v>
      </c>
      <c r="AH8748" s="1">
        <f>HYPERLINK("https://my.pitchbook.com?c=67306-60T","View Company Online")</f>
      </c>
    </row>
    <row r="8749">
      <c r="A8749" s="3" t="s">
        <v>37889</v>
      </c>
      <c r="B8749" s="3" t="s">
        <v>37890</v>
      </c>
      <c r="C8749" s="5" t="s">
        <v>36</v>
      </c>
      <c r="D8749" s="5" t="s">
        <v>36</v>
      </c>
      <c r="E8749" s="5" t="s">
        <v>36</v>
      </c>
      <c r="F8749" s="5" t="s">
        <v>36</v>
      </c>
      <c r="G8749" s="6" t="s">
        <v>36</v>
      </c>
      <c r="H8749" s="4" t="s">
        <v>36</v>
      </c>
      <c r="I8749" s="7" t="s">
        <v>36</v>
      </c>
      <c r="J8749" s="3" t="s">
        <v>36</v>
      </c>
      <c r="K8749" s="9" t="s">
        <v>36</v>
      </c>
      <c r="L8749" s="6" t="s">
        <v>36</v>
      </c>
      <c r="M8749" s="3" t="s">
        <v>36</v>
      </c>
      <c r="N8749" s="3" t="s">
        <v>36</v>
      </c>
      <c r="O8749" s="8" t="s">
        <v>36</v>
      </c>
      <c r="P8749" s="3" t="s">
        <v>36</v>
      </c>
      <c r="Q8749" s="3" t="s">
        <v>36</v>
      </c>
      <c r="R8749" s="3" t="s">
        <v>36</v>
      </c>
      <c r="S8749" s="3" t="s">
        <v>36</v>
      </c>
      <c r="T8749" s="3" t="s">
        <v>36408</v>
      </c>
      <c r="U8749" s="3" t="s">
        <v>219</v>
      </c>
      <c r="V8749" s="3" t="s">
        <v>75</v>
      </c>
      <c r="W8749" s="3" t="s">
        <v>37891</v>
      </c>
      <c r="X8749" s="10" t="s">
        <v>37892</v>
      </c>
      <c r="Y8749" s="6" t="s">
        <v>42</v>
      </c>
      <c r="Z8749" s="4" t="s">
        <v>36</v>
      </c>
      <c r="AA8749" s="4" t="s">
        <v>36</v>
      </c>
      <c r="AB8749" s="3" t="s">
        <v>56</v>
      </c>
      <c r="AC8749" s="3" t="s">
        <v>37893</v>
      </c>
      <c r="AD8749" s="9">
        <v>40544</v>
      </c>
      <c r="AE8749" s="3" t="s">
        <v>1032</v>
      </c>
      <c r="AF8749" s="3" t="s">
        <v>1969</v>
      </c>
      <c r="AG8749" s="3" t="s">
        <v>1823</v>
      </c>
      <c r="AH8749" s="11">
        <f>HYPERLINK("https://my.pitchbook.com?c=81855-10T","View Company Online")</f>
      </c>
    </row>
    <row r="8750">
      <c r="A8750" s="12" t="s">
        <v>37894</v>
      </c>
      <c r="B8750" s="12" t="s">
        <v>37895</v>
      </c>
      <c r="C8750" s="19" t="s">
        <v>36</v>
      </c>
      <c r="D8750" s="19" t="s">
        <v>36</v>
      </c>
      <c r="E8750" s="19" t="s">
        <v>36</v>
      </c>
      <c r="F8750" s="19" t="s">
        <v>36</v>
      </c>
      <c r="G8750" s="15" t="s">
        <v>36</v>
      </c>
      <c r="H8750" s="14" t="s">
        <v>36</v>
      </c>
      <c r="I8750" s="18" t="s">
        <v>36</v>
      </c>
      <c r="J8750" s="12" t="s">
        <v>36</v>
      </c>
      <c r="K8750" s="13" t="s">
        <v>36</v>
      </c>
      <c r="L8750" s="15" t="s">
        <v>36</v>
      </c>
      <c r="M8750" s="12" t="s">
        <v>36</v>
      </c>
      <c r="N8750" s="12" t="s">
        <v>36</v>
      </c>
      <c r="O8750" s="17" t="s">
        <v>36</v>
      </c>
      <c r="P8750" s="12" t="s">
        <v>36</v>
      </c>
      <c r="Q8750" s="12" t="s">
        <v>36</v>
      </c>
      <c r="R8750" s="12" t="s">
        <v>36</v>
      </c>
      <c r="S8750" s="12" t="s">
        <v>36</v>
      </c>
      <c r="T8750" s="12" t="s">
        <v>18335</v>
      </c>
      <c r="U8750" s="12" t="s">
        <v>279</v>
      </c>
      <c r="V8750" s="12" t="s">
        <v>64</v>
      </c>
      <c r="W8750" s="12" t="s">
        <v>37896</v>
      </c>
      <c r="X8750" s="16" t="s">
        <v>37897</v>
      </c>
      <c r="Y8750" s="15" t="s">
        <v>42</v>
      </c>
      <c r="Z8750" s="14" t="s">
        <v>36</v>
      </c>
      <c r="AA8750" s="14" t="s">
        <v>36</v>
      </c>
      <c r="AB8750" s="12" t="s">
        <v>43</v>
      </c>
      <c r="AC8750" s="12" t="s">
        <v>37898</v>
      </c>
      <c r="AD8750" s="13">
        <v>40544</v>
      </c>
      <c r="AE8750" s="12" t="s">
        <v>740</v>
      </c>
      <c r="AF8750" s="12" t="s">
        <v>118</v>
      </c>
      <c r="AG8750" s="12" t="s">
        <v>899</v>
      </c>
      <c r="AH8750" s="1">
        <f>HYPERLINK("https://my.pitchbook.com?c=29955-16T","View Company Online")</f>
      </c>
    </row>
    <row r="8751">
      <c r="A8751" s="3" t="s">
        <v>37899</v>
      </c>
      <c r="B8751" s="3" t="s">
        <v>33541</v>
      </c>
      <c r="C8751" s="5" t="s">
        <v>36</v>
      </c>
      <c r="D8751" s="5" t="s">
        <v>36</v>
      </c>
      <c r="E8751" s="5" t="s">
        <v>36</v>
      </c>
      <c r="F8751" s="5" t="s">
        <v>36</v>
      </c>
      <c r="G8751" s="6" t="s">
        <v>36</v>
      </c>
      <c r="H8751" s="4" t="s">
        <v>36</v>
      </c>
      <c r="I8751" s="7" t="s">
        <v>36</v>
      </c>
      <c r="J8751" s="3" t="s">
        <v>36</v>
      </c>
      <c r="K8751" s="9" t="s">
        <v>36</v>
      </c>
      <c r="L8751" s="6" t="s">
        <v>36</v>
      </c>
      <c r="M8751" s="3" t="s">
        <v>36</v>
      </c>
      <c r="N8751" s="3" t="s">
        <v>36</v>
      </c>
      <c r="O8751" s="8" t="s">
        <v>36</v>
      </c>
      <c r="P8751" s="3" t="s">
        <v>36</v>
      </c>
      <c r="Q8751" s="3" t="s">
        <v>36</v>
      </c>
      <c r="R8751" s="3" t="s">
        <v>36</v>
      </c>
      <c r="S8751" s="3" t="s">
        <v>36</v>
      </c>
      <c r="T8751" s="3" t="s">
        <v>11030</v>
      </c>
      <c r="U8751" s="3" t="s">
        <v>38</v>
      </c>
      <c r="V8751" s="3" t="s">
        <v>39</v>
      </c>
      <c r="W8751" s="3" t="s">
        <v>33542</v>
      </c>
      <c r="X8751" s="10" t="s">
        <v>37900</v>
      </c>
      <c r="Y8751" s="6" t="s">
        <v>42</v>
      </c>
      <c r="Z8751" s="4" t="s">
        <v>36</v>
      </c>
      <c r="AA8751" s="4" t="s">
        <v>36</v>
      </c>
      <c r="AB8751" s="3" t="s">
        <v>43</v>
      </c>
      <c r="AC8751" s="3" t="s">
        <v>33544</v>
      </c>
      <c r="AD8751" s="9">
        <v>40544</v>
      </c>
      <c r="AE8751" s="3" t="s">
        <v>45</v>
      </c>
      <c r="AF8751" s="3" t="s">
        <v>7466</v>
      </c>
      <c r="AG8751" s="3" t="s">
        <v>2088</v>
      </c>
      <c r="AH8751" s="11">
        <f>HYPERLINK("https://my.pitchbook.com?c=86611-87T","View Company Online")</f>
      </c>
    </row>
    <row r="8752">
      <c r="A8752" s="12" t="s">
        <v>37901</v>
      </c>
      <c r="B8752" s="12" t="s">
        <v>28299</v>
      </c>
      <c r="C8752" s="19" t="s">
        <v>36</v>
      </c>
      <c r="D8752" s="19" t="s">
        <v>36</v>
      </c>
      <c r="E8752" s="19" t="s">
        <v>36</v>
      </c>
      <c r="F8752" s="19" t="s">
        <v>36</v>
      </c>
      <c r="G8752" s="15" t="s">
        <v>36</v>
      </c>
      <c r="H8752" s="14" t="s">
        <v>36</v>
      </c>
      <c r="I8752" s="18" t="s">
        <v>36</v>
      </c>
      <c r="J8752" s="12" t="s">
        <v>36</v>
      </c>
      <c r="K8752" s="13" t="s">
        <v>36</v>
      </c>
      <c r="L8752" s="15" t="s">
        <v>36</v>
      </c>
      <c r="M8752" s="12" t="s">
        <v>36</v>
      </c>
      <c r="N8752" s="12" t="s">
        <v>36</v>
      </c>
      <c r="O8752" s="17" t="s">
        <v>36</v>
      </c>
      <c r="P8752" s="12" t="s">
        <v>36</v>
      </c>
      <c r="Q8752" s="12" t="s">
        <v>36</v>
      </c>
      <c r="R8752" s="12" t="s">
        <v>36</v>
      </c>
      <c r="S8752" s="12" t="s">
        <v>36</v>
      </c>
      <c r="T8752" s="12" t="s">
        <v>3843</v>
      </c>
      <c r="U8752" s="12" t="s">
        <v>180</v>
      </c>
      <c r="V8752" s="12" t="s">
        <v>52</v>
      </c>
      <c r="W8752" s="12" t="s">
        <v>28300</v>
      </c>
      <c r="X8752" s="16" t="s">
        <v>28550</v>
      </c>
      <c r="Y8752" s="15" t="s">
        <v>42</v>
      </c>
      <c r="Z8752" s="14">
        <v>0.66</v>
      </c>
      <c r="AA8752" s="14" t="s">
        <v>36</v>
      </c>
      <c r="AB8752" s="12" t="s">
        <v>43</v>
      </c>
      <c r="AC8752" s="12" t="s">
        <v>28302</v>
      </c>
      <c r="AD8752" s="13">
        <v>40544</v>
      </c>
      <c r="AE8752" s="12" t="s">
        <v>3847</v>
      </c>
      <c r="AF8752" s="12" t="s">
        <v>18783</v>
      </c>
      <c r="AG8752" s="12" t="s">
        <v>81</v>
      </c>
      <c r="AH8752" s="1">
        <f>HYPERLINK("https://my.pitchbook.com?c=106523-65T","View Company Online")</f>
      </c>
    </row>
    <row r="8753">
      <c r="A8753" s="3" t="s">
        <v>37902</v>
      </c>
      <c r="B8753" s="3" t="s">
        <v>32388</v>
      </c>
      <c r="C8753" s="5">
        <v>1</v>
      </c>
      <c r="D8753" s="5">
        <v>17</v>
      </c>
      <c r="E8753" s="5">
        <v>5</v>
      </c>
      <c r="F8753" s="5">
        <v>24</v>
      </c>
      <c r="G8753" s="6" t="s">
        <v>36</v>
      </c>
      <c r="H8753" s="4" t="s">
        <v>36</v>
      </c>
      <c r="I8753" s="7" t="s">
        <v>36</v>
      </c>
      <c r="J8753" s="3" t="s">
        <v>36</v>
      </c>
      <c r="K8753" s="9" t="s">
        <v>36</v>
      </c>
      <c r="L8753" s="6" t="s">
        <v>36</v>
      </c>
      <c r="M8753" s="3" t="s">
        <v>36</v>
      </c>
      <c r="N8753" s="3" t="s">
        <v>36</v>
      </c>
      <c r="O8753" s="8" t="s">
        <v>36</v>
      </c>
      <c r="P8753" s="3" t="s">
        <v>36</v>
      </c>
      <c r="Q8753" s="3" t="s">
        <v>36</v>
      </c>
      <c r="R8753" s="3" t="s">
        <v>36</v>
      </c>
      <c r="S8753" s="3" t="s">
        <v>36</v>
      </c>
      <c r="T8753" s="3" t="s">
        <v>881</v>
      </c>
      <c r="U8753" s="3" t="s">
        <v>51</v>
      </c>
      <c r="V8753" s="3" t="s">
        <v>52</v>
      </c>
      <c r="W8753" s="3" t="s">
        <v>32389</v>
      </c>
      <c r="X8753" s="10" t="s">
        <v>26631</v>
      </c>
      <c r="Y8753" s="6" t="s">
        <v>42</v>
      </c>
      <c r="Z8753" s="4" t="s">
        <v>36</v>
      </c>
      <c r="AA8753" s="4" t="s">
        <v>36</v>
      </c>
      <c r="AB8753" s="3" t="s">
        <v>43</v>
      </c>
      <c r="AC8753" s="3" t="s">
        <v>32391</v>
      </c>
      <c r="AD8753" s="9">
        <v>40544</v>
      </c>
      <c r="AE8753" s="3" t="s">
        <v>504</v>
      </c>
      <c r="AF8753" s="3" t="s">
        <v>159</v>
      </c>
      <c r="AG8753" s="3" t="s">
        <v>47</v>
      </c>
      <c r="AH8753" s="11">
        <f>HYPERLINK("https://my.pitchbook.com?c=133569-46T","View Company Online")</f>
      </c>
    </row>
    <row r="8754">
      <c r="A8754" s="12" t="s">
        <v>37903</v>
      </c>
      <c r="B8754" s="12" t="s">
        <v>37904</v>
      </c>
      <c r="C8754" s="19" t="s">
        <v>36</v>
      </c>
      <c r="D8754" s="19" t="s">
        <v>36</v>
      </c>
      <c r="E8754" s="19" t="s">
        <v>36</v>
      </c>
      <c r="F8754" s="19" t="s">
        <v>36</v>
      </c>
      <c r="G8754" s="15" t="s">
        <v>36</v>
      </c>
      <c r="H8754" s="14" t="s">
        <v>36</v>
      </c>
      <c r="I8754" s="18" t="s">
        <v>36</v>
      </c>
      <c r="J8754" s="12" t="s">
        <v>36</v>
      </c>
      <c r="K8754" s="13" t="s">
        <v>36</v>
      </c>
      <c r="L8754" s="15" t="s">
        <v>36</v>
      </c>
      <c r="M8754" s="12" t="s">
        <v>36</v>
      </c>
      <c r="N8754" s="12" t="s">
        <v>36</v>
      </c>
      <c r="O8754" s="17" t="s">
        <v>36</v>
      </c>
      <c r="P8754" s="12" t="s">
        <v>36</v>
      </c>
      <c r="Q8754" s="12" t="s">
        <v>36</v>
      </c>
      <c r="R8754" s="12" t="s">
        <v>36</v>
      </c>
      <c r="S8754" s="12" t="s">
        <v>36</v>
      </c>
      <c r="T8754" s="12" t="s">
        <v>37905</v>
      </c>
      <c r="U8754" s="12" t="s">
        <v>233</v>
      </c>
      <c r="V8754" s="12" t="s">
        <v>39</v>
      </c>
      <c r="W8754" s="12" t="s">
        <v>37906</v>
      </c>
      <c r="X8754" s="16" t="s">
        <v>37907</v>
      </c>
      <c r="Y8754" s="15" t="s">
        <v>42</v>
      </c>
      <c r="Z8754" s="14">
        <v>0.66</v>
      </c>
      <c r="AA8754" s="14" t="s">
        <v>36</v>
      </c>
      <c r="AB8754" s="12" t="s">
        <v>43</v>
      </c>
      <c r="AC8754" s="12" t="s">
        <v>37908</v>
      </c>
      <c r="AD8754" s="13">
        <v>40544</v>
      </c>
      <c r="AE8754" s="12" t="s">
        <v>236</v>
      </c>
      <c r="AF8754" s="12" t="s">
        <v>37909</v>
      </c>
      <c r="AG8754" s="12" t="s">
        <v>1078</v>
      </c>
      <c r="AH8754" s="1">
        <f>HYPERLINK("https://my.pitchbook.com?c=40773-43T","View Company Online")</f>
      </c>
    </row>
    <row r="8755">
      <c r="A8755" s="3" t="s">
        <v>37910</v>
      </c>
      <c r="B8755" s="3" t="s">
        <v>32264</v>
      </c>
      <c r="C8755" s="5">
        <v>2</v>
      </c>
      <c r="D8755" s="5">
        <v>1</v>
      </c>
      <c r="E8755" s="5">
        <v>2</v>
      </c>
      <c r="F8755" s="5">
        <v>6</v>
      </c>
      <c r="G8755" s="6" t="s">
        <v>683</v>
      </c>
      <c r="H8755" s="4">
        <v>62.31</v>
      </c>
      <c r="I8755" s="7">
        <v>16.96</v>
      </c>
      <c r="J8755" s="3" t="s">
        <v>521</v>
      </c>
      <c r="K8755" s="9" t="s">
        <v>36</v>
      </c>
      <c r="L8755" s="6" t="s">
        <v>36</v>
      </c>
      <c r="M8755" s="3" t="s">
        <v>36</v>
      </c>
      <c r="N8755" s="3" t="s">
        <v>36</v>
      </c>
      <c r="O8755" s="8" t="s">
        <v>36</v>
      </c>
      <c r="P8755" s="3" t="s">
        <v>36</v>
      </c>
      <c r="Q8755" s="3" t="s">
        <v>36</v>
      </c>
      <c r="R8755" s="3" t="s">
        <v>36</v>
      </c>
      <c r="S8755" s="3" t="s">
        <v>36</v>
      </c>
      <c r="T8755" s="3" t="s">
        <v>2321</v>
      </c>
      <c r="U8755" s="3" t="s">
        <v>51</v>
      </c>
      <c r="V8755" s="3" t="s">
        <v>52</v>
      </c>
      <c r="W8755" s="3" t="s">
        <v>32265</v>
      </c>
      <c r="X8755" s="10" t="s">
        <v>37911</v>
      </c>
      <c r="Y8755" s="6" t="s">
        <v>42</v>
      </c>
      <c r="Z8755" s="4">
        <v>1.39</v>
      </c>
      <c r="AA8755" s="4">
        <v>8.19</v>
      </c>
      <c r="AB8755" s="3" t="s">
        <v>56</v>
      </c>
      <c r="AC8755" s="3" t="s">
        <v>32267</v>
      </c>
      <c r="AD8755" s="9">
        <v>40544</v>
      </c>
      <c r="AE8755" s="3" t="s">
        <v>504</v>
      </c>
      <c r="AF8755" s="3" t="s">
        <v>159</v>
      </c>
      <c r="AG8755" s="3" t="s">
        <v>32268</v>
      </c>
      <c r="AH8755" s="11">
        <f>HYPERLINK("https://my.pitchbook.com?c=87961-96T","View Company Online")</f>
      </c>
    </row>
    <row r="8756">
      <c r="A8756" s="12" t="s">
        <v>37912</v>
      </c>
      <c r="B8756" s="12" t="s">
        <v>30844</v>
      </c>
      <c r="C8756" s="19" t="s">
        <v>36</v>
      </c>
      <c r="D8756" s="19">
        <v>13</v>
      </c>
      <c r="E8756" s="19">
        <v>3</v>
      </c>
      <c r="F8756" s="19">
        <v>14</v>
      </c>
      <c r="G8756" s="15" t="s">
        <v>36</v>
      </c>
      <c r="H8756" s="14" t="s">
        <v>36</v>
      </c>
      <c r="I8756" s="18" t="s">
        <v>36</v>
      </c>
      <c r="J8756" s="12" t="s">
        <v>36</v>
      </c>
      <c r="K8756" s="13" t="s">
        <v>36</v>
      </c>
      <c r="L8756" s="15" t="s">
        <v>36</v>
      </c>
      <c r="M8756" s="12" t="s">
        <v>36</v>
      </c>
      <c r="N8756" s="12" t="s">
        <v>36</v>
      </c>
      <c r="O8756" s="17" t="s">
        <v>36</v>
      </c>
      <c r="P8756" s="12" t="s">
        <v>36</v>
      </c>
      <c r="Q8756" s="12" t="s">
        <v>36</v>
      </c>
      <c r="R8756" s="12" t="s">
        <v>36</v>
      </c>
      <c r="S8756" s="12" t="s">
        <v>36</v>
      </c>
      <c r="T8756" s="12" t="s">
        <v>2213</v>
      </c>
      <c r="U8756" s="12" t="s">
        <v>219</v>
      </c>
      <c r="V8756" s="12" t="s">
        <v>75</v>
      </c>
      <c r="W8756" s="12" t="s">
        <v>30845</v>
      </c>
      <c r="X8756" s="16" t="s">
        <v>30846</v>
      </c>
      <c r="Y8756" s="15" t="s">
        <v>42</v>
      </c>
      <c r="Z8756" s="14" t="s">
        <v>36</v>
      </c>
      <c r="AA8756" s="14" t="s">
        <v>36</v>
      </c>
      <c r="AB8756" s="12" t="s">
        <v>56</v>
      </c>
      <c r="AC8756" s="12" t="s">
        <v>30847</v>
      </c>
      <c r="AD8756" s="13">
        <v>40544</v>
      </c>
      <c r="AE8756" s="12" t="s">
        <v>1912</v>
      </c>
      <c r="AF8756" s="12" t="s">
        <v>30848</v>
      </c>
      <c r="AG8756" s="12" t="s">
        <v>30849</v>
      </c>
      <c r="AH8756" s="1">
        <f>HYPERLINK("https://my.pitchbook.com?c=194529-88T","View Company Online")</f>
      </c>
    </row>
    <row r="8757">
      <c r="A8757" s="3" t="s">
        <v>37913</v>
      </c>
      <c r="B8757" s="3" t="s">
        <v>22315</v>
      </c>
      <c r="C8757" s="5">
        <v>2</v>
      </c>
      <c r="D8757" s="5">
        <v>7</v>
      </c>
      <c r="E8757" s="5">
        <v>4</v>
      </c>
      <c r="F8757" s="5">
        <v>14</v>
      </c>
      <c r="G8757" s="6" t="s">
        <v>36</v>
      </c>
      <c r="H8757" s="4">
        <v>16.06</v>
      </c>
      <c r="I8757" s="7">
        <v>39.67</v>
      </c>
      <c r="J8757" s="3" t="s">
        <v>521</v>
      </c>
      <c r="K8757" s="9" t="s">
        <v>36</v>
      </c>
      <c r="L8757" s="6" t="s">
        <v>36</v>
      </c>
      <c r="M8757" s="3" t="s">
        <v>36</v>
      </c>
      <c r="N8757" s="3" t="s">
        <v>36</v>
      </c>
      <c r="O8757" s="8" t="s">
        <v>36</v>
      </c>
      <c r="P8757" s="3" t="s">
        <v>36</v>
      </c>
      <c r="Q8757" s="3" t="s">
        <v>36</v>
      </c>
      <c r="R8757" s="3" t="s">
        <v>36</v>
      </c>
      <c r="S8757" s="3" t="s">
        <v>36</v>
      </c>
      <c r="T8757" s="3" t="s">
        <v>139</v>
      </c>
      <c r="U8757" s="3" t="s">
        <v>96</v>
      </c>
      <c r="V8757" s="3" t="s">
        <v>52</v>
      </c>
      <c r="W8757" s="3" t="s">
        <v>22316</v>
      </c>
      <c r="X8757" s="10" t="s">
        <v>32859</v>
      </c>
      <c r="Y8757" s="6" t="s">
        <v>42</v>
      </c>
      <c r="Z8757" s="4">
        <v>0.4</v>
      </c>
      <c r="AA8757" s="4">
        <v>1</v>
      </c>
      <c r="AB8757" s="3" t="s">
        <v>56</v>
      </c>
      <c r="AC8757" s="3" t="s">
        <v>22317</v>
      </c>
      <c r="AD8757" s="9">
        <v>40544</v>
      </c>
      <c r="AE8757" s="3" t="s">
        <v>143</v>
      </c>
      <c r="AF8757" s="3" t="s">
        <v>2416</v>
      </c>
      <c r="AG8757" s="3" t="s">
        <v>22318</v>
      </c>
      <c r="AH8757" s="11">
        <f>HYPERLINK("https://my.pitchbook.com?c=40778-02T","View Company Online")</f>
      </c>
    </row>
    <row r="8758">
      <c r="A8758" s="12" t="s">
        <v>37914</v>
      </c>
      <c r="B8758" s="12" t="s">
        <v>37915</v>
      </c>
      <c r="C8758" s="19" t="s">
        <v>36</v>
      </c>
      <c r="D8758" s="19" t="s">
        <v>36</v>
      </c>
      <c r="E8758" s="19">
        <v>1</v>
      </c>
      <c r="F8758" s="19">
        <v>1</v>
      </c>
      <c r="G8758" s="15" t="s">
        <v>36</v>
      </c>
      <c r="H8758" s="14" t="s">
        <v>36</v>
      </c>
      <c r="I8758" s="18" t="s">
        <v>36</v>
      </c>
      <c r="J8758" s="12" t="s">
        <v>36</v>
      </c>
      <c r="K8758" s="13" t="s">
        <v>36</v>
      </c>
      <c r="L8758" s="15" t="s">
        <v>36</v>
      </c>
      <c r="M8758" s="12" t="s">
        <v>36</v>
      </c>
      <c r="N8758" s="12" t="s">
        <v>36</v>
      </c>
      <c r="O8758" s="17" t="s">
        <v>36</v>
      </c>
      <c r="P8758" s="12" t="s">
        <v>36</v>
      </c>
      <c r="Q8758" s="12" t="s">
        <v>36</v>
      </c>
      <c r="R8758" s="12" t="s">
        <v>36</v>
      </c>
      <c r="S8758" s="12" t="s">
        <v>36</v>
      </c>
      <c r="T8758" s="12" t="s">
        <v>37916</v>
      </c>
      <c r="U8758" s="12" t="s">
        <v>833</v>
      </c>
      <c r="V8758" s="12" t="s">
        <v>64</v>
      </c>
      <c r="W8758" s="12" t="s">
        <v>37917</v>
      </c>
      <c r="X8758" s="16" t="s">
        <v>5661</v>
      </c>
      <c r="Y8758" s="15" t="s">
        <v>42</v>
      </c>
      <c r="Z8758" s="14" t="s">
        <v>36</v>
      </c>
      <c r="AA8758" s="14" t="s">
        <v>36</v>
      </c>
      <c r="AB8758" s="12" t="s">
        <v>43</v>
      </c>
      <c r="AC8758" s="12" t="s">
        <v>37918</v>
      </c>
      <c r="AD8758" s="13">
        <v>40544</v>
      </c>
      <c r="AE8758" s="12" t="s">
        <v>1769</v>
      </c>
      <c r="AF8758" s="12" t="s">
        <v>36</v>
      </c>
      <c r="AG8758" s="12" t="s">
        <v>37919</v>
      </c>
      <c r="AH8758" s="1">
        <f>HYPERLINK("https://my.pitchbook.com?c=28025-74T","View Company Online")</f>
      </c>
    </row>
    <row r="8759">
      <c r="A8759" s="3" t="s">
        <v>37920</v>
      </c>
      <c r="B8759" s="3" t="s">
        <v>37921</v>
      </c>
      <c r="C8759" s="5">
        <v>2</v>
      </c>
      <c r="D8759" s="5">
        <v>17</v>
      </c>
      <c r="E8759" s="5">
        <v>11</v>
      </c>
      <c r="F8759" s="5">
        <v>51</v>
      </c>
      <c r="G8759" s="6" t="s">
        <v>36</v>
      </c>
      <c r="H8759" s="4" t="s">
        <v>36</v>
      </c>
      <c r="I8759" s="7" t="s">
        <v>36</v>
      </c>
      <c r="J8759" s="3" t="s">
        <v>36</v>
      </c>
      <c r="K8759" s="9">
        <v>40544</v>
      </c>
      <c r="L8759" s="6" t="s">
        <v>36</v>
      </c>
      <c r="M8759" s="3" t="s">
        <v>36</v>
      </c>
      <c r="N8759" s="3" t="s">
        <v>36</v>
      </c>
      <c r="O8759" s="8" t="s">
        <v>36</v>
      </c>
      <c r="P8759" s="3" t="s">
        <v>36</v>
      </c>
      <c r="Q8759" s="3" t="s">
        <v>36</v>
      </c>
      <c r="R8759" s="3" t="s">
        <v>36</v>
      </c>
      <c r="S8759" s="3" t="s">
        <v>36</v>
      </c>
      <c r="T8759" s="3" t="s">
        <v>1227</v>
      </c>
      <c r="U8759" s="3" t="s">
        <v>74</v>
      </c>
      <c r="V8759" s="3" t="s">
        <v>75</v>
      </c>
      <c r="W8759" s="3" t="s">
        <v>37922</v>
      </c>
      <c r="X8759" s="10" t="s">
        <v>34889</v>
      </c>
      <c r="Y8759" s="6" t="s">
        <v>42</v>
      </c>
      <c r="Z8759" s="4" t="s">
        <v>36</v>
      </c>
      <c r="AA8759" s="4" t="s">
        <v>36</v>
      </c>
      <c r="AB8759" s="3" t="s">
        <v>43</v>
      </c>
      <c r="AC8759" s="3" t="s">
        <v>37923</v>
      </c>
      <c r="AD8759" s="9">
        <v>40544</v>
      </c>
      <c r="AE8759" s="3" t="s">
        <v>570</v>
      </c>
      <c r="AF8759" s="3" t="s">
        <v>22942</v>
      </c>
      <c r="AG8759" s="3" t="s">
        <v>81</v>
      </c>
      <c r="AH8759" s="11">
        <f>HYPERLINK("https://my.pitchbook.com?c=85291-66T","View Company Online")</f>
      </c>
    </row>
    <row r="8760">
      <c r="A8760" s="12" t="s">
        <v>37924</v>
      </c>
      <c r="B8760" s="12" t="s">
        <v>14337</v>
      </c>
      <c r="C8760" s="19" t="s">
        <v>36</v>
      </c>
      <c r="D8760" s="19">
        <v>15</v>
      </c>
      <c r="E8760" s="19">
        <v>6</v>
      </c>
      <c r="F8760" s="19">
        <v>26</v>
      </c>
      <c r="G8760" s="15" t="s">
        <v>36</v>
      </c>
      <c r="H8760" s="14" t="s">
        <v>36</v>
      </c>
      <c r="I8760" s="18" t="s">
        <v>36</v>
      </c>
      <c r="J8760" s="12" t="s">
        <v>36</v>
      </c>
      <c r="K8760" s="13" t="s">
        <v>36</v>
      </c>
      <c r="L8760" s="15" t="s">
        <v>36</v>
      </c>
      <c r="M8760" s="12" t="s">
        <v>36</v>
      </c>
      <c r="N8760" s="12" t="s">
        <v>36</v>
      </c>
      <c r="O8760" s="17" t="s">
        <v>36</v>
      </c>
      <c r="P8760" s="12" t="s">
        <v>36</v>
      </c>
      <c r="Q8760" s="12" t="s">
        <v>36</v>
      </c>
      <c r="R8760" s="12" t="s">
        <v>36</v>
      </c>
      <c r="S8760" s="12" t="s">
        <v>36</v>
      </c>
      <c r="T8760" s="12" t="s">
        <v>14338</v>
      </c>
      <c r="U8760" s="12" t="s">
        <v>423</v>
      </c>
      <c r="V8760" s="12" t="s">
        <v>64</v>
      </c>
      <c r="W8760" s="12" t="s">
        <v>14339</v>
      </c>
      <c r="X8760" s="16" t="s">
        <v>37925</v>
      </c>
      <c r="Y8760" s="15" t="s">
        <v>42</v>
      </c>
      <c r="Z8760" s="14">
        <v>3.97</v>
      </c>
      <c r="AA8760" s="14" t="s">
        <v>36</v>
      </c>
      <c r="AB8760" s="12" t="s">
        <v>56</v>
      </c>
      <c r="AC8760" s="12" t="s">
        <v>14341</v>
      </c>
      <c r="AD8760" s="13">
        <v>40544</v>
      </c>
      <c r="AE8760" s="12" t="s">
        <v>1051</v>
      </c>
      <c r="AF8760" s="12" t="s">
        <v>14342</v>
      </c>
      <c r="AG8760" s="12" t="s">
        <v>81</v>
      </c>
      <c r="AH8760" s="1">
        <f>HYPERLINK("https://my.pitchbook.com?c=29680-21T","View Company Online")</f>
      </c>
    </row>
    <row r="8761">
      <c r="A8761" s="3" t="s">
        <v>37926</v>
      </c>
      <c r="B8761" s="3" t="s">
        <v>26848</v>
      </c>
      <c r="C8761" s="5" t="s">
        <v>36</v>
      </c>
      <c r="D8761" s="5" t="s">
        <v>36</v>
      </c>
      <c r="E8761" s="5" t="s">
        <v>36</v>
      </c>
      <c r="F8761" s="5" t="s">
        <v>36</v>
      </c>
      <c r="G8761" s="6" t="s">
        <v>36</v>
      </c>
      <c r="H8761" s="4" t="s">
        <v>36</v>
      </c>
      <c r="I8761" s="7" t="s">
        <v>36</v>
      </c>
      <c r="J8761" s="3" t="s">
        <v>36</v>
      </c>
      <c r="K8761" s="9" t="s">
        <v>36</v>
      </c>
      <c r="L8761" s="6" t="s">
        <v>36</v>
      </c>
      <c r="M8761" s="3" t="s">
        <v>36</v>
      </c>
      <c r="N8761" s="3" t="s">
        <v>36</v>
      </c>
      <c r="O8761" s="8" t="s">
        <v>36</v>
      </c>
      <c r="P8761" s="3" t="s">
        <v>36</v>
      </c>
      <c r="Q8761" s="3" t="s">
        <v>36</v>
      </c>
      <c r="R8761" s="3" t="s">
        <v>36</v>
      </c>
      <c r="S8761" s="3" t="s">
        <v>36</v>
      </c>
      <c r="T8761" s="3" t="s">
        <v>24063</v>
      </c>
      <c r="U8761" s="3" t="s">
        <v>404</v>
      </c>
      <c r="V8761" s="3" t="s">
        <v>405</v>
      </c>
      <c r="W8761" s="3" t="s">
        <v>26849</v>
      </c>
      <c r="X8761" s="10" t="s">
        <v>37927</v>
      </c>
      <c r="Y8761" s="6" t="s">
        <v>42</v>
      </c>
      <c r="Z8761" s="4" t="s">
        <v>36</v>
      </c>
      <c r="AA8761" s="4" t="s">
        <v>36</v>
      </c>
      <c r="AB8761" s="3" t="s">
        <v>43</v>
      </c>
      <c r="AC8761" s="3" t="s">
        <v>26851</v>
      </c>
      <c r="AD8761" s="9">
        <v>40544</v>
      </c>
      <c r="AE8761" s="3" t="s">
        <v>409</v>
      </c>
      <c r="AF8761" s="3" t="s">
        <v>36</v>
      </c>
      <c r="AG8761" s="3" t="s">
        <v>81</v>
      </c>
      <c r="AH8761" s="11">
        <f>HYPERLINK("https://my.pitchbook.com?c=99441-55T","View Company Online")</f>
      </c>
    </row>
    <row r="8762">
      <c r="A8762" s="12" t="s">
        <v>37928</v>
      </c>
      <c r="B8762" s="12" t="s">
        <v>2918</v>
      </c>
      <c r="C8762" s="19" t="s">
        <v>36</v>
      </c>
      <c r="D8762" s="19" t="s">
        <v>36</v>
      </c>
      <c r="E8762" s="19" t="s">
        <v>36</v>
      </c>
      <c r="F8762" s="19" t="s">
        <v>36</v>
      </c>
      <c r="G8762" s="15" t="s">
        <v>36</v>
      </c>
      <c r="H8762" s="14" t="s">
        <v>36</v>
      </c>
      <c r="I8762" s="18" t="s">
        <v>36</v>
      </c>
      <c r="J8762" s="12" t="s">
        <v>36</v>
      </c>
      <c r="K8762" s="13" t="s">
        <v>36</v>
      </c>
      <c r="L8762" s="15" t="s">
        <v>36</v>
      </c>
      <c r="M8762" s="12" t="s">
        <v>36</v>
      </c>
      <c r="N8762" s="12" t="s">
        <v>36</v>
      </c>
      <c r="O8762" s="17" t="s">
        <v>36</v>
      </c>
      <c r="P8762" s="12" t="s">
        <v>36</v>
      </c>
      <c r="Q8762" s="12" t="s">
        <v>36</v>
      </c>
      <c r="R8762" s="12" t="s">
        <v>36</v>
      </c>
      <c r="S8762" s="12" t="s">
        <v>36</v>
      </c>
      <c r="T8762" s="12" t="s">
        <v>2919</v>
      </c>
      <c r="U8762" s="12" t="s">
        <v>728</v>
      </c>
      <c r="V8762" s="12" t="s">
        <v>64</v>
      </c>
      <c r="W8762" s="12" t="s">
        <v>2920</v>
      </c>
      <c r="X8762" s="16" t="s">
        <v>2130</v>
      </c>
      <c r="Y8762" s="15" t="s">
        <v>42</v>
      </c>
      <c r="Z8762" s="14" t="s">
        <v>36</v>
      </c>
      <c r="AA8762" s="14" t="s">
        <v>36</v>
      </c>
      <c r="AB8762" s="12" t="s">
        <v>56</v>
      </c>
      <c r="AC8762" s="12" t="s">
        <v>2922</v>
      </c>
      <c r="AD8762" s="13">
        <v>40544</v>
      </c>
      <c r="AE8762" s="12" t="s">
        <v>2154</v>
      </c>
      <c r="AF8762" s="12" t="s">
        <v>90</v>
      </c>
      <c r="AG8762" s="12" t="s">
        <v>81</v>
      </c>
      <c r="AH8762" s="1">
        <f>HYPERLINK("https://my.pitchbook.com?c=30533-95T","View Company Online")</f>
      </c>
    </row>
    <row r="8763">
      <c r="A8763" s="3" t="s">
        <v>37929</v>
      </c>
      <c r="B8763" s="3" t="s">
        <v>37930</v>
      </c>
      <c r="C8763" s="5" t="s">
        <v>36</v>
      </c>
      <c r="D8763" s="5" t="s">
        <v>36</v>
      </c>
      <c r="E8763" s="5" t="s">
        <v>36</v>
      </c>
      <c r="F8763" s="5" t="s">
        <v>36</v>
      </c>
      <c r="G8763" s="6" t="s">
        <v>36</v>
      </c>
      <c r="H8763" s="4" t="s">
        <v>36</v>
      </c>
      <c r="I8763" s="7" t="s">
        <v>36</v>
      </c>
      <c r="J8763" s="3" t="s">
        <v>36</v>
      </c>
      <c r="K8763" s="9" t="s">
        <v>36</v>
      </c>
      <c r="L8763" s="6" t="s">
        <v>36</v>
      </c>
      <c r="M8763" s="3" t="s">
        <v>36</v>
      </c>
      <c r="N8763" s="3" t="s">
        <v>36</v>
      </c>
      <c r="O8763" s="8" t="s">
        <v>36</v>
      </c>
      <c r="P8763" s="3" t="s">
        <v>36</v>
      </c>
      <c r="Q8763" s="3" t="s">
        <v>36</v>
      </c>
      <c r="R8763" s="3" t="s">
        <v>36</v>
      </c>
      <c r="S8763" s="3" t="s">
        <v>36</v>
      </c>
      <c r="T8763" s="3" t="s">
        <v>522</v>
      </c>
      <c r="U8763" s="3" t="s">
        <v>38</v>
      </c>
      <c r="V8763" s="3" t="s">
        <v>39</v>
      </c>
      <c r="W8763" s="3" t="s">
        <v>37931</v>
      </c>
      <c r="X8763" s="10" t="s">
        <v>27804</v>
      </c>
      <c r="Y8763" s="6" t="s">
        <v>108</v>
      </c>
      <c r="Z8763" s="4" t="s">
        <v>36</v>
      </c>
      <c r="AA8763" s="4" t="s">
        <v>36</v>
      </c>
      <c r="AB8763" s="3" t="s">
        <v>56</v>
      </c>
      <c r="AC8763" s="3" t="s">
        <v>37932</v>
      </c>
      <c r="AD8763" s="9">
        <v>40544</v>
      </c>
      <c r="AE8763" s="3" t="s">
        <v>110</v>
      </c>
      <c r="AF8763" s="3" t="s">
        <v>176</v>
      </c>
      <c r="AG8763" s="3" t="s">
        <v>1369</v>
      </c>
      <c r="AH8763" s="11">
        <f>HYPERLINK("https://my.pitchbook.com?c=84985-21T","View Company Online")</f>
      </c>
    </row>
    <row r="8764">
      <c r="A8764" s="12" t="s">
        <v>37933</v>
      </c>
      <c r="B8764" s="12" t="s">
        <v>37934</v>
      </c>
      <c r="C8764" s="19" t="s">
        <v>36</v>
      </c>
      <c r="D8764" s="19" t="s">
        <v>36</v>
      </c>
      <c r="E8764" s="19" t="s">
        <v>36</v>
      </c>
      <c r="F8764" s="19" t="s">
        <v>36</v>
      </c>
      <c r="G8764" s="15" t="s">
        <v>36</v>
      </c>
      <c r="H8764" s="14" t="s">
        <v>36</v>
      </c>
      <c r="I8764" s="18">
        <v>49</v>
      </c>
      <c r="J8764" s="12" t="s">
        <v>36</v>
      </c>
      <c r="K8764" s="13" t="s">
        <v>36</v>
      </c>
      <c r="L8764" s="15" t="s">
        <v>36</v>
      </c>
      <c r="M8764" s="12" t="s">
        <v>36</v>
      </c>
      <c r="N8764" s="12" t="s">
        <v>36</v>
      </c>
      <c r="O8764" s="17" t="s">
        <v>36</v>
      </c>
      <c r="P8764" s="12" t="s">
        <v>36</v>
      </c>
      <c r="Q8764" s="12" t="s">
        <v>36</v>
      </c>
      <c r="R8764" s="12" t="s">
        <v>36</v>
      </c>
      <c r="S8764" s="12" t="s">
        <v>36</v>
      </c>
      <c r="T8764" s="12" t="s">
        <v>1701</v>
      </c>
      <c r="U8764" s="12" t="s">
        <v>74</v>
      </c>
      <c r="V8764" s="12" t="s">
        <v>75</v>
      </c>
      <c r="W8764" s="12" t="s">
        <v>37935</v>
      </c>
      <c r="X8764" s="16" t="s">
        <v>37936</v>
      </c>
      <c r="Y8764" s="15" t="s">
        <v>55</v>
      </c>
      <c r="Z8764" s="14" t="s">
        <v>36</v>
      </c>
      <c r="AA8764" s="14" t="s">
        <v>36</v>
      </c>
      <c r="AB8764" s="12" t="s">
        <v>43</v>
      </c>
      <c r="AC8764" s="12" t="s">
        <v>37937</v>
      </c>
      <c r="AD8764" s="13">
        <v>40544</v>
      </c>
      <c r="AE8764" s="12" t="s">
        <v>79</v>
      </c>
      <c r="AF8764" s="12" t="s">
        <v>26952</v>
      </c>
      <c r="AG8764" s="12" t="s">
        <v>81</v>
      </c>
      <c r="AH8764" s="1">
        <f>HYPERLINK("https://my.pitchbook.com?c=37200-88T","View Company Online")</f>
      </c>
    </row>
    <row r="8765">
      <c r="A8765" s="3" t="s">
        <v>37938</v>
      </c>
      <c r="B8765" s="3" t="s">
        <v>37939</v>
      </c>
      <c r="C8765" s="5" t="s">
        <v>36</v>
      </c>
      <c r="D8765" s="5" t="s">
        <v>36</v>
      </c>
      <c r="E8765" s="5" t="s">
        <v>36</v>
      </c>
      <c r="F8765" s="5" t="s">
        <v>36</v>
      </c>
      <c r="G8765" s="6" t="s">
        <v>36</v>
      </c>
      <c r="H8765" s="4" t="s">
        <v>36</v>
      </c>
      <c r="I8765" s="7" t="s">
        <v>36</v>
      </c>
      <c r="J8765" s="3" t="s">
        <v>36</v>
      </c>
      <c r="K8765" s="9" t="s">
        <v>36</v>
      </c>
      <c r="L8765" s="6" t="s">
        <v>36</v>
      </c>
      <c r="M8765" s="3" t="s">
        <v>36</v>
      </c>
      <c r="N8765" s="3" t="s">
        <v>36</v>
      </c>
      <c r="O8765" s="8" t="s">
        <v>36</v>
      </c>
      <c r="P8765" s="3" t="s">
        <v>36</v>
      </c>
      <c r="Q8765" s="3" t="s">
        <v>36</v>
      </c>
      <c r="R8765" s="3" t="s">
        <v>36</v>
      </c>
      <c r="S8765" s="3" t="s">
        <v>36</v>
      </c>
      <c r="T8765" s="3" t="s">
        <v>37940</v>
      </c>
      <c r="U8765" s="3" t="s">
        <v>63</v>
      </c>
      <c r="V8765" s="3" t="s">
        <v>64</v>
      </c>
      <c r="W8765" s="3" t="s">
        <v>37941</v>
      </c>
      <c r="X8765" s="10" t="s">
        <v>4794</v>
      </c>
      <c r="Y8765" s="6" t="s">
        <v>42</v>
      </c>
      <c r="Z8765" s="4">
        <v>0.17</v>
      </c>
      <c r="AA8765" s="4" t="s">
        <v>36</v>
      </c>
      <c r="AB8765" s="3" t="s">
        <v>56</v>
      </c>
      <c r="AC8765" s="3" t="s">
        <v>37942</v>
      </c>
      <c r="AD8765" s="9">
        <v>40544</v>
      </c>
      <c r="AE8765" s="3" t="s">
        <v>399</v>
      </c>
      <c r="AF8765" s="3" t="s">
        <v>643</v>
      </c>
      <c r="AG8765" s="3" t="s">
        <v>21727</v>
      </c>
      <c r="AH8765" s="11">
        <f>HYPERLINK("https://my.pitchbook.com?c=204812-20T","View Company Online")</f>
      </c>
    </row>
    <row r="8766">
      <c r="A8766" s="12" t="s">
        <v>37943</v>
      </c>
      <c r="B8766" s="12" t="s">
        <v>37944</v>
      </c>
      <c r="C8766" s="19" t="s">
        <v>36</v>
      </c>
      <c r="D8766" s="19" t="s">
        <v>36</v>
      </c>
      <c r="E8766" s="19" t="s">
        <v>36</v>
      </c>
      <c r="F8766" s="19" t="s">
        <v>36</v>
      </c>
      <c r="G8766" s="15" t="s">
        <v>36</v>
      </c>
      <c r="H8766" s="14" t="s">
        <v>36</v>
      </c>
      <c r="I8766" s="18" t="s">
        <v>36</v>
      </c>
      <c r="J8766" s="12" t="s">
        <v>36</v>
      </c>
      <c r="K8766" s="13" t="s">
        <v>36</v>
      </c>
      <c r="L8766" s="15" t="s">
        <v>36</v>
      </c>
      <c r="M8766" s="12" t="s">
        <v>36</v>
      </c>
      <c r="N8766" s="12" t="s">
        <v>36</v>
      </c>
      <c r="O8766" s="17" t="s">
        <v>36</v>
      </c>
      <c r="P8766" s="12" t="s">
        <v>36</v>
      </c>
      <c r="Q8766" s="12" t="s">
        <v>36</v>
      </c>
      <c r="R8766" s="12" t="s">
        <v>36</v>
      </c>
      <c r="S8766" s="12" t="s">
        <v>36</v>
      </c>
      <c r="T8766" s="12" t="s">
        <v>3887</v>
      </c>
      <c r="U8766" s="12" t="s">
        <v>619</v>
      </c>
      <c r="V8766" s="12" t="s">
        <v>378</v>
      </c>
      <c r="W8766" s="12" t="s">
        <v>37945</v>
      </c>
      <c r="X8766" s="16" t="s">
        <v>1598</v>
      </c>
      <c r="Y8766" s="15" t="s">
        <v>42</v>
      </c>
      <c r="Z8766" s="14" t="s">
        <v>36</v>
      </c>
      <c r="AA8766" s="14" t="s">
        <v>36</v>
      </c>
      <c r="AB8766" s="12" t="s">
        <v>43</v>
      </c>
      <c r="AC8766" s="12" t="s">
        <v>37946</v>
      </c>
      <c r="AD8766" s="13">
        <v>40544</v>
      </c>
      <c r="AE8766" s="12" t="s">
        <v>3891</v>
      </c>
      <c r="AF8766" s="12" t="s">
        <v>1977</v>
      </c>
      <c r="AG8766" s="12" t="s">
        <v>21691</v>
      </c>
      <c r="AH8766" s="1">
        <f>HYPERLINK("https://my.pitchbook.com?c=168835-96T","View Company Online")</f>
      </c>
    </row>
    <row r="8767">
      <c r="A8767" s="3" t="s">
        <v>37947</v>
      </c>
      <c r="B8767" s="3" t="s">
        <v>37948</v>
      </c>
      <c r="C8767" s="5" t="s">
        <v>36</v>
      </c>
      <c r="D8767" s="5" t="s">
        <v>36</v>
      </c>
      <c r="E8767" s="5" t="s">
        <v>36</v>
      </c>
      <c r="F8767" s="5" t="s">
        <v>36</v>
      </c>
      <c r="G8767" s="6" t="s">
        <v>36</v>
      </c>
      <c r="H8767" s="4" t="s">
        <v>36</v>
      </c>
      <c r="I8767" s="7" t="s">
        <v>36</v>
      </c>
      <c r="J8767" s="3" t="s">
        <v>36</v>
      </c>
      <c r="K8767" s="9" t="s">
        <v>36</v>
      </c>
      <c r="L8767" s="6" t="s">
        <v>36</v>
      </c>
      <c r="M8767" s="3" t="s">
        <v>36</v>
      </c>
      <c r="N8767" s="3" t="s">
        <v>36</v>
      </c>
      <c r="O8767" s="8" t="s">
        <v>36</v>
      </c>
      <c r="P8767" s="3" t="s">
        <v>36</v>
      </c>
      <c r="Q8767" s="3" t="s">
        <v>36</v>
      </c>
      <c r="R8767" s="3" t="s">
        <v>36</v>
      </c>
      <c r="S8767" s="3" t="s">
        <v>36</v>
      </c>
      <c r="T8767" s="3" t="s">
        <v>21718</v>
      </c>
      <c r="U8767" s="3" t="s">
        <v>74</v>
      </c>
      <c r="V8767" s="3" t="s">
        <v>75</v>
      </c>
      <c r="W8767" s="3" t="s">
        <v>37949</v>
      </c>
      <c r="X8767" s="10" t="s">
        <v>37950</v>
      </c>
      <c r="Y8767" s="6" t="s">
        <v>42</v>
      </c>
      <c r="Z8767" s="4">
        <v>5.29</v>
      </c>
      <c r="AA8767" s="4" t="s">
        <v>36</v>
      </c>
      <c r="AB8767" s="3" t="s">
        <v>43</v>
      </c>
      <c r="AC8767" s="3" t="s">
        <v>37951</v>
      </c>
      <c r="AD8767" s="9">
        <v>40544</v>
      </c>
      <c r="AE8767" s="3" t="s">
        <v>1888</v>
      </c>
      <c r="AF8767" s="3" t="s">
        <v>36</v>
      </c>
      <c r="AG8767" s="3" t="s">
        <v>81</v>
      </c>
      <c r="AH8767" s="11">
        <f>HYPERLINK("https://my.pitchbook.com?c=220047-04T","View Company Online")</f>
      </c>
    </row>
    <row r="8768">
      <c r="A8768" s="12" t="s">
        <v>37952</v>
      </c>
      <c r="B8768" s="12" t="s">
        <v>36764</v>
      </c>
      <c r="C8768" s="19" t="s">
        <v>36</v>
      </c>
      <c r="D8768" s="19">
        <v>15</v>
      </c>
      <c r="E8768" s="19">
        <v>2</v>
      </c>
      <c r="F8768" s="19">
        <v>16</v>
      </c>
      <c r="G8768" s="15" t="s">
        <v>36</v>
      </c>
      <c r="H8768" s="14" t="s">
        <v>36</v>
      </c>
      <c r="I8768" s="18" t="s">
        <v>36</v>
      </c>
      <c r="J8768" s="12" t="s">
        <v>36</v>
      </c>
      <c r="K8768" s="13" t="s">
        <v>36</v>
      </c>
      <c r="L8768" s="15" t="s">
        <v>36</v>
      </c>
      <c r="M8768" s="12" t="s">
        <v>36</v>
      </c>
      <c r="N8768" s="12" t="s">
        <v>36</v>
      </c>
      <c r="O8768" s="17" t="s">
        <v>36</v>
      </c>
      <c r="P8768" s="12" t="s">
        <v>36</v>
      </c>
      <c r="Q8768" s="12" t="s">
        <v>36</v>
      </c>
      <c r="R8768" s="12" t="s">
        <v>36</v>
      </c>
      <c r="S8768" s="12" t="s">
        <v>36</v>
      </c>
      <c r="T8768" s="12" t="s">
        <v>36533</v>
      </c>
      <c r="U8768" s="12" t="s">
        <v>423</v>
      </c>
      <c r="V8768" s="12" t="s">
        <v>64</v>
      </c>
      <c r="W8768" s="12" t="s">
        <v>36765</v>
      </c>
      <c r="X8768" s="16" t="s">
        <v>37953</v>
      </c>
      <c r="Y8768" s="15" t="s">
        <v>42</v>
      </c>
      <c r="Z8768" s="14">
        <v>0.79</v>
      </c>
      <c r="AA8768" s="14" t="s">
        <v>36</v>
      </c>
      <c r="AB8768" s="12" t="s">
        <v>43</v>
      </c>
      <c r="AC8768" s="12" t="s">
        <v>36767</v>
      </c>
      <c r="AD8768" s="13">
        <v>40544</v>
      </c>
      <c r="AE8768" s="12" t="s">
        <v>562</v>
      </c>
      <c r="AF8768" s="12" t="s">
        <v>1275</v>
      </c>
      <c r="AG8768" s="12" t="s">
        <v>2370</v>
      </c>
      <c r="AH8768" s="1">
        <f>HYPERLINK("https://my.pitchbook.com?c=29791-81T","View Company Online")</f>
      </c>
    </row>
    <row r="8769">
      <c r="A8769" s="3" t="s">
        <v>37954</v>
      </c>
      <c r="B8769" s="3" t="s">
        <v>37955</v>
      </c>
      <c r="C8769" s="5" t="s">
        <v>36</v>
      </c>
      <c r="D8769" s="5" t="s">
        <v>36</v>
      </c>
      <c r="E8769" s="5" t="s">
        <v>36</v>
      </c>
      <c r="F8769" s="5" t="s">
        <v>36</v>
      </c>
      <c r="G8769" s="6" t="s">
        <v>36</v>
      </c>
      <c r="H8769" s="4" t="s">
        <v>36</v>
      </c>
      <c r="I8769" s="7" t="s">
        <v>36</v>
      </c>
      <c r="J8769" s="3" t="s">
        <v>36</v>
      </c>
      <c r="K8769" s="9" t="s">
        <v>36</v>
      </c>
      <c r="L8769" s="6" t="s">
        <v>36</v>
      </c>
      <c r="M8769" s="3" t="s">
        <v>36</v>
      </c>
      <c r="N8769" s="3" t="s">
        <v>36</v>
      </c>
      <c r="O8769" s="8" t="s">
        <v>36</v>
      </c>
      <c r="P8769" s="3" t="s">
        <v>36</v>
      </c>
      <c r="Q8769" s="3" t="s">
        <v>36</v>
      </c>
      <c r="R8769" s="3" t="s">
        <v>36</v>
      </c>
      <c r="S8769" s="3" t="s">
        <v>36</v>
      </c>
      <c r="T8769" s="3" t="s">
        <v>3175</v>
      </c>
      <c r="U8769" s="3" t="s">
        <v>74</v>
      </c>
      <c r="V8769" s="3" t="s">
        <v>75</v>
      </c>
      <c r="W8769" s="3" t="s">
        <v>37956</v>
      </c>
      <c r="X8769" s="10" t="s">
        <v>5661</v>
      </c>
      <c r="Y8769" s="6" t="s">
        <v>42</v>
      </c>
      <c r="Z8769" s="4" t="s">
        <v>36</v>
      </c>
      <c r="AA8769" s="4" t="s">
        <v>36</v>
      </c>
      <c r="AB8769" s="3" t="s">
        <v>43</v>
      </c>
      <c r="AC8769" s="3" t="s">
        <v>37957</v>
      </c>
      <c r="AD8769" s="9">
        <v>40544</v>
      </c>
      <c r="AE8769" s="3" t="s">
        <v>975</v>
      </c>
      <c r="AF8769" s="3" t="s">
        <v>546</v>
      </c>
      <c r="AG8769" s="3" t="s">
        <v>1823</v>
      </c>
      <c r="AH8769" s="11">
        <f>HYPERLINK("https://my.pitchbook.com?c=28053-28T","View Company Online")</f>
      </c>
    </row>
    <row r="8770">
      <c r="A8770" s="12" t="s">
        <v>37958</v>
      </c>
      <c r="B8770" s="12" t="s">
        <v>37959</v>
      </c>
      <c r="C8770" s="19" t="s">
        <v>36</v>
      </c>
      <c r="D8770" s="19" t="s">
        <v>36</v>
      </c>
      <c r="E8770" s="19" t="s">
        <v>36</v>
      </c>
      <c r="F8770" s="19" t="s">
        <v>36</v>
      </c>
      <c r="G8770" s="15" t="s">
        <v>36</v>
      </c>
      <c r="H8770" s="14" t="s">
        <v>36</v>
      </c>
      <c r="I8770" s="18" t="s">
        <v>36</v>
      </c>
      <c r="J8770" s="12" t="s">
        <v>36</v>
      </c>
      <c r="K8770" s="13" t="s">
        <v>36</v>
      </c>
      <c r="L8770" s="15" t="s">
        <v>36</v>
      </c>
      <c r="M8770" s="12" t="s">
        <v>36</v>
      </c>
      <c r="N8770" s="12" t="s">
        <v>36</v>
      </c>
      <c r="O8770" s="17" t="s">
        <v>36</v>
      </c>
      <c r="P8770" s="12" t="s">
        <v>36</v>
      </c>
      <c r="Q8770" s="12" t="s">
        <v>36</v>
      </c>
      <c r="R8770" s="12" t="s">
        <v>36</v>
      </c>
      <c r="S8770" s="12" t="s">
        <v>36</v>
      </c>
      <c r="T8770" s="12" t="s">
        <v>37960</v>
      </c>
      <c r="U8770" s="12" t="s">
        <v>1082</v>
      </c>
      <c r="V8770" s="12" t="s">
        <v>378</v>
      </c>
      <c r="W8770" s="12" t="s">
        <v>37961</v>
      </c>
      <c r="X8770" s="16" t="s">
        <v>37962</v>
      </c>
      <c r="Y8770" s="15" t="s">
        <v>108</v>
      </c>
      <c r="Z8770" s="14">
        <v>2.65</v>
      </c>
      <c r="AA8770" s="14" t="s">
        <v>36</v>
      </c>
      <c r="AB8770" s="12" t="s">
        <v>56</v>
      </c>
      <c r="AC8770" s="12" t="s">
        <v>37963</v>
      </c>
      <c r="AD8770" s="13">
        <v>40544</v>
      </c>
      <c r="AE8770" s="12" t="s">
        <v>10211</v>
      </c>
      <c r="AF8770" s="12" t="s">
        <v>36</v>
      </c>
      <c r="AG8770" s="12" t="s">
        <v>37964</v>
      </c>
      <c r="AH8770" s="1">
        <f>HYPERLINK("https://my.pitchbook.com?c=29640-70T","View Company Online")</f>
      </c>
    </row>
    <row r="8771">
      <c r="A8771" s="3" t="s">
        <v>37965</v>
      </c>
      <c r="B8771" s="3" t="s">
        <v>26341</v>
      </c>
      <c r="C8771" s="5" t="s">
        <v>36</v>
      </c>
      <c r="D8771" s="5" t="s">
        <v>36</v>
      </c>
      <c r="E8771" s="5" t="s">
        <v>36</v>
      </c>
      <c r="F8771" s="5" t="s">
        <v>36</v>
      </c>
      <c r="G8771" s="6" t="s">
        <v>36</v>
      </c>
      <c r="H8771" s="4">
        <v>103.86</v>
      </c>
      <c r="I8771" s="7">
        <v>33.33</v>
      </c>
      <c r="J8771" s="3" t="s">
        <v>521</v>
      </c>
      <c r="K8771" s="9">
        <v>40541</v>
      </c>
      <c r="L8771" s="6" t="s">
        <v>122</v>
      </c>
      <c r="M8771" s="3" t="s">
        <v>36</v>
      </c>
      <c r="N8771" s="3" t="s">
        <v>122</v>
      </c>
      <c r="O8771" s="8" t="s">
        <v>36</v>
      </c>
      <c r="P8771" s="3" t="s">
        <v>36</v>
      </c>
      <c r="Q8771" s="3" t="s">
        <v>36</v>
      </c>
      <c r="R8771" s="3" t="s">
        <v>36</v>
      </c>
      <c r="S8771" s="3" t="s">
        <v>36</v>
      </c>
      <c r="T8771" s="3" t="s">
        <v>105</v>
      </c>
      <c r="U8771" s="3" t="s">
        <v>38</v>
      </c>
      <c r="V8771" s="3" t="s">
        <v>39</v>
      </c>
      <c r="W8771" s="3" t="s">
        <v>26342</v>
      </c>
      <c r="X8771" s="10" t="s">
        <v>33577</v>
      </c>
      <c r="Y8771" s="6" t="s">
        <v>108</v>
      </c>
      <c r="Z8771" s="4">
        <v>1.32</v>
      </c>
      <c r="AA8771" s="4">
        <v>3.97</v>
      </c>
      <c r="AB8771" s="3" t="s">
        <v>43</v>
      </c>
      <c r="AC8771" s="3" t="s">
        <v>26344</v>
      </c>
      <c r="AD8771" s="9">
        <v>40544</v>
      </c>
      <c r="AE8771" s="3" t="s">
        <v>110</v>
      </c>
      <c r="AF8771" s="3" t="s">
        <v>1401</v>
      </c>
      <c r="AG8771" s="3" t="s">
        <v>3595</v>
      </c>
      <c r="AH8771" s="11">
        <f>HYPERLINK("https://my.pitchbook.com?c=48833-38T","View Company Online")</f>
      </c>
    </row>
    <row r="8772">
      <c r="A8772" s="12" t="s">
        <v>37966</v>
      </c>
      <c r="B8772" s="12" t="s">
        <v>30048</v>
      </c>
      <c r="C8772" s="19" t="s">
        <v>36</v>
      </c>
      <c r="D8772" s="19" t="s">
        <v>36</v>
      </c>
      <c r="E8772" s="19" t="s">
        <v>36</v>
      </c>
      <c r="F8772" s="19" t="s">
        <v>36</v>
      </c>
      <c r="G8772" s="15" t="s">
        <v>36</v>
      </c>
      <c r="H8772" s="14" t="s">
        <v>36</v>
      </c>
      <c r="I8772" s="18" t="s">
        <v>36</v>
      </c>
      <c r="J8772" s="12" t="s">
        <v>36</v>
      </c>
      <c r="K8772" s="13" t="s">
        <v>36</v>
      </c>
      <c r="L8772" s="15" t="s">
        <v>36</v>
      </c>
      <c r="M8772" s="12" t="s">
        <v>36</v>
      </c>
      <c r="N8772" s="12" t="s">
        <v>36</v>
      </c>
      <c r="O8772" s="17" t="s">
        <v>36</v>
      </c>
      <c r="P8772" s="12" t="s">
        <v>36</v>
      </c>
      <c r="Q8772" s="12" t="s">
        <v>36</v>
      </c>
      <c r="R8772" s="12" t="s">
        <v>36</v>
      </c>
      <c r="S8772" s="12" t="s">
        <v>36</v>
      </c>
      <c r="T8772" s="12" t="s">
        <v>30049</v>
      </c>
      <c r="U8772" s="12" t="s">
        <v>728</v>
      </c>
      <c r="V8772" s="12" t="s">
        <v>64</v>
      </c>
      <c r="W8772" s="12" t="s">
        <v>30050</v>
      </c>
      <c r="X8772" s="16" t="s">
        <v>35942</v>
      </c>
      <c r="Y8772" s="15" t="s">
        <v>42</v>
      </c>
      <c r="Z8772" s="14">
        <v>33.07</v>
      </c>
      <c r="AA8772" s="14" t="s">
        <v>36</v>
      </c>
      <c r="AB8772" s="12" t="s">
        <v>43</v>
      </c>
      <c r="AC8772" s="12" t="s">
        <v>30051</v>
      </c>
      <c r="AD8772" s="13">
        <v>40544</v>
      </c>
      <c r="AE8772" s="12" t="s">
        <v>2154</v>
      </c>
      <c r="AF8772" s="12" t="s">
        <v>2118</v>
      </c>
      <c r="AG8772" s="12" t="s">
        <v>81</v>
      </c>
      <c r="AH8772" s="1">
        <f>HYPERLINK("https://my.pitchbook.com?c=131984-65T","View Company Online")</f>
      </c>
    </row>
    <row r="8773">
      <c r="A8773" s="3" t="s">
        <v>37967</v>
      </c>
      <c r="B8773" s="3" t="s">
        <v>37968</v>
      </c>
      <c r="C8773" s="5" t="s">
        <v>36</v>
      </c>
      <c r="D8773" s="5" t="s">
        <v>36</v>
      </c>
      <c r="E8773" s="5" t="s">
        <v>36</v>
      </c>
      <c r="F8773" s="5" t="s">
        <v>36</v>
      </c>
      <c r="G8773" s="6" t="s">
        <v>36</v>
      </c>
      <c r="H8773" s="4" t="s">
        <v>36</v>
      </c>
      <c r="I8773" s="7" t="s">
        <v>36</v>
      </c>
      <c r="J8773" s="3" t="s">
        <v>36</v>
      </c>
      <c r="K8773" s="9" t="s">
        <v>36</v>
      </c>
      <c r="L8773" s="6" t="s">
        <v>36</v>
      </c>
      <c r="M8773" s="3" t="s">
        <v>36</v>
      </c>
      <c r="N8773" s="3" t="s">
        <v>36</v>
      </c>
      <c r="O8773" s="8" t="s">
        <v>36</v>
      </c>
      <c r="P8773" s="3" t="s">
        <v>36</v>
      </c>
      <c r="Q8773" s="3" t="s">
        <v>36</v>
      </c>
      <c r="R8773" s="3" t="s">
        <v>36</v>
      </c>
      <c r="S8773" s="3" t="s">
        <v>36</v>
      </c>
      <c r="T8773" s="3" t="s">
        <v>2044</v>
      </c>
      <c r="U8773" s="3" t="s">
        <v>74</v>
      </c>
      <c r="V8773" s="3" t="s">
        <v>75</v>
      </c>
      <c r="W8773" s="3" t="s">
        <v>37969</v>
      </c>
      <c r="X8773" s="10" t="s">
        <v>36023</v>
      </c>
      <c r="Y8773" s="6" t="s">
        <v>42</v>
      </c>
      <c r="Z8773" s="4">
        <v>10.58</v>
      </c>
      <c r="AA8773" s="4" t="s">
        <v>36</v>
      </c>
      <c r="AB8773" s="3" t="s">
        <v>56</v>
      </c>
      <c r="AC8773" s="3" t="s">
        <v>37970</v>
      </c>
      <c r="AD8773" s="9">
        <v>40544</v>
      </c>
      <c r="AE8773" s="3" t="s">
        <v>79</v>
      </c>
      <c r="AF8773" s="3" t="s">
        <v>19021</v>
      </c>
      <c r="AG8773" s="3" t="s">
        <v>81</v>
      </c>
      <c r="AH8773" s="11">
        <f>HYPERLINK("https://my.pitchbook.com?c=88114-87T","View Company Online")</f>
      </c>
    </row>
    <row r="8774">
      <c r="A8774" s="12" t="s">
        <v>37971</v>
      </c>
      <c r="B8774" s="12" t="s">
        <v>37972</v>
      </c>
      <c r="C8774" s="19">
        <v>2</v>
      </c>
      <c r="D8774" s="19">
        <v>39</v>
      </c>
      <c r="E8774" s="19">
        <v>11</v>
      </c>
      <c r="F8774" s="19">
        <v>55</v>
      </c>
      <c r="G8774" s="15" t="s">
        <v>36</v>
      </c>
      <c r="H8774" s="14" t="s">
        <v>36</v>
      </c>
      <c r="I8774" s="18" t="s">
        <v>36</v>
      </c>
      <c r="J8774" s="12" t="s">
        <v>36</v>
      </c>
      <c r="K8774" s="13" t="s">
        <v>36</v>
      </c>
      <c r="L8774" s="15" t="s">
        <v>36</v>
      </c>
      <c r="M8774" s="12" t="s">
        <v>36</v>
      </c>
      <c r="N8774" s="12" t="s">
        <v>36</v>
      </c>
      <c r="O8774" s="17" t="s">
        <v>36</v>
      </c>
      <c r="P8774" s="12" t="s">
        <v>36</v>
      </c>
      <c r="Q8774" s="12" t="s">
        <v>36</v>
      </c>
      <c r="R8774" s="12" t="s">
        <v>36</v>
      </c>
      <c r="S8774" s="12" t="s">
        <v>36</v>
      </c>
      <c r="T8774" s="12" t="s">
        <v>9893</v>
      </c>
      <c r="U8774" s="12" t="s">
        <v>51</v>
      </c>
      <c r="V8774" s="12" t="s">
        <v>52</v>
      </c>
      <c r="W8774" s="12" t="s">
        <v>37973</v>
      </c>
      <c r="X8774" s="16" t="s">
        <v>37974</v>
      </c>
      <c r="Y8774" s="15" t="s">
        <v>108</v>
      </c>
      <c r="Z8774" s="14" t="s">
        <v>36</v>
      </c>
      <c r="AA8774" s="14" t="s">
        <v>36</v>
      </c>
      <c r="AB8774" s="12" t="s">
        <v>43</v>
      </c>
      <c r="AC8774" s="12" t="s">
        <v>37975</v>
      </c>
      <c r="AD8774" s="13">
        <v>40544</v>
      </c>
      <c r="AE8774" s="12" t="s">
        <v>158</v>
      </c>
      <c r="AF8774" s="12" t="s">
        <v>665</v>
      </c>
      <c r="AG8774" s="12" t="s">
        <v>81</v>
      </c>
      <c r="AH8774" s="1">
        <f>HYPERLINK("https://my.pitchbook.com?c=29715-40T","View Company Online")</f>
      </c>
    </row>
    <row r="8775">
      <c r="A8775" s="3" t="s">
        <v>37976</v>
      </c>
      <c r="B8775" s="3" t="s">
        <v>37977</v>
      </c>
      <c r="C8775" s="5" t="s">
        <v>36</v>
      </c>
      <c r="D8775" s="5" t="s">
        <v>36</v>
      </c>
      <c r="E8775" s="5" t="s">
        <v>36</v>
      </c>
      <c r="F8775" s="5" t="s">
        <v>36</v>
      </c>
      <c r="G8775" s="6" t="s">
        <v>36</v>
      </c>
      <c r="H8775" s="4" t="s">
        <v>36</v>
      </c>
      <c r="I8775" s="7" t="s">
        <v>36</v>
      </c>
      <c r="J8775" s="3" t="s">
        <v>36</v>
      </c>
      <c r="K8775" s="9" t="s">
        <v>36</v>
      </c>
      <c r="L8775" s="6" t="s">
        <v>36</v>
      </c>
      <c r="M8775" s="3" t="s">
        <v>36</v>
      </c>
      <c r="N8775" s="3" t="s">
        <v>36</v>
      </c>
      <c r="O8775" s="8" t="s">
        <v>36</v>
      </c>
      <c r="P8775" s="3" t="s">
        <v>36</v>
      </c>
      <c r="Q8775" s="3" t="s">
        <v>36</v>
      </c>
      <c r="R8775" s="3" t="s">
        <v>36</v>
      </c>
      <c r="S8775" s="3" t="s">
        <v>36</v>
      </c>
      <c r="T8775" s="3" t="s">
        <v>37978</v>
      </c>
      <c r="U8775" s="3" t="s">
        <v>74</v>
      </c>
      <c r="V8775" s="3" t="s">
        <v>75</v>
      </c>
      <c r="W8775" s="3" t="s">
        <v>37979</v>
      </c>
      <c r="X8775" s="10" t="s">
        <v>20527</v>
      </c>
      <c r="Y8775" s="6" t="s">
        <v>42</v>
      </c>
      <c r="Z8775" s="4">
        <v>0.66</v>
      </c>
      <c r="AA8775" s="4" t="s">
        <v>36</v>
      </c>
      <c r="AB8775" s="3" t="s">
        <v>56</v>
      </c>
      <c r="AC8775" s="3" t="s">
        <v>37980</v>
      </c>
      <c r="AD8775" s="9">
        <v>40544</v>
      </c>
      <c r="AE8775" s="3" t="s">
        <v>1243</v>
      </c>
      <c r="AF8775" s="3" t="s">
        <v>546</v>
      </c>
      <c r="AG8775" s="3" t="s">
        <v>37981</v>
      </c>
      <c r="AH8775" s="11">
        <f>HYPERLINK("https://my.pitchbook.com?c=29643-22T","View Company Online")</f>
      </c>
    </row>
    <row r="8776">
      <c r="A8776" s="12" t="s">
        <v>37982</v>
      </c>
      <c r="B8776" s="12" t="s">
        <v>31312</v>
      </c>
      <c r="C8776" s="19" t="s">
        <v>36</v>
      </c>
      <c r="D8776" s="19" t="s">
        <v>36</v>
      </c>
      <c r="E8776" s="19" t="s">
        <v>36</v>
      </c>
      <c r="F8776" s="19" t="s">
        <v>36</v>
      </c>
      <c r="G8776" s="15" t="s">
        <v>36</v>
      </c>
      <c r="H8776" s="14" t="s">
        <v>36</v>
      </c>
      <c r="I8776" s="18" t="s">
        <v>36</v>
      </c>
      <c r="J8776" s="12" t="s">
        <v>36</v>
      </c>
      <c r="K8776" s="13" t="s">
        <v>36</v>
      </c>
      <c r="L8776" s="15" t="s">
        <v>36</v>
      </c>
      <c r="M8776" s="12" t="s">
        <v>36</v>
      </c>
      <c r="N8776" s="12" t="s">
        <v>36</v>
      </c>
      <c r="O8776" s="17" t="s">
        <v>36</v>
      </c>
      <c r="P8776" s="12" t="s">
        <v>36</v>
      </c>
      <c r="Q8776" s="12" t="s">
        <v>36</v>
      </c>
      <c r="R8776" s="12" t="s">
        <v>36</v>
      </c>
      <c r="S8776" s="12" t="s">
        <v>36</v>
      </c>
      <c r="T8776" s="12" t="s">
        <v>6614</v>
      </c>
      <c r="U8776" s="12" t="s">
        <v>279</v>
      </c>
      <c r="V8776" s="12" t="s">
        <v>64</v>
      </c>
      <c r="W8776" s="12" t="s">
        <v>31313</v>
      </c>
      <c r="X8776" s="16" t="s">
        <v>37983</v>
      </c>
      <c r="Y8776" s="15" t="s">
        <v>55</v>
      </c>
      <c r="Z8776" s="14">
        <v>0.07</v>
      </c>
      <c r="AA8776" s="14" t="s">
        <v>36</v>
      </c>
      <c r="AB8776" s="12" t="s">
        <v>43</v>
      </c>
      <c r="AC8776" s="12" t="s">
        <v>31315</v>
      </c>
      <c r="AD8776" s="13">
        <v>40543</v>
      </c>
      <c r="AE8776" s="12" t="s">
        <v>740</v>
      </c>
      <c r="AF8776" s="12" t="s">
        <v>1636</v>
      </c>
      <c r="AG8776" s="12" t="s">
        <v>81</v>
      </c>
      <c r="AH8776" s="1">
        <f>HYPERLINK("https://my.pitchbook.com?c=57436-39T","View Company Online")</f>
      </c>
    </row>
    <row r="8777">
      <c r="A8777" s="3" t="s">
        <v>37984</v>
      </c>
      <c r="B8777" s="3" t="s">
        <v>35452</v>
      </c>
      <c r="C8777" s="5" t="s">
        <v>36</v>
      </c>
      <c r="D8777" s="5" t="s">
        <v>36</v>
      </c>
      <c r="E8777" s="5" t="s">
        <v>36</v>
      </c>
      <c r="F8777" s="5" t="s">
        <v>36</v>
      </c>
      <c r="G8777" s="6" t="s">
        <v>36</v>
      </c>
      <c r="H8777" s="4" t="s">
        <v>36</v>
      </c>
      <c r="I8777" s="7" t="s">
        <v>36</v>
      </c>
      <c r="J8777" s="3" t="s">
        <v>36</v>
      </c>
      <c r="K8777" s="9" t="s">
        <v>36</v>
      </c>
      <c r="L8777" s="6" t="s">
        <v>122</v>
      </c>
      <c r="M8777" s="3" t="s">
        <v>36</v>
      </c>
      <c r="N8777" s="3" t="s">
        <v>122</v>
      </c>
      <c r="O8777" s="8" t="s">
        <v>36</v>
      </c>
      <c r="P8777" s="3" t="s">
        <v>36</v>
      </c>
      <c r="Q8777" s="3" t="s">
        <v>36</v>
      </c>
      <c r="R8777" s="3" t="s">
        <v>36</v>
      </c>
      <c r="S8777" s="3" t="s">
        <v>36</v>
      </c>
      <c r="T8777" s="3" t="s">
        <v>4225</v>
      </c>
      <c r="U8777" s="3" t="s">
        <v>96</v>
      </c>
      <c r="V8777" s="3" t="s">
        <v>52</v>
      </c>
      <c r="W8777" s="3" t="s">
        <v>35453</v>
      </c>
      <c r="X8777" s="10" t="s">
        <v>35454</v>
      </c>
      <c r="Y8777" s="6" t="s">
        <v>42</v>
      </c>
      <c r="Z8777" s="4">
        <v>7.92</v>
      </c>
      <c r="AA8777" s="4" t="s">
        <v>36</v>
      </c>
      <c r="AB8777" s="3" t="s">
        <v>43</v>
      </c>
      <c r="AC8777" s="3" t="s">
        <v>35455</v>
      </c>
      <c r="AD8777" s="9">
        <v>40541</v>
      </c>
      <c r="AE8777" s="3" t="s">
        <v>143</v>
      </c>
      <c r="AF8777" s="3" t="s">
        <v>571</v>
      </c>
      <c r="AG8777" s="3" t="s">
        <v>35456</v>
      </c>
      <c r="AH8777" s="11">
        <f>HYPERLINK("https://my.pitchbook.com?c=26463-70T","View Company Online")</f>
      </c>
    </row>
    <row r="8778">
      <c r="A8778" s="12" t="s">
        <v>37985</v>
      </c>
      <c r="B8778" s="12" t="s">
        <v>33111</v>
      </c>
      <c r="C8778" s="19" t="s">
        <v>36</v>
      </c>
      <c r="D8778" s="19" t="s">
        <v>36</v>
      </c>
      <c r="E8778" s="19" t="s">
        <v>36</v>
      </c>
      <c r="F8778" s="19" t="s">
        <v>36</v>
      </c>
      <c r="G8778" s="15" t="s">
        <v>36</v>
      </c>
      <c r="H8778" s="14" t="s">
        <v>36</v>
      </c>
      <c r="I8778" s="18" t="s">
        <v>36</v>
      </c>
      <c r="J8778" s="12" t="s">
        <v>36</v>
      </c>
      <c r="K8778" s="13" t="s">
        <v>36</v>
      </c>
      <c r="L8778" s="15" t="s">
        <v>36</v>
      </c>
      <c r="M8778" s="12" t="s">
        <v>36</v>
      </c>
      <c r="N8778" s="12" t="s">
        <v>36</v>
      </c>
      <c r="O8778" s="17" t="s">
        <v>36</v>
      </c>
      <c r="P8778" s="12" t="s">
        <v>36</v>
      </c>
      <c r="Q8778" s="12" t="s">
        <v>36</v>
      </c>
      <c r="R8778" s="12" t="s">
        <v>36</v>
      </c>
      <c r="S8778" s="12" t="s">
        <v>36</v>
      </c>
      <c r="T8778" s="12" t="s">
        <v>36</v>
      </c>
      <c r="U8778" s="12" t="s">
        <v>36</v>
      </c>
      <c r="V8778" s="12" t="s">
        <v>36</v>
      </c>
      <c r="W8778" s="12" t="s">
        <v>33112</v>
      </c>
      <c r="X8778" s="16" t="s">
        <v>37986</v>
      </c>
      <c r="Y8778" s="15" t="s">
        <v>42</v>
      </c>
      <c r="Z8778" s="14">
        <v>0.73</v>
      </c>
      <c r="AA8778" s="14" t="s">
        <v>36</v>
      </c>
      <c r="AB8778" s="12" t="s">
        <v>43</v>
      </c>
      <c r="AC8778" s="12" t="s">
        <v>33114</v>
      </c>
      <c r="AD8778" s="13">
        <v>40540</v>
      </c>
      <c r="AE8778" s="12" t="s">
        <v>36</v>
      </c>
      <c r="AF8778" s="12" t="s">
        <v>13140</v>
      </c>
      <c r="AG8778" s="12" t="s">
        <v>31008</v>
      </c>
      <c r="AH8778" s="1">
        <f>HYPERLINK("https://my.pitchbook.com?c=25980-67T","View Company Online")</f>
      </c>
    </row>
    <row r="8779">
      <c r="A8779" s="3" t="s">
        <v>37987</v>
      </c>
      <c r="B8779" s="3" t="s">
        <v>37988</v>
      </c>
      <c r="C8779" s="5" t="s">
        <v>36</v>
      </c>
      <c r="D8779" s="5" t="s">
        <v>36</v>
      </c>
      <c r="E8779" s="5" t="s">
        <v>36</v>
      </c>
      <c r="F8779" s="5" t="s">
        <v>36</v>
      </c>
      <c r="G8779" s="6" t="s">
        <v>36</v>
      </c>
      <c r="H8779" s="4" t="s">
        <v>36</v>
      </c>
      <c r="I8779" s="7" t="s">
        <v>36</v>
      </c>
      <c r="J8779" s="3" t="s">
        <v>36</v>
      </c>
      <c r="K8779" s="9" t="s">
        <v>36</v>
      </c>
      <c r="L8779" s="6" t="s">
        <v>36</v>
      </c>
      <c r="M8779" s="3" t="s">
        <v>36</v>
      </c>
      <c r="N8779" s="3" t="s">
        <v>36</v>
      </c>
      <c r="O8779" s="8" t="s">
        <v>36</v>
      </c>
      <c r="P8779" s="3" t="s">
        <v>36</v>
      </c>
      <c r="Q8779" s="3" t="s">
        <v>36</v>
      </c>
      <c r="R8779" s="3" t="s">
        <v>36</v>
      </c>
      <c r="S8779" s="3" t="s">
        <v>36</v>
      </c>
      <c r="T8779" s="3" t="s">
        <v>37989</v>
      </c>
      <c r="U8779" s="3" t="s">
        <v>318</v>
      </c>
      <c r="V8779" s="3" t="s">
        <v>39</v>
      </c>
      <c r="W8779" s="3" t="s">
        <v>37990</v>
      </c>
      <c r="X8779" s="10" t="s">
        <v>37991</v>
      </c>
      <c r="Y8779" s="6" t="s">
        <v>108</v>
      </c>
      <c r="Z8779" s="4" t="s">
        <v>36</v>
      </c>
      <c r="AA8779" s="4" t="s">
        <v>36</v>
      </c>
      <c r="AB8779" s="3" t="s">
        <v>43</v>
      </c>
      <c r="AC8779" s="3" t="s">
        <v>37992</v>
      </c>
      <c r="AD8779" s="9">
        <v>40532</v>
      </c>
      <c r="AE8779" s="3" t="s">
        <v>417</v>
      </c>
      <c r="AF8779" s="3" t="s">
        <v>37993</v>
      </c>
      <c r="AG8779" s="3" t="s">
        <v>12125</v>
      </c>
      <c r="AH8779" s="11">
        <f>HYPERLINK("https://my.pitchbook.com?c=28424-71T","View Company Online")</f>
      </c>
    </row>
    <row r="8780">
      <c r="A8780" s="12" t="s">
        <v>37994</v>
      </c>
      <c r="B8780" s="12" t="s">
        <v>27969</v>
      </c>
      <c r="C8780" s="19">
        <v>3</v>
      </c>
      <c r="D8780" s="19">
        <v>87</v>
      </c>
      <c r="E8780" s="19">
        <v>40</v>
      </c>
      <c r="F8780" s="19">
        <v>123</v>
      </c>
      <c r="G8780" s="15" t="s">
        <v>36</v>
      </c>
      <c r="H8780" s="14">
        <v>4.78</v>
      </c>
      <c r="I8780" s="18">
        <v>48.14</v>
      </c>
      <c r="J8780" s="12" t="s">
        <v>521</v>
      </c>
      <c r="K8780" s="13" t="s">
        <v>36</v>
      </c>
      <c r="L8780" s="15" t="s">
        <v>122</v>
      </c>
      <c r="M8780" s="12" t="s">
        <v>36</v>
      </c>
      <c r="N8780" s="12" t="s">
        <v>122</v>
      </c>
      <c r="O8780" s="17" t="s">
        <v>36</v>
      </c>
      <c r="P8780" s="12" t="s">
        <v>36</v>
      </c>
      <c r="Q8780" s="12" t="s">
        <v>36</v>
      </c>
      <c r="R8780" s="12" t="s">
        <v>36</v>
      </c>
      <c r="S8780" s="12" t="s">
        <v>20994</v>
      </c>
      <c r="T8780" s="12" t="s">
        <v>27970</v>
      </c>
      <c r="U8780" s="12" t="s">
        <v>1580</v>
      </c>
      <c r="V8780" s="12" t="s">
        <v>39</v>
      </c>
      <c r="W8780" s="12" t="s">
        <v>27971</v>
      </c>
      <c r="X8780" s="16" t="s">
        <v>37995</v>
      </c>
      <c r="Y8780" s="15" t="s">
        <v>42</v>
      </c>
      <c r="Z8780" s="14">
        <v>2.73</v>
      </c>
      <c r="AA8780" s="14">
        <v>5.67</v>
      </c>
      <c r="AB8780" s="12" t="s">
        <v>43</v>
      </c>
      <c r="AC8780" s="12" t="s">
        <v>27973</v>
      </c>
      <c r="AD8780" s="13">
        <v>40529</v>
      </c>
      <c r="AE8780" s="12" t="s">
        <v>3854</v>
      </c>
      <c r="AF8780" s="12" t="s">
        <v>24285</v>
      </c>
      <c r="AG8780" s="12" t="s">
        <v>539</v>
      </c>
      <c r="AH8780" s="1">
        <f>HYPERLINK("https://my.pitchbook.com?c=24631-75T","View Company Online")</f>
      </c>
    </row>
    <row r="8781">
      <c r="A8781" s="3" t="s">
        <v>37996</v>
      </c>
      <c r="B8781" s="3" t="s">
        <v>33510</v>
      </c>
      <c r="C8781" s="5" t="s">
        <v>36</v>
      </c>
      <c r="D8781" s="5">
        <v>7</v>
      </c>
      <c r="E8781" s="5">
        <v>4</v>
      </c>
      <c r="F8781" s="5">
        <v>7</v>
      </c>
      <c r="G8781" s="6" t="s">
        <v>36</v>
      </c>
      <c r="H8781" s="4" t="s">
        <v>36</v>
      </c>
      <c r="I8781" s="7" t="s">
        <v>36</v>
      </c>
      <c r="J8781" s="3" t="s">
        <v>36</v>
      </c>
      <c r="K8781" s="9" t="s">
        <v>36</v>
      </c>
      <c r="L8781" s="6" t="s">
        <v>36</v>
      </c>
      <c r="M8781" s="3" t="s">
        <v>36</v>
      </c>
      <c r="N8781" s="3" t="s">
        <v>36</v>
      </c>
      <c r="O8781" s="8" t="s">
        <v>36</v>
      </c>
      <c r="P8781" s="3" t="s">
        <v>36</v>
      </c>
      <c r="Q8781" s="3" t="s">
        <v>36</v>
      </c>
      <c r="R8781" s="3" t="s">
        <v>36</v>
      </c>
      <c r="S8781" s="3" t="s">
        <v>36</v>
      </c>
      <c r="T8781" s="3" t="s">
        <v>16038</v>
      </c>
      <c r="U8781" s="3" t="s">
        <v>219</v>
      </c>
      <c r="V8781" s="3" t="s">
        <v>75</v>
      </c>
      <c r="W8781" s="3" t="s">
        <v>33511</v>
      </c>
      <c r="X8781" s="10" t="s">
        <v>37997</v>
      </c>
      <c r="Y8781" s="6" t="s">
        <v>42</v>
      </c>
      <c r="Z8781" s="4">
        <v>4</v>
      </c>
      <c r="AA8781" s="4" t="s">
        <v>36</v>
      </c>
      <c r="AB8781" s="3" t="s">
        <v>56</v>
      </c>
      <c r="AC8781" s="3" t="s">
        <v>33513</v>
      </c>
      <c r="AD8781" s="9">
        <v>40528</v>
      </c>
      <c r="AE8781" s="3" t="s">
        <v>1032</v>
      </c>
      <c r="AF8781" s="3" t="s">
        <v>546</v>
      </c>
      <c r="AG8781" s="3" t="s">
        <v>33075</v>
      </c>
      <c r="AH8781" s="11">
        <f>HYPERLINK("https://my.pitchbook.com?c=29837-62T","View Company Online")</f>
      </c>
    </row>
    <row r="8782">
      <c r="A8782" s="12" t="s">
        <v>37998</v>
      </c>
      <c r="B8782" s="12" t="s">
        <v>31821</v>
      </c>
      <c r="C8782" s="19" t="s">
        <v>36</v>
      </c>
      <c r="D8782" s="19" t="s">
        <v>36</v>
      </c>
      <c r="E8782" s="19" t="s">
        <v>36</v>
      </c>
      <c r="F8782" s="19" t="s">
        <v>36</v>
      </c>
      <c r="G8782" s="15" t="s">
        <v>36</v>
      </c>
      <c r="H8782" s="14" t="s">
        <v>36</v>
      </c>
      <c r="I8782" s="18" t="s">
        <v>36</v>
      </c>
      <c r="J8782" s="12" t="s">
        <v>36</v>
      </c>
      <c r="K8782" s="13" t="s">
        <v>36</v>
      </c>
      <c r="L8782" s="15" t="s">
        <v>36</v>
      </c>
      <c r="M8782" s="12" t="s">
        <v>36</v>
      </c>
      <c r="N8782" s="12" t="s">
        <v>36</v>
      </c>
      <c r="O8782" s="17" t="s">
        <v>36</v>
      </c>
      <c r="P8782" s="12" t="s">
        <v>36</v>
      </c>
      <c r="Q8782" s="12" t="s">
        <v>36</v>
      </c>
      <c r="R8782" s="12" t="s">
        <v>36</v>
      </c>
      <c r="S8782" s="12" t="s">
        <v>36</v>
      </c>
      <c r="T8782" s="12" t="s">
        <v>19234</v>
      </c>
      <c r="U8782" s="12" t="s">
        <v>289</v>
      </c>
      <c r="V8782" s="12" t="s">
        <v>64</v>
      </c>
      <c r="W8782" s="12" t="s">
        <v>31822</v>
      </c>
      <c r="X8782" s="16" t="s">
        <v>7645</v>
      </c>
      <c r="Y8782" s="15" t="s">
        <v>42</v>
      </c>
      <c r="Z8782" s="14">
        <v>2.67</v>
      </c>
      <c r="AA8782" s="14" t="s">
        <v>36</v>
      </c>
      <c r="AB8782" s="12" t="s">
        <v>43</v>
      </c>
      <c r="AC8782" s="12" t="s">
        <v>31824</v>
      </c>
      <c r="AD8782" s="13">
        <v>40526</v>
      </c>
      <c r="AE8782" s="12" t="s">
        <v>3134</v>
      </c>
      <c r="AF8782" s="12" t="s">
        <v>90</v>
      </c>
      <c r="AG8782" s="12" t="s">
        <v>81</v>
      </c>
      <c r="AH8782" s="1">
        <f>HYPERLINK("https://my.pitchbook.com?c=34708-33T","View Company Online")</f>
      </c>
    </row>
    <row r="8783">
      <c r="A8783" s="3" t="s">
        <v>37999</v>
      </c>
      <c r="B8783" s="3" t="s">
        <v>38000</v>
      </c>
      <c r="C8783" s="5" t="s">
        <v>36</v>
      </c>
      <c r="D8783" s="5" t="s">
        <v>36</v>
      </c>
      <c r="E8783" s="5" t="s">
        <v>36</v>
      </c>
      <c r="F8783" s="5" t="s">
        <v>36</v>
      </c>
      <c r="G8783" s="6" t="s">
        <v>36</v>
      </c>
      <c r="H8783" s="4" t="s">
        <v>36</v>
      </c>
      <c r="I8783" s="7" t="s">
        <v>36</v>
      </c>
      <c r="J8783" s="3" t="s">
        <v>36</v>
      </c>
      <c r="K8783" s="9" t="s">
        <v>36</v>
      </c>
      <c r="L8783" s="6" t="s">
        <v>36</v>
      </c>
      <c r="M8783" s="3" t="s">
        <v>36</v>
      </c>
      <c r="N8783" s="3" t="s">
        <v>36</v>
      </c>
      <c r="O8783" s="8" t="s">
        <v>36</v>
      </c>
      <c r="P8783" s="3" t="s">
        <v>36</v>
      </c>
      <c r="Q8783" s="3" t="s">
        <v>36</v>
      </c>
      <c r="R8783" s="3" t="s">
        <v>36</v>
      </c>
      <c r="S8783" s="3" t="s">
        <v>36</v>
      </c>
      <c r="T8783" s="3" t="s">
        <v>38001</v>
      </c>
      <c r="U8783" s="3" t="s">
        <v>74</v>
      </c>
      <c r="V8783" s="3" t="s">
        <v>75</v>
      </c>
      <c r="W8783" s="3" t="s">
        <v>38002</v>
      </c>
      <c r="X8783" s="10" t="s">
        <v>38003</v>
      </c>
      <c r="Y8783" s="6" t="s">
        <v>108</v>
      </c>
      <c r="Z8783" s="4">
        <v>1.54</v>
      </c>
      <c r="AA8783" s="4" t="s">
        <v>36</v>
      </c>
      <c r="AB8783" s="3" t="s">
        <v>43</v>
      </c>
      <c r="AC8783" s="3" t="s">
        <v>38004</v>
      </c>
      <c r="AD8783" s="9">
        <v>40525</v>
      </c>
      <c r="AE8783" s="3" t="s">
        <v>1243</v>
      </c>
      <c r="AF8783" s="3" t="s">
        <v>22942</v>
      </c>
      <c r="AG8783" s="3" t="s">
        <v>392</v>
      </c>
      <c r="AH8783" s="11">
        <f>HYPERLINK("https://my.pitchbook.com?c=32451-40T","View Company Online")</f>
      </c>
    </row>
    <row r="8784">
      <c r="A8784" s="12" t="s">
        <v>38005</v>
      </c>
      <c r="B8784" s="12" t="s">
        <v>38006</v>
      </c>
      <c r="C8784" s="19" t="s">
        <v>36</v>
      </c>
      <c r="D8784" s="19" t="s">
        <v>36</v>
      </c>
      <c r="E8784" s="19" t="s">
        <v>36</v>
      </c>
      <c r="F8784" s="19" t="s">
        <v>36</v>
      </c>
      <c r="G8784" s="15" t="s">
        <v>36</v>
      </c>
      <c r="H8784" s="14" t="s">
        <v>36</v>
      </c>
      <c r="I8784" s="18" t="s">
        <v>36</v>
      </c>
      <c r="J8784" s="12" t="s">
        <v>36</v>
      </c>
      <c r="K8784" s="13" t="s">
        <v>36</v>
      </c>
      <c r="L8784" s="15" t="s">
        <v>36</v>
      </c>
      <c r="M8784" s="12" t="s">
        <v>36</v>
      </c>
      <c r="N8784" s="12" t="s">
        <v>36</v>
      </c>
      <c r="O8784" s="17" t="s">
        <v>36</v>
      </c>
      <c r="P8784" s="12" t="s">
        <v>36</v>
      </c>
      <c r="Q8784" s="12" t="s">
        <v>36</v>
      </c>
      <c r="R8784" s="12" t="s">
        <v>36</v>
      </c>
      <c r="S8784" s="12" t="s">
        <v>36</v>
      </c>
      <c r="T8784" s="12" t="s">
        <v>38007</v>
      </c>
      <c r="U8784" s="12" t="s">
        <v>96</v>
      </c>
      <c r="V8784" s="12" t="s">
        <v>52</v>
      </c>
      <c r="W8784" s="12" t="s">
        <v>38008</v>
      </c>
      <c r="X8784" s="16" t="s">
        <v>38009</v>
      </c>
      <c r="Y8784" s="15" t="s">
        <v>42</v>
      </c>
      <c r="Z8784" s="14">
        <v>0.54</v>
      </c>
      <c r="AA8784" s="14" t="s">
        <v>36</v>
      </c>
      <c r="AB8784" s="12" t="s">
        <v>43</v>
      </c>
      <c r="AC8784" s="12" t="s">
        <v>38010</v>
      </c>
      <c r="AD8784" s="13">
        <v>40522</v>
      </c>
      <c r="AE8784" s="12" t="s">
        <v>755</v>
      </c>
      <c r="AF8784" s="12" t="s">
        <v>101</v>
      </c>
      <c r="AG8784" s="12" t="s">
        <v>5013</v>
      </c>
      <c r="AH8784" s="1">
        <f>HYPERLINK("https://my.pitchbook.com?c=88220-89T","View Company Online")</f>
      </c>
    </row>
    <row r="8785">
      <c r="A8785" s="3" t="s">
        <v>38011</v>
      </c>
      <c r="B8785" s="3" t="s">
        <v>22014</v>
      </c>
      <c r="C8785" s="5" t="s">
        <v>36</v>
      </c>
      <c r="D8785" s="5" t="s">
        <v>36</v>
      </c>
      <c r="E8785" s="5" t="s">
        <v>36</v>
      </c>
      <c r="F8785" s="5" t="s">
        <v>36</v>
      </c>
      <c r="G8785" s="6" t="s">
        <v>36</v>
      </c>
      <c r="H8785" s="4">
        <v>133.15</v>
      </c>
      <c r="I8785" s="7">
        <v>23.02</v>
      </c>
      <c r="J8785" s="3" t="s">
        <v>521</v>
      </c>
      <c r="K8785" s="9" t="s">
        <v>36</v>
      </c>
      <c r="L8785" s="6" t="s">
        <v>36</v>
      </c>
      <c r="M8785" s="3" t="s">
        <v>36</v>
      </c>
      <c r="N8785" s="3" t="s">
        <v>36</v>
      </c>
      <c r="O8785" s="8" t="s">
        <v>36</v>
      </c>
      <c r="P8785" s="3" t="s">
        <v>36</v>
      </c>
      <c r="Q8785" s="3" t="s">
        <v>36</v>
      </c>
      <c r="R8785" s="3" t="s">
        <v>36</v>
      </c>
      <c r="S8785" s="3" t="s">
        <v>36</v>
      </c>
      <c r="T8785" s="3" t="s">
        <v>11886</v>
      </c>
      <c r="U8785" s="3" t="s">
        <v>648</v>
      </c>
      <c r="V8785" s="3" t="s">
        <v>64</v>
      </c>
      <c r="W8785" s="3" t="s">
        <v>22015</v>
      </c>
      <c r="X8785" s="10" t="s">
        <v>34781</v>
      </c>
      <c r="Y8785" s="6" t="s">
        <v>42</v>
      </c>
      <c r="Z8785" s="4">
        <v>0.15</v>
      </c>
      <c r="AA8785" s="4">
        <v>0.67</v>
      </c>
      <c r="AB8785" s="3" t="s">
        <v>43</v>
      </c>
      <c r="AC8785" s="3" t="s">
        <v>22017</v>
      </c>
      <c r="AD8785" s="9">
        <v>40522</v>
      </c>
      <c r="AE8785" s="3" t="s">
        <v>651</v>
      </c>
      <c r="AF8785" s="3" t="s">
        <v>36</v>
      </c>
      <c r="AG8785" s="3" t="s">
        <v>81</v>
      </c>
      <c r="AH8785" s="11">
        <f>HYPERLINK("https://my.pitchbook.com?c=24556-96T","View Company Online")</f>
      </c>
    </row>
    <row r="8786">
      <c r="A8786" s="12" t="s">
        <v>38012</v>
      </c>
      <c r="B8786" s="12" t="s">
        <v>38013</v>
      </c>
      <c r="C8786" s="19" t="s">
        <v>36</v>
      </c>
      <c r="D8786" s="19" t="s">
        <v>36</v>
      </c>
      <c r="E8786" s="19" t="s">
        <v>36</v>
      </c>
      <c r="F8786" s="19" t="s">
        <v>36</v>
      </c>
      <c r="G8786" s="15" t="s">
        <v>36</v>
      </c>
      <c r="H8786" s="14" t="s">
        <v>36</v>
      </c>
      <c r="I8786" s="18">
        <v>20</v>
      </c>
      <c r="J8786" s="12" t="s">
        <v>327</v>
      </c>
      <c r="K8786" s="13" t="s">
        <v>36</v>
      </c>
      <c r="L8786" s="15" t="s">
        <v>36</v>
      </c>
      <c r="M8786" s="12" t="s">
        <v>36</v>
      </c>
      <c r="N8786" s="12" t="s">
        <v>36</v>
      </c>
      <c r="O8786" s="17" t="s">
        <v>36</v>
      </c>
      <c r="P8786" s="12" t="s">
        <v>36</v>
      </c>
      <c r="Q8786" s="12" t="s">
        <v>36</v>
      </c>
      <c r="R8786" s="12" t="s">
        <v>36</v>
      </c>
      <c r="S8786" s="12" t="s">
        <v>36</v>
      </c>
      <c r="T8786" s="12" t="s">
        <v>38014</v>
      </c>
      <c r="U8786" s="12" t="s">
        <v>74</v>
      </c>
      <c r="V8786" s="12" t="s">
        <v>75</v>
      </c>
      <c r="W8786" s="12" t="s">
        <v>38015</v>
      </c>
      <c r="X8786" s="16" t="s">
        <v>640</v>
      </c>
      <c r="Y8786" s="15" t="s">
        <v>42</v>
      </c>
      <c r="Z8786" s="14">
        <v>5.38</v>
      </c>
      <c r="AA8786" s="14">
        <v>26.89</v>
      </c>
      <c r="AB8786" s="12" t="s">
        <v>56</v>
      </c>
      <c r="AC8786" s="12" t="s">
        <v>38016</v>
      </c>
      <c r="AD8786" s="13">
        <v>40520</v>
      </c>
      <c r="AE8786" s="12" t="s">
        <v>696</v>
      </c>
      <c r="AF8786" s="12" t="s">
        <v>4284</v>
      </c>
      <c r="AG8786" s="12" t="s">
        <v>38017</v>
      </c>
      <c r="AH8786" s="1">
        <f>HYPERLINK("https://my.pitchbook.com?c=35431-75T","View Company Online")</f>
      </c>
    </row>
    <row r="8787">
      <c r="A8787" s="3" t="s">
        <v>38018</v>
      </c>
      <c r="B8787" s="3" t="s">
        <v>33353</v>
      </c>
      <c r="C8787" s="5">
        <v>4</v>
      </c>
      <c r="D8787" s="5">
        <v>21</v>
      </c>
      <c r="E8787" s="5">
        <v>7</v>
      </c>
      <c r="F8787" s="5">
        <v>50</v>
      </c>
      <c r="G8787" s="6" t="s">
        <v>36</v>
      </c>
      <c r="H8787" s="4" t="s">
        <v>36</v>
      </c>
      <c r="I8787" s="7" t="s">
        <v>36</v>
      </c>
      <c r="J8787" s="3" t="s">
        <v>36</v>
      </c>
      <c r="K8787" s="9" t="s">
        <v>36</v>
      </c>
      <c r="L8787" s="6" t="s">
        <v>36</v>
      </c>
      <c r="M8787" s="3" t="s">
        <v>36</v>
      </c>
      <c r="N8787" s="3" t="s">
        <v>36</v>
      </c>
      <c r="O8787" s="8" t="s">
        <v>36</v>
      </c>
      <c r="P8787" s="3" t="s">
        <v>36</v>
      </c>
      <c r="Q8787" s="3" t="s">
        <v>36</v>
      </c>
      <c r="R8787" s="3" t="s">
        <v>36</v>
      </c>
      <c r="S8787" s="3" t="s">
        <v>36</v>
      </c>
      <c r="T8787" s="3" t="s">
        <v>33354</v>
      </c>
      <c r="U8787" s="3" t="s">
        <v>1580</v>
      </c>
      <c r="V8787" s="3" t="s">
        <v>39</v>
      </c>
      <c r="W8787" s="3" t="s">
        <v>33355</v>
      </c>
      <c r="X8787" s="10" t="s">
        <v>38019</v>
      </c>
      <c r="Y8787" s="6" t="s">
        <v>192</v>
      </c>
      <c r="Z8787" s="4">
        <v>8.11</v>
      </c>
      <c r="AA8787" s="4" t="s">
        <v>36</v>
      </c>
      <c r="AB8787" s="3" t="s">
        <v>43</v>
      </c>
      <c r="AC8787" s="3" t="s">
        <v>33357</v>
      </c>
      <c r="AD8787" s="9">
        <v>40517</v>
      </c>
      <c r="AE8787" s="3" t="s">
        <v>4387</v>
      </c>
      <c r="AF8787" s="3" t="s">
        <v>1077</v>
      </c>
      <c r="AG8787" s="3" t="s">
        <v>33358</v>
      </c>
      <c r="AH8787" s="11">
        <f>HYPERLINK("https://my.pitchbook.com?c=25304-23T","View Company Online")</f>
      </c>
    </row>
    <row r="8788">
      <c r="A8788" s="12" t="s">
        <v>38020</v>
      </c>
      <c r="B8788" s="12" t="s">
        <v>38021</v>
      </c>
      <c r="C8788" s="19" t="s">
        <v>36</v>
      </c>
      <c r="D8788" s="19" t="s">
        <v>36</v>
      </c>
      <c r="E8788" s="19" t="s">
        <v>36</v>
      </c>
      <c r="F8788" s="19" t="s">
        <v>36</v>
      </c>
      <c r="G8788" s="15" t="s">
        <v>36</v>
      </c>
      <c r="H8788" s="14" t="s">
        <v>36</v>
      </c>
      <c r="I8788" s="18" t="s">
        <v>36</v>
      </c>
      <c r="J8788" s="12" t="s">
        <v>36</v>
      </c>
      <c r="K8788" s="13" t="s">
        <v>36</v>
      </c>
      <c r="L8788" s="15" t="s">
        <v>36</v>
      </c>
      <c r="M8788" s="12" t="s">
        <v>36</v>
      </c>
      <c r="N8788" s="12" t="s">
        <v>36</v>
      </c>
      <c r="O8788" s="17" t="s">
        <v>36</v>
      </c>
      <c r="P8788" s="12" t="s">
        <v>36</v>
      </c>
      <c r="Q8788" s="12" t="s">
        <v>36</v>
      </c>
      <c r="R8788" s="12" t="s">
        <v>36</v>
      </c>
      <c r="S8788" s="12" t="s">
        <v>36</v>
      </c>
      <c r="T8788" s="12" t="s">
        <v>38022</v>
      </c>
      <c r="U8788" s="12" t="s">
        <v>74</v>
      </c>
      <c r="V8788" s="12" t="s">
        <v>75</v>
      </c>
      <c r="W8788" s="12" t="s">
        <v>38023</v>
      </c>
      <c r="X8788" s="16" t="s">
        <v>20527</v>
      </c>
      <c r="Y8788" s="15" t="s">
        <v>42</v>
      </c>
      <c r="Z8788" s="14">
        <v>0.41</v>
      </c>
      <c r="AA8788" s="14" t="s">
        <v>36</v>
      </c>
      <c r="AB8788" s="12" t="s">
        <v>56</v>
      </c>
      <c r="AC8788" s="12" t="s">
        <v>38024</v>
      </c>
      <c r="AD8788" s="13">
        <v>40513</v>
      </c>
      <c r="AE8788" s="12" t="s">
        <v>975</v>
      </c>
      <c r="AF8788" s="12" t="s">
        <v>36</v>
      </c>
      <c r="AG8788" s="12" t="s">
        <v>38025</v>
      </c>
      <c r="AH8788" s="1">
        <f>HYPERLINK("https://my.pitchbook.com?c=29627-29T","View Company Online")</f>
      </c>
    </row>
    <row r="8789">
      <c r="A8789" s="3" t="s">
        <v>38026</v>
      </c>
      <c r="B8789" s="3" t="s">
        <v>36037</v>
      </c>
      <c r="C8789" s="5" t="s">
        <v>36</v>
      </c>
      <c r="D8789" s="5" t="s">
        <v>36</v>
      </c>
      <c r="E8789" s="5" t="s">
        <v>36</v>
      </c>
      <c r="F8789" s="5" t="s">
        <v>36</v>
      </c>
      <c r="G8789" s="6" t="s">
        <v>683</v>
      </c>
      <c r="H8789" s="4">
        <v>147.48</v>
      </c>
      <c r="I8789" s="7">
        <v>26.72</v>
      </c>
      <c r="J8789" s="3" t="s">
        <v>36</v>
      </c>
      <c r="K8789" s="9" t="s">
        <v>36</v>
      </c>
      <c r="L8789" s="6" t="s">
        <v>122</v>
      </c>
      <c r="M8789" s="3" t="s">
        <v>36</v>
      </c>
      <c r="N8789" s="3" t="s">
        <v>122</v>
      </c>
      <c r="O8789" s="8" t="s">
        <v>36</v>
      </c>
      <c r="P8789" s="3" t="s">
        <v>36</v>
      </c>
      <c r="Q8789" s="3" t="s">
        <v>36</v>
      </c>
      <c r="R8789" s="3" t="s">
        <v>36</v>
      </c>
      <c r="S8789" s="3" t="s">
        <v>36</v>
      </c>
      <c r="T8789" s="3" t="s">
        <v>23878</v>
      </c>
      <c r="U8789" s="3" t="s">
        <v>279</v>
      </c>
      <c r="V8789" s="3" t="s">
        <v>64</v>
      </c>
      <c r="W8789" s="3" t="s">
        <v>36038</v>
      </c>
      <c r="X8789" s="10" t="s">
        <v>38027</v>
      </c>
      <c r="Y8789" s="6" t="s">
        <v>166</v>
      </c>
      <c r="Z8789" s="4">
        <v>5.17</v>
      </c>
      <c r="AA8789" s="4" t="s">
        <v>36</v>
      </c>
      <c r="AB8789" s="3" t="s">
        <v>43</v>
      </c>
      <c r="AC8789" s="3" t="s">
        <v>36040</v>
      </c>
      <c r="AD8789" s="9">
        <v>40513</v>
      </c>
      <c r="AE8789" s="3" t="s">
        <v>851</v>
      </c>
      <c r="AF8789" s="3" t="s">
        <v>36</v>
      </c>
      <c r="AG8789" s="3" t="s">
        <v>81</v>
      </c>
      <c r="AH8789" s="11">
        <f>HYPERLINK("https://my.pitchbook.com?c=29567-17T","View Company Online")</f>
      </c>
    </row>
    <row r="8790">
      <c r="A8790" s="12" t="s">
        <v>38028</v>
      </c>
      <c r="B8790" s="12" t="s">
        <v>38029</v>
      </c>
      <c r="C8790" s="19" t="s">
        <v>36</v>
      </c>
      <c r="D8790" s="19" t="s">
        <v>36</v>
      </c>
      <c r="E8790" s="19" t="s">
        <v>36</v>
      </c>
      <c r="F8790" s="19" t="s">
        <v>36</v>
      </c>
      <c r="G8790" s="15" t="s">
        <v>36</v>
      </c>
      <c r="H8790" s="14" t="s">
        <v>36</v>
      </c>
      <c r="I8790" s="18" t="s">
        <v>36</v>
      </c>
      <c r="J8790" s="12" t="s">
        <v>36</v>
      </c>
      <c r="K8790" s="13" t="s">
        <v>36</v>
      </c>
      <c r="L8790" s="15" t="s">
        <v>36</v>
      </c>
      <c r="M8790" s="12" t="s">
        <v>36</v>
      </c>
      <c r="N8790" s="12" t="s">
        <v>36</v>
      </c>
      <c r="O8790" s="17" t="s">
        <v>36</v>
      </c>
      <c r="P8790" s="12" t="s">
        <v>36</v>
      </c>
      <c r="Q8790" s="12" t="s">
        <v>36</v>
      </c>
      <c r="R8790" s="12" t="s">
        <v>36</v>
      </c>
      <c r="S8790" s="12" t="s">
        <v>36</v>
      </c>
      <c r="T8790" s="12" t="s">
        <v>3907</v>
      </c>
      <c r="U8790" s="12" t="s">
        <v>279</v>
      </c>
      <c r="V8790" s="12" t="s">
        <v>64</v>
      </c>
      <c r="W8790" s="12" t="s">
        <v>38030</v>
      </c>
      <c r="X8790" s="16" t="s">
        <v>1399</v>
      </c>
      <c r="Y8790" s="15" t="s">
        <v>42</v>
      </c>
      <c r="Z8790" s="14" t="s">
        <v>36</v>
      </c>
      <c r="AA8790" s="14" t="s">
        <v>36</v>
      </c>
      <c r="AB8790" s="12" t="s">
        <v>43</v>
      </c>
      <c r="AC8790" s="12" t="s">
        <v>38031</v>
      </c>
      <c r="AD8790" s="13">
        <v>40513</v>
      </c>
      <c r="AE8790" s="12" t="s">
        <v>851</v>
      </c>
      <c r="AF8790" s="12" t="s">
        <v>176</v>
      </c>
      <c r="AG8790" s="12" t="s">
        <v>2534</v>
      </c>
      <c r="AH8790" s="1">
        <f>HYPERLINK("https://my.pitchbook.com?c=218403-28T","View Company Online")</f>
      </c>
    </row>
    <row r="8791">
      <c r="A8791" s="3" t="s">
        <v>38032</v>
      </c>
      <c r="B8791" s="3" t="s">
        <v>38033</v>
      </c>
      <c r="C8791" s="5" t="s">
        <v>36</v>
      </c>
      <c r="D8791" s="5" t="s">
        <v>36</v>
      </c>
      <c r="E8791" s="5" t="s">
        <v>36</v>
      </c>
      <c r="F8791" s="5" t="s">
        <v>36</v>
      </c>
      <c r="G8791" s="6" t="s">
        <v>36</v>
      </c>
      <c r="H8791" s="4" t="s">
        <v>36</v>
      </c>
      <c r="I8791" s="7" t="s">
        <v>36</v>
      </c>
      <c r="J8791" s="3" t="s">
        <v>36</v>
      </c>
      <c r="K8791" s="9" t="s">
        <v>36</v>
      </c>
      <c r="L8791" s="6" t="s">
        <v>36</v>
      </c>
      <c r="M8791" s="3" t="s">
        <v>36</v>
      </c>
      <c r="N8791" s="3" t="s">
        <v>36</v>
      </c>
      <c r="O8791" s="8" t="s">
        <v>36</v>
      </c>
      <c r="P8791" s="3" t="s">
        <v>36</v>
      </c>
      <c r="Q8791" s="3" t="s">
        <v>36</v>
      </c>
      <c r="R8791" s="3" t="s">
        <v>36</v>
      </c>
      <c r="S8791" s="3" t="s">
        <v>36</v>
      </c>
      <c r="T8791" s="3" t="s">
        <v>37844</v>
      </c>
      <c r="U8791" s="3" t="s">
        <v>279</v>
      </c>
      <c r="V8791" s="3" t="s">
        <v>64</v>
      </c>
      <c r="W8791" s="3" t="s">
        <v>38034</v>
      </c>
      <c r="X8791" s="10" t="s">
        <v>1406</v>
      </c>
      <c r="Y8791" s="6" t="s">
        <v>42</v>
      </c>
      <c r="Z8791" s="4" t="s">
        <v>36</v>
      </c>
      <c r="AA8791" s="4" t="s">
        <v>36</v>
      </c>
      <c r="AB8791" s="3" t="s">
        <v>56</v>
      </c>
      <c r="AC8791" s="3" t="s">
        <v>38035</v>
      </c>
      <c r="AD8791" s="9">
        <v>40513</v>
      </c>
      <c r="AE8791" s="3" t="s">
        <v>740</v>
      </c>
      <c r="AF8791" s="3" t="s">
        <v>36</v>
      </c>
      <c r="AG8791" s="3" t="s">
        <v>81</v>
      </c>
      <c r="AH8791" s="11">
        <f>HYPERLINK("https://my.pitchbook.com?c=39195-10T","View Company Online")</f>
      </c>
    </row>
    <row r="8792">
      <c r="A8792" s="12" t="s">
        <v>38036</v>
      </c>
      <c r="B8792" s="12" t="s">
        <v>38037</v>
      </c>
      <c r="C8792" s="19">
        <v>9</v>
      </c>
      <c r="D8792" s="19">
        <v>4</v>
      </c>
      <c r="E8792" s="19">
        <v>8</v>
      </c>
      <c r="F8792" s="19">
        <v>15</v>
      </c>
      <c r="G8792" s="15" t="s">
        <v>36</v>
      </c>
      <c r="H8792" s="14" t="s">
        <v>36</v>
      </c>
      <c r="I8792" s="18" t="s">
        <v>36</v>
      </c>
      <c r="J8792" s="12" t="s">
        <v>36</v>
      </c>
      <c r="K8792" s="13" t="s">
        <v>36</v>
      </c>
      <c r="L8792" s="15" t="s">
        <v>12462</v>
      </c>
      <c r="M8792" s="12" t="s">
        <v>36</v>
      </c>
      <c r="N8792" s="12" t="s">
        <v>12462</v>
      </c>
      <c r="O8792" s="17" t="s">
        <v>36</v>
      </c>
      <c r="P8792" s="12" t="s">
        <v>36</v>
      </c>
      <c r="Q8792" s="12" t="s">
        <v>36</v>
      </c>
      <c r="R8792" s="12" t="s">
        <v>36</v>
      </c>
      <c r="S8792" s="12" t="s">
        <v>36</v>
      </c>
      <c r="T8792" s="12" t="s">
        <v>38038</v>
      </c>
      <c r="U8792" s="12" t="s">
        <v>180</v>
      </c>
      <c r="V8792" s="12" t="s">
        <v>52</v>
      </c>
      <c r="W8792" s="12" t="s">
        <v>38039</v>
      </c>
      <c r="X8792" s="16" t="s">
        <v>37584</v>
      </c>
      <c r="Y8792" s="15" t="s">
        <v>192</v>
      </c>
      <c r="Z8792" s="14">
        <v>13.59</v>
      </c>
      <c r="AA8792" s="14" t="s">
        <v>36</v>
      </c>
      <c r="AB8792" s="12" t="s">
        <v>56</v>
      </c>
      <c r="AC8792" s="12" t="s">
        <v>38040</v>
      </c>
      <c r="AD8792" s="13">
        <v>40513</v>
      </c>
      <c r="AE8792" s="12" t="s">
        <v>3847</v>
      </c>
      <c r="AF8792" s="12" t="s">
        <v>38041</v>
      </c>
      <c r="AG8792" s="12" t="s">
        <v>765</v>
      </c>
      <c r="AH8792" s="1">
        <f>HYPERLINK("https://my.pitchbook.com?c=55993-24T","View Company Online")</f>
      </c>
    </row>
    <row r="8793">
      <c r="A8793" s="3" t="s">
        <v>38042</v>
      </c>
      <c r="B8793" s="3" t="s">
        <v>18747</v>
      </c>
      <c r="C8793" s="5" t="s">
        <v>36</v>
      </c>
      <c r="D8793" s="5" t="s">
        <v>36</v>
      </c>
      <c r="E8793" s="5" t="s">
        <v>36</v>
      </c>
      <c r="F8793" s="5" t="s">
        <v>36</v>
      </c>
      <c r="G8793" s="6" t="s">
        <v>36</v>
      </c>
      <c r="H8793" s="4" t="s">
        <v>36</v>
      </c>
      <c r="I8793" s="7" t="s">
        <v>36</v>
      </c>
      <c r="J8793" s="3" t="s">
        <v>36</v>
      </c>
      <c r="K8793" s="9" t="s">
        <v>36</v>
      </c>
      <c r="L8793" s="6" t="s">
        <v>36</v>
      </c>
      <c r="M8793" s="3" t="s">
        <v>36</v>
      </c>
      <c r="N8793" s="3" t="s">
        <v>36</v>
      </c>
      <c r="O8793" s="8" t="s">
        <v>36</v>
      </c>
      <c r="P8793" s="3" t="s">
        <v>36</v>
      </c>
      <c r="Q8793" s="3" t="s">
        <v>36</v>
      </c>
      <c r="R8793" s="3" t="s">
        <v>36</v>
      </c>
      <c r="S8793" s="3" t="s">
        <v>6677</v>
      </c>
      <c r="T8793" s="3" t="s">
        <v>18748</v>
      </c>
      <c r="U8793" s="3" t="s">
        <v>74</v>
      </c>
      <c r="V8793" s="3" t="s">
        <v>75</v>
      </c>
      <c r="W8793" s="3" t="s">
        <v>18749</v>
      </c>
      <c r="X8793" s="10" t="s">
        <v>38043</v>
      </c>
      <c r="Y8793" s="6" t="s">
        <v>42</v>
      </c>
      <c r="Z8793" s="4">
        <v>0.82</v>
      </c>
      <c r="AA8793" s="4" t="s">
        <v>36</v>
      </c>
      <c r="AB8793" s="3" t="s">
        <v>43</v>
      </c>
      <c r="AC8793" s="3" t="s">
        <v>18751</v>
      </c>
      <c r="AD8793" s="9">
        <v>40513</v>
      </c>
      <c r="AE8793" s="3" t="s">
        <v>79</v>
      </c>
      <c r="AF8793" s="3" t="s">
        <v>18752</v>
      </c>
      <c r="AG8793" s="3" t="s">
        <v>1078</v>
      </c>
      <c r="AH8793" s="11">
        <f>HYPERLINK("https://my.pitchbook.com?c=132203-71T","View Company Online")</f>
      </c>
    </row>
    <row r="8794">
      <c r="A8794" s="12" t="s">
        <v>38044</v>
      </c>
      <c r="B8794" s="12" t="s">
        <v>6640</v>
      </c>
      <c r="C8794" s="19">
        <v>42</v>
      </c>
      <c r="D8794" s="19">
        <v>54</v>
      </c>
      <c r="E8794" s="19">
        <v>49</v>
      </c>
      <c r="F8794" s="19">
        <v>99</v>
      </c>
      <c r="G8794" s="15" t="s">
        <v>36</v>
      </c>
      <c r="H8794" s="14">
        <v>213.04</v>
      </c>
      <c r="I8794" s="18">
        <v>21.56</v>
      </c>
      <c r="J8794" s="12" t="s">
        <v>521</v>
      </c>
      <c r="K8794" s="13" t="s">
        <v>36</v>
      </c>
      <c r="L8794" s="15" t="s">
        <v>36</v>
      </c>
      <c r="M8794" s="12" t="s">
        <v>36</v>
      </c>
      <c r="N8794" s="12" t="s">
        <v>36</v>
      </c>
      <c r="O8794" s="17" t="s">
        <v>36</v>
      </c>
      <c r="P8794" s="12" t="s">
        <v>36</v>
      </c>
      <c r="Q8794" s="12" t="s">
        <v>36</v>
      </c>
      <c r="R8794" s="12" t="s">
        <v>36</v>
      </c>
      <c r="S8794" s="12" t="s">
        <v>36</v>
      </c>
      <c r="T8794" s="12" t="s">
        <v>596</v>
      </c>
      <c r="U8794" s="12" t="s">
        <v>366</v>
      </c>
      <c r="V8794" s="12" t="s">
        <v>367</v>
      </c>
      <c r="W8794" s="12" t="s">
        <v>6641</v>
      </c>
      <c r="X8794" s="16" t="s">
        <v>38045</v>
      </c>
      <c r="Y8794" s="15" t="s">
        <v>42</v>
      </c>
      <c r="Z8794" s="14">
        <v>0.68</v>
      </c>
      <c r="AA8794" s="14">
        <v>3.16</v>
      </c>
      <c r="AB8794" s="12" t="s">
        <v>43</v>
      </c>
      <c r="AC8794" s="12" t="s">
        <v>6643</v>
      </c>
      <c r="AD8794" s="13">
        <v>40513</v>
      </c>
      <c r="AE8794" s="12" t="s">
        <v>600</v>
      </c>
      <c r="AF8794" s="12" t="s">
        <v>703</v>
      </c>
      <c r="AG8794" s="12" t="s">
        <v>6644</v>
      </c>
      <c r="AH8794" s="1">
        <f>HYPERLINK("https://my.pitchbook.com?c=35588-17T","View Company Online")</f>
      </c>
    </row>
    <row r="8795">
      <c r="A8795" s="3" t="s">
        <v>38046</v>
      </c>
      <c r="B8795" s="3" t="s">
        <v>35574</v>
      </c>
      <c r="C8795" s="5">
        <v>132</v>
      </c>
      <c r="D8795" s="5">
        <v>276</v>
      </c>
      <c r="E8795" s="5">
        <v>82</v>
      </c>
      <c r="F8795" s="5">
        <v>450</v>
      </c>
      <c r="G8795" s="6" t="s">
        <v>36</v>
      </c>
      <c r="H8795" s="4" t="s">
        <v>36</v>
      </c>
      <c r="I8795" s="7" t="s">
        <v>36</v>
      </c>
      <c r="J8795" s="3" t="s">
        <v>36</v>
      </c>
      <c r="K8795" s="9" t="s">
        <v>36</v>
      </c>
      <c r="L8795" s="6" t="s">
        <v>1279</v>
      </c>
      <c r="M8795" s="3" t="s">
        <v>36</v>
      </c>
      <c r="N8795" s="3" t="s">
        <v>1279</v>
      </c>
      <c r="O8795" s="8" t="s">
        <v>36</v>
      </c>
      <c r="P8795" s="3" t="s">
        <v>36</v>
      </c>
      <c r="Q8795" s="3" t="s">
        <v>36</v>
      </c>
      <c r="R8795" s="3" t="s">
        <v>36</v>
      </c>
      <c r="S8795" s="3" t="s">
        <v>36</v>
      </c>
      <c r="T8795" s="3" t="s">
        <v>1628</v>
      </c>
      <c r="U8795" s="3" t="s">
        <v>96</v>
      </c>
      <c r="V8795" s="3" t="s">
        <v>52</v>
      </c>
      <c r="W8795" s="3" t="s">
        <v>35575</v>
      </c>
      <c r="X8795" s="10" t="s">
        <v>38047</v>
      </c>
      <c r="Y8795" s="6" t="s">
        <v>192</v>
      </c>
      <c r="Z8795" s="4">
        <v>47.18</v>
      </c>
      <c r="AA8795" s="4" t="s">
        <v>36</v>
      </c>
      <c r="AB8795" s="3" t="s">
        <v>56</v>
      </c>
      <c r="AC8795" s="3" t="s">
        <v>35577</v>
      </c>
      <c r="AD8795" s="9">
        <v>40511</v>
      </c>
      <c r="AE8795" s="3" t="s">
        <v>755</v>
      </c>
      <c r="AF8795" s="3" t="s">
        <v>29370</v>
      </c>
      <c r="AG8795" s="3" t="s">
        <v>392</v>
      </c>
      <c r="AH8795" s="11">
        <f>HYPERLINK("https://my.pitchbook.com?c=20965-87T","View Company Online")</f>
      </c>
    </row>
    <row r="8796">
      <c r="A8796" s="12" t="s">
        <v>38048</v>
      </c>
      <c r="B8796" s="12" t="s">
        <v>38049</v>
      </c>
      <c r="C8796" s="19" t="s">
        <v>36</v>
      </c>
      <c r="D8796" s="19" t="s">
        <v>36</v>
      </c>
      <c r="E8796" s="19" t="s">
        <v>36</v>
      </c>
      <c r="F8796" s="19" t="s">
        <v>36</v>
      </c>
      <c r="G8796" s="15" t="s">
        <v>36</v>
      </c>
      <c r="H8796" s="14">
        <v>10.39</v>
      </c>
      <c r="I8796" s="18">
        <v>33.38</v>
      </c>
      <c r="J8796" s="12" t="s">
        <v>521</v>
      </c>
      <c r="K8796" s="13" t="s">
        <v>36</v>
      </c>
      <c r="L8796" s="15" t="s">
        <v>36</v>
      </c>
      <c r="M8796" s="12" t="s">
        <v>36</v>
      </c>
      <c r="N8796" s="12" t="s">
        <v>36</v>
      </c>
      <c r="O8796" s="17" t="s">
        <v>36</v>
      </c>
      <c r="P8796" s="12" t="s">
        <v>36</v>
      </c>
      <c r="Q8796" s="12" t="s">
        <v>36</v>
      </c>
      <c r="R8796" s="12" t="s">
        <v>36</v>
      </c>
      <c r="S8796" s="12" t="s">
        <v>36</v>
      </c>
      <c r="T8796" s="12" t="s">
        <v>647</v>
      </c>
      <c r="U8796" s="12" t="s">
        <v>648</v>
      </c>
      <c r="V8796" s="12" t="s">
        <v>64</v>
      </c>
      <c r="W8796" s="12" t="s">
        <v>38050</v>
      </c>
      <c r="X8796" s="16" t="s">
        <v>5892</v>
      </c>
      <c r="Y8796" s="15" t="s">
        <v>42</v>
      </c>
      <c r="Z8796" s="14">
        <v>0.69</v>
      </c>
      <c r="AA8796" s="14">
        <v>2.05</v>
      </c>
      <c r="AB8796" s="12" t="s">
        <v>43</v>
      </c>
      <c r="AC8796" s="12" t="s">
        <v>38051</v>
      </c>
      <c r="AD8796" s="13">
        <v>40511</v>
      </c>
      <c r="AE8796" s="12" t="s">
        <v>651</v>
      </c>
      <c r="AF8796" s="12" t="s">
        <v>36</v>
      </c>
      <c r="AG8796" s="12" t="s">
        <v>81</v>
      </c>
      <c r="AH8796" s="1">
        <f>HYPERLINK("https://my.pitchbook.com?c=37318-69T","View Company Online")</f>
      </c>
    </row>
    <row r="8797">
      <c r="A8797" s="3" t="s">
        <v>38052</v>
      </c>
      <c r="B8797" s="3" t="s">
        <v>38053</v>
      </c>
      <c r="C8797" s="5" t="s">
        <v>36</v>
      </c>
      <c r="D8797" s="5" t="s">
        <v>36</v>
      </c>
      <c r="E8797" s="5" t="s">
        <v>36</v>
      </c>
      <c r="F8797" s="5" t="s">
        <v>36</v>
      </c>
      <c r="G8797" s="6" t="s">
        <v>36</v>
      </c>
      <c r="H8797" s="4">
        <v>88.83</v>
      </c>
      <c r="I8797" s="7">
        <v>26.14</v>
      </c>
      <c r="J8797" s="3" t="s">
        <v>521</v>
      </c>
      <c r="K8797" s="9" t="s">
        <v>36</v>
      </c>
      <c r="L8797" s="6" t="s">
        <v>36</v>
      </c>
      <c r="M8797" s="3" t="s">
        <v>36</v>
      </c>
      <c r="N8797" s="3" t="s">
        <v>36</v>
      </c>
      <c r="O8797" s="8" t="s">
        <v>36</v>
      </c>
      <c r="P8797" s="3" t="s">
        <v>36</v>
      </c>
      <c r="Q8797" s="3" t="s">
        <v>36</v>
      </c>
      <c r="R8797" s="3" t="s">
        <v>36</v>
      </c>
      <c r="S8797" s="3" t="s">
        <v>36</v>
      </c>
      <c r="T8797" s="3" t="s">
        <v>647</v>
      </c>
      <c r="U8797" s="3" t="s">
        <v>648</v>
      </c>
      <c r="V8797" s="3" t="s">
        <v>64</v>
      </c>
      <c r="W8797" s="3" t="s">
        <v>38054</v>
      </c>
      <c r="X8797" s="10" t="s">
        <v>38055</v>
      </c>
      <c r="Y8797" s="6" t="s">
        <v>42</v>
      </c>
      <c r="Z8797" s="4">
        <v>0.26</v>
      </c>
      <c r="AA8797" s="4">
        <v>0.99</v>
      </c>
      <c r="AB8797" s="3" t="s">
        <v>43</v>
      </c>
      <c r="AC8797" s="3" t="s">
        <v>38056</v>
      </c>
      <c r="AD8797" s="9">
        <v>40510</v>
      </c>
      <c r="AE8797" s="3" t="s">
        <v>651</v>
      </c>
      <c r="AF8797" s="3" t="s">
        <v>2118</v>
      </c>
      <c r="AG8797" s="3" t="s">
        <v>144</v>
      </c>
      <c r="AH8797" s="11">
        <f>HYPERLINK("https://my.pitchbook.com?c=24580-45T","View Company Online")</f>
      </c>
    </row>
    <row r="8798">
      <c r="A8798" s="12" t="s">
        <v>38057</v>
      </c>
      <c r="B8798" s="12" t="s">
        <v>11227</v>
      </c>
      <c r="C8798" s="19">
        <v>15</v>
      </c>
      <c r="D8798" s="19">
        <v>11</v>
      </c>
      <c r="E8798" s="19">
        <v>6</v>
      </c>
      <c r="F8798" s="19">
        <v>26</v>
      </c>
      <c r="G8798" s="15" t="s">
        <v>36</v>
      </c>
      <c r="H8798" s="14" t="s">
        <v>36</v>
      </c>
      <c r="I8798" s="18">
        <v>50.47</v>
      </c>
      <c r="J8798" s="12" t="s">
        <v>327</v>
      </c>
      <c r="K8798" s="13" t="s">
        <v>36</v>
      </c>
      <c r="L8798" s="15" t="s">
        <v>122</v>
      </c>
      <c r="M8798" s="12" t="s">
        <v>36</v>
      </c>
      <c r="N8798" s="12" t="s">
        <v>122</v>
      </c>
      <c r="O8798" s="17" t="s">
        <v>36</v>
      </c>
      <c r="P8798" s="12" t="s">
        <v>36</v>
      </c>
      <c r="Q8798" s="12" t="s">
        <v>36</v>
      </c>
      <c r="R8798" s="12" t="s">
        <v>36</v>
      </c>
      <c r="S8798" s="12" t="s">
        <v>36</v>
      </c>
      <c r="T8798" s="12" t="s">
        <v>618</v>
      </c>
      <c r="U8798" s="12" t="s">
        <v>619</v>
      </c>
      <c r="V8798" s="12" t="s">
        <v>378</v>
      </c>
      <c r="W8798" s="12" t="s">
        <v>11228</v>
      </c>
      <c r="X8798" s="16" t="s">
        <v>38058</v>
      </c>
      <c r="Y8798" s="15" t="s">
        <v>42</v>
      </c>
      <c r="Z8798" s="14">
        <v>1.65</v>
      </c>
      <c r="AA8798" s="14">
        <v>3.27</v>
      </c>
      <c r="AB8798" s="12" t="s">
        <v>43</v>
      </c>
      <c r="AC8798" s="12" t="s">
        <v>11230</v>
      </c>
      <c r="AD8798" s="13">
        <v>40508</v>
      </c>
      <c r="AE8798" s="12" t="s">
        <v>623</v>
      </c>
      <c r="AF8798" s="12" t="s">
        <v>2673</v>
      </c>
      <c r="AG8798" s="12" t="s">
        <v>81</v>
      </c>
      <c r="AH8798" s="1">
        <f>HYPERLINK("https://my.pitchbook.com?c=26437-69T","View Company Online")</f>
      </c>
    </row>
    <row r="8799">
      <c r="A8799" s="3" t="s">
        <v>38059</v>
      </c>
      <c r="B8799" s="3" t="s">
        <v>38060</v>
      </c>
      <c r="C8799" s="5" t="s">
        <v>36</v>
      </c>
      <c r="D8799" s="5" t="s">
        <v>36</v>
      </c>
      <c r="E8799" s="5" t="s">
        <v>36</v>
      </c>
      <c r="F8799" s="5" t="s">
        <v>36</v>
      </c>
      <c r="G8799" s="6" t="s">
        <v>36</v>
      </c>
      <c r="H8799" s="4">
        <v>3.82</v>
      </c>
      <c r="I8799" s="7">
        <v>25.06</v>
      </c>
      <c r="J8799" s="3" t="s">
        <v>521</v>
      </c>
      <c r="K8799" s="9" t="s">
        <v>36</v>
      </c>
      <c r="L8799" s="6" t="s">
        <v>36</v>
      </c>
      <c r="M8799" s="3" t="s">
        <v>36</v>
      </c>
      <c r="N8799" s="3" t="s">
        <v>36</v>
      </c>
      <c r="O8799" s="8" t="s">
        <v>36</v>
      </c>
      <c r="P8799" s="3" t="s">
        <v>36</v>
      </c>
      <c r="Q8799" s="3" t="s">
        <v>36</v>
      </c>
      <c r="R8799" s="3" t="s">
        <v>36</v>
      </c>
      <c r="S8799" s="3" t="s">
        <v>36</v>
      </c>
      <c r="T8799" s="3" t="s">
        <v>550</v>
      </c>
      <c r="U8799" s="3" t="s">
        <v>38</v>
      </c>
      <c r="V8799" s="3" t="s">
        <v>39</v>
      </c>
      <c r="W8799" s="3" t="s">
        <v>38061</v>
      </c>
      <c r="X8799" s="10" t="s">
        <v>38062</v>
      </c>
      <c r="Y8799" s="6" t="s">
        <v>42</v>
      </c>
      <c r="Z8799" s="4">
        <v>2.76</v>
      </c>
      <c r="AA8799" s="4">
        <v>11</v>
      </c>
      <c r="AB8799" s="3" t="s">
        <v>43</v>
      </c>
      <c r="AC8799" s="3" t="s">
        <v>38063</v>
      </c>
      <c r="AD8799" s="9">
        <v>40506</v>
      </c>
      <c r="AE8799" s="3" t="s">
        <v>554</v>
      </c>
      <c r="AF8799" s="3" t="s">
        <v>4438</v>
      </c>
      <c r="AG8799" s="3" t="s">
        <v>81</v>
      </c>
      <c r="AH8799" s="11">
        <f>HYPERLINK("https://my.pitchbook.com?c=35103-25T","View Company Online")</f>
      </c>
    </row>
    <row r="8800">
      <c r="A8800" s="12" t="s">
        <v>38064</v>
      </c>
      <c r="B8800" s="12" t="s">
        <v>38065</v>
      </c>
      <c r="C8800" s="19" t="s">
        <v>36</v>
      </c>
      <c r="D8800" s="19" t="s">
        <v>36</v>
      </c>
      <c r="E8800" s="19" t="s">
        <v>36</v>
      </c>
      <c r="F8800" s="19" t="s">
        <v>36</v>
      </c>
      <c r="G8800" s="15" t="s">
        <v>36</v>
      </c>
      <c r="H8800" s="14">
        <v>35.31</v>
      </c>
      <c r="I8800" s="18">
        <v>28.53</v>
      </c>
      <c r="J8800" s="12" t="s">
        <v>521</v>
      </c>
      <c r="K8800" s="13" t="s">
        <v>36</v>
      </c>
      <c r="L8800" s="15" t="s">
        <v>36</v>
      </c>
      <c r="M8800" s="12" t="s">
        <v>36</v>
      </c>
      <c r="N8800" s="12" t="s">
        <v>36</v>
      </c>
      <c r="O8800" s="17" t="s">
        <v>36</v>
      </c>
      <c r="P8800" s="12" t="s">
        <v>36</v>
      </c>
      <c r="Q8800" s="12" t="s">
        <v>36</v>
      </c>
      <c r="R8800" s="12" t="s">
        <v>36</v>
      </c>
      <c r="S8800" s="12" t="s">
        <v>36</v>
      </c>
      <c r="T8800" s="12" t="s">
        <v>17132</v>
      </c>
      <c r="U8800" s="12" t="s">
        <v>728</v>
      </c>
      <c r="V8800" s="12" t="s">
        <v>64</v>
      </c>
      <c r="W8800" s="12" t="s">
        <v>38066</v>
      </c>
      <c r="X8800" s="16" t="s">
        <v>560</v>
      </c>
      <c r="Y8800" s="15" t="s">
        <v>42</v>
      </c>
      <c r="Z8800" s="14">
        <v>0.56</v>
      </c>
      <c r="AA8800" s="14">
        <v>1.97</v>
      </c>
      <c r="AB8800" s="12" t="s">
        <v>43</v>
      </c>
      <c r="AC8800" s="12" t="s">
        <v>38067</v>
      </c>
      <c r="AD8800" s="13">
        <v>40505</v>
      </c>
      <c r="AE8800" s="12" t="s">
        <v>1600</v>
      </c>
      <c r="AF8800" s="12" t="s">
        <v>30104</v>
      </c>
      <c r="AG8800" s="12" t="s">
        <v>15416</v>
      </c>
      <c r="AH8800" s="1">
        <f>HYPERLINK("https://my.pitchbook.com?c=36771-67T","View Company Online")</f>
      </c>
    </row>
    <row r="8801">
      <c r="A8801" s="3" t="s">
        <v>38068</v>
      </c>
      <c r="B8801" s="3" t="s">
        <v>38069</v>
      </c>
      <c r="C8801" s="5" t="s">
        <v>36</v>
      </c>
      <c r="D8801" s="5">
        <v>1</v>
      </c>
      <c r="E8801" s="5">
        <v>1</v>
      </c>
      <c r="F8801" s="5">
        <v>2</v>
      </c>
      <c r="G8801" s="6" t="s">
        <v>36</v>
      </c>
      <c r="H8801" s="4">
        <v>1038.57</v>
      </c>
      <c r="I8801" s="7">
        <v>33.47</v>
      </c>
      <c r="J8801" s="3" t="s">
        <v>521</v>
      </c>
      <c r="K8801" s="9" t="s">
        <v>36</v>
      </c>
      <c r="L8801" s="6" t="s">
        <v>36</v>
      </c>
      <c r="M8801" s="3" t="s">
        <v>36</v>
      </c>
      <c r="N8801" s="3" t="s">
        <v>36</v>
      </c>
      <c r="O8801" s="8" t="s">
        <v>36</v>
      </c>
      <c r="P8801" s="3" t="s">
        <v>36</v>
      </c>
      <c r="Q8801" s="3" t="s">
        <v>36</v>
      </c>
      <c r="R8801" s="3" t="s">
        <v>36</v>
      </c>
      <c r="S8801" s="3" t="s">
        <v>36</v>
      </c>
      <c r="T8801" s="3" t="s">
        <v>12140</v>
      </c>
      <c r="U8801" s="3" t="s">
        <v>7149</v>
      </c>
      <c r="V8801" s="3" t="s">
        <v>378</v>
      </c>
      <c r="W8801" s="3" t="s">
        <v>38070</v>
      </c>
      <c r="X8801" s="10" t="s">
        <v>33164</v>
      </c>
      <c r="Y8801" s="6" t="s">
        <v>42</v>
      </c>
      <c r="Z8801" s="4">
        <v>0.7</v>
      </c>
      <c r="AA8801" s="4">
        <v>2.09</v>
      </c>
      <c r="AB8801" s="3" t="s">
        <v>43</v>
      </c>
      <c r="AC8801" s="3" t="s">
        <v>38071</v>
      </c>
      <c r="AD8801" s="9">
        <v>40498</v>
      </c>
      <c r="AE8801" s="3" t="s">
        <v>7153</v>
      </c>
      <c r="AF8801" s="3" t="s">
        <v>36</v>
      </c>
      <c r="AG8801" s="3" t="s">
        <v>38072</v>
      </c>
      <c r="AH8801" s="11">
        <f>HYPERLINK("https://my.pitchbook.com?c=25463-17T","View Company Online")</f>
      </c>
    </row>
    <row r="8802">
      <c r="A8802" s="12" t="s">
        <v>38073</v>
      </c>
      <c r="B8802" s="12" t="s">
        <v>36759</v>
      </c>
      <c r="C8802" s="19" t="s">
        <v>36</v>
      </c>
      <c r="D8802" s="19" t="s">
        <v>36</v>
      </c>
      <c r="E8802" s="19" t="s">
        <v>36</v>
      </c>
      <c r="F8802" s="19" t="s">
        <v>36</v>
      </c>
      <c r="G8802" s="15" t="s">
        <v>36</v>
      </c>
      <c r="H8802" s="14" t="s">
        <v>36</v>
      </c>
      <c r="I8802" s="18" t="s">
        <v>36</v>
      </c>
      <c r="J8802" s="12" t="s">
        <v>36</v>
      </c>
      <c r="K8802" s="13" t="s">
        <v>36</v>
      </c>
      <c r="L8802" s="15" t="s">
        <v>36</v>
      </c>
      <c r="M8802" s="12" t="s">
        <v>36</v>
      </c>
      <c r="N8802" s="12" t="s">
        <v>36</v>
      </c>
      <c r="O8802" s="17" t="s">
        <v>36</v>
      </c>
      <c r="P8802" s="12" t="s">
        <v>36</v>
      </c>
      <c r="Q8802" s="12" t="s">
        <v>36</v>
      </c>
      <c r="R8802" s="12" t="s">
        <v>36</v>
      </c>
      <c r="S8802" s="12" t="s">
        <v>36</v>
      </c>
      <c r="T8802" s="12" t="s">
        <v>1701</v>
      </c>
      <c r="U8802" s="12" t="s">
        <v>74</v>
      </c>
      <c r="V8802" s="12" t="s">
        <v>75</v>
      </c>
      <c r="W8802" s="12" t="s">
        <v>36760</v>
      </c>
      <c r="X8802" s="16" t="s">
        <v>38074</v>
      </c>
      <c r="Y8802" s="15" t="s">
        <v>42</v>
      </c>
      <c r="Z8802" s="14">
        <v>0.83</v>
      </c>
      <c r="AA8802" s="14" t="s">
        <v>36</v>
      </c>
      <c r="AB8802" s="12" t="s">
        <v>43</v>
      </c>
      <c r="AC8802" s="12" t="s">
        <v>36762</v>
      </c>
      <c r="AD8802" s="13">
        <v>40497</v>
      </c>
      <c r="AE8802" s="12" t="s">
        <v>79</v>
      </c>
      <c r="AF8802" s="12" t="s">
        <v>2210</v>
      </c>
      <c r="AG8802" s="12" t="s">
        <v>81</v>
      </c>
      <c r="AH8802" s="1">
        <f>HYPERLINK("https://my.pitchbook.com?c=28622-44T","View Company Online")</f>
      </c>
    </row>
    <row r="8803">
      <c r="A8803" s="3" t="s">
        <v>38075</v>
      </c>
      <c r="B8803" s="3" t="s">
        <v>23382</v>
      </c>
      <c r="C8803" s="5">
        <v>4</v>
      </c>
      <c r="D8803" s="5">
        <v>33</v>
      </c>
      <c r="E8803" s="5">
        <v>9</v>
      </c>
      <c r="F8803" s="5">
        <v>58</v>
      </c>
      <c r="G8803" s="6" t="s">
        <v>683</v>
      </c>
      <c r="H8803" s="4">
        <v>6.82</v>
      </c>
      <c r="I8803" s="7">
        <v>20.89</v>
      </c>
      <c r="J8803" s="3" t="s">
        <v>521</v>
      </c>
      <c r="K8803" s="9" t="s">
        <v>36</v>
      </c>
      <c r="L8803" s="6" t="s">
        <v>36</v>
      </c>
      <c r="M8803" s="3" t="s">
        <v>36</v>
      </c>
      <c r="N8803" s="3" t="s">
        <v>36</v>
      </c>
      <c r="O8803" s="8" t="s">
        <v>36</v>
      </c>
      <c r="P8803" s="3" t="s">
        <v>36</v>
      </c>
      <c r="Q8803" s="3" t="s">
        <v>36</v>
      </c>
      <c r="R8803" s="3" t="s">
        <v>36</v>
      </c>
      <c r="S8803" s="3" t="s">
        <v>36</v>
      </c>
      <c r="T8803" s="3" t="s">
        <v>23383</v>
      </c>
      <c r="U8803" s="3" t="s">
        <v>96</v>
      </c>
      <c r="V8803" s="3" t="s">
        <v>52</v>
      </c>
      <c r="W8803" s="3" t="s">
        <v>23384</v>
      </c>
      <c r="X8803" s="10" t="s">
        <v>38076</v>
      </c>
      <c r="Y8803" s="6" t="s">
        <v>192</v>
      </c>
      <c r="Z8803" s="4">
        <v>5.35</v>
      </c>
      <c r="AA8803" s="4">
        <v>25.58</v>
      </c>
      <c r="AB8803" s="3" t="s">
        <v>56</v>
      </c>
      <c r="AC8803" s="3" t="s">
        <v>23386</v>
      </c>
      <c r="AD8803" s="9">
        <v>40490</v>
      </c>
      <c r="AE8803" s="3" t="s">
        <v>496</v>
      </c>
      <c r="AF8803" s="3" t="s">
        <v>17897</v>
      </c>
      <c r="AG8803" s="3" t="s">
        <v>1890</v>
      </c>
      <c r="AH8803" s="11">
        <f>HYPERLINK("https://my.pitchbook.com?c=125254-72T","View Company Online")</f>
      </c>
    </row>
    <row r="8804">
      <c r="A8804" s="12" t="s">
        <v>38077</v>
      </c>
      <c r="B8804" s="12" t="s">
        <v>35701</v>
      </c>
      <c r="C8804" s="19" t="s">
        <v>36</v>
      </c>
      <c r="D8804" s="19" t="s">
        <v>36</v>
      </c>
      <c r="E8804" s="19" t="s">
        <v>36</v>
      </c>
      <c r="F8804" s="19" t="s">
        <v>36</v>
      </c>
      <c r="G8804" s="15" t="s">
        <v>326</v>
      </c>
      <c r="H8804" s="14">
        <v>108.4</v>
      </c>
      <c r="I8804" s="18">
        <v>35.29</v>
      </c>
      <c r="J8804" s="12" t="s">
        <v>521</v>
      </c>
      <c r="K8804" s="13" t="s">
        <v>36</v>
      </c>
      <c r="L8804" s="15" t="s">
        <v>122</v>
      </c>
      <c r="M8804" s="12" t="s">
        <v>36</v>
      </c>
      <c r="N8804" s="12" t="s">
        <v>122</v>
      </c>
      <c r="O8804" s="17" t="s">
        <v>36</v>
      </c>
      <c r="P8804" s="12" t="s">
        <v>36</v>
      </c>
      <c r="Q8804" s="12" t="s">
        <v>36</v>
      </c>
      <c r="R8804" s="12" t="s">
        <v>36</v>
      </c>
      <c r="S8804" s="12" t="s">
        <v>36</v>
      </c>
      <c r="T8804" s="12" t="s">
        <v>1560</v>
      </c>
      <c r="U8804" s="12" t="s">
        <v>438</v>
      </c>
      <c r="V8804" s="12" t="s">
        <v>405</v>
      </c>
      <c r="W8804" s="12" t="s">
        <v>35702</v>
      </c>
      <c r="X8804" s="16" t="s">
        <v>38078</v>
      </c>
      <c r="Y8804" s="15" t="s">
        <v>108</v>
      </c>
      <c r="Z8804" s="14">
        <v>1.67</v>
      </c>
      <c r="AA8804" s="14">
        <v>4.75</v>
      </c>
      <c r="AB8804" s="12" t="s">
        <v>43</v>
      </c>
      <c r="AC8804" s="12" t="s">
        <v>35704</v>
      </c>
      <c r="AD8804" s="13">
        <v>40490</v>
      </c>
      <c r="AE8804" s="12" t="s">
        <v>438</v>
      </c>
      <c r="AF8804" s="12" t="s">
        <v>36</v>
      </c>
      <c r="AG8804" s="12" t="s">
        <v>81</v>
      </c>
      <c r="AH8804" s="1">
        <f>HYPERLINK("https://my.pitchbook.com?c=25749-28T","View Company Online")</f>
      </c>
    </row>
    <row r="8805">
      <c r="A8805" s="3" t="s">
        <v>38079</v>
      </c>
      <c r="B8805" s="3" t="s">
        <v>38080</v>
      </c>
      <c r="C8805" s="5" t="s">
        <v>36</v>
      </c>
      <c r="D8805" s="5" t="s">
        <v>36</v>
      </c>
      <c r="E8805" s="5" t="s">
        <v>36</v>
      </c>
      <c r="F8805" s="5" t="s">
        <v>36</v>
      </c>
      <c r="G8805" s="6" t="s">
        <v>36</v>
      </c>
      <c r="H8805" s="4" t="s">
        <v>36</v>
      </c>
      <c r="I8805" s="7" t="s">
        <v>36</v>
      </c>
      <c r="J8805" s="3" t="s">
        <v>36</v>
      </c>
      <c r="K8805" s="9" t="s">
        <v>36</v>
      </c>
      <c r="L8805" s="6" t="s">
        <v>36</v>
      </c>
      <c r="M8805" s="3" t="s">
        <v>36</v>
      </c>
      <c r="N8805" s="3" t="s">
        <v>36</v>
      </c>
      <c r="O8805" s="8" t="s">
        <v>36</v>
      </c>
      <c r="P8805" s="3" t="s">
        <v>36</v>
      </c>
      <c r="Q8805" s="3" t="s">
        <v>36</v>
      </c>
      <c r="R8805" s="3" t="s">
        <v>36</v>
      </c>
      <c r="S8805" s="3" t="s">
        <v>36</v>
      </c>
      <c r="T8805" s="3" t="s">
        <v>4917</v>
      </c>
      <c r="U8805" s="3" t="s">
        <v>38</v>
      </c>
      <c r="V8805" s="3" t="s">
        <v>39</v>
      </c>
      <c r="W8805" s="3" t="s">
        <v>38081</v>
      </c>
      <c r="X8805" s="10" t="s">
        <v>26325</v>
      </c>
      <c r="Y8805" s="6" t="s">
        <v>42</v>
      </c>
      <c r="Z8805" s="4">
        <v>11.15</v>
      </c>
      <c r="AA8805" s="4" t="s">
        <v>36</v>
      </c>
      <c r="AB8805" s="3" t="s">
        <v>56</v>
      </c>
      <c r="AC8805" s="3" t="s">
        <v>38082</v>
      </c>
      <c r="AD8805" s="9">
        <v>40485</v>
      </c>
      <c r="AE8805" s="3" t="s">
        <v>134</v>
      </c>
      <c r="AF8805" s="3" t="s">
        <v>36</v>
      </c>
      <c r="AG8805" s="3" t="s">
        <v>21549</v>
      </c>
      <c r="AH8805" s="11">
        <f>HYPERLINK("https://my.pitchbook.com?c=131470-84T","View Company Online")</f>
      </c>
    </row>
    <row r="8806">
      <c r="A8806" s="12" t="s">
        <v>38083</v>
      </c>
      <c r="B8806" s="12" t="s">
        <v>38084</v>
      </c>
      <c r="C8806" s="19" t="s">
        <v>36</v>
      </c>
      <c r="D8806" s="19" t="s">
        <v>36</v>
      </c>
      <c r="E8806" s="19" t="s">
        <v>36</v>
      </c>
      <c r="F8806" s="19" t="s">
        <v>36</v>
      </c>
      <c r="G8806" s="15" t="s">
        <v>36</v>
      </c>
      <c r="H8806" s="14" t="s">
        <v>36</v>
      </c>
      <c r="I8806" s="18" t="s">
        <v>36</v>
      </c>
      <c r="J8806" s="12" t="s">
        <v>36</v>
      </c>
      <c r="K8806" s="13" t="s">
        <v>36</v>
      </c>
      <c r="L8806" s="15" t="s">
        <v>36</v>
      </c>
      <c r="M8806" s="12" t="s">
        <v>36</v>
      </c>
      <c r="N8806" s="12" t="s">
        <v>36</v>
      </c>
      <c r="O8806" s="17" t="s">
        <v>36</v>
      </c>
      <c r="P8806" s="12" t="s">
        <v>36</v>
      </c>
      <c r="Q8806" s="12" t="s">
        <v>36</v>
      </c>
      <c r="R8806" s="12" t="s">
        <v>36</v>
      </c>
      <c r="S8806" s="12" t="s">
        <v>36</v>
      </c>
      <c r="T8806" s="12" t="s">
        <v>38085</v>
      </c>
      <c r="U8806" s="12" t="s">
        <v>74</v>
      </c>
      <c r="V8806" s="12" t="s">
        <v>75</v>
      </c>
      <c r="W8806" s="12" t="s">
        <v>38086</v>
      </c>
      <c r="X8806" s="16" t="s">
        <v>10302</v>
      </c>
      <c r="Y8806" s="15" t="s">
        <v>42</v>
      </c>
      <c r="Z8806" s="14">
        <v>0.28</v>
      </c>
      <c r="AA8806" s="14" t="s">
        <v>36</v>
      </c>
      <c r="AB8806" s="12" t="s">
        <v>56</v>
      </c>
      <c r="AC8806" s="12" t="s">
        <v>38087</v>
      </c>
      <c r="AD8806" s="13">
        <v>40483</v>
      </c>
      <c r="AE8806" s="12" t="s">
        <v>3144</v>
      </c>
      <c r="AF8806" s="12" t="s">
        <v>38088</v>
      </c>
      <c r="AG8806" s="12" t="s">
        <v>81</v>
      </c>
      <c r="AH8806" s="1">
        <f>HYPERLINK("https://my.pitchbook.com?c=51787-36T","View Company Online")</f>
      </c>
    </row>
    <row r="8807">
      <c r="A8807" s="3" t="s">
        <v>38089</v>
      </c>
      <c r="B8807" s="3" t="s">
        <v>34697</v>
      </c>
      <c r="C8807" s="5" t="s">
        <v>36</v>
      </c>
      <c r="D8807" s="5">
        <v>5</v>
      </c>
      <c r="E8807" s="5">
        <v>1</v>
      </c>
      <c r="F8807" s="5">
        <v>5</v>
      </c>
      <c r="G8807" s="6" t="s">
        <v>36</v>
      </c>
      <c r="H8807" s="4" t="s">
        <v>36</v>
      </c>
      <c r="I8807" s="7" t="s">
        <v>36</v>
      </c>
      <c r="J8807" s="3" t="s">
        <v>36</v>
      </c>
      <c r="K8807" s="9" t="s">
        <v>36</v>
      </c>
      <c r="L8807" s="6" t="s">
        <v>36</v>
      </c>
      <c r="M8807" s="3" t="s">
        <v>36</v>
      </c>
      <c r="N8807" s="3" t="s">
        <v>36</v>
      </c>
      <c r="O8807" s="8" t="s">
        <v>36</v>
      </c>
      <c r="P8807" s="3" t="s">
        <v>36</v>
      </c>
      <c r="Q8807" s="3" t="s">
        <v>36</v>
      </c>
      <c r="R8807" s="3" t="s">
        <v>36</v>
      </c>
      <c r="S8807" s="3" t="s">
        <v>36</v>
      </c>
      <c r="T8807" s="3" t="s">
        <v>34698</v>
      </c>
      <c r="U8807" s="3" t="s">
        <v>289</v>
      </c>
      <c r="V8807" s="3" t="s">
        <v>64</v>
      </c>
      <c r="W8807" s="3" t="s">
        <v>34699</v>
      </c>
      <c r="X8807" s="10" t="s">
        <v>31667</v>
      </c>
      <c r="Y8807" s="6" t="s">
        <v>42</v>
      </c>
      <c r="Z8807" s="4">
        <v>8.35</v>
      </c>
      <c r="AA8807" s="4" t="s">
        <v>36</v>
      </c>
      <c r="AB8807" s="3" t="s">
        <v>43</v>
      </c>
      <c r="AC8807" s="3" t="s">
        <v>34701</v>
      </c>
      <c r="AD8807" s="9">
        <v>40483</v>
      </c>
      <c r="AE8807" s="3" t="s">
        <v>292</v>
      </c>
      <c r="AF8807" s="3" t="s">
        <v>34702</v>
      </c>
      <c r="AG8807" s="3" t="s">
        <v>10955</v>
      </c>
      <c r="AH8807" s="11">
        <f>HYPERLINK("https://my.pitchbook.com?c=30063-97T","View Company Online")</f>
      </c>
    </row>
    <row r="8808">
      <c r="A8808" s="12" t="s">
        <v>38090</v>
      </c>
      <c r="B8808" s="12" t="s">
        <v>38091</v>
      </c>
      <c r="C8808" s="19" t="s">
        <v>36</v>
      </c>
      <c r="D8808" s="19" t="s">
        <v>36</v>
      </c>
      <c r="E8808" s="19" t="s">
        <v>36</v>
      </c>
      <c r="F8808" s="19" t="s">
        <v>36</v>
      </c>
      <c r="G8808" s="15" t="s">
        <v>36</v>
      </c>
      <c r="H8808" s="14">
        <v>52.06</v>
      </c>
      <c r="I8808" s="18">
        <v>25</v>
      </c>
      <c r="J8808" s="12" t="s">
        <v>521</v>
      </c>
      <c r="K8808" s="13" t="s">
        <v>36</v>
      </c>
      <c r="L8808" s="15" t="s">
        <v>36</v>
      </c>
      <c r="M8808" s="12" t="s">
        <v>36</v>
      </c>
      <c r="N8808" s="12" t="s">
        <v>36</v>
      </c>
      <c r="O8808" s="17" t="s">
        <v>36</v>
      </c>
      <c r="P8808" s="12" t="s">
        <v>36</v>
      </c>
      <c r="Q8808" s="12" t="s">
        <v>36</v>
      </c>
      <c r="R8808" s="12" t="s">
        <v>36</v>
      </c>
      <c r="S8808" s="12" t="s">
        <v>36</v>
      </c>
      <c r="T8808" s="12" t="s">
        <v>14504</v>
      </c>
      <c r="U8808" s="12" t="s">
        <v>279</v>
      </c>
      <c r="V8808" s="12" t="s">
        <v>64</v>
      </c>
      <c r="W8808" s="12" t="s">
        <v>38092</v>
      </c>
      <c r="X8808" s="16" t="s">
        <v>38093</v>
      </c>
      <c r="Y8808" s="15" t="s">
        <v>42</v>
      </c>
      <c r="Z8808" s="14">
        <v>0.1</v>
      </c>
      <c r="AA8808" s="14">
        <v>0.4</v>
      </c>
      <c r="AB8808" s="12" t="s">
        <v>43</v>
      </c>
      <c r="AC8808" s="12" t="s">
        <v>38094</v>
      </c>
      <c r="AD8808" s="13">
        <v>40481</v>
      </c>
      <c r="AE8808" s="12" t="s">
        <v>283</v>
      </c>
      <c r="AF8808" s="12" t="s">
        <v>6681</v>
      </c>
      <c r="AG8808" s="12" t="s">
        <v>392</v>
      </c>
      <c r="AH8808" s="1">
        <f>HYPERLINK("https://my.pitchbook.com?c=24548-05T","View Company Online")</f>
      </c>
    </row>
    <row r="8809">
      <c r="A8809" s="3" t="s">
        <v>38095</v>
      </c>
      <c r="B8809" s="3" t="s">
        <v>33595</v>
      </c>
      <c r="C8809" s="5" t="s">
        <v>36</v>
      </c>
      <c r="D8809" s="5" t="s">
        <v>36</v>
      </c>
      <c r="E8809" s="5" t="s">
        <v>36</v>
      </c>
      <c r="F8809" s="5" t="s">
        <v>36</v>
      </c>
      <c r="G8809" s="6" t="s">
        <v>36</v>
      </c>
      <c r="H8809" s="4" t="s">
        <v>36</v>
      </c>
      <c r="I8809" s="7">
        <v>8.12</v>
      </c>
      <c r="J8809" s="3" t="s">
        <v>327</v>
      </c>
      <c r="K8809" s="9" t="s">
        <v>36</v>
      </c>
      <c r="L8809" s="6" t="s">
        <v>36</v>
      </c>
      <c r="M8809" s="3" t="s">
        <v>36</v>
      </c>
      <c r="N8809" s="3" t="s">
        <v>36</v>
      </c>
      <c r="O8809" s="8" t="s">
        <v>36</v>
      </c>
      <c r="P8809" s="3" t="s">
        <v>36</v>
      </c>
      <c r="Q8809" s="3" t="s">
        <v>36</v>
      </c>
      <c r="R8809" s="3" t="s">
        <v>36</v>
      </c>
      <c r="S8809" s="3" t="s">
        <v>36</v>
      </c>
      <c r="T8809" s="3" t="s">
        <v>10681</v>
      </c>
      <c r="U8809" s="3" t="s">
        <v>423</v>
      </c>
      <c r="V8809" s="3" t="s">
        <v>64</v>
      </c>
      <c r="W8809" s="3" t="s">
        <v>33596</v>
      </c>
      <c r="X8809" s="10" t="s">
        <v>10702</v>
      </c>
      <c r="Y8809" s="6" t="s">
        <v>108</v>
      </c>
      <c r="Z8809" s="4">
        <v>2.78</v>
      </c>
      <c r="AA8809" s="4">
        <v>34.22</v>
      </c>
      <c r="AB8809" s="3" t="s">
        <v>56</v>
      </c>
      <c r="AC8809" s="3" t="s">
        <v>33597</v>
      </c>
      <c r="AD8809" s="9">
        <v>40480</v>
      </c>
      <c r="AE8809" s="3" t="s">
        <v>427</v>
      </c>
      <c r="AF8809" s="3" t="s">
        <v>36</v>
      </c>
      <c r="AG8809" s="3" t="s">
        <v>81</v>
      </c>
      <c r="AH8809" s="11">
        <f>HYPERLINK("https://my.pitchbook.com?c=30536-38T","View Company Online")</f>
      </c>
    </row>
    <row r="8810">
      <c r="A8810" s="12" t="s">
        <v>38096</v>
      </c>
      <c r="B8810" s="12" t="s">
        <v>19489</v>
      </c>
      <c r="C8810" s="19" t="s">
        <v>36</v>
      </c>
      <c r="D8810" s="19">
        <v>3</v>
      </c>
      <c r="E8810" s="19">
        <v>3</v>
      </c>
      <c r="F8810" s="19">
        <v>8</v>
      </c>
      <c r="G8810" s="15" t="s">
        <v>36</v>
      </c>
      <c r="H8810" s="14" t="s">
        <v>36</v>
      </c>
      <c r="I8810" s="18" t="s">
        <v>36</v>
      </c>
      <c r="J8810" s="12" t="s">
        <v>36</v>
      </c>
      <c r="K8810" s="13" t="s">
        <v>36</v>
      </c>
      <c r="L8810" s="15" t="s">
        <v>94</v>
      </c>
      <c r="M8810" s="12" t="s">
        <v>36</v>
      </c>
      <c r="N8810" s="12" t="s">
        <v>94</v>
      </c>
      <c r="O8810" s="17" t="s">
        <v>36</v>
      </c>
      <c r="P8810" s="12" t="s">
        <v>36</v>
      </c>
      <c r="Q8810" s="12" t="s">
        <v>36</v>
      </c>
      <c r="R8810" s="12" t="s">
        <v>36</v>
      </c>
      <c r="S8810" s="12" t="s">
        <v>36</v>
      </c>
      <c r="T8810" s="12" t="s">
        <v>522</v>
      </c>
      <c r="U8810" s="12" t="s">
        <v>38</v>
      </c>
      <c r="V8810" s="12" t="s">
        <v>39</v>
      </c>
      <c r="W8810" s="12" t="s">
        <v>19490</v>
      </c>
      <c r="X8810" s="16" t="s">
        <v>38097</v>
      </c>
      <c r="Y8810" s="15" t="s">
        <v>108</v>
      </c>
      <c r="Z8810" s="14">
        <v>4.85</v>
      </c>
      <c r="AA8810" s="14" t="s">
        <v>36</v>
      </c>
      <c r="AB8810" s="12" t="s">
        <v>43</v>
      </c>
      <c r="AC8810" s="12" t="s">
        <v>19492</v>
      </c>
      <c r="AD8810" s="13">
        <v>40477</v>
      </c>
      <c r="AE8810" s="12" t="s">
        <v>110</v>
      </c>
      <c r="AF8810" s="12" t="s">
        <v>19493</v>
      </c>
      <c r="AG8810" s="12" t="s">
        <v>5895</v>
      </c>
      <c r="AH8810" s="1">
        <f>HYPERLINK("https://my.pitchbook.com?c=25698-25T","View Company Online")</f>
      </c>
    </row>
    <row r="8811">
      <c r="A8811" s="3" t="s">
        <v>38098</v>
      </c>
      <c r="B8811" s="3" t="s">
        <v>26823</v>
      </c>
      <c r="C8811" s="5">
        <v>3</v>
      </c>
      <c r="D8811" s="5">
        <v>7</v>
      </c>
      <c r="E8811" s="5">
        <v>6</v>
      </c>
      <c r="F8811" s="5">
        <v>13</v>
      </c>
      <c r="G8811" s="6" t="s">
        <v>326</v>
      </c>
      <c r="H8811" s="4">
        <v>49.85</v>
      </c>
      <c r="I8811" s="7">
        <v>34.14</v>
      </c>
      <c r="J8811" s="3" t="s">
        <v>327</v>
      </c>
      <c r="K8811" s="9" t="s">
        <v>36</v>
      </c>
      <c r="L8811" s="6" t="s">
        <v>36</v>
      </c>
      <c r="M8811" s="3" t="s">
        <v>36</v>
      </c>
      <c r="N8811" s="3" t="s">
        <v>36</v>
      </c>
      <c r="O8811" s="8" t="s">
        <v>36</v>
      </c>
      <c r="P8811" s="3" t="s">
        <v>36</v>
      </c>
      <c r="Q8811" s="3" t="s">
        <v>36</v>
      </c>
      <c r="R8811" s="3" t="s">
        <v>36</v>
      </c>
      <c r="S8811" s="3" t="s">
        <v>36</v>
      </c>
      <c r="T8811" s="3" t="s">
        <v>18982</v>
      </c>
      <c r="U8811" s="3" t="s">
        <v>1798</v>
      </c>
      <c r="V8811" s="3" t="s">
        <v>39</v>
      </c>
      <c r="W8811" s="3" t="s">
        <v>26824</v>
      </c>
      <c r="X8811" s="10" t="s">
        <v>38099</v>
      </c>
      <c r="Y8811" s="6" t="s">
        <v>108</v>
      </c>
      <c r="Z8811" s="4">
        <v>2.08</v>
      </c>
      <c r="AA8811" s="4">
        <v>6.08</v>
      </c>
      <c r="AB8811" s="3" t="s">
        <v>43</v>
      </c>
      <c r="AC8811" s="3" t="s">
        <v>26826</v>
      </c>
      <c r="AD8811" s="9">
        <v>40476</v>
      </c>
      <c r="AE8811" s="3" t="s">
        <v>1802</v>
      </c>
      <c r="AF8811" s="3" t="s">
        <v>10379</v>
      </c>
      <c r="AG8811" s="3" t="s">
        <v>26827</v>
      </c>
      <c r="AH8811" s="11">
        <f>HYPERLINK("https://my.pitchbook.com?c=26167-96T","View Company Online")</f>
      </c>
    </row>
    <row r="8812">
      <c r="A8812" s="12" t="s">
        <v>38100</v>
      </c>
      <c r="B8812" s="12" t="s">
        <v>5116</v>
      </c>
      <c r="C8812" s="19" t="s">
        <v>36</v>
      </c>
      <c r="D8812" s="19">
        <v>19</v>
      </c>
      <c r="E8812" s="19">
        <v>3</v>
      </c>
      <c r="F8812" s="19">
        <v>21</v>
      </c>
      <c r="G8812" s="15" t="s">
        <v>36</v>
      </c>
      <c r="H8812" s="14" t="s">
        <v>36</v>
      </c>
      <c r="I8812" s="18" t="s">
        <v>36</v>
      </c>
      <c r="J8812" s="12" t="s">
        <v>36</v>
      </c>
      <c r="K8812" s="13" t="s">
        <v>36</v>
      </c>
      <c r="L8812" s="15" t="s">
        <v>122</v>
      </c>
      <c r="M8812" s="12" t="s">
        <v>36</v>
      </c>
      <c r="N8812" s="12" t="s">
        <v>122</v>
      </c>
      <c r="O8812" s="17" t="s">
        <v>36</v>
      </c>
      <c r="P8812" s="12" t="s">
        <v>36</v>
      </c>
      <c r="Q8812" s="12" t="s">
        <v>36</v>
      </c>
      <c r="R8812" s="12" t="s">
        <v>36</v>
      </c>
      <c r="S8812" s="12" t="s">
        <v>36</v>
      </c>
      <c r="T8812" s="12" t="s">
        <v>5117</v>
      </c>
      <c r="U8812" s="12" t="s">
        <v>1580</v>
      </c>
      <c r="V8812" s="12" t="s">
        <v>39</v>
      </c>
      <c r="W8812" s="12" t="s">
        <v>5118</v>
      </c>
      <c r="X8812" s="16" t="s">
        <v>38099</v>
      </c>
      <c r="Y8812" s="15" t="s">
        <v>42</v>
      </c>
      <c r="Z8812" s="14">
        <v>4.15</v>
      </c>
      <c r="AA8812" s="14" t="s">
        <v>36</v>
      </c>
      <c r="AB8812" s="12" t="s">
        <v>43</v>
      </c>
      <c r="AC8812" s="12" t="s">
        <v>5120</v>
      </c>
      <c r="AD8812" s="13">
        <v>40476</v>
      </c>
      <c r="AE8812" s="12" t="s">
        <v>4387</v>
      </c>
      <c r="AF8812" s="12" t="s">
        <v>4477</v>
      </c>
      <c r="AG8812" s="12" t="s">
        <v>81</v>
      </c>
      <c r="AH8812" s="1">
        <f>HYPERLINK("https://my.pitchbook.com?c=25609-60T","View Company Online")</f>
      </c>
    </row>
    <row r="8813">
      <c r="A8813" s="3" t="s">
        <v>38101</v>
      </c>
      <c r="B8813" s="3" t="s">
        <v>34992</v>
      </c>
      <c r="C8813" s="5">
        <v>1</v>
      </c>
      <c r="D8813" s="5">
        <v>46</v>
      </c>
      <c r="E8813" s="5">
        <v>13</v>
      </c>
      <c r="F8813" s="5">
        <v>55</v>
      </c>
      <c r="G8813" s="6" t="s">
        <v>36</v>
      </c>
      <c r="H8813" s="4" t="s">
        <v>36</v>
      </c>
      <c r="I8813" s="7" t="s">
        <v>36</v>
      </c>
      <c r="J8813" s="3" t="s">
        <v>36</v>
      </c>
      <c r="K8813" s="9" t="s">
        <v>36</v>
      </c>
      <c r="L8813" s="6" t="s">
        <v>36</v>
      </c>
      <c r="M8813" s="3" t="s">
        <v>36</v>
      </c>
      <c r="N8813" s="3" t="s">
        <v>36</v>
      </c>
      <c r="O8813" s="8" t="s">
        <v>36</v>
      </c>
      <c r="P8813" s="3" t="s">
        <v>36</v>
      </c>
      <c r="Q8813" s="3" t="s">
        <v>36</v>
      </c>
      <c r="R8813" s="3" t="s">
        <v>36</v>
      </c>
      <c r="S8813" s="3" t="s">
        <v>36</v>
      </c>
      <c r="T8813" s="3" t="s">
        <v>3790</v>
      </c>
      <c r="U8813" s="3" t="s">
        <v>318</v>
      </c>
      <c r="V8813" s="3" t="s">
        <v>39</v>
      </c>
      <c r="W8813" s="3" t="s">
        <v>34993</v>
      </c>
      <c r="X8813" s="10" t="s">
        <v>38099</v>
      </c>
      <c r="Y8813" s="6" t="s">
        <v>108</v>
      </c>
      <c r="Z8813" s="4">
        <v>4.15</v>
      </c>
      <c r="AA8813" s="4" t="s">
        <v>36</v>
      </c>
      <c r="AB8813" s="3" t="s">
        <v>43</v>
      </c>
      <c r="AC8813" s="3" t="s">
        <v>34994</v>
      </c>
      <c r="AD8813" s="9">
        <v>40476</v>
      </c>
      <c r="AE8813" s="3" t="s">
        <v>763</v>
      </c>
      <c r="AF8813" s="3" t="s">
        <v>4668</v>
      </c>
      <c r="AG8813" s="3" t="s">
        <v>34995</v>
      </c>
      <c r="AH8813" s="11">
        <f>HYPERLINK("https://my.pitchbook.com?c=25484-14T","View Company Online")</f>
      </c>
    </row>
    <row r="8814">
      <c r="A8814" s="12" t="s">
        <v>38102</v>
      </c>
      <c r="B8814" s="12" t="s">
        <v>38103</v>
      </c>
      <c r="C8814" s="19">
        <v>41</v>
      </c>
      <c r="D8814" s="19">
        <v>120</v>
      </c>
      <c r="E8814" s="19">
        <v>42</v>
      </c>
      <c r="F8814" s="19">
        <v>226</v>
      </c>
      <c r="G8814" s="15" t="s">
        <v>36</v>
      </c>
      <c r="H8814" s="14" t="s">
        <v>36</v>
      </c>
      <c r="I8814" s="18" t="s">
        <v>36</v>
      </c>
      <c r="J8814" s="12" t="s">
        <v>36</v>
      </c>
      <c r="K8814" s="13">
        <v>40385</v>
      </c>
      <c r="L8814" s="15" t="s">
        <v>1279</v>
      </c>
      <c r="M8814" s="12" t="s">
        <v>36</v>
      </c>
      <c r="N8814" s="12" t="s">
        <v>1279</v>
      </c>
      <c r="O8814" s="17" t="s">
        <v>36</v>
      </c>
      <c r="P8814" s="12" t="s">
        <v>36</v>
      </c>
      <c r="Q8814" s="12" t="s">
        <v>36</v>
      </c>
      <c r="R8814" s="12" t="s">
        <v>36</v>
      </c>
      <c r="S8814" s="12" t="s">
        <v>36</v>
      </c>
      <c r="T8814" s="12" t="s">
        <v>38104</v>
      </c>
      <c r="U8814" s="12" t="s">
        <v>51</v>
      </c>
      <c r="V8814" s="12" t="s">
        <v>52</v>
      </c>
      <c r="W8814" s="12" t="s">
        <v>38105</v>
      </c>
      <c r="X8814" s="16" t="s">
        <v>38106</v>
      </c>
      <c r="Y8814" s="15" t="s">
        <v>55</v>
      </c>
      <c r="Z8814" s="14">
        <v>71.62</v>
      </c>
      <c r="AA8814" s="14" t="s">
        <v>36</v>
      </c>
      <c r="AB8814" s="12" t="s">
        <v>56</v>
      </c>
      <c r="AC8814" s="12" t="s">
        <v>38107</v>
      </c>
      <c r="AD8814" s="13">
        <v>40472</v>
      </c>
      <c r="AE8814" s="12" t="s">
        <v>1060</v>
      </c>
      <c r="AF8814" s="12" t="s">
        <v>665</v>
      </c>
      <c r="AG8814" s="12" t="s">
        <v>9785</v>
      </c>
      <c r="AH8814" s="1">
        <f>HYPERLINK("https://my.pitchbook.com?c=18849-25T","View Company Online")</f>
      </c>
    </row>
    <row r="8815">
      <c r="A8815" s="3" t="s">
        <v>38108</v>
      </c>
      <c r="B8815" s="3" t="s">
        <v>36366</v>
      </c>
      <c r="C8815" s="5" t="s">
        <v>36</v>
      </c>
      <c r="D8815" s="5" t="s">
        <v>36</v>
      </c>
      <c r="E8815" s="5" t="s">
        <v>36</v>
      </c>
      <c r="F8815" s="5" t="s">
        <v>36</v>
      </c>
      <c r="G8815" s="6" t="s">
        <v>36</v>
      </c>
      <c r="H8815" s="4" t="s">
        <v>36</v>
      </c>
      <c r="I8815" s="7" t="s">
        <v>36</v>
      </c>
      <c r="J8815" s="3" t="s">
        <v>36</v>
      </c>
      <c r="K8815" s="9" t="s">
        <v>36</v>
      </c>
      <c r="L8815" s="6" t="s">
        <v>36</v>
      </c>
      <c r="M8815" s="3" t="s">
        <v>36</v>
      </c>
      <c r="N8815" s="3" t="s">
        <v>36</v>
      </c>
      <c r="O8815" s="8" t="s">
        <v>36</v>
      </c>
      <c r="P8815" s="3" t="s">
        <v>36</v>
      </c>
      <c r="Q8815" s="3" t="s">
        <v>36</v>
      </c>
      <c r="R8815" s="3" t="s">
        <v>36</v>
      </c>
      <c r="S8815" s="3" t="s">
        <v>36</v>
      </c>
      <c r="T8815" s="3" t="s">
        <v>36367</v>
      </c>
      <c r="U8815" s="3" t="s">
        <v>318</v>
      </c>
      <c r="V8815" s="3" t="s">
        <v>39</v>
      </c>
      <c r="W8815" s="3" t="s">
        <v>36368</v>
      </c>
      <c r="X8815" s="10" t="s">
        <v>31108</v>
      </c>
      <c r="Y8815" s="6" t="s">
        <v>42</v>
      </c>
      <c r="Z8815" s="4">
        <v>0.69</v>
      </c>
      <c r="AA8815" s="4" t="s">
        <v>36</v>
      </c>
      <c r="AB8815" s="3" t="s">
        <v>43</v>
      </c>
      <c r="AC8815" s="3" t="s">
        <v>36369</v>
      </c>
      <c r="AD8815" s="9">
        <v>40472</v>
      </c>
      <c r="AE8815" s="3" t="s">
        <v>763</v>
      </c>
      <c r="AF8815" s="3" t="s">
        <v>1636</v>
      </c>
      <c r="AG8815" s="3" t="s">
        <v>36370</v>
      </c>
      <c r="AH8815" s="11">
        <f>HYPERLINK("https://my.pitchbook.com?c=88237-36T","View Company Online")</f>
      </c>
    </row>
    <row r="8816">
      <c r="A8816" s="12" t="s">
        <v>38109</v>
      </c>
      <c r="B8816" s="12" t="s">
        <v>38110</v>
      </c>
      <c r="C8816" s="19" t="s">
        <v>36</v>
      </c>
      <c r="D8816" s="19" t="s">
        <v>36</v>
      </c>
      <c r="E8816" s="19" t="s">
        <v>36</v>
      </c>
      <c r="F8816" s="19" t="s">
        <v>36</v>
      </c>
      <c r="G8816" s="15" t="s">
        <v>36</v>
      </c>
      <c r="H8816" s="14" t="s">
        <v>36</v>
      </c>
      <c r="I8816" s="18" t="s">
        <v>36</v>
      </c>
      <c r="J8816" s="12" t="s">
        <v>36</v>
      </c>
      <c r="K8816" s="13" t="s">
        <v>36</v>
      </c>
      <c r="L8816" s="15" t="s">
        <v>122</v>
      </c>
      <c r="M8816" s="12" t="s">
        <v>36</v>
      </c>
      <c r="N8816" s="12" t="s">
        <v>122</v>
      </c>
      <c r="O8816" s="17" t="s">
        <v>36</v>
      </c>
      <c r="P8816" s="12" t="s">
        <v>36</v>
      </c>
      <c r="Q8816" s="12" t="s">
        <v>36</v>
      </c>
      <c r="R8816" s="12" t="s">
        <v>36</v>
      </c>
      <c r="S8816" s="12" t="s">
        <v>36</v>
      </c>
      <c r="T8816" s="12" t="s">
        <v>15681</v>
      </c>
      <c r="U8816" s="12" t="s">
        <v>38</v>
      </c>
      <c r="V8816" s="12" t="s">
        <v>39</v>
      </c>
      <c r="W8816" s="12" t="s">
        <v>38111</v>
      </c>
      <c r="X8816" s="16" t="s">
        <v>38112</v>
      </c>
      <c r="Y8816" s="15" t="s">
        <v>42</v>
      </c>
      <c r="Z8816" s="14">
        <v>0.5</v>
      </c>
      <c r="AA8816" s="14" t="s">
        <v>36</v>
      </c>
      <c r="AB8816" s="12" t="s">
        <v>43</v>
      </c>
      <c r="AC8816" s="12" t="s">
        <v>38113</v>
      </c>
      <c r="AD8816" s="13">
        <v>40469</v>
      </c>
      <c r="AE8816" s="12" t="s">
        <v>554</v>
      </c>
      <c r="AF8816" s="12" t="s">
        <v>4117</v>
      </c>
      <c r="AG8816" s="12" t="s">
        <v>81</v>
      </c>
      <c r="AH8816" s="1">
        <f>HYPERLINK("https://my.pitchbook.com?c=31974-04T","View Company Online")</f>
      </c>
    </row>
    <row r="8817">
      <c r="A8817" s="3" t="s">
        <v>38114</v>
      </c>
      <c r="B8817" s="3" t="s">
        <v>35227</v>
      </c>
      <c r="C8817" s="5" t="s">
        <v>36</v>
      </c>
      <c r="D8817" s="5" t="s">
        <v>36</v>
      </c>
      <c r="E8817" s="5" t="s">
        <v>36</v>
      </c>
      <c r="F8817" s="5" t="s">
        <v>36</v>
      </c>
      <c r="G8817" s="6" t="s">
        <v>36</v>
      </c>
      <c r="H8817" s="4" t="s">
        <v>36</v>
      </c>
      <c r="I8817" s="7" t="s">
        <v>36</v>
      </c>
      <c r="J8817" s="3" t="s">
        <v>36</v>
      </c>
      <c r="K8817" s="9" t="s">
        <v>36</v>
      </c>
      <c r="L8817" s="6" t="s">
        <v>36</v>
      </c>
      <c r="M8817" s="3" t="s">
        <v>36</v>
      </c>
      <c r="N8817" s="3" t="s">
        <v>36</v>
      </c>
      <c r="O8817" s="8" t="s">
        <v>36</v>
      </c>
      <c r="P8817" s="3" t="s">
        <v>36</v>
      </c>
      <c r="Q8817" s="3" t="s">
        <v>36</v>
      </c>
      <c r="R8817" s="3" t="s">
        <v>36</v>
      </c>
      <c r="S8817" s="3" t="s">
        <v>36</v>
      </c>
      <c r="T8817" s="3" t="s">
        <v>26693</v>
      </c>
      <c r="U8817" s="3" t="s">
        <v>728</v>
      </c>
      <c r="V8817" s="3" t="s">
        <v>64</v>
      </c>
      <c r="W8817" s="3" t="s">
        <v>35228</v>
      </c>
      <c r="X8817" s="10" t="s">
        <v>38115</v>
      </c>
      <c r="Y8817" s="6" t="s">
        <v>42</v>
      </c>
      <c r="Z8817" s="4" t="s">
        <v>36</v>
      </c>
      <c r="AA8817" s="4" t="s">
        <v>36</v>
      </c>
      <c r="AB8817" s="3" t="s">
        <v>56</v>
      </c>
      <c r="AC8817" s="3" t="s">
        <v>35230</v>
      </c>
      <c r="AD8817" s="9">
        <v>40466</v>
      </c>
      <c r="AE8817" s="3" t="s">
        <v>2154</v>
      </c>
      <c r="AF8817" s="3" t="s">
        <v>36</v>
      </c>
      <c r="AG8817" s="3" t="s">
        <v>47</v>
      </c>
      <c r="AH8817" s="11">
        <f>HYPERLINK("https://my.pitchbook.com?c=30531-97T","View Company Online")</f>
      </c>
    </row>
    <row r="8818">
      <c r="A8818" s="12" t="s">
        <v>38116</v>
      </c>
      <c r="B8818" s="12" t="s">
        <v>38117</v>
      </c>
      <c r="C8818" s="19" t="s">
        <v>36</v>
      </c>
      <c r="D8818" s="19">
        <v>7</v>
      </c>
      <c r="E8818" s="19">
        <v>5</v>
      </c>
      <c r="F8818" s="19">
        <v>15</v>
      </c>
      <c r="G8818" s="15" t="s">
        <v>36</v>
      </c>
      <c r="H8818" s="14" t="s">
        <v>36</v>
      </c>
      <c r="I8818" s="18" t="s">
        <v>36</v>
      </c>
      <c r="J8818" s="12" t="s">
        <v>36</v>
      </c>
      <c r="K8818" s="13" t="s">
        <v>36</v>
      </c>
      <c r="L8818" s="15" t="s">
        <v>36</v>
      </c>
      <c r="M8818" s="12" t="s">
        <v>36</v>
      </c>
      <c r="N8818" s="12" t="s">
        <v>36</v>
      </c>
      <c r="O8818" s="17" t="s">
        <v>36</v>
      </c>
      <c r="P8818" s="12" t="s">
        <v>36</v>
      </c>
      <c r="Q8818" s="12" t="s">
        <v>36</v>
      </c>
      <c r="R8818" s="12" t="s">
        <v>36</v>
      </c>
      <c r="S8818" s="12" t="s">
        <v>36</v>
      </c>
      <c r="T8818" s="12" t="s">
        <v>575</v>
      </c>
      <c r="U8818" s="12" t="s">
        <v>51</v>
      </c>
      <c r="V8818" s="12" t="s">
        <v>52</v>
      </c>
      <c r="W8818" s="12" t="s">
        <v>38118</v>
      </c>
      <c r="X8818" s="16" t="s">
        <v>37760</v>
      </c>
      <c r="Y8818" s="15" t="s">
        <v>42</v>
      </c>
      <c r="Z8818" s="14">
        <v>1.15</v>
      </c>
      <c r="AA8818" s="14" t="s">
        <v>36</v>
      </c>
      <c r="AB8818" s="12" t="s">
        <v>56</v>
      </c>
      <c r="AC8818" s="12" t="s">
        <v>38119</v>
      </c>
      <c r="AD8818" s="13">
        <v>40465</v>
      </c>
      <c r="AE8818" s="12" t="s">
        <v>158</v>
      </c>
      <c r="AF8818" s="12" t="s">
        <v>9908</v>
      </c>
      <c r="AG8818" s="12" t="s">
        <v>2370</v>
      </c>
      <c r="AH8818" s="1">
        <f>HYPERLINK("https://my.pitchbook.com?c=45727-21T","View Company Online")</f>
      </c>
    </row>
    <row r="8819">
      <c r="A8819" s="3" t="s">
        <v>38120</v>
      </c>
      <c r="B8819" s="3" t="s">
        <v>38121</v>
      </c>
      <c r="C8819" s="5" t="s">
        <v>36</v>
      </c>
      <c r="D8819" s="5" t="s">
        <v>36</v>
      </c>
      <c r="E8819" s="5" t="s">
        <v>36</v>
      </c>
      <c r="F8819" s="5" t="s">
        <v>36</v>
      </c>
      <c r="G8819" s="6" t="s">
        <v>36</v>
      </c>
      <c r="H8819" s="4">
        <v>1348.79</v>
      </c>
      <c r="I8819" s="7">
        <v>49.04</v>
      </c>
      <c r="J8819" s="3" t="s">
        <v>521</v>
      </c>
      <c r="K8819" s="9" t="s">
        <v>36</v>
      </c>
      <c r="L8819" s="6" t="s">
        <v>36</v>
      </c>
      <c r="M8819" s="3" t="s">
        <v>36</v>
      </c>
      <c r="N8819" s="3" t="s">
        <v>36</v>
      </c>
      <c r="O8819" s="8" t="s">
        <v>36</v>
      </c>
      <c r="P8819" s="3" t="s">
        <v>36</v>
      </c>
      <c r="Q8819" s="3" t="s">
        <v>36</v>
      </c>
      <c r="R8819" s="3" t="s">
        <v>36</v>
      </c>
      <c r="S8819" s="3" t="s">
        <v>36</v>
      </c>
      <c r="T8819" s="3" t="s">
        <v>25558</v>
      </c>
      <c r="U8819" s="3" t="s">
        <v>279</v>
      </c>
      <c r="V8819" s="3" t="s">
        <v>64</v>
      </c>
      <c r="W8819" s="3" t="s">
        <v>38122</v>
      </c>
      <c r="X8819" s="10" t="s">
        <v>29117</v>
      </c>
      <c r="Y8819" s="6" t="s">
        <v>42</v>
      </c>
      <c r="Z8819" s="4">
        <v>0.14</v>
      </c>
      <c r="AA8819" s="4">
        <v>0.28</v>
      </c>
      <c r="AB8819" s="3" t="s">
        <v>56</v>
      </c>
      <c r="AC8819" s="3" t="s">
        <v>38123</v>
      </c>
      <c r="AD8819" s="9">
        <v>40464</v>
      </c>
      <c r="AE8819" s="3" t="s">
        <v>851</v>
      </c>
      <c r="AF8819" s="3" t="s">
        <v>1636</v>
      </c>
      <c r="AG8819" s="3" t="s">
        <v>81</v>
      </c>
      <c r="AH8819" s="11">
        <f>HYPERLINK("https://my.pitchbook.com?c=71525-89T","View Company Online")</f>
      </c>
    </row>
    <row r="8820">
      <c r="A8820" s="12" t="s">
        <v>38124</v>
      </c>
      <c r="B8820" s="12" t="s">
        <v>38125</v>
      </c>
      <c r="C8820" s="19" t="s">
        <v>36</v>
      </c>
      <c r="D8820" s="19" t="s">
        <v>36</v>
      </c>
      <c r="E8820" s="19" t="s">
        <v>36</v>
      </c>
      <c r="F8820" s="19" t="s">
        <v>36</v>
      </c>
      <c r="G8820" s="15" t="s">
        <v>36</v>
      </c>
      <c r="H8820" s="14" t="s">
        <v>36</v>
      </c>
      <c r="I8820" s="18" t="s">
        <v>36</v>
      </c>
      <c r="J8820" s="12" t="s">
        <v>36</v>
      </c>
      <c r="K8820" s="13" t="s">
        <v>36</v>
      </c>
      <c r="L8820" s="15" t="s">
        <v>36</v>
      </c>
      <c r="M8820" s="12" t="s">
        <v>36</v>
      </c>
      <c r="N8820" s="12" t="s">
        <v>36</v>
      </c>
      <c r="O8820" s="17" t="s">
        <v>36</v>
      </c>
      <c r="P8820" s="12" t="s">
        <v>36</v>
      </c>
      <c r="Q8820" s="12" t="s">
        <v>36</v>
      </c>
      <c r="R8820" s="12" t="s">
        <v>36</v>
      </c>
      <c r="S8820" s="12" t="s">
        <v>36</v>
      </c>
      <c r="T8820" s="12" t="s">
        <v>38126</v>
      </c>
      <c r="U8820" s="12" t="s">
        <v>38</v>
      </c>
      <c r="V8820" s="12" t="s">
        <v>39</v>
      </c>
      <c r="W8820" s="12" t="s">
        <v>38127</v>
      </c>
      <c r="X8820" s="16" t="s">
        <v>26647</v>
      </c>
      <c r="Y8820" s="15" t="s">
        <v>108</v>
      </c>
      <c r="Z8820" s="14" t="s">
        <v>36</v>
      </c>
      <c r="AA8820" s="14" t="s">
        <v>36</v>
      </c>
      <c r="AB8820" s="12" t="s">
        <v>56</v>
      </c>
      <c r="AC8820" s="12" t="s">
        <v>38128</v>
      </c>
      <c r="AD8820" s="13">
        <v>40456</v>
      </c>
      <c r="AE8820" s="12" t="s">
        <v>110</v>
      </c>
      <c r="AF8820" s="12" t="s">
        <v>14418</v>
      </c>
      <c r="AG8820" s="12" t="s">
        <v>38129</v>
      </c>
      <c r="AH8820" s="1">
        <f>HYPERLINK("https://my.pitchbook.com?c=50773-87T","View Company Online")</f>
      </c>
    </row>
    <row r="8821">
      <c r="A8821" s="3" t="s">
        <v>38130</v>
      </c>
      <c r="B8821" s="3" t="s">
        <v>29519</v>
      </c>
      <c r="C8821" s="5" t="s">
        <v>36</v>
      </c>
      <c r="D8821" s="5">
        <v>7</v>
      </c>
      <c r="E8821" s="5">
        <v>4</v>
      </c>
      <c r="F8821" s="5">
        <v>8</v>
      </c>
      <c r="G8821" s="6" t="s">
        <v>36</v>
      </c>
      <c r="H8821" s="4" t="s">
        <v>36</v>
      </c>
      <c r="I8821" s="7">
        <v>25</v>
      </c>
      <c r="J8821" s="3" t="s">
        <v>327</v>
      </c>
      <c r="K8821" s="9" t="s">
        <v>36</v>
      </c>
      <c r="L8821" s="6" t="s">
        <v>36</v>
      </c>
      <c r="M8821" s="3" t="s">
        <v>36</v>
      </c>
      <c r="N8821" s="3" t="s">
        <v>36</v>
      </c>
      <c r="O8821" s="8" t="s">
        <v>36</v>
      </c>
      <c r="P8821" s="3" t="s">
        <v>36</v>
      </c>
      <c r="Q8821" s="3" t="s">
        <v>36</v>
      </c>
      <c r="R8821" s="3" t="s">
        <v>36</v>
      </c>
      <c r="S8821" s="3" t="s">
        <v>36</v>
      </c>
      <c r="T8821" s="3" t="s">
        <v>29520</v>
      </c>
      <c r="U8821" s="3" t="s">
        <v>318</v>
      </c>
      <c r="V8821" s="3" t="s">
        <v>39</v>
      </c>
      <c r="W8821" s="3" t="s">
        <v>29521</v>
      </c>
      <c r="X8821" s="10" t="s">
        <v>38131</v>
      </c>
      <c r="Y8821" s="6" t="s">
        <v>42</v>
      </c>
      <c r="Z8821" s="4">
        <v>0.26</v>
      </c>
      <c r="AA8821" s="4">
        <v>1.05</v>
      </c>
      <c r="AB8821" s="3" t="s">
        <v>43</v>
      </c>
      <c r="AC8821" s="3" t="s">
        <v>29523</v>
      </c>
      <c r="AD8821" s="9">
        <v>40455</v>
      </c>
      <c r="AE8821" s="3" t="s">
        <v>763</v>
      </c>
      <c r="AF8821" s="3" t="s">
        <v>10379</v>
      </c>
      <c r="AG8821" s="3" t="s">
        <v>373</v>
      </c>
      <c r="AH8821" s="11">
        <f>HYPERLINK("https://my.pitchbook.com?c=93315-61T","View Company Online")</f>
      </c>
    </row>
    <row r="8822">
      <c r="A8822" s="12" t="s">
        <v>38132</v>
      </c>
      <c r="B8822" s="12" t="s">
        <v>5796</v>
      </c>
      <c r="C8822" s="19">
        <v>8</v>
      </c>
      <c r="D8822" s="19">
        <v>136</v>
      </c>
      <c r="E8822" s="19">
        <v>42</v>
      </c>
      <c r="F8822" s="19">
        <v>204</v>
      </c>
      <c r="G8822" s="15" t="s">
        <v>326</v>
      </c>
      <c r="H8822" s="14">
        <v>31.4</v>
      </c>
      <c r="I8822" s="18">
        <v>14.82</v>
      </c>
      <c r="J8822" s="12" t="s">
        <v>521</v>
      </c>
      <c r="K8822" s="13" t="s">
        <v>36</v>
      </c>
      <c r="L8822" s="15" t="s">
        <v>36</v>
      </c>
      <c r="M8822" s="12" t="s">
        <v>36</v>
      </c>
      <c r="N8822" s="12" t="s">
        <v>36</v>
      </c>
      <c r="O8822" s="17" t="s">
        <v>36</v>
      </c>
      <c r="P8822" s="12" t="s">
        <v>36</v>
      </c>
      <c r="Q8822" s="12" t="s">
        <v>36</v>
      </c>
      <c r="R8822" s="12" t="s">
        <v>36</v>
      </c>
      <c r="S8822" s="12" t="s">
        <v>36</v>
      </c>
      <c r="T8822" s="12" t="s">
        <v>2213</v>
      </c>
      <c r="U8822" s="12" t="s">
        <v>219</v>
      </c>
      <c r="V8822" s="12" t="s">
        <v>75</v>
      </c>
      <c r="W8822" s="12" t="s">
        <v>5797</v>
      </c>
      <c r="X8822" s="16" t="s">
        <v>38133</v>
      </c>
      <c r="Y8822" s="15" t="s">
        <v>192</v>
      </c>
      <c r="Z8822" s="14">
        <v>24.38</v>
      </c>
      <c r="AA8822" s="14">
        <v>164.46</v>
      </c>
      <c r="AB8822" s="12" t="s">
        <v>56</v>
      </c>
      <c r="AC8822" s="12" t="s">
        <v>5799</v>
      </c>
      <c r="AD8822" s="13">
        <v>40455</v>
      </c>
      <c r="AE8822" s="12" t="s">
        <v>1912</v>
      </c>
      <c r="AF8822" s="12" t="s">
        <v>1969</v>
      </c>
      <c r="AG8822" s="12" t="s">
        <v>5800</v>
      </c>
      <c r="AH8822" s="1">
        <f>HYPERLINK("https://my.pitchbook.com?c=59244-04T","View Company Online")</f>
      </c>
    </row>
    <row r="8823">
      <c r="A8823" s="3" t="s">
        <v>38134</v>
      </c>
      <c r="B8823" s="3" t="s">
        <v>5796</v>
      </c>
      <c r="C8823" s="5">
        <v>8</v>
      </c>
      <c r="D8823" s="5">
        <v>136</v>
      </c>
      <c r="E8823" s="5">
        <v>42</v>
      </c>
      <c r="F8823" s="5">
        <v>204</v>
      </c>
      <c r="G8823" s="6" t="s">
        <v>36</v>
      </c>
      <c r="H8823" s="4" t="s">
        <v>36</v>
      </c>
      <c r="I8823" s="7" t="s">
        <v>36</v>
      </c>
      <c r="J8823" s="3" t="s">
        <v>36</v>
      </c>
      <c r="K8823" s="9" t="s">
        <v>36</v>
      </c>
      <c r="L8823" s="6" t="s">
        <v>36</v>
      </c>
      <c r="M8823" s="3" t="s">
        <v>36</v>
      </c>
      <c r="N8823" s="3" t="s">
        <v>36</v>
      </c>
      <c r="O8823" s="8" t="s">
        <v>36</v>
      </c>
      <c r="P8823" s="3" t="s">
        <v>36</v>
      </c>
      <c r="Q8823" s="3" t="s">
        <v>36</v>
      </c>
      <c r="R8823" s="3" t="s">
        <v>36</v>
      </c>
      <c r="S8823" s="3" t="s">
        <v>36</v>
      </c>
      <c r="T8823" s="3" t="s">
        <v>2213</v>
      </c>
      <c r="U8823" s="3" t="s">
        <v>219</v>
      </c>
      <c r="V8823" s="3" t="s">
        <v>75</v>
      </c>
      <c r="W8823" s="3" t="s">
        <v>5797</v>
      </c>
      <c r="X8823" s="10" t="s">
        <v>38133</v>
      </c>
      <c r="Y8823" s="6" t="s">
        <v>42</v>
      </c>
      <c r="Z8823" s="4" t="s">
        <v>36</v>
      </c>
      <c r="AA8823" s="4" t="s">
        <v>36</v>
      </c>
      <c r="AB8823" s="3" t="s">
        <v>56</v>
      </c>
      <c r="AC8823" s="3" t="s">
        <v>5799</v>
      </c>
      <c r="AD8823" s="9">
        <v>40455</v>
      </c>
      <c r="AE8823" s="3" t="s">
        <v>1912</v>
      </c>
      <c r="AF8823" s="3" t="s">
        <v>1969</v>
      </c>
      <c r="AG8823" s="3" t="s">
        <v>5800</v>
      </c>
      <c r="AH8823" s="11">
        <f>HYPERLINK("https://my.pitchbook.com?c=59244-58T","View Company Online")</f>
      </c>
    </row>
    <row r="8824">
      <c r="A8824" s="12" t="s">
        <v>38135</v>
      </c>
      <c r="B8824" s="12" t="s">
        <v>38136</v>
      </c>
      <c r="C8824" s="19" t="s">
        <v>36</v>
      </c>
      <c r="D8824" s="19" t="s">
        <v>36</v>
      </c>
      <c r="E8824" s="19">
        <v>1</v>
      </c>
      <c r="F8824" s="19">
        <v>2</v>
      </c>
      <c r="G8824" s="15" t="s">
        <v>36</v>
      </c>
      <c r="H8824" s="14" t="s">
        <v>36</v>
      </c>
      <c r="I8824" s="18" t="s">
        <v>36</v>
      </c>
      <c r="J8824" s="12" t="s">
        <v>36</v>
      </c>
      <c r="K8824" s="13" t="s">
        <v>36</v>
      </c>
      <c r="L8824" s="15" t="s">
        <v>36</v>
      </c>
      <c r="M8824" s="12" t="s">
        <v>36</v>
      </c>
      <c r="N8824" s="12" t="s">
        <v>36</v>
      </c>
      <c r="O8824" s="17" t="s">
        <v>36</v>
      </c>
      <c r="P8824" s="12" t="s">
        <v>36</v>
      </c>
      <c r="Q8824" s="12" t="s">
        <v>36</v>
      </c>
      <c r="R8824" s="12" t="s">
        <v>36</v>
      </c>
      <c r="S8824" s="12" t="s">
        <v>36</v>
      </c>
      <c r="T8824" s="12" t="s">
        <v>18335</v>
      </c>
      <c r="U8824" s="12" t="s">
        <v>279</v>
      </c>
      <c r="V8824" s="12" t="s">
        <v>64</v>
      </c>
      <c r="W8824" s="12" t="s">
        <v>38137</v>
      </c>
      <c r="X8824" s="16" t="s">
        <v>38138</v>
      </c>
      <c r="Y8824" s="15" t="s">
        <v>42</v>
      </c>
      <c r="Z8824" s="14">
        <v>2.5</v>
      </c>
      <c r="AA8824" s="14" t="s">
        <v>36</v>
      </c>
      <c r="AB8824" s="12" t="s">
        <v>43</v>
      </c>
      <c r="AC8824" s="12" t="s">
        <v>38139</v>
      </c>
      <c r="AD8824" s="13">
        <v>40452</v>
      </c>
      <c r="AE8824" s="12" t="s">
        <v>740</v>
      </c>
      <c r="AF8824" s="12" t="s">
        <v>18230</v>
      </c>
      <c r="AG8824" s="12" t="s">
        <v>81</v>
      </c>
      <c r="AH8824" s="1">
        <f>HYPERLINK("https://my.pitchbook.com?c=61117-75T","View Company Online")</f>
      </c>
    </row>
    <row r="8825">
      <c r="A8825" s="3" t="s">
        <v>38140</v>
      </c>
      <c r="B8825" s="3" t="s">
        <v>38141</v>
      </c>
      <c r="C8825" s="5" t="s">
        <v>36</v>
      </c>
      <c r="D8825" s="5" t="s">
        <v>36</v>
      </c>
      <c r="E8825" s="5" t="s">
        <v>36</v>
      </c>
      <c r="F8825" s="5" t="s">
        <v>36</v>
      </c>
      <c r="G8825" s="6" t="s">
        <v>36</v>
      </c>
      <c r="H8825" s="4" t="s">
        <v>36</v>
      </c>
      <c r="I8825" s="7">
        <v>36</v>
      </c>
      <c r="J8825" s="3" t="s">
        <v>327</v>
      </c>
      <c r="K8825" s="9" t="s">
        <v>36</v>
      </c>
      <c r="L8825" s="6" t="s">
        <v>36</v>
      </c>
      <c r="M8825" s="3" t="s">
        <v>36</v>
      </c>
      <c r="N8825" s="3" t="s">
        <v>36</v>
      </c>
      <c r="O8825" s="8" t="s">
        <v>36</v>
      </c>
      <c r="P8825" s="3" t="s">
        <v>36</v>
      </c>
      <c r="Q8825" s="3" t="s">
        <v>36</v>
      </c>
      <c r="R8825" s="3" t="s">
        <v>36</v>
      </c>
      <c r="S8825" s="3" t="s">
        <v>36</v>
      </c>
      <c r="T8825" s="3" t="s">
        <v>38142</v>
      </c>
      <c r="U8825" s="3" t="s">
        <v>74</v>
      </c>
      <c r="V8825" s="3" t="s">
        <v>75</v>
      </c>
      <c r="W8825" s="3" t="s">
        <v>38143</v>
      </c>
      <c r="X8825" s="10" t="s">
        <v>18537</v>
      </c>
      <c r="Y8825" s="6" t="s">
        <v>42</v>
      </c>
      <c r="Z8825" s="4">
        <v>1.31</v>
      </c>
      <c r="AA8825" s="4">
        <v>3.64</v>
      </c>
      <c r="AB8825" s="3" t="s">
        <v>43</v>
      </c>
      <c r="AC8825" s="3" t="s">
        <v>38144</v>
      </c>
      <c r="AD8825" s="9">
        <v>40452</v>
      </c>
      <c r="AE8825" s="3" t="s">
        <v>1243</v>
      </c>
      <c r="AF8825" s="3" t="s">
        <v>4668</v>
      </c>
      <c r="AG8825" s="3" t="s">
        <v>10645</v>
      </c>
      <c r="AH8825" s="11">
        <f>HYPERLINK("https://my.pitchbook.com?c=27679-69T","View Company Online")</f>
      </c>
    </row>
    <row r="8826">
      <c r="A8826" s="12" t="s">
        <v>38145</v>
      </c>
      <c r="B8826" s="12" t="s">
        <v>38146</v>
      </c>
      <c r="C8826" s="19">
        <v>10</v>
      </c>
      <c r="D8826" s="19">
        <v>218</v>
      </c>
      <c r="E8826" s="19">
        <v>144</v>
      </c>
      <c r="F8826" s="19">
        <v>405</v>
      </c>
      <c r="G8826" s="15" t="s">
        <v>36</v>
      </c>
      <c r="H8826" s="14" t="s">
        <v>36</v>
      </c>
      <c r="I8826" s="18" t="s">
        <v>36</v>
      </c>
      <c r="J8826" s="12" t="s">
        <v>36</v>
      </c>
      <c r="K8826" s="13" t="s">
        <v>36</v>
      </c>
      <c r="L8826" s="15" t="s">
        <v>3736</v>
      </c>
      <c r="M8826" s="12" t="s">
        <v>21485</v>
      </c>
      <c r="N8826" s="12" t="s">
        <v>3736</v>
      </c>
      <c r="O8826" s="17" t="s">
        <v>36</v>
      </c>
      <c r="P8826" s="12" t="s">
        <v>36</v>
      </c>
      <c r="Q8826" s="12" t="s">
        <v>36</v>
      </c>
      <c r="R8826" s="12" t="s">
        <v>36</v>
      </c>
      <c r="S8826" s="12" t="s">
        <v>36</v>
      </c>
      <c r="T8826" s="12" t="s">
        <v>529</v>
      </c>
      <c r="U8826" s="12" t="s">
        <v>38</v>
      </c>
      <c r="V8826" s="12" t="s">
        <v>39</v>
      </c>
      <c r="W8826" s="12" t="s">
        <v>37596</v>
      </c>
      <c r="X8826" s="16" t="s">
        <v>38147</v>
      </c>
      <c r="Y8826" s="15" t="s">
        <v>166</v>
      </c>
      <c r="Z8826" s="14">
        <v>65</v>
      </c>
      <c r="AA8826" s="14" t="s">
        <v>36</v>
      </c>
      <c r="AB8826" s="12" t="s">
        <v>56</v>
      </c>
      <c r="AC8826" s="12" t="s">
        <v>38148</v>
      </c>
      <c r="AD8826" s="13">
        <v>40451</v>
      </c>
      <c r="AE8826" s="12" t="s">
        <v>134</v>
      </c>
      <c r="AF8826" s="12" t="s">
        <v>38149</v>
      </c>
      <c r="AG8826" s="12" t="s">
        <v>800</v>
      </c>
      <c r="AH8826" s="1">
        <f>HYPERLINK("https://my.pitchbook.com?c=23675-95T","View Company Online")</f>
      </c>
    </row>
    <row r="8827">
      <c r="A8827" s="3" t="s">
        <v>38150</v>
      </c>
      <c r="B8827" s="3" t="s">
        <v>30739</v>
      </c>
      <c r="C8827" s="5" t="s">
        <v>36</v>
      </c>
      <c r="D8827" s="5" t="s">
        <v>36</v>
      </c>
      <c r="E8827" s="5" t="s">
        <v>36</v>
      </c>
      <c r="F8827" s="5" t="s">
        <v>36</v>
      </c>
      <c r="G8827" s="6" t="s">
        <v>36</v>
      </c>
      <c r="H8827" s="4" t="s">
        <v>36</v>
      </c>
      <c r="I8827" s="7" t="s">
        <v>36</v>
      </c>
      <c r="J8827" s="3" t="s">
        <v>36</v>
      </c>
      <c r="K8827" s="9" t="s">
        <v>36</v>
      </c>
      <c r="L8827" s="6" t="s">
        <v>36</v>
      </c>
      <c r="M8827" s="3" t="s">
        <v>36</v>
      </c>
      <c r="N8827" s="3" t="s">
        <v>36</v>
      </c>
      <c r="O8827" s="8" t="s">
        <v>36</v>
      </c>
      <c r="P8827" s="3" t="s">
        <v>36</v>
      </c>
      <c r="Q8827" s="3" t="s">
        <v>36</v>
      </c>
      <c r="R8827" s="3" t="s">
        <v>36</v>
      </c>
      <c r="S8827" s="3" t="s">
        <v>36</v>
      </c>
      <c r="T8827" s="3" t="s">
        <v>7057</v>
      </c>
      <c r="U8827" s="3" t="s">
        <v>74</v>
      </c>
      <c r="V8827" s="3" t="s">
        <v>75</v>
      </c>
      <c r="W8827" s="3" t="s">
        <v>30740</v>
      </c>
      <c r="X8827" s="10" t="s">
        <v>26875</v>
      </c>
      <c r="Y8827" s="6" t="s">
        <v>42</v>
      </c>
      <c r="Z8827" s="4">
        <v>0.45</v>
      </c>
      <c r="AA8827" s="4" t="s">
        <v>36</v>
      </c>
      <c r="AB8827" s="3" t="s">
        <v>56</v>
      </c>
      <c r="AC8827" s="3" t="s">
        <v>30742</v>
      </c>
      <c r="AD8827" s="9">
        <v>40448</v>
      </c>
      <c r="AE8827" s="3" t="s">
        <v>1243</v>
      </c>
      <c r="AF8827" s="3" t="s">
        <v>546</v>
      </c>
      <c r="AG8827" s="3" t="s">
        <v>81</v>
      </c>
      <c r="AH8827" s="11">
        <f>HYPERLINK("https://my.pitchbook.com?c=33788-08T","View Company Online")</f>
      </c>
    </row>
    <row r="8828">
      <c r="A8828" s="12" t="s">
        <v>38151</v>
      </c>
      <c r="B8828" s="12" t="s">
        <v>38152</v>
      </c>
      <c r="C8828" s="19" t="s">
        <v>36</v>
      </c>
      <c r="D8828" s="19" t="s">
        <v>36</v>
      </c>
      <c r="E8828" s="19" t="s">
        <v>36</v>
      </c>
      <c r="F8828" s="19" t="s">
        <v>36</v>
      </c>
      <c r="G8828" s="15" t="s">
        <v>36</v>
      </c>
      <c r="H8828" s="14" t="s">
        <v>36</v>
      </c>
      <c r="I8828" s="18">
        <v>25</v>
      </c>
      <c r="J8828" s="12" t="s">
        <v>327</v>
      </c>
      <c r="K8828" s="13" t="s">
        <v>36</v>
      </c>
      <c r="L8828" s="15" t="s">
        <v>36</v>
      </c>
      <c r="M8828" s="12" t="s">
        <v>36</v>
      </c>
      <c r="N8828" s="12" t="s">
        <v>36</v>
      </c>
      <c r="O8828" s="17" t="s">
        <v>36</v>
      </c>
      <c r="P8828" s="12" t="s">
        <v>36</v>
      </c>
      <c r="Q8828" s="12" t="s">
        <v>36</v>
      </c>
      <c r="R8828" s="12" t="s">
        <v>36</v>
      </c>
      <c r="S8828" s="12" t="s">
        <v>36</v>
      </c>
      <c r="T8828" s="12" t="s">
        <v>38153</v>
      </c>
      <c r="U8828" s="12" t="s">
        <v>289</v>
      </c>
      <c r="V8828" s="12" t="s">
        <v>64</v>
      </c>
      <c r="W8828" s="12" t="s">
        <v>38154</v>
      </c>
      <c r="X8828" s="16" t="s">
        <v>1406</v>
      </c>
      <c r="Y8828" s="15" t="s">
        <v>42</v>
      </c>
      <c r="Z8828" s="14">
        <v>2.6</v>
      </c>
      <c r="AA8828" s="14">
        <v>10.38</v>
      </c>
      <c r="AB8828" s="12" t="s">
        <v>56</v>
      </c>
      <c r="AC8828" s="12" t="s">
        <v>38155</v>
      </c>
      <c r="AD8828" s="13">
        <v>40448</v>
      </c>
      <c r="AE8828" s="12" t="s">
        <v>292</v>
      </c>
      <c r="AF8828" s="12" t="s">
        <v>36</v>
      </c>
      <c r="AG8828" s="12" t="s">
        <v>2851</v>
      </c>
      <c r="AH8828" s="1">
        <f>HYPERLINK("https://my.pitchbook.com?c=33035-14T","View Company Online")</f>
      </c>
    </row>
    <row r="8829">
      <c r="A8829" s="3" t="s">
        <v>38156</v>
      </c>
      <c r="B8829" s="3" t="s">
        <v>35568</v>
      </c>
      <c r="C8829" s="5" t="s">
        <v>36</v>
      </c>
      <c r="D8829" s="5" t="s">
        <v>36</v>
      </c>
      <c r="E8829" s="5" t="s">
        <v>36</v>
      </c>
      <c r="F8829" s="5" t="s">
        <v>36</v>
      </c>
      <c r="G8829" s="6" t="s">
        <v>36</v>
      </c>
      <c r="H8829" s="4" t="s">
        <v>36</v>
      </c>
      <c r="I8829" s="7" t="s">
        <v>36</v>
      </c>
      <c r="J8829" s="3" t="s">
        <v>36</v>
      </c>
      <c r="K8829" s="9" t="s">
        <v>36</v>
      </c>
      <c r="L8829" s="6" t="s">
        <v>36</v>
      </c>
      <c r="M8829" s="3" t="s">
        <v>36</v>
      </c>
      <c r="N8829" s="3" t="s">
        <v>36</v>
      </c>
      <c r="O8829" s="8" t="s">
        <v>36</v>
      </c>
      <c r="P8829" s="3" t="s">
        <v>36</v>
      </c>
      <c r="Q8829" s="3" t="s">
        <v>36</v>
      </c>
      <c r="R8829" s="3" t="s">
        <v>36</v>
      </c>
      <c r="S8829" s="3" t="s">
        <v>36</v>
      </c>
      <c r="T8829" s="3" t="s">
        <v>35569</v>
      </c>
      <c r="U8829" s="3" t="s">
        <v>289</v>
      </c>
      <c r="V8829" s="3" t="s">
        <v>64</v>
      </c>
      <c r="W8829" s="3" t="s">
        <v>35570</v>
      </c>
      <c r="X8829" s="10" t="s">
        <v>38157</v>
      </c>
      <c r="Y8829" s="6" t="s">
        <v>42</v>
      </c>
      <c r="Z8829" s="4">
        <v>0.84</v>
      </c>
      <c r="AA8829" s="4" t="s">
        <v>36</v>
      </c>
      <c r="AB8829" s="3" t="s">
        <v>43</v>
      </c>
      <c r="AC8829" s="3" t="s">
        <v>35572</v>
      </c>
      <c r="AD8829" s="9">
        <v>40444</v>
      </c>
      <c r="AE8829" s="3" t="s">
        <v>292</v>
      </c>
      <c r="AF8829" s="3" t="s">
        <v>2118</v>
      </c>
      <c r="AG8829" s="3" t="s">
        <v>81</v>
      </c>
      <c r="AH8829" s="11">
        <f>HYPERLINK("https://my.pitchbook.com?c=25455-61T","View Company Online")</f>
      </c>
    </row>
    <row r="8830">
      <c r="A8830" s="12" t="s">
        <v>38158</v>
      </c>
      <c r="B8830" s="12" t="s">
        <v>38159</v>
      </c>
      <c r="C8830" s="19" t="s">
        <v>36</v>
      </c>
      <c r="D8830" s="19" t="s">
        <v>36</v>
      </c>
      <c r="E8830" s="19" t="s">
        <v>36</v>
      </c>
      <c r="F8830" s="19" t="s">
        <v>36</v>
      </c>
      <c r="G8830" s="15" t="s">
        <v>36</v>
      </c>
      <c r="H8830" s="14" t="s">
        <v>36</v>
      </c>
      <c r="I8830" s="18" t="s">
        <v>36</v>
      </c>
      <c r="J8830" s="12" t="s">
        <v>36</v>
      </c>
      <c r="K8830" s="13" t="s">
        <v>36</v>
      </c>
      <c r="L8830" s="15" t="s">
        <v>36</v>
      </c>
      <c r="M8830" s="12" t="s">
        <v>36</v>
      </c>
      <c r="N8830" s="12" t="s">
        <v>36</v>
      </c>
      <c r="O8830" s="17" t="s">
        <v>36</v>
      </c>
      <c r="P8830" s="12" t="s">
        <v>36</v>
      </c>
      <c r="Q8830" s="12" t="s">
        <v>36</v>
      </c>
      <c r="R8830" s="12" t="s">
        <v>36</v>
      </c>
      <c r="S8830" s="12" t="s">
        <v>36</v>
      </c>
      <c r="T8830" s="12" t="s">
        <v>38160</v>
      </c>
      <c r="U8830" s="12" t="s">
        <v>289</v>
      </c>
      <c r="V8830" s="12" t="s">
        <v>64</v>
      </c>
      <c r="W8830" s="12" t="s">
        <v>38161</v>
      </c>
      <c r="X8830" s="16" t="s">
        <v>38162</v>
      </c>
      <c r="Y8830" s="15" t="s">
        <v>42</v>
      </c>
      <c r="Z8830" s="14">
        <v>1.34</v>
      </c>
      <c r="AA8830" s="14" t="s">
        <v>36</v>
      </c>
      <c r="AB8830" s="12" t="s">
        <v>56</v>
      </c>
      <c r="AC8830" s="12" t="s">
        <v>38163</v>
      </c>
      <c r="AD8830" s="13">
        <v>40443</v>
      </c>
      <c r="AE8830" s="12" t="s">
        <v>292</v>
      </c>
      <c r="AF8830" s="12" t="s">
        <v>2118</v>
      </c>
      <c r="AG8830" s="12" t="s">
        <v>47</v>
      </c>
      <c r="AH8830" s="1">
        <f>HYPERLINK("https://my.pitchbook.com?c=25398-19T","View Company Online")</f>
      </c>
    </row>
    <row r="8831">
      <c r="A8831" s="3" t="s">
        <v>38164</v>
      </c>
      <c r="B8831" s="3" t="s">
        <v>36657</v>
      </c>
      <c r="C8831" s="5">
        <v>1</v>
      </c>
      <c r="D8831" s="5">
        <v>12</v>
      </c>
      <c r="E8831" s="5">
        <v>13</v>
      </c>
      <c r="F8831" s="5">
        <v>25</v>
      </c>
      <c r="G8831" s="6" t="s">
        <v>36</v>
      </c>
      <c r="H8831" s="4" t="s">
        <v>36</v>
      </c>
      <c r="I8831" s="7" t="s">
        <v>36</v>
      </c>
      <c r="J8831" s="3" t="s">
        <v>36</v>
      </c>
      <c r="K8831" s="9" t="s">
        <v>36</v>
      </c>
      <c r="L8831" s="6" t="s">
        <v>36</v>
      </c>
      <c r="M8831" s="3" t="s">
        <v>36</v>
      </c>
      <c r="N8831" s="3" t="s">
        <v>36</v>
      </c>
      <c r="O8831" s="8" t="s">
        <v>36</v>
      </c>
      <c r="P8831" s="3" t="s">
        <v>36</v>
      </c>
      <c r="Q8831" s="3" t="s">
        <v>36</v>
      </c>
      <c r="R8831" s="3" t="s">
        <v>36</v>
      </c>
      <c r="S8831" s="3" t="s">
        <v>36</v>
      </c>
      <c r="T8831" s="3" t="s">
        <v>1863</v>
      </c>
      <c r="U8831" s="3" t="s">
        <v>96</v>
      </c>
      <c r="V8831" s="3" t="s">
        <v>52</v>
      </c>
      <c r="W8831" s="3" t="s">
        <v>36658</v>
      </c>
      <c r="X8831" s="10" t="s">
        <v>38165</v>
      </c>
      <c r="Y8831" s="6" t="s">
        <v>55</v>
      </c>
      <c r="Z8831" s="4">
        <v>8.5</v>
      </c>
      <c r="AA8831" s="4" t="s">
        <v>36</v>
      </c>
      <c r="AB8831" s="3" t="s">
        <v>56</v>
      </c>
      <c r="AC8831" s="3" t="s">
        <v>36659</v>
      </c>
      <c r="AD8831" s="9">
        <v>40442</v>
      </c>
      <c r="AE8831" s="3" t="s">
        <v>1414</v>
      </c>
      <c r="AF8831" s="3" t="s">
        <v>36</v>
      </c>
      <c r="AG8831" s="3" t="s">
        <v>81</v>
      </c>
      <c r="AH8831" s="11">
        <f>HYPERLINK("https://my.pitchbook.com?c=32477-23T","View Company Online")</f>
      </c>
    </row>
    <row r="8832">
      <c r="A8832" s="12" t="s">
        <v>38166</v>
      </c>
      <c r="B8832" s="12" t="s">
        <v>38167</v>
      </c>
      <c r="C8832" s="19" t="s">
        <v>36</v>
      </c>
      <c r="D8832" s="19" t="s">
        <v>36</v>
      </c>
      <c r="E8832" s="19" t="s">
        <v>36</v>
      </c>
      <c r="F8832" s="19" t="s">
        <v>36</v>
      </c>
      <c r="G8832" s="15" t="s">
        <v>36</v>
      </c>
      <c r="H8832" s="14" t="s">
        <v>36</v>
      </c>
      <c r="I8832" s="18" t="s">
        <v>36</v>
      </c>
      <c r="J8832" s="12" t="s">
        <v>36</v>
      </c>
      <c r="K8832" s="13" t="s">
        <v>36</v>
      </c>
      <c r="L8832" s="15" t="s">
        <v>122</v>
      </c>
      <c r="M8832" s="12" t="s">
        <v>36</v>
      </c>
      <c r="N8832" s="12" t="s">
        <v>122</v>
      </c>
      <c r="O8832" s="17" t="s">
        <v>36</v>
      </c>
      <c r="P8832" s="12" t="s">
        <v>36</v>
      </c>
      <c r="Q8832" s="12" t="s">
        <v>36</v>
      </c>
      <c r="R8832" s="12" t="s">
        <v>36</v>
      </c>
      <c r="S8832" s="12" t="s">
        <v>36</v>
      </c>
      <c r="T8832" s="12" t="s">
        <v>38168</v>
      </c>
      <c r="U8832" s="12" t="s">
        <v>289</v>
      </c>
      <c r="V8832" s="12" t="s">
        <v>64</v>
      </c>
      <c r="W8832" s="12" t="s">
        <v>38169</v>
      </c>
      <c r="X8832" s="16" t="s">
        <v>11259</v>
      </c>
      <c r="Y8832" s="15" t="s">
        <v>42</v>
      </c>
      <c r="Z8832" s="14">
        <v>2.23</v>
      </c>
      <c r="AA8832" s="14" t="s">
        <v>36</v>
      </c>
      <c r="AB8832" s="12" t="s">
        <v>43</v>
      </c>
      <c r="AC8832" s="12" t="s">
        <v>38170</v>
      </c>
      <c r="AD8832" s="13">
        <v>40442</v>
      </c>
      <c r="AE8832" s="12" t="s">
        <v>3134</v>
      </c>
      <c r="AF8832" s="12" t="s">
        <v>1636</v>
      </c>
      <c r="AG8832" s="12" t="s">
        <v>25023</v>
      </c>
      <c r="AH8832" s="1">
        <f>HYPERLINK("https://my.pitchbook.com?c=26374-15T","View Company Online")</f>
      </c>
    </row>
    <row r="8833">
      <c r="A8833" s="3" t="s">
        <v>38171</v>
      </c>
      <c r="B8833" s="3" t="s">
        <v>38172</v>
      </c>
      <c r="C8833" s="5" t="s">
        <v>36</v>
      </c>
      <c r="D8833" s="5" t="s">
        <v>36</v>
      </c>
      <c r="E8833" s="5" t="s">
        <v>36</v>
      </c>
      <c r="F8833" s="5" t="s">
        <v>36</v>
      </c>
      <c r="G8833" s="6" t="s">
        <v>36</v>
      </c>
      <c r="H8833" s="4" t="s">
        <v>36</v>
      </c>
      <c r="I8833" s="7" t="s">
        <v>36</v>
      </c>
      <c r="J8833" s="3" t="s">
        <v>36</v>
      </c>
      <c r="K8833" s="9" t="s">
        <v>36</v>
      </c>
      <c r="L8833" s="6" t="s">
        <v>36</v>
      </c>
      <c r="M8833" s="3" t="s">
        <v>36</v>
      </c>
      <c r="N8833" s="3" t="s">
        <v>36</v>
      </c>
      <c r="O8833" s="8" t="s">
        <v>36</v>
      </c>
      <c r="P8833" s="3" t="s">
        <v>36</v>
      </c>
      <c r="Q8833" s="3" t="s">
        <v>36</v>
      </c>
      <c r="R8833" s="3" t="s">
        <v>36</v>
      </c>
      <c r="S8833" s="3" t="s">
        <v>36</v>
      </c>
      <c r="T8833" s="3" t="s">
        <v>3168</v>
      </c>
      <c r="U8833" s="3" t="s">
        <v>289</v>
      </c>
      <c r="V8833" s="3" t="s">
        <v>64</v>
      </c>
      <c r="W8833" s="3" t="s">
        <v>38173</v>
      </c>
      <c r="X8833" s="10" t="s">
        <v>38174</v>
      </c>
      <c r="Y8833" s="6" t="s">
        <v>108</v>
      </c>
      <c r="Z8833" s="4">
        <v>11.55</v>
      </c>
      <c r="AA8833" s="4" t="s">
        <v>36</v>
      </c>
      <c r="AB8833" s="3" t="s">
        <v>43</v>
      </c>
      <c r="AC8833" s="3" t="s">
        <v>38175</v>
      </c>
      <c r="AD8833" s="9">
        <v>40442</v>
      </c>
      <c r="AE8833" s="3" t="s">
        <v>3134</v>
      </c>
      <c r="AF8833" s="3" t="s">
        <v>2118</v>
      </c>
      <c r="AG8833" s="3" t="s">
        <v>81</v>
      </c>
      <c r="AH8833" s="11">
        <f>HYPERLINK("https://my.pitchbook.com?c=24282-10T","View Company Online")</f>
      </c>
    </row>
    <row r="8834">
      <c r="A8834" s="12" t="s">
        <v>38176</v>
      </c>
      <c r="B8834" s="12" t="s">
        <v>38177</v>
      </c>
      <c r="C8834" s="19" t="s">
        <v>36</v>
      </c>
      <c r="D8834" s="19" t="s">
        <v>36</v>
      </c>
      <c r="E8834" s="19" t="s">
        <v>36</v>
      </c>
      <c r="F8834" s="19" t="s">
        <v>36</v>
      </c>
      <c r="G8834" s="15" t="s">
        <v>36</v>
      </c>
      <c r="H8834" s="14" t="s">
        <v>36</v>
      </c>
      <c r="I8834" s="18" t="s">
        <v>36</v>
      </c>
      <c r="J8834" s="12" t="s">
        <v>36</v>
      </c>
      <c r="K8834" s="13" t="s">
        <v>36</v>
      </c>
      <c r="L8834" s="15" t="s">
        <v>36</v>
      </c>
      <c r="M8834" s="12" t="s">
        <v>36</v>
      </c>
      <c r="N8834" s="12" t="s">
        <v>36</v>
      </c>
      <c r="O8834" s="17" t="s">
        <v>36</v>
      </c>
      <c r="P8834" s="12" t="s">
        <v>36</v>
      </c>
      <c r="Q8834" s="12" t="s">
        <v>36</v>
      </c>
      <c r="R8834" s="12" t="s">
        <v>36</v>
      </c>
      <c r="S8834" s="12" t="s">
        <v>36</v>
      </c>
      <c r="T8834" s="12" t="s">
        <v>38178</v>
      </c>
      <c r="U8834" s="12" t="s">
        <v>74</v>
      </c>
      <c r="V8834" s="12" t="s">
        <v>75</v>
      </c>
      <c r="W8834" s="12" t="s">
        <v>38179</v>
      </c>
      <c r="X8834" s="16" t="s">
        <v>36431</v>
      </c>
      <c r="Y8834" s="15" t="s">
        <v>108</v>
      </c>
      <c r="Z8834" s="14">
        <v>3.67</v>
      </c>
      <c r="AA8834" s="14" t="s">
        <v>36</v>
      </c>
      <c r="AB8834" s="12" t="s">
        <v>56</v>
      </c>
      <c r="AC8834" s="12" t="s">
        <v>38180</v>
      </c>
      <c r="AD8834" s="13">
        <v>40437</v>
      </c>
      <c r="AE8834" s="12" t="s">
        <v>79</v>
      </c>
      <c r="AF8834" s="12" t="s">
        <v>1636</v>
      </c>
      <c r="AG8834" s="12" t="s">
        <v>434</v>
      </c>
      <c r="AH8834" s="1">
        <f>HYPERLINK("https://my.pitchbook.com?c=33044-14T","View Company Online")</f>
      </c>
    </row>
    <row r="8835">
      <c r="A8835" s="3" t="s">
        <v>38181</v>
      </c>
      <c r="B8835" s="3" t="s">
        <v>38182</v>
      </c>
      <c r="C8835" s="5" t="s">
        <v>36</v>
      </c>
      <c r="D8835" s="5" t="s">
        <v>36</v>
      </c>
      <c r="E8835" s="5" t="s">
        <v>36</v>
      </c>
      <c r="F8835" s="5" t="s">
        <v>36</v>
      </c>
      <c r="G8835" s="6" t="s">
        <v>36</v>
      </c>
      <c r="H8835" s="4" t="s">
        <v>36</v>
      </c>
      <c r="I8835" s="7" t="s">
        <v>36</v>
      </c>
      <c r="J8835" s="3" t="s">
        <v>36</v>
      </c>
      <c r="K8835" s="9" t="s">
        <v>36</v>
      </c>
      <c r="L8835" s="6" t="s">
        <v>36</v>
      </c>
      <c r="M8835" s="3" t="s">
        <v>36</v>
      </c>
      <c r="N8835" s="3" t="s">
        <v>36</v>
      </c>
      <c r="O8835" s="8" t="s">
        <v>36</v>
      </c>
      <c r="P8835" s="3" t="s">
        <v>36</v>
      </c>
      <c r="Q8835" s="3" t="s">
        <v>36</v>
      </c>
      <c r="R8835" s="3" t="s">
        <v>36</v>
      </c>
      <c r="S8835" s="3" t="s">
        <v>36</v>
      </c>
      <c r="T8835" s="3" t="s">
        <v>2121</v>
      </c>
      <c r="U8835" s="3" t="s">
        <v>387</v>
      </c>
      <c r="V8835" s="3" t="s">
        <v>367</v>
      </c>
      <c r="W8835" s="3" t="s">
        <v>38183</v>
      </c>
      <c r="X8835" s="10" t="s">
        <v>38184</v>
      </c>
      <c r="Y8835" s="6" t="s">
        <v>108</v>
      </c>
      <c r="Z8835" s="4">
        <v>1.92</v>
      </c>
      <c r="AA8835" s="4" t="s">
        <v>36</v>
      </c>
      <c r="AB8835" s="3" t="s">
        <v>43</v>
      </c>
      <c r="AC8835" s="3" t="s">
        <v>38185</v>
      </c>
      <c r="AD8835" s="9">
        <v>40435</v>
      </c>
      <c r="AE8835" s="3" t="s">
        <v>391</v>
      </c>
      <c r="AF8835" s="3" t="s">
        <v>8789</v>
      </c>
      <c r="AG8835" s="3" t="s">
        <v>38186</v>
      </c>
      <c r="AH8835" s="11">
        <f>HYPERLINK("https://my.pitchbook.com?c=29557-45T","View Company Online")</f>
      </c>
    </row>
    <row r="8836">
      <c r="A8836" s="12" t="s">
        <v>38187</v>
      </c>
      <c r="B8836" s="12" t="s">
        <v>30923</v>
      </c>
      <c r="C8836" s="19" t="s">
        <v>36</v>
      </c>
      <c r="D8836" s="19" t="s">
        <v>36</v>
      </c>
      <c r="E8836" s="19" t="s">
        <v>36</v>
      </c>
      <c r="F8836" s="19" t="s">
        <v>36</v>
      </c>
      <c r="G8836" s="15" t="s">
        <v>36</v>
      </c>
      <c r="H8836" s="14" t="s">
        <v>36</v>
      </c>
      <c r="I8836" s="18" t="s">
        <v>36</v>
      </c>
      <c r="J8836" s="12" t="s">
        <v>36</v>
      </c>
      <c r="K8836" s="13" t="s">
        <v>36</v>
      </c>
      <c r="L8836" s="15" t="s">
        <v>36</v>
      </c>
      <c r="M8836" s="12" t="s">
        <v>36</v>
      </c>
      <c r="N8836" s="12" t="s">
        <v>36</v>
      </c>
      <c r="O8836" s="17" t="s">
        <v>36</v>
      </c>
      <c r="P8836" s="12" t="s">
        <v>36</v>
      </c>
      <c r="Q8836" s="12" t="s">
        <v>36</v>
      </c>
      <c r="R8836" s="12" t="s">
        <v>36</v>
      </c>
      <c r="S8836" s="12" t="s">
        <v>36</v>
      </c>
      <c r="T8836" s="12" t="s">
        <v>22034</v>
      </c>
      <c r="U8836" s="12" t="s">
        <v>833</v>
      </c>
      <c r="V8836" s="12" t="s">
        <v>64</v>
      </c>
      <c r="W8836" s="12" t="s">
        <v>30924</v>
      </c>
      <c r="X8836" s="16" t="s">
        <v>38188</v>
      </c>
      <c r="Y8836" s="15" t="s">
        <v>108</v>
      </c>
      <c r="Z8836" s="14">
        <v>3.57</v>
      </c>
      <c r="AA8836" s="14" t="s">
        <v>36</v>
      </c>
      <c r="AB8836" s="12" t="s">
        <v>43</v>
      </c>
      <c r="AC8836" s="12" t="s">
        <v>30925</v>
      </c>
      <c r="AD8836" s="13">
        <v>40434</v>
      </c>
      <c r="AE8836" s="12" t="s">
        <v>1069</v>
      </c>
      <c r="AF8836" s="12" t="s">
        <v>4200</v>
      </c>
      <c r="AG8836" s="12" t="s">
        <v>2618</v>
      </c>
      <c r="AH8836" s="1">
        <f>HYPERLINK("https://my.pitchbook.com?c=31979-35T","View Company Online")</f>
      </c>
    </row>
    <row r="8837">
      <c r="A8837" s="3" t="s">
        <v>38189</v>
      </c>
      <c r="B8837" s="3" t="s">
        <v>38190</v>
      </c>
      <c r="C8837" s="5" t="s">
        <v>36</v>
      </c>
      <c r="D8837" s="5" t="s">
        <v>36</v>
      </c>
      <c r="E8837" s="5" t="s">
        <v>36</v>
      </c>
      <c r="F8837" s="5" t="s">
        <v>36</v>
      </c>
      <c r="G8837" s="6" t="s">
        <v>36</v>
      </c>
      <c r="H8837" s="4">
        <v>373.88</v>
      </c>
      <c r="I8837" s="7">
        <v>16.26</v>
      </c>
      <c r="J8837" s="3" t="s">
        <v>521</v>
      </c>
      <c r="K8837" s="9" t="s">
        <v>36</v>
      </c>
      <c r="L8837" s="6" t="s">
        <v>36</v>
      </c>
      <c r="M8837" s="3" t="s">
        <v>36</v>
      </c>
      <c r="N8837" s="3" t="s">
        <v>36</v>
      </c>
      <c r="O8837" s="8" t="s">
        <v>36</v>
      </c>
      <c r="P8837" s="3" t="s">
        <v>36</v>
      </c>
      <c r="Q8837" s="3" t="s">
        <v>36</v>
      </c>
      <c r="R8837" s="3" t="s">
        <v>36</v>
      </c>
      <c r="S8837" s="3" t="s">
        <v>36</v>
      </c>
      <c r="T8837" s="3" t="s">
        <v>17580</v>
      </c>
      <c r="U8837" s="3" t="s">
        <v>233</v>
      </c>
      <c r="V8837" s="3" t="s">
        <v>39</v>
      </c>
      <c r="W8837" s="3" t="s">
        <v>38191</v>
      </c>
      <c r="X8837" s="10" t="s">
        <v>38192</v>
      </c>
      <c r="Y8837" s="6" t="s">
        <v>55</v>
      </c>
      <c r="Z8837" s="4">
        <v>1.02</v>
      </c>
      <c r="AA8837" s="4">
        <v>3.14</v>
      </c>
      <c r="AB8837" s="3" t="s">
        <v>56</v>
      </c>
      <c r="AC8837" s="3" t="s">
        <v>38193</v>
      </c>
      <c r="AD8837" s="9">
        <v>40431</v>
      </c>
      <c r="AE8837" s="3" t="s">
        <v>236</v>
      </c>
      <c r="AF8837" s="3" t="s">
        <v>38194</v>
      </c>
      <c r="AG8837" s="3" t="s">
        <v>102</v>
      </c>
      <c r="AH8837" s="11">
        <f>HYPERLINK("https://my.pitchbook.com?c=29840-05T","View Company Online")</f>
      </c>
    </row>
    <row r="8838">
      <c r="A8838" s="12" t="s">
        <v>38195</v>
      </c>
      <c r="B8838" s="12" t="s">
        <v>38196</v>
      </c>
      <c r="C8838" s="19" t="s">
        <v>36</v>
      </c>
      <c r="D8838" s="19" t="s">
        <v>36</v>
      </c>
      <c r="E8838" s="19" t="s">
        <v>36</v>
      </c>
      <c r="F8838" s="19" t="s">
        <v>36</v>
      </c>
      <c r="G8838" s="15" t="s">
        <v>36</v>
      </c>
      <c r="H8838" s="14" t="s">
        <v>36</v>
      </c>
      <c r="I8838" s="18" t="s">
        <v>36</v>
      </c>
      <c r="J8838" s="12" t="s">
        <v>36</v>
      </c>
      <c r="K8838" s="13" t="s">
        <v>36</v>
      </c>
      <c r="L8838" s="15" t="s">
        <v>36</v>
      </c>
      <c r="M8838" s="12" t="s">
        <v>36</v>
      </c>
      <c r="N8838" s="12" t="s">
        <v>36</v>
      </c>
      <c r="O8838" s="17" t="s">
        <v>36</v>
      </c>
      <c r="P8838" s="12" t="s">
        <v>36</v>
      </c>
      <c r="Q8838" s="12" t="s">
        <v>36</v>
      </c>
      <c r="R8838" s="12" t="s">
        <v>36</v>
      </c>
      <c r="S8838" s="12" t="s">
        <v>36</v>
      </c>
      <c r="T8838" s="12" t="s">
        <v>16312</v>
      </c>
      <c r="U8838" s="12" t="s">
        <v>38</v>
      </c>
      <c r="V8838" s="12" t="s">
        <v>39</v>
      </c>
      <c r="W8838" s="12" t="s">
        <v>38197</v>
      </c>
      <c r="X8838" s="16" t="s">
        <v>38198</v>
      </c>
      <c r="Y8838" s="15" t="s">
        <v>42</v>
      </c>
      <c r="Z8838" s="14">
        <v>2.3</v>
      </c>
      <c r="AA8838" s="14" t="s">
        <v>36</v>
      </c>
      <c r="AB8838" s="12" t="s">
        <v>43</v>
      </c>
      <c r="AC8838" s="12" t="s">
        <v>38199</v>
      </c>
      <c r="AD8838" s="13">
        <v>40431</v>
      </c>
      <c r="AE8838" s="12" t="s">
        <v>554</v>
      </c>
      <c r="AF8838" s="12" t="s">
        <v>1636</v>
      </c>
      <c r="AG8838" s="12" t="s">
        <v>1570</v>
      </c>
      <c r="AH8838" s="1">
        <f>HYPERLINK("https://my.pitchbook.com?c=35738-20T","View Company Online")</f>
      </c>
    </row>
    <row r="8839">
      <c r="A8839" s="3" t="s">
        <v>38200</v>
      </c>
      <c r="B8839" s="3" t="s">
        <v>38201</v>
      </c>
      <c r="C8839" s="5" t="s">
        <v>36</v>
      </c>
      <c r="D8839" s="5">
        <v>2</v>
      </c>
      <c r="E8839" s="5">
        <v>1</v>
      </c>
      <c r="F8839" s="5">
        <v>5</v>
      </c>
      <c r="G8839" s="6" t="s">
        <v>36</v>
      </c>
      <c r="H8839" s="4" t="s">
        <v>36</v>
      </c>
      <c r="I8839" s="7" t="s">
        <v>36</v>
      </c>
      <c r="J8839" s="3" t="s">
        <v>36</v>
      </c>
      <c r="K8839" s="9" t="s">
        <v>36</v>
      </c>
      <c r="L8839" s="6" t="s">
        <v>36</v>
      </c>
      <c r="M8839" s="3" t="s">
        <v>36</v>
      </c>
      <c r="N8839" s="3" t="s">
        <v>36</v>
      </c>
      <c r="O8839" s="8" t="s">
        <v>36</v>
      </c>
      <c r="P8839" s="3" t="s">
        <v>36</v>
      </c>
      <c r="Q8839" s="3" t="s">
        <v>36</v>
      </c>
      <c r="R8839" s="3" t="s">
        <v>36</v>
      </c>
      <c r="S8839" s="3" t="s">
        <v>36</v>
      </c>
      <c r="T8839" s="3" t="s">
        <v>38202</v>
      </c>
      <c r="U8839" s="3" t="s">
        <v>1580</v>
      </c>
      <c r="V8839" s="3" t="s">
        <v>39</v>
      </c>
      <c r="W8839" s="3" t="s">
        <v>38203</v>
      </c>
      <c r="X8839" s="10" t="s">
        <v>38204</v>
      </c>
      <c r="Y8839" s="6" t="s">
        <v>108</v>
      </c>
      <c r="Z8839" s="4">
        <v>1.91</v>
      </c>
      <c r="AA8839" s="4" t="s">
        <v>36</v>
      </c>
      <c r="AB8839" s="3" t="s">
        <v>56</v>
      </c>
      <c r="AC8839" s="3" t="s">
        <v>38205</v>
      </c>
      <c r="AD8839" s="9">
        <v>40430</v>
      </c>
      <c r="AE8839" s="3" t="s">
        <v>4086</v>
      </c>
      <c r="AF8839" s="3" t="s">
        <v>4477</v>
      </c>
      <c r="AG8839" s="3" t="s">
        <v>5295</v>
      </c>
      <c r="AH8839" s="11">
        <f>HYPERLINK("https://my.pitchbook.com?c=28578-52T","View Company Online")</f>
      </c>
    </row>
    <row r="8840">
      <c r="A8840" s="12" t="s">
        <v>38206</v>
      </c>
      <c r="B8840" s="12" t="s">
        <v>38207</v>
      </c>
      <c r="C8840" s="19" t="s">
        <v>36</v>
      </c>
      <c r="D8840" s="19" t="s">
        <v>36</v>
      </c>
      <c r="E8840" s="19" t="s">
        <v>36</v>
      </c>
      <c r="F8840" s="19" t="s">
        <v>36</v>
      </c>
      <c r="G8840" s="15" t="s">
        <v>36</v>
      </c>
      <c r="H8840" s="14" t="s">
        <v>36</v>
      </c>
      <c r="I8840" s="18" t="s">
        <v>36</v>
      </c>
      <c r="J8840" s="12" t="s">
        <v>36</v>
      </c>
      <c r="K8840" s="13" t="s">
        <v>36</v>
      </c>
      <c r="L8840" s="15" t="s">
        <v>36</v>
      </c>
      <c r="M8840" s="12" t="s">
        <v>36</v>
      </c>
      <c r="N8840" s="12" t="s">
        <v>36</v>
      </c>
      <c r="O8840" s="17" t="s">
        <v>36</v>
      </c>
      <c r="P8840" s="12" t="s">
        <v>36</v>
      </c>
      <c r="Q8840" s="12" t="s">
        <v>36</v>
      </c>
      <c r="R8840" s="12" t="s">
        <v>36</v>
      </c>
      <c r="S8840" s="12" t="s">
        <v>36</v>
      </c>
      <c r="T8840" s="12" t="s">
        <v>38208</v>
      </c>
      <c r="U8840" s="12" t="s">
        <v>648</v>
      </c>
      <c r="V8840" s="12" t="s">
        <v>64</v>
      </c>
      <c r="W8840" s="12" t="s">
        <v>38209</v>
      </c>
      <c r="X8840" s="16" t="s">
        <v>38210</v>
      </c>
      <c r="Y8840" s="15" t="s">
        <v>42</v>
      </c>
      <c r="Z8840" s="14">
        <v>5.37</v>
      </c>
      <c r="AA8840" s="14" t="s">
        <v>36</v>
      </c>
      <c r="AB8840" s="12" t="s">
        <v>43</v>
      </c>
      <c r="AC8840" s="12" t="s">
        <v>38211</v>
      </c>
      <c r="AD8840" s="13">
        <v>40429</v>
      </c>
      <c r="AE8840" s="12" t="s">
        <v>1897</v>
      </c>
      <c r="AF8840" s="12" t="s">
        <v>1636</v>
      </c>
      <c r="AG8840" s="12" t="s">
        <v>81</v>
      </c>
      <c r="AH8840" s="1">
        <f>HYPERLINK("https://my.pitchbook.com?c=25423-30T","View Company Online")</f>
      </c>
    </row>
    <row r="8841">
      <c r="A8841" s="3" t="s">
        <v>38212</v>
      </c>
      <c r="B8841" s="3" t="s">
        <v>38213</v>
      </c>
      <c r="C8841" s="5" t="s">
        <v>36</v>
      </c>
      <c r="D8841" s="5" t="s">
        <v>36</v>
      </c>
      <c r="E8841" s="5" t="s">
        <v>36</v>
      </c>
      <c r="F8841" s="5" t="s">
        <v>36</v>
      </c>
      <c r="G8841" s="6" t="s">
        <v>36</v>
      </c>
      <c r="H8841" s="4" t="s">
        <v>36</v>
      </c>
      <c r="I8841" s="7" t="s">
        <v>36</v>
      </c>
      <c r="J8841" s="3" t="s">
        <v>36</v>
      </c>
      <c r="K8841" s="9" t="s">
        <v>36</v>
      </c>
      <c r="L8841" s="6" t="s">
        <v>36</v>
      </c>
      <c r="M8841" s="3" t="s">
        <v>36</v>
      </c>
      <c r="N8841" s="3" t="s">
        <v>36</v>
      </c>
      <c r="O8841" s="8" t="s">
        <v>36</v>
      </c>
      <c r="P8841" s="3" t="s">
        <v>36</v>
      </c>
      <c r="Q8841" s="3" t="s">
        <v>36</v>
      </c>
      <c r="R8841" s="3" t="s">
        <v>36</v>
      </c>
      <c r="S8841" s="3" t="s">
        <v>36</v>
      </c>
      <c r="T8841" s="3" t="s">
        <v>38214</v>
      </c>
      <c r="U8841" s="3" t="s">
        <v>38</v>
      </c>
      <c r="V8841" s="3" t="s">
        <v>39</v>
      </c>
      <c r="W8841" s="3" t="s">
        <v>38215</v>
      </c>
      <c r="X8841" s="10" t="s">
        <v>38216</v>
      </c>
      <c r="Y8841" s="6" t="s">
        <v>42</v>
      </c>
      <c r="Z8841" s="4">
        <v>1.3</v>
      </c>
      <c r="AA8841" s="4" t="s">
        <v>36</v>
      </c>
      <c r="AB8841" s="3" t="s">
        <v>43</v>
      </c>
      <c r="AC8841" s="3" t="s">
        <v>38217</v>
      </c>
      <c r="AD8841" s="9">
        <v>40428</v>
      </c>
      <c r="AE8841" s="3" t="s">
        <v>688</v>
      </c>
      <c r="AF8841" s="3" t="s">
        <v>3762</v>
      </c>
      <c r="AG8841" s="3" t="s">
        <v>1353</v>
      </c>
      <c r="AH8841" s="11">
        <f>HYPERLINK("https://my.pitchbook.com?c=36004-96T","View Company Online")</f>
      </c>
    </row>
    <row r="8842">
      <c r="A8842" s="12" t="s">
        <v>38218</v>
      </c>
      <c r="B8842" s="12" t="s">
        <v>36985</v>
      </c>
      <c r="C8842" s="19" t="s">
        <v>36</v>
      </c>
      <c r="D8842" s="19" t="s">
        <v>36</v>
      </c>
      <c r="E8842" s="19" t="s">
        <v>36</v>
      </c>
      <c r="F8842" s="19" t="s">
        <v>36</v>
      </c>
      <c r="G8842" s="15" t="s">
        <v>36</v>
      </c>
      <c r="H8842" s="14" t="s">
        <v>36</v>
      </c>
      <c r="I8842" s="18" t="s">
        <v>36</v>
      </c>
      <c r="J8842" s="12" t="s">
        <v>36</v>
      </c>
      <c r="K8842" s="13" t="s">
        <v>36</v>
      </c>
      <c r="L8842" s="15" t="s">
        <v>36</v>
      </c>
      <c r="M8842" s="12" t="s">
        <v>36</v>
      </c>
      <c r="N8842" s="12" t="s">
        <v>36</v>
      </c>
      <c r="O8842" s="17" t="s">
        <v>36</v>
      </c>
      <c r="P8842" s="12" t="s">
        <v>36</v>
      </c>
      <c r="Q8842" s="12" t="s">
        <v>36</v>
      </c>
      <c r="R8842" s="12" t="s">
        <v>36</v>
      </c>
      <c r="S8842" s="12" t="s">
        <v>36</v>
      </c>
      <c r="T8842" s="12" t="s">
        <v>36986</v>
      </c>
      <c r="U8842" s="12" t="s">
        <v>728</v>
      </c>
      <c r="V8842" s="12" t="s">
        <v>64</v>
      </c>
      <c r="W8842" s="12" t="s">
        <v>36987</v>
      </c>
      <c r="X8842" s="16" t="s">
        <v>34684</v>
      </c>
      <c r="Y8842" s="15" t="s">
        <v>42</v>
      </c>
      <c r="Z8842" s="14">
        <v>2.24</v>
      </c>
      <c r="AA8842" s="14" t="s">
        <v>36</v>
      </c>
      <c r="AB8842" s="12" t="s">
        <v>56</v>
      </c>
      <c r="AC8842" s="12" t="s">
        <v>36988</v>
      </c>
      <c r="AD8842" s="13">
        <v>40427</v>
      </c>
      <c r="AE8842" s="12" t="s">
        <v>2154</v>
      </c>
      <c r="AF8842" s="12" t="s">
        <v>571</v>
      </c>
      <c r="AG8842" s="12" t="s">
        <v>81</v>
      </c>
      <c r="AH8842" s="1">
        <f>HYPERLINK("https://my.pitchbook.com?c=36346-15T","View Company Online")</f>
      </c>
    </row>
    <row r="8843">
      <c r="A8843" s="3" t="s">
        <v>38219</v>
      </c>
      <c r="B8843" s="3" t="s">
        <v>38220</v>
      </c>
      <c r="C8843" s="5" t="s">
        <v>36</v>
      </c>
      <c r="D8843" s="5" t="s">
        <v>36</v>
      </c>
      <c r="E8843" s="5" t="s">
        <v>36</v>
      </c>
      <c r="F8843" s="5" t="s">
        <v>36</v>
      </c>
      <c r="G8843" s="6" t="s">
        <v>36</v>
      </c>
      <c r="H8843" s="4" t="s">
        <v>36</v>
      </c>
      <c r="I8843" s="7" t="s">
        <v>36</v>
      </c>
      <c r="J8843" s="3" t="s">
        <v>36</v>
      </c>
      <c r="K8843" s="9" t="s">
        <v>36</v>
      </c>
      <c r="L8843" s="6" t="s">
        <v>36</v>
      </c>
      <c r="M8843" s="3" t="s">
        <v>36</v>
      </c>
      <c r="N8843" s="3" t="s">
        <v>36</v>
      </c>
      <c r="O8843" s="8" t="s">
        <v>36</v>
      </c>
      <c r="P8843" s="3" t="s">
        <v>36</v>
      </c>
      <c r="Q8843" s="3" t="s">
        <v>36</v>
      </c>
      <c r="R8843" s="3" t="s">
        <v>36</v>
      </c>
      <c r="S8843" s="3" t="s">
        <v>36</v>
      </c>
      <c r="T8843" s="3" t="s">
        <v>5039</v>
      </c>
      <c r="U8843" s="3" t="s">
        <v>74</v>
      </c>
      <c r="V8843" s="3" t="s">
        <v>75</v>
      </c>
      <c r="W8843" s="3" t="s">
        <v>38221</v>
      </c>
      <c r="X8843" s="10" t="s">
        <v>5892</v>
      </c>
      <c r="Y8843" s="6" t="s">
        <v>42</v>
      </c>
      <c r="Z8843" s="4" t="s">
        <v>36</v>
      </c>
      <c r="AA8843" s="4" t="s">
        <v>36</v>
      </c>
      <c r="AB8843" s="3" t="s">
        <v>56</v>
      </c>
      <c r="AC8843" s="3" t="s">
        <v>38222</v>
      </c>
      <c r="AD8843" s="9">
        <v>40427</v>
      </c>
      <c r="AE8843" s="3" t="s">
        <v>1243</v>
      </c>
      <c r="AF8843" s="3" t="s">
        <v>38223</v>
      </c>
      <c r="AG8843" s="3" t="s">
        <v>81</v>
      </c>
      <c r="AH8843" s="11">
        <f>HYPERLINK("https://my.pitchbook.com?c=26791-30T","View Company Online")</f>
      </c>
    </row>
    <row r="8844">
      <c r="A8844" s="12" t="s">
        <v>38224</v>
      </c>
      <c r="B8844" s="12" t="s">
        <v>25427</v>
      </c>
      <c r="C8844" s="19" t="s">
        <v>36</v>
      </c>
      <c r="D8844" s="19" t="s">
        <v>36</v>
      </c>
      <c r="E8844" s="19" t="s">
        <v>36</v>
      </c>
      <c r="F8844" s="19" t="s">
        <v>36</v>
      </c>
      <c r="G8844" s="15" t="s">
        <v>36</v>
      </c>
      <c r="H8844" s="14">
        <v>51.93</v>
      </c>
      <c r="I8844" s="18">
        <v>24.81</v>
      </c>
      <c r="J8844" s="12" t="s">
        <v>521</v>
      </c>
      <c r="K8844" s="13" t="s">
        <v>36</v>
      </c>
      <c r="L8844" s="15" t="s">
        <v>36</v>
      </c>
      <c r="M8844" s="12" t="s">
        <v>36</v>
      </c>
      <c r="N8844" s="12" t="s">
        <v>36</v>
      </c>
      <c r="O8844" s="17" t="s">
        <v>36</v>
      </c>
      <c r="P8844" s="12" t="s">
        <v>36</v>
      </c>
      <c r="Q8844" s="12" t="s">
        <v>36</v>
      </c>
      <c r="R8844" s="12" t="s">
        <v>36</v>
      </c>
      <c r="S8844" s="12" t="s">
        <v>36</v>
      </c>
      <c r="T8844" s="12" t="s">
        <v>9494</v>
      </c>
      <c r="U8844" s="12" t="s">
        <v>38</v>
      </c>
      <c r="V8844" s="12" t="s">
        <v>39</v>
      </c>
      <c r="W8844" s="12" t="s">
        <v>25428</v>
      </c>
      <c r="X8844" s="16" t="s">
        <v>25429</v>
      </c>
      <c r="Y8844" s="15" t="s">
        <v>42</v>
      </c>
      <c r="Z8844" s="14">
        <v>0.42</v>
      </c>
      <c r="AA8844" s="14">
        <v>2.13</v>
      </c>
      <c r="AB8844" s="12" t="s">
        <v>43</v>
      </c>
      <c r="AC8844" s="12" t="s">
        <v>25430</v>
      </c>
      <c r="AD8844" s="13">
        <v>40424</v>
      </c>
      <c r="AE8844" s="12" t="s">
        <v>554</v>
      </c>
      <c r="AF8844" s="12" t="s">
        <v>1296</v>
      </c>
      <c r="AG8844" s="12" t="s">
        <v>81</v>
      </c>
      <c r="AH8844" s="1">
        <f>HYPERLINK("https://my.pitchbook.com?c=115808-68T","View Company Online")</f>
      </c>
    </row>
    <row r="8845">
      <c r="A8845" s="3" t="s">
        <v>38225</v>
      </c>
      <c r="B8845" s="3" t="s">
        <v>38226</v>
      </c>
      <c r="C8845" s="5" t="s">
        <v>36</v>
      </c>
      <c r="D8845" s="5" t="s">
        <v>36</v>
      </c>
      <c r="E8845" s="5" t="s">
        <v>36</v>
      </c>
      <c r="F8845" s="5" t="s">
        <v>36</v>
      </c>
      <c r="G8845" s="6" t="s">
        <v>36</v>
      </c>
      <c r="H8845" s="4" t="s">
        <v>36</v>
      </c>
      <c r="I8845" s="7" t="s">
        <v>36</v>
      </c>
      <c r="J8845" s="3" t="s">
        <v>36</v>
      </c>
      <c r="K8845" s="9" t="s">
        <v>36</v>
      </c>
      <c r="L8845" s="6" t="s">
        <v>122</v>
      </c>
      <c r="M8845" s="3" t="s">
        <v>36</v>
      </c>
      <c r="N8845" s="3" t="s">
        <v>122</v>
      </c>
      <c r="O8845" s="8" t="s">
        <v>36</v>
      </c>
      <c r="P8845" s="3" t="s">
        <v>36</v>
      </c>
      <c r="Q8845" s="3" t="s">
        <v>36</v>
      </c>
      <c r="R8845" s="3" t="s">
        <v>36</v>
      </c>
      <c r="S8845" s="3" t="s">
        <v>36</v>
      </c>
      <c r="T8845" s="3" t="s">
        <v>278</v>
      </c>
      <c r="U8845" s="3" t="s">
        <v>279</v>
      </c>
      <c r="V8845" s="3" t="s">
        <v>64</v>
      </c>
      <c r="W8845" s="3" t="s">
        <v>38227</v>
      </c>
      <c r="X8845" s="10" t="s">
        <v>26850</v>
      </c>
      <c r="Y8845" s="6" t="s">
        <v>42</v>
      </c>
      <c r="Z8845" s="4">
        <v>1.29</v>
      </c>
      <c r="AA8845" s="4" t="s">
        <v>36</v>
      </c>
      <c r="AB8845" s="3" t="s">
        <v>43</v>
      </c>
      <c r="AC8845" s="3" t="s">
        <v>38228</v>
      </c>
      <c r="AD8845" s="9">
        <v>40423</v>
      </c>
      <c r="AE8845" s="3" t="s">
        <v>283</v>
      </c>
      <c r="AF8845" s="3" t="s">
        <v>36</v>
      </c>
      <c r="AG8845" s="3" t="s">
        <v>2760</v>
      </c>
      <c r="AH8845" s="11">
        <f>HYPERLINK("https://my.pitchbook.com?c=31400-02T","View Company Online")</f>
      </c>
    </row>
    <row r="8846">
      <c r="A8846" s="12" t="s">
        <v>38229</v>
      </c>
      <c r="B8846" s="12" t="s">
        <v>32207</v>
      </c>
      <c r="C8846" s="19">
        <v>5</v>
      </c>
      <c r="D8846" s="19">
        <v>37</v>
      </c>
      <c r="E8846" s="19">
        <v>14</v>
      </c>
      <c r="F8846" s="19">
        <v>55</v>
      </c>
      <c r="G8846" s="15" t="s">
        <v>36</v>
      </c>
      <c r="H8846" s="14">
        <v>1.1</v>
      </c>
      <c r="I8846" s="18">
        <v>49.7</v>
      </c>
      <c r="J8846" s="12" t="s">
        <v>521</v>
      </c>
      <c r="K8846" s="13" t="s">
        <v>36</v>
      </c>
      <c r="L8846" s="15" t="s">
        <v>36</v>
      </c>
      <c r="M8846" s="12" t="s">
        <v>36</v>
      </c>
      <c r="N8846" s="12" t="s">
        <v>36</v>
      </c>
      <c r="O8846" s="17" t="s">
        <v>36</v>
      </c>
      <c r="P8846" s="12" t="s">
        <v>36</v>
      </c>
      <c r="Q8846" s="12" t="s">
        <v>36</v>
      </c>
      <c r="R8846" s="12" t="s">
        <v>36</v>
      </c>
      <c r="S8846" s="12" t="s">
        <v>36</v>
      </c>
      <c r="T8846" s="12" t="s">
        <v>588</v>
      </c>
      <c r="U8846" s="12" t="s">
        <v>318</v>
      </c>
      <c r="V8846" s="12" t="s">
        <v>39</v>
      </c>
      <c r="W8846" s="12" t="s">
        <v>32208</v>
      </c>
      <c r="X8846" s="16" t="s">
        <v>38230</v>
      </c>
      <c r="Y8846" s="15" t="s">
        <v>42</v>
      </c>
      <c r="Z8846" s="14">
        <v>2.57</v>
      </c>
      <c r="AA8846" s="14">
        <v>5.18</v>
      </c>
      <c r="AB8846" s="12" t="s">
        <v>56</v>
      </c>
      <c r="AC8846" s="12" t="s">
        <v>32210</v>
      </c>
      <c r="AD8846" s="13">
        <v>40423</v>
      </c>
      <c r="AE8846" s="12" t="s">
        <v>417</v>
      </c>
      <c r="AF8846" s="12" t="s">
        <v>28996</v>
      </c>
      <c r="AG8846" s="12" t="s">
        <v>32211</v>
      </c>
      <c r="AH8846" s="1">
        <f>HYPERLINK("https://my.pitchbook.com?c=25609-24T","View Company Online")</f>
      </c>
    </row>
    <row r="8847">
      <c r="A8847" s="3" t="s">
        <v>38231</v>
      </c>
      <c r="B8847" s="3" t="s">
        <v>33495</v>
      </c>
      <c r="C8847" s="5">
        <v>4</v>
      </c>
      <c r="D8847" s="5">
        <v>13</v>
      </c>
      <c r="E8847" s="5">
        <v>9</v>
      </c>
      <c r="F8847" s="5">
        <v>35</v>
      </c>
      <c r="G8847" s="6" t="s">
        <v>36</v>
      </c>
      <c r="H8847" s="4" t="s">
        <v>36</v>
      </c>
      <c r="I8847" s="7" t="s">
        <v>36</v>
      </c>
      <c r="J8847" s="3" t="s">
        <v>36</v>
      </c>
      <c r="K8847" s="9" t="s">
        <v>36</v>
      </c>
      <c r="L8847" s="6" t="s">
        <v>36</v>
      </c>
      <c r="M8847" s="3" t="s">
        <v>36</v>
      </c>
      <c r="N8847" s="3" t="s">
        <v>36</v>
      </c>
      <c r="O8847" s="8" t="s">
        <v>36</v>
      </c>
      <c r="P8847" s="3" t="s">
        <v>36</v>
      </c>
      <c r="Q8847" s="3" t="s">
        <v>36</v>
      </c>
      <c r="R8847" s="3" t="s">
        <v>36</v>
      </c>
      <c r="S8847" s="3" t="s">
        <v>36</v>
      </c>
      <c r="T8847" s="3" t="s">
        <v>5807</v>
      </c>
      <c r="U8847" s="3" t="s">
        <v>1580</v>
      </c>
      <c r="V8847" s="3" t="s">
        <v>39</v>
      </c>
      <c r="W8847" s="3" t="s">
        <v>33496</v>
      </c>
      <c r="X8847" s="10" t="s">
        <v>38232</v>
      </c>
      <c r="Y8847" s="6" t="s">
        <v>42</v>
      </c>
      <c r="Z8847" s="4">
        <v>1.9</v>
      </c>
      <c r="AA8847" s="4" t="s">
        <v>36</v>
      </c>
      <c r="AB8847" s="3" t="s">
        <v>43</v>
      </c>
      <c r="AC8847" s="3" t="s">
        <v>33498</v>
      </c>
      <c r="AD8847" s="9">
        <v>40423</v>
      </c>
      <c r="AE8847" s="3" t="s">
        <v>2785</v>
      </c>
      <c r="AF8847" s="3" t="s">
        <v>1077</v>
      </c>
      <c r="AG8847" s="3" t="s">
        <v>33499</v>
      </c>
      <c r="AH8847" s="11">
        <f>HYPERLINK("https://my.pitchbook.com?c=32186-98T","View Company Online")</f>
      </c>
    </row>
    <row r="8848">
      <c r="A8848" s="12" t="s">
        <v>38233</v>
      </c>
      <c r="B8848" s="12" t="s">
        <v>18939</v>
      </c>
      <c r="C8848" s="19">
        <v>78</v>
      </c>
      <c r="D8848" s="19">
        <v>238</v>
      </c>
      <c r="E8848" s="19">
        <v>125</v>
      </c>
      <c r="F8848" s="19">
        <v>352</v>
      </c>
      <c r="G8848" s="15" t="s">
        <v>36</v>
      </c>
      <c r="H8848" s="14" t="s">
        <v>36</v>
      </c>
      <c r="I8848" s="18" t="s">
        <v>36</v>
      </c>
      <c r="J8848" s="12" t="s">
        <v>36</v>
      </c>
      <c r="K8848" s="13" t="s">
        <v>36</v>
      </c>
      <c r="L8848" s="15" t="s">
        <v>36</v>
      </c>
      <c r="M8848" s="12" t="s">
        <v>36</v>
      </c>
      <c r="N8848" s="12" t="s">
        <v>36</v>
      </c>
      <c r="O8848" s="17" t="s">
        <v>36</v>
      </c>
      <c r="P8848" s="12" t="s">
        <v>36</v>
      </c>
      <c r="Q8848" s="12" t="s">
        <v>36</v>
      </c>
      <c r="R8848" s="12" t="s">
        <v>36</v>
      </c>
      <c r="S8848" s="12" t="s">
        <v>18940</v>
      </c>
      <c r="T8848" s="12" t="s">
        <v>18941</v>
      </c>
      <c r="U8848" s="12" t="s">
        <v>96</v>
      </c>
      <c r="V8848" s="12" t="s">
        <v>52</v>
      </c>
      <c r="W8848" s="12" t="s">
        <v>18942</v>
      </c>
      <c r="X8848" s="16" t="s">
        <v>38234</v>
      </c>
      <c r="Y8848" s="15" t="s">
        <v>42</v>
      </c>
      <c r="Z8848" s="14">
        <v>3.86</v>
      </c>
      <c r="AA8848" s="14" t="s">
        <v>36</v>
      </c>
      <c r="AB8848" s="12" t="s">
        <v>43</v>
      </c>
      <c r="AC8848" s="12" t="s">
        <v>18944</v>
      </c>
      <c r="AD8848" s="13">
        <v>40423</v>
      </c>
      <c r="AE8848" s="12" t="s">
        <v>100</v>
      </c>
      <c r="AF8848" s="12" t="s">
        <v>18945</v>
      </c>
      <c r="AG8848" s="12" t="s">
        <v>81</v>
      </c>
      <c r="AH8848" s="1">
        <f>HYPERLINK("https://my.pitchbook.com?c=24514-30T","View Company Online")</f>
      </c>
    </row>
    <row r="8849">
      <c r="A8849" s="3" t="s">
        <v>38235</v>
      </c>
      <c r="B8849" s="3" t="s">
        <v>38236</v>
      </c>
      <c r="C8849" s="5" t="s">
        <v>36</v>
      </c>
      <c r="D8849" s="5" t="s">
        <v>36</v>
      </c>
      <c r="E8849" s="5" t="s">
        <v>36</v>
      </c>
      <c r="F8849" s="5" t="s">
        <v>36</v>
      </c>
      <c r="G8849" s="6" t="s">
        <v>36</v>
      </c>
      <c r="H8849" s="4" t="s">
        <v>36</v>
      </c>
      <c r="I8849" s="7" t="s">
        <v>36</v>
      </c>
      <c r="J8849" s="3" t="s">
        <v>36</v>
      </c>
      <c r="K8849" s="9" t="s">
        <v>36</v>
      </c>
      <c r="L8849" s="6" t="s">
        <v>36</v>
      </c>
      <c r="M8849" s="3" t="s">
        <v>36</v>
      </c>
      <c r="N8849" s="3" t="s">
        <v>36</v>
      </c>
      <c r="O8849" s="8" t="s">
        <v>36</v>
      </c>
      <c r="P8849" s="3" t="s">
        <v>36</v>
      </c>
      <c r="Q8849" s="3" t="s">
        <v>36</v>
      </c>
      <c r="R8849" s="3" t="s">
        <v>36</v>
      </c>
      <c r="S8849" s="3" t="s">
        <v>36</v>
      </c>
      <c r="T8849" s="3" t="s">
        <v>38237</v>
      </c>
      <c r="U8849" s="3" t="s">
        <v>96</v>
      </c>
      <c r="V8849" s="3" t="s">
        <v>52</v>
      </c>
      <c r="W8849" s="3" t="s">
        <v>38238</v>
      </c>
      <c r="X8849" s="10" t="s">
        <v>38239</v>
      </c>
      <c r="Y8849" s="6" t="s">
        <v>192</v>
      </c>
      <c r="Z8849" s="4" t="s">
        <v>36</v>
      </c>
      <c r="AA8849" s="4" t="s">
        <v>36</v>
      </c>
      <c r="AB8849" s="3" t="s">
        <v>56</v>
      </c>
      <c r="AC8849" s="3" t="s">
        <v>38240</v>
      </c>
      <c r="AD8849" s="9">
        <v>40422</v>
      </c>
      <c r="AE8849" s="3" t="s">
        <v>1414</v>
      </c>
      <c r="AF8849" s="3" t="s">
        <v>36</v>
      </c>
      <c r="AG8849" s="3" t="s">
        <v>32752</v>
      </c>
      <c r="AH8849" s="11">
        <f>HYPERLINK("https://my.pitchbook.com?c=43868-08T","View Company Online")</f>
      </c>
    </row>
    <row r="8850">
      <c r="A8850" s="12" t="s">
        <v>38241</v>
      </c>
      <c r="B8850" s="12" t="s">
        <v>38242</v>
      </c>
      <c r="C8850" s="19" t="s">
        <v>36</v>
      </c>
      <c r="D8850" s="19" t="s">
        <v>36</v>
      </c>
      <c r="E8850" s="19">
        <v>1</v>
      </c>
      <c r="F8850" s="19">
        <v>1</v>
      </c>
      <c r="G8850" s="15" t="s">
        <v>36</v>
      </c>
      <c r="H8850" s="14" t="s">
        <v>36</v>
      </c>
      <c r="I8850" s="18" t="s">
        <v>36</v>
      </c>
      <c r="J8850" s="12" t="s">
        <v>36</v>
      </c>
      <c r="K8850" s="13" t="s">
        <v>36</v>
      </c>
      <c r="L8850" s="15" t="s">
        <v>36</v>
      </c>
      <c r="M8850" s="12" t="s">
        <v>36</v>
      </c>
      <c r="N8850" s="12" t="s">
        <v>36</v>
      </c>
      <c r="O8850" s="17" t="s">
        <v>36</v>
      </c>
      <c r="P8850" s="12" t="s">
        <v>36</v>
      </c>
      <c r="Q8850" s="12" t="s">
        <v>36</v>
      </c>
      <c r="R8850" s="12" t="s">
        <v>36</v>
      </c>
      <c r="S8850" s="12" t="s">
        <v>36</v>
      </c>
      <c r="T8850" s="12" t="s">
        <v>1125</v>
      </c>
      <c r="U8850" s="12" t="s">
        <v>74</v>
      </c>
      <c r="V8850" s="12" t="s">
        <v>75</v>
      </c>
      <c r="W8850" s="12" t="s">
        <v>38243</v>
      </c>
      <c r="X8850" s="16" t="s">
        <v>19209</v>
      </c>
      <c r="Y8850" s="15" t="s">
        <v>55</v>
      </c>
      <c r="Z8850" s="14" t="s">
        <v>36</v>
      </c>
      <c r="AA8850" s="14" t="s">
        <v>36</v>
      </c>
      <c r="AB8850" s="12" t="s">
        <v>56</v>
      </c>
      <c r="AC8850" s="12" t="s">
        <v>38244</v>
      </c>
      <c r="AD8850" s="13">
        <v>40422</v>
      </c>
      <c r="AE8850" s="12" t="s">
        <v>975</v>
      </c>
      <c r="AF8850" s="12" t="s">
        <v>29333</v>
      </c>
      <c r="AG8850" s="12" t="s">
        <v>3406</v>
      </c>
      <c r="AH8850" s="1">
        <f>HYPERLINK("https://my.pitchbook.com?c=31199-23T","View Company Online")</f>
      </c>
    </row>
    <row r="8851">
      <c r="A8851" s="3" t="s">
        <v>38245</v>
      </c>
      <c r="B8851" s="3" t="s">
        <v>32940</v>
      </c>
      <c r="C8851" s="5" t="s">
        <v>36</v>
      </c>
      <c r="D8851" s="5" t="s">
        <v>36</v>
      </c>
      <c r="E8851" s="5" t="s">
        <v>36</v>
      </c>
      <c r="F8851" s="5" t="s">
        <v>36</v>
      </c>
      <c r="G8851" s="6" t="s">
        <v>326</v>
      </c>
      <c r="H8851" s="4">
        <v>24.15</v>
      </c>
      <c r="I8851" s="7">
        <v>52</v>
      </c>
      <c r="J8851" s="3" t="s">
        <v>521</v>
      </c>
      <c r="K8851" s="9" t="s">
        <v>36</v>
      </c>
      <c r="L8851" s="6" t="s">
        <v>36</v>
      </c>
      <c r="M8851" s="3" t="s">
        <v>36</v>
      </c>
      <c r="N8851" s="3" t="s">
        <v>36</v>
      </c>
      <c r="O8851" s="8" t="s">
        <v>36</v>
      </c>
      <c r="P8851" s="3" t="s">
        <v>36</v>
      </c>
      <c r="Q8851" s="3" t="s">
        <v>36</v>
      </c>
      <c r="R8851" s="3" t="s">
        <v>36</v>
      </c>
      <c r="S8851" s="3" t="s">
        <v>36</v>
      </c>
      <c r="T8851" s="3" t="s">
        <v>32941</v>
      </c>
      <c r="U8851" s="3" t="s">
        <v>318</v>
      </c>
      <c r="V8851" s="3" t="s">
        <v>39</v>
      </c>
      <c r="W8851" s="3" t="s">
        <v>32942</v>
      </c>
      <c r="X8851" s="10" t="s">
        <v>38246</v>
      </c>
      <c r="Y8851" s="6" t="s">
        <v>108</v>
      </c>
      <c r="Z8851" s="4">
        <v>3.86</v>
      </c>
      <c r="AA8851" s="4">
        <v>3.81</v>
      </c>
      <c r="AB8851" s="3" t="s">
        <v>56</v>
      </c>
      <c r="AC8851" s="3" t="s">
        <v>32944</v>
      </c>
      <c r="AD8851" s="9">
        <v>40422</v>
      </c>
      <c r="AE8851" s="3" t="s">
        <v>763</v>
      </c>
      <c r="AF8851" s="3" t="s">
        <v>244</v>
      </c>
      <c r="AG8851" s="3" t="s">
        <v>32945</v>
      </c>
      <c r="AH8851" s="11">
        <f>HYPERLINK("https://my.pitchbook.com?c=31217-77T","View Company Online")</f>
      </c>
    </row>
    <row r="8852">
      <c r="A8852" s="12" t="s">
        <v>38247</v>
      </c>
      <c r="B8852" s="12" t="s">
        <v>33561</v>
      </c>
      <c r="C8852" s="19">
        <v>20</v>
      </c>
      <c r="D8852" s="19">
        <v>20</v>
      </c>
      <c r="E8852" s="19">
        <v>14</v>
      </c>
      <c r="F8852" s="19">
        <v>57</v>
      </c>
      <c r="G8852" s="15" t="s">
        <v>36</v>
      </c>
      <c r="H8852" s="14" t="s">
        <v>36</v>
      </c>
      <c r="I8852" s="18" t="s">
        <v>36</v>
      </c>
      <c r="J8852" s="12" t="s">
        <v>36</v>
      </c>
      <c r="K8852" s="13" t="s">
        <v>36</v>
      </c>
      <c r="L8852" s="15" t="s">
        <v>36</v>
      </c>
      <c r="M8852" s="12" t="s">
        <v>36</v>
      </c>
      <c r="N8852" s="12" t="s">
        <v>36</v>
      </c>
      <c r="O8852" s="17" t="s">
        <v>36</v>
      </c>
      <c r="P8852" s="12" t="s">
        <v>36</v>
      </c>
      <c r="Q8852" s="12" t="s">
        <v>36</v>
      </c>
      <c r="R8852" s="12" t="s">
        <v>36</v>
      </c>
      <c r="S8852" s="12" t="s">
        <v>36</v>
      </c>
      <c r="T8852" s="12" t="s">
        <v>881</v>
      </c>
      <c r="U8852" s="12" t="s">
        <v>51</v>
      </c>
      <c r="V8852" s="12" t="s">
        <v>52</v>
      </c>
      <c r="W8852" s="12" t="s">
        <v>33562</v>
      </c>
      <c r="X8852" s="16" t="s">
        <v>26587</v>
      </c>
      <c r="Y8852" s="15" t="s">
        <v>42</v>
      </c>
      <c r="Z8852" s="14">
        <v>3.7</v>
      </c>
      <c r="AA8852" s="14" t="s">
        <v>36</v>
      </c>
      <c r="AB8852" s="12" t="s">
        <v>43</v>
      </c>
      <c r="AC8852" s="12" t="s">
        <v>33564</v>
      </c>
      <c r="AD8852" s="13">
        <v>40422</v>
      </c>
      <c r="AE8852" s="12" t="s">
        <v>504</v>
      </c>
      <c r="AF8852" s="12" t="s">
        <v>665</v>
      </c>
      <c r="AG8852" s="12" t="s">
        <v>12575</v>
      </c>
      <c r="AH8852" s="1">
        <f>HYPERLINK("https://my.pitchbook.com?c=25388-65T","View Company Online")</f>
      </c>
    </row>
    <row r="8853">
      <c r="A8853" s="3" t="s">
        <v>38248</v>
      </c>
      <c r="B8853" s="3" t="s">
        <v>30784</v>
      </c>
      <c r="C8853" s="5" t="s">
        <v>36</v>
      </c>
      <c r="D8853" s="5" t="s">
        <v>36</v>
      </c>
      <c r="E8853" s="5" t="s">
        <v>36</v>
      </c>
      <c r="F8853" s="5" t="s">
        <v>36</v>
      </c>
      <c r="G8853" s="6" t="s">
        <v>36</v>
      </c>
      <c r="H8853" s="4" t="s">
        <v>36</v>
      </c>
      <c r="I8853" s="7" t="s">
        <v>36</v>
      </c>
      <c r="J8853" s="3" t="s">
        <v>36</v>
      </c>
      <c r="K8853" s="9" t="s">
        <v>36</v>
      </c>
      <c r="L8853" s="6" t="s">
        <v>36</v>
      </c>
      <c r="M8853" s="3" t="s">
        <v>36</v>
      </c>
      <c r="N8853" s="3" t="s">
        <v>36</v>
      </c>
      <c r="O8853" s="8" t="s">
        <v>36</v>
      </c>
      <c r="P8853" s="3" t="s">
        <v>36</v>
      </c>
      <c r="Q8853" s="3" t="s">
        <v>36</v>
      </c>
      <c r="R8853" s="3" t="s">
        <v>36</v>
      </c>
      <c r="S8853" s="3" t="s">
        <v>36</v>
      </c>
      <c r="T8853" s="3" t="s">
        <v>596</v>
      </c>
      <c r="U8853" s="3" t="s">
        <v>366</v>
      </c>
      <c r="V8853" s="3" t="s">
        <v>367</v>
      </c>
      <c r="W8853" s="3" t="s">
        <v>30785</v>
      </c>
      <c r="X8853" s="10" t="s">
        <v>38249</v>
      </c>
      <c r="Y8853" s="6" t="s">
        <v>42</v>
      </c>
      <c r="Z8853" s="4">
        <v>2.32</v>
      </c>
      <c r="AA8853" s="4" t="s">
        <v>36</v>
      </c>
      <c r="AB8853" s="3" t="s">
        <v>43</v>
      </c>
      <c r="AC8853" s="3" t="s">
        <v>30787</v>
      </c>
      <c r="AD8853" s="9">
        <v>40422</v>
      </c>
      <c r="AE8853" s="3" t="s">
        <v>600</v>
      </c>
      <c r="AF8853" s="3" t="s">
        <v>2019</v>
      </c>
      <c r="AG8853" s="3" t="s">
        <v>2246</v>
      </c>
      <c r="AH8853" s="11">
        <f>HYPERLINK("https://my.pitchbook.com?c=27890-29T","View Company Online")</f>
      </c>
    </row>
    <row r="8854">
      <c r="A8854" s="12" t="s">
        <v>38250</v>
      </c>
      <c r="B8854" s="12" t="s">
        <v>38251</v>
      </c>
      <c r="C8854" s="19" t="s">
        <v>36</v>
      </c>
      <c r="D8854" s="19" t="s">
        <v>36</v>
      </c>
      <c r="E8854" s="19" t="s">
        <v>36</v>
      </c>
      <c r="F8854" s="19" t="s">
        <v>36</v>
      </c>
      <c r="G8854" s="15" t="s">
        <v>36</v>
      </c>
      <c r="H8854" s="14" t="s">
        <v>36</v>
      </c>
      <c r="I8854" s="18" t="s">
        <v>36</v>
      </c>
      <c r="J8854" s="12" t="s">
        <v>36</v>
      </c>
      <c r="K8854" s="13" t="s">
        <v>36</v>
      </c>
      <c r="L8854" s="15" t="s">
        <v>122</v>
      </c>
      <c r="M8854" s="12" t="s">
        <v>36</v>
      </c>
      <c r="N8854" s="12" t="s">
        <v>122</v>
      </c>
      <c r="O8854" s="17" t="s">
        <v>36</v>
      </c>
      <c r="P8854" s="12" t="s">
        <v>36</v>
      </c>
      <c r="Q8854" s="12" t="s">
        <v>36</v>
      </c>
      <c r="R8854" s="12" t="s">
        <v>36</v>
      </c>
      <c r="S8854" s="12" t="s">
        <v>36</v>
      </c>
      <c r="T8854" s="12" t="s">
        <v>3168</v>
      </c>
      <c r="U8854" s="12" t="s">
        <v>289</v>
      </c>
      <c r="V8854" s="12" t="s">
        <v>64</v>
      </c>
      <c r="W8854" s="12" t="s">
        <v>38252</v>
      </c>
      <c r="X8854" s="16" t="s">
        <v>38253</v>
      </c>
      <c r="Y8854" s="15" t="s">
        <v>42</v>
      </c>
      <c r="Z8854" s="14">
        <v>47.68</v>
      </c>
      <c r="AA8854" s="14" t="s">
        <v>36</v>
      </c>
      <c r="AB8854" s="12" t="s">
        <v>43</v>
      </c>
      <c r="AC8854" s="12" t="s">
        <v>38254</v>
      </c>
      <c r="AD8854" s="13">
        <v>40421</v>
      </c>
      <c r="AE8854" s="12" t="s">
        <v>3134</v>
      </c>
      <c r="AF8854" s="12" t="s">
        <v>30104</v>
      </c>
      <c r="AG8854" s="12" t="s">
        <v>2299</v>
      </c>
      <c r="AH8854" s="1">
        <f>HYPERLINK("https://my.pitchbook.com?c=28357-75T","View Company Online")</f>
      </c>
    </row>
    <row r="8855">
      <c r="A8855" s="3" t="s">
        <v>38255</v>
      </c>
      <c r="B8855" s="3" t="s">
        <v>38256</v>
      </c>
      <c r="C8855" s="5" t="s">
        <v>36</v>
      </c>
      <c r="D8855" s="5" t="s">
        <v>36</v>
      </c>
      <c r="E8855" s="5">
        <v>1</v>
      </c>
      <c r="F8855" s="5">
        <v>1</v>
      </c>
      <c r="G8855" s="6" t="s">
        <v>36</v>
      </c>
      <c r="H8855" s="4" t="s">
        <v>36</v>
      </c>
      <c r="I8855" s="7" t="s">
        <v>36</v>
      </c>
      <c r="J8855" s="3" t="s">
        <v>36</v>
      </c>
      <c r="K8855" s="9" t="s">
        <v>36</v>
      </c>
      <c r="L8855" s="6" t="s">
        <v>36</v>
      </c>
      <c r="M8855" s="3" t="s">
        <v>36</v>
      </c>
      <c r="N8855" s="3" t="s">
        <v>36</v>
      </c>
      <c r="O8855" s="8" t="s">
        <v>36</v>
      </c>
      <c r="P8855" s="3" t="s">
        <v>36</v>
      </c>
      <c r="Q8855" s="3" t="s">
        <v>36</v>
      </c>
      <c r="R8855" s="3" t="s">
        <v>36</v>
      </c>
      <c r="S8855" s="3" t="s">
        <v>36</v>
      </c>
      <c r="T8855" s="3" t="s">
        <v>38257</v>
      </c>
      <c r="U8855" s="3" t="s">
        <v>366</v>
      </c>
      <c r="V8855" s="3" t="s">
        <v>367</v>
      </c>
      <c r="W8855" s="3" t="s">
        <v>38258</v>
      </c>
      <c r="X8855" s="10" t="s">
        <v>38259</v>
      </c>
      <c r="Y8855" s="6" t="s">
        <v>42</v>
      </c>
      <c r="Z8855" s="4">
        <v>1.55</v>
      </c>
      <c r="AA8855" s="4" t="s">
        <v>36</v>
      </c>
      <c r="AB8855" s="3" t="s">
        <v>43</v>
      </c>
      <c r="AC8855" s="3" t="s">
        <v>38260</v>
      </c>
      <c r="AD8855" s="9">
        <v>40420</v>
      </c>
      <c r="AE8855" s="3" t="s">
        <v>600</v>
      </c>
      <c r="AF8855" s="3" t="s">
        <v>38261</v>
      </c>
      <c r="AG8855" s="3" t="s">
        <v>16575</v>
      </c>
      <c r="AH8855" s="11">
        <f>HYPERLINK("https://my.pitchbook.com?c=58250-62T","View Company Online")</f>
      </c>
    </row>
    <row r="8856">
      <c r="A8856" s="12" t="s">
        <v>38262</v>
      </c>
      <c r="B8856" s="12" t="s">
        <v>38263</v>
      </c>
      <c r="C8856" s="19">
        <v>1</v>
      </c>
      <c r="D8856" s="19" t="s">
        <v>36</v>
      </c>
      <c r="E8856" s="19">
        <v>1</v>
      </c>
      <c r="F8856" s="19">
        <v>1</v>
      </c>
      <c r="G8856" s="15" t="s">
        <v>36</v>
      </c>
      <c r="H8856" s="14" t="s">
        <v>36</v>
      </c>
      <c r="I8856" s="18" t="s">
        <v>36</v>
      </c>
      <c r="J8856" s="12" t="s">
        <v>36</v>
      </c>
      <c r="K8856" s="13" t="s">
        <v>36</v>
      </c>
      <c r="L8856" s="15" t="s">
        <v>36</v>
      </c>
      <c r="M8856" s="12" t="s">
        <v>36</v>
      </c>
      <c r="N8856" s="12" t="s">
        <v>36</v>
      </c>
      <c r="O8856" s="17" t="s">
        <v>36</v>
      </c>
      <c r="P8856" s="12" t="s">
        <v>36</v>
      </c>
      <c r="Q8856" s="12" t="s">
        <v>36</v>
      </c>
      <c r="R8856" s="12" t="s">
        <v>36</v>
      </c>
      <c r="S8856" s="12" t="s">
        <v>36</v>
      </c>
      <c r="T8856" s="12" t="s">
        <v>38264</v>
      </c>
      <c r="U8856" s="12" t="s">
        <v>279</v>
      </c>
      <c r="V8856" s="12" t="s">
        <v>64</v>
      </c>
      <c r="W8856" s="12" t="s">
        <v>38265</v>
      </c>
      <c r="X8856" s="16" t="s">
        <v>3098</v>
      </c>
      <c r="Y8856" s="15" t="s">
        <v>42</v>
      </c>
      <c r="Z8856" s="14" t="s">
        <v>36</v>
      </c>
      <c r="AA8856" s="14" t="s">
        <v>36</v>
      </c>
      <c r="AB8856" s="12" t="s">
        <v>43</v>
      </c>
      <c r="AC8856" s="12" t="s">
        <v>38266</v>
      </c>
      <c r="AD8856" s="13">
        <v>40420</v>
      </c>
      <c r="AE8856" s="12" t="s">
        <v>11826</v>
      </c>
      <c r="AF8856" s="12" t="s">
        <v>1636</v>
      </c>
      <c r="AG8856" s="12" t="s">
        <v>2000</v>
      </c>
      <c r="AH8856" s="1">
        <f>HYPERLINK("https://my.pitchbook.com?c=25668-37T","View Company Online")</f>
      </c>
    </row>
    <row r="8857">
      <c r="A8857" s="3" t="s">
        <v>38267</v>
      </c>
      <c r="B8857" s="3" t="s">
        <v>38268</v>
      </c>
      <c r="C8857" s="5" t="s">
        <v>36</v>
      </c>
      <c r="D8857" s="5" t="s">
        <v>36</v>
      </c>
      <c r="E8857" s="5" t="s">
        <v>36</v>
      </c>
      <c r="F8857" s="5" t="s">
        <v>36</v>
      </c>
      <c r="G8857" s="6" t="s">
        <v>2497</v>
      </c>
      <c r="H8857" s="4">
        <v>27.53</v>
      </c>
      <c r="I8857" s="7">
        <v>41.48</v>
      </c>
      <c r="J8857" s="3" t="s">
        <v>521</v>
      </c>
      <c r="K8857" s="9" t="s">
        <v>36</v>
      </c>
      <c r="L8857" s="6" t="s">
        <v>36</v>
      </c>
      <c r="M8857" s="3" t="s">
        <v>36</v>
      </c>
      <c r="N8857" s="3" t="s">
        <v>36</v>
      </c>
      <c r="O8857" s="8" t="s">
        <v>36</v>
      </c>
      <c r="P8857" s="3" t="s">
        <v>36</v>
      </c>
      <c r="Q8857" s="3" t="s">
        <v>36</v>
      </c>
      <c r="R8857" s="3" t="s">
        <v>36</v>
      </c>
      <c r="S8857" s="3" t="s">
        <v>36</v>
      </c>
      <c r="T8857" s="3" t="s">
        <v>62</v>
      </c>
      <c r="U8857" s="3" t="s">
        <v>63</v>
      </c>
      <c r="V8857" s="3" t="s">
        <v>64</v>
      </c>
      <c r="W8857" s="3" t="s">
        <v>38269</v>
      </c>
      <c r="X8857" s="10" t="s">
        <v>38270</v>
      </c>
      <c r="Y8857" s="6" t="s">
        <v>42</v>
      </c>
      <c r="Z8857" s="4">
        <v>1.3</v>
      </c>
      <c r="AA8857" s="4">
        <v>3.14</v>
      </c>
      <c r="AB8857" s="3" t="s">
        <v>43</v>
      </c>
      <c r="AC8857" s="3" t="s">
        <v>38271</v>
      </c>
      <c r="AD8857" s="9">
        <v>40403</v>
      </c>
      <c r="AE8857" s="3" t="s">
        <v>68</v>
      </c>
      <c r="AF8857" s="3" t="s">
        <v>38272</v>
      </c>
      <c r="AG8857" s="3" t="s">
        <v>81</v>
      </c>
      <c r="AH8857" s="11">
        <f>HYPERLINK("https://my.pitchbook.com?c=24524-02T","View Company Online")</f>
      </c>
    </row>
    <row r="8858">
      <c r="A8858" s="12" t="s">
        <v>38273</v>
      </c>
      <c r="B8858" s="12" t="s">
        <v>38274</v>
      </c>
      <c r="C8858" s="19" t="s">
        <v>36</v>
      </c>
      <c r="D8858" s="19" t="s">
        <v>36</v>
      </c>
      <c r="E8858" s="19" t="s">
        <v>36</v>
      </c>
      <c r="F8858" s="19" t="s">
        <v>36</v>
      </c>
      <c r="G8858" s="15" t="s">
        <v>326</v>
      </c>
      <c r="H8858" s="14">
        <v>28.85</v>
      </c>
      <c r="I8858" s="18">
        <v>35.09</v>
      </c>
      <c r="J8858" s="12" t="s">
        <v>521</v>
      </c>
      <c r="K8858" s="13" t="s">
        <v>36</v>
      </c>
      <c r="L8858" s="15" t="s">
        <v>36</v>
      </c>
      <c r="M8858" s="12" t="s">
        <v>36</v>
      </c>
      <c r="N8858" s="12" t="s">
        <v>36</v>
      </c>
      <c r="O8858" s="17" t="s">
        <v>36</v>
      </c>
      <c r="P8858" s="12" t="s">
        <v>36</v>
      </c>
      <c r="Q8858" s="12" t="s">
        <v>36</v>
      </c>
      <c r="R8858" s="12" t="s">
        <v>36</v>
      </c>
      <c r="S8858" s="12" t="s">
        <v>36</v>
      </c>
      <c r="T8858" s="12" t="s">
        <v>4733</v>
      </c>
      <c r="U8858" s="12" t="s">
        <v>423</v>
      </c>
      <c r="V8858" s="12" t="s">
        <v>64</v>
      </c>
      <c r="W8858" s="12" t="s">
        <v>38275</v>
      </c>
      <c r="X8858" s="16" t="s">
        <v>36422</v>
      </c>
      <c r="Y8858" s="15" t="s">
        <v>42</v>
      </c>
      <c r="Z8858" s="14">
        <v>1.69</v>
      </c>
      <c r="AA8858" s="14">
        <v>4.82</v>
      </c>
      <c r="AB8858" s="12" t="s">
        <v>56</v>
      </c>
      <c r="AC8858" s="12" t="s">
        <v>38276</v>
      </c>
      <c r="AD8858" s="13">
        <v>40403</v>
      </c>
      <c r="AE8858" s="12" t="s">
        <v>1051</v>
      </c>
      <c r="AF8858" s="12" t="s">
        <v>6718</v>
      </c>
      <c r="AG8858" s="12" t="s">
        <v>81</v>
      </c>
      <c r="AH8858" s="1">
        <f>HYPERLINK("https://my.pitchbook.com?c=111479-68T","View Company Online")</f>
      </c>
    </row>
    <row r="8859">
      <c r="A8859" s="3" t="s">
        <v>38277</v>
      </c>
      <c r="B8859" s="3" t="s">
        <v>30805</v>
      </c>
      <c r="C8859" s="5" t="s">
        <v>36</v>
      </c>
      <c r="D8859" s="5">
        <v>26</v>
      </c>
      <c r="E8859" s="5">
        <v>14</v>
      </c>
      <c r="F8859" s="5">
        <v>34</v>
      </c>
      <c r="G8859" s="6" t="s">
        <v>36</v>
      </c>
      <c r="H8859" s="4" t="s">
        <v>36</v>
      </c>
      <c r="I8859" s="7" t="s">
        <v>36</v>
      </c>
      <c r="J8859" s="3" t="s">
        <v>36</v>
      </c>
      <c r="K8859" s="9" t="s">
        <v>36</v>
      </c>
      <c r="L8859" s="6" t="s">
        <v>36</v>
      </c>
      <c r="M8859" s="3" t="s">
        <v>36</v>
      </c>
      <c r="N8859" s="3" t="s">
        <v>36</v>
      </c>
      <c r="O8859" s="8" t="s">
        <v>36</v>
      </c>
      <c r="P8859" s="3" t="s">
        <v>36</v>
      </c>
      <c r="Q8859" s="3" t="s">
        <v>36</v>
      </c>
      <c r="R8859" s="3" t="s">
        <v>36</v>
      </c>
      <c r="S8859" s="3" t="s">
        <v>36</v>
      </c>
      <c r="T8859" s="3" t="s">
        <v>30806</v>
      </c>
      <c r="U8859" s="3" t="s">
        <v>1580</v>
      </c>
      <c r="V8859" s="3" t="s">
        <v>39</v>
      </c>
      <c r="W8859" s="3" t="s">
        <v>30807</v>
      </c>
      <c r="X8859" s="10" t="s">
        <v>38278</v>
      </c>
      <c r="Y8859" s="6" t="s">
        <v>42</v>
      </c>
      <c r="Z8859" s="4">
        <v>1.24</v>
      </c>
      <c r="AA8859" s="4" t="s">
        <v>36</v>
      </c>
      <c r="AB8859" s="3" t="s">
        <v>56</v>
      </c>
      <c r="AC8859" s="3" t="s">
        <v>30809</v>
      </c>
      <c r="AD8859" s="9">
        <v>40402</v>
      </c>
      <c r="AE8859" s="3" t="s">
        <v>4086</v>
      </c>
      <c r="AF8859" s="3" t="s">
        <v>30810</v>
      </c>
      <c r="AG8859" s="3" t="s">
        <v>30811</v>
      </c>
      <c r="AH8859" s="11">
        <f>HYPERLINK("https://my.pitchbook.com?c=27135-82T","View Company Online")</f>
      </c>
    </row>
    <row r="8860">
      <c r="A8860" s="12" t="s">
        <v>38279</v>
      </c>
      <c r="B8860" s="12" t="s">
        <v>38280</v>
      </c>
      <c r="C8860" s="19" t="s">
        <v>36</v>
      </c>
      <c r="D8860" s="19" t="s">
        <v>36</v>
      </c>
      <c r="E8860" s="19" t="s">
        <v>36</v>
      </c>
      <c r="F8860" s="19" t="s">
        <v>36</v>
      </c>
      <c r="G8860" s="15" t="s">
        <v>36</v>
      </c>
      <c r="H8860" s="14" t="s">
        <v>36</v>
      </c>
      <c r="I8860" s="18" t="s">
        <v>36</v>
      </c>
      <c r="J8860" s="12" t="s">
        <v>36</v>
      </c>
      <c r="K8860" s="13" t="s">
        <v>36</v>
      </c>
      <c r="L8860" s="15" t="s">
        <v>36</v>
      </c>
      <c r="M8860" s="12" t="s">
        <v>36</v>
      </c>
      <c r="N8860" s="12" t="s">
        <v>36</v>
      </c>
      <c r="O8860" s="17" t="s">
        <v>36</v>
      </c>
      <c r="P8860" s="12" t="s">
        <v>36</v>
      </c>
      <c r="Q8860" s="12" t="s">
        <v>36</v>
      </c>
      <c r="R8860" s="12" t="s">
        <v>36</v>
      </c>
      <c r="S8860" s="12" t="s">
        <v>36</v>
      </c>
      <c r="T8860" s="12" t="s">
        <v>2811</v>
      </c>
      <c r="U8860" s="12" t="s">
        <v>219</v>
      </c>
      <c r="V8860" s="12" t="s">
        <v>75</v>
      </c>
      <c r="W8860" s="12" t="s">
        <v>38281</v>
      </c>
      <c r="X8860" s="16" t="s">
        <v>38282</v>
      </c>
      <c r="Y8860" s="15" t="s">
        <v>42</v>
      </c>
      <c r="Z8860" s="14">
        <v>1.29</v>
      </c>
      <c r="AA8860" s="14" t="s">
        <v>36</v>
      </c>
      <c r="AB8860" s="12" t="s">
        <v>43</v>
      </c>
      <c r="AC8860" s="12" t="s">
        <v>38283</v>
      </c>
      <c r="AD8860" s="13">
        <v>40401</v>
      </c>
      <c r="AE8860" s="12" t="s">
        <v>223</v>
      </c>
      <c r="AF8860" s="12" t="s">
        <v>1969</v>
      </c>
      <c r="AG8860" s="12" t="s">
        <v>38284</v>
      </c>
      <c r="AH8860" s="1">
        <f>HYPERLINK("https://my.pitchbook.com?c=55268-20T","View Company Online")</f>
      </c>
    </row>
    <row r="8861">
      <c r="A8861" s="3" t="s">
        <v>38285</v>
      </c>
      <c r="B8861" s="3" t="s">
        <v>36779</v>
      </c>
      <c r="C8861" s="5" t="s">
        <v>36</v>
      </c>
      <c r="D8861" s="5">
        <v>2</v>
      </c>
      <c r="E8861" s="5">
        <v>2</v>
      </c>
      <c r="F8861" s="5">
        <v>3</v>
      </c>
      <c r="G8861" s="6" t="s">
        <v>2497</v>
      </c>
      <c r="H8861" s="4">
        <v>103.86</v>
      </c>
      <c r="I8861" s="7">
        <v>53.69</v>
      </c>
      <c r="J8861" s="3" t="s">
        <v>521</v>
      </c>
      <c r="K8861" s="9" t="s">
        <v>36</v>
      </c>
      <c r="L8861" s="6" t="s">
        <v>36</v>
      </c>
      <c r="M8861" s="3" t="s">
        <v>36</v>
      </c>
      <c r="N8861" s="3" t="s">
        <v>36</v>
      </c>
      <c r="O8861" s="8" t="s">
        <v>36</v>
      </c>
      <c r="P8861" s="3" t="s">
        <v>36</v>
      </c>
      <c r="Q8861" s="3" t="s">
        <v>36</v>
      </c>
      <c r="R8861" s="3" t="s">
        <v>36</v>
      </c>
      <c r="S8861" s="3" t="s">
        <v>36</v>
      </c>
      <c r="T8861" s="3" t="s">
        <v>36780</v>
      </c>
      <c r="U8861" s="3" t="s">
        <v>1580</v>
      </c>
      <c r="V8861" s="3" t="s">
        <v>39</v>
      </c>
      <c r="W8861" s="3" t="s">
        <v>36781</v>
      </c>
      <c r="X8861" s="10" t="s">
        <v>38286</v>
      </c>
      <c r="Y8861" s="6" t="s">
        <v>42</v>
      </c>
      <c r="Z8861" s="4">
        <v>0.72</v>
      </c>
      <c r="AA8861" s="4">
        <v>1.34</v>
      </c>
      <c r="AB8861" s="3" t="s">
        <v>56</v>
      </c>
      <c r="AC8861" s="3" t="s">
        <v>36783</v>
      </c>
      <c r="AD8861" s="9">
        <v>40399</v>
      </c>
      <c r="AE8861" s="3" t="s">
        <v>4086</v>
      </c>
      <c r="AF8861" s="3" t="s">
        <v>1636</v>
      </c>
      <c r="AG8861" s="3" t="s">
        <v>2133</v>
      </c>
      <c r="AH8861" s="11">
        <f>HYPERLINK("https://my.pitchbook.com?c=29585-35T","View Company Online")</f>
      </c>
    </row>
    <row r="8862">
      <c r="A8862" s="12" t="s">
        <v>38287</v>
      </c>
      <c r="B8862" s="12" t="s">
        <v>38288</v>
      </c>
      <c r="C8862" s="19" t="s">
        <v>36</v>
      </c>
      <c r="D8862" s="19" t="s">
        <v>36</v>
      </c>
      <c r="E8862" s="19">
        <v>1</v>
      </c>
      <c r="F8862" s="19">
        <v>1</v>
      </c>
      <c r="G8862" s="15" t="s">
        <v>36</v>
      </c>
      <c r="H8862" s="14" t="s">
        <v>36</v>
      </c>
      <c r="I8862" s="18" t="s">
        <v>36</v>
      </c>
      <c r="J8862" s="12" t="s">
        <v>36</v>
      </c>
      <c r="K8862" s="13" t="s">
        <v>36</v>
      </c>
      <c r="L8862" s="15" t="s">
        <v>36</v>
      </c>
      <c r="M8862" s="12" t="s">
        <v>36</v>
      </c>
      <c r="N8862" s="12" t="s">
        <v>36</v>
      </c>
      <c r="O8862" s="17" t="s">
        <v>36</v>
      </c>
      <c r="P8862" s="12" t="s">
        <v>36</v>
      </c>
      <c r="Q8862" s="12" t="s">
        <v>36</v>
      </c>
      <c r="R8862" s="12" t="s">
        <v>36</v>
      </c>
      <c r="S8862" s="12" t="s">
        <v>36</v>
      </c>
      <c r="T8862" s="12" t="s">
        <v>17943</v>
      </c>
      <c r="U8862" s="12" t="s">
        <v>219</v>
      </c>
      <c r="V8862" s="12" t="s">
        <v>75</v>
      </c>
      <c r="W8862" s="12" t="s">
        <v>38289</v>
      </c>
      <c r="X8862" s="16" t="s">
        <v>29117</v>
      </c>
      <c r="Y8862" s="15" t="s">
        <v>42</v>
      </c>
      <c r="Z8862" s="14">
        <v>1.37</v>
      </c>
      <c r="AA8862" s="14" t="s">
        <v>36</v>
      </c>
      <c r="AB8862" s="12" t="s">
        <v>43</v>
      </c>
      <c r="AC8862" s="12" t="s">
        <v>38290</v>
      </c>
      <c r="AD8862" s="13">
        <v>40391</v>
      </c>
      <c r="AE8862" s="12" t="s">
        <v>1912</v>
      </c>
      <c r="AF8862" s="12" t="s">
        <v>601</v>
      </c>
      <c r="AG8862" s="12" t="s">
        <v>3064</v>
      </c>
      <c r="AH8862" s="1">
        <f>HYPERLINK("https://my.pitchbook.com?c=71530-84T","View Company Online")</f>
      </c>
    </row>
    <row r="8863">
      <c r="A8863" s="3" t="s">
        <v>38291</v>
      </c>
      <c r="B8863" s="3" t="s">
        <v>38292</v>
      </c>
      <c r="C8863" s="5" t="s">
        <v>36</v>
      </c>
      <c r="D8863" s="5">
        <v>1</v>
      </c>
      <c r="E8863" s="5">
        <v>1</v>
      </c>
      <c r="F8863" s="5">
        <v>4</v>
      </c>
      <c r="G8863" s="6" t="s">
        <v>36</v>
      </c>
      <c r="H8863" s="4" t="s">
        <v>36</v>
      </c>
      <c r="I8863" s="7" t="s">
        <v>36</v>
      </c>
      <c r="J8863" s="3" t="s">
        <v>36</v>
      </c>
      <c r="K8863" s="9" t="s">
        <v>36</v>
      </c>
      <c r="L8863" s="6" t="s">
        <v>36</v>
      </c>
      <c r="M8863" s="3" t="s">
        <v>36</v>
      </c>
      <c r="N8863" s="3" t="s">
        <v>36</v>
      </c>
      <c r="O8863" s="8" t="s">
        <v>36</v>
      </c>
      <c r="P8863" s="3" t="s">
        <v>36</v>
      </c>
      <c r="Q8863" s="3" t="s">
        <v>36</v>
      </c>
      <c r="R8863" s="3" t="s">
        <v>36</v>
      </c>
      <c r="S8863" s="3" t="s">
        <v>36</v>
      </c>
      <c r="T8863" s="3" t="s">
        <v>38293</v>
      </c>
      <c r="U8863" s="3" t="s">
        <v>38</v>
      </c>
      <c r="V8863" s="3" t="s">
        <v>39</v>
      </c>
      <c r="W8863" s="3" t="s">
        <v>38294</v>
      </c>
      <c r="X8863" s="10" t="s">
        <v>38295</v>
      </c>
      <c r="Y8863" s="6" t="s">
        <v>55</v>
      </c>
      <c r="Z8863" s="4">
        <v>0.32</v>
      </c>
      <c r="AA8863" s="4" t="s">
        <v>36</v>
      </c>
      <c r="AB8863" s="3" t="s">
        <v>43</v>
      </c>
      <c r="AC8863" s="3" t="s">
        <v>38296</v>
      </c>
      <c r="AD8863" s="9">
        <v>40391</v>
      </c>
      <c r="AE8863" s="3" t="s">
        <v>32151</v>
      </c>
      <c r="AF8863" s="3" t="s">
        <v>1636</v>
      </c>
      <c r="AG8863" s="3" t="s">
        <v>652</v>
      </c>
      <c r="AH8863" s="11">
        <f>HYPERLINK("https://my.pitchbook.com?c=30120-40T","View Company Online")</f>
      </c>
    </row>
    <row r="8864">
      <c r="A8864" s="12" t="s">
        <v>38297</v>
      </c>
      <c r="B8864" s="12" t="s">
        <v>38298</v>
      </c>
      <c r="C8864" s="19" t="s">
        <v>36</v>
      </c>
      <c r="D8864" s="19" t="s">
        <v>36</v>
      </c>
      <c r="E8864" s="19" t="s">
        <v>36</v>
      </c>
      <c r="F8864" s="19" t="s">
        <v>36</v>
      </c>
      <c r="G8864" s="15" t="s">
        <v>36</v>
      </c>
      <c r="H8864" s="14">
        <v>3.23</v>
      </c>
      <c r="I8864" s="18">
        <v>23.62</v>
      </c>
      <c r="J8864" s="12" t="s">
        <v>521</v>
      </c>
      <c r="K8864" s="13" t="s">
        <v>36</v>
      </c>
      <c r="L8864" s="15" t="s">
        <v>36</v>
      </c>
      <c r="M8864" s="12" t="s">
        <v>36</v>
      </c>
      <c r="N8864" s="12" t="s">
        <v>36</v>
      </c>
      <c r="O8864" s="17" t="s">
        <v>36</v>
      </c>
      <c r="P8864" s="12" t="s">
        <v>36</v>
      </c>
      <c r="Q8864" s="12" t="s">
        <v>36</v>
      </c>
      <c r="R8864" s="12" t="s">
        <v>36</v>
      </c>
      <c r="S8864" s="12" t="s">
        <v>36</v>
      </c>
      <c r="T8864" s="12" t="s">
        <v>1162</v>
      </c>
      <c r="U8864" s="12" t="s">
        <v>423</v>
      </c>
      <c r="V8864" s="12" t="s">
        <v>64</v>
      </c>
      <c r="W8864" s="12" t="s">
        <v>38299</v>
      </c>
      <c r="X8864" s="16" t="s">
        <v>2130</v>
      </c>
      <c r="Y8864" s="15" t="s">
        <v>42</v>
      </c>
      <c r="Z8864" s="14">
        <v>0.92</v>
      </c>
      <c r="AA8864" s="14">
        <v>3.91</v>
      </c>
      <c r="AB8864" s="12" t="s">
        <v>43</v>
      </c>
      <c r="AC8864" s="12" t="s">
        <v>38300</v>
      </c>
      <c r="AD8864" s="13">
        <v>40389</v>
      </c>
      <c r="AE8864" s="12" t="s">
        <v>562</v>
      </c>
      <c r="AF8864" s="12" t="s">
        <v>1061</v>
      </c>
      <c r="AG8864" s="12" t="s">
        <v>38301</v>
      </c>
      <c r="AH8864" s="1">
        <f>HYPERLINK("https://my.pitchbook.com?c=30538-90T","View Company Online")</f>
      </c>
    </row>
    <row r="8865">
      <c r="A8865" s="3" t="s">
        <v>38302</v>
      </c>
      <c r="B8865" s="3" t="s">
        <v>38303</v>
      </c>
      <c r="C8865" s="5" t="s">
        <v>36</v>
      </c>
      <c r="D8865" s="5" t="s">
        <v>36</v>
      </c>
      <c r="E8865" s="5" t="s">
        <v>36</v>
      </c>
      <c r="F8865" s="5" t="s">
        <v>36</v>
      </c>
      <c r="G8865" s="6" t="s">
        <v>36</v>
      </c>
      <c r="H8865" s="4" t="s">
        <v>36</v>
      </c>
      <c r="I8865" s="7" t="s">
        <v>36</v>
      </c>
      <c r="J8865" s="3" t="s">
        <v>36</v>
      </c>
      <c r="K8865" s="9" t="s">
        <v>36</v>
      </c>
      <c r="L8865" s="6" t="s">
        <v>36</v>
      </c>
      <c r="M8865" s="3" t="s">
        <v>36</v>
      </c>
      <c r="N8865" s="3" t="s">
        <v>36</v>
      </c>
      <c r="O8865" s="8" t="s">
        <v>36</v>
      </c>
      <c r="P8865" s="3" t="s">
        <v>36</v>
      </c>
      <c r="Q8865" s="3" t="s">
        <v>36</v>
      </c>
      <c r="R8865" s="3" t="s">
        <v>36</v>
      </c>
      <c r="S8865" s="3" t="s">
        <v>36</v>
      </c>
      <c r="T8865" s="3" t="s">
        <v>2910</v>
      </c>
      <c r="U8865" s="3" t="s">
        <v>219</v>
      </c>
      <c r="V8865" s="3" t="s">
        <v>75</v>
      </c>
      <c r="W8865" s="3" t="s">
        <v>38304</v>
      </c>
      <c r="X8865" s="10" t="s">
        <v>38305</v>
      </c>
      <c r="Y8865" s="6" t="s">
        <v>192</v>
      </c>
      <c r="Z8865" s="4">
        <v>2.56</v>
      </c>
      <c r="AA8865" s="4" t="s">
        <v>36</v>
      </c>
      <c r="AB8865" s="3" t="s">
        <v>56</v>
      </c>
      <c r="AC8865" s="3" t="s">
        <v>38306</v>
      </c>
      <c r="AD8865" s="9">
        <v>40389</v>
      </c>
      <c r="AE8865" s="3" t="s">
        <v>2914</v>
      </c>
      <c r="AF8865" s="3" t="s">
        <v>10379</v>
      </c>
      <c r="AG8865" s="3" t="s">
        <v>47</v>
      </c>
      <c r="AH8865" s="11">
        <f>HYPERLINK("https://my.pitchbook.com?c=25780-33T","View Company Online")</f>
      </c>
    </row>
    <row r="8866">
      <c r="A8866" s="12" t="s">
        <v>38307</v>
      </c>
      <c r="B8866" s="12" t="s">
        <v>38308</v>
      </c>
      <c r="C8866" s="19" t="s">
        <v>36</v>
      </c>
      <c r="D8866" s="19">
        <v>5</v>
      </c>
      <c r="E8866" s="19">
        <v>1</v>
      </c>
      <c r="F8866" s="19">
        <v>9</v>
      </c>
      <c r="G8866" s="15" t="s">
        <v>36</v>
      </c>
      <c r="H8866" s="14" t="s">
        <v>36</v>
      </c>
      <c r="I8866" s="18" t="s">
        <v>36</v>
      </c>
      <c r="J8866" s="12" t="s">
        <v>36</v>
      </c>
      <c r="K8866" s="13" t="s">
        <v>36</v>
      </c>
      <c r="L8866" s="15" t="s">
        <v>3736</v>
      </c>
      <c r="M8866" s="12" t="s">
        <v>36</v>
      </c>
      <c r="N8866" s="12" t="s">
        <v>3736</v>
      </c>
      <c r="O8866" s="17" t="s">
        <v>36</v>
      </c>
      <c r="P8866" s="12" t="s">
        <v>36</v>
      </c>
      <c r="Q8866" s="12" t="s">
        <v>36</v>
      </c>
      <c r="R8866" s="12" t="s">
        <v>36</v>
      </c>
      <c r="S8866" s="12" t="s">
        <v>36</v>
      </c>
      <c r="T8866" s="12" t="s">
        <v>38309</v>
      </c>
      <c r="U8866" s="12" t="s">
        <v>619</v>
      </c>
      <c r="V8866" s="12" t="s">
        <v>378</v>
      </c>
      <c r="W8866" s="12" t="s">
        <v>38310</v>
      </c>
      <c r="X8866" s="16" t="s">
        <v>38311</v>
      </c>
      <c r="Y8866" s="15" t="s">
        <v>192</v>
      </c>
      <c r="Z8866" s="14">
        <v>2.87</v>
      </c>
      <c r="AA8866" s="14" t="s">
        <v>36</v>
      </c>
      <c r="AB8866" s="12" t="s">
        <v>56</v>
      </c>
      <c r="AC8866" s="12" t="s">
        <v>38312</v>
      </c>
      <c r="AD8866" s="13">
        <v>40385</v>
      </c>
      <c r="AE8866" s="12" t="s">
        <v>623</v>
      </c>
      <c r="AF8866" s="12" t="s">
        <v>38313</v>
      </c>
      <c r="AG8866" s="12" t="s">
        <v>38314</v>
      </c>
      <c r="AH8866" s="1">
        <f>HYPERLINK("https://my.pitchbook.com?c=26117-29T","View Company Online")</f>
      </c>
    </row>
    <row r="8867">
      <c r="A8867" s="3" t="s">
        <v>38315</v>
      </c>
      <c r="B8867" s="3" t="s">
        <v>31652</v>
      </c>
      <c r="C8867" s="5" t="s">
        <v>36</v>
      </c>
      <c r="D8867" s="5" t="s">
        <v>36</v>
      </c>
      <c r="E8867" s="5" t="s">
        <v>36</v>
      </c>
      <c r="F8867" s="5" t="s">
        <v>36</v>
      </c>
      <c r="G8867" s="6" t="s">
        <v>36</v>
      </c>
      <c r="H8867" s="4" t="s">
        <v>36</v>
      </c>
      <c r="I8867" s="7" t="s">
        <v>36</v>
      </c>
      <c r="J8867" s="3" t="s">
        <v>36</v>
      </c>
      <c r="K8867" s="9" t="s">
        <v>36</v>
      </c>
      <c r="L8867" s="6" t="s">
        <v>36</v>
      </c>
      <c r="M8867" s="3" t="s">
        <v>36</v>
      </c>
      <c r="N8867" s="3" t="s">
        <v>36</v>
      </c>
      <c r="O8867" s="8" t="s">
        <v>36</v>
      </c>
      <c r="P8867" s="3" t="s">
        <v>36</v>
      </c>
      <c r="Q8867" s="3" t="s">
        <v>36</v>
      </c>
      <c r="R8867" s="3" t="s">
        <v>36</v>
      </c>
      <c r="S8867" s="3" t="s">
        <v>36</v>
      </c>
      <c r="T8867" s="3" t="s">
        <v>31653</v>
      </c>
      <c r="U8867" s="3" t="s">
        <v>38</v>
      </c>
      <c r="V8867" s="3" t="s">
        <v>39</v>
      </c>
      <c r="W8867" s="3" t="s">
        <v>31654</v>
      </c>
      <c r="X8867" s="10" t="s">
        <v>38316</v>
      </c>
      <c r="Y8867" s="6" t="s">
        <v>42</v>
      </c>
      <c r="Z8867" s="4">
        <v>6.31</v>
      </c>
      <c r="AA8867" s="4" t="s">
        <v>36</v>
      </c>
      <c r="AB8867" s="3" t="s">
        <v>43</v>
      </c>
      <c r="AC8867" s="3" t="s">
        <v>31656</v>
      </c>
      <c r="AD8867" s="9">
        <v>40382</v>
      </c>
      <c r="AE8867" s="3" t="s">
        <v>110</v>
      </c>
      <c r="AF8867" s="3" t="s">
        <v>176</v>
      </c>
      <c r="AG8867" s="3" t="s">
        <v>31657</v>
      </c>
      <c r="AH8867" s="11">
        <f>HYPERLINK("https://my.pitchbook.com?c=26180-20T","View Company Online")</f>
      </c>
    </row>
    <row r="8868">
      <c r="A8868" s="12" t="s">
        <v>38317</v>
      </c>
      <c r="B8868" s="12" t="s">
        <v>38318</v>
      </c>
      <c r="C8868" s="19" t="s">
        <v>36</v>
      </c>
      <c r="D8868" s="19" t="s">
        <v>36</v>
      </c>
      <c r="E8868" s="19" t="s">
        <v>36</v>
      </c>
      <c r="F8868" s="19" t="s">
        <v>36</v>
      </c>
      <c r="G8868" s="15" t="s">
        <v>36</v>
      </c>
      <c r="H8868" s="14">
        <v>13.46</v>
      </c>
      <c r="I8868" s="18">
        <v>41.18</v>
      </c>
      <c r="J8868" s="12" t="s">
        <v>521</v>
      </c>
      <c r="K8868" s="13" t="s">
        <v>36</v>
      </c>
      <c r="L8868" s="15" t="s">
        <v>36</v>
      </c>
      <c r="M8868" s="12" t="s">
        <v>36</v>
      </c>
      <c r="N8868" s="12" t="s">
        <v>36</v>
      </c>
      <c r="O8868" s="17" t="s">
        <v>36</v>
      </c>
      <c r="P8868" s="12" t="s">
        <v>36</v>
      </c>
      <c r="Q8868" s="12" t="s">
        <v>36</v>
      </c>
      <c r="R8868" s="12" t="s">
        <v>36</v>
      </c>
      <c r="S8868" s="12" t="s">
        <v>36</v>
      </c>
      <c r="T8868" s="12" t="s">
        <v>38319</v>
      </c>
      <c r="U8868" s="12" t="s">
        <v>318</v>
      </c>
      <c r="V8868" s="12" t="s">
        <v>39</v>
      </c>
      <c r="W8868" s="12" t="s">
        <v>38320</v>
      </c>
      <c r="X8868" s="16" t="s">
        <v>27705</v>
      </c>
      <c r="Y8868" s="15" t="s">
        <v>42</v>
      </c>
      <c r="Z8868" s="14">
        <v>0.31</v>
      </c>
      <c r="AA8868" s="14">
        <v>0.75</v>
      </c>
      <c r="AB8868" s="12" t="s">
        <v>43</v>
      </c>
      <c r="AC8868" s="12" t="s">
        <v>38321</v>
      </c>
      <c r="AD8868" s="13">
        <v>40382</v>
      </c>
      <c r="AE8868" s="12" t="s">
        <v>323</v>
      </c>
      <c r="AF8868" s="12" t="s">
        <v>733</v>
      </c>
      <c r="AG8868" s="12" t="s">
        <v>81</v>
      </c>
      <c r="AH8868" s="1">
        <f>HYPERLINK("https://my.pitchbook.com?c=40656-34T","View Company Online")</f>
      </c>
    </row>
    <row r="8869">
      <c r="A8869" s="3" t="s">
        <v>38322</v>
      </c>
      <c r="B8869" s="3" t="s">
        <v>38323</v>
      </c>
      <c r="C8869" s="5" t="s">
        <v>36</v>
      </c>
      <c r="D8869" s="5" t="s">
        <v>36</v>
      </c>
      <c r="E8869" s="5" t="s">
        <v>36</v>
      </c>
      <c r="F8869" s="5" t="s">
        <v>36</v>
      </c>
      <c r="G8869" s="6" t="s">
        <v>36</v>
      </c>
      <c r="H8869" s="4">
        <v>62.31</v>
      </c>
      <c r="I8869" s="7">
        <v>10.97</v>
      </c>
      <c r="J8869" s="3" t="s">
        <v>521</v>
      </c>
      <c r="K8869" s="9" t="s">
        <v>36</v>
      </c>
      <c r="L8869" s="6" t="s">
        <v>36</v>
      </c>
      <c r="M8869" s="3" t="s">
        <v>36</v>
      </c>
      <c r="N8869" s="3" t="s">
        <v>36</v>
      </c>
      <c r="O8869" s="8" t="s">
        <v>36</v>
      </c>
      <c r="P8869" s="3" t="s">
        <v>36</v>
      </c>
      <c r="Q8869" s="3" t="s">
        <v>36</v>
      </c>
      <c r="R8869" s="3" t="s">
        <v>36</v>
      </c>
      <c r="S8869" s="3" t="s">
        <v>36</v>
      </c>
      <c r="T8869" s="3" t="s">
        <v>4529</v>
      </c>
      <c r="U8869" s="3" t="s">
        <v>38</v>
      </c>
      <c r="V8869" s="3" t="s">
        <v>39</v>
      </c>
      <c r="W8869" s="3" t="s">
        <v>38324</v>
      </c>
      <c r="X8869" s="10" t="s">
        <v>33890</v>
      </c>
      <c r="Y8869" s="6" t="s">
        <v>42</v>
      </c>
      <c r="Z8869" s="4">
        <v>0.09</v>
      </c>
      <c r="AA8869" s="4">
        <v>0.85</v>
      </c>
      <c r="AB8869" s="3" t="s">
        <v>43</v>
      </c>
      <c r="AC8869" s="3" t="s">
        <v>38325</v>
      </c>
      <c r="AD8869" s="9">
        <v>40381</v>
      </c>
      <c r="AE8869" s="3" t="s">
        <v>1422</v>
      </c>
      <c r="AF8869" s="3" t="s">
        <v>4200</v>
      </c>
      <c r="AG8869" s="3" t="s">
        <v>81</v>
      </c>
      <c r="AH8869" s="11">
        <f>HYPERLINK("https://my.pitchbook.com?c=58598-11T","View Company Online")</f>
      </c>
    </row>
    <row r="8870">
      <c r="A8870" s="12" t="s">
        <v>38326</v>
      </c>
      <c r="B8870" s="12" t="s">
        <v>38327</v>
      </c>
      <c r="C8870" s="19" t="s">
        <v>36</v>
      </c>
      <c r="D8870" s="19" t="s">
        <v>36</v>
      </c>
      <c r="E8870" s="19" t="s">
        <v>36</v>
      </c>
      <c r="F8870" s="19" t="s">
        <v>36</v>
      </c>
      <c r="G8870" s="15" t="s">
        <v>36</v>
      </c>
      <c r="H8870" s="14" t="s">
        <v>36</v>
      </c>
      <c r="I8870" s="18" t="s">
        <v>36</v>
      </c>
      <c r="J8870" s="12" t="s">
        <v>36</v>
      </c>
      <c r="K8870" s="13" t="s">
        <v>36</v>
      </c>
      <c r="L8870" s="15" t="s">
        <v>36</v>
      </c>
      <c r="M8870" s="12" t="s">
        <v>36</v>
      </c>
      <c r="N8870" s="12" t="s">
        <v>36</v>
      </c>
      <c r="O8870" s="17" t="s">
        <v>36</v>
      </c>
      <c r="P8870" s="12" t="s">
        <v>36</v>
      </c>
      <c r="Q8870" s="12" t="s">
        <v>36</v>
      </c>
      <c r="R8870" s="12" t="s">
        <v>36</v>
      </c>
      <c r="S8870" s="12" t="s">
        <v>36</v>
      </c>
      <c r="T8870" s="12" t="s">
        <v>2044</v>
      </c>
      <c r="U8870" s="12" t="s">
        <v>74</v>
      </c>
      <c r="V8870" s="12" t="s">
        <v>75</v>
      </c>
      <c r="W8870" s="12" t="s">
        <v>38328</v>
      </c>
      <c r="X8870" s="16" t="s">
        <v>38329</v>
      </c>
      <c r="Y8870" s="15" t="s">
        <v>42</v>
      </c>
      <c r="Z8870" s="14">
        <v>2.52</v>
      </c>
      <c r="AA8870" s="14" t="s">
        <v>36</v>
      </c>
      <c r="AB8870" s="12" t="s">
        <v>56</v>
      </c>
      <c r="AC8870" s="12" t="s">
        <v>38330</v>
      </c>
      <c r="AD8870" s="13">
        <v>40380</v>
      </c>
      <c r="AE8870" s="12" t="s">
        <v>79</v>
      </c>
      <c r="AF8870" s="12" t="s">
        <v>36</v>
      </c>
      <c r="AG8870" s="12" t="s">
        <v>2760</v>
      </c>
      <c r="AH8870" s="1">
        <f>HYPERLINK("https://my.pitchbook.com?c=29558-71T","View Company Online")</f>
      </c>
    </row>
    <row r="8871">
      <c r="A8871" s="3" t="s">
        <v>38331</v>
      </c>
      <c r="B8871" s="3" t="s">
        <v>38332</v>
      </c>
      <c r="C8871" s="5" t="s">
        <v>36</v>
      </c>
      <c r="D8871" s="5" t="s">
        <v>36</v>
      </c>
      <c r="E8871" s="5" t="s">
        <v>36</v>
      </c>
      <c r="F8871" s="5" t="s">
        <v>36</v>
      </c>
      <c r="G8871" s="6" t="s">
        <v>36</v>
      </c>
      <c r="H8871" s="4" t="s">
        <v>36</v>
      </c>
      <c r="I8871" s="7" t="s">
        <v>36</v>
      </c>
      <c r="J8871" s="3" t="s">
        <v>36</v>
      </c>
      <c r="K8871" s="9" t="s">
        <v>36</v>
      </c>
      <c r="L8871" s="6" t="s">
        <v>94</v>
      </c>
      <c r="M8871" s="3" t="s">
        <v>36</v>
      </c>
      <c r="N8871" s="3" t="s">
        <v>94</v>
      </c>
      <c r="O8871" s="8" t="s">
        <v>36</v>
      </c>
      <c r="P8871" s="3" t="s">
        <v>36</v>
      </c>
      <c r="Q8871" s="3" t="s">
        <v>36</v>
      </c>
      <c r="R8871" s="3" t="s">
        <v>36</v>
      </c>
      <c r="S8871" s="3" t="s">
        <v>36</v>
      </c>
      <c r="T8871" s="3" t="s">
        <v>38333</v>
      </c>
      <c r="U8871" s="3" t="s">
        <v>74</v>
      </c>
      <c r="V8871" s="3" t="s">
        <v>75</v>
      </c>
      <c r="W8871" s="3" t="s">
        <v>38334</v>
      </c>
      <c r="X8871" s="10" t="s">
        <v>38335</v>
      </c>
      <c r="Y8871" s="6" t="s">
        <v>42</v>
      </c>
      <c r="Z8871" s="4">
        <v>2</v>
      </c>
      <c r="AA8871" s="4" t="s">
        <v>36</v>
      </c>
      <c r="AB8871" s="3" t="s">
        <v>43</v>
      </c>
      <c r="AC8871" s="3" t="s">
        <v>38336</v>
      </c>
      <c r="AD8871" s="9">
        <v>40379</v>
      </c>
      <c r="AE8871" s="3" t="s">
        <v>1243</v>
      </c>
      <c r="AF8871" s="3" t="s">
        <v>4668</v>
      </c>
      <c r="AG8871" s="3" t="s">
        <v>81</v>
      </c>
      <c r="AH8871" s="11">
        <f>HYPERLINK("https://my.pitchbook.com?c=58228-30T","View Company Online")</f>
      </c>
    </row>
    <row r="8872">
      <c r="A8872" s="12" t="s">
        <v>38337</v>
      </c>
      <c r="B8872" s="12" t="s">
        <v>38338</v>
      </c>
      <c r="C8872" s="19">
        <v>1</v>
      </c>
      <c r="D8872" s="19">
        <v>12</v>
      </c>
      <c r="E8872" s="19">
        <v>5</v>
      </c>
      <c r="F8872" s="19">
        <v>25</v>
      </c>
      <c r="G8872" s="15" t="s">
        <v>36</v>
      </c>
      <c r="H8872" s="14" t="s">
        <v>36</v>
      </c>
      <c r="I8872" s="18" t="s">
        <v>36</v>
      </c>
      <c r="J8872" s="12" t="s">
        <v>36</v>
      </c>
      <c r="K8872" s="13" t="s">
        <v>36</v>
      </c>
      <c r="L8872" s="15" t="s">
        <v>94</v>
      </c>
      <c r="M8872" s="12" t="s">
        <v>36</v>
      </c>
      <c r="N8872" s="12" t="s">
        <v>94</v>
      </c>
      <c r="O8872" s="17" t="s">
        <v>36</v>
      </c>
      <c r="P8872" s="12" t="s">
        <v>36</v>
      </c>
      <c r="Q8872" s="12" t="s">
        <v>36</v>
      </c>
      <c r="R8872" s="12" t="s">
        <v>36</v>
      </c>
      <c r="S8872" s="12" t="s">
        <v>36</v>
      </c>
      <c r="T8872" s="12" t="s">
        <v>10993</v>
      </c>
      <c r="U8872" s="12" t="s">
        <v>51</v>
      </c>
      <c r="V8872" s="12" t="s">
        <v>52</v>
      </c>
      <c r="W8872" s="12" t="s">
        <v>38339</v>
      </c>
      <c r="X8872" s="16" t="s">
        <v>38340</v>
      </c>
      <c r="Y8872" s="15" t="s">
        <v>42</v>
      </c>
      <c r="Z8872" s="14">
        <v>3.24</v>
      </c>
      <c r="AA8872" s="14" t="s">
        <v>36</v>
      </c>
      <c r="AB8872" s="12" t="s">
        <v>56</v>
      </c>
      <c r="AC8872" s="12" t="s">
        <v>38341</v>
      </c>
      <c r="AD8872" s="13">
        <v>40378</v>
      </c>
      <c r="AE8872" s="12" t="s">
        <v>158</v>
      </c>
      <c r="AF8872" s="12" t="s">
        <v>36</v>
      </c>
      <c r="AG8872" s="12" t="s">
        <v>4179</v>
      </c>
      <c r="AH8872" s="1">
        <f>HYPERLINK("https://my.pitchbook.com?c=40613-95T","View Company Online")</f>
      </c>
    </row>
    <row r="8873">
      <c r="A8873" s="3" t="s">
        <v>38342</v>
      </c>
      <c r="B8873" s="3" t="s">
        <v>38343</v>
      </c>
      <c r="C8873" s="5">
        <v>2</v>
      </c>
      <c r="D8873" s="5">
        <v>37</v>
      </c>
      <c r="E8873" s="5">
        <v>13</v>
      </c>
      <c r="F8873" s="5">
        <v>47</v>
      </c>
      <c r="G8873" s="6" t="s">
        <v>36</v>
      </c>
      <c r="H8873" s="4" t="s">
        <v>36</v>
      </c>
      <c r="I8873" s="7" t="s">
        <v>36</v>
      </c>
      <c r="J8873" s="3" t="s">
        <v>36</v>
      </c>
      <c r="K8873" s="9" t="s">
        <v>36</v>
      </c>
      <c r="L8873" s="6" t="s">
        <v>94</v>
      </c>
      <c r="M8873" s="3" t="s">
        <v>36</v>
      </c>
      <c r="N8873" s="3" t="s">
        <v>94</v>
      </c>
      <c r="O8873" s="8" t="s">
        <v>36</v>
      </c>
      <c r="P8873" s="3" t="s">
        <v>36</v>
      </c>
      <c r="Q8873" s="3" t="s">
        <v>36</v>
      </c>
      <c r="R8873" s="3" t="s">
        <v>36</v>
      </c>
      <c r="S8873" s="3" t="s">
        <v>36</v>
      </c>
      <c r="T8873" s="3" t="s">
        <v>16553</v>
      </c>
      <c r="U8873" s="3" t="s">
        <v>38</v>
      </c>
      <c r="V8873" s="3" t="s">
        <v>39</v>
      </c>
      <c r="W8873" s="3" t="s">
        <v>38344</v>
      </c>
      <c r="X8873" s="10" t="s">
        <v>38345</v>
      </c>
      <c r="Y8873" s="6" t="s">
        <v>42</v>
      </c>
      <c r="Z8873" s="4">
        <v>1.94</v>
      </c>
      <c r="AA8873" s="4" t="s">
        <v>36</v>
      </c>
      <c r="AB8873" s="3" t="s">
        <v>56</v>
      </c>
      <c r="AC8873" s="3" t="s">
        <v>38346</v>
      </c>
      <c r="AD8873" s="9">
        <v>40374</v>
      </c>
      <c r="AE8873" s="3" t="s">
        <v>1945</v>
      </c>
      <c r="AF8873" s="3" t="s">
        <v>3762</v>
      </c>
      <c r="AG8873" s="3" t="s">
        <v>373</v>
      </c>
      <c r="AH8873" s="11">
        <f>HYPERLINK("https://my.pitchbook.com?c=55256-50T","View Company Online")</f>
      </c>
    </row>
    <row r="8874">
      <c r="A8874" s="12" t="s">
        <v>38347</v>
      </c>
      <c r="B8874" s="12" t="s">
        <v>24715</v>
      </c>
      <c r="C8874" s="19" t="s">
        <v>36</v>
      </c>
      <c r="D8874" s="19">
        <v>1</v>
      </c>
      <c r="E8874" s="19">
        <v>1</v>
      </c>
      <c r="F8874" s="19">
        <v>2</v>
      </c>
      <c r="G8874" s="15" t="s">
        <v>326</v>
      </c>
      <c r="H8874" s="14">
        <v>33.62</v>
      </c>
      <c r="I8874" s="18">
        <v>26.61</v>
      </c>
      <c r="J8874" s="12" t="s">
        <v>521</v>
      </c>
      <c r="K8874" s="13" t="s">
        <v>36</v>
      </c>
      <c r="L8874" s="15" t="s">
        <v>1279</v>
      </c>
      <c r="M8874" s="12" t="s">
        <v>36</v>
      </c>
      <c r="N8874" s="12" t="s">
        <v>1279</v>
      </c>
      <c r="O8874" s="17" t="s">
        <v>36</v>
      </c>
      <c r="P8874" s="12" t="s">
        <v>36</v>
      </c>
      <c r="Q8874" s="12" t="s">
        <v>36</v>
      </c>
      <c r="R8874" s="12" t="s">
        <v>36</v>
      </c>
      <c r="S8874" s="12" t="s">
        <v>36</v>
      </c>
      <c r="T8874" s="12" t="s">
        <v>630</v>
      </c>
      <c r="U8874" s="12" t="s">
        <v>38</v>
      </c>
      <c r="V8874" s="12" t="s">
        <v>39</v>
      </c>
      <c r="W8874" s="12" t="s">
        <v>24716</v>
      </c>
      <c r="X8874" s="16" t="s">
        <v>38348</v>
      </c>
      <c r="Y8874" s="15" t="s">
        <v>55</v>
      </c>
      <c r="Z8874" s="14">
        <v>15.43</v>
      </c>
      <c r="AA8874" s="14">
        <v>57.98</v>
      </c>
      <c r="AB8874" s="12" t="s">
        <v>56</v>
      </c>
      <c r="AC8874" s="12" t="s">
        <v>24718</v>
      </c>
      <c r="AD8874" s="13">
        <v>40373</v>
      </c>
      <c r="AE8874" s="12" t="s">
        <v>110</v>
      </c>
      <c r="AF8874" s="12" t="s">
        <v>2118</v>
      </c>
      <c r="AG8874" s="12" t="s">
        <v>81</v>
      </c>
      <c r="AH8874" s="1">
        <f>HYPERLINK("https://my.pitchbook.com?c=26508-25T","View Company Online")</f>
      </c>
    </row>
    <row r="8875">
      <c r="A8875" s="3" t="s">
        <v>38349</v>
      </c>
      <c r="B8875" s="3" t="s">
        <v>18981</v>
      </c>
      <c r="C8875" s="5">
        <v>11</v>
      </c>
      <c r="D8875" s="5">
        <v>38</v>
      </c>
      <c r="E8875" s="5">
        <v>26</v>
      </c>
      <c r="F8875" s="5">
        <v>59</v>
      </c>
      <c r="G8875" s="6" t="s">
        <v>36</v>
      </c>
      <c r="H8875" s="4" t="s">
        <v>36</v>
      </c>
      <c r="I8875" s="7" t="s">
        <v>36</v>
      </c>
      <c r="J8875" s="3" t="s">
        <v>36</v>
      </c>
      <c r="K8875" s="9" t="s">
        <v>36</v>
      </c>
      <c r="L8875" s="6" t="s">
        <v>36</v>
      </c>
      <c r="M8875" s="3" t="s">
        <v>36</v>
      </c>
      <c r="N8875" s="3" t="s">
        <v>36</v>
      </c>
      <c r="O8875" s="8" t="s">
        <v>36</v>
      </c>
      <c r="P8875" s="3" t="s">
        <v>36</v>
      </c>
      <c r="Q8875" s="3" t="s">
        <v>36</v>
      </c>
      <c r="R8875" s="3" t="s">
        <v>36</v>
      </c>
      <c r="S8875" s="3" t="s">
        <v>36</v>
      </c>
      <c r="T8875" s="3" t="s">
        <v>18982</v>
      </c>
      <c r="U8875" s="3" t="s">
        <v>1798</v>
      </c>
      <c r="V8875" s="3" t="s">
        <v>39</v>
      </c>
      <c r="W8875" s="3" t="s">
        <v>18983</v>
      </c>
      <c r="X8875" s="10" t="s">
        <v>38350</v>
      </c>
      <c r="Y8875" s="6" t="s">
        <v>166</v>
      </c>
      <c r="Z8875" s="4" t="s">
        <v>36</v>
      </c>
      <c r="AA8875" s="4" t="s">
        <v>36</v>
      </c>
      <c r="AB8875" s="3" t="s">
        <v>56</v>
      </c>
      <c r="AC8875" s="3" t="s">
        <v>18985</v>
      </c>
      <c r="AD8875" s="9">
        <v>40371</v>
      </c>
      <c r="AE8875" s="3" t="s">
        <v>1802</v>
      </c>
      <c r="AF8875" s="3" t="s">
        <v>18986</v>
      </c>
      <c r="AG8875" s="3" t="s">
        <v>18987</v>
      </c>
      <c r="AH8875" s="11">
        <f>HYPERLINK("https://my.pitchbook.com?c=25249-96T","View Company Online")</f>
      </c>
    </row>
    <row r="8876">
      <c r="A8876" s="12" t="s">
        <v>38351</v>
      </c>
      <c r="B8876" s="12" t="s">
        <v>33324</v>
      </c>
      <c r="C8876" s="19">
        <v>1</v>
      </c>
      <c r="D8876" s="19">
        <v>31</v>
      </c>
      <c r="E8876" s="19">
        <v>8</v>
      </c>
      <c r="F8876" s="19">
        <v>33</v>
      </c>
      <c r="G8876" s="15" t="s">
        <v>36</v>
      </c>
      <c r="H8876" s="14">
        <v>103.86</v>
      </c>
      <c r="I8876" s="18">
        <v>12.92</v>
      </c>
      <c r="J8876" s="12" t="s">
        <v>521</v>
      </c>
      <c r="K8876" s="13" t="s">
        <v>36</v>
      </c>
      <c r="L8876" s="15" t="s">
        <v>36</v>
      </c>
      <c r="M8876" s="12" t="s">
        <v>36</v>
      </c>
      <c r="N8876" s="12" t="s">
        <v>36</v>
      </c>
      <c r="O8876" s="17" t="s">
        <v>36</v>
      </c>
      <c r="P8876" s="12" t="s">
        <v>36</v>
      </c>
      <c r="Q8876" s="12" t="s">
        <v>36</v>
      </c>
      <c r="R8876" s="12" t="s">
        <v>36</v>
      </c>
      <c r="S8876" s="12" t="s">
        <v>36</v>
      </c>
      <c r="T8876" s="12" t="s">
        <v>6247</v>
      </c>
      <c r="U8876" s="12" t="s">
        <v>85</v>
      </c>
      <c r="V8876" s="12" t="s">
        <v>64</v>
      </c>
      <c r="W8876" s="12" t="s">
        <v>33325</v>
      </c>
      <c r="X8876" s="16" t="s">
        <v>3656</v>
      </c>
      <c r="Y8876" s="15" t="s">
        <v>42</v>
      </c>
      <c r="Z8876" s="14">
        <v>0.8</v>
      </c>
      <c r="AA8876" s="14">
        <v>6.21</v>
      </c>
      <c r="AB8876" s="12" t="s">
        <v>56</v>
      </c>
      <c r="AC8876" s="12" t="s">
        <v>33326</v>
      </c>
      <c r="AD8876" s="13">
        <v>40367</v>
      </c>
      <c r="AE8876" s="12" t="s">
        <v>89</v>
      </c>
      <c r="AF8876" s="12" t="s">
        <v>601</v>
      </c>
      <c r="AG8876" s="12" t="s">
        <v>27771</v>
      </c>
      <c r="AH8876" s="1">
        <f>HYPERLINK("https://my.pitchbook.com?c=215929-18T","View Company Online")</f>
      </c>
    </row>
    <row r="8877">
      <c r="A8877" s="3" t="s">
        <v>38352</v>
      </c>
      <c r="B8877" s="3" t="s">
        <v>33085</v>
      </c>
      <c r="C8877" s="5">
        <v>22</v>
      </c>
      <c r="D8877" s="5">
        <v>211</v>
      </c>
      <c r="E8877" s="5">
        <v>35</v>
      </c>
      <c r="F8877" s="5">
        <v>298</v>
      </c>
      <c r="G8877" s="6" t="s">
        <v>36</v>
      </c>
      <c r="H8877" s="4" t="s">
        <v>36</v>
      </c>
      <c r="I8877" s="7" t="s">
        <v>36</v>
      </c>
      <c r="J8877" s="3" t="s">
        <v>36</v>
      </c>
      <c r="K8877" s="9" t="s">
        <v>36</v>
      </c>
      <c r="L8877" s="6" t="s">
        <v>122</v>
      </c>
      <c r="M8877" s="3" t="s">
        <v>36</v>
      </c>
      <c r="N8877" s="3" t="s">
        <v>122</v>
      </c>
      <c r="O8877" s="8" t="s">
        <v>36</v>
      </c>
      <c r="P8877" s="3" t="s">
        <v>36</v>
      </c>
      <c r="Q8877" s="3" t="s">
        <v>36</v>
      </c>
      <c r="R8877" s="3" t="s">
        <v>36</v>
      </c>
      <c r="S8877" s="3" t="s">
        <v>36</v>
      </c>
      <c r="T8877" s="3" t="s">
        <v>17144</v>
      </c>
      <c r="U8877" s="3" t="s">
        <v>51</v>
      </c>
      <c r="V8877" s="3" t="s">
        <v>52</v>
      </c>
      <c r="W8877" s="3" t="s">
        <v>33086</v>
      </c>
      <c r="X8877" s="10" t="s">
        <v>38353</v>
      </c>
      <c r="Y8877" s="6" t="s">
        <v>42</v>
      </c>
      <c r="Z8877" s="4">
        <v>19.76</v>
      </c>
      <c r="AA8877" s="4" t="s">
        <v>36</v>
      </c>
      <c r="AB8877" s="3" t="s">
        <v>43</v>
      </c>
      <c r="AC8877" s="3" t="s">
        <v>33088</v>
      </c>
      <c r="AD8877" s="9">
        <v>40367</v>
      </c>
      <c r="AE8877" s="3" t="s">
        <v>1060</v>
      </c>
      <c r="AF8877" s="3" t="s">
        <v>159</v>
      </c>
      <c r="AG8877" s="3" t="s">
        <v>47</v>
      </c>
      <c r="AH8877" s="11">
        <f>HYPERLINK("https://my.pitchbook.com?c=29296-18T","View Company Online")</f>
      </c>
    </row>
    <row r="8878">
      <c r="A8878" s="12" t="s">
        <v>38354</v>
      </c>
      <c r="B8878" s="12" t="s">
        <v>38355</v>
      </c>
      <c r="C8878" s="19" t="s">
        <v>36</v>
      </c>
      <c r="D8878" s="19" t="s">
        <v>36</v>
      </c>
      <c r="E8878" s="19">
        <v>1</v>
      </c>
      <c r="F8878" s="19">
        <v>3</v>
      </c>
      <c r="G8878" s="15" t="s">
        <v>36</v>
      </c>
      <c r="H8878" s="14" t="s">
        <v>36</v>
      </c>
      <c r="I8878" s="18" t="s">
        <v>36</v>
      </c>
      <c r="J8878" s="12" t="s">
        <v>36</v>
      </c>
      <c r="K8878" s="13" t="s">
        <v>36</v>
      </c>
      <c r="L8878" s="15" t="s">
        <v>122</v>
      </c>
      <c r="M8878" s="12" t="s">
        <v>36</v>
      </c>
      <c r="N8878" s="12" t="s">
        <v>122</v>
      </c>
      <c r="O8878" s="17" t="s">
        <v>36</v>
      </c>
      <c r="P8878" s="12" t="s">
        <v>36</v>
      </c>
      <c r="Q8878" s="12" t="s">
        <v>36</v>
      </c>
      <c r="R8878" s="12" t="s">
        <v>36</v>
      </c>
      <c r="S8878" s="12" t="s">
        <v>36</v>
      </c>
      <c r="T8878" s="12" t="s">
        <v>38356</v>
      </c>
      <c r="U8878" s="12" t="s">
        <v>1580</v>
      </c>
      <c r="V8878" s="12" t="s">
        <v>39</v>
      </c>
      <c r="W8878" s="12" t="s">
        <v>38357</v>
      </c>
      <c r="X8878" s="16" t="s">
        <v>36023</v>
      </c>
      <c r="Y8878" s="15" t="s">
        <v>42</v>
      </c>
      <c r="Z8878" s="14">
        <v>0.86</v>
      </c>
      <c r="AA8878" s="14" t="s">
        <v>36</v>
      </c>
      <c r="AB8878" s="12" t="s">
        <v>43</v>
      </c>
      <c r="AC8878" s="12" t="s">
        <v>38358</v>
      </c>
      <c r="AD8878" s="13">
        <v>40365</v>
      </c>
      <c r="AE8878" s="12" t="s">
        <v>2785</v>
      </c>
      <c r="AF8878" s="12" t="s">
        <v>24285</v>
      </c>
      <c r="AG8878" s="12" t="s">
        <v>652</v>
      </c>
      <c r="AH8878" s="1">
        <f>HYPERLINK("https://my.pitchbook.com?c=59586-67T","View Company Online")</f>
      </c>
    </row>
    <row r="8879">
      <c r="A8879" s="3" t="s">
        <v>38359</v>
      </c>
      <c r="B8879" s="3" t="s">
        <v>38360</v>
      </c>
      <c r="C8879" s="5" t="s">
        <v>36</v>
      </c>
      <c r="D8879" s="5" t="s">
        <v>36</v>
      </c>
      <c r="E8879" s="5" t="s">
        <v>36</v>
      </c>
      <c r="F8879" s="5" t="s">
        <v>36</v>
      </c>
      <c r="G8879" s="6" t="s">
        <v>36</v>
      </c>
      <c r="H8879" s="4" t="s">
        <v>36</v>
      </c>
      <c r="I8879" s="7" t="s">
        <v>36</v>
      </c>
      <c r="J8879" s="3" t="s">
        <v>36</v>
      </c>
      <c r="K8879" s="9" t="s">
        <v>36</v>
      </c>
      <c r="L8879" s="6" t="s">
        <v>36</v>
      </c>
      <c r="M8879" s="3" t="s">
        <v>36</v>
      </c>
      <c r="N8879" s="3" t="s">
        <v>36</v>
      </c>
      <c r="O8879" s="8" t="s">
        <v>36</v>
      </c>
      <c r="P8879" s="3" t="s">
        <v>36</v>
      </c>
      <c r="Q8879" s="3" t="s">
        <v>36</v>
      </c>
      <c r="R8879" s="3" t="s">
        <v>36</v>
      </c>
      <c r="S8879" s="3" t="s">
        <v>36</v>
      </c>
      <c r="T8879" s="3" t="s">
        <v>123</v>
      </c>
      <c r="U8879" s="3" t="s">
        <v>38</v>
      </c>
      <c r="V8879" s="3" t="s">
        <v>39</v>
      </c>
      <c r="W8879" s="3" t="s">
        <v>38361</v>
      </c>
      <c r="X8879" s="10" t="s">
        <v>2553</v>
      </c>
      <c r="Y8879" s="6" t="s">
        <v>55</v>
      </c>
      <c r="Z8879" s="4">
        <v>0.82</v>
      </c>
      <c r="AA8879" s="4" t="s">
        <v>36</v>
      </c>
      <c r="AB8879" s="3" t="s">
        <v>56</v>
      </c>
      <c r="AC8879" s="3" t="s">
        <v>38362</v>
      </c>
      <c r="AD8879" s="9">
        <v>40365</v>
      </c>
      <c r="AE8879" s="3" t="s">
        <v>110</v>
      </c>
      <c r="AF8879" s="3" t="s">
        <v>15336</v>
      </c>
      <c r="AG8879" s="3" t="s">
        <v>21549</v>
      </c>
      <c r="AH8879" s="11">
        <f>HYPERLINK("https://my.pitchbook.com?c=26140-87T","View Company Online")</f>
      </c>
    </row>
    <row r="8880">
      <c r="A8880" s="12" t="s">
        <v>38363</v>
      </c>
      <c r="B8880" s="12" t="s">
        <v>37794</v>
      </c>
      <c r="C8880" s="19" t="s">
        <v>36</v>
      </c>
      <c r="D8880" s="19" t="s">
        <v>36</v>
      </c>
      <c r="E8880" s="19" t="s">
        <v>36</v>
      </c>
      <c r="F8880" s="19" t="s">
        <v>36</v>
      </c>
      <c r="G8880" s="15" t="s">
        <v>36</v>
      </c>
      <c r="H8880" s="14" t="s">
        <v>36</v>
      </c>
      <c r="I8880" s="18" t="s">
        <v>36</v>
      </c>
      <c r="J8880" s="12" t="s">
        <v>36</v>
      </c>
      <c r="K8880" s="13" t="s">
        <v>36</v>
      </c>
      <c r="L8880" s="15" t="s">
        <v>36</v>
      </c>
      <c r="M8880" s="12" t="s">
        <v>36</v>
      </c>
      <c r="N8880" s="12" t="s">
        <v>36</v>
      </c>
      <c r="O8880" s="17" t="s">
        <v>36</v>
      </c>
      <c r="P8880" s="12" t="s">
        <v>36</v>
      </c>
      <c r="Q8880" s="12" t="s">
        <v>36</v>
      </c>
      <c r="R8880" s="12" t="s">
        <v>36</v>
      </c>
      <c r="S8880" s="12" t="s">
        <v>36</v>
      </c>
      <c r="T8880" s="12" t="s">
        <v>37795</v>
      </c>
      <c r="U8880" s="12" t="s">
        <v>289</v>
      </c>
      <c r="V8880" s="12" t="s">
        <v>64</v>
      </c>
      <c r="W8880" s="12" t="s">
        <v>37796</v>
      </c>
      <c r="X8880" s="16" t="s">
        <v>38364</v>
      </c>
      <c r="Y8880" s="15" t="s">
        <v>42</v>
      </c>
      <c r="Z8880" s="14" t="s">
        <v>36</v>
      </c>
      <c r="AA8880" s="14" t="s">
        <v>36</v>
      </c>
      <c r="AB8880" s="12" t="s">
        <v>43</v>
      </c>
      <c r="AC8880" s="12" t="s">
        <v>37798</v>
      </c>
      <c r="AD8880" s="13">
        <v>40365</v>
      </c>
      <c r="AE8880" s="12" t="s">
        <v>3134</v>
      </c>
      <c r="AF8880" s="12" t="s">
        <v>30104</v>
      </c>
      <c r="AG8880" s="12" t="s">
        <v>81</v>
      </c>
      <c r="AH8880" s="1">
        <f>HYPERLINK("https://my.pitchbook.com?c=32557-42T","View Company Online")</f>
      </c>
    </row>
    <row r="8881">
      <c r="A8881" s="3" t="s">
        <v>38365</v>
      </c>
      <c r="B8881" s="3" t="s">
        <v>34622</v>
      </c>
      <c r="C8881" s="5" t="s">
        <v>36</v>
      </c>
      <c r="D8881" s="5">
        <v>149</v>
      </c>
      <c r="E8881" s="5">
        <v>48</v>
      </c>
      <c r="F8881" s="5">
        <v>253</v>
      </c>
      <c r="G8881" s="6" t="s">
        <v>36</v>
      </c>
      <c r="H8881" s="4" t="s">
        <v>36</v>
      </c>
      <c r="I8881" s="7" t="s">
        <v>36</v>
      </c>
      <c r="J8881" s="3" t="s">
        <v>36</v>
      </c>
      <c r="K8881" s="9" t="s">
        <v>36</v>
      </c>
      <c r="L8881" s="6" t="s">
        <v>36</v>
      </c>
      <c r="M8881" s="3" t="s">
        <v>36</v>
      </c>
      <c r="N8881" s="3" t="s">
        <v>36</v>
      </c>
      <c r="O8881" s="8" t="s">
        <v>36</v>
      </c>
      <c r="P8881" s="3" t="s">
        <v>36</v>
      </c>
      <c r="Q8881" s="3" t="s">
        <v>36</v>
      </c>
      <c r="R8881" s="3" t="s">
        <v>36</v>
      </c>
      <c r="S8881" s="3" t="s">
        <v>36</v>
      </c>
      <c r="T8881" s="3" t="s">
        <v>34623</v>
      </c>
      <c r="U8881" s="3" t="s">
        <v>74</v>
      </c>
      <c r="V8881" s="3" t="s">
        <v>75</v>
      </c>
      <c r="W8881" s="3" t="s">
        <v>34624</v>
      </c>
      <c r="X8881" s="10" t="s">
        <v>33627</v>
      </c>
      <c r="Y8881" s="6" t="s">
        <v>108</v>
      </c>
      <c r="Z8881" s="4" t="s">
        <v>36</v>
      </c>
      <c r="AA8881" s="4" t="s">
        <v>36</v>
      </c>
      <c r="AB8881" s="3" t="s">
        <v>56</v>
      </c>
      <c r="AC8881" s="3" t="s">
        <v>34626</v>
      </c>
      <c r="AD8881" s="9">
        <v>40364</v>
      </c>
      <c r="AE8881" s="3" t="s">
        <v>1243</v>
      </c>
      <c r="AF8881" s="3" t="s">
        <v>22942</v>
      </c>
      <c r="AG8881" s="3" t="s">
        <v>34627</v>
      </c>
      <c r="AH8881" s="11">
        <f>HYPERLINK("https://my.pitchbook.com?c=29226-61T","View Company Online")</f>
      </c>
    </row>
    <row r="8882">
      <c r="A8882" s="12" t="s">
        <v>38366</v>
      </c>
      <c r="B8882" s="12" t="s">
        <v>25511</v>
      </c>
      <c r="C8882" s="19" t="s">
        <v>36</v>
      </c>
      <c r="D8882" s="19" t="s">
        <v>36</v>
      </c>
      <c r="E8882" s="19" t="s">
        <v>36</v>
      </c>
      <c r="F8882" s="19" t="s">
        <v>36</v>
      </c>
      <c r="G8882" s="15" t="s">
        <v>326</v>
      </c>
      <c r="H8882" s="14">
        <v>96.82</v>
      </c>
      <c r="I8882" s="18">
        <v>40.61</v>
      </c>
      <c r="J8882" s="12" t="s">
        <v>521</v>
      </c>
      <c r="K8882" s="13" t="s">
        <v>36</v>
      </c>
      <c r="L8882" s="15" t="s">
        <v>36</v>
      </c>
      <c r="M8882" s="12" t="s">
        <v>36</v>
      </c>
      <c r="N8882" s="12" t="s">
        <v>36</v>
      </c>
      <c r="O8882" s="17" t="s">
        <v>36</v>
      </c>
      <c r="P8882" s="12" t="s">
        <v>36</v>
      </c>
      <c r="Q8882" s="12" t="s">
        <v>36</v>
      </c>
      <c r="R8882" s="12" t="s">
        <v>36</v>
      </c>
      <c r="S8882" s="12" t="s">
        <v>36</v>
      </c>
      <c r="T8882" s="12" t="s">
        <v>25512</v>
      </c>
      <c r="U8882" s="12" t="s">
        <v>38</v>
      </c>
      <c r="V8882" s="12" t="s">
        <v>39</v>
      </c>
      <c r="W8882" s="12" t="s">
        <v>25513</v>
      </c>
      <c r="X8882" s="16" t="s">
        <v>38367</v>
      </c>
      <c r="Y8882" s="15" t="s">
        <v>108</v>
      </c>
      <c r="Z8882" s="14">
        <v>1.25</v>
      </c>
      <c r="AA8882" s="14">
        <v>3.07</v>
      </c>
      <c r="AB8882" s="12" t="s">
        <v>43</v>
      </c>
      <c r="AC8882" s="12" t="s">
        <v>25515</v>
      </c>
      <c r="AD8882" s="13">
        <v>40364</v>
      </c>
      <c r="AE8882" s="12" t="s">
        <v>785</v>
      </c>
      <c r="AF8882" s="12" t="s">
        <v>3040</v>
      </c>
      <c r="AG8882" s="12" t="s">
        <v>787</v>
      </c>
      <c r="AH8882" s="1">
        <f>HYPERLINK("https://my.pitchbook.com?c=25409-98T","View Company Online")</f>
      </c>
    </row>
    <row r="8883">
      <c r="A8883" s="3" t="s">
        <v>38368</v>
      </c>
      <c r="B8883" s="3" t="s">
        <v>35218</v>
      </c>
      <c r="C8883" s="5">
        <v>15</v>
      </c>
      <c r="D8883" s="5">
        <v>40</v>
      </c>
      <c r="E8883" s="5">
        <v>18</v>
      </c>
      <c r="F8883" s="5">
        <v>86</v>
      </c>
      <c r="G8883" s="6" t="s">
        <v>36</v>
      </c>
      <c r="H8883" s="4" t="s">
        <v>36</v>
      </c>
      <c r="I8883" s="7" t="s">
        <v>36</v>
      </c>
      <c r="J8883" s="3" t="s">
        <v>36</v>
      </c>
      <c r="K8883" s="9" t="s">
        <v>36</v>
      </c>
      <c r="L8883" s="6" t="s">
        <v>36</v>
      </c>
      <c r="M8883" s="3" t="s">
        <v>36</v>
      </c>
      <c r="N8883" s="3" t="s">
        <v>36</v>
      </c>
      <c r="O8883" s="8" t="s">
        <v>36</v>
      </c>
      <c r="P8883" s="3" t="s">
        <v>36</v>
      </c>
      <c r="Q8883" s="3" t="s">
        <v>36</v>
      </c>
      <c r="R8883" s="3" t="s">
        <v>36</v>
      </c>
      <c r="S8883" s="3" t="s">
        <v>36</v>
      </c>
      <c r="T8883" s="3" t="s">
        <v>1125</v>
      </c>
      <c r="U8883" s="3" t="s">
        <v>74</v>
      </c>
      <c r="V8883" s="3" t="s">
        <v>75</v>
      </c>
      <c r="W8883" s="3" t="s">
        <v>35219</v>
      </c>
      <c r="X8883" s="10" t="s">
        <v>38369</v>
      </c>
      <c r="Y8883" s="6" t="s">
        <v>42</v>
      </c>
      <c r="Z8883" s="4">
        <v>8.19</v>
      </c>
      <c r="AA8883" s="4" t="s">
        <v>36</v>
      </c>
      <c r="AB8883" s="3" t="s">
        <v>56</v>
      </c>
      <c r="AC8883" s="3" t="s">
        <v>35221</v>
      </c>
      <c r="AD8883" s="9">
        <v>40361</v>
      </c>
      <c r="AE8883" s="3" t="s">
        <v>975</v>
      </c>
      <c r="AF8883" s="3" t="s">
        <v>1969</v>
      </c>
      <c r="AG8883" s="3" t="s">
        <v>35222</v>
      </c>
      <c r="AH8883" s="11">
        <f>HYPERLINK("https://my.pitchbook.com?c=35616-16T","View Company Online")</f>
      </c>
    </row>
    <row r="8884">
      <c r="A8884" s="12" t="s">
        <v>38370</v>
      </c>
      <c r="B8884" s="12" t="s">
        <v>38371</v>
      </c>
      <c r="C8884" s="19" t="s">
        <v>36</v>
      </c>
      <c r="D8884" s="19" t="s">
        <v>36</v>
      </c>
      <c r="E8884" s="19" t="s">
        <v>36</v>
      </c>
      <c r="F8884" s="19" t="s">
        <v>36</v>
      </c>
      <c r="G8884" s="15" t="s">
        <v>683</v>
      </c>
      <c r="H8884" s="14">
        <v>5543.95</v>
      </c>
      <c r="I8884" s="18">
        <v>16.78</v>
      </c>
      <c r="J8884" s="12" t="s">
        <v>521</v>
      </c>
      <c r="K8884" s="13" t="s">
        <v>36</v>
      </c>
      <c r="L8884" s="15" t="s">
        <v>36</v>
      </c>
      <c r="M8884" s="12" t="s">
        <v>36</v>
      </c>
      <c r="N8884" s="12" t="s">
        <v>36</v>
      </c>
      <c r="O8884" s="17" t="s">
        <v>36</v>
      </c>
      <c r="P8884" s="12" t="s">
        <v>36</v>
      </c>
      <c r="Q8884" s="12" t="s">
        <v>36</v>
      </c>
      <c r="R8884" s="12" t="s">
        <v>36</v>
      </c>
      <c r="S8884" s="12" t="s">
        <v>36</v>
      </c>
      <c r="T8884" s="12" t="s">
        <v>30356</v>
      </c>
      <c r="U8884" s="12" t="s">
        <v>38</v>
      </c>
      <c r="V8884" s="12" t="s">
        <v>39</v>
      </c>
      <c r="W8884" s="12" t="s">
        <v>38372</v>
      </c>
      <c r="X8884" s="16" t="s">
        <v>38373</v>
      </c>
      <c r="Y8884" s="15" t="s">
        <v>42</v>
      </c>
      <c r="Z8884" s="14">
        <v>2.72</v>
      </c>
      <c r="AA8884" s="14">
        <v>16.18</v>
      </c>
      <c r="AB8884" s="12" t="s">
        <v>43</v>
      </c>
      <c r="AC8884" s="12" t="s">
        <v>38374</v>
      </c>
      <c r="AD8884" s="13">
        <v>40361</v>
      </c>
      <c r="AE8884" s="12" t="s">
        <v>688</v>
      </c>
      <c r="AF8884" s="12" t="s">
        <v>36</v>
      </c>
      <c r="AG8884" s="12" t="s">
        <v>2088</v>
      </c>
      <c r="AH8884" s="1">
        <f>HYPERLINK("https://my.pitchbook.com?c=245413-63T","View Company Online")</f>
      </c>
    </row>
    <row r="8885">
      <c r="A8885" s="3" t="s">
        <v>38375</v>
      </c>
      <c r="B8885" s="3" t="s">
        <v>10387</v>
      </c>
      <c r="C8885" s="5">
        <v>15</v>
      </c>
      <c r="D8885" s="5">
        <v>78</v>
      </c>
      <c r="E8885" s="5">
        <v>19</v>
      </c>
      <c r="F8885" s="5">
        <v>97</v>
      </c>
      <c r="G8885" s="6" t="s">
        <v>326</v>
      </c>
      <c r="H8885" s="4">
        <v>29.24</v>
      </c>
      <c r="I8885" s="7">
        <v>31.5</v>
      </c>
      <c r="J8885" s="3" t="s">
        <v>521</v>
      </c>
      <c r="K8885" s="9" t="s">
        <v>36</v>
      </c>
      <c r="L8885" s="6" t="s">
        <v>94</v>
      </c>
      <c r="M8885" s="3" t="s">
        <v>36</v>
      </c>
      <c r="N8885" s="3" t="s">
        <v>94</v>
      </c>
      <c r="O8885" s="8" t="s">
        <v>36</v>
      </c>
      <c r="P8885" s="3" t="s">
        <v>36</v>
      </c>
      <c r="Q8885" s="3" t="s">
        <v>36</v>
      </c>
      <c r="R8885" s="3" t="s">
        <v>36</v>
      </c>
      <c r="S8885" s="3" t="s">
        <v>36</v>
      </c>
      <c r="T8885" s="3" t="s">
        <v>10388</v>
      </c>
      <c r="U8885" s="3" t="s">
        <v>1357</v>
      </c>
      <c r="V8885" s="3" t="s">
        <v>52</v>
      </c>
      <c r="W8885" s="3" t="s">
        <v>10389</v>
      </c>
      <c r="X8885" s="10" t="s">
        <v>38376</v>
      </c>
      <c r="Y8885" s="6" t="s">
        <v>108</v>
      </c>
      <c r="Z8885" s="4">
        <v>3.69</v>
      </c>
      <c r="AA8885" s="4">
        <v>11.7</v>
      </c>
      <c r="AB8885" s="3" t="s">
        <v>43</v>
      </c>
      <c r="AC8885" s="3" t="s">
        <v>10391</v>
      </c>
      <c r="AD8885" s="9">
        <v>40361</v>
      </c>
      <c r="AE8885" s="3" t="s">
        <v>10392</v>
      </c>
      <c r="AF8885" s="3" t="s">
        <v>159</v>
      </c>
      <c r="AG8885" s="3" t="s">
        <v>10393</v>
      </c>
      <c r="AH8885" s="11">
        <f>HYPERLINK("https://my.pitchbook.com?c=35766-55T","View Company Online")</f>
      </c>
    </row>
    <row r="8886">
      <c r="A8886" s="12" t="s">
        <v>38377</v>
      </c>
      <c r="B8886" s="12" t="s">
        <v>38378</v>
      </c>
      <c r="C8886" s="19" t="s">
        <v>36</v>
      </c>
      <c r="D8886" s="19" t="s">
        <v>36</v>
      </c>
      <c r="E8886" s="19" t="s">
        <v>36</v>
      </c>
      <c r="F8886" s="19" t="s">
        <v>36</v>
      </c>
      <c r="G8886" s="15" t="s">
        <v>36</v>
      </c>
      <c r="H8886" s="14" t="s">
        <v>36</v>
      </c>
      <c r="I8886" s="18" t="s">
        <v>36</v>
      </c>
      <c r="J8886" s="12" t="s">
        <v>36</v>
      </c>
      <c r="K8886" s="13" t="s">
        <v>36</v>
      </c>
      <c r="L8886" s="15" t="s">
        <v>36</v>
      </c>
      <c r="M8886" s="12" t="s">
        <v>36</v>
      </c>
      <c r="N8886" s="12" t="s">
        <v>36</v>
      </c>
      <c r="O8886" s="17" t="s">
        <v>36</v>
      </c>
      <c r="P8886" s="12" t="s">
        <v>36</v>
      </c>
      <c r="Q8886" s="12" t="s">
        <v>36</v>
      </c>
      <c r="R8886" s="12" t="s">
        <v>36</v>
      </c>
      <c r="S8886" s="12" t="s">
        <v>36</v>
      </c>
      <c r="T8886" s="12" t="s">
        <v>26416</v>
      </c>
      <c r="U8886" s="12" t="s">
        <v>279</v>
      </c>
      <c r="V8886" s="12" t="s">
        <v>64</v>
      </c>
      <c r="W8886" s="12" t="s">
        <v>38379</v>
      </c>
      <c r="X8886" s="16" t="s">
        <v>38380</v>
      </c>
      <c r="Y8886" s="15" t="s">
        <v>108</v>
      </c>
      <c r="Z8886" s="14">
        <v>1.45</v>
      </c>
      <c r="AA8886" s="14" t="s">
        <v>36</v>
      </c>
      <c r="AB8886" s="12" t="s">
        <v>43</v>
      </c>
      <c r="AC8886" s="12" t="s">
        <v>38381</v>
      </c>
      <c r="AD8886" s="13">
        <v>40360</v>
      </c>
      <c r="AE8886" s="12" t="s">
        <v>740</v>
      </c>
      <c r="AF8886" s="12" t="s">
        <v>1636</v>
      </c>
      <c r="AG8886" s="12" t="s">
        <v>81</v>
      </c>
      <c r="AH8886" s="1">
        <f>HYPERLINK("https://my.pitchbook.com?c=29818-81T","View Company Online")</f>
      </c>
    </row>
    <row r="8887">
      <c r="A8887" s="3" t="s">
        <v>38382</v>
      </c>
      <c r="B8887" s="3" t="s">
        <v>38383</v>
      </c>
      <c r="C8887" s="5" t="s">
        <v>36</v>
      </c>
      <c r="D8887" s="5" t="s">
        <v>36</v>
      </c>
      <c r="E8887" s="5">
        <v>1</v>
      </c>
      <c r="F8887" s="5">
        <v>1</v>
      </c>
      <c r="G8887" s="6" t="s">
        <v>36</v>
      </c>
      <c r="H8887" s="4" t="s">
        <v>36</v>
      </c>
      <c r="I8887" s="7" t="s">
        <v>36</v>
      </c>
      <c r="J8887" s="3" t="s">
        <v>36</v>
      </c>
      <c r="K8887" s="9" t="s">
        <v>36</v>
      </c>
      <c r="L8887" s="6" t="s">
        <v>36</v>
      </c>
      <c r="M8887" s="3" t="s">
        <v>36</v>
      </c>
      <c r="N8887" s="3" t="s">
        <v>36</v>
      </c>
      <c r="O8887" s="8" t="s">
        <v>36</v>
      </c>
      <c r="P8887" s="3" t="s">
        <v>36</v>
      </c>
      <c r="Q8887" s="3" t="s">
        <v>36</v>
      </c>
      <c r="R8887" s="3" t="s">
        <v>36</v>
      </c>
      <c r="S8887" s="3" t="s">
        <v>36</v>
      </c>
      <c r="T8887" s="3" t="s">
        <v>661</v>
      </c>
      <c r="U8887" s="3" t="s">
        <v>51</v>
      </c>
      <c r="V8887" s="3" t="s">
        <v>52</v>
      </c>
      <c r="W8887" s="3" t="s">
        <v>38384</v>
      </c>
      <c r="X8887" s="10" t="s">
        <v>38385</v>
      </c>
      <c r="Y8887" s="6" t="s">
        <v>108</v>
      </c>
      <c r="Z8887" s="4">
        <v>2.08</v>
      </c>
      <c r="AA8887" s="4" t="s">
        <v>36</v>
      </c>
      <c r="AB8887" s="3" t="s">
        <v>43</v>
      </c>
      <c r="AC8887" s="3" t="s">
        <v>38386</v>
      </c>
      <c r="AD8887" s="9">
        <v>40360</v>
      </c>
      <c r="AE8887" s="3" t="s">
        <v>158</v>
      </c>
      <c r="AF8887" s="3" t="s">
        <v>159</v>
      </c>
      <c r="AG8887" s="3" t="s">
        <v>38387</v>
      </c>
      <c r="AH8887" s="11">
        <f>HYPERLINK("https://my.pitchbook.com?c=28176-67T","View Company Online")</f>
      </c>
    </row>
    <row r="8888">
      <c r="A8888" s="12" t="s">
        <v>38388</v>
      </c>
      <c r="B8888" s="12" t="s">
        <v>35781</v>
      </c>
      <c r="C8888" s="19">
        <v>6</v>
      </c>
      <c r="D8888" s="19">
        <v>16</v>
      </c>
      <c r="E8888" s="19">
        <v>12</v>
      </c>
      <c r="F8888" s="19">
        <v>41</v>
      </c>
      <c r="G8888" s="15" t="s">
        <v>36</v>
      </c>
      <c r="H8888" s="14" t="s">
        <v>36</v>
      </c>
      <c r="I8888" s="18" t="s">
        <v>36</v>
      </c>
      <c r="J8888" s="12" t="s">
        <v>36</v>
      </c>
      <c r="K8888" s="13" t="s">
        <v>36</v>
      </c>
      <c r="L8888" s="15" t="s">
        <v>36</v>
      </c>
      <c r="M8888" s="12" t="s">
        <v>36</v>
      </c>
      <c r="N8888" s="12" t="s">
        <v>36</v>
      </c>
      <c r="O8888" s="17" t="s">
        <v>36</v>
      </c>
      <c r="P8888" s="12" t="s">
        <v>36</v>
      </c>
      <c r="Q8888" s="12" t="s">
        <v>36</v>
      </c>
      <c r="R8888" s="12" t="s">
        <v>36</v>
      </c>
      <c r="S8888" s="12" t="s">
        <v>6657</v>
      </c>
      <c r="T8888" s="12" t="s">
        <v>596</v>
      </c>
      <c r="U8888" s="12" t="s">
        <v>366</v>
      </c>
      <c r="V8888" s="12" t="s">
        <v>367</v>
      </c>
      <c r="W8888" s="12" t="s">
        <v>35782</v>
      </c>
      <c r="X8888" s="16" t="s">
        <v>38389</v>
      </c>
      <c r="Y8888" s="15" t="s">
        <v>108</v>
      </c>
      <c r="Z8888" s="14">
        <v>16.74</v>
      </c>
      <c r="AA8888" s="14" t="s">
        <v>36</v>
      </c>
      <c r="AB8888" s="12" t="s">
        <v>43</v>
      </c>
      <c r="AC8888" s="12" t="s">
        <v>35784</v>
      </c>
      <c r="AD8888" s="13">
        <v>40360</v>
      </c>
      <c r="AE8888" s="12" t="s">
        <v>600</v>
      </c>
      <c r="AF8888" s="12" t="s">
        <v>11188</v>
      </c>
      <c r="AG8888" s="12" t="s">
        <v>969</v>
      </c>
      <c r="AH8888" s="1">
        <f>HYPERLINK("https://my.pitchbook.com?c=24738-13T","View Company Online")</f>
      </c>
    </row>
    <row r="8889">
      <c r="A8889" s="3" t="s">
        <v>38390</v>
      </c>
      <c r="B8889" s="3" t="s">
        <v>38391</v>
      </c>
      <c r="C8889" s="5" t="s">
        <v>36</v>
      </c>
      <c r="D8889" s="5" t="s">
        <v>36</v>
      </c>
      <c r="E8889" s="5">
        <v>1</v>
      </c>
      <c r="F8889" s="5">
        <v>1</v>
      </c>
      <c r="G8889" s="6" t="s">
        <v>36</v>
      </c>
      <c r="H8889" s="4" t="s">
        <v>36</v>
      </c>
      <c r="I8889" s="7" t="s">
        <v>36</v>
      </c>
      <c r="J8889" s="3" t="s">
        <v>36</v>
      </c>
      <c r="K8889" s="9" t="s">
        <v>36</v>
      </c>
      <c r="L8889" s="6" t="s">
        <v>36</v>
      </c>
      <c r="M8889" s="3" t="s">
        <v>36</v>
      </c>
      <c r="N8889" s="3" t="s">
        <v>36</v>
      </c>
      <c r="O8889" s="8" t="s">
        <v>36</v>
      </c>
      <c r="P8889" s="3" t="s">
        <v>36</v>
      </c>
      <c r="Q8889" s="3" t="s">
        <v>36</v>
      </c>
      <c r="R8889" s="3" t="s">
        <v>36</v>
      </c>
      <c r="S8889" s="3" t="s">
        <v>36</v>
      </c>
      <c r="T8889" s="3" t="s">
        <v>32767</v>
      </c>
      <c r="U8889" s="3" t="s">
        <v>74</v>
      </c>
      <c r="V8889" s="3" t="s">
        <v>75</v>
      </c>
      <c r="W8889" s="3" t="s">
        <v>38392</v>
      </c>
      <c r="X8889" s="10" t="s">
        <v>20599</v>
      </c>
      <c r="Y8889" s="6" t="s">
        <v>42</v>
      </c>
      <c r="Z8889" s="4">
        <v>0.24</v>
      </c>
      <c r="AA8889" s="4" t="s">
        <v>36</v>
      </c>
      <c r="AB8889" s="3" t="s">
        <v>43</v>
      </c>
      <c r="AC8889" s="3" t="s">
        <v>38393</v>
      </c>
      <c r="AD8889" s="9">
        <v>40360</v>
      </c>
      <c r="AE8889" s="3" t="s">
        <v>79</v>
      </c>
      <c r="AF8889" s="3" t="s">
        <v>1636</v>
      </c>
      <c r="AG8889" s="3" t="s">
        <v>6628</v>
      </c>
      <c r="AH8889" s="11">
        <f>HYPERLINK("https://my.pitchbook.com?c=28617-94T","View Company Online")</f>
      </c>
    </row>
    <row r="8890">
      <c r="A8890" s="12" t="s">
        <v>38394</v>
      </c>
      <c r="B8890" s="12" t="s">
        <v>38395</v>
      </c>
      <c r="C8890" s="19" t="s">
        <v>36</v>
      </c>
      <c r="D8890" s="19" t="s">
        <v>36</v>
      </c>
      <c r="E8890" s="19" t="s">
        <v>36</v>
      </c>
      <c r="F8890" s="19" t="s">
        <v>36</v>
      </c>
      <c r="G8890" s="15" t="s">
        <v>36</v>
      </c>
      <c r="H8890" s="14">
        <v>230.56</v>
      </c>
      <c r="I8890" s="18">
        <v>17.86</v>
      </c>
      <c r="J8890" s="12" t="s">
        <v>521</v>
      </c>
      <c r="K8890" s="13" t="s">
        <v>36</v>
      </c>
      <c r="L8890" s="15" t="s">
        <v>36</v>
      </c>
      <c r="M8890" s="12" t="s">
        <v>36</v>
      </c>
      <c r="N8890" s="12" t="s">
        <v>36</v>
      </c>
      <c r="O8890" s="17" t="s">
        <v>36</v>
      </c>
      <c r="P8890" s="12" t="s">
        <v>36</v>
      </c>
      <c r="Q8890" s="12" t="s">
        <v>36</v>
      </c>
      <c r="R8890" s="12" t="s">
        <v>36</v>
      </c>
      <c r="S8890" s="12" t="s">
        <v>36</v>
      </c>
      <c r="T8890" s="12" t="s">
        <v>38396</v>
      </c>
      <c r="U8890" s="12" t="s">
        <v>728</v>
      </c>
      <c r="V8890" s="12" t="s">
        <v>64</v>
      </c>
      <c r="W8890" s="12" t="s">
        <v>38397</v>
      </c>
      <c r="X8890" s="16" t="s">
        <v>38398</v>
      </c>
      <c r="Y8890" s="15" t="s">
        <v>108</v>
      </c>
      <c r="Z8890" s="14">
        <v>0.47</v>
      </c>
      <c r="AA8890" s="14">
        <v>2.6</v>
      </c>
      <c r="AB8890" s="12" t="s">
        <v>43</v>
      </c>
      <c r="AC8890" s="12" t="s">
        <v>38399</v>
      </c>
      <c r="AD8890" s="13">
        <v>40353</v>
      </c>
      <c r="AE8890" s="12" t="s">
        <v>1600</v>
      </c>
      <c r="AF8890" s="12" t="s">
        <v>571</v>
      </c>
      <c r="AG8890" s="12" t="s">
        <v>81</v>
      </c>
      <c r="AH8890" s="1">
        <f>HYPERLINK("https://my.pitchbook.com?c=207469-09T","View Company Online")</f>
      </c>
    </row>
    <row r="8891">
      <c r="A8891" s="3" t="s">
        <v>38400</v>
      </c>
      <c r="B8891" s="3" t="s">
        <v>38401</v>
      </c>
      <c r="C8891" s="5" t="s">
        <v>36</v>
      </c>
      <c r="D8891" s="5" t="s">
        <v>36</v>
      </c>
      <c r="E8891" s="5" t="s">
        <v>36</v>
      </c>
      <c r="F8891" s="5" t="s">
        <v>36</v>
      </c>
      <c r="G8891" s="6" t="s">
        <v>36</v>
      </c>
      <c r="H8891" s="4" t="s">
        <v>36</v>
      </c>
      <c r="I8891" s="7" t="s">
        <v>36</v>
      </c>
      <c r="J8891" s="3" t="s">
        <v>36</v>
      </c>
      <c r="K8891" s="9" t="s">
        <v>36</v>
      </c>
      <c r="L8891" s="6" t="s">
        <v>36</v>
      </c>
      <c r="M8891" s="3" t="s">
        <v>36</v>
      </c>
      <c r="N8891" s="3" t="s">
        <v>36</v>
      </c>
      <c r="O8891" s="8" t="s">
        <v>36</v>
      </c>
      <c r="P8891" s="3" t="s">
        <v>36</v>
      </c>
      <c r="Q8891" s="3" t="s">
        <v>36</v>
      </c>
      <c r="R8891" s="3" t="s">
        <v>36</v>
      </c>
      <c r="S8891" s="3" t="s">
        <v>36</v>
      </c>
      <c r="T8891" s="3" t="s">
        <v>6107</v>
      </c>
      <c r="U8891" s="3" t="s">
        <v>74</v>
      </c>
      <c r="V8891" s="3" t="s">
        <v>75</v>
      </c>
      <c r="W8891" s="3" t="s">
        <v>38402</v>
      </c>
      <c r="X8891" s="10" t="s">
        <v>13138</v>
      </c>
      <c r="Y8891" s="6" t="s">
        <v>42</v>
      </c>
      <c r="Z8891" s="4">
        <v>0.85</v>
      </c>
      <c r="AA8891" s="4" t="s">
        <v>36</v>
      </c>
      <c r="AB8891" s="3" t="s">
        <v>43</v>
      </c>
      <c r="AC8891" s="3" t="s">
        <v>38403</v>
      </c>
      <c r="AD8891" s="9">
        <v>40353</v>
      </c>
      <c r="AE8891" s="3" t="s">
        <v>975</v>
      </c>
      <c r="AF8891" s="3" t="s">
        <v>1636</v>
      </c>
      <c r="AG8891" s="3" t="s">
        <v>38404</v>
      </c>
      <c r="AH8891" s="11">
        <f>HYPERLINK("https://my.pitchbook.com?c=88232-59T","View Company Online")</f>
      </c>
    </row>
    <row r="8892">
      <c r="A8892" s="12" t="s">
        <v>38405</v>
      </c>
      <c r="B8892" s="12" t="s">
        <v>12151</v>
      </c>
      <c r="C8892" s="19" t="s">
        <v>36</v>
      </c>
      <c r="D8892" s="19">
        <v>4</v>
      </c>
      <c r="E8892" s="19">
        <v>2</v>
      </c>
      <c r="F8892" s="19">
        <v>4</v>
      </c>
      <c r="G8892" s="15" t="s">
        <v>326</v>
      </c>
      <c r="H8892" s="14">
        <v>95.34</v>
      </c>
      <c r="I8892" s="18">
        <v>28.22</v>
      </c>
      <c r="J8892" s="12" t="s">
        <v>521</v>
      </c>
      <c r="K8892" s="13" t="s">
        <v>36</v>
      </c>
      <c r="L8892" s="15" t="s">
        <v>122</v>
      </c>
      <c r="M8892" s="12" t="s">
        <v>36</v>
      </c>
      <c r="N8892" s="12" t="s">
        <v>122</v>
      </c>
      <c r="O8892" s="17" t="s">
        <v>36</v>
      </c>
      <c r="P8892" s="12" t="s">
        <v>36</v>
      </c>
      <c r="Q8892" s="12" t="s">
        <v>3530</v>
      </c>
      <c r="R8892" s="12" t="s">
        <v>36</v>
      </c>
      <c r="S8892" s="12" t="s">
        <v>36</v>
      </c>
      <c r="T8892" s="12" t="s">
        <v>4692</v>
      </c>
      <c r="U8892" s="12" t="s">
        <v>85</v>
      </c>
      <c r="V8892" s="12" t="s">
        <v>64</v>
      </c>
      <c r="W8892" s="12" t="s">
        <v>12152</v>
      </c>
      <c r="X8892" s="16" t="s">
        <v>38406</v>
      </c>
      <c r="Y8892" s="15" t="s">
        <v>108</v>
      </c>
      <c r="Z8892" s="14">
        <v>2.48</v>
      </c>
      <c r="AA8892" s="14">
        <v>6.14</v>
      </c>
      <c r="AB8892" s="12" t="s">
        <v>43</v>
      </c>
      <c r="AC8892" s="12" t="s">
        <v>12155</v>
      </c>
      <c r="AD8892" s="13">
        <v>40352</v>
      </c>
      <c r="AE8892" s="12" t="s">
        <v>89</v>
      </c>
      <c r="AF8892" s="12" t="s">
        <v>12156</v>
      </c>
      <c r="AG8892" s="12" t="s">
        <v>81</v>
      </c>
      <c r="AH8892" s="1">
        <f>HYPERLINK("https://my.pitchbook.com?c=33646-15T","View Company Online")</f>
      </c>
    </row>
    <row r="8893">
      <c r="A8893" s="3" t="s">
        <v>38407</v>
      </c>
      <c r="B8893" s="3" t="s">
        <v>5706</v>
      </c>
      <c r="C8893" s="5" t="s">
        <v>36</v>
      </c>
      <c r="D8893" s="5" t="s">
        <v>36</v>
      </c>
      <c r="E8893" s="5" t="s">
        <v>36</v>
      </c>
      <c r="F8893" s="5" t="s">
        <v>36</v>
      </c>
      <c r="G8893" s="6" t="s">
        <v>326</v>
      </c>
      <c r="H8893" s="4">
        <v>259.64</v>
      </c>
      <c r="I8893" s="7">
        <v>30</v>
      </c>
      <c r="J8893" s="3" t="s">
        <v>521</v>
      </c>
      <c r="K8893" s="9" t="s">
        <v>36</v>
      </c>
      <c r="L8893" s="6" t="s">
        <v>122</v>
      </c>
      <c r="M8893" s="3" t="s">
        <v>36</v>
      </c>
      <c r="N8893" s="3" t="s">
        <v>122</v>
      </c>
      <c r="O8893" s="8" t="s">
        <v>36</v>
      </c>
      <c r="P8893" s="3" t="s">
        <v>36</v>
      </c>
      <c r="Q8893" s="3" t="s">
        <v>36</v>
      </c>
      <c r="R8893" s="3" t="s">
        <v>36</v>
      </c>
      <c r="S8893" s="3" t="s">
        <v>36</v>
      </c>
      <c r="T8893" s="3" t="s">
        <v>5707</v>
      </c>
      <c r="U8893" s="3" t="s">
        <v>279</v>
      </c>
      <c r="V8893" s="3" t="s">
        <v>64</v>
      </c>
      <c r="W8893" s="3" t="s">
        <v>5708</v>
      </c>
      <c r="X8893" s="10" t="s">
        <v>27361</v>
      </c>
      <c r="Y8893" s="6" t="s">
        <v>108</v>
      </c>
      <c r="Z8893" s="4">
        <v>1.83</v>
      </c>
      <c r="AA8893" s="4">
        <v>6.1</v>
      </c>
      <c r="AB8893" s="3" t="s">
        <v>43</v>
      </c>
      <c r="AC8893" s="3" t="s">
        <v>5711</v>
      </c>
      <c r="AD8893" s="9">
        <v>40352</v>
      </c>
      <c r="AE8893" s="3" t="s">
        <v>283</v>
      </c>
      <c r="AF8893" s="3" t="s">
        <v>2363</v>
      </c>
      <c r="AG8893" s="3" t="s">
        <v>81</v>
      </c>
      <c r="AH8893" s="11">
        <f>HYPERLINK("https://my.pitchbook.com?c=28297-90T","View Company Online")</f>
      </c>
    </row>
    <row r="8894">
      <c r="A8894" s="12" t="s">
        <v>38408</v>
      </c>
      <c r="B8894" s="12" t="s">
        <v>38409</v>
      </c>
      <c r="C8894" s="19" t="s">
        <v>36</v>
      </c>
      <c r="D8894" s="19" t="s">
        <v>36</v>
      </c>
      <c r="E8894" s="19" t="s">
        <v>36</v>
      </c>
      <c r="F8894" s="19" t="s">
        <v>36</v>
      </c>
      <c r="G8894" s="15" t="s">
        <v>36</v>
      </c>
      <c r="H8894" s="14" t="s">
        <v>36</v>
      </c>
      <c r="I8894" s="18" t="s">
        <v>36</v>
      </c>
      <c r="J8894" s="12" t="s">
        <v>36</v>
      </c>
      <c r="K8894" s="13" t="s">
        <v>36</v>
      </c>
      <c r="L8894" s="15" t="s">
        <v>36</v>
      </c>
      <c r="M8894" s="12" t="s">
        <v>36</v>
      </c>
      <c r="N8894" s="12" t="s">
        <v>36</v>
      </c>
      <c r="O8894" s="17" t="s">
        <v>36</v>
      </c>
      <c r="P8894" s="12" t="s">
        <v>36</v>
      </c>
      <c r="Q8894" s="12" t="s">
        <v>36</v>
      </c>
      <c r="R8894" s="12" t="s">
        <v>36</v>
      </c>
      <c r="S8894" s="12" t="s">
        <v>36</v>
      </c>
      <c r="T8894" s="12" t="s">
        <v>3826</v>
      </c>
      <c r="U8894" s="12" t="s">
        <v>423</v>
      </c>
      <c r="V8894" s="12" t="s">
        <v>64</v>
      </c>
      <c r="W8894" s="12" t="s">
        <v>38410</v>
      </c>
      <c r="X8894" s="16" t="s">
        <v>38411</v>
      </c>
      <c r="Y8894" s="15" t="s">
        <v>42</v>
      </c>
      <c r="Z8894" s="14">
        <v>1.71</v>
      </c>
      <c r="AA8894" s="14" t="s">
        <v>36</v>
      </c>
      <c r="AB8894" s="12" t="s">
        <v>43</v>
      </c>
      <c r="AC8894" s="12" t="s">
        <v>38412</v>
      </c>
      <c r="AD8894" s="13">
        <v>40350</v>
      </c>
      <c r="AE8894" s="12" t="s">
        <v>1051</v>
      </c>
      <c r="AF8894" s="12" t="s">
        <v>571</v>
      </c>
      <c r="AG8894" s="12" t="s">
        <v>38413</v>
      </c>
      <c r="AH8894" s="1">
        <f>HYPERLINK("https://my.pitchbook.com?c=30162-70T","View Company Online")</f>
      </c>
    </row>
    <row r="8895">
      <c r="A8895" s="3" t="s">
        <v>38414</v>
      </c>
      <c r="B8895" s="3" t="s">
        <v>38415</v>
      </c>
      <c r="C8895" s="5" t="s">
        <v>36</v>
      </c>
      <c r="D8895" s="5" t="s">
        <v>36</v>
      </c>
      <c r="E8895" s="5" t="s">
        <v>36</v>
      </c>
      <c r="F8895" s="5" t="s">
        <v>36</v>
      </c>
      <c r="G8895" s="6" t="s">
        <v>36</v>
      </c>
      <c r="H8895" s="4" t="s">
        <v>36</v>
      </c>
      <c r="I8895" s="7" t="s">
        <v>36</v>
      </c>
      <c r="J8895" s="3" t="s">
        <v>36</v>
      </c>
      <c r="K8895" s="9" t="s">
        <v>36</v>
      </c>
      <c r="L8895" s="6" t="s">
        <v>94</v>
      </c>
      <c r="M8895" s="3" t="s">
        <v>36</v>
      </c>
      <c r="N8895" s="3" t="s">
        <v>94</v>
      </c>
      <c r="O8895" s="8" t="s">
        <v>36</v>
      </c>
      <c r="P8895" s="3" t="s">
        <v>36</v>
      </c>
      <c r="Q8895" s="3" t="s">
        <v>36</v>
      </c>
      <c r="R8895" s="3" t="s">
        <v>36</v>
      </c>
      <c r="S8895" s="3" t="s">
        <v>36</v>
      </c>
      <c r="T8895" s="3" t="s">
        <v>529</v>
      </c>
      <c r="U8895" s="3" t="s">
        <v>38</v>
      </c>
      <c r="V8895" s="3" t="s">
        <v>39</v>
      </c>
      <c r="W8895" s="3" t="s">
        <v>38416</v>
      </c>
      <c r="X8895" s="10" t="s">
        <v>26647</v>
      </c>
      <c r="Y8895" s="6" t="s">
        <v>108</v>
      </c>
      <c r="Z8895" s="4">
        <v>2.71</v>
      </c>
      <c r="AA8895" s="4" t="s">
        <v>36</v>
      </c>
      <c r="AB8895" s="3" t="s">
        <v>56</v>
      </c>
      <c r="AC8895" s="3" t="s">
        <v>38417</v>
      </c>
      <c r="AD8895" s="9">
        <v>40345</v>
      </c>
      <c r="AE8895" s="3" t="s">
        <v>134</v>
      </c>
      <c r="AF8895" s="3" t="s">
        <v>1636</v>
      </c>
      <c r="AG8895" s="3" t="s">
        <v>22311</v>
      </c>
      <c r="AH8895" s="11">
        <f>HYPERLINK("https://my.pitchbook.com?c=55780-66T","View Company Online")</f>
      </c>
    </row>
    <row r="8896">
      <c r="A8896" s="12" t="s">
        <v>38418</v>
      </c>
      <c r="B8896" s="12" t="s">
        <v>38419</v>
      </c>
      <c r="C8896" s="19" t="s">
        <v>36</v>
      </c>
      <c r="D8896" s="19">
        <v>12</v>
      </c>
      <c r="E8896" s="19">
        <v>6</v>
      </c>
      <c r="F8896" s="19">
        <v>14</v>
      </c>
      <c r="G8896" s="15" t="s">
        <v>36</v>
      </c>
      <c r="H8896" s="14" t="s">
        <v>36</v>
      </c>
      <c r="I8896" s="18" t="s">
        <v>36</v>
      </c>
      <c r="J8896" s="12" t="s">
        <v>36</v>
      </c>
      <c r="K8896" s="13" t="s">
        <v>36</v>
      </c>
      <c r="L8896" s="15" t="s">
        <v>122</v>
      </c>
      <c r="M8896" s="12" t="s">
        <v>36</v>
      </c>
      <c r="N8896" s="12" t="s">
        <v>122</v>
      </c>
      <c r="O8896" s="17" t="s">
        <v>36</v>
      </c>
      <c r="P8896" s="12" t="s">
        <v>36</v>
      </c>
      <c r="Q8896" s="12" t="s">
        <v>36</v>
      </c>
      <c r="R8896" s="12" t="s">
        <v>36</v>
      </c>
      <c r="S8896" s="12" t="s">
        <v>36</v>
      </c>
      <c r="T8896" s="12" t="s">
        <v>1253</v>
      </c>
      <c r="U8896" s="12" t="s">
        <v>38</v>
      </c>
      <c r="V8896" s="12" t="s">
        <v>39</v>
      </c>
      <c r="W8896" s="12" t="s">
        <v>38420</v>
      </c>
      <c r="X8896" s="16" t="s">
        <v>38421</v>
      </c>
      <c r="Y8896" s="15" t="s">
        <v>42</v>
      </c>
      <c r="Z8896" s="14">
        <v>2</v>
      </c>
      <c r="AA8896" s="14" t="s">
        <v>36</v>
      </c>
      <c r="AB8896" s="12" t="s">
        <v>43</v>
      </c>
      <c r="AC8896" s="12" t="s">
        <v>38422</v>
      </c>
      <c r="AD8896" s="13">
        <v>40345</v>
      </c>
      <c r="AE8896" s="12" t="s">
        <v>45</v>
      </c>
      <c r="AF8896" s="12" t="s">
        <v>7466</v>
      </c>
      <c r="AG8896" s="12" t="s">
        <v>81</v>
      </c>
      <c r="AH8896" s="1">
        <f>HYPERLINK("https://my.pitchbook.com?c=24174-64T","View Company Online")</f>
      </c>
    </row>
    <row r="8897">
      <c r="A8897" s="3" t="s">
        <v>38423</v>
      </c>
      <c r="B8897" s="3" t="s">
        <v>29380</v>
      </c>
      <c r="C8897" s="5" t="s">
        <v>36</v>
      </c>
      <c r="D8897" s="5" t="s">
        <v>36</v>
      </c>
      <c r="E8897" s="5" t="s">
        <v>36</v>
      </c>
      <c r="F8897" s="5" t="s">
        <v>36</v>
      </c>
      <c r="G8897" s="6" t="s">
        <v>36</v>
      </c>
      <c r="H8897" s="4" t="s">
        <v>36</v>
      </c>
      <c r="I8897" s="7" t="s">
        <v>36</v>
      </c>
      <c r="J8897" s="3" t="s">
        <v>36</v>
      </c>
      <c r="K8897" s="9" t="s">
        <v>36</v>
      </c>
      <c r="L8897" s="6" t="s">
        <v>94</v>
      </c>
      <c r="M8897" s="3" t="s">
        <v>36</v>
      </c>
      <c r="N8897" s="3" t="s">
        <v>94</v>
      </c>
      <c r="O8897" s="8" t="s">
        <v>36</v>
      </c>
      <c r="P8897" s="3" t="s">
        <v>36</v>
      </c>
      <c r="Q8897" s="3" t="s">
        <v>36</v>
      </c>
      <c r="R8897" s="3" t="s">
        <v>36</v>
      </c>
      <c r="S8897" s="3" t="s">
        <v>36</v>
      </c>
      <c r="T8897" s="3" t="s">
        <v>1106</v>
      </c>
      <c r="U8897" s="3" t="s">
        <v>38</v>
      </c>
      <c r="V8897" s="3" t="s">
        <v>39</v>
      </c>
      <c r="W8897" s="3" t="s">
        <v>29381</v>
      </c>
      <c r="X8897" s="10" t="s">
        <v>38424</v>
      </c>
      <c r="Y8897" s="6" t="s">
        <v>108</v>
      </c>
      <c r="Z8897" s="4">
        <v>4.89</v>
      </c>
      <c r="AA8897" s="4" t="s">
        <v>36</v>
      </c>
      <c r="AB8897" s="3" t="s">
        <v>56</v>
      </c>
      <c r="AC8897" s="3" t="s">
        <v>29383</v>
      </c>
      <c r="AD8897" s="9">
        <v>40344</v>
      </c>
      <c r="AE8897" s="3" t="s">
        <v>110</v>
      </c>
      <c r="AF8897" s="3" t="s">
        <v>3172</v>
      </c>
      <c r="AG8897" s="3" t="s">
        <v>652</v>
      </c>
      <c r="AH8897" s="11">
        <f>HYPERLINK("https://my.pitchbook.com?c=29464-75T","View Company Online")</f>
      </c>
    </row>
    <row r="8898">
      <c r="A8898" s="12" t="s">
        <v>38425</v>
      </c>
      <c r="B8898" s="12" t="s">
        <v>31433</v>
      </c>
      <c r="C8898" s="19" t="s">
        <v>36</v>
      </c>
      <c r="D8898" s="19" t="s">
        <v>36</v>
      </c>
      <c r="E8898" s="19" t="s">
        <v>36</v>
      </c>
      <c r="F8898" s="19" t="s">
        <v>36</v>
      </c>
      <c r="G8898" s="15" t="s">
        <v>36</v>
      </c>
      <c r="H8898" s="14" t="s">
        <v>36</v>
      </c>
      <c r="I8898" s="18" t="s">
        <v>36</v>
      </c>
      <c r="J8898" s="12" t="s">
        <v>36</v>
      </c>
      <c r="K8898" s="13" t="s">
        <v>36</v>
      </c>
      <c r="L8898" s="15" t="s">
        <v>36</v>
      </c>
      <c r="M8898" s="12" t="s">
        <v>36</v>
      </c>
      <c r="N8898" s="12" t="s">
        <v>36</v>
      </c>
      <c r="O8898" s="17" t="s">
        <v>36</v>
      </c>
      <c r="P8898" s="12" t="s">
        <v>36</v>
      </c>
      <c r="Q8898" s="12" t="s">
        <v>36</v>
      </c>
      <c r="R8898" s="12" t="s">
        <v>36</v>
      </c>
      <c r="S8898" s="12" t="s">
        <v>36</v>
      </c>
      <c r="T8898" s="12" t="s">
        <v>123</v>
      </c>
      <c r="U8898" s="12" t="s">
        <v>38</v>
      </c>
      <c r="V8898" s="12" t="s">
        <v>39</v>
      </c>
      <c r="W8898" s="12" t="s">
        <v>31434</v>
      </c>
      <c r="X8898" s="16" t="s">
        <v>38426</v>
      </c>
      <c r="Y8898" s="15" t="s">
        <v>42</v>
      </c>
      <c r="Z8898" s="14">
        <v>2.08</v>
      </c>
      <c r="AA8898" s="14" t="s">
        <v>36</v>
      </c>
      <c r="AB8898" s="12" t="s">
        <v>43</v>
      </c>
      <c r="AC8898" s="12" t="s">
        <v>31436</v>
      </c>
      <c r="AD8898" s="13">
        <v>40344</v>
      </c>
      <c r="AE8898" s="12" t="s">
        <v>110</v>
      </c>
      <c r="AF8898" s="12" t="s">
        <v>19562</v>
      </c>
      <c r="AG8898" s="12" t="s">
        <v>81</v>
      </c>
      <c r="AH8898" s="1">
        <f>HYPERLINK("https://my.pitchbook.com?c=58456-00T","View Company Online")</f>
      </c>
    </row>
    <row r="8899">
      <c r="A8899" s="3" t="s">
        <v>38427</v>
      </c>
      <c r="B8899" s="3" t="s">
        <v>38428</v>
      </c>
      <c r="C8899" s="5" t="s">
        <v>36</v>
      </c>
      <c r="D8899" s="5" t="s">
        <v>36</v>
      </c>
      <c r="E8899" s="5" t="s">
        <v>36</v>
      </c>
      <c r="F8899" s="5" t="s">
        <v>36</v>
      </c>
      <c r="G8899" s="6" t="s">
        <v>36</v>
      </c>
      <c r="H8899" s="4" t="s">
        <v>36</v>
      </c>
      <c r="I8899" s="7" t="s">
        <v>36</v>
      </c>
      <c r="J8899" s="3" t="s">
        <v>36</v>
      </c>
      <c r="K8899" s="9" t="s">
        <v>36</v>
      </c>
      <c r="L8899" s="6" t="s">
        <v>122</v>
      </c>
      <c r="M8899" s="3" t="s">
        <v>36</v>
      </c>
      <c r="N8899" s="3" t="s">
        <v>122</v>
      </c>
      <c r="O8899" s="8" t="s">
        <v>36</v>
      </c>
      <c r="P8899" s="3" t="s">
        <v>36</v>
      </c>
      <c r="Q8899" s="3" t="s">
        <v>36</v>
      </c>
      <c r="R8899" s="3" t="s">
        <v>36</v>
      </c>
      <c r="S8899" s="3" t="s">
        <v>36</v>
      </c>
      <c r="T8899" s="3" t="s">
        <v>38429</v>
      </c>
      <c r="U8899" s="3" t="s">
        <v>1502</v>
      </c>
      <c r="V8899" s="3" t="s">
        <v>75</v>
      </c>
      <c r="W8899" s="3" t="s">
        <v>38430</v>
      </c>
      <c r="X8899" s="10" t="s">
        <v>18492</v>
      </c>
      <c r="Y8899" s="6" t="s">
        <v>108</v>
      </c>
      <c r="Z8899" s="4">
        <v>0.61</v>
      </c>
      <c r="AA8899" s="4" t="s">
        <v>36</v>
      </c>
      <c r="AB8899" s="3" t="s">
        <v>43</v>
      </c>
      <c r="AC8899" s="3" t="s">
        <v>38431</v>
      </c>
      <c r="AD8899" s="9">
        <v>40344</v>
      </c>
      <c r="AE8899" s="3" t="s">
        <v>1506</v>
      </c>
      <c r="AF8899" s="3" t="s">
        <v>6681</v>
      </c>
      <c r="AG8899" s="3" t="s">
        <v>81</v>
      </c>
      <c r="AH8899" s="11">
        <f>HYPERLINK("https://my.pitchbook.com?c=50340-34T","View Company Online")</f>
      </c>
    </row>
    <row r="8900">
      <c r="A8900" s="12" t="s">
        <v>38432</v>
      </c>
      <c r="B8900" s="12" t="s">
        <v>38433</v>
      </c>
      <c r="C8900" s="19" t="s">
        <v>36</v>
      </c>
      <c r="D8900" s="19" t="s">
        <v>36</v>
      </c>
      <c r="E8900" s="19" t="s">
        <v>36</v>
      </c>
      <c r="F8900" s="19" t="s">
        <v>36</v>
      </c>
      <c r="G8900" s="15" t="s">
        <v>36</v>
      </c>
      <c r="H8900" s="14" t="s">
        <v>36</v>
      </c>
      <c r="I8900" s="18" t="s">
        <v>36</v>
      </c>
      <c r="J8900" s="12" t="s">
        <v>36</v>
      </c>
      <c r="K8900" s="13" t="s">
        <v>36</v>
      </c>
      <c r="L8900" s="15" t="s">
        <v>36</v>
      </c>
      <c r="M8900" s="12" t="s">
        <v>36</v>
      </c>
      <c r="N8900" s="12" t="s">
        <v>36</v>
      </c>
      <c r="O8900" s="17" t="s">
        <v>36</v>
      </c>
      <c r="P8900" s="12" t="s">
        <v>36</v>
      </c>
      <c r="Q8900" s="12" t="s">
        <v>36</v>
      </c>
      <c r="R8900" s="12" t="s">
        <v>36</v>
      </c>
      <c r="S8900" s="12" t="s">
        <v>36</v>
      </c>
      <c r="T8900" s="12" t="s">
        <v>3125</v>
      </c>
      <c r="U8900" s="12" t="s">
        <v>279</v>
      </c>
      <c r="V8900" s="12" t="s">
        <v>64</v>
      </c>
      <c r="W8900" s="12" t="s">
        <v>38434</v>
      </c>
      <c r="X8900" s="16" t="s">
        <v>38435</v>
      </c>
      <c r="Y8900" s="15" t="s">
        <v>42</v>
      </c>
      <c r="Z8900" s="14">
        <v>0.37</v>
      </c>
      <c r="AA8900" s="14" t="s">
        <v>36</v>
      </c>
      <c r="AB8900" s="12" t="s">
        <v>43</v>
      </c>
      <c r="AC8900" s="12" t="s">
        <v>38436</v>
      </c>
      <c r="AD8900" s="13">
        <v>40344</v>
      </c>
      <c r="AE8900" s="12" t="s">
        <v>283</v>
      </c>
      <c r="AF8900" s="12" t="s">
        <v>1636</v>
      </c>
      <c r="AG8900" s="12" t="s">
        <v>81</v>
      </c>
      <c r="AH8900" s="1">
        <f>HYPERLINK("https://my.pitchbook.com?c=53725-24T","View Company Online")</f>
      </c>
    </row>
    <row r="8901">
      <c r="A8901" s="3" t="s">
        <v>38437</v>
      </c>
      <c r="B8901" s="3" t="s">
        <v>2182</v>
      </c>
      <c r="C8901" s="5" t="s">
        <v>36</v>
      </c>
      <c r="D8901" s="5">
        <v>12</v>
      </c>
      <c r="E8901" s="5">
        <v>7</v>
      </c>
      <c r="F8901" s="5">
        <v>19</v>
      </c>
      <c r="G8901" s="6" t="s">
        <v>36</v>
      </c>
      <c r="H8901" s="4">
        <v>66.47</v>
      </c>
      <c r="I8901" s="7">
        <v>20</v>
      </c>
      <c r="J8901" s="3" t="s">
        <v>36</v>
      </c>
      <c r="K8901" s="9" t="s">
        <v>36</v>
      </c>
      <c r="L8901" s="6" t="s">
        <v>36</v>
      </c>
      <c r="M8901" s="3" t="s">
        <v>36</v>
      </c>
      <c r="N8901" s="3" t="s">
        <v>36</v>
      </c>
      <c r="O8901" s="8" t="s">
        <v>36</v>
      </c>
      <c r="P8901" s="3" t="s">
        <v>36</v>
      </c>
      <c r="Q8901" s="3" t="s">
        <v>36</v>
      </c>
      <c r="R8901" s="3" t="s">
        <v>36</v>
      </c>
      <c r="S8901" s="3" t="s">
        <v>36</v>
      </c>
      <c r="T8901" s="3" t="s">
        <v>2183</v>
      </c>
      <c r="U8901" s="3" t="s">
        <v>74</v>
      </c>
      <c r="V8901" s="3" t="s">
        <v>75</v>
      </c>
      <c r="W8901" s="3" t="s">
        <v>2184</v>
      </c>
      <c r="X8901" s="10" t="s">
        <v>38438</v>
      </c>
      <c r="Y8901" s="6" t="s">
        <v>42</v>
      </c>
      <c r="Z8901" s="4">
        <v>0.49</v>
      </c>
      <c r="AA8901" s="4">
        <v>2.45</v>
      </c>
      <c r="AB8901" s="3" t="s">
        <v>43</v>
      </c>
      <c r="AC8901" s="3" t="s">
        <v>2185</v>
      </c>
      <c r="AD8901" s="9">
        <v>40344</v>
      </c>
      <c r="AE8901" s="3" t="s">
        <v>975</v>
      </c>
      <c r="AF8901" s="3" t="s">
        <v>2186</v>
      </c>
      <c r="AG8901" s="3" t="s">
        <v>2187</v>
      </c>
      <c r="AH8901" s="11">
        <f>HYPERLINK("https://my.pitchbook.com?c=83212-21T","View Company Online")</f>
      </c>
    </row>
    <row r="8902">
      <c r="A8902" s="12" t="s">
        <v>38439</v>
      </c>
      <c r="B8902" s="12" t="s">
        <v>38440</v>
      </c>
      <c r="C8902" s="19" t="s">
        <v>36</v>
      </c>
      <c r="D8902" s="19" t="s">
        <v>36</v>
      </c>
      <c r="E8902" s="19" t="s">
        <v>36</v>
      </c>
      <c r="F8902" s="19" t="s">
        <v>36</v>
      </c>
      <c r="G8902" s="15" t="s">
        <v>36</v>
      </c>
      <c r="H8902" s="14" t="s">
        <v>36</v>
      </c>
      <c r="I8902" s="18" t="s">
        <v>36</v>
      </c>
      <c r="J8902" s="12" t="s">
        <v>36</v>
      </c>
      <c r="K8902" s="13" t="s">
        <v>36</v>
      </c>
      <c r="L8902" s="15" t="s">
        <v>36</v>
      </c>
      <c r="M8902" s="12" t="s">
        <v>36</v>
      </c>
      <c r="N8902" s="12" t="s">
        <v>36</v>
      </c>
      <c r="O8902" s="17" t="s">
        <v>36</v>
      </c>
      <c r="P8902" s="12" t="s">
        <v>36</v>
      </c>
      <c r="Q8902" s="12" t="s">
        <v>36</v>
      </c>
      <c r="R8902" s="12" t="s">
        <v>36</v>
      </c>
      <c r="S8902" s="12" t="s">
        <v>36</v>
      </c>
      <c r="T8902" s="12" t="s">
        <v>32326</v>
      </c>
      <c r="U8902" s="12" t="s">
        <v>38</v>
      </c>
      <c r="V8902" s="12" t="s">
        <v>39</v>
      </c>
      <c r="W8902" s="12" t="s">
        <v>38441</v>
      </c>
      <c r="X8902" s="16" t="s">
        <v>18390</v>
      </c>
      <c r="Y8902" s="15" t="s">
        <v>42</v>
      </c>
      <c r="Z8902" s="14">
        <v>0.61</v>
      </c>
      <c r="AA8902" s="14" t="s">
        <v>36</v>
      </c>
      <c r="AB8902" s="12" t="s">
        <v>43</v>
      </c>
      <c r="AC8902" s="12" t="s">
        <v>38442</v>
      </c>
      <c r="AD8902" s="13">
        <v>40341</v>
      </c>
      <c r="AE8902" s="12" t="s">
        <v>1330</v>
      </c>
      <c r="AF8902" s="12" t="s">
        <v>4552</v>
      </c>
      <c r="AG8902" s="12" t="s">
        <v>81</v>
      </c>
      <c r="AH8902" s="1">
        <f>HYPERLINK("https://my.pitchbook.com?c=29800-45T","View Company Online")</f>
      </c>
    </row>
    <row r="8903">
      <c r="A8903" s="3" t="s">
        <v>38443</v>
      </c>
      <c r="B8903" s="3" t="s">
        <v>16081</v>
      </c>
      <c r="C8903" s="5">
        <v>15</v>
      </c>
      <c r="D8903" s="5">
        <v>78</v>
      </c>
      <c r="E8903" s="5">
        <v>23</v>
      </c>
      <c r="F8903" s="5">
        <v>120</v>
      </c>
      <c r="G8903" s="6" t="s">
        <v>326</v>
      </c>
      <c r="H8903" s="4">
        <v>170.53</v>
      </c>
      <c r="I8903" s="7">
        <v>30.47</v>
      </c>
      <c r="J8903" s="3" t="s">
        <v>521</v>
      </c>
      <c r="K8903" s="9" t="s">
        <v>36</v>
      </c>
      <c r="L8903" s="6" t="s">
        <v>36</v>
      </c>
      <c r="M8903" s="3" t="s">
        <v>36</v>
      </c>
      <c r="N8903" s="3" t="s">
        <v>36</v>
      </c>
      <c r="O8903" s="8" t="s">
        <v>36</v>
      </c>
      <c r="P8903" s="3" t="s">
        <v>36</v>
      </c>
      <c r="Q8903" s="3" t="s">
        <v>36</v>
      </c>
      <c r="R8903" s="3" t="s">
        <v>36</v>
      </c>
      <c r="S8903" s="3" t="s">
        <v>36</v>
      </c>
      <c r="T8903" s="3" t="s">
        <v>16082</v>
      </c>
      <c r="U8903" s="3" t="s">
        <v>96</v>
      </c>
      <c r="V8903" s="3" t="s">
        <v>52</v>
      </c>
      <c r="W8903" s="3" t="s">
        <v>16083</v>
      </c>
      <c r="X8903" s="10" t="s">
        <v>38444</v>
      </c>
      <c r="Y8903" s="6" t="s">
        <v>42</v>
      </c>
      <c r="Z8903" s="4">
        <v>2.7</v>
      </c>
      <c r="AA8903" s="4">
        <v>8.85</v>
      </c>
      <c r="AB8903" s="3" t="s">
        <v>43</v>
      </c>
      <c r="AC8903" s="3" t="s">
        <v>16085</v>
      </c>
      <c r="AD8903" s="9">
        <v>40340</v>
      </c>
      <c r="AE8903" s="3" t="s">
        <v>1414</v>
      </c>
      <c r="AF8903" s="3" t="s">
        <v>159</v>
      </c>
      <c r="AG8903" s="3" t="s">
        <v>10841</v>
      </c>
      <c r="AH8903" s="11">
        <f>HYPERLINK("https://my.pitchbook.com?c=91541-26T","View Company Online")</f>
      </c>
    </row>
    <row r="8904">
      <c r="A8904" s="12" t="s">
        <v>38445</v>
      </c>
      <c r="B8904" s="12" t="s">
        <v>28580</v>
      </c>
      <c r="C8904" s="19" t="s">
        <v>36</v>
      </c>
      <c r="D8904" s="19" t="s">
        <v>36</v>
      </c>
      <c r="E8904" s="19" t="s">
        <v>36</v>
      </c>
      <c r="F8904" s="19" t="s">
        <v>36</v>
      </c>
      <c r="G8904" s="15" t="s">
        <v>36</v>
      </c>
      <c r="H8904" s="14">
        <v>76.29</v>
      </c>
      <c r="I8904" s="18">
        <v>15.98</v>
      </c>
      <c r="J8904" s="12" t="s">
        <v>521</v>
      </c>
      <c r="K8904" s="13">
        <v>40179</v>
      </c>
      <c r="L8904" s="15" t="s">
        <v>36</v>
      </c>
      <c r="M8904" s="12" t="s">
        <v>36</v>
      </c>
      <c r="N8904" s="12" t="s">
        <v>36</v>
      </c>
      <c r="O8904" s="17" t="s">
        <v>36</v>
      </c>
      <c r="P8904" s="12" t="s">
        <v>36</v>
      </c>
      <c r="Q8904" s="12" t="s">
        <v>36</v>
      </c>
      <c r="R8904" s="12" t="s">
        <v>36</v>
      </c>
      <c r="S8904" s="12" t="s">
        <v>36</v>
      </c>
      <c r="T8904" s="12" t="s">
        <v>647</v>
      </c>
      <c r="U8904" s="12" t="s">
        <v>648</v>
      </c>
      <c r="V8904" s="12" t="s">
        <v>64</v>
      </c>
      <c r="W8904" s="12" t="s">
        <v>28581</v>
      </c>
      <c r="X8904" s="16" t="s">
        <v>28566</v>
      </c>
      <c r="Y8904" s="15" t="s">
        <v>42</v>
      </c>
      <c r="Z8904" s="14">
        <v>2.1</v>
      </c>
      <c r="AA8904" s="14">
        <v>13.15</v>
      </c>
      <c r="AB8904" s="12" t="s">
        <v>43</v>
      </c>
      <c r="AC8904" s="12" t="s">
        <v>28583</v>
      </c>
      <c r="AD8904" s="13">
        <v>40340</v>
      </c>
      <c r="AE8904" s="12" t="s">
        <v>651</v>
      </c>
      <c r="AF8904" s="12" t="s">
        <v>36</v>
      </c>
      <c r="AG8904" s="12" t="s">
        <v>81</v>
      </c>
      <c r="AH8904" s="1">
        <f>HYPERLINK("https://my.pitchbook.com?c=180202-69T","View Company Online")</f>
      </c>
    </row>
    <row r="8905">
      <c r="A8905" s="3" t="s">
        <v>38446</v>
      </c>
      <c r="B8905" s="3" t="s">
        <v>32721</v>
      </c>
      <c r="C8905" s="5" t="s">
        <v>36</v>
      </c>
      <c r="D8905" s="5" t="s">
        <v>36</v>
      </c>
      <c r="E8905" s="5" t="s">
        <v>36</v>
      </c>
      <c r="F8905" s="5" t="s">
        <v>36</v>
      </c>
      <c r="G8905" s="6" t="s">
        <v>36</v>
      </c>
      <c r="H8905" s="4">
        <v>99.7</v>
      </c>
      <c r="I8905" s="7">
        <v>32.79</v>
      </c>
      <c r="J8905" s="3" t="s">
        <v>521</v>
      </c>
      <c r="K8905" s="9" t="s">
        <v>36</v>
      </c>
      <c r="L8905" s="6" t="s">
        <v>122</v>
      </c>
      <c r="M8905" s="3" t="s">
        <v>36</v>
      </c>
      <c r="N8905" s="3" t="s">
        <v>122</v>
      </c>
      <c r="O8905" s="8" t="s">
        <v>36</v>
      </c>
      <c r="P8905" s="3" t="s">
        <v>36</v>
      </c>
      <c r="Q8905" s="3" t="s">
        <v>36</v>
      </c>
      <c r="R8905" s="3" t="s">
        <v>36</v>
      </c>
      <c r="S8905" s="3" t="s">
        <v>36</v>
      </c>
      <c r="T8905" s="3" t="s">
        <v>32722</v>
      </c>
      <c r="U8905" s="3" t="s">
        <v>833</v>
      </c>
      <c r="V8905" s="3" t="s">
        <v>64</v>
      </c>
      <c r="W8905" s="3" t="s">
        <v>32723</v>
      </c>
      <c r="X8905" s="10" t="s">
        <v>38447</v>
      </c>
      <c r="Y8905" s="6" t="s">
        <v>42</v>
      </c>
      <c r="Z8905" s="4">
        <v>0.46</v>
      </c>
      <c r="AA8905" s="4">
        <v>1.41</v>
      </c>
      <c r="AB8905" s="3" t="s">
        <v>43</v>
      </c>
      <c r="AC8905" s="3" t="s">
        <v>32724</v>
      </c>
      <c r="AD8905" s="9">
        <v>40340</v>
      </c>
      <c r="AE8905" s="3" t="s">
        <v>1069</v>
      </c>
      <c r="AF8905" s="3" t="s">
        <v>30848</v>
      </c>
      <c r="AG8905" s="3" t="s">
        <v>32725</v>
      </c>
      <c r="AH8905" s="11">
        <f>HYPERLINK("https://my.pitchbook.com?c=30073-51T","View Company Online")</f>
      </c>
    </row>
    <row r="8906">
      <c r="A8906" s="12" t="s">
        <v>38448</v>
      </c>
      <c r="B8906" s="12" t="s">
        <v>29139</v>
      </c>
      <c r="C8906" s="19" t="s">
        <v>36</v>
      </c>
      <c r="D8906" s="19" t="s">
        <v>36</v>
      </c>
      <c r="E8906" s="19" t="s">
        <v>36</v>
      </c>
      <c r="F8906" s="19" t="s">
        <v>36</v>
      </c>
      <c r="G8906" s="15" t="s">
        <v>36</v>
      </c>
      <c r="H8906" s="14">
        <v>165.09</v>
      </c>
      <c r="I8906" s="18">
        <v>28.27</v>
      </c>
      <c r="J8906" s="12" t="s">
        <v>521</v>
      </c>
      <c r="K8906" s="13" t="s">
        <v>36</v>
      </c>
      <c r="L8906" s="15" t="s">
        <v>36</v>
      </c>
      <c r="M8906" s="12" t="s">
        <v>36</v>
      </c>
      <c r="N8906" s="12" t="s">
        <v>36</v>
      </c>
      <c r="O8906" s="17" t="s">
        <v>36</v>
      </c>
      <c r="P8906" s="12" t="s">
        <v>36</v>
      </c>
      <c r="Q8906" s="12" t="s">
        <v>36</v>
      </c>
      <c r="R8906" s="12" t="s">
        <v>36</v>
      </c>
      <c r="S8906" s="12" t="s">
        <v>36</v>
      </c>
      <c r="T8906" s="12" t="s">
        <v>105</v>
      </c>
      <c r="U8906" s="12" t="s">
        <v>38</v>
      </c>
      <c r="V8906" s="12" t="s">
        <v>39</v>
      </c>
      <c r="W8906" s="12" t="s">
        <v>29140</v>
      </c>
      <c r="X8906" s="16" t="s">
        <v>38449</v>
      </c>
      <c r="Y8906" s="15" t="s">
        <v>108</v>
      </c>
      <c r="Z8906" s="14">
        <v>1.01</v>
      </c>
      <c r="AA8906" s="14">
        <v>3.56</v>
      </c>
      <c r="AB8906" s="12" t="s">
        <v>56</v>
      </c>
      <c r="AC8906" s="12" t="s">
        <v>29142</v>
      </c>
      <c r="AD8906" s="13">
        <v>40339</v>
      </c>
      <c r="AE8906" s="12" t="s">
        <v>110</v>
      </c>
      <c r="AF8906" s="12" t="s">
        <v>5001</v>
      </c>
      <c r="AG8906" s="12" t="s">
        <v>47</v>
      </c>
      <c r="AH8906" s="1">
        <f>HYPERLINK("https://my.pitchbook.com?c=26014-24T","View Company Online")</f>
      </c>
    </row>
    <row r="8907">
      <c r="A8907" s="3" t="s">
        <v>38450</v>
      </c>
      <c r="B8907" s="3" t="s">
        <v>22679</v>
      </c>
      <c r="C8907" s="5" t="s">
        <v>36</v>
      </c>
      <c r="D8907" s="5">
        <v>2</v>
      </c>
      <c r="E8907" s="5">
        <v>1</v>
      </c>
      <c r="F8907" s="5">
        <v>2</v>
      </c>
      <c r="G8907" s="6" t="s">
        <v>326</v>
      </c>
      <c r="H8907" s="4">
        <v>1.82</v>
      </c>
      <c r="I8907" s="7">
        <v>38.68</v>
      </c>
      <c r="J8907" s="3" t="s">
        <v>521</v>
      </c>
      <c r="K8907" s="9" t="s">
        <v>36</v>
      </c>
      <c r="L8907" s="6" t="s">
        <v>36</v>
      </c>
      <c r="M8907" s="3" t="s">
        <v>36</v>
      </c>
      <c r="N8907" s="3" t="s">
        <v>36</v>
      </c>
      <c r="O8907" s="8" t="s">
        <v>36</v>
      </c>
      <c r="P8907" s="3" t="s">
        <v>36</v>
      </c>
      <c r="Q8907" s="3" t="s">
        <v>36</v>
      </c>
      <c r="R8907" s="3" t="s">
        <v>36</v>
      </c>
      <c r="S8907" s="3" t="s">
        <v>36</v>
      </c>
      <c r="T8907" s="3" t="s">
        <v>2647</v>
      </c>
      <c r="U8907" s="3" t="s">
        <v>1502</v>
      </c>
      <c r="V8907" s="3" t="s">
        <v>75</v>
      </c>
      <c r="W8907" s="3" t="s">
        <v>22680</v>
      </c>
      <c r="X8907" s="10" t="s">
        <v>38451</v>
      </c>
      <c r="Y8907" s="6" t="s">
        <v>55</v>
      </c>
      <c r="Z8907" s="4">
        <v>3.81</v>
      </c>
      <c r="AA8907" s="4">
        <v>9.85</v>
      </c>
      <c r="AB8907" s="3" t="s">
        <v>56</v>
      </c>
      <c r="AC8907" s="3" t="s">
        <v>22682</v>
      </c>
      <c r="AD8907" s="9">
        <v>40337</v>
      </c>
      <c r="AE8907" s="3" t="s">
        <v>1822</v>
      </c>
      <c r="AF8907" s="3" t="s">
        <v>36</v>
      </c>
      <c r="AG8907" s="3" t="s">
        <v>81</v>
      </c>
      <c r="AH8907" s="11">
        <f>HYPERLINK("https://my.pitchbook.com?c=26490-43T","View Company Online")</f>
      </c>
    </row>
    <row r="8908">
      <c r="A8908" s="12" t="s">
        <v>38452</v>
      </c>
      <c r="B8908" s="12" t="s">
        <v>36354</v>
      </c>
      <c r="C8908" s="19">
        <v>4</v>
      </c>
      <c r="D8908" s="19">
        <v>17</v>
      </c>
      <c r="E8908" s="19">
        <v>3</v>
      </c>
      <c r="F8908" s="19">
        <v>32</v>
      </c>
      <c r="G8908" s="15" t="s">
        <v>36</v>
      </c>
      <c r="H8908" s="14" t="s">
        <v>36</v>
      </c>
      <c r="I8908" s="18" t="s">
        <v>36</v>
      </c>
      <c r="J8908" s="12" t="s">
        <v>36</v>
      </c>
      <c r="K8908" s="13" t="s">
        <v>36</v>
      </c>
      <c r="L8908" s="15" t="s">
        <v>3736</v>
      </c>
      <c r="M8908" s="12" t="s">
        <v>36</v>
      </c>
      <c r="N8908" s="12" t="s">
        <v>3736</v>
      </c>
      <c r="O8908" s="17" t="s">
        <v>36</v>
      </c>
      <c r="P8908" s="12" t="s">
        <v>36</v>
      </c>
      <c r="Q8908" s="12" t="s">
        <v>36</v>
      </c>
      <c r="R8908" s="12" t="s">
        <v>36</v>
      </c>
      <c r="S8908" s="12" t="s">
        <v>36</v>
      </c>
      <c r="T8908" s="12" t="s">
        <v>661</v>
      </c>
      <c r="U8908" s="12" t="s">
        <v>51</v>
      </c>
      <c r="V8908" s="12" t="s">
        <v>52</v>
      </c>
      <c r="W8908" s="12" t="s">
        <v>36355</v>
      </c>
      <c r="X8908" s="16" t="s">
        <v>38453</v>
      </c>
      <c r="Y8908" s="15" t="s">
        <v>192</v>
      </c>
      <c r="Z8908" s="14">
        <v>14.81</v>
      </c>
      <c r="AA8908" s="14" t="s">
        <v>36</v>
      </c>
      <c r="AB8908" s="12" t="s">
        <v>56</v>
      </c>
      <c r="AC8908" s="12" t="s">
        <v>36357</v>
      </c>
      <c r="AD8908" s="13">
        <v>40336</v>
      </c>
      <c r="AE8908" s="12" t="s">
        <v>158</v>
      </c>
      <c r="AF8908" s="12" t="s">
        <v>665</v>
      </c>
      <c r="AG8908" s="12" t="s">
        <v>36358</v>
      </c>
      <c r="AH8908" s="1">
        <f>HYPERLINK("https://my.pitchbook.com?c=24326-02T","View Company Online")</f>
      </c>
    </row>
    <row r="8909">
      <c r="A8909" s="3" t="s">
        <v>38454</v>
      </c>
      <c r="B8909" s="3" t="s">
        <v>24913</v>
      </c>
      <c r="C8909" s="5" t="s">
        <v>36</v>
      </c>
      <c r="D8909" s="5" t="s">
        <v>36</v>
      </c>
      <c r="E8909" s="5" t="s">
        <v>36</v>
      </c>
      <c r="F8909" s="5" t="s">
        <v>36</v>
      </c>
      <c r="G8909" s="6" t="s">
        <v>326</v>
      </c>
      <c r="H8909" s="4">
        <v>6.96</v>
      </c>
      <c r="I8909" s="7">
        <v>13.05</v>
      </c>
      <c r="J8909" s="3" t="s">
        <v>521</v>
      </c>
      <c r="K8909" s="9" t="s">
        <v>36</v>
      </c>
      <c r="L8909" s="6" t="s">
        <v>36</v>
      </c>
      <c r="M8909" s="3" t="s">
        <v>36</v>
      </c>
      <c r="N8909" s="3" t="s">
        <v>36</v>
      </c>
      <c r="O8909" s="8" t="s">
        <v>36</v>
      </c>
      <c r="P8909" s="3" t="s">
        <v>36</v>
      </c>
      <c r="Q8909" s="3" t="s">
        <v>36</v>
      </c>
      <c r="R8909" s="3" t="s">
        <v>36</v>
      </c>
      <c r="S8909" s="3" t="s">
        <v>36</v>
      </c>
      <c r="T8909" s="3" t="s">
        <v>37</v>
      </c>
      <c r="U8909" s="3" t="s">
        <v>38</v>
      </c>
      <c r="V8909" s="3" t="s">
        <v>39</v>
      </c>
      <c r="W8909" s="3" t="s">
        <v>24914</v>
      </c>
      <c r="X8909" s="10" t="s">
        <v>38455</v>
      </c>
      <c r="Y8909" s="6" t="s">
        <v>55</v>
      </c>
      <c r="Z8909" s="4">
        <v>0.74</v>
      </c>
      <c r="AA8909" s="4">
        <v>5.67</v>
      </c>
      <c r="AB8909" s="3" t="s">
        <v>43</v>
      </c>
      <c r="AC8909" s="3" t="s">
        <v>24915</v>
      </c>
      <c r="AD8909" s="9">
        <v>40336</v>
      </c>
      <c r="AE8909" s="3" t="s">
        <v>45</v>
      </c>
      <c r="AF8909" s="3" t="s">
        <v>17475</v>
      </c>
      <c r="AG8909" s="3" t="s">
        <v>2760</v>
      </c>
      <c r="AH8909" s="11">
        <f>HYPERLINK("https://my.pitchbook.com?c=73173-88T","View Company Online")</f>
      </c>
    </row>
    <row r="8910">
      <c r="A8910" s="12" t="s">
        <v>38456</v>
      </c>
      <c r="B8910" s="12" t="s">
        <v>38457</v>
      </c>
      <c r="C8910" s="19" t="s">
        <v>36</v>
      </c>
      <c r="D8910" s="19" t="s">
        <v>36</v>
      </c>
      <c r="E8910" s="19" t="s">
        <v>36</v>
      </c>
      <c r="F8910" s="19" t="s">
        <v>36</v>
      </c>
      <c r="G8910" s="15" t="s">
        <v>36</v>
      </c>
      <c r="H8910" s="14" t="s">
        <v>36</v>
      </c>
      <c r="I8910" s="18" t="s">
        <v>36</v>
      </c>
      <c r="J8910" s="12" t="s">
        <v>36</v>
      </c>
      <c r="K8910" s="13" t="s">
        <v>36</v>
      </c>
      <c r="L8910" s="15" t="s">
        <v>36</v>
      </c>
      <c r="M8910" s="12" t="s">
        <v>36</v>
      </c>
      <c r="N8910" s="12" t="s">
        <v>36</v>
      </c>
      <c r="O8910" s="17" t="s">
        <v>36</v>
      </c>
      <c r="P8910" s="12" t="s">
        <v>36</v>
      </c>
      <c r="Q8910" s="12" t="s">
        <v>36</v>
      </c>
      <c r="R8910" s="12" t="s">
        <v>36</v>
      </c>
      <c r="S8910" s="12" t="s">
        <v>36</v>
      </c>
      <c r="T8910" s="12" t="s">
        <v>38458</v>
      </c>
      <c r="U8910" s="12" t="s">
        <v>279</v>
      </c>
      <c r="V8910" s="12" t="s">
        <v>64</v>
      </c>
      <c r="W8910" s="12" t="s">
        <v>38459</v>
      </c>
      <c r="X8910" s="16" t="s">
        <v>38460</v>
      </c>
      <c r="Y8910" s="15" t="s">
        <v>42</v>
      </c>
      <c r="Z8910" s="14">
        <v>0.07</v>
      </c>
      <c r="AA8910" s="14" t="s">
        <v>36</v>
      </c>
      <c r="AB8910" s="12" t="s">
        <v>43</v>
      </c>
      <c r="AC8910" s="12" t="s">
        <v>38461</v>
      </c>
      <c r="AD8910" s="13">
        <v>40335</v>
      </c>
      <c r="AE8910" s="12" t="s">
        <v>8519</v>
      </c>
      <c r="AF8910" s="12" t="s">
        <v>4552</v>
      </c>
      <c r="AG8910" s="12" t="s">
        <v>81</v>
      </c>
      <c r="AH8910" s="1">
        <f>HYPERLINK("https://my.pitchbook.com?c=55441-72T","View Company Online")</f>
      </c>
    </row>
    <row r="8911">
      <c r="A8911" s="3" t="s">
        <v>38462</v>
      </c>
      <c r="B8911" s="3" t="s">
        <v>38463</v>
      </c>
      <c r="C8911" s="5" t="s">
        <v>36</v>
      </c>
      <c r="D8911" s="5">
        <v>1</v>
      </c>
      <c r="E8911" s="5">
        <v>1</v>
      </c>
      <c r="F8911" s="5">
        <v>3</v>
      </c>
      <c r="G8911" s="6" t="s">
        <v>36</v>
      </c>
      <c r="H8911" s="4" t="s">
        <v>36</v>
      </c>
      <c r="I8911" s="7" t="s">
        <v>36</v>
      </c>
      <c r="J8911" s="3" t="s">
        <v>36</v>
      </c>
      <c r="K8911" s="9" t="s">
        <v>36</v>
      </c>
      <c r="L8911" s="6" t="s">
        <v>36</v>
      </c>
      <c r="M8911" s="3" t="s">
        <v>36</v>
      </c>
      <c r="N8911" s="3" t="s">
        <v>36</v>
      </c>
      <c r="O8911" s="8" t="s">
        <v>36</v>
      </c>
      <c r="P8911" s="3" t="s">
        <v>36</v>
      </c>
      <c r="Q8911" s="3" t="s">
        <v>36</v>
      </c>
      <c r="R8911" s="3" t="s">
        <v>36</v>
      </c>
      <c r="S8911" s="3" t="s">
        <v>36</v>
      </c>
      <c r="T8911" s="3" t="s">
        <v>18924</v>
      </c>
      <c r="U8911" s="3" t="s">
        <v>619</v>
      </c>
      <c r="V8911" s="3" t="s">
        <v>378</v>
      </c>
      <c r="W8911" s="3" t="s">
        <v>38464</v>
      </c>
      <c r="X8911" s="10" t="s">
        <v>35749</v>
      </c>
      <c r="Y8911" s="6" t="s">
        <v>42</v>
      </c>
      <c r="Z8911" s="4" t="s">
        <v>36</v>
      </c>
      <c r="AA8911" s="4" t="s">
        <v>36</v>
      </c>
      <c r="AB8911" s="3" t="s">
        <v>43</v>
      </c>
      <c r="AC8911" s="3" t="s">
        <v>38465</v>
      </c>
      <c r="AD8911" s="9">
        <v>40332</v>
      </c>
      <c r="AE8911" s="3" t="s">
        <v>2672</v>
      </c>
      <c r="AF8911" s="3" t="s">
        <v>29333</v>
      </c>
      <c r="AG8911" s="3" t="s">
        <v>10955</v>
      </c>
      <c r="AH8911" s="11">
        <f>HYPERLINK("https://my.pitchbook.com?c=34174-00T","View Company Online")</f>
      </c>
    </row>
    <row r="8912">
      <c r="A8912" s="12" t="s">
        <v>38466</v>
      </c>
      <c r="B8912" s="12" t="s">
        <v>38467</v>
      </c>
      <c r="C8912" s="19" t="s">
        <v>36</v>
      </c>
      <c r="D8912" s="19" t="s">
        <v>36</v>
      </c>
      <c r="E8912" s="19" t="s">
        <v>36</v>
      </c>
      <c r="F8912" s="19" t="s">
        <v>36</v>
      </c>
      <c r="G8912" s="15" t="s">
        <v>36</v>
      </c>
      <c r="H8912" s="14" t="s">
        <v>36</v>
      </c>
      <c r="I8912" s="18" t="s">
        <v>36</v>
      </c>
      <c r="J8912" s="12" t="s">
        <v>36</v>
      </c>
      <c r="K8912" s="13" t="s">
        <v>36</v>
      </c>
      <c r="L8912" s="15" t="s">
        <v>36</v>
      </c>
      <c r="M8912" s="12" t="s">
        <v>36</v>
      </c>
      <c r="N8912" s="12" t="s">
        <v>36</v>
      </c>
      <c r="O8912" s="17" t="s">
        <v>36</v>
      </c>
      <c r="P8912" s="12" t="s">
        <v>36</v>
      </c>
      <c r="Q8912" s="12" t="s">
        <v>36</v>
      </c>
      <c r="R8912" s="12" t="s">
        <v>36</v>
      </c>
      <c r="S8912" s="12" t="s">
        <v>36</v>
      </c>
      <c r="T8912" s="12" t="s">
        <v>38468</v>
      </c>
      <c r="U8912" s="12" t="s">
        <v>38</v>
      </c>
      <c r="V8912" s="12" t="s">
        <v>39</v>
      </c>
      <c r="W8912" s="12" t="s">
        <v>38469</v>
      </c>
      <c r="X8912" s="16" t="s">
        <v>38470</v>
      </c>
      <c r="Y8912" s="15" t="s">
        <v>42</v>
      </c>
      <c r="Z8912" s="14">
        <v>1.5</v>
      </c>
      <c r="AA8912" s="14" t="s">
        <v>36</v>
      </c>
      <c r="AB8912" s="12" t="s">
        <v>43</v>
      </c>
      <c r="AC8912" s="12" t="s">
        <v>38471</v>
      </c>
      <c r="AD8912" s="13">
        <v>40331</v>
      </c>
      <c r="AE8912" s="12" t="s">
        <v>134</v>
      </c>
      <c r="AF8912" s="12" t="s">
        <v>4552</v>
      </c>
      <c r="AG8912" s="12" t="s">
        <v>2218</v>
      </c>
      <c r="AH8912" s="1">
        <f>HYPERLINK("https://my.pitchbook.com?c=25389-19T","View Company Online")</f>
      </c>
    </row>
    <row r="8913">
      <c r="A8913" s="3" t="s">
        <v>38472</v>
      </c>
      <c r="B8913" s="3" t="s">
        <v>38473</v>
      </c>
      <c r="C8913" s="5" t="s">
        <v>36</v>
      </c>
      <c r="D8913" s="5" t="s">
        <v>36</v>
      </c>
      <c r="E8913" s="5" t="s">
        <v>36</v>
      </c>
      <c r="F8913" s="5" t="s">
        <v>36</v>
      </c>
      <c r="G8913" s="6" t="s">
        <v>36</v>
      </c>
      <c r="H8913" s="4" t="s">
        <v>36</v>
      </c>
      <c r="I8913" s="7" t="s">
        <v>36</v>
      </c>
      <c r="J8913" s="3" t="s">
        <v>36</v>
      </c>
      <c r="K8913" s="9" t="s">
        <v>36</v>
      </c>
      <c r="L8913" s="6" t="s">
        <v>94</v>
      </c>
      <c r="M8913" s="3" t="s">
        <v>36</v>
      </c>
      <c r="N8913" s="3" t="s">
        <v>94</v>
      </c>
      <c r="O8913" s="8" t="s">
        <v>36</v>
      </c>
      <c r="P8913" s="3" t="s">
        <v>36</v>
      </c>
      <c r="Q8913" s="3" t="s">
        <v>36</v>
      </c>
      <c r="R8913" s="3" t="s">
        <v>36</v>
      </c>
      <c r="S8913" s="3" t="s">
        <v>36</v>
      </c>
      <c r="T8913" s="3" t="s">
        <v>16553</v>
      </c>
      <c r="U8913" s="3" t="s">
        <v>38</v>
      </c>
      <c r="V8913" s="3" t="s">
        <v>39</v>
      </c>
      <c r="W8913" s="3" t="s">
        <v>38474</v>
      </c>
      <c r="X8913" s="10" t="s">
        <v>38475</v>
      </c>
      <c r="Y8913" s="6" t="s">
        <v>166</v>
      </c>
      <c r="Z8913" s="4">
        <v>10.38</v>
      </c>
      <c r="AA8913" s="4" t="s">
        <v>36</v>
      </c>
      <c r="AB8913" s="3" t="s">
        <v>56</v>
      </c>
      <c r="AC8913" s="3" t="s">
        <v>38476</v>
      </c>
      <c r="AD8913" s="9">
        <v>40330</v>
      </c>
      <c r="AE8913" s="3" t="s">
        <v>1945</v>
      </c>
      <c r="AF8913" s="3" t="s">
        <v>815</v>
      </c>
      <c r="AG8913" s="3" t="s">
        <v>7647</v>
      </c>
      <c r="AH8913" s="11">
        <f>HYPERLINK("https://my.pitchbook.com?c=194472-55T","View Company Online")</f>
      </c>
    </row>
    <row r="8914">
      <c r="A8914" s="12" t="s">
        <v>38477</v>
      </c>
      <c r="B8914" s="12" t="s">
        <v>38478</v>
      </c>
      <c r="C8914" s="19" t="s">
        <v>36</v>
      </c>
      <c r="D8914" s="19">
        <v>7</v>
      </c>
      <c r="E8914" s="19">
        <v>3</v>
      </c>
      <c r="F8914" s="19">
        <v>12</v>
      </c>
      <c r="G8914" s="15" t="s">
        <v>36</v>
      </c>
      <c r="H8914" s="14" t="s">
        <v>36</v>
      </c>
      <c r="I8914" s="18" t="s">
        <v>36</v>
      </c>
      <c r="J8914" s="12" t="s">
        <v>36</v>
      </c>
      <c r="K8914" s="13" t="s">
        <v>36</v>
      </c>
      <c r="L8914" s="15" t="s">
        <v>3736</v>
      </c>
      <c r="M8914" s="12" t="s">
        <v>36</v>
      </c>
      <c r="N8914" s="12" t="s">
        <v>3736</v>
      </c>
      <c r="O8914" s="17" t="s">
        <v>36</v>
      </c>
      <c r="P8914" s="12" t="s">
        <v>36</v>
      </c>
      <c r="Q8914" s="12" t="s">
        <v>36</v>
      </c>
      <c r="R8914" s="12" t="s">
        <v>36</v>
      </c>
      <c r="S8914" s="12" t="s">
        <v>36</v>
      </c>
      <c r="T8914" s="12" t="s">
        <v>38479</v>
      </c>
      <c r="U8914" s="12" t="s">
        <v>1580</v>
      </c>
      <c r="V8914" s="12" t="s">
        <v>39</v>
      </c>
      <c r="W8914" s="12" t="s">
        <v>38480</v>
      </c>
      <c r="X8914" s="16" t="s">
        <v>38481</v>
      </c>
      <c r="Y8914" s="15" t="s">
        <v>192</v>
      </c>
      <c r="Z8914" s="14">
        <v>7.51</v>
      </c>
      <c r="AA8914" s="14" t="s">
        <v>36</v>
      </c>
      <c r="AB8914" s="12" t="s">
        <v>56</v>
      </c>
      <c r="AC8914" s="12" t="s">
        <v>38482</v>
      </c>
      <c r="AD8914" s="13">
        <v>40330</v>
      </c>
      <c r="AE8914" s="12" t="s">
        <v>2785</v>
      </c>
      <c r="AF8914" s="12" t="s">
        <v>1636</v>
      </c>
      <c r="AG8914" s="12" t="s">
        <v>21815</v>
      </c>
      <c r="AH8914" s="1">
        <f>HYPERLINK("https://my.pitchbook.com?c=55959-94T","View Company Online")</f>
      </c>
    </row>
    <row r="8915">
      <c r="A8915" s="3" t="s">
        <v>38483</v>
      </c>
      <c r="B8915" s="3" t="s">
        <v>28113</v>
      </c>
      <c r="C8915" s="5" t="s">
        <v>36</v>
      </c>
      <c r="D8915" s="5" t="s">
        <v>36</v>
      </c>
      <c r="E8915" s="5" t="s">
        <v>36</v>
      </c>
      <c r="F8915" s="5" t="s">
        <v>36</v>
      </c>
      <c r="G8915" s="6" t="s">
        <v>36</v>
      </c>
      <c r="H8915" s="4" t="s">
        <v>36</v>
      </c>
      <c r="I8915" s="7" t="s">
        <v>36</v>
      </c>
      <c r="J8915" s="3" t="s">
        <v>36</v>
      </c>
      <c r="K8915" s="9" t="s">
        <v>36</v>
      </c>
      <c r="L8915" s="6" t="s">
        <v>122</v>
      </c>
      <c r="M8915" s="3" t="s">
        <v>36</v>
      </c>
      <c r="N8915" s="3" t="s">
        <v>122</v>
      </c>
      <c r="O8915" s="8" t="s">
        <v>36</v>
      </c>
      <c r="P8915" s="3" t="s">
        <v>36</v>
      </c>
      <c r="Q8915" s="3" t="s">
        <v>36</v>
      </c>
      <c r="R8915" s="3" t="s">
        <v>36</v>
      </c>
      <c r="S8915" s="3" t="s">
        <v>36</v>
      </c>
      <c r="T8915" s="3" t="s">
        <v>4225</v>
      </c>
      <c r="U8915" s="3" t="s">
        <v>96</v>
      </c>
      <c r="V8915" s="3" t="s">
        <v>52</v>
      </c>
      <c r="W8915" s="3" t="s">
        <v>28114</v>
      </c>
      <c r="X8915" s="10" t="s">
        <v>38484</v>
      </c>
      <c r="Y8915" s="6" t="s">
        <v>108</v>
      </c>
      <c r="Z8915" s="4">
        <v>4.43</v>
      </c>
      <c r="AA8915" s="4" t="s">
        <v>36</v>
      </c>
      <c r="AB8915" s="3" t="s">
        <v>56</v>
      </c>
      <c r="AC8915" s="3" t="s">
        <v>28115</v>
      </c>
      <c r="AD8915" s="9">
        <v>40330</v>
      </c>
      <c r="AE8915" s="3" t="s">
        <v>143</v>
      </c>
      <c r="AF8915" s="3" t="s">
        <v>159</v>
      </c>
      <c r="AG8915" s="3" t="s">
        <v>2636</v>
      </c>
      <c r="AH8915" s="11">
        <f>HYPERLINK("https://my.pitchbook.com?c=24599-44T","View Company Online")</f>
      </c>
    </row>
    <row r="8916">
      <c r="A8916" s="12" t="s">
        <v>38485</v>
      </c>
      <c r="B8916" s="12" t="s">
        <v>32406</v>
      </c>
      <c r="C8916" s="19">
        <v>6</v>
      </c>
      <c r="D8916" s="19">
        <v>53</v>
      </c>
      <c r="E8916" s="19">
        <v>15</v>
      </c>
      <c r="F8916" s="19">
        <v>66</v>
      </c>
      <c r="G8916" s="15" t="s">
        <v>36</v>
      </c>
      <c r="H8916" s="14" t="s">
        <v>36</v>
      </c>
      <c r="I8916" s="18" t="s">
        <v>36</v>
      </c>
      <c r="J8916" s="12" t="s">
        <v>36</v>
      </c>
      <c r="K8916" s="13" t="s">
        <v>36</v>
      </c>
      <c r="L8916" s="15" t="s">
        <v>36</v>
      </c>
      <c r="M8916" s="12" t="s">
        <v>36</v>
      </c>
      <c r="N8916" s="12" t="s">
        <v>36</v>
      </c>
      <c r="O8916" s="17" t="s">
        <v>36</v>
      </c>
      <c r="P8916" s="12" t="s">
        <v>36</v>
      </c>
      <c r="Q8916" s="12" t="s">
        <v>36</v>
      </c>
      <c r="R8916" s="12" t="s">
        <v>36</v>
      </c>
      <c r="S8916" s="12" t="s">
        <v>36</v>
      </c>
      <c r="T8916" s="12" t="s">
        <v>4406</v>
      </c>
      <c r="U8916" s="12" t="s">
        <v>833</v>
      </c>
      <c r="V8916" s="12" t="s">
        <v>64</v>
      </c>
      <c r="W8916" s="12" t="s">
        <v>32407</v>
      </c>
      <c r="X8916" s="16" t="s">
        <v>38486</v>
      </c>
      <c r="Y8916" s="15" t="s">
        <v>108</v>
      </c>
      <c r="Z8916" s="14">
        <v>0.34</v>
      </c>
      <c r="AA8916" s="14" t="s">
        <v>36</v>
      </c>
      <c r="AB8916" s="12" t="s">
        <v>43</v>
      </c>
      <c r="AC8916" s="12" t="s">
        <v>32409</v>
      </c>
      <c r="AD8916" s="13">
        <v>40330</v>
      </c>
      <c r="AE8916" s="12" t="s">
        <v>1069</v>
      </c>
      <c r="AF8916" s="12" t="s">
        <v>32410</v>
      </c>
      <c r="AG8916" s="12" t="s">
        <v>1078</v>
      </c>
      <c r="AH8916" s="1">
        <f>HYPERLINK("https://my.pitchbook.com?c=50007-07T","View Company Online")</f>
      </c>
    </row>
    <row r="8917">
      <c r="A8917" s="3" t="s">
        <v>38487</v>
      </c>
      <c r="B8917" s="3" t="s">
        <v>36803</v>
      </c>
      <c r="C8917" s="5" t="s">
        <v>36</v>
      </c>
      <c r="D8917" s="5" t="s">
        <v>36</v>
      </c>
      <c r="E8917" s="5" t="s">
        <v>36</v>
      </c>
      <c r="F8917" s="5" t="s">
        <v>36</v>
      </c>
      <c r="G8917" s="6" t="s">
        <v>36</v>
      </c>
      <c r="H8917" s="4" t="s">
        <v>36</v>
      </c>
      <c r="I8917" s="7" t="s">
        <v>36</v>
      </c>
      <c r="J8917" s="3" t="s">
        <v>36</v>
      </c>
      <c r="K8917" s="9" t="s">
        <v>36</v>
      </c>
      <c r="L8917" s="6" t="s">
        <v>36</v>
      </c>
      <c r="M8917" s="3" t="s">
        <v>36</v>
      </c>
      <c r="N8917" s="3" t="s">
        <v>36</v>
      </c>
      <c r="O8917" s="8" t="s">
        <v>36</v>
      </c>
      <c r="P8917" s="3" t="s">
        <v>36</v>
      </c>
      <c r="Q8917" s="3" t="s">
        <v>36</v>
      </c>
      <c r="R8917" s="3" t="s">
        <v>36</v>
      </c>
      <c r="S8917" s="3" t="s">
        <v>36</v>
      </c>
      <c r="T8917" s="3" t="s">
        <v>278</v>
      </c>
      <c r="U8917" s="3" t="s">
        <v>279</v>
      </c>
      <c r="V8917" s="3" t="s">
        <v>64</v>
      </c>
      <c r="W8917" s="3" t="s">
        <v>36804</v>
      </c>
      <c r="X8917" s="10" t="s">
        <v>38488</v>
      </c>
      <c r="Y8917" s="6" t="s">
        <v>55</v>
      </c>
      <c r="Z8917" s="4">
        <v>1.63</v>
      </c>
      <c r="AA8917" s="4" t="s">
        <v>36</v>
      </c>
      <c r="AB8917" s="3" t="s">
        <v>43</v>
      </c>
      <c r="AC8917" s="3" t="s">
        <v>36806</v>
      </c>
      <c r="AD8917" s="9">
        <v>40330</v>
      </c>
      <c r="AE8917" s="3" t="s">
        <v>283</v>
      </c>
      <c r="AF8917" s="3" t="s">
        <v>1077</v>
      </c>
      <c r="AG8917" s="3" t="s">
        <v>81</v>
      </c>
      <c r="AH8917" s="11">
        <f>HYPERLINK("https://my.pitchbook.com?c=29713-87T","View Company Online")</f>
      </c>
    </row>
    <row r="8918">
      <c r="A8918" s="12" t="s">
        <v>38489</v>
      </c>
      <c r="B8918" s="12" t="s">
        <v>38490</v>
      </c>
      <c r="C8918" s="19" t="s">
        <v>36</v>
      </c>
      <c r="D8918" s="19" t="s">
        <v>36</v>
      </c>
      <c r="E8918" s="19" t="s">
        <v>36</v>
      </c>
      <c r="F8918" s="19" t="s">
        <v>36</v>
      </c>
      <c r="G8918" s="15" t="s">
        <v>36</v>
      </c>
      <c r="H8918" s="14" t="s">
        <v>36</v>
      </c>
      <c r="I8918" s="18" t="s">
        <v>36</v>
      </c>
      <c r="J8918" s="12" t="s">
        <v>36</v>
      </c>
      <c r="K8918" s="13" t="s">
        <v>36</v>
      </c>
      <c r="L8918" s="15" t="s">
        <v>36</v>
      </c>
      <c r="M8918" s="12" t="s">
        <v>36</v>
      </c>
      <c r="N8918" s="12" t="s">
        <v>36</v>
      </c>
      <c r="O8918" s="17" t="s">
        <v>36</v>
      </c>
      <c r="P8918" s="12" t="s">
        <v>36</v>
      </c>
      <c r="Q8918" s="12" t="s">
        <v>36</v>
      </c>
      <c r="R8918" s="12" t="s">
        <v>36</v>
      </c>
      <c r="S8918" s="12" t="s">
        <v>36</v>
      </c>
      <c r="T8918" s="12" t="s">
        <v>17549</v>
      </c>
      <c r="U8918" s="12" t="s">
        <v>423</v>
      </c>
      <c r="V8918" s="12" t="s">
        <v>64</v>
      </c>
      <c r="W8918" s="12" t="s">
        <v>38491</v>
      </c>
      <c r="X8918" s="16" t="s">
        <v>38492</v>
      </c>
      <c r="Y8918" s="15" t="s">
        <v>42</v>
      </c>
      <c r="Z8918" s="14" t="s">
        <v>36</v>
      </c>
      <c r="AA8918" s="14" t="s">
        <v>36</v>
      </c>
      <c r="AB8918" s="12" t="s">
        <v>43</v>
      </c>
      <c r="AC8918" s="12" t="s">
        <v>38493</v>
      </c>
      <c r="AD8918" s="13">
        <v>40330</v>
      </c>
      <c r="AE8918" s="12" t="s">
        <v>1051</v>
      </c>
      <c r="AF8918" s="12" t="s">
        <v>11839</v>
      </c>
      <c r="AG8918" s="12" t="s">
        <v>38404</v>
      </c>
      <c r="AH8918" s="1">
        <f>HYPERLINK("https://my.pitchbook.com?c=88087-96T","View Company Online")</f>
      </c>
    </row>
    <row r="8919">
      <c r="A8919" s="3" t="s">
        <v>38494</v>
      </c>
      <c r="B8919" s="3" t="s">
        <v>38495</v>
      </c>
      <c r="C8919" s="5" t="s">
        <v>36</v>
      </c>
      <c r="D8919" s="5" t="s">
        <v>36</v>
      </c>
      <c r="E8919" s="5" t="s">
        <v>36</v>
      </c>
      <c r="F8919" s="5" t="s">
        <v>36</v>
      </c>
      <c r="G8919" s="6" t="s">
        <v>36</v>
      </c>
      <c r="H8919" s="4" t="s">
        <v>36</v>
      </c>
      <c r="I8919" s="7" t="s">
        <v>36</v>
      </c>
      <c r="J8919" s="3" t="s">
        <v>36</v>
      </c>
      <c r="K8919" s="9" t="s">
        <v>36</v>
      </c>
      <c r="L8919" s="6" t="s">
        <v>36</v>
      </c>
      <c r="M8919" s="3" t="s">
        <v>36</v>
      </c>
      <c r="N8919" s="3" t="s">
        <v>36</v>
      </c>
      <c r="O8919" s="8" t="s">
        <v>36</v>
      </c>
      <c r="P8919" s="3" t="s">
        <v>36</v>
      </c>
      <c r="Q8919" s="3" t="s">
        <v>36</v>
      </c>
      <c r="R8919" s="3" t="s">
        <v>36</v>
      </c>
      <c r="S8919" s="3" t="s">
        <v>36</v>
      </c>
      <c r="T8919" s="3" t="s">
        <v>522</v>
      </c>
      <c r="U8919" s="3" t="s">
        <v>38</v>
      </c>
      <c r="V8919" s="3" t="s">
        <v>39</v>
      </c>
      <c r="W8919" s="3" t="s">
        <v>38496</v>
      </c>
      <c r="X8919" s="10" t="s">
        <v>38488</v>
      </c>
      <c r="Y8919" s="6" t="s">
        <v>42</v>
      </c>
      <c r="Z8919" s="4" t="s">
        <v>36</v>
      </c>
      <c r="AA8919" s="4" t="s">
        <v>36</v>
      </c>
      <c r="AB8919" s="3" t="s">
        <v>43</v>
      </c>
      <c r="AC8919" s="3" t="s">
        <v>38497</v>
      </c>
      <c r="AD8919" s="9">
        <v>40330</v>
      </c>
      <c r="AE8919" s="3" t="s">
        <v>110</v>
      </c>
      <c r="AF8919" s="3" t="s">
        <v>4552</v>
      </c>
      <c r="AG8919" s="3" t="s">
        <v>81</v>
      </c>
      <c r="AH8919" s="11">
        <f>HYPERLINK("https://my.pitchbook.com?c=29796-49T","View Company Online")</f>
      </c>
    </row>
    <row r="8920">
      <c r="A8920" s="12" t="s">
        <v>38498</v>
      </c>
      <c r="B8920" s="12" t="s">
        <v>38499</v>
      </c>
      <c r="C8920" s="19">
        <v>1</v>
      </c>
      <c r="D8920" s="19">
        <v>18</v>
      </c>
      <c r="E8920" s="19">
        <v>13</v>
      </c>
      <c r="F8920" s="19">
        <v>21</v>
      </c>
      <c r="G8920" s="15" t="s">
        <v>36</v>
      </c>
      <c r="H8920" s="14">
        <v>10.39</v>
      </c>
      <c r="I8920" s="18">
        <v>11.05</v>
      </c>
      <c r="J8920" s="12" t="s">
        <v>521</v>
      </c>
      <c r="K8920" s="13" t="s">
        <v>36</v>
      </c>
      <c r="L8920" s="15" t="s">
        <v>36</v>
      </c>
      <c r="M8920" s="12" t="s">
        <v>36</v>
      </c>
      <c r="N8920" s="12" t="s">
        <v>36</v>
      </c>
      <c r="O8920" s="17" t="s">
        <v>36</v>
      </c>
      <c r="P8920" s="12" t="s">
        <v>36</v>
      </c>
      <c r="Q8920" s="12" t="s">
        <v>36</v>
      </c>
      <c r="R8920" s="12" t="s">
        <v>36</v>
      </c>
      <c r="S8920" s="12" t="s">
        <v>36</v>
      </c>
      <c r="T8920" s="12" t="s">
        <v>12800</v>
      </c>
      <c r="U8920" s="12" t="s">
        <v>833</v>
      </c>
      <c r="V8920" s="12" t="s">
        <v>64</v>
      </c>
      <c r="W8920" s="12" t="s">
        <v>38500</v>
      </c>
      <c r="X8920" s="16" t="s">
        <v>2130</v>
      </c>
      <c r="Y8920" s="15" t="s">
        <v>42</v>
      </c>
      <c r="Z8920" s="14">
        <v>1.56</v>
      </c>
      <c r="AA8920" s="14">
        <v>14.1</v>
      </c>
      <c r="AB8920" s="12" t="s">
        <v>56</v>
      </c>
      <c r="AC8920" s="12" t="s">
        <v>38501</v>
      </c>
      <c r="AD8920" s="13">
        <v>40329</v>
      </c>
      <c r="AE8920" s="12" t="s">
        <v>1687</v>
      </c>
      <c r="AF8920" s="12" t="s">
        <v>2118</v>
      </c>
      <c r="AG8920" s="12" t="s">
        <v>38502</v>
      </c>
      <c r="AH8920" s="1">
        <f>HYPERLINK("https://my.pitchbook.com?c=90495-91T","View Company Online")</f>
      </c>
    </row>
    <row r="8921">
      <c r="A8921" s="3" t="s">
        <v>38503</v>
      </c>
      <c r="B8921" s="3" t="s">
        <v>25866</v>
      </c>
      <c r="C8921" s="5" t="s">
        <v>36</v>
      </c>
      <c r="D8921" s="5" t="s">
        <v>36</v>
      </c>
      <c r="E8921" s="5" t="s">
        <v>36</v>
      </c>
      <c r="F8921" s="5" t="s">
        <v>36</v>
      </c>
      <c r="G8921" s="6" t="s">
        <v>36</v>
      </c>
      <c r="H8921" s="4" t="s">
        <v>36</v>
      </c>
      <c r="I8921" s="7" t="s">
        <v>36</v>
      </c>
      <c r="J8921" s="3" t="s">
        <v>36</v>
      </c>
      <c r="K8921" s="9" t="s">
        <v>36</v>
      </c>
      <c r="L8921" s="6" t="s">
        <v>36</v>
      </c>
      <c r="M8921" s="3" t="s">
        <v>36</v>
      </c>
      <c r="N8921" s="3" t="s">
        <v>36</v>
      </c>
      <c r="O8921" s="8" t="s">
        <v>36</v>
      </c>
      <c r="P8921" s="3" t="s">
        <v>36</v>
      </c>
      <c r="Q8921" s="3" t="s">
        <v>36</v>
      </c>
      <c r="R8921" s="3" t="s">
        <v>36</v>
      </c>
      <c r="S8921" s="3" t="s">
        <v>36</v>
      </c>
      <c r="T8921" s="3" t="s">
        <v>1701</v>
      </c>
      <c r="U8921" s="3" t="s">
        <v>74</v>
      </c>
      <c r="V8921" s="3" t="s">
        <v>75</v>
      </c>
      <c r="W8921" s="3" t="s">
        <v>25867</v>
      </c>
      <c r="X8921" s="10" t="s">
        <v>38504</v>
      </c>
      <c r="Y8921" s="6" t="s">
        <v>42</v>
      </c>
      <c r="Z8921" s="4">
        <v>2.51</v>
      </c>
      <c r="AA8921" s="4" t="s">
        <v>36</v>
      </c>
      <c r="AB8921" s="3" t="s">
        <v>43</v>
      </c>
      <c r="AC8921" s="3" t="s">
        <v>25869</v>
      </c>
      <c r="AD8921" s="9">
        <v>40329</v>
      </c>
      <c r="AE8921" s="3" t="s">
        <v>79</v>
      </c>
      <c r="AF8921" s="3" t="s">
        <v>4099</v>
      </c>
      <c r="AG8921" s="3" t="s">
        <v>47</v>
      </c>
      <c r="AH8921" s="11">
        <f>HYPERLINK("https://my.pitchbook.com?c=29257-84T","View Company Online")</f>
      </c>
    </row>
    <row r="8922">
      <c r="A8922" s="12" t="s">
        <v>38505</v>
      </c>
      <c r="B8922" s="12" t="s">
        <v>38506</v>
      </c>
      <c r="C8922" s="19" t="s">
        <v>36</v>
      </c>
      <c r="D8922" s="19">
        <v>2</v>
      </c>
      <c r="E8922" s="19">
        <v>1</v>
      </c>
      <c r="F8922" s="19">
        <v>2</v>
      </c>
      <c r="G8922" s="15" t="s">
        <v>36</v>
      </c>
      <c r="H8922" s="14" t="s">
        <v>36</v>
      </c>
      <c r="I8922" s="18" t="s">
        <v>36</v>
      </c>
      <c r="J8922" s="12" t="s">
        <v>36</v>
      </c>
      <c r="K8922" s="13" t="s">
        <v>36</v>
      </c>
      <c r="L8922" s="15" t="s">
        <v>36</v>
      </c>
      <c r="M8922" s="12" t="s">
        <v>36</v>
      </c>
      <c r="N8922" s="12" t="s">
        <v>36</v>
      </c>
      <c r="O8922" s="17" t="s">
        <v>36</v>
      </c>
      <c r="P8922" s="12" t="s">
        <v>36</v>
      </c>
      <c r="Q8922" s="12" t="s">
        <v>36</v>
      </c>
      <c r="R8922" s="12" t="s">
        <v>36</v>
      </c>
      <c r="S8922" s="12" t="s">
        <v>36</v>
      </c>
      <c r="T8922" s="12" t="s">
        <v>2498</v>
      </c>
      <c r="U8922" s="12" t="s">
        <v>956</v>
      </c>
      <c r="V8922" s="12" t="s">
        <v>405</v>
      </c>
      <c r="W8922" s="12" t="s">
        <v>38507</v>
      </c>
      <c r="X8922" s="16" t="s">
        <v>38508</v>
      </c>
      <c r="Y8922" s="15" t="s">
        <v>42</v>
      </c>
      <c r="Z8922" s="14">
        <v>0.63</v>
      </c>
      <c r="AA8922" s="14" t="s">
        <v>36</v>
      </c>
      <c r="AB8922" s="12" t="s">
        <v>43</v>
      </c>
      <c r="AC8922" s="12" t="s">
        <v>38509</v>
      </c>
      <c r="AD8922" s="13">
        <v>40326</v>
      </c>
      <c r="AE8922" s="12" t="s">
        <v>960</v>
      </c>
      <c r="AF8922" s="12" t="s">
        <v>1969</v>
      </c>
      <c r="AG8922" s="12" t="s">
        <v>81</v>
      </c>
      <c r="AH8922" s="1">
        <f>HYPERLINK("https://my.pitchbook.com?c=36524-80T","View Company Online")</f>
      </c>
    </row>
    <row r="8923">
      <c r="A8923" s="3" t="s">
        <v>38510</v>
      </c>
      <c r="B8923" s="3" t="s">
        <v>38511</v>
      </c>
      <c r="C8923" s="5" t="s">
        <v>36</v>
      </c>
      <c r="D8923" s="5" t="s">
        <v>36</v>
      </c>
      <c r="E8923" s="5" t="s">
        <v>36</v>
      </c>
      <c r="F8923" s="5" t="s">
        <v>36</v>
      </c>
      <c r="G8923" s="6" t="s">
        <v>36</v>
      </c>
      <c r="H8923" s="4" t="s">
        <v>36</v>
      </c>
      <c r="I8923" s="7" t="s">
        <v>36</v>
      </c>
      <c r="J8923" s="3" t="s">
        <v>36</v>
      </c>
      <c r="K8923" s="9" t="s">
        <v>36</v>
      </c>
      <c r="L8923" s="6" t="s">
        <v>36</v>
      </c>
      <c r="M8923" s="3" t="s">
        <v>36</v>
      </c>
      <c r="N8923" s="3" t="s">
        <v>36</v>
      </c>
      <c r="O8923" s="8" t="s">
        <v>36</v>
      </c>
      <c r="P8923" s="3" t="s">
        <v>36</v>
      </c>
      <c r="Q8923" s="3" t="s">
        <v>36</v>
      </c>
      <c r="R8923" s="3" t="s">
        <v>36</v>
      </c>
      <c r="S8923" s="3" t="s">
        <v>36</v>
      </c>
      <c r="T8923" s="3" t="s">
        <v>38512</v>
      </c>
      <c r="U8923" s="3" t="s">
        <v>233</v>
      </c>
      <c r="V8923" s="3" t="s">
        <v>39</v>
      </c>
      <c r="W8923" s="3" t="s">
        <v>38513</v>
      </c>
      <c r="X8923" s="10" t="s">
        <v>38514</v>
      </c>
      <c r="Y8923" s="6" t="s">
        <v>42</v>
      </c>
      <c r="Z8923" s="4">
        <v>1.39</v>
      </c>
      <c r="AA8923" s="4" t="s">
        <v>36</v>
      </c>
      <c r="AB8923" s="3" t="s">
        <v>56</v>
      </c>
      <c r="AC8923" s="3" t="s">
        <v>38515</v>
      </c>
      <c r="AD8923" s="9">
        <v>40325</v>
      </c>
      <c r="AE8923" s="3" t="s">
        <v>12061</v>
      </c>
      <c r="AF8923" s="3" t="s">
        <v>4552</v>
      </c>
      <c r="AG8923" s="3" t="s">
        <v>38516</v>
      </c>
      <c r="AH8923" s="11">
        <f>HYPERLINK("https://my.pitchbook.com?c=160230-16T","View Company Online")</f>
      </c>
    </row>
    <row r="8924">
      <c r="A8924" s="12" t="s">
        <v>38517</v>
      </c>
      <c r="B8924" s="12" t="s">
        <v>37411</v>
      </c>
      <c r="C8924" s="19" t="s">
        <v>36</v>
      </c>
      <c r="D8924" s="19" t="s">
        <v>36</v>
      </c>
      <c r="E8924" s="19" t="s">
        <v>36</v>
      </c>
      <c r="F8924" s="19" t="s">
        <v>36</v>
      </c>
      <c r="G8924" s="15" t="s">
        <v>36</v>
      </c>
      <c r="H8924" s="14" t="s">
        <v>36</v>
      </c>
      <c r="I8924" s="18" t="s">
        <v>36</v>
      </c>
      <c r="J8924" s="12" t="s">
        <v>36</v>
      </c>
      <c r="K8924" s="13" t="s">
        <v>36</v>
      </c>
      <c r="L8924" s="15" t="s">
        <v>36</v>
      </c>
      <c r="M8924" s="12" t="s">
        <v>36</v>
      </c>
      <c r="N8924" s="12" t="s">
        <v>36</v>
      </c>
      <c r="O8924" s="17" t="s">
        <v>36</v>
      </c>
      <c r="P8924" s="12" t="s">
        <v>36</v>
      </c>
      <c r="Q8924" s="12" t="s">
        <v>36</v>
      </c>
      <c r="R8924" s="12" t="s">
        <v>36</v>
      </c>
      <c r="S8924" s="12" t="s">
        <v>36</v>
      </c>
      <c r="T8924" s="12" t="s">
        <v>684</v>
      </c>
      <c r="U8924" s="12" t="s">
        <v>38</v>
      </c>
      <c r="V8924" s="12" t="s">
        <v>39</v>
      </c>
      <c r="W8924" s="12" t="s">
        <v>37412</v>
      </c>
      <c r="X8924" s="16" t="s">
        <v>38518</v>
      </c>
      <c r="Y8924" s="15" t="s">
        <v>108</v>
      </c>
      <c r="Z8924" s="14">
        <v>1.27</v>
      </c>
      <c r="AA8924" s="14" t="s">
        <v>36</v>
      </c>
      <c r="AB8924" s="12" t="s">
        <v>43</v>
      </c>
      <c r="AC8924" s="12" t="s">
        <v>37414</v>
      </c>
      <c r="AD8924" s="13">
        <v>40325</v>
      </c>
      <c r="AE8924" s="12" t="s">
        <v>688</v>
      </c>
      <c r="AF8924" s="12" t="s">
        <v>1636</v>
      </c>
      <c r="AG8924" s="12" t="s">
        <v>81</v>
      </c>
      <c r="AH8924" s="1">
        <f>HYPERLINK("https://my.pitchbook.com?c=31512-79T","View Company Online")</f>
      </c>
    </row>
    <row r="8925">
      <c r="A8925" s="3" t="s">
        <v>38519</v>
      </c>
      <c r="B8925" s="3" t="s">
        <v>38520</v>
      </c>
      <c r="C8925" s="5" t="s">
        <v>36</v>
      </c>
      <c r="D8925" s="5" t="s">
        <v>36</v>
      </c>
      <c r="E8925" s="5" t="s">
        <v>36</v>
      </c>
      <c r="F8925" s="5" t="s">
        <v>36</v>
      </c>
      <c r="G8925" s="6" t="s">
        <v>36</v>
      </c>
      <c r="H8925" s="4">
        <v>0.31</v>
      </c>
      <c r="I8925" s="7">
        <v>17</v>
      </c>
      <c r="J8925" s="3" t="s">
        <v>521</v>
      </c>
      <c r="K8925" s="9" t="s">
        <v>36</v>
      </c>
      <c r="L8925" s="6" t="s">
        <v>36</v>
      </c>
      <c r="M8925" s="3" t="s">
        <v>36</v>
      </c>
      <c r="N8925" s="3" t="s">
        <v>36</v>
      </c>
      <c r="O8925" s="8" t="s">
        <v>36</v>
      </c>
      <c r="P8925" s="3" t="s">
        <v>36</v>
      </c>
      <c r="Q8925" s="3" t="s">
        <v>36</v>
      </c>
      <c r="R8925" s="3" t="s">
        <v>36</v>
      </c>
      <c r="S8925" s="3" t="s">
        <v>36</v>
      </c>
      <c r="T8925" s="3" t="s">
        <v>38521</v>
      </c>
      <c r="U8925" s="3" t="s">
        <v>38</v>
      </c>
      <c r="V8925" s="3" t="s">
        <v>39</v>
      </c>
      <c r="W8925" s="3" t="s">
        <v>38522</v>
      </c>
      <c r="X8925" s="10" t="s">
        <v>38523</v>
      </c>
      <c r="Y8925" s="6" t="s">
        <v>42</v>
      </c>
      <c r="Z8925" s="4">
        <v>15.58</v>
      </c>
      <c r="AA8925" s="4">
        <v>91.61</v>
      </c>
      <c r="AB8925" s="3" t="s">
        <v>56</v>
      </c>
      <c r="AC8925" s="3" t="s">
        <v>38524</v>
      </c>
      <c r="AD8925" s="9">
        <v>40325</v>
      </c>
      <c r="AE8925" s="3" t="s">
        <v>554</v>
      </c>
      <c r="AF8925" s="3" t="s">
        <v>8465</v>
      </c>
      <c r="AG8925" s="3" t="s">
        <v>81</v>
      </c>
      <c r="AH8925" s="11">
        <f>HYPERLINK("https://my.pitchbook.com?c=30055-60T","View Company Online")</f>
      </c>
    </row>
    <row r="8926">
      <c r="A8926" s="12" t="s">
        <v>38525</v>
      </c>
      <c r="B8926" s="12" t="s">
        <v>36635</v>
      </c>
      <c r="C8926" s="19">
        <v>1</v>
      </c>
      <c r="D8926" s="19">
        <v>2</v>
      </c>
      <c r="E8926" s="19">
        <v>2</v>
      </c>
      <c r="F8926" s="19">
        <v>3</v>
      </c>
      <c r="G8926" s="15" t="s">
        <v>36</v>
      </c>
      <c r="H8926" s="14" t="s">
        <v>36</v>
      </c>
      <c r="I8926" s="18" t="s">
        <v>36</v>
      </c>
      <c r="J8926" s="12" t="s">
        <v>36</v>
      </c>
      <c r="K8926" s="13" t="s">
        <v>36</v>
      </c>
      <c r="L8926" s="15" t="s">
        <v>36</v>
      </c>
      <c r="M8926" s="12" t="s">
        <v>36</v>
      </c>
      <c r="N8926" s="12" t="s">
        <v>36</v>
      </c>
      <c r="O8926" s="17" t="s">
        <v>36</v>
      </c>
      <c r="P8926" s="12" t="s">
        <v>36</v>
      </c>
      <c r="Q8926" s="12" t="s">
        <v>36</v>
      </c>
      <c r="R8926" s="12" t="s">
        <v>36</v>
      </c>
      <c r="S8926" s="12" t="s">
        <v>36</v>
      </c>
      <c r="T8926" s="12" t="s">
        <v>4529</v>
      </c>
      <c r="U8926" s="12" t="s">
        <v>38</v>
      </c>
      <c r="V8926" s="12" t="s">
        <v>39</v>
      </c>
      <c r="W8926" s="12" t="s">
        <v>36636</v>
      </c>
      <c r="X8926" s="16" t="s">
        <v>38526</v>
      </c>
      <c r="Y8926" s="15" t="s">
        <v>42</v>
      </c>
      <c r="Z8926" s="14">
        <v>3.23</v>
      </c>
      <c r="AA8926" s="14" t="s">
        <v>36</v>
      </c>
      <c r="AB8926" s="12" t="s">
        <v>56</v>
      </c>
      <c r="AC8926" s="12" t="s">
        <v>36638</v>
      </c>
      <c r="AD8926" s="13">
        <v>40317</v>
      </c>
      <c r="AE8926" s="12" t="s">
        <v>1422</v>
      </c>
      <c r="AF8926" s="12" t="s">
        <v>4842</v>
      </c>
      <c r="AG8926" s="12" t="s">
        <v>81</v>
      </c>
      <c r="AH8926" s="1">
        <f>HYPERLINK("https://my.pitchbook.com?c=27415-54T","View Company Online")</f>
      </c>
    </row>
    <row r="8927">
      <c r="A8927" s="3" t="s">
        <v>38527</v>
      </c>
      <c r="B8927" s="3" t="s">
        <v>38528</v>
      </c>
      <c r="C8927" s="5" t="s">
        <v>36</v>
      </c>
      <c r="D8927" s="5" t="s">
        <v>36</v>
      </c>
      <c r="E8927" s="5" t="s">
        <v>36</v>
      </c>
      <c r="F8927" s="5" t="s">
        <v>36</v>
      </c>
      <c r="G8927" s="6" t="s">
        <v>36</v>
      </c>
      <c r="H8927" s="4" t="s">
        <v>36</v>
      </c>
      <c r="I8927" s="7" t="s">
        <v>36</v>
      </c>
      <c r="J8927" s="3" t="s">
        <v>36</v>
      </c>
      <c r="K8927" s="9" t="s">
        <v>36</v>
      </c>
      <c r="L8927" s="6" t="s">
        <v>36</v>
      </c>
      <c r="M8927" s="3" t="s">
        <v>36</v>
      </c>
      <c r="N8927" s="3" t="s">
        <v>36</v>
      </c>
      <c r="O8927" s="8" t="s">
        <v>36</v>
      </c>
      <c r="P8927" s="3" t="s">
        <v>36</v>
      </c>
      <c r="Q8927" s="3" t="s">
        <v>36</v>
      </c>
      <c r="R8927" s="3" t="s">
        <v>36</v>
      </c>
      <c r="S8927" s="3" t="s">
        <v>36</v>
      </c>
      <c r="T8927" s="3" t="s">
        <v>26693</v>
      </c>
      <c r="U8927" s="3" t="s">
        <v>728</v>
      </c>
      <c r="V8927" s="3" t="s">
        <v>64</v>
      </c>
      <c r="W8927" s="3" t="s">
        <v>38529</v>
      </c>
      <c r="X8927" s="10" t="s">
        <v>38530</v>
      </c>
      <c r="Y8927" s="6" t="s">
        <v>42</v>
      </c>
      <c r="Z8927" s="4">
        <v>2.08</v>
      </c>
      <c r="AA8927" s="4" t="s">
        <v>36</v>
      </c>
      <c r="AB8927" s="3" t="s">
        <v>56</v>
      </c>
      <c r="AC8927" s="3" t="s">
        <v>38531</v>
      </c>
      <c r="AD8927" s="9">
        <v>40315</v>
      </c>
      <c r="AE8927" s="3" t="s">
        <v>2154</v>
      </c>
      <c r="AF8927" s="3" t="s">
        <v>571</v>
      </c>
      <c r="AG8927" s="3" t="s">
        <v>81</v>
      </c>
      <c r="AH8927" s="11">
        <f>HYPERLINK("https://my.pitchbook.com?c=47865-25T","View Company Online")</f>
      </c>
    </row>
    <row r="8928">
      <c r="A8928" s="12" t="s">
        <v>38532</v>
      </c>
      <c r="B8928" s="12" t="s">
        <v>38533</v>
      </c>
      <c r="C8928" s="19" t="s">
        <v>36</v>
      </c>
      <c r="D8928" s="19" t="s">
        <v>36</v>
      </c>
      <c r="E8928" s="19">
        <v>1</v>
      </c>
      <c r="F8928" s="19">
        <v>1</v>
      </c>
      <c r="G8928" s="15" t="s">
        <v>36</v>
      </c>
      <c r="H8928" s="14" t="s">
        <v>36</v>
      </c>
      <c r="I8928" s="18" t="s">
        <v>36</v>
      </c>
      <c r="J8928" s="12" t="s">
        <v>36</v>
      </c>
      <c r="K8928" s="13">
        <v>39814</v>
      </c>
      <c r="L8928" s="15" t="s">
        <v>36</v>
      </c>
      <c r="M8928" s="12" t="s">
        <v>36</v>
      </c>
      <c r="N8928" s="12" t="s">
        <v>36</v>
      </c>
      <c r="O8928" s="17" t="s">
        <v>36</v>
      </c>
      <c r="P8928" s="12" t="s">
        <v>36</v>
      </c>
      <c r="Q8928" s="12" t="s">
        <v>36</v>
      </c>
      <c r="R8928" s="12" t="s">
        <v>36</v>
      </c>
      <c r="S8928" s="12" t="s">
        <v>36</v>
      </c>
      <c r="T8928" s="12" t="s">
        <v>38534</v>
      </c>
      <c r="U8928" s="12" t="s">
        <v>366</v>
      </c>
      <c r="V8928" s="12" t="s">
        <v>367</v>
      </c>
      <c r="W8928" s="12" t="s">
        <v>38535</v>
      </c>
      <c r="X8928" s="16" t="s">
        <v>26808</v>
      </c>
      <c r="Y8928" s="15" t="s">
        <v>42</v>
      </c>
      <c r="Z8928" s="14">
        <v>1.58</v>
      </c>
      <c r="AA8928" s="14" t="s">
        <v>36</v>
      </c>
      <c r="AB8928" s="12" t="s">
        <v>43</v>
      </c>
      <c r="AC8928" s="12" t="s">
        <v>38536</v>
      </c>
      <c r="AD8928" s="13">
        <v>40310</v>
      </c>
      <c r="AE8928" s="12" t="s">
        <v>600</v>
      </c>
      <c r="AF8928" s="12" t="s">
        <v>8789</v>
      </c>
      <c r="AG8928" s="12" t="s">
        <v>38537</v>
      </c>
      <c r="AH8928" s="1">
        <f>HYPERLINK("https://my.pitchbook.com?c=36270-64T","View Company Online")</f>
      </c>
    </row>
    <row r="8929">
      <c r="A8929" s="3" t="s">
        <v>38538</v>
      </c>
      <c r="B8929" s="3" t="s">
        <v>38539</v>
      </c>
      <c r="C8929" s="5" t="s">
        <v>36</v>
      </c>
      <c r="D8929" s="5" t="s">
        <v>36</v>
      </c>
      <c r="E8929" s="5" t="s">
        <v>36</v>
      </c>
      <c r="F8929" s="5" t="s">
        <v>36</v>
      </c>
      <c r="G8929" s="6" t="s">
        <v>36</v>
      </c>
      <c r="H8929" s="4" t="s">
        <v>36</v>
      </c>
      <c r="I8929" s="7" t="s">
        <v>36</v>
      </c>
      <c r="J8929" s="3" t="s">
        <v>36</v>
      </c>
      <c r="K8929" s="9" t="s">
        <v>36</v>
      </c>
      <c r="L8929" s="6" t="s">
        <v>36</v>
      </c>
      <c r="M8929" s="3" t="s">
        <v>36</v>
      </c>
      <c r="N8929" s="3" t="s">
        <v>36</v>
      </c>
      <c r="O8929" s="8" t="s">
        <v>36</v>
      </c>
      <c r="P8929" s="3" t="s">
        <v>36</v>
      </c>
      <c r="Q8929" s="3" t="s">
        <v>36</v>
      </c>
      <c r="R8929" s="3" t="s">
        <v>36</v>
      </c>
      <c r="S8929" s="3" t="s">
        <v>36</v>
      </c>
      <c r="T8929" s="3" t="s">
        <v>38540</v>
      </c>
      <c r="U8929" s="3" t="s">
        <v>74</v>
      </c>
      <c r="V8929" s="3" t="s">
        <v>75</v>
      </c>
      <c r="W8929" s="3" t="s">
        <v>38541</v>
      </c>
      <c r="X8929" s="10" t="s">
        <v>38542</v>
      </c>
      <c r="Y8929" s="6" t="s">
        <v>42</v>
      </c>
      <c r="Z8929" s="4" t="s">
        <v>36</v>
      </c>
      <c r="AA8929" s="4" t="s">
        <v>36</v>
      </c>
      <c r="AB8929" s="3" t="s">
        <v>43</v>
      </c>
      <c r="AC8929" s="3" t="s">
        <v>38543</v>
      </c>
      <c r="AD8929" s="9">
        <v>40308</v>
      </c>
      <c r="AE8929" s="3" t="s">
        <v>8410</v>
      </c>
      <c r="AF8929" s="3" t="s">
        <v>36</v>
      </c>
      <c r="AG8929" s="3" t="s">
        <v>2760</v>
      </c>
      <c r="AH8929" s="11">
        <f>HYPERLINK("https://my.pitchbook.com?c=25410-61T","View Company Online")</f>
      </c>
    </row>
    <row r="8930">
      <c r="A8930" s="12" t="s">
        <v>38544</v>
      </c>
      <c r="B8930" s="12" t="s">
        <v>36159</v>
      </c>
      <c r="C8930" s="19">
        <v>3</v>
      </c>
      <c r="D8930" s="19">
        <v>7</v>
      </c>
      <c r="E8930" s="19">
        <v>25</v>
      </c>
      <c r="F8930" s="19">
        <v>33</v>
      </c>
      <c r="G8930" s="15" t="s">
        <v>36</v>
      </c>
      <c r="H8930" s="14" t="s">
        <v>36</v>
      </c>
      <c r="I8930" s="18" t="s">
        <v>36</v>
      </c>
      <c r="J8930" s="12" t="s">
        <v>36</v>
      </c>
      <c r="K8930" s="13" t="s">
        <v>36</v>
      </c>
      <c r="L8930" s="15" t="s">
        <v>1279</v>
      </c>
      <c r="M8930" s="12" t="s">
        <v>36</v>
      </c>
      <c r="N8930" s="12" t="s">
        <v>1279</v>
      </c>
      <c r="O8930" s="17" t="s">
        <v>36</v>
      </c>
      <c r="P8930" s="12" t="s">
        <v>36</v>
      </c>
      <c r="Q8930" s="12" t="s">
        <v>36</v>
      </c>
      <c r="R8930" s="12" t="s">
        <v>36</v>
      </c>
      <c r="S8930" s="12" t="s">
        <v>36</v>
      </c>
      <c r="T8930" s="12" t="s">
        <v>1701</v>
      </c>
      <c r="U8930" s="12" t="s">
        <v>74</v>
      </c>
      <c r="V8930" s="12" t="s">
        <v>75</v>
      </c>
      <c r="W8930" s="12" t="s">
        <v>36160</v>
      </c>
      <c r="X8930" s="16" t="s">
        <v>38545</v>
      </c>
      <c r="Y8930" s="15" t="s">
        <v>55</v>
      </c>
      <c r="Z8930" s="14">
        <v>7</v>
      </c>
      <c r="AA8930" s="14" t="s">
        <v>36</v>
      </c>
      <c r="AB8930" s="12" t="s">
        <v>56</v>
      </c>
      <c r="AC8930" s="12" t="s">
        <v>36162</v>
      </c>
      <c r="AD8930" s="13">
        <v>40304</v>
      </c>
      <c r="AE8930" s="12" t="s">
        <v>79</v>
      </c>
      <c r="AF8930" s="12" t="s">
        <v>34874</v>
      </c>
      <c r="AG8930" s="12" t="s">
        <v>81</v>
      </c>
      <c r="AH8930" s="1">
        <f>HYPERLINK("https://my.pitchbook.com?c=19630-72T","View Company Online")</f>
      </c>
    </row>
    <row r="8931">
      <c r="A8931" s="3" t="s">
        <v>38546</v>
      </c>
      <c r="B8931" s="3" t="s">
        <v>38547</v>
      </c>
      <c r="C8931" s="5" t="s">
        <v>36</v>
      </c>
      <c r="D8931" s="5">
        <v>3</v>
      </c>
      <c r="E8931" s="5">
        <v>5</v>
      </c>
      <c r="F8931" s="5">
        <v>9</v>
      </c>
      <c r="G8931" s="6" t="s">
        <v>326</v>
      </c>
      <c r="H8931" s="4" t="s">
        <v>36</v>
      </c>
      <c r="I8931" s="7">
        <v>27.43</v>
      </c>
      <c r="J8931" s="3" t="s">
        <v>327</v>
      </c>
      <c r="K8931" s="9" t="s">
        <v>36</v>
      </c>
      <c r="L8931" s="6" t="s">
        <v>471</v>
      </c>
      <c r="M8931" s="3" t="s">
        <v>36</v>
      </c>
      <c r="N8931" s="3" t="s">
        <v>471</v>
      </c>
      <c r="O8931" s="8" t="s">
        <v>36</v>
      </c>
      <c r="P8931" s="3" t="s">
        <v>36</v>
      </c>
      <c r="Q8931" s="3" t="s">
        <v>36</v>
      </c>
      <c r="R8931" s="3" t="s">
        <v>36</v>
      </c>
      <c r="S8931" s="3" t="s">
        <v>36</v>
      </c>
      <c r="T8931" s="3" t="s">
        <v>38548</v>
      </c>
      <c r="U8931" s="3" t="s">
        <v>833</v>
      </c>
      <c r="V8931" s="3" t="s">
        <v>64</v>
      </c>
      <c r="W8931" s="3" t="s">
        <v>38549</v>
      </c>
      <c r="X8931" s="10" t="s">
        <v>38550</v>
      </c>
      <c r="Y8931" s="6" t="s">
        <v>55</v>
      </c>
      <c r="Z8931" s="4">
        <v>12.06</v>
      </c>
      <c r="AA8931" s="4">
        <v>43.96</v>
      </c>
      <c r="AB8931" s="3" t="s">
        <v>56</v>
      </c>
      <c r="AC8931" s="3" t="s">
        <v>38551</v>
      </c>
      <c r="AD8931" s="9">
        <v>40302</v>
      </c>
      <c r="AE8931" s="3" t="s">
        <v>1069</v>
      </c>
      <c r="AF8931" s="3" t="s">
        <v>1636</v>
      </c>
      <c r="AG8931" s="3" t="s">
        <v>38552</v>
      </c>
      <c r="AH8931" s="11">
        <f>HYPERLINK("https://my.pitchbook.com?c=24518-08T","View Company Online")</f>
      </c>
    </row>
    <row r="8932">
      <c r="A8932" s="12" t="s">
        <v>38553</v>
      </c>
      <c r="B8932" s="12" t="s">
        <v>38554</v>
      </c>
      <c r="C8932" s="19" t="s">
        <v>36</v>
      </c>
      <c r="D8932" s="19" t="s">
        <v>36</v>
      </c>
      <c r="E8932" s="19" t="s">
        <v>36</v>
      </c>
      <c r="F8932" s="19" t="s">
        <v>36</v>
      </c>
      <c r="G8932" s="15" t="s">
        <v>36</v>
      </c>
      <c r="H8932" s="14" t="s">
        <v>36</v>
      </c>
      <c r="I8932" s="18" t="s">
        <v>36</v>
      </c>
      <c r="J8932" s="12" t="s">
        <v>36</v>
      </c>
      <c r="K8932" s="13" t="s">
        <v>36</v>
      </c>
      <c r="L8932" s="15" t="s">
        <v>36</v>
      </c>
      <c r="M8932" s="12" t="s">
        <v>36</v>
      </c>
      <c r="N8932" s="12" t="s">
        <v>36</v>
      </c>
      <c r="O8932" s="17" t="s">
        <v>36</v>
      </c>
      <c r="P8932" s="12" t="s">
        <v>36</v>
      </c>
      <c r="Q8932" s="12" t="s">
        <v>36</v>
      </c>
      <c r="R8932" s="12" t="s">
        <v>36</v>
      </c>
      <c r="S8932" s="12" t="s">
        <v>36</v>
      </c>
      <c r="T8932" s="12" t="s">
        <v>38555</v>
      </c>
      <c r="U8932" s="12" t="s">
        <v>85</v>
      </c>
      <c r="V8932" s="12" t="s">
        <v>64</v>
      </c>
      <c r="W8932" s="12" t="s">
        <v>38556</v>
      </c>
      <c r="X8932" s="16" t="s">
        <v>38557</v>
      </c>
      <c r="Y8932" s="15" t="s">
        <v>42</v>
      </c>
      <c r="Z8932" s="14">
        <v>1.07</v>
      </c>
      <c r="AA8932" s="14" t="s">
        <v>36</v>
      </c>
      <c r="AB8932" s="12" t="s">
        <v>56</v>
      </c>
      <c r="AC8932" s="12" t="s">
        <v>38558</v>
      </c>
      <c r="AD8932" s="13">
        <v>40301</v>
      </c>
      <c r="AE8932" s="12" t="s">
        <v>89</v>
      </c>
      <c r="AF8932" s="12" t="s">
        <v>38559</v>
      </c>
      <c r="AG8932" s="12" t="s">
        <v>1078</v>
      </c>
      <c r="AH8932" s="1">
        <f>HYPERLINK("https://my.pitchbook.com?c=30107-44T","View Company Online")</f>
      </c>
    </row>
    <row r="8933">
      <c r="A8933" s="3" t="s">
        <v>38560</v>
      </c>
      <c r="B8933" s="3" t="s">
        <v>38561</v>
      </c>
      <c r="C8933" s="5">
        <v>42</v>
      </c>
      <c r="D8933" s="5">
        <v>162</v>
      </c>
      <c r="E8933" s="5">
        <v>32</v>
      </c>
      <c r="F8933" s="5">
        <v>238</v>
      </c>
      <c r="G8933" s="6" t="s">
        <v>36</v>
      </c>
      <c r="H8933" s="4" t="s">
        <v>36</v>
      </c>
      <c r="I8933" s="7" t="s">
        <v>36</v>
      </c>
      <c r="J8933" s="3" t="s">
        <v>36</v>
      </c>
      <c r="K8933" s="9" t="s">
        <v>36</v>
      </c>
      <c r="L8933" s="6" t="s">
        <v>1279</v>
      </c>
      <c r="M8933" s="3" t="s">
        <v>36</v>
      </c>
      <c r="N8933" s="3" t="s">
        <v>1279</v>
      </c>
      <c r="O8933" s="8" t="s">
        <v>36</v>
      </c>
      <c r="P8933" s="3" t="s">
        <v>36</v>
      </c>
      <c r="Q8933" s="3" t="s">
        <v>36</v>
      </c>
      <c r="R8933" s="3" t="s">
        <v>36</v>
      </c>
      <c r="S8933" s="3" t="s">
        <v>16636</v>
      </c>
      <c r="T8933" s="3" t="s">
        <v>13459</v>
      </c>
      <c r="U8933" s="3" t="s">
        <v>51</v>
      </c>
      <c r="V8933" s="3" t="s">
        <v>52</v>
      </c>
      <c r="W8933" s="3" t="s">
        <v>38562</v>
      </c>
      <c r="X8933" s="10" t="s">
        <v>38563</v>
      </c>
      <c r="Y8933" s="6" t="s">
        <v>108</v>
      </c>
      <c r="Z8933" s="4">
        <v>14.76</v>
      </c>
      <c r="AA8933" s="4" t="s">
        <v>36</v>
      </c>
      <c r="AB8933" s="3" t="s">
        <v>56</v>
      </c>
      <c r="AC8933" s="3" t="s">
        <v>38564</v>
      </c>
      <c r="AD8933" s="9">
        <v>40301</v>
      </c>
      <c r="AE8933" s="3" t="s">
        <v>158</v>
      </c>
      <c r="AF8933" s="3" t="s">
        <v>38565</v>
      </c>
      <c r="AG8933" s="3" t="s">
        <v>81</v>
      </c>
      <c r="AH8933" s="11">
        <f>HYPERLINK("https://my.pitchbook.com?c=25523-74T","View Company Online")</f>
      </c>
    </row>
    <row r="8934">
      <c r="A8934" s="12" t="s">
        <v>38566</v>
      </c>
      <c r="B8934" s="12" t="s">
        <v>38567</v>
      </c>
      <c r="C8934" s="19">
        <v>3</v>
      </c>
      <c r="D8934" s="19">
        <v>1</v>
      </c>
      <c r="E8934" s="19">
        <v>4</v>
      </c>
      <c r="F8934" s="19">
        <v>5</v>
      </c>
      <c r="G8934" s="15" t="s">
        <v>36</v>
      </c>
      <c r="H8934" s="14" t="s">
        <v>36</v>
      </c>
      <c r="I8934" s="18" t="s">
        <v>36</v>
      </c>
      <c r="J8934" s="12" t="s">
        <v>36</v>
      </c>
      <c r="K8934" s="13" t="s">
        <v>36</v>
      </c>
      <c r="L8934" s="15" t="s">
        <v>36</v>
      </c>
      <c r="M8934" s="12" t="s">
        <v>36</v>
      </c>
      <c r="N8934" s="12" t="s">
        <v>36</v>
      </c>
      <c r="O8934" s="17" t="s">
        <v>36</v>
      </c>
      <c r="P8934" s="12" t="s">
        <v>36</v>
      </c>
      <c r="Q8934" s="12" t="s">
        <v>36</v>
      </c>
      <c r="R8934" s="12" t="s">
        <v>36</v>
      </c>
      <c r="S8934" s="12" t="s">
        <v>36</v>
      </c>
      <c r="T8934" s="12" t="s">
        <v>522</v>
      </c>
      <c r="U8934" s="12" t="s">
        <v>38</v>
      </c>
      <c r="V8934" s="12" t="s">
        <v>39</v>
      </c>
      <c r="W8934" s="12" t="s">
        <v>38568</v>
      </c>
      <c r="X8934" s="16" t="s">
        <v>38569</v>
      </c>
      <c r="Y8934" s="15" t="s">
        <v>42</v>
      </c>
      <c r="Z8934" s="14">
        <v>0.17</v>
      </c>
      <c r="AA8934" s="14" t="s">
        <v>36</v>
      </c>
      <c r="AB8934" s="12" t="s">
        <v>43</v>
      </c>
      <c r="AC8934" s="12" t="s">
        <v>38570</v>
      </c>
      <c r="AD8934" s="13">
        <v>40301</v>
      </c>
      <c r="AE8934" s="12" t="s">
        <v>110</v>
      </c>
      <c r="AF8934" s="12" t="s">
        <v>36</v>
      </c>
      <c r="AG8934" s="12" t="s">
        <v>21815</v>
      </c>
      <c r="AH8934" s="1">
        <f>HYPERLINK("https://my.pitchbook.com?c=29656-99T","View Company Online")</f>
      </c>
    </row>
    <row r="8935">
      <c r="A8935" s="3" t="s">
        <v>38571</v>
      </c>
      <c r="B8935" s="3" t="s">
        <v>33429</v>
      </c>
      <c r="C8935" s="5" t="s">
        <v>36</v>
      </c>
      <c r="D8935" s="5" t="s">
        <v>36</v>
      </c>
      <c r="E8935" s="5" t="s">
        <v>36</v>
      </c>
      <c r="F8935" s="5" t="s">
        <v>36</v>
      </c>
      <c r="G8935" s="6" t="s">
        <v>36</v>
      </c>
      <c r="H8935" s="4" t="s">
        <v>36</v>
      </c>
      <c r="I8935" s="7" t="s">
        <v>36</v>
      </c>
      <c r="J8935" s="3" t="s">
        <v>36</v>
      </c>
      <c r="K8935" s="9" t="s">
        <v>36</v>
      </c>
      <c r="L8935" s="6" t="s">
        <v>36</v>
      </c>
      <c r="M8935" s="3" t="s">
        <v>36</v>
      </c>
      <c r="N8935" s="3" t="s">
        <v>36</v>
      </c>
      <c r="O8935" s="8" t="s">
        <v>36</v>
      </c>
      <c r="P8935" s="3" t="s">
        <v>36</v>
      </c>
      <c r="Q8935" s="3" t="s">
        <v>36</v>
      </c>
      <c r="R8935" s="3" t="s">
        <v>36</v>
      </c>
      <c r="S8935" s="3" t="s">
        <v>36</v>
      </c>
      <c r="T8935" s="3" t="s">
        <v>20192</v>
      </c>
      <c r="U8935" s="3" t="s">
        <v>279</v>
      </c>
      <c r="V8935" s="3" t="s">
        <v>64</v>
      </c>
      <c r="W8935" s="3" t="s">
        <v>33430</v>
      </c>
      <c r="X8935" s="10" t="s">
        <v>38572</v>
      </c>
      <c r="Y8935" s="6" t="s">
        <v>42</v>
      </c>
      <c r="Z8935" s="4">
        <v>0.13</v>
      </c>
      <c r="AA8935" s="4" t="s">
        <v>36</v>
      </c>
      <c r="AB8935" s="3" t="s">
        <v>43</v>
      </c>
      <c r="AC8935" s="3" t="s">
        <v>33432</v>
      </c>
      <c r="AD8935" s="9">
        <v>40299</v>
      </c>
      <c r="AE8935" s="3" t="s">
        <v>8519</v>
      </c>
      <c r="AF8935" s="3" t="s">
        <v>1636</v>
      </c>
      <c r="AG8935" s="3" t="s">
        <v>652</v>
      </c>
      <c r="AH8935" s="11">
        <f>HYPERLINK("https://my.pitchbook.com?c=29630-35T","View Company Online")</f>
      </c>
    </row>
    <row r="8936">
      <c r="A8936" s="12" t="s">
        <v>38573</v>
      </c>
      <c r="B8936" s="12" t="s">
        <v>31411</v>
      </c>
      <c r="C8936" s="19" t="s">
        <v>36</v>
      </c>
      <c r="D8936" s="19" t="s">
        <v>36</v>
      </c>
      <c r="E8936" s="19" t="s">
        <v>36</v>
      </c>
      <c r="F8936" s="19" t="s">
        <v>36</v>
      </c>
      <c r="G8936" s="15" t="s">
        <v>326</v>
      </c>
      <c r="H8936" s="14">
        <v>45.46</v>
      </c>
      <c r="I8936" s="18">
        <v>50.64</v>
      </c>
      <c r="J8936" s="12" t="s">
        <v>521</v>
      </c>
      <c r="K8936" s="13" t="s">
        <v>36</v>
      </c>
      <c r="L8936" s="15" t="s">
        <v>36</v>
      </c>
      <c r="M8936" s="12" t="s">
        <v>36</v>
      </c>
      <c r="N8936" s="12" t="s">
        <v>36</v>
      </c>
      <c r="O8936" s="17" t="s">
        <v>36</v>
      </c>
      <c r="P8936" s="12" t="s">
        <v>36</v>
      </c>
      <c r="Q8936" s="12" t="s">
        <v>36</v>
      </c>
      <c r="R8936" s="12" t="s">
        <v>36</v>
      </c>
      <c r="S8936" s="12" t="s">
        <v>36</v>
      </c>
      <c r="T8936" s="12" t="s">
        <v>31412</v>
      </c>
      <c r="U8936" s="12" t="s">
        <v>51</v>
      </c>
      <c r="V8936" s="12" t="s">
        <v>52</v>
      </c>
      <c r="W8936" s="12" t="s">
        <v>31413</v>
      </c>
      <c r="X8936" s="16" t="s">
        <v>38574</v>
      </c>
      <c r="Y8936" s="15" t="s">
        <v>108</v>
      </c>
      <c r="Z8936" s="14">
        <v>4.03</v>
      </c>
      <c r="AA8936" s="14">
        <v>7.96</v>
      </c>
      <c r="AB8936" s="12" t="s">
        <v>56</v>
      </c>
      <c r="AC8936" s="12" t="s">
        <v>31415</v>
      </c>
      <c r="AD8936" s="13">
        <v>40299</v>
      </c>
      <c r="AE8936" s="12" t="s">
        <v>158</v>
      </c>
      <c r="AF8936" s="12" t="s">
        <v>1166</v>
      </c>
      <c r="AG8936" s="12" t="s">
        <v>8669</v>
      </c>
      <c r="AH8936" s="1">
        <f>HYPERLINK("https://my.pitchbook.com?c=28211-59T","View Company Online")</f>
      </c>
    </row>
    <row r="8937">
      <c r="A8937" s="3" t="s">
        <v>38575</v>
      </c>
      <c r="B8937" s="3" t="s">
        <v>38576</v>
      </c>
      <c r="C8937" s="5" t="s">
        <v>36</v>
      </c>
      <c r="D8937" s="5" t="s">
        <v>36</v>
      </c>
      <c r="E8937" s="5" t="s">
        <v>36</v>
      </c>
      <c r="F8937" s="5" t="s">
        <v>36</v>
      </c>
      <c r="G8937" s="6" t="s">
        <v>36</v>
      </c>
      <c r="H8937" s="4" t="s">
        <v>36</v>
      </c>
      <c r="I8937" s="7" t="s">
        <v>36</v>
      </c>
      <c r="J8937" s="3" t="s">
        <v>36</v>
      </c>
      <c r="K8937" s="9" t="s">
        <v>36</v>
      </c>
      <c r="L8937" s="6" t="s">
        <v>36</v>
      </c>
      <c r="M8937" s="3" t="s">
        <v>36</v>
      </c>
      <c r="N8937" s="3" t="s">
        <v>36</v>
      </c>
      <c r="O8937" s="8" t="s">
        <v>36</v>
      </c>
      <c r="P8937" s="3" t="s">
        <v>36</v>
      </c>
      <c r="Q8937" s="3" t="s">
        <v>36</v>
      </c>
      <c r="R8937" s="3" t="s">
        <v>36</v>
      </c>
      <c r="S8937" s="3" t="s">
        <v>36</v>
      </c>
      <c r="T8937" s="3" t="s">
        <v>529</v>
      </c>
      <c r="U8937" s="3" t="s">
        <v>38</v>
      </c>
      <c r="V8937" s="3" t="s">
        <v>39</v>
      </c>
      <c r="W8937" s="3" t="s">
        <v>38577</v>
      </c>
      <c r="X8937" s="10" t="s">
        <v>38578</v>
      </c>
      <c r="Y8937" s="6" t="s">
        <v>108</v>
      </c>
      <c r="Z8937" s="4" t="s">
        <v>36</v>
      </c>
      <c r="AA8937" s="4" t="s">
        <v>36</v>
      </c>
      <c r="AB8937" s="3" t="s">
        <v>56</v>
      </c>
      <c r="AC8937" s="3" t="s">
        <v>38579</v>
      </c>
      <c r="AD8937" s="9">
        <v>40299</v>
      </c>
      <c r="AE8937" s="3" t="s">
        <v>134</v>
      </c>
      <c r="AF8937" s="3" t="s">
        <v>9319</v>
      </c>
      <c r="AG8937" s="3" t="s">
        <v>81</v>
      </c>
      <c r="AH8937" s="11">
        <f>HYPERLINK("https://my.pitchbook.com?c=25491-70T","View Company Online")</f>
      </c>
    </row>
    <row r="8938">
      <c r="A8938" s="12" t="s">
        <v>38580</v>
      </c>
      <c r="B8938" s="12" t="s">
        <v>29296</v>
      </c>
      <c r="C8938" s="19">
        <v>5</v>
      </c>
      <c r="D8938" s="19">
        <v>22</v>
      </c>
      <c r="E8938" s="19">
        <v>5</v>
      </c>
      <c r="F8938" s="19">
        <v>27</v>
      </c>
      <c r="G8938" s="15" t="s">
        <v>683</v>
      </c>
      <c r="H8938" s="14">
        <v>52.66</v>
      </c>
      <c r="I8938" s="18">
        <v>16.67</v>
      </c>
      <c r="J8938" s="12" t="s">
        <v>521</v>
      </c>
      <c r="K8938" s="13" t="s">
        <v>36</v>
      </c>
      <c r="L8938" s="15" t="s">
        <v>122</v>
      </c>
      <c r="M8938" s="12" t="s">
        <v>36</v>
      </c>
      <c r="N8938" s="12" t="s">
        <v>122</v>
      </c>
      <c r="O8938" s="17" t="s">
        <v>36</v>
      </c>
      <c r="P8938" s="12" t="s">
        <v>36</v>
      </c>
      <c r="Q8938" s="12" t="s">
        <v>36</v>
      </c>
      <c r="R8938" s="12" t="s">
        <v>36</v>
      </c>
      <c r="S8938" s="12" t="s">
        <v>36</v>
      </c>
      <c r="T8938" s="12" t="s">
        <v>29297</v>
      </c>
      <c r="U8938" s="12" t="s">
        <v>51</v>
      </c>
      <c r="V8938" s="12" t="s">
        <v>52</v>
      </c>
      <c r="W8938" s="12" t="s">
        <v>29298</v>
      </c>
      <c r="X8938" s="16" t="s">
        <v>38581</v>
      </c>
      <c r="Y8938" s="15" t="s">
        <v>42</v>
      </c>
      <c r="Z8938" s="14">
        <v>1.48</v>
      </c>
      <c r="AA8938" s="14">
        <v>4.84</v>
      </c>
      <c r="AB8938" s="12" t="s">
        <v>43</v>
      </c>
      <c r="AC8938" s="12" t="s">
        <v>29300</v>
      </c>
      <c r="AD8938" s="13">
        <v>40299</v>
      </c>
      <c r="AE8938" s="12" t="s">
        <v>158</v>
      </c>
      <c r="AF8938" s="12" t="s">
        <v>1166</v>
      </c>
      <c r="AG8938" s="12" t="s">
        <v>144</v>
      </c>
      <c r="AH8938" s="1">
        <f>HYPERLINK("https://my.pitchbook.com?c=30173-86T","View Company Online")</f>
      </c>
    </row>
    <row r="8939">
      <c r="A8939" s="3" t="s">
        <v>38582</v>
      </c>
      <c r="B8939" s="3" t="s">
        <v>38583</v>
      </c>
      <c r="C8939" s="5" t="s">
        <v>36</v>
      </c>
      <c r="D8939" s="5" t="s">
        <v>36</v>
      </c>
      <c r="E8939" s="5" t="s">
        <v>36</v>
      </c>
      <c r="F8939" s="5" t="s">
        <v>36</v>
      </c>
      <c r="G8939" s="6" t="s">
        <v>36</v>
      </c>
      <c r="H8939" s="4" t="s">
        <v>36</v>
      </c>
      <c r="I8939" s="7" t="s">
        <v>36</v>
      </c>
      <c r="J8939" s="3" t="s">
        <v>36</v>
      </c>
      <c r="K8939" s="9">
        <v>39999</v>
      </c>
      <c r="L8939" s="6" t="s">
        <v>36</v>
      </c>
      <c r="M8939" s="3" t="s">
        <v>36</v>
      </c>
      <c r="N8939" s="3" t="s">
        <v>36</v>
      </c>
      <c r="O8939" s="8" t="s">
        <v>36</v>
      </c>
      <c r="P8939" s="3" t="s">
        <v>36</v>
      </c>
      <c r="Q8939" s="3" t="s">
        <v>36</v>
      </c>
      <c r="R8939" s="3" t="s">
        <v>36</v>
      </c>
      <c r="S8939" s="3" t="s">
        <v>36</v>
      </c>
      <c r="T8939" s="3" t="s">
        <v>16335</v>
      </c>
      <c r="U8939" s="3" t="s">
        <v>74</v>
      </c>
      <c r="V8939" s="3" t="s">
        <v>75</v>
      </c>
      <c r="W8939" s="3" t="s">
        <v>38584</v>
      </c>
      <c r="X8939" s="10" t="s">
        <v>38585</v>
      </c>
      <c r="Y8939" s="6" t="s">
        <v>108</v>
      </c>
      <c r="Z8939" s="4">
        <v>0.2</v>
      </c>
      <c r="AA8939" s="4" t="s">
        <v>36</v>
      </c>
      <c r="AB8939" s="3" t="s">
        <v>43</v>
      </c>
      <c r="AC8939" s="3" t="s">
        <v>38586</v>
      </c>
      <c r="AD8939" s="9">
        <v>40299</v>
      </c>
      <c r="AE8939" s="3" t="s">
        <v>79</v>
      </c>
      <c r="AF8939" s="3" t="s">
        <v>17657</v>
      </c>
      <c r="AG8939" s="3" t="s">
        <v>81</v>
      </c>
      <c r="AH8939" s="11">
        <f>HYPERLINK("https://my.pitchbook.com?c=53990-65T","View Company Online")</f>
      </c>
    </row>
    <row r="8940">
      <c r="A8940" s="12" t="s">
        <v>38587</v>
      </c>
      <c r="B8940" s="12" t="s">
        <v>27428</v>
      </c>
      <c r="C8940" s="19" t="s">
        <v>36</v>
      </c>
      <c r="D8940" s="19" t="s">
        <v>36</v>
      </c>
      <c r="E8940" s="19" t="s">
        <v>36</v>
      </c>
      <c r="F8940" s="19" t="s">
        <v>36</v>
      </c>
      <c r="G8940" s="15" t="s">
        <v>36</v>
      </c>
      <c r="H8940" s="14" t="s">
        <v>36</v>
      </c>
      <c r="I8940" s="18" t="s">
        <v>36</v>
      </c>
      <c r="J8940" s="12" t="s">
        <v>36</v>
      </c>
      <c r="K8940" s="13" t="s">
        <v>36</v>
      </c>
      <c r="L8940" s="15" t="s">
        <v>36</v>
      </c>
      <c r="M8940" s="12" t="s">
        <v>36</v>
      </c>
      <c r="N8940" s="12" t="s">
        <v>36</v>
      </c>
      <c r="O8940" s="17" t="s">
        <v>36</v>
      </c>
      <c r="P8940" s="12" t="s">
        <v>36</v>
      </c>
      <c r="Q8940" s="12" t="s">
        <v>36</v>
      </c>
      <c r="R8940" s="12" t="s">
        <v>36</v>
      </c>
      <c r="S8940" s="12" t="s">
        <v>36</v>
      </c>
      <c r="T8940" s="12" t="s">
        <v>27429</v>
      </c>
      <c r="U8940" s="12" t="s">
        <v>648</v>
      </c>
      <c r="V8940" s="12" t="s">
        <v>64</v>
      </c>
      <c r="W8940" s="12" t="s">
        <v>27430</v>
      </c>
      <c r="X8940" s="16" t="s">
        <v>87</v>
      </c>
      <c r="Y8940" s="15" t="s">
        <v>108</v>
      </c>
      <c r="Z8940" s="14">
        <v>1.07</v>
      </c>
      <c r="AA8940" s="14" t="s">
        <v>36</v>
      </c>
      <c r="AB8940" s="12" t="s">
        <v>43</v>
      </c>
      <c r="AC8940" s="12" t="s">
        <v>27431</v>
      </c>
      <c r="AD8940" s="13">
        <v>40299</v>
      </c>
      <c r="AE8940" s="12" t="s">
        <v>3988</v>
      </c>
      <c r="AF8940" s="12" t="s">
        <v>4842</v>
      </c>
      <c r="AG8940" s="12" t="s">
        <v>4449</v>
      </c>
      <c r="AH8940" s="1">
        <f>HYPERLINK("https://my.pitchbook.com?c=25415-38T","View Company Online")</f>
      </c>
    </row>
    <row r="8941">
      <c r="A8941" s="3" t="s">
        <v>38588</v>
      </c>
      <c r="B8941" s="3" t="s">
        <v>37245</v>
      </c>
      <c r="C8941" s="5" t="s">
        <v>36</v>
      </c>
      <c r="D8941" s="5" t="s">
        <v>36</v>
      </c>
      <c r="E8941" s="5" t="s">
        <v>36</v>
      </c>
      <c r="F8941" s="5" t="s">
        <v>36</v>
      </c>
      <c r="G8941" s="6" t="s">
        <v>36</v>
      </c>
      <c r="H8941" s="4" t="s">
        <v>36</v>
      </c>
      <c r="I8941" s="7" t="s">
        <v>36</v>
      </c>
      <c r="J8941" s="3" t="s">
        <v>36</v>
      </c>
      <c r="K8941" s="9" t="s">
        <v>36</v>
      </c>
      <c r="L8941" s="6" t="s">
        <v>122</v>
      </c>
      <c r="M8941" s="3" t="s">
        <v>36</v>
      </c>
      <c r="N8941" s="3" t="s">
        <v>122</v>
      </c>
      <c r="O8941" s="8" t="s">
        <v>36</v>
      </c>
      <c r="P8941" s="3" t="s">
        <v>36</v>
      </c>
      <c r="Q8941" s="3" t="s">
        <v>36</v>
      </c>
      <c r="R8941" s="3" t="s">
        <v>36</v>
      </c>
      <c r="S8941" s="3" t="s">
        <v>36</v>
      </c>
      <c r="T8941" s="3" t="s">
        <v>37246</v>
      </c>
      <c r="U8941" s="3" t="s">
        <v>289</v>
      </c>
      <c r="V8941" s="3" t="s">
        <v>64</v>
      </c>
      <c r="W8941" s="3" t="s">
        <v>37247</v>
      </c>
      <c r="X8941" s="10" t="s">
        <v>31667</v>
      </c>
      <c r="Y8941" s="6" t="s">
        <v>42</v>
      </c>
      <c r="Z8941" s="4">
        <v>2.15</v>
      </c>
      <c r="AA8941" s="4" t="s">
        <v>36</v>
      </c>
      <c r="AB8941" s="3" t="s">
        <v>43</v>
      </c>
      <c r="AC8941" s="3" t="s">
        <v>37249</v>
      </c>
      <c r="AD8941" s="9">
        <v>40299</v>
      </c>
      <c r="AE8941" s="3" t="s">
        <v>3134</v>
      </c>
      <c r="AF8941" s="3" t="s">
        <v>36</v>
      </c>
      <c r="AG8941" s="3" t="s">
        <v>81</v>
      </c>
      <c r="AH8941" s="11">
        <f>HYPERLINK("https://my.pitchbook.com?c=29461-60T","View Company Online")</f>
      </c>
    </row>
    <row r="8942">
      <c r="A8942" s="12" t="s">
        <v>38589</v>
      </c>
      <c r="B8942" s="12" t="s">
        <v>36424</v>
      </c>
      <c r="C8942" s="19" t="s">
        <v>36</v>
      </c>
      <c r="D8942" s="19" t="s">
        <v>36</v>
      </c>
      <c r="E8942" s="19" t="s">
        <v>36</v>
      </c>
      <c r="F8942" s="19" t="s">
        <v>36</v>
      </c>
      <c r="G8942" s="15" t="s">
        <v>36</v>
      </c>
      <c r="H8942" s="14" t="s">
        <v>36</v>
      </c>
      <c r="I8942" s="18" t="s">
        <v>36</v>
      </c>
      <c r="J8942" s="12" t="s">
        <v>36</v>
      </c>
      <c r="K8942" s="13" t="s">
        <v>36</v>
      </c>
      <c r="L8942" s="15" t="s">
        <v>36</v>
      </c>
      <c r="M8942" s="12" t="s">
        <v>36</v>
      </c>
      <c r="N8942" s="12" t="s">
        <v>36</v>
      </c>
      <c r="O8942" s="17" t="s">
        <v>36</v>
      </c>
      <c r="P8942" s="12" t="s">
        <v>36</v>
      </c>
      <c r="Q8942" s="12" t="s">
        <v>36</v>
      </c>
      <c r="R8942" s="12" t="s">
        <v>36</v>
      </c>
      <c r="S8942" s="12" t="s">
        <v>36</v>
      </c>
      <c r="T8942" s="12" t="s">
        <v>2529</v>
      </c>
      <c r="U8942" s="12" t="s">
        <v>219</v>
      </c>
      <c r="V8942" s="12" t="s">
        <v>75</v>
      </c>
      <c r="W8942" s="12" t="s">
        <v>36425</v>
      </c>
      <c r="X8942" s="16" t="s">
        <v>26808</v>
      </c>
      <c r="Y8942" s="15" t="s">
        <v>42</v>
      </c>
      <c r="Z8942" s="14">
        <v>1.34</v>
      </c>
      <c r="AA8942" s="14" t="s">
        <v>36</v>
      </c>
      <c r="AB8942" s="12" t="s">
        <v>56</v>
      </c>
      <c r="AC8942" s="12" t="s">
        <v>36427</v>
      </c>
      <c r="AD8942" s="13">
        <v>40299</v>
      </c>
      <c r="AE8942" s="12" t="s">
        <v>243</v>
      </c>
      <c r="AF8942" s="12" t="s">
        <v>4668</v>
      </c>
      <c r="AG8942" s="12" t="s">
        <v>6520</v>
      </c>
      <c r="AH8942" s="1">
        <f>HYPERLINK("https://my.pitchbook.com?c=25334-11T","View Company Online")</f>
      </c>
    </row>
    <row r="8943">
      <c r="A8943" s="3" t="s">
        <v>38590</v>
      </c>
      <c r="B8943" s="3" t="s">
        <v>38591</v>
      </c>
      <c r="C8943" s="5" t="s">
        <v>36</v>
      </c>
      <c r="D8943" s="5">
        <v>15</v>
      </c>
      <c r="E8943" s="5">
        <v>7</v>
      </c>
      <c r="F8943" s="5">
        <v>18</v>
      </c>
      <c r="G8943" s="6" t="s">
        <v>36</v>
      </c>
      <c r="H8943" s="4">
        <v>78.9</v>
      </c>
      <c r="I8943" s="7">
        <v>28.31</v>
      </c>
      <c r="J8943" s="3" t="s">
        <v>521</v>
      </c>
      <c r="K8943" s="9" t="s">
        <v>36</v>
      </c>
      <c r="L8943" s="6" t="s">
        <v>122</v>
      </c>
      <c r="M8943" s="3" t="s">
        <v>36</v>
      </c>
      <c r="N8943" s="3" t="s">
        <v>122</v>
      </c>
      <c r="O8943" s="8" t="s">
        <v>36</v>
      </c>
      <c r="P8943" s="3" t="s">
        <v>36</v>
      </c>
      <c r="Q8943" s="3" t="s">
        <v>36</v>
      </c>
      <c r="R8943" s="3" t="s">
        <v>36</v>
      </c>
      <c r="S8943" s="3" t="s">
        <v>36</v>
      </c>
      <c r="T8943" s="3" t="s">
        <v>492</v>
      </c>
      <c r="U8943" s="3" t="s">
        <v>96</v>
      </c>
      <c r="V8943" s="3" t="s">
        <v>52</v>
      </c>
      <c r="W8943" s="3" t="s">
        <v>38592</v>
      </c>
      <c r="X8943" s="10" t="s">
        <v>35549</v>
      </c>
      <c r="Y8943" s="6" t="s">
        <v>42</v>
      </c>
      <c r="Z8943" s="4">
        <v>4.03</v>
      </c>
      <c r="AA8943" s="4">
        <v>7.12</v>
      </c>
      <c r="AB8943" s="3" t="s">
        <v>43</v>
      </c>
      <c r="AC8943" s="3" t="s">
        <v>38593</v>
      </c>
      <c r="AD8943" s="9">
        <v>40298</v>
      </c>
      <c r="AE8943" s="3" t="s">
        <v>496</v>
      </c>
      <c r="AF8943" s="3" t="s">
        <v>12607</v>
      </c>
      <c r="AG8943" s="3" t="s">
        <v>652</v>
      </c>
      <c r="AH8943" s="11">
        <f>HYPERLINK("https://my.pitchbook.com?c=26138-08T","View Company Online")</f>
      </c>
    </row>
    <row r="8944">
      <c r="A8944" s="12" t="s">
        <v>38594</v>
      </c>
      <c r="B8944" s="12" t="s">
        <v>37318</v>
      </c>
      <c r="C8944" s="19">
        <v>1</v>
      </c>
      <c r="D8944" s="19">
        <v>91</v>
      </c>
      <c r="E8944" s="19">
        <v>15</v>
      </c>
      <c r="F8944" s="19">
        <v>124</v>
      </c>
      <c r="G8944" s="15" t="s">
        <v>36</v>
      </c>
      <c r="H8944" s="14" t="s">
        <v>36</v>
      </c>
      <c r="I8944" s="18" t="s">
        <v>36</v>
      </c>
      <c r="J8944" s="12" t="s">
        <v>36</v>
      </c>
      <c r="K8944" s="13" t="s">
        <v>36</v>
      </c>
      <c r="L8944" s="15" t="s">
        <v>1279</v>
      </c>
      <c r="M8944" s="12" t="s">
        <v>36</v>
      </c>
      <c r="N8944" s="12" t="s">
        <v>1279</v>
      </c>
      <c r="O8944" s="17" t="s">
        <v>36</v>
      </c>
      <c r="P8944" s="12" t="s">
        <v>36</v>
      </c>
      <c r="Q8944" s="12" t="s">
        <v>36</v>
      </c>
      <c r="R8944" s="12" t="s">
        <v>36</v>
      </c>
      <c r="S8944" s="12" t="s">
        <v>36</v>
      </c>
      <c r="T8944" s="12" t="s">
        <v>4225</v>
      </c>
      <c r="U8944" s="12" t="s">
        <v>96</v>
      </c>
      <c r="V8944" s="12" t="s">
        <v>52</v>
      </c>
      <c r="W8944" s="12" t="s">
        <v>37319</v>
      </c>
      <c r="X8944" s="16" t="s">
        <v>38595</v>
      </c>
      <c r="Y8944" s="15" t="s">
        <v>55</v>
      </c>
      <c r="Z8944" s="14">
        <v>10.78</v>
      </c>
      <c r="AA8944" s="14" t="s">
        <v>36</v>
      </c>
      <c r="AB8944" s="12" t="s">
        <v>56</v>
      </c>
      <c r="AC8944" s="12" t="s">
        <v>37320</v>
      </c>
      <c r="AD8944" s="13">
        <v>40294</v>
      </c>
      <c r="AE8944" s="12" t="s">
        <v>143</v>
      </c>
      <c r="AF8944" s="12" t="s">
        <v>37321</v>
      </c>
      <c r="AG8944" s="12" t="s">
        <v>28138</v>
      </c>
      <c r="AH8944" s="1">
        <f>HYPERLINK("https://my.pitchbook.com?c=25253-74T","View Company Online")</f>
      </c>
    </row>
    <row r="8945">
      <c r="A8945" s="3" t="s">
        <v>38596</v>
      </c>
      <c r="B8945" s="3" t="s">
        <v>38597</v>
      </c>
      <c r="C8945" s="5" t="s">
        <v>36</v>
      </c>
      <c r="D8945" s="5" t="s">
        <v>36</v>
      </c>
      <c r="E8945" s="5" t="s">
        <v>36</v>
      </c>
      <c r="F8945" s="5" t="s">
        <v>36</v>
      </c>
      <c r="G8945" s="6" t="s">
        <v>36</v>
      </c>
      <c r="H8945" s="4" t="s">
        <v>36</v>
      </c>
      <c r="I8945" s="7" t="s">
        <v>36</v>
      </c>
      <c r="J8945" s="3" t="s">
        <v>36</v>
      </c>
      <c r="K8945" s="9" t="s">
        <v>36</v>
      </c>
      <c r="L8945" s="6" t="s">
        <v>36</v>
      </c>
      <c r="M8945" s="3" t="s">
        <v>36</v>
      </c>
      <c r="N8945" s="3" t="s">
        <v>36</v>
      </c>
      <c r="O8945" s="8" t="s">
        <v>36</v>
      </c>
      <c r="P8945" s="3" t="s">
        <v>36</v>
      </c>
      <c r="Q8945" s="3" t="s">
        <v>36</v>
      </c>
      <c r="R8945" s="3" t="s">
        <v>36</v>
      </c>
      <c r="S8945" s="3" t="s">
        <v>36</v>
      </c>
      <c r="T8945" s="3" t="s">
        <v>2811</v>
      </c>
      <c r="U8945" s="3" t="s">
        <v>219</v>
      </c>
      <c r="V8945" s="3" t="s">
        <v>75</v>
      </c>
      <c r="W8945" s="3" t="s">
        <v>38598</v>
      </c>
      <c r="X8945" s="10" t="s">
        <v>38599</v>
      </c>
      <c r="Y8945" s="6" t="s">
        <v>108</v>
      </c>
      <c r="Z8945" s="4">
        <v>3.37</v>
      </c>
      <c r="AA8945" s="4" t="s">
        <v>36</v>
      </c>
      <c r="AB8945" s="3" t="s">
        <v>56</v>
      </c>
      <c r="AC8945" s="3" t="s">
        <v>38600</v>
      </c>
      <c r="AD8945" s="9">
        <v>40294</v>
      </c>
      <c r="AE8945" s="3" t="s">
        <v>223</v>
      </c>
      <c r="AF8945" s="3" t="s">
        <v>571</v>
      </c>
      <c r="AG8945" s="3" t="s">
        <v>38601</v>
      </c>
      <c r="AH8945" s="11">
        <f>HYPERLINK("https://my.pitchbook.com?c=160279-66T","View Company Online")</f>
      </c>
    </row>
    <row r="8946">
      <c r="A8946" s="12" t="s">
        <v>38602</v>
      </c>
      <c r="B8946" s="12" t="s">
        <v>30241</v>
      </c>
      <c r="C8946" s="19" t="s">
        <v>36</v>
      </c>
      <c r="D8946" s="19">
        <v>1</v>
      </c>
      <c r="E8946" s="19">
        <v>1</v>
      </c>
      <c r="F8946" s="19">
        <v>2</v>
      </c>
      <c r="G8946" s="15" t="s">
        <v>36</v>
      </c>
      <c r="H8946" s="14" t="s">
        <v>36</v>
      </c>
      <c r="I8946" s="18" t="s">
        <v>36</v>
      </c>
      <c r="J8946" s="12" t="s">
        <v>36</v>
      </c>
      <c r="K8946" s="13" t="s">
        <v>36</v>
      </c>
      <c r="L8946" s="15" t="s">
        <v>36</v>
      </c>
      <c r="M8946" s="12" t="s">
        <v>36</v>
      </c>
      <c r="N8946" s="12" t="s">
        <v>36</v>
      </c>
      <c r="O8946" s="17" t="s">
        <v>36</v>
      </c>
      <c r="P8946" s="12" t="s">
        <v>36</v>
      </c>
      <c r="Q8946" s="12" t="s">
        <v>36</v>
      </c>
      <c r="R8946" s="12" t="s">
        <v>36</v>
      </c>
      <c r="S8946" s="12" t="s">
        <v>36</v>
      </c>
      <c r="T8946" s="12" t="s">
        <v>30242</v>
      </c>
      <c r="U8946" s="12" t="s">
        <v>233</v>
      </c>
      <c r="V8946" s="12" t="s">
        <v>39</v>
      </c>
      <c r="W8946" s="12" t="s">
        <v>30243</v>
      </c>
      <c r="X8946" s="16" t="s">
        <v>38603</v>
      </c>
      <c r="Y8946" s="15" t="s">
        <v>42</v>
      </c>
      <c r="Z8946" s="14">
        <v>4.04</v>
      </c>
      <c r="AA8946" s="14" t="s">
        <v>36</v>
      </c>
      <c r="AB8946" s="12" t="s">
        <v>43</v>
      </c>
      <c r="AC8946" s="12" t="s">
        <v>30245</v>
      </c>
      <c r="AD8946" s="13">
        <v>40294</v>
      </c>
      <c r="AE8946" s="12" t="s">
        <v>236</v>
      </c>
      <c r="AF8946" s="12" t="s">
        <v>1636</v>
      </c>
      <c r="AG8946" s="12" t="s">
        <v>741</v>
      </c>
      <c r="AH8946" s="1">
        <f>HYPERLINK("https://my.pitchbook.com?c=29235-16T","View Company Online")</f>
      </c>
    </row>
    <row r="8947">
      <c r="A8947" s="3" t="s">
        <v>38604</v>
      </c>
      <c r="B8947" s="3" t="s">
        <v>38605</v>
      </c>
      <c r="C8947" s="5">
        <v>1</v>
      </c>
      <c r="D8947" s="5">
        <v>4</v>
      </c>
      <c r="E8947" s="5">
        <v>5</v>
      </c>
      <c r="F8947" s="5">
        <v>13</v>
      </c>
      <c r="G8947" s="6" t="s">
        <v>36</v>
      </c>
      <c r="H8947" s="4" t="s">
        <v>36</v>
      </c>
      <c r="I8947" s="7" t="s">
        <v>36</v>
      </c>
      <c r="J8947" s="3" t="s">
        <v>36</v>
      </c>
      <c r="K8947" s="9" t="s">
        <v>36</v>
      </c>
      <c r="L8947" s="6" t="s">
        <v>36</v>
      </c>
      <c r="M8947" s="3" t="s">
        <v>36</v>
      </c>
      <c r="N8947" s="3" t="s">
        <v>36</v>
      </c>
      <c r="O8947" s="8" t="s">
        <v>36</v>
      </c>
      <c r="P8947" s="3" t="s">
        <v>36</v>
      </c>
      <c r="Q8947" s="3" t="s">
        <v>36</v>
      </c>
      <c r="R8947" s="3" t="s">
        <v>36</v>
      </c>
      <c r="S8947" s="3" t="s">
        <v>36</v>
      </c>
      <c r="T8947" s="3" t="s">
        <v>38606</v>
      </c>
      <c r="U8947" s="3" t="s">
        <v>279</v>
      </c>
      <c r="V8947" s="3" t="s">
        <v>64</v>
      </c>
      <c r="W8947" s="3" t="s">
        <v>38607</v>
      </c>
      <c r="X8947" s="10" t="s">
        <v>38608</v>
      </c>
      <c r="Y8947" s="6" t="s">
        <v>192</v>
      </c>
      <c r="Z8947" s="4">
        <v>4</v>
      </c>
      <c r="AA8947" s="4" t="s">
        <v>36</v>
      </c>
      <c r="AB8947" s="3" t="s">
        <v>43</v>
      </c>
      <c r="AC8947" s="3" t="s">
        <v>38609</v>
      </c>
      <c r="AD8947" s="9">
        <v>40291</v>
      </c>
      <c r="AE8947" s="3" t="s">
        <v>740</v>
      </c>
      <c r="AF8947" s="3" t="s">
        <v>1636</v>
      </c>
      <c r="AG8947" s="3" t="s">
        <v>81</v>
      </c>
      <c r="AH8947" s="11">
        <f>HYPERLINK("https://my.pitchbook.com?c=32444-92T","View Company Online")</f>
      </c>
    </row>
    <row r="8948">
      <c r="A8948" s="12" t="s">
        <v>38610</v>
      </c>
      <c r="B8948" s="12" t="s">
        <v>38611</v>
      </c>
      <c r="C8948" s="19" t="s">
        <v>36</v>
      </c>
      <c r="D8948" s="19" t="s">
        <v>36</v>
      </c>
      <c r="E8948" s="19" t="s">
        <v>36</v>
      </c>
      <c r="F8948" s="19" t="s">
        <v>36</v>
      </c>
      <c r="G8948" s="15" t="s">
        <v>36</v>
      </c>
      <c r="H8948" s="14">
        <v>1557.85</v>
      </c>
      <c r="I8948" s="18">
        <v>21.57</v>
      </c>
      <c r="J8948" s="12" t="s">
        <v>521</v>
      </c>
      <c r="K8948" s="13" t="s">
        <v>36</v>
      </c>
      <c r="L8948" s="15" t="s">
        <v>36</v>
      </c>
      <c r="M8948" s="12" t="s">
        <v>36</v>
      </c>
      <c r="N8948" s="12" t="s">
        <v>36</v>
      </c>
      <c r="O8948" s="17" t="s">
        <v>36</v>
      </c>
      <c r="P8948" s="12" t="s">
        <v>36</v>
      </c>
      <c r="Q8948" s="12" t="s">
        <v>36</v>
      </c>
      <c r="R8948" s="12" t="s">
        <v>36</v>
      </c>
      <c r="S8948" s="12" t="s">
        <v>36</v>
      </c>
      <c r="T8948" s="12" t="s">
        <v>588</v>
      </c>
      <c r="U8948" s="12" t="s">
        <v>318</v>
      </c>
      <c r="V8948" s="12" t="s">
        <v>39</v>
      </c>
      <c r="W8948" s="12" t="s">
        <v>38612</v>
      </c>
      <c r="X8948" s="16" t="s">
        <v>38613</v>
      </c>
      <c r="Y8948" s="15" t="s">
        <v>42</v>
      </c>
      <c r="Z8948" s="14">
        <v>0.44</v>
      </c>
      <c r="AA8948" s="14">
        <v>2.06</v>
      </c>
      <c r="AB8948" s="12" t="s">
        <v>43</v>
      </c>
      <c r="AC8948" s="12" t="s">
        <v>38614</v>
      </c>
      <c r="AD8948" s="13">
        <v>40289</v>
      </c>
      <c r="AE8948" s="12" t="s">
        <v>417</v>
      </c>
      <c r="AF8948" s="12" t="s">
        <v>38615</v>
      </c>
      <c r="AG8948" s="12" t="s">
        <v>16725</v>
      </c>
      <c r="AH8948" s="1">
        <f>HYPERLINK("https://my.pitchbook.com?c=50909-14T","View Company Online")</f>
      </c>
    </row>
    <row r="8949">
      <c r="A8949" s="3" t="s">
        <v>38616</v>
      </c>
      <c r="B8949" s="3" t="s">
        <v>36407</v>
      </c>
      <c r="C8949" s="5" t="s">
        <v>36</v>
      </c>
      <c r="D8949" s="5" t="s">
        <v>36</v>
      </c>
      <c r="E8949" s="5" t="s">
        <v>36</v>
      </c>
      <c r="F8949" s="5" t="s">
        <v>36</v>
      </c>
      <c r="G8949" s="6" t="s">
        <v>36</v>
      </c>
      <c r="H8949" s="4" t="s">
        <v>36</v>
      </c>
      <c r="I8949" s="7" t="s">
        <v>36</v>
      </c>
      <c r="J8949" s="3" t="s">
        <v>36</v>
      </c>
      <c r="K8949" s="9" t="s">
        <v>36</v>
      </c>
      <c r="L8949" s="6" t="s">
        <v>36</v>
      </c>
      <c r="M8949" s="3" t="s">
        <v>36</v>
      </c>
      <c r="N8949" s="3" t="s">
        <v>36</v>
      </c>
      <c r="O8949" s="8" t="s">
        <v>36</v>
      </c>
      <c r="P8949" s="3" t="s">
        <v>36</v>
      </c>
      <c r="Q8949" s="3" t="s">
        <v>36</v>
      </c>
      <c r="R8949" s="3" t="s">
        <v>36</v>
      </c>
      <c r="S8949" s="3" t="s">
        <v>36</v>
      </c>
      <c r="T8949" s="3" t="s">
        <v>36408</v>
      </c>
      <c r="U8949" s="3" t="s">
        <v>219</v>
      </c>
      <c r="V8949" s="3" t="s">
        <v>75</v>
      </c>
      <c r="W8949" s="3" t="s">
        <v>36409</v>
      </c>
      <c r="X8949" s="10" t="s">
        <v>38617</v>
      </c>
      <c r="Y8949" s="6" t="s">
        <v>42</v>
      </c>
      <c r="Z8949" s="4">
        <v>1.24</v>
      </c>
      <c r="AA8949" s="4" t="s">
        <v>36</v>
      </c>
      <c r="AB8949" s="3" t="s">
        <v>43</v>
      </c>
      <c r="AC8949" s="3" t="s">
        <v>36411</v>
      </c>
      <c r="AD8949" s="9">
        <v>40283</v>
      </c>
      <c r="AE8949" s="3" t="s">
        <v>1032</v>
      </c>
      <c r="AF8949" s="3" t="s">
        <v>1969</v>
      </c>
      <c r="AG8949" s="3" t="s">
        <v>36412</v>
      </c>
      <c r="AH8949" s="11">
        <f>HYPERLINK("https://my.pitchbook.com?c=29379-25T","View Company Online")</f>
      </c>
    </row>
    <row r="8950">
      <c r="A8950" s="12" t="s">
        <v>38618</v>
      </c>
      <c r="B8950" s="12" t="s">
        <v>38619</v>
      </c>
      <c r="C8950" s="19" t="s">
        <v>36</v>
      </c>
      <c r="D8950" s="19" t="s">
        <v>36</v>
      </c>
      <c r="E8950" s="19" t="s">
        <v>36</v>
      </c>
      <c r="F8950" s="19" t="s">
        <v>36</v>
      </c>
      <c r="G8950" s="15" t="s">
        <v>36</v>
      </c>
      <c r="H8950" s="14" t="s">
        <v>36</v>
      </c>
      <c r="I8950" s="18" t="s">
        <v>36</v>
      </c>
      <c r="J8950" s="12" t="s">
        <v>36</v>
      </c>
      <c r="K8950" s="13" t="s">
        <v>36</v>
      </c>
      <c r="L8950" s="15" t="s">
        <v>36</v>
      </c>
      <c r="M8950" s="12" t="s">
        <v>36</v>
      </c>
      <c r="N8950" s="12" t="s">
        <v>36</v>
      </c>
      <c r="O8950" s="17" t="s">
        <v>36</v>
      </c>
      <c r="P8950" s="12" t="s">
        <v>36</v>
      </c>
      <c r="Q8950" s="12" t="s">
        <v>36</v>
      </c>
      <c r="R8950" s="12" t="s">
        <v>36</v>
      </c>
      <c r="S8950" s="12" t="s">
        <v>36</v>
      </c>
      <c r="T8950" s="12" t="s">
        <v>11657</v>
      </c>
      <c r="U8950" s="12" t="s">
        <v>289</v>
      </c>
      <c r="V8950" s="12" t="s">
        <v>64</v>
      </c>
      <c r="W8950" s="12" t="s">
        <v>38620</v>
      </c>
      <c r="X8950" s="16" t="s">
        <v>38621</v>
      </c>
      <c r="Y8950" s="15" t="s">
        <v>108</v>
      </c>
      <c r="Z8950" s="14">
        <v>2.03</v>
      </c>
      <c r="AA8950" s="14" t="s">
        <v>36</v>
      </c>
      <c r="AB8950" s="12" t="s">
        <v>43</v>
      </c>
      <c r="AC8950" s="12" t="s">
        <v>38622</v>
      </c>
      <c r="AD8950" s="13">
        <v>40282</v>
      </c>
      <c r="AE8950" s="12" t="s">
        <v>292</v>
      </c>
      <c r="AF8950" s="12" t="s">
        <v>1077</v>
      </c>
      <c r="AG8950" s="12" t="s">
        <v>81</v>
      </c>
      <c r="AH8950" s="1">
        <f>HYPERLINK("https://my.pitchbook.com?c=52621-57T","View Company Online")</f>
      </c>
    </row>
    <row r="8951">
      <c r="A8951" s="3" t="s">
        <v>38623</v>
      </c>
      <c r="B8951" s="3" t="s">
        <v>36414</v>
      </c>
      <c r="C8951" s="5" t="s">
        <v>36</v>
      </c>
      <c r="D8951" s="5" t="s">
        <v>36</v>
      </c>
      <c r="E8951" s="5">
        <v>1</v>
      </c>
      <c r="F8951" s="5">
        <v>1</v>
      </c>
      <c r="G8951" s="6" t="s">
        <v>36</v>
      </c>
      <c r="H8951" s="4" t="s">
        <v>36</v>
      </c>
      <c r="I8951" s="7" t="s">
        <v>36</v>
      </c>
      <c r="J8951" s="3" t="s">
        <v>36</v>
      </c>
      <c r="K8951" s="9" t="s">
        <v>36</v>
      </c>
      <c r="L8951" s="6" t="s">
        <v>94</v>
      </c>
      <c r="M8951" s="3" t="s">
        <v>36</v>
      </c>
      <c r="N8951" s="3" t="s">
        <v>94</v>
      </c>
      <c r="O8951" s="8" t="s">
        <v>36</v>
      </c>
      <c r="P8951" s="3" t="s">
        <v>36</v>
      </c>
      <c r="Q8951" s="3" t="s">
        <v>36</v>
      </c>
      <c r="R8951" s="3" t="s">
        <v>36</v>
      </c>
      <c r="S8951" s="3" t="s">
        <v>36</v>
      </c>
      <c r="T8951" s="3" t="s">
        <v>36415</v>
      </c>
      <c r="U8951" s="3" t="s">
        <v>279</v>
      </c>
      <c r="V8951" s="3" t="s">
        <v>64</v>
      </c>
      <c r="W8951" s="3" t="s">
        <v>36416</v>
      </c>
      <c r="X8951" s="10" t="s">
        <v>38624</v>
      </c>
      <c r="Y8951" s="6" t="s">
        <v>55</v>
      </c>
      <c r="Z8951" s="4">
        <v>0.82</v>
      </c>
      <c r="AA8951" s="4" t="s">
        <v>36</v>
      </c>
      <c r="AB8951" s="3" t="s">
        <v>43</v>
      </c>
      <c r="AC8951" s="3" t="s">
        <v>36418</v>
      </c>
      <c r="AD8951" s="9">
        <v>40280</v>
      </c>
      <c r="AE8951" s="3" t="s">
        <v>11826</v>
      </c>
      <c r="AF8951" s="3" t="s">
        <v>1636</v>
      </c>
      <c r="AG8951" s="3" t="s">
        <v>186</v>
      </c>
      <c r="AH8951" s="11">
        <f>HYPERLINK("https://my.pitchbook.com?c=35978-23T","View Company Online")</f>
      </c>
    </row>
    <row r="8952">
      <c r="A8952" s="12" t="s">
        <v>38625</v>
      </c>
      <c r="B8952" s="12" t="s">
        <v>4472</v>
      </c>
      <c r="C8952" s="19">
        <v>1</v>
      </c>
      <c r="D8952" s="19">
        <v>22</v>
      </c>
      <c r="E8952" s="19">
        <v>8</v>
      </c>
      <c r="F8952" s="19">
        <v>26</v>
      </c>
      <c r="G8952" s="15" t="s">
        <v>36</v>
      </c>
      <c r="H8952" s="14" t="s">
        <v>36</v>
      </c>
      <c r="I8952" s="18" t="s">
        <v>36</v>
      </c>
      <c r="J8952" s="12" t="s">
        <v>36</v>
      </c>
      <c r="K8952" s="13" t="s">
        <v>36</v>
      </c>
      <c r="L8952" s="15" t="s">
        <v>36</v>
      </c>
      <c r="M8952" s="12" t="s">
        <v>36</v>
      </c>
      <c r="N8952" s="12" t="s">
        <v>36</v>
      </c>
      <c r="O8952" s="17" t="s">
        <v>36</v>
      </c>
      <c r="P8952" s="12" t="s">
        <v>36</v>
      </c>
      <c r="Q8952" s="12" t="s">
        <v>36</v>
      </c>
      <c r="R8952" s="12" t="s">
        <v>36</v>
      </c>
      <c r="S8952" s="12" t="s">
        <v>36</v>
      </c>
      <c r="T8952" s="12" t="s">
        <v>4473</v>
      </c>
      <c r="U8952" s="12" t="s">
        <v>318</v>
      </c>
      <c r="V8952" s="12" t="s">
        <v>39</v>
      </c>
      <c r="W8952" s="12" t="s">
        <v>4474</v>
      </c>
      <c r="X8952" s="16" t="s">
        <v>38626</v>
      </c>
      <c r="Y8952" s="15" t="s">
        <v>42</v>
      </c>
      <c r="Z8952" s="14">
        <v>1.35</v>
      </c>
      <c r="AA8952" s="14" t="s">
        <v>36</v>
      </c>
      <c r="AB8952" s="12" t="s">
        <v>43</v>
      </c>
      <c r="AC8952" s="12" t="s">
        <v>4476</v>
      </c>
      <c r="AD8952" s="13">
        <v>40276</v>
      </c>
      <c r="AE8952" s="12" t="s">
        <v>417</v>
      </c>
      <c r="AF8952" s="12" t="s">
        <v>4477</v>
      </c>
      <c r="AG8952" s="12" t="s">
        <v>765</v>
      </c>
      <c r="AH8952" s="1">
        <f>HYPERLINK("https://my.pitchbook.com?c=25413-40T","View Company Online")</f>
      </c>
    </row>
    <row r="8953">
      <c r="A8953" s="3" t="s">
        <v>38627</v>
      </c>
      <c r="B8953" s="3" t="s">
        <v>36854</v>
      </c>
      <c r="C8953" s="5" t="s">
        <v>36</v>
      </c>
      <c r="D8953" s="5" t="s">
        <v>36</v>
      </c>
      <c r="E8953" s="5" t="s">
        <v>36</v>
      </c>
      <c r="F8953" s="5" t="s">
        <v>36</v>
      </c>
      <c r="G8953" s="6" t="s">
        <v>36</v>
      </c>
      <c r="H8953" s="4" t="s">
        <v>36</v>
      </c>
      <c r="I8953" s="7" t="s">
        <v>36</v>
      </c>
      <c r="J8953" s="3" t="s">
        <v>36</v>
      </c>
      <c r="K8953" s="9" t="s">
        <v>36</v>
      </c>
      <c r="L8953" s="6" t="s">
        <v>36</v>
      </c>
      <c r="M8953" s="3" t="s">
        <v>36</v>
      </c>
      <c r="N8953" s="3" t="s">
        <v>36</v>
      </c>
      <c r="O8953" s="8" t="s">
        <v>36</v>
      </c>
      <c r="P8953" s="3" t="s">
        <v>36</v>
      </c>
      <c r="Q8953" s="3" t="s">
        <v>36</v>
      </c>
      <c r="R8953" s="3" t="s">
        <v>36</v>
      </c>
      <c r="S8953" s="3" t="s">
        <v>36</v>
      </c>
      <c r="T8953" s="3" t="s">
        <v>11006</v>
      </c>
      <c r="U8953" s="3" t="s">
        <v>279</v>
      </c>
      <c r="V8953" s="3" t="s">
        <v>64</v>
      </c>
      <c r="W8953" s="3" t="s">
        <v>36855</v>
      </c>
      <c r="X8953" s="10" t="s">
        <v>9641</v>
      </c>
      <c r="Y8953" s="6" t="s">
        <v>42</v>
      </c>
      <c r="Z8953" s="4">
        <v>1.35</v>
      </c>
      <c r="AA8953" s="4" t="s">
        <v>36</v>
      </c>
      <c r="AB8953" s="3" t="s">
        <v>43</v>
      </c>
      <c r="AC8953" s="3" t="s">
        <v>36857</v>
      </c>
      <c r="AD8953" s="9">
        <v>40275</v>
      </c>
      <c r="AE8953" s="3" t="s">
        <v>283</v>
      </c>
      <c r="AF8953" s="3" t="s">
        <v>4651</v>
      </c>
      <c r="AG8953" s="3" t="s">
        <v>81</v>
      </c>
      <c r="AH8953" s="11">
        <f>HYPERLINK("https://my.pitchbook.com?c=29565-37T","View Company Online")</f>
      </c>
    </row>
    <row r="8954">
      <c r="A8954" s="12" t="s">
        <v>38628</v>
      </c>
      <c r="B8954" s="12" t="s">
        <v>34687</v>
      </c>
      <c r="C8954" s="19">
        <v>1</v>
      </c>
      <c r="D8954" s="19">
        <v>46</v>
      </c>
      <c r="E8954" s="19">
        <v>8</v>
      </c>
      <c r="F8954" s="19">
        <v>50</v>
      </c>
      <c r="G8954" s="15" t="s">
        <v>36</v>
      </c>
      <c r="H8954" s="14" t="s">
        <v>36</v>
      </c>
      <c r="I8954" s="18" t="s">
        <v>36</v>
      </c>
      <c r="J8954" s="12" t="s">
        <v>36</v>
      </c>
      <c r="K8954" s="13" t="s">
        <v>36</v>
      </c>
      <c r="L8954" s="15" t="s">
        <v>36</v>
      </c>
      <c r="M8954" s="12" t="s">
        <v>36</v>
      </c>
      <c r="N8954" s="12" t="s">
        <v>36</v>
      </c>
      <c r="O8954" s="17" t="s">
        <v>36</v>
      </c>
      <c r="P8954" s="12" t="s">
        <v>36</v>
      </c>
      <c r="Q8954" s="12" t="s">
        <v>36</v>
      </c>
      <c r="R8954" s="12" t="s">
        <v>36</v>
      </c>
      <c r="S8954" s="12" t="s">
        <v>36</v>
      </c>
      <c r="T8954" s="12" t="s">
        <v>3264</v>
      </c>
      <c r="U8954" s="12" t="s">
        <v>96</v>
      </c>
      <c r="V8954" s="12" t="s">
        <v>52</v>
      </c>
      <c r="W8954" s="12" t="s">
        <v>34688</v>
      </c>
      <c r="X8954" s="16" t="s">
        <v>38629</v>
      </c>
      <c r="Y8954" s="15" t="s">
        <v>108</v>
      </c>
      <c r="Z8954" s="14">
        <v>3.98</v>
      </c>
      <c r="AA8954" s="14" t="s">
        <v>36</v>
      </c>
      <c r="AB8954" s="12" t="s">
        <v>43</v>
      </c>
      <c r="AC8954" s="12" t="s">
        <v>34690</v>
      </c>
      <c r="AD8954" s="13">
        <v>40274</v>
      </c>
      <c r="AE8954" s="12" t="s">
        <v>496</v>
      </c>
      <c r="AF8954" s="12" t="s">
        <v>34691</v>
      </c>
      <c r="AG8954" s="12" t="s">
        <v>7425</v>
      </c>
      <c r="AH8954" s="1">
        <f>HYPERLINK("https://my.pitchbook.com?c=32436-37T","View Company Online")</f>
      </c>
    </row>
    <row r="8955">
      <c r="A8955" s="3" t="s">
        <v>38630</v>
      </c>
      <c r="B8955" s="3" t="s">
        <v>27614</v>
      </c>
      <c r="C8955" s="5" t="s">
        <v>36</v>
      </c>
      <c r="D8955" s="5" t="s">
        <v>36</v>
      </c>
      <c r="E8955" s="5" t="s">
        <v>36</v>
      </c>
      <c r="F8955" s="5" t="s">
        <v>36</v>
      </c>
      <c r="G8955" s="6" t="s">
        <v>36</v>
      </c>
      <c r="H8955" s="4">
        <v>1.41</v>
      </c>
      <c r="I8955" s="7">
        <v>11.29</v>
      </c>
      <c r="J8955" s="3" t="s">
        <v>521</v>
      </c>
      <c r="K8955" s="9">
        <v>40270</v>
      </c>
      <c r="L8955" s="6" t="s">
        <v>122</v>
      </c>
      <c r="M8955" s="3" t="s">
        <v>36</v>
      </c>
      <c r="N8955" s="3" t="s">
        <v>122</v>
      </c>
      <c r="O8955" s="8" t="s">
        <v>36</v>
      </c>
      <c r="P8955" s="3" t="s">
        <v>36</v>
      </c>
      <c r="Q8955" s="3" t="s">
        <v>36</v>
      </c>
      <c r="R8955" s="3" t="s">
        <v>36</v>
      </c>
      <c r="S8955" s="3" t="s">
        <v>36</v>
      </c>
      <c r="T8955" s="3" t="s">
        <v>522</v>
      </c>
      <c r="U8955" s="3" t="s">
        <v>38</v>
      </c>
      <c r="V8955" s="3" t="s">
        <v>39</v>
      </c>
      <c r="W8955" s="3" t="s">
        <v>27615</v>
      </c>
      <c r="X8955" s="10" t="s">
        <v>38631</v>
      </c>
      <c r="Y8955" s="6" t="s">
        <v>42</v>
      </c>
      <c r="Z8955" s="4">
        <v>0.26</v>
      </c>
      <c r="AA8955" s="4">
        <v>2.28</v>
      </c>
      <c r="AB8955" s="3" t="s">
        <v>43</v>
      </c>
      <c r="AC8955" s="3" t="s">
        <v>27617</v>
      </c>
      <c r="AD8955" s="9">
        <v>40274</v>
      </c>
      <c r="AE8955" s="3" t="s">
        <v>110</v>
      </c>
      <c r="AF8955" s="3" t="s">
        <v>3172</v>
      </c>
      <c r="AG8955" s="3" t="s">
        <v>186</v>
      </c>
      <c r="AH8955" s="11">
        <f>HYPERLINK("https://my.pitchbook.com?c=24525-55T","View Company Online")</f>
      </c>
    </row>
    <row r="8956">
      <c r="A8956" s="12" t="s">
        <v>38632</v>
      </c>
      <c r="B8956" s="12" t="s">
        <v>38633</v>
      </c>
      <c r="C8956" s="19" t="s">
        <v>36</v>
      </c>
      <c r="D8956" s="19" t="s">
        <v>36</v>
      </c>
      <c r="E8956" s="19" t="s">
        <v>36</v>
      </c>
      <c r="F8956" s="19" t="s">
        <v>36</v>
      </c>
      <c r="G8956" s="15" t="s">
        <v>36</v>
      </c>
      <c r="H8956" s="14" t="s">
        <v>36</v>
      </c>
      <c r="I8956" s="18" t="s">
        <v>36</v>
      </c>
      <c r="J8956" s="12" t="s">
        <v>36</v>
      </c>
      <c r="K8956" s="13" t="s">
        <v>36</v>
      </c>
      <c r="L8956" s="15" t="s">
        <v>94</v>
      </c>
      <c r="M8956" s="12" t="s">
        <v>36</v>
      </c>
      <c r="N8956" s="12" t="s">
        <v>94</v>
      </c>
      <c r="O8956" s="17" t="s">
        <v>36</v>
      </c>
      <c r="P8956" s="12" t="s">
        <v>36</v>
      </c>
      <c r="Q8956" s="12" t="s">
        <v>36</v>
      </c>
      <c r="R8956" s="12" t="s">
        <v>36</v>
      </c>
      <c r="S8956" s="12" t="s">
        <v>36</v>
      </c>
      <c r="T8956" s="12" t="s">
        <v>38634</v>
      </c>
      <c r="U8956" s="12" t="s">
        <v>279</v>
      </c>
      <c r="V8956" s="12" t="s">
        <v>64</v>
      </c>
      <c r="W8956" s="12" t="s">
        <v>38635</v>
      </c>
      <c r="X8956" s="16" t="s">
        <v>87</v>
      </c>
      <c r="Y8956" s="15" t="s">
        <v>108</v>
      </c>
      <c r="Z8956" s="14">
        <v>0.86</v>
      </c>
      <c r="AA8956" s="14" t="s">
        <v>36</v>
      </c>
      <c r="AB8956" s="12" t="s">
        <v>56</v>
      </c>
      <c r="AC8956" s="12" t="s">
        <v>38636</v>
      </c>
      <c r="AD8956" s="13">
        <v>40268</v>
      </c>
      <c r="AE8956" s="12" t="s">
        <v>851</v>
      </c>
      <c r="AF8956" s="12" t="s">
        <v>4552</v>
      </c>
      <c r="AG8956" s="12" t="s">
        <v>81</v>
      </c>
      <c r="AH8956" s="1">
        <f>HYPERLINK("https://my.pitchbook.com?c=25411-78T","View Company Online")</f>
      </c>
    </row>
    <row r="8957">
      <c r="A8957" s="3" t="s">
        <v>38637</v>
      </c>
      <c r="B8957" s="3" t="s">
        <v>38638</v>
      </c>
      <c r="C8957" s="5" t="s">
        <v>36</v>
      </c>
      <c r="D8957" s="5" t="s">
        <v>36</v>
      </c>
      <c r="E8957" s="5" t="s">
        <v>36</v>
      </c>
      <c r="F8957" s="5" t="s">
        <v>36</v>
      </c>
      <c r="G8957" s="6" t="s">
        <v>36</v>
      </c>
      <c r="H8957" s="4" t="s">
        <v>36</v>
      </c>
      <c r="I8957" s="7" t="s">
        <v>36</v>
      </c>
      <c r="J8957" s="3" t="s">
        <v>36</v>
      </c>
      <c r="K8957" s="9" t="s">
        <v>36</v>
      </c>
      <c r="L8957" s="6" t="s">
        <v>122</v>
      </c>
      <c r="M8957" s="3" t="s">
        <v>36</v>
      </c>
      <c r="N8957" s="3" t="s">
        <v>122</v>
      </c>
      <c r="O8957" s="8" t="s">
        <v>36</v>
      </c>
      <c r="P8957" s="3" t="s">
        <v>36</v>
      </c>
      <c r="Q8957" s="3" t="s">
        <v>36</v>
      </c>
      <c r="R8957" s="3" t="s">
        <v>36</v>
      </c>
      <c r="S8957" s="3" t="s">
        <v>36</v>
      </c>
      <c r="T8957" s="3" t="s">
        <v>2044</v>
      </c>
      <c r="U8957" s="3" t="s">
        <v>74</v>
      </c>
      <c r="V8957" s="3" t="s">
        <v>75</v>
      </c>
      <c r="W8957" s="3" t="s">
        <v>38639</v>
      </c>
      <c r="X8957" s="10" t="s">
        <v>38640</v>
      </c>
      <c r="Y8957" s="6" t="s">
        <v>108</v>
      </c>
      <c r="Z8957" s="4" t="s">
        <v>36</v>
      </c>
      <c r="AA8957" s="4" t="s">
        <v>36</v>
      </c>
      <c r="AB8957" s="3" t="s">
        <v>43</v>
      </c>
      <c r="AC8957" s="3" t="s">
        <v>38641</v>
      </c>
      <c r="AD8957" s="9">
        <v>40267</v>
      </c>
      <c r="AE8957" s="3" t="s">
        <v>79</v>
      </c>
      <c r="AF8957" s="3" t="s">
        <v>25548</v>
      </c>
      <c r="AG8957" s="3" t="s">
        <v>2088</v>
      </c>
      <c r="AH8957" s="11">
        <f>HYPERLINK("https://my.pitchbook.com?c=181326-88T","View Company Online")</f>
      </c>
    </row>
    <row r="8958">
      <c r="A8958" s="12" t="s">
        <v>38642</v>
      </c>
      <c r="B8958" s="12" t="s">
        <v>38643</v>
      </c>
      <c r="C8958" s="19" t="s">
        <v>36</v>
      </c>
      <c r="D8958" s="19" t="s">
        <v>36</v>
      </c>
      <c r="E8958" s="19" t="s">
        <v>36</v>
      </c>
      <c r="F8958" s="19" t="s">
        <v>36</v>
      </c>
      <c r="G8958" s="15" t="s">
        <v>36</v>
      </c>
      <c r="H8958" s="14" t="s">
        <v>36</v>
      </c>
      <c r="I8958" s="18" t="s">
        <v>36</v>
      </c>
      <c r="J8958" s="12" t="s">
        <v>36</v>
      </c>
      <c r="K8958" s="13" t="s">
        <v>36</v>
      </c>
      <c r="L8958" s="15" t="s">
        <v>122</v>
      </c>
      <c r="M8958" s="12" t="s">
        <v>36</v>
      </c>
      <c r="N8958" s="12" t="s">
        <v>122</v>
      </c>
      <c r="O8958" s="17" t="s">
        <v>36</v>
      </c>
      <c r="P8958" s="12" t="s">
        <v>36</v>
      </c>
      <c r="Q8958" s="12" t="s">
        <v>36</v>
      </c>
      <c r="R8958" s="12" t="s">
        <v>36</v>
      </c>
      <c r="S8958" s="12" t="s">
        <v>36</v>
      </c>
      <c r="T8958" s="12" t="s">
        <v>38644</v>
      </c>
      <c r="U8958" s="12" t="s">
        <v>74</v>
      </c>
      <c r="V8958" s="12" t="s">
        <v>75</v>
      </c>
      <c r="W8958" s="12" t="s">
        <v>38645</v>
      </c>
      <c r="X8958" s="16" t="s">
        <v>5892</v>
      </c>
      <c r="Y8958" s="15" t="s">
        <v>42</v>
      </c>
      <c r="Z8958" s="14">
        <v>1.36</v>
      </c>
      <c r="AA8958" s="14" t="s">
        <v>36</v>
      </c>
      <c r="AB8958" s="12" t="s">
        <v>43</v>
      </c>
      <c r="AC8958" s="12" t="s">
        <v>38646</v>
      </c>
      <c r="AD8958" s="13">
        <v>40266</v>
      </c>
      <c r="AE8958" s="12" t="s">
        <v>362</v>
      </c>
      <c r="AF8958" s="12" t="s">
        <v>468</v>
      </c>
      <c r="AG8958" s="12" t="s">
        <v>3406</v>
      </c>
      <c r="AH8958" s="1">
        <f>HYPERLINK("https://my.pitchbook.com?c=26758-36T","View Company Online")</f>
      </c>
    </row>
    <row r="8959">
      <c r="A8959" s="3" t="s">
        <v>38647</v>
      </c>
      <c r="B8959" s="3" t="s">
        <v>38648</v>
      </c>
      <c r="C8959" s="5" t="s">
        <v>36</v>
      </c>
      <c r="D8959" s="5" t="s">
        <v>36</v>
      </c>
      <c r="E8959" s="5" t="s">
        <v>36</v>
      </c>
      <c r="F8959" s="5" t="s">
        <v>36</v>
      </c>
      <c r="G8959" s="6" t="s">
        <v>36</v>
      </c>
      <c r="H8959" s="4" t="s">
        <v>36</v>
      </c>
      <c r="I8959" s="7">
        <v>25</v>
      </c>
      <c r="J8959" s="3" t="s">
        <v>36</v>
      </c>
      <c r="K8959" s="9" t="s">
        <v>36</v>
      </c>
      <c r="L8959" s="6" t="s">
        <v>36</v>
      </c>
      <c r="M8959" s="3" t="s">
        <v>36</v>
      </c>
      <c r="N8959" s="3" t="s">
        <v>36</v>
      </c>
      <c r="O8959" s="8" t="s">
        <v>36</v>
      </c>
      <c r="P8959" s="3" t="s">
        <v>36</v>
      </c>
      <c r="Q8959" s="3" t="s">
        <v>36</v>
      </c>
      <c r="R8959" s="3" t="s">
        <v>36</v>
      </c>
      <c r="S8959" s="3" t="s">
        <v>36</v>
      </c>
      <c r="T8959" s="3" t="s">
        <v>105</v>
      </c>
      <c r="U8959" s="3" t="s">
        <v>38</v>
      </c>
      <c r="V8959" s="3" t="s">
        <v>39</v>
      </c>
      <c r="W8959" s="3" t="s">
        <v>38649</v>
      </c>
      <c r="X8959" s="10" t="s">
        <v>35673</v>
      </c>
      <c r="Y8959" s="6" t="s">
        <v>42</v>
      </c>
      <c r="Z8959" s="4" t="s">
        <v>36</v>
      </c>
      <c r="AA8959" s="4" t="s">
        <v>36</v>
      </c>
      <c r="AB8959" s="3" t="s">
        <v>43</v>
      </c>
      <c r="AC8959" s="3" t="s">
        <v>38650</v>
      </c>
      <c r="AD8959" s="9">
        <v>40253</v>
      </c>
      <c r="AE8959" s="3" t="s">
        <v>110</v>
      </c>
      <c r="AF8959" s="3" t="s">
        <v>1636</v>
      </c>
      <c r="AG8959" s="3" t="s">
        <v>3733</v>
      </c>
      <c r="AH8959" s="11">
        <f>HYPERLINK("https://my.pitchbook.com?c=26164-54T","View Company Online")</f>
      </c>
    </row>
    <row r="8960">
      <c r="A8960" s="12" t="s">
        <v>38651</v>
      </c>
      <c r="B8960" s="12" t="s">
        <v>38652</v>
      </c>
      <c r="C8960" s="19" t="s">
        <v>36</v>
      </c>
      <c r="D8960" s="19" t="s">
        <v>36</v>
      </c>
      <c r="E8960" s="19" t="s">
        <v>36</v>
      </c>
      <c r="F8960" s="19" t="s">
        <v>36</v>
      </c>
      <c r="G8960" s="15" t="s">
        <v>36</v>
      </c>
      <c r="H8960" s="14" t="s">
        <v>36</v>
      </c>
      <c r="I8960" s="18" t="s">
        <v>36</v>
      </c>
      <c r="J8960" s="12" t="s">
        <v>36</v>
      </c>
      <c r="K8960" s="13" t="s">
        <v>36</v>
      </c>
      <c r="L8960" s="15" t="s">
        <v>36</v>
      </c>
      <c r="M8960" s="12" t="s">
        <v>36</v>
      </c>
      <c r="N8960" s="12" t="s">
        <v>36</v>
      </c>
      <c r="O8960" s="17" t="s">
        <v>36</v>
      </c>
      <c r="P8960" s="12" t="s">
        <v>36</v>
      </c>
      <c r="Q8960" s="12" t="s">
        <v>36</v>
      </c>
      <c r="R8960" s="12" t="s">
        <v>36</v>
      </c>
      <c r="S8960" s="12" t="s">
        <v>36</v>
      </c>
      <c r="T8960" s="12" t="s">
        <v>12375</v>
      </c>
      <c r="U8960" s="12" t="s">
        <v>279</v>
      </c>
      <c r="V8960" s="12" t="s">
        <v>64</v>
      </c>
      <c r="W8960" s="12" t="s">
        <v>38653</v>
      </c>
      <c r="X8960" s="16" t="s">
        <v>38654</v>
      </c>
      <c r="Y8960" s="15" t="s">
        <v>42</v>
      </c>
      <c r="Z8960" s="14" t="s">
        <v>36</v>
      </c>
      <c r="AA8960" s="14" t="s">
        <v>36</v>
      </c>
      <c r="AB8960" s="12" t="s">
        <v>43</v>
      </c>
      <c r="AC8960" s="12" t="s">
        <v>38655</v>
      </c>
      <c r="AD8960" s="13">
        <v>40251</v>
      </c>
      <c r="AE8960" s="12" t="s">
        <v>283</v>
      </c>
      <c r="AF8960" s="12" t="s">
        <v>1636</v>
      </c>
      <c r="AG8960" s="12" t="s">
        <v>81</v>
      </c>
      <c r="AH8960" s="1">
        <f>HYPERLINK("https://my.pitchbook.com?c=33004-72T","View Company Online")</f>
      </c>
    </row>
    <row r="8961">
      <c r="A8961" s="3" t="s">
        <v>38656</v>
      </c>
      <c r="B8961" s="3" t="s">
        <v>35504</v>
      </c>
      <c r="C8961" s="5" t="s">
        <v>36</v>
      </c>
      <c r="D8961" s="5" t="s">
        <v>36</v>
      </c>
      <c r="E8961" s="5" t="s">
        <v>36</v>
      </c>
      <c r="F8961" s="5" t="s">
        <v>36</v>
      </c>
      <c r="G8961" s="6" t="s">
        <v>36</v>
      </c>
      <c r="H8961" s="4" t="s">
        <v>36</v>
      </c>
      <c r="I8961" s="7" t="s">
        <v>36</v>
      </c>
      <c r="J8961" s="3" t="s">
        <v>36</v>
      </c>
      <c r="K8961" s="9" t="s">
        <v>36</v>
      </c>
      <c r="L8961" s="6" t="s">
        <v>94</v>
      </c>
      <c r="M8961" s="3" t="s">
        <v>36</v>
      </c>
      <c r="N8961" s="3" t="s">
        <v>94</v>
      </c>
      <c r="O8961" s="8" t="s">
        <v>36</v>
      </c>
      <c r="P8961" s="3" t="s">
        <v>36</v>
      </c>
      <c r="Q8961" s="3" t="s">
        <v>36</v>
      </c>
      <c r="R8961" s="3" t="s">
        <v>36</v>
      </c>
      <c r="S8961" s="3" t="s">
        <v>36</v>
      </c>
      <c r="T8961" s="3" t="s">
        <v>661</v>
      </c>
      <c r="U8961" s="3" t="s">
        <v>51</v>
      </c>
      <c r="V8961" s="3" t="s">
        <v>52</v>
      </c>
      <c r="W8961" s="3" t="s">
        <v>35505</v>
      </c>
      <c r="X8961" s="10" t="s">
        <v>38657</v>
      </c>
      <c r="Y8961" s="6" t="s">
        <v>192</v>
      </c>
      <c r="Z8961" s="4">
        <v>17.84</v>
      </c>
      <c r="AA8961" s="4" t="s">
        <v>36</v>
      </c>
      <c r="AB8961" s="3" t="s">
        <v>56</v>
      </c>
      <c r="AC8961" s="3" t="s">
        <v>35507</v>
      </c>
      <c r="AD8961" s="9">
        <v>40247</v>
      </c>
      <c r="AE8961" s="3" t="s">
        <v>158</v>
      </c>
      <c r="AF8961" s="3" t="s">
        <v>16640</v>
      </c>
      <c r="AG8961" s="3" t="s">
        <v>35508</v>
      </c>
      <c r="AH8961" s="11">
        <f>HYPERLINK("https://my.pitchbook.com?c=29547-19T","View Company Online")</f>
      </c>
    </row>
    <row r="8962">
      <c r="A8962" s="12" t="s">
        <v>38658</v>
      </c>
      <c r="B8962" s="12" t="s">
        <v>35162</v>
      </c>
      <c r="C8962" s="19">
        <v>16</v>
      </c>
      <c r="D8962" s="19">
        <v>190</v>
      </c>
      <c r="E8962" s="19">
        <v>45</v>
      </c>
      <c r="F8962" s="19">
        <v>349</v>
      </c>
      <c r="G8962" s="15" t="s">
        <v>36</v>
      </c>
      <c r="H8962" s="14" t="s">
        <v>36</v>
      </c>
      <c r="I8962" s="18" t="s">
        <v>36</v>
      </c>
      <c r="J8962" s="12" t="s">
        <v>36</v>
      </c>
      <c r="K8962" s="13">
        <v>40132</v>
      </c>
      <c r="L8962" s="15" t="s">
        <v>36</v>
      </c>
      <c r="M8962" s="12" t="s">
        <v>36</v>
      </c>
      <c r="N8962" s="12" t="s">
        <v>36</v>
      </c>
      <c r="O8962" s="17" t="s">
        <v>36</v>
      </c>
      <c r="P8962" s="12" t="s">
        <v>36</v>
      </c>
      <c r="Q8962" s="12" t="s">
        <v>36</v>
      </c>
      <c r="R8962" s="12" t="s">
        <v>36</v>
      </c>
      <c r="S8962" s="12" t="s">
        <v>36</v>
      </c>
      <c r="T8962" s="12" t="s">
        <v>35163</v>
      </c>
      <c r="U8962" s="12" t="s">
        <v>96</v>
      </c>
      <c r="V8962" s="12" t="s">
        <v>52</v>
      </c>
      <c r="W8962" s="12" t="s">
        <v>35164</v>
      </c>
      <c r="X8962" s="16" t="s">
        <v>38659</v>
      </c>
      <c r="Y8962" s="15" t="s">
        <v>192</v>
      </c>
      <c r="Z8962" s="14">
        <v>10.9</v>
      </c>
      <c r="AA8962" s="14" t="s">
        <v>36</v>
      </c>
      <c r="AB8962" s="12" t="s">
        <v>56</v>
      </c>
      <c r="AC8962" s="12" t="s">
        <v>35166</v>
      </c>
      <c r="AD8962" s="13">
        <v>40245</v>
      </c>
      <c r="AE8962" s="12" t="s">
        <v>12392</v>
      </c>
      <c r="AF8962" s="12" t="s">
        <v>571</v>
      </c>
      <c r="AG8962" s="12" t="s">
        <v>580</v>
      </c>
      <c r="AH8962" s="1">
        <f>HYPERLINK("https://my.pitchbook.com?c=31401-91T","View Company Online")</f>
      </c>
    </row>
    <row r="8963">
      <c r="A8963" s="3" t="s">
        <v>38660</v>
      </c>
      <c r="B8963" s="3" t="s">
        <v>23116</v>
      </c>
      <c r="C8963" s="5" t="s">
        <v>36</v>
      </c>
      <c r="D8963" s="5" t="s">
        <v>36</v>
      </c>
      <c r="E8963" s="5" t="s">
        <v>36</v>
      </c>
      <c r="F8963" s="5" t="s">
        <v>36</v>
      </c>
      <c r="G8963" s="6" t="s">
        <v>326</v>
      </c>
      <c r="H8963" s="4">
        <v>6.75</v>
      </c>
      <c r="I8963" s="7">
        <v>33.33</v>
      </c>
      <c r="J8963" s="3" t="s">
        <v>521</v>
      </c>
      <c r="K8963" s="9" t="s">
        <v>36</v>
      </c>
      <c r="L8963" s="6" t="s">
        <v>122</v>
      </c>
      <c r="M8963" s="3" t="s">
        <v>36</v>
      </c>
      <c r="N8963" s="3" t="s">
        <v>122</v>
      </c>
      <c r="O8963" s="8" t="s">
        <v>36</v>
      </c>
      <c r="P8963" s="3" t="s">
        <v>36</v>
      </c>
      <c r="Q8963" s="3" t="s">
        <v>36</v>
      </c>
      <c r="R8963" s="3" t="s">
        <v>36</v>
      </c>
      <c r="S8963" s="3" t="s">
        <v>36</v>
      </c>
      <c r="T8963" s="3" t="s">
        <v>105</v>
      </c>
      <c r="U8963" s="3" t="s">
        <v>38</v>
      </c>
      <c r="V8963" s="3" t="s">
        <v>39</v>
      </c>
      <c r="W8963" s="3" t="s">
        <v>23117</v>
      </c>
      <c r="X8963" s="10" t="s">
        <v>38661</v>
      </c>
      <c r="Y8963" s="6" t="s">
        <v>42</v>
      </c>
      <c r="Z8963" s="4">
        <v>5.45</v>
      </c>
      <c r="AA8963" s="4">
        <v>16.35</v>
      </c>
      <c r="AB8963" s="3" t="s">
        <v>56</v>
      </c>
      <c r="AC8963" s="3" t="s">
        <v>23119</v>
      </c>
      <c r="AD8963" s="9">
        <v>40245</v>
      </c>
      <c r="AE8963" s="3" t="s">
        <v>110</v>
      </c>
      <c r="AF8963" s="3" t="s">
        <v>5001</v>
      </c>
      <c r="AG8963" s="3" t="s">
        <v>81</v>
      </c>
      <c r="AH8963" s="11">
        <f>HYPERLINK("https://my.pitchbook.com?c=25262-02T","View Company Online")</f>
      </c>
    </row>
    <row r="8964">
      <c r="A8964" s="12" t="s">
        <v>38662</v>
      </c>
      <c r="B8964" s="12" t="s">
        <v>33790</v>
      </c>
      <c r="C8964" s="19">
        <v>4</v>
      </c>
      <c r="D8964" s="19">
        <v>62</v>
      </c>
      <c r="E8964" s="19">
        <v>13</v>
      </c>
      <c r="F8964" s="19">
        <v>89</v>
      </c>
      <c r="G8964" s="15" t="s">
        <v>36</v>
      </c>
      <c r="H8964" s="14" t="s">
        <v>36</v>
      </c>
      <c r="I8964" s="18" t="s">
        <v>36</v>
      </c>
      <c r="J8964" s="12" t="s">
        <v>36</v>
      </c>
      <c r="K8964" s="13" t="s">
        <v>36</v>
      </c>
      <c r="L8964" s="15" t="s">
        <v>36</v>
      </c>
      <c r="M8964" s="12" t="s">
        <v>36</v>
      </c>
      <c r="N8964" s="12" t="s">
        <v>36</v>
      </c>
      <c r="O8964" s="17" t="s">
        <v>36</v>
      </c>
      <c r="P8964" s="12" t="s">
        <v>36</v>
      </c>
      <c r="Q8964" s="12" t="s">
        <v>36</v>
      </c>
      <c r="R8964" s="12" t="s">
        <v>36</v>
      </c>
      <c r="S8964" s="12" t="s">
        <v>36</v>
      </c>
      <c r="T8964" s="12" t="s">
        <v>3790</v>
      </c>
      <c r="U8964" s="12" t="s">
        <v>318</v>
      </c>
      <c r="V8964" s="12" t="s">
        <v>39</v>
      </c>
      <c r="W8964" s="12" t="s">
        <v>33791</v>
      </c>
      <c r="X8964" s="16" t="s">
        <v>38099</v>
      </c>
      <c r="Y8964" s="15" t="s">
        <v>108</v>
      </c>
      <c r="Z8964" s="14">
        <v>3.41</v>
      </c>
      <c r="AA8964" s="14" t="s">
        <v>36</v>
      </c>
      <c r="AB8964" s="12" t="s">
        <v>56</v>
      </c>
      <c r="AC8964" s="12" t="s">
        <v>33793</v>
      </c>
      <c r="AD8964" s="13">
        <v>40245</v>
      </c>
      <c r="AE8964" s="12" t="s">
        <v>763</v>
      </c>
      <c r="AF8964" s="12" t="s">
        <v>33794</v>
      </c>
      <c r="AG8964" s="12" t="s">
        <v>392</v>
      </c>
      <c r="AH8964" s="1">
        <f>HYPERLINK("https://my.pitchbook.com?c=25397-20T","View Company Online")</f>
      </c>
    </row>
    <row r="8965">
      <c r="A8965" s="3" t="s">
        <v>38663</v>
      </c>
      <c r="B8965" s="3" t="s">
        <v>36808</v>
      </c>
      <c r="C8965" s="5" t="s">
        <v>36</v>
      </c>
      <c r="D8965" s="5" t="s">
        <v>36</v>
      </c>
      <c r="E8965" s="5" t="s">
        <v>36</v>
      </c>
      <c r="F8965" s="5" t="s">
        <v>36</v>
      </c>
      <c r="G8965" s="6" t="s">
        <v>36</v>
      </c>
      <c r="H8965" s="4" t="s">
        <v>36</v>
      </c>
      <c r="I8965" s="7" t="s">
        <v>36</v>
      </c>
      <c r="J8965" s="3" t="s">
        <v>521</v>
      </c>
      <c r="K8965" s="9" t="s">
        <v>36</v>
      </c>
      <c r="L8965" s="6" t="s">
        <v>122</v>
      </c>
      <c r="M8965" s="3" t="s">
        <v>36</v>
      </c>
      <c r="N8965" s="3" t="s">
        <v>122</v>
      </c>
      <c r="O8965" s="8" t="s">
        <v>36</v>
      </c>
      <c r="P8965" s="3" t="s">
        <v>36</v>
      </c>
      <c r="Q8965" s="3" t="s">
        <v>36</v>
      </c>
      <c r="R8965" s="3" t="s">
        <v>36</v>
      </c>
      <c r="S8965" s="3" t="s">
        <v>36</v>
      </c>
      <c r="T8965" s="3" t="s">
        <v>29297</v>
      </c>
      <c r="U8965" s="3" t="s">
        <v>51</v>
      </c>
      <c r="V8965" s="3" t="s">
        <v>52</v>
      </c>
      <c r="W8965" s="3" t="s">
        <v>36809</v>
      </c>
      <c r="X8965" s="10" t="s">
        <v>38664</v>
      </c>
      <c r="Y8965" s="6" t="s">
        <v>108</v>
      </c>
      <c r="Z8965" s="4">
        <v>6.54</v>
      </c>
      <c r="AA8965" s="4">
        <v>67.85</v>
      </c>
      <c r="AB8965" s="3" t="s">
        <v>43</v>
      </c>
      <c r="AC8965" s="3" t="s">
        <v>36811</v>
      </c>
      <c r="AD8965" s="9">
        <v>40243</v>
      </c>
      <c r="AE8965" s="3" t="s">
        <v>158</v>
      </c>
      <c r="AF8965" s="3" t="s">
        <v>159</v>
      </c>
      <c r="AG8965" s="3" t="s">
        <v>1202</v>
      </c>
      <c r="AH8965" s="11">
        <f>HYPERLINK("https://my.pitchbook.com?c=26184-16T","View Company Online")</f>
      </c>
    </row>
    <row r="8966">
      <c r="A8966" s="12" t="s">
        <v>38665</v>
      </c>
      <c r="B8966" s="12" t="s">
        <v>32744</v>
      </c>
      <c r="C8966" s="19" t="s">
        <v>36</v>
      </c>
      <c r="D8966" s="19" t="s">
        <v>36</v>
      </c>
      <c r="E8966" s="19" t="s">
        <v>36</v>
      </c>
      <c r="F8966" s="19" t="s">
        <v>36</v>
      </c>
      <c r="G8966" s="15" t="s">
        <v>2497</v>
      </c>
      <c r="H8966" s="14">
        <v>99.18</v>
      </c>
      <c r="I8966" s="18">
        <v>34.9</v>
      </c>
      <c r="J8966" s="12" t="s">
        <v>521</v>
      </c>
      <c r="K8966" s="13" t="s">
        <v>36</v>
      </c>
      <c r="L8966" s="15" t="s">
        <v>36</v>
      </c>
      <c r="M8966" s="12" t="s">
        <v>36</v>
      </c>
      <c r="N8966" s="12" t="s">
        <v>36</v>
      </c>
      <c r="O8966" s="17" t="s">
        <v>36</v>
      </c>
      <c r="P8966" s="12" t="s">
        <v>36</v>
      </c>
      <c r="Q8966" s="12" t="s">
        <v>36</v>
      </c>
      <c r="R8966" s="12" t="s">
        <v>36</v>
      </c>
      <c r="S8966" s="12" t="s">
        <v>36</v>
      </c>
      <c r="T8966" s="12" t="s">
        <v>2811</v>
      </c>
      <c r="U8966" s="12" t="s">
        <v>219</v>
      </c>
      <c r="V8966" s="12" t="s">
        <v>75</v>
      </c>
      <c r="W8966" s="12" t="s">
        <v>32745</v>
      </c>
      <c r="X8966" s="16" t="s">
        <v>38666</v>
      </c>
      <c r="Y8966" s="15" t="s">
        <v>55</v>
      </c>
      <c r="Z8966" s="14">
        <v>2.73</v>
      </c>
      <c r="AA8966" s="14">
        <v>4.82</v>
      </c>
      <c r="AB8966" s="12" t="s">
        <v>43</v>
      </c>
      <c r="AC8966" s="12" t="s">
        <v>32746</v>
      </c>
      <c r="AD8966" s="13">
        <v>40238</v>
      </c>
      <c r="AE8966" s="12" t="s">
        <v>223</v>
      </c>
      <c r="AF8966" s="12" t="s">
        <v>733</v>
      </c>
      <c r="AG8966" s="12" t="s">
        <v>81</v>
      </c>
      <c r="AH8966" s="1">
        <f>HYPERLINK("https://my.pitchbook.com?c=30091-51T","View Company Online")</f>
      </c>
    </row>
    <row r="8967">
      <c r="A8967" s="3" t="s">
        <v>38667</v>
      </c>
      <c r="B8967" s="3" t="s">
        <v>38668</v>
      </c>
      <c r="C8967" s="5" t="s">
        <v>36</v>
      </c>
      <c r="D8967" s="5" t="s">
        <v>36</v>
      </c>
      <c r="E8967" s="5" t="s">
        <v>36</v>
      </c>
      <c r="F8967" s="5" t="s">
        <v>36</v>
      </c>
      <c r="G8967" s="6" t="s">
        <v>36</v>
      </c>
      <c r="H8967" s="4" t="s">
        <v>36</v>
      </c>
      <c r="I8967" s="7" t="s">
        <v>36</v>
      </c>
      <c r="J8967" s="3" t="s">
        <v>36</v>
      </c>
      <c r="K8967" s="9" t="s">
        <v>36</v>
      </c>
      <c r="L8967" s="6" t="s">
        <v>36</v>
      </c>
      <c r="M8967" s="3" t="s">
        <v>36</v>
      </c>
      <c r="N8967" s="3" t="s">
        <v>36</v>
      </c>
      <c r="O8967" s="8" t="s">
        <v>36</v>
      </c>
      <c r="P8967" s="3" t="s">
        <v>36</v>
      </c>
      <c r="Q8967" s="3" t="s">
        <v>36</v>
      </c>
      <c r="R8967" s="3" t="s">
        <v>36</v>
      </c>
      <c r="S8967" s="3" t="s">
        <v>36</v>
      </c>
      <c r="T8967" s="3" t="s">
        <v>596</v>
      </c>
      <c r="U8967" s="3" t="s">
        <v>366</v>
      </c>
      <c r="V8967" s="3" t="s">
        <v>367</v>
      </c>
      <c r="W8967" s="3" t="s">
        <v>38669</v>
      </c>
      <c r="X8967" s="10" t="s">
        <v>38670</v>
      </c>
      <c r="Y8967" s="6" t="s">
        <v>42</v>
      </c>
      <c r="Z8967" s="4">
        <v>11.61</v>
      </c>
      <c r="AA8967" s="4" t="s">
        <v>36</v>
      </c>
      <c r="AB8967" s="3" t="s">
        <v>43</v>
      </c>
      <c r="AC8967" s="3" t="s">
        <v>38671</v>
      </c>
      <c r="AD8967" s="9">
        <v>40238</v>
      </c>
      <c r="AE8967" s="3" t="s">
        <v>600</v>
      </c>
      <c r="AF8967" s="3" t="s">
        <v>8789</v>
      </c>
      <c r="AG8967" s="3" t="s">
        <v>81</v>
      </c>
      <c r="AH8967" s="11">
        <f>HYPERLINK("https://my.pitchbook.com?c=32601-70T","View Company Online")</f>
      </c>
    </row>
    <row r="8968">
      <c r="A8968" s="12" t="s">
        <v>38672</v>
      </c>
      <c r="B8968" s="12" t="s">
        <v>38673</v>
      </c>
      <c r="C8968" s="19" t="s">
        <v>36</v>
      </c>
      <c r="D8968" s="19" t="s">
        <v>36</v>
      </c>
      <c r="E8968" s="19" t="s">
        <v>36</v>
      </c>
      <c r="F8968" s="19" t="s">
        <v>36</v>
      </c>
      <c r="G8968" s="15" t="s">
        <v>36</v>
      </c>
      <c r="H8968" s="14" t="s">
        <v>36</v>
      </c>
      <c r="I8968" s="18" t="s">
        <v>36</v>
      </c>
      <c r="J8968" s="12" t="s">
        <v>36</v>
      </c>
      <c r="K8968" s="13" t="s">
        <v>36</v>
      </c>
      <c r="L8968" s="15" t="s">
        <v>94</v>
      </c>
      <c r="M8968" s="12" t="s">
        <v>36</v>
      </c>
      <c r="N8968" s="12" t="s">
        <v>94</v>
      </c>
      <c r="O8968" s="17" t="s">
        <v>36</v>
      </c>
      <c r="P8968" s="12" t="s">
        <v>36</v>
      </c>
      <c r="Q8968" s="12" t="s">
        <v>36</v>
      </c>
      <c r="R8968" s="12" t="s">
        <v>36</v>
      </c>
      <c r="S8968" s="12" t="s">
        <v>36</v>
      </c>
      <c r="T8968" s="12" t="s">
        <v>1106</v>
      </c>
      <c r="U8968" s="12" t="s">
        <v>38</v>
      </c>
      <c r="V8968" s="12" t="s">
        <v>39</v>
      </c>
      <c r="W8968" s="12" t="s">
        <v>38674</v>
      </c>
      <c r="X8968" s="16" t="s">
        <v>38675</v>
      </c>
      <c r="Y8968" s="15" t="s">
        <v>55</v>
      </c>
      <c r="Z8968" s="14">
        <v>1.4</v>
      </c>
      <c r="AA8968" s="14" t="s">
        <v>36</v>
      </c>
      <c r="AB8968" s="12" t="s">
        <v>56</v>
      </c>
      <c r="AC8968" s="12" t="s">
        <v>38676</v>
      </c>
      <c r="AD8968" s="13">
        <v>40238</v>
      </c>
      <c r="AE8968" s="12" t="s">
        <v>110</v>
      </c>
      <c r="AF8968" s="12" t="s">
        <v>4552</v>
      </c>
      <c r="AG8968" s="12" t="s">
        <v>38677</v>
      </c>
      <c r="AH8968" s="1">
        <f>HYPERLINK("https://my.pitchbook.com?c=46191-16T","View Company Online")</f>
      </c>
    </row>
    <row r="8969">
      <c r="A8969" s="3" t="s">
        <v>38678</v>
      </c>
      <c r="B8969" s="3" t="s">
        <v>35325</v>
      </c>
      <c r="C8969" s="5" t="s">
        <v>36</v>
      </c>
      <c r="D8969" s="5" t="s">
        <v>36</v>
      </c>
      <c r="E8969" s="5" t="s">
        <v>36</v>
      </c>
      <c r="F8969" s="5" t="s">
        <v>36</v>
      </c>
      <c r="G8969" s="6" t="s">
        <v>36</v>
      </c>
      <c r="H8969" s="4" t="s">
        <v>36</v>
      </c>
      <c r="I8969" s="7" t="s">
        <v>36</v>
      </c>
      <c r="J8969" s="3" t="s">
        <v>36</v>
      </c>
      <c r="K8969" s="9" t="s">
        <v>36</v>
      </c>
      <c r="L8969" s="6" t="s">
        <v>36</v>
      </c>
      <c r="M8969" s="3" t="s">
        <v>36</v>
      </c>
      <c r="N8969" s="3" t="s">
        <v>36</v>
      </c>
      <c r="O8969" s="8" t="s">
        <v>36</v>
      </c>
      <c r="P8969" s="3" t="s">
        <v>36</v>
      </c>
      <c r="Q8969" s="3" t="s">
        <v>36</v>
      </c>
      <c r="R8969" s="3" t="s">
        <v>36</v>
      </c>
      <c r="S8969" s="3" t="s">
        <v>36</v>
      </c>
      <c r="T8969" s="3" t="s">
        <v>12800</v>
      </c>
      <c r="U8969" s="3" t="s">
        <v>833</v>
      </c>
      <c r="V8969" s="3" t="s">
        <v>64</v>
      </c>
      <c r="W8969" s="3" t="s">
        <v>35326</v>
      </c>
      <c r="X8969" s="10" t="s">
        <v>38679</v>
      </c>
      <c r="Y8969" s="6" t="s">
        <v>42</v>
      </c>
      <c r="Z8969" s="4">
        <v>1.37</v>
      </c>
      <c r="AA8969" s="4" t="s">
        <v>36</v>
      </c>
      <c r="AB8969" s="3" t="s">
        <v>43</v>
      </c>
      <c r="AC8969" s="3" t="s">
        <v>35328</v>
      </c>
      <c r="AD8969" s="9">
        <v>40233</v>
      </c>
      <c r="AE8969" s="3" t="s">
        <v>1687</v>
      </c>
      <c r="AF8969" s="3" t="s">
        <v>2118</v>
      </c>
      <c r="AG8969" s="3" t="s">
        <v>6136</v>
      </c>
      <c r="AH8969" s="11">
        <f>HYPERLINK("https://my.pitchbook.com?c=26555-86T","View Company Online")</f>
      </c>
    </row>
    <row r="8970">
      <c r="A8970" s="12" t="s">
        <v>38680</v>
      </c>
      <c r="B8970" s="12" t="s">
        <v>38681</v>
      </c>
      <c r="C8970" s="19" t="s">
        <v>36</v>
      </c>
      <c r="D8970" s="19" t="s">
        <v>36</v>
      </c>
      <c r="E8970" s="19" t="s">
        <v>36</v>
      </c>
      <c r="F8970" s="19" t="s">
        <v>36</v>
      </c>
      <c r="G8970" s="15" t="s">
        <v>36</v>
      </c>
      <c r="H8970" s="14" t="s">
        <v>36</v>
      </c>
      <c r="I8970" s="18" t="s">
        <v>36</v>
      </c>
      <c r="J8970" s="12" t="s">
        <v>36</v>
      </c>
      <c r="K8970" s="13" t="s">
        <v>36</v>
      </c>
      <c r="L8970" s="15" t="s">
        <v>36</v>
      </c>
      <c r="M8970" s="12" t="s">
        <v>36</v>
      </c>
      <c r="N8970" s="12" t="s">
        <v>36</v>
      </c>
      <c r="O8970" s="17" t="s">
        <v>36</v>
      </c>
      <c r="P8970" s="12" t="s">
        <v>36</v>
      </c>
      <c r="Q8970" s="12" t="s">
        <v>36</v>
      </c>
      <c r="R8970" s="12" t="s">
        <v>36</v>
      </c>
      <c r="S8970" s="12" t="s">
        <v>36</v>
      </c>
      <c r="T8970" s="12" t="s">
        <v>550</v>
      </c>
      <c r="U8970" s="12" t="s">
        <v>38</v>
      </c>
      <c r="V8970" s="12" t="s">
        <v>39</v>
      </c>
      <c r="W8970" s="12" t="s">
        <v>38682</v>
      </c>
      <c r="X8970" s="16" t="s">
        <v>38683</v>
      </c>
      <c r="Y8970" s="15" t="s">
        <v>42</v>
      </c>
      <c r="Z8970" s="14">
        <v>5.4</v>
      </c>
      <c r="AA8970" s="14" t="s">
        <v>36</v>
      </c>
      <c r="AB8970" s="12" t="s">
        <v>56</v>
      </c>
      <c r="AC8970" s="12" t="s">
        <v>38684</v>
      </c>
      <c r="AD8970" s="13">
        <v>40231</v>
      </c>
      <c r="AE8970" s="12" t="s">
        <v>554</v>
      </c>
      <c r="AF8970" s="12" t="s">
        <v>28043</v>
      </c>
      <c r="AG8970" s="12" t="s">
        <v>81</v>
      </c>
      <c r="AH8970" s="1">
        <f>HYPERLINK("https://my.pitchbook.com?c=53434-18T","View Company Online")</f>
      </c>
    </row>
    <row r="8971">
      <c r="A8971" s="3" t="s">
        <v>38685</v>
      </c>
      <c r="B8971" s="3" t="s">
        <v>33775</v>
      </c>
      <c r="C8971" s="5" t="s">
        <v>36</v>
      </c>
      <c r="D8971" s="5" t="s">
        <v>36</v>
      </c>
      <c r="E8971" s="5" t="s">
        <v>36</v>
      </c>
      <c r="F8971" s="5" t="s">
        <v>36</v>
      </c>
      <c r="G8971" s="6" t="s">
        <v>36</v>
      </c>
      <c r="H8971" s="4" t="s">
        <v>36</v>
      </c>
      <c r="I8971" s="7" t="s">
        <v>36</v>
      </c>
      <c r="J8971" s="3" t="s">
        <v>36</v>
      </c>
      <c r="K8971" s="9" t="s">
        <v>36</v>
      </c>
      <c r="L8971" s="6" t="s">
        <v>36</v>
      </c>
      <c r="M8971" s="3" t="s">
        <v>36</v>
      </c>
      <c r="N8971" s="3" t="s">
        <v>36</v>
      </c>
      <c r="O8971" s="8" t="s">
        <v>36</v>
      </c>
      <c r="P8971" s="3" t="s">
        <v>36</v>
      </c>
      <c r="Q8971" s="3" t="s">
        <v>36</v>
      </c>
      <c r="R8971" s="3" t="s">
        <v>36</v>
      </c>
      <c r="S8971" s="3" t="s">
        <v>36</v>
      </c>
      <c r="T8971" s="3" t="s">
        <v>33776</v>
      </c>
      <c r="U8971" s="3" t="s">
        <v>38</v>
      </c>
      <c r="V8971" s="3" t="s">
        <v>39</v>
      </c>
      <c r="W8971" s="3" t="s">
        <v>33777</v>
      </c>
      <c r="X8971" s="10" t="s">
        <v>38686</v>
      </c>
      <c r="Y8971" s="6" t="s">
        <v>42</v>
      </c>
      <c r="Z8971" s="4">
        <v>4.17</v>
      </c>
      <c r="AA8971" s="4" t="s">
        <v>36</v>
      </c>
      <c r="AB8971" s="3" t="s">
        <v>43</v>
      </c>
      <c r="AC8971" s="3" t="s">
        <v>33779</v>
      </c>
      <c r="AD8971" s="9">
        <v>40224</v>
      </c>
      <c r="AE8971" s="3" t="s">
        <v>785</v>
      </c>
      <c r="AF8971" s="3" t="s">
        <v>815</v>
      </c>
      <c r="AG8971" s="3" t="s">
        <v>81</v>
      </c>
      <c r="AH8971" s="11">
        <f>HYPERLINK("https://my.pitchbook.com?c=85089-70T","View Company Online")</f>
      </c>
    </row>
    <row r="8972">
      <c r="A8972" s="12" t="s">
        <v>38687</v>
      </c>
      <c r="B8972" s="12" t="s">
        <v>38688</v>
      </c>
      <c r="C8972" s="19" t="s">
        <v>36</v>
      </c>
      <c r="D8972" s="19" t="s">
        <v>36</v>
      </c>
      <c r="E8972" s="19" t="s">
        <v>36</v>
      </c>
      <c r="F8972" s="19" t="s">
        <v>36</v>
      </c>
      <c r="G8972" s="15" t="s">
        <v>36</v>
      </c>
      <c r="H8972" s="14">
        <v>1198.02</v>
      </c>
      <c r="I8972" s="18">
        <v>18.53</v>
      </c>
      <c r="J8972" s="12" t="s">
        <v>521</v>
      </c>
      <c r="K8972" s="13" t="s">
        <v>36</v>
      </c>
      <c r="L8972" s="15" t="s">
        <v>36</v>
      </c>
      <c r="M8972" s="12" t="s">
        <v>36</v>
      </c>
      <c r="N8972" s="12" t="s">
        <v>36</v>
      </c>
      <c r="O8972" s="17" t="s">
        <v>36</v>
      </c>
      <c r="P8972" s="12" t="s">
        <v>36</v>
      </c>
      <c r="Q8972" s="12" t="s">
        <v>36</v>
      </c>
      <c r="R8972" s="12" t="s">
        <v>36</v>
      </c>
      <c r="S8972" s="12" t="s">
        <v>36</v>
      </c>
      <c r="T8972" s="12" t="s">
        <v>768</v>
      </c>
      <c r="U8972" s="12" t="s">
        <v>233</v>
      </c>
      <c r="V8972" s="12" t="s">
        <v>39</v>
      </c>
      <c r="W8972" s="12" t="s">
        <v>38689</v>
      </c>
      <c r="X8972" s="16" t="s">
        <v>26808</v>
      </c>
      <c r="Y8972" s="15" t="s">
        <v>42</v>
      </c>
      <c r="Z8972" s="14">
        <v>1.47</v>
      </c>
      <c r="AA8972" s="14">
        <v>7.91</v>
      </c>
      <c r="AB8972" s="12" t="s">
        <v>43</v>
      </c>
      <c r="AC8972" s="12" t="s">
        <v>38690</v>
      </c>
      <c r="AD8972" s="13">
        <v>40221</v>
      </c>
      <c r="AE8972" s="12" t="s">
        <v>236</v>
      </c>
      <c r="AF8972" s="12" t="s">
        <v>2593</v>
      </c>
      <c r="AG8972" s="12" t="s">
        <v>2088</v>
      </c>
      <c r="AH8972" s="1">
        <f>HYPERLINK("https://my.pitchbook.com?c=36421-93T","View Company Online")</f>
      </c>
    </row>
    <row r="8973">
      <c r="A8973" s="3" t="s">
        <v>38691</v>
      </c>
      <c r="B8973" s="3" t="s">
        <v>38692</v>
      </c>
      <c r="C8973" s="5" t="s">
        <v>36</v>
      </c>
      <c r="D8973" s="5" t="s">
        <v>36</v>
      </c>
      <c r="E8973" s="5" t="s">
        <v>36</v>
      </c>
      <c r="F8973" s="5" t="s">
        <v>36</v>
      </c>
      <c r="G8973" s="6" t="s">
        <v>36</v>
      </c>
      <c r="H8973" s="4" t="s">
        <v>36</v>
      </c>
      <c r="I8973" s="7" t="s">
        <v>36</v>
      </c>
      <c r="J8973" s="3" t="s">
        <v>36</v>
      </c>
      <c r="K8973" s="9" t="s">
        <v>36</v>
      </c>
      <c r="L8973" s="6" t="s">
        <v>36</v>
      </c>
      <c r="M8973" s="3" t="s">
        <v>36</v>
      </c>
      <c r="N8973" s="3" t="s">
        <v>36</v>
      </c>
      <c r="O8973" s="8" t="s">
        <v>36</v>
      </c>
      <c r="P8973" s="3" t="s">
        <v>36</v>
      </c>
      <c r="Q8973" s="3" t="s">
        <v>36</v>
      </c>
      <c r="R8973" s="3" t="s">
        <v>36</v>
      </c>
      <c r="S8973" s="3" t="s">
        <v>36</v>
      </c>
      <c r="T8973" s="3" t="s">
        <v>38693</v>
      </c>
      <c r="U8973" s="3" t="s">
        <v>219</v>
      </c>
      <c r="V8973" s="3" t="s">
        <v>75</v>
      </c>
      <c r="W8973" s="3" t="s">
        <v>38694</v>
      </c>
      <c r="X8973" s="10" t="s">
        <v>29117</v>
      </c>
      <c r="Y8973" s="6" t="s">
        <v>42</v>
      </c>
      <c r="Z8973" s="4">
        <v>1.13</v>
      </c>
      <c r="AA8973" s="4" t="s">
        <v>36</v>
      </c>
      <c r="AB8973" s="3" t="s">
        <v>43</v>
      </c>
      <c r="AC8973" s="3" t="s">
        <v>38695</v>
      </c>
      <c r="AD8973" s="9">
        <v>40217</v>
      </c>
      <c r="AE8973" s="3" t="s">
        <v>1912</v>
      </c>
      <c r="AF8973" s="3" t="s">
        <v>1969</v>
      </c>
      <c r="AG8973" s="3" t="s">
        <v>38696</v>
      </c>
      <c r="AH8973" s="11">
        <f>HYPERLINK("https://my.pitchbook.com?c=71952-13T","View Company Online")</f>
      </c>
    </row>
    <row r="8974">
      <c r="A8974" s="12" t="s">
        <v>38697</v>
      </c>
      <c r="B8974" s="12" t="s">
        <v>38698</v>
      </c>
      <c r="C8974" s="19" t="s">
        <v>36</v>
      </c>
      <c r="D8974" s="19" t="s">
        <v>36</v>
      </c>
      <c r="E8974" s="19" t="s">
        <v>36</v>
      </c>
      <c r="F8974" s="19" t="s">
        <v>36</v>
      </c>
      <c r="G8974" s="15" t="s">
        <v>36</v>
      </c>
      <c r="H8974" s="14" t="s">
        <v>36</v>
      </c>
      <c r="I8974" s="18" t="s">
        <v>36</v>
      </c>
      <c r="J8974" s="12" t="s">
        <v>36</v>
      </c>
      <c r="K8974" s="13" t="s">
        <v>36</v>
      </c>
      <c r="L8974" s="15" t="s">
        <v>36</v>
      </c>
      <c r="M8974" s="12" t="s">
        <v>36</v>
      </c>
      <c r="N8974" s="12" t="s">
        <v>21485</v>
      </c>
      <c r="O8974" s="17" t="s">
        <v>36</v>
      </c>
      <c r="P8974" s="12" t="s">
        <v>36</v>
      </c>
      <c r="Q8974" s="12" t="s">
        <v>36</v>
      </c>
      <c r="R8974" s="12" t="s">
        <v>36</v>
      </c>
      <c r="S8974" s="12" t="s">
        <v>36</v>
      </c>
      <c r="T8974" s="12" t="s">
        <v>26757</v>
      </c>
      <c r="U8974" s="12" t="s">
        <v>233</v>
      </c>
      <c r="V8974" s="12" t="s">
        <v>39</v>
      </c>
      <c r="W8974" s="12" t="s">
        <v>38699</v>
      </c>
      <c r="X8974" s="16" t="s">
        <v>38700</v>
      </c>
      <c r="Y8974" s="15" t="s">
        <v>108</v>
      </c>
      <c r="Z8974" s="14">
        <v>1.91</v>
      </c>
      <c r="AA8974" s="14" t="s">
        <v>36</v>
      </c>
      <c r="AB8974" s="12" t="s">
        <v>43</v>
      </c>
      <c r="AC8974" s="12" t="s">
        <v>38701</v>
      </c>
      <c r="AD8974" s="13">
        <v>40214</v>
      </c>
      <c r="AE8974" s="12" t="s">
        <v>236</v>
      </c>
      <c r="AF8974" s="12" t="s">
        <v>4668</v>
      </c>
      <c r="AG8974" s="12" t="s">
        <v>2088</v>
      </c>
      <c r="AH8974" s="1">
        <f>HYPERLINK("https://my.pitchbook.com?c=26235-64T","View Company Online")</f>
      </c>
    </row>
    <row r="8975">
      <c r="A8975" s="3" t="s">
        <v>38702</v>
      </c>
      <c r="B8975" s="3" t="s">
        <v>37817</v>
      </c>
      <c r="C8975" s="5" t="s">
        <v>36</v>
      </c>
      <c r="D8975" s="5">
        <v>3</v>
      </c>
      <c r="E8975" s="5">
        <v>2</v>
      </c>
      <c r="F8975" s="5">
        <v>5</v>
      </c>
      <c r="G8975" s="6" t="s">
        <v>36</v>
      </c>
      <c r="H8975" s="4">
        <v>6.79</v>
      </c>
      <c r="I8975" s="7">
        <v>23.42</v>
      </c>
      <c r="J8975" s="3" t="s">
        <v>521</v>
      </c>
      <c r="K8975" s="9" t="s">
        <v>36</v>
      </c>
      <c r="L8975" s="6" t="s">
        <v>122</v>
      </c>
      <c r="M8975" s="3" t="s">
        <v>36</v>
      </c>
      <c r="N8975" s="3" t="s">
        <v>122</v>
      </c>
      <c r="O8975" s="8" t="s">
        <v>36</v>
      </c>
      <c r="P8975" s="3" t="s">
        <v>36</v>
      </c>
      <c r="Q8975" s="3" t="s">
        <v>36</v>
      </c>
      <c r="R8975" s="3" t="s">
        <v>36</v>
      </c>
      <c r="S8975" s="3" t="s">
        <v>36</v>
      </c>
      <c r="T8975" s="3" t="s">
        <v>3850</v>
      </c>
      <c r="U8975" s="3" t="s">
        <v>1580</v>
      </c>
      <c r="V8975" s="3" t="s">
        <v>39</v>
      </c>
      <c r="W8975" s="3" t="s">
        <v>37818</v>
      </c>
      <c r="X8975" s="10" t="s">
        <v>37819</v>
      </c>
      <c r="Y8975" s="6" t="s">
        <v>42</v>
      </c>
      <c r="Z8975" s="4">
        <v>8.5</v>
      </c>
      <c r="AA8975" s="4">
        <v>30.25</v>
      </c>
      <c r="AB8975" s="3" t="s">
        <v>56</v>
      </c>
      <c r="AC8975" s="3" t="s">
        <v>37820</v>
      </c>
      <c r="AD8975" s="9">
        <v>40213</v>
      </c>
      <c r="AE8975" s="3" t="s">
        <v>3854</v>
      </c>
      <c r="AF8975" s="3" t="s">
        <v>1636</v>
      </c>
      <c r="AG8975" s="3" t="s">
        <v>392</v>
      </c>
      <c r="AH8975" s="11">
        <f>HYPERLINK("https://my.pitchbook.com?c=26410-96T","View Company Online")</f>
      </c>
    </row>
    <row r="8976">
      <c r="A8976" s="12" t="s">
        <v>38703</v>
      </c>
      <c r="B8976" s="12" t="s">
        <v>34677</v>
      </c>
      <c r="C8976" s="19" t="s">
        <v>36</v>
      </c>
      <c r="D8976" s="19" t="s">
        <v>36</v>
      </c>
      <c r="E8976" s="19" t="s">
        <v>36</v>
      </c>
      <c r="F8976" s="19" t="s">
        <v>36</v>
      </c>
      <c r="G8976" s="15" t="s">
        <v>36</v>
      </c>
      <c r="H8976" s="14">
        <v>817.45</v>
      </c>
      <c r="I8976" s="18">
        <v>27.77</v>
      </c>
      <c r="J8976" s="12" t="s">
        <v>521</v>
      </c>
      <c r="K8976" s="13" t="s">
        <v>36</v>
      </c>
      <c r="L8976" s="15" t="s">
        <v>36</v>
      </c>
      <c r="M8976" s="12" t="s">
        <v>36</v>
      </c>
      <c r="N8976" s="12" t="s">
        <v>36</v>
      </c>
      <c r="O8976" s="17" t="s">
        <v>36</v>
      </c>
      <c r="P8976" s="12" t="s">
        <v>36</v>
      </c>
      <c r="Q8976" s="12" t="s">
        <v>36</v>
      </c>
      <c r="R8976" s="12" t="s">
        <v>36</v>
      </c>
      <c r="S8976" s="12" t="s">
        <v>36</v>
      </c>
      <c r="T8976" s="12" t="s">
        <v>522</v>
      </c>
      <c r="U8976" s="12" t="s">
        <v>38</v>
      </c>
      <c r="V8976" s="12" t="s">
        <v>39</v>
      </c>
      <c r="W8976" s="12" t="s">
        <v>34678</v>
      </c>
      <c r="X8976" s="16" t="s">
        <v>38704</v>
      </c>
      <c r="Y8976" s="15" t="s">
        <v>108</v>
      </c>
      <c r="Z8976" s="14">
        <v>2.84</v>
      </c>
      <c r="AA8976" s="14">
        <v>10.24</v>
      </c>
      <c r="AB8976" s="12" t="s">
        <v>56</v>
      </c>
      <c r="AC8976" s="12" t="s">
        <v>34680</v>
      </c>
      <c r="AD8976" s="13">
        <v>40211</v>
      </c>
      <c r="AE8976" s="12" t="s">
        <v>110</v>
      </c>
      <c r="AF8976" s="12" t="s">
        <v>25548</v>
      </c>
      <c r="AG8976" s="12" t="s">
        <v>16218</v>
      </c>
      <c r="AH8976" s="1">
        <f>HYPERLINK("https://my.pitchbook.com?c=25629-04T","View Company Online")</f>
      </c>
    </row>
    <row r="8977">
      <c r="A8977" s="3" t="s">
        <v>38705</v>
      </c>
      <c r="B8977" s="3" t="s">
        <v>37675</v>
      </c>
      <c r="C8977" s="5" t="s">
        <v>36</v>
      </c>
      <c r="D8977" s="5" t="s">
        <v>36</v>
      </c>
      <c r="E8977" s="5" t="s">
        <v>36</v>
      </c>
      <c r="F8977" s="5" t="s">
        <v>36</v>
      </c>
      <c r="G8977" s="6" t="s">
        <v>36</v>
      </c>
      <c r="H8977" s="4" t="s">
        <v>36</v>
      </c>
      <c r="I8977" s="7" t="s">
        <v>36</v>
      </c>
      <c r="J8977" s="3" t="s">
        <v>36</v>
      </c>
      <c r="K8977" s="9" t="s">
        <v>36</v>
      </c>
      <c r="L8977" s="6" t="s">
        <v>36</v>
      </c>
      <c r="M8977" s="3" t="s">
        <v>36</v>
      </c>
      <c r="N8977" s="3" t="s">
        <v>36</v>
      </c>
      <c r="O8977" s="8" t="s">
        <v>36</v>
      </c>
      <c r="P8977" s="3" t="s">
        <v>36</v>
      </c>
      <c r="Q8977" s="3" t="s">
        <v>36</v>
      </c>
      <c r="R8977" s="3" t="s">
        <v>36</v>
      </c>
      <c r="S8977" s="3" t="s">
        <v>36</v>
      </c>
      <c r="T8977" s="3" t="s">
        <v>37676</v>
      </c>
      <c r="U8977" s="3" t="s">
        <v>74</v>
      </c>
      <c r="V8977" s="3" t="s">
        <v>75</v>
      </c>
      <c r="W8977" s="3" t="s">
        <v>37677</v>
      </c>
      <c r="X8977" s="10" t="s">
        <v>33014</v>
      </c>
      <c r="Y8977" s="6" t="s">
        <v>42</v>
      </c>
      <c r="Z8977" s="4">
        <v>0.71</v>
      </c>
      <c r="AA8977" s="4" t="s">
        <v>36</v>
      </c>
      <c r="AB8977" s="3" t="s">
        <v>43</v>
      </c>
      <c r="AC8977" s="3" t="s">
        <v>37678</v>
      </c>
      <c r="AD8977" s="9">
        <v>40209</v>
      </c>
      <c r="AE8977" s="3" t="s">
        <v>1243</v>
      </c>
      <c r="AF8977" s="3" t="s">
        <v>546</v>
      </c>
      <c r="AG8977" s="3" t="s">
        <v>81</v>
      </c>
      <c r="AH8977" s="11">
        <f>HYPERLINK("https://my.pitchbook.com?c=29655-37T","View Company Online")</f>
      </c>
    </row>
    <row r="8978">
      <c r="A8978" s="12" t="s">
        <v>38706</v>
      </c>
      <c r="B8978" s="12" t="s">
        <v>38707</v>
      </c>
      <c r="C8978" s="19" t="s">
        <v>36</v>
      </c>
      <c r="D8978" s="19" t="s">
        <v>36</v>
      </c>
      <c r="E8978" s="19" t="s">
        <v>36</v>
      </c>
      <c r="F8978" s="19" t="s">
        <v>36</v>
      </c>
      <c r="G8978" s="15" t="s">
        <v>36</v>
      </c>
      <c r="H8978" s="14" t="s">
        <v>36</v>
      </c>
      <c r="I8978" s="18" t="s">
        <v>36</v>
      </c>
      <c r="J8978" s="12" t="s">
        <v>36</v>
      </c>
      <c r="K8978" s="13" t="s">
        <v>36</v>
      </c>
      <c r="L8978" s="15" t="s">
        <v>122</v>
      </c>
      <c r="M8978" s="12" t="s">
        <v>36</v>
      </c>
      <c r="N8978" s="12" t="s">
        <v>122</v>
      </c>
      <c r="O8978" s="17" t="s">
        <v>36</v>
      </c>
      <c r="P8978" s="12" t="s">
        <v>36</v>
      </c>
      <c r="Q8978" s="12" t="s">
        <v>36</v>
      </c>
      <c r="R8978" s="12" t="s">
        <v>36</v>
      </c>
      <c r="S8978" s="12" t="s">
        <v>36</v>
      </c>
      <c r="T8978" s="12" t="s">
        <v>7312</v>
      </c>
      <c r="U8978" s="12" t="s">
        <v>38</v>
      </c>
      <c r="V8978" s="12" t="s">
        <v>39</v>
      </c>
      <c r="W8978" s="12" t="s">
        <v>38708</v>
      </c>
      <c r="X8978" s="16" t="s">
        <v>38709</v>
      </c>
      <c r="Y8978" s="15" t="s">
        <v>42</v>
      </c>
      <c r="Z8978" s="14">
        <v>15.99</v>
      </c>
      <c r="AA8978" s="14" t="s">
        <v>36</v>
      </c>
      <c r="AB8978" s="12" t="s">
        <v>43</v>
      </c>
      <c r="AC8978" s="12" t="s">
        <v>38710</v>
      </c>
      <c r="AD8978" s="13">
        <v>40205</v>
      </c>
      <c r="AE8978" s="12" t="s">
        <v>7316</v>
      </c>
      <c r="AF8978" s="12" t="s">
        <v>2343</v>
      </c>
      <c r="AG8978" s="12" t="s">
        <v>81</v>
      </c>
      <c r="AH8978" s="1">
        <f>HYPERLINK("https://my.pitchbook.com?c=24223-69T","View Company Online")</f>
      </c>
    </row>
    <row r="8979">
      <c r="A8979" s="3" t="s">
        <v>38711</v>
      </c>
      <c r="B8979" s="3" t="s">
        <v>38712</v>
      </c>
      <c r="C8979" s="5" t="s">
        <v>36</v>
      </c>
      <c r="D8979" s="5" t="s">
        <v>36</v>
      </c>
      <c r="E8979" s="5" t="s">
        <v>36</v>
      </c>
      <c r="F8979" s="5" t="s">
        <v>36</v>
      </c>
      <c r="G8979" s="6" t="s">
        <v>36</v>
      </c>
      <c r="H8979" s="4" t="s">
        <v>36</v>
      </c>
      <c r="I8979" s="7" t="s">
        <v>36</v>
      </c>
      <c r="J8979" s="3" t="s">
        <v>36</v>
      </c>
      <c r="K8979" s="9" t="s">
        <v>36</v>
      </c>
      <c r="L8979" s="6" t="s">
        <v>36</v>
      </c>
      <c r="M8979" s="3" t="s">
        <v>36</v>
      </c>
      <c r="N8979" s="3" t="s">
        <v>36</v>
      </c>
      <c r="O8979" s="8" t="s">
        <v>36</v>
      </c>
      <c r="P8979" s="3" t="s">
        <v>36</v>
      </c>
      <c r="Q8979" s="3" t="s">
        <v>36</v>
      </c>
      <c r="R8979" s="3" t="s">
        <v>36</v>
      </c>
      <c r="S8979" s="3" t="s">
        <v>36</v>
      </c>
      <c r="T8979" s="3" t="s">
        <v>6159</v>
      </c>
      <c r="U8979" s="3" t="s">
        <v>648</v>
      </c>
      <c r="V8979" s="3" t="s">
        <v>64</v>
      </c>
      <c r="W8979" s="3" t="s">
        <v>38713</v>
      </c>
      <c r="X8979" s="10" t="s">
        <v>38714</v>
      </c>
      <c r="Y8979" s="6" t="s">
        <v>42</v>
      </c>
      <c r="Z8979" s="4">
        <v>2.15</v>
      </c>
      <c r="AA8979" s="4" t="s">
        <v>36</v>
      </c>
      <c r="AB8979" s="3" t="s">
        <v>56</v>
      </c>
      <c r="AC8979" s="3" t="s">
        <v>38715</v>
      </c>
      <c r="AD8979" s="9">
        <v>40205</v>
      </c>
      <c r="AE8979" s="3" t="s">
        <v>3988</v>
      </c>
      <c r="AF8979" s="3" t="s">
        <v>36</v>
      </c>
      <c r="AG8979" s="3" t="s">
        <v>47</v>
      </c>
      <c r="AH8979" s="11">
        <f>HYPERLINK("https://my.pitchbook.com?c=32623-39T","View Company Online")</f>
      </c>
    </row>
    <row r="8980">
      <c r="A8980" s="12" t="s">
        <v>38716</v>
      </c>
      <c r="B8980" s="12" t="s">
        <v>38717</v>
      </c>
      <c r="C8980" s="19" t="s">
        <v>36</v>
      </c>
      <c r="D8980" s="19" t="s">
        <v>36</v>
      </c>
      <c r="E8980" s="19" t="s">
        <v>36</v>
      </c>
      <c r="F8980" s="19" t="s">
        <v>36</v>
      </c>
      <c r="G8980" s="15" t="s">
        <v>36</v>
      </c>
      <c r="H8980" s="14" t="s">
        <v>36</v>
      </c>
      <c r="I8980" s="18" t="s">
        <v>36</v>
      </c>
      <c r="J8980" s="12" t="s">
        <v>36</v>
      </c>
      <c r="K8980" s="13" t="s">
        <v>36</v>
      </c>
      <c r="L8980" s="15" t="s">
        <v>36</v>
      </c>
      <c r="M8980" s="12" t="s">
        <v>36</v>
      </c>
      <c r="N8980" s="12" t="s">
        <v>36</v>
      </c>
      <c r="O8980" s="17" t="s">
        <v>36</v>
      </c>
      <c r="P8980" s="12" t="s">
        <v>36</v>
      </c>
      <c r="Q8980" s="12" t="s">
        <v>36</v>
      </c>
      <c r="R8980" s="12" t="s">
        <v>36</v>
      </c>
      <c r="S8980" s="12" t="s">
        <v>36</v>
      </c>
      <c r="T8980" s="12" t="s">
        <v>38718</v>
      </c>
      <c r="U8980" s="12" t="s">
        <v>74</v>
      </c>
      <c r="V8980" s="12" t="s">
        <v>75</v>
      </c>
      <c r="W8980" s="12" t="s">
        <v>38719</v>
      </c>
      <c r="X8980" s="16" t="s">
        <v>2130</v>
      </c>
      <c r="Y8980" s="15" t="s">
        <v>192</v>
      </c>
      <c r="Z8980" s="14">
        <v>1.44</v>
      </c>
      <c r="AA8980" s="14" t="s">
        <v>36</v>
      </c>
      <c r="AB8980" s="12" t="s">
        <v>56</v>
      </c>
      <c r="AC8980" s="12" t="s">
        <v>38720</v>
      </c>
      <c r="AD8980" s="13">
        <v>40199</v>
      </c>
      <c r="AE8980" s="12" t="s">
        <v>30255</v>
      </c>
      <c r="AF8980" s="12" t="s">
        <v>38721</v>
      </c>
      <c r="AG8980" s="12" t="s">
        <v>20638</v>
      </c>
      <c r="AH8980" s="1">
        <f>HYPERLINK("https://my.pitchbook.com?c=27991-45T","View Company Online")</f>
      </c>
    </row>
    <row r="8981">
      <c r="A8981" s="3" t="s">
        <v>38722</v>
      </c>
      <c r="B8981" s="3" t="s">
        <v>24547</v>
      </c>
      <c r="C8981" s="5">
        <v>46</v>
      </c>
      <c r="D8981" s="5">
        <v>180</v>
      </c>
      <c r="E8981" s="5">
        <v>93</v>
      </c>
      <c r="F8981" s="5">
        <v>263</v>
      </c>
      <c r="G8981" s="6" t="s">
        <v>36</v>
      </c>
      <c r="H8981" s="4">
        <v>36.85</v>
      </c>
      <c r="I8981" s="7">
        <v>12.65</v>
      </c>
      <c r="J8981" s="3" t="s">
        <v>521</v>
      </c>
      <c r="K8981" s="9" t="s">
        <v>36</v>
      </c>
      <c r="L8981" s="6" t="s">
        <v>36</v>
      </c>
      <c r="M8981" s="3" t="s">
        <v>36</v>
      </c>
      <c r="N8981" s="3" t="s">
        <v>36</v>
      </c>
      <c r="O8981" s="8" t="s">
        <v>36</v>
      </c>
      <c r="P8981" s="3" t="s">
        <v>36</v>
      </c>
      <c r="Q8981" s="3" t="s">
        <v>36</v>
      </c>
      <c r="R8981" s="3" t="s">
        <v>36</v>
      </c>
      <c r="S8981" s="3" t="s">
        <v>36</v>
      </c>
      <c r="T8981" s="3" t="s">
        <v>24548</v>
      </c>
      <c r="U8981" s="3" t="s">
        <v>423</v>
      </c>
      <c r="V8981" s="3" t="s">
        <v>64</v>
      </c>
      <c r="W8981" s="3" t="s">
        <v>24549</v>
      </c>
      <c r="X8981" s="10" t="s">
        <v>38723</v>
      </c>
      <c r="Y8981" s="6" t="s">
        <v>42</v>
      </c>
      <c r="Z8981" s="4">
        <v>1.44</v>
      </c>
      <c r="AA8981" s="4">
        <v>6.97</v>
      </c>
      <c r="AB8981" s="3" t="s">
        <v>43</v>
      </c>
      <c r="AC8981" s="3" t="s">
        <v>24551</v>
      </c>
      <c r="AD8981" s="9">
        <v>40198</v>
      </c>
      <c r="AE8981" s="3" t="s">
        <v>1051</v>
      </c>
      <c r="AF8981" s="3" t="s">
        <v>1008</v>
      </c>
      <c r="AG8981" s="3" t="s">
        <v>899</v>
      </c>
      <c r="AH8981" s="11">
        <f>HYPERLINK("https://my.pitchbook.com?c=125637-67T","View Company Online")</f>
      </c>
    </row>
    <row r="8982">
      <c r="A8982" s="12" t="s">
        <v>38724</v>
      </c>
      <c r="B8982" s="12" t="s">
        <v>38725</v>
      </c>
      <c r="C8982" s="19" t="s">
        <v>36</v>
      </c>
      <c r="D8982" s="19" t="s">
        <v>36</v>
      </c>
      <c r="E8982" s="19" t="s">
        <v>36</v>
      </c>
      <c r="F8982" s="19" t="s">
        <v>36</v>
      </c>
      <c r="G8982" s="15" t="s">
        <v>36</v>
      </c>
      <c r="H8982" s="14" t="s">
        <v>36</v>
      </c>
      <c r="I8982" s="18" t="s">
        <v>36</v>
      </c>
      <c r="J8982" s="12" t="s">
        <v>36</v>
      </c>
      <c r="K8982" s="13" t="s">
        <v>36</v>
      </c>
      <c r="L8982" s="15" t="s">
        <v>36</v>
      </c>
      <c r="M8982" s="12" t="s">
        <v>36</v>
      </c>
      <c r="N8982" s="12" t="s">
        <v>36</v>
      </c>
      <c r="O8982" s="17" t="s">
        <v>36</v>
      </c>
      <c r="P8982" s="12" t="s">
        <v>36</v>
      </c>
      <c r="Q8982" s="12" t="s">
        <v>36</v>
      </c>
      <c r="R8982" s="12" t="s">
        <v>36</v>
      </c>
      <c r="S8982" s="12" t="s">
        <v>36</v>
      </c>
      <c r="T8982" s="12" t="s">
        <v>4733</v>
      </c>
      <c r="U8982" s="12" t="s">
        <v>423</v>
      </c>
      <c r="V8982" s="12" t="s">
        <v>64</v>
      </c>
      <c r="W8982" s="12" t="s">
        <v>38726</v>
      </c>
      <c r="X8982" s="16" t="s">
        <v>29117</v>
      </c>
      <c r="Y8982" s="15" t="s">
        <v>42</v>
      </c>
      <c r="Z8982" s="14">
        <v>1.15</v>
      </c>
      <c r="AA8982" s="14" t="s">
        <v>36</v>
      </c>
      <c r="AB8982" s="12" t="s">
        <v>56</v>
      </c>
      <c r="AC8982" s="12" t="s">
        <v>38727</v>
      </c>
      <c r="AD8982" s="13">
        <v>40198</v>
      </c>
      <c r="AE8982" s="12" t="s">
        <v>1051</v>
      </c>
      <c r="AF8982" s="12" t="s">
        <v>20865</v>
      </c>
      <c r="AG8982" s="12" t="s">
        <v>38728</v>
      </c>
      <c r="AH8982" s="1">
        <f>HYPERLINK("https://my.pitchbook.com?c=67834-36T","View Company Online")</f>
      </c>
    </row>
    <row r="8983">
      <c r="A8983" s="3" t="s">
        <v>38729</v>
      </c>
      <c r="B8983" s="3" t="s">
        <v>38730</v>
      </c>
      <c r="C8983" s="5" t="s">
        <v>36</v>
      </c>
      <c r="D8983" s="5" t="s">
        <v>36</v>
      </c>
      <c r="E8983" s="5" t="s">
        <v>36</v>
      </c>
      <c r="F8983" s="5" t="s">
        <v>36</v>
      </c>
      <c r="G8983" s="6" t="s">
        <v>36</v>
      </c>
      <c r="H8983" s="4" t="s">
        <v>36</v>
      </c>
      <c r="I8983" s="7" t="s">
        <v>36</v>
      </c>
      <c r="J8983" s="3" t="s">
        <v>36</v>
      </c>
      <c r="K8983" s="9" t="s">
        <v>36</v>
      </c>
      <c r="L8983" s="6" t="s">
        <v>36</v>
      </c>
      <c r="M8983" s="3" t="s">
        <v>36</v>
      </c>
      <c r="N8983" s="3" t="s">
        <v>36</v>
      </c>
      <c r="O8983" s="8" t="s">
        <v>36</v>
      </c>
      <c r="P8983" s="3" t="s">
        <v>36</v>
      </c>
      <c r="Q8983" s="3" t="s">
        <v>36</v>
      </c>
      <c r="R8983" s="3" t="s">
        <v>36</v>
      </c>
      <c r="S8983" s="3" t="s">
        <v>36</v>
      </c>
      <c r="T8983" s="3" t="s">
        <v>38731</v>
      </c>
      <c r="U8983" s="3" t="s">
        <v>1580</v>
      </c>
      <c r="V8983" s="3" t="s">
        <v>39</v>
      </c>
      <c r="W8983" s="3" t="s">
        <v>38732</v>
      </c>
      <c r="X8983" s="10" t="s">
        <v>38733</v>
      </c>
      <c r="Y8983" s="6" t="s">
        <v>108</v>
      </c>
      <c r="Z8983" s="4">
        <v>2.87</v>
      </c>
      <c r="AA8983" s="4" t="s">
        <v>36</v>
      </c>
      <c r="AB8983" s="3" t="s">
        <v>43</v>
      </c>
      <c r="AC8983" s="3" t="s">
        <v>38734</v>
      </c>
      <c r="AD8983" s="9">
        <v>40198</v>
      </c>
      <c r="AE8983" s="3" t="s">
        <v>1584</v>
      </c>
      <c r="AF8983" s="3" t="s">
        <v>24285</v>
      </c>
      <c r="AG8983" s="3" t="s">
        <v>5670</v>
      </c>
      <c r="AH8983" s="11">
        <f>HYPERLINK("https://my.pitchbook.com?c=30937-24T","View Company Online")</f>
      </c>
    </row>
    <row r="8984">
      <c r="A8984" s="12" t="s">
        <v>38735</v>
      </c>
      <c r="B8984" s="12" t="s">
        <v>38736</v>
      </c>
      <c r="C8984" s="19" t="s">
        <v>36</v>
      </c>
      <c r="D8984" s="19" t="s">
        <v>36</v>
      </c>
      <c r="E8984" s="19" t="s">
        <v>36</v>
      </c>
      <c r="F8984" s="19" t="s">
        <v>36</v>
      </c>
      <c r="G8984" s="15" t="s">
        <v>36</v>
      </c>
      <c r="H8984" s="14">
        <v>1210.45</v>
      </c>
      <c r="I8984" s="18">
        <v>7.15</v>
      </c>
      <c r="J8984" s="12" t="s">
        <v>521</v>
      </c>
      <c r="K8984" s="13" t="s">
        <v>36</v>
      </c>
      <c r="L8984" s="15" t="s">
        <v>36</v>
      </c>
      <c r="M8984" s="12" t="s">
        <v>36</v>
      </c>
      <c r="N8984" s="12" t="s">
        <v>36</v>
      </c>
      <c r="O8984" s="17" t="s">
        <v>36</v>
      </c>
      <c r="P8984" s="12" t="s">
        <v>36</v>
      </c>
      <c r="Q8984" s="12" t="s">
        <v>36</v>
      </c>
      <c r="R8984" s="12" t="s">
        <v>36</v>
      </c>
      <c r="S8984" s="12" t="s">
        <v>36</v>
      </c>
      <c r="T8984" s="12" t="s">
        <v>676</v>
      </c>
      <c r="U8984" s="12" t="s">
        <v>438</v>
      </c>
      <c r="V8984" s="12" t="s">
        <v>405</v>
      </c>
      <c r="W8984" s="12" t="s">
        <v>38737</v>
      </c>
      <c r="X8984" s="16" t="s">
        <v>38738</v>
      </c>
      <c r="Y8984" s="15" t="s">
        <v>108</v>
      </c>
      <c r="Z8984" s="14">
        <v>0.72</v>
      </c>
      <c r="AA8984" s="14">
        <v>10.06</v>
      </c>
      <c r="AB8984" s="12" t="s">
        <v>43</v>
      </c>
      <c r="AC8984" s="12" t="s">
        <v>38739</v>
      </c>
      <c r="AD8984" s="13">
        <v>40197</v>
      </c>
      <c r="AE8984" s="12" t="s">
        <v>438</v>
      </c>
      <c r="AF8984" s="12" t="s">
        <v>546</v>
      </c>
      <c r="AG8984" s="12" t="s">
        <v>81</v>
      </c>
      <c r="AH8984" s="1">
        <f>HYPERLINK("https://my.pitchbook.com?c=26562-88T","View Company Online")</f>
      </c>
    </row>
    <row r="8985">
      <c r="A8985" s="3" t="s">
        <v>38740</v>
      </c>
      <c r="B8985" s="3" t="s">
        <v>38741</v>
      </c>
      <c r="C8985" s="5">
        <v>1</v>
      </c>
      <c r="D8985" s="5">
        <v>3</v>
      </c>
      <c r="E8985" s="5">
        <v>5</v>
      </c>
      <c r="F8985" s="5">
        <v>12</v>
      </c>
      <c r="G8985" s="6" t="s">
        <v>36</v>
      </c>
      <c r="H8985" s="4" t="s">
        <v>36</v>
      </c>
      <c r="I8985" s="7" t="s">
        <v>36</v>
      </c>
      <c r="J8985" s="3" t="s">
        <v>36</v>
      </c>
      <c r="K8985" s="9" t="s">
        <v>36</v>
      </c>
      <c r="L8985" s="6" t="s">
        <v>94</v>
      </c>
      <c r="M8985" s="3" t="s">
        <v>36</v>
      </c>
      <c r="N8985" s="3" t="s">
        <v>94</v>
      </c>
      <c r="O8985" s="8" t="s">
        <v>36</v>
      </c>
      <c r="P8985" s="3" t="s">
        <v>36</v>
      </c>
      <c r="Q8985" s="3" t="s">
        <v>36</v>
      </c>
      <c r="R8985" s="3" t="s">
        <v>36</v>
      </c>
      <c r="S8985" s="3" t="s">
        <v>36</v>
      </c>
      <c r="T8985" s="3" t="s">
        <v>1951</v>
      </c>
      <c r="U8985" s="3" t="s">
        <v>51</v>
      </c>
      <c r="V8985" s="3" t="s">
        <v>52</v>
      </c>
      <c r="W8985" s="3" t="s">
        <v>38742</v>
      </c>
      <c r="X8985" s="10" t="s">
        <v>38743</v>
      </c>
      <c r="Y8985" s="6" t="s">
        <v>108</v>
      </c>
      <c r="Z8985" s="4">
        <v>4.32</v>
      </c>
      <c r="AA8985" s="4" t="s">
        <v>36</v>
      </c>
      <c r="AB8985" s="3" t="s">
        <v>43</v>
      </c>
      <c r="AC8985" s="3" t="s">
        <v>38744</v>
      </c>
      <c r="AD8985" s="9">
        <v>40196</v>
      </c>
      <c r="AE8985" s="3" t="s">
        <v>158</v>
      </c>
      <c r="AF8985" s="3" t="s">
        <v>159</v>
      </c>
      <c r="AG8985" s="3" t="s">
        <v>38745</v>
      </c>
      <c r="AH8985" s="11">
        <f>HYPERLINK("https://my.pitchbook.com?c=25385-86T","View Company Online")</f>
      </c>
    </row>
    <row r="8986">
      <c r="A8986" s="12" t="s">
        <v>38746</v>
      </c>
      <c r="B8986" s="12" t="s">
        <v>37503</v>
      </c>
      <c r="C8986" s="19" t="s">
        <v>36</v>
      </c>
      <c r="D8986" s="19">
        <v>1</v>
      </c>
      <c r="E8986" s="19">
        <v>1</v>
      </c>
      <c r="F8986" s="19">
        <v>1</v>
      </c>
      <c r="G8986" s="15" t="s">
        <v>36</v>
      </c>
      <c r="H8986" s="14" t="s">
        <v>36</v>
      </c>
      <c r="I8986" s="18" t="s">
        <v>36</v>
      </c>
      <c r="J8986" s="12" t="s">
        <v>36</v>
      </c>
      <c r="K8986" s="13">
        <v>39814</v>
      </c>
      <c r="L8986" s="15" t="s">
        <v>36</v>
      </c>
      <c r="M8986" s="12" t="s">
        <v>36</v>
      </c>
      <c r="N8986" s="12" t="s">
        <v>36</v>
      </c>
      <c r="O8986" s="17" t="s">
        <v>36</v>
      </c>
      <c r="P8986" s="12" t="s">
        <v>36</v>
      </c>
      <c r="Q8986" s="12" t="s">
        <v>36</v>
      </c>
      <c r="R8986" s="12" t="s">
        <v>36</v>
      </c>
      <c r="S8986" s="12" t="s">
        <v>36</v>
      </c>
      <c r="T8986" s="12" t="s">
        <v>3722</v>
      </c>
      <c r="U8986" s="12" t="s">
        <v>96</v>
      </c>
      <c r="V8986" s="12" t="s">
        <v>52</v>
      </c>
      <c r="W8986" s="12" t="s">
        <v>37504</v>
      </c>
      <c r="X8986" s="16" t="s">
        <v>38747</v>
      </c>
      <c r="Y8986" s="15" t="s">
        <v>42</v>
      </c>
      <c r="Z8986" s="14">
        <v>5.04</v>
      </c>
      <c r="AA8986" s="14" t="s">
        <v>36</v>
      </c>
      <c r="AB8986" s="12" t="s">
        <v>43</v>
      </c>
      <c r="AC8986" s="12" t="s">
        <v>37506</v>
      </c>
      <c r="AD8986" s="13">
        <v>40196</v>
      </c>
      <c r="AE8986" s="12" t="s">
        <v>100</v>
      </c>
      <c r="AF8986" s="12" t="s">
        <v>571</v>
      </c>
      <c r="AG8986" s="12" t="s">
        <v>81</v>
      </c>
      <c r="AH8986" s="1">
        <f>HYPERLINK("https://my.pitchbook.com?c=36011-80T","View Company Online")</f>
      </c>
    </row>
    <row r="8987">
      <c r="A8987" s="3" t="s">
        <v>38748</v>
      </c>
      <c r="B8987" s="3" t="s">
        <v>38749</v>
      </c>
      <c r="C8987" s="5" t="s">
        <v>36</v>
      </c>
      <c r="D8987" s="5" t="s">
        <v>36</v>
      </c>
      <c r="E8987" s="5" t="s">
        <v>36</v>
      </c>
      <c r="F8987" s="5" t="s">
        <v>36</v>
      </c>
      <c r="G8987" s="6" t="s">
        <v>36</v>
      </c>
      <c r="H8987" s="4" t="s">
        <v>36</v>
      </c>
      <c r="I8987" s="7" t="s">
        <v>36</v>
      </c>
      <c r="J8987" s="3" t="s">
        <v>36</v>
      </c>
      <c r="K8987" s="9" t="s">
        <v>36</v>
      </c>
      <c r="L8987" s="6" t="s">
        <v>36</v>
      </c>
      <c r="M8987" s="3" t="s">
        <v>36</v>
      </c>
      <c r="N8987" s="3" t="s">
        <v>36</v>
      </c>
      <c r="O8987" s="8" t="s">
        <v>36</v>
      </c>
      <c r="P8987" s="3" t="s">
        <v>36</v>
      </c>
      <c r="Q8987" s="3" t="s">
        <v>36</v>
      </c>
      <c r="R8987" s="3" t="s">
        <v>36</v>
      </c>
      <c r="S8987" s="3" t="s">
        <v>36</v>
      </c>
      <c r="T8987" s="3" t="s">
        <v>550</v>
      </c>
      <c r="U8987" s="3" t="s">
        <v>38</v>
      </c>
      <c r="V8987" s="3" t="s">
        <v>39</v>
      </c>
      <c r="W8987" s="3" t="s">
        <v>38750</v>
      </c>
      <c r="X8987" s="10" t="s">
        <v>20527</v>
      </c>
      <c r="Y8987" s="6" t="s">
        <v>42</v>
      </c>
      <c r="Z8987" s="4">
        <v>0.36</v>
      </c>
      <c r="AA8987" s="4" t="s">
        <v>36</v>
      </c>
      <c r="AB8987" s="3" t="s">
        <v>43</v>
      </c>
      <c r="AC8987" s="3" t="s">
        <v>38751</v>
      </c>
      <c r="AD8987" s="9">
        <v>40196</v>
      </c>
      <c r="AE8987" s="3" t="s">
        <v>554</v>
      </c>
      <c r="AF8987" s="3" t="s">
        <v>28043</v>
      </c>
      <c r="AG8987" s="3" t="s">
        <v>38752</v>
      </c>
      <c r="AH8987" s="11">
        <f>HYPERLINK("https://my.pitchbook.com?c=30021-67T","View Company Online")</f>
      </c>
    </row>
    <row r="8988">
      <c r="A8988" s="12" t="s">
        <v>38753</v>
      </c>
      <c r="B8988" s="12" t="s">
        <v>38754</v>
      </c>
      <c r="C8988" s="19" t="s">
        <v>36</v>
      </c>
      <c r="D8988" s="19" t="s">
        <v>36</v>
      </c>
      <c r="E8988" s="19" t="s">
        <v>36</v>
      </c>
      <c r="F8988" s="19" t="s">
        <v>36</v>
      </c>
      <c r="G8988" s="15" t="s">
        <v>36</v>
      </c>
      <c r="H8988" s="14" t="s">
        <v>36</v>
      </c>
      <c r="I8988" s="18" t="s">
        <v>36</v>
      </c>
      <c r="J8988" s="12" t="s">
        <v>36</v>
      </c>
      <c r="K8988" s="13" t="s">
        <v>36</v>
      </c>
      <c r="L8988" s="15" t="s">
        <v>1279</v>
      </c>
      <c r="M8988" s="12" t="s">
        <v>36</v>
      </c>
      <c r="N8988" s="12" t="s">
        <v>1279</v>
      </c>
      <c r="O8988" s="17" t="s">
        <v>36</v>
      </c>
      <c r="P8988" s="12" t="s">
        <v>36</v>
      </c>
      <c r="Q8988" s="12" t="s">
        <v>36</v>
      </c>
      <c r="R8988" s="12" t="s">
        <v>36</v>
      </c>
      <c r="S8988" s="12" t="s">
        <v>36</v>
      </c>
      <c r="T8988" s="12" t="s">
        <v>24805</v>
      </c>
      <c r="U8988" s="12" t="s">
        <v>74</v>
      </c>
      <c r="V8988" s="12" t="s">
        <v>75</v>
      </c>
      <c r="W8988" s="12" t="s">
        <v>38755</v>
      </c>
      <c r="X8988" s="16" t="s">
        <v>38756</v>
      </c>
      <c r="Y8988" s="15" t="s">
        <v>166</v>
      </c>
      <c r="Z8988" s="14">
        <v>4.34</v>
      </c>
      <c r="AA8988" s="14" t="s">
        <v>36</v>
      </c>
      <c r="AB8988" s="12" t="s">
        <v>56</v>
      </c>
      <c r="AC8988" s="12" t="s">
        <v>38757</v>
      </c>
      <c r="AD8988" s="13">
        <v>40193</v>
      </c>
      <c r="AE8988" s="12" t="s">
        <v>79</v>
      </c>
      <c r="AF8988" s="12" t="s">
        <v>1636</v>
      </c>
      <c r="AG8988" s="12" t="s">
        <v>81</v>
      </c>
      <c r="AH8988" s="1">
        <f>HYPERLINK("https://my.pitchbook.com?c=20391-76T","View Company Online")</f>
      </c>
    </row>
    <row r="8989">
      <c r="A8989" s="3" t="s">
        <v>38758</v>
      </c>
      <c r="B8989" s="3" t="s">
        <v>37837</v>
      </c>
      <c r="C8989" s="5" t="s">
        <v>36</v>
      </c>
      <c r="D8989" s="5">
        <v>1</v>
      </c>
      <c r="E8989" s="5">
        <v>1</v>
      </c>
      <c r="F8989" s="5">
        <v>3</v>
      </c>
      <c r="G8989" s="6" t="s">
        <v>2497</v>
      </c>
      <c r="H8989" s="4">
        <v>0.4</v>
      </c>
      <c r="I8989" s="7">
        <v>25.75</v>
      </c>
      <c r="J8989" s="3" t="s">
        <v>521</v>
      </c>
      <c r="K8989" s="9" t="s">
        <v>36</v>
      </c>
      <c r="L8989" s="6" t="s">
        <v>94</v>
      </c>
      <c r="M8989" s="3" t="s">
        <v>36</v>
      </c>
      <c r="N8989" s="3" t="s">
        <v>94</v>
      </c>
      <c r="O8989" s="8" t="s">
        <v>36</v>
      </c>
      <c r="P8989" s="3" t="s">
        <v>36</v>
      </c>
      <c r="Q8989" s="3" t="s">
        <v>3530</v>
      </c>
      <c r="R8989" s="3" t="s">
        <v>3531</v>
      </c>
      <c r="S8989" s="3" t="s">
        <v>36</v>
      </c>
      <c r="T8989" s="3" t="s">
        <v>37838</v>
      </c>
      <c r="U8989" s="3" t="s">
        <v>1798</v>
      </c>
      <c r="V8989" s="3" t="s">
        <v>39</v>
      </c>
      <c r="W8989" s="3" t="s">
        <v>37839</v>
      </c>
      <c r="X8989" s="10" t="s">
        <v>38759</v>
      </c>
      <c r="Y8989" s="6" t="s">
        <v>55</v>
      </c>
      <c r="Z8989" s="4">
        <v>2.08</v>
      </c>
      <c r="AA8989" s="4">
        <v>8.96</v>
      </c>
      <c r="AB8989" s="3" t="s">
        <v>43</v>
      </c>
      <c r="AC8989" s="3" t="s">
        <v>37841</v>
      </c>
      <c r="AD8989" s="9">
        <v>40192</v>
      </c>
      <c r="AE8989" s="3" t="s">
        <v>4247</v>
      </c>
      <c r="AF8989" s="3" t="s">
        <v>571</v>
      </c>
      <c r="AG8989" s="3" t="s">
        <v>800</v>
      </c>
      <c r="AH8989" s="11">
        <f>HYPERLINK("https://my.pitchbook.com?c=17941-33T","View Company Online")</f>
      </c>
    </row>
    <row r="8990">
      <c r="A8990" s="12" t="s">
        <v>38760</v>
      </c>
      <c r="B8990" s="12" t="s">
        <v>38761</v>
      </c>
      <c r="C8990" s="19" t="s">
        <v>36</v>
      </c>
      <c r="D8990" s="19" t="s">
        <v>36</v>
      </c>
      <c r="E8990" s="19" t="s">
        <v>36</v>
      </c>
      <c r="F8990" s="19" t="s">
        <v>36</v>
      </c>
      <c r="G8990" s="15" t="s">
        <v>36</v>
      </c>
      <c r="H8990" s="14" t="s">
        <v>36</v>
      </c>
      <c r="I8990" s="18" t="s">
        <v>36</v>
      </c>
      <c r="J8990" s="12" t="s">
        <v>36</v>
      </c>
      <c r="K8990" s="13" t="s">
        <v>36</v>
      </c>
      <c r="L8990" s="15" t="s">
        <v>36</v>
      </c>
      <c r="M8990" s="12" t="s">
        <v>36</v>
      </c>
      <c r="N8990" s="12" t="s">
        <v>36</v>
      </c>
      <c r="O8990" s="17" t="s">
        <v>36</v>
      </c>
      <c r="P8990" s="12" t="s">
        <v>36</v>
      </c>
      <c r="Q8990" s="12" t="s">
        <v>36</v>
      </c>
      <c r="R8990" s="12" t="s">
        <v>36</v>
      </c>
      <c r="S8990" s="12" t="s">
        <v>36</v>
      </c>
      <c r="T8990" s="12" t="s">
        <v>17694</v>
      </c>
      <c r="U8990" s="12" t="s">
        <v>38</v>
      </c>
      <c r="V8990" s="12" t="s">
        <v>39</v>
      </c>
      <c r="W8990" s="12" t="s">
        <v>38762</v>
      </c>
      <c r="X8990" s="16" t="s">
        <v>2130</v>
      </c>
      <c r="Y8990" s="15" t="s">
        <v>42</v>
      </c>
      <c r="Z8990" s="14">
        <v>1.65</v>
      </c>
      <c r="AA8990" s="14" t="s">
        <v>36</v>
      </c>
      <c r="AB8990" s="12" t="s">
        <v>56</v>
      </c>
      <c r="AC8990" s="12" t="s">
        <v>38763</v>
      </c>
      <c r="AD8990" s="13">
        <v>40192</v>
      </c>
      <c r="AE8990" s="12" t="s">
        <v>688</v>
      </c>
      <c r="AF8990" s="12" t="s">
        <v>30104</v>
      </c>
      <c r="AG8990" s="12" t="s">
        <v>38764</v>
      </c>
      <c r="AH8990" s="1">
        <f>HYPERLINK("https://my.pitchbook.com?c=51599-08T","View Company Online")</f>
      </c>
    </row>
    <row r="8991">
      <c r="A8991" s="3" t="s">
        <v>38765</v>
      </c>
      <c r="B8991" s="3" t="s">
        <v>34138</v>
      </c>
      <c r="C8991" s="5" t="s">
        <v>36</v>
      </c>
      <c r="D8991" s="5" t="s">
        <v>36</v>
      </c>
      <c r="E8991" s="5" t="s">
        <v>36</v>
      </c>
      <c r="F8991" s="5" t="s">
        <v>36</v>
      </c>
      <c r="G8991" s="6" t="s">
        <v>36</v>
      </c>
      <c r="H8991" s="4" t="s">
        <v>36</v>
      </c>
      <c r="I8991" s="7" t="s">
        <v>36</v>
      </c>
      <c r="J8991" s="3" t="s">
        <v>36</v>
      </c>
      <c r="K8991" s="9" t="s">
        <v>36</v>
      </c>
      <c r="L8991" s="6" t="s">
        <v>36</v>
      </c>
      <c r="M8991" s="3" t="s">
        <v>36</v>
      </c>
      <c r="N8991" s="3" t="s">
        <v>36</v>
      </c>
      <c r="O8991" s="8" t="s">
        <v>36</v>
      </c>
      <c r="P8991" s="3" t="s">
        <v>36</v>
      </c>
      <c r="Q8991" s="3" t="s">
        <v>36</v>
      </c>
      <c r="R8991" s="3" t="s">
        <v>36</v>
      </c>
      <c r="S8991" s="3" t="s">
        <v>36</v>
      </c>
      <c r="T8991" s="3" t="s">
        <v>4230</v>
      </c>
      <c r="U8991" s="3" t="s">
        <v>38</v>
      </c>
      <c r="V8991" s="3" t="s">
        <v>39</v>
      </c>
      <c r="W8991" s="3" t="s">
        <v>34139</v>
      </c>
      <c r="X8991" s="10" t="s">
        <v>37523</v>
      </c>
      <c r="Y8991" s="6" t="s">
        <v>42</v>
      </c>
      <c r="Z8991" s="4">
        <v>2.88</v>
      </c>
      <c r="AA8991" s="4" t="s">
        <v>36</v>
      </c>
      <c r="AB8991" s="3" t="s">
        <v>43</v>
      </c>
      <c r="AC8991" s="3" t="s">
        <v>34141</v>
      </c>
      <c r="AD8991" s="9">
        <v>40191</v>
      </c>
      <c r="AE8991" s="3" t="s">
        <v>110</v>
      </c>
      <c r="AF8991" s="3" t="s">
        <v>2019</v>
      </c>
      <c r="AG8991" s="3" t="s">
        <v>81</v>
      </c>
      <c r="AH8991" s="11">
        <f>HYPERLINK("https://my.pitchbook.com?c=28518-67T","View Company Online")</f>
      </c>
    </row>
    <row r="8992">
      <c r="A8992" s="12" t="s">
        <v>38766</v>
      </c>
      <c r="B8992" s="12" t="s">
        <v>28140</v>
      </c>
      <c r="C8992" s="19" t="s">
        <v>36</v>
      </c>
      <c r="D8992" s="19" t="s">
        <v>36</v>
      </c>
      <c r="E8992" s="19" t="s">
        <v>36</v>
      </c>
      <c r="F8992" s="19" t="s">
        <v>36</v>
      </c>
      <c r="G8992" s="15" t="s">
        <v>326</v>
      </c>
      <c r="H8992" s="14">
        <v>15.6</v>
      </c>
      <c r="I8992" s="18">
        <v>37.66</v>
      </c>
      <c r="J8992" s="12" t="s">
        <v>521</v>
      </c>
      <c r="K8992" s="13">
        <v>40176</v>
      </c>
      <c r="L8992" s="15" t="s">
        <v>94</v>
      </c>
      <c r="M8992" s="12" t="s">
        <v>36</v>
      </c>
      <c r="N8992" s="12" t="s">
        <v>94</v>
      </c>
      <c r="O8992" s="17" t="s">
        <v>36</v>
      </c>
      <c r="P8992" s="12" t="s">
        <v>36</v>
      </c>
      <c r="Q8992" s="12" t="s">
        <v>36</v>
      </c>
      <c r="R8992" s="12" t="s">
        <v>36</v>
      </c>
      <c r="S8992" s="12" t="s">
        <v>36</v>
      </c>
      <c r="T8992" s="12" t="s">
        <v>18352</v>
      </c>
      <c r="U8992" s="12" t="s">
        <v>289</v>
      </c>
      <c r="V8992" s="12" t="s">
        <v>64</v>
      </c>
      <c r="W8992" s="12" t="s">
        <v>28141</v>
      </c>
      <c r="X8992" s="16" t="s">
        <v>38767</v>
      </c>
      <c r="Y8992" s="15" t="s">
        <v>108</v>
      </c>
      <c r="Z8992" s="14">
        <v>17.6</v>
      </c>
      <c r="AA8992" s="14">
        <v>46.74</v>
      </c>
      <c r="AB8992" s="12" t="s">
        <v>43</v>
      </c>
      <c r="AC8992" s="12" t="s">
        <v>28143</v>
      </c>
      <c r="AD8992" s="13">
        <v>40191</v>
      </c>
      <c r="AE8992" s="12" t="s">
        <v>3134</v>
      </c>
      <c r="AF8992" s="12" t="s">
        <v>2118</v>
      </c>
      <c r="AG8992" s="12" t="s">
        <v>969</v>
      </c>
      <c r="AH8992" s="1">
        <f>HYPERLINK("https://my.pitchbook.com?c=24607-81T","View Company Online")</f>
      </c>
    </row>
    <row r="8993">
      <c r="A8993" s="3" t="s">
        <v>38768</v>
      </c>
      <c r="B8993" s="3" t="s">
        <v>38769</v>
      </c>
      <c r="C8993" s="5" t="s">
        <v>36</v>
      </c>
      <c r="D8993" s="5">
        <v>2</v>
      </c>
      <c r="E8993" s="5">
        <v>1</v>
      </c>
      <c r="F8993" s="5">
        <v>2</v>
      </c>
      <c r="G8993" s="6" t="s">
        <v>36</v>
      </c>
      <c r="H8993" s="4" t="s">
        <v>36</v>
      </c>
      <c r="I8993" s="7" t="s">
        <v>36</v>
      </c>
      <c r="J8993" s="3" t="s">
        <v>36</v>
      </c>
      <c r="K8993" s="9" t="s">
        <v>36</v>
      </c>
      <c r="L8993" s="6" t="s">
        <v>36</v>
      </c>
      <c r="M8993" s="3" t="s">
        <v>36</v>
      </c>
      <c r="N8993" s="3" t="s">
        <v>36</v>
      </c>
      <c r="O8993" s="8" t="s">
        <v>36</v>
      </c>
      <c r="P8993" s="3" t="s">
        <v>36</v>
      </c>
      <c r="Q8993" s="3" t="s">
        <v>36</v>
      </c>
      <c r="R8993" s="3" t="s">
        <v>36</v>
      </c>
      <c r="S8993" s="3" t="s">
        <v>36</v>
      </c>
      <c r="T8993" s="3" t="s">
        <v>927</v>
      </c>
      <c r="U8993" s="3" t="s">
        <v>219</v>
      </c>
      <c r="V8993" s="3" t="s">
        <v>75</v>
      </c>
      <c r="W8993" s="3" t="s">
        <v>38770</v>
      </c>
      <c r="X8993" s="10" t="s">
        <v>26808</v>
      </c>
      <c r="Y8993" s="6" t="s">
        <v>42</v>
      </c>
      <c r="Z8993" s="4" t="s">
        <v>36</v>
      </c>
      <c r="AA8993" s="4" t="s">
        <v>36</v>
      </c>
      <c r="AB8993" s="3" t="s">
        <v>56</v>
      </c>
      <c r="AC8993" s="3" t="s">
        <v>38771</v>
      </c>
      <c r="AD8993" s="9">
        <v>40190</v>
      </c>
      <c r="AE8993" s="3" t="s">
        <v>243</v>
      </c>
      <c r="AF8993" s="3" t="s">
        <v>1969</v>
      </c>
      <c r="AG8993" s="3" t="s">
        <v>81</v>
      </c>
      <c r="AH8993" s="11">
        <f>HYPERLINK("https://my.pitchbook.com?c=36370-45T","View Company Online")</f>
      </c>
    </row>
    <row r="8994">
      <c r="A8994" s="12" t="s">
        <v>38772</v>
      </c>
      <c r="B8994" s="12" t="s">
        <v>33694</v>
      </c>
      <c r="C8994" s="19" t="s">
        <v>36</v>
      </c>
      <c r="D8994" s="19" t="s">
        <v>36</v>
      </c>
      <c r="E8994" s="19" t="s">
        <v>36</v>
      </c>
      <c r="F8994" s="19" t="s">
        <v>36</v>
      </c>
      <c r="G8994" s="15" t="s">
        <v>36</v>
      </c>
      <c r="H8994" s="14" t="s">
        <v>36</v>
      </c>
      <c r="I8994" s="18" t="s">
        <v>36</v>
      </c>
      <c r="J8994" s="12" t="s">
        <v>36</v>
      </c>
      <c r="K8994" s="13" t="s">
        <v>36</v>
      </c>
      <c r="L8994" s="15" t="s">
        <v>36</v>
      </c>
      <c r="M8994" s="12" t="s">
        <v>36</v>
      </c>
      <c r="N8994" s="12" t="s">
        <v>36</v>
      </c>
      <c r="O8994" s="17" t="s">
        <v>36</v>
      </c>
      <c r="P8994" s="12" t="s">
        <v>36</v>
      </c>
      <c r="Q8994" s="12" t="s">
        <v>36</v>
      </c>
      <c r="R8994" s="12" t="s">
        <v>36</v>
      </c>
      <c r="S8994" s="12" t="s">
        <v>36</v>
      </c>
      <c r="T8994" s="12" t="s">
        <v>550</v>
      </c>
      <c r="U8994" s="12" t="s">
        <v>38</v>
      </c>
      <c r="V8994" s="12" t="s">
        <v>39</v>
      </c>
      <c r="W8994" s="12" t="s">
        <v>33695</v>
      </c>
      <c r="X8994" s="16" t="s">
        <v>38773</v>
      </c>
      <c r="Y8994" s="15" t="s">
        <v>42</v>
      </c>
      <c r="Z8994" s="14">
        <v>1.44</v>
      </c>
      <c r="AA8994" s="14" t="s">
        <v>36</v>
      </c>
      <c r="AB8994" s="12" t="s">
        <v>56</v>
      </c>
      <c r="AC8994" s="12" t="s">
        <v>33697</v>
      </c>
      <c r="AD8994" s="13">
        <v>40186</v>
      </c>
      <c r="AE8994" s="12" t="s">
        <v>554</v>
      </c>
      <c r="AF8994" s="12" t="s">
        <v>1636</v>
      </c>
      <c r="AG8994" s="12" t="s">
        <v>102</v>
      </c>
      <c r="AH8994" s="1">
        <f>HYPERLINK("https://my.pitchbook.com?c=37244-62T","View Company Online")</f>
      </c>
    </row>
    <row r="8995">
      <c r="A8995" s="3" t="s">
        <v>38774</v>
      </c>
      <c r="B8995" s="3" t="s">
        <v>38775</v>
      </c>
      <c r="C8995" s="5">
        <v>48</v>
      </c>
      <c r="D8995" s="5">
        <v>192</v>
      </c>
      <c r="E8995" s="5">
        <v>126</v>
      </c>
      <c r="F8995" s="5">
        <v>410</v>
      </c>
      <c r="G8995" s="6" t="s">
        <v>36</v>
      </c>
      <c r="H8995" s="4" t="s">
        <v>36</v>
      </c>
      <c r="I8995" s="7" t="s">
        <v>36</v>
      </c>
      <c r="J8995" s="3" t="s">
        <v>36</v>
      </c>
      <c r="K8995" s="9" t="s">
        <v>36</v>
      </c>
      <c r="L8995" s="6" t="s">
        <v>94</v>
      </c>
      <c r="M8995" s="3" t="s">
        <v>36</v>
      </c>
      <c r="N8995" s="3" t="s">
        <v>94</v>
      </c>
      <c r="O8995" s="8" t="s">
        <v>36</v>
      </c>
      <c r="P8995" s="3" t="s">
        <v>36</v>
      </c>
      <c r="Q8995" s="3" t="s">
        <v>36</v>
      </c>
      <c r="R8995" s="3" t="s">
        <v>36</v>
      </c>
      <c r="S8995" s="3" t="s">
        <v>36</v>
      </c>
      <c r="T8995" s="3" t="s">
        <v>9709</v>
      </c>
      <c r="U8995" s="3" t="s">
        <v>51</v>
      </c>
      <c r="V8995" s="3" t="s">
        <v>52</v>
      </c>
      <c r="W8995" s="3" t="s">
        <v>38776</v>
      </c>
      <c r="X8995" s="10" t="s">
        <v>38777</v>
      </c>
      <c r="Y8995" s="6" t="s">
        <v>108</v>
      </c>
      <c r="Z8995" s="4">
        <v>20.21</v>
      </c>
      <c r="AA8995" s="4" t="s">
        <v>36</v>
      </c>
      <c r="AB8995" s="3" t="s">
        <v>43</v>
      </c>
      <c r="AC8995" s="3" t="s">
        <v>38778</v>
      </c>
      <c r="AD8995" s="9">
        <v>40183</v>
      </c>
      <c r="AE8995" s="3" t="s">
        <v>158</v>
      </c>
      <c r="AF8995" s="3" t="s">
        <v>159</v>
      </c>
      <c r="AG8995" s="3" t="s">
        <v>47</v>
      </c>
      <c r="AH8995" s="11">
        <f>HYPERLINK("https://my.pitchbook.com?c=26289-64T","View Company Online")</f>
      </c>
    </row>
    <row r="8996">
      <c r="A8996" s="12" t="s">
        <v>38779</v>
      </c>
      <c r="B8996" s="12" t="s">
        <v>38780</v>
      </c>
      <c r="C8996" s="19" t="s">
        <v>36</v>
      </c>
      <c r="D8996" s="19" t="s">
        <v>36</v>
      </c>
      <c r="E8996" s="19" t="s">
        <v>36</v>
      </c>
      <c r="F8996" s="19" t="s">
        <v>36</v>
      </c>
      <c r="G8996" s="15" t="s">
        <v>36</v>
      </c>
      <c r="H8996" s="14" t="s">
        <v>36</v>
      </c>
      <c r="I8996" s="18" t="s">
        <v>36</v>
      </c>
      <c r="J8996" s="12" t="s">
        <v>36</v>
      </c>
      <c r="K8996" s="13" t="s">
        <v>36</v>
      </c>
      <c r="L8996" s="15" t="s">
        <v>36</v>
      </c>
      <c r="M8996" s="12" t="s">
        <v>36</v>
      </c>
      <c r="N8996" s="12" t="s">
        <v>36</v>
      </c>
      <c r="O8996" s="17" t="s">
        <v>36</v>
      </c>
      <c r="P8996" s="12" t="s">
        <v>36</v>
      </c>
      <c r="Q8996" s="12" t="s">
        <v>36</v>
      </c>
      <c r="R8996" s="12" t="s">
        <v>36</v>
      </c>
      <c r="S8996" s="12" t="s">
        <v>36</v>
      </c>
      <c r="T8996" s="12" t="s">
        <v>38781</v>
      </c>
      <c r="U8996" s="12" t="s">
        <v>63</v>
      </c>
      <c r="V8996" s="12" t="s">
        <v>64</v>
      </c>
      <c r="W8996" s="12" t="s">
        <v>38782</v>
      </c>
      <c r="X8996" s="16" t="s">
        <v>5661</v>
      </c>
      <c r="Y8996" s="15" t="s">
        <v>42</v>
      </c>
      <c r="Z8996" s="14" t="s">
        <v>36</v>
      </c>
      <c r="AA8996" s="14" t="s">
        <v>36</v>
      </c>
      <c r="AB8996" s="12" t="s">
        <v>43</v>
      </c>
      <c r="AC8996" s="12" t="s">
        <v>38783</v>
      </c>
      <c r="AD8996" s="13">
        <v>40181</v>
      </c>
      <c r="AE8996" s="12" t="s">
        <v>4310</v>
      </c>
      <c r="AF8996" s="12" t="s">
        <v>36</v>
      </c>
      <c r="AG8996" s="12" t="s">
        <v>30904</v>
      </c>
      <c r="AH8996" s="1">
        <f>HYPERLINK("https://my.pitchbook.com?c=28025-83T","View Company Online")</f>
      </c>
    </row>
    <row r="8997">
      <c r="A8997" s="3" t="s">
        <v>38784</v>
      </c>
      <c r="B8997" s="3" t="s">
        <v>36715</v>
      </c>
      <c r="C8997" s="5" t="s">
        <v>36</v>
      </c>
      <c r="D8997" s="5" t="s">
        <v>36</v>
      </c>
      <c r="E8997" s="5" t="s">
        <v>36</v>
      </c>
      <c r="F8997" s="5" t="s">
        <v>36</v>
      </c>
      <c r="G8997" s="6" t="s">
        <v>36</v>
      </c>
      <c r="H8997" s="4" t="s">
        <v>36</v>
      </c>
      <c r="I8997" s="7" t="s">
        <v>36</v>
      </c>
      <c r="J8997" s="3" t="s">
        <v>36</v>
      </c>
      <c r="K8997" s="9" t="s">
        <v>36</v>
      </c>
      <c r="L8997" s="6" t="s">
        <v>36</v>
      </c>
      <c r="M8997" s="3" t="s">
        <v>36</v>
      </c>
      <c r="N8997" s="3" t="s">
        <v>36</v>
      </c>
      <c r="O8997" s="8" t="s">
        <v>36</v>
      </c>
      <c r="P8997" s="3" t="s">
        <v>36</v>
      </c>
      <c r="Q8997" s="3" t="s">
        <v>36</v>
      </c>
      <c r="R8997" s="3" t="s">
        <v>36</v>
      </c>
      <c r="S8997" s="3" t="s">
        <v>36</v>
      </c>
      <c r="T8997" s="3" t="s">
        <v>36716</v>
      </c>
      <c r="U8997" s="3" t="s">
        <v>279</v>
      </c>
      <c r="V8997" s="3" t="s">
        <v>64</v>
      </c>
      <c r="W8997" s="3" t="s">
        <v>36717</v>
      </c>
      <c r="X8997" s="10" t="s">
        <v>38785</v>
      </c>
      <c r="Y8997" s="6" t="s">
        <v>42</v>
      </c>
      <c r="Z8997" s="4" t="s">
        <v>36</v>
      </c>
      <c r="AA8997" s="4" t="s">
        <v>36</v>
      </c>
      <c r="AB8997" s="3" t="s">
        <v>43</v>
      </c>
      <c r="AC8997" s="3" t="s">
        <v>36719</v>
      </c>
      <c r="AD8997" s="9">
        <v>40180</v>
      </c>
      <c r="AE8997" s="3" t="s">
        <v>283</v>
      </c>
      <c r="AF8997" s="3" t="s">
        <v>1636</v>
      </c>
      <c r="AG8997" s="3" t="s">
        <v>81</v>
      </c>
      <c r="AH8997" s="11">
        <f>HYPERLINK("https://my.pitchbook.com?c=34987-42T","View Company Online")</f>
      </c>
    </row>
    <row r="8998">
      <c r="A8998" s="12" t="s">
        <v>38786</v>
      </c>
      <c r="B8998" s="12" t="s">
        <v>38787</v>
      </c>
      <c r="C8998" s="19" t="s">
        <v>36</v>
      </c>
      <c r="D8998" s="19" t="s">
        <v>36</v>
      </c>
      <c r="E8998" s="19" t="s">
        <v>36</v>
      </c>
      <c r="F8998" s="19" t="s">
        <v>36</v>
      </c>
      <c r="G8998" s="15" t="s">
        <v>36</v>
      </c>
      <c r="H8998" s="14">
        <v>1057.26</v>
      </c>
      <c r="I8998" s="18">
        <v>28.21</v>
      </c>
      <c r="J8998" s="12" t="s">
        <v>521</v>
      </c>
      <c r="K8998" s="13" t="s">
        <v>36</v>
      </c>
      <c r="L8998" s="15" t="s">
        <v>36</v>
      </c>
      <c r="M8998" s="12" t="s">
        <v>36</v>
      </c>
      <c r="N8998" s="12" t="s">
        <v>36</v>
      </c>
      <c r="O8998" s="17" t="s">
        <v>36</v>
      </c>
      <c r="P8998" s="12" t="s">
        <v>36</v>
      </c>
      <c r="Q8998" s="12" t="s">
        <v>36</v>
      </c>
      <c r="R8998" s="12" t="s">
        <v>36</v>
      </c>
      <c r="S8998" s="12" t="s">
        <v>36</v>
      </c>
      <c r="T8998" s="12" t="s">
        <v>2811</v>
      </c>
      <c r="U8998" s="12" t="s">
        <v>219</v>
      </c>
      <c r="V8998" s="12" t="s">
        <v>75</v>
      </c>
      <c r="W8998" s="12" t="s">
        <v>38788</v>
      </c>
      <c r="X8998" s="16" t="s">
        <v>38789</v>
      </c>
      <c r="Y8998" s="15" t="s">
        <v>42</v>
      </c>
      <c r="Z8998" s="14">
        <v>0.58</v>
      </c>
      <c r="AA8998" s="14">
        <v>2.05</v>
      </c>
      <c r="AB8998" s="12" t="s">
        <v>56</v>
      </c>
      <c r="AC8998" s="12" t="s">
        <v>38790</v>
      </c>
      <c r="AD8998" s="13">
        <v>40180</v>
      </c>
      <c r="AE8998" s="12" t="s">
        <v>223</v>
      </c>
      <c r="AF8998" s="12" t="s">
        <v>1969</v>
      </c>
      <c r="AG8998" s="12" t="s">
        <v>38791</v>
      </c>
      <c r="AH8998" s="1">
        <f>HYPERLINK("https://my.pitchbook.com?c=210578-23T","View Company Online")</f>
      </c>
    </row>
    <row r="8999">
      <c r="A8999" s="3" t="s">
        <v>38792</v>
      </c>
      <c r="B8999" s="3" t="s">
        <v>38793</v>
      </c>
      <c r="C8999" s="5" t="s">
        <v>36</v>
      </c>
      <c r="D8999" s="5" t="s">
        <v>36</v>
      </c>
      <c r="E8999" s="5" t="s">
        <v>36</v>
      </c>
      <c r="F8999" s="5" t="s">
        <v>36</v>
      </c>
      <c r="G8999" s="6" t="s">
        <v>36</v>
      </c>
      <c r="H8999" s="4" t="s">
        <v>36</v>
      </c>
      <c r="I8999" s="7">
        <v>40</v>
      </c>
      <c r="J8999" s="3" t="s">
        <v>521</v>
      </c>
      <c r="K8999" s="9" t="s">
        <v>36</v>
      </c>
      <c r="L8999" s="6" t="s">
        <v>36</v>
      </c>
      <c r="M8999" s="3" t="s">
        <v>36</v>
      </c>
      <c r="N8999" s="3" t="s">
        <v>36</v>
      </c>
      <c r="O8999" s="8" t="s">
        <v>36</v>
      </c>
      <c r="P8999" s="3" t="s">
        <v>36</v>
      </c>
      <c r="Q8999" s="3" t="s">
        <v>36</v>
      </c>
      <c r="R8999" s="3" t="s">
        <v>36</v>
      </c>
      <c r="S8999" s="3" t="s">
        <v>36</v>
      </c>
      <c r="T8999" s="3" t="s">
        <v>27412</v>
      </c>
      <c r="U8999" s="3" t="s">
        <v>648</v>
      </c>
      <c r="V8999" s="3" t="s">
        <v>64</v>
      </c>
      <c r="W8999" s="3" t="s">
        <v>38794</v>
      </c>
      <c r="X8999" s="10" t="s">
        <v>29117</v>
      </c>
      <c r="Y8999" s="6" t="s">
        <v>108</v>
      </c>
      <c r="Z8999" s="4">
        <v>0.8</v>
      </c>
      <c r="AA8999" s="4">
        <v>1.99</v>
      </c>
      <c r="AB8999" s="3" t="s">
        <v>56</v>
      </c>
      <c r="AC8999" s="3" t="s">
        <v>38795</v>
      </c>
      <c r="AD8999" s="9">
        <v>40180</v>
      </c>
      <c r="AE8999" s="3" t="s">
        <v>651</v>
      </c>
      <c r="AF8999" s="3" t="s">
        <v>1636</v>
      </c>
      <c r="AG8999" s="3" t="s">
        <v>3595</v>
      </c>
      <c r="AH8999" s="11">
        <f>HYPERLINK("https://my.pitchbook.com?c=71932-24T","View Company Online")</f>
      </c>
    </row>
    <row r="9000">
      <c r="A9000" s="12" t="s">
        <v>38796</v>
      </c>
      <c r="B9000" s="12" t="s">
        <v>38797</v>
      </c>
      <c r="C9000" s="19" t="s">
        <v>36</v>
      </c>
      <c r="D9000" s="19" t="s">
        <v>36</v>
      </c>
      <c r="E9000" s="19" t="s">
        <v>36</v>
      </c>
      <c r="F9000" s="19" t="s">
        <v>36</v>
      </c>
      <c r="G9000" s="15" t="s">
        <v>36</v>
      </c>
      <c r="H9000" s="14" t="s">
        <v>36</v>
      </c>
      <c r="I9000" s="18" t="s">
        <v>36</v>
      </c>
      <c r="J9000" s="12" t="s">
        <v>36</v>
      </c>
      <c r="K9000" s="13" t="s">
        <v>36</v>
      </c>
      <c r="L9000" s="15" t="s">
        <v>36</v>
      </c>
      <c r="M9000" s="12" t="s">
        <v>36</v>
      </c>
      <c r="N9000" s="12" t="s">
        <v>36</v>
      </c>
      <c r="O9000" s="17" t="s">
        <v>36</v>
      </c>
      <c r="P9000" s="12" t="s">
        <v>36</v>
      </c>
      <c r="Q9000" s="12" t="s">
        <v>36</v>
      </c>
      <c r="R9000" s="12" t="s">
        <v>36</v>
      </c>
      <c r="S9000" s="12" t="s">
        <v>36</v>
      </c>
      <c r="T9000" s="12" t="s">
        <v>20899</v>
      </c>
      <c r="U9000" s="12" t="s">
        <v>38</v>
      </c>
      <c r="V9000" s="12" t="s">
        <v>39</v>
      </c>
      <c r="W9000" s="12" t="s">
        <v>38798</v>
      </c>
      <c r="X9000" s="16" t="s">
        <v>221</v>
      </c>
      <c r="Y9000" s="15" t="s">
        <v>42</v>
      </c>
      <c r="Z9000" s="14" t="s">
        <v>36</v>
      </c>
      <c r="AA9000" s="14" t="s">
        <v>36</v>
      </c>
      <c r="AB9000" s="12" t="s">
        <v>43</v>
      </c>
      <c r="AC9000" s="12" t="s">
        <v>38799</v>
      </c>
      <c r="AD9000" s="13">
        <v>40179</v>
      </c>
      <c r="AE9000" s="12" t="s">
        <v>7316</v>
      </c>
      <c r="AF9000" s="12" t="s">
        <v>1636</v>
      </c>
      <c r="AG9000" s="12" t="s">
        <v>81</v>
      </c>
      <c r="AH9000" s="1">
        <f>HYPERLINK("https://my.pitchbook.com?c=24638-14T","View Company Online")</f>
      </c>
    </row>
    <row r="9001">
      <c r="A9001" s="3" t="s">
        <v>38800</v>
      </c>
      <c r="B9001" s="3" t="s">
        <v>38801</v>
      </c>
      <c r="C9001" s="5" t="s">
        <v>36</v>
      </c>
      <c r="D9001" s="5" t="s">
        <v>36</v>
      </c>
      <c r="E9001" s="5" t="s">
        <v>36</v>
      </c>
      <c r="F9001" s="5" t="s">
        <v>36</v>
      </c>
      <c r="G9001" s="6" t="s">
        <v>36</v>
      </c>
      <c r="H9001" s="4" t="s">
        <v>36</v>
      </c>
      <c r="I9001" s="7" t="s">
        <v>36</v>
      </c>
      <c r="J9001" s="3" t="s">
        <v>36</v>
      </c>
      <c r="K9001" s="9" t="s">
        <v>36</v>
      </c>
      <c r="L9001" s="6" t="s">
        <v>36</v>
      </c>
      <c r="M9001" s="3" t="s">
        <v>36</v>
      </c>
      <c r="N9001" s="3" t="s">
        <v>36</v>
      </c>
      <c r="O9001" s="8" t="s">
        <v>36</v>
      </c>
      <c r="P9001" s="3" t="s">
        <v>36</v>
      </c>
      <c r="Q9001" s="3" t="s">
        <v>36</v>
      </c>
      <c r="R9001" s="3" t="s">
        <v>36</v>
      </c>
      <c r="S9001" s="3" t="s">
        <v>36</v>
      </c>
      <c r="T9001" s="3" t="s">
        <v>558</v>
      </c>
      <c r="U9001" s="3" t="s">
        <v>423</v>
      </c>
      <c r="V9001" s="3" t="s">
        <v>64</v>
      </c>
      <c r="W9001" s="3" t="s">
        <v>38802</v>
      </c>
      <c r="X9001" s="10" t="s">
        <v>5661</v>
      </c>
      <c r="Y9001" s="6" t="s">
        <v>42</v>
      </c>
      <c r="Z9001" s="4" t="s">
        <v>36</v>
      </c>
      <c r="AA9001" s="4" t="s">
        <v>36</v>
      </c>
      <c r="AB9001" s="3" t="s">
        <v>43</v>
      </c>
      <c r="AC9001" s="3" t="s">
        <v>38803</v>
      </c>
      <c r="AD9001" s="9">
        <v>40179</v>
      </c>
      <c r="AE9001" s="3" t="s">
        <v>562</v>
      </c>
      <c r="AF9001" s="3" t="s">
        <v>10633</v>
      </c>
      <c r="AG9001" s="3" t="s">
        <v>38804</v>
      </c>
      <c r="AH9001" s="11">
        <f>HYPERLINK("https://my.pitchbook.com?c=27748-27T","View Company Online")</f>
      </c>
    </row>
    <row r="9002">
      <c r="A9002" s="12" t="s">
        <v>38805</v>
      </c>
      <c r="B9002" s="12" t="s">
        <v>38806</v>
      </c>
      <c r="C9002" s="19" t="s">
        <v>36</v>
      </c>
      <c r="D9002" s="19" t="s">
        <v>36</v>
      </c>
      <c r="E9002" s="19" t="s">
        <v>36</v>
      </c>
      <c r="F9002" s="19" t="s">
        <v>36</v>
      </c>
      <c r="G9002" s="15" t="s">
        <v>36</v>
      </c>
      <c r="H9002" s="14" t="s">
        <v>36</v>
      </c>
      <c r="I9002" s="18" t="s">
        <v>36</v>
      </c>
      <c r="J9002" s="12" t="s">
        <v>36</v>
      </c>
      <c r="K9002" s="13" t="s">
        <v>36</v>
      </c>
      <c r="L9002" s="15" t="s">
        <v>36</v>
      </c>
      <c r="M9002" s="12" t="s">
        <v>36</v>
      </c>
      <c r="N9002" s="12" t="s">
        <v>36</v>
      </c>
      <c r="O9002" s="17" t="s">
        <v>36</v>
      </c>
      <c r="P9002" s="12" t="s">
        <v>36</v>
      </c>
      <c r="Q9002" s="12" t="s">
        <v>36</v>
      </c>
      <c r="R9002" s="12" t="s">
        <v>36</v>
      </c>
      <c r="S9002" s="12" t="s">
        <v>36</v>
      </c>
      <c r="T9002" s="12" t="s">
        <v>1701</v>
      </c>
      <c r="U9002" s="12" t="s">
        <v>74</v>
      </c>
      <c r="V9002" s="12" t="s">
        <v>75</v>
      </c>
      <c r="W9002" s="12" t="s">
        <v>38807</v>
      </c>
      <c r="X9002" s="16" t="s">
        <v>38808</v>
      </c>
      <c r="Y9002" s="15" t="s">
        <v>42</v>
      </c>
      <c r="Z9002" s="14" t="s">
        <v>36</v>
      </c>
      <c r="AA9002" s="14" t="s">
        <v>36</v>
      </c>
      <c r="AB9002" s="12" t="s">
        <v>43</v>
      </c>
      <c r="AC9002" s="12" t="s">
        <v>38809</v>
      </c>
      <c r="AD9002" s="13">
        <v>40179</v>
      </c>
      <c r="AE9002" s="12" t="s">
        <v>79</v>
      </c>
      <c r="AF9002" s="12" t="s">
        <v>10797</v>
      </c>
      <c r="AG9002" s="12" t="s">
        <v>38810</v>
      </c>
      <c r="AH9002" s="1">
        <f>HYPERLINK("https://my.pitchbook.com?c=47995-75T","View Company Online")</f>
      </c>
    </row>
    <row r="9003">
      <c r="A9003" s="3" t="s">
        <v>38811</v>
      </c>
      <c r="B9003" s="3" t="s">
        <v>35406</v>
      </c>
      <c r="C9003" s="5" t="s">
        <v>36</v>
      </c>
      <c r="D9003" s="5" t="s">
        <v>36</v>
      </c>
      <c r="E9003" s="5" t="s">
        <v>36</v>
      </c>
      <c r="F9003" s="5" t="s">
        <v>36</v>
      </c>
      <c r="G9003" s="6" t="s">
        <v>36</v>
      </c>
      <c r="H9003" s="4" t="s">
        <v>36</v>
      </c>
      <c r="I9003" s="7" t="s">
        <v>36</v>
      </c>
      <c r="J9003" s="3" t="s">
        <v>36</v>
      </c>
      <c r="K9003" s="9" t="s">
        <v>36</v>
      </c>
      <c r="L9003" s="6" t="s">
        <v>36</v>
      </c>
      <c r="M9003" s="3" t="s">
        <v>36</v>
      </c>
      <c r="N9003" s="3" t="s">
        <v>36</v>
      </c>
      <c r="O9003" s="8" t="s">
        <v>36</v>
      </c>
      <c r="P9003" s="3" t="s">
        <v>36</v>
      </c>
      <c r="Q9003" s="3" t="s">
        <v>36</v>
      </c>
      <c r="R9003" s="3" t="s">
        <v>36</v>
      </c>
      <c r="S9003" s="3" t="s">
        <v>36</v>
      </c>
      <c r="T9003" s="3" t="s">
        <v>10014</v>
      </c>
      <c r="U9003" s="3" t="s">
        <v>438</v>
      </c>
      <c r="V9003" s="3" t="s">
        <v>405</v>
      </c>
      <c r="W9003" s="3" t="s">
        <v>35407</v>
      </c>
      <c r="X9003" s="10" t="s">
        <v>33627</v>
      </c>
      <c r="Y9003" s="6" t="s">
        <v>108</v>
      </c>
      <c r="Z9003" s="4">
        <v>0.72</v>
      </c>
      <c r="AA9003" s="4" t="s">
        <v>36</v>
      </c>
      <c r="AB9003" s="3" t="s">
        <v>43</v>
      </c>
      <c r="AC9003" s="3" t="s">
        <v>35409</v>
      </c>
      <c r="AD9003" s="9">
        <v>40179</v>
      </c>
      <c r="AE9003" s="3" t="s">
        <v>10018</v>
      </c>
      <c r="AF9003" s="3" t="s">
        <v>36</v>
      </c>
      <c r="AG9003" s="3" t="s">
        <v>81</v>
      </c>
      <c r="AH9003" s="11">
        <f>HYPERLINK("https://my.pitchbook.com?c=24711-22T","View Company Online")</f>
      </c>
    </row>
    <row r="9004">
      <c r="A9004" s="12" t="s">
        <v>38812</v>
      </c>
      <c r="B9004" s="12" t="s">
        <v>28596</v>
      </c>
      <c r="C9004" s="19" t="s">
        <v>36</v>
      </c>
      <c r="D9004" s="19" t="s">
        <v>36</v>
      </c>
      <c r="E9004" s="19" t="s">
        <v>36</v>
      </c>
      <c r="F9004" s="19" t="s">
        <v>36</v>
      </c>
      <c r="G9004" s="15" t="s">
        <v>36</v>
      </c>
      <c r="H9004" s="14" t="s">
        <v>36</v>
      </c>
      <c r="I9004" s="18" t="s">
        <v>36</v>
      </c>
      <c r="J9004" s="12" t="s">
        <v>36</v>
      </c>
      <c r="K9004" s="13" t="s">
        <v>36</v>
      </c>
      <c r="L9004" s="15" t="s">
        <v>36</v>
      </c>
      <c r="M9004" s="12" t="s">
        <v>36</v>
      </c>
      <c r="N9004" s="12" t="s">
        <v>36</v>
      </c>
      <c r="O9004" s="17" t="s">
        <v>36</v>
      </c>
      <c r="P9004" s="12" t="s">
        <v>36</v>
      </c>
      <c r="Q9004" s="12" t="s">
        <v>36</v>
      </c>
      <c r="R9004" s="12" t="s">
        <v>36</v>
      </c>
      <c r="S9004" s="12" t="s">
        <v>36</v>
      </c>
      <c r="T9004" s="12" t="s">
        <v>3604</v>
      </c>
      <c r="U9004" s="12" t="s">
        <v>404</v>
      </c>
      <c r="V9004" s="12" t="s">
        <v>405</v>
      </c>
      <c r="W9004" s="12" t="s">
        <v>28597</v>
      </c>
      <c r="X9004" s="16" t="s">
        <v>26808</v>
      </c>
      <c r="Y9004" s="15" t="s">
        <v>42</v>
      </c>
      <c r="Z9004" s="14" t="s">
        <v>36</v>
      </c>
      <c r="AA9004" s="14" t="s">
        <v>36</v>
      </c>
      <c r="AB9004" s="12" t="s">
        <v>43</v>
      </c>
      <c r="AC9004" s="12" t="s">
        <v>28599</v>
      </c>
      <c r="AD9004" s="13">
        <v>40179</v>
      </c>
      <c r="AE9004" s="12" t="s">
        <v>3608</v>
      </c>
      <c r="AF9004" s="12" t="s">
        <v>159</v>
      </c>
      <c r="AG9004" s="12" t="s">
        <v>81</v>
      </c>
      <c r="AH9004" s="1">
        <f>HYPERLINK("https://my.pitchbook.com?c=235247-68T","View Company Online")</f>
      </c>
    </row>
    <row r="9005">
      <c r="A9005" s="3" t="s">
        <v>38813</v>
      </c>
      <c r="B9005" s="3" t="s">
        <v>36913</v>
      </c>
      <c r="C9005" s="5" t="s">
        <v>36</v>
      </c>
      <c r="D9005" s="5" t="s">
        <v>36</v>
      </c>
      <c r="E9005" s="5" t="s">
        <v>36</v>
      </c>
      <c r="F9005" s="5" t="s">
        <v>36</v>
      </c>
      <c r="G9005" s="6" t="s">
        <v>36</v>
      </c>
      <c r="H9005" s="4" t="s">
        <v>36</v>
      </c>
      <c r="I9005" s="7" t="s">
        <v>36</v>
      </c>
      <c r="J9005" s="3" t="s">
        <v>36</v>
      </c>
      <c r="K9005" s="9" t="s">
        <v>36</v>
      </c>
      <c r="L9005" s="6" t="s">
        <v>36</v>
      </c>
      <c r="M9005" s="3" t="s">
        <v>36</v>
      </c>
      <c r="N9005" s="3" t="s">
        <v>36</v>
      </c>
      <c r="O9005" s="8" t="s">
        <v>36</v>
      </c>
      <c r="P9005" s="3" t="s">
        <v>36</v>
      </c>
      <c r="Q9005" s="3" t="s">
        <v>36</v>
      </c>
      <c r="R9005" s="3" t="s">
        <v>36</v>
      </c>
      <c r="S9005" s="3" t="s">
        <v>36</v>
      </c>
      <c r="T9005" s="3" t="s">
        <v>727</v>
      </c>
      <c r="U9005" s="3" t="s">
        <v>728</v>
      </c>
      <c r="V9005" s="3" t="s">
        <v>64</v>
      </c>
      <c r="W9005" s="3" t="s">
        <v>36914</v>
      </c>
      <c r="X9005" s="10" t="s">
        <v>5661</v>
      </c>
      <c r="Y9005" s="6" t="s">
        <v>42</v>
      </c>
      <c r="Z9005" s="4" t="s">
        <v>36</v>
      </c>
      <c r="AA9005" s="4" t="s">
        <v>36</v>
      </c>
      <c r="AB9005" s="3" t="s">
        <v>43</v>
      </c>
      <c r="AC9005" s="3" t="s">
        <v>36915</v>
      </c>
      <c r="AD9005" s="9">
        <v>40179</v>
      </c>
      <c r="AE9005" s="3" t="s">
        <v>732</v>
      </c>
      <c r="AF9005" s="3" t="s">
        <v>733</v>
      </c>
      <c r="AG9005" s="3" t="s">
        <v>6013</v>
      </c>
      <c r="AH9005" s="11">
        <f>HYPERLINK("https://my.pitchbook.com?c=28029-70T","View Company Online")</f>
      </c>
    </row>
    <row r="9006">
      <c r="A9006" s="12" t="s">
        <v>38814</v>
      </c>
      <c r="B9006" s="12" t="s">
        <v>38815</v>
      </c>
      <c r="C9006" s="19" t="s">
        <v>36</v>
      </c>
      <c r="D9006" s="19" t="s">
        <v>36</v>
      </c>
      <c r="E9006" s="19" t="s">
        <v>36</v>
      </c>
      <c r="F9006" s="19" t="s">
        <v>36</v>
      </c>
      <c r="G9006" s="15" t="s">
        <v>36</v>
      </c>
      <c r="H9006" s="14" t="s">
        <v>36</v>
      </c>
      <c r="I9006" s="18" t="s">
        <v>36</v>
      </c>
      <c r="J9006" s="12" t="s">
        <v>36</v>
      </c>
      <c r="K9006" s="13" t="s">
        <v>36</v>
      </c>
      <c r="L9006" s="15" t="s">
        <v>36</v>
      </c>
      <c r="M9006" s="12" t="s">
        <v>36</v>
      </c>
      <c r="N9006" s="12" t="s">
        <v>36</v>
      </c>
      <c r="O9006" s="17" t="s">
        <v>36</v>
      </c>
      <c r="P9006" s="12" t="s">
        <v>36</v>
      </c>
      <c r="Q9006" s="12" t="s">
        <v>36</v>
      </c>
      <c r="R9006" s="12" t="s">
        <v>36</v>
      </c>
      <c r="S9006" s="12" t="s">
        <v>36</v>
      </c>
      <c r="T9006" s="12" t="s">
        <v>9456</v>
      </c>
      <c r="U9006" s="12" t="s">
        <v>63</v>
      </c>
      <c r="V9006" s="12" t="s">
        <v>64</v>
      </c>
      <c r="W9006" s="12" t="s">
        <v>38816</v>
      </c>
      <c r="X9006" s="16" t="s">
        <v>5661</v>
      </c>
      <c r="Y9006" s="15" t="s">
        <v>42</v>
      </c>
      <c r="Z9006" s="14" t="s">
        <v>36</v>
      </c>
      <c r="AA9006" s="14" t="s">
        <v>36</v>
      </c>
      <c r="AB9006" s="12" t="s">
        <v>43</v>
      </c>
      <c r="AC9006" s="12" t="s">
        <v>38817</v>
      </c>
      <c r="AD9006" s="13">
        <v>40179</v>
      </c>
      <c r="AE9006" s="12" t="s">
        <v>4310</v>
      </c>
      <c r="AF9006" s="12" t="s">
        <v>36</v>
      </c>
      <c r="AG9006" s="12" t="s">
        <v>8939</v>
      </c>
      <c r="AH9006" s="1">
        <f>HYPERLINK("https://my.pitchbook.com?c=27993-97T","View Company Online")</f>
      </c>
    </row>
    <row r="9007">
      <c r="A9007" s="3" t="s">
        <v>38818</v>
      </c>
      <c r="B9007" s="3" t="s">
        <v>8526</v>
      </c>
      <c r="C9007" s="5">
        <v>15</v>
      </c>
      <c r="D9007" s="5">
        <v>73</v>
      </c>
      <c r="E9007" s="5">
        <v>25</v>
      </c>
      <c r="F9007" s="5">
        <v>97</v>
      </c>
      <c r="G9007" s="6" t="s">
        <v>36</v>
      </c>
      <c r="H9007" s="4" t="s">
        <v>36</v>
      </c>
      <c r="I9007" s="7" t="s">
        <v>36</v>
      </c>
      <c r="J9007" s="3" t="s">
        <v>36</v>
      </c>
      <c r="K9007" s="9" t="s">
        <v>36</v>
      </c>
      <c r="L9007" s="6" t="s">
        <v>36</v>
      </c>
      <c r="M9007" s="3" t="s">
        <v>36</v>
      </c>
      <c r="N9007" s="3" t="s">
        <v>36</v>
      </c>
      <c r="O9007" s="8" t="s">
        <v>36</v>
      </c>
      <c r="P9007" s="3" t="s">
        <v>36</v>
      </c>
      <c r="Q9007" s="3" t="s">
        <v>36</v>
      </c>
      <c r="R9007" s="3" t="s">
        <v>36</v>
      </c>
      <c r="S9007" s="3" t="s">
        <v>36</v>
      </c>
      <c r="T9007" s="3" t="s">
        <v>8527</v>
      </c>
      <c r="U9007" s="3" t="s">
        <v>180</v>
      </c>
      <c r="V9007" s="3" t="s">
        <v>52</v>
      </c>
      <c r="W9007" s="3" t="s">
        <v>8528</v>
      </c>
      <c r="X9007" s="10" t="s">
        <v>21035</v>
      </c>
      <c r="Y9007" s="6" t="s">
        <v>42</v>
      </c>
      <c r="Z9007" s="4" t="s">
        <v>36</v>
      </c>
      <c r="AA9007" s="4" t="s">
        <v>36</v>
      </c>
      <c r="AB9007" s="3" t="s">
        <v>56</v>
      </c>
      <c r="AC9007" s="3" t="s">
        <v>8530</v>
      </c>
      <c r="AD9007" s="9">
        <v>40179</v>
      </c>
      <c r="AE9007" s="3" t="s">
        <v>184</v>
      </c>
      <c r="AF9007" s="3" t="s">
        <v>3193</v>
      </c>
      <c r="AG9007" s="3" t="s">
        <v>8531</v>
      </c>
      <c r="AH9007" s="11">
        <f>HYPERLINK("https://my.pitchbook.com?c=45112-42T","View Company Online")</f>
      </c>
    </row>
    <row r="9008">
      <c r="A9008" s="12" t="s">
        <v>38819</v>
      </c>
      <c r="B9008" s="12" t="s">
        <v>38820</v>
      </c>
      <c r="C9008" s="19" t="s">
        <v>36</v>
      </c>
      <c r="D9008" s="19" t="s">
        <v>36</v>
      </c>
      <c r="E9008" s="19" t="s">
        <v>36</v>
      </c>
      <c r="F9008" s="19" t="s">
        <v>36</v>
      </c>
      <c r="G9008" s="15" t="s">
        <v>36</v>
      </c>
      <c r="H9008" s="14" t="s">
        <v>36</v>
      </c>
      <c r="I9008" s="18" t="s">
        <v>36</v>
      </c>
      <c r="J9008" s="12" t="s">
        <v>36</v>
      </c>
      <c r="K9008" s="13" t="s">
        <v>36</v>
      </c>
      <c r="L9008" s="15" t="s">
        <v>36</v>
      </c>
      <c r="M9008" s="12" t="s">
        <v>36</v>
      </c>
      <c r="N9008" s="12" t="s">
        <v>36</v>
      </c>
      <c r="O9008" s="17" t="s">
        <v>36</v>
      </c>
      <c r="P9008" s="12" t="s">
        <v>36</v>
      </c>
      <c r="Q9008" s="12" t="s">
        <v>36</v>
      </c>
      <c r="R9008" s="12" t="s">
        <v>36</v>
      </c>
      <c r="S9008" s="12" t="s">
        <v>36</v>
      </c>
      <c r="T9008" s="12" t="s">
        <v>38821</v>
      </c>
      <c r="U9008" s="12" t="s">
        <v>219</v>
      </c>
      <c r="V9008" s="12" t="s">
        <v>75</v>
      </c>
      <c r="W9008" s="12" t="s">
        <v>38822</v>
      </c>
      <c r="X9008" s="16" t="s">
        <v>38823</v>
      </c>
      <c r="Y9008" s="15" t="s">
        <v>42</v>
      </c>
      <c r="Z9008" s="14">
        <v>26.1</v>
      </c>
      <c r="AA9008" s="14" t="s">
        <v>36</v>
      </c>
      <c r="AB9008" s="12" t="s">
        <v>43</v>
      </c>
      <c r="AC9008" s="12" t="s">
        <v>38824</v>
      </c>
      <c r="AD9008" s="13">
        <v>40179</v>
      </c>
      <c r="AE9008" s="12" t="s">
        <v>1007</v>
      </c>
      <c r="AF9008" s="12" t="s">
        <v>38825</v>
      </c>
      <c r="AG9008" s="12" t="s">
        <v>38826</v>
      </c>
      <c r="AH9008" s="1">
        <f>HYPERLINK("https://my.pitchbook.com?c=35876-89T","View Company Online")</f>
      </c>
    </row>
    <row r="9009">
      <c r="A9009" s="3" t="s">
        <v>38827</v>
      </c>
      <c r="B9009" s="3" t="s">
        <v>38828</v>
      </c>
      <c r="C9009" s="5" t="s">
        <v>36</v>
      </c>
      <c r="D9009" s="5" t="s">
        <v>36</v>
      </c>
      <c r="E9009" s="5" t="s">
        <v>36</v>
      </c>
      <c r="F9009" s="5" t="s">
        <v>36</v>
      </c>
      <c r="G9009" s="6" t="s">
        <v>36</v>
      </c>
      <c r="H9009" s="4" t="s">
        <v>36</v>
      </c>
      <c r="I9009" s="7" t="s">
        <v>36</v>
      </c>
      <c r="J9009" s="3" t="s">
        <v>36</v>
      </c>
      <c r="K9009" s="9" t="s">
        <v>36</v>
      </c>
      <c r="L9009" s="6" t="s">
        <v>36</v>
      </c>
      <c r="M9009" s="3" t="s">
        <v>36</v>
      </c>
      <c r="N9009" s="3" t="s">
        <v>36</v>
      </c>
      <c r="O9009" s="8" t="s">
        <v>36</v>
      </c>
      <c r="P9009" s="3" t="s">
        <v>36</v>
      </c>
      <c r="Q9009" s="3" t="s">
        <v>36</v>
      </c>
      <c r="R9009" s="3" t="s">
        <v>36</v>
      </c>
      <c r="S9009" s="3" t="s">
        <v>36</v>
      </c>
      <c r="T9009" s="3" t="s">
        <v>7415</v>
      </c>
      <c r="U9009" s="3" t="s">
        <v>38</v>
      </c>
      <c r="V9009" s="3" t="s">
        <v>39</v>
      </c>
      <c r="W9009" s="3" t="s">
        <v>38829</v>
      </c>
      <c r="X9009" s="10" t="s">
        <v>11579</v>
      </c>
      <c r="Y9009" s="6" t="s">
        <v>108</v>
      </c>
      <c r="Z9009" s="4" t="s">
        <v>36</v>
      </c>
      <c r="AA9009" s="4" t="s">
        <v>36</v>
      </c>
      <c r="AB9009" s="3" t="s">
        <v>56</v>
      </c>
      <c r="AC9009" s="3" t="s">
        <v>38830</v>
      </c>
      <c r="AD9009" s="9">
        <v>40179</v>
      </c>
      <c r="AE9009" s="3" t="s">
        <v>1422</v>
      </c>
      <c r="AF9009" s="3" t="s">
        <v>4842</v>
      </c>
      <c r="AG9009" s="3" t="s">
        <v>28760</v>
      </c>
      <c r="AH9009" s="11">
        <f>HYPERLINK("https://my.pitchbook.com?c=86605-21T","View Company Online")</f>
      </c>
    </row>
    <row r="9010">
      <c r="A9010" s="12" t="s">
        <v>38831</v>
      </c>
      <c r="B9010" s="12" t="s">
        <v>38832</v>
      </c>
      <c r="C9010" s="19" t="s">
        <v>36</v>
      </c>
      <c r="D9010" s="19" t="s">
        <v>36</v>
      </c>
      <c r="E9010" s="19" t="s">
        <v>36</v>
      </c>
      <c r="F9010" s="19" t="s">
        <v>36</v>
      </c>
      <c r="G9010" s="15" t="s">
        <v>36</v>
      </c>
      <c r="H9010" s="14" t="s">
        <v>36</v>
      </c>
      <c r="I9010" s="18" t="s">
        <v>36</v>
      </c>
      <c r="J9010" s="12" t="s">
        <v>36</v>
      </c>
      <c r="K9010" s="13" t="s">
        <v>36</v>
      </c>
      <c r="L9010" s="15" t="s">
        <v>36</v>
      </c>
      <c r="M9010" s="12" t="s">
        <v>36</v>
      </c>
      <c r="N9010" s="12" t="s">
        <v>36</v>
      </c>
      <c r="O9010" s="17" t="s">
        <v>36</v>
      </c>
      <c r="P9010" s="12" t="s">
        <v>36</v>
      </c>
      <c r="Q9010" s="12" t="s">
        <v>36</v>
      </c>
      <c r="R9010" s="12" t="s">
        <v>36</v>
      </c>
      <c r="S9010" s="12" t="s">
        <v>36</v>
      </c>
      <c r="T9010" s="12" t="s">
        <v>38833</v>
      </c>
      <c r="U9010" s="12" t="s">
        <v>438</v>
      </c>
      <c r="V9010" s="12" t="s">
        <v>405</v>
      </c>
      <c r="W9010" s="12" t="s">
        <v>38834</v>
      </c>
      <c r="X9010" s="16" t="s">
        <v>36431</v>
      </c>
      <c r="Y9010" s="15" t="s">
        <v>42</v>
      </c>
      <c r="Z9010" s="14" t="s">
        <v>36</v>
      </c>
      <c r="AA9010" s="14" t="s">
        <v>36</v>
      </c>
      <c r="AB9010" s="12" t="s">
        <v>56</v>
      </c>
      <c r="AC9010" s="12" t="s">
        <v>38835</v>
      </c>
      <c r="AD9010" s="13">
        <v>40179</v>
      </c>
      <c r="AE9010" s="12" t="s">
        <v>11261</v>
      </c>
      <c r="AF9010" s="12" t="s">
        <v>1636</v>
      </c>
      <c r="AG9010" s="12" t="s">
        <v>21549</v>
      </c>
      <c r="AH9010" s="1">
        <f>HYPERLINK("https://my.pitchbook.com?c=27589-78T","View Company Online")</f>
      </c>
    </row>
    <row r="9011">
      <c r="A9011" s="3" t="s">
        <v>38836</v>
      </c>
      <c r="B9011" s="3" t="s">
        <v>38837</v>
      </c>
      <c r="C9011" s="5" t="s">
        <v>36</v>
      </c>
      <c r="D9011" s="5">
        <v>8</v>
      </c>
      <c r="E9011" s="5">
        <v>3</v>
      </c>
      <c r="F9011" s="5">
        <v>11</v>
      </c>
      <c r="G9011" s="6" t="s">
        <v>36</v>
      </c>
      <c r="H9011" s="4" t="s">
        <v>36</v>
      </c>
      <c r="I9011" s="7" t="s">
        <v>36</v>
      </c>
      <c r="J9011" s="3" t="s">
        <v>36</v>
      </c>
      <c r="K9011" s="9" t="s">
        <v>36</v>
      </c>
      <c r="L9011" s="6" t="s">
        <v>36</v>
      </c>
      <c r="M9011" s="3" t="s">
        <v>36</v>
      </c>
      <c r="N9011" s="3" t="s">
        <v>36</v>
      </c>
      <c r="O9011" s="8" t="s">
        <v>36</v>
      </c>
      <c r="P9011" s="3" t="s">
        <v>36</v>
      </c>
      <c r="Q9011" s="3" t="s">
        <v>36</v>
      </c>
      <c r="R9011" s="3" t="s">
        <v>36</v>
      </c>
      <c r="S9011" s="3" t="s">
        <v>36</v>
      </c>
      <c r="T9011" s="3" t="s">
        <v>35494</v>
      </c>
      <c r="U9011" s="3" t="s">
        <v>1502</v>
      </c>
      <c r="V9011" s="3" t="s">
        <v>75</v>
      </c>
      <c r="W9011" s="3" t="s">
        <v>38838</v>
      </c>
      <c r="X9011" s="10" t="s">
        <v>38839</v>
      </c>
      <c r="Y9011" s="6" t="s">
        <v>42</v>
      </c>
      <c r="Z9011" s="4" t="s">
        <v>36</v>
      </c>
      <c r="AA9011" s="4" t="s">
        <v>36</v>
      </c>
      <c r="AB9011" s="3" t="s">
        <v>43</v>
      </c>
      <c r="AC9011" s="3" t="s">
        <v>38840</v>
      </c>
      <c r="AD9011" s="9">
        <v>40179</v>
      </c>
      <c r="AE9011" s="3" t="s">
        <v>1506</v>
      </c>
      <c r="AF9011" s="3" t="s">
        <v>546</v>
      </c>
      <c r="AG9011" s="3" t="s">
        <v>3077</v>
      </c>
      <c r="AH9011" s="11">
        <f>HYPERLINK("https://my.pitchbook.com?c=28003-51T","View Company Online")</f>
      </c>
    </row>
    <row r="9012">
      <c r="A9012" s="12" t="s">
        <v>38841</v>
      </c>
      <c r="B9012" s="12" t="s">
        <v>34815</v>
      </c>
      <c r="C9012" s="19" t="s">
        <v>36</v>
      </c>
      <c r="D9012" s="19" t="s">
        <v>36</v>
      </c>
      <c r="E9012" s="19" t="s">
        <v>36</v>
      </c>
      <c r="F9012" s="19" t="s">
        <v>36</v>
      </c>
      <c r="G9012" s="15" t="s">
        <v>36</v>
      </c>
      <c r="H9012" s="14" t="s">
        <v>36</v>
      </c>
      <c r="I9012" s="18" t="s">
        <v>36</v>
      </c>
      <c r="J9012" s="12" t="s">
        <v>36</v>
      </c>
      <c r="K9012" s="13" t="s">
        <v>36</v>
      </c>
      <c r="L9012" s="15" t="s">
        <v>36</v>
      </c>
      <c r="M9012" s="12" t="s">
        <v>36</v>
      </c>
      <c r="N9012" s="12" t="s">
        <v>36</v>
      </c>
      <c r="O9012" s="17" t="s">
        <v>36</v>
      </c>
      <c r="P9012" s="12" t="s">
        <v>36</v>
      </c>
      <c r="Q9012" s="12" t="s">
        <v>36</v>
      </c>
      <c r="R9012" s="12" t="s">
        <v>36</v>
      </c>
      <c r="S9012" s="12" t="s">
        <v>36</v>
      </c>
      <c r="T9012" s="12" t="s">
        <v>8811</v>
      </c>
      <c r="U9012" s="12" t="s">
        <v>74</v>
      </c>
      <c r="V9012" s="12" t="s">
        <v>75</v>
      </c>
      <c r="W9012" s="12" t="s">
        <v>34816</v>
      </c>
      <c r="X9012" s="16" t="s">
        <v>12123</v>
      </c>
      <c r="Y9012" s="15" t="s">
        <v>42</v>
      </c>
      <c r="Z9012" s="14" t="s">
        <v>36</v>
      </c>
      <c r="AA9012" s="14" t="s">
        <v>36</v>
      </c>
      <c r="AB9012" s="12" t="s">
        <v>43</v>
      </c>
      <c r="AC9012" s="12" t="s">
        <v>34817</v>
      </c>
      <c r="AD9012" s="13">
        <v>40179</v>
      </c>
      <c r="AE9012" s="12" t="s">
        <v>1243</v>
      </c>
      <c r="AF9012" s="12" t="s">
        <v>36</v>
      </c>
      <c r="AG9012" s="12" t="s">
        <v>34818</v>
      </c>
      <c r="AH9012" s="1">
        <f>HYPERLINK("https://my.pitchbook.com?c=117518-14T","View Company Online")</f>
      </c>
    </row>
    <row r="9013">
      <c r="A9013" s="3" t="s">
        <v>38842</v>
      </c>
      <c r="B9013" s="3" t="s">
        <v>38843</v>
      </c>
      <c r="C9013" s="5" t="s">
        <v>36</v>
      </c>
      <c r="D9013" s="5">
        <v>2</v>
      </c>
      <c r="E9013" s="5">
        <v>1</v>
      </c>
      <c r="F9013" s="5">
        <v>2</v>
      </c>
      <c r="G9013" s="6" t="s">
        <v>36</v>
      </c>
      <c r="H9013" s="4" t="s">
        <v>36</v>
      </c>
      <c r="I9013" s="7" t="s">
        <v>36</v>
      </c>
      <c r="J9013" s="3" t="s">
        <v>36</v>
      </c>
      <c r="K9013" s="9" t="s">
        <v>36</v>
      </c>
      <c r="L9013" s="6" t="s">
        <v>36</v>
      </c>
      <c r="M9013" s="3" t="s">
        <v>36</v>
      </c>
      <c r="N9013" s="3" t="s">
        <v>36</v>
      </c>
      <c r="O9013" s="8" t="s">
        <v>36</v>
      </c>
      <c r="P9013" s="3" t="s">
        <v>36</v>
      </c>
      <c r="Q9013" s="3" t="s">
        <v>36</v>
      </c>
      <c r="R9013" s="3" t="s">
        <v>36</v>
      </c>
      <c r="S9013" s="3" t="s">
        <v>36</v>
      </c>
      <c r="T9013" s="3" t="s">
        <v>19551</v>
      </c>
      <c r="U9013" s="3" t="s">
        <v>180</v>
      </c>
      <c r="V9013" s="3" t="s">
        <v>52</v>
      </c>
      <c r="W9013" s="3" t="s">
        <v>38844</v>
      </c>
      <c r="X9013" s="10" t="s">
        <v>26848</v>
      </c>
      <c r="Y9013" s="6" t="s">
        <v>108</v>
      </c>
      <c r="Z9013" s="4">
        <v>0.43</v>
      </c>
      <c r="AA9013" s="4" t="s">
        <v>36</v>
      </c>
      <c r="AB9013" s="3" t="s">
        <v>43</v>
      </c>
      <c r="AC9013" s="3" t="s">
        <v>38845</v>
      </c>
      <c r="AD9013" s="9">
        <v>40179</v>
      </c>
      <c r="AE9013" s="3" t="s">
        <v>10539</v>
      </c>
      <c r="AF9013" s="3" t="s">
        <v>9908</v>
      </c>
      <c r="AG9013" s="3" t="s">
        <v>1276</v>
      </c>
      <c r="AH9013" s="11">
        <f>HYPERLINK("https://my.pitchbook.com?c=51664-60T","View Company Online")</f>
      </c>
    </row>
    <row r="9014">
      <c r="A9014" s="12" t="s">
        <v>38846</v>
      </c>
      <c r="B9014" s="12" t="s">
        <v>38847</v>
      </c>
      <c r="C9014" s="19" t="s">
        <v>36</v>
      </c>
      <c r="D9014" s="19">
        <v>12</v>
      </c>
      <c r="E9014" s="19">
        <v>6</v>
      </c>
      <c r="F9014" s="19">
        <v>12</v>
      </c>
      <c r="G9014" s="15" t="s">
        <v>36</v>
      </c>
      <c r="H9014" s="14" t="s">
        <v>36</v>
      </c>
      <c r="I9014" s="18" t="s">
        <v>36</v>
      </c>
      <c r="J9014" s="12" t="s">
        <v>36</v>
      </c>
      <c r="K9014" s="13" t="s">
        <v>36</v>
      </c>
      <c r="L9014" s="15" t="s">
        <v>36</v>
      </c>
      <c r="M9014" s="12" t="s">
        <v>36</v>
      </c>
      <c r="N9014" s="12" t="s">
        <v>36</v>
      </c>
      <c r="O9014" s="17" t="s">
        <v>36</v>
      </c>
      <c r="P9014" s="12" t="s">
        <v>36</v>
      </c>
      <c r="Q9014" s="12" t="s">
        <v>36</v>
      </c>
      <c r="R9014" s="12" t="s">
        <v>36</v>
      </c>
      <c r="S9014" s="12" t="s">
        <v>36</v>
      </c>
      <c r="T9014" s="12" t="s">
        <v>38848</v>
      </c>
      <c r="U9014" s="12" t="s">
        <v>219</v>
      </c>
      <c r="V9014" s="12" t="s">
        <v>75</v>
      </c>
      <c r="W9014" s="12" t="s">
        <v>38849</v>
      </c>
      <c r="X9014" s="16" t="s">
        <v>17760</v>
      </c>
      <c r="Y9014" s="15" t="s">
        <v>42</v>
      </c>
      <c r="Z9014" s="14" t="s">
        <v>36</v>
      </c>
      <c r="AA9014" s="14" t="s">
        <v>36</v>
      </c>
      <c r="AB9014" s="12" t="s">
        <v>43</v>
      </c>
      <c r="AC9014" s="12" t="s">
        <v>38850</v>
      </c>
      <c r="AD9014" s="13">
        <v>40179</v>
      </c>
      <c r="AE9014" s="12" t="s">
        <v>7093</v>
      </c>
      <c r="AF9014" s="12" t="s">
        <v>546</v>
      </c>
      <c r="AG9014" s="12" t="s">
        <v>38851</v>
      </c>
      <c r="AH9014" s="1">
        <f>HYPERLINK("https://my.pitchbook.com?c=140340-61T","View Company Online")</f>
      </c>
    </row>
    <row r="9015">
      <c r="A9015" s="3" t="s">
        <v>38852</v>
      </c>
      <c r="B9015" s="3" t="s">
        <v>38853</v>
      </c>
      <c r="C9015" s="5" t="s">
        <v>36</v>
      </c>
      <c r="D9015" s="5" t="s">
        <v>36</v>
      </c>
      <c r="E9015" s="5" t="s">
        <v>36</v>
      </c>
      <c r="F9015" s="5" t="s">
        <v>36</v>
      </c>
      <c r="G9015" s="6" t="s">
        <v>36</v>
      </c>
      <c r="H9015" s="4" t="s">
        <v>36</v>
      </c>
      <c r="I9015" s="7" t="s">
        <v>36</v>
      </c>
      <c r="J9015" s="3" t="s">
        <v>36</v>
      </c>
      <c r="K9015" s="9" t="s">
        <v>36</v>
      </c>
      <c r="L9015" s="6" t="s">
        <v>36</v>
      </c>
      <c r="M9015" s="3" t="s">
        <v>36</v>
      </c>
      <c r="N9015" s="3" t="s">
        <v>36</v>
      </c>
      <c r="O9015" s="8" t="s">
        <v>36</v>
      </c>
      <c r="P9015" s="3" t="s">
        <v>36</v>
      </c>
      <c r="Q9015" s="3" t="s">
        <v>36</v>
      </c>
      <c r="R9015" s="3" t="s">
        <v>36</v>
      </c>
      <c r="S9015" s="3" t="s">
        <v>36</v>
      </c>
      <c r="T9015" s="3" t="s">
        <v>26416</v>
      </c>
      <c r="U9015" s="3" t="s">
        <v>279</v>
      </c>
      <c r="V9015" s="3" t="s">
        <v>64</v>
      </c>
      <c r="W9015" s="3" t="s">
        <v>38854</v>
      </c>
      <c r="X9015" s="10" t="s">
        <v>5661</v>
      </c>
      <c r="Y9015" s="6" t="s">
        <v>42</v>
      </c>
      <c r="Z9015" s="4" t="s">
        <v>36</v>
      </c>
      <c r="AA9015" s="4" t="s">
        <v>36</v>
      </c>
      <c r="AB9015" s="3" t="s">
        <v>56</v>
      </c>
      <c r="AC9015" s="3" t="s">
        <v>38855</v>
      </c>
      <c r="AD9015" s="9">
        <v>40179</v>
      </c>
      <c r="AE9015" s="3" t="s">
        <v>740</v>
      </c>
      <c r="AF9015" s="3" t="s">
        <v>36</v>
      </c>
      <c r="AG9015" s="3" t="s">
        <v>38856</v>
      </c>
      <c r="AH9015" s="11">
        <f>HYPERLINK("https://my.pitchbook.com?c=27750-43T","View Company Online")</f>
      </c>
    </row>
    <row r="9016">
      <c r="A9016" s="12" t="s">
        <v>38857</v>
      </c>
      <c r="B9016" s="12" t="s">
        <v>38858</v>
      </c>
      <c r="C9016" s="19" t="s">
        <v>36</v>
      </c>
      <c r="D9016" s="19" t="s">
        <v>36</v>
      </c>
      <c r="E9016" s="19" t="s">
        <v>36</v>
      </c>
      <c r="F9016" s="19" t="s">
        <v>36</v>
      </c>
      <c r="G9016" s="15" t="s">
        <v>36</v>
      </c>
      <c r="H9016" s="14" t="s">
        <v>36</v>
      </c>
      <c r="I9016" s="18" t="s">
        <v>36</v>
      </c>
      <c r="J9016" s="12" t="s">
        <v>36</v>
      </c>
      <c r="K9016" s="13" t="s">
        <v>36</v>
      </c>
      <c r="L9016" s="15" t="s">
        <v>122</v>
      </c>
      <c r="M9016" s="12" t="s">
        <v>36</v>
      </c>
      <c r="N9016" s="12" t="s">
        <v>122</v>
      </c>
      <c r="O9016" s="17" t="s">
        <v>36</v>
      </c>
      <c r="P9016" s="12" t="s">
        <v>36</v>
      </c>
      <c r="Q9016" s="12" t="s">
        <v>36</v>
      </c>
      <c r="R9016" s="12" t="s">
        <v>36</v>
      </c>
      <c r="S9016" s="12" t="s">
        <v>36</v>
      </c>
      <c r="T9016" s="12" t="s">
        <v>38859</v>
      </c>
      <c r="U9016" s="12" t="s">
        <v>38</v>
      </c>
      <c r="V9016" s="12" t="s">
        <v>39</v>
      </c>
      <c r="W9016" s="12" t="s">
        <v>38860</v>
      </c>
      <c r="X9016" s="16" t="s">
        <v>28566</v>
      </c>
      <c r="Y9016" s="15" t="s">
        <v>42</v>
      </c>
      <c r="Z9016" s="14" t="s">
        <v>36</v>
      </c>
      <c r="AA9016" s="14" t="s">
        <v>36</v>
      </c>
      <c r="AB9016" s="12" t="s">
        <v>43</v>
      </c>
      <c r="AC9016" s="12" t="s">
        <v>38861</v>
      </c>
      <c r="AD9016" s="13">
        <v>40179</v>
      </c>
      <c r="AE9016" s="12" t="s">
        <v>688</v>
      </c>
      <c r="AF9016" s="12" t="s">
        <v>36</v>
      </c>
      <c r="AG9016" s="12" t="s">
        <v>81</v>
      </c>
      <c r="AH9016" s="1">
        <f>HYPERLINK("https://my.pitchbook.com?c=198690-58T","View Company Online")</f>
      </c>
    </row>
    <row r="9017">
      <c r="A9017" s="3" t="s">
        <v>38862</v>
      </c>
      <c r="B9017" s="3" t="s">
        <v>38863</v>
      </c>
      <c r="C9017" s="5" t="s">
        <v>36</v>
      </c>
      <c r="D9017" s="5" t="s">
        <v>36</v>
      </c>
      <c r="E9017" s="5" t="s">
        <v>36</v>
      </c>
      <c r="F9017" s="5" t="s">
        <v>36</v>
      </c>
      <c r="G9017" s="6" t="s">
        <v>36</v>
      </c>
      <c r="H9017" s="4" t="s">
        <v>36</v>
      </c>
      <c r="I9017" s="7" t="s">
        <v>36</v>
      </c>
      <c r="J9017" s="3" t="s">
        <v>36</v>
      </c>
      <c r="K9017" s="9">
        <v>40023</v>
      </c>
      <c r="L9017" s="6" t="s">
        <v>1981</v>
      </c>
      <c r="M9017" s="3" t="s">
        <v>36</v>
      </c>
      <c r="N9017" s="3" t="s">
        <v>1981</v>
      </c>
      <c r="O9017" s="8" t="s">
        <v>36</v>
      </c>
      <c r="P9017" s="3" t="s">
        <v>36</v>
      </c>
      <c r="Q9017" s="3" t="s">
        <v>36</v>
      </c>
      <c r="R9017" s="3" t="s">
        <v>36</v>
      </c>
      <c r="S9017" s="3" t="s">
        <v>36</v>
      </c>
      <c r="T9017" s="3" t="s">
        <v>28260</v>
      </c>
      <c r="U9017" s="3" t="s">
        <v>74</v>
      </c>
      <c r="V9017" s="3" t="s">
        <v>75</v>
      </c>
      <c r="W9017" s="3" t="s">
        <v>38864</v>
      </c>
      <c r="X9017" s="10" t="s">
        <v>38865</v>
      </c>
      <c r="Y9017" s="6" t="s">
        <v>55</v>
      </c>
      <c r="Z9017" s="4">
        <v>4.35</v>
      </c>
      <c r="AA9017" s="4" t="s">
        <v>36</v>
      </c>
      <c r="AB9017" s="3" t="s">
        <v>43</v>
      </c>
      <c r="AC9017" s="3" t="s">
        <v>38866</v>
      </c>
      <c r="AD9017" s="9">
        <v>40179</v>
      </c>
      <c r="AE9017" s="3" t="s">
        <v>79</v>
      </c>
      <c r="AF9017" s="3" t="s">
        <v>19021</v>
      </c>
      <c r="AG9017" s="3" t="s">
        <v>81</v>
      </c>
      <c r="AH9017" s="11">
        <f>HYPERLINK("https://my.pitchbook.com?c=27170-83T","View Company Online")</f>
      </c>
    </row>
    <row r="9018">
      <c r="A9018" s="12" t="s">
        <v>38867</v>
      </c>
      <c r="B9018" s="12" t="s">
        <v>38868</v>
      </c>
      <c r="C9018" s="19" t="s">
        <v>36</v>
      </c>
      <c r="D9018" s="19" t="s">
        <v>36</v>
      </c>
      <c r="E9018" s="19" t="s">
        <v>36</v>
      </c>
      <c r="F9018" s="19" t="s">
        <v>36</v>
      </c>
      <c r="G9018" s="15" t="s">
        <v>36</v>
      </c>
      <c r="H9018" s="14" t="s">
        <v>36</v>
      </c>
      <c r="I9018" s="18" t="s">
        <v>36</v>
      </c>
      <c r="J9018" s="12" t="s">
        <v>36</v>
      </c>
      <c r="K9018" s="13" t="s">
        <v>36</v>
      </c>
      <c r="L9018" s="15" t="s">
        <v>36</v>
      </c>
      <c r="M9018" s="12" t="s">
        <v>36</v>
      </c>
      <c r="N9018" s="12" t="s">
        <v>36</v>
      </c>
      <c r="O9018" s="17" t="s">
        <v>36</v>
      </c>
      <c r="P9018" s="12" t="s">
        <v>36</v>
      </c>
      <c r="Q9018" s="12" t="s">
        <v>36</v>
      </c>
      <c r="R9018" s="12" t="s">
        <v>36</v>
      </c>
      <c r="S9018" s="12" t="s">
        <v>36</v>
      </c>
      <c r="T9018" s="12" t="s">
        <v>38869</v>
      </c>
      <c r="U9018" s="12" t="s">
        <v>51</v>
      </c>
      <c r="V9018" s="12" t="s">
        <v>52</v>
      </c>
      <c r="W9018" s="12" t="s">
        <v>38870</v>
      </c>
      <c r="X9018" s="16" t="s">
        <v>5661</v>
      </c>
      <c r="Y9018" s="15" t="s">
        <v>42</v>
      </c>
      <c r="Z9018" s="14" t="s">
        <v>36</v>
      </c>
      <c r="AA9018" s="14" t="s">
        <v>36</v>
      </c>
      <c r="AB9018" s="12" t="s">
        <v>43</v>
      </c>
      <c r="AC9018" s="12" t="s">
        <v>38871</v>
      </c>
      <c r="AD9018" s="13">
        <v>40179</v>
      </c>
      <c r="AE9018" s="12" t="s">
        <v>1060</v>
      </c>
      <c r="AF9018" s="12" t="s">
        <v>1977</v>
      </c>
      <c r="AG9018" s="12" t="s">
        <v>38872</v>
      </c>
      <c r="AH9018" s="1">
        <f>HYPERLINK("https://my.pitchbook.com?c=28033-21T","View Company Online")</f>
      </c>
    </row>
    <row r="9019">
      <c r="A9019" s="3" t="s">
        <v>38873</v>
      </c>
      <c r="B9019" s="3" t="s">
        <v>38874</v>
      </c>
      <c r="C9019" s="5" t="s">
        <v>36</v>
      </c>
      <c r="D9019" s="5" t="s">
        <v>36</v>
      </c>
      <c r="E9019" s="5" t="s">
        <v>36</v>
      </c>
      <c r="F9019" s="5" t="s">
        <v>36</v>
      </c>
      <c r="G9019" s="6" t="s">
        <v>36</v>
      </c>
      <c r="H9019" s="4" t="s">
        <v>36</v>
      </c>
      <c r="I9019" s="7" t="s">
        <v>36</v>
      </c>
      <c r="J9019" s="3" t="s">
        <v>36</v>
      </c>
      <c r="K9019" s="9" t="s">
        <v>36</v>
      </c>
      <c r="L9019" s="6" t="s">
        <v>36</v>
      </c>
      <c r="M9019" s="3" t="s">
        <v>36</v>
      </c>
      <c r="N9019" s="3" t="s">
        <v>36</v>
      </c>
      <c r="O9019" s="8" t="s">
        <v>36</v>
      </c>
      <c r="P9019" s="3" t="s">
        <v>36</v>
      </c>
      <c r="Q9019" s="3" t="s">
        <v>36</v>
      </c>
      <c r="R9019" s="3" t="s">
        <v>36</v>
      </c>
      <c r="S9019" s="3" t="s">
        <v>36</v>
      </c>
      <c r="T9019" s="3" t="s">
        <v>38875</v>
      </c>
      <c r="U9019" s="3" t="s">
        <v>728</v>
      </c>
      <c r="V9019" s="3" t="s">
        <v>64</v>
      </c>
      <c r="W9019" s="3" t="s">
        <v>38876</v>
      </c>
      <c r="X9019" s="10" t="s">
        <v>31667</v>
      </c>
      <c r="Y9019" s="6" t="s">
        <v>42</v>
      </c>
      <c r="Z9019" s="4">
        <v>2.17</v>
      </c>
      <c r="AA9019" s="4" t="s">
        <v>36</v>
      </c>
      <c r="AB9019" s="3" t="s">
        <v>43</v>
      </c>
      <c r="AC9019" s="3" t="s">
        <v>38877</v>
      </c>
      <c r="AD9019" s="9">
        <v>40179</v>
      </c>
      <c r="AE9019" s="3" t="s">
        <v>2154</v>
      </c>
      <c r="AF9019" s="3" t="s">
        <v>10633</v>
      </c>
      <c r="AG9019" s="3" t="s">
        <v>81</v>
      </c>
      <c r="AH9019" s="11">
        <f>HYPERLINK("https://my.pitchbook.com?c=36355-06T","View Company Online")</f>
      </c>
    </row>
    <row r="9020">
      <c r="A9020" s="12" t="s">
        <v>38878</v>
      </c>
      <c r="B9020" s="12" t="s">
        <v>38879</v>
      </c>
      <c r="C9020" s="19" t="s">
        <v>36</v>
      </c>
      <c r="D9020" s="19" t="s">
        <v>36</v>
      </c>
      <c r="E9020" s="19" t="s">
        <v>36</v>
      </c>
      <c r="F9020" s="19" t="s">
        <v>36</v>
      </c>
      <c r="G9020" s="15" t="s">
        <v>36</v>
      </c>
      <c r="H9020" s="14" t="s">
        <v>36</v>
      </c>
      <c r="I9020" s="18" t="s">
        <v>36</v>
      </c>
      <c r="J9020" s="12" t="s">
        <v>36</v>
      </c>
      <c r="K9020" s="13" t="s">
        <v>36</v>
      </c>
      <c r="L9020" s="15" t="s">
        <v>36</v>
      </c>
      <c r="M9020" s="12" t="s">
        <v>36</v>
      </c>
      <c r="N9020" s="12" t="s">
        <v>36</v>
      </c>
      <c r="O9020" s="17" t="s">
        <v>36</v>
      </c>
      <c r="P9020" s="12" t="s">
        <v>36</v>
      </c>
      <c r="Q9020" s="12" t="s">
        <v>36</v>
      </c>
      <c r="R9020" s="12" t="s">
        <v>36</v>
      </c>
      <c r="S9020" s="12" t="s">
        <v>36</v>
      </c>
      <c r="T9020" s="12" t="s">
        <v>472</v>
      </c>
      <c r="U9020" s="12" t="s">
        <v>38</v>
      </c>
      <c r="V9020" s="12" t="s">
        <v>39</v>
      </c>
      <c r="W9020" s="12" t="s">
        <v>38880</v>
      </c>
      <c r="X9020" s="16" t="s">
        <v>38881</v>
      </c>
      <c r="Y9020" s="15" t="s">
        <v>108</v>
      </c>
      <c r="Z9020" s="14">
        <v>0.43</v>
      </c>
      <c r="AA9020" s="14" t="s">
        <v>36</v>
      </c>
      <c r="AB9020" s="12" t="s">
        <v>43</v>
      </c>
      <c r="AC9020" s="12" t="s">
        <v>38882</v>
      </c>
      <c r="AD9020" s="13">
        <v>40179</v>
      </c>
      <c r="AE9020" s="12" t="s">
        <v>110</v>
      </c>
      <c r="AF9020" s="12" t="s">
        <v>1636</v>
      </c>
      <c r="AG9020" s="12" t="s">
        <v>38883</v>
      </c>
      <c r="AH9020" s="1">
        <f>HYPERLINK("https://my.pitchbook.com?c=34175-26T","View Company Online")</f>
      </c>
    </row>
    <row r="9021">
      <c r="A9021" s="3" t="s">
        <v>38884</v>
      </c>
      <c r="B9021" s="3" t="s">
        <v>10873</v>
      </c>
      <c r="C9021" s="5" t="s">
        <v>36</v>
      </c>
      <c r="D9021" s="5" t="s">
        <v>36</v>
      </c>
      <c r="E9021" s="5" t="s">
        <v>36</v>
      </c>
      <c r="F9021" s="5" t="s">
        <v>36</v>
      </c>
      <c r="G9021" s="6" t="s">
        <v>36</v>
      </c>
      <c r="H9021" s="4" t="s">
        <v>36</v>
      </c>
      <c r="I9021" s="7" t="s">
        <v>36</v>
      </c>
      <c r="J9021" s="3" t="s">
        <v>36</v>
      </c>
      <c r="K9021" s="9" t="s">
        <v>36</v>
      </c>
      <c r="L9021" s="6" t="s">
        <v>36</v>
      </c>
      <c r="M9021" s="3" t="s">
        <v>36</v>
      </c>
      <c r="N9021" s="3" t="s">
        <v>36</v>
      </c>
      <c r="O9021" s="8" t="s">
        <v>36</v>
      </c>
      <c r="P9021" s="3" t="s">
        <v>36</v>
      </c>
      <c r="Q9021" s="3" t="s">
        <v>36</v>
      </c>
      <c r="R9021" s="3" t="s">
        <v>36</v>
      </c>
      <c r="S9021" s="3" t="s">
        <v>36</v>
      </c>
      <c r="T9021" s="3" t="s">
        <v>27443</v>
      </c>
      <c r="U9021" s="3" t="s">
        <v>74</v>
      </c>
      <c r="V9021" s="3" t="s">
        <v>75</v>
      </c>
      <c r="W9021" s="3" t="s">
        <v>27444</v>
      </c>
      <c r="X9021" s="10" t="s">
        <v>38885</v>
      </c>
      <c r="Y9021" s="6" t="s">
        <v>42</v>
      </c>
      <c r="Z9021" s="4" t="s">
        <v>36</v>
      </c>
      <c r="AA9021" s="4" t="s">
        <v>36</v>
      </c>
      <c r="AB9021" s="3" t="s">
        <v>43</v>
      </c>
      <c r="AC9021" s="3" t="s">
        <v>27446</v>
      </c>
      <c r="AD9021" s="9">
        <v>40179</v>
      </c>
      <c r="AE9021" s="3" t="s">
        <v>1243</v>
      </c>
      <c r="AF9021" s="3" t="s">
        <v>546</v>
      </c>
      <c r="AG9021" s="3" t="s">
        <v>81</v>
      </c>
      <c r="AH9021" s="11">
        <f>HYPERLINK("https://my.pitchbook.com?c=25575-94T","View Company Online")</f>
      </c>
    </row>
    <row r="9022">
      <c r="A9022" s="12" t="s">
        <v>38886</v>
      </c>
      <c r="B9022" s="12" t="s">
        <v>32849</v>
      </c>
      <c r="C9022" s="19" t="s">
        <v>36</v>
      </c>
      <c r="D9022" s="19" t="s">
        <v>36</v>
      </c>
      <c r="E9022" s="19" t="s">
        <v>36</v>
      </c>
      <c r="F9022" s="19" t="s">
        <v>36</v>
      </c>
      <c r="G9022" s="15" t="s">
        <v>36</v>
      </c>
      <c r="H9022" s="14" t="s">
        <v>36</v>
      </c>
      <c r="I9022" s="18" t="s">
        <v>36</v>
      </c>
      <c r="J9022" s="12" t="s">
        <v>36</v>
      </c>
      <c r="K9022" s="13" t="s">
        <v>36</v>
      </c>
      <c r="L9022" s="15" t="s">
        <v>36</v>
      </c>
      <c r="M9022" s="12" t="s">
        <v>36</v>
      </c>
      <c r="N9022" s="12" t="s">
        <v>36</v>
      </c>
      <c r="O9022" s="17" t="s">
        <v>36</v>
      </c>
      <c r="P9022" s="12" t="s">
        <v>36</v>
      </c>
      <c r="Q9022" s="12" t="s">
        <v>36</v>
      </c>
      <c r="R9022" s="12" t="s">
        <v>36</v>
      </c>
      <c r="S9022" s="12" t="s">
        <v>36</v>
      </c>
      <c r="T9022" s="12" t="s">
        <v>32850</v>
      </c>
      <c r="U9022" s="12" t="s">
        <v>289</v>
      </c>
      <c r="V9022" s="12" t="s">
        <v>64</v>
      </c>
      <c r="W9022" s="12" t="s">
        <v>32851</v>
      </c>
      <c r="X9022" s="16" t="s">
        <v>38887</v>
      </c>
      <c r="Y9022" s="15" t="s">
        <v>42</v>
      </c>
      <c r="Z9022" s="14">
        <v>6.52</v>
      </c>
      <c r="AA9022" s="14" t="s">
        <v>36</v>
      </c>
      <c r="AB9022" s="12" t="s">
        <v>43</v>
      </c>
      <c r="AC9022" s="12" t="s">
        <v>32853</v>
      </c>
      <c r="AD9022" s="13">
        <v>40179</v>
      </c>
      <c r="AE9022" s="12" t="s">
        <v>292</v>
      </c>
      <c r="AF9022" s="12" t="s">
        <v>2118</v>
      </c>
      <c r="AG9022" s="12" t="s">
        <v>81</v>
      </c>
      <c r="AH9022" s="1">
        <f>HYPERLINK("https://my.pitchbook.com?c=24781-60T","View Company Online")</f>
      </c>
    </row>
    <row r="9023">
      <c r="A9023" s="3" t="s">
        <v>38888</v>
      </c>
      <c r="B9023" s="3" t="s">
        <v>38889</v>
      </c>
      <c r="C9023" s="5" t="s">
        <v>36</v>
      </c>
      <c r="D9023" s="5" t="s">
        <v>36</v>
      </c>
      <c r="E9023" s="5" t="s">
        <v>36</v>
      </c>
      <c r="F9023" s="5" t="s">
        <v>36</v>
      </c>
      <c r="G9023" s="6" t="s">
        <v>36</v>
      </c>
      <c r="H9023" s="4" t="s">
        <v>36</v>
      </c>
      <c r="I9023" s="7" t="s">
        <v>36</v>
      </c>
      <c r="J9023" s="3" t="s">
        <v>36</v>
      </c>
      <c r="K9023" s="9" t="s">
        <v>36</v>
      </c>
      <c r="L9023" s="6" t="s">
        <v>36</v>
      </c>
      <c r="M9023" s="3" t="s">
        <v>36</v>
      </c>
      <c r="N9023" s="3" t="s">
        <v>36</v>
      </c>
      <c r="O9023" s="8" t="s">
        <v>36</v>
      </c>
      <c r="P9023" s="3" t="s">
        <v>36</v>
      </c>
      <c r="Q9023" s="3" t="s">
        <v>36</v>
      </c>
      <c r="R9023" s="3" t="s">
        <v>36</v>
      </c>
      <c r="S9023" s="3" t="s">
        <v>36</v>
      </c>
      <c r="T9023" s="3" t="s">
        <v>38890</v>
      </c>
      <c r="U9023" s="3" t="s">
        <v>219</v>
      </c>
      <c r="V9023" s="3" t="s">
        <v>75</v>
      </c>
      <c r="W9023" s="3" t="s">
        <v>38891</v>
      </c>
      <c r="X9023" s="10" t="s">
        <v>5661</v>
      </c>
      <c r="Y9023" s="6" t="s">
        <v>108</v>
      </c>
      <c r="Z9023" s="4" t="s">
        <v>36</v>
      </c>
      <c r="AA9023" s="4" t="s">
        <v>36</v>
      </c>
      <c r="AB9023" s="3" t="s">
        <v>56</v>
      </c>
      <c r="AC9023" s="3" t="s">
        <v>38892</v>
      </c>
      <c r="AD9023" s="9">
        <v>40179</v>
      </c>
      <c r="AE9023" s="3" t="s">
        <v>2914</v>
      </c>
      <c r="AF9023" s="3" t="s">
        <v>546</v>
      </c>
      <c r="AG9023" s="3" t="s">
        <v>644</v>
      </c>
      <c r="AH9023" s="11">
        <f>HYPERLINK("https://my.pitchbook.com?c=28041-85T","View Company Online")</f>
      </c>
    </row>
    <row r="9024">
      <c r="A9024" s="12" t="s">
        <v>38893</v>
      </c>
      <c r="B9024" s="12" t="s">
        <v>38894</v>
      </c>
      <c r="C9024" s="19" t="s">
        <v>36</v>
      </c>
      <c r="D9024" s="19" t="s">
        <v>36</v>
      </c>
      <c r="E9024" s="19" t="s">
        <v>36</v>
      </c>
      <c r="F9024" s="19" t="s">
        <v>36</v>
      </c>
      <c r="G9024" s="15" t="s">
        <v>36</v>
      </c>
      <c r="H9024" s="14" t="s">
        <v>36</v>
      </c>
      <c r="I9024" s="18" t="s">
        <v>36</v>
      </c>
      <c r="J9024" s="12" t="s">
        <v>36</v>
      </c>
      <c r="K9024" s="13" t="s">
        <v>36</v>
      </c>
      <c r="L9024" s="15" t="s">
        <v>36</v>
      </c>
      <c r="M9024" s="12" t="s">
        <v>36</v>
      </c>
      <c r="N9024" s="12" t="s">
        <v>36</v>
      </c>
      <c r="O9024" s="17" t="s">
        <v>36</v>
      </c>
      <c r="P9024" s="12" t="s">
        <v>36</v>
      </c>
      <c r="Q9024" s="12" t="s">
        <v>36</v>
      </c>
      <c r="R9024" s="12" t="s">
        <v>36</v>
      </c>
      <c r="S9024" s="12" t="s">
        <v>36</v>
      </c>
      <c r="T9024" s="12" t="s">
        <v>4361</v>
      </c>
      <c r="U9024" s="12" t="s">
        <v>648</v>
      </c>
      <c r="V9024" s="12" t="s">
        <v>64</v>
      </c>
      <c r="W9024" s="12" t="s">
        <v>38895</v>
      </c>
      <c r="X9024" s="16" t="s">
        <v>29117</v>
      </c>
      <c r="Y9024" s="15" t="s">
        <v>42</v>
      </c>
      <c r="Z9024" s="14">
        <v>0.62</v>
      </c>
      <c r="AA9024" s="14" t="s">
        <v>36</v>
      </c>
      <c r="AB9024" s="12" t="s">
        <v>56</v>
      </c>
      <c r="AC9024" s="12" t="s">
        <v>38896</v>
      </c>
      <c r="AD9024" s="13">
        <v>40179</v>
      </c>
      <c r="AE9024" s="12" t="s">
        <v>651</v>
      </c>
      <c r="AF9024" s="12" t="s">
        <v>36</v>
      </c>
      <c r="AG9024" s="12" t="s">
        <v>81</v>
      </c>
      <c r="AH9024" s="1">
        <f>HYPERLINK("https://my.pitchbook.com?c=71930-53T","View Company Online")</f>
      </c>
    </row>
    <row r="9025">
      <c r="A9025" s="3" t="s">
        <v>38897</v>
      </c>
      <c r="B9025" s="3" t="s">
        <v>38898</v>
      </c>
      <c r="C9025" s="5" t="s">
        <v>36</v>
      </c>
      <c r="D9025" s="5" t="s">
        <v>36</v>
      </c>
      <c r="E9025" s="5" t="s">
        <v>36</v>
      </c>
      <c r="F9025" s="5" t="s">
        <v>36</v>
      </c>
      <c r="G9025" s="6" t="s">
        <v>36</v>
      </c>
      <c r="H9025" s="4" t="s">
        <v>36</v>
      </c>
      <c r="I9025" s="7" t="s">
        <v>36</v>
      </c>
      <c r="J9025" s="3" t="s">
        <v>36</v>
      </c>
      <c r="K9025" s="9" t="s">
        <v>36</v>
      </c>
      <c r="L9025" s="6" t="s">
        <v>36</v>
      </c>
      <c r="M9025" s="3" t="s">
        <v>36</v>
      </c>
      <c r="N9025" s="3" t="s">
        <v>36</v>
      </c>
      <c r="O9025" s="8" t="s">
        <v>36</v>
      </c>
      <c r="P9025" s="3" t="s">
        <v>36</v>
      </c>
      <c r="Q9025" s="3" t="s">
        <v>36</v>
      </c>
      <c r="R9025" s="3" t="s">
        <v>36</v>
      </c>
      <c r="S9025" s="3" t="s">
        <v>36</v>
      </c>
      <c r="T9025" s="3" t="s">
        <v>647</v>
      </c>
      <c r="U9025" s="3" t="s">
        <v>648</v>
      </c>
      <c r="V9025" s="3" t="s">
        <v>64</v>
      </c>
      <c r="W9025" s="3" t="s">
        <v>38899</v>
      </c>
      <c r="X9025" s="10" t="s">
        <v>730</v>
      </c>
      <c r="Y9025" s="6" t="s">
        <v>42</v>
      </c>
      <c r="Z9025" s="4" t="s">
        <v>36</v>
      </c>
      <c r="AA9025" s="4" t="s">
        <v>36</v>
      </c>
      <c r="AB9025" s="3" t="s">
        <v>43</v>
      </c>
      <c r="AC9025" s="3" t="s">
        <v>38900</v>
      </c>
      <c r="AD9025" s="9">
        <v>40179</v>
      </c>
      <c r="AE9025" s="3" t="s">
        <v>651</v>
      </c>
      <c r="AF9025" s="3" t="s">
        <v>36</v>
      </c>
      <c r="AG9025" s="3" t="s">
        <v>19091</v>
      </c>
      <c r="AH9025" s="11">
        <f>HYPERLINK("https://my.pitchbook.com?c=43863-67T","View Company Online")</f>
      </c>
    </row>
    <row r="9026">
      <c r="A9026" s="12" t="s">
        <v>38901</v>
      </c>
      <c r="B9026" s="12" t="s">
        <v>38902</v>
      </c>
      <c r="C9026" s="19" t="s">
        <v>36</v>
      </c>
      <c r="D9026" s="19">
        <v>1</v>
      </c>
      <c r="E9026" s="19">
        <v>1</v>
      </c>
      <c r="F9026" s="19">
        <v>2</v>
      </c>
      <c r="G9026" s="15" t="s">
        <v>36</v>
      </c>
      <c r="H9026" s="14" t="s">
        <v>36</v>
      </c>
      <c r="I9026" s="18" t="s">
        <v>36</v>
      </c>
      <c r="J9026" s="12" t="s">
        <v>36</v>
      </c>
      <c r="K9026" s="13" t="s">
        <v>36</v>
      </c>
      <c r="L9026" s="15" t="s">
        <v>36</v>
      </c>
      <c r="M9026" s="12" t="s">
        <v>36</v>
      </c>
      <c r="N9026" s="12" t="s">
        <v>36</v>
      </c>
      <c r="O9026" s="17" t="s">
        <v>36</v>
      </c>
      <c r="P9026" s="12" t="s">
        <v>36</v>
      </c>
      <c r="Q9026" s="12" t="s">
        <v>36</v>
      </c>
      <c r="R9026" s="12" t="s">
        <v>36</v>
      </c>
      <c r="S9026" s="12" t="s">
        <v>8864</v>
      </c>
      <c r="T9026" s="12" t="s">
        <v>38903</v>
      </c>
      <c r="U9026" s="12" t="s">
        <v>219</v>
      </c>
      <c r="V9026" s="12" t="s">
        <v>75</v>
      </c>
      <c r="W9026" s="12" t="s">
        <v>38904</v>
      </c>
      <c r="X9026" s="16" t="s">
        <v>33627</v>
      </c>
      <c r="Y9026" s="15" t="s">
        <v>42</v>
      </c>
      <c r="Z9026" s="14" t="s">
        <v>36</v>
      </c>
      <c r="AA9026" s="14" t="s">
        <v>36</v>
      </c>
      <c r="AB9026" s="12" t="s">
        <v>43</v>
      </c>
      <c r="AC9026" s="12" t="s">
        <v>38905</v>
      </c>
      <c r="AD9026" s="13">
        <v>40179</v>
      </c>
      <c r="AE9026" s="12" t="s">
        <v>2914</v>
      </c>
      <c r="AF9026" s="12" t="s">
        <v>2132</v>
      </c>
      <c r="AG9026" s="12" t="s">
        <v>47</v>
      </c>
      <c r="AH9026" s="1">
        <f>HYPERLINK("https://my.pitchbook.com?c=132082-39T","View Company Online")</f>
      </c>
    </row>
    <row r="9027">
      <c r="A9027" s="3" t="s">
        <v>38906</v>
      </c>
      <c r="B9027" s="3" t="s">
        <v>33262</v>
      </c>
      <c r="C9027" s="5" t="s">
        <v>36</v>
      </c>
      <c r="D9027" s="5">
        <v>2</v>
      </c>
      <c r="E9027" s="5">
        <v>1</v>
      </c>
      <c r="F9027" s="5">
        <v>2</v>
      </c>
      <c r="G9027" s="6" t="s">
        <v>36</v>
      </c>
      <c r="H9027" s="4" t="s">
        <v>36</v>
      </c>
      <c r="I9027" s="7" t="s">
        <v>36</v>
      </c>
      <c r="J9027" s="3" t="s">
        <v>36</v>
      </c>
      <c r="K9027" s="9" t="s">
        <v>36</v>
      </c>
      <c r="L9027" s="6" t="s">
        <v>36</v>
      </c>
      <c r="M9027" s="3" t="s">
        <v>36</v>
      </c>
      <c r="N9027" s="3" t="s">
        <v>36</v>
      </c>
      <c r="O9027" s="8" t="s">
        <v>36</v>
      </c>
      <c r="P9027" s="3" t="s">
        <v>36</v>
      </c>
      <c r="Q9027" s="3" t="s">
        <v>36</v>
      </c>
      <c r="R9027" s="3" t="s">
        <v>36</v>
      </c>
      <c r="S9027" s="3" t="s">
        <v>36</v>
      </c>
      <c r="T9027" s="3" t="s">
        <v>105</v>
      </c>
      <c r="U9027" s="3" t="s">
        <v>38</v>
      </c>
      <c r="V9027" s="3" t="s">
        <v>39</v>
      </c>
      <c r="W9027" s="3" t="s">
        <v>33263</v>
      </c>
      <c r="X9027" s="10" t="s">
        <v>1840</v>
      </c>
      <c r="Y9027" s="6" t="s">
        <v>42</v>
      </c>
      <c r="Z9027" s="4" t="s">
        <v>36</v>
      </c>
      <c r="AA9027" s="4" t="s">
        <v>36</v>
      </c>
      <c r="AB9027" s="3" t="s">
        <v>43</v>
      </c>
      <c r="AC9027" s="3" t="s">
        <v>33265</v>
      </c>
      <c r="AD9027" s="9">
        <v>40179</v>
      </c>
      <c r="AE9027" s="3" t="s">
        <v>110</v>
      </c>
      <c r="AF9027" s="3" t="s">
        <v>4552</v>
      </c>
      <c r="AG9027" s="3" t="s">
        <v>8850</v>
      </c>
      <c r="AH9027" s="11">
        <f>HYPERLINK("https://my.pitchbook.com?c=95390-65T","View Company Online")</f>
      </c>
    </row>
    <row r="9028">
      <c r="A9028" s="12" t="s">
        <v>38907</v>
      </c>
      <c r="B9028" s="12" t="s">
        <v>38908</v>
      </c>
      <c r="C9028" s="19" t="s">
        <v>36</v>
      </c>
      <c r="D9028" s="19" t="s">
        <v>36</v>
      </c>
      <c r="E9028" s="19" t="s">
        <v>36</v>
      </c>
      <c r="F9028" s="19" t="s">
        <v>36</v>
      </c>
      <c r="G9028" s="15" t="s">
        <v>36</v>
      </c>
      <c r="H9028" s="14" t="s">
        <v>36</v>
      </c>
      <c r="I9028" s="18" t="s">
        <v>36</v>
      </c>
      <c r="J9028" s="12" t="s">
        <v>36</v>
      </c>
      <c r="K9028" s="13" t="s">
        <v>36</v>
      </c>
      <c r="L9028" s="15" t="s">
        <v>36</v>
      </c>
      <c r="M9028" s="12" t="s">
        <v>36</v>
      </c>
      <c r="N9028" s="12" t="s">
        <v>36</v>
      </c>
      <c r="O9028" s="17" t="s">
        <v>36</v>
      </c>
      <c r="P9028" s="12" t="s">
        <v>36</v>
      </c>
      <c r="Q9028" s="12" t="s">
        <v>36</v>
      </c>
      <c r="R9028" s="12" t="s">
        <v>36</v>
      </c>
      <c r="S9028" s="12" t="s">
        <v>36</v>
      </c>
      <c r="T9028" s="12" t="s">
        <v>847</v>
      </c>
      <c r="U9028" s="12" t="s">
        <v>279</v>
      </c>
      <c r="V9028" s="12" t="s">
        <v>64</v>
      </c>
      <c r="W9028" s="12" t="s">
        <v>38909</v>
      </c>
      <c r="X9028" s="16" t="s">
        <v>38910</v>
      </c>
      <c r="Y9028" s="15" t="s">
        <v>42</v>
      </c>
      <c r="Z9028" s="14" t="s">
        <v>36</v>
      </c>
      <c r="AA9028" s="14" t="s">
        <v>36</v>
      </c>
      <c r="AB9028" s="12" t="s">
        <v>43</v>
      </c>
      <c r="AC9028" s="12" t="s">
        <v>38911</v>
      </c>
      <c r="AD9028" s="13">
        <v>40179</v>
      </c>
      <c r="AE9028" s="12" t="s">
        <v>851</v>
      </c>
      <c r="AF9028" s="12" t="s">
        <v>4552</v>
      </c>
      <c r="AG9028" s="12" t="s">
        <v>81</v>
      </c>
      <c r="AH9028" s="1">
        <f>HYPERLINK("https://my.pitchbook.com?c=25750-90T","View Company Online")</f>
      </c>
    </row>
    <row r="9029">
      <c r="A9029" s="3" t="s">
        <v>38912</v>
      </c>
      <c r="B9029" s="3" t="s">
        <v>38913</v>
      </c>
      <c r="C9029" s="5" t="s">
        <v>36</v>
      </c>
      <c r="D9029" s="5" t="s">
        <v>36</v>
      </c>
      <c r="E9029" s="5" t="s">
        <v>36</v>
      </c>
      <c r="F9029" s="5" t="s">
        <v>36</v>
      </c>
      <c r="G9029" s="6" t="s">
        <v>36</v>
      </c>
      <c r="H9029" s="4" t="s">
        <v>36</v>
      </c>
      <c r="I9029" s="7" t="s">
        <v>36</v>
      </c>
      <c r="J9029" s="3" t="s">
        <v>36</v>
      </c>
      <c r="K9029" s="9" t="s">
        <v>36</v>
      </c>
      <c r="L9029" s="6" t="s">
        <v>36</v>
      </c>
      <c r="M9029" s="3" t="s">
        <v>36</v>
      </c>
      <c r="N9029" s="3" t="s">
        <v>36</v>
      </c>
      <c r="O9029" s="8" t="s">
        <v>36</v>
      </c>
      <c r="P9029" s="3" t="s">
        <v>36</v>
      </c>
      <c r="Q9029" s="3" t="s">
        <v>36</v>
      </c>
      <c r="R9029" s="3" t="s">
        <v>36</v>
      </c>
      <c r="S9029" s="3" t="s">
        <v>36</v>
      </c>
      <c r="T9029" s="3" t="s">
        <v>768</v>
      </c>
      <c r="U9029" s="3" t="s">
        <v>233</v>
      </c>
      <c r="V9029" s="3" t="s">
        <v>39</v>
      </c>
      <c r="W9029" s="3" t="s">
        <v>38914</v>
      </c>
      <c r="X9029" s="10" t="s">
        <v>11579</v>
      </c>
      <c r="Y9029" s="6" t="s">
        <v>42</v>
      </c>
      <c r="Z9029" s="4" t="s">
        <v>36</v>
      </c>
      <c r="AA9029" s="4" t="s">
        <v>36</v>
      </c>
      <c r="AB9029" s="3" t="s">
        <v>43</v>
      </c>
      <c r="AC9029" s="3" t="s">
        <v>38915</v>
      </c>
      <c r="AD9029" s="9">
        <v>40179</v>
      </c>
      <c r="AE9029" s="3" t="s">
        <v>236</v>
      </c>
      <c r="AF9029" s="3" t="s">
        <v>546</v>
      </c>
      <c r="AG9029" s="3" t="s">
        <v>38916</v>
      </c>
      <c r="AH9029" s="11">
        <f>HYPERLINK("https://my.pitchbook.com?c=66602-71T","View Company Online")</f>
      </c>
    </row>
    <row r="9030">
      <c r="A9030" s="12" t="s">
        <v>38917</v>
      </c>
      <c r="B9030" s="12" t="s">
        <v>30152</v>
      </c>
      <c r="C9030" s="19" t="s">
        <v>36</v>
      </c>
      <c r="D9030" s="19">
        <v>5</v>
      </c>
      <c r="E9030" s="19">
        <v>2</v>
      </c>
      <c r="F9030" s="19">
        <v>7</v>
      </c>
      <c r="G9030" s="15" t="s">
        <v>36</v>
      </c>
      <c r="H9030" s="14">
        <v>5.19</v>
      </c>
      <c r="I9030" s="18">
        <v>32.14</v>
      </c>
      <c r="J9030" s="12" t="s">
        <v>521</v>
      </c>
      <c r="K9030" s="13" t="s">
        <v>36</v>
      </c>
      <c r="L9030" s="15" t="s">
        <v>36</v>
      </c>
      <c r="M9030" s="12" t="s">
        <v>36</v>
      </c>
      <c r="N9030" s="12" t="s">
        <v>36</v>
      </c>
      <c r="O9030" s="17" t="s">
        <v>36</v>
      </c>
      <c r="P9030" s="12" t="s">
        <v>36</v>
      </c>
      <c r="Q9030" s="12" t="s">
        <v>36</v>
      </c>
      <c r="R9030" s="12" t="s">
        <v>36</v>
      </c>
      <c r="S9030" s="12" t="s">
        <v>36</v>
      </c>
      <c r="T9030" s="12" t="s">
        <v>1701</v>
      </c>
      <c r="U9030" s="12" t="s">
        <v>74</v>
      </c>
      <c r="V9030" s="12" t="s">
        <v>75</v>
      </c>
      <c r="W9030" s="12" t="s">
        <v>30153</v>
      </c>
      <c r="X9030" s="16" t="s">
        <v>38918</v>
      </c>
      <c r="Y9030" s="15" t="s">
        <v>42</v>
      </c>
      <c r="Z9030" s="14">
        <v>1.3</v>
      </c>
      <c r="AA9030" s="14">
        <v>4.06</v>
      </c>
      <c r="AB9030" s="12" t="s">
        <v>43</v>
      </c>
      <c r="AC9030" s="12" t="s">
        <v>30155</v>
      </c>
      <c r="AD9030" s="13">
        <v>40179</v>
      </c>
      <c r="AE9030" s="12" t="s">
        <v>79</v>
      </c>
      <c r="AF9030" s="12" t="s">
        <v>30156</v>
      </c>
      <c r="AG9030" s="12" t="s">
        <v>652</v>
      </c>
      <c r="AH9030" s="1">
        <f>HYPERLINK("https://my.pitchbook.com?c=29637-19T","View Company Online")</f>
      </c>
    </row>
    <row r="9031">
      <c r="A9031" s="3" t="s">
        <v>38919</v>
      </c>
      <c r="B9031" s="3" t="s">
        <v>37706</v>
      </c>
      <c r="C9031" s="5" t="s">
        <v>36</v>
      </c>
      <c r="D9031" s="5" t="s">
        <v>36</v>
      </c>
      <c r="E9031" s="5" t="s">
        <v>36</v>
      </c>
      <c r="F9031" s="5" t="s">
        <v>36</v>
      </c>
      <c r="G9031" s="6" t="s">
        <v>36</v>
      </c>
      <c r="H9031" s="4" t="s">
        <v>36</v>
      </c>
      <c r="I9031" s="7" t="s">
        <v>36</v>
      </c>
      <c r="J9031" s="3" t="s">
        <v>36</v>
      </c>
      <c r="K9031" s="9" t="s">
        <v>36</v>
      </c>
      <c r="L9031" s="6" t="s">
        <v>36</v>
      </c>
      <c r="M9031" s="3" t="s">
        <v>36</v>
      </c>
      <c r="N9031" s="3" t="s">
        <v>36</v>
      </c>
      <c r="O9031" s="8" t="s">
        <v>36</v>
      </c>
      <c r="P9031" s="3" t="s">
        <v>36</v>
      </c>
      <c r="Q9031" s="3" t="s">
        <v>36</v>
      </c>
      <c r="R9031" s="3" t="s">
        <v>36</v>
      </c>
      <c r="S9031" s="3" t="s">
        <v>36</v>
      </c>
      <c r="T9031" s="3" t="s">
        <v>3445</v>
      </c>
      <c r="U9031" s="3" t="s">
        <v>38</v>
      </c>
      <c r="V9031" s="3" t="s">
        <v>39</v>
      </c>
      <c r="W9031" s="3" t="s">
        <v>37707</v>
      </c>
      <c r="X9031" s="10" t="s">
        <v>33627</v>
      </c>
      <c r="Y9031" s="6" t="s">
        <v>42</v>
      </c>
      <c r="Z9031" s="4" t="s">
        <v>36</v>
      </c>
      <c r="AA9031" s="4" t="s">
        <v>36</v>
      </c>
      <c r="AB9031" s="3" t="s">
        <v>43</v>
      </c>
      <c r="AC9031" s="3" t="s">
        <v>37708</v>
      </c>
      <c r="AD9031" s="9">
        <v>40179</v>
      </c>
      <c r="AE9031" s="3" t="s">
        <v>110</v>
      </c>
      <c r="AF9031" s="3" t="s">
        <v>4552</v>
      </c>
      <c r="AG9031" s="3" t="s">
        <v>697</v>
      </c>
      <c r="AH9031" s="11">
        <f>HYPERLINK("https://my.pitchbook.com?c=29636-65T","View Company Online")</f>
      </c>
    </row>
    <row r="9032">
      <c r="A9032" s="12" t="s">
        <v>38920</v>
      </c>
      <c r="B9032" s="12" t="s">
        <v>38921</v>
      </c>
      <c r="C9032" s="19" t="s">
        <v>36</v>
      </c>
      <c r="D9032" s="19" t="s">
        <v>36</v>
      </c>
      <c r="E9032" s="19" t="s">
        <v>36</v>
      </c>
      <c r="F9032" s="19" t="s">
        <v>36</v>
      </c>
      <c r="G9032" s="15" t="s">
        <v>36</v>
      </c>
      <c r="H9032" s="14" t="s">
        <v>36</v>
      </c>
      <c r="I9032" s="18" t="s">
        <v>36</v>
      </c>
      <c r="J9032" s="12" t="s">
        <v>36</v>
      </c>
      <c r="K9032" s="13" t="s">
        <v>36</v>
      </c>
      <c r="L9032" s="15" t="s">
        <v>36</v>
      </c>
      <c r="M9032" s="12" t="s">
        <v>36</v>
      </c>
      <c r="N9032" s="12" t="s">
        <v>36</v>
      </c>
      <c r="O9032" s="17" t="s">
        <v>36</v>
      </c>
      <c r="P9032" s="12" t="s">
        <v>36</v>
      </c>
      <c r="Q9032" s="12" t="s">
        <v>36</v>
      </c>
      <c r="R9032" s="12" t="s">
        <v>36</v>
      </c>
      <c r="S9032" s="12" t="s">
        <v>36</v>
      </c>
      <c r="T9032" s="12" t="s">
        <v>2811</v>
      </c>
      <c r="U9032" s="12" t="s">
        <v>219</v>
      </c>
      <c r="V9032" s="12" t="s">
        <v>75</v>
      </c>
      <c r="W9032" s="12" t="s">
        <v>38922</v>
      </c>
      <c r="X9032" s="16" t="s">
        <v>38923</v>
      </c>
      <c r="Y9032" s="15" t="s">
        <v>108</v>
      </c>
      <c r="Z9032" s="14" t="s">
        <v>36</v>
      </c>
      <c r="AA9032" s="14" t="s">
        <v>36</v>
      </c>
      <c r="AB9032" s="12" t="s">
        <v>56</v>
      </c>
      <c r="AC9032" s="12" t="s">
        <v>38924</v>
      </c>
      <c r="AD9032" s="13">
        <v>40179</v>
      </c>
      <c r="AE9032" s="12" t="s">
        <v>223</v>
      </c>
      <c r="AF9032" s="12" t="s">
        <v>1969</v>
      </c>
      <c r="AG9032" s="12" t="s">
        <v>5193</v>
      </c>
      <c r="AH9032" s="1">
        <f>HYPERLINK("https://my.pitchbook.com?c=29924-56T","View Company Online")</f>
      </c>
    </row>
    <row r="9033">
      <c r="A9033" s="3" t="s">
        <v>38925</v>
      </c>
      <c r="B9033" s="3" t="s">
        <v>38926</v>
      </c>
      <c r="C9033" s="5" t="s">
        <v>36</v>
      </c>
      <c r="D9033" s="5" t="s">
        <v>36</v>
      </c>
      <c r="E9033" s="5" t="s">
        <v>36</v>
      </c>
      <c r="F9033" s="5" t="s">
        <v>36</v>
      </c>
      <c r="G9033" s="6" t="s">
        <v>36</v>
      </c>
      <c r="H9033" s="4" t="s">
        <v>36</v>
      </c>
      <c r="I9033" s="7" t="s">
        <v>36</v>
      </c>
      <c r="J9033" s="3" t="s">
        <v>36</v>
      </c>
      <c r="K9033" s="9" t="s">
        <v>36</v>
      </c>
      <c r="L9033" s="6" t="s">
        <v>36</v>
      </c>
      <c r="M9033" s="3" t="s">
        <v>36</v>
      </c>
      <c r="N9033" s="3" t="s">
        <v>36</v>
      </c>
      <c r="O9033" s="8" t="s">
        <v>36</v>
      </c>
      <c r="P9033" s="3" t="s">
        <v>36</v>
      </c>
      <c r="Q9033" s="3" t="s">
        <v>36</v>
      </c>
      <c r="R9033" s="3" t="s">
        <v>36</v>
      </c>
      <c r="S9033" s="3" t="s">
        <v>36</v>
      </c>
      <c r="T9033" s="3" t="s">
        <v>3208</v>
      </c>
      <c r="U9033" s="3" t="s">
        <v>1798</v>
      </c>
      <c r="V9033" s="3" t="s">
        <v>39</v>
      </c>
      <c r="W9033" s="3" t="s">
        <v>38927</v>
      </c>
      <c r="X9033" s="10" t="s">
        <v>38928</v>
      </c>
      <c r="Y9033" s="6" t="s">
        <v>42</v>
      </c>
      <c r="Z9033" s="4" t="s">
        <v>36</v>
      </c>
      <c r="AA9033" s="4" t="s">
        <v>36</v>
      </c>
      <c r="AB9033" s="3" t="s">
        <v>43</v>
      </c>
      <c r="AC9033" s="3" t="s">
        <v>38929</v>
      </c>
      <c r="AD9033" s="9">
        <v>40179</v>
      </c>
      <c r="AE9033" s="3" t="s">
        <v>1802</v>
      </c>
      <c r="AF9033" s="3" t="s">
        <v>2815</v>
      </c>
      <c r="AG9033" s="3" t="s">
        <v>38930</v>
      </c>
      <c r="AH9033" s="11">
        <f>HYPERLINK("https://my.pitchbook.com?c=123534-91T","View Company Online")</f>
      </c>
    </row>
    <row r="9034">
      <c r="A9034" s="12" t="s">
        <v>38931</v>
      </c>
      <c r="B9034" s="12" t="s">
        <v>38932</v>
      </c>
      <c r="C9034" s="19" t="s">
        <v>36</v>
      </c>
      <c r="D9034" s="19" t="s">
        <v>36</v>
      </c>
      <c r="E9034" s="19" t="s">
        <v>36</v>
      </c>
      <c r="F9034" s="19" t="s">
        <v>36</v>
      </c>
      <c r="G9034" s="15" t="s">
        <v>36</v>
      </c>
      <c r="H9034" s="14" t="s">
        <v>36</v>
      </c>
      <c r="I9034" s="18" t="s">
        <v>36</v>
      </c>
      <c r="J9034" s="12" t="s">
        <v>36</v>
      </c>
      <c r="K9034" s="13" t="s">
        <v>36</v>
      </c>
      <c r="L9034" s="15" t="s">
        <v>36</v>
      </c>
      <c r="M9034" s="12" t="s">
        <v>36</v>
      </c>
      <c r="N9034" s="12" t="s">
        <v>36</v>
      </c>
      <c r="O9034" s="17" t="s">
        <v>36</v>
      </c>
      <c r="P9034" s="12" t="s">
        <v>36</v>
      </c>
      <c r="Q9034" s="12" t="s">
        <v>36</v>
      </c>
      <c r="R9034" s="12" t="s">
        <v>36</v>
      </c>
      <c r="S9034" s="12" t="s">
        <v>36</v>
      </c>
      <c r="T9034" s="12" t="s">
        <v>38933</v>
      </c>
      <c r="U9034" s="12" t="s">
        <v>423</v>
      </c>
      <c r="V9034" s="12" t="s">
        <v>64</v>
      </c>
      <c r="W9034" s="12" t="s">
        <v>38934</v>
      </c>
      <c r="X9034" s="16" t="s">
        <v>5661</v>
      </c>
      <c r="Y9034" s="15" t="s">
        <v>55</v>
      </c>
      <c r="Z9034" s="14" t="s">
        <v>36</v>
      </c>
      <c r="AA9034" s="14" t="s">
        <v>36</v>
      </c>
      <c r="AB9034" s="12" t="s">
        <v>43</v>
      </c>
      <c r="AC9034" s="12" t="s">
        <v>38935</v>
      </c>
      <c r="AD9034" s="13">
        <v>40179</v>
      </c>
      <c r="AE9034" s="12" t="s">
        <v>562</v>
      </c>
      <c r="AF9034" s="12" t="s">
        <v>36</v>
      </c>
      <c r="AG9034" s="12" t="s">
        <v>38936</v>
      </c>
      <c r="AH9034" s="1">
        <f>HYPERLINK("https://my.pitchbook.com?c=28059-76T","View Company Online")</f>
      </c>
    </row>
    <row r="9035">
      <c r="A9035" s="3" t="s">
        <v>38937</v>
      </c>
      <c r="B9035" s="3" t="s">
        <v>38938</v>
      </c>
      <c r="C9035" s="5" t="s">
        <v>36</v>
      </c>
      <c r="D9035" s="5" t="s">
        <v>36</v>
      </c>
      <c r="E9035" s="5">
        <v>1</v>
      </c>
      <c r="F9035" s="5">
        <v>1</v>
      </c>
      <c r="G9035" s="6" t="s">
        <v>36</v>
      </c>
      <c r="H9035" s="4" t="s">
        <v>36</v>
      </c>
      <c r="I9035" s="7" t="s">
        <v>36</v>
      </c>
      <c r="J9035" s="3" t="s">
        <v>36</v>
      </c>
      <c r="K9035" s="9" t="s">
        <v>36</v>
      </c>
      <c r="L9035" s="6" t="s">
        <v>36</v>
      </c>
      <c r="M9035" s="3" t="s">
        <v>36</v>
      </c>
      <c r="N9035" s="3" t="s">
        <v>36</v>
      </c>
      <c r="O9035" s="8" t="s">
        <v>36</v>
      </c>
      <c r="P9035" s="3" t="s">
        <v>36</v>
      </c>
      <c r="Q9035" s="3" t="s">
        <v>36</v>
      </c>
      <c r="R9035" s="3" t="s">
        <v>36</v>
      </c>
      <c r="S9035" s="3" t="s">
        <v>36</v>
      </c>
      <c r="T9035" s="3" t="s">
        <v>3315</v>
      </c>
      <c r="U9035" s="3" t="s">
        <v>74</v>
      </c>
      <c r="V9035" s="3" t="s">
        <v>75</v>
      </c>
      <c r="W9035" s="3" t="s">
        <v>38939</v>
      </c>
      <c r="X9035" s="10" t="s">
        <v>18485</v>
      </c>
      <c r="Y9035" s="6" t="s">
        <v>42</v>
      </c>
      <c r="Z9035" s="4" t="s">
        <v>36</v>
      </c>
      <c r="AA9035" s="4" t="s">
        <v>36</v>
      </c>
      <c r="AB9035" s="3" t="s">
        <v>56</v>
      </c>
      <c r="AC9035" s="3" t="s">
        <v>38940</v>
      </c>
      <c r="AD9035" s="9">
        <v>40179</v>
      </c>
      <c r="AE9035" s="3" t="s">
        <v>2237</v>
      </c>
      <c r="AF9035" s="3" t="s">
        <v>1636</v>
      </c>
      <c r="AG9035" s="3" t="s">
        <v>186</v>
      </c>
      <c r="AH9035" s="11">
        <f>HYPERLINK("https://my.pitchbook.com?c=29764-90T","View Company Online")</f>
      </c>
    </row>
    <row r="9036">
      <c r="A9036" s="12" t="s">
        <v>38941</v>
      </c>
      <c r="B9036" s="12" t="s">
        <v>27130</v>
      </c>
      <c r="C9036" s="19" t="s">
        <v>36</v>
      </c>
      <c r="D9036" s="19" t="s">
        <v>36</v>
      </c>
      <c r="E9036" s="19" t="s">
        <v>36</v>
      </c>
      <c r="F9036" s="19" t="s">
        <v>36</v>
      </c>
      <c r="G9036" s="15" t="s">
        <v>36</v>
      </c>
      <c r="H9036" s="14" t="s">
        <v>36</v>
      </c>
      <c r="I9036" s="18" t="s">
        <v>36</v>
      </c>
      <c r="J9036" s="12" t="s">
        <v>36</v>
      </c>
      <c r="K9036" s="13" t="s">
        <v>36</v>
      </c>
      <c r="L9036" s="15" t="s">
        <v>36</v>
      </c>
      <c r="M9036" s="12" t="s">
        <v>36</v>
      </c>
      <c r="N9036" s="12" t="s">
        <v>36</v>
      </c>
      <c r="O9036" s="17" t="s">
        <v>36</v>
      </c>
      <c r="P9036" s="12" t="s">
        <v>36</v>
      </c>
      <c r="Q9036" s="12" t="s">
        <v>36</v>
      </c>
      <c r="R9036" s="12" t="s">
        <v>36</v>
      </c>
      <c r="S9036" s="12" t="s">
        <v>36</v>
      </c>
      <c r="T9036" s="12" t="s">
        <v>596</v>
      </c>
      <c r="U9036" s="12" t="s">
        <v>366</v>
      </c>
      <c r="V9036" s="12" t="s">
        <v>367</v>
      </c>
      <c r="W9036" s="12" t="s">
        <v>27131</v>
      </c>
      <c r="X9036" s="16" t="s">
        <v>29117</v>
      </c>
      <c r="Y9036" s="15" t="s">
        <v>42</v>
      </c>
      <c r="Z9036" s="14" t="s">
        <v>36</v>
      </c>
      <c r="AA9036" s="14" t="s">
        <v>36</v>
      </c>
      <c r="AB9036" s="12" t="s">
        <v>43</v>
      </c>
      <c r="AC9036" s="12" t="s">
        <v>27133</v>
      </c>
      <c r="AD9036" s="13">
        <v>40179</v>
      </c>
      <c r="AE9036" s="12" t="s">
        <v>600</v>
      </c>
      <c r="AF9036" s="12" t="s">
        <v>931</v>
      </c>
      <c r="AG9036" s="12" t="s">
        <v>12928</v>
      </c>
      <c r="AH9036" s="1">
        <f>HYPERLINK("https://my.pitchbook.com?c=71972-83T","View Company Online")</f>
      </c>
    </row>
    <row r="9037">
      <c r="A9037" s="3" t="s">
        <v>38942</v>
      </c>
      <c r="B9037" s="3" t="s">
        <v>38943</v>
      </c>
      <c r="C9037" s="5" t="s">
        <v>36</v>
      </c>
      <c r="D9037" s="5" t="s">
        <v>36</v>
      </c>
      <c r="E9037" s="5" t="s">
        <v>36</v>
      </c>
      <c r="F9037" s="5" t="s">
        <v>36</v>
      </c>
      <c r="G9037" s="6" t="s">
        <v>36</v>
      </c>
      <c r="H9037" s="4" t="s">
        <v>36</v>
      </c>
      <c r="I9037" s="7" t="s">
        <v>36</v>
      </c>
      <c r="J9037" s="3" t="s">
        <v>36</v>
      </c>
      <c r="K9037" s="9" t="s">
        <v>36</v>
      </c>
      <c r="L9037" s="6" t="s">
        <v>36</v>
      </c>
      <c r="M9037" s="3" t="s">
        <v>36</v>
      </c>
      <c r="N9037" s="3" t="s">
        <v>36</v>
      </c>
      <c r="O9037" s="8" t="s">
        <v>36</v>
      </c>
      <c r="P9037" s="3" t="s">
        <v>36</v>
      </c>
      <c r="Q9037" s="3" t="s">
        <v>36</v>
      </c>
      <c r="R9037" s="3" t="s">
        <v>36</v>
      </c>
      <c r="S9037" s="3" t="s">
        <v>36</v>
      </c>
      <c r="T9037" s="3" t="s">
        <v>647</v>
      </c>
      <c r="U9037" s="3" t="s">
        <v>648</v>
      </c>
      <c r="V9037" s="3" t="s">
        <v>64</v>
      </c>
      <c r="W9037" s="3" t="s">
        <v>38944</v>
      </c>
      <c r="X9037" s="10" t="s">
        <v>38945</v>
      </c>
      <c r="Y9037" s="6" t="s">
        <v>42</v>
      </c>
      <c r="Z9037" s="4">
        <v>0.62</v>
      </c>
      <c r="AA9037" s="4" t="s">
        <v>36</v>
      </c>
      <c r="AB9037" s="3" t="s">
        <v>56</v>
      </c>
      <c r="AC9037" s="3" t="s">
        <v>38946</v>
      </c>
      <c r="AD9037" s="9">
        <v>40179</v>
      </c>
      <c r="AE9037" s="3" t="s">
        <v>651</v>
      </c>
      <c r="AF9037" s="3" t="s">
        <v>1636</v>
      </c>
      <c r="AG9037" s="3" t="s">
        <v>144</v>
      </c>
      <c r="AH9037" s="11">
        <f>HYPERLINK("https://my.pitchbook.com?c=85986-01T","View Company Online")</f>
      </c>
    </row>
    <row r="9038">
      <c r="A9038" s="12" t="s">
        <v>38947</v>
      </c>
      <c r="B9038" s="12" t="s">
        <v>38948</v>
      </c>
      <c r="C9038" s="19" t="s">
        <v>36</v>
      </c>
      <c r="D9038" s="19" t="s">
        <v>36</v>
      </c>
      <c r="E9038" s="19" t="s">
        <v>36</v>
      </c>
      <c r="F9038" s="19" t="s">
        <v>36</v>
      </c>
      <c r="G9038" s="15" t="s">
        <v>36</v>
      </c>
      <c r="H9038" s="14" t="s">
        <v>36</v>
      </c>
      <c r="I9038" s="18" t="s">
        <v>36</v>
      </c>
      <c r="J9038" s="12" t="s">
        <v>36</v>
      </c>
      <c r="K9038" s="13" t="s">
        <v>36</v>
      </c>
      <c r="L9038" s="15" t="s">
        <v>36</v>
      </c>
      <c r="M9038" s="12" t="s">
        <v>36</v>
      </c>
      <c r="N9038" s="12" t="s">
        <v>36</v>
      </c>
      <c r="O9038" s="17" t="s">
        <v>36</v>
      </c>
      <c r="P9038" s="12" t="s">
        <v>36</v>
      </c>
      <c r="Q9038" s="12" t="s">
        <v>36</v>
      </c>
      <c r="R9038" s="12" t="s">
        <v>36</v>
      </c>
      <c r="S9038" s="12" t="s">
        <v>36</v>
      </c>
      <c r="T9038" s="12" t="s">
        <v>38949</v>
      </c>
      <c r="U9038" s="12" t="s">
        <v>279</v>
      </c>
      <c r="V9038" s="12" t="s">
        <v>64</v>
      </c>
      <c r="W9038" s="12" t="s">
        <v>38950</v>
      </c>
      <c r="X9038" s="16" t="s">
        <v>5661</v>
      </c>
      <c r="Y9038" s="15" t="s">
        <v>42</v>
      </c>
      <c r="Z9038" s="14" t="s">
        <v>36</v>
      </c>
      <c r="AA9038" s="14" t="s">
        <v>36</v>
      </c>
      <c r="AB9038" s="12" t="s">
        <v>43</v>
      </c>
      <c r="AC9038" s="12" t="s">
        <v>38951</v>
      </c>
      <c r="AD9038" s="13">
        <v>40179</v>
      </c>
      <c r="AE9038" s="12" t="s">
        <v>283</v>
      </c>
      <c r="AF9038" s="12" t="s">
        <v>36</v>
      </c>
      <c r="AG9038" s="12" t="s">
        <v>8939</v>
      </c>
      <c r="AH9038" s="1">
        <f>HYPERLINK("https://my.pitchbook.com?c=28066-24T","View Company Online")</f>
      </c>
    </row>
    <row r="9039">
      <c r="A9039" s="3" t="s">
        <v>38952</v>
      </c>
      <c r="B9039" s="3" t="s">
        <v>34766</v>
      </c>
      <c r="C9039" s="5" t="s">
        <v>36</v>
      </c>
      <c r="D9039" s="5" t="s">
        <v>36</v>
      </c>
      <c r="E9039" s="5" t="s">
        <v>36</v>
      </c>
      <c r="F9039" s="5" t="s">
        <v>36</v>
      </c>
      <c r="G9039" s="6" t="s">
        <v>36</v>
      </c>
      <c r="H9039" s="4" t="s">
        <v>36</v>
      </c>
      <c r="I9039" s="7" t="s">
        <v>36</v>
      </c>
      <c r="J9039" s="3" t="s">
        <v>36</v>
      </c>
      <c r="K9039" s="9" t="s">
        <v>36</v>
      </c>
      <c r="L9039" s="6" t="s">
        <v>36</v>
      </c>
      <c r="M9039" s="3" t="s">
        <v>36</v>
      </c>
      <c r="N9039" s="3" t="s">
        <v>36</v>
      </c>
      <c r="O9039" s="8" t="s">
        <v>36</v>
      </c>
      <c r="P9039" s="3" t="s">
        <v>36</v>
      </c>
      <c r="Q9039" s="3" t="s">
        <v>36</v>
      </c>
      <c r="R9039" s="3" t="s">
        <v>36</v>
      </c>
      <c r="S9039" s="3" t="s">
        <v>36</v>
      </c>
      <c r="T9039" s="3" t="s">
        <v>1831</v>
      </c>
      <c r="U9039" s="3" t="s">
        <v>387</v>
      </c>
      <c r="V9039" s="3" t="s">
        <v>367</v>
      </c>
      <c r="W9039" s="3" t="s">
        <v>34767</v>
      </c>
      <c r="X9039" s="10" t="s">
        <v>27804</v>
      </c>
      <c r="Y9039" s="6" t="s">
        <v>42</v>
      </c>
      <c r="Z9039" s="4" t="s">
        <v>36</v>
      </c>
      <c r="AA9039" s="4" t="s">
        <v>36</v>
      </c>
      <c r="AB9039" s="3" t="s">
        <v>43</v>
      </c>
      <c r="AC9039" s="3" t="s">
        <v>34768</v>
      </c>
      <c r="AD9039" s="9">
        <v>40179</v>
      </c>
      <c r="AE9039" s="3" t="s">
        <v>391</v>
      </c>
      <c r="AF9039" s="3" t="s">
        <v>22942</v>
      </c>
      <c r="AG9039" s="3" t="s">
        <v>19828</v>
      </c>
      <c r="AH9039" s="11">
        <f>HYPERLINK("https://my.pitchbook.com?c=85179-88T","View Company Online")</f>
      </c>
    </row>
  </sheetData>
  <mergeCells count="1">
    <mergeCell ref="B4:D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dr="http://schemas.openxmlformats.org/drawingml/2006/spreadsheetDrawing" xmlns:a14="http://schemas.microsoft.com/office/drawing/2010/main" xmlns:x14="http://schemas.microsoft.com/office/spreadsheetml/2009/9/main" mc:Ignorable="x14ac">
  <dimension ref="A1:E15"/>
  <sheetViews>
    <sheetView showGridLines="0" workbookViewId="0">
      <selection sqref="A1"/>
    </sheetView>
  </sheetViews>
  <sheetFormatPr defaultRowHeight="15"/>
  <cols>
    <col min="1" max="1" width="10.5703125" customWidth="1"/>
    <col min="2" max="2" width="49.140625" customWidth="1"/>
    <col min="3" max="3" width="27.7109375" customWidth="1"/>
    <col min="4" max="4" width="4.5703125" customWidth="1"/>
    <col min="5" max="5" width="22.140625" customWidth="1"/>
  </cols>
  <sheetData>
    <row r="1">
      <c r="A1" s="26" t="s">
        <v>38959</v>
      </c>
    </row>
    <row r="3">
      <c r="A3" s="27" t="s">
        <v>38960</v>
      </c>
    </row>
    <row r="4">
      <c r="A4" s="29" t="s">
        <v>38961</v>
      </c>
    </row>
    <row r="6">
      <c r="A6" s="27" t="s">
        <v>38962</v>
      </c>
      <c r="C6" s="29" t="s">
        <v>38963</v>
      </c>
      <c r="E6" s="27" t="s">
        <v>38964</v>
      </c>
    </row>
    <row r="8">
      <c r="A8" s="27" t="s">
        <v>38965</v>
      </c>
    </row>
    <row r="9">
      <c r="A9" s="30" t="s">
        <v>38966</v>
      </c>
      <c r="B9" s="27" t="s">
        <v>38967</v>
      </c>
    </row>
    <row r="10">
      <c r="A10" s="30" t="s">
        <v>38968</v>
      </c>
      <c r="B10" s="27" t="s">
        <v>38969</v>
      </c>
    </row>
    <row r="11">
      <c r="A11" s="30" t="s">
        <v>38970</v>
      </c>
      <c r="B11" s="27" t="s">
        <v>38971</v>
      </c>
    </row>
    <row r="13">
      <c r="A13" s="27" t="s">
        <v>38972</v>
      </c>
      <c r="B13" s="29" t="s">
        <v>38961</v>
      </c>
    </row>
    <row r="15">
      <c r="A15" s="31" t="s">
        <v>38973</v>
      </c>
    </row>
  </sheetData>
  <sheetProtection algorithmName="SHA-512" hashValue="ODcHw7kfqYI6bHE9iGxPn7JEyTKfNrBjnrkpGjcWmZa6jaPyQ3JqelSmY0y3o0yXXwsSWUwK55ubsaptoRRRLQ==" saltValue="HCq8tJdw9we+rlFUWUOjLA==" spinCount="100000" sheet="1" objects="1" scenarios="1"/>
  <hyperlinks>
    <hyperlink ref="A4" r:id="rId1" display="support@pitchbook.com"/>
    <hyperlink ref="C6" r:id="rId2" display="the PitchBook subscription agreement."/>
    <hyperlink ref="B13" r:id="rId3" display="support@pitchbook.com"/>
  </hyperlinks>
  <pageMargins left="0.7" right="0.7" top="0.75" bottom="0.75" header="0.3" footer="0.3"/>
</worksheet>
</file>